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ml.chartshapes+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221.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xl/worksheets/sheet176.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183.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190.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19.xml" ContentType="application/vnd.openxmlformats-officedocument.spreadsheetml.worksheet+xml"/>
  <Override PartName="/xl/drawings/drawing10.xml" ContentType="application/vnd.openxmlformats-officedocument.drawing+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2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215.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22.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11.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drawings/drawing11.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drawings/drawing9.xml" ContentType="application/vnd.openxmlformats-officedocument.drawingml.chartshapes+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223.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drawings/drawing5.xml" ContentType="application/vnd.openxmlformats-officedocument.drawing+xml"/>
  <Override PartName="/xl/charts/chart3.xml" ContentType="application/vnd.openxmlformats-officedocument.drawingml.char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drawings/drawing12.xml" ContentType="application/vnd.openxmlformats-officedocument.drawing+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drawings/drawing13.xml" ContentType="application/vnd.openxmlformats-officedocument.drawingml.chartshapes+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externalLinks/externalLink1.xml" ContentType="application/vnd.openxmlformats-officedocument.spreadsheetml.externalLink+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charts/chart5.xml" ContentType="application/vnd.openxmlformats-officedocument.drawingml.chart+xml"/>
  <Override PartName="/xl/worksheets/sheet187.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72" windowWidth="8652" windowHeight="4740" tabRatio="865" firstSheet="181" activeTab="220"/>
  </bookViews>
  <sheets>
    <sheet name="TABLE OF CONTENTS" sheetId="326" r:id="rId1"/>
    <sheet name="SUMMARY WORKSHEET NO. 2" sheetId="216" r:id="rId2"/>
    <sheet name="LGBRPS-2" sheetId="120" r:id="rId3"/>
    <sheet name="LGBRPS-4" sheetId="121" r:id="rId4"/>
    <sheet name="LGBRPS-5" sheetId="122" state="hidden" r:id="rId5"/>
    <sheet name="lbpf 3- RTC-1" sheetId="270" state="hidden" r:id="rId6"/>
    <sheet name="lbpf 3-NGA" sheetId="263" state="hidden" r:id="rId7"/>
    <sheet name="lbpf 3-ROD" sheetId="269" state="hidden" r:id="rId8"/>
    <sheet name="lbpf 3-EDC" sheetId="310" state="hidden" r:id="rId9"/>
    <sheet name="lbpf 3-SENIOR CITIZENS" sheetId="311" state="hidden" r:id="rId10"/>
    <sheet name="lbpf 3-COA" sheetId="268" state="hidden" r:id="rId11"/>
    <sheet name="lbr 1b" sheetId="124" r:id="rId12"/>
    <sheet name="lbr 3c" sheetId="125" state="hidden" r:id="rId13"/>
    <sheet name="lbr 3d" sheetId="126" state="hidden" r:id="rId14"/>
    <sheet name="lbr 4" sheetId="127" r:id="rId15"/>
    <sheet name="receipts program" sheetId="41" r:id="rId16"/>
    <sheet name="STATEMENT OF RECEIPTS" sheetId="40" r:id="rId17"/>
    <sheet name="LBPF " sheetId="210" state="hidden" r:id="rId18"/>
    <sheet name="lbpf 5-GO" sheetId="321" state="hidden" r:id="rId19"/>
    <sheet name="lbpf 5(2)-GO" sheetId="322" state="hidden" r:id="rId20"/>
    <sheet name="LBPF No. 2" sheetId="39" state="hidden" r:id="rId21"/>
    <sheet name="BESF Table 1" sheetId="48" r:id="rId22"/>
    <sheet name="lbpf 3-GO" sheetId="29" r:id="rId23"/>
    <sheet name="LBF3-GO AMENDED 11 02 2013" sheetId="320" state="hidden" r:id="rId24"/>
    <sheet name="GO- NEW APPROPRIATIONS" sheetId="275" state="hidden" r:id="rId25"/>
    <sheet name="staffing-GOV" sheetId="87" r:id="rId26"/>
    <sheet name="lbpf 5-BEPO" sheetId="135" state="hidden" r:id="rId27"/>
    <sheet name="Sheet5" sheetId="340" state="hidden" r:id="rId28"/>
    <sheet name="lbpf 3-BEPO" sheetId="3" r:id="rId29"/>
    <sheet name="BEPO- NEW APPROPRIATIONS" sheetId="235" state="hidden" r:id="rId30"/>
    <sheet name="staffing-bepo" sheetId="89" r:id="rId31"/>
    <sheet name="lbpf 5-BEMO" sheetId="288" state="hidden" r:id="rId32"/>
    <sheet name="lbpf 3-BEMO" sheetId="2" r:id="rId33"/>
    <sheet name="BEMO-NEW APPROPRIATION" sheetId="289" state="hidden" r:id="rId34"/>
    <sheet name="staffing-bemo" sheetId="90" r:id="rId35"/>
    <sheet name="lbpf 5-BIPC" sheetId="136" state="hidden" r:id="rId36"/>
    <sheet name="lbpf 3-BIPC" sheetId="4" r:id="rId37"/>
    <sheet name="BIPC - NEW APPROPIRATIONS" sheetId="254" state="hidden" r:id="rId38"/>
    <sheet name="staffing-bipc" sheetId="91" r:id="rId39"/>
    <sheet name="lbpf 4-BIPC" sheetId="172" state="hidden" r:id="rId40"/>
    <sheet name="lbpf 5-BTO" sheetId="154" state="hidden" r:id="rId41"/>
    <sheet name="lbpf 3-BTO" sheetId="33" r:id="rId42"/>
    <sheet name="Sheet4" sheetId="339" state="hidden" r:id="rId43"/>
    <sheet name="NEW APPROP.-BTO" sheetId="314" state="hidden" r:id="rId44"/>
    <sheet name="staffing-bto" sheetId="92" r:id="rId45"/>
    <sheet name="lbpf 5 -CCAD" sheetId="324" state="hidden" r:id="rId46"/>
    <sheet name="lbpf 3-CCAD" sheetId="8" r:id="rId47"/>
    <sheet name="CCAD- NEW APPROPIRATIONS" sheetId="277" state="hidden" r:id="rId48"/>
    <sheet name="staffing-CCAD" sheetId="318" r:id="rId49"/>
    <sheet name="lbpf 5-BCDS" sheetId="132" state="hidden" r:id="rId50"/>
    <sheet name="BCDS- NEW APPROPRIATIONS" sheetId="264" state="hidden" r:id="rId51"/>
    <sheet name="lbpf 5-BICTU" sheetId="241" state="hidden" r:id="rId52"/>
    <sheet name="lbpf 3-BICTU" sheetId="37" r:id="rId53"/>
    <sheet name="BICTU- NEW APPROPRIATIONS" sheetId="242" state="hidden" r:id="rId54"/>
    <sheet name="staffing-BICTU" sheetId="317" r:id="rId55"/>
    <sheet name="lbpf 3-EDCOM" sheetId="38" r:id="rId56"/>
    <sheet name="staffing-EDCOM" sheetId="330" r:id="rId57"/>
    <sheet name="lbpf 3-EDCENTER" sheetId="328" r:id="rId58"/>
    <sheet name="staffing-EDCENTER" sheetId="331" r:id="rId59"/>
    <sheet name="lbpf 5-BDJ" sheetId="133" state="hidden" r:id="rId60"/>
    <sheet name="lbpf 3-PEEMU" sheetId="335" r:id="rId61"/>
    <sheet name="staffing-PEEMU" sheetId="336" r:id="rId62"/>
    <sheet name="lbpf 3-PYDO" sheetId="342" r:id="rId63"/>
    <sheet name="staffing-PYDO" sheetId="343" r:id="rId64"/>
    <sheet name="lbpf 3-BDJ" sheetId="1" r:id="rId65"/>
    <sheet name="BDJ- NEW APPROPRIATIONS" sheetId="236" state="hidden" r:id="rId66"/>
    <sheet name="staffing-bdj" sheetId="93" r:id="rId67"/>
    <sheet name="lbpf 5(1)-SP" sheetId="292" state="hidden" r:id="rId68"/>
    <sheet name="lbpf 5(2)-SP" sheetId="293" state="hidden" r:id="rId69"/>
    <sheet name="lbpf 3-SP" sheetId="26" r:id="rId70"/>
    <sheet name="SP-NEW APPROPRIATION" sheetId="294" state="hidden" r:id="rId71"/>
    <sheet name="staffing-SP" sheetId="95" r:id="rId72"/>
    <sheet name="lbpf 5-LIB" sheetId="145" state="hidden" r:id="rId73"/>
    <sheet name="lbpf 3-LIB" sheetId="13" state="hidden" r:id="rId74"/>
    <sheet name="LIB- NEW APPROPRIATIONS" sheetId="245" state="hidden" r:id="rId75"/>
    <sheet name="staffing-lib" sheetId="94" state="hidden" r:id="rId76"/>
    <sheet name="lbpf 5-GO (2)" sheetId="319" state="hidden" r:id="rId77"/>
    <sheet name="lbpf 3-PADMO" sheetId="315" r:id="rId78"/>
    <sheet name="PA-NEW APPROPRIATION" sheetId="323" state="hidden" r:id="rId79"/>
    <sheet name="staffing-PA" sheetId="316" r:id="rId80"/>
    <sheet name="lbpf 5-HRMDO" sheetId="142" state="hidden" r:id="rId81"/>
    <sheet name="lbpf 3-PHRMD" sheetId="10" r:id="rId82"/>
    <sheet name="HRMDO- NEW APPROPRIATIONS" sheetId="238" state="hidden" r:id="rId83"/>
    <sheet name="staffing-hrmo" sheetId="96" r:id="rId84"/>
    <sheet name="lbpf 5-PPDO" sheetId="302" state="hidden" r:id="rId85"/>
    <sheet name="lbpf 3-PPDO" sheetId="24" r:id="rId86"/>
    <sheet name="PPDO-NEW APPROPRIATION" sheetId="303" state="hidden" r:id="rId87"/>
    <sheet name="staffing-ppdo" sheetId="97" r:id="rId88"/>
    <sheet name="lbpf 5-PGSO" sheetId="158" state="hidden" r:id="rId89"/>
    <sheet name="lbpf 3-GSO " sheetId="19" r:id="rId90"/>
    <sheet name="PGSO-NEW APPROPRIATION" sheetId="298" state="hidden" r:id="rId91"/>
    <sheet name="staffing-pgso" sheetId="98" r:id="rId92"/>
    <sheet name="lbpf 5-PBMO" sheetId="160" state="hidden" r:id="rId93"/>
    <sheet name="lbpf 3-PBMO" sheetId="30" r:id="rId94"/>
    <sheet name="PBMO- NEW APPROPRIATIONS" sheetId="230" state="hidden" r:id="rId95"/>
    <sheet name="staffing-pbmo" sheetId="99" r:id="rId96"/>
    <sheet name="lbpf 5-PACCO" sheetId="161" state="hidden" r:id="rId97"/>
    <sheet name="lbpf 3-PAccO" sheetId="31" r:id="rId98"/>
    <sheet name="PACCO- NEW APPROPRIATIONS" sheetId="261" state="hidden" r:id="rId99"/>
    <sheet name="lbpf 5-PTO" sheetId="258" state="hidden" r:id="rId100"/>
    <sheet name="staffing-pacco" sheetId="100" r:id="rId101"/>
    <sheet name="lbpf 3-PTO" sheetId="25" r:id="rId102"/>
    <sheet name="PTO- NEW APPROPRIATIONS" sheetId="262" state="hidden" r:id="rId103"/>
    <sheet name="staffing-pto" sheetId="102" r:id="rId104"/>
    <sheet name="lbpf 5-PAssO" sheetId="163" state="hidden" r:id="rId105"/>
    <sheet name="PASSO- NEW APPROPRIATIONS" sheetId="252" state="hidden" r:id="rId106"/>
    <sheet name="lbpf 5-PIAO" sheetId="299" state="hidden" r:id="rId107"/>
    <sheet name="lbpf 3-PAssO" sheetId="18" r:id="rId108"/>
    <sheet name="staffing-passo" sheetId="101" r:id="rId109"/>
    <sheet name="PIAO- NEW APPROPRIATIONS" sheetId="278" state="hidden" r:id="rId110"/>
    <sheet name="lbpf 3-PIAO" sheetId="21" r:id="rId111"/>
    <sheet name="staffing-PIAO" sheetId="88" r:id="rId112"/>
    <sheet name="lbpf 5-PLO" sheetId="290" state="hidden" r:id="rId113"/>
    <sheet name="lbpf 3-LEGAL" sheetId="23" r:id="rId114"/>
    <sheet name="PLO-NEW APPROPRIATION" sheetId="291" state="hidden" r:id="rId115"/>
    <sheet name="staffing-legal" sheetId="103" r:id="rId116"/>
    <sheet name="lbpf 5-PHO" sheetId="165" state="hidden" r:id="rId117"/>
    <sheet name="lbpf 3-PDRRMO" sheetId="329" r:id="rId118"/>
    <sheet name="Sheet3" sheetId="338" state="hidden" r:id="rId119"/>
    <sheet name="staffing-PDRRMO" sheetId="332" r:id="rId120"/>
    <sheet name="lbpf 3-PHO" sheetId="20" r:id="rId121"/>
    <sheet name="PHO- NEW APPROPRIATIONS" sheetId="231" state="hidden" r:id="rId122"/>
    <sheet name="staffing-pho" sheetId="104" r:id="rId123"/>
    <sheet name="lbpf 5-HTALIBON" sheetId="304" state="hidden" r:id="rId124"/>
    <sheet name="lbpf 3-HTALIBON" sheetId="32" r:id="rId125"/>
    <sheet name="TALIBON-NEW APPROPRIATION" sheetId="305" state="hidden" r:id="rId126"/>
    <sheet name="staffing-TAL" sheetId="105" r:id="rId127"/>
    <sheet name="lbpf 5-CARMEN" sheetId="300" state="hidden" r:id="rId128"/>
    <sheet name="lbpf 3-HCARMEN" sheetId="6" r:id="rId129"/>
    <sheet name="CARMEN -NEW APPROPRIATION" sheetId="301" state="hidden" r:id="rId130"/>
    <sheet name="staffing-carmen" sheetId="106" r:id="rId131"/>
    <sheet name="lbpf 5-JAGNA" sheetId="144" state="hidden" r:id="rId132"/>
    <sheet name="lbpf 3-HJAGNA" sheetId="12" r:id="rId133"/>
    <sheet name="JAGNA- NEW APPROPRIATIONS" sheetId="251" state="hidden" r:id="rId134"/>
    <sheet name="staffing-jagna" sheetId="107" r:id="rId135"/>
    <sheet name="lbpf 5-LOON" sheetId="146" state="hidden" r:id="rId136"/>
    <sheet name="lbpf 3-HLOON" sheetId="14" r:id="rId137"/>
    <sheet name="LOON- NEW APPROPRIATIONS" sheetId="246" state="hidden" r:id="rId138"/>
    <sheet name="staffing-loon" sheetId="108" r:id="rId139"/>
    <sheet name="lbp 5-CATIGBIAN" sheetId="296" state="hidden" r:id="rId140"/>
    <sheet name="lbpf 3-HCATIGBIAN" sheetId="7" r:id="rId141"/>
    <sheet name="CATIGBIAN-NEW APPRO." sheetId="297" state="hidden" r:id="rId142"/>
    <sheet name="staffing-catig" sheetId="109" r:id="rId143"/>
    <sheet name="lbpf 5-CLARIN" sheetId="312" state="hidden" r:id="rId144"/>
    <sheet name="lbpf 3-HCLARIN" sheetId="9" r:id="rId145"/>
    <sheet name="NEW APPROP.-CLARIN" sheetId="313" state="hidden" r:id="rId146"/>
    <sheet name="staffing-clarin" sheetId="111" r:id="rId147"/>
    <sheet name="lbpf 5-CANDIJAY" sheetId="137" state="hidden" r:id="rId148"/>
    <sheet name="lbpf 3-HCANDIJAY" sheetId="5" r:id="rId149"/>
    <sheet name="CANDIJAY- NEW APPROPRIATION" sheetId="247" state="hidden" r:id="rId150"/>
    <sheet name="staffing-candijay" sheetId="110" r:id="rId151"/>
    <sheet name="lbpf 5-MARIBOJOC" sheetId="284" state="hidden" r:id="rId152"/>
    <sheet name="lbpf 3-HMARIBOJOC" sheetId="15" r:id="rId153"/>
    <sheet name="MARIBOJOC -NEW APPROP." sheetId="285" state="hidden" r:id="rId154"/>
    <sheet name="staffing-mari" sheetId="112" r:id="rId155"/>
    <sheet name="lbpf 5-HINABANGA" sheetId="306" state="hidden" r:id="rId156"/>
    <sheet name="lbpf 3-HINABANGA " sheetId="11" r:id="rId157"/>
    <sheet name="INABANGA-NEW APPROPRIATION" sheetId="307" state="hidden" r:id="rId158"/>
    <sheet name="staffing-Inabanga" sheetId="113" r:id="rId159"/>
    <sheet name="lbpf 5-PGARCIA" sheetId="167" state="hidden" r:id="rId160"/>
    <sheet name="lbpf 3-HPGARCIA " sheetId="22" r:id="rId161"/>
    <sheet name="PGARCIA -NEW APPROPRIATION" sheetId="249" state="hidden" r:id="rId162"/>
    <sheet name="staffing-pitogo" sheetId="114" r:id="rId163"/>
    <sheet name="lbpf 5-OPSWD" sheetId="295" state="hidden" r:id="rId164"/>
    <sheet name="OPSWD- NEW APPROPRIATIONS" sheetId="279" state="hidden" r:id="rId165"/>
    <sheet name="lbpf 3-PSWD" sheetId="28" r:id="rId166"/>
    <sheet name="staffing-opswd" sheetId="115" r:id="rId167"/>
    <sheet name="lbpf 5 (1)-OPA" sheetId="151" state="hidden" r:id="rId168"/>
    <sheet name="lbpf 3-OPA" sheetId="34" r:id="rId169"/>
    <sheet name="OPA- NEW APPROPRIATIONS" sheetId="240" state="hidden" r:id="rId170"/>
    <sheet name="staffing-agri" sheetId="116" r:id="rId171"/>
    <sheet name="lbpf 5-VET" sheetId="286" state="hidden" r:id="rId172"/>
    <sheet name="lbpf 3-VET" sheetId="17" r:id="rId173"/>
    <sheet name="VET-New Approp. by Program" sheetId="287" state="hidden" r:id="rId174"/>
    <sheet name="staffing-vet" sheetId="117" r:id="rId175"/>
    <sheet name="lbpf 5-PEO" sheetId="168" state="hidden" r:id="rId176"/>
    <sheet name="lbpf 3-PEO" sheetId="35" r:id="rId177"/>
    <sheet name="Sheet6" sheetId="341" state="hidden" r:id="rId178"/>
    <sheet name="PEO- NEW APPROPRIATIONS" sheetId="280" state="hidden" r:id="rId179"/>
    <sheet name="staffing-PEO" sheetId="118" r:id="rId180"/>
    <sheet name="lbpf 5-MOTORPOOL" sheetId="308" state="hidden" r:id="rId181"/>
    <sheet name="lbpf 3-MOTORPOOL" sheetId="16" r:id="rId182"/>
    <sheet name="Sheet2" sheetId="337" state="hidden" r:id="rId183"/>
    <sheet name="M.POOL-NEW APPROPRIATION" sheetId="309" state="hidden" r:id="rId184"/>
    <sheet name="staffing-mpool" sheetId="119" r:id="rId185"/>
    <sheet name="WS-PS ACTUAL JUNE 2018" sheetId="265" state="hidden" r:id="rId186"/>
    <sheet name="WS-MOOE ACTUAL JUNE 2018" sheetId="266" state="hidden" r:id="rId187"/>
    <sheet name="ACTUAL KAGAWAD JUNE 2018" sheetId="267" state="hidden" r:id="rId188"/>
    <sheet name="WS-CO ACTUAL JUNE 2018" sheetId="46" state="hidden" r:id="rId189"/>
    <sheet name="lbpf 4-MOTORPOOL" sheetId="201" state="hidden" r:id="rId190"/>
    <sheet name="nonoff " sheetId="229" r:id="rId191"/>
    <sheet name="summary" sheetId="27" r:id="rId192"/>
    <sheet name="PART 3 &amp; 4" sheetId="217" r:id="rId193"/>
    <sheet name="WORKSHEET MATRIX" sheetId="325" state="hidden" r:id="rId194"/>
    <sheet name="WS-PS 2017" sheetId="226" state="hidden" r:id="rId195"/>
    <sheet name="WS-MOOE 2017" sheetId="225" state="hidden" r:id="rId196"/>
    <sheet name="ACTUAL KAGAWAD 2017" sheetId="228" state="hidden" r:id="rId197"/>
    <sheet name="WS-CO 2017" sheetId="227" state="hidden" r:id="rId198"/>
    <sheet name="national agencies" sheetId="334" state="hidden" r:id="rId199"/>
    <sheet name="BESF Form 2" sheetId="49" state="hidden" r:id="rId200"/>
    <sheet name="BESF Form 3" sheetId="50" state="hidden" r:id="rId201"/>
    <sheet name="STAFFING SUMMARY" sheetId="51" r:id="rId202"/>
    <sheet name="BESF Form 5" sheetId="52" state="hidden" r:id="rId203"/>
    <sheet name="LBPF No. 5" sheetId="53" r:id="rId204"/>
    <sheet name="WS 2014- STAFFING" sheetId="272" state="hidden" r:id="rId205"/>
    <sheet name="LBPF 6" sheetId="212" r:id="rId206"/>
    <sheet name="LBPF 7" sheetId="213" r:id="rId207"/>
    <sheet name="2010 actual-MOOE" sheetId="42" state="hidden" r:id="rId208"/>
    <sheet name="2010 actual-PS" sheetId="43" state="hidden" r:id="rId209"/>
    <sheet name="comparative budget" sheetId="208" state="hidden" r:id="rId210"/>
    <sheet name="consol budget" sheetId="203" state="hidden" r:id="rId211"/>
    <sheet name="BY SECTOR" sheetId="207" state="hidden" r:id="rId212"/>
    <sheet name="personal services" sheetId="206" state="hidden" r:id="rId213"/>
    <sheet name="MOOE" sheetId="205" state="hidden" r:id="rId214"/>
    <sheet name="CAP-OUTLAY" sheetId="204" state="hidden" r:id="rId215"/>
    <sheet name="lbr 1a" sheetId="123" state="hidden" r:id="rId216"/>
    <sheet name="SCRAP &amp; BUILD" sheetId="345" state="hidden" r:id="rId217"/>
    <sheet name="2019 ps worksheet" sheetId="214" r:id="rId218"/>
    <sheet name="2019 MOOE" sheetId="215" r:id="rId219"/>
    <sheet name="2019- CO" sheetId="130" r:id="rId220"/>
    <sheet name="2019- STAFFING" sheetId="202" r:id="rId221"/>
    <sheet name="Sheet1" sheetId="224" state="hidden" r:id="rId222"/>
    <sheet name="ACTUAL PS JUNE 2011" sheetId="45" state="hidden" r:id="rId223"/>
    <sheet name="2011MOOE actual june" sheetId="47" state="hidden" r:id="rId224"/>
    <sheet name="2010co" sheetId="44" state="hidden" r:id="rId225"/>
    <sheet name="PERSONNEL TRANSFER" sheetId="333" state="hidden" r:id="rId226"/>
  </sheets>
  <externalReferences>
    <externalReference r:id="rId227"/>
  </externalReferences>
  <definedNames>
    <definedName name="_CCAD" localSheetId="57" hidden="1">#REF!</definedName>
    <definedName name="_CCAD" localSheetId="117" hidden="1">#REF!</definedName>
    <definedName name="_CCAD" localSheetId="60" hidden="1">#REF!</definedName>
    <definedName name="_CCAD" localSheetId="62" hidden="1">#REF!</definedName>
    <definedName name="_CCAD" localSheetId="19" hidden="1">#REF!</definedName>
    <definedName name="_CCAD" localSheetId="18" hidden="1">#REF!</definedName>
    <definedName name="_CCAD" localSheetId="76" hidden="1">#REF!</definedName>
    <definedName name="_CCAD" localSheetId="78" hidden="1">#REF!</definedName>
    <definedName name="_CCAD" localSheetId="58" hidden="1">#REF!</definedName>
    <definedName name="_CCAD" localSheetId="56" hidden="1">#REF!</definedName>
    <definedName name="_CCAD" localSheetId="119" hidden="1">#REF!</definedName>
    <definedName name="_CCAD" localSheetId="61" hidden="1">#REF!</definedName>
    <definedName name="_CCAD" localSheetId="63" hidden="1">#REF!</definedName>
    <definedName name="_CCAD" hidden="1">#REF!</definedName>
    <definedName name="_Fill" localSheetId="219" hidden="1">#REF!</definedName>
    <definedName name="_Fill" localSheetId="218" hidden="1">#REF!</definedName>
    <definedName name="_Fill" localSheetId="217" hidden="1">#REF!</definedName>
    <definedName name="_Fill" localSheetId="220" hidden="1">#REF!</definedName>
    <definedName name="_Fill" localSheetId="187" hidden="1">#REF!</definedName>
    <definedName name="_Fill" localSheetId="65" hidden="1">#REF!</definedName>
    <definedName name="_Fill" localSheetId="33" hidden="1">#REF!</definedName>
    <definedName name="_Fill" localSheetId="29" hidden="1">#REF!</definedName>
    <definedName name="_Fill" localSheetId="199" hidden="1">#REF!</definedName>
    <definedName name="_Fill" localSheetId="200" hidden="1">#REF!</definedName>
    <definedName name="_Fill" localSheetId="202" hidden="1">#REF!</definedName>
    <definedName name="_Fill" localSheetId="21" hidden="1">#REF!</definedName>
    <definedName name="_Fill" localSheetId="53" hidden="1">#REF!</definedName>
    <definedName name="_Fill" localSheetId="211" hidden="1">#REF!</definedName>
    <definedName name="_Fill" localSheetId="149" hidden="1">#REF!</definedName>
    <definedName name="_Fill" localSheetId="214" hidden="1">#REF!</definedName>
    <definedName name="_Fill" localSheetId="47" hidden="1">#REF!</definedName>
    <definedName name="_Fill" localSheetId="209" hidden="1">#REF!</definedName>
    <definedName name="_Fill" localSheetId="210" hidden="1">#REF!</definedName>
    <definedName name="_Fill" localSheetId="24" hidden="1">#REF!</definedName>
    <definedName name="_Fill" localSheetId="82" hidden="1">#REF!</definedName>
    <definedName name="_Fill" localSheetId="133" hidden="1">#REF!</definedName>
    <definedName name="_Fill" localSheetId="5" hidden="1">#REF!</definedName>
    <definedName name="_Fill" localSheetId="64" hidden="1">#REF!</definedName>
    <definedName name="_Fill" localSheetId="32" hidden="1">#REF!</definedName>
    <definedName name="_Fill" localSheetId="28" hidden="1">#REF!</definedName>
    <definedName name="_Fill" localSheetId="52" hidden="1">#REF!</definedName>
    <definedName name="_Fill" localSheetId="36" hidden="1">#REF!</definedName>
    <definedName name="_Fill" localSheetId="41" hidden="1">#REF!</definedName>
    <definedName name="_Fill" localSheetId="46" hidden="1">#REF!</definedName>
    <definedName name="_Fill" localSheetId="10" hidden="1">#REF!</definedName>
    <definedName name="_Fill" localSheetId="8" hidden="1">#REF!</definedName>
    <definedName name="_Fill" localSheetId="57" hidden="1">#REF!</definedName>
    <definedName name="_Fill" localSheetId="55" hidden="1">#REF!</definedName>
    <definedName name="_Fill" localSheetId="22" hidden="1">#REF!</definedName>
    <definedName name="_Fill" localSheetId="89" hidden="1">#REF!</definedName>
    <definedName name="_Fill" localSheetId="148" hidden="1">#REF!</definedName>
    <definedName name="_Fill" localSheetId="128" hidden="1">#REF!</definedName>
    <definedName name="_Fill" localSheetId="140" hidden="1">#REF!</definedName>
    <definedName name="_Fill" localSheetId="144" hidden="1">#REF!</definedName>
    <definedName name="_Fill" localSheetId="156" hidden="1">#REF!</definedName>
    <definedName name="_Fill" localSheetId="132" hidden="1">#REF!</definedName>
    <definedName name="_Fill" localSheetId="136" hidden="1">#REF!</definedName>
    <definedName name="_Fill" localSheetId="152" hidden="1">#REF!</definedName>
    <definedName name="_Fill" localSheetId="160" hidden="1">#REF!</definedName>
    <definedName name="_Fill" localSheetId="124" hidden="1">#REF!</definedName>
    <definedName name="_Fill" localSheetId="113" hidden="1">#REF!</definedName>
    <definedName name="_Fill" localSheetId="73" hidden="1">#REF!</definedName>
    <definedName name="_Fill" localSheetId="181" hidden="1">#REF!</definedName>
    <definedName name="_Fill" localSheetId="6" hidden="1">#REF!</definedName>
    <definedName name="_Fill" localSheetId="168" hidden="1">#REF!</definedName>
    <definedName name="_Fill" localSheetId="97" hidden="1">#REF!</definedName>
    <definedName name="_Fill" localSheetId="77" hidden="1">#REF!</definedName>
    <definedName name="_Fill" localSheetId="107" hidden="1">#REF!</definedName>
    <definedName name="_Fill" localSheetId="93" hidden="1">#REF!</definedName>
    <definedName name="_Fill" localSheetId="117" hidden="1">#REF!</definedName>
    <definedName name="_Fill" localSheetId="60" hidden="1">#REF!</definedName>
    <definedName name="_Fill" localSheetId="176" hidden="1">#REF!</definedName>
    <definedName name="_Fill" localSheetId="120" hidden="1">#REF!</definedName>
    <definedName name="_Fill" localSheetId="81" hidden="1">#REF!</definedName>
    <definedName name="_Fill" localSheetId="110" hidden="1">#REF!</definedName>
    <definedName name="_Fill" localSheetId="85" hidden="1">#REF!</definedName>
    <definedName name="_Fill" localSheetId="165" hidden="1">#REF!</definedName>
    <definedName name="_Fill" localSheetId="101" hidden="1">#REF!</definedName>
    <definedName name="_Fill" localSheetId="62" hidden="1">#REF!</definedName>
    <definedName name="_Fill" localSheetId="7" hidden="1">#REF!</definedName>
    <definedName name="_Fill" localSheetId="9" hidden="1">#REF!</definedName>
    <definedName name="_Fill" localSheetId="69" hidden="1">#REF!</definedName>
    <definedName name="_Fill" localSheetId="172" hidden="1">#REF!</definedName>
    <definedName name="_Fill" localSheetId="167" hidden="1">#REF!</definedName>
    <definedName name="_Fill" localSheetId="67" hidden="1">#REF!</definedName>
    <definedName name="_Fill" localSheetId="19" hidden="1">#REF!</definedName>
    <definedName name="_Fill" localSheetId="68" hidden="1">#REF!</definedName>
    <definedName name="_Fill" localSheetId="49" hidden="1">#REF!</definedName>
    <definedName name="_Fill" localSheetId="59" hidden="1">#REF!</definedName>
    <definedName name="_Fill" localSheetId="31" hidden="1">#REF!</definedName>
    <definedName name="_Fill" localSheetId="26" hidden="1">#REF!</definedName>
    <definedName name="_Fill" localSheetId="35" hidden="1">#REF!</definedName>
    <definedName name="_Fill" localSheetId="40" hidden="1">#REF!</definedName>
    <definedName name="_Fill" localSheetId="147" hidden="1">#REF!</definedName>
    <definedName name="_Fill" localSheetId="76" hidden="1">#REF!</definedName>
    <definedName name="_Fill" localSheetId="80" hidden="1">#REF!</definedName>
    <definedName name="_Fill" localSheetId="131" hidden="1">#REF!</definedName>
    <definedName name="_Fill" localSheetId="72" hidden="1">#REF!</definedName>
    <definedName name="_Fill" localSheetId="135" hidden="1">#REF!</definedName>
    <definedName name="_Fill" localSheetId="96" hidden="1">#REF!</definedName>
    <definedName name="_Fill" localSheetId="104" hidden="1">#REF!</definedName>
    <definedName name="_Fill" localSheetId="92" hidden="1">#REF!</definedName>
    <definedName name="_Fill" localSheetId="175" hidden="1">#REF!</definedName>
    <definedName name="_Fill" localSheetId="159" hidden="1">#REF!</definedName>
    <definedName name="_Fill" localSheetId="88" hidden="1">#REF!</definedName>
    <definedName name="_Fill" localSheetId="116" hidden="1">#REF!</definedName>
    <definedName name="_Fill" localSheetId="206" hidden="1">#REF!</definedName>
    <definedName name="_Fill" localSheetId="203" hidden="1">#REF!</definedName>
    <definedName name="_Fill" localSheetId="215"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2" hidden="1">#REF!</definedName>
    <definedName name="_Fill" localSheetId="3" hidden="1">#REF!</definedName>
    <definedName name="_Fill" localSheetId="4" hidden="1">#REF!</definedName>
    <definedName name="_Fill" localSheetId="74" hidden="1">#REF!</definedName>
    <definedName name="_Fill" localSheetId="137" hidden="1">#REF!</definedName>
    <definedName name="_Fill" localSheetId="213" hidden="1">#REF!</definedName>
    <definedName name="_Fill" localSheetId="190" hidden="1">#REF!</definedName>
    <definedName name="_Fill" localSheetId="169" hidden="1">#REF!</definedName>
    <definedName name="_Fill" localSheetId="164" hidden="1">#REF!</definedName>
    <definedName name="_Fill" localSheetId="98" hidden="1">#REF!</definedName>
    <definedName name="_Fill" localSheetId="192" hidden="1">#REF!</definedName>
    <definedName name="_Fill" localSheetId="105" hidden="1">#REF!</definedName>
    <definedName name="_Fill" localSheetId="178" hidden="1">#REF!</definedName>
    <definedName name="_Fill" localSheetId="212" hidden="1">#REF!</definedName>
    <definedName name="_Fill" localSheetId="161" hidden="1">#REF!</definedName>
    <definedName name="_Fill" localSheetId="121" hidden="1">#REF!</definedName>
    <definedName name="_Fill" localSheetId="109" hidden="1">#REF!</definedName>
    <definedName name="_Fill" localSheetId="102" hidden="1">#REF!</definedName>
    <definedName name="_Fill" localSheetId="15" hidden="1">#REF!</definedName>
    <definedName name="_Fill" localSheetId="216" hidden="1">#REF!</definedName>
    <definedName name="_Fill" localSheetId="201" hidden="1">#REF!</definedName>
    <definedName name="_Fill" localSheetId="54" hidden="1">#REF!</definedName>
    <definedName name="_Fill" localSheetId="48" hidden="1">#REF!</definedName>
    <definedName name="_Fill" localSheetId="58" hidden="1">#REF!</definedName>
    <definedName name="_Fill" localSheetId="56" hidden="1">#REF!</definedName>
    <definedName name="_Fill" localSheetId="79" hidden="1">#REF!</definedName>
    <definedName name="_Fill" localSheetId="119" hidden="1">#REF!</definedName>
    <definedName name="_Fill" localSheetId="61" hidden="1">#REF!</definedName>
    <definedName name="_Fill" localSheetId="63" hidden="1">#REF!</definedName>
    <definedName name="_Fill" localSheetId="16" hidden="1">#REF!</definedName>
    <definedName name="_Fill" localSheetId="191" hidden="1">#REF!</definedName>
    <definedName name="_Fill" localSheetId="204" hidden="1">#REF!</definedName>
    <definedName name="_Fill" localSheetId="186" hidden="1">#REF!</definedName>
    <definedName name="_Fill" localSheetId="185" hidden="1">#REF!</definedName>
    <definedName name="_Fill" hidden="1">#REF!</definedName>
    <definedName name="_xlnm._FilterDatabase" localSheetId="190" hidden="1">'nonoff '!$A$14:$K$23</definedName>
    <definedName name="_GoBack" localSheetId="18">'lbpf 5-GO'!$A$26</definedName>
    <definedName name="_GoBack" localSheetId="76">'lbpf 5-GO (2)'!$A$27</definedName>
    <definedName name="_Order1" hidden="1">255</definedName>
    <definedName name="_SP2" localSheetId="63" hidden="1">#REF!</definedName>
    <definedName name="_SP2" hidden="1">#REF!</definedName>
    <definedName name="FullName_1" localSheetId="8">#REF!</definedName>
    <definedName name="FullName_1" localSheetId="57">#REF!</definedName>
    <definedName name="FullName_1" localSheetId="77">#REF!</definedName>
    <definedName name="FullName_1" localSheetId="117">#REF!</definedName>
    <definedName name="FullName_1" localSheetId="60">#REF!</definedName>
    <definedName name="FullName_1" localSheetId="62">#REF!</definedName>
    <definedName name="FullName_1" localSheetId="9">#REF!</definedName>
    <definedName name="FullName_1" localSheetId="19">#REF!</definedName>
    <definedName name="FullName_1" localSheetId="18">#REF!</definedName>
    <definedName name="FullName_1" localSheetId="76">#REF!</definedName>
    <definedName name="FullName_1" localSheetId="54">#REF!</definedName>
    <definedName name="FullName_1" localSheetId="48">#REF!</definedName>
    <definedName name="FullName_1" localSheetId="58">#REF!</definedName>
    <definedName name="FullName_1" localSheetId="56">#REF!</definedName>
    <definedName name="FullName_1" localSheetId="79">#REF!</definedName>
    <definedName name="FullName_1" localSheetId="119">#REF!</definedName>
    <definedName name="FullName_1" localSheetId="61">#REF!</definedName>
    <definedName name="FullName_1" localSheetId="63">#REF!</definedName>
    <definedName name="FullName_1">#REF!</definedName>
    <definedName name="PDDRMO" localSheetId="60" hidden="1">#REF!</definedName>
    <definedName name="PDDRMO" localSheetId="62" hidden="1">#REF!</definedName>
    <definedName name="PDDRMO" localSheetId="58" hidden="1">#REF!</definedName>
    <definedName name="PDDRMO" localSheetId="56" hidden="1">#REF!</definedName>
    <definedName name="PDDRMO" localSheetId="119" hidden="1">#REF!</definedName>
    <definedName name="PDDRMO" localSheetId="61" hidden="1">#REF!</definedName>
    <definedName name="PDDRMO" localSheetId="63" hidden="1">#REF!</definedName>
    <definedName name="PDDRMO" hidden="1">#REF!</definedName>
    <definedName name="_xlnm.Print_Area" localSheetId="211">'BY SECTOR'!$A$1:$F$39</definedName>
    <definedName name="_xlnm.Print_Area" localSheetId="212">'personal services'!$A$1:$J$37</definedName>
    <definedName name="_xlnm.Print_Area" localSheetId="16">'STATEMENT OF RECEIPTS'!$M$15:$O$30</definedName>
    <definedName name="_xlnm.Print_Titles" localSheetId="218">'2019 MOOE'!$A:$A</definedName>
    <definedName name="_xlnm.Print_Titles" localSheetId="217">'2019 ps worksheet'!$A:$A</definedName>
    <definedName name="_xlnm.Print_Titles" localSheetId="220">'2019- STAFFING'!$A:$A</definedName>
    <definedName name="_xlnm.Print_Titles" localSheetId="187">'ACTUAL KAGAWAD JUNE 2018'!$A:$A</definedName>
    <definedName name="_xlnm.Print_Titles" localSheetId="68">'lbpf 5(2)-SP'!$3:$5</definedName>
    <definedName name="_xlnm.Print_Titles" localSheetId="49">'lbpf 5-BCDS'!#REF!</definedName>
    <definedName name="_xlnm.Print_Titles" localSheetId="59">'lbpf 5-BDJ'!$26:$28</definedName>
    <definedName name="_xlnm.Print_Titles" localSheetId="35">'lbpf 5-BIPC'!#REF!</definedName>
    <definedName name="_xlnm.Print_Titles" localSheetId="40">'lbpf 5-BTO'!#REF!</definedName>
    <definedName name="_xlnm.Print_Titles" localSheetId="163">'lbpf 5-OPSWD'!$23:$25</definedName>
    <definedName name="_xlnm.Print_Titles" localSheetId="92">'lbpf 5-PBMO'!$56:$57</definedName>
    <definedName name="_xlnm.Print_Titles" localSheetId="216">'SCRAP &amp; BUILD'!$2:$4</definedName>
    <definedName name="_xlnm.Print_Titles" localSheetId="87">'staffing-ppdo'!$5:$6</definedName>
    <definedName name="_xlnm.Print_Titles" localSheetId="126">'staffing-TAL'!$2:$3</definedName>
    <definedName name="_xlnm.Print_Titles" localSheetId="204">'WS 2014- STAFFING'!$A:$A</definedName>
    <definedName name="_xlnm.Print_Titles" localSheetId="195">'WS-MOOE 2017'!$A:$A,'WS-MOOE 2017'!$1:$1</definedName>
    <definedName name="_xlnm.Print_Titles" localSheetId="186">'WS-MOOE ACTUAL JUNE 2018'!$A:$A</definedName>
    <definedName name="_xlnm.Print_Titles" localSheetId="194">'WS-PS 2017'!$A:$A</definedName>
    <definedName name="_xlnm.Print_Titles" localSheetId="185">'WS-PS ACTUAL JUNE 2018'!$A:$A</definedName>
    <definedName name="q" localSheetId="218" hidden="1">#REF!</definedName>
    <definedName name="q" localSheetId="217" hidden="1">#REF!</definedName>
    <definedName name="q" localSheetId="187" hidden="1">#REF!</definedName>
    <definedName name="q" localSheetId="65" hidden="1">#REF!</definedName>
    <definedName name="q" localSheetId="29" hidden="1">#REF!</definedName>
    <definedName name="q" localSheetId="53" hidden="1">#REF!</definedName>
    <definedName name="q" localSheetId="149" hidden="1">#REF!</definedName>
    <definedName name="q" localSheetId="47" hidden="1">#REF!</definedName>
    <definedName name="q" localSheetId="24" hidden="1">#REF!</definedName>
    <definedName name="q" localSheetId="82" hidden="1">#REF!</definedName>
    <definedName name="q" localSheetId="133" hidden="1">#REF!</definedName>
    <definedName name="q" localSheetId="5" hidden="1">#REF!</definedName>
    <definedName name="q" localSheetId="52" hidden="1">#REF!</definedName>
    <definedName name="q" localSheetId="10" hidden="1">#REF!</definedName>
    <definedName name="q" localSheetId="8" hidden="1">#REF!</definedName>
    <definedName name="q" localSheetId="57" hidden="1">#REF!</definedName>
    <definedName name="q" localSheetId="6" hidden="1">#REF!</definedName>
    <definedName name="q" localSheetId="77" hidden="1">#REF!</definedName>
    <definedName name="q" localSheetId="117" hidden="1">#REF!</definedName>
    <definedName name="q" localSheetId="60" hidden="1">#REF!</definedName>
    <definedName name="q" localSheetId="62" hidden="1">#REF!</definedName>
    <definedName name="q" localSheetId="7" hidden="1">#REF!</definedName>
    <definedName name="q" localSheetId="9" hidden="1">#REF!</definedName>
    <definedName name="q" localSheetId="167" hidden="1">#REF!</definedName>
    <definedName name="q" localSheetId="40" hidden="1">#REF!</definedName>
    <definedName name="q" localSheetId="76" hidden="1">#REF!</definedName>
    <definedName name="q" localSheetId="96" hidden="1">#REF!</definedName>
    <definedName name="q" localSheetId="92" hidden="1">#REF!</definedName>
    <definedName name="q" localSheetId="175" hidden="1">#REF!</definedName>
    <definedName name="q" localSheetId="206" hidden="1">#REF!</definedName>
    <definedName name="q" localSheetId="74" hidden="1">#REF!</definedName>
    <definedName name="q" localSheetId="137" hidden="1">#REF!</definedName>
    <definedName name="q" localSheetId="190" hidden="1">#REF!</definedName>
    <definedName name="q" localSheetId="169" hidden="1">#REF!</definedName>
    <definedName name="q" localSheetId="164" hidden="1">#REF!</definedName>
    <definedName name="q" localSheetId="98" hidden="1">#REF!</definedName>
    <definedName name="q" localSheetId="105" hidden="1">#REF!</definedName>
    <definedName name="q" localSheetId="178" hidden="1">#REF!</definedName>
    <definedName name="q" localSheetId="161" hidden="1">#REF!</definedName>
    <definedName name="q" localSheetId="121" hidden="1">#REF!</definedName>
    <definedName name="q" localSheetId="109" hidden="1">#REF!</definedName>
    <definedName name="q" localSheetId="102" hidden="1">#REF!</definedName>
    <definedName name="q" localSheetId="216" hidden="1">#REF!</definedName>
    <definedName name="q" localSheetId="54" hidden="1">#REF!</definedName>
    <definedName name="q" localSheetId="48" hidden="1">#REF!</definedName>
    <definedName name="q" localSheetId="58" hidden="1">#REF!</definedName>
    <definedName name="q" localSheetId="56" hidden="1">#REF!</definedName>
    <definedName name="q" localSheetId="79" hidden="1">#REF!</definedName>
    <definedName name="q" localSheetId="119" hidden="1">#REF!</definedName>
    <definedName name="q" localSheetId="61" hidden="1">#REF!</definedName>
    <definedName name="q" localSheetId="63" hidden="1">#REF!</definedName>
    <definedName name="q" localSheetId="186" hidden="1">#REF!</definedName>
    <definedName name="q" localSheetId="185" hidden="1">#REF!</definedName>
    <definedName name="q" hidden="1">#REF!</definedName>
    <definedName name="SP" localSheetId="8" hidden="1">#REF!</definedName>
    <definedName name="SP" localSheetId="57" hidden="1">#REF!</definedName>
    <definedName name="SP" localSheetId="77" hidden="1">#REF!</definedName>
    <definedName name="SP" localSheetId="117" hidden="1">#REF!</definedName>
    <definedName name="SP" localSheetId="60" hidden="1">#REF!</definedName>
    <definedName name="SP" localSheetId="62" hidden="1">#REF!</definedName>
    <definedName name="SP" localSheetId="9" hidden="1">#REF!</definedName>
    <definedName name="SP" localSheetId="76" hidden="1">#REF!</definedName>
    <definedName name="SP" localSheetId="54" hidden="1">#REF!</definedName>
    <definedName name="SP" localSheetId="48" hidden="1">#REF!</definedName>
    <definedName name="SP" localSheetId="58" hidden="1">#REF!</definedName>
    <definedName name="SP" localSheetId="56" hidden="1">#REF!</definedName>
    <definedName name="SP" localSheetId="79" hidden="1">#REF!</definedName>
    <definedName name="SP" localSheetId="119" hidden="1">#REF!</definedName>
    <definedName name="SP" localSheetId="61" hidden="1">#REF!</definedName>
    <definedName name="SP" localSheetId="63" hidden="1">#REF!</definedName>
    <definedName name="SP" hidden="1">#REF!</definedName>
  </definedNames>
  <calcPr calcId="124519"/>
</workbook>
</file>

<file path=xl/calcChain.xml><?xml version="1.0" encoding="utf-8"?>
<calcChain xmlns="http://schemas.openxmlformats.org/spreadsheetml/2006/main">
  <c r="B80" i="98"/>
  <c r="H54"/>
  <c r="G42"/>
  <c r="G47" i="332"/>
  <c r="G48" s="1"/>
  <c r="F48"/>
  <c r="E48"/>
  <c r="B48"/>
  <c r="J16" i="331" l="1"/>
  <c r="J21"/>
  <c r="I16"/>
  <c r="I21"/>
  <c r="G33" i="330"/>
  <c r="G35" s="1"/>
  <c r="F85" i="105" l="1"/>
  <c r="J99" i="16" l="1"/>
  <c r="F40" i="316" l="1"/>
  <c r="J49" i="317"/>
  <c r="J35" i="88"/>
  <c r="B90" i="95"/>
  <c r="H41" i="88"/>
  <c r="G29" i="332"/>
  <c r="H31"/>
  <c r="F79" i="98"/>
  <c r="B37" i="88"/>
  <c r="I32" i="317"/>
  <c r="F34"/>
  <c r="E34"/>
  <c r="I12" i="130" l="1"/>
  <c r="I37" l="1"/>
  <c r="O37"/>
  <c r="N37"/>
  <c r="J37"/>
  <c r="G37"/>
  <c r="F37"/>
  <c r="F99" i="22" l="1"/>
  <c r="J44" i="9"/>
  <c r="J90" i="16"/>
  <c r="H43" i="118"/>
  <c r="G43"/>
  <c r="H34" i="115"/>
  <c r="G34"/>
  <c r="H29" i="113"/>
  <c r="G29"/>
  <c r="H66" i="104"/>
  <c r="G66"/>
  <c r="I82"/>
  <c r="H9" i="102"/>
  <c r="G9"/>
  <c r="G14"/>
  <c r="H26"/>
  <c r="G26"/>
  <c r="G38"/>
  <c r="H32" i="100"/>
  <c r="G32"/>
  <c r="H42"/>
  <c r="G42"/>
  <c r="I42" i="97"/>
  <c r="H42"/>
  <c r="I35"/>
  <c r="H26"/>
  <c r="H35"/>
  <c r="B43"/>
  <c r="G46" i="202"/>
  <c r="F46"/>
  <c r="I25" i="91"/>
  <c r="H25"/>
  <c r="I6" i="130"/>
  <c r="J6"/>
  <c r="J88" i="28"/>
  <c r="K64" i="342"/>
  <c r="K56" i="3" l="1"/>
  <c r="K460" i="229"/>
  <c r="K299"/>
  <c r="J48" i="19" l="1"/>
  <c r="K461" i="229" l="1"/>
  <c r="F16" i="111"/>
  <c r="H13" i="120"/>
  <c r="R18" i="48"/>
  <c r="Q15"/>
  <c r="Q14"/>
  <c r="B47" i="215" l="1"/>
  <c r="AY46"/>
  <c r="F55" i="116" l="1"/>
  <c r="K159" i="17"/>
  <c r="J77" i="24"/>
  <c r="G87" i="315"/>
  <c r="J87"/>
  <c r="J110" i="1"/>
  <c r="K73" i="342"/>
  <c r="G73"/>
  <c r="F144" i="335"/>
  <c r="E144"/>
  <c r="K144"/>
  <c r="F108" i="104"/>
  <c r="B114"/>
  <c r="H106" i="29"/>
  <c r="K106"/>
  <c r="K87" i="315" l="1"/>
  <c r="F51" i="116"/>
  <c r="F25"/>
  <c r="O50" i="130"/>
  <c r="J50"/>
  <c r="B50"/>
  <c r="L36"/>
  <c r="I35"/>
  <c r="G35"/>
  <c r="J34"/>
  <c r="F34"/>
  <c r="J31"/>
  <c r="O24"/>
  <c r="I8"/>
  <c r="P15"/>
  <c r="F12"/>
  <c r="G11"/>
  <c r="AG38" i="215"/>
  <c r="AG37"/>
  <c r="J85" i="5"/>
  <c r="AY36" i="215"/>
  <c r="AO36"/>
  <c r="T36"/>
  <c r="AG31"/>
  <c r="AY23"/>
  <c r="L68" i="19"/>
  <c r="J62" i="18"/>
  <c r="AO12" i="215"/>
  <c r="AD12"/>
  <c r="W12"/>
  <c r="G32" i="111" l="1"/>
  <c r="H32"/>
  <c r="G26" i="330"/>
  <c r="B33" i="91"/>
  <c r="F56" i="119"/>
  <c r="F66" i="118"/>
  <c r="F63"/>
  <c r="F49" i="117"/>
  <c r="F48"/>
  <c r="E50"/>
  <c r="D50"/>
  <c r="B50"/>
  <c r="F46"/>
  <c r="F54" i="116"/>
  <c r="F56"/>
  <c r="F48" i="115"/>
  <c r="F37" i="112"/>
  <c r="I56" i="108"/>
  <c r="F113" i="104"/>
  <c r="F66"/>
  <c r="B66"/>
  <c r="G45" i="332"/>
  <c r="F47" i="103"/>
  <c r="F55" i="102"/>
  <c r="F55" i="100"/>
  <c r="F63" s="1"/>
  <c r="F38" i="96"/>
  <c r="F48"/>
  <c r="F57" i="116" l="1"/>
  <c r="F50" i="96"/>
  <c r="F50" i="117"/>
  <c r="F35" i="336"/>
  <c r="E35"/>
  <c r="B35"/>
  <c r="G33"/>
  <c r="G35" s="1"/>
  <c r="N44" i="202" s="1"/>
  <c r="F34" i="331"/>
  <c r="G34"/>
  <c r="G36" s="1"/>
  <c r="B34"/>
  <c r="E34"/>
  <c r="G47" i="317"/>
  <c r="G45"/>
  <c r="F47"/>
  <c r="E47"/>
  <c r="B47"/>
  <c r="F27" i="318"/>
  <c r="G27"/>
  <c r="E27"/>
  <c r="B27"/>
  <c r="G33"/>
  <c r="F50" i="90"/>
  <c r="P84" i="27" l="1"/>
  <c r="P82"/>
  <c r="O53" l="1"/>
  <c r="O52"/>
  <c r="O51"/>
  <c r="O50"/>
  <c r="O49"/>
  <c r="O48"/>
  <c r="O47"/>
  <c r="O46"/>
  <c r="O45"/>
  <c r="O41"/>
  <c r="O40"/>
  <c r="O39"/>
  <c r="O38"/>
  <c r="O37"/>
  <c r="O36"/>
  <c r="O35"/>
  <c r="O34"/>
  <c r="O33"/>
  <c r="O32"/>
  <c r="O31"/>
  <c r="O30"/>
  <c r="O29"/>
  <c r="O28"/>
  <c r="O27"/>
  <c r="O8"/>
  <c r="O9"/>
  <c r="O10"/>
  <c r="O11"/>
  <c r="O12"/>
  <c r="O13"/>
  <c r="O14"/>
  <c r="O15"/>
  <c r="O16"/>
  <c r="O17"/>
  <c r="O18"/>
  <c r="O19"/>
  <c r="O20"/>
  <c r="O21"/>
  <c r="O22"/>
  <c r="O23"/>
  <c r="O7"/>
  <c r="M9" i="41"/>
  <c r="O42" i="27" l="1"/>
  <c r="O24"/>
  <c r="O54"/>
  <c r="O57"/>
  <c r="H69" i="19"/>
  <c r="K57" i="229"/>
  <c r="H57"/>
  <c r="K109" i="9" l="1"/>
  <c r="K104" i="6"/>
  <c r="K95" i="32" l="1"/>
  <c r="N52" i="215"/>
  <c r="M52"/>
  <c r="N51"/>
  <c r="M51"/>
  <c r="N50"/>
  <c r="N48"/>
  <c r="M50"/>
  <c r="N49"/>
  <c r="M49"/>
  <c r="N47"/>
  <c r="M47"/>
  <c r="N46"/>
  <c r="M46"/>
  <c r="N45"/>
  <c r="M45"/>
  <c r="N40"/>
  <c r="M40"/>
  <c r="N29"/>
  <c r="N27"/>
  <c r="N26"/>
  <c r="M29"/>
  <c r="M27"/>
  <c r="M26"/>
  <c r="N23"/>
  <c r="M23"/>
  <c r="M21"/>
  <c r="N16"/>
  <c r="N22"/>
  <c r="N21"/>
  <c r="N20"/>
  <c r="N19"/>
  <c r="N18"/>
  <c r="N14"/>
  <c r="N13"/>
  <c r="N10"/>
  <c r="M10"/>
  <c r="N7"/>
  <c r="M7"/>
  <c r="M62" i="26"/>
  <c r="K98" i="15"/>
  <c r="K99" i="6"/>
  <c r="K91"/>
  <c r="K94"/>
  <c r="K99" i="9"/>
  <c r="K89" i="11"/>
  <c r="K119" i="32"/>
  <c r="K105" l="1"/>
  <c r="H35" i="263"/>
  <c r="H44"/>
  <c r="C20" i="334"/>
  <c r="D20"/>
  <c r="B20"/>
  <c r="K65" i="329"/>
  <c r="J99" i="6"/>
  <c r="J113" s="1"/>
  <c r="J119" i="32"/>
  <c r="J65" i="229"/>
  <c r="L54" i="27"/>
  <c r="I54"/>
  <c r="F54"/>
  <c r="L42"/>
  <c r="I42"/>
  <c r="F42"/>
  <c r="L24"/>
  <c r="I24"/>
  <c r="F24"/>
  <c r="B24"/>
  <c r="B54"/>
  <c r="B42"/>
  <c r="K12"/>
  <c r="F57" l="1"/>
  <c r="L57"/>
  <c r="B57"/>
  <c r="I57"/>
  <c r="G24" i="53"/>
  <c r="F24"/>
  <c r="J431" i="229"/>
  <c r="J432"/>
  <c r="J433"/>
  <c r="J434"/>
  <c r="J435"/>
  <c r="J436"/>
  <c r="J437"/>
  <c r="J438"/>
  <c r="J439"/>
  <c r="J440"/>
  <c r="J441"/>
  <c r="J442"/>
  <c r="J443"/>
  <c r="J444"/>
  <c r="J445"/>
  <c r="J446"/>
  <c r="J447"/>
  <c r="J448"/>
  <c r="J449"/>
  <c r="J450"/>
  <c r="J451"/>
  <c r="J452"/>
  <c r="J453"/>
  <c r="J454"/>
  <c r="J456"/>
  <c r="L375"/>
  <c r="J94" i="2"/>
  <c r="K59" i="229"/>
  <c r="K67" s="1"/>
  <c r="F25" i="99" l="1"/>
  <c r="F26" i="115" l="1"/>
  <c r="I59" i="107"/>
  <c r="I89" i="104"/>
  <c r="F24" i="88" l="1"/>
  <c r="E50" i="96"/>
  <c r="D50"/>
  <c r="B50"/>
  <c r="F34" i="93"/>
  <c r="I18"/>
  <c r="F23"/>
  <c r="F25" s="1"/>
  <c r="G30" i="317"/>
  <c r="H474" i="229"/>
  <c r="K474"/>
  <c r="J17" i="23"/>
  <c r="O20" i="214" s="1"/>
  <c r="J88" i="1"/>
  <c r="K59" i="26"/>
  <c r="G34" i="317" l="1"/>
  <c r="J32"/>
  <c r="F37" i="93"/>
  <c r="K13" i="1" s="1"/>
  <c r="I475" i="229"/>
  <c r="K205" i="26"/>
  <c r="J127" i="5"/>
  <c r="I81"/>
  <c r="J88" i="26"/>
  <c r="J89"/>
  <c r="J90"/>
  <c r="J91"/>
  <c r="K137" i="20"/>
  <c r="K136"/>
  <c r="J134"/>
  <c r="K134" s="1"/>
  <c r="K130"/>
  <c r="J127"/>
  <c r="K127" s="1"/>
  <c r="K98"/>
  <c r="K99"/>
  <c r="K103"/>
  <c r="K105"/>
  <c r="J107"/>
  <c r="K107" s="1"/>
  <c r="K109"/>
  <c r="K110"/>
  <c r="K97"/>
  <c r="K102"/>
  <c r="K106"/>
  <c r="K140"/>
  <c r="K139"/>
  <c r="K138"/>
  <c r="K135"/>
  <c r="K133"/>
  <c r="K129"/>
  <c r="K108"/>
  <c r="K104"/>
  <c r="K101"/>
  <c r="K100"/>
  <c r="V29" i="267"/>
  <c r="V30"/>
  <c r="V31"/>
  <c r="V32"/>
  <c r="V33"/>
  <c r="V34"/>
  <c r="V35"/>
  <c r="V36"/>
  <c r="V37"/>
  <c r="V38"/>
  <c r="V39"/>
  <c r="V40"/>
  <c r="V28"/>
  <c r="C41"/>
  <c r="D41"/>
  <c r="I55" i="26" s="1"/>
  <c r="E41" i="267"/>
  <c r="F41"/>
  <c r="G41"/>
  <c r="H41"/>
  <c r="I85" i="26" s="1"/>
  <c r="J85" s="1"/>
  <c r="I41" i="267"/>
  <c r="J41"/>
  <c r="K41"/>
  <c r="L41"/>
  <c r="M41"/>
  <c r="N41"/>
  <c r="I100" i="26" s="1"/>
  <c r="O41" i="267"/>
  <c r="P41"/>
  <c r="Q41"/>
  <c r="R41"/>
  <c r="S41"/>
  <c r="T41"/>
  <c r="U41"/>
  <c r="I141" i="26" s="1"/>
  <c r="B41" i="267"/>
  <c r="I46" i="26" s="1"/>
  <c r="C396" i="229"/>
  <c r="C393"/>
  <c r="C395"/>
  <c r="C387"/>
  <c r="C388"/>
  <c r="H69" i="12"/>
  <c r="H132" i="32"/>
  <c r="I130"/>
  <c r="I139" i="20"/>
  <c r="I140"/>
  <c r="I88"/>
  <c r="I102" i="22"/>
  <c r="I101"/>
  <c r="I94"/>
  <c r="I93"/>
  <c r="I92"/>
  <c r="I53"/>
  <c r="H105" i="11"/>
  <c r="I102"/>
  <c r="I85"/>
  <c r="I83"/>
  <c r="H127" i="5"/>
  <c r="I94"/>
  <c r="I91"/>
  <c r="I87"/>
  <c r="H121" i="9"/>
  <c r="I96"/>
  <c r="H97" i="7"/>
  <c r="I89"/>
  <c r="I95"/>
  <c r="I96" i="12"/>
  <c r="H127" i="32"/>
  <c r="I119"/>
  <c r="I104"/>
  <c r="I83"/>
  <c r="H71"/>
  <c r="H113" i="6"/>
  <c r="I99"/>
  <c r="I57"/>
  <c r="I59"/>
  <c r="L87" i="335"/>
  <c r="L113"/>
  <c r="K50"/>
  <c r="K66" s="1"/>
  <c r="J87" i="35"/>
  <c r="J94" s="1"/>
  <c r="I48" i="16"/>
  <c r="I57"/>
  <c r="I58"/>
  <c r="I59"/>
  <c r="J142" i="20" l="1"/>
  <c r="V41" i="267"/>
  <c r="L386" i="229"/>
  <c r="J53" i="335"/>
  <c r="J46" i="329"/>
  <c r="J47"/>
  <c r="I82" i="342"/>
  <c r="I69"/>
  <c r="J80"/>
  <c r="J79"/>
  <c r="J78"/>
  <c r="J77"/>
  <c r="J63" i="38"/>
  <c r="I65"/>
  <c r="J59"/>
  <c r="J54"/>
  <c r="J55"/>
  <c r="J56"/>
  <c r="J57"/>
  <c r="J58"/>
  <c r="J44"/>
  <c r="J45"/>
  <c r="I97" i="19"/>
  <c r="I93" i="16"/>
  <c r="I62" i="35"/>
  <c r="C267" i="229"/>
  <c r="C268"/>
  <c r="L296"/>
  <c r="L297"/>
  <c r="L294"/>
  <c r="C199"/>
  <c r="J193"/>
  <c r="J86" i="17"/>
  <c r="J84"/>
  <c r="J90" i="3"/>
  <c r="J91"/>
  <c r="J62" i="37"/>
  <c r="I78" i="328"/>
  <c r="K60" i="38"/>
  <c r="S80" i="27"/>
  <c r="H94" i="2" l="1"/>
  <c r="I90"/>
  <c r="I89"/>
  <c r="I88" i="17"/>
  <c r="I62" i="328"/>
  <c r="I64" i="8"/>
  <c r="I63"/>
  <c r="J98" i="4"/>
  <c r="J72"/>
  <c r="J67" l="1"/>
  <c r="J66"/>
  <c r="J65"/>
  <c r="J64"/>
  <c r="J63"/>
  <c r="J62"/>
  <c r="J57"/>
  <c r="L105" i="3" l="1"/>
  <c r="C265" i="229"/>
  <c r="C262"/>
  <c r="C97" i="33"/>
  <c r="C93"/>
  <c r="C95"/>
  <c r="C92"/>
  <c r="C100"/>
  <c r="C94"/>
  <c r="C96"/>
  <c r="C101"/>
  <c r="K259" i="229" l="1"/>
  <c r="L259" s="1"/>
  <c r="K401"/>
  <c r="L92" i="33"/>
  <c r="L93" s="1"/>
  <c r="C73" i="38"/>
  <c r="C72"/>
  <c r="L72" l="1"/>
  <c r="L101" i="3"/>
  <c r="C115" i="229"/>
  <c r="C122"/>
  <c r="C114"/>
  <c r="C116"/>
  <c r="C185"/>
  <c r="C159"/>
  <c r="C162"/>
  <c r="C156"/>
  <c r="C158"/>
  <c r="C308"/>
  <c r="C307"/>
  <c r="I235"/>
  <c r="C232"/>
  <c r="C107"/>
  <c r="C103"/>
  <c r="C152"/>
  <c r="C150"/>
  <c r="C144"/>
  <c r="C138"/>
  <c r="C136"/>
  <c r="C130"/>
  <c r="C109" i="4"/>
  <c r="C106"/>
  <c r="C100"/>
  <c r="M100" s="1"/>
  <c r="C156" i="17"/>
  <c r="C153"/>
  <c r="C128"/>
  <c r="C126"/>
  <c r="C121"/>
  <c r="C103"/>
  <c r="C109"/>
  <c r="C100"/>
  <c r="T80" i="27"/>
  <c r="U80"/>
  <c r="J102" i="28"/>
  <c r="J101"/>
  <c r="M106" i="4" l="1"/>
  <c r="L152" i="17"/>
  <c r="J53" i="30"/>
  <c r="J45"/>
  <c r="I53" i="24" l="1"/>
  <c r="I55"/>
  <c r="G45" i="41"/>
  <c r="H45" s="1"/>
  <c r="E78" i="263"/>
  <c r="E76"/>
  <c r="D46"/>
  <c r="E40"/>
  <c r="E37"/>
  <c r="E34"/>
  <c r="E32"/>
  <c r="D676"/>
  <c r="D671"/>
  <c r="E670"/>
  <c r="E667"/>
  <c r="G667" s="1"/>
  <c r="E665"/>
  <c r="G665" s="1"/>
  <c r="E626"/>
  <c r="E620"/>
  <c r="D587"/>
  <c r="E581"/>
  <c r="D543"/>
  <c r="E532"/>
  <c r="D495"/>
  <c r="D502" s="1"/>
  <c r="E490"/>
  <c r="E488"/>
  <c r="E451"/>
  <c r="E447"/>
  <c r="E445"/>
  <c r="E403"/>
  <c r="E401"/>
  <c r="E355"/>
  <c r="E351"/>
  <c r="E349"/>
  <c r="E347"/>
  <c r="G307"/>
  <c r="E308"/>
  <c r="E304"/>
  <c r="E302"/>
  <c r="E300"/>
  <c r="E258"/>
  <c r="E260"/>
  <c r="D226"/>
  <c r="E217"/>
  <c r="E215"/>
  <c r="I90" i="10"/>
  <c r="I91"/>
  <c r="I63"/>
  <c r="I59"/>
  <c r="I58"/>
  <c r="I57"/>
  <c r="I56"/>
  <c r="I55"/>
  <c r="I62"/>
  <c r="I61"/>
  <c r="I60"/>
  <c r="I54"/>
  <c r="I53"/>
  <c r="I52"/>
  <c r="I51"/>
  <c r="I50"/>
  <c r="I49"/>
  <c r="I48"/>
  <c r="I47"/>
  <c r="I46"/>
  <c r="I45"/>
  <c r="I44"/>
  <c r="I43"/>
  <c r="I89"/>
  <c r="H86" i="23"/>
  <c r="I84"/>
  <c r="I61"/>
  <c r="H63"/>
  <c r="I93" i="31"/>
  <c r="H94" i="18"/>
  <c r="I85"/>
  <c r="I63" i="25"/>
  <c r="I83"/>
  <c r="I90" i="23"/>
  <c r="I101" i="18"/>
  <c r="H90" i="30"/>
  <c r="I56" i="24"/>
  <c r="I57"/>
  <c r="I59"/>
  <c r="J192" i="229"/>
  <c r="I110" i="28"/>
  <c r="I109"/>
  <c r="I108"/>
  <c r="I106"/>
  <c r="I105"/>
  <c r="I89"/>
  <c r="I90"/>
  <c r="I91"/>
  <c r="I95" i="15"/>
  <c r="J20" i="28"/>
  <c r="D678" i="263" l="1"/>
  <c r="H15" i="41"/>
  <c r="J18" i="315"/>
  <c r="J19"/>
  <c r="J20"/>
  <c r="K22" i="26"/>
  <c r="K31"/>
  <c r="K21"/>
  <c r="K18"/>
  <c r="K17"/>
  <c r="K14"/>
  <c r="M52" l="1"/>
  <c r="H94" i="263"/>
  <c r="E103" i="22"/>
  <c r="G103"/>
  <c r="H103"/>
  <c r="J103"/>
  <c r="J40" i="27" s="1"/>
  <c r="J86" i="22"/>
  <c r="K103" l="1"/>
  <c r="I103"/>
  <c r="E90" i="39"/>
  <c r="S24" i="215"/>
  <c r="E74" i="213" s="1"/>
  <c r="S54" i="215"/>
  <c r="I74" i="213" s="1"/>
  <c r="D22" i="130"/>
  <c r="E22"/>
  <c r="H22"/>
  <c r="E121" i="213" s="1"/>
  <c r="K22" i="130"/>
  <c r="L22"/>
  <c r="M22"/>
  <c r="N22"/>
  <c r="Q22"/>
  <c r="R22"/>
  <c r="D53"/>
  <c r="E53"/>
  <c r="H53"/>
  <c r="I121" i="213" s="1"/>
  <c r="L53" i="130"/>
  <c r="M53"/>
  <c r="N53"/>
  <c r="Q53"/>
  <c r="R53"/>
  <c r="C40"/>
  <c r="G118" i="213" s="1"/>
  <c r="D40" i="130"/>
  <c r="K40"/>
  <c r="C51"/>
  <c r="C53" s="1"/>
  <c r="I118" i="213" s="1"/>
  <c r="K51" i="130"/>
  <c r="K53" s="1"/>
  <c r="F51"/>
  <c r="I50"/>
  <c r="G48"/>
  <c r="I45"/>
  <c r="F45"/>
  <c r="P44"/>
  <c r="O43"/>
  <c r="O53" s="1"/>
  <c r="O36"/>
  <c r="N36"/>
  <c r="N35"/>
  <c r="E35"/>
  <c r="N33"/>
  <c r="I33"/>
  <c r="N32"/>
  <c r="J32"/>
  <c r="O31"/>
  <c r="N30"/>
  <c r="G30"/>
  <c r="F30"/>
  <c r="N28"/>
  <c r="P25"/>
  <c r="P24"/>
  <c r="F21"/>
  <c r="J19"/>
  <c r="G19"/>
  <c r="P18"/>
  <c r="G16"/>
  <c r="I15"/>
  <c r="O15"/>
  <c r="F15"/>
  <c r="F13"/>
  <c r="C9"/>
  <c r="C22" s="1"/>
  <c r="E118" i="213" s="1"/>
  <c r="I5" i="130"/>
  <c r="G5"/>
  <c r="AY51" i="215"/>
  <c r="AY49"/>
  <c r="AH38"/>
  <c r="S38"/>
  <c r="S42" s="1"/>
  <c r="G74" i="213" s="1"/>
  <c r="AH35" i="215"/>
  <c r="AH33"/>
  <c r="AG33"/>
  <c r="T33"/>
  <c r="AY31"/>
  <c r="AW31"/>
  <c r="AV31"/>
  <c r="J86" i="6"/>
  <c r="AY30" i="215"/>
  <c r="AY19"/>
  <c r="J18"/>
  <c r="AP18"/>
  <c r="AY17"/>
  <c r="U10"/>
  <c r="AO51"/>
  <c r="AO48"/>
  <c r="AO46"/>
  <c r="AO39"/>
  <c r="AO27"/>
  <c r="B14"/>
  <c r="J74" i="213" l="1"/>
  <c r="D56" i="130"/>
  <c r="K56"/>
  <c r="L200" i="48" s="1"/>
  <c r="N40" i="130"/>
  <c r="N56" s="1"/>
  <c r="F40"/>
  <c r="C56"/>
  <c r="L192" i="48" s="1"/>
  <c r="S56" i="215"/>
  <c r="H54" i="105"/>
  <c r="F63" i="97"/>
  <c r="B68" i="316"/>
  <c r="F68"/>
  <c r="B46"/>
  <c r="F87" i="33"/>
  <c r="H87"/>
  <c r="K87"/>
  <c r="B23" i="92"/>
  <c r="H46" i="87"/>
  <c r="D79"/>
  <c r="G46"/>
  <c r="J45"/>
  <c r="G30"/>
  <c r="H30"/>
  <c r="O44" i="202"/>
  <c r="H18" i="93"/>
  <c r="E14" i="343"/>
  <c r="G30"/>
  <c r="E15"/>
  <c r="J28" i="89"/>
  <c r="I28"/>
  <c r="G16" i="90"/>
  <c r="H16"/>
  <c r="H35" i="91"/>
  <c r="F30"/>
  <c r="F29"/>
  <c r="D29"/>
  <c r="E31" s="1"/>
  <c r="E33" s="1"/>
  <c r="D30"/>
  <c r="E25"/>
  <c r="F25"/>
  <c r="D25"/>
  <c r="D23" i="92"/>
  <c r="E23"/>
  <c r="F23"/>
  <c r="E34" i="93"/>
  <c r="D34"/>
  <c r="B34"/>
  <c r="I26" i="97"/>
  <c r="H77" i="98"/>
  <c r="H70"/>
  <c r="G36"/>
  <c r="B24" i="88"/>
  <c r="I91" i="104"/>
  <c r="D114"/>
  <c r="I24"/>
  <c r="I55" i="107"/>
  <c r="I58" i="108"/>
  <c r="I27"/>
  <c r="G27" i="111"/>
  <c r="H27"/>
  <c r="H27" i="110"/>
  <c r="H34"/>
  <c r="G34"/>
  <c r="G27"/>
  <c r="H30" i="112"/>
  <c r="H25"/>
  <c r="G30"/>
  <c r="G25"/>
  <c r="H35" i="113"/>
  <c r="G35"/>
  <c r="D50" i="114"/>
  <c r="E50"/>
  <c r="F50"/>
  <c r="B50"/>
  <c r="B34"/>
  <c r="F67" i="118"/>
  <c r="E67"/>
  <c r="D67"/>
  <c r="B67"/>
  <c r="F40" i="119"/>
  <c r="K19" i="335"/>
  <c r="O43" i="214" s="1"/>
  <c r="H73" i="335"/>
  <c r="F73"/>
  <c r="F33" i="91" l="1"/>
  <c r="F36" s="1"/>
  <c r="D31"/>
  <c r="L87" i="33"/>
  <c r="C109" i="124"/>
  <c r="L146" i="48"/>
  <c r="E23" i="343"/>
  <c r="G98" i="4"/>
  <c r="H121"/>
  <c r="F112" i="3"/>
  <c r="E111" i="28"/>
  <c r="G111"/>
  <c r="F108"/>
  <c r="K70" i="328" l="1"/>
  <c r="K49" i="4" l="1"/>
  <c r="K45"/>
  <c r="J111" i="14"/>
  <c r="K59" i="4" l="1"/>
  <c r="D95" i="14"/>
  <c r="E99" i="16"/>
  <c r="G99"/>
  <c r="K99" l="1"/>
  <c r="H25" i="130"/>
  <c r="H40" s="1"/>
  <c r="J45" i="1"/>
  <c r="H56" i="130" l="1"/>
  <c r="L196" i="48" s="1"/>
  <c r="G121" i="213"/>
  <c r="J121" s="1"/>
  <c r="J82" i="9"/>
  <c r="J57"/>
  <c r="K92" i="32" l="1"/>
  <c r="K84"/>
  <c r="J71" l="1"/>
  <c r="J94" i="12"/>
  <c r="J63" i="34"/>
  <c r="J88" i="31"/>
  <c r="G62"/>
  <c r="G94" i="18"/>
  <c r="E94"/>
  <c r="J94"/>
  <c r="J87" i="30"/>
  <c r="G67" i="35"/>
  <c r="I30" i="130" l="1"/>
  <c r="J99" i="12"/>
  <c r="K94" i="18"/>
  <c r="J106" i="19"/>
  <c r="E92" i="25"/>
  <c r="G92"/>
  <c r="I18" i="130"/>
  <c r="J92" i="25" l="1"/>
  <c r="J48" i="21"/>
  <c r="H103" i="24"/>
  <c r="I96"/>
  <c r="E61" i="16" l="1"/>
  <c r="E60"/>
  <c r="E59"/>
  <c r="E58"/>
  <c r="E56"/>
  <c r="E54"/>
  <c r="E51"/>
  <c r="E50"/>
  <c r="E49"/>
  <c r="E48"/>
  <c r="E47"/>
  <c r="E46"/>
  <c r="E45"/>
  <c r="E26"/>
  <c r="E25"/>
  <c r="E24"/>
  <c r="E23"/>
  <c r="E22"/>
  <c r="E21"/>
  <c r="E20"/>
  <c r="E19"/>
  <c r="E18"/>
  <c r="E17"/>
  <c r="E16"/>
  <c r="E15"/>
  <c r="E14"/>
  <c r="E13"/>
  <c r="E12"/>
  <c r="E11"/>
  <c r="E64" i="35"/>
  <c r="E63"/>
  <c r="E62"/>
  <c r="E61"/>
  <c r="E60"/>
  <c r="E58"/>
  <c r="E57"/>
  <c r="E55"/>
  <c r="F55" s="1"/>
  <c r="E52"/>
  <c r="E51"/>
  <c r="E50"/>
  <c r="E49"/>
  <c r="E48"/>
  <c r="E47"/>
  <c r="E46"/>
  <c r="E45"/>
  <c r="E27"/>
  <c r="E26"/>
  <c r="E25"/>
  <c r="E24"/>
  <c r="E23"/>
  <c r="E22"/>
  <c r="E21"/>
  <c r="E20"/>
  <c r="E19"/>
  <c r="E18"/>
  <c r="E17"/>
  <c r="E16"/>
  <c r="E15"/>
  <c r="E14"/>
  <c r="E13"/>
  <c r="E12"/>
  <c r="F64" i="17"/>
  <c r="F63"/>
  <c r="F62"/>
  <c r="F61"/>
  <c r="F60"/>
  <c r="F58"/>
  <c r="F57"/>
  <c r="F56"/>
  <c r="F54"/>
  <c r="F53"/>
  <c r="F52"/>
  <c r="F51"/>
  <c r="F50"/>
  <c r="F49"/>
  <c r="F48"/>
  <c r="F47"/>
  <c r="F46"/>
  <c r="F45"/>
  <c r="F29"/>
  <c r="F28"/>
  <c r="F27"/>
  <c r="F26"/>
  <c r="F25"/>
  <c r="F24"/>
  <c r="F23"/>
  <c r="F22"/>
  <c r="F21"/>
  <c r="F20"/>
  <c r="F19"/>
  <c r="F18"/>
  <c r="F17"/>
  <c r="F16"/>
  <c r="F15"/>
  <c r="F14"/>
  <c r="F13"/>
  <c r="F12"/>
  <c r="E61" i="34"/>
  <c r="E60"/>
  <c r="E59"/>
  <c r="E58"/>
  <c r="E56"/>
  <c r="E55"/>
  <c r="E52"/>
  <c r="E51"/>
  <c r="E50"/>
  <c r="E49"/>
  <c r="E48"/>
  <c r="E47"/>
  <c r="E46"/>
  <c r="E45"/>
  <c r="E44"/>
  <c r="E26"/>
  <c r="E25"/>
  <c r="E24"/>
  <c r="E23"/>
  <c r="E22"/>
  <c r="E21"/>
  <c r="E20"/>
  <c r="E19"/>
  <c r="E18"/>
  <c r="E17"/>
  <c r="E16"/>
  <c r="E15"/>
  <c r="E14"/>
  <c r="E13"/>
  <c r="E12"/>
  <c r="E67" i="35" l="1"/>
  <c r="E65" i="28"/>
  <c r="E61"/>
  <c r="E64"/>
  <c r="E59"/>
  <c r="E58"/>
  <c r="E56"/>
  <c r="E54"/>
  <c r="E55"/>
  <c r="E63"/>
  <c r="E62"/>
  <c r="E53"/>
  <c r="E51"/>
  <c r="E50"/>
  <c r="E49"/>
  <c r="E48"/>
  <c r="E47"/>
  <c r="E46"/>
  <c r="E45"/>
  <c r="E44"/>
  <c r="E28"/>
  <c r="E27"/>
  <c r="E26"/>
  <c r="E25"/>
  <c r="E24"/>
  <c r="E23"/>
  <c r="E22"/>
  <c r="E21"/>
  <c r="E20"/>
  <c r="E19"/>
  <c r="E18"/>
  <c r="E17"/>
  <c r="E16"/>
  <c r="E15"/>
  <c r="E14"/>
  <c r="E13"/>
  <c r="E12"/>
  <c r="E85" i="22"/>
  <c r="E84"/>
  <c r="E83"/>
  <c r="E82"/>
  <c r="E81"/>
  <c r="E63"/>
  <c r="E62"/>
  <c r="E61"/>
  <c r="E60"/>
  <c r="E59"/>
  <c r="E58"/>
  <c r="E56"/>
  <c r="E55"/>
  <c r="E54"/>
  <c r="E52"/>
  <c r="E51"/>
  <c r="E50"/>
  <c r="E49"/>
  <c r="E48"/>
  <c r="E47"/>
  <c r="E46"/>
  <c r="E45"/>
  <c r="E44"/>
  <c r="E26"/>
  <c r="E25"/>
  <c r="E24"/>
  <c r="E23"/>
  <c r="E22"/>
  <c r="E21"/>
  <c r="E20"/>
  <c r="E19"/>
  <c r="E18"/>
  <c r="E17"/>
  <c r="E16"/>
  <c r="E15"/>
  <c r="E14"/>
  <c r="E13"/>
  <c r="E12"/>
  <c r="E11"/>
  <c r="E68" i="11"/>
  <c r="E67"/>
  <c r="E66"/>
  <c r="E65"/>
  <c r="E64"/>
  <c r="E62"/>
  <c r="E59"/>
  <c r="E58"/>
  <c r="E57"/>
  <c r="E54"/>
  <c r="E53"/>
  <c r="E52"/>
  <c r="E51"/>
  <c r="E50"/>
  <c r="E49"/>
  <c r="E48"/>
  <c r="E47"/>
  <c r="E46"/>
  <c r="E45"/>
  <c r="E44"/>
  <c r="E43"/>
  <c r="E27"/>
  <c r="E26"/>
  <c r="E25"/>
  <c r="E24"/>
  <c r="E23"/>
  <c r="E22"/>
  <c r="E21"/>
  <c r="E20"/>
  <c r="E19"/>
  <c r="E18"/>
  <c r="E17"/>
  <c r="E16"/>
  <c r="E15"/>
  <c r="E14"/>
  <c r="E13"/>
  <c r="E12"/>
  <c r="E88" i="15"/>
  <c r="E84"/>
  <c r="E83"/>
  <c r="E85"/>
  <c r="E82"/>
  <c r="E63"/>
  <c r="E61"/>
  <c r="E58"/>
  <c r="E59"/>
  <c r="E87"/>
  <c r="E86"/>
  <c r="E57"/>
  <c r="E55"/>
  <c r="E54"/>
  <c r="E51"/>
  <c r="E53"/>
  <c r="E52"/>
  <c r="E50"/>
  <c r="E49"/>
  <c r="E48"/>
  <c r="E47"/>
  <c r="E46"/>
  <c r="E45"/>
  <c r="E44"/>
  <c r="E43"/>
  <c r="E27"/>
  <c r="E26"/>
  <c r="E25"/>
  <c r="E24"/>
  <c r="E23"/>
  <c r="E22"/>
  <c r="E21"/>
  <c r="E20"/>
  <c r="E19"/>
  <c r="E18"/>
  <c r="E17"/>
  <c r="E16"/>
  <c r="E15"/>
  <c r="E14"/>
  <c r="E13"/>
  <c r="E12"/>
  <c r="E82" i="5"/>
  <c r="E81"/>
  <c r="E80"/>
  <c r="E64"/>
  <c r="E63"/>
  <c r="E61"/>
  <c r="E60"/>
  <c r="E59"/>
  <c r="E58"/>
  <c r="E56"/>
  <c r="E55"/>
  <c r="E54"/>
  <c r="E53"/>
  <c r="E52"/>
  <c r="E51"/>
  <c r="E50"/>
  <c r="E49"/>
  <c r="E48"/>
  <c r="E47"/>
  <c r="E46"/>
  <c r="E45"/>
  <c r="E44"/>
  <c r="E27" l="1"/>
  <c r="E26"/>
  <c r="E25"/>
  <c r="E24"/>
  <c r="E23"/>
  <c r="E22"/>
  <c r="E21"/>
  <c r="E20"/>
  <c r="E19"/>
  <c r="E18"/>
  <c r="E17"/>
  <c r="E16"/>
  <c r="E15"/>
  <c r="E14"/>
  <c r="E13"/>
  <c r="E12"/>
  <c r="E86" i="9"/>
  <c r="E85"/>
  <c r="E84"/>
  <c r="E83"/>
  <c r="E82"/>
  <c r="E63"/>
  <c r="E61"/>
  <c r="E60"/>
  <c r="E59"/>
  <c r="E57"/>
  <c r="E56"/>
  <c r="E55"/>
  <c r="E54"/>
  <c r="E52"/>
  <c r="E51"/>
  <c r="E50"/>
  <c r="E49"/>
  <c r="E48"/>
  <c r="E47"/>
  <c r="E46"/>
  <c r="E45"/>
  <c r="E44"/>
  <c r="E27"/>
  <c r="E26"/>
  <c r="E25"/>
  <c r="E24"/>
  <c r="E23"/>
  <c r="E22"/>
  <c r="E21"/>
  <c r="E20"/>
  <c r="E19"/>
  <c r="E18"/>
  <c r="E17"/>
  <c r="E16"/>
  <c r="E15"/>
  <c r="E14"/>
  <c r="E13"/>
  <c r="E12"/>
  <c r="E83" i="7"/>
  <c r="E82"/>
  <c r="E81"/>
  <c r="E80"/>
  <c r="E79"/>
  <c r="E64"/>
  <c r="E63"/>
  <c r="E62"/>
  <c r="E61"/>
  <c r="E60"/>
  <c r="E59"/>
  <c r="E58"/>
  <c r="E56"/>
  <c r="E55"/>
  <c r="E54"/>
  <c r="E53"/>
  <c r="E52"/>
  <c r="E51"/>
  <c r="E50"/>
  <c r="E49"/>
  <c r="E48"/>
  <c r="E47"/>
  <c r="E46"/>
  <c r="E45"/>
  <c r="E44"/>
  <c r="E30"/>
  <c r="E29"/>
  <c r="E28"/>
  <c r="E27"/>
  <c r="E26"/>
  <c r="E25"/>
  <c r="E24"/>
  <c r="E23"/>
  <c r="E22"/>
  <c r="E21"/>
  <c r="E20"/>
  <c r="E19"/>
  <c r="E18"/>
  <c r="E17"/>
  <c r="E16"/>
  <c r="E15"/>
  <c r="E14"/>
  <c r="E13"/>
  <c r="E12"/>
  <c r="E84" i="14"/>
  <c r="E83"/>
  <c r="E82"/>
  <c r="E81"/>
  <c r="E64"/>
  <c r="E63"/>
  <c r="E62"/>
  <c r="E59"/>
  <c r="E58"/>
  <c r="E57"/>
  <c r="E56"/>
  <c r="E55"/>
  <c r="E54"/>
  <c r="E53"/>
  <c r="E52"/>
  <c r="E51"/>
  <c r="E50"/>
  <c r="E49"/>
  <c r="E48"/>
  <c r="E47"/>
  <c r="E46"/>
  <c r="E45"/>
  <c r="E44"/>
  <c r="E28"/>
  <c r="E27"/>
  <c r="E26"/>
  <c r="E25"/>
  <c r="E24"/>
  <c r="E23"/>
  <c r="E22"/>
  <c r="E21"/>
  <c r="E20"/>
  <c r="E19"/>
  <c r="E18"/>
  <c r="E17"/>
  <c r="E16"/>
  <c r="E15"/>
  <c r="E14"/>
  <c r="E13"/>
  <c r="E12"/>
  <c r="E11"/>
  <c r="E69" i="12" l="1"/>
  <c r="E68"/>
  <c r="E67"/>
  <c r="E66"/>
  <c r="E65"/>
  <c r="E63"/>
  <c r="E62"/>
  <c r="E61"/>
  <c r="E60"/>
  <c r="E59"/>
  <c r="E58"/>
  <c r="E57"/>
  <c r="E55"/>
  <c r="E54"/>
  <c r="E53"/>
  <c r="E52"/>
  <c r="E51"/>
  <c r="E50"/>
  <c r="E49"/>
  <c r="E48"/>
  <c r="E47"/>
  <c r="E46"/>
  <c r="E45"/>
  <c r="E44"/>
  <c r="E43"/>
  <c r="E28"/>
  <c r="E27"/>
  <c r="E26"/>
  <c r="E25"/>
  <c r="E24"/>
  <c r="E23"/>
  <c r="E22"/>
  <c r="E21"/>
  <c r="E20"/>
  <c r="E19"/>
  <c r="E18"/>
  <c r="E17"/>
  <c r="E16"/>
  <c r="E15"/>
  <c r="E14"/>
  <c r="E13"/>
  <c r="E12"/>
  <c r="E11"/>
  <c r="E83" i="6"/>
  <c r="E84"/>
  <c r="E82"/>
  <c r="E65"/>
  <c r="E64"/>
  <c r="E62"/>
  <c r="E58"/>
  <c r="E59"/>
  <c r="E56"/>
  <c r="E55"/>
  <c r="E52"/>
  <c r="E54"/>
  <c r="E53"/>
  <c r="E51"/>
  <c r="E50"/>
  <c r="E49"/>
  <c r="E48"/>
  <c r="E47"/>
  <c r="E46"/>
  <c r="E45"/>
  <c r="E44"/>
  <c r="E28"/>
  <c r="E27"/>
  <c r="E26"/>
  <c r="E25"/>
  <c r="E24"/>
  <c r="E23"/>
  <c r="E22"/>
  <c r="E21"/>
  <c r="E20"/>
  <c r="E19"/>
  <c r="E18"/>
  <c r="E17"/>
  <c r="E16"/>
  <c r="E15"/>
  <c r="E14"/>
  <c r="E13"/>
  <c r="E12"/>
  <c r="E11"/>
  <c r="E69" i="32"/>
  <c r="E68"/>
  <c r="E67"/>
  <c r="E66"/>
  <c r="E65"/>
  <c r="E63"/>
  <c r="E61"/>
  <c r="E60"/>
  <c r="E59"/>
  <c r="E62"/>
  <c r="E58"/>
  <c r="E56"/>
  <c r="E55"/>
  <c r="E52"/>
  <c r="E54"/>
  <c r="E53"/>
  <c r="E51"/>
  <c r="E50"/>
  <c r="E49"/>
  <c r="E48"/>
  <c r="E47"/>
  <c r="E46"/>
  <c r="E45"/>
  <c r="E44"/>
  <c r="E28"/>
  <c r="E27"/>
  <c r="E26"/>
  <c r="E25"/>
  <c r="E24"/>
  <c r="E23"/>
  <c r="E22"/>
  <c r="E21"/>
  <c r="E20"/>
  <c r="E19"/>
  <c r="E18"/>
  <c r="E17"/>
  <c r="E16"/>
  <c r="E15"/>
  <c r="E14"/>
  <c r="E13"/>
  <c r="E12"/>
  <c r="E11"/>
  <c r="E66" i="20"/>
  <c r="E65"/>
  <c r="E64"/>
  <c r="E63"/>
  <c r="E61"/>
  <c r="E60"/>
  <c r="E59"/>
  <c r="E56"/>
  <c r="E54"/>
  <c r="E52"/>
  <c r="E51"/>
  <c r="E50"/>
  <c r="E47"/>
  <c r="E46"/>
  <c r="E45"/>
  <c r="E44"/>
  <c r="E29" l="1"/>
  <c r="E28"/>
  <c r="E27"/>
  <c r="E26"/>
  <c r="E25"/>
  <c r="E24"/>
  <c r="E23"/>
  <c r="E22"/>
  <c r="E21"/>
  <c r="E20"/>
  <c r="E19"/>
  <c r="E18"/>
  <c r="E17"/>
  <c r="E16"/>
  <c r="E15"/>
  <c r="E14"/>
  <c r="E13"/>
  <c r="E12"/>
  <c r="E11"/>
  <c r="F63" i="329"/>
  <c r="F61"/>
  <c r="F60"/>
  <c r="F55"/>
  <c r="F54"/>
  <c r="F52"/>
  <c r="F48"/>
  <c r="F47"/>
  <c r="F46"/>
  <c r="F45"/>
  <c r="F44"/>
  <c r="F43"/>
  <c r="F26"/>
  <c r="F25"/>
  <c r="F24"/>
  <c r="F23"/>
  <c r="F22"/>
  <c r="F21"/>
  <c r="F20"/>
  <c r="F19"/>
  <c r="F18"/>
  <c r="F17"/>
  <c r="F16"/>
  <c r="F15"/>
  <c r="F14"/>
  <c r="F13"/>
  <c r="F12"/>
  <c r="F11"/>
  <c r="E61" i="23"/>
  <c r="E60"/>
  <c r="E59"/>
  <c r="E58"/>
  <c r="E55"/>
  <c r="E56"/>
  <c r="E54"/>
  <c r="E52"/>
  <c r="E51"/>
  <c r="E49"/>
  <c r="E48"/>
  <c r="E47"/>
  <c r="E46"/>
  <c r="E45"/>
  <c r="E44"/>
  <c r="E27"/>
  <c r="E26"/>
  <c r="E25"/>
  <c r="E24"/>
  <c r="E23"/>
  <c r="E22"/>
  <c r="E21"/>
  <c r="E20"/>
  <c r="E19"/>
  <c r="E18"/>
  <c r="E16"/>
  <c r="E15"/>
  <c r="E14"/>
  <c r="E13"/>
  <c r="E12"/>
  <c r="E54" i="21"/>
  <c r="E53"/>
  <c r="E50"/>
  <c r="E51"/>
  <c r="E48"/>
  <c r="E47"/>
  <c r="E45"/>
  <c r="E44"/>
  <c r="E43"/>
  <c r="E26"/>
  <c r="E25"/>
  <c r="E24"/>
  <c r="E23"/>
  <c r="E22"/>
  <c r="E21"/>
  <c r="E20"/>
  <c r="E19"/>
  <c r="E18"/>
  <c r="E17"/>
  <c r="E16"/>
  <c r="E15"/>
  <c r="E14"/>
  <c r="E13"/>
  <c r="E12"/>
  <c r="E60" i="18"/>
  <c r="E57"/>
  <c r="E56"/>
  <c r="E55"/>
  <c r="E53"/>
  <c r="E52"/>
  <c r="E58"/>
  <c r="E59"/>
  <c r="E51"/>
  <c r="E50"/>
  <c r="E49"/>
  <c r="E48"/>
  <c r="E47"/>
  <c r="E46"/>
  <c r="E45"/>
  <c r="E44"/>
  <c r="E27"/>
  <c r="E26"/>
  <c r="E25"/>
  <c r="E24"/>
  <c r="E23"/>
  <c r="E22"/>
  <c r="E21"/>
  <c r="E20"/>
  <c r="E19"/>
  <c r="E18"/>
  <c r="E17"/>
  <c r="E16"/>
  <c r="E15"/>
  <c r="E14"/>
  <c r="E13"/>
  <c r="E12"/>
  <c r="D47" i="25"/>
  <c r="E47"/>
  <c r="D62"/>
  <c r="E64"/>
  <c r="E63"/>
  <c r="E60"/>
  <c r="E59"/>
  <c r="E58"/>
  <c r="E56"/>
  <c r="E55"/>
  <c r="E62"/>
  <c r="E61"/>
  <c r="E54"/>
  <c r="E52"/>
  <c r="E51"/>
  <c r="E50"/>
  <c r="E49"/>
  <c r="E46"/>
  <c r="E45"/>
  <c r="E44"/>
  <c r="E27"/>
  <c r="E26"/>
  <c r="E25"/>
  <c r="E24"/>
  <c r="E23"/>
  <c r="E22"/>
  <c r="E21"/>
  <c r="E20"/>
  <c r="E19"/>
  <c r="E18"/>
  <c r="E17"/>
  <c r="E16"/>
  <c r="E15"/>
  <c r="E14"/>
  <c r="E13"/>
  <c r="E12"/>
  <c r="E60" i="31"/>
  <c r="E59"/>
  <c r="E58"/>
  <c r="E55"/>
  <c r="E53"/>
  <c r="E54"/>
  <c r="E50"/>
  <c r="E49"/>
  <c r="E48"/>
  <c r="E47"/>
  <c r="E46"/>
  <c r="E45"/>
  <c r="E26"/>
  <c r="E25"/>
  <c r="E24"/>
  <c r="E23"/>
  <c r="E22"/>
  <c r="E21"/>
  <c r="E20"/>
  <c r="E19"/>
  <c r="E18"/>
  <c r="E17"/>
  <c r="E16"/>
  <c r="E15"/>
  <c r="E14"/>
  <c r="E13"/>
  <c r="E12"/>
  <c r="E11"/>
  <c r="E59" i="30"/>
  <c r="E57"/>
  <c r="E55"/>
  <c r="E54"/>
  <c r="E53"/>
  <c r="E50"/>
  <c r="E49"/>
  <c r="E48"/>
  <c r="E46"/>
  <c r="E45"/>
  <c r="E44"/>
  <c r="E26"/>
  <c r="E25"/>
  <c r="E24"/>
  <c r="E23"/>
  <c r="E22"/>
  <c r="E21"/>
  <c r="E20"/>
  <c r="E19"/>
  <c r="E18"/>
  <c r="E17"/>
  <c r="E16"/>
  <c r="E15"/>
  <c r="E14"/>
  <c r="E13"/>
  <c r="E12"/>
  <c r="E11"/>
  <c r="E62" i="31" l="1"/>
  <c r="E30" i="25"/>
  <c r="E94" i="19"/>
  <c r="E66"/>
  <c r="E65"/>
  <c r="E64"/>
  <c r="E62"/>
  <c r="E61"/>
  <c r="E58"/>
  <c r="E55"/>
  <c r="E54"/>
  <c r="E56"/>
  <c r="E51"/>
  <c r="E50"/>
  <c r="E49"/>
  <c r="E48"/>
  <c r="E47"/>
  <c r="E46"/>
  <c r="E45"/>
  <c r="E44"/>
  <c r="E27"/>
  <c r="E26"/>
  <c r="E25"/>
  <c r="E24"/>
  <c r="E23"/>
  <c r="E22"/>
  <c r="E21"/>
  <c r="E20"/>
  <c r="E18"/>
  <c r="E19"/>
  <c r="E17"/>
  <c r="E16"/>
  <c r="E15"/>
  <c r="E14"/>
  <c r="E13"/>
  <c r="E12"/>
  <c r="E63" i="24"/>
  <c r="E61"/>
  <c r="E60"/>
  <c r="E59"/>
  <c r="E57"/>
  <c r="E56"/>
  <c r="E55"/>
  <c r="E62"/>
  <c r="E54"/>
  <c r="E52"/>
  <c r="E50"/>
  <c r="E49"/>
  <c r="E48"/>
  <c r="E47"/>
  <c r="E46"/>
  <c r="E45"/>
  <c r="E44"/>
  <c r="E26"/>
  <c r="E25"/>
  <c r="E24"/>
  <c r="E23"/>
  <c r="E22"/>
  <c r="E21"/>
  <c r="E20"/>
  <c r="E19"/>
  <c r="E18"/>
  <c r="E17"/>
  <c r="E16"/>
  <c r="E15"/>
  <c r="E14"/>
  <c r="E13"/>
  <c r="E12"/>
  <c r="E63" i="10"/>
  <c r="E59"/>
  <c r="E58"/>
  <c r="E57"/>
  <c r="E55"/>
  <c r="E61"/>
  <c r="E60"/>
  <c r="E54"/>
  <c r="E53"/>
  <c r="E51"/>
  <c r="E50"/>
  <c r="E49"/>
  <c r="E48"/>
  <c r="E47"/>
  <c r="E46"/>
  <c r="E45"/>
  <c r="E44"/>
  <c r="E43"/>
  <c r="E26"/>
  <c r="E25"/>
  <c r="E24"/>
  <c r="E23"/>
  <c r="E22"/>
  <c r="E21"/>
  <c r="E20"/>
  <c r="E19"/>
  <c r="E18"/>
  <c r="E17"/>
  <c r="E16"/>
  <c r="E15"/>
  <c r="E14"/>
  <c r="E13"/>
  <c r="E12"/>
  <c r="E83" i="315"/>
  <c r="E82"/>
  <c r="E81"/>
  <c r="E79"/>
  <c r="E77"/>
  <c r="E76"/>
  <c r="E72"/>
  <c r="E71"/>
  <c r="E70"/>
  <c r="E65"/>
  <c r="E63"/>
  <c r="E57"/>
  <c r="E52"/>
  <c r="E49"/>
  <c r="E45"/>
  <c r="E28"/>
  <c r="E27"/>
  <c r="E26"/>
  <c r="E25"/>
  <c r="E24"/>
  <c r="E23"/>
  <c r="E22"/>
  <c r="E21"/>
  <c r="E20"/>
  <c r="E19"/>
  <c r="E18"/>
  <c r="E17"/>
  <c r="E16"/>
  <c r="E14"/>
  <c r="E13"/>
  <c r="E12"/>
  <c r="E11"/>
  <c r="F195" i="26"/>
  <c r="F193"/>
  <c r="F189"/>
  <c r="F167"/>
  <c r="F150"/>
  <c r="F131"/>
  <c r="F129"/>
  <c r="F128"/>
  <c r="F126"/>
  <c r="F125"/>
  <c r="F124"/>
  <c r="F119"/>
  <c r="F102"/>
  <c r="F101"/>
  <c r="F99"/>
  <c r="F98"/>
  <c r="F96"/>
  <c r="F95"/>
  <c r="F94"/>
  <c r="F91"/>
  <c r="F90"/>
  <c r="F88"/>
  <c r="F87"/>
  <c r="F86"/>
  <c r="F84"/>
  <c r="F82"/>
  <c r="F81"/>
  <c r="F62"/>
  <c r="F61"/>
  <c r="F59"/>
  <c r="F58"/>
  <c r="F57"/>
  <c r="F56"/>
  <c r="F54"/>
  <c r="F52"/>
  <c r="F50"/>
  <c r="F48"/>
  <c r="F47"/>
  <c r="F45"/>
  <c r="F30"/>
  <c r="F29"/>
  <c r="F28"/>
  <c r="F27"/>
  <c r="F26"/>
  <c r="F25"/>
  <c r="F24"/>
  <c r="F23"/>
  <c r="F22"/>
  <c r="F21"/>
  <c r="F20"/>
  <c r="F19"/>
  <c r="F18"/>
  <c r="F17"/>
  <c r="F16"/>
  <c r="F15"/>
  <c r="F13"/>
  <c r="E63" i="1"/>
  <c r="E62"/>
  <c r="E61"/>
  <c r="E60"/>
  <c r="E58"/>
  <c r="E57"/>
  <c r="E53"/>
  <c r="E52"/>
  <c r="E51"/>
  <c r="E50"/>
  <c r="E49"/>
  <c r="E48"/>
  <c r="E47"/>
  <c r="E46"/>
  <c r="E45"/>
  <c r="F45" s="1"/>
  <c r="E27"/>
  <c r="E26"/>
  <c r="E25"/>
  <c r="E24"/>
  <c r="E23"/>
  <c r="E22"/>
  <c r="E21"/>
  <c r="E20"/>
  <c r="E19"/>
  <c r="E18"/>
  <c r="E16"/>
  <c r="E15"/>
  <c r="E14"/>
  <c r="E13"/>
  <c r="E82" i="342"/>
  <c r="F82"/>
  <c r="G80"/>
  <c r="G79"/>
  <c r="G78"/>
  <c r="G77"/>
  <c r="G49"/>
  <c r="G50"/>
  <c r="G51"/>
  <c r="G52"/>
  <c r="G54"/>
  <c r="G55"/>
  <c r="G56"/>
  <c r="G57"/>
  <c r="G59"/>
  <c r="G60"/>
  <c r="G61"/>
  <c r="G62"/>
  <c r="G63"/>
  <c r="G64"/>
  <c r="G65"/>
  <c r="G66"/>
  <c r="F67"/>
  <c r="G67" s="1"/>
  <c r="F53"/>
  <c r="G53" s="1"/>
  <c r="F48"/>
  <c r="G48" s="1"/>
  <c r="F47"/>
  <c r="G47" s="1"/>
  <c r="F46"/>
  <c r="G46" s="1"/>
  <c r="F26"/>
  <c r="G26" s="1"/>
  <c r="F25"/>
  <c r="G25" s="1"/>
  <c r="F24"/>
  <c r="G24" s="1"/>
  <c r="F23"/>
  <c r="G23" s="1"/>
  <c r="F22"/>
  <c r="G22" s="1"/>
  <c r="F21"/>
  <c r="G21" s="1"/>
  <c r="F20"/>
  <c r="G20" s="1"/>
  <c r="F19"/>
  <c r="G19" s="1"/>
  <c r="F18"/>
  <c r="G18" s="1"/>
  <c r="F17"/>
  <c r="G17" s="1"/>
  <c r="F16"/>
  <c r="G16" s="1"/>
  <c r="F13"/>
  <c r="G13" s="1"/>
  <c r="F12"/>
  <c r="G12" s="1"/>
  <c r="G14"/>
  <c r="G15"/>
  <c r="F53" i="335"/>
  <c r="F64"/>
  <c r="F61"/>
  <c r="F60"/>
  <c r="F59"/>
  <c r="F57"/>
  <c r="F54"/>
  <c r="F55"/>
  <c r="F63"/>
  <c r="F62"/>
  <c r="F52"/>
  <c r="F50"/>
  <c r="F49"/>
  <c r="F48"/>
  <c r="F47"/>
  <c r="F46"/>
  <c r="F45"/>
  <c r="F44"/>
  <c r="F43"/>
  <c r="F27"/>
  <c r="F26"/>
  <c r="F25"/>
  <c r="F24"/>
  <c r="F23"/>
  <c r="F22"/>
  <c r="F21"/>
  <c r="F20"/>
  <c r="F18"/>
  <c r="F17"/>
  <c r="F16"/>
  <c r="F13"/>
  <c r="F12"/>
  <c r="E87" i="315" l="1"/>
  <c r="G82" i="342"/>
  <c r="E29" i="10"/>
  <c r="F51" i="328"/>
  <c r="F46"/>
  <c r="F45"/>
  <c r="F44"/>
  <c r="F24"/>
  <c r="F23"/>
  <c r="F22"/>
  <c r="F21"/>
  <c r="F20"/>
  <c r="F19"/>
  <c r="F18"/>
  <c r="F17"/>
  <c r="F16"/>
  <c r="F15"/>
  <c r="F14"/>
  <c r="F13"/>
  <c r="F12"/>
  <c r="F57" i="38"/>
  <c r="F59"/>
  <c r="F55"/>
  <c r="F52"/>
  <c r="G52" s="1"/>
  <c r="F53"/>
  <c r="F58"/>
  <c r="F50"/>
  <c r="F45"/>
  <c r="F44"/>
  <c r="F43"/>
  <c r="F24"/>
  <c r="F23"/>
  <c r="F22"/>
  <c r="F21"/>
  <c r="F20"/>
  <c r="F19"/>
  <c r="F18"/>
  <c r="F17"/>
  <c r="F16"/>
  <c r="F15"/>
  <c r="F14"/>
  <c r="F13"/>
  <c r="F12"/>
  <c r="F56" i="37"/>
  <c r="F55"/>
  <c r="F54"/>
  <c r="F52"/>
  <c r="F50"/>
  <c r="F51"/>
  <c r="F49"/>
  <c r="F47"/>
  <c r="F45"/>
  <c r="F44"/>
  <c r="F43"/>
  <c r="F24"/>
  <c r="F23"/>
  <c r="F22"/>
  <c r="F21"/>
  <c r="F20"/>
  <c r="F19"/>
  <c r="F18"/>
  <c r="F17"/>
  <c r="F16"/>
  <c r="F15"/>
  <c r="F14"/>
  <c r="F13"/>
  <c r="F12"/>
  <c r="G12" s="1"/>
  <c r="E59" i="8"/>
  <c r="E58"/>
  <c r="E54"/>
  <c r="E57"/>
  <c r="E56"/>
  <c r="E55"/>
  <c r="E52"/>
  <c r="E53"/>
  <c r="E51"/>
  <c r="E48"/>
  <c r="E47"/>
  <c r="E46"/>
  <c r="E45"/>
  <c r="E44"/>
  <c r="E43"/>
  <c r="E24"/>
  <c r="E23"/>
  <c r="E22"/>
  <c r="E21"/>
  <c r="E20"/>
  <c r="E19"/>
  <c r="E18"/>
  <c r="E17"/>
  <c r="E16"/>
  <c r="E15"/>
  <c r="E14"/>
  <c r="E13"/>
  <c r="E12"/>
  <c r="F61" i="33"/>
  <c r="F60"/>
  <c r="F59"/>
  <c r="F57"/>
  <c r="F56"/>
  <c r="F55"/>
  <c r="F54"/>
  <c r="F53"/>
  <c r="F51"/>
  <c r="F50"/>
  <c r="F49"/>
  <c r="F48"/>
  <c r="F47"/>
  <c r="F46"/>
  <c r="F45"/>
  <c r="F44"/>
  <c r="F23"/>
  <c r="F22"/>
  <c r="F21"/>
  <c r="F20"/>
  <c r="F19"/>
  <c r="F18"/>
  <c r="F17"/>
  <c r="F16"/>
  <c r="F15"/>
  <c r="F14"/>
  <c r="F13"/>
  <c r="F12"/>
  <c r="F11"/>
  <c r="F57" i="4"/>
  <c r="F55"/>
  <c r="F52"/>
  <c r="F53"/>
  <c r="F51"/>
  <c r="F49"/>
  <c r="F48"/>
  <c r="F47"/>
  <c r="F46"/>
  <c r="F45"/>
  <c r="F44"/>
  <c r="F24"/>
  <c r="F23"/>
  <c r="F22"/>
  <c r="F21"/>
  <c r="F20"/>
  <c r="F19"/>
  <c r="F18"/>
  <c r="F17"/>
  <c r="F16"/>
  <c r="F15"/>
  <c r="F14"/>
  <c r="F13"/>
  <c r="F12"/>
  <c r="E61" i="2"/>
  <c r="E60"/>
  <c r="E59"/>
  <c r="E56"/>
  <c r="E57"/>
  <c r="E55"/>
  <c r="E53"/>
  <c r="E54"/>
  <c r="E51"/>
  <c r="E50"/>
  <c r="E49"/>
  <c r="E48"/>
  <c r="E47"/>
  <c r="E46"/>
  <c r="E45"/>
  <c r="E44"/>
  <c r="E24"/>
  <c r="E23"/>
  <c r="E22"/>
  <c r="E21"/>
  <c r="E20"/>
  <c r="E19"/>
  <c r="E18"/>
  <c r="E17"/>
  <c r="E16"/>
  <c r="E15"/>
  <c r="E14"/>
  <c r="E13"/>
  <c r="E12"/>
  <c r="F92" i="3"/>
  <c r="F91"/>
  <c r="F89"/>
  <c r="F61"/>
  <c r="F60"/>
  <c r="F58"/>
  <c r="F56"/>
  <c r="F55"/>
  <c r="F54"/>
  <c r="F53"/>
  <c r="F52"/>
  <c r="F50"/>
  <c r="F49"/>
  <c r="F48"/>
  <c r="F46"/>
  <c r="F45"/>
  <c r="F44"/>
  <c r="F26" i="29"/>
  <c r="F25" i="3"/>
  <c r="F24"/>
  <c r="F23"/>
  <c r="F22"/>
  <c r="F21"/>
  <c r="F20"/>
  <c r="F19"/>
  <c r="F18"/>
  <c r="F17"/>
  <c r="F16"/>
  <c r="F15"/>
  <c r="F14"/>
  <c r="F13"/>
  <c r="F12"/>
  <c r="F118" i="29"/>
  <c r="F113"/>
  <c r="F112"/>
  <c r="F103"/>
  <c r="F101"/>
  <c r="F73"/>
  <c r="F62"/>
  <c r="F60"/>
  <c r="F77"/>
  <c r="F71"/>
  <c r="F70"/>
  <c r="F67"/>
  <c r="F63"/>
  <c r="F64"/>
  <c r="F76"/>
  <c r="F74"/>
  <c r="F59"/>
  <c r="F58"/>
  <c r="F55"/>
  <c r="F54"/>
  <c r="F53"/>
  <c r="F52"/>
  <c r="F51"/>
  <c r="F49"/>
  <c r="F48"/>
  <c r="F44"/>
  <c r="K22" i="265"/>
  <c r="K40"/>
  <c r="K52"/>
  <c r="I52"/>
  <c r="I40"/>
  <c r="I22"/>
  <c r="W22"/>
  <c r="V22"/>
  <c r="U22"/>
  <c r="T22"/>
  <c r="R22"/>
  <c r="Q22"/>
  <c r="O22"/>
  <c r="J22"/>
  <c r="G22"/>
  <c r="F22"/>
  <c r="E22"/>
  <c r="D22"/>
  <c r="B22"/>
  <c r="BF41" i="266"/>
  <c r="BF53"/>
  <c r="AD9" i="46"/>
  <c r="BY10" i="266"/>
  <c r="Z9" i="265"/>
  <c r="Z43"/>
  <c r="F106" i="29" l="1"/>
  <c r="AG9" i="46"/>
  <c r="I56" i="265"/>
  <c r="K56"/>
  <c r="M83" i="41" l="1"/>
  <c r="J83"/>
  <c r="Z44" i="265"/>
  <c r="F13" i="29"/>
  <c r="F14"/>
  <c r="F16"/>
  <c r="F17"/>
  <c r="F19"/>
  <c r="F53" i="41"/>
  <c r="H50"/>
  <c r="H18" i="40" l="1"/>
  <c r="H30"/>
  <c r="G430" i="229" l="1"/>
  <c r="G431"/>
  <c r="G432"/>
  <c r="G433"/>
  <c r="G434"/>
  <c r="G435"/>
  <c r="G449"/>
  <c r="G450"/>
  <c r="G451"/>
  <c r="G452"/>
  <c r="G453"/>
  <c r="G454"/>
  <c r="G455"/>
  <c r="G456"/>
  <c r="H461"/>
  <c r="G191"/>
  <c r="G192"/>
  <c r="G193"/>
  <c r="G202"/>
  <c r="N88" i="41"/>
  <c r="J13" i="16"/>
  <c r="J14"/>
  <c r="J17"/>
  <c r="J27"/>
  <c r="J14" i="35"/>
  <c r="J15"/>
  <c r="J18"/>
  <c r="J28"/>
  <c r="K14" i="17"/>
  <c r="K15"/>
  <c r="K21"/>
  <c r="K30"/>
  <c r="J14" i="34"/>
  <c r="J15"/>
  <c r="J18"/>
  <c r="J27"/>
  <c r="J14" i="28"/>
  <c r="J15"/>
  <c r="J19"/>
  <c r="J29"/>
  <c r="J18" i="22"/>
  <c r="J27"/>
  <c r="J19" i="11"/>
  <c r="J28"/>
  <c r="J19" i="15"/>
  <c r="J28"/>
  <c r="J19" i="5"/>
  <c r="J28"/>
  <c r="J19" i="9"/>
  <c r="J28"/>
  <c r="J14" i="7"/>
  <c r="J15"/>
  <c r="J21"/>
  <c r="J31"/>
  <c r="J13" i="14"/>
  <c r="J14"/>
  <c r="J20"/>
  <c r="J29"/>
  <c r="J13" i="12"/>
  <c r="J14"/>
  <c r="J20"/>
  <c r="J29"/>
  <c r="J13" i="6"/>
  <c r="J14"/>
  <c r="J20"/>
  <c r="J29"/>
  <c r="J13" i="32"/>
  <c r="J14"/>
  <c r="J20"/>
  <c r="J29"/>
  <c r="J13" i="20"/>
  <c r="J14"/>
  <c r="J20"/>
  <c r="J30"/>
  <c r="K12" i="329"/>
  <c r="K14"/>
  <c r="K15"/>
  <c r="K18"/>
  <c r="K27"/>
  <c r="J14" i="23"/>
  <c r="J15"/>
  <c r="J19"/>
  <c r="J28"/>
  <c r="J14" i="21"/>
  <c r="J15"/>
  <c r="J18"/>
  <c r="J27"/>
  <c r="J14" i="18"/>
  <c r="J15"/>
  <c r="J18"/>
  <c r="J28"/>
  <c r="J14" i="25"/>
  <c r="J15"/>
  <c r="J18"/>
  <c r="J28"/>
  <c r="J13" i="31"/>
  <c r="J14"/>
  <c r="J17"/>
  <c r="J27"/>
  <c r="J13" i="30"/>
  <c r="J14"/>
  <c r="J17"/>
  <c r="J27"/>
  <c r="J14" i="19"/>
  <c r="J15"/>
  <c r="J18"/>
  <c r="J28"/>
  <c r="J29"/>
  <c r="J30"/>
  <c r="J14" i="24"/>
  <c r="J15"/>
  <c r="J18"/>
  <c r="J27"/>
  <c r="J14" i="10"/>
  <c r="J15"/>
  <c r="J18"/>
  <c r="J27"/>
  <c r="J12" i="315"/>
  <c r="J14"/>
  <c r="J15"/>
  <c r="J29"/>
  <c r="J18" i="1"/>
  <c r="J28"/>
  <c r="K14" i="342"/>
  <c r="K15"/>
  <c r="K18"/>
  <c r="K14" i="335"/>
  <c r="K15"/>
  <c r="K18"/>
  <c r="K16" i="328"/>
  <c r="K16" i="38"/>
  <c r="K16" i="37"/>
  <c r="K25"/>
  <c r="J16" i="8"/>
  <c r="J25"/>
  <c r="K15" i="33"/>
  <c r="K24"/>
  <c r="K16" i="4"/>
  <c r="K25"/>
  <c r="J16" i="2"/>
  <c r="J25"/>
  <c r="K16" i="3"/>
  <c r="K26"/>
  <c r="K15" i="29"/>
  <c r="K17"/>
  <c r="K18"/>
  <c r="K21"/>
  <c r="K31"/>
  <c r="K14"/>
  <c r="D23" i="10"/>
  <c r="F23"/>
  <c r="D24"/>
  <c r="F24"/>
  <c r="F22" i="31"/>
  <c r="F23" i="29"/>
  <c r="F30"/>
  <c r="F29"/>
  <c r="F28"/>
  <c r="F27"/>
  <c r="F24"/>
  <c r="F22"/>
  <c r="Q18" i="26"/>
  <c r="R18" s="1"/>
  <c r="Q17"/>
  <c r="P17"/>
  <c r="O17"/>
  <c r="K22" i="1"/>
  <c r="K24" l="1"/>
  <c r="J24" s="1"/>
  <c r="J13"/>
  <c r="R17" i="26"/>
  <c r="K20" i="1"/>
  <c r="J20" s="1"/>
  <c r="H32" i="29" l="1"/>
  <c r="E114" i="104" l="1"/>
  <c r="F33" i="343"/>
  <c r="D33" i="91"/>
  <c r="E20" i="29"/>
  <c r="E15" i="3"/>
  <c r="D15" i="2"/>
  <c r="E14" i="33"/>
  <c r="D15" i="8"/>
  <c r="E15" i="37"/>
  <c r="E15" i="38"/>
  <c r="AA9" i="226"/>
  <c r="D16" i="1"/>
  <c r="D17" i="315" l="1"/>
  <c r="D17" i="10"/>
  <c r="D17" i="24"/>
  <c r="D17" i="19"/>
  <c r="D16" i="30"/>
  <c r="D16" i="31"/>
  <c r="D17" i="25"/>
  <c r="D17" i="18"/>
  <c r="D17" i="21"/>
  <c r="D18" i="23"/>
  <c r="D17" i="28"/>
  <c r="D17" i="34"/>
  <c r="D17" i="35"/>
  <c r="D16" i="16"/>
  <c r="D58"/>
  <c r="D88" i="35"/>
  <c r="D60"/>
  <c r="E60" i="17"/>
  <c r="E18"/>
  <c r="E19"/>
  <c r="D67" i="34"/>
  <c r="D48"/>
  <c r="D47"/>
  <c r="D58"/>
  <c r="D62" i="28"/>
  <c r="D58"/>
  <c r="D63" i="22"/>
  <c r="D54"/>
  <c r="D16"/>
  <c r="D15"/>
  <c r="D85" i="11"/>
  <c r="D64"/>
  <c r="D62"/>
  <c r="D52"/>
  <c r="D17"/>
  <c r="D16"/>
  <c r="D95" i="15"/>
  <c r="D63"/>
  <c r="D61"/>
  <c r="D51"/>
  <c r="D17"/>
  <c r="D16"/>
  <c r="D91" i="5"/>
  <c r="D87"/>
  <c r="D54"/>
  <c r="D61"/>
  <c r="D17"/>
  <c r="D16"/>
  <c r="D82" i="9"/>
  <c r="D63"/>
  <c r="D52"/>
  <c r="D17"/>
  <c r="D16"/>
  <c r="D90" i="7"/>
  <c r="D63"/>
  <c r="D62"/>
  <c r="D79"/>
  <c r="D64"/>
  <c r="D19"/>
  <c r="D18"/>
  <c r="D63" i="14"/>
  <c r="D62"/>
  <c r="D18"/>
  <c r="D17"/>
  <c r="D96" i="12"/>
  <c r="D58"/>
  <c r="D65"/>
  <c r="D63"/>
  <c r="D18"/>
  <c r="D17"/>
  <c r="D64" i="6"/>
  <c r="D62"/>
  <c r="D18"/>
  <c r="D17"/>
  <c r="D84" i="32"/>
  <c r="D119"/>
  <c r="D63"/>
  <c r="D65"/>
  <c r="D17"/>
  <c r="D18"/>
  <c r="D90" i="20"/>
  <c r="D63"/>
  <c r="D17"/>
  <c r="D18"/>
  <c r="E60" i="329"/>
  <c r="E17"/>
  <c r="E86" i="23"/>
  <c r="D84"/>
  <c r="D55"/>
  <c r="D58"/>
  <c r="D47" i="21"/>
  <c r="D53"/>
  <c r="D55" i="18"/>
  <c r="D82" i="25"/>
  <c r="D58"/>
  <c r="D58" i="31"/>
  <c r="D85" i="30"/>
  <c r="D61" i="19"/>
  <c r="D59" i="24"/>
  <c r="D85" i="10" l="1"/>
  <c r="D57"/>
  <c r="D79" i="315"/>
  <c r="E84" i="26"/>
  <c r="E90"/>
  <c r="E88"/>
  <c r="E128"/>
  <c r="E129"/>
  <c r="E131"/>
  <c r="E149"/>
  <c r="E150"/>
  <c r="AA12" i="226"/>
  <c r="E20" i="26"/>
  <c r="E15"/>
  <c r="D85" i="1"/>
  <c r="E70" i="335"/>
  <c r="E71"/>
  <c r="E69"/>
  <c r="E64"/>
  <c r="E61"/>
  <c r="E60"/>
  <c r="E59"/>
  <c r="E57"/>
  <c r="E54"/>
  <c r="E55"/>
  <c r="E63"/>
  <c r="E62"/>
  <c r="E52"/>
  <c r="E50"/>
  <c r="E49"/>
  <c r="E48"/>
  <c r="E47"/>
  <c r="E46"/>
  <c r="E45"/>
  <c r="E44"/>
  <c r="E43"/>
  <c r="E28"/>
  <c r="F29"/>
  <c r="H29"/>
  <c r="I29"/>
  <c r="J29"/>
  <c r="E18"/>
  <c r="E27"/>
  <c r="E26"/>
  <c r="E25"/>
  <c r="E24"/>
  <c r="E20"/>
  <c r="E21"/>
  <c r="E22"/>
  <c r="E16"/>
  <c r="E17"/>
  <c r="E13"/>
  <c r="E12"/>
  <c r="E66" i="328"/>
  <c r="E52" i="37"/>
  <c r="E55" i="4"/>
  <c r="E58" i="3"/>
  <c r="E52"/>
  <c r="E50"/>
  <c r="E117" i="29"/>
  <c r="E58"/>
  <c r="E55"/>
  <c r="E50"/>
  <c r="F21"/>
  <c r="F25"/>
  <c r="R52" i="265"/>
  <c r="R40"/>
  <c r="F20" i="29"/>
  <c r="F18"/>
  <c r="I202" i="48"/>
  <c r="I204"/>
  <c r="I205"/>
  <c r="I177"/>
  <c r="I119"/>
  <c r="K27"/>
  <c r="F9" i="41"/>
  <c r="E61" i="229"/>
  <c r="E67" s="1"/>
  <c r="T46" i="27"/>
  <c r="T53"/>
  <c r="T52"/>
  <c r="T50"/>
  <c r="T39"/>
  <c r="T38"/>
  <c r="T37"/>
  <c r="T36"/>
  <c r="T35"/>
  <c r="T34"/>
  <c r="T32"/>
  <c r="T27"/>
  <c r="T29"/>
  <c r="T17"/>
  <c r="T13"/>
  <c r="E119" i="48"/>
  <c r="E118"/>
  <c r="E52"/>
  <c r="E401" i="229"/>
  <c r="F235"/>
  <c r="E235"/>
  <c r="K17"/>
  <c r="H67"/>
  <c r="F67"/>
  <c r="H401"/>
  <c r="F401"/>
  <c r="F458"/>
  <c r="H458"/>
  <c r="E458"/>
  <c r="K22" i="226"/>
  <c r="K51"/>
  <c r="K40"/>
  <c r="AA18"/>
  <c r="K21" i="227"/>
  <c r="K39"/>
  <c r="K51"/>
  <c r="C18" i="228"/>
  <c r="E51" i="26" s="1"/>
  <c r="P45" i="227"/>
  <c r="CG46" i="225"/>
  <c r="AA46" i="226"/>
  <c r="E63" i="29"/>
  <c r="P6" i="227"/>
  <c r="P7"/>
  <c r="P8"/>
  <c r="P9"/>
  <c r="P10"/>
  <c r="P11"/>
  <c r="P12"/>
  <c r="P13"/>
  <c r="P14"/>
  <c r="P15"/>
  <c r="P16"/>
  <c r="P17"/>
  <c r="P18"/>
  <c r="P19"/>
  <c r="P20"/>
  <c r="F93" i="16"/>
  <c r="F105" i="28"/>
  <c r="F106"/>
  <c r="F107"/>
  <c r="F109"/>
  <c r="F110"/>
  <c r="F20"/>
  <c r="F102" i="22"/>
  <c r="G86"/>
  <c r="K86" s="1"/>
  <c r="E86"/>
  <c r="F53"/>
  <c r="G90" i="15"/>
  <c r="F94" i="5"/>
  <c r="F96" i="9"/>
  <c r="F94" i="7"/>
  <c r="F95"/>
  <c r="G97"/>
  <c r="E97"/>
  <c r="D97"/>
  <c r="F88"/>
  <c r="F89"/>
  <c r="F90"/>
  <c r="F92"/>
  <c r="F57" i="6"/>
  <c r="F59"/>
  <c r="E132" i="32"/>
  <c r="G132"/>
  <c r="D132"/>
  <c r="T31" i="27" s="1"/>
  <c r="F130" i="32"/>
  <c r="F132" s="1"/>
  <c r="F83"/>
  <c r="G142" i="20"/>
  <c r="D142"/>
  <c r="T30" i="27" s="1"/>
  <c r="E142" i="20"/>
  <c r="F139"/>
  <c r="F140"/>
  <c r="F88"/>
  <c r="G46" i="329"/>
  <c r="G47"/>
  <c r="F90" i="23"/>
  <c r="F101" i="18"/>
  <c r="F59"/>
  <c r="F48" i="25"/>
  <c r="F63"/>
  <c r="F97" i="19"/>
  <c r="G106"/>
  <c r="D103" i="24"/>
  <c r="T16" i="27" s="1"/>
  <c r="F96" i="24"/>
  <c r="F90" i="10"/>
  <c r="F91"/>
  <c r="F100" i="1"/>
  <c r="F101"/>
  <c r="F19"/>
  <c r="H112" i="335"/>
  <c r="J112" s="1"/>
  <c r="H86"/>
  <c r="G53"/>
  <c r="G65"/>
  <c r="G18"/>
  <c r="G74" i="328"/>
  <c r="G76"/>
  <c r="G63" i="38"/>
  <c r="G65" s="1"/>
  <c r="G58"/>
  <c r="G54"/>
  <c r="G55"/>
  <c r="G56"/>
  <c r="G59"/>
  <c r="G57"/>
  <c r="F16" i="8"/>
  <c r="F89" i="2"/>
  <c r="F90"/>
  <c r="G51" i="3"/>
  <c r="G62"/>
  <c r="G63"/>
  <c r="G64"/>
  <c r="G65"/>
  <c r="G66"/>
  <c r="G67"/>
  <c r="M39" i="215"/>
  <c r="C55" i="27"/>
  <c r="E55" s="1"/>
  <c r="O38" i="214"/>
  <c r="H152" i="26"/>
  <c r="J86" i="335" l="1"/>
  <c r="H144"/>
  <c r="K142" i="20"/>
  <c r="H143"/>
  <c r="K56" i="226"/>
  <c r="E105" i="48" s="1"/>
  <c r="G112" i="335"/>
  <c r="E73"/>
  <c r="R56" i="265"/>
  <c r="G86" i="335"/>
  <c r="E29"/>
  <c r="K52" i="227"/>
  <c r="R45"/>
  <c r="F97" i="7"/>
  <c r="J103" i="24"/>
  <c r="F28" i="9"/>
  <c r="G11" i="98"/>
  <c r="G12"/>
  <c r="G13"/>
  <c r="G14"/>
  <c r="G15"/>
  <c r="G16"/>
  <c r="G17"/>
  <c r="G18"/>
  <c r="G19"/>
  <c r="G20"/>
  <c r="G21"/>
  <c r="G22"/>
  <c r="G23"/>
  <c r="G24"/>
  <c r="G25"/>
  <c r="G26"/>
  <c r="G27"/>
  <c r="G28"/>
  <c r="G29"/>
  <c r="G30"/>
  <c r="G31"/>
  <c r="G32"/>
  <c r="G33"/>
  <c r="G34"/>
  <c r="G35"/>
  <c r="G37"/>
  <c r="G38"/>
  <c r="G39"/>
  <c r="G40"/>
  <c r="G41"/>
  <c r="G43"/>
  <c r="G44"/>
  <c r="G45"/>
  <c r="G46"/>
  <c r="G47"/>
  <c r="G48"/>
  <c r="G49"/>
  <c r="G50"/>
  <c r="G51"/>
  <c r="G52"/>
  <c r="H59"/>
  <c r="H60"/>
  <c r="H63"/>
  <c r="H64"/>
  <c r="H65"/>
  <c r="H66"/>
  <c r="H67"/>
  <c r="H68"/>
  <c r="H69"/>
  <c r="H71"/>
  <c r="H72"/>
  <c r="H73"/>
  <c r="H74"/>
  <c r="H75"/>
  <c r="H76"/>
  <c r="H78"/>
  <c r="H79"/>
  <c r="H58"/>
  <c r="E47" i="87"/>
  <c r="E79"/>
  <c r="I22" i="332"/>
  <c r="I31"/>
  <c r="I15"/>
  <c r="H15"/>
  <c r="F22" i="202" s="1"/>
  <c r="G49" i="317" l="1"/>
  <c r="L12" i="37" s="1"/>
  <c r="E81" i="87"/>
  <c r="H33" i="114"/>
  <c r="G33"/>
  <c r="H12" i="105"/>
  <c r="G12"/>
  <c r="F48" i="103"/>
  <c r="H26"/>
  <c r="G26"/>
  <c r="G32" i="332"/>
  <c r="I100" i="104"/>
  <c r="I62"/>
  <c r="I29"/>
  <c r="J5" i="345"/>
  <c r="J8"/>
  <c r="J12"/>
  <c r="J16"/>
  <c r="J21"/>
  <c r="J25"/>
  <c r="J29"/>
  <c r="J33"/>
  <c r="J37"/>
  <c r="J41"/>
  <c r="J50"/>
  <c r="J55"/>
  <c r="J61"/>
  <c r="J63"/>
  <c r="J69"/>
  <c r="J72"/>
  <c r="J75"/>
  <c r="J77"/>
  <c r="J81"/>
  <c r="J84"/>
  <c r="J86"/>
  <c r="J88"/>
  <c r="J91"/>
  <c r="M91" s="1"/>
  <c r="N91"/>
  <c r="AA91" s="1"/>
  <c r="AA95" s="1"/>
  <c r="N92"/>
  <c r="S92" s="1"/>
  <c r="N94"/>
  <c r="S94" s="1"/>
  <c r="J95"/>
  <c r="N95"/>
  <c r="R95"/>
  <c r="T95"/>
  <c r="J97"/>
  <c r="J99"/>
  <c r="H105"/>
  <c r="F111" s="1"/>
  <c r="I105"/>
  <c r="F117"/>
  <c r="X91" s="1"/>
  <c r="X95" s="1"/>
  <c r="F118"/>
  <c r="Y91" s="1"/>
  <c r="Y95" s="1"/>
  <c r="F119"/>
  <c r="Z91" s="1"/>
  <c r="Z95" s="1"/>
  <c r="L21" i="37" l="1"/>
  <c r="K21" s="1"/>
  <c r="L17"/>
  <c r="K17" s="1"/>
  <c r="L19"/>
  <c r="K12"/>
  <c r="M92" i="345"/>
  <c r="O92" s="1"/>
  <c r="G50" i="332"/>
  <c r="L11" i="329" s="1"/>
  <c r="M94" i="345"/>
  <c r="P94" s="1"/>
  <c r="Q94" s="1"/>
  <c r="S91"/>
  <c r="S95" s="1"/>
  <c r="J105"/>
  <c r="F114" s="1"/>
  <c r="F115" s="1"/>
  <c r="P91"/>
  <c r="V91"/>
  <c r="O91"/>
  <c r="O95" s="1"/>
  <c r="U91"/>
  <c r="U95" s="1"/>
  <c r="M95"/>
  <c r="U94"/>
  <c r="O94"/>
  <c r="V94"/>
  <c r="W94" s="1"/>
  <c r="V92" l="1"/>
  <c r="W92" s="1"/>
  <c r="K11" i="329"/>
  <c r="L19"/>
  <c r="K19" s="1"/>
  <c r="L21"/>
  <c r="L23"/>
  <c r="K23" s="1"/>
  <c r="P92" i="345"/>
  <c r="Q92" s="1"/>
  <c r="U92"/>
  <c r="AA94"/>
  <c r="F113"/>
  <c r="F107"/>
  <c r="F108"/>
  <c r="F109" s="1"/>
  <c r="W91"/>
  <c r="W95" s="1"/>
  <c r="V95"/>
  <c r="Q91"/>
  <c r="Q95" s="1"/>
  <c r="P95"/>
  <c r="AA92" l="1"/>
  <c r="H119"/>
  <c r="H120" s="1"/>
  <c r="H17" i="92" l="1"/>
  <c r="H23"/>
  <c r="G30" i="90"/>
  <c r="H36"/>
  <c r="G36"/>
  <c r="G9" i="202"/>
  <c r="F9"/>
  <c r="J24" i="343"/>
  <c r="K10" i="202" s="1"/>
  <c r="I24" i="343"/>
  <c r="J10" i="202" s="1"/>
  <c r="J17" i="343"/>
  <c r="G10" i="202" s="1"/>
  <c r="I17" i="343"/>
  <c r="F10" i="202" s="1"/>
  <c r="L10" l="1"/>
  <c r="M10"/>
  <c r="E220" i="48"/>
  <c r="AB7" i="215"/>
  <c r="H20" i="53"/>
  <c r="AO23" i="215"/>
  <c r="AO8"/>
  <c r="AW8"/>
  <c r="G15" i="130"/>
  <c r="B57" i="119"/>
  <c r="O51" i="202" s="1"/>
  <c r="B38" i="109"/>
  <c r="E52"/>
  <c r="F52"/>
  <c r="D52"/>
  <c r="B52"/>
  <c r="I50" i="108"/>
  <c r="I51"/>
  <c r="I52"/>
  <c r="I53"/>
  <c r="I54"/>
  <c r="I55"/>
  <c r="I57"/>
  <c r="I59"/>
  <c r="I60"/>
  <c r="I61"/>
  <c r="I62"/>
  <c r="I63"/>
  <c r="I64"/>
  <c r="I49"/>
  <c r="I43"/>
  <c r="I44"/>
  <c r="I45"/>
  <c r="I17"/>
  <c r="I18"/>
  <c r="I19"/>
  <c r="I20"/>
  <c r="I21"/>
  <c r="I22"/>
  <c r="I23"/>
  <c r="I24"/>
  <c r="I25"/>
  <c r="I26"/>
  <c r="I28"/>
  <c r="I29"/>
  <c r="I30"/>
  <c r="I31"/>
  <c r="I32"/>
  <c r="I33"/>
  <c r="I34"/>
  <c r="I35"/>
  <c r="I36"/>
  <c r="I37"/>
  <c r="I38"/>
  <c r="I39"/>
  <c r="I40"/>
  <c r="I41"/>
  <c r="I42"/>
  <c r="I16"/>
  <c r="F46"/>
  <c r="E66"/>
  <c r="F66"/>
  <c r="D66"/>
  <c r="B66"/>
  <c r="H38"/>
  <c r="G38"/>
  <c r="I18" i="107"/>
  <c r="I19"/>
  <c r="I20"/>
  <c r="I21"/>
  <c r="I22"/>
  <c r="I23"/>
  <c r="I24"/>
  <c r="I25"/>
  <c r="I26"/>
  <c r="I27"/>
  <c r="I28"/>
  <c r="I29"/>
  <c r="I30"/>
  <c r="I31"/>
  <c r="I32"/>
  <c r="I33"/>
  <c r="I34"/>
  <c r="I35"/>
  <c r="I36"/>
  <c r="I37"/>
  <c r="I38"/>
  <c r="I39"/>
  <c r="I40"/>
  <c r="I41"/>
  <c r="I42"/>
  <c r="I43"/>
  <c r="I44"/>
  <c r="I17"/>
  <c r="I49"/>
  <c r="I50"/>
  <c r="I51"/>
  <c r="I52"/>
  <c r="I53"/>
  <c r="I54"/>
  <c r="I56"/>
  <c r="I57"/>
  <c r="I58"/>
  <c r="I60"/>
  <c r="I48"/>
  <c r="F69" i="106"/>
  <c r="F46"/>
  <c r="I71"/>
  <c r="B69"/>
  <c r="D69"/>
  <c r="B103" i="105"/>
  <c r="F54"/>
  <c r="F103"/>
  <c r="F68" i="108" l="1"/>
  <c r="H68" l="1"/>
  <c r="K11" i="14"/>
  <c r="I93" i="104"/>
  <c r="F114"/>
  <c r="I12"/>
  <c r="I13"/>
  <c r="I14"/>
  <c r="I15"/>
  <c r="I16"/>
  <c r="I17"/>
  <c r="I18"/>
  <c r="I19"/>
  <c r="I20"/>
  <c r="I21"/>
  <c r="I22"/>
  <c r="I23"/>
  <c r="I25"/>
  <c r="I26"/>
  <c r="I27"/>
  <c r="I28"/>
  <c r="I30"/>
  <c r="I31"/>
  <c r="I32"/>
  <c r="I33"/>
  <c r="I34"/>
  <c r="I35"/>
  <c r="I36"/>
  <c r="I37"/>
  <c r="I38"/>
  <c r="I39"/>
  <c r="I40"/>
  <c r="I41"/>
  <c r="I42"/>
  <c r="I43"/>
  <c r="I44"/>
  <c r="I45"/>
  <c r="I46"/>
  <c r="I47"/>
  <c r="I48"/>
  <c r="I49"/>
  <c r="I50"/>
  <c r="I51"/>
  <c r="I52"/>
  <c r="I54"/>
  <c r="I55"/>
  <c r="I56"/>
  <c r="I57"/>
  <c r="I58"/>
  <c r="I59"/>
  <c r="I60"/>
  <c r="I61"/>
  <c r="I63"/>
  <c r="I64"/>
  <c r="I67"/>
  <c r="I68"/>
  <c r="I69"/>
  <c r="I70"/>
  <c r="I71"/>
  <c r="I77"/>
  <c r="I78"/>
  <c r="I81"/>
  <c r="I83"/>
  <c r="I84"/>
  <c r="I85"/>
  <c r="I86"/>
  <c r="I87"/>
  <c r="I88"/>
  <c r="I90"/>
  <c r="I92"/>
  <c r="I94"/>
  <c r="I95"/>
  <c r="I96"/>
  <c r="I97"/>
  <c r="I98"/>
  <c r="I99"/>
  <c r="I103"/>
  <c r="I104"/>
  <c r="I105"/>
  <c r="I106"/>
  <c r="I107"/>
  <c r="I108"/>
  <c r="I109"/>
  <c r="I110"/>
  <c r="I111"/>
  <c r="I112"/>
  <c r="I113"/>
  <c r="I11"/>
  <c r="H51"/>
  <c r="G18"/>
  <c r="G23" i="88"/>
  <c r="H23"/>
  <c r="I32" i="101"/>
  <c r="I31"/>
  <c r="I30"/>
  <c r="I29"/>
  <c r="I28"/>
  <c r="I27"/>
  <c r="I26"/>
  <c r="I25"/>
  <c r="I24"/>
  <c r="I23"/>
  <c r="I22"/>
  <c r="I21"/>
  <c r="I20"/>
  <c r="I19"/>
  <c r="I18"/>
  <c r="I17"/>
  <c r="I16"/>
  <c r="I15"/>
  <c r="I14"/>
  <c r="I13"/>
  <c r="I12"/>
  <c r="I11"/>
  <c r="I33"/>
  <c r="F42" i="100"/>
  <c r="B45" i="99"/>
  <c r="F45"/>
  <c r="E45"/>
  <c r="D45"/>
  <c r="F80" i="98"/>
  <c r="H80" s="1"/>
  <c r="B34" i="96"/>
  <c r="K23" i="14" l="1"/>
  <c r="J11"/>
  <c r="K25"/>
  <c r="J25" s="1"/>
  <c r="K21"/>
  <c r="J21" s="1"/>
  <c r="K19"/>
  <c r="J19" s="1"/>
  <c r="G25" i="95"/>
  <c r="I43" i="87" l="1"/>
  <c r="I44"/>
  <c r="I42"/>
  <c r="I41"/>
  <c r="I40"/>
  <c r="I39"/>
  <c r="I38"/>
  <c r="I37"/>
  <c r="I36"/>
  <c r="I35"/>
  <c r="I34"/>
  <c r="I31"/>
  <c r="I30"/>
  <c r="I29"/>
  <c r="I28"/>
  <c r="I27"/>
  <c r="I25"/>
  <c r="I24"/>
  <c r="I23"/>
  <c r="I22"/>
  <c r="I21"/>
  <c r="I20"/>
  <c r="I19"/>
  <c r="I18"/>
  <c r="I45"/>
  <c r="H74"/>
  <c r="H73"/>
  <c r="H72"/>
  <c r="H69"/>
  <c r="H63"/>
  <c r="H62"/>
  <c r="H61"/>
  <c r="H60"/>
  <c r="H59"/>
  <c r="H58"/>
  <c r="H55"/>
  <c r="H54"/>
  <c r="H53"/>
  <c r="H77"/>
  <c r="J111" i="28"/>
  <c r="K111" s="1"/>
  <c r="F21" i="21" l="1"/>
  <c r="B36" i="90" l="1"/>
  <c r="F52"/>
  <c r="B52"/>
  <c r="G26" i="331"/>
  <c r="F36" i="90" l="1"/>
  <c r="O45" i="202"/>
  <c r="H65" i="38"/>
  <c r="K69" i="342" l="1"/>
  <c r="K82" l="1"/>
  <c r="J92" i="23"/>
  <c r="J58" i="16"/>
  <c r="E69" i="106"/>
  <c r="D103" i="105"/>
  <c r="D42" i="100"/>
  <c r="E42"/>
  <c r="D63" i="97"/>
  <c r="E63"/>
  <c r="D35" i="343"/>
  <c r="G33"/>
  <c r="N10" i="202" s="1"/>
  <c r="P10" s="1"/>
  <c r="B33" i="343"/>
  <c r="O10" i="202" s="1"/>
  <c r="G26" i="343"/>
  <c r="F26"/>
  <c r="F35" s="1"/>
  <c r="E26"/>
  <c r="B26"/>
  <c r="L12" i="328"/>
  <c r="F33" i="330"/>
  <c r="E33"/>
  <c r="F35" i="318"/>
  <c r="E35"/>
  <c r="G46" i="39"/>
  <c r="H51" i="41" s="1"/>
  <c r="K46" i="39"/>
  <c r="K70"/>
  <c r="I77" i="48"/>
  <c r="K12" i="328" l="1"/>
  <c r="L17"/>
  <c r="K17" s="1"/>
  <c r="L19"/>
  <c r="L21"/>
  <c r="K21" s="1"/>
  <c r="E30" i="343"/>
  <c r="E35" s="1"/>
  <c r="I46" i="39"/>
  <c r="AA10" i="202"/>
  <c r="Z10"/>
  <c r="B35" i="343"/>
  <c r="M12" i="342" s="1"/>
  <c r="E103" i="105"/>
  <c r="M12" i="27"/>
  <c r="N12" s="1"/>
  <c r="G35" i="343"/>
  <c r="L12" i="342" s="1"/>
  <c r="L119" i="48"/>
  <c r="AE45" i="215"/>
  <c r="AA21"/>
  <c r="AA10"/>
  <c r="Q44"/>
  <c r="V54"/>
  <c r="V42"/>
  <c r="BB54"/>
  <c r="K76" i="38"/>
  <c r="K121" i="4"/>
  <c r="M121" s="1"/>
  <c r="L21" i="342" l="1"/>
  <c r="K10" i="214" s="1"/>
  <c r="L23" i="342"/>
  <c r="K23" s="1"/>
  <c r="R10" i="214" s="1"/>
  <c r="K12" i="342"/>
  <c r="B10" i="214" s="1"/>
  <c r="L19" i="342"/>
  <c r="K19" s="1"/>
  <c r="Q10" i="214" s="1"/>
  <c r="L17" i="342"/>
  <c r="L22"/>
  <c r="K22" s="1"/>
  <c r="L10" i="214" s="1"/>
  <c r="L24" i="342"/>
  <c r="L13"/>
  <c r="L25"/>
  <c r="T10" i="214" s="1"/>
  <c r="L16" i="342"/>
  <c r="K16" s="1"/>
  <c r="G10" i="214" s="1"/>
  <c r="P51" i="130"/>
  <c r="G32"/>
  <c r="Q37"/>
  <c r="Q40" s="1"/>
  <c r="Q56" s="1"/>
  <c r="P37"/>
  <c r="O34"/>
  <c r="I34"/>
  <c r="G127" i="5"/>
  <c r="K127" s="1"/>
  <c r="J97" i="7"/>
  <c r="K97" s="1"/>
  <c r="O30" i="130"/>
  <c r="AD31" i="215"/>
  <c r="J28" i="130"/>
  <c r="R28"/>
  <c r="G27"/>
  <c r="AE22" i="215"/>
  <c r="G18" i="130"/>
  <c r="AA20" i="215"/>
  <c r="J13" i="130"/>
  <c r="G6"/>
  <c r="J12"/>
  <c r="P12"/>
  <c r="O12"/>
  <c r="G12"/>
  <c r="J25"/>
  <c r="J105" i="1"/>
  <c r="S10" i="130"/>
  <c r="AY12" i="215"/>
  <c r="Q12"/>
  <c r="D12"/>
  <c r="C12"/>
  <c r="B12"/>
  <c r="G8" i="130"/>
  <c r="Z10" i="215"/>
  <c r="AO13"/>
  <c r="AO11"/>
  <c r="AO10"/>
  <c r="J46" i="130"/>
  <c r="G24"/>
  <c r="J24"/>
  <c r="AD22" i="215"/>
  <c r="R40" i="130" l="1"/>
  <c r="R56" s="1"/>
  <c r="L20" i="342"/>
  <c r="K20" s="1"/>
  <c r="P10" i="214" s="1"/>
  <c r="K17" i="342"/>
  <c r="J10" i="214" s="1"/>
  <c r="K24" i="342"/>
  <c r="S10" i="214" s="1"/>
  <c r="L26" i="342"/>
  <c r="K26" s="1"/>
  <c r="U10" i="214" s="1"/>
  <c r="K13" i="342"/>
  <c r="C37" i="125"/>
  <c r="G125" i="213"/>
  <c r="J125" s="1"/>
  <c r="BG12" i="215"/>
  <c r="J63" i="21"/>
  <c r="J103" i="18"/>
  <c r="J95" i="31"/>
  <c r="K106" i="19"/>
  <c r="J93" i="10"/>
  <c r="J65"/>
  <c r="J135" i="315"/>
  <c r="K73" i="335"/>
  <c r="L73" s="1"/>
  <c r="K65" i="38"/>
  <c r="L65" s="1"/>
  <c r="J73" i="8"/>
  <c r="J67" i="2"/>
  <c r="K96" i="3"/>
  <c r="K112"/>
  <c r="O25" i="214"/>
  <c r="D10" l="1"/>
  <c r="Z10" s="1"/>
  <c r="K27" i="342"/>
  <c r="L27"/>
  <c r="L202" i="48"/>
  <c r="M10" i="27"/>
  <c r="N10" s="1"/>
  <c r="J10"/>
  <c r="K10" s="1"/>
  <c r="H82" i="342"/>
  <c r="L82" s="1"/>
  <c r="T12" i="27"/>
  <c r="I73" i="342"/>
  <c r="H73"/>
  <c r="F73"/>
  <c r="E73"/>
  <c r="H69"/>
  <c r="L69" s="1"/>
  <c r="F69"/>
  <c r="E69"/>
  <c r="J67"/>
  <c r="J66"/>
  <c r="J65"/>
  <c r="J57"/>
  <c r="J56"/>
  <c r="J55"/>
  <c r="J54"/>
  <c r="G12" i="27"/>
  <c r="H12" s="1"/>
  <c r="J53" i="342"/>
  <c r="J52"/>
  <c r="J51"/>
  <c r="J50"/>
  <c r="J49"/>
  <c r="J48"/>
  <c r="J47"/>
  <c r="J46"/>
  <c r="G69"/>
  <c r="H27"/>
  <c r="F27"/>
  <c r="E27"/>
  <c r="G27"/>
  <c r="K27" i="40"/>
  <c r="K37"/>
  <c r="K38"/>
  <c r="K44"/>
  <c r="C12" i="27" l="1"/>
  <c r="K83" i="342"/>
  <c r="F83"/>
  <c r="E83"/>
  <c r="G83"/>
  <c r="H83"/>
  <c r="P12" i="27" l="1"/>
  <c r="V12" s="1"/>
  <c r="E12"/>
  <c r="L83" i="342"/>
  <c r="I92"/>
  <c r="J92" s="1"/>
  <c r="J67" i="27" l="1"/>
  <c r="I63" i="32" l="1"/>
  <c r="N9" i="41" l="1"/>
  <c r="I64" i="12" l="1"/>
  <c r="I65"/>
  <c r="I63" i="6" l="1"/>
  <c r="I64"/>
  <c r="I138" i="20" l="1"/>
  <c r="K75" i="329"/>
  <c r="J69" i="24"/>
  <c r="L144" i="335" l="1"/>
  <c r="K458" i="229"/>
  <c r="K233"/>
  <c r="K235" s="1"/>
  <c r="K284" i="340" l="1"/>
  <c r="K283"/>
  <c r="L280"/>
  <c r="J280"/>
  <c r="G280"/>
  <c r="E280"/>
  <c r="D280"/>
  <c r="I276"/>
  <c r="F276"/>
  <c r="I275"/>
  <c r="F275"/>
  <c r="J273"/>
  <c r="G273"/>
  <c r="E273"/>
  <c r="D273"/>
  <c r="F270"/>
  <c r="F269"/>
  <c r="F268"/>
  <c r="F267"/>
  <c r="F266"/>
  <c r="F265"/>
  <c r="F264"/>
  <c r="F257"/>
  <c r="I256"/>
  <c r="F256"/>
  <c r="I255"/>
  <c r="F255"/>
  <c r="I254"/>
  <c r="F254"/>
  <c r="I253"/>
  <c r="F253"/>
  <c r="I252"/>
  <c r="F252"/>
  <c r="F251"/>
  <c r="I250"/>
  <c r="F250"/>
  <c r="I249"/>
  <c r="F249"/>
  <c r="I248"/>
  <c r="F248"/>
  <c r="I232"/>
  <c r="F232"/>
  <c r="I230"/>
  <c r="F230"/>
  <c r="J220"/>
  <c r="G220"/>
  <c r="E220"/>
  <c r="D220"/>
  <c r="I218"/>
  <c r="F218"/>
  <c r="I217"/>
  <c r="F217"/>
  <c r="I216"/>
  <c r="F216"/>
  <c r="I215"/>
  <c r="F215"/>
  <c r="I214"/>
  <c r="F214"/>
  <c r="I213"/>
  <c r="F213"/>
  <c r="I212"/>
  <c r="F212"/>
  <c r="I211"/>
  <c r="F211"/>
  <c r="I210"/>
  <c r="F210"/>
  <c r="I204"/>
  <c r="I203"/>
  <c r="I202"/>
  <c r="I201"/>
  <c r="I199"/>
  <c r="I198"/>
  <c r="I196"/>
  <c r="I195"/>
  <c r="I194"/>
  <c r="I193"/>
  <c r="I192"/>
  <c r="I190"/>
  <c r="I188"/>
  <c r="I187"/>
  <c r="F187"/>
  <c r="I177"/>
  <c r="I176"/>
  <c r="F176"/>
  <c r="I175"/>
  <c r="F175"/>
  <c r="I174"/>
  <c r="F174"/>
  <c r="I173"/>
  <c r="F173"/>
  <c r="F171"/>
  <c r="I170"/>
  <c r="F170"/>
  <c r="I169"/>
  <c r="F169"/>
  <c r="I168"/>
  <c r="F168"/>
  <c r="I167"/>
  <c r="F167"/>
  <c r="I166"/>
  <c r="F166"/>
  <c r="I165"/>
  <c r="F165"/>
  <c r="K164"/>
  <c r="I164"/>
  <c r="F164"/>
  <c r="I163"/>
  <c r="F163"/>
  <c r="I162"/>
  <c r="F162"/>
  <c r="H161"/>
  <c r="H220" s="1"/>
  <c r="F161"/>
  <c r="I160"/>
  <c r="F160"/>
  <c r="F159"/>
  <c r="I158"/>
  <c r="F158"/>
  <c r="I156"/>
  <c r="F156"/>
  <c r="I155"/>
  <c r="F155"/>
  <c r="I154"/>
  <c r="F154"/>
  <c r="I153"/>
  <c r="F153"/>
  <c r="I152"/>
  <c r="F152"/>
  <c r="I151"/>
  <c r="F151"/>
  <c r="I150"/>
  <c r="F150"/>
  <c r="I149"/>
  <c r="F149"/>
  <c r="I148"/>
  <c r="F148"/>
  <c r="H137"/>
  <c r="G137"/>
  <c r="E137"/>
  <c r="D137"/>
  <c r="I136"/>
  <c r="F136"/>
  <c r="I135"/>
  <c r="F135"/>
  <c r="I134"/>
  <c r="F134"/>
  <c r="I133"/>
  <c r="F133"/>
  <c r="I132"/>
  <c r="F132"/>
  <c r="I131"/>
  <c r="F131"/>
  <c r="I130"/>
  <c r="F130"/>
  <c r="I129"/>
  <c r="F129"/>
  <c r="I128"/>
  <c r="F128"/>
  <c r="I127"/>
  <c r="F127"/>
  <c r="I126"/>
  <c r="F126"/>
  <c r="I125"/>
  <c r="F125"/>
  <c r="I124"/>
  <c r="F124"/>
  <c r="I123"/>
  <c r="F123"/>
  <c r="I122"/>
  <c r="F122"/>
  <c r="I121"/>
  <c r="F121"/>
  <c r="I120"/>
  <c r="F120"/>
  <c r="I119"/>
  <c r="F119"/>
  <c r="I118"/>
  <c r="F118"/>
  <c r="F115"/>
  <c r="I114"/>
  <c r="F114"/>
  <c r="I113"/>
  <c r="F113"/>
  <c r="I112"/>
  <c r="F112"/>
  <c r="I110"/>
  <c r="F110"/>
  <c r="I109"/>
  <c r="F109"/>
  <c r="I108"/>
  <c r="F108"/>
  <c r="I107"/>
  <c r="F107"/>
  <c r="I106"/>
  <c r="F106"/>
  <c r="I105"/>
  <c r="F105"/>
  <c r="I104"/>
  <c r="F104"/>
  <c r="F103"/>
  <c r="I102"/>
  <c r="F102"/>
  <c r="I101"/>
  <c r="F101"/>
  <c r="I100"/>
  <c r="F100"/>
  <c r="I99"/>
  <c r="F99"/>
  <c r="I98"/>
  <c r="F98"/>
  <c r="I97"/>
  <c r="F97"/>
  <c r="J137"/>
  <c r="I82"/>
  <c r="F82"/>
  <c r="I81"/>
  <c r="F81"/>
  <c r="I79"/>
  <c r="F79"/>
  <c r="I78"/>
  <c r="F78"/>
  <c r="I77"/>
  <c r="F77"/>
  <c r="I76"/>
  <c r="F76"/>
  <c r="I74"/>
  <c r="F74"/>
  <c r="G65"/>
  <c r="E65"/>
  <c r="F63"/>
  <c r="I62"/>
  <c r="F62"/>
  <c r="I61"/>
  <c r="F61"/>
  <c r="I60"/>
  <c r="F60"/>
  <c r="I59"/>
  <c r="F59"/>
  <c r="I58"/>
  <c r="F58"/>
  <c r="J65"/>
  <c r="I57"/>
  <c r="F57"/>
  <c r="I55"/>
  <c r="F55"/>
  <c r="D55"/>
  <c r="I54"/>
  <c r="F54"/>
  <c r="I53"/>
  <c r="F53"/>
  <c r="I52"/>
  <c r="F52"/>
  <c r="I51"/>
  <c r="F51"/>
  <c r="I50"/>
  <c r="F50"/>
  <c r="L49"/>
  <c r="I49"/>
  <c r="F49"/>
  <c r="I48"/>
  <c r="F48"/>
  <c r="I36"/>
  <c r="F36"/>
  <c r="I35"/>
  <c r="F35"/>
  <c r="I34"/>
  <c r="F34"/>
  <c r="I33"/>
  <c r="F33"/>
  <c r="I32"/>
  <c r="F32"/>
  <c r="I31"/>
  <c r="F31"/>
  <c r="I30"/>
  <c r="F30"/>
  <c r="I29"/>
  <c r="F29"/>
  <c r="I28"/>
  <c r="F28"/>
  <c r="I26"/>
  <c r="F26"/>
  <c r="I25"/>
  <c r="F25"/>
  <c r="I24"/>
  <c r="F24"/>
  <c r="G21"/>
  <c r="E21"/>
  <c r="I16"/>
  <c r="F16"/>
  <c r="D16"/>
  <c r="D21" s="1"/>
  <c r="J15"/>
  <c r="I15"/>
  <c r="F15"/>
  <c r="I14"/>
  <c r="F14"/>
  <c r="J11"/>
  <c r="G11"/>
  <c r="E11"/>
  <c r="D11"/>
  <c r="F10"/>
  <c r="F11" s="1"/>
  <c r="F137" l="1"/>
  <c r="F21"/>
  <c r="I161"/>
  <c r="F220"/>
  <c r="F65"/>
  <c r="E282"/>
  <c r="F280"/>
  <c r="G282"/>
  <c r="F273"/>
  <c r="F282" l="1"/>
  <c r="J384" i="229"/>
  <c r="J385"/>
  <c r="E146" i="29" l="1"/>
  <c r="T7" i="27" s="1"/>
  <c r="F146" i="29"/>
  <c r="H146"/>
  <c r="K146"/>
  <c r="G12" i="217" s="1"/>
  <c r="J84" i="26" l="1"/>
  <c r="J94"/>
  <c r="J195"/>
  <c r="J193"/>
  <c r="J189"/>
  <c r="K120" i="29" l="1"/>
  <c r="J167" i="26"/>
  <c r="J115" i="29"/>
  <c r="J117"/>
  <c r="J118"/>
  <c r="I106"/>
  <c r="J56"/>
  <c r="J57"/>
  <c r="Y5" i="214" l="1"/>
  <c r="Y43"/>
  <c r="I45" i="23"/>
  <c r="I46"/>
  <c r="I47"/>
  <c r="I48"/>
  <c r="I49"/>
  <c r="I50"/>
  <c r="I51"/>
  <c r="I52"/>
  <c r="I53"/>
  <c r="I54"/>
  <c r="I56"/>
  <c r="I55"/>
  <c r="I58"/>
  <c r="I59"/>
  <c r="I60"/>
  <c r="I44"/>
  <c r="J63"/>
  <c r="I44" i="21" l="1"/>
  <c r="I45"/>
  <c r="I46"/>
  <c r="I47"/>
  <c r="I48"/>
  <c r="I49"/>
  <c r="I51"/>
  <c r="I50"/>
  <c r="I53"/>
  <c r="I54"/>
  <c r="I43"/>
  <c r="J56"/>
  <c r="I45" i="18"/>
  <c r="I46"/>
  <c r="I47"/>
  <c r="I48"/>
  <c r="I49"/>
  <c r="I50"/>
  <c r="I51"/>
  <c r="I59"/>
  <c r="I58"/>
  <c r="I52"/>
  <c r="I53"/>
  <c r="I55"/>
  <c r="I56"/>
  <c r="I57"/>
  <c r="I60"/>
  <c r="I44"/>
  <c r="I45" i="25"/>
  <c r="I46"/>
  <c r="I47"/>
  <c r="I49"/>
  <c r="I50"/>
  <c r="I51"/>
  <c r="I52"/>
  <c r="I53"/>
  <c r="I54"/>
  <c r="I61"/>
  <c r="I62"/>
  <c r="I55"/>
  <c r="I56"/>
  <c r="I57"/>
  <c r="I58"/>
  <c r="I59"/>
  <c r="I60"/>
  <c r="I64"/>
  <c r="I44"/>
  <c r="I46" i="31"/>
  <c r="I47"/>
  <c r="I48"/>
  <c r="I49"/>
  <c r="I50"/>
  <c r="I51"/>
  <c r="I52"/>
  <c r="I54"/>
  <c r="I53"/>
  <c r="I55"/>
  <c r="I56"/>
  <c r="I57"/>
  <c r="I58"/>
  <c r="I59"/>
  <c r="I60"/>
  <c r="I45"/>
  <c r="J50"/>
  <c r="I59" i="30"/>
  <c r="I57"/>
  <c r="I54"/>
  <c r="I53"/>
  <c r="I51"/>
  <c r="I49"/>
  <c r="I48"/>
  <c r="I46"/>
  <c r="I45"/>
  <c r="I44"/>
  <c r="J62" i="31" l="1"/>
  <c r="K62" s="1"/>
  <c r="I63" i="24"/>
  <c r="I61"/>
  <c r="I60"/>
  <c r="I58"/>
  <c r="I52"/>
  <c r="I51"/>
  <c r="I50"/>
  <c r="I49"/>
  <c r="I48"/>
  <c r="I47"/>
  <c r="I46"/>
  <c r="I45"/>
  <c r="I44"/>
  <c r="J52" i="25" l="1"/>
  <c r="J65" s="1"/>
  <c r="I73" i="335" l="1"/>
  <c r="J70"/>
  <c r="J71"/>
  <c r="J69"/>
  <c r="J44"/>
  <c r="J45"/>
  <c r="J46"/>
  <c r="J47"/>
  <c r="J48"/>
  <c r="J49"/>
  <c r="J50"/>
  <c r="J51"/>
  <c r="J52"/>
  <c r="J62"/>
  <c r="J63"/>
  <c r="J55"/>
  <c r="J54"/>
  <c r="J56"/>
  <c r="J58"/>
  <c r="J59"/>
  <c r="J60"/>
  <c r="J61"/>
  <c r="J64"/>
  <c r="J43"/>
  <c r="G136"/>
  <c r="G130"/>
  <c r="G125"/>
  <c r="G110"/>
  <c r="G109"/>
  <c r="G108"/>
  <c r="G107"/>
  <c r="G106"/>
  <c r="G105"/>
  <c r="G104"/>
  <c r="G100"/>
  <c r="G99"/>
  <c r="G98"/>
  <c r="G144" l="1"/>
  <c r="J228" i="229"/>
  <c r="J233"/>
  <c r="J183"/>
  <c r="J174"/>
  <c r="J176"/>
  <c r="J179"/>
  <c r="J227"/>
  <c r="J171"/>
  <c r="H111" i="28"/>
  <c r="D111"/>
  <c r="T41" i="27" s="1"/>
  <c r="I111" i="28" l="1"/>
  <c r="H63" i="34"/>
  <c r="I72" i="37"/>
  <c r="I66"/>
  <c r="I54" i="8"/>
  <c r="J48"/>
  <c r="J60" s="1"/>
  <c r="I59" i="4"/>
  <c r="K81"/>
  <c r="I112" i="3"/>
  <c r="I63" i="33"/>
  <c r="K70" i="3"/>
  <c r="K58" i="37" l="1"/>
  <c r="AO9" i="215"/>
  <c r="J107" i="15"/>
  <c r="I137" i="20" l="1"/>
  <c r="I56" i="22"/>
  <c r="I57"/>
  <c r="J64" i="11"/>
  <c r="J63" i="15" l="1"/>
  <c r="J55"/>
  <c r="H88" i="9"/>
  <c r="J121"/>
  <c r="I63" i="7"/>
  <c r="I62"/>
  <c r="J79"/>
  <c r="H111" i="14"/>
  <c r="H86"/>
  <c r="I58" i="12"/>
  <c r="I90" i="6"/>
  <c r="H86"/>
  <c r="H94" i="20"/>
  <c r="H68"/>
  <c r="J90" i="15" l="1"/>
  <c r="J71" i="38"/>
  <c r="K60" i="17" l="1"/>
  <c r="K54"/>
  <c r="J69" i="19"/>
  <c r="K66" i="17" l="1"/>
  <c r="K85" i="315"/>
  <c r="J60" i="329" l="1"/>
  <c r="J61"/>
  <c r="J62"/>
  <c r="J63"/>
  <c r="J53"/>
  <c r="J54"/>
  <c r="J55"/>
  <c r="J49"/>
  <c r="J50"/>
  <c r="J51"/>
  <c r="J52"/>
  <c r="J48"/>
  <c r="H94" i="35"/>
  <c r="J54" i="16"/>
  <c r="J51"/>
  <c r="AB54" i="215" l="1"/>
  <c r="AB42"/>
  <c r="K125" i="48"/>
  <c r="I212"/>
  <c r="I213"/>
  <c r="Q219"/>
  <c r="I193"/>
  <c r="I206"/>
  <c r="K207"/>
  <c r="E213"/>
  <c r="E94" i="39" s="1"/>
  <c r="E211" i="48"/>
  <c r="E210"/>
  <c r="G37" i="46"/>
  <c r="G13"/>
  <c r="C22"/>
  <c r="D22"/>
  <c r="E22"/>
  <c r="H22"/>
  <c r="I22"/>
  <c r="J22"/>
  <c r="K22"/>
  <c r="B22"/>
  <c r="G12"/>
  <c r="G11"/>
  <c r="D24"/>
  <c r="AD40"/>
  <c r="Z48" i="266"/>
  <c r="BJ53"/>
  <c r="BK53"/>
  <c r="BL53"/>
  <c r="BM53"/>
  <c r="BN53"/>
  <c r="BO53"/>
  <c r="BJ41"/>
  <c r="BK41"/>
  <c r="BL41"/>
  <c r="BM41"/>
  <c r="BN41"/>
  <c r="BO41"/>
  <c r="BO23"/>
  <c r="BJ23"/>
  <c r="BK23"/>
  <c r="BL23"/>
  <c r="BM23"/>
  <c r="BN23"/>
  <c r="F47" i="25"/>
  <c r="AF13" i="266"/>
  <c r="Y9" i="214"/>
  <c r="Y8"/>
  <c r="AO31" i="215"/>
  <c r="AB24"/>
  <c r="V14"/>
  <c r="V24" s="1"/>
  <c r="M150" i="26"/>
  <c r="M129"/>
  <c r="M101"/>
  <c r="M95"/>
  <c r="U14" i="215"/>
  <c r="M82" i="26"/>
  <c r="M57"/>
  <c r="M48"/>
  <c r="I38" i="130"/>
  <c r="G38"/>
  <c r="D49" i="215"/>
  <c r="C49"/>
  <c r="B49"/>
  <c r="D39"/>
  <c r="I51" i="48"/>
  <c r="I52"/>
  <c r="E10"/>
  <c r="K78"/>
  <c r="R20" s="1"/>
  <c r="F21" i="19"/>
  <c r="F20"/>
  <c r="N131" i="26"/>
  <c r="G96"/>
  <c r="G95"/>
  <c r="G94"/>
  <c r="G91"/>
  <c r="G87"/>
  <c r="G86"/>
  <c r="G84"/>
  <c r="G82"/>
  <c r="G81"/>
  <c r="G62"/>
  <c r="G61"/>
  <c r="G58"/>
  <c r="G57"/>
  <c r="G56"/>
  <c r="G54"/>
  <c r="G52"/>
  <c r="G50"/>
  <c r="G48"/>
  <c r="G47"/>
  <c r="V5" i="267"/>
  <c r="F84" i="23"/>
  <c r="F19" i="21"/>
  <c r="F66" i="335"/>
  <c r="G16" i="38"/>
  <c r="G49" i="37"/>
  <c r="G52" i="3"/>
  <c r="G26"/>
  <c r="G56" i="29"/>
  <c r="G57"/>
  <c r="G58"/>
  <c r="E87" i="26"/>
  <c r="D65" i="315"/>
  <c r="D51" i="10"/>
  <c r="D58" i="19"/>
  <c r="D51"/>
  <c r="D50" i="30"/>
  <c r="I55"/>
  <c r="D50" i="31"/>
  <c r="D52" i="25"/>
  <c r="D51" i="18"/>
  <c r="D48" i="21"/>
  <c r="D52" i="23"/>
  <c r="D54" i="20"/>
  <c r="D56" i="32"/>
  <c r="D56" i="6"/>
  <c r="F64"/>
  <c r="D55" i="12"/>
  <c r="J56" i="14"/>
  <c r="D56"/>
  <c r="J63"/>
  <c r="I56" i="7"/>
  <c r="D56"/>
  <c r="F97" i="9"/>
  <c r="I97"/>
  <c r="D56" i="5"/>
  <c r="D55" i="15"/>
  <c r="D54" i="11"/>
  <c r="D56" i="22"/>
  <c r="D21" i="28"/>
  <c r="D51"/>
  <c r="D52" i="34"/>
  <c r="D55" i="35"/>
  <c r="D54" i="16"/>
  <c r="J52" i="35"/>
  <c r="J67" s="1"/>
  <c r="K67" s="1"/>
  <c r="D52"/>
  <c r="D51" i="16"/>
  <c r="D19"/>
  <c r="F88" i="35"/>
  <c r="G45" i="26" l="1"/>
  <c r="V56" i="215"/>
  <c r="C110" i="124" s="1"/>
  <c r="E76" i="213"/>
  <c r="J76" s="1"/>
  <c r="AB56" i="215"/>
  <c r="C86" i="124" s="1"/>
  <c r="L180" i="48" s="1"/>
  <c r="E92" i="213"/>
  <c r="I50" i="30"/>
  <c r="J61"/>
  <c r="G22" i="46"/>
  <c r="BY44" i="266"/>
  <c r="AG40" i="46" s="1"/>
  <c r="BY43" i="266"/>
  <c r="BN55"/>
  <c r="BJ55"/>
  <c r="BM55"/>
  <c r="BO55"/>
  <c r="BK55"/>
  <c r="BL55"/>
  <c r="M87" i="26"/>
  <c r="Q14" i="215"/>
  <c r="G88" i="26"/>
  <c r="F146" i="335"/>
  <c r="D20" i="35"/>
  <c r="E22" i="17"/>
  <c r="D19" i="34"/>
  <c r="D19" i="22"/>
  <c r="D20" i="11"/>
  <c r="D20" i="15"/>
  <c r="D20" i="5" l="1"/>
  <c r="D20" i="9" l="1"/>
  <c r="D23" i="7"/>
  <c r="D21" i="14" l="1"/>
  <c r="D21" i="12" l="1"/>
  <c r="D21" i="6"/>
  <c r="D21" i="32"/>
  <c r="D22" i="20"/>
  <c r="E19" i="329"/>
  <c r="E11"/>
  <c r="E12"/>
  <c r="D20" i="23"/>
  <c r="D19" i="21"/>
  <c r="D20" i="18"/>
  <c r="D20" i="25"/>
  <c r="D19" i="31" l="1"/>
  <c r="D19" i="30"/>
  <c r="D20" i="19"/>
  <c r="F74" i="24"/>
  <c r="D19"/>
  <c r="D19" i="10" l="1"/>
  <c r="D21" i="315" l="1"/>
  <c r="K125" i="26"/>
  <c r="K124"/>
  <c r="K152" s="1"/>
  <c r="L152" s="1"/>
  <c r="E23"/>
  <c r="J65" i="1"/>
  <c r="D53"/>
  <c r="D20"/>
  <c r="M125" i="26" l="1"/>
  <c r="K62" i="328"/>
  <c r="E17"/>
  <c r="E50" i="38"/>
  <c r="E17"/>
  <c r="E17" i="37" l="1"/>
  <c r="D17" i="8" l="1"/>
  <c r="K57" i="33"/>
  <c r="K63" s="1"/>
  <c r="E57"/>
  <c r="E51"/>
  <c r="E16" l="1"/>
  <c r="E49" i="4"/>
  <c r="E17"/>
  <c r="D61" i="2"/>
  <c r="D55"/>
  <c r="D51"/>
  <c r="D17"/>
  <c r="E18" i="3"/>
  <c r="E70" i="29"/>
  <c r="E23"/>
  <c r="F13" i="229" l="1"/>
  <c r="G11"/>
  <c r="G13" s="1"/>
  <c r="G461"/>
  <c r="G442"/>
  <c r="G443"/>
  <c r="G444"/>
  <c r="G445"/>
  <c r="G446"/>
  <c r="G447"/>
  <c r="G448"/>
  <c r="G384"/>
  <c r="G385"/>
  <c r="G226"/>
  <c r="G227"/>
  <c r="G228"/>
  <c r="G233"/>
  <c r="G234"/>
  <c r="G171"/>
  <c r="G174"/>
  <c r="G176"/>
  <c r="G179"/>
  <c r="G183"/>
  <c r="F23"/>
  <c r="G86" i="17" l="1"/>
  <c r="G85"/>
  <c r="G84"/>
  <c r="F67" i="34"/>
  <c r="F89" i="28"/>
  <c r="F90"/>
  <c r="F91"/>
  <c r="F92"/>
  <c r="F92" i="22"/>
  <c r="F93"/>
  <c r="F94"/>
  <c r="F101"/>
  <c r="F103" i="11"/>
  <c r="F89"/>
  <c r="F102"/>
  <c r="F85"/>
  <c r="F83"/>
  <c r="F103" i="15"/>
  <c r="F95"/>
  <c r="F88"/>
  <c r="F91" i="5"/>
  <c r="F87"/>
  <c r="F120" i="9"/>
  <c r="F96" i="12"/>
  <c r="F99" i="6"/>
  <c r="F90"/>
  <c r="F103" i="22" l="1"/>
  <c r="F125" i="32"/>
  <c r="F119"/>
  <c r="F104"/>
  <c r="F137" i="20"/>
  <c r="F138"/>
  <c r="E94"/>
  <c r="G94"/>
  <c r="I94" s="1"/>
  <c r="F91"/>
  <c r="H75" i="329"/>
  <c r="F75"/>
  <c r="E75"/>
  <c r="T23" i="27" s="1"/>
  <c r="G72" i="329"/>
  <c r="G75" s="1"/>
  <c r="G48"/>
  <c r="G49"/>
  <c r="G50"/>
  <c r="G51"/>
  <c r="G52"/>
  <c r="G53"/>
  <c r="G54"/>
  <c r="G55"/>
  <c r="G56"/>
  <c r="G57"/>
  <c r="G58"/>
  <c r="G59"/>
  <c r="G60"/>
  <c r="G61"/>
  <c r="G18"/>
  <c r="G86" i="23"/>
  <c r="F85" i="18"/>
  <c r="F83" i="25"/>
  <c r="F93" i="31"/>
  <c r="F90" i="30"/>
  <c r="F92" s="1"/>
  <c r="F85"/>
  <c r="F87" s="1"/>
  <c r="F59"/>
  <c r="F57"/>
  <c r="F55"/>
  <c r="F54"/>
  <c r="F53"/>
  <c r="F58"/>
  <c r="F52"/>
  <c r="F51"/>
  <c r="F50"/>
  <c r="F49"/>
  <c r="F48"/>
  <c r="F46"/>
  <c r="F45"/>
  <c r="F44"/>
  <c r="F12"/>
  <c r="F13"/>
  <c r="F14"/>
  <c r="F15"/>
  <c r="F16"/>
  <c r="F22"/>
  <c r="F21"/>
  <c r="F18"/>
  <c r="F20"/>
  <c r="F19"/>
  <c r="F23"/>
  <c r="F24"/>
  <c r="F25"/>
  <c r="F26"/>
  <c r="F17"/>
  <c r="F27"/>
  <c r="F11"/>
  <c r="F61" l="1"/>
  <c r="F29"/>
  <c r="F87" i="10"/>
  <c r="F86"/>
  <c r="F85"/>
  <c r="F125" i="315"/>
  <c r="F126"/>
  <c r="F129"/>
  <c r="F130"/>
  <c r="F131"/>
  <c r="F132"/>
  <c r="F18"/>
  <c r="G195" i="26"/>
  <c r="G194"/>
  <c r="G193"/>
  <c r="G191"/>
  <c r="G190"/>
  <c r="G189"/>
  <c r="G167"/>
  <c r="G90"/>
  <c r="F94" i="1"/>
  <c r="F89"/>
  <c r="G71" i="335"/>
  <c r="G70"/>
  <c r="G69"/>
  <c r="G44"/>
  <c r="G45"/>
  <c r="G46"/>
  <c r="G47"/>
  <c r="G48"/>
  <c r="G49"/>
  <c r="G50"/>
  <c r="G51"/>
  <c r="G52"/>
  <c r="G62"/>
  <c r="G63"/>
  <c r="G55"/>
  <c r="G54"/>
  <c r="G56"/>
  <c r="G57"/>
  <c r="G58"/>
  <c r="G59"/>
  <c r="G60"/>
  <c r="G61"/>
  <c r="G64"/>
  <c r="G43"/>
  <c r="G13"/>
  <c r="G14"/>
  <c r="G15"/>
  <c r="G16"/>
  <c r="G17"/>
  <c r="G22"/>
  <c r="G21"/>
  <c r="G20"/>
  <c r="G24"/>
  <c r="G25"/>
  <c r="G26"/>
  <c r="G27"/>
  <c r="G12"/>
  <c r="G20" i="38"/>
  <c r="G15"/>
  <c r="G19"/>
  <c r="G62" i="37"/>
  <c r="F66" i="8"/>
  <c r="F65"/>
  <c r="F64"/>
  <c r="F63"/>
  <c r="G62" i="4"/>
  <c r="G63"/>
  <c r="G64"/>
  <c r="G65"/>
  <c r="G66"/>
  <c r="G67"/>
  <c r="G68"/>
  <c r="G69"/>
  <c r="G70"/>
  <c r="G71"/>
  <c r="G72"/>
  <c r="F88" i="2"/>
  <c r="G91" i="3"/>
  <c r="H92" i="40"/>
  <c r="F92"/>
  <c r="H46"/>
  <c r="F33" i="41"/>
  <c r="G73" i="335" l="1"/>
  <c r="G29"/>
  <c r="F94" i="30"/>
  <c r="G66" i="335"/>
  <c r="E212" i="48"/>
  <c r="E93" i="39" s="1"/>
  <c r="D86" i="16"/>
  <c r="D87" i="35"/>
  <c r="G146" i="335" l="1"/>
  <c r="D58" i="7"/>
  <c r="D91" i="12" l="1"/>
  <c r="D62"/>
  <c r="D61"/>
  <c r="D95" i="32" l="1"/>
  <c r="E127" s="1"/>
  <c r="E63" i="329"/>
  <c r="E61"/>
  <c r="E55"/>
  <c r="E54"/>
  <c r="E52"/>
  <c r="E48"/>
  <c r="E45"/>
  <c r="E44"/>
  <c r="E43"/>
  <c r="I28"/>
  <c r="J28"/>
  <c r="H28"/>
  <c r="F28"/>
  <c r="E18"/>
  <c r="E27"/>
  <c r="E26"/>
  <c r="E25"/>
  <c r="E24"/>
  <c r="E23"/>
  <c r="E20"/>
  <c r="E16"/>
  <c r="E15"/>
  <c r="E14"/>
  <c r="E13"/>
  <c r="D50" i="21"/>
  <c r="D127" i="32" l="1"/>
  <c r="E28" i="329"/>
  <c r="G103" i="18"/>
  <c r="K103" s="1"/>
  <c r="E103"/>
  <c r="D103"/>
  <c r="T21" i="27" s="1"/>
  <c r="D48" i="18"/>
  <c r="D85" i="25"/>
  <c r="D86" i="31"/>
  <c r="D50" i="24"/>
  <c r="D89" i="10"/>
  <c r="D110" i="315"/>
  <c r="E30"/>
  <c r="G30"/>
  <c r="D18"/>
  <c r="E193" i="26"/>
  <c r="E125"/>
  <c r="E124"/>
  <c r="E101"/>
  <c r="E96"/>
  <c r="E95"/>
  <c r="E94"/>
  <c r="E82"/>
  <c r="E81"/>
  <c r="E59"/>
  <c r="E62"/>
  <c r="E61"/>
  <c r="E57"/>
  <c r="E52"/>
  <c r="E50"/>
  <c r="E48"/>
  <c r="E56" i="328"/>
  <c r="E52"/>
  <c r="E51"/>
  <c r="E46"/>
  <c r="E45"/>
  <c r="E44"/>
  <c r="E24" l="1"/>
  <c r="E23"/>
  <c r="E22"/>
  <c r="E21"/>
  <c r="E18"/>
  <c r="E14"/>
  <c r="E13"/>
  <c r="E12"/>
  <c r="E52" i="38"/>
  <c r="E53"/>
  <c r="E43"/>
  <c r="E16"/>
  <c r="E24"/>
  <c r="E23"/>
  <c r="E22"/>
  <c r="E21"/>
  <c r="E18"/>
  <c r="E14"/>
  <c r="E13"/>
  <c r="E12"/>
  <c r="E61" i="37"/>
  <c r="E57" i="4"/>
  <c r="E49" i="3"/>
  <c r="E60"/>
  <c r="E25" i="38" l="1"/>
  <c r="CG42" i="225"/>
  <c r="E61" i="3"/>
  <c r="L51" i="227"/>
  <c r="M51"/>
  <c r="M52" s="1"/>
  <c r="CG38" i="225" l="1"/>
  <c r="G21" i="227"/>
  <c r="L21"/>
  <c r="N21"/>
  <c r="O21"/>
  <c r="I21"/>
  <c r="J21"/>
  <c r="F21"/>
  <c r="CG21" i="225"/>
  <c r="C22"/>
  <c r="D22"/>
  <c r="E22"/>
  <c r="F22"/>
  <c r="G22"/>
  <c r="I22"/>
  <c r="K22"/>
  <c r="L22"/>
  <c r="M22"/>
  <c r="N22"/>
  <c r="O22"/>
  <c r="P22"/>
  <c r="Q22"/>
  <c r="R22"/>
  <c r="S22"/>
  <c r="T22"/>
  <c r="V22"/>
  <c r="Y22"/>
  <c r="AB22"/>
  <c r="AD22"/>
  <c r="AE22"/>
  <c r="AF22"/>
  <c r="AI22"/>
  <c r="BI22"/>
  <c r="BJ22"/>
  <c r="AJ22"/>
  <c r="AK22"/>
  <c r="AL22"/>
  <c r="AQ22"/>
  <c r="AR22"/>
  <c r="AM22"/>
  <c r="AN22"/>
  <c r="AS22"/>
  <c r="AT22"/>
  <c r="AU22"/>
  <c r="AV22"/>
  <c r="AX22"/>
  <c r="AZ22"/>
  <c r="BB22"/>
  <c r="BC22"/>
  <c r="BD22"/>
  <c r="BM22"/>
  <c r="AH22"/>
  <c r="BE22"/>
  <c r="BF22"/>
  <c r="BG22"/>
  <c r="BN22"/>
  <c r="BP22"/>
  <c r="BQ22"/>
  <c r="BR22"/>
  <c r="BS22"/>
  <c r="AG22"/>
  <c r="BT22"/>
  <c r="BU22"/>
  <c r="BV22"/>
  <c r="BW22"/>
  <c r="BX22"/>
  <c r="BY22"/>
  <c r="BZ22"/>
  <c r="CA22"/>
  <c r="CB22"/>
  <c r="CC22"/>
  <c r="CD22"/>
  <c r="CE22"/>
  <c r="CF22"/>
  <c r="AA21" i="226"/>
  <c r="C22"/>
  <c r="D22"/>
  <c r="E22"/>
  <c r="F22"/>
  <c r="G22"/>
  <c r="H22"/>
  <c r="I22"/>
  <c r="J22"/>
  <c r="L22"/>
  <c r="P22"/>
  <c r="Q22"/>
  <c r="S22"/>
  <c r="M22"/>
  <c r="N22"/>
  <c r="R22"/>
  <c r="T22"/>
  <c r="U22"/>
  <c r="V22"/>
  <c r="W22"/>
  <c r="X22"/>
  <c r="Y22"/>
  <c r="O22"/>
  <c r="Z22"/>
  <c r="B22"/>
  <c r="Q51"/>
  <c r="S51"/>
  <c r="M51"/>
  <c r="N51"/>
  <c r="Q40"/>
  <c r="S40"/>
  <c r="M40"/>
  <c r="CG43" i="225"/>
  <c r="CG44"/>
  <c r="CG45"/>
  <c r="CG47"/>
  <c r="CG48"/>
  <c r="CG49"/>
  <c r="CG50"/>
  <c r="CG25"/>
  <c r="CG26"/>
  <c r="CG27"/>
  <c r="CG28"/>
  <c r="CG29"/>
  <c r="CG30"/>
  <c r="CG31"/>
  <c r="CG32"/>
  <c r="CG33"/>
  <c r="CG34"/>
  <c r="CG35"/>
  <c r="CG36"/>
  <c r="CG37"/>
  <c r="CG24"/>
  <c r="CG7"/>
  <c r="CG8"/>
  <c r="CG9"/>
  <c r="CG10"/>
  <c r="CG11"/>
  <c r="CG13"/>
  <c r="CG16"/>
  <c r="CG17"/>
  <c r="CG18"/>
  <c r="CG19"/>
  <c r="CG20"/>
  <c r="P5" i="227"/>
  <c r="AT52" i="225"/>
  <c r="AU52"/>
  <c r="AT40"/>
  <c r="AU40"/>
  <c r="Q56" i="226" l="1"/>
  <c r="M56"/>
  <c r="E123" i="48" s="1"/>
  <c r="AT54" i="225"/>
  <c r="AU54"/>
  <c r="S56" i="226"/>
  <c r="R20" i="227"/>
  <c r="H21"/>
  <c r="CG14" i="225"/>
  <c r="G51" i="227"/>
  <c r="G39"/>
  <c r="S20" i="228"/>
  <c r="G52" i="227" l="1"/>
  <c r="W22" i="225"/>
  <c r="CG15"/>
  <c r="S19" i="228"/>
  <c r="Q18"/>
  <c r="Q23" s="1"/>
  <c r="BL12" i="225" s="1"/>
  <c r="BL22" s="1"/>
  <c r="E18" i="228"/>
  <c r="E23" s="1"/>
  <c r="U12" i="225" s="1"/>
  <c r="U22" s="1"/>
  <c r="F18" i="228" l="1"/>
  <c r="F23" s="1"/>
  <c r="X12" i="225" s="1"/>
  <c r="X22" s="1"/>
  <c r="C23" i="228" l="1"/>
  <c r="H12" i="225" s="1"/>
  <c r="H22" s="1"/>
  <c r="D18" i="228"/>
  <c r="D23" s="1"/>
  <c r="G18"/>
  <c r="G23" s="1"/>
  <c r="Z12" i="225" s="1"/>
  <c r="Z22" s="1"/>
  <c r="H18" i="228"/>
  <c r="E85" i="26" s="1"/>
  <c r="I18" i="228"/>
  <c r="I23" s="1"/>
  <c r="J18"/>
  <c r="J23" s="1"/>
  <c r="P18"/>
  <c r="P23" s="1"/>
  <c r="K18"/>
  <c r="L18"/>
  <c r="L23" s="1"/>
  <c r="M18"/>
  <c r="M23" s="1"/>
  <c r="AY12" i="225" s="1"/>
  <c r="AY22" s="1"/>
  <c r="N18" i="228"/>
  <c r="N23" s="1"/>
  <c r="O18"/>
  <c r="O23" s="1"/>
  <c r="R18"/>
  <c r="E141" i="26" s="1"/>
  <c r="B18" i="228"/>
  <c r="B23" s="1"/>
  <c r="AQ40" i="225"/>
  <c r="G52"/>
  <c r="G40"/>
  <c r="CB40"/>
  <c r="CC40"/>
  <c r="CF40"/>
  <c r="CF52"/>
  <c r="CB52"/>
  <c r="CC52"/>
  <c r="CG51"/>
  <c r="AA10" i="226"/>
  <c r="R9" i="227" s="1"/>
  <c r="K23" i="228" l="1"/>
  <c r="E100" i="26"/>
  <c r="BA22" i="225"/>
  <c r="AW12"/>
  <c r="AW22" s="1"/>
  <c r="BK12"/>
  <c r="BK22" s="1"/>
  <c r="BH12"/>
  <c r="BH22" s="1"/>
  <c r="CF54"/>
  <c r="CB54"/>
  <c r="H23" i="228"/>
  <c r="R23"/>
  <c r="CC54" i="225"/>
  <c r="CG52"/>
  <c r="CG6"/>
  <c r="G54"/>
  <c r="T23" i="228" l="1"/>
  <c r="AC22" i="225"/>
  <c r="E44" i="29"/>
  <c r="G460" i="229"/>
  <c r="G465" s="1"/>
  <c r="G416"/>
  <c r="G417"/>
  <c r="G418"/>
  <c r="G429"/>
  <c r="G415"/>
  <c r="G414"/>
  <c r="G412"/>
  <c r="G378"/>
  <c r="G379"/>
  <c r="G380"/>
  <c r="G381"/>
  <c r="G382"/>
  <c r="G383"/>
  <c r="G377"/>
  <c r="G338"/>
  <c r="G250"/>
  <c r="G251"/>
  <c r="G252"/>
  <c r="G253"/>
  <c r="G254"/>
  <c r="G255"/>
  <c r="G256"/>
  <c r="G257"/>
  <c r="G259"/>
  <c r="G276"/>
  <c r="G277"/>
  <c r="G294"/>
  <c r="G295"/>
  <c r="G296"/>
  <c r="G297"/>
  <c r="G299"/>
  <c r="G300"/>
  <c r="G301"/>
  <c r="G302"/>
  <c r="G303"/>
  <c r="G304"/>
  <c r="G312"/>
  <c r="G313"/>
  <c r="G314"/>
  <c r="G315"/>
  <c r="G249"/>
  <c r="G112"/>
  <c r="G127"/>
  <c r="G139"/>
  <c r="G140"/>
  <c r="G154"/>
  <c r="G155"/>
  <c r="G167"/>
  <c r="G168"/>
  <c r="G169"/>
  <c r="G189"/>
  <c r="H235" s="1"/>
  <c r="J235" s="1"/>
  <c r="G190"/>
  <c r="G203"/>
  <c r="G214"/>
  <c r="G215"/>
  <c r="G216"/>
  <c r="G217"/>
  <c r="G218"/>
  <c r="G219"/>
  <c r="G220"/>
  <c r="G221"/>
  <c r="G222"/>
  <c r="G223"/>
  <c r="G224"/>
  <c r="G225"/>
  <c r="G100"/>
  <c r="G79"/>
  <c r="G80"/>
  <c r="G81"/>
  <c r="G82"/>
  <c r="G84"/>
  <c r="G77"/>
  <c r="G61"/>
  <c r="G62"/>
  <c r="G63"/>
  <c r="G64"/>
  <c r="G65"/>
  <c r="G59"/>
  <c r="G50"/>
  <c r="G51"/>
  <c r="G53"/>
  <c r="G54"/>
  <c r="G55"/>
  <c r="G56"/>
  <c r="G57"/>
  <c r="G49"/>
  <c r="G27"/>
  <c r="G28"/>
  <c r="G29"/>
  <c r="G30"/>
  <c r="G31"/>
  <c r="G32"/>
  <c r="G33"/>
  <c r="G34"/>
  <c r="G35"/>
  <c r="G36"/>
  <c r="G37"/>
  <c r="G38"/>
  <c r="G26"/>
  <c r="G17"/>
  <c r="G18"/>
  <c r="G16"/>
  <c r="F465"/>
  <c r="AM45" i="215"/>
  <c r="G458" i="229" l="1"/>
  <c r="G401"/>
  <c r="G23"/>
  <c r="F467"/>
  <c r="J94" i="28" l="1"/>
  <c r="K96" s="1"/>
  <c r="G71" i="38" l="1"/>
  <c r="D24" i="53" l="1"/>
  <c r="K20"/>
  <c r="K17"/>
  <c r="H17"/>
  <c r="K14"/>
  <c r="H14"/>
  <c r="H11"/>
  <c r="H24" l="1"/>
  <c r="H37" i="107"/>
  <c r="I31" i="202" s="1"/>
  <c r="G37" i="107"/>
  <c r="H31" i="202" s="1"/>
  <c r="G44" i="107"/>
  <c r="G22" i="202" l="1"/>
  <c r="I11" i="332"/>
  <c r="C22" i="202" s="1"/>
  <c r="H11" i="332"/>
  <c r="B22" i="202" s="1"/>
  <c r="H38" i="102"/>
  <c r="H10" i="100"/>
  <c r="I44" i="202"/>
  <c r="H44"/>
  <c r="G44"/>
  <c r="F44"/>
  <c r="J33" i="330"/>
  <c r="N8" i="202" s="1"/>
  <c r="B33" i="330"/>
  <c r="I33" s="1"/>
  <c r="O8" i="202" s="1"/>
  <c r="L44" l="1"/>
  <c r="M44"/>
  <c r="M469" i="229"/>
  <c r="BG6" i="215"/>
  <c r="BD24"/>
  <c r="BE24"/>
  <c r="BD42"/>
  <c r="BE42"/>
  <c r="BE45"/>
  <c r="BE54" s="1"/>
  <c r="BD45"/>
  <c r="BD54" s="1"/>
  <c r="BF24"/>
  <c r="BF42"/>
  <c r="AY45"/>
  <c r="AW45"/>
  <c r="AP45"/>
  <c r="AO45"/>
  <c r="AI45"/>
  <c r="AF42"/>
  <c r="AF54"/>
  <c r="AD45"/>
  <c r="AA45"/>
  <c r="Z45"/>
  <c r="T45"/>
  <c r="R45"/>
  <c r="Q45"/>
  <c r="P45"/>
  <c r="J45"/>
  <c r="D45"/>
  <c r="C45"/>
  <c r="B45"/>
  <c r="J43" i="130"/>
  <c r="I43"/>
  <c r="G43"/>
  <c r="P35"/>
  <c r="BG45" i="215" l="1"/>
  <c r="BI45" s="1"/>
  <c r="BD56"/>
  <c r="S43" i="130"/>
  <c r="BE56" i="215"/>
  <c r="F99" i="1"/>
  <c r="F105" s="1"/>
  <c r="F63"/>
  <c r="F62"/>
  <c r="F61"/>
  <c r="F60"/>
  <c r="F59"/>
  <c r="F58"/>
  <c r="F57"/>
  <c r="F52"/>
  <c r="F51"/>
  <c r="F50"/>
  <c r="F49"/>
  <c r="F48"/>
  <c r="F47"/>
  <c r="F46"/>
  <c r="F28"/>
  <c r="F18"/>
  <c r="F27"/>
  <c r="F26"/>
  <c r="F25"/>
  <c r="F24"/>
  <c r="F20"/>
  <c r="F21"/>
  <c r="F22"/>
  <c r="F23"/>
  <c r="F16"/>
  <c r="F15"/>
  <c r="F14"/>
  <c r="F13"/>
  <c r="G57" i="4"/>
  <c r="G56"/>
  <c r="G55"/>
  <c r="G54"/>
  <c r="G52"/>
  <c r="G53"/>
  <c r="G51"/>
  <c r="G50"/>
  <c r="G49"/>
  <c r="G48"/>
  <c r="G47"/>
  <c r="G46"/>
  <c r="G45"/>
  <c r="G44"/>
  <c r="G25"/>
  <c r="G16"/>
  <c r="G24"/>
  <c r="G23"/>
  <c r="G22"/>
  <c r="G21"/>
  <c r="G17"/>
  <c r="G18"/>
  <c r="G19"/>
  <c r="G20"/>
  <c r="G15"/>
  <c r="G14"/>
  <c r="G13"/>
  <c r="G12"/>
  <c r="G91" i="33"/>
  <c r="G102" s="1"/>
  <c r="G84"/>
  <c r="G87" s="1"/>
  <c r="G61"/>
  <c r="G60"/>
  <c r="G59"/>
  <c r="G58"/>
  <c r="G57"/>
  <c r="G56"/>
  <c r="G55"/>
  <c r="G54"/>
  <c r="G53"/>
  <c r="G52"/>
  <c r="G51"/>
  <c r="G50"/>
  <c r="G49"/>
  <c r="G48"/>
  <c r="G47"/>
  <c r="G46"/>
  <c r="G45"/>
  <c r="G44"/>
  <c r="G24"/>
  <c r="G15"/>
  <c r="G23"/>
  <c r="G22"/>
  <c r="G21"/>
  <c r="G20"/>
  <c r="G16"/>
  <c r="G17"/>
  <c r="G18"/>
  <c r="G19"/>
  <c r="G14"/>
  <c r="G13"/>
  <c r="G12"/>
  <c r="G11"/>
  <c r="G121" i="4" l="1"/>
  <c r="F30" i="1"/>
  <c r="G63" i="33"/>
  <c r="G26"/>
  <c r="G59" i="4"/>
  <c r="G27"/>
  <c r="G81"/>
  <c r="G104" i="33" l="1"/>
  <c r="G123" i="4"/>
  <c r="G118" i="29"/>
  <c r="G117"/>
  <c r="G113"/>
  <c r="G104"/>
  <c r="G103"/>
  <c r="G102"/>
  <c r="G73"/>
  <c r="G62"/>
  <c r="G61"/>
  <c r="G60"/>
  <c r="G77"/>
  <c r="G71"/>
  <c r="G70"/>
  <c r="G67"/>
  <c r="G66"/>
  <c r="G65"/>
  <c r="G76"/>
  <c r="G75"/>
  <c r="G74"/>
  <c r="G59"/>
  <c r="G55"/>
  <c r="G54"/>
  <c r="G53"/>
  <c r="G52"/>
  <c r="G51"/>
  <c r="G49"/>
  <c r="G47"/>
  <c r="G46"/>
  <c r="G44"/>
  <c r="G31"/>
  <c r="G21"/>
  <c r="G30"/>
  <c r="G29"/>
  <c r="G28"/>
  <c r="G27"/>
  <c r="G23"/>
  <c r="G24"/>
  <c r="G22"/>
  <c r="G26"/>
  <c r="G25"/>
  <c r="G20"/>
  <c r="G19"/>
  <c r="G18"/>
  <c r="G17"/>
  <c r="G16"/>
  <c r="G15"/>
  <c r="G14"/>
  <c r="G13"/>
  <c r="G103" i="3"/>
  <c r="G100"/>
  <c r="G92"/>
  <c r="G89"/>
  <c r="G61"/>
  <c r="G60"/>
  <c r="G59"/>
  <c r="G58"/>
  <c r="G56"/>
  <c r="G55"/>
  <c r="G54"/>
  <c r="G53"/>
  <c r="G50"/>
  <c r="G49"/>
  <c r="G48"/>
  <c r="G47"/>
  <c r="G46"/>
  <c r="G45"/>
  <c r="G44"/>
  <c r="G16"/>
  <c r="G25"/>
  <c r="G24"/>
  <c r="G23"/>
  <c r="G22"/>
  <c r="G18"/>
  <c r="G19"/>
  <c r="G17"/>
  <c r="G21"/>
  <c r="G20"/>
  <c r="G15"/>
  <c r="G14"/>
  <c r="G13"/>
  <c r="G12"/>
  <c r="G112" l="1"/>
  <c r="G96"/>
  <c r="G29"/>
  <c r="G70"/>
  <c r="G32" i="29"/>
  <c r="G114" i="3" l="1"/>
  <c r="F94" i="2"/>
  <c r="F63"/>
  <c r="F62"/>
  <c r="F61"/>
  <c r="F60"/>
  <c r="F59"/>
  <c r="F56"/>
  <c r="F57"/>
  <c r="F55"/>
  <c r="F53"/>
  <c r="F54"/>
  <c r="F52"/>
  <c r="F51"/>
  <c r="F50"/>
  <c r="F49"/>
  <c r="F48"/>
  <c r="F47"/>
  <c r="F46"/>
  <c r="F45"/>
  <c r="F44"/>
  <c r="F25"/>
  <c r="F16"/>
  <c r="F24"/>
  <c r="F23"/>
  <c r="F22"/>
  <c r="F21"/>
  <c r="F17"/>
  <c r="F18"/>
  <c r="F19"/>
  <c r="F20"/>
  <c r="F15"/>
  <c r="F14"/>
  <c r="F13"/>
  <c r="F12"/>
  <c r="F73" i="8"/>
  <c r="F59"/>
  <c r="F58"/>
  <c r="F54"/>
  <c r="F57"/>
  <c r="F56"/>
  <c r="F55"/>
  <c r="F52"/>
  <c r="F53"/>
  <c r="F51"/>
  <c r="F50"/>
  <c r="F49"/>
  <c r="F48"/>
  <c r="F47"/>
  <c r="F46"/>
  <c r="F45"/>
  <c r="F44"/>
  <c r="F43"/>
  <c r="F25"/>
  <c r="F24"/>
  <c r="F23"/>
  <c r="F22"/>
  <c r="F21"/>
  <c r="F17"/>
  <c r="F18"/>
  <c r="F19"/>
  <c r="F20"/>
  <c r="F15"/>
  <c r="F14"/>
  <c r="F13"/>
  <c r="F12"/>
  <c r="G68" i="37"/>
  <c r="G72" s="1"/>
  <c r="G61"/>
  <c r="G66" s="1"/>
  <c r="G56"/>
  <c r="G55"/>
  <c r="G54"/>
  <c r="G53"/>
  <c r="G52"/>
  <c r="G50"/>
  <c r="G51"/>
  <c r="G47"/>
  <c r="G45"/>
  <c r="G44"/>
  <c r="G43"/>
  <c r="G25"/>
  <c r="G16"/>
  <c r="G24"/>
  <c r="G23"/>
  <c r="G22"/>
  <c r="G21"/>
  <c r="G17"/>
  <c r="G18"/>
  <c r="G19"/>
  <c r="G20"/>
  <c r="G15"/>
  <c r="G14"/>
  <c r="G13"/>
  <c r="G76" i="38"/>
  <c r="G53"/>
  <c r="G50"/>
  <c r="G48"/>
  <c r="G47"/>
  <c r="G46"/>
  <c r="G45"/>
  <c r="G44"/>
  <c r="G43"/>
  <c r="G24"/>
  <c r="G23"/>
  <c r="G22"/>
  <c r="G21"/>
  <c r="G17"/>
  <c r="G18"/>
  <c r="G14"/>
  <c r="G13"/>
  <c r="G12"/>
  <c r="G66" i="328"/>
  <c r="G70" s="1"/>
  <c r="G56"/>
  <c r="G55"/>
  <c r="G54"/>
  <c r="G53"/>
  <c r="G52"/>
  <c r="G51"/>
  <c r="G50"/>
  <c r="G49"/>
  <c r="G48"/>
  <c r="G47"/>
  <c r="G46"/>
  <c r="G45"/>
  <c r="G44"/>
  <c r="G24"/>
  <c r="G23"/>
  <c r="G22"/>
  <c r="G21"/>
  <c r="G17"/>
  <c r="G18"/>
  <c r="G19"/>
  <c r="G15"/>
  <c r="G14"/>
  <c r="G13"/>
  <c r="G12"/>
  <c r="F231" i="26"/>
  <c r="G231"/>
  <c r="G202"/>
  <c r="G201"/>
  <c r="G200"/>
  <c r="G199"/>
  <c r="G198"/>
  <c r="G126"/>
  <c r="G119"/>
  <c r="G102"/>
  <c r="G92"/>
  <c r="G31"/>
  <c r="G25"/>
  <c r="G26"/>
  <c r="G20"/>
  <c r="G18"/>
  <c r="F139" i="315"/>
  <c r="F124"/>
  <c r="F123"/>
  <c r="F122"/>
  <c r="F121"/>
  <c r="F120"/>
  <c r="F119"/>
  <c r="F118"/>
  <c r="F117"/>
  <c r="F116"/>
  <c r="F115"/>
  <c r="F114"/>
  <c r="F113"/>
  <c r="F112"/>
  <c r="F108"/>
  <c r="F107"/>
  <c r="F106"/>
  <c r="F105"/>
  <c r="F104"/>
  <c r="F103"/>
  <c r="F85"/>
  <c r="F83"/>
  <c r="F82"/>
  <c r="F81"/>
  <c r="F79"/>
  <c r="F77"/>
  <c r="F76"/>
  <c r="F72"/>
  <c r="F71"/>
  <c r="F70"/>
  <c r="F69"/>
  <c r="F67"/>
  <c r="F66"/>
  <c r="F65"/>
  <c r="F63"/>
  <c r="F62"/>
  <c r="F61"/>
  <c r="F60"/>
  <c r="F59"/>
  <c r="F58"/>
  <c r="F57"/>
  <c r="F56"/>
  <c r="F55"/>
  <c r="F52"/>
  <c r="F51"/>
  <c r="F49"/>
  <c r="F45"/>
  <c r="F29"/>
  <c r="F19"/>
  <c r="F28"/>
  <c r="F27"/>
  <c r="F26"/>
  <c r="F25"/>
  <c r="F21"/>
  <c r="F22"/>
  <c r="F20"/>
  <c r="F23"/>
  <c r="F24"/>
  <c r="F17"/>
  <c r="F16"/>
  <c r="F15"/>
  <c r="F14"/>
  <c r="F13"/>
  <c r="F12"/>
  <c r="F11"/>
  <c r="F63" i="10"/>
  <c r="F97"/>
  <c r="F99" s="1"/>
  <c r="F89"/>
  <c r="F88"/>
  <c r="F59"/>
  <c r="F58"/>
  <c r="F57"/>
  <c r="F56"/>
  <c r="F55"/>
  <c r="F61"/>
  <c r="F60"/>
  <c r="F54"/>
  <c r="F53"/>
  <c r="F52"/>
  <c r="F51"/>
  <c r="F50"/>
  <c r="F49"/>
  <c r="F48"/>
  <c r="F47"/>
  <c r="F46"/>
  <c r="F45"/>
  <c r="F44"/>
  <c r="F43"/>
  <c r="F27"/>
  <c r="F18"/>
  <c r="F26"/>
  <c r="F25"/>
  <c r="F19"/>
  <c r="F20"/>
  <c r="F21"/>
  <c r="F22"/>
  <c r="F17"/>
  <c r="F16"/>
  <c r="F15"/>
  <c r="F14"/>
  <c r="F13"/>
  <c r="F12"/>
  <c r="F27" i="24"/>
  <c r="F18"/>
  <c r="F26"/>
  <c r="F25"/>
  <c r="F24"/>
  <c r="F23"/>
  <c r="F19"/>
  <c r="F20"/>
  <c r="F21"/>
  <c r="F22"/>
  <c r="F17"/>
  <c r="F16"/>
  <c r="F15"/>
  <c r="F14"/>
  <c r="F13"/>
  <c r="F12"/>
  <c r="F101"/>
  <c r="F99"/>
  <c r="F95"/>
  <c r="F94"/>
  <c r="F93"/>
  <c r="F92"/>
  <c r="F91"/>
  <c r="F73"/>
  <c r="F63"/>
  <c r="F61"/>
  <c r="F60"/>
  <c r="F59"/>
  <c r="F58"/>
  <c r="F57"/>
  <c r="F56"/>
  <c r="F55"/>
  <c r="F62"/>
  <c r="F54"/>
  <c r="F53"/>
  <c r="F52"/>
  <c r="F51"/>
  <c r="F50"/>
  <c r="F49"/>
  <c r="F48"/>
  <c r="F47"/>
  <c r="F46"/>
  <c r="F45"/>
  <c r="F44"/>
  <c r="G69"/>
  <c r="K69" s="1"/>
  <c r="E69"/>
  <c r="F94" i="19"/>
  <c r="F93"/>
  <c r="F101"/>
  <c r="F92"/>
  <c r="F66"/>
  <c r="F65"/>
  <c r="F64"/>
  <c r="F63"/>
  <c r="F62"/>
  <c r="F61"/>
  <c r="F60"/>
  <c r="F59"/>
  <c r="F58"/>
  <c r="F57"/>
  <c r="F55"/>
  <c r="F54"/>
  <c r="F56"/>
  <c r="F53"/>
  <c r="F52"/>
  <c r="F51"/>
  <c r="F50"/>
  <c r="F49"/>
  <c r="F48"/>
  <c r="F47"/>
  <c r="F46"/>
  <c r="F45"/>
  <c r="F44"/>
  <c r="F28"/>
  <c r="F18"/>
  <c r="F27"/>
  <c r="F26"/>
  <c r="F25"/>
  <c r="F24"/>
  <c r="F19"/>
  <c r="F22"/>
  <c r="F23"/>
  <c r="F17"/>
  <c r="F16"/>
  <c r="F15"/>
  <c r="F14"/>
  <c r="F13"/>
  <c r="F12"/>
  <c r="E88" i="31"/>
  <c r="D88"/>
  <c r="G88"/>
  <c r="K88" s="1"/>
  <c r="F92"/>
  <c r="F95" s="1"/>
  <c r="F86"/>
  <c r="F88" s="1"/>
  <c r="F60"/>
  <c r="F59"/>
  <c r="F58"/>
  <c r="F57"/>
  <c r="F56"/>
  <c r="F55"/>
  <c r="F53"/>
  <c r="F54"/>
  <c r="F52"/>
  <c r="F51"/>
  <c r="F50"/>
  <c r="F49"/>
  <c r="F48"/>
  <c r="F47"/>
  <c r="F46"/>
  <c r="F45"/>
  <c r="F27"/>
  <c r="F17"/>
  <c r="F26"/>
  <c r="F25"/>
  <c r="F24"/>
  <c r="F23"/>
  <c r="F19"/>
  <c r="F20"/>
  <c r="F18"/>
  <c r="F21"/>
  <c r="F16"/>
  <c r="F15"/>
  <c r="F14"/>
  <c r="F13"/>
  <c r="F12"/>
  <c r="F11"/>
  <c r="F95" i="25"/>
  <c r="F98" s="1"/>
  <c r="F86"/>
  <c r="F85"/>
  <c r="F64"/>
  <c r="F60"/>
  <c r="F59"/>
  <c r="F58"/>
  <c r="F57"/>
  <c r="F56"/>
  <c r="F55"/>
  <c r="F62"/>
  <c r="F61"/>
  <c r="F54"/>
  <c r="F53"/>
  <c r="F52"/>
  <c r="F51"/>
  <c r="F50"/>
  <c r="F49"/>
  <c r="F46"/>
  <c r="F45"/>
  <c r="F28"/>
  <c r="F18"/>
  <c r="F27"/>
  <c r="F26"/>
  <c r="F25"/>
  <c r="F24"/>
  <c r="F20"/>
  <c r="F21"/>
  <c r="F19"/>
  <c r="F22"/>
  <c r="F23"/>
  <c r="F17"/>
  <c r="F16"/>
  <c r="F15"/>
  <c r="F14"/>
  <c r="F13"/>
  <c r="F12"/>
  <c r="E98"/>
  <c r="F100" i="18"/>
  <c r="F99"/>
  <c r="F98"/>
  <c r="F90"/>
  <c r="F94" s="1"/>
  <c r="F60"/>
  <c r="F57"/>
  <c r="F56"/>
  <c r="F55"/>
  <c r="F54"/>
  <c r="F53"/>
  <c r="F52"/>
  <c r="F58"/>
  <c r="F51"/>
  <c r="F50"/>
  <c r="F49"/>
  <c r="F48"/>
  <c r="F47"/>
  <c r="F46"/>
  <c r="F45"/>
  <c r="F44"/>
  <c r="F28"/>
  <c r="F18"/>
  <c r="F27"/>
  <c r="F26"/>
  <c r="F25"/>
  <c r="F24"/>
  <c r="F20"/>
  <c r="F21"/>
  <c r="F19"/>
  <c r="F22"/>
  <c r="F23"/>
  <c r="F17"/>
  <c r="F16"/>
  <c r="F15"/>
  <c r="F14"/>
  <c r="F13"/>
  <c r="F12"/>
  <c r="E56" i="21"/>
  <c r="F61"/>
  <c r="F63" s="1"/>
  <c r="F54"/>
  <c r="F53"/>
  <c r="F52"/>
  <c r="F50"/>
  <c r="F51"/>
  <c r="F49"/>
  <c r="F48"/>
  <c r="F47"/>
  <c r="F46"/>
  <c r="F45"/>
  <c r="F44"/>
  <c r="F43"/>
  <c r="F27"/>
  <c r="F18"/>
  <c r="F26"/>
  <c r="F25"/>
  <c r="F24"/>
  <c r="F23"/>
  <c r="F20"/>
  <c r="F22"/>
  <c r="F17"/>
  <c r="F16"/>
  <c r="F15"/>
  <c r="F14"/>
  <c r="F13"/>
  <c r="F12"/>
  <c r="F89" i="23"/>
  <c r="F92" s="1"/>
  <c r="F83"/>
  <c r="F86" s="1"/>
  <c r="F61"/>
  <c r="F60"/>
  <c r="F59"/>
  <c r="F58"/>
  <c r="F57"/>
  <c r="F55"/>
  <c r="F56"/>
  <c r="F54"/>
  <c r="F53"/>
  <c r="F52"/>
  <c r="F51"/>
  <c r="F50"/>
  <c r="F49"/>
  <c r="F48"/>
  <c r="F47"/>
  <c r="F46"/>
  <c r="F45"/>
  <c r="F44"/>
  <c r="F28"/>
  <c r="F19"/>
  <c r="F27"/>
  <c r="F26"/>
  <c r="F25"/>
  <c r="F24"/>
  <c r="F20"/>
  <c r="F21"/>
  <c r="F22"/>
  <c r="F23"/>
  <c r="F18"/>
  <c r="F16"/>
  <c r="F15"/>
  <c r="F14"/>
  <c r="F13"/>
  <c r="F12"/>
  <c r="G69" i="329"/>
  <c r="G63"/>
  <c r="G45"/>
  <c r="G44"/>
  <c r="G43"/>
  <c r="G26"/>
  <c r="G25"/>
  <c r="G24"/>
  <c r="G23"/>
  <c r="G19"/>
  <c r="G20"/>
  <c r="G22"/>
  <c r="G21"/>
  <c r="G17"/>
  <c r="G16"/>
  <c r="G15"/>
  <c r="G14"/>
  <c r="G13"/>
  <c r="G12"/>
  <c r="G11"/>
  <c r="G68" i="20"/>
  <c r="I68" s="1"/>
  <c r="J68"/>
  <c r="F136"/>
  <c r="F135"/>
  <c r="F134"/>
  <c r="F133"/>
  <c r="F130"/>
  <c r="F129"/>
  <c r="F127"/>
  <c r="F110"/>
  <c r="F109"/>
  <c r="F107"/>
  <c r="F106"/>
  <c r="F105"/>
  <c r="F104"/>
  <c r="F103"/>
  <c r="F102"/>
  <c r="F101"/>
  <c r="F100"/>
  <c r="F99"/>
  <c r="F98"/>
  <c r="F97"/>
  <c r="F90"/>
  <c r="F89"/>
  <c r="F66"/>
  <c r="F65"/>
  <c r="F64"/>
  <c r="F63"/>
  <c r="F62"/>
  <c r="F61"/>
  <c r="F60"/>
  <c r="F59"/>
  <c r="F58"/>
  <c r="F57"/>
  <c r="F56"/>
  <c r="F55"/>
  <c r="F54"/>
  <c r="F52"/>
  <c r="F51"/>
  <c r="F50"/>
  <c r="F47"/>
  <c r="F46"/>
  <c r="F45"/>
  <c r="F44"/>
  <c r="F30"/>
  <c r="F20"/>
  <c r="F29"/>
  <c r="F28"/>
  <c r="F27"/>
  <c r="F26"/>
  <c r="F22"/>
  <c r="F23"/>
  <c r="F21"/>
  <c r="F19"/>
  <c r="F24"/>
  <c r="F25"/>
  <c r="F18"/>
  <c r="F17"/>
  <c r="F16"/>
  <c r="F15"/>
  <c r="F14"/>
  <c r="F13"/>
  <c r="F12"/>
  <c r="F11"/>
  <c r="G71" i="32"/>
  <c r="K71" s="1"/>
  <c r="E71"/>
  <c r="F66"/>
  <c r="F95"/>
  <c r="F92"/>
  <c r="G127" s="1"/>
  <c r="F84"/>
  <c r="F69"/>
  <c r="F68"/>
  <c r="F67"/>
  <c r="F65"/>
  <c r="F64"/>
  <c r="F63"/>
  <c r="F61"/>
  <c r="F60"/>
  <c r="F59"/>
  <c r="F62"/>
  <c r="F58"/>
  <c r="F57"/>
  <c r="F56"/>
  <c r="F55"/>
  <c r="F52"/>
  <c r="F54"/>
  <c r="F53"/>
  <c r="F51"/>
  <c r="F50"/>
  <c r="F49"/>
  <c r="F48"/>
  <c r="F47"/>
  <c r="F46"/>
  <c r="F45"/>
  <c r="F44"/>
  <c r="F29"/>
  <c r="F20"/>
  <c r="F28"/>
  <c r="F27"/>
  <c r="F26"/>
  <c r="F25"/>
  <c r="F21"/>
  <c r="F22"/>
  <c r="F19"/>
  <c r="F23"/>
  <c r="F24"/>
  <c r="F18"/>
  <c r="F17"/>
  <c r="F16"/>
  <c r="F15"/>
  <c r="F14"/>
  <c r="F13"/>
  <c r="F12"/>
  <c r="F11"/>
  <c r="G86" i="6"/>
  <c r="K86" s="1"/>
  <c r="F113"/>
  <c r="F84"/>
  <c r="F83"/>
  <c r="F82"/>
  <c r="F65"/>
  <c r="F63"/>
  <c r="F62"/>
  <c r="F61"/>
  <c r="F58"/>
  <c r="F56"/>
  <c r="F55"/>
  <c r="F52"/>
  <c r="F54"/>
  <c r="F53"/>
  <c r="F51"/>
  <c r="F50"/>
  <c r="F49"/>
  <c r="F48"/>
  <c r="F47"/>
  <c r="F46"/>
  <c r="F45"/>
  <c r="F44"/>
  <c r="F29"/>
  <c r="F20"/>
  <c r="F28"/>
  <c r="F27"/>
  <c r="F26"/>
  <c r="F25"/>
  <c r="F21"/>
  <c r="F22"/>
  <c r="F19"/>
  <c r="F23"/>
  <c r="F24"/>
  <c r="F18"/>
  <c r="F17"/>
  <c r="F16"/>
  <c r="F15"/>
  <c r="F14"/>
  <c r="F13"/>
  <c r="F12"/>
  <c r="F11"/>
  <c r="J71" i="12"/>
  <c r="F103"/>
  <c r="F105" s="1"/>
  <c r="F91"/>
  <c r="F69"/>
  <c r="F68"/>
  <c r="F67"/>
  <c r="F66"/>
  <c r="F65"/>
  <c r="F64"/>
  <c r="F63"/>
  <c r="F62"/>
  <c r="F61"/>
  <c r="F60"/>
  <c r="F59"/>
  <c r="F58"/>
  <c r="F57"/>
  <c r="F56"/>
  <c r="F55"/>
  <c r="F54"/>
  <c r="F53"/>
  <c r="F52"/>
  <c r="F51"/>
  <c r="F50"/>
  <c r="F49"/>
  <c r="F48"/>
  <c r="F47"/>
  <c r="F46"/>
  <c r="F45"/>
  <c r="F44"/>
  <c r="F43"/>
  <c r="F29"/>
  <c r="F20"/>
  <c r="F28"/>
  <c r="F27"/>
  <c r="F26"/>
  <c r="F25"/>
  <c r="F21"/>
  <c r="F22"/>
  <c r="F19"/>
  <c r="F23"/>
  <c r="F24"/>
  <c r="F18"/>
  <c r="F17"/>
  <c r="F16"/>
  <c r="F15"/>
  <c r="F14"/>
  <c r="F13"/>
  <c r="F12"/>
  <c r="F11"/>
  <c r="E86" i="14"/>
  <c r="J86"/>
  <c r="F107"/>
  <c r="F89"/>
  <c r="F84"/>
  <c r="F83"/>
  <c r="F82"/>
  <c r="F81"/>
  <c r="F64"/>
  <c r="F63"/>
  <c r="F62"/>
  <c r="F59"/>
  <c r="F58"/>
  <c r="F57"/>
  <c r="F56"/>
  <c r="F55"/>
  <c r="F54"/>
  <c r="F53"/>
  <c r="F52"/>
  <c r="F51"/>
  <c r="F50"/>
  <c r="F49"/>
  <c r="F48"/>
  <c r="F47"/>
  <c r="F46"/>
  <c r="F45"/>
  <c r="F44"/>
  <c r="F29"/>
  <c r="F20"/>
  <c r="F28"/>
  <c r="F27"/>
  <c r="F26"/>
  <c r="F25"/>
  <c r="F21"/>
  <c r="F22"/>
  <c r="F19"/>
  <c r="F23"/>
  <c r="F24"/>
  <c r="F18"/>
  <c r="F17"/>
  <c r="F16"/>
  <c r="F15"/>
  <c r="F14"/>
  <c r="F13"/>
  <c r="F12"/>
  <c r="F11"/>
  <c r="J85" i="7"/>
  <c r="F83"/>
  <c r="F82"/>
  <c r="F81"/>
  <c r="F80"/>
  <c r="F79"/>
  <c r="F65"/>
  <c r="F64"/>
  <c r="F63"/>
  <c r="F62"/>
  <c r="F61"/>
  <c r="F60"/>
  <c r="F59"/>
  <c r="F58"/>
  <c r="F57"/>
  <c r="F56"/>
  <c r="F55"/>
  <c r="F54"/>
  <c r="F53"/>
  <c r="F52"/>
  <c r="F51"/>
  <c r="F50"/>
  <c r="F49"/>
  <c r="F48"/>
  <c r="F47"/>
  <c r="F46"/>
  <c r="F45"/>
  <c r="F44"/>
  <c r="F31"/>
  <c r="F21"/>
  <c r="F30"/>
  <c r="F29"/>
  <c r="F28"/>
  <c r="F27"/>
  <c r="F23"/>
  <c r="F24"/>
  <c r="F22"/>
  <c r="F20"/>
  <c r="F25"/>
  <c r="F26"/>
  <c r="F19"/>
  <c r="F18"/>
  <c r="F17"/>
  <c r="F16"/>
  <c r="F15"/>
  <c r="F14"/>
  <c r="F13"/>
  <c r="F12"/>
  <c r="J88" i="9"/>
  <c r="F87"/>
  <c r="F99"/>
  <c r="F86"/>
  <c r="F85"/>
  <c r="F84"/>
  <c r="F83"/>
  <c r="F82"/>
  <c r="F63"/>
  <c r="F61"/>
  <c r="F60"/>
  <c r="F59"/>
  <c r="F58"/>
  <c r="F57"/>
  <c r="F56"/>
  <c r="F52"/>
  <c r="F55"/>
  <c r="F54"/>
  <c r="F53"/>
  <c r="F51"/>
  <c r="F50"/>
  <c r="F49"/>
  <c r="F48"/>
  <c r="F47"/>
  <c r="F46"/>
  <c r="F45"/>
  <c r="F44"/>
  <c r="F19"/>
  <c r="F27"/>
  <c r="F26"/>
  <c r="F25"/>
  <c r="F24"/>
  <c r="F20"/>
  <c r="F21"/>
  <c r="F18"/>
  <c r="F22"/>
  <c r="F23"/>
  <c r="F17"/>
  <c r="F16"/>
  <c r="F15"/>
  <c r="F14"/>
  <c r="F13"/>
  <c r="F12"/>
  <c r="F127" i="5"/>
  <c r="E85"/>
  <c r="F82"/>
  <c r="F81"/>
  <c r="F80"/>
  <c r="F64"/>
  <c r="F63"/>
  <c r="F61"/>
  <c r="F60"/>
  <c r="F59"/>
  <c r="F58"/>
  <c r="F56"/>
  <c r="F55"/>
  <c r="F54"/>
  <c r="F53"/>
  <c r="F52"/>
  <c r="F51"/>
  <c r="F50"/>
  <c r="F49"/>
  <c r="F48"/>
  <c r="F47"/>
  <c r="F46"/>
  <c r="F45"/>
  <c r="F44"/>
  <c r="F28"/>
  <c r="F19"/>
  <c r="F27"/>
  <c r="F26"/>
  <c r="F25"/>
  <c r="F24"/>
  <c r="F20"/>
  <c r="F21"/>
  <c r="F18"/>
  <c r="F22"/>
  <c r="F23"/>
  <c r="F17"/>
  <c r="F16"/>
  <c r="F15"/>
  <c r="F14"/>
  <c r="F13"/>
  <c r="F12"/>
  <c r="K90" i="15"/>
  <c r="F107"/>
  <c r="F84"/>
  <c r="F83"/>
  <c r="F85"/>
  <c r="F82"/>
  <c r="F63"/>
  <c r="F62"/>
  <c r="F61"/>
  <c r="F58"/>
  <c r="F59"/>
  <c r="F87"/>
  <c r="F86"/>
  <c r="F57"/>
  <c r="F56"/>
  <c r="F55"/>
  <c r="F54"/>
  <c r="F51"/>
  <c r="F53"/>
  <c r="F52"/>
  <c r="F50"/>
  <c r="F49"/>
  <c r="F48"/>
  <c r="F47"/>
  <c r="F46"/>
  <c r="F45"/>
  <c r="F44"/>
  <c r="F43"/>
  <c r="F28"/>
  <c r="F19"/>
  <c r="F27"/>
  <c r="F26"/>
  <c r="F25"/>
  <c r="F24"/>
  <c r="F20"/>
  <c r="F21"/>
  <c r="F18"/>
  <c r="F22"/>
  <c r="F23"/>
  <c r="F17"/>
  <c r="F16"/>
  <c r="F15"/>
  <c r="F14"/>
  <c r="F13"/>
  <c r="F12"/>
  <c r="F105" i="11"/>
  <c r="G70"/>
  <c r="E70"/>
  <c r="J105"/>
  <c r="J70"/>
  <c r="F68"/>
  <c r="F67"/>
  <c r="F66"/>
  <c r="F65"/>
  <c r="F64"/>
  <c r="F63"/>
  <c r="F62"/>
  <c r="F59"/>
  <c r="F58"/>
  <c r="F57"/>
  <c r="F55"/>
  <c r="F54"/>
  <c r="F53"/>
  <c r="F52"/>
  <c r="F51"/>
  <c r="F50"/>
  <c r="F49"/>
  <c r="F48"/>
  <c r="F47"/>
  <c r="F46"/>
  <c r="F45"/>
  <c r="F44"/>
  <c r="F43"/>
  <c r="F28"/>
  <c r="F19"/>
  <c r="F27"/>
  <c r="F26"/>
  <c r="F25"/>
  <c r="F24"/>
  <c r="F20"/>
  <c r="F21"/>
  <c r="F18"/>
  <c r="F22"/>
  <c r="F23"/>
  <c r="F17"/>
  <c r="F16"/>
  <c r="F15"/>
  <c r="F14"/>
  <c r="F13"/>
  <c r="F12"/>
  <c r="F85" i="22"/>
  <c r="F84"/>
  <c r="F83"/>
  <c r="F82"/>
  <c r="F81"/>
  <c r="F64"/>
  <c r="F63"/>
  <c r="F62"/>
  <c r="F61"/>
  <c r="F60"/>
  <c r="F59"/>
  <c r="F58"/>
  <c r="F57"/>
  <c r="F56"/>
  <c r="F55"/>
  <c r="F54"/>
  <c r="F52"/>
  <c r="F51"/>
  <c r="F50"/>
  <c r="F49"/>
  <c r="F48"/>
  <c r="F47"/>
  <c r="F46"/>
  <c r="F45"/>
  <c r="F44"/>
  <c r="F27"/>
  <c r="F18"/>
  <c r="F26"/>
  <c r="F25"/>
  <c r="F24"/>
  <c r="F23"/>
  <c r="F19"/>
  <c r="F20"/>
  <c r="F17"/>
  <c r="F21"/>
  <c r="F22"/>
  <c r="F16"/>
  <c r="F15"/>
  <c r="F14"/>
  <c r="F13"/>
  <c r="F12"/>
  <c r="F11"/>
  <c r="F99" i="28"/>
  <c r="F98"/>
  <c r="F88"/>
  <c r="F94" s="1"/>
  <c r="F67"/>
  <c r="F66"/>
  <c r="F65"/>
  <c r="F61"/>
  <c r="F60"/>
  <c r="F64"/>
  <c r="F59"/>
  <c r="F58"/>
  <c r="F57"/>
  <c r="F56"/>
  <c r="F54"/>
  <c r="F55"/>
  <c r="F63"/>
  <c r="F62"/>
  <c r="F53"/>
  <c r="F52"/>
  <c r="F51"/>
  <c r="F50"/>
  <c r="F49"/>
  <c r="F48"/>
  <c r="F47"/>
  <c r="F46"/>
  <c r="F45"/>
  <c r="F44"/>
  <c r="F29"/>
  <c r="F19"/>
  <c r="F28"/>
  <c r="F27"/>
  <c r="F26"/>
  <c r="F25"/>
  <c r="F21"/>
  <c r="F22"/>
  <c r="F18"/>
  <c r="F23"/>
  <c r="F24"/>
  <c r="F17"/>
  <c r="F16"/>
  <c r="F15"/>
  <c r="F14"/>
  <c r="F13"/>
  <c r="F12"/>
  <c r="F91" i="16"/>
  <c r="F94"/>
  <c r="F90"/>
  <c r="F86"/>
  <c r="F61"/>
  <c r="F60"/>
  <c r="F59"/>
  <c r="F58"/>
  <c r="F57"/>
  <c r="F56"/>
  <c r="F54"/>
  <c r="F53"/>
  <c r="F52"/>
  <c r="F51"/>
  <c r="F50"/>
  <c r="F49"/>
  <c r="F48"/>
  <c r="F47"/>
  <c r="F46"/>
  <c r="F45"/>
  <c r="F27"/>
  <c r="F17"/>
  <c r="F26"/>
  <c r="F25"/>
  <c r="F24"/>
  <c r="F23"/>
  <c r="F19"/>
  <c r="F20"/>
  <c r="F18"/>
  <c r="F21"/>
  <c r="F22"/>
  <c r="F16"/>
  <c r="F15"/>
  <c r="F14"/>
  <c r="F13"/>
  <c r="F12"/>
  <c r="F11"/>
  <c r="E94" i="35"/>
  <c r="F89"/>
  <c r="F87"/>
  <c r="F64"/>
  <c r="F63"/>
  <c r="F62"/>
  <c r="F61"/>
  <c r="F60"/>
  <c r="F59"/>
  <c r="F58"/>
  <c r="F57"/>
  <c r="F54"/>
  <c r="F53"/>
  <c r="F52"/>
  <c r="F51"/>
  <c r="F50"/>
  <c r="F49"/>
  <c r="F48"/>
  <c r="F47"/>
  <c r="F46"/>
  <c r="F45"/>
  <c r="F28"/>
  <c r="F18"/>
  <c r="F27"/>
  <c r="F26"/>
  <c r="F25"/>
  <c r="F24"/>
  <c r="F20"/>
  <c r="F21"/>
  <c r="F19"/>
  <c r="F22"/>
  <c r="F23"/>
  <c r="F17"/>
  <c r="F16"/>
  <c r="F15"/>
  <c r="F14"/>
  <c r="F13"/>
  <c r="F12"/>
  <c r="G30" i="17"/>
  <c r="G21"/>
  <c r="G29"/>
  <c r="G28"/>
  <c r="G27"/>
  <c r="G26"/>
  <c r="G22"/>
  <c r="G23"/>
  <c r="G20"/>
  <c r="G24"/>
  <c r="G25"/>
  <c r="G19"/>
  <c r="G18"/>
  <c r="G17"/>
  <c r="G16"/>
  <c r="G15"/>
  <c r="G14"/>
  <c r="G13"/>
  <c r="G12"/>
  <c r="G150"/>
  <c r="G147"/>
  <c r="G139"/>
  <c r="G129"/>
  <c r="G119"/>
  <c r="G117"/>
  <c r="G113"/>
  <c r="G101"/>
  <c r="G92"/>
  <c r="G87"/>
  <c r="G64"/>
  <c r="G63"/>
  <c r="G62"/>
  <c r="G61"/>
  <c r="G60"/>
  <c r="G59"/>
  <c r="G58"/>
  <c r="G57"/>
  <c r="G56"/>
  <c r="G55"/>
  <c r="G54"/>
  <c r="G53"/>
  <c r="G52"/>
  <c r="G51"/>
  <c r="G50"/>
  <c r="G49"/>
  <c r="G48"/>
  <c r="G47"/>
  <c r="G46"/>
  <c r="G45"/>
  <c r="G63" i="34"/>
  <c r="E63"/>
  <c r="E29"/>
  <c r="G29"/>
  <c r="F69"/>
  <c r="F61"/>
  <c r="F60"/>
  <c r="F59"/>
  <c r="F58"/>
  <c r="F57"/>
  <c r="F56"/>
  <c r="F45"/>
  <c r="F46"/>
  <c r="F47"/>
  <c r="F48"/>
  <c r="F49"/>
  <c r="F50"/>
  <c r="F51"/>
  <c r="F52"/>
  <c r="F53"/>
  <c r="F55"/>
  <c r="F44"/>
  <c r="F18"/>
  <c r="F13"/>
  <c r="F14"/>
  <c r="F15"/>
  <c r="F16"/>
  <c r="F17"/>
  <c r="F22"/>
  <c r="F21"/>
  <c r="F20"/>
  <c r="F19"/>
  <c r="F23"/>
  <c r="F24"/>
  <c r="F25"/>
  <c r="F26"/>
  <c r="F27"/>
  <c r="F12"/>
  <c r="F87" i="315" l="1"/>
  <c r="K68" i="20"/>
  <c r="K70" i="11"/>
  <c r="I63" i="34"/>
  <c r="K63"/>
  <c r="F67" i="35"/>
  <c r="F94"/>
  <c r="F99" i="16"/>
  <c r="F92" i="25"/>
  <c r="F62" i="31"/>
  <c r="F111" i="28"/>
  <c r="F93" i="10"/>
  <c r="F86" i="22"/>
  <c r="F106" i="19"/>
  <c r="F127" i="32"/>
  <c r="F86" i="6"/>
  <c r="G78" i="328"/>
  <c r="F29" i="21"/>
  <c r="F135" i="315"/>
  <c r="F99" i="12"/>
  <c r="F103" i="24"/>
  <c r="F30" i="11"/>
  <c r="F94" i="20"/>
  <c r="G65" i="329"/>
  <c r="F67" i="2"/>
  <c r="F90" i="15"/>
  <c r="F70" i="11"/>
  <c r="F63" i="16"/>
  <c r="F63" i="34"/>
  <c r="F30" i="5"/>
  <c r="F34" i="7"/>
  <c r="F111" i="14"/>
  <c r="F71" i="12"/>
  <c r="F31" i="6"/>
  <c r="F31" i="32"/>
  <c r="F32" i="20"/>
  <c r="G28" i="329"/>
  <c r="F63" i="23"/>
  <c r="F30"/>
  <c r="F62" i="18"/>
  <c r="F30" i="25"/>
  <c r="F29" i="31"/>
  <c r="F69" i="19"/>
  <c r="F31"/>
  <c r="F29" i="24"/>
  <c r="F77"/>
  <c r="F29" i="10"/>
  <c r="F30" i="315"/>
  <c r="G62" i="328"/>
  <c r="G25"/>
  <c r="G27" i="37"/>
  <c r="F60" i="8"/>
  <c r="F27"/>
  <c r="F27" i="2"/>
  <c r="F29" i="16"/>
  <c r="F69" i="28"/>
  <c r="F31"/>
  <c r="F29" i="22"/>
  <c r="F85" i="5"/>
  <c r="F86" i="14"/>
  <c r="F71" i="32"/>
  <c r="F103" i="18"/>
  <c r="F30"/>
  <c r="F69" i="24"/>
  <c r="G25" i="38"/>
  <c r="G205" i="26"/>
  <c r="F56" i="21"/>
  <c r="F31" i="12"/>
  <c r="F32" i="14"/>
  <c r="F85" i="7"/>
  <c r="F30" i="9"/>
  <c r="F88"/>
  <c r="F121"/>
  <c r="F30" i="15"/>
  <c r="F29" i="34"/>
  <c r="F113" i="28" l="1"/>
  <c r="F112" i="11"/>
  <c r="G76" i="329"/>
  <c r="F100" i="2"/>
  <c r="F112" i="19"/>
  <c r="F97" i="31"/>
  <c r="F94" i="23"/>
  <c r="F106" i="16"/>
  <c r="F133" i="5"/>
  <c r="F103" i="7"/>
  <c r="F117" i="14"/>
  <c r="F119" i="6"/>
  <c r="F68" i="21"/>
  <c r="F106" i="18"/>
  <c r="F105" i="24"/>
  <c r="F141" i="315"/>
  <c r="G80" i="328"/>
  <c r="F75" i="8"/>
  <c r="F109" i="22"/>
  <c r="F113" i="15"/>
  <c r="F107" i="12"/>
  <c r="F134" i="32"/>
  <c r="F127" i="9"/>
  <c r="E44" i="112"/>
  <c r="D44"/>
  <c r="B44"/>
  <c r="F44"/>
  <c r="E50" i="113"/>
  <c r="F50"/>
  <c r="D50"/>
  <c r="B50"/>
  <c r="D37" i="336" l="1"/>
  <c r="P44" i="202"/>
  <c r="G22" i="336"/>
  <c r="G37" s="1"/>
  <c r="L12" i="335" s="1"/>
  <c r="F22" i="336"/>
  <c r="F37" s="1"/>
  <c r="E22"/>
  <c r="E37" s="1"/>
  <c r="B22"/>
  <c r="B37" s="1"/>
  <c r="J46" i="27"/>
  <c r="K46" s="1"/>
  <c r="K12" i="335" l="1"/>
  <c r="B43" i="214" s="1"/>
  <c r="L22" i="335"/>
  <c r="K43" i="214" s="1"/>
  <c r="L24" i="335"/>
  <c r="K24" s="1"/>
  <c r="R43" i="214" s="1"/>
  <c r="L20" i="335"/>
  <c r="K20" s="1"/>
  <c r="Q43" i="214" s="1"/>
  <c r="AA44" i="202"/>
  <c r="Z44"/>
  <c r="M12" i="335"/>
  <c r="L26" l="1"/>
  <c r="T43" i="214" s="1"/>
  <c r="L25" i="335"/>
  <c r="L23"/>
  <c r="K23" s="1"/>
  <c r="L43" i="214" s="1"/>
  <c r="L13" i="335"/>
  <c r="L16"/>
  <c r="K16" s="1"/>
  <c r="G43" i="214" s="1"/>
  <c r="L17" i="335"/>
  <c r="M46" i="27"/>
  <c r="N46" s="1"/>
  <c r="G46"/>
  <c r="H46" s="1"/>
  <c r="I66" i="335"/>
  <c r="H66"/>
  <c r="L66" s="1"/>
  <c r="E66"/>
  <c r="E45" i="107"/>
  <c r="K17" i="335" l="1"/>
  <c r="J43" i="214" s="1"/>
  <c r="L21" i="335"/>
  <c r="K21" s="1"/>
  <c r="P43" i="214" s="1"/>
  <c r="K25" i="335"/>
  <c r="S43" i="214" s="1"/>
  <c r="L27" i="335"/>
  <c r="K27" s="1"/>
  <c r="U43" i="214" s="1"/>
  <c r="K13" i="335"/>
  <c r="H146"/>
  <c r="E146"/>
  <c r="L29" l="1"/>
  <c r="K29"/>
  <c r="D43" i="214"/>
  <c r="Z43" s="1"/>
  <c r="K146" i="335" l="1"/>
  <c r="C46" i="27"/>
  <c r="B32" i="332"/>
  <c r="H22"/>
  <c r="P46" i="27" l="1"/>
  <c r="V46" s="1"/>
  <c r="E46"/>
  <c r="I156" i="335"/>
  <c r="J156" s="1"/>
  <c r="L146"/>
  <c r="J68" i="29"/>
  <c r="P107" i="27" l="1"/>
  <c r="I201" i="48" l="1"/>
  <c r="I194"/>
  <c r="I191"/>
  <c r="I124" i="213"/>
  <c r="I126"/>
  <c r="I127"/>
  <c r="I130"/>
  <c r="B38" i="130"/>
  <c r="I36"/>
  <c r="J36"/>
  <c r="G36"/>
  <c r="E36"/>
  <c r="E40" s="1"/>
  <c r="E56" s="1"/>
  <c r="P33"/>
  <c r="M28"/>
  <c r="P7"/>
  <c r="F46"/>
  <c r="F53" s="1"/>
  <c r="G46"/>
  <c r="BF48" i="215"/>
  <c r="BF54" s="1"/>
  <c r="AP23"/>
  <c r="AD23"/>
  <c r="T23"/>
  <c r="R23"/>
  <c r="Q23"/>
  <c r="J23"/>
  <c r="C21" i="214"/>
  <c r="J168" i="229"/>
  <c r="J167"/>
  <c r="H205" i="26"/>
  <c r="L205" s="1"/>
  <c r="H118" i="213" l="1"/>
  <c r="BF56" i="215"/>
  <c r="C64" i="124" s="1"/>
  <c r="L177" i="48" s="1"/>
  <c r="I104" i="213"/>
  <c r="J45" i="29"/>
  <c r="L193" i="48" l="1"/>
  <c r="J118" i="213"/>
  <c r="J200" i="26"/>
  <c r="D60" i="228"/>
  <c r="D65" s="1"/>
  <c r="H60"/>
  <c r="H65" s="1"/>
  <c r="I60"/>
  <c r="J60"/>
  <c r="J65" s="1"/>
  <c r="P60"/>
  <c r="P65" s="1"/>
  <c r="K60"/>
  <c r="K65" s="1"/>
  <c r="L60"/>
  <c r="L65" s="1"/>
  <c r="M60"/>
  <c r="M65" s="1"/>
  <c r="R60"/>
  <c r="R65" s="1"/>
  <c r="B60"/>
  <c r="B65" s="1"/>
  <c r="I65"/>
  <c r="S61"/>
  <c r="S48"/>
  <c r="S49"/>
  <c r="S50"/>
  <c r="S51"/>
  <c r="S52"/>
  <c r="S53"/>
  <c r="S54"/>
  <c r="S55"/>
  <c r="S56"/>
  <c r="S57"/>
  <c r="S58"/>
  <c r="S59"/>
  <c r="S62"/>
  <c r="S63"/>
  <c r="S64"/>
  <c r="S47"/>
  <c r="J46" i="37"/>
  <c r="H99" i="16"/>
  <c r="I90"/>
  <c r="S65" i="228" l="1"/>
  <c r="M23" i="27"/>
  <c r="N23" s="1"/>
  <c r="I95" i="32"/>
  <c r="J127" s="1"/>
  <c r="K127" s="1"/>
  <c r="J94" i="20"/>
  <c r="K94" s="1"/>
  <c r="E124" i="213" l="1"/>
  <c r="G20" i="130"/>
  <c r="G25"/>
  <c r="I25"/>
  <c r="O25"/>
  <c r="P27"/>
  <c r="P28"/>
  <c r="L28"/>
  <c r="M30"/>
  <c r="G129" i="213"/>
  <c r="J129" s="1"/>
  <c r="E130"/>
  <c r="L32" i="130"/>
  <c r="I32"/>
  <c r="L40" l="1"/>
  <c r="L56" s="1"/>
  <c r="J416" i="229"/>
  <c r="J215"/>
  <c r="J214"/>
  <c r="I65" i="329"/>
  <c r="I101" i="19"/>
  <c r="H135" i="315"/>
  <c r="H87"/>
  <c r="I87" s="1"/>
  <c r="I83"/>
  <c r="I82"/>
  <c r="I79"/>
  <c r="I49"/>
  <c r="I52"/>
  <c r="I57"/>
  <c r="I63"/>
  <c r="I65"/>
  <c r="I70"/>
  <c r="I72"/>
  <c r="I75"/>
  <c r="I76"/>
  <c r="I45"/>
  <c r="I52" i="1"/>
  <c r="I53"/>
  <c r="I70" i="328"/>
  <c r="I60" i="38"/>
  <c r="J61" i="37"/>
  <c r="J54"/>
  <c r="I69" i="8"/>
  <c r="I70"/>
  <c r="I71"/>
  <c r="I56"/>
  <c r="I46"/>
  <c r="J53" i="33"/>
  <c r="J68" i="4"/>
  <c r="J69"/>
  <c r="J70"/>
  <c r="J71"/>
  <c r="J73"/>
  <c r="J74"/>
  <c r="J75"/>
  <c r="J76"/>
  <c r="J77"/>
  <c r="I96" i="3"/>
  <c r="I70"/>
  <c r="J52"/>
  <c r="J49"/>
  <c r="I120" i="29"/>
  <c r="J104"/>
  <c r="I86" i="15"/>
  <c r="I88" i="7"/>
  <c r="I58"/>
  <c r="I103" i="12"/>
  <c r="H105"/>
  <c r="I62"/>
  <c r="I61"/>
  <c r="I127" i="32"/>
  <c r="I130" i="20"/>
  <c r="I136"/>
  <c r="I135"/>
  <c r="I134"/>
  <c r="I133"/>
  <c r="I129"/>
  <c r="I109"/>
  <c r="I110"/>
  <c r="I127"/>
  <c r="S21" i="130"/>
  <c r="AH34" i="215"/>
  <c r="AG34"/>
  <c r="AO32"/>
  <c r="U32"/>
  <c r="L52" i="48"/>
  <c r="K53"/>
  <c r="G53"/>
  <c r="L205" l="1"/>
  <c r="C10" i="125"/>
  <c r="H141" i="315"/>
  <c r="I78" i="38"/>
  <c r="G124" i="213"/>
  <c r="J124" s="1"/>
  <c r="G130"/>
  <c r="J130" s="1"/>
  <c r="L199" i="48" l="1"/>
  <c r="C34" i="125"/>
  <c r="L206" i="48"/>
  <c r="C47" i="125"/>
  <c r="B63" i="97"/>
  <c r="F43"/>
  <c r="F65" l="1"/>
  <c r="K12" i="24" s="1"/>
  <c r="K23" l="1"/>
  <c r="J23" s="1"/>
  <c r="J12"/>
  <c r="K19"/>
  <c r="J19" s="1"/>
  <c r="K21"/>
  <c r="J44" i="329"/>
  <c r="J45"/>
  <c r="J43"/>
  <c r="D127" i="315"/>
  <c r="J76" i="328"/>
  <c r="J74"/>
  <c r="J66"/>
  <c r="J45"/>
  <c r="J46"/>
  <c r="J47"/>
  <c r="J48"/>
  <c r="J49"/>
  <c r="J50"/>
  <c r="J51"/>
  <c r="J52"/>
  <c r="J53"/>
  <c r="J54"/>
  <c r="J55"/>
  <c r="J56"/>
  <c r="J44"/>
  <c r="J50" i="38"/>
  <c r="J53"/>
  <c r="J52"/>
  <c r="J43"/>
  <c r="J68" i="37"/>
  <c r="M53" i="41"/>
  <c r="J53"/>
  <c r="D53"/>
  <c r="F45" i="40"/>
  <c r="E46" i="39" s="1"/>
  <c r="J45" i="40"/>
  <c r="K45" s="1"/>
  <c r="F54" i="268" l="1"/>
  <c r="G50"/>
  <c r="G51"/>
  <c r="J62" i="229"/>
  <c r="H691" i="263" l="1"/>
  <c r="J64" i="17"/>
  <c r="J87"/>
  <c r="I88" i="28"/>
  <c r="J86" i="23"/>
  <c r="K86" s="1"/>
  <c r="H77" i="24" l="1"/>
  <c r="H69"/>
  <c r="I69" s="1"/>
  <c r="H61" i="30"/>
  <c r="I85" i="25"/>
  <c r="H92"/>
  <c r="H65"/>
  <c r="I90" i="18" l="1"/>
  <c r="H95" i="31"/>
  <c r="H88"/>
  <c r="I86"/>
  <c r="H62"/>
  <c r="H92" i="23"/>
  <c r="I89"/>
  <c r="H56" i="21"/>
  <c r="H93" i="10"/>
  <c r="I88"/>
  <c r="J167" i="1" l="1"/>
  <c r="G95" i="31" l="1"/>
  <c r="K95" s="1"/>
  <c r="E95"/>
  <c r="D95"/>
  <c r="T19" i="27" s="1"/>
  <c r="F79" i="87"/>
  <c r="B79"/>
  <c r="D47"/>
  <c r="F36" i="89"/>
  <c r="F29"/>
  <c r="E36"/>
  <c r="E29"/>
  <c r="E36" i="90"/>
  <c r="D52"/>
  <c r="D36"/>
  <c r="D36" i="91"/>
  <c r="E30" i="92"/>
  <c r="D30"/>
  <c r="B35" i="318"/>
  <c r="O47" i="202" s="1"/>
  <c r="G35" i="318"/>
  <c r="N47" i="202" s="1"/>
  <c r="F37" i="318"/>
  <c r="E37"/>
  <c r="L95" i="31" l="1"/>
  <c r="L97" s="1"/>
  <c r="F38" i="89"/>
  <c r="D32" i="92"/>
  <c r="E52" i="90"/>
  <c r="E32" i="92"/>
  <c r="D81" i="87"/>
  <c r="E38" i="89"/>
  <c r="F49" i="317" l="1"/>
  <c r="E49"/>
  <c r="E25" i="93"/>
  <c r="D25"/>
  <c r="D44" i="118"/>
  <c r="E57" i="119"/>
  <c r="E37"/>
  <c r="D57"/>
  <c r="D37"/>
  <c r="D37" i="93" l="1"/>
  <c r="E58" i="119"/>
  <c r="D58"/>
  <c r="E37" i="93"/>
  <c r="E44" i="118"/>
  <c r="E68" s="1"/>
  <c r="D68"/>
  <c r="E90" i="95"/>
  <c r="E97" s="1"/>
  <c r="E64"/>
  <c r="E43"/>
  <c r="D90"/>
  <c r="D97" s="1"/>
  <c r="D64"/>
  <c r="E68" i="316"/>
  <c r="E46"/>
  <c r="D68"/>
  <c r="D46"/>
  <c r="E34" i="96"/>
  <c r="D34"/>
  <c r="E43" i="97"/>
  <c r="D43"/>
  <c r="E80" i="98"/>
  <c r="E54"/>
  <c r="D80"/>
  <c r="D54"/>
  <c r="E31" i="99"/>
  <c r="D31"/>
  <c r="E63" i="100"/>
  <c r="D63"/>
  <c r="F56" i="102"/>
  <c r="E56"/>
  <c r="E38"/>
  <c r="D56"/>
  <c r="D38"/>
  <c r="E82" i="98" l="1"/>
  <c r="E66" i="95"/>
  <c r="E100" s="1"/>
  <c r="D82" i="98"/>
  <c r="E47" i="99"/>
  <c r="D65" i="97"/>
  <c r="D43" i="95"/>
  <c r="D66" s="1"/>
  <c r="D100" s="1"/>
  <c r="E57" i="102"/>
  <c r="E70" i="316"/>
  <c r="D70"/>
  <c r="E52" i="96"/>
  <c r="D52"/>
  <c r="E65" i="97"/>
  <c r="D47" i="99"/>
  <c r="E65" i="100"/>
  <c r="D65"/>
  <c r="D57" i="102"/>
  <c r="E46" i="101"/>
  <c r="E35"/>
  <c r="D46"/>
  <c r="D35"/>
  <c r="E37" i="88"/>
  <c r="E24"/>
  <c r="D37"/>
  <c r="D24"/>
  <c r="E48" i="103"/>
  <c r="E36"/>
  <c r="D48"/>
  <c r="D36"/>
  <c r="F32" i="332"/>
  <c r="E66" i="104"/>
  <c r="E116" s="1"/>
  <c r="D66"/>
  <c r="E54" i="105"/>
  <c r="D54"/>
  <c r="E46" i="106"/>
  <c r="D46"/>
  <c r="E48" i="111"/>
  <c r="E32"/>
  <c r="D32"/>
  <c r="D50" s="1"/>
  <c r="E63" i="107"/>
  <c r="E65" s="1"/>
  <c r="D63"/>
  <c r="D45"/>
  <c r="E46" i="108"/>
  <c r="D46"/>
  <c r="E38" i="109"/>
  <c r="D38"/>
  <c r="E53" i="110"/>
  <c r="E36"/>
  <c r="D53"/>
  <c r="D36"/>
  <c r="D55" s="1"/>
  <c r="E31" i="112"/>
  <c r="D31"/>
  <c r="D46" s="1"/>
  <c r="E34" i="114"/>
  <c r="D34"/>
  <c r="E51" i="115"/>
  <c r="E35"/>
  <c r="D51"/>
  <c r="D35"/>
  <c r="H34" i="117"/>
  <c r="H50"/>
  <c r="F34"/>
  <c r="E34"/>
  <c r="E57" i="116"/>
  <c r="E38"/>
  <c r="D57"/>
  <c r="D38"/>
  <c r="D53" i="115" l="1"/>
  <c r="D65" i="107"/>
  <c r="E50" i="103"/>
  <c r="E48" i="101"/>
  <c r="E105" i="105"/>
  <c r="D50" i="103"/>
  <c r="D34" i="117"/>
  <c r="D52" s="1"/>
  <c r="F52"/>
  <c r="E52" i="114"/>
  <c r="D52"/>
  <c r="E53" i="115"/>
  <c r="E50" i="111"/>
  <c r="B50" i="332"/>
  <c r="M11" i="329" s="1"/>
  <c r="M13" s="1"/>
  <c r="E46" i="112"/>
  <c r="E54" i="109"/>
  <c r="E68" i="108"/>
  <c r="D105" i="105"/>
  <c r="D54" i="109"/>
  <c r="D68" i="108"/>
  <c r="F50" i="332"/>
  <c r="E39" i="88"/>
  <c r="D39"/>
  <c r="D48" i="101"/>
  <c r="D116" i="104"/>
  <c r="D71" i="106"/>
  <c r="E71"/>
  <c r="E55" i="110"/>
  <c r="E52" i="117"/>
  <c r="E59" i="116"/>
  <c r="D59"/>
  <c r="L12" i="17" l="1"/>
  <c r="L20" s="1"/>
  <c r="L25" i="329"/>
  <c r="L16"/>
  <c r="K16" s="1"/>
  <c r="L13"/>
  <c r="L24"/>
  <c r="L22"/>
  <c r="K22" s="1"/>
  <c r="L21" i="214" s="1"/>
  <c r="L17" i="329"/>
  <c r="E35" i="113"/>
  <c r="E52" s="1"/>
  <c r="D35"/>
  <c r="I123" i="48"/>
  <c r="I151"/>
  <c r="K88" i="39"/>
  <c r="I28"/>
  <c r="K29"/>
  <c r="K87"/>
  <c r="K86"/>
  <c r="L24" i="17" l="1"/>
  <c r="K12"/>
  <c r="H52" i="117" s="1"/>
  <c r="H54" s="1"/>
  <c r="L26" i="17"/>
  <c r="K26" s="1"/>
  <c r="L22"/>
  <c r="K22" s="1"/>
  <c r="K13" i="329"/>
  <c r="K17"/>
  <c r="L20"/>
  <c r="K20" s="1"/>
  <c r="K24"/>
  <c r="L26"/>
  <c r="K26" s="1"/>
  <c r="D52" i="113"/>
  <c r="I11" i="130"/>
  <c r="K66" i="37"/>
  <c r="I24" i="130"/>
  <c r="G33"/>
  <c r="J49"/>
  <c r="I49"/>
  <c r="G49"/>
  <c r="I48"/>
  <c r="I209" i="48"/>
  <c r="I211"/>
  <c r="I107"/>
  <c r="L28" i="329" l="1"/>
  <c r="E23" i="229"/>
  <c r="E85" i="17"/>
  <c r="E86"/>
  <c r="E46" i="263"/>
  <c r="E41"/>
  <c r="E30"/>
  <c r="E30" i="311"/>
  <c r="E48"/>
  <c r="E53"/>
  <c r="D49"/>
  <c r="D26"/>
  <c r="AE13" i="215"/>
  <c r="AD13"/>
  <c r="K28" i="329" l="1"/>
  <c r="D57" i="340"/>
  <c r="D65" s="1"/>
  <c r="D282" s="1"/>
  <c r="D55" i="311"/>
  <c r="G32" i="48"/>
  <c r="G19"/>
  <c r="G72"/>
  <c r="K72"/>
  <c r="I70"/>
  <c r="I74"/>
  <c r="I76" s="1"/>
  <c r="K17"/>
  <c r="K16"/>
  <c r="K15"/>
  <c r="K10"/>
  <c r="H50" i="40"/>
  <c r="H57"/>
  <c r="H84"/>
  <c r="H88"/>
  <c r="H22" i="214"/>
  <c r="Y21"/>
  <c r="K9"/>
  <c r="I10" i="48" l="1"/>
  <c r="H31" i="40"/>
  <c r="H59"/>
  <c r="H94" l="1"/>
  <c r="H99" s="1"/>
  <c r="J21" i="214"/>
  <c r="E63" i="16"/>
  <c r="E29"/>
  <c r="E30" i="35"/>
  <c r="F88" i="17"/>
  <c r="F66"/>
  <c r="F32"/>
  <c r="E69" i="34"/>
  <c r="E94" i="28"/>
  <c r="E69"/>
  <c r="E31"/>
  <c r="E29" i="22"/>
  <c r="E105" i="11"/>
  <c r="E30"/>
  <c r="E107" i="15"/>
  <c r="E90"/>
  <c r="E30"/>
  <c r="E127" i="5"/>
  <c r="E30"/>
  <c r="E121" i="9"/>
  <c r="D121"/>
  <c r="E88"/>
  <c r="E113" i="28" l="1"/>
  <c r="E106" i="16"/>
  <c r="E112" i="11"/>
  <c r="E103" i="35"/>
  <c r="E133" i="5"/>
  <c r="E109" i="22"/>
  <c r="E113" i="15"/>
  <c r="M52" i="214"/>
  <c r="E74" i="34"/>
  <c r="E30" i="9"/>
  <c r="E127" s="1"/>
  <c r="F159" i="17"/>
  <c r="F161" s="1"/>
  <c r="E105" i="12"/>
  <c r="D105"/>
  <c r="T33" i="27" s="1"/>
  <c r="F78" i="328"/>
  <c r="E78"/>
  <c r="T11" i="27" s="1"/>
  <c r="F76" i="38"/>
  <c r="E76"/>
  <c r="T10" i="27" s="1"/>
  <c r="E92" i="23"/>
  <c r="D92"/>
  <c r="T22" i="27" s="1"/>
  <c r="G92" i="23"/>
  <c r="K92" s="1"/>
  <c r="E92" i="30"/>
  <c r="E103" i="24"/>
  <c r="F72" i="37"/>
  <c r="F102" i="33"/>
  <c r="G94" i="35" l="1"/>
  <c r="G30"/>
  <c r="F30" s="1"/>
  <c r="G63" i="16"/>
  <c r="G29"/>
  <c r="E85" i="7"/>
  <c r="E34"/>
  <c r="E111" i="14"/>
  <c r="E32"/>
  <c r="E99" i="12"/>
  <c r="E71"/>
  <c r="I94" i="35" l="1"/>
  <c r="K94"/>
  <c r="G106" i="16"/>
  <c r="E103" i="7"/>
  <c r="F103" i="35"/>
  <c r="E117" i="14"/>
  <c r="G103" i="35"/>
  <c r="E31" i="12"/>
  <c r="E107" s="1"/>
  <c r="E113" i="6"/>
  <c r="E86"/>
  <c r="E31"/>
  <c r="E31" i="32"/>
  <c r="E119" i="6" l="1"/>
  <c r="E32" i="20"/>
  <c r="F69" i="329"/>
  <c r="F65"/>
  <c r="H69"/>
  <c r="H65"/>
  <c r="E63" i="23"/>
  <c r="E30"/>
  <c r="E62" i="18"/>
  <c r="E30"/>
  <c r="J65" i="329" l="1"/>
  <c r="L65"/>
  <c r="E94" i="23"/>
  <c r="H76" i="329"/>
  <c r="E106" i="18"/>
  <c r="F76" i="329"/>
  <c r="E87" i="30"/>
  <c r="E29" i="31"/>
  <c r="E61" i="30"/>
  <c r="E29"/>
  <c r="H23" i="229"/>
  <c r="H13"/>
  <c r="B14" i="127"/>
  <c r="E69" i="19"/>
  <c r="E106"/>
  <c r="E31"/>
  <c r="H159" i="17"/>
  <c r="H88"/>
  <c r="G88" s="1"/>
  <c r="H66"/>
  <c r="H32"/>
  <c r="G32" s="1"/>
  <c r="G69" i="34"/>
  <c r="F74"/>
  <c r="G94" i="28"/>
  <c r="K94" s="1"/>
  <c r="G69"/>
  <c r="G31"/>
  <c r="G29" i="22"/>
  <c r="G105" i="11"/>
  <c r="K105" s="1"/>
  <c r="G30"/>
  <c r="G107" i="15"/>
  <c r="K107" s="1"/>
  <c r="G30"/>
  <c r="G85" i="5"/>
  <c r="K85" s="1"/>
  <c r="G30"/>
  <c r="G121" i="9"/>
  <c r="K121" s="1"/>
  <c r="G88"/>
  <c r="K88" s="1"/>
  <c r="G30"/>
  <c r="G85" i="7"/>
  <c r="K85" s="1"/>
  <c r="G34"/>
  <c r="G111" i="14"/>
  <c r="G86"/>
  <c r="K86" s="1"/>
  <c r="G32"/>
  <c r="G105" i="12"/>
  <c r="G99"/>
  <c r="K99" s="1"/>
  <c r="G71"/>
  <c r="K71" s="1"/>
  <c r="G31"/>
  <c r="G113" i="6"/>
  <c r="G31"/>
  <c r="G31" i="32"/>
  <c r="G32" i="20"/>
  <c r="G63" i="23"/>
  <c r="K63" s="1"/>
  <c r="G30"/>
  <c r="G62" i="18"/>
  <c r="K62" s="1"/>
  <c r="G30"/>
  <c r="G98" i="25"/>
  <c r="K92"/>
  <c r="G65"/>
  <c r="K65" s="1"/>
  <c r="G30"/>
  <c r="I62" i="31"/>
  <c r="G29"/>
  <c r="G92" i="30"/>
  <c r="G87"/>
  <c r="G61"/>
  <c r="G29"/>
  <c r="G69" i="19"/>
  <c r="K69" s="1"/>
  <c r="G31"/>
  <c r="E77" i="24"/>
  <c r="E29"/>
  <c r="G103"/>
  <c r="K103" s="1"/>
  <c r="G77"/>
  <c r="K77" s="1"/>
  <c r="G29"/>
  <c r="E105" i="1"/>
  <c r="E30"/>
  <c r="K113" i="6" l="1"/>
  <c r="I113"/>
  <c r="I111" i="14"/>
  <c r="K111"/>
  <c r="G159" i="17"/>
  <c r="L159"/>
  <c r="G66"/>
  <c r="L66"/>
  <c r="I61" i="30"/>
  <c r="K61"/>
  <c r="G113" i="28"/>
  <c r="G125" s="1"/>
  <c r="G126" s="1"/>
  <c r="E105" i="24"/>
  <c r="G97" i="31"/>
  <c r="E65" i="25"/>
  <c r="E100" s="1"/>
  <c r="F44"/>
  <c r="F65" s="1"/>
  <c r="F100" s="1"/>
  <c r="I108" i="20"/>
  <c r="F108"/>
  <c r="E94" i="30"/>
  <c r="G133" i="5"/>
  <c r="H148" s="1"/>
  <c r="E112" i="19"/>
  <c r="G100" i="25"/>
  <c r="G94" i="23"/>
  <c r="G104" s="1"/>
  <c r="G105" s="1"/>
  <c r="E97" i="31"/>
  <c r="G103" i="7"/>
  <c r="G105" i="24"/>
  <c r="G112" i="19"/>
  <c r="G107" i="12"/>
  <c r="I110" s="1"/>
  <c r="I111" s="1"/>
  <c r="G112" i="11"/>
  <c r="H124" s="1"/>
  <c r="H125" s="1"/>
  <c r="H465" i="229"/>
  <c r="G127" i="9"/>
  <c r="H143" s="1"/>
  <c r="G74" i="34"/>
  <c r="G89" s="1"/>
  <c r="G90" s="1"/>
  <c r="H161" i="17"/>
  <c r="G161" s="1"/>
  <c r="G117" i="14"/>
  <c r="G131" s="1"/>
  <c r="G132" s="1"/>
  <c r="G113" i="15"/>
  <c r="G109" i="22"/>
  <c r="H123" s="1"/>
  <c r="H124" s="1"/>
  <c r="G119" i="6"/>
  <c r="F130" s="1"/>
  <c r="F131" s="1"/>
  <c r="G106" i="18"/>
  <c r="G94" i="30"/>
  <c r="E63" i="21"/>
  <c r="E29"/>
  <c r="G63"/>
  <c r="K63" s="1"/>
  <c r="G56"/>
  <c r="K56" s="1"/>
  <c r="G29"/>
  <c r="E139" i="315"/>
  <c r="D139"/>
  <c r="T8" i="27" s="1"/>
  <c r="E135" i="315"/>
  <c r="G139"/>
  <c r="G135"/>
  <c r="K135" s="1"/>
  <c r="E99" i="10"/>
  <c r="E93"/>
  <c r="G99"/>
  <c r="G93"/>
  <c r="K93" s="1"/>
  <c r="G65"/>
  <c r="K65" s="1"/>
  <c r="G29"/>
  <c r="F205" i="26"/>
  <c r="AL23" i="266"/>
  <c r="AL41"/>
  <c r="AL53"/>
  <c r="G150" i="26"/>
  <c r="G131"/>
  <c r="G129"/>
  <c r="G128"/>
  <c r="G125"/>
  <c r="G124"/>
  <c r="G122"/>
  <c r="G121"/>
  <c r="G101"/>
  <c r="G99"/>
  <c r="G98"/>
  <c r="G89"/>
  <c r="C18" i="267"/>
  <c r="D18"/>
  <c r="F55" i="26" s="1"/>
  <c r="E18" i="267"/>
  <c r="E22" s="1"/>
  <c r="G59" i="26" s="1"/>
  <c r="F18" i="267"/>
  <c r="F22" s="1"/>
  <c r="G18"/>
  <c r="G22" s="1"/>
  <c r="H18"/>
  <c r="I18"/>
  <c r="I22" s="1"/>
  <c r="J18"/>
  <c r="J22" s="1"/>
  <c r="K18"/>
  <c r="K22" s="1"/>
  <c r="AB12" i="266" s="1"/>
  <c r="L18" i="267"/>
  <c r="L22" s="1"/>
  <c r="M18"/>
  <c r="M22" s="1"/>
  <c r="BF12" i="266" s="1"/>
  <c r="N18" i="267"/>
  <c r="F100" i="26" s="1"/>
  <c r="O18" i="267"/>
  <c r="P18"/>
  <c r="P22" s="1"/>
  <c r="Q18"/>
  <c r="Q22" s="1"/>
  <c r="R18"/>
  <c r="R22" s="1"/>
  <c r="S18"/>
  <c r="S22" s="1"/>
  <c r="T18"/>
  <c r="T22" s="1"/>
  <c r="U18"/>
  <c r="F141" i="26" s="1"/>
  <c r="B18" i="267"/>
  <c r="F46" i="26" s="1"/>
  <c r="F33"/>
  <c r="H231"/>
  <c r="G21"/>
  <c r="G30"/>
  <c r="G29"/>
  <c r="G28"/>
  <c r="G27"/>
  <c r="G23"/>
  <c r="G24"/>
  <c r="G22"/>
  <c r="G19"/>
  <c r="G17"/>
  <c r="G16"/>
  <c r="G15"/>
  <c r="G14"/>
  <c r="G105" i="1"/>
  <c r="K105" s="1"/>
  <c r="G65"/>
  <c r="K65" s="1"/>
  <c r="G30"/>
  <c r="F70" i="328"/>
  <c r="F62"/>
  <c r="F25"/>
  <c r="H78"/>
  <c r="H70"/>
  <c r="L70" s="1"/>
  <c r="H62"/>
  <c r="H25"/>
  <c r="F65" i="38"/>
  <c r="F25"/>
  <c r="H25"/>
  <c r="H76"/>
  <c r="L76" s="1"/>
  <c r="H60"/>
  <c r="F66" i="37"/>
  <c r="F27"/>
  <c r="H72"/>
  <c r="J72" s="1"/>
  <c r="H66"/>
  <c r="L66" s="1"/>
  <c r="H58"/>
  <c r="L58" s="1"/>
  <c r="H27"/>
  <c r="E73" i="8"/>
  <c r="E60"/>
  <c r="E27"/>
  <c r="G73"/>
  <c r="K73" s="1"/>
  <c r="G60"/>
  <c r="K60" s="1"/>
  <c r="G27"/>
  <c r="F63" i="33"/>
  <c r="F26"/>
  <c r="H102"/>
  <c r="H63"/>
  <c r="L63" s="1"/>
  <c r="H26"/>
  <c r="F121" i="4"/>
  <c r="F81"/>
  <c r="F59"/>
  <c r="F27"/>
  <c r="J121"/>
  <c r="H81"/>
  <c r="M81" s="1"/>
  <c r="H59"/>
  <c r="M59" s="1"/>
  <c r="H27"/>
  <c r="E94" i="2"/>
  <c r="E67"/>
  <c r="E27"/>
  <c r="G94"/>
  <c r="K94" s="1"/>
  <c r="G67"/>
  <c r="K67" s="1"/>
  <c r="G27"/>
  <c r="F96" i="3"/>
  <c r="F70"/>
  <c r="F29"/>
  <c r="H112"/>
  <c r="L112" s="1"/>
  <c r="H96"/>
  <c r="L96" s="1"/>
  <c r="H70"/>
  <c r="L70" s="1"/>
  <c r="H29"/>
  <c r="F32" i="29"/>
  <c r="F85" i="26" l="1"/>
  <c r="G85" s="1"/>
  <c r="C22" i="267"/>
  <c r="F51" i="26"/>
  <c r="J60" i="38"/>
  <c r="L60"/>
  <c r="L62" i="328"/>
  <c r="F142" i="20"/>
  <c r="H118" i="7"/>
  <c r="J70" i="3"/>
  <c r="J66" i="37"/>
  <c r="J96" i="3"/>
  <c r="J59" i="4"/>
  <c r="J112" i="3"/>
  <c r="D22" i="267"/>
  <c r="G55" i="26"/>
  <c r="G141"/>
  <c r="B22" i="267"/>
  <c r="N22"/>
  <c r="G100" i="26"/>
  <c r="G85" i="229"/>
  <c r="G235" s="1"/>
  <c r="F104" i="33"/>
  <c r="G13" i="26"/>
  <c r="G33" s="1"/>
  <c r="H33"/>
  <c r="H233" s="1"/>
  <c r="G144" i="20"/>
  <c r="E75" i="8"/>
  <c r="U22" i="267"/>
  <c r="F80" i="328"/>
  <c r="O22" i="267"/>
  <c r="F114" i="3"/>
  <c r="F123" i="4"/>
  <c r="E68" i="21"/>
  <c r="H123" i="4"/>
  <c r="G133" s="1"/>
  <c r="G134" s="1"/>
  <c r="H104" i="33"/>
  <c r="H115" s="1"/>
  <c r="H116" s="1"/>
  <c r="G103" i="10"/>
  <c r="G113" s="1"/>
  <c r="G114" s="1"/>
  <c r="E100" i="2"/>
  <c r="H22" i="267"/>
  <c r="G68" i="21"/>
  <c r="E141" i="315"/>
  <c r="G112" i="1"/>
  <c r="G141" i="315"/>
  <c r="I141" s="1"/>
  <c r="AL55" i="266"/>
  <c r="H80" i="328"/>
  <c r="H78" i="38"/>
  <c r="J78" s="1"/>
  <c r="H74" i="37"/>
  <c r="F84" s="1"/>
  <c r="F85" s="1"/>
  <c r="G75" i="8"/>
  <c r="G100" i="2"/>
  <c r="H114" i="3"/>
  <c r="G101" i="29"/>
  <c r="G63"/>
  <c r="G64"/>
  <c r="F152" i="26" l="1"/>
  <c r="X25" i="267" s="1"/>
  <c r="G87" i="8"/>
  <c r="G88" s="1"/>
  <c r="G124" i="3"/>
  <c r="G125" s="1"/>
  <c r="F111" i="2"/>
  <c r="F112" s="1"/>
  <c r="G46" i="26"/>
  <c r="H120" i="29"/>
  <c r="G112"/>
  <c r="G48"/>
  <c r="G106" s="1"/>
  <c r="L106"/>
  <c r="G129"/>
  <c r="G146" s="1"/>
  <c r="AD21" i="46"/>
  <c r="BY22" i="266"/>
  <c r="Z21" i="265"/>
  <c r="BY11" i="266"/>
  <c r="W53"/>
  <c r="X53"/>
  <c r="W41"/>
  <c r="X41"/>
  <c r="W23"/>
  <c r="X23"/>
  <c r="J120" i="29" l="1"/>
  <c r="L120"/>
  <c r="AG21" i="46"/>
  <c r="G152" i="26"/>
  <c r="G233" s="1"/>
  <c r="J106" i="29"/>
  <c r="F233" i="26"/>
  <c r="H148" i="29"/>
  <c r="X55" i="266"/>
  <c r="H122" i="29"/>
  <c r="W55" i="266"/>
  <c r="G12"/>
  <c r="Q12"/>
  <c r="S12"/>
  <c r="S23" s="1"/>
  <c r="U12"/>
  <c r="Y12"/>
  <c r="BE12"/>
  <c r="AQ12"/>
  <c r="AS12"/>
  <c r="AZ12"/>
  <c r="V21" i="267"/>
  <c r="BY9" i="266"/>
  <c r="AD7" i="46"/>
  <c r="AD8"/>
  <c r="Z7" i="265"/>
  <c r="Z8"/>
  <c r="AG8" i="46" l="1"/>
  <c r="W21" i="267"/>
  <c r="F53" i="266"/>
  <c r="F23"/>
  <c r="F41"/>
  <c r="O52" i="265"/>
  <c r="O40"/>
  <c r="F103" i="41"/>
  <c r="F99"/>
  <c r="F94"/>
  <c r="F83"/>
  <c r="F74"/>
  <c r="F19"/>
  <c r="D90" i="35"/>
  <c r="F85" i="41" l="1"/>
  <c r="F35"/>
  <c r="O56" i="265"/>
  <c r="G113" i="48" s="1"/>
  <c r="F55" i="266"/>
  <c r="D91" i="28"/>
  <c r="D90"/>
  <c r="D53"/>
  <c r="D63"/>
  <c r="D54"/>
  <c r="D58" i="22"/>
  <c r="D89" i="11"/>
  <c r="I109" i="48" l="1"/>
  <c r="F105" i="41"/>
  <c r="F110" s="1"/>
  <c r="F182" s="1"/>
  <c r="D86" i="15"/>
  <c r="D89" i="14" l="1"/>
  <c r="H71" i="12"/>
  <c r="I71" s="1"/>
  <c r="D99" i="6" l="1"/>
  <c r="D89" i="20" l="1"/>
  <c r="D59"/>
  <c r="D51" i="21"/>
  <c r="H87" i="30"/>
  <c r="D92"/>
  <c r="T18" i="27" s="1"/>
  <c r="D83" i="30"/>
  <c r="D87" s="1"/>
  <c r="D94" i="19"/>
  <c r="D47" i="10"/>
  <c r="D55" i="1"/>
  <c r="D56"/>
  <c r="E47" i="37"/>
  <c r="H73" i="8"/>
  <c r="I73" s="1"/>
  <c r="D63"/>
  <c r="D50"/>
  <c r="D58"/>
  <c r="D25"/>
  <c r="E56" i="33"/>
  <c r="D89" i="2"/>
  <c r="E104" i="29"/>
  <c r="BY40" i="225" l="1"/>
  <c r="BZ40"/>
  <c r="CA40"/>
  <c r="CD40"/>
  <c r="CE40"/>
  <c r="CD52"/>
  <c r="CE52"/>
  <c r="CE54" l="1"/>
  <c r="CD54"/>
  <c r="AJ52" l="1"/>
  <c r="AJ40"/>
  <c r="AJ54" l="1"/>
  <c r="E151" i="48" s="1"/>
  <c r="D103" i="315"/>
  <c r="BR52" i="225" l="1"/>
  <c r="BR40"/>
  <c r="BR54" l="1"/>
  <c r="D178" i="126" l="1"/>
  <c r="D177"/>
  <c r="K21" i="214"/>
  <c r="F178" i="126" l="1"/>
  <c r="O42" i="214"/>
  <c r="L100" i="29"/>
  <c r="O50" i="214" l="1"/>
  <c r="G14" i="217" l="1"/>
  <c r="K68" i="39" l="1"/>
  <c r="I68" s="1"/>
  <c r="K20"/>
  <c r="K21"/>
  <c r="E25"/>
  <c r="J29" i="40"/>
  <c r="K29" s="1"/>
  <c r="F21" i="214"/>
  <c r="E21"/>
  <c r="G36" i="119" l="1"/>
  <c r="J51" i="202" s="1"/>
  <c r="G29" i="119"/>
  <c r="H51" i="202" s="1"/>
  <c r="H36" i="119"/>
  <c r="K51" i="202" s="1"/>
  <c r="H29" i="119"/>
  <c r="I51" i="202" s="1"/>
  <c r="G16" i="119"/>
  <c r="F51" i="202" s="1"/>
  <c r="G9" i="119"/>
  <c r="B51" i="202" s="1"/>
  <c r="H9" i="119"/>
  <c r="C51" i="202" s="1"/>
  <c r="H16" i="119"/>
  <c r="G51" i="202" s="1"/>
  <c r="K50"/>
  <c r="J50"/>
  <c r="G34" i="118"/>
  <c r="H50" i="202" s="1"/>
  <c r="H34" i="118"/>
  <c r="I50" i="202" s="1"/>
  <c r="H13" i="118"/>
  <c r="G50" i="202" s="1"/>
  <c r="G13" i="118"/>
  <c r="F50" i="202" s="1"/>
  <c r="H10" i="118"/>
  <c r="C50" i="202" s="1"/>
  <c r="G10" i="118"/>
  <c r="B50" i="202" s="1"/>
  <c r="G32" i="117"/>
  <c r="J49" i="202" s="1"/>
  <c r="H32" i="117"/>
  <c r="K49" i="202" s="1"/>
  <c r="G26" i="117"/>
  <c r="H49" i="202" s="1"/>
  <c r="H26" i="117"/>
  <c r="I49" i="202" s="1"/>
  <c r="G21" i="117"/>
  <c r="F49" i="202" s="1"/>
  <c r="H21" i="117"/>
  <c r="G49" i="202" s="1"/>
  <c r="H9" i="117"/>
  <c r="C49" i="202" s="1"/>
  <c r="G9" i="117"/>
  <c r="B49" i="202" s="1"/>
  <c r="G10" i="116"/>
  <c r="B48" i="202" s="1"/>
  <c r="G28" i="116"/>
  <c r="F48" i="202" s="1"/>
  <c r="G37" i="116"/>
  <c r="J48" i="202" s="1"/>
  <c r="H37" i="116"/>
  <c r="K48" i="202" s="1"/>
  <c r="H28" i="116"/>
  <c r="G48" i="202" s="1"/>
  <c r="H10" i="116"/>
  <c r="C48" i="202" s="1"/>
  <c r="H19" i="115"/>
  <c r="G39" i="202" s="1"/>
  <c r="G19" i="115"/>
  <c r="F39" i="202" s="1"/>
  <c r="H11" i="115"/>
  <c r="C39" i="202" s="1"/>
  <c r="G11" i="115"/>
  <c r="B39" i="202" s="1"/>
  <c r="J39" l="1"/>
  <c r="G27" i="115"/>
  <c r="H39" i="202" s="1"/>
  <c r="H27" i="114"/>
  <c r="I38" i="202" s="1"/>
  <c r="J38"/>
  <c r="G27" i="114"/>
  <c r="H38" i="202" s="1"/>
  <c r="K37"/>
  <c r="J37"/>
  <c r="H13" i="113"/>
  <c r="G37" i="202" s="1"/>
  <c r="G13" i="113"/>
  <c r="F37" i="202" s="1"/>
  <c r="I37"/>
  <c r="H37"/>
  <c r="K36"/>
  <c r="J36"/>
  <c r="I36"/>
  <c r="H36"/>
  <c r="K35"/>
  <c r="I35"/>
  <c r="J35"/>
  <c r="H35"/>
  <c r="J34"/>
  <c r="H34"/>
  <c r="H10" i="109"/>
  <c r="C33" i="202" s="1"/>
  <c r="G10" i="109"/>
  <c r="B33" i="202" s="1"/>
  <c r="G37" i="109"/>
  <c r="J33" i="202" s="1"/>
  <c r="G31" i="109"/>
  <c r="F33" i="202" s="1"/>
  <c r="H9" i="108"/>
  <c r="C32" i="202" s="1"/>
  <c r="G9" i="108"/>
  <c r="B32" i="202" s="1"/>
  <c r="G44" i="108"/>
  <c r="J32" i="202" s="1"/>
  <c r="H32"/>
  <c r="H10" i="107"/>
  <c r="G10"/>
  <c r="H46" i="106"/>
  <c r="K30" i="202" s="1"/>
  <c r="G46" i="106"/>
  <c r="J30" i="202" s="1"/>
  <c r="H34" i="106"/>
  <c r="I30" i="202" s="1"/>
  <c r="G34" i="106"/>
  <c r="H30" i="202" s="1"/>
  <c r="H9" i="106"/>
  <c r="C30" i="202" s="1"/>
  <c r="G9" i="106"/>
  <c r="B30" i="202" s="1"/>
  <c r="K29"/>
  <c r="G54" i="105"/>
  <c r="J29" i="202" s="1"/>
  <c r="H44" i="105"/>
  <c r="I29" i="202" s="1"/>
  <c r="G44" i="105"/>
  <c r="H29" i="202" s="1"/>
  <c r="H17" i="105"/>
  <c r="G29" i="202" s="1"/>
  <c r="G17" i="105"/>
  <c r="F29" i="202" s="1"/>
  <c r="C29"/>
  <c r="B29"/>
  <c r="K28"/>
  <c r="J28"/>
  <c r="I28"/>
  <c r="G51" i="104"/>
  <c r="H28" i="202" s="1"/>
  <c r="H18" i="104"/>
  <c r="G28" i="202" s="1"/>
  <c r="F28"/>
  <c r="H12" i="104"/>
  <c r="C28" i="202" s="1"/>
  <c r="G12" i="104"/>
  <c r="B28" i="202" s="1"/>
  <c r="N22"/>
  <c r="O22"/>
  <c r="S23"/>
  <c r="U23"/>
  <c r="V23"/>
  <c r="K22"/>
  <c r="J22"/>
  <c r="I22"/>
  <c r="H22"/>
  <c r="H36" i="103"/>
  <c r="K21" i="202" s="1"/>
  <c r="G36" i="103"/>
  <c r="J21" i="202" s="1"/>
  <c r="I21"/>
  <c r="H21"/>
  <c r="H10" i="103"/>
  <c r="C21" i="202" s="1"/>
  <c r="G10" i="103"/>
  <c r="B21" i="202" s="1"/>
  <c r="F37" i="88"/>
  <c r="N11" i="202" s="1"/>
  <c r="K11"/>
  <c r="J11"/>
  <c r="H18" i="88"/>
  <c r="I11" i="202" s="1"/>
  <c r="G18" i="88"/>
  <c r="H11" i="202" s="1"/>
  <c r="H9" i="88"/>
  <c r="C11" i="202" s="1"/>
  <c r="G9" i="88"/>
  <c r="B11" i="202" s="1"/>
  <c r="AA22" l="1"/>
  <c r="M28"/>
  <c r="L22"/>
  <c r="P22" l="1"/>
  <c r="H35" i="101" l="1"/>
  <c r="K20" i="202" s="1"/>
  <c r="G35" i="101"/>
  <c r="J20" i="202" s="1"/>
  <c r="H26" i="101"/>
  <c r="I20" i="202" s="1"/>
  <c r="G26" i="101"/>
  <c r="H20" i="202" s="1"/>
  <c r="H20" i="101"/>
  <c r="G20" i="202" s="1"/>
  <c r="G20" i="101"/>
  <c r="F20" i="202" s="1"/>
  <c r="H12" i="101"/>
  <c r="C20" i="202" s="1"/>
  <c r="G12" i="101"/>
  <c r="B20" i="202" s="1"/>
  <c r="K19"/>
  <c r="J19"/>
  <c r="I19"/>
  <c r="H19"/>
  <c r="H14" i="102"/>
  <c r="G19" i="202" s="1"/>
  <c r="F19"/>
  <c r="C19"/>
  <c r="B19"/>
  <c r="K18"/>
  <c r="J18"/>
  <c r="I18"/>
  <c r="H18"/>
  <c r="H14" i="100"/>
  <c r="G14"/>
  <c r="C18" i="202"/>
  <c r="G10" i="100"/>
  <c r="B18" i="202" s="1"/>
  <c r="I31" i="99"/>
  <c r="K17" i="202" s="1"/>
  <c r="H31" i="99"/>
  <c r="J17" i="202" s="1"/>
  <c r="I10" i="99"/>
  <c r="H10"/>
  <c r="I54" i="98"/>
  <c r="K16" i="202" s="1"/>
  <c r="J16"/>
  <c r="I40" i="98"/>
  <c r="I16" i="202" s="1"/>
  <c r="H40" i="98"/>
  <c r="H16" i="202" s="1"/>
  <c r="I19" i="98"/>
  <c r="G16" i="202" s="1"/>
  <c r="H19" i="98"/>
  <c r="F16" i="202" s="1"/>
  <c r="I11" i="98"/>
  <c r="C16" i="202" s="1"/>
  <c r="H11" i="98"/>
  <c r="B16" i="202" s="1"/>
  <c r="K15"/>
  <c r="J15"/>
  <c r="I15"/>
  <c r="H15"/>
  <c r="G15"/>
  <c r="F15"/>
  <c r="I9" i="97"/>
  <c r="C15" i="202" s="1"/>
  <c r="H9" i="97"/>
  <c r="I34" i="96"/>
  <c r="K14" i="202" s="1"/>
  <c r="H34" i="96"/>
  <c r="J14" i="202" s="1"/>
  <c r="I10" i="96"/>
  <c r="C14" i="202" s="1"/>
  <c r="H10" i="96"/>
  <c r="B14" i="202" s="1"/>
  <c r="H32" i="316"/>
  <c r="H13" i="202" s="1"/>
  <c r="H45" i="316"/>
  <c r="I45"/>
  <c r="K13" i="202" s="1"/>
  <c r="I32" i="316"/>
  <c r="I13" i="202" s="1"/>
  <c r="I21" i="316"/>
  <c r="G13" i="202" s="1"/>
  <c r="H21" i="316"/>
  <c r="F13" i="202" s="1"/>
  <c r="I11" i="316"/>
  <c r="C13" i="202" s="1"/>
  <c r="H11" i="316"/>
  <c r="H43" i="95"/>
  <c r="K12" i="202" s="1"/>
  <c r="G43" i="95"/>
  <c r="J12" i="202" s="1"/>
  <c r="H19" i="95"/>
  <c r="G12" i="202" s="1"/>
  <c r="G19" i="95"/>
  <c r="F12" i="202" s="1"/>
  <c r="H25" i="95"/>
  <c r="I12" i="202" s="1"/>
  <c r="H12"/>
  <c r="H12" i="95"/>
  <c r="C12" i="202" s="1"/>
  <c r="G12" i="95"/>
  <c r="B12" i="202" s="1"/>
  <c r="I24" i="93"/>
  <c r="K26" i="202" s="1"/>
  <c r="H24" i="93"/>
  <c r="J26" i="202" s="1"/>
  <c r="I26"/>
  <c r="H26"/>
  <c r="I13" i="93"/>
  <c r="G26" i="202" s="1"/>
  <c r="H13" i="93"/>
  <c r="F26" i="202" s="1"/>
  <c r="N9"/>
  <c r="K9"/>
  <c r="L9" s="1"/>
  <c r="J9"/>
  <c r="J25" i="330"/>
  <c r="K8" i="202" s="1"/>
  <c r="L8" s="1"/>
  <c r="P8" s="1"/>
  <c r="I25" i="330"/>
  <c r="J8" i="202" s="1"/>
  <c r="M8" s="1"/>
  <c r="Z8" s="1"/>
  <c r="K7"/>
  <c r="J7"/>
  <c r="J27" i="317"/>
  <c r="I7" i="202" s="1"/>
  <c r="I27" i="317"/>
  <c r="H7" i="202" s="1"/>
  <c r="J15" i="317"/>
  <c r="G7" i="202" s="1"/>
  <c r="I15" i="317"/>
  <c r="F7" i="202" s="1"/>
  <c r="J26" i="318"/>
  <c r="K47" i="202" s="1"/>
  <c r="I26" i="318"/>
  <c r="J47" i="202" s="1"/>
  <c r="J19" i="318"/>
  <c r="I47" i="202" s="1"/>
  <c r="I19" i="318"/>
  <c r="H47" i="202" s="1"/>
  <c r="J46"/>
  <c r="I23" i="92"/>
  <c r="K46" i="202" s="1"/>
  <c r="I17" i="92"/>
  <c r="I46" i="202" s="1"/>
  <c r="H46"/>
  <c r="H53" s="1"/>
  <c r="K45"/>
  <c r="J45"/>
  <c r="I17" i="91"/>
  <c r="G45" i="202" s="1"/>
  <c r="H17" i="91"/>
  <c r="F45" i="202" s="1"/>
  <c r="J25"/>
  <c r="K25"/>
  <c r="H25"/>
  <c r="H30" i="90"/>
  <c r="I25" i="202" s="1"/>
  <c r="F25"/>
  <c r="G25"/>
  <c r="K43"/>
  <c r="J43"/>
  <c r="J6"/>
  <c r="H6"/>
  <c r="G24" i="87"/>
  <c r="F6" i="202" s="1"/>
  <c r="G10" i="87"/>
  <c r="K6" i="202"/>
  <c r="I6"/>
  <c r="H24" i="87"/>
  <c r="G6" i="202" s="1"/>
  <c r="H10" i="87"/>
  <c r="J13" i="202" l="1"/>
  <c r="J23" s="1"/>
  <c r="H46" i="316"/>
  <c r="B15" i="202"/>
  <c r="M15" s="1"/>
  <c r="H43" i="97"/>
  <c r="J53" i="202"/>
  <c r="K23"/>
  <c r="F53"/>
  <c r="H23"/>
  <c r="L43"/>
  <c r="I23"/>
  <c r="P9"/>
  <c r="B13"/>
  <c r="L13"/>
  <c r="AA8"/>
  <c r="M9"/>
  <c r="M13" l="1"/>
  <c r="O9"/>
  <c r="O7"/>
  <c r="AA7" s="1"/>
  <c r="N7"/>
  <c r="F30" i="92"/>
  <c r="N46" i="202" s="1"/>
  <c r="D47" i="317"/>
  <c r="AA9" i="202" l="1"/>
  <c r="Z9"/>
  <c r="F63" i="107" l="1"/>
  <c r="N18" i="202" l="1"/>
  <c r="N19"/>
  <c r="F35" i="115" l="1"/>
  <c r="F51"/>
  <c r="F34" i="114" l="1"/>
  <c r="F35" i="113" l="1"/>
  <c r="F52" s="1"/>
  <c r="K12" i="11" s="1"/>
  <c r="F36" i="110"/>
  <c r="F53"/>
  <c r="K22" i="11" l="1"/>
  <c r="J12"/>
  <c r="K24"/>
  <c r="J24" s="1"/>
  <c r="K20"/>
  <c r="J20" s="1"/>
  <c r="K18"/>
  <c r="J18" s="1"/>
  <c r="F55" i="110"/>
  <c r="N16" i="202"/>
  <c r="H55" i="110" l="1"/>
  <c r="K12" i="5"/>
  <c r="N6" i="202"/>
  <c r="K18" i="5" l="1"/>
  <c r="J18" s="1"/>
  <c r="J12"/>
  <c r="K20"/>
  <c r="J20" s="1"/>
  <c r="K22"/>
  <c r="K24"/>
  <c r="J24" s="1"/>
  <c r="D54" i="90"/>
  <c r="E54"/>
  <c r="F54"/>
  <c r="K12" i="2" s="1"/>
  <c r="F64" i="95"/>
  <c r="F43"/>
  <c r="F90"/>
  <c r="K21" i="2" l="1"/>
  <c r="J21" s="1"/>
  <c r="R24" i="214" s="1"/>
  <c r="K19" i="2"/>
  <c r="J12"/>
  <c r="K17"/>
  <c r="J17" s="1"/>
  <c r="F66" i="95"/>
  <c r="N13" i="202"/>
  <c r="F46" i="316"/>
  <c r="O13" i="202"/>
  <c r="H66" i="95" l="1"/>
  <c r="L13" i="26"/>
  <c r="M40" i="214"/>
  <c r="D202" i="126"/>
  <c r="D203"/>
  <c r="D204"/>
  <c r="D205"/>
  <c r="D206"/>
  <c r="D207"/>
  <c r="D208"/>
  <c r="D209"/>
  <c r="D210"/>
  <c r="D211"/>
  <c r="K13" i="26" l="1"/>
  <c r="BC24" i="215"/>
  <c r="BB24"/>
  <c r="BA24"/>
  <c r="AV24"/>
  <c r="AR24"/>
  <c r="AQ24"/>
  <c r="AN24"/>
  <c r="AL24"/>
  <c r="AJ24"/>
  <c r="AF24"/>
  <c r="AF56" s="1"/>
  <c r="O24"/>
  <c r="L24"/>
  <c r="I24"/>
  <c r="H24"/>
  <c r="G24"/>
  <c r="F24"/>
  <c r="S8" i="130"/>
  <c r="G9"/>
  <c r="S9" s="1"/>
  <c r="I30" i="48"/>
  <c r="I31"/>
  <c r="L31"/>
  <c r="K76"/>
  <c r="K79" s="1"/>
  <c r="K45"/>
  <c r="K57"/>
  <c r="K64"/>
  <c r="K32"/>
  <c r="K65" l="1"/>
  <c r="K19"/>
  <c r="K35" s="1"/>
  <c r="AD40" i="225"/>
  <c r="AD54" s="1"/>
  <c r="E27" i="48"/>
  <c r="D50" i="332"/>
  <c r="E32"/>
  <c r="E50" s="1"/>
  <c r="E35" i="94"/>
  <c r="D35"/>
  <c r="E26"/>
  <c r="D26"/>
  <c r="D36" i="331"/>
  <c r="F26"/>
  <c r="F36" s="1"/>
  <c r="E26"/>
  <c r="E36" s="1"/>
  <c r="B26"/>
  <c r="D35" i="330"/>
  <c r="L12" i="38"/>
  <c r="F26" i="330"/>
  <c r="F35" s="1"/>
  <c r="E26"/>
  <c r="E35" s="1"/>
  <c r="B26"/>
  <c r="B35" s="1"/>
  <c r="M12" i="38" s="1"/>
  <c r="G37" i="318"/>
  <c r="K12" i="8" s="1"/>
  <c r="K78" i="328"/>
  <c r="D201" i="126"/>
  <c r="D233"/>
  <c r="D234"/>
  <c r="D235"/>
  <c r="D236"/>
  <c r="D232"/>
  <c r="D231"/>
  <c r="D228"/>
  <c r="D229"/>
  <c r="D227"/>
  <c r="D225"/>
  <c r="D224"/>
  <c r="D223"/>
  <c r="F223" s="1"/>
  <c r="D213"/>
  <c r="D214"/>
  <c r="D215"/>
  <c r="D216"/>
  <c r="D218"/>
  <c r="D219"/>
  <c r="D220"/>
  <c r="D221"/>
  <c r="D222"/>
  <c r="D212"/>
  <c r="D199"/>
  <c r="D198"/>
  <c r="D197"/>
  <c r="D196"/>
  <c r="D195"/>
  <c r="F195" s="1"/>
  <c r="D176"/>
  <c r="F176" s="1"/>
  <c r="D194"/>
  <c r="D193"/>
  <c r="D192"/>
  <c r="D191"/>
  <c r="D190"/>
  <c r="D189"/>
  <c r="D188"/>
  <c r="D187"/>
  <c r="F187" s="1"/>
  <c r="D186"/>
  <c r="F186" s="1"/>
  <c r="D185"/>
  <c r="F185" s="1"/>
  <c r="D181"/>
  <c r="D180"/>
  <c r="D179"/>
  <c r="D175"/>
  <c r="D174"/>
  <c r="D153"/>
  <c r="D154"/>
  <c r="D155"/>
  <c r="D156"/>
  <c r="D157"/>
  <c r="D158"/>
  <c r="D159"/>
  <c r="D160"/>
  <c r="D152"/>
  <c r="D122"/>
  <c r="D121"/>
  <c r="D120"/>
  <c r="D119"/>
  <c r="D141"/>
  <c r="D144"/>
  <c r="D145"/>
  <c r="D146"/>
  <c r="D147"/>
  <c r="D148"/>
  <c r="D149"/>
  <c r="D143"/>
  <c r="D124"/>
  <c r="D125"/>
  <c r="D126"/>
  <c r="D127"/>
  <c r="D128"/>
  <c r="D129"/>
  <c r="D130"/>
  <c r="D131"/>
  <c r="D132"/>
  <c r="D133"/>
  <c r="D134"/>
  <c r="D135"/>
  <c r="D136"/>
  <c r="D137"/>
  <c r="D138"/>
  <c r="D139"/>
  <c r="D140"/>
  <c r="D123"/>
  <c r="D117"/>
  <c r="D118"/>
  <c r="D116"/>
  <c r="D115"/>
  <c r="D114"/>
  <c r="D111"/>
  <c r="D112"/>
  <c r="D113"/>
  <c r="D110"/>
  <c r="D109"/>
  <c r="D107"/>
  <c r="D108"/>
  <c r="D99"/>
  <c r="D100"/>
  <c r="D101"/>
  <c r="D102"/>
  <c r="D103"/>
  <c r="D104"/>
  <c r="D105"/>
  <c r="D106"/>
  <c r="D98"/>
  <c r="D93"/>
  <c r="D94"/>
  <c r="D92"/>
  <c r="D91"/>
  <c r="D95"/>
  <c r="D89"/>
  <c r="D90"/>
  <c r="D88"/>
  <c r="D87"/>
  <c r="D85"/>
  <c r="D82"/>
  <c r="D84"/>
  <c r="D68"/>
  <c r="D69"/>
  <c r="D70"/>
  <c r="D79"/>
  <c r="D80"/>
  <c r="D81"/>
  <c r="D67"/>
  <c r="D65"/>
  <c r="D62"/>
  <c r="D63"/>
  <c r="D61"/>
  <c r="D59"/>
  <c r="D58"/>
  <c r="D56"/>
  <c r="D55"/>
  <c r="D54"/>
  <c r="D31"/>
  <c r="D32"/>
  <c r="D33"/>
  <c r="D34"/>
  <c r="D35"/>
  <c r="D36"/>
  <c r="D37"/>
  <c r="D38"/>
  <c r="D30"/>
  <c r="D48"/>
  <c r="D23"/>
  <c r="D24"/>
  <c r="D25"/>
  <c r="D26"/>
  <c r="D27"/>
  <c r="D28"/>
  <c r="D29"/>
  <c r="D39"/>
  <c r="D40"/>
  <c r="D41"/>
  <c r="D42"/>
  <c r="D46"/>
  <c r="D47"/>
  <c r="D49"/>
  <c r="D22"/>
  <c r="D21"/>
  <c r="C5" i="214"/>
  <c r="B36" i="331" l="1"/>
  <c r="M12" i="328" s="1"/>
  <c r="K21" i="8"/>
  <c r="J21" s="1"/>
  <c r="K19"/>
  <c r="J12"/>
  <c r="K17"/>
  <c r="J17" s="1"/>
  <c r="L19" i="38"/>
  <c r="K8" i="214" s="1"/>
  <c r="L21" i="38"/>
  <c r="K21" s="1"/>
  <c r="L17"/>
  <c r="K17" s="1"/>
  <c r="K12"/>
  <c r="M11" i="27"/>
  <c r="N11" s="1"/>
  <c r="L78" i="328"/>
  <c r="L23" i="38"/>
  <c r="L15"/>
  <c r="L20"/>
  <c r="K20" s="1"/>
  <c r="L8" i="214" s="1"/>
  <c r="L14" i="38"/>
  <c r="K14" s="1"/>
  <c r="L22"/>
  <c r="L13"/>
  <c r="F225" i="126"/>
  <c r="E37" i="94"/>
  <c r="K80" i="48"/>
  <c r="K81" s="1"/>
  <c r="K93" s="1"/>
  <c r="F200" i="126"/>
  <c r="F181"/>
  <c r="F236"/>
  <c r="F222"/>
  <c r="F175"/>
  <c r="D237"/>
  <c r="F194"/>
  <c r="D161"/>
  <c r="D150"/>
  <c r="D23" i="215"/>
  <c r="C23"/>
  <c r="B23"/>
  <c r="N22" i="214"/>
  <c r="U21"/>
  <c r="T21"/>
  <c r="S21"/>
  <c r="R21"/>
  <c r="Q21"/>
  <c r="P21"/>
  <c r="G21"/>
  <c r="D21"/>
  <c r="B21"/>
  <c r="X40"/>
  <c r="X52"/>
  <c r="K69" i="329"/>
  <c r="K76" s="1"/>
  <c r="L76" s="1"/>
  <c r="E69"/>
  <c r="E65"/>
  <c r="C23" i="27"/>
  <c r="E23" s="1"/>
  <c r="L20" i="328" l="1"/>
  <c r="K20" s="1"/>
  <c r="L9" i="214" s="1"/>
  <c r="L22" i="328"/>
  <c r="K22" s="1"/>
  <c r="L15"/>
  <c r="L18" s="1"/>
  <c r="K18" s="1"/>
  <c r="L14"/>
  <c r="K14" s="1"/>
  <c r="L23"/>
  <c r="L13"/>
  <c r="K13" s="1"/>
  <c r="K22" i="38"/>
  <c r="L24"/>
  <c r="K24" s="1"/>
  <c r="K13"/>
  <c r="L18"/>
  <c r="K18" s="1"/>
  <c r="K15"/>
  <c r="J8" i="214" s="1"/>
  <c r="BG23" i="215"/>
  <c r="J23" i="27"/>
  <c r="K23" s="1"/>
  <c r="I84" i="329"/>
  <c r="J84" s="1"/>
  <c r="S23" i="27" s="1"/>
  <c r="G23"/>
  <c r="H23" s="1"/>
  <c r="Z21" i="214"/>
  <c r="E76" i="329"/>
  <c r="K15" i="328" l="1"/>
  <c r="J9" i="214" s="1"/>
  <c r="L24" i="328"/>
  <c r="K24" s="1"/>
  <c r="P23" i="27"/>
  <c r="V23" s="1"/>
  <c r="K25" i="38"/>
  <c r="C10" i="27" s="1"/>
  <c r="E10" s="1"/>
  <c r="L25" i="38"/>
  <c r="B51" i="130"/>
  <c r="P49"/>
  <c r="G28"/>
  <c r="I28"/>
  <c r="I27"/>
  <c r="J18"/>
  <c r="I17"/>
  <c r="P13"/>
  <c r="B13"/>
  <c r="I13"/>
  <c r="G7"/>
  <c r="P46"/>
  <c r="D17" i="126"/>
  <c r="F237" s="1"/>
  <c r="R51" i="215"/>
  <c r="H70" i="35"/>
  <c r="I70" s="1"/>
  <c r="AY11" i="215"/>
  <c r="AW11"/>
  <c r="AI11"/>
  <c r="AE11"/>
  <c r="AD11"/>
  <c r="R11"/>
  <c r="Q11"/>
  <c r="P11"/>
  <c r="N11"/>
  <c r="M11"/>
  <c r="J11"/>
  <c r="D11"/>
  <c r="C11"/>
  <c r="B11"/>
  <c r="AY10"/>
  <c r="AW10"/>
  <c r="AI10"/>
  <c r="AE10"/>
  <c r="AD10"/>
  <c r="Q10"/>
  <c r="P10"/>
  <c r="J10"/>
  <c r="D10"/>
  <c r="C10"/>
  <c r="AY7"/>
  <c r="AK7"/>
  <c r="Q7"/>
  <c r="D7"/>
  <c r="C7"/>
  <c r="B7"/>
  <c r="K25" i="328" l="1"/>
  <c r="C11" i="27" s="1"/>
  <c r="E11" s="1"/>
  <c r="L25" i="328"/>
  <c r="S28" i="130"/>
  <c r="BG11" i="215"/>
  <c r="S6" i="130"/>
  <c r="C8" i="49"/>
  <c r="AX23" i="27"/>
  <c r="G10"/>
  <c r="H10" s="1"/>
  <c r="X6" i="214"/>
  <c r="X22" s="1"/>
  <c r="U9"/>
  <c r="T9"/>
  <c r="S9"/>
  <c r="R9"/>
  <c r="Q9"/>
  <c r="P9"/>
  <c r="G9"/>
  <c r="D9"/>
  <c r="B9"/>
  <c r="U8"/>
  <c r="T8"/>
  <c r="S8"/>
  <c r="R8"/>
  <c r="Q8"/>
  <c r="P8"/>
  <c r="G8"/>
  <c r="D8"/>
  <c r="B8"/>
  <c r="P10" i="27" l="1"/>
  <c r="V10" s="1"/>
  <c r="X57" i="214"/>
  <c r="C28" i="123" s="1"/>
  <c r="E27" i="212" s="1"/>
  <c r="E44" i="213"/>
  <c r="J44" s="1"/>
  <c r="Z8" i="214"/>
  <c r="Z9"/>
  <c r="E70" i="328"/>
  <c r="E62"/>
  <c r="E25"/>
  <c r="C10" i="49" l="1"/>
  <c r="AX10" i="27"/>
  <c r="AY10" s="1"/>
  <c r="C27" i="216"/>
  <c r="L123" i="48"/>
  <c r="K80" i="328"/>
  <c r="L80" s="1"/>
  <c r="J11" i="27"/>
  <c r="K11" s="1"/>
  <c r="G11"/>
  <c r="H11" s="1"/>
  <c r="E80" i="328"/>
  <c r="P11" i="27" l="1"/>
  <c r="G44" i="130"/>
  <c r="F5"/>
  <c r="AX11" i="27" l="1"/>
  <c r="AY11" s="1"/>
  <c r="V11"/>
  <c r="C11" i="49"/>
  <c r="J189" i="229"/>
  <c r="I85" i="315" l="1"/>
  <c r="I81"/>
  <c r="I124"/>
  <c r="I110"/>
  <c r="I112"/>
  <c r="I103"/>
  <c r="J202" i="26" l="1"/>
  <c r="J150"/>
  <c r="J129"/>
  <c r="J125"/>
  <c r="J87"/>
  <c r="J122"/>
  <c r="J101"/>
  <c r="J96"/>
  <c r="J95"/>
  <c r="J82"/>
  <c r="J62"/>
  <c r="J59"/>
  <c r="J57"/>
  <c r="J52"/>
  <c r="J48"/>
  <c r="J46" i="29"/>
  <c r="J47"/>
  <c r="J383" i="229"/>
  <c r="J382"/>
  <c r="J381"/>
  <c r="J380"/>
  <c r="J379"/>
  <c r="J378"/>
  <c r="J377"/>
  <c r="J355"/>
  <c r="J354"/>
  <c r="J353"/>
  <c r="J352"/>
  <c r="J350"/>
  <c r="J349"/>
  <c r="J347"/>
  <c r="J346"/>
  <c r="J345"/>
  <c r="J344"/>
  <c r="J343"/>
  <c r="J341"/>
  <c r="J339"/>
  <c r="J338"/>
  <c r="J217"/>
  <c r="J218"/>
  <c r="J219"/>
  <c r="J220"/>
  <c r="J221"/>
  <c r="J222"/>
  <c r="J226"/>
  <c r="J64"/>
  <c r="J74" i="27" l="1"/>
  <c r="Y44" i="214" l="1"/>
  <c r="R50" i="215"/>
  <c r="M22"/>
  <c r="AK19"/>
  <c r="AK24" s="1"/>
  <c r="J48"/>
  <c r="AP48"/>
  <c r="T47"/>
  <c r="AP9"/>
  <c r="K88" i="17"/>
  <c r="L88" s="1"/>
  <c r="J119"/>
  <c r="J190" i="229" l="1"/>
  <c r="J150" i="17" l="1"/>
  <c r="J147"/>
  <c r="J139"/>
  <c r="J129"/>
  <c r="J117"/>
  <c r="J116"/>
  <c r="J113"/>
  <c r="J101"/>
  <c r="J92"/>
  <c r="I94" i="19"/>
  <c r="H106"/>
  <c r="I87" i="35"/>
  <c r="I57"/>
  <c r="J55" i="17"/>
  <c r="I45" i="34"/>
  <c r="I46"/>
  <c r="I58" i="22" l="1"/>
  <c r="I79" i="7"/>
  <c r="I107" i="20"/>
  <c r="I87"/>
  <c r="I99" i="28"/>
  <c r="I54"/>
  <c r="I63"/>
  <c r="I62"/>
  <c r="I53"/>
  <c r="H86" i="22"/>
  <c r="H70" i="11"/>
  <c r="I107" i="14"/>
  <c r="I89"/>
  <c r="I58" i="37"/>
  <c r="J47"/>
  <c r="I70" i="11" l="1"/>
  <c r="G142" i="41"/>
  <c r="G143" s="1"/>
  <c r="J133"/>
  <c r="F142"/>
  <c r="G83" i="263" l="1"/>
  <c r="I58" i="8"/>
  <c r="J56" i="33"/>
  <c r="J296" i="229"/>
  <c r="J295"/>
  <c r="J294"/>
  <c r="J277"/>
  <c r="D154" i="41"/>
  <c r="D155" s="1"/>
  <c r="J154"/>
  <c r="J155" s="1"/>
  <c r="F154"/>
  <c r="F155" s="1"/>
  <c r="F143"/>
  <c r="H44" l="1"/>
  <c r="H43"/>
  <c r="H29"/>
  <c r="I98" i="18" l="1"/>
  <c r="I74" i="24"/>
  <c r="I73"/>
  <c r="I72"/>
  <c r="I92"/>
  <c r="I94"/>
  <c r="I95"/>
  <c r="I99"/>
  <c r="I101"/>
  <c r="I91"/>
  <c r="I93"/>
  <c r="I90" i="30"/>
  <c r="I95" i="25"/>
  <c r="I92" i="31"/>
  <c r="J75" i="27"/>
  <c r="G99" i="41"/>
  <c r="H97"/>
  <c r="H90"/>
  <c r="H81"/>
  <c r="H80"/>
  <c r="I87" i="30" l="1"/>
  <c r="P44" i="215" l="1"/>
  <c r="T44"/>
  <c r="Y37"/>
  <c r="AX36"/>
  <c r="T34" l="1"/>
  <c r="AH32" l="1"/>
  <c r="AG32"/>
  <c r="J9" l="1"/>
  <c r="Y7" i="214"/>
  <c r="AB60"/>
  <c r="AW14" i="215"/>
  <c r="AO14"/>
  <c r="AM14"/>
  <c r="AD14"/>
  <c r="AA14"/>
  <c r="Z14"/>
  <c r="R14"/>
  <c r="P14"/>
  <c r="K14"/>
  <c r="D14"/>
  <c r="C14"/>
  <c r="K25" i="214"/>
  <c r="K46"/>
  <c r="I31" i="13"/>
  <c r="AY14" i="215" l="1"/>
  <c r="H31" i="13" l="1"/>
  <c r="E15" i="29"/>
  <c r="E14"/>
  <c r="E26" i="26" l="1"/>
  <c r="D17" i="13"/>
  <c r="E21"/>
  <c r="E13"/>
  <c r="BY21" i="266" l="1"/>
  <c r="AD12" i="46"/>
  <c r="V20" i="267" l="1"/>
  <c r="W20" s="1"/>
  <c r="V19"/>
  <c r="W19" s="1"/>
  <c r="V6"/>
  <c r="V7"/>
  <c r="V8"/>
  <c r="V9"/>
  <c r="V10"/>
  <c r="V11"/>
  <c r="V12"/>
  <c r="V13"/>
  <c r="V14"/>
  <c r="V15"/>
  <c r="V16"/>
  <c r="V17"/>
  <c r="AX12" i="266"/>
  <c r="AD6" i="46"/>
  <c r="V18" i="267" l="1"/>
  <c r="W18" l="1"/>
  <c r="W24" s="1"/>
  <c r="V22"/>
  <c r="F28" i="40"/>
  <c r="D94" i="16"/>
  <c r="D56"/>
  <c r="D22"/>
  <c r="D23" i="35"/>
  <c r="E25" i="17"/>
  <c r="D66" i="34"/>
  <c r="D69" s="1"/>
  <c r="D22"/>
  <c r="D24" i="28"/>
  <c r="D94" i="22"/>
  <c r="D103" s="1"/>
  <c r="D49"/>
  <c r="D22"/>
  <c r="D48" i="11"/>
  <c r="D23"/>
  <c r="D48" i="15"/>
  <c r="D23"/>
  <c r="D49" i="5" l="1"/>
  <c r="D23"/>
  <c r="D23" i="9"/>
  <c r="D49" i="7"/>
  <c r="D26"/>
  <c r="D107" i="14"/>
  <c r="D49"/>
  <c r="D24"/>
  <c r="D48" i="12"/>
  <c r="D24"/>
  <c r="D90" i="6"/>
  <c r="D49"/>
  <c r="D24"/>
  <c r="D49" i="32"/>
  <c r="D24"/>
  <c r="D25" i="20"/>
  <c r="D19" i="23" l="1"/>
  <c r="D23"/>
  <c r="D20" i="21"/>
  <c r="D23"/>
  <c r="D24"/>
  <c r="D25"/>
  <c r="D26"/>
  <c r="D22"/>
  <c r="D90" i="18" l="1"/>
  <c r="D53"/>
  <c r="D23"/>
  <c r="D23" i="25" l="1"/>
  <c r="D22" i="31"/>
  <c r="D22" i="30"/>
  <c r="D54" i="19"/>
  <c r="D66"/>
  <c r="D23"/>
  <c r="D56" i="24"/>
  <c r="D22"/>
  <c r="D22" i="10"/>
  <c r="D133" i="315"/>
  <c r="D112"/>
  <c r="D84"/>
  <c r="D81"/>
  <c r="D80"/>
  <c r="D77"/>
  <c r="D76"/>
  <c r="D75"/>
  <c r="D74"/>
  <c r="D73"/>
  <c r="D71"/>
  <c r="D70"/>
  <c r="D69"/>
  <c r="D66"/>
  <c r="D63"/>
  <c r="D62"/>
  <c r="D61"/>
  <c r="D60" l="1"/>
  <c r="D58"/>
  <c r="D56"/>
  <c r="D54"/>
  <c r="D53"/>
  <c r="D51"/>
  <c r="D50"/>
  <c r="D47"/>
  <c r="D46"/>
  <c r="D29"/>
  <c r="D19"/>
  <c r="D28"/>
  <c r="D27"/>
  <c r="D26"/>
  <c r="D25"/>
  <c r="D22"/>
  <c r="D20"/>
  <c r="D24"/>
  <c r="D16"/>
  <c r="D14"/>
  <c r="D13"/>
  <c r="D12"/>
  <c r="D11"/>
  <c r="D23" i="1"/>
  <c r="E62" i="37"/>
  <c r="E66" s="1"/>
  <c r="E50"/>
  <c r="E25"/>
  <c r="E16"/>
  <c r="E24"/>
  <c r="E23"/>
  <c r="E22"/>
  <c r="E21"/>
  <c r="E18"/>
  <c r="E14"/>
  <c r="E13"/>
  <c r="E12"/>
  <c r="D68" i="8"/>
  <c r="D73" s="1"/>
  <c r="D24"/>
  <c r="D23"/>
  <c r="D22"/>
  <c r="D21"/>
  <c r="D18"/>
  <c r="D20"/>
  <c r="D14"/>
  <c r="D13"/>
  <c r="D12"/>
  <c r="E84" i="33"/>
  <c r="E87" s="1"/>
  <c r="E19"/>
  <c r="E67" i="4"/>
  <c r="E72"/>
  <c r="E20"/>
  <c r="D20" i="2"/>
  <c r="E92" i="3"/>
  <c r="E89"/>
  <c r="E47"/>
  <c r="E21"/>
  <c r="E66" i="29"/>
  <c r="E65"/>
  <c r="E64"/>
  <c r="E26"/>
  <c r="E20" i="37"/>
  <c r="S40" i="225"/>
  <c r="F40"/>
  <c r="F52"/>
  <c r="E51" i="226"/>
  <c r="E40"/>
  <c r="D87" i="315" l="1"/>
  <c r="D30"/>
  <c r="E81" i="4"/>
  <c r="D94" i="2"/>
  <c r="E108" i="48"/>
  <c r="E27" i="37"/>
  <c r="F54" i="225"/>
  <c r="E56" i="226"/>
  <c r="AR52" i="225" l="1"/>
  <c r="AR40"/>
  <c r="AB52"/>
  <c r="AB40"/>
  <c r="S52"/>
  <c r="I52"/>
  <c r="I40"/>
  <c r="AQ52"/>
  <c r="AQ54" s="1"/>
  <c r="AA7" i="226"/>
  <c r="R6" i="227" l="1"/>
  <c r="AR54" i="225"/>
  <c r="AB54"/>
  <c r="S54"/>
  <c r="I54"/>
  <c r="BZ52"/>
  <c r="BZ54" s="1"/>
  <c r="CA52"/>
  <c r="CA54" s="1"/>
  <c r="AG40" l="1"/>
  <c r="AG52"/>
  <c r="AG54" l="1"/>
  <c r="AA45" i="226"/>
  <c r="H74" i="19" l="1"/>
  <c r="I74" s="1"/>
  <c r="S47" i="130"/>
  <c r="AE40" i="215"/>
  <c r="N9"/>
  <c r="J69" i="28"/>
  <c r="K69" s="1"/>
  <c r="D19" i="51"/>
  <c r="Z24" i="202"/>
  <c r="Z42"/>
  <c r="M47"/>
  <c r="Z47" s="1"/>
  <c r="M43"/>
  <c r="M7"/>
  <c r="Z7" s="1"/>
  <c r="Z13"/>
  <c r="M22"/>
  <c r="J17" i="213"/>
  <c r="AA13" i="202"/>
  <c r="P13"/>
  <c r="L7"/>
  <c r="P7" s="1"/>
  <c r="B51" i="115"/>
  <c r="K39" i="202"/>
  <c r="H27" i="115"/>
  <c r="I39" i="202" s="1"/>
  <c r="K38"/>
  <c r="K34"/>
  <c r="I34"/>
  <c r="H37" i="109"/>
  <c r="K33" i="202" s="1"/>
  <c r="H31" i="109"/>
  <c r="G33" i="202" s="1"/>
  <c r="H44" i="108"/>
  <c r="K32" i="202" s="1"/>
  <c r="I32"/>
  <c r="B63" i="107"/>
  <c r="H44"/>
  <c r="E92" i="39"/>
  <c r="E91"/>
  <c r="G92"/>
  <c r="G91"/>
  <c r="G90"/>
  <c r="K92"/>
  <c r="K91"/>
  <c r="K90"/>
  <c r="K26"/>
  <c r="G25"/>
  <c r="G30" i="41" s="1"/>
  <c r="H30" s="1"/>
  <c r="K25" i="39"/>
  <c r="G18" i="217"/>
  <c r="L70" i="48"/>
  <c r="K63" i="39" s="1"/>
  <c r="O5" i="130"/>
  <c r="O22" s="1"/>
  <c r="I108" i="48"/>
  <c r="F57" i="119"/>
  <c r="N51" i="202" s="1"/>
  <c r="B44" i="118"/>
  <c r="I92" i="39" l="1"/>
  <c r="I90"/>
  <c r="K97"/>
  <c r="Z22" i="202"/>
  <c r="I25" i="39"/>
  <c r="B53" i="110" l="1"/>
  <c r="F48" i="111"/>
  <c r="B46" i="108"/>
  <c r="I401" i="229"/>
  <c r="B45" i="107"/>
  <c r="B65" l="1"/>
  <c r="L11" i="12" l="1"/>
  <c r="F38" i="102"/>
  <c r="B56"/>
  <c r="O19" i="202" s="1"/>
  <c r="B63" i="100"/>
  <c r="O18" i="202" s="1"/>
  <c r="O17"/>
  <c r="N17"/>
  <c r="O16"/>
  <c r="G36" i="89"/>
  <c r="N43" i="202" s="1"/>
  <c r="G29" i="89"/>
  <c r="G38" l="1"/>
  <c r="K27" i="12"/>
  <c r="K24"/>
  <c r="J24" s="1"/>
  <c r="K12"/>
  <c r="K16"/>
  <c r="J16" s="1"/>
  <c r="K26"/>
  <c r="K15"/>
  <c r="J15" s="1"/>
  <c r="K17"/>
  <c r="J17" s="1"/>
  <c r="K18"/>
  <c r="H65" i="97"/>
  <c r="M12" i="3" l="1"/>
  <c r="J26" i="12"/>
  <c r="K28"/>
  <c r="J28" s="1"/>
  <c r="J12"/>
  <c r="J18"/>
  <c r="J30" i="214" s="1"/>
  <c r="K22" i="12"/>
  <c r="J22" s="1"/>
  <c r="AH52" i="225"/>
  <c r="AH40"/>
  <c r="AX52"/>
  <c r="AX40"/>
  <c r="K52"/>
  <c r="L52"/>
  <c r="K40"/>
  <c r="L40"/>
  <c r="C49" i="46"/>
  <c r="D49"/>
  <c r="E49"/>
  <c r="G49"/>
  <c r="F49"/>
  <c r="H49"/>
  <c r="I49"/>
  <c r="J49"/>
  <c r="K49"/>
  <c r="L49"/>
  <c r="M49"/>
  <c r="N49"/>
  <c r="O49"/>
  <c r="P49"/>
  <c r="Q49"/>
  <c r="R49"/>
  <c r="S49"/>
  <c r="T49"/>
  <c r="U49"/>
  <c r="V49"/>
  <c r="W49"/>
  <c r="X49"/>
  <c r="Y49"/>
  <c r="Z49"/>
  <c r="AA49"/>
  <c r="AB49"/>
  <c r="AC49"/>
  <c r="B49"/>
  <c r="BW23" i="266"/>
  <c r="BQ23"/>
  <c r="BR23"/>
  <c r="BS23"/>
  <c r="BT23"/>
  <c r="BU23"/>
  <c r="BV23"/>
  <c r="BX23"/>
  <c r="BQ41"/>
  <c r="BR41"/>
  <c r="BS41"/>
  <c r="BT41"/>
  <c r="BU41"/>
  <c r="BV41"/>
  <c r="BW41"/>
  <c r="BX41"/>
  <c r="AK53"/>
  <c r="AK41"/>
  <c r="AK23"/>
  <c r="E23"/>
  <c r="E41"/>
  <c r="E53"/>
  <c r="BW53"/>
  <c r="BX53"/>
  <c r="K12" i="3" l="1"/>
  <c r="I38" i="89" s="1"/>
  <c r="M18" i="3"/>
  <c r="K18" s="1"/>
  <c r="M22"/>
  <c r="K22" s="1"/>
  <c r="M20"/>
  <c r="K42" i="214" s="1"/>
  <c r="BX55" i="266"/>
  <c r="L54" i="225"/>
  <c r="AK55" i="266"/>
  <c r="BW55"/>
  <c r="AX54" i="225"/>
  <c r="E170" i="48" s="1"/>
  <c r="K54" i="225"/>
  <c r="AH54"/>
  <c r="E179" i="48" s="1"/>
  <c r="E55" i="266"/>
  <c r="M33" i="41" l="1"/>
  <c r="J33"/>
  <c r="N165" l="1"/>
  <c r="K231" i="26" l="1"/>
  <c r="J113" i="29"/>
  <c r="G76" i="13" l="1"/>
  <c r="G73"/>
  <c r="G48"/>
  <c r="G49"/>
  <c r="G50"/>
  <c r="G51"/>
  <c r="G35"/>
  <c r="G36"/>
  <c r="G37"/>
  <c r="G38"/>
  <c r="G39"/>
  <c r="G40"/>
  <c r="G41"/>
  <c r="G42"/>
  <c r="G43"/>
  <c r="G44"/>
  <c r="G45"/>
  <c r="G46"/>
  <c r="G47"/>
  <c r="G34"/>
  <c r="J141" i="26" l="1"/>
  <c r="J131"/>
  <c r="J128"/>
  <c r="J126"/>
  <c r="J124"/>
  <c r="J121"/>
  <c r="J119"/>
  <c r="J103"/>
  <c r="J102"/>
  <c r="J100"/>
  <c r="J99"/>
  <c r="J98"/>
  <c r="J46"/>
  <c r="J47"/>
  <c r="J50"/>
  <c r="J54"/>
  <c r="J55"/>
  <c r="J56"/>
  <c r="J58"/>
  <c r="J61"/>
  <c r="J81"/>
  <c r="J86"/>
  <c r="J92"/>
  <c r="J45"/>
  <c r="J114" i="29"/>
  <c r="J112"/>
  <c r="J103"/>
  <c r="J102"/>
  <c r="J73"/>
  <c r="J60"/>
  <c r="J76"/>
  <c r="J64"/>
  <c r="J63"/>
  <c r="J67"/>
  <c r="J69"/>
  <c r="J70"/>
  <c r="J71"/>
  <c r="J77"/>
  <c r="J75"/>
  <c r="J48"/>
  <c r="J51"/>
  <c r="J52"/>
  <c r="J53"/>
  <c r="J54"/>
  <c r="J55"/>
  <c r="J58"/>
  <c r="J59"/>
  <c r="J74"/>
  <c r="I77" i="315" l="1"/>
  <c r="J461" i="229" l="1"/>
  <c r="J460"/>
  <c r="J316"/>
  <c r="J430"/>
  <c r="J315"/>
  <c r="J429"/>
  <c r="J417"/>
  <c r="J314"/>
  <c r="J415"/>
  <c r="J414"/>
  <c r="J412"/>
  <c r="J312"/>
  <c r="J303"/>
  <c r="J225"/>
  <c r="J224"/>
  <c r="J223"/>
  <c r="J302"/>
  <c r="J301"/>
  <c r="J300"/>
  <c r="J299"/>
  <c r="J297"/>
  <c r="J259"/>
  <c r="J257"/>
  <c r="J252"/>
  <c r="J251"/>
  <c r="J249"/>
  <c r="J203"/>
  <c r="J169"/>
  <c r="J79"/>
  <c r="J80"/>
  <c r="J81"/>
  <c r="J82"/>
  <c r="J84"/>
  <c r="J53"/>
  <c r="J77"/>
  <c r="J49"/>
  <c r="J59"/>
  <c r="J61"/>
  <c r="J63"/>
  <c r="J57"/>
  <c r="J56"/>
  <c r="J55"/>
  <c r="J54"/>
  <c r="J34"/>
  <c r="J33"/>
  <c r="J32"/>
  <c r="J31"/>
  <c r="J30"/>
  <c r="J28"/>
  <c r="J27"/>
  <c r="J26"/>
  <c r="J17"/>
  <c r="J18"/>
  <c r="J16"/>
  <c r="I119" i="213"/>
  <c r="I46" i="130"/>
  <c r="S46" s="1"/>
  <c r="G50"/>
  <c r="S48"/>
  <c r="J38"/>
  <c r="O38"/>
  <c r="O40" s="1"/>
  <c r="O56" s="1"/>
  <c r="S36"/>
  <c r="G34"/>
  <c r="J33"/>
  <c r="P32"/>
  <c r="G31"/>
  <c r="S32" l="1"/>
  <c r="P40"/>
  <c r="G128" i="213" s="1"/>
  <c r="S35" i="130"/>
  <c r="S33"/>
  <c r="G119" i="213"/>
  <c r="J27" i="130"/>
  <c r="B27"/>
  <c r="B40" s="1"/>
  <c r="B20"/>
  <c r="B22" s="1"/>
  <c r="I19"/>
  <c r="S19" s="1"/>
  <c r="F18"/>
  <c r="F22" s="1"/>
  <c r="F56" s="1"/>
  <c r="J17"/>
  <c r="S17" s="1"/>
  <c r="I16"/>
  <c r="S16" s="1"/>
  <c r="J14"/>
  <c r="I14"/>
  <c r="G13"/>
  <c r="G26"/>
  <c r="G40" s="1"/>
  <c r="J26"/>
  <c r="G127" i="213"/>
  <c r="J44" i="130"/>
  <c r="I44"/>
  <c r="I42"/>
  <c r="AE51" i="215"/>
  <c r="AD51"/>
  <c r="AR51"/>
  <c r="AE19"/>
  <c r="AD19"/>
  <c r="AI13"/>
  <c r="Y40"/>
  <c r="AS40"/>
  <c r="BA40"/>
  <c r="T40"/>
  <c r="AE39"/>
  <c r="T39"/>
  <c r="R39"/>
  <c r="Q39"/>
  <c r="AE38"/>
  <c r="AD38"/>
  <c r="AE37"/>
  <c r="AD37"/>
  <c r="AE36"/>
  <c r="AD36"/>
  <c r="AE35"/>
  <c r="AD35"/>
  <c r="AE34"/>
  <c r="AD34"/>
  <c r="AE33"/>
  <c r="AD33"/>
  <c r="AE32"/>
  <c r="AD32"/>
  <c r="AE30"/>
  <c r="AD30"/>
  <c r="Q29"/>
  <c r="AH31"/>
  <c r="AE31"/>
  <c r="T18"/>
  <c r="AE17"/>
  <c r="AD17"/>
  <c r="AE16"/>
  <c r="AD16"/>
  <c r="K15"/>
  <c r="AY8"/>
  <c r="AI8"/>
  <c r="AE8"/>
  <c r="AD8"/>
  <c r="S13" i="130" l="1"/>
  <c r="S26"/>
  <c r="S25"/>
  <c r="G117" i="213"/>
  <c r="AH27" i="215"/>
  <c r="AE9"/>
  <c r="AD9"/>
  <c r="AE46"/>
  <c r="AD46"/>
  <c r="AW48"/>
  <c r="AE48"/>
  <c r="AD48"/>
  <c r="T48"/>
  <c r="AE47"/>
  <c r="AE26" l="1"/>
  <c r="AE42" s="1"/>
  <c r="AD26"/>
  <c r="AY44"/>
  <c r="AE54"/>
  <c r="AE7"/>
  <c r="AE24" s="1"/>
  <c r="AD7"/>
  <c r="AE56" l="1"/>
  <c r="G670" i="263" l="1"/>
  <c r="H693" l="1"/>
  <c r="F691"/>
  <c r="G690"/>
  <c r="G689"/>
  <c r="G688"/>
  <c r="G687"/>
  <c r="D691"/>
  <c r="G620"/>
  <c r="H632"/>
  <c r="F632"/>
  <c r="E632"/>
  <c r="G631"/>
  <c r="G630"/>
  <c r="H627"/>
  <c r="F627"/>
  <c r="D627"/>
  <c r="D634" s="1"/>
  <c r="G626"/>
  <c r="G625"/>
  <c r="G624"/>
  <c r="G623"/>
  <c r="G622"/>
  <c r="H616"/>
  <c r="E616"/>
  <c r="D616"/>
  <c r="G581"/>
  <c r="G575"/>
  <c r="H587"/>
  <c r="F587"/>
  <c r="E587"/>
  <c r="G585"/>
  <c r="H582"/>
  <c r="F582"/>
  <c r="D582"/>
  <c r="D589" s="1"/>
  <c r="G580"/>
  <c r="G579"/>
  <c r="G578"/>
  <c r="G577"/>
  <c r="G573"/>
  <c r="H571"/>
  <c r="E571"/>
  <c r="D571"/>
  <c r="G535"/>
  <c r="G536"/>
  <c r="G537"/>
  <c r="H543"/>
  <c r="F543"/>
  <c r="E543"/>
  <c r="G542"/>
  <c r="G541"/>
  <c r="H539"/>
  <c r="F539"/>
  <c r="D539"/>
  <c r="D545" s="1"/>
  <c r="G534"/>
  <c r="G532"/>
  <c r="G530"/>
  <c r="H528"/>
  <c r="E528"/>
  <c r="D528"/>
  <c r="E495"/>
  <c r="H500"/>
  <c r="F500"/>
  <c r="E500"/>
  <c r="G499"/>
  <c r="H495"/>
  <c r="F495"/>
  <c r="G494"/>
  <c r="G490"/>
  <c r="G488"/>
  <c r="G486"/>
  <c r="H484"/>
  <c r="E484"/>
  <c r="D484"/>
  <c r="G455"/>
  <c r="G454"/>
  <c r="H456"/>
  <c r="F456"/>
  <c r="E456"/>
  <c r="H452"/>
  <c r="F452"/>
  <c r="E452"/>
  <c r="D452"/>
  <c r="D458" s="1"/>
  <c r="G451"/>
  <c r="G447"/>
  <c r="G445"/>
  <c r="G443"/>
  <c r="H441"/>
  <c r="E441"/>
  <c r="D441"/>
  <c r="H413"/>
  <c r="F413"/>
  <c r="E413"/>
  <c r="H408"/>
  <c r="F408"/>
  <c r="E408"/>
  <c r="D408"/>
  <c r="D415" s="1"/>
  <c r="G407"/>
  <c r="G403"/>
  <c r="G401"/>
  <c r="G399"/>
  <c r="H397"/>
  <c r="E397"/>
  <c r="D397"/>
  <c r="G354"/>
  <c r="H361"/>
  <c r="F361"/>
  <c r="E361"/>
  <c r="H356"/>
  <c r="F356"/>
  <c r="E356"/>
  <c r="D356"/>
  <c r="D363" s="1"/>
  <c r="G355"/>
  <c r="G351"/>
  <c r="G349"/>
  <c r="G347"/>
  <c r="H345"/>
  <c r="E345"/>
  <c r="D345"/>
  <c r="H314"/>
  <c r="F314"/>
  <c r="E314"/>
  <c r="H309"/>
  <c r="F309"/>
  <c r="E309"/>
  <c r="D309"/>
  <c r="D316" s="1"/>
  <c r="G308"/>
  <c r="G304"/>
  <c r="G302"/>
  <c r="G300"/>
  <c r="H298"/>
  <c r="E298"/>
  <c r="D298"/>
  <c r="G261"/>
  <c r="H270"/>
  <c r="F270"/>
  <c r="E270"/>
  <c r="H265"/>
  <c r="F265"/>
  <c r="E265"/>
  <c r="D265"/>
  <c r="D272" s="1"/>
  <c r="G260"/>
  <c r="G258"/>
  <c r="G256"/>
  <c r="H254"/>
  <c r="E254"/>
  <c r="D254"/>
  <c r="G220"/>
  <c r="H226"/>
  <c r="F226"/>
  <c r="E226"/>
  <c r="G224"/>
  <c r="H221"/>
  <c r="F221"/>
  <c r="E221"/>
  <c r="D221"/>
  <c r="D228" s="1"/>
  <c r="G217"/>
  <c r="G215"/>
  <c r="G213"/>
  <c r="H211"/>
  <c r="E211"/>
  <c r="D211"/>
  <c r="H181"/>
  <c r="F181"/>
  <c r="E181"/>
  <c r="H176"/>
  <c r="H183" s="1"/>
  <c r="F176"/>
  <c r="E176"/>
  <c r="E183" s="1"/>
  <c r="D176"/>
  <c r="G175"/>
  <c r="H166"/>
  <c r="E166"/>
  <c r="D166"/>
  <c r="G132"/>
  <c r="D661"/>
  <c r="H676"/>
  <c r="F676"/>
  <c r="E676"/>
  <c r="H671"/>
  <c r="F671"/>
  <c r="E671"/>
  <c r="H661"/>
  <c r="E661"/>
  <c r="H138"/>
  <c r="F138"/>
  <c r="E138"/>
  <c r="H133"/>
  <c r="H140" s="1"/>
  <c r="F133"/>
  <c r="E133"/>
  <c r="E140" s="1"/>
  <c r="D133"/>
  <c r="H123"/>
  <c r="E123"/>
  <c r="D123"/>
  <c r="F94"/>
  <c r="E94"/>
  <c r="H84"/>
  <c r="F84"/>
  <c r="E84"/>
  <c r="D84"/>
  <c r="G82"/>
  <c r="G78"/>
  <c r="G76"/>
  <c r="H74"/>
  <c r="E74"/>
  <c r="D74"/>
  <c r="J51" i="229"/>
  <c r="J112"/>
  <c r="J127"/>
  <c r="J139"/>
  <c r="J140"/>
  <c r="J154"/>
  <c r="J100"/>
  <c r="H96" i="263" l="1"/>
  <c r="I84"/>
  <c r="E272"/>
  <c r="G84"/>
  <c r="F96"/>
  <c r="E539"/>
  <c r="E545" s="1"/>
  <c r="H634"/>
  <c r="E691"/>
  <c r="E693" s="1"/>
  <c r="H415"/>
  <c r="E415"/>
  <c r="E627"/>
  <c r="E634" s="1"/>
  <c r="H316"/>
  <c r="H363"/>
  <c r="E502"/>
  <c r="H502"/>
  <c r="E678"/>
  <c r="E228"/>
  <c r="H678"/>
  <c r="E316"/>
  <c r="H228"/>
  <c r="H272"/>
  <c r="E363"/>
  <c r="H458"/>
  <c r="G618"/>
  <c r="H589"/>
  <c r="E582"/>
  <c r="E589" s="1"/>
  <c r="H545"/>
  <c r="E458"/>
  <c r="E96"/>
  <c r="G98" s="1"/>
  <c r="H98" s="1"/>
  <c r="J35" i="229"/>
  <c r="J38"/>
  <c r="J37"/>
  <c r="J36"/>
  <c r="J50"/>
  <c r="I96" i="263" l="1"/>
  <c r="AD39" i="215"/>
  <c r="I89" i="35" l="1"/>
  <c r="J132" i="32" l="1"/>
  <c r="K132" s="1"/>
  <c r="E49" i="311" l="1"/>
  <c r="E26"/>
  <c r="G35" i="268"/>
  <c r="G36"/>
  <c r="G37"/>
  <c r="G38"/>
  <c r="G39"/>
  <c r="G40"/>
  <c r="G41"/>
  <c r="G42"/>
  <c r="G43"/>
  <c r="G44"/>
  <c r="G46"/>
  <c r="G47"/>
  <c r="G48"/>
  <c r="G49"/>
  <c r="G52"/>
  <c r="G34"/>
  <c r="G33" i="263"/>
  <c r="G34"/>
  <c r="G37"/>
  <c r="G40"/>
  <c r="G32"/>
  <c r="F46"/>
  <c r="F41"/>
  <c r="G41" s="1"/>
  <c r="I45" i="19"/>
  <c r="I46"/>
  <c r="I47"/>
  <c r="I48"/>
  <c r="I49"/>
  <c r="I50"/>
  <c r="I51"/>
  <c r="I52"/>
  <c r="I53"/>
  <c r="I56"/>
  <c r="I54"/>
  <c r="I55"/>
  <c r="I58"/>
  <c r="I59"/>
  <c r="I60"/>
  <c r="I61"/>
  <c r="I62"/>
  <c r="I63"/>
  <c r="I64"/>
  <c r="I65"/>
  <c r="I66"/>
  <c r="I44"/>
  <c r="H112"/>
  <c r="I112" s="1"/>
  <c r="I47" i="34"/>
  <c r="I48"/>
  <c r="I49"/>
  <c r="I50"/>
  <c r="I51"/>
  <c r="I52"/>
  <c r="I53"/>
  <c r="I55"/>
  <c r="I56"/>
  <c r="I57"/>
  <c r="I58"/>
  <c r="I59"/>
  <c r="I60"/>
  <c r="I61"/>
  <c r="I44"/>
  <c r="H69"/>
  <c r="H99" i="12"/>
  <c r="I99" s="1"/>
  <c r="I44"/>
  <c r="I45"/>
  <c r="I46"/>
  <c r="I48"/>
  <c r="I49"/>
  <c r="I50"/>
  <c r="I51"/>
  <c r="I52"/>
  <c r="I54"/>
  <c r="I55"/>
  <c r="I56"/>
  <c r="I57"/>
  <c r="I59"/>
  <c r="I60"/>
  <c r="I63"/>
  <c r="I66"/>
  <c r="I67"/>
  <c r="I68"/>
  <c r="I69"/>
  <c r="I43"/>
  <c r="I45" i="14"/>
  <c r="I46"/>
  <c r="I47"/>
  <c r="I48"/>
  <c r="I49"/>
  <c r="I50"/>
  <c r="I51"/>
  <c r="I52"/>
  <c r="I53"/>
  <c r="I55"/>
  <c r="I56"/>
  <c r="I57"/>
  <c r="I59"/>
  <c r="I62"/>
  <c r="I63"/>
  <c r="I64"/>
  <c r="I44"/>
  <c r="I82"/>
  <c r="I83"/>
  <c r="I84"/>
  <c r="I81"/>
  <c r="I44" i="15"/>
  <c r="I45"/>
  <c r="I46"/>
  <c r="I47"/>
  <c r="I49"/>
  <c r="I48"/>
  <c r="I50"/>
  <c r="I52"/>
  <c r="I53"/>
  <c r="I51"/>
  <c r="I54"/>
  <c r="I55"/>
  <c r="I56"/>
  <c r="I57"/>
  <c r="I87"/>
  <c r="I59"/>
  <c r="I58"/>
  <c r="I61"/>
  <c r="I62"/>
  <c r="I63"/>
  <c r="I43"/>
  <c r="I85"/>
  <c r="I83"/>
  <c r="I84"/>
  <c r="I88"/>
  <c r="I82"/>
  <c r="H90"/>
  <c r="I90" s="1"/>
  <c r="I45" i="7"/>
  <c r="I46"/>
  <c r="I47"/>
  <c r="I48"/>
  <c r="I49"/>
  <c r="I50"/>
  <c r="I51"/>
  <c r="I52"/>
  <c r="I53"/>
  <c r="I54"/>
  <c r="I55"/>
  <c r="I59"/>
  <c r="I60"/>
  <c r="I61"/>
  <c r="I64"/>
  <c r="I65"/>
  <c r="I44"/>
  <c r="I80"/>
  <c r="I81"/>
  <c r="I82"/>
  <c r="I83"/>
  <c r="H85"/>
  <c r="I45" i="6"/>
  <c r="I46"/>
  <c r="I47"/>
  <c r="I49"/>
  <c r="I50"/>
  <c r="I51"/>
  <c r="I53"/>
  <c r="I54"/>
  <c r="I52"/>
  <c r="I55"/>
  <c r="I56"/>
  <c r="I58"/>
  <c r="I62"/>
  <c r="I65"/>
  <c r="I44"/>
  <c r="I83"/>
  <c r="I84"/>
  <c r="I82"/>
  <c r="I45" i="5"/>
  <c r="I46"/>
  <c r="I47"/>
  <c r="I48"/>
  <c r="I49"/>
  <c r="I50"/>
  <c r="I51"/>
  <c r="I52"/>
  <c r="I53"/>
  <c r="I54"/>
  <c r="I55"/>
  <c r="I56"/>
  <c r="I58"/>
  <c r="I59"/>
  <c r="I60"/>
  <c r="I61"/>
  <c r="I63"/>
  <c r="I64"/>
  <c r="I44"/>
  <c r="I82"/>
  <c r="I80"/>
  <c r="H85"/>
  <c r="I67" i="32"/>
  <c r="I68"/>
  <c r="I69"/>
  <c r="I66"/>
  <c r="I45"/>
  <c r="I47"/>
  <c r="I48"/>
  <c r="I49"/>
  <c r="I51"/>
  <c r="I53"/>
  <c r="I54"/>
  <c r="I55"/>
  <c r="I56"/>
  <c r="I57"/>
  <c r="I58"/>
  <c r="I62"/>
  <c r="I59"/>
  <c r="I60"/>
  <c r="I61"/>
  <c r="I64"/>
  <c r="I65"/>
  <c r="I44"/>
  <c r="I48" i="11"/>
  <c r="I50"/>
  <c r="I51"/>
  <c r="I52"/>
  <c r="I53"/>
  <c r="I54"/>
  <c r="I55"/>
  <c r="I57"/>
  <c r="I58"/>
  <c r="I59"/>
  <c r="I62"/>
  <c r="I63"/>
  <c r="I64"/>
  <c r="I65"/>
  <c r="I66"/>
  <c r="I67"/>
  <c r="I68"/>
  <c r="I44"/>
  <c r="I45"/>
  <c r="I46"/>
  <c r="I47"/>
  <c r="I49"/>
  <c r="I43"/>
  <c r="I85" i="5" l="1"/>
  <c r="E55" i="311"/>
  <c r="F48" i="263"/>
  <c r="I45" i="22"/>
  <c r="I46"/>
  <c r="I47"/>
  <c r="I48"/>
  <c r="I50"/>
  <c r="I49"/>
  <c r="I51"/>
  <c r="I52"/>
  <c r="I54"/>
  <c r="I55"/>
  <c r="I59"/>
  <c r="I60"/>
  <c r="I61"/>
  <c r="I62"/>
  <c r="I63"/>
  <c r="I44"/>
  <c r="I82"/>
  <c r="I83"/>
  <c r="I84"/>
  <c r="I85"/>
  <c r="I81"/>
  <c r="I98" i="20"/>
  <c r="I99"/>
  <c r="I100"/>
  <c r="I101"/>
  <c r="I102"/>
  <c r="I104"/>
  <c r="I105"/>
  <c r="I106"/>
  <c r="I97"/>
  <c r="H142"/>
  <c r="I45" i="9"/>
  <c r="I46"/>
  <c r="I47"/>
  <c r="I48"/>
  <c r="I49"/>
  <c r="I50"/>
  <c r="I51"/>
  <c r="I53"/>
  <c r="I54"/>
  <c r="I55"/>
  <c r="I52"/>
  <c r="I56"/>
  <c r="I57"/>
  <c r="I58"/>
  <c r="I59"/>
  <c r="I60"/>
  <c r="I61"/>
  <c r="I63"/>
  <c r="I44"/>
  <c r="I83"/>
  <c r="I84"/>
  <c r="I85"/>
  <c r="I86"/>
  <c r="I82"/>
  <c r="I45" i="20"/>
  <c r="I46"/>
  <c r="I47"/>
  <c r="I50"/>
  <c r="I51"/>
  <c r="I52"/>
  <c r="I54"/>
  <c r="I55"/>
  <c r="I56"/>
  <c r="I57"/>
  <c r="I59"/>
  <c r="I60"/>
  <c r="I61"/>
  <c r="I62"/>
  <c r="I63"/>
  <c r="I64"/>
  <c r="I65"/>
  <c r="I44"/>
  <c r="I46" i="35"/>
  <c r="I47"/>
  <c r="I48"/>
  <c r="I49"/>
  <c r="I51"/>
  <c r="I55"/>
  <c r="I58"/>
  <c r="I60"/>
  <c r="I61"/>
  <c r="I63"/>
  <c r="I64"/>
  <c r="I52"/>
  <c r="I50"/>
  <c r="I45"/>
  <c r="I94" i="16"/>
  <c r="I91"/>
  <c r="I46"/>
  <c r="I47"/>
  <c r="I49"/>
  <c r="I51"/>
  <c r="I54"/>
  <c r="I56"/>
  <c r="I60"/>
  <c r="I61"/>
  <c r="I45"/>
  <c r="I50"/>
  <c r="J46" i="17"/>
  <c r="J47"/>
  <c r="J48"/>
  <c r="J49"/>
  <c r="J50"/>
  <c r="J51"/>
  <c r="J52"/>
  <c r="J53"/>
  <c r="J54"/>
  <c r="J56"/>
  <c r="J57"/>
  <c r="J58"/>
  <c r="J59"/>
  <c r="J60"/>
  <c r="J61"/>
  <c r="J62"/>
  <c r="J63"/>
  <c r="J45"/>
  <c r="I66"/>
  <c r="I98" i="28"/>
  <c r="I46"/>
  <c r="I47"/>
  <c r="I48"/>
  <c r="I49"/>
  <c r="I50"/>
  <c r="I51"/>
  <c r="I55"/>
  <c r="I56"/>
  <c r="I57"/>
  <c r="I58"/>
  <c r="I59"/>
  <c r="I61"/>
  <c r="I65"/>
  <c r="I44"/>
  <c r="H94"/>
  <c r="H69"/>
  <c r="I69" s="1"/>
  <c r="J85" i="229"/>
  <c r="J103" i="3"/>
  <c r="H67" i="35" l="1"/>
  <c r="I67" s="1"/>
  <c r="H63" i="16"/>
  <c r="I63" s="1"/>
  <c r="I102" i="33" l="1"/>
  <c r="J91"/>
  <c r="D66" i="126" l="1"/>
  <c r="D96" s="1"/>
  <c r="I83" i="23"/>
  <c r="J100" i="3" l="1"/>
  <c r="J92"/>
  <c r="J89"/>
  <c r="J45"/>
  <c r="J46"/>
  <c r="J48"/>
  <c r="J50"/>
  <c r="J53"/>
  <c r="J54"/>
  <c r="J55"/>
  <c r="J56"/>
  <c r="J57"/>
  <c r="J58"/>
  <c r="J60"/>
  <c r="J61"/>
  <c r="J64"/>
  <c r="J44"/>
  <c r="I49" i="8"/>
  <c r="I44"/>
  <c r="I45"/>
  <c r="I47"/>
  <c r="I48"/>
  <c r="I51"/>
  <c r="I53"/>
  <c r="I55"/>
  <c r="I57"/>
  <c r="I59"/>
  <c r="I43"/>
  <c r="H60"/>
  <c r="J44" i="37"/>
  <c r="J45"/>
  <c r="J49"/>
  <c r="J51"/>
  <c r="J50"/>
  <c r="J52"/>
  <c r="J53"/>
  <c r="J55"/>
  <c r="J56"/>
  <c r="J43"/>
  <c r="I45" i="1"/>
  <c r="I46"/>
  <c r="I47"/>
  <c r="I48"/>
  <c r="I49"/>
  <c r="I50"/>
  <c r="I51"/>
  <c r="I57"/>
  <c r="I58"/>
  <c r="I59"/>
  <c r="I60"/>
  <c r="I61"/>
  <c r="I62"/>
  <c r="I63"/>
  <c r="H65"/>
  <c r="I81" i="4"/>
  <c r="I123" s="1"/>
  <c r="J123" s="1"/>
  <c r="J45"/>
  <c r="J46"/>
  <c r="J47"/>
  <c r="J48"/>
  <c r="J49"/>
  <c r="J50"/>
  <c r="J51"/>
  <c r="J53"/>
  <c r="J52"/>
  <c r="J55"/>
  <c r="J44"/>
  <c r="I87" i="33"/>
  <c r="H99" i="10"/>
  <c r="I97"/>
  <c r="H65"/>
  <c r="I65" s="1"/>
  <c r="J84" i="33"/>
  <c r="J46"/>
  <c r="J47"/>
  <c r="J48"/>
  <c r="J49"/>
  <c r="J50"/>
  <c r="J51"/>
  <c r="J52"/>
  <c r="J54"/>
  <c r="J55"/>
  <c r="J57"/>
  <c r="J58"/>
  <c r="J59"/>
  <c r="J60"/>
  <c r="J61"/>
  <c r="J44"/>
  <c r="I45" i="2"/>
  <c r="I46"/>
  <c r="I47"/>
  <c r="I48"/>
  <c r="I49"/>
  <c r="I50"/>
  <c r="I51"/>
  <c r="I52"/>
  <c r="I54"/>
  <c r="I53"/>
  <c r="I55"/>
  <c r="I57"/>
  <c r="I58"/>
  <c r="I56"/>
  <c r="I59"/>
  <c r="I60"/>
  <c r="I61"/>
  <c r="I63"/>
  <c r="I64"/>
  <c r="H67"/>
  <c r="I44"/>
  <c r="H103" i="18" l="1"/>
  <c r="H63" i="21" l="1"/>
  <c r="I61"/>
  <c r="I99" i="18"/>
  <c r="H62"/>
  <c r="J139" i="315" l="1"/>
  <c r="M29" i="130" l="1"/>
  <c r="M40" s="1"/>
  <c r="M56" s="1"/>
  <c r="E62" i="268"/>
  <c r="G45"/>
  <c r="J105" i="12"/>
  <c r="K105" s="1"/>
  <c r="D41" i="263"/>
  <c r="K72" i="37"/>
  <c r="L72" s="1"/>
  <c r="J69" i="34" l="1"/>
  <c r="D105" i="11"/>
  <c r="D135" i="315" l="1"/>
  <c r="E72" i="37" l="1"/>
  <c r="T9" i="27" s="1"/>
  <c r="E112" i="3"/>
  <c r="T45" i="27" s="1"/>
  <c r="E159" i="17" l="1"/>
  <c r="T51" i="27" s="1"/>
  <c r="E102" i="33"/>
  <c r="T48" i="27" s="1"/>
  <c r="E121" i="4" l="1"/>
  <c r="T47" i="27" s="1"/>
  <c r="I27" i="48" l="1"/>
  <c r="M47" i="44" l="1"/>
  <c r="L47"/>
  <c r="K47"/>
  <c r="J47"/>
  <c r="I47"/>
  <c r="H47"/>
  <c r="G47"/>
  <c r="F47"/>
  <c r="E47"/>
  <c r="D47"/>
  <c r="C47"/>
  <c r="B47"/>
  <c r="N45"/>
  <c r="N44"/>
  <c r="N43"/>
  <c r="N42"/>
  <c r="N41"/>
  <c r="N40"/>
  <c r="N39"/>
  <c r="N38"/>
  <c r="N37"/>
  <c r="M35"/>
  <c r="L35"/>
  <c r="K35"/>
  <c r="J35"/>
  <c r="I35"/>
  <c r="H35"/>
  <c r="G35"/>
  <c r="F35"/>
  <c r="E35"/>
  <c r="D35"/>
  <c r="C35"/>
  <c r="B35"/>
  <c r="N33"/>
  <c r="N32"/>
  <c r="N31"/>
  <c r="N30"/>
  <c r="N29"/>
  <c r="N28"/>
  <c r="N27"/>
  <c r="N26"/>
  <c r="N25"/>
  <c r="N24"/>
  <c r="N23"/>
  <c r="N22"/>
  <c r="N21"/>
  <c r="N20"/>
  <c r="N19"/>
  <c r="M17"/>
  <c r="L17"/>
  <c r="K17"/>
  <c r="J17"/>
  <c r="I17"/>
  <c r="H17"/>
  <c r="G17"/>
  <c r="F17"/>
  <c r="E17"/>
  <c r="D17"/>
  <c r="C17"/>
  <c r="B17"/>
  <c r="N15"/>
  <c r="N14"/>
  <c r="N13"/>
  <c r="N12"/>
  <c r="N11"/>
  <c r="N10"/>
  <c r="N9"/>
  <c r="N8"/>
  <c r="N7"/>
  <c r="N6"/>
  <c r="K50" l="1"/>
  <c r="C50"/>
  <c r="G50"/>
  <c r="N35"/>
  <c r="N47"/>
  <c r="I50"/>
  <c r="N17"/>
  <c r="B50"/>
  <c r="F50"/>
  <c r="J50"/>
  <c r="E50"/>
  <c r="M50"/>
  <c r="D50"/>
  <c r="H50"/>
  <c r="L50"/>
  <c r="W117" i="47"/>
  <c r="V117"/>
  <c r="U117"/>
  <c r="S117"/>
  <c r="R117"/>
  <c r="Q117"/>
  <c r="P117"/>
  <c r="O117"/>
  <c r="N117"/>
  <c r="M117"/>
  <c r="L117"/>
  <c r="K117"/>
  <c r="J117"/>
  <c r="I117"/>
  <c r="H117"/>
  <c r="G117"/>
  <c r="E117"/>
  <c r="D117"/>
  <c r="C117"/>
  <c r="B117"/>
  <c r="X111"/>
  <c r="F108"/>
  <c r="W105"/>
  <c r="V105"/>
  <c r="U105"/>
  <c r="T105"/>
  <c r="S105"/>
  <c r="R105"/>
  <c r="Q105"/>
  <c r="P105"/>
  <c r="O105"/>
  <c r="N105"/>
  <c r="L105"/>
  <c r="K105"/>
  <c r="J105"/>
  <c r="I105"/>
  <c r="H105"/>
  <c r="G105"/>
  <c r="E105"/>
  <c r="D105"/>
  <c r="C105"/>
  <c r="B105"/>
  <c r="F103"/>
  <c r="M93"/>
  <c r="F89"/>
  <c r="W87"/>
  <c r="V87"/>
  <c r="U87"/>
  <c r="T87"/>
  <c r="S87"/>
  <c r="R87"/>
  <c r="Q87"/>
  <c r="P87"/>
  <c r="O87"/>
  <c r="N87"/>
  <c r="L87"/>
  <c r="K87"/>
  <c r="J87"/>
  <c r="I87"/>
  <c r="H87"/>
  <c r="G87"/>
  <c r="E87"/>
  <c r="D87"/>
  <c r="C87"/>
  <c r="M80"/>
  <c r="F79"/>
  <c r="F75"/>
  <c r="B75"/>
  <c r="B87" s="1"/>
  <c r="F105" l="1"/>
  <c r="B120"/>
  <c r="C120"/>
  <c r="N50" i="44"/>
  <c r="L120" i="47"/>
  <c r="U120"/>
  <c r="M105"/>
  <c r="D120"/>
  <c r="R120"/>
  <c r="H120"/>
  <c r="Q120"/>
  <c r="E120"/>
  <c r="J120"/>
  <c r="O120"/>
  <c r="S120"/>
  <c r="W120"/>
  <c r="F87"/>
  <c r="I120"/>
  <c r="M87"/>
  <c r="M120" s="1"/>
  <c r="N120"/>
  <c r="V120"/>
  <c r="F117"/>
  <c r="G120"/>
  <c r="K120"/>
  <c r="P120"/>
  <c r="T120"/>
  <c r="Y48"/>
  <c r="X48"/>
  <c r="W48"/>
  <c r="U48"/>
  <c r="S48"/>
  <c r="R48"/>
  <c r="Q48"/>
  <c r="P48"/>
  <c r="N48"/>
  <c r="M48"/>
  <c r="L48"/>
  <c r="K48"/>
  <c r="J48"/>
  <c r="I48"/>
  <c r="H48"/>
  <c r="G48"/>
  <c r="F48"/>
  <c r="E48"/>
  <c r="D48"/>
  <c r="C48"/>
  <c r="O46"/>
  <c r="X115" s="1"/>
  <c r="O45"/>
  <c r="O44"/>
  <c r="O43"/>
  <c r="B43"/>
  <c r="B48" s="1"/>
  <c r="O41"/>
  <c r="X110" s="1"/>
  <c r="V40"/>
  <c r="O40"/>
  <c r="V39"/>
  <c r="O39"/>
  <c r="V38"/>
  <c r="O38"/>
  <c r="Y36"/>
  <c r="X36"/>
  <c r="W36"/>
  <c r="U36"/>
  <c r="S36"/>
  <c r="R36"/>
  <c r="Q36"/>
  <c r="P36"/>
  <c r="N36"/>
  <c r="M36"/>
  <c r="L36"/>
  <c r="K36"/>
  <c r="J36"/>
  <c r="J50" s="1"/>
  <c r="I36"/>
  <c r="H36"/>
  <c r="G36"/>
  <c r="F36"/>
  <c r="E36"/>
  <c r="C36"/>
  <c r="O34"/>
  <c r="X103" s="1"/>
  <c r="V33"/>
  <c r="X102" s="1"/>
  <c r="V32"/>
  <c r="O32"/>
  <c r="V31"/>
  <c r="O31"/>
  <c r="V30"/>
  <c r="O30"/>
  <c r="V29"/>
  <c r="O29"/>
  <c r="D29"/>
  <c r="V28"/>
  <c r="O28"/>
  <c r="V27"/>
  <c r="O27"/>
  <c r="V26"/>
  <c r="O26"/>
  <c r="V25"/>
  <c r="O25"/>
  <c r="V24"/>
  <c r="O24"/>
  <c r="O23"/>
  <c r="B23"/>
  <c r="O22"/>
  <c r="O21"/>
  <c r="B21"/>
  <c r="V20"/>
  <c r="O20"/>
  <c r="Y18"/>
  <c r="X18"/>
  <c r="W18"/>
  <c r="U18"/>
  <c r="S18"/>
  <c r="R18"/>
  <c r="Q18"/>
  <c r="P18"/>
  <c r="N18"/>
  <c r="L18"/>
  <c r="I18"/>
  <c r="H18"/>
  <c r="H50" s="1"/>
  <c r="G18"/>
  <c r="F18"/>
  <c r="F50" s="1"/>
  <c r="E18"/>
  <c r="C18"/>
  <c r="V16"/>
  <c r="O16"/>
  <c r="O15"/>
  <c r="O14"/>
  <c r="V13"/>
  <c r="O13"/>
  <c r="O12"/>
  <c r="V11"/>
  <c r="O11"/>
  <c r="M11"/>
  <c r="O10"/>
  <c r="X79" s="1"/>
  <c r="O9"/>
  <c r="X78" s="1"/>
  <c r="O7"/>
  <c r="X76" s="1"/>
  <c r="V6"/>
  <c r="O6"/>
  <c r="V46" i="45"/>
  <c r="U46"/>
  <c r="T46"/>
  <c r="S46"/>
  <c r="R46"/>
  <c r="Q46"/>
  <c r="P46"/>
  <c r="N46"/>
  <c r="M46"/>
  <c r="L46"/>
  <c r="K46"/>
  <c r="J46"/>
  <c r="I46"/>
  <c r="H46"/>
  <c r="G46"/>
  <c r="F46"/>
  <c r="E46"/>
  <c r="D46"/>
  <c r="C46"/>
  <c r="B46"/>
  <c r="O45"/>
  <c r="W44"/>
  <c r="W43"/>
  <c r="W42"/>
  <c r="W41"/>
  <c r="O40"/>
  <c r="O46" s="1"/>
  <c r="W39"/>
  <c r="W38"/>
  <c r="W37"/>
  <c r="V35"/>
  <c r="U35"/>
  <c r="T35"/>
  <c r="S35"/>
  <c r="R35"/>
  <c r="Q35"/>
  <c r="P35"/>
  <c r="O35"/>
  <c r="N35"/>
  <c r="M35"/>
  <c r="L35"/>
  <c r="K35"/>
  <c r="J35"/>
  <c r="I35"/>
  <c r="H35"/>
  <c r="G35"/>
  <c r="F35"/>
  <c r="E35"/>
  <c r="D35"/>
  <c r="C35"/>
  <c r="B35"/>
  <c r="W33"/>
  <c r="W32"/>
  <c r="W31"/>
  <c r="W30"/>
  <c r="W29"/>
  <c r="W28"/>
  <c r="W27"/>
  <c r="W26"/>
  <c r="W25"/>
  <c r="W24"/>
  <c r="W23"/>
  <c r="W22"/>
  <c r="W21"/>
  <c r="W20"/>
  <c r="W19"/>
  <c r="V17"/>
  <c r="U17"/>
  <c r="T17"/>
  <c r="S17"/>
  <c r="R17"/>
  <c r="Q17"/>
  <c r="P17"/>
  <c r="O17"/>
  <c r="N17"/>
  <c r="M17"/>
  <c r="L17"/>
  <c r="K17"/>
  <c r="J17"/>
  <c r="I17"/>
  <c r="H17"/>
  <c r="G17"/>
  <c r="F17"/>
  <c r="E17"/>
  <c r="D17"/>
  <c r="B17"/>
  <c r="W15"/>
  <c r="W14"/>
  <c r="W13"/>
  <c r="W12"/>
  <c r="W11"/>
  <c r="W10"/>
  <c r="W9"/>
  <c r="W8"/>
  <c r="C7"/>
  <c r="W7" s="1"/>
  <c r="W6"/>
  <c r="C36" i="224"/>
  <c r="C35"/>
  <c r="C34"/>
  <c r="C33"/>
  <c r="C32"/>
  <c r="C31"/>
  <c r="C30"/>
  <c r="C29"/>
  <c r="C28"/>
  <c r="C27"/>
  <c r="C26"/>
  <c r="C25"/>
  <c r="C24"/>
  <c r="C23"/>
  <c r="C22"/>
  <c r="C21"/>
  <c r="C20"/>
  <c r="C19"/>
  <c r="C18"/>
  <c r="S49" i="45" l="1"/>
  <c r="R50" i="47"/>
  <c r="F49" i="45"/>
  <c r="J49"/>
  <c r="N49"/>
  <c r="R49"/>
  <c r="V49"/>
  <c r="P49"/>
  <c r="T49"/>
  <c r="E49"/>
  <c r="I49"/>
  <c r="M49"/>
  <c r="V48" i="47"/>
  <c r="C50"/>
  <c r="P50"/>
  <c r="C17" i="45"/>
  <c r="C49" s="1"/>
  <c r="H49"/>
  <c r="L49"/>
  <c r="U50" i="47"/>
  <c r="O48"/>
  <c r="L50"/>
  <c r="X114"/>
  <c r="X113"/>
  <c r="X112" s="1"/>
  <c r="B49" i="45"/>
  <c r="W40"/>
  <c r="W46" s="1"/>
  <c r="N50" i="47"/>
  <c r="Y50"/>
  <c r="X93"/>
  <c r="X95"/>
  <c r="X97"/>
  <c r="O49" i="45"/>
  <c r="Q49"/>
  <c r="U49"/>
  <c r="G49"/>
  <c r="K49"/>
  <c r="X75" i="47"/>
  <c r="W50"/>
  <c r="V36"/>
  <c r="X92"/>
  <c r="X91" s="1"/>
  <c r="X94"/>
  <c r="X96"/>
  <c r="F120"/>
  <c r="V18"/>
  <c r="X98"/>
  <c r="D49" i="45"/>
  <c r="X80" i="47"/>
  <c r="X82"/>
  <c r="X81" s="1"/>
  <c r="X85"/>
  <c r="X84" s="1"/>
  <c r="X83" s="1"/>
  <c r="D18"/>
  <c r="I50"/>
  <c r="O18"/>
  <c r="S50"/>
  <c r="X50"/>
  <c r="X90"/>
  <c r="X100"/>
  <c r="D36"/>
  <c r="X107"/>
  <c r="X109"/>
  <c r="W17" i="45"/>
  <c r="W35"/>
  <c r="X77" i="47"/>
  <c r="B18"/>
  <c r="G50"/>
  <c r="M18"/>
  <c r="M50" s="1"/>
  <c r="Q50"/>
  <c r="X89"/>
  <c r="X99"/>
  <c r="X101"/>
  <c r="B36"/>
  <c r="K50"/>
  <c r="O36"/>
  <c r="X108"/>
  <c r="E50"/>
  <c r="C17" i="224"/>
  <c r="C16"/>
  <c r="C15"/>
  <c r="C14"/>
  <c r="C13"/>
  <c r="C12"/>
  <c r="C11"/>
  <c r="C10"/>
  <c r="C9"/>
  <c r="C7"/>
  <c r="C6"/>
  <c r="C5"/>
  <c r="C38" s="1"/>
  <c r="D50" i="47" l="1"/>
  <c r="W49" i="45"/>
  <c r="O50" i="47"/>
  <c r="V50"/>
  <c r="B50"/>
  <c r="X87"/>
  <c r="X117"/>
  <c r="X105"/>
  <c r="Q127" i="46"/>
  <c r="X120" i="47" l="1"/>
  <c r="AD47" i="46" l="1"/>
  <c r="AD46"/>
  <c r="AD45"/>
  <c r="AD44"/>
  <c r="AD43"/>
  <c r="AD42"/>
  <c r="AD41"/>
  <c r="AD39"/>
  <c r="AC38"/>
  <c r="AB38"/>
  <c r="AA38"/>
  <c r="Z38"/>
  <c r="Y38"/>
  <c r="X38"/>
  <c r="W38"/>
  <c r="V38"/>
  <c r="U38"/>
  <c r="T38"/>
  <c r="S38"/>
  <c r="R38"/>
  <c r="Q38"/>
  <c r="P38"/>
  <c r="O38"/>
  <c r="N38"/>
  <c r="M38"/>
  <c r="L38"/>
  <c r="K38"/>
  <c r="J38"/>
  <c r="I38"/>
  <c r="H38"/>
  <c r="F38"/>
  <c r="G38"/>
  <c r="E38"/>
  <c r="D38"/>
  <c r="D51" s="1"/>
  <c r="G199" i="48" s="1"/>
  <c r="I199" s="1"/>
  <c r="C38" i="46"/>
  <c r="C51" s="1"/>
  <c r="B38"/>
  <c r="AD37"/>
  <c r="AD36"/>
  <c r="AD35"/>
  <c r="AD34"/>
  <c r="AD33"/>
  <c r="AD32"/>
  <c r="AD31"/>
  <c r="AD30"/>
  <c r="AD29"/>
  <c r="AD28"/>
  <c r="AD27"/>
  <c r="AD26"/>
  <c r="AD25"/>
  <c r="AD24"/>
  <c r="AD23"/>
  <c r="AC22"/>
  <c r="AB22"/>
  <c r="AA22"/>
  <c r="Z22"/>
  <c r="Y22"/>
  <c r="X22"/>
  <c r="W22"/>
  <c r="V22"/>
  <c r="U22"/>
  <c r="T22"/>
  <c r="S22"/>
  <c r="R22"/>
  <c r="Q22"/>
  <c r="P22"/>
  <c r="O22"/>
  <c r="N22"/>
  <c r="M22"/>
  <c r="L22"/>
  <c r="AD20"/>
  <c r="AD19"/>
  <c r="AD18"/>
  <c r="AD17"/>
  <c r="AD16"/>
  <c r="AD15"/>
  <c r="AD14"/>
  <c r="AD13"/>
  <c r="AD11"/>
  <c r="AD10"/>
  <c r="G51" l="1"/>
  <c r="G197" i="48" s="1"/>
  <c r="I197" s="1"/>
  <c r="J51" i="46"/>
  <c r="G203" i="48" s="1"/>
  <c r="I203" s="1"/>
  <c r="N51" i="46"/>
  <c r="R51"/>
  <c r="V51"/>
  <c r="Z51"/>
  <c r="K51"/>
  <c r="O51"/>
  <c r="S51"/>
  <c r="W51"/>
  <c r="AA51"/>
  <c r="H51"/>
  <c r="L51"/>
  <c r="P51"/>
  <c r="T51"/>
  <c r="X51"/>
  <c r="AB51"/>
  <c r="E51"/>
  <c r="G195" i="48" s="1"/>
  <c r="I51" i="46"/>
  <c r="M51"/>
  <c r="Q51"/>
  <c r="U51"/>
  <c r="Y51"/>
  <c r="AC51"/>
  <c r="AD49"/>
  <c r="B51"/>
  <c r="AD38"/>
  <c r="BD53" i="266"/>
  <c r="BV53"/>
  <c r="BU53"/>
  <c r="BT53"/>
  <c r="BS53"/>
  <c r="BR53"/>
  <c r="BQ53"/>
  <c r="BP53"/>
  <c r="BI53"/>
  <c r="BA53"/>
  <c r="AZ53"/>
  <c r="AY53"/>
  <c r="AE53"/>
  <c r="BH53"/>
  <c r="AD53"/>
  <c r="BG53"/>
  <c r="AX53"/>
  <c r="I195" i="48" l="1"/>
  <c r="AW53" i="266"/>
  <c r="AV53"/>
  <c r="AT53"/>
  <c r="AS53"/>
  <c r="AR53"/>
  <c r="AQ53"/>
  <c r="AU53"/>
  <c r="AP53"/>
  <c r="AO53"/>
  <c r="AN53"/>
  <c r="AH53"/>
  <c r="AG53"/>
  <c r="AF53"/>
  <c r="AI53"/>
  <c r="AJ53"/>
  <c r="AM53"/>
  <c r="BE53"/>
  <c r="BC53"/>
  <c r="BB53"/>
  <c r="AA53"/>
  <c r="AB53"/>
  <c r="Z53"/>
  <c r="Y53"/>
  <c r="U53"/>
  <c r="T53"/>
  <c r="S53"/>
  <c r="R53"/>
  <c r="Q53"/>
  <c r="P53"/>
  <c r="O53"/>
  <c r="N53"/>
  <c r="M53"/>
  <c r="L53"/>
  <c r="K53"/>
  <c r="J53"/>
  <c r="H53"/>
  <c r="G53"/>
  <c r="D53"/>
  <c r="BY52"/>
  <c r="V53"/>
  <c r="B53"/>
  <c r="BY49"/>
  <c r="BY48"/>
  <c r="BY47"/>
  <c r="BY46"/>
  <c r="BY45"/>
  <c r="AG41" i="46" s="1"/>
  <c r="BD41" i="266"/>
  <c r="BP41"/>
  <c r="BI41"/>
  <c r="BA41"/>
  <c r="AZ41"/>
  <c r="AY41"/>
  <c r="AE41"/>
  <c r="BH41"/>
  <c r="AD41"/>
  <c r="BG41"/>
  <c r="AX41"/>
  <c r="AW41"/>
  <c r="AV41"/>
  <c r="AT41"/>
  <c r="AS41"/>
  <c r="AR41"/>
  <c r="AQ41"/>
  <c r="AU41"/>
  <c r="AP41"/>
  <c r="AO41"/>
  <c r="AN41"/>
  <c r="AH41"/>
  <c r="AG41"/>
  <c r="AF41"/>
  <c r="AI41"/>
  <c r="AJ41"/>
  <c r="AM41"/>
  <c r="BE41"/>
  <c r="BC41"/>
  <c r="BB41"/>
  <c r="AA41"/>
  <c r="AB41"/>
  <c r="Y41"/>
  <c r="V41"/>
  <c r="T41"/>
  <c r="S41"/>
  <c r="R41"/>
  <c r="Q41"/>
  <c r="P41"/>
  <c r="O41"/>
  <c r="N41"/>
  <c r="M41"/>
  <c r="L41"/>
  <c r="K41"/>
  <c r="J41"/>
  <c r="H41"/>
  <c r="G41"/>
  <c r="D41"/>
  <c r="B41"/>
  <c r="BY39"/>
  <c r="BY38"/>
  <c r="BY37"/>
  <c r="BY36"/>
  <c r="BY35"/>
  <c r="BY34"/>
  <c r="BY33"/>
  <c r="BY32"/>
  <c r="BY31"/>
  <c r="BY30"/>
  <c r="BY51" l="1"/>
  <c r="BY50"/>
  <c r="BY29"/>
  <c r="BY27"/>
  <c r="BY25"/>
  <c r="BD23"/>
  <c r="BD55" s="1"/>
  <c r="BV55"/>
  <c r="BU55"/>
  <c r="BT55"/>
  <c r="BS55"/>
  <c r="BR55"/>
  <c r="BQ55"/>
  <c r="BP23"/>
  <c r="BP55" s="1"/>
  <c r="BA23"/>
  <c r="BA55" s="1"/>
  <c r="AZ23"/>
  <c r="AZ55" s="1"/>
  <c r="AY23"/>
  <c r="AY55" s="1"/>
  <c r="AE23"/>
  <c r="AE55" s="1"/>
  <c r="BH23"/>
  <c r="BH55" s="1"/>
  <c r="AD23"/>
  <c r="AD55" s="1"/>
  <c r="G179" i="48" s="1"/>
  <c r="I179" s="1"/>
  <c r="BG23" i="266"/>
  <c r="AW23"/>
  <c r="AV23"/>
  <c r="AV55" s="1"/>
  <c r="AT23"/>
  <c r="AT55" s="1"/>
  <c r="AS23"/>
  <c r="AS55" s="1"/>
  <c r="AR23"/>
  <c r="AR55" s="1"/>
  <c r="AQ23"/>
  <c r="AQ55" s="1"/>
  <c r="AU23"/>
  <c r="AU55" s="1"/>
  <c r="AP23"/>
  <c r="AP55" s="1"/>
  <c r="AO23"/>
  <c r="AO55" s="1"/>
  <c r="AN23"/>
  <c r="AN55" s="1"/>
  <c r="AH23"/>
  <c r="AH55" s="1"/>
  <c r="AG23"/>
  <c r="AG55" s="1"/>
  <c r="AF23"/>
  <c r="AF55" s="1"/>
  <c r="AM23"/>
  <c r="AM55" s="1"/>
  <c r="BE23"/>
  <c r="BE55" s="1"/>
  <c r="BC23"/>
  <c r="BC55" s="1"/>
  <c r="BB23"/>
  <c r="BB55" s="1"/>
  <c r="AA23"/>
  <c r="T23"/>
  <c r="T55" s="1"/>
  <c r="S55"/>
  <c r="R23"/>
  <c r="R55" s="1"/>
  <c r="Q23"/>
  <c r="Q55" s="1"/>
  <c r="P23"/>
  <c r="P55" s="1"/>
  <c r="N23"/>
  <c r="N55" s="1"/>
  <c r="M23"/>
  <c r="M55" s="1"/>
  <c r="L23"/>
  <c r="L55" s="1"/>
  <c r="K23"/>
  <c r="K55" s="1"/>
  <c r="J23"/>
  <c r="J55" s="1"/>
  <c r="G23"/>
  <c r="G55" s="1"/>
  <c r="D23"/>
  <c r="D55" s="1"/>
  <c r="BY20"/>
  <c r="BY19"/>
  <c r="BY18"/>
  <c r="BY17"/>
  <c r="BY16"/>
  <c r="BY15"/>
  <c r="AB23" l="1"/>
  <c r="Z23" s="1"/>
  <c r="Y23" s="1"/>
  <c r="AA55"/>
  <c r="AX23"/>
  <c r="BG55"/>
  <c r="BY53"/>
  <c r="AX55" l="1"/>
  <c r="AB55"/>
  <c r="BI12"/>
  <c r="BI23" s="1"/>
  <c r="BI55" s="1"/>
  <c r="AI12"/>
  <c r="AI23" s="1"/>
  <c r="AJ12"/>
  <c r="V12"/>
  <c r="V23" s="1"/>
  <c r="V55" s="1"/>
  <c r="H12"/>
  <c r="H23" s="1"/>
  <c r="H55" s="1"/>
  <c r="AW55" l="1"/>
  <c r="AJ23"/>
  <c r="AI55"/>
  <c r="B12"/>
  <c r="BY6"/>
  <c r="M52" i="265"/>
  <c r="Y52"/>
  <c r="X52"/>
  <c r="W52"/>
  <c r="V52"/>
  <c r="U52"/>
  <c r="T52"/>
  <c r="P52"/>
  <c r="Q52"/>
  <c r="N52"/>
  <c r="L52"/>
  <c r="S52"/>
  <c r="J52"/>
  <c r="H52"/>
  <c r="G52"/>
  <c r="F52"/>
  <c r="E52"/>
  <c r="D52"/>
  <c r="C52"/>
  <c r="B52"/>
  <c r="Z50"/>
  <c r="AG47" i="46" s="1"/>
  <c r="Z49" i="265"/>
  <c r="AG46" i="46" s="1"/>
  <c r="Z48" i="265"/>
  <c r="AG45" i="46" s="1"/>
  <c r="Z47" i="265"/>
  <c r="AG44" i="46" s="1"/>
  <c r="Z46" i="265"/>
  <c r="AG43" i="46" s="1"/>
  <c r="Z45" i="265"/>
  <c r="AG42" i="46" s="1"/>
  <c r="Z42" i="265"/>
  <c r="AG39" i="46" s="1"/>
  <c r="M40" i="265"/>
  <c r="Y40"/>
  <c r="X40"/>
  <c r="W40"/>
  <c r="V40"/>
  <c r="U40"/>
  <c r="T40"/>
  <c r="P40"/>
  <c r="Q40"/>
  <c r="N40"/>
  <c r="L40"/>
  <c r="S40"/>
  <c r="J40"/>
  <c r="H40"/>
  <c r="G40"/>
  <c r="F40"/>
  <c r="E40"/>
  <c r="D40"/>
  <c r="C40"/>
  <c r="B40"/>
  <c r="Z38"/>
  <c r="AG37" i="46" s="1"/>
  <c r="Z37" i="265"/>
  <c r="AG36" i="46" s="1"/>
  <c r="Z36" i="265"/>
  <c r="AG35" i="46" s="1"/>
  <c r="Z35" i="265"/>
  <c r="AG34" i="46" s="1"/>
  <c r="Z34" i="265"/>
  <c r="AG33" i="46" s="1"/>
  <c r="Z33" i="265"/>
  <c r="AG32" i="46" s="1"/>
  <c r="Z32" i="265"/>
  <c r="AG31" i="46" s="1"/>
  <c r="Z31" i="265"/>
  <c r="AG30" i="46" s="1"/>
  <c r="Z30" i="265"/>
  <c r="AG29" i="46" s="1"/>
  <c r="Z29" i="265"/>
  <c r="AG28" i="46" s="1"/>
  <c r="Z28" i="265"/>
  <c r="AG27" i="46" s="1"/>
  <c r="Z27" i="265"/>
  <c r="Z26"/>
  <c r="AG25" i="46" s="1"/>
  <c r="Z25" i="265"/>
  <c r="Z24"/>
  <c r="AG23" i="46" s="1"/>
  <c r="M22" i="265"/>
  <c r="Y22"/>
  <c r="X22"/>
  <c r="P22"/>
  <c r="N22"/>
  <c r="L22"/>
  <c r="S22"/>
  <c r="H22"/>
  <c r="C22"/>
  <c r="Z20"/>
  <c r="AG20" i="46" s="1"/>
  <c r="Z19" i="265"/>
  <c r="AG19" i="46" s="1"/>
  <c r="Z18" i="265"/>
  <c r="AG18" i="46" s="1"/>
  <c r="Z17" i="265"/>
  <c r="AG17" i="46" s="1"/>
  <c r="Z16" i="265"/>
  <c r="AG16" i="46" s="1"/>
  <c r="Z15" i="265"/>
  <c r="AG15" i="46" s="1"/>
  <c r="Z14" i="265"/>
  <c r="AG14" i="46" s="1"/>
  <c r="Z13" i="265"/>
  <c r="Z12"/>
  <c r="Z11"/>
  <c r="Z10"/>
  <c r="AG10" i="46" s="1"/>
  <c r="BY12" i="266" l="1"/>
  <c r="AG11" i="46" s="1"/>
  <c r="N56" i="265"/>
  <c r="G111" i="48" s="1"/>
  <c r="U56" i="265"/>
  <c r="G115" i="48" s="1"/>
  <c r="H56" i="265"/>
  <c r="G104" i="48" s="1"/>
  <c r="D56" i="265"/>
  <c r="G100" i="48" s="1"/>
  <c r="C56" i="265"/>
  <c r="G99" i="48" s="1"/>
  <c r="G56" i="265"/>
  <c r="G103" i="48" s="1"/>
  <c r="L56" i="265"/>
  <c r="G110" i="48" s="1"/>
  <c r="T56" i="265"/>
  <c r="G114" i="48" s="1"/>
  <c r="J56" i="265"/>
  <c r="G105" i="48" s="1"/>
  <c r="V56" i="265"/>
  <c r="G116" i="48" s="1"/>
  <c r="Z40" i="265"/>
  <c r="B56"/>
  <c r="G98" i="48" s="1"/>
  <c r="F56" i="265"/>
  <c r="G102" i="48" s="1"/>
  <c r="S56" i="265"/>
  <c r="P56"/>
  <c r="W56"/>
  <c r="G117" i="48" s="1"/>
  <c r="X56" i="265"/>
  <c r="E56"/>
  <c r="G101" i="48" s="1"/>
  <c r="Q56" i="265"/>
  <c r="G112" i="48" s="1"/>
  <c r="M56" i="265"/>
  <c r="G122" i="48" s="1"/>
  <c r="Y56" i="265"/>
  <c r="Z52"/>
  <c r="AJ55" i="266"/>
  <c r="B23"/>
  <c r="B55" s="1"/>
  <c r="Z6" i="265"/>
  <c r="Z5"/>
  <c r="X24" i="267" l="1"/>
  <c r="X26" s="1"/>
  <c r="G87" i="39"/>
  <c r="I87" s="1"/>
  <c r="G128" i="48"/>
  <c r="CB12" i="266"/>
  <c r="CA13"/>
  <c r="AJ58"/>
  <c r="G155" i="48"/>
  <c r="Z22" i="265"/>
  <c r="Z56"/>
  <c r="C21" i="208"/>
  <c r="W46" i="43" l="1"/>
  <c r="V46"/>
  <c r="U46"/>
  <c r="T46"/>
  <c r="S46"/>
  <c r="R46"/>
  <c r="Q46"/>
  <c r="P46"/>
  <c r="O46"/>
  <c r="N46"/>
  <c r="M46"/>
  <c r="L46"/>
  <c r="K46"/>
  <c r="J46"/>
  <c r="I46"/>
  <c r="H46"/>
  <c r="G46"/>
  <c r="F46"/>
  <c r="E46"/>
  <c r="D46"/>
  <c r="C46"/>
  <c r="B46"/>
  <c r="O45"/>
  <c r="X44"/>
  <c r="X43"/>
  <c r="X42"/>
  <c r="X41"/>
  <c r="X40"/>
  <c r="X39"/>
  <c r="X38"/>
  <c r="X37"/>
  <c r="W35"/>
  <c r="V35"/>
  <c r="U35"/>
  <c r="T35"/>
  <c r="S35"/>
  <c r="R35"/>
  <c r="Q35"/>
  <c r="P35"/>
  <c r="O35"/>
  <c r="N35"/>
  <c r="M35"/>
  <c r="L35"/>
  <c r="K35"/>
  <c r="J35"/>
  <c r="I35"/>
  <c r="H35"/>
  <c r="G35"/>
  <c r="F35"/>
  <c r="E35"/>
  <c r="D35"/>
  <c r="C35"/>
  <c r="B35"/>
  <c r="X33"/>
  <c r="X32"/>
  <c r="X31"/>
  <c r="X30"/>
  <c r="X29"/>
  <c r="X28"/>
  <c r="X27"/>
  <c r="X26"/>
  <c r="X25"/>
  <c r="X24"/>
  <c r="X23"/>
  <c r="X22"/>
  <c r="X21"/>
  <c r="X20"/>
  <c r="X19"/>
  <c r="W17"/>
  <c r="V17"/>
  <c r="U17"/>
  <c r="T17"/>
  <c r="S17"/>
  <c r="R17"/>
  <c r="Q17"/>
  <c r="P17"/>
  <c r="O17"/>
  <c r="N17"/>
  <c r="M17"/>
  <c r="L17"/>
  <c r="K17"/>
  <c r="J17"/>
  <c r="I17"/>
  <c r="H17"/>
  <c r="G17"/>
  <c r="F17"/>
  <c r="E17"/>
  <c r="D17"/>
  <c r="C17"/>
  <c r="B17"/>
  <c r="X15"/>
  <c r="X14"/>
  <c r="X13"/>
  <c r="X12"/>
  <c r="X11"/>
  <c r="X10"/>
  <c r="X9"/>
  <c r="X8"/>
  <c r="X7"/>
  <c r="X6"/>
  <c r="I49" l="1"/>
  <c r="Q49"/>
  <c r="U49"/>
  <c r="E49"/>
  <c r="M49"/>
  <c r="X35"/>
  <c r="C49"/>
  <c r="G49"/>
  <c r="K49"/>
  <c r="O49"/>
  <c r="S49"/>
  <c r="W49"/>
  <c r="B49"/>
  <c r="F49"/>
  <c r="J49"/>
  <c r="N49"/>
  <c r="R49"/>
  <c r="V49"/>
  <c r="X17"/>
  <c r="D49"/>
  <c r="H49"/>
  <c r="L49"/>
  <c r="P49"/>
  <c r="T49"/>
  <c r="X46"/>
  <c r="W114" i="42"/>
  <c r="V114"/>
  <c r="U114"/>
  <c r="S114"/>
  <c r="R114"/>
  <c r="Q114"/>
  <c r="P114"/>
  <c r="O114"/>
  <c r="N114"/>
  <c r="M114"/>
  <c r="L114"/>
  <c r="K114"/>
  <c r="J114"/>
  <c r="I114"/>
  <c r="H114"/>
  <c r="G114"/>
  <c r="F114"/>
  <c r="E114"/>
  <c r="D114"/>
  <c r="C114"/>
  <c r="B114"/>
  <c r="X112"/>
  <c r="X111"/>
  <c r="X110"/>
  <c r="X109"/>
  <c r="X108"/>
  <c r="X107"/>
  <c r="X106"/>
  <c r="X105"/>
  <c r="X104"/>
  <c r="W102"/>
  <c r="V102"/>
  <c r="U102"/>
  <c r="T102"/>
  <c r="S102"/>
  <c r="R102"/>
  <c r="Q102"/>
  <c r="P102"/>
  <c r="O102"/>
  <c r="N102"/>
  <c r="M102"/>
  <c r="L102"/>
  <c r="K102"/>
  <c r="J102"/>
  <c r="I102"/>
  <c r="H102"/>
  <c r="G102"/>
  <c r="F102"/>
  <c r="E102"/>
  <c r="D102"/>
  <c r="C102"/>
  <c r="B102"/>
  <c r="X100"/>
  <c r="X99"/>
  <c r="X98"/>
  <c r="X97"/>
  <c r="X96"/>
  <c r="X95"/>
  <c r="X94"/>
  <c r="X93"/>
  <c r="X92"/>
  <c r="X91"/>
  <c r="X90"/>
  <c r="X89"/>
  <c r="X88"/>
  <c r="X87"/>
  <c r="X86"/>
  <c r="W84"/>
  <c r="V84"/>
  <c r="U84"/>
  <c r="T84"/>
  <c r="S84"/>
  <c r="R84"/>
  <c r="Q84"/>
  <c r="P84"/>
  <c r="O84"/>
  <c r="N84"/>
  <c r="M84"/>
  <c r="L84"/>
  <c r="K84"/>
  <c r="J84"/>
  <c r="I84"/>
  <c r="H84"/>
  <c r="G84"/>
  <c r="F84"/>
  <c r="E84"/>
  <c r="D84"/>
  <c r="C84"/>
  <c r="B84"/>
  <c r="X82"/>
  <c r="X81"/>
  <c r="X80"/>
  <c r="X79"/>
  <c r="X78"/>
  <c r="X77"/>
  <c r="X76"/>
  <c r="X75"/>
  <c r="X74"/>
  <c r="X73"/>
  <c r="Y47"/>
  <c r="X47"/>
  <c r="W47"/>
  <c r="V47"/>
  <c r="U47"/>
  <c r="S47"/>
  <c r="R47"/>
  <c r="Q47"/>
  <c r="P47"/>
  <c r="O47"/>
  <c r="N47"/>
  <c r="M47"/>
  <c r="L47"/>
  <c r="K47"/>
  <c r="J47"/>
  <c r="I47"/>
  <c r="H47"/>
  <c r="G47"/>
  <c r="F47"/>
  <c r="E47"/>
  <c r="D47"/>
  <c r="C47"/>
  <c r="B47"/>
  <c r="Y35"/>
  <c r="X35"/>
  <c r="W35"/>
  <c r="V35"/>
  <c r="U35"/>
  <c r="S35"/>
  <c r="R35"/>
  <c r="Q35"/>
  <c r="P35"/>
  <c r="O35"/>
  <c r="N35"/>
  <c r="M35"/>
  <c r="L35"/>
  <c r="K35"/>
  <c r="J35"/>
  <c r="I35"/>
  <c r="H35"/>
  <c r="G35"/>
  <c r="F35"/>
  <c r="E35"/>
  <c r="D35"/>
  <c r="C35"/>
  <c r="B35"/>
  <c r="Y17"/>
  <c r="X17"/>
  <c r="W17"/>
  <c r="V17"/>
  <c r="U17"/>
  <c r="S17"/>
  <c r="R17"/>
  <c r="Q17"/>
  <c r="P17"/>
  <c r="O17"/>
  <c r="N17"/>
  <c r="M17"/>
  <c r="L17"/>
  <c r="I17"/>
  <c r="H17"/>
  <c r="G17"/>
  <c r="F17"/>
  <c r="E17"/>
  <c r="D17"/>
  <c r="C17"/>
  <c r="B17"/>
  <c r="C117" l="1"/>
  <c r="D49"/>
  <c r="H49"/>
  <c r="R49"/>
  <c r="W49"/>
  <c r="K49"/>
  <c r="B49"/>
  <c r="E117"/>
  <c r="I117"/>
  <c r="M117"/>
  <c r="Q117"/>
  <c r="X49" i="43"/>
  <c r="U117" i="42"/>
  <c r="C49"/>
  <c r="G49"/>
  <c r="F49"/>
  <c r="J49"/>
  <c r="N49"/>
  <c r="B117"/>
  <c r="F117"/>
  <c r="J117"/>
  <c r="N117"/>
  <c r="R117"/>
  <c r="V117"/>
  <c r="E49"/>
  <c r="I49"/>
  <c r="O49"/>
  <c r="S49"/>
  <c r="X49"/>
  <c r="X114"/>
  <c r="L49"/>
  <c r="P49"/>
  <c r="U49"/>
  <c r="Y49"/>
  <c r="M49"/>
  <c r="Q49"/>
  <c r="V49"/>
  <c r="X84"/>
  <c r="X102"/>
  <c r="G117"/>
  <c r="K117"/>
  <c r="O117"/>
  <c r="S117"/>
  <c r="W117"/>
  <c r="D117"/>
  <c r="H117"/>
  <c r="L117"/>
  <c r="P117"/>
  <c r="T117"/>
  <c r="X117" l="1"/>
  <c r="J51" i="227"/>
  <c r="I51"/>
  <c r="O51"/>
  <c r="N51"/>
  <c r="H51"/>
  <c r="F51"/>
  <c r="E51"/>
  <c r="D51"/>
  <c r="C51"/>
  <c r="B51"/>
  <c r="P49"/>
  <c r="P48"/>
  <c r="P47"/>
  <c r="P46"/>
  <c r="P44"/>
  <c r="R44" s="1"/>
  <c r="P43"/>
  <c r="P42"/>
  <c r="P41"/>
  <c r="J39"/>
  <c r="I39"/>
  <c r="O39"/>
  <c r="N39"/>
  <c r="L39"/>
  <c r="L52" s="1"/>
  <c r="E199" i="48" s="1"/>
  <c r="H39" i="227"/>
  <c r="F39"/>
  <c r="E39"/>
  <c r="D39"/>
  <c r="C39"/>
  <c r="B39"/>
  <c r="P37"/>
  <c r="P36"/>
  <c r="P35"/>
  <c r="P34"/>
  <c r="P33"/>
  <c r="P32"/>
  <c r="P31"/>
  <c r="P30"/>
  <c r="P29"/>
  <c r="P28"/>
  <c r="P27"/>
  <c r="P26"/>
  <c r="P25"/>
  <c r="P24"/>
  <c r="P23"/>
  <c r="P51" l="1"/>
  <c r="P39"/>
  <c r="J52"/>
  <c r="E204" i="48" s="1"/>
  <c r="I52" i="227"/>
  <c r="E203" i="48" s="1"/>
  <c r="O52" i="227"/>
  <c r="N52"/>
  <c r="E201" i="48" s="1"/>
  <c r="H52" i="227"/>
  <c r="E198" i="48" s="1"/>
  <c r="E197"/>
  <c r="F52" i="227"/>
  <c r="E195" i="48" s="1"/>
  <c r="E21" i="227"/>
  <c r="E52" s="1"/>
  <c r="D21"/>
  <c r="D52" s="1"/>
  <c r="C21" l="1"/>
  <c r="C52" s="1"/>
  <c r="E205" i="48" s="1"/>
  <c r="B21" i="227"/>
  <c r="B52" s="1"/>
  <c r="E191" i="48" s="1"/>
  <c r="R8" i="227"/>
  <c r="E207" i="48" l="1"/>
  <c r="P21" i="227"/>
  <c r="P54" s="1"/>
  <c r="P52"/>
  <c r="Y47" i="272"/>
  <c r="X47"/>
  <c r="U47"/>
  <c r="T47"/>
  <c r="S47"/>
  <c r="E47"/>
  <c r="I44"/>
  <c r="H44"/>
  <c r="F42"/>
  <c r="AA41"/>
  <c r="M41"/>
  <c r="L41"/>
  <c r="J39"/>
  <c r="O38"/>
  <c r="N38"/>
  <c r="G38"/>
  <c r="F38"/>
  <c r="Y36"/>
  <c r="X36"/>
  <c r="U36"/>
  <c r="T36"/>
  <c r="S36"/>
  <c r="R36"/>
  <c r="L42" l="1"/>
  <c r="L40"/>
  <c r="B47"/>
  <c r="AA43"/>
  <c r="H47"/>
  <c r="AA38"/>
  <c r="L45"/>
  <c r="AA42"/>
  <c r="L43"/>
  <c r="M45"/>
  <c r="M43"/>
  <c r="Z43" s="1"/>
  <c r="M40"/>
  <c r="L44"/>
  <c r="J47"/>
  <c r="Z41"/>
  <c r="P41" s="1"/>
  <c r="F47"/>
  <c r="M38"/>
  <c r="L38" s="1"/>
  <c r="P38" s="1"/>
  <c r="AA40"/>
  <c r="AA45"/>
  <c r="R47"/>
  <c r="C47"/>
  <c r="M39"/>
  <c r="G47"/>
  <c r="AA39"/>
  <c r="M42"/>
  <c r="Z42" s="1"/>
  <c r="I47"/>
  <c r="M44"/>
  <c r="E36"/>
  <c r="D36"/>
  <c r="D47" s="1"/>
  <c r="K21"/>
  <c r="J21"/>
  <c r="K20"/>
  <c r="J20"/>
  <c r="I20"/>
  <c r="H20"/>
  <c r="P42" l="1"/>
  <c r="G36"/>
  <c r="M28"/>
  <c r="AA29"/>
  <c r="M34"/>
  <c r="Z34" s="1"/>
  <c r="L25"/>
  <c r="P43"/>
  <c r="L26"/>
  <c r="AA22"/>
  <c r="AA23"/>
  <c r="AA25"/>
  <c r="M26"/>
  <c r="L27"/>
  <c r="L32"/>
  <c r="Z40"/>
  <c r="P40" s="1"/>
  <c r="M30"/>
  <c r="L33"/>
  <c r="L34"/>
  <c r="L30"/>
  <c r="M21"/>
  <c r="Z21" s="1"/>
  <c r="M22"/>
  <c r="Z22" s="1"/>
  <c r="M24"/>
  <c r="M25"/>
  <c r="Z25" s="1"/>
  <c r="M31"/>
  <c r="M32"/>
  <c r="H36"/>
  <c r="C36"/>
  <c r="B36" s="1"/>
  <c r="L24"/>
  <c r="AA27"/>
  <c r="Z45"/>
  <c r="P45" s="1"/>
  <c r="M29"/>
  <c r="Z29" s="1"/>
  <c r="AA21"/>
  <c r="L21"/>
  <c r="L22"/>
  <c r="M27"/>
  <c r="L28"/>
  <c r="L29"/>
  <c r="P29" s="1"/>
  <c r="L31"/>
  <c r="M33"/>
  <c r="AA34"/>
  <c r="Z39"/>
  <c r="P25"/>
  <c r="AA26"/>
  <c r="AA30"/>
  <c r="AA32"/>
  <c r="I36"/>
  <c r="K36"/>
  <c r="AA31"/>
  <c r="AA33"/>
  <c r="F36"/>
  <c r="AA24"/>
  <c r="AA28"/>
  <c r="Z38"/>
  <c r="M20"/>
  <c r="L20"/>
  <c r="T18"/>
  <c r="J12"/>
  <c r="J11"/>
  <c r="I11"/>
  <c r="H11"/>
  <c r="G11"/>
  <c r="F11"/>
  <c r="C11"/>
  <c r="B11"/>
  <c r="Z28" l="1"/>
  <c r="Z26"/>
  <c r="P26" s="1"/>
  <c r="L15"/>
  <c r="M23"/>
  <c r="Z23" s="1"/>
  <c r="J36"/>
  <c r="Z24"/>
  <c r="Z30"/>
  <c r="P30" s="1"/>
  <c r="P22"/>
  <c r="L14"/>
  <c r="P34"/>
  <c r="L10"/>
  <c r="P10" s="1"/>
  <c r="M14"/>
  <c r="Z33"/>
  <c r="P33" s="1"/>
  <c r="Z32"/>
  <c r="P32" s="1"/>
  <c r="L12"/>
  <c r="M16"/>
  <c r="P21"/>
  <c r="P28"/>
  <c r="L13"/>
  <c r="AA10"/>
  <c r="M10"/>
  <c r="AA12"/>
  <c r="M13"/>
  <c r="AA15"/>
  <c r="L16"/>
  <c r="P24"/>
  <c r="Z31"/>
  <c r="P31" s="1"/>
  <c r="Z27"/>
  <c r="P27" s="1"/>
  <c r="M15"/>
  <c r="Z15" s="1"/>
  <c r="AA16"/>
  <c r="L23"/>
  <c r="L36" s="1"/>
  <c r="T49"/>
  <c r="M12"/>
  <c r="Z12" s="1"/>
  <c r="M11"/>
  <c r="U8"/>
  <c r="P12" l="1"/>
  <c r="P15"/>
  <c r="AA13"/>
  <c r="Z13" s="1"/>
  <c r="P13"/>
  <c r="Z10"/>
  <c r="AA8"/>
  <c r="AA14"/>
  <c r="Z14" s="1"/>
  <c r="P14" s="1"/>
  <c r="L8"/>
  <c r="P8" s="1"/>
  <c r="Z16"/>
  <c r="P16" s="1"/>
  <c r="M8"/>
  <c r="Z8" s="1"/>
  <c r="U18"/>
  <c r="Y8"/>
  <c r="P23"/>
  <c r="S18"/>
  <c r="J6"/>
  <c r="I6"/>
  <c r="H6"/>
  <c r="M7" l="1"/>
  <c r="J18"/>
  <c r="J49" s="1"/>
  <c r="H18"/>
  <c r="H49" s="1"/>
  <c r="I18"/>
  <c r="I49" s="1"/>
  <c r="L7"/>
  <c r="R18"/>
  <c r="R49" s="1"/>
  <c r="S49"/>
  <c r="F6"/>
  <c r="E18"/>
  <c r="C18"/>
  <c r="C49" s="1"/>
  <c r="B18"/>
  <c r="B49" s="1"/>
  <c r="J51" i="130"/>
  <c r="I51"/>
  <c r="I53" s="1"/>
  <c r="G51"/>
  <c r="S50"/>
  <c r="S49"/>
  <c r="P45"/>
  <c r="G45"/>
  <c r="B44"/>
  <c r="J42"/>
  <c r="G42"/>
  <c r="S38"/>
  <c r="S37"/>
  <c r="I31"/>
  <c r="I40" s="1"/>
  <c r="S29"/>
  <c r="S27"/>
  <c r="E126" i="213"/>
  <c r="E117"/>
  <c r="J53" i="130" l="1"/>
  <c r="I123" i="213" s="1"/>
  <c r="G53" i="130"/>
  <c r="I120" i="213" s="1"/>
  <c r="B53" i="130"/>
  <c r="P53"/>
  <c r="I128" i="213" s="1"/>
  <c r="S34" i="130"/>
  <c r="J40"/>
  <c r="S42"/>
  <c r="S45"/>
  <c r="S44"/>
  <c r="S31"/>
  <c r="S51"/>
  <c r="S30"/>
  <c r="I122" i="213"/>
  <c r="G120"/>
  <c r="S24" i="130"/>
  <c r="G122" i="213"/>
  <c r="D18" i="272"/>
  <c r="D49" s="1"/>
  <c r="F18"/>
  <c r="F49" s="1"/>
  <c r="M6"/>
  <c r="I20" i="130"/>
  <c r="S18"/>
  <c r="J15"/>
  <c r="G14"/>
  <c r="S12"/>
  <c r="J11"/>
  <c r="S11" s="1"/>
  <c r="J7"/>
  <c r="S7" s="1"/>
  <c r="P5"/>
  <c r="P22" s="1"/>
  <c r="J5"/>
  <c r="S20" l="1"/>
  <c r="I22"/>
  <c r="I56" s="1"/>
  <c r="P56"/>
  <c r="L204" i="48" s="1"/>
  <c r="S14" i="130"/>
  <c r="G22"/>
  <c r="G56" s="1"/>
  <c r="J22"/>
  <c r="J56" s="1"/>
  <c r="G123" i="213"/>
  <c r="S40" i="130"/>
  <c r="L201" i="48"/>
  <c r="G126" i="213"/>
  <c r="J126" s="1"/>
  <c r="E128"/>
  <c r="J128" s="1"/>
  <c r="L203" i="48"/>
  <c r="E127" i="213"/>
  <c r="J127" s="1"/>
  <c r="B56" i="130"/>
  <c r="I117" i="213"/>
  <c r="S5" i="130"/>
  <c r="S15"/>
  <c r="E49" i="272"/>
  <c r="M49"/>
  <c r="S53" i="130"/>
  <c r="BC54" i="215"/>
  <c r="AV54"/>
  <c r="AJ54"/>
  <c r="AL54"/>
  <c r="AX54"/>
  <c r="BA54"/>
  <c r="AH54"/>
  <c r="AG54"/>
  <c r="I94" i="213" s="1"/>
  <c r="AR54" i="215"/>
  <c r="I105" i="213" s="1"/>
  <c r="J105" s="1"/>
  <c r="AU54" i="215"/>
  <c r="AT54"/>
  <c r="AS54"/>
  <c r="AC54"/>
  <c r="W54"/>
  <c r="X54"/>
  <c r="T54"/>
  <c r="O54"/>
  <c r="K54"/>
  <c r="I54"/>
  <c r="H54"/>
  <c r="G54"/>
  <c r="E54"/>
  <c r="AN52"/>
  <c r="AI52"/>
  <c r="AY52"/>
  <c r="AW52"/>
  <c r="AO52"/>
  <c r="AM52"/>
  <c r="AD52"/>
  <c r="Y52"/>
  <c r="R52"/>
  <c r="Q52"/>
  <c r="J52"/>
  <c r="D52"/>
  <c r="C52"/>
  <c r="B52"/>
  <c r="AI51"/>
  <c r="AW51"/>
  <c r="AP51"/>
  <c r="AM51"/>
  <c r="Q51"/>
  <c r="P51"/>
  <c r="J51"/>
  <c r="D51"/>
  <c r="C51"/>
  <c r="B51"/>
  <c r="AA50"/>
  <c r="AQ50"/>
  <c r="AI50"/>
  <c r="AY50"/>
  <c r="AW50"/>
  <c r="AP50"/>
  <c r="AO50"/>
  <c r="AM50"/>
  <c r="AD50"/>
  <c r="Q50"/>
  <c r="P50"/>
  <c r="L50"/>
  <c r="F50"/>
  <c r="J50"/>
  <c r="D50"/>
  <c r="C50"/>
  <c r="B50"/>
  <c r="AI49"/>
  <c r="AW49"/>
  <c r="AP49"/>
  <c r="AO49"/>
  <c r="AM49"/>
  <c r="AD49"/>
  <c r="R49"/>
  <c r="Q49"/>
  <c r="P49"/>
  <c r="L49"/>
  <c r="J49"/>
  <c r="AQ48"/>
  <c r="AY48"/>
  <c r="U48"/>
  <c r="R48"/>
  <c r="Q48"/>
  <c r="D48"/>
  <c r="C48"/>
  <c r="B48"/>
  <c r="AK47"/>
  <c r="AY47"/>
  <c r="AW47"/>
  <c r="AP47"/>
  <c r="AM47"/>
  <c r="AD47"/>
  <c r="U47"/>
  <c r="R47"/>
  <c r="Q47"/>
  <c r="P47"/>
  <c r="J47"/>
  <c r="D47"/>
  <c r="C47"/>
  <c r="AI46"/>
  <c r="AP46"/>
  <c r="U46"/>
  <c r="R46"/>
  <c r="Q46"/>
  <c r="D46"/>
  <c r="C46"/>
  <c r="B46"/>
  <c r="AA44"/>
  <c r="AZ44"/>
  <c r="AW44"/>
  <c r="AO44"/>
  <c r="AM44"/>
  <c r="AD44"/>
  <c r="Z44"/>
  <c r="Y44"/>
  <c r="N44"/>
  <c r="J44"/>
  <c r="D44"/>
  <c r="C44"/>
  <c r="B44"/>
  <c r="BC42"/>
  <c r="AN42"/>
  <c r="BA42"/>
  <c r="AZ42"/>
  <c r="AR42"/>
  <c r="AU42"/>
  <c r="AT42"/>
  <c r="AC42"/>
  <c r="W42"/>
  <c r="X42"/>
  <c r="L42"/>
  <c r="F42"/>
  <c r="AI40"/>
  <c r="AY40"/>
  <c r="AW40"/>
  <c r="AP40"/>
  <c r="AO40"/>
  <c r="AM40"/>
  <c r="AD40"/>
  <c r="R40"/>
  <c r="Q40"/>
  <c r="P40"/>
  <c r="J40"/>
  <c r="D40"/>
  <c r="B40"/>
  <c r="AV39"/>
  <c r="AJ39"/>
  <c r="AY39"/>
  <c r="AW39"/>
  <c r="AP39"/>
  <c r="Z39"/>
  <c r="Y39"/>
  <c r="P39"/>
  <c r="O39"/>
  <c r="N39"/>
  <c r="J39"/>
  <c r="I39"/>
  <c r="H39"/>
  <c r="G39"/>
  <c r="E39"/>
  <c r="C39"/>
  <c r="B39"/>
  <c r="AV38"/>
  <c r="AJ38"/>
  <c r="AY38"/>
  <c r="AW38"/>
  <c r="AP38"/>
  <c r="AO38"/>
  <c r="AM38"/>
  <c r="Z38"/>
  <c r="R38"/>
  <c r="Q38"/>
  <c r="P38"/>
  <c r="O38"/>
  <c r="N38"/>
  <c r="J38"/>
  <c r="I38"/>
  <c r="H38"/>
  <c r="G38"/>
  <c r="E38"/>
  <c r="D38"/>
  <c r="C38"/>
  <c r="B38"/>
  <c r="AV37"/>
  <c r="AJ37"/>
  <c r="AX37"/>
  <c r="AY37"/>
  <c r="AW37"/>
  <c r="AP37"/>
  <c r="AO37"/>
  <c r="AM37"/>
  <c r="Z37"/>
  <c r="T37"/>
  <c r="R37"/>
  <c r="Q37"/>
  <c r="P37"/>
  <c r="O37"/>
  <c r="N37"/>
  <c r="M37"/>
  <c r="J37"/>
  <c r="I37"/>
  <c r="H37"/>
  <c r="G37"/>
  <c r="E37"/>
  <c r="D37"/>
  <c r="C37"/>
  <c r="B37"/>
  <c r="AV36"/>
  <c r="AJ36"/>
  <c r="AW36"/>
  <c r="AP36"/>
  <c r="S56" i="130" l="1"/>
  <c r="R54" i="215"/>
  <c r="L191" i="48"/>
  <c r="BG51" i="215"/>
  <c r="BG39"/>
  <c r="BG37"/>
  <c r="I131" i="213"/>
  <c r="J117"/>
  <c r="BG49" i="215"/>
  <c r="L195" i="48"/>
  <c r="E120" i="213"/>
  <c r="J120" s="1"/>
  <c r="BG38" i="215"/>
  <c r="BG44"/>
  <c r="BG52"/>
  <c r="L198" i="48"/>
  <c r="E123" i="213"/>
  <c r="J123" s="1"/>
  <c r="E119"/>
  <c r="BG46" i="215"/>
  <c r="BG47"/>
  <c r="BG48"/>
  <c r="BG50"/>
  <c r="G131" i="213"/>
  <c r="L197" i="48"/>
  <c r="E122" i="213"/>
  <c r="J122" s="1"/>
  <c r="S22" i="130"/>
  <c r="S58" s="1"/>
  <c r="U54" i="215"/>
  <c r="L54"/>
  <c r="L56" s="1"/>
  <c r="C54"/>
  <c r="Q54"/>
  <c r="AY54"/>
  <c r="AQ54"/>
  <c r="Z54"/>
  <c r="Y54" s="1"/>
  <c r="P54"/>
  <c r="F54"/>
  <c r="F56" s="1"/>
  <c r="D54"/>
  <c r="AM54"/>
  <c r="AP54"/>
  <c r="J54"/>
  <c r="AO54"/>
  <c r="M54"/>
  <c r="N54"/>
  <c r="AW54"/>
  <c r="AI54"/>
  <c r="AK54" s="1"/>
  <c r="B54"/>
  <c r="AZ54"/>
  <c r="AN54"/>
  <c r="AA54"/>
  <c r="Z36"/>
  <c r="Q36"/>
  <c r="P36"/>
  <c r="O36"/>
  <c r="N36"/>
  <c r="M36"/>
  <c r="J36"/>
  <c r="I36"/>
  <c r="H36"/>
  <c r="G36"/>
  <c r="E36"/>
  <c r="D36"/>
  <c r="C36"/>
  <c r="B36"/>
  <c r="AV35"/>
  <c r="AJ35"/>
  <c r="AY35"/>
  <c r="AW35"/>
  <c r="AP35"/>
  <c r="AO35"/>
  <c r="Z35"/>
  <c r="Q35"/>
  <c r="P35"/>
  <c r="O35"/>
  <c r="N35"/>
  <c r="M35"/>
  <c r="J35"/>
  <c r="I35"/>
  <c r="H35"/>
  <c r="G35"/>
  <c r="E35"/>
  <c r="D35"/>
  <c r="C35"/>
  <c r="B35"/>
  <c r="AV34"/>
  <c r="AJ34"/>
  <c r="AY34"/>
  <c r="AW34"/>
  <c r="AP34"/>
  <c r="AO34"/>
  <c r="AM34"/>
  <c r="Y34"/>
  <c r="R34"/>
  <c r="Q34"/>
  <c r="P34"/>
  <c r="O34"/>
  <c r="N34"/>
  <c r="M34"/>
  <c r="J34"/>
  <c r="I34"/>
  <c r="H34"/>
  <c r="G34"/>
  <c r="E34"/>
  <c r="D34"/>
  <c r="C34"/>
  <c r="B34"/>
  <c r="AV33"/>
  <c r="AJ33"/>
  <c r="AX33"/>
  <c r="AX42" s="1"/>
  <c r="AY33"/>
  <c r="AW33"/>
  <c r="AP33"/>
  <c r="AO33"/>
  <c r="Q33"/>
  <c r="P33"/>
  <c r="O33"/>
  <c r="N33"/>
  <c r="M33"/>
  <c r="J33"/>
  <c r="I33"/>
  <c r="H33"/>
  <c r="G33"/>
  <c r="E33"/>
  <c r="D33"/>
  <c r="C33"/>
  <c r="B33"/>
  <c r="AV32"/>
  <c r="AJ32"/>
  <c r="AY32"/>
  <c r="AW32"/>
  <c r="AP32"/>
  <c r="AM32"/>
  <c r="T32"/>
  <c r="R32"/>
  <c r="Q32"/>
  <c r="P32"/>
  <c r="O32"/>
  <c r="N32"/>
  <c r="M32"/>
  <c r="J32"/>
  <c r="I32"/>
  <c r="H32"/>
  <c r="E32"/>
  <c r="D32"/>
  <c r="C32"/>
  <c r="B32"/>
  <c r="AJ31"/>
  <c r="AP31"/>
  <c r="AM31"/>
  <c r="R31"/>
  <c r="Q31"/>
  <c r="P31"/>
  <c r="O31"/>
  <c r="N31"/>
  <c r="M31"/>
  <c r="J31"/>
  <c r="I31"/>
  <c r="H31"/>
  <c r="E31"/>
  <c r="D31"/>
  <c r="C31"/>
  <c r="B31"/>
  <c r="AV30"/>
  <c r="AJ30"/>
  <c r="AH30"/>
  <c r="AH42" s="1"/>
  <c r="AG30"/>
  <c r="AW30"/>
  <c r="AP30"/>
  <c r="AO30"/>
  <c r="AM30"/>
  <c r="T30"/>
  <c r="R30"/>
  <c r="Q30"/>
  <c r="P30"/>
  <c r="N30"/>
  <c r="M30"/>
  <c r="J30"/>
  <c r="H30"/>
  <c r="G30"/>
  <c r="E30"/>
  <c r="C30"/>
  <c r="B30"/>
  <c r="AA29"/>
  <c r="AI29"/>
  <c r="AW29"/>
  <c r="AP29"/>
  <c r="AO29"/>
  <c r="AM29"/>
  <c r="AD29"/>
  <c r="U29"/>
  <c r="U42" s="1"/>
  <c r="Z29"/>
  <c r="Y29"/>
  <c r="T29"/>
  <c r="P29"/>
  <c r="J29"/>
  <c r="I29"/>
  <c r="D29"/>
  <c r="C29"/>
  <c r="B29"/>
  <c r="AA28"/>
  <c r="AY28"/>
  <c r="AW28"/>
  <c r="AP28"/>
  <c r="AO28"/>
  <c r="AM28"/>
  <c r="AD28"/>
  <c r="Z28"/>
  <c r="Y28"/>
  <c r="R28"/>
  <c r="Q28"/>
  <c r="P28"/>
  <c r="N28"/>
  <c r="K28"/>
  <c r="K42" s="1"/>
  <c r="J28"/>
  <c r="D28"/>
  <c r="C28"/>
  <c r="B28"/>
  <c r="AI27"/>
  <c r="AK27"/>
  <c r="AY27"/>
  <c r="AW27"/>
  <c r="AP27"/>
  <c r="Q27"/>
  <c r="J27"/>
  <c r="H27"/>
  <c r="G27"/>
  <c r="D27"/>
  <c r="C27"/>
  <c r="B27"/>
  <c r="AL26"/>
  <c r="AL42" s="1"/>
  <c r="AQ26"/>
  <c r="AK26"/>
  <c r="AY26"/>
  <c r="AW26"/>
  <c r="AP26"/>
  <c r="AM26"/>
  <c r="R26"/>
  <c r="Q26"/>
  <c r="P26"/>
  <c r="J26"/>
  <c r="D26"/>
  <c r="C26"/>
  <c r="B26"/>
  <c r="BC56"/>
  <c r="BA56"/>
  <c r="G80" i="213" s="1"/>
  <c r="J80" s="1"/>
  <c r="AR56" i="215"/>
  <c r="R42" l="1"/>
  <c r="BG33"/>
  <c r="L194" i="48"/>
  <c r="L207" s="1"/>
  <c r="BG28" i="215"/>
  <c r="BG35"/>
  <c r="BG26"/>
  <c r="J119" i="213"/>
  <c r="J131" s="1"/>
  <c r="E131"/>
  <c r="BG27" i="215"/>
  <c r="BG36"/>
  <c r="BG34"/>
  <c r="I112" i="213"/>
  <c r="AK42" i="215"/>
  <c r="AK56" s="1"/>
  <c r="C105" i="124"/>
  <c r="L151" i="48" s="1"/>
  <c r="AG42" i="215"/>
  <c r="J42"/>
  <c r="Q42"/>
  <c r="AI42"/>
  <c r="Z42"/>
  <c r="M42"/>
  <c r="AW42"/>
  <c r="AL56"/>
  <c r="AQ42"/>
  <c r="AQ56" s="1"/>
  <c r="E42"/>
  <c r="AJ42"/>
  <c r="AJ56" s="1"/>
  <c r="AN56"/>
  <c r="N42"/>
  <c r="H42"/>
  <c r="H56" s="1"/>
  <c r="T42"/>
  <c r="AV42"/>
  <c r="AV56" s="1"/>
  <c r="P42"/>
  <c r="AM42"/>
  <c r="Y42"/>
  <c r="AO42"/>
  <c r="B42"/>
  <c r="BB42"/>
  <c r="BB56" s="1"/>
  <c r="AA42"/>
  <c r="AP42"/>
  <c r="AY22"/>
  <c r="AW22"/>
  <c r="AP22"/>
  <c r="AO22"/>
  <c r="AM22"/>
  <c r="T22"/>
  <c r="R22"/>
  <c r="Q22"/>
  <c r="P22"/>
  <c r="K22"/>
  <c r="K24" s="1"/>
  <c r="J22"/>
  <c r="D22"/>
  <c r="C22"/>
  <c r="B22"/>
  <c r="AI21"/>
  <c r="AY21"/>
  <c r="AW21"/>
  <c r="AP21"/>
  <c r="AO21"/>
  <c r="AM21"/>
  <c r="AD21"/>
  <c r="Y21"/>
  <c r="Q21"/>
  <c r="P21"/>
  <c r="J21"/>
  <c r="D21"/>
  <c r="C21"/>
  <c r="B21"/>
  <c r="AI20"/>
  <c r="AY20"/>
  <c r="AW20"/>
  <c r="AP20"/>
  <c r="AO20"/>
  <c r="AM20"/>
  <c r="AD20"/>
  <c r="U20"/>
  <c r="Z20"/>
  <c r="X20"/>
  <c r="R20"/>
  <c r="Q20"/>
  <c r="P20"/>
  <c r="J20"/>
  <c r="E20"/>
  <c r="E24" s="1"/>
  <c r="C20"/>
  <c r="B20"/>
  <c r="AI19"/>
  <c r="AW19"/>
  <c r="AO19"/>
  <c r="AM19"/>
  <c r="U19"/>
  <c r="R19"/>
  <c r="Q19"/>
  <c r="P19"/>
  <c r="D19"/>
  <c r="C19"/>
  <c r="B19"/>
  <c r="AA18"/>
  <c r="AI18"/>
  <c r="AY18"/>
  <c r="AW18"/>
  <c r="AO18"/>
  <c r="AD18"/>
  <c r="R18"/>
  <c r="Q18"/>
  <c r="P18"/>
  <c r="D18"/>
  <c r="C18"/>
  <c r="B18"/>
  <c r="AX17"/>
  <c r="AH17"/>
  <c r="AG17"/>
  <c r="AI17"/>
  <c r="AW17"/>
  <c r="AP17"/>
  <c r="AO17"/>
  <c r="AM17"/>
  <c r="R17"/>
  <c r="Q17"/>
  <c r="P17"/>
  <c r="N17"/>
  <c r="M17"/>
  <c r="J17"/>
  <c r="D17"/>
  <c r="C17"/>
  <c r="B17"/>
  <c r="AA16"/>
  <c r="AI16"/>
  <c r="AY16"/>
  <c r="AW16"/>
  <c r="AP16"/>
  <c r="AO16"/>
  <c r="AM16"/>
  <c r="Z16"/>
  <c r="Y16"/>
  <c r="T16"/>
  <c r="R16"/>
  <c r="Q16"/>
  <c r="P16"/>
  <c r="J16"/>
  <c r="D16"/>
  <c r="C16"/>
  <c r="B16"/>
  <c r="AA15"/>
  <c r="AY15"/>
  <c r="AW15"/>
  <c r="AP15"/>
  <c r="AO15"/>
  <c r="AM15"/>
  <c r="AD15"/>
  <c r="Y15"/>
  <c r="W15"/>
  <c r="W24" s="1"/>
  <c r="X15"/>
  <c r="T15"/>
  <c r="R15"/>
  <c r="Q15"/>
  <c r="P15"/>
  <c r="N15"/>
  <c r="M15"/>
  <c r="J15"/>
  <c r="D15"/>
  <c r="C15"/>
  <c r="B15"/>
  <c r="AG14"/>
  <c r="AI14"/>
  <c r="AP14"/>
  <c r="Y14"/>
  <c r="X14"/>
  <c r="J14"/>
  <c r="AY13"/>
  <c r="R13"/>
  <c r="Q13"/>
  <c r="J13"/>
  <c r="D13"/>
  <c r="C13"/>
  <c r="B13"/>
  <c r="BG21" l="1"/>
  <c r="BG22"/>
  <c r="BG14"/>
  <c r="BG17"/>
  <c r="BG19"/>
  <c r="BG15"/>
  <c r="BG16"/>
  <c r="BG18"/>
  <c r="BG13"/>
  <c r="AG24"/>
  <c r="AG56" s="1"/>
  <c r="AX24"/>
  <c r="AX56" s="1"/>
  <c r="AA24"/>
  <c r="AA56" s="1"/>
  <c r="C107" i="124" s="1"/>
  <c r="E56" i="215"/>
  <c r="AY9"/>
  <c r="AY24" s="1"/>
  <c r="AW9"/>
  <c r="T9"/>
  <c r="D9"/>
  <c r="C9"/>
  <c r="B9"/>
  <c r="AH8"/>
  <c r="AP8"/>
  <c r="X8"/>
  <c r="T8"/>
  <c r="R8"/>
  <c r="Q8"/>
  <c r="Q24" s="1"/>
  <c r="P8"/>
  <c r="N8"/>
  <c r="N24" s="1"/>
  <c r="N59" s="1"/>
  <c r="M8"/>
  <c r="M24" s="1"/>
  <c r="M59" s="1"/>
  <c r="J8"/>
  <c r="D8"/>
  <c r="C8"/>
  <c r="B8"/>
  <c r="AI7"/>
  <c r="AI24" s="1"/>
  <c r="AZ7"/>
  <c r="AW7"/>
  <c r="AT7"/>
  <c r="AT24" s="1"/>
  <c r="AS7"/>
  <c r="AS24" s="1"/>
  <c r="AP7"/>
  <c r="AO7"/>
  <c r="AM7"/>
  <c r="AM24" s="1"/>
  <c r="AC24"/>
  <c r="U7"/>
  <c r="Z7"/>
  <c r="Y7"/>
  <c r="Y24" s="1"/>
  <c r="X7"/>
  <c r="T7"/>
  <c r="R7"/>
  <c r="P7"/>
  <c r="J7"/>
  <c r="R24" l="1"/>
  <c r="R56" s="1"/>
  <c r="BG8"/>
  <c r="BG9"/>
  <c r="C24"/>
  <c r="AW24"/>
  <c r="AW56" s="1"/>
  <c r="AM56"/>
  <c r="P24"/>
  <c r="P56" s="1"/>
  <c r="X24"/>
  <c r="X56" s="1"/>
  <c r="J24"/>
  <c r="J56" s="1"/>
  <c r="AO24"/>
  <c r="AO56" s="1"/>
  <c r="AH24"/>
  <c r="AH56" s="1"/>
  <c r="N56"/>
  <c r="Z24"/>
  <c r="Z56" s="1"/>
  <c r="U24"/>
  <c r="U56" s="1"/>
  <c r="AZ24"/>
  <c r="AZ56" s="1"/>
  <c r="M56"/>
  <c r="T24"/>
  <c r="T56" s="1"/>
  <c r="C42" i="124" s="1"/>
  <c r="AP24" i="215"/>
  <c r="AP56" s="1"/>
  <c r="Q56"/>
  <c r="AI56"/>
  <c r="K56"/>
  <c r="W56"/>
  <c r="Y56"/>
  <c r="AC56"/>
  <c r="C52" i="214"/>
  <c r="Q51"/>
  <c r="Y50"/>
  <c r="F50"/>
  <c r="E50"/>
  <c r="Y49"/>
  <c r="AT56" i="215" l="1"/>
  <c r="O49" i="214"/>
  <c r="O52" s="1"/>
  <c r="F49"/>
  <c r="E49"/>
  <c r="Y48"/>
  <c r="R48"/>
  <c r="Q48"/>
  <c r="N48"/>
  <c r="F48"/>
  <c r="E48"/>
  <c r="B48"/>
  <c r="Y47"/>
  <c r="F47"/>
  <c r="E47"/>
  <c r="V52" l="1"/>
  <c r="F52"/>
  <c r="E52"/>
  <c r="Y46" l="1"/>
  <c r="R46"/>
  <c r="Q46"/>
  <c r="B46"/>
  <c r="Y45"/>
  <c r="Y42" l="1"/>
  <c r="Y52" s="1"/>
  <c r="R42"/>
  <c r="Q42"/>
  <c r="B42"/>
  <c r="C40"/>
  <c r="Z39"/>
  <c r="Y38"/>
  <c r="F38"/>
  <c r="E38"/>
  <c r="Y37"/>
  <c r="Y36"/>
  <c r="R36"/>
  <c r="Q36"/>
  <c r="N36"/>
  <c r="B36"/>
  <c r="Y35"/>
  <c r="Y34"/>
  <c r="R34"/>
  <c r="Q34"/>
  <c r="N34"/>
  <c r="B34"/>
  <c r="Y33"/>
  <c r="W52" l="1"/>
  <c r="Y32"/>
  <c r="O32"/>
  <c r="F32"/>
  <c r="E32"/>
  <c r="Y31"/>
  <c r="R31"/>
  <c r="Q31"/>
  <c r="N31"/>
  <c r="F31"/>
  <c r="E31"/>
  <c r="B31"/>
  <c r="Y30"/>
  <c r="U30"/>
  <c r="T30"/>
  <c r="S30"/>
  <c r="P30"/>
  <c r="L30"/>
  <c r="I30"/>
  <c r="H30"/>
  <c r="G30"/>
  <c r="F30"/>
  <c r="E30"/>
  <c r="D30"/>
  <c r="Y29"/>
  <c r="F29"/>
  <c r="E29"/>
  <c r="Y28"/>
  <c r="F28"/>
  <c r="E28"/>
  <c r="Y27"/>
  <c r="O27"/>
  <c r="F27"/>
  <c r="E27"/>
  <c r="Y26"/>
  <c r="W26"/>
  <c r="U26"/>
  <c r="T26"/>
  <c r="S26"/>
  <c r="R26"/>
  <c r="Q26"/>
  <c r="P26"/>
  <c r="O26"/>
  <c r="L26"/>
  <c r="I26"/>
  <c r="G26"/>
  <c r="D26"/>
  <c r="B26"/>
  <c r="Y25"/>
  <c r="R25"/>
  <c r="Z26" l="1"/>
  <c r="O40"/>
  <c r="F40"/>
  <c r="V40"/>
  <c r="E40"/>
  <c r="Q25"/>
  <c r="B25"/>
  <c r="Y24"/>
  <c r="Y40" s="1"/>
  <c r="W40"/>
  <c r="Q24"/>
  <c r="B24"/>
  <c r="Y20" l="1"/>
  <c r="F20"/>
  <c r="E20"/>
  <c r="Y19"/>
  <c r="O19"/>
  <c r="F19"/>
  <c r="E19"/>
  <c r="Y18"/>
  <c r="O18"/>
  <c r="F18"/>
  <c r="E18"/>
  <c r="Y17"/>
  <c r="O17"/>
  <c r="F17"/>
  <c r="E17"/>
  <c r="Y16"/>
  <c r="O16"/>
  <c r="F16"/>
  <c r="E16"/>
  <c r="Y15"/>
  <c r="O15"/>
  <c r="F15"/>
  <c r="E15"/>
  <c r="Y14"/>
  <c r="R14"/>
  <c r="Q14"/>
  <c r="F14"/>
  <c r="E14"/>
  <c r="B14"/>
  <c r="Y13"/>
  <c r="F13" l="1"/>
  <c r="E13"/>
  <c r="Y12"/>
  <c r="O12"/>
  <c r="F12"/>
  <c r="E12"/>
  <c r="B12"/>
  <c r="Y11"/>
  <c r="F11"/>
  <c r="E11"/>
  <c r="R7"/>
  <c r="Q7"/>
  <c r="B7"/>
  <c r="Y6"/>
  <c r="O6"/>
  <c r="F6"/>
  <c r="E6"/>
  <c r="C6"/>
  <c r="W22" l="1"/>
  <c r="Y22"/>
  <c r="Y57" s="1"/>
  <c r="L122" i="48" s="1"/>
  <c r="V22" i="214"/>
  <c r="V57" s="1"/>
  <c r="O5"/>
  <c r="F5"/>
  <c r="F22" s="1"/>
  <c r="E5"/>
  <c r="E22" s="1"/>
  <c r="I24" i="53"/>
  <c r="J24"/>
  <c r="W57" i="214" l="1"/>
  <c r="C47" i="123" s="1"/>
  <c r="E29" i="212" s="1"/>
  <c r="F57" i="214"/>
  <c r="L102" i="48" s="1"/>
  <c r="O22" i="214"/>
  <c r="O57" s="1"/>
  <c r="L111" i="48" s="1"/>
  <c r="E57" i="214"/>
  <c r="L101" i="48" s="1"/>
  <c r="N17" i="53"/>
  <c r="G19" i="210"/>
  <c r="C29" i="216" l="1"/>
  <c r="M24" i="53"/>
  <c r="L24"/>
  <c r="K24"/>
  <c r="B38" i="127" l="1"/>
  <c r="G38" i="121"/>
  <c r="N24" i="53"/>
  <c r="X53" i="202"/>
  <c r="W53"/>
  <c r="T53"/>
  <c r="S53"/>
  <c r="R53"/>
  <c r="E53" l="1"/>
  <c r="M51" l="1"/>
  <c r="L51"/>
  <c r="AA47"/>
  <c r="L47"/>
  <c r="M45"/>
  <c r="X41"/>
  <c r="W41"/>
  <c r="T41"/>
  <c r="S41"/>
  <c r="S55" s="1"/>
  <c r="R41"/>
  <c r="Q41"/>
  <c r="Q53" s="1"/>
  <c r="E41"/>
  <c r="D41"/>
  <c r="D53" s="1"/>
  <c r="M38"/>
  <c r="O33"/>
  <c r="K31"/>
  <c r="J31"/>
  <c r="C31"/>
  <c r="B31"/>
  <c r="M30"/>
  <c r="K27"/>
  <c r="I27"/>
  <c r="M25"/>
  <c r="E21"/>
  <c r="E23" s="1"/>
  <c r="D21"/>
  <c r="M21" s="1"/>
  <c r="G18"/>
  <c r="G23" s="1"/>
  <c r="F18"/>
  <c r="F23" s="1"/>
  <c r="C17"/>
  <c r="B17"/>
  <c r="L21" l="1"/>
  <c r="M29"/>
  <c r="M32"/>
  <c r="M36"/>
  <c r="M50"/>
  <c r="M48"/>
  <c r="M19"/>
  <c r="Z19" s="1"/>
  <c r="M37"/>
  <c r="M39"/>
  <c r="M20"/>
  <c r="M26"/>
  <c r="M49"/>
  <c r="K53"/>
  <c r="M14"/>
  <c r="M27"/>
  <c r="M31"/>
  <c r="M33"/>
  <c r="Z33" s="1"/>
  <c r="M46"/>
  <c r="M16"/>
  <c r="Z16" s="1"/>
  <c r="M17"/>
  <c r="Z17" s="1"/>
  <c r="M18"/>
  <c r="Z18" s="1"/>
  <c r="M34"/>
  <c r="M35"/>
  <c r="Z45"/>
  <c r="I53"/>
  <c r="AA17"/>
  <c r="L19"/>
  <c r="L17"/>
  <c r="P17" s="1"/>
  <c r="L32"/>
  <c r="L27"/>
  <c r="C53"/>
  <c r="L37"/>
  <c r="B53"/>
  <c r="L35"/>
  <c r="L38"/>
  <c r="L49"/>
  <c r="G41"/>
  <c r="H41"/>
  <c r="C41"/>
  <c r="AA16"/>
  <c r="AA18"/>
  <c r="L25"/>
  <c r="L29"/>
  <c r="L30"/>
  <c r="L31"/>
  <c r="AA33"/>
  <c r="L39"/>
  <c r="L15"/>
  <c r="L18"/>
  <c r="L20"/>
  <c r="J41"/>
  <c r="L33"/>
  <c r="L34"/>
  <c r="L50"/>
  <c r="AA19"/>
  <c r="L28"/>
  <c r="B41"/>
  <c r="F41"/>
  <c r="P47"/>
  <c r="AA45"/>
  <c r="L46"/>
  <c r="P46" s="1"/>
  <c r="L26"/>
  <c r="L45"/>
  <c r="W12"/>
  <c r="W23" s="1"/>
  <c r="R12"/>
  <c r="R23" s="1"/>
  <c r="D23"/>
  <c r="C6"/>
  <c r="C23" s="1"/>
  <c r="B6"/>
  <c r="B23" s="1"/>
  <c r="E31" i="51"/>
  <c r="E35" s="1"/>
  <c r="M53" i="202" l="1"/>
  <c r="M11"/>
  <c r="M41"/>
  <c r="B55"/>
  <c r="F9" i="51" s="1"/>
  <c r="M6" i="202"/>
  <c r="F55"/>
  <c r="M12"/>
  <c r="P19"/>
  <c r="P18"/>
  <c r="H55"/>
  <c r="F15" i="51" s="1"/>
  <c r="L11" i="202"/>
  <c r="T12"/>
  <c r="R55"/>
  <c r="P43"/>
  <c r="J55"/>
  <c r="E55"/>
  <c r="D31" i="51"/>
  <c r="D35" s="1"/>
  <c r="C31"/>
  <c r="B31"/>
  <c r="G29"/>
  <c r="F29"/>
  <c r="G28"/>
  <c r="F28"/>
  <c r="E19"/>
  <c r="C19"/>
  <c r="B19"/>
  <c r="C24" i="50"/>
  <c r="F13" i="51" l="1"/>
  <c r="M23" i="202"/>
  <c r="X12"/>
  <c r="X23" s="1"/>
  <c r="T23"/>
  <c r="F17" i="51"/>
  <c r="D55" i="202"/>
  <c r="F11" i="51" s="1"/>
  <c r="G11"/>
  <c r="P11" i="202"/>
  <c r="C35" i="51"/>
  <c r="G31"/>
  <c r="G35" s="1"/>
  <c r="F31"/>
  <c r="F35" s="1"/>
  <c r="I210" i="48"/>
  <c r="M55" i="202" l="1"/>
  <c r="F19" i="51"/>
  <c r="M57" i="202"/>
  <c r="D23" i="51"/>
  <c r="B35"/>
  <c r="C23" l="1"/>
  <c r="D37"/>
  <c r="K187" i="48"/>
  <c r="K216" s="1"/>
  <c r="G184"/>
  <c r="I184" s="1"/>
  <c r="G183"/>
  <c r="G182"/>
  <c r="G181"/>
  <c r="G178"/>
  <c r="I178" s="1"/>
  <c r="G176"/>
  <c r="G175"/>
  <c r="G174"/>
  <c r="G173"/>
  <c r="G172"/>
  <c r="G171"/>
  <c r="G170"/>
  <c r="G159"/>
  <c r="G158"/>
  <c r="G157"/>
  <c r="G156"/>
  <c r="G154"/>
  <c r="G152"/>
  <c r="G150"/>
  <c r="G149"/>
  <c r="G148"/>
  <c r="G147"/>
  <c r="G143"/>
  <c r="K223" l="1"/>
  <c r="B23" i="51"/>
  <c r="B37" s="1"/>
  <c r="C37"/>
  <c r="G142" i="48"/>
  <c r="G141"/>
  <c r="G139"/>
  <c r="G138"/>
  <c r="G136"/>
  <c r="G135"/>
  <c r="G134"/>
  <c r="G133"/>
  <c r="G132"/>
  <c r="G131"/>
  <c r="G130"/>
  <c r="L121" l="1"/>
  <c r="I121"/>
  <c r="I120"/>
  <c r="I118"/>
  <c r="I106"/>
  <c r="I98" l="1"/>
  <c r="I91"/>
  <c r="G91"/>
  <c r="E91"/>
  <c r="I78"/>
  <c r="G78"/>
  <c r="E78"/>
  <c r="E75"/>
  <c r="L74"/>
  <c r="L76" s="1"/>
  <c r="E74"/>
  <c r="E71"/>
  <c r="E70"/>
  <c r="L69"/>
  <c r="I69"/>
  <c r="E69"/>
  <c r="I68"/>
  <c r="E68"/>
  <c r="L67"/>
  <c r="I67"/>
  <c r="E67"/>
  <c r="L60"/>
  <c r="I60"/>
  <c r="E60"/>
  <c r="L63"/>
  <c r="I63"/>
  <c r="E63"/>
  <c r="L62"/>
  <c r="I62"/>
  <c r="E62"/>
  <c r="L61"/>
  <c r="E61"/>
  <c r="L59"/>
  <c r="I59"/>
  <c r="E59"/>
  <c r="G57"/>
  <c r="L56"/>
  <c r="I56"/>
  <c r="E56"/>
  <c r="L55"/>
  <c r="I55"/>
  <c r="E55"/>
  <c r="Q16" l="1"/>
  <c r="I72"/>
  <c r="Q72" s="1"/>
  <c r="L72"/>
  <c r="I61"/>
  <c r="I64" s="1"/>
  <c r="G64"/>
  <c r="L64"/>
  <c r="E72"/>
  <c r="L57"/>
  <c r="E64"/>
  <c r="E57"/>
  <c r="I57"/>
  <c r="E76"/>
  <c r="L50"/>
  <c r="I50"/>
  <c r="E50"/>
  <c r="L49"/>
  <c r="I49"/>
  <c r="E49"/>
  <c r="L48"/>
  <c r="I48"/>
  <c r="E48"/>
  <c r="L47"/>
  <c r="I47"/>
  <c r="E47"/>
  <c r="G45"/>
  <c r="E44"/>
  <c r="E43"/>
  <c r="E42"/>
  <c r="L41"/>
  <c r="I41"/>
  <c r="E41"/>
  <c r="L40"/>
  <c r="I40"/>
  <c r="E40"/>
  <c r="E39"/>
  <c r="E53" l="1"/>
  <c r="I79"/>
  <c r="I53"/>
  <c r="L53"/>
  <c r="G79"/>
  <c r="L45"/>
  <c r="E79"/>
  <c r="G65"/>
  <c r="E45"/>
  <c r="I45"/>
  <c r="Q79" l="1"/>
  <c r="L65"/>
  <c r="I65"/>
  <c r="Q65" s="1"/>
  <c r="E31"/>
  <c r="E30"/>
  <c r="L29"/>
  <c r="I29"/>
  <c r="E29"/>
  <c r="L28"/>
  <c r="I28"/>
  <c r="E28"/>
  <c r="L27"/>
  <c r="L26"/>
  <c r="I26"/>
  <c r="E26"/>
  <c r="L25"/>
  <c r="I25"/>
  <c r="E25"/>
  <c r="L24"/>
  <c r="I24"/>
  <c r="E24"/>
  <c r="L23"/>
  <c r="I23"/>
  <c r="E23"/>
  <c r="L22"/>
  <c r="I22"/>
  <c r="E22"/>
  <c r="L17"/>
  <c r="I17"/>
  <c r="S15" s="1"/>
  <c r="E17"/>
  <c r="J20" i="120" l="1"/>
  <c r="I32" i="48"/>
  <c r="Q31" s="1"/>
  <c r="G35"/>
  <c r="G80" s="1"/>
  <c r="G81" s="1"/>
  <c r="L32"/>
  <c r="E32"/>
  <c r="L16"/>
  <c r="I16"/>
  <c r="E16"/>
  <c r="L15" l="1"/>
  <c r="I15"/>
  <c r="S14" s="1"/>
  <c r="E15"/>
  <c r="E19" s="1"/>
  <c r="L10"/>
  <c r="I19" l="1"/>
  <c r="Q24" s="1"/>
  <c r="L19"/>
  <c r="L35" s="1"/>
  <c r="E35"/>
  <c r="G65" i="325"/>
  <c r="S16" i="48" l="1"/>
  <c r="R17" s="1"/>
  <c r="J19" i="120"/>
  <c r="I35" i="48"/>
  <c r="Q35" s="1"/>
  <c r="H56" i="325"/>
  <c r="R19" i="48" l="1"/>
  <c r="R21" s="1"/>
  <c r="H54" i="325"/>
  <c r="H52"/>
  <c r="H51"/>
  <c r="G50" l="1"/>
  <c r="G45" l="1"/>
  <c r="G44"/>
  <c r="G43"/>
  <c r="G42"/>
  <c r="F42"/>
  <c r="F41"/>
  <c r="G47" l="1"/>
  <c r="H44"/>
  <c r="H41"/>
  <c r="F47"/>
  <c r="H37"/>
  <c r="H35" l="1"/>
  <c r="G34"/>
  <c r="F34"/>
  <c r="H33"/>
  <c r="H32"/>
  <c r="H31"/>
  <c r="H30"/>
  <c r="H29"/>
  <c r="H28"/>
  <c r="H27"/>
  <c r="H26"/>
  <c r="H25"/>
  <c r="G24"/>
  <c r="G23"/>
  <c r="F23"/>
  <c r="H22"/>
  <c r="H21"/>
  <c r="F20"/>
  <c r="H19"/>
  <c r="G36" l="1"/>
  <c r="F36"/>
  <c r="H24"/>
  <c r="H20"/>
  <c r="H17"/>
  <c r="H16"/>
  <c r="G11"/>
  <c r="F8" l="1"/>
  <c r="H7"/>
  <c r="H5"/>
  <c r="G4"/>
  <c r="G18" s="1"/>
  <c r="J64" i="27" l="1"/>
  <c r="J63"/>
  <c r="J136" i="213" l="1"/>
  <c r="L213" i="48"/>
  <c r="C32" i="207"/>
  <c r="D15" i="208"/>
  <c r="C30" i="203"/>
  <c r="C17" i="52"/>
  <c r="C43" i="49"/>
  <c r="C31" i="203"/>
  <c r="D16" i="208"/>
  <c r="C33" i="207"/>
  <c r="C47" i="49"/>
  <c r="L210" i="48"/>
  <c r="M53" i="27"/>
  <c r="M52" l="1"/>
  <c r="M50"/>
  <c r="H42" i="325" l="1"/>
  <c r="M39" i="27" l="1"/>
  <c r="J39"/>
  <c r="K39" s="1"/>
  <c r="M38"/>
  <c r="J38"/>
  <c r="K38" s="1"/>
  <c r="M37"/>
  <c r="M36"/>
  <c r="J36"/>
  <c r="K36" s="1"/>
  <c r="M35"/>
  <c r="J35"/>
  <c r="K35" s="1"/>
  <c r="M34"/>
  <c r="M32" l="1"/>
  <c r="M31"/>
  <c r="N31" s="1"/>
  <c r="J31"/>
  <c r="K31" s="1"/>
  <c r="M29"/>
  <c r="M27" l="1"/>
  <c r="M22"/>
  <c r="N22" s="1"/>
  <c r="J19"/>
  <c r="K19" s="1"/>
  <c r="M17"/>
  <c r="M13" l="1"/>
  <c r="G13" i="217" l="1"/>
  <c r="G9" l="1"/>
  <c r="E465" i="229"/>
  <c r="J71" i="27"/>
  <c r="J70"/>
  <c r="K13" i="229"/>
  <c r="E13"/>
  <c r="H357" i="201"/>
  <c r="C37" i="224" s="1"/>
  <c r="F357" i="201"/>
  <c r="I346"/>
  <c r="I343"/>
  <c r="I340"/>
  <c r="I337"/>
  <c r="I334"/>
  <c r="I331"/>
  <c r="I326"/>
  <c r="I323"/>
  <c r="I320"/>
  <c r="I317"/>
  <c r="I314"/>
  <c r="I291"/>
  <c r="I288"/>
  <c r="I285"/>
  <c r="I282"/>
  <c r="I279"/>
  <c r="I276"/>
  <c r="I273"/>
  <c r="I270"/>
  <c r="I265"/>
  <c r="I260"/>
  <c r="I257"/>
  <c r="I254"/>
  <c r="I251"/>
  <c r="I248"/>
  <c r="I245"/>
  <c r="I242"/>
  <c r="I236"/>
  <c r="I216"/>
  <c r="I213"/>
  <c r="I210"/>
  <c r="I207"/>
  <c r="I204"/>
  <c r="I201"/>
  <c r="I198"/>
  <c r="I195"/>
  <c r="I192"/>
  <c r="I189"/>
  <c r="I186"/>
  <c r="I183"/>
  <c r="I180"/>
  <c r="I177"/>
  <c r="I174"/>
  <c r="I171"/>
  <c r="I168"/>
  <c r="I165"/>
  <c r="I162"/>
  <c r="I159"/>
  <c r="I138"/>
  <c r="I135"/>
  <c r="I132"/>
  <c r="I129"/>
  <c r="I126"/>
  <c r="I123"/>
  <c r="I120"/>
  <c r="I117"/>
  <c r="I114"/>
  <c r="I111"/>
  <c r="I108"/>
  <c r="I105"/>
  <c r="I102"/>
  <c r="I99"/>
  <c r="I96"/>
  <c r="I93"/>
  <c r="I88"/>
  <c r="I85"/>
  <c r="I63"/>
  <c r="I59"/>
  <c r="I55"/>
  <c r="I51"/>
  <c r="I47"/>
  <c r="I43"/>
  <c r="I39"/>
  <c r="I35"/>
  <c r="I32"/>
  <c r="I28"/>
  <c r="I24"/>
  <c r="I20"/>
  <c r="I15"/>
  <c r="Z51" i="202"/>
  <c r="F37" i="119"/>
  <c r="F58" s="1"/>
  <c r="K11" i="16" s="1"/>
  <c r="B37" i="119"/>
  <c r="K23" i="16" l="1"/>
  <c r="J23" s="1"/>
  <c r="R50" i="214" s="1"/>
  <c r="K21" i="16"/>
  <c r="K50" i="214" s="1"/>
  <c r="J11" i="16"/>
  <c r="B50" i="214" s="1"/>
  <c r="K19" i="16"/>
  <c r="J19" s="1"/>
  <c r="Q50" i="214" s="1"/>
  <c r="H61" i="119"/>
  <c r="H58"/>
  <c r="E467" i="229"/>
  <c r="D44" i="126"/>
  <c r="B58" i="119"/>
  <c r="L11" i="16" s="1"/>
  <c r="K25" s="1"/>
  <c r="I357" i="201"/>
  <c r="C35" i="203"/>
  <c r="C37" i="207"/>
  <c r="D20" i="208"/>
  <c r="G10" i="217"/>
  <c r="AA51" i="202"/>
  <c r="P51"/>
  <c r="G17" i="217"/>
  <c r="D91" i="16"/>
  <c r="D90"/>
  <c r="J63"/>
  <c r="K63" s="1"/>
  <c r="D61"/>
  <c r="D60"/>
  <c r="D59"/>
  <c r="D53"/>
  <c r="D50"/>
  <c r="D49"/>
  <c r="D48"/>
  <c r="D47"/>
  <c r="D46"/>
  <c r="D45"/>
  <c r="D27"/>
  <c r="D17"/>
  <c r="D26"/>
  <c r="D25"/>
  <c r="D24"/>
  <c r="D23"/>
  <c r="D20"/>
  <c r="D15"/>
  <c r="D14"/>
  <c r="D13"/>
  <c r="D12"/>
  <c r="D11"/>
  <c r="D99" l="1"/>
  <c r="K16"/>
  <c r="K22"/>
  <c r="J22" s="1"/>
  <c r="L50" i="214" s="1"/>
  <c r="K15" i="16"/>
  <c r="J15" s="1"/>
  <c r="G50" i="214" s="1"/>
  <c r="K24" i="16"/>
  <c r="T50" i="214"/>
  <c r="K12" i="16"/>
  <c r="H65"/>
  <c r="I65" s="1"/>
  <c r="J53" i="27"/>
  <c r="K53" s="1"/>
  <c r="D11" i="309"/>
  <c r="G53" i="27"/>
  <c r="H53" s="1"/>
  <c r="C11" i="309"/>
  <c r="D63" i="16"/>
  <c r="C65" i="308"/>
  <c r="I76" i="118"/>
  <c r="F44"/>
  <c r="F16" i="280"/>
  <c r="F15"/>
  <c r="J52" i="27"/>
  <c r="K52" s="1"/>
  <c r="D89" i="35"/>
  <c r="D94" s="1"/>
  <c r="G52" i="27"/>
  <c r="H52" s="1"/>
  <c r="D64" i="35"/>
  <c r="D63"/>
  <c r="D62"/>
  <c r="D61"/>
  <c r="D58"/>
  <c r="D57"/>
  <c r="D54"/>
  <c r="D51"/>
  <c r="D50"/>
  <c r="D49"/>
  <c r="D48"/>
  <c r="D47"/>
  <c r="D46"/>
  <c r="D45"/>
  <c r="D28"/>
  <c r="D18"/>
  <c r="D27"/>
  <c r="D26"/>
  <c r="D25"/>
  <c r="D24"/>
  <c r="D21"/>
  <c r="D19"/>
  <c r="D16"/>
  <c r="D15"/>
  <c r="D14"/>
  <c r="D13"/>
  <c r="D12"/>
  <c r="E87" i="168"/>
  <c r="N49" i="202"/>
  <c r="O49"/>
  <c r="Z49" s="1"/>
  <c r="B34" i="117"/>
  <c r="D67" i="35" l="1"/>
  <c r="J12" i="16"/>
  <c r="K20"/>
  <c r="J20" s="1"/>
  <c r="P50" i="214" s="1"/>
  <c r="J16" i="16"/>
  <c r="J50" i="214" s="1"/>
  <c r="K26" i="16"/>
  <c r="J26" s="1"/>
  <c r="U50" i="214" s="1"/>
  <c r="J24" i="16"/>
  <c r="S50" i="214" s="1"/>
  <c r="B52" i="117"/>
  <c r="B68" i="118"/>
  <c r="L12" i="35" s="1"/>
  <c r="K26" s="1"/>
  <c r="F68" i="118"/>
  <c r="E7" i="280"/>
  <c r="E25" s="1"/>
  <c r="D30" i="35"/>
  <c r="O44" i="272"/>
  <c r="N50" i="202"/>
  <c r="AA49"/>
  <c r="P49"/>
  <c r="D7" i="280"/>
  <c r="D25" s="1"/>
  <c r="N44" i="272"/>
  <c r="O50" i="202"/>
  <c r="Z50" s="1"/>
  <c r="H68" i="118" l="1"/>
  <c r="K12" i="35"/>
  <c r="K48" i="214"/>
  <c r="M12" i="17"/>
  <c r="T49" i="214"/>
  <c r="K17" i="35"/>
  <c r="K13"/>
  <c r="K16"/>
  <c r="J16" s="1"/>
  <c r="G49" i="214" s="1"/>
  <c r="K25" i="35"/>
  <c r="K23"/>
  <c r="J23" s="1"/>
  <c r="L49" i="214" s="1"/>
  <c r="K29" i="16"/>
  <c r="J29"/>
  <c r="D50" i="214"/>
  <c r="D103" i="35"/>
  <c r="O47" i="272"/>
  <c r="P44"/>
  <c r="N47"/>
  <c r="AA44"/>
  <c r="Z44"/>
  <c r="AA50" i="202"/>
  <c r="P50"/>
  <c r="M51" i="27"/>
  <c r="L17" i="17" l="1"/>
  <c r="K17" s="1"/>
  <c r="H48" i="214" s="1"/>
  <c r="H52" s="1"/>
  <c r="L18" i="17"/>
  <c r="K18" s="1"/>
  <c r="I48" i="214" s="1"/>
  <c r="E43" i="325"/>
  <c r="H43" s="1"/>
  <c r="N51" i="27"/>
  <c r="J12" i="35"/>
  <c r="B49" i="214" s="1"/>
  <c r="K20" i="35"/>
  <c r="J20" s="1"/>
  <c r="Q49" i="214" s="1"/>
  <c r="K22" i="35"/>
  <c r="K49" i="214" s="1"/>
  <c r="K24" i="35"/>
  <c r="J24" s="1"/>
  <c r="R49" i="214" s="1"/>
  <c r="L25" i="17"/>
  <c r="K25" s="1"/>
  <c r="L48" i="214" s="1"/>
  <c r="L28" i="17"/>
  <c r="T48" i="214" s="1"/>
  <c r="L13" i="17"/>
  <c r="L27"/>
  <c r="L19"/>
  <c r="L16"/>
  <c r="K16" s="1"/>
  <c r="G48" i="214" s="1"/>
  <c r="J17" i="35"/>
  <c r="J49" i="214" s="1"/>
  <c r="K21" i="35"/>
  <c r="J21" s="1"/>
  <c r="P49" i="214" s="1"/>
  <c r="J13" i="35"/>
  <c r="J25"/>
  <c r="S49" i="214" s="1"/>
  <c r="K27" i="35"/>
  <c r="J27" s="1"/>
  <c r="U49" i="214" s="1"/>
  <c r="C53" i="27"/>
  <c r="J106" i="16"/>
  <c r="B11" i="309"/>
  <c r="Z50" i="214"/>
  <c r="E87" i="17"/>
  <c r="E88" s="1"/>
  <c r="E64"/>
  <c r="E63"/>
  <c r="E62"/>
  <c r="E61"/>
  <c r="E58"/>
  <c r="E57"/>
  <c r="E56"/>
  <c r="E54"/>
  <c r="E53"/>
  <c r="E52"/>
  <c r="E51"/>
  <c r="E50"/>
  <c r="E49"/>
  <c r="E48"/>
  <c r="E47"/>
  <c r="E46"/>
  <c r="E30"/>
  <c r="E21"/>
  <c r="E29"/>
  <c r="E28"/>
  <c r="E27"/>
  <c r="E26"/>
  <c r="E23"/>
  <c r="E20"/>
  <c r="E17"/>
  <c r="E16"/>
  <c r="E15"/>
  <c r="E14"/>
  <c r="E13"/>
  <c r="E12"/>
  <c r="I155" i="286"/>
  <c r="D155"/>
  <c r="I146"/>
  <c r="D146"/>
  <c r="I137"/>
  <c r="D108"/>
  <c r="D73"/>
  <c r="I65"/>
  <c r="D65"/>
  <c r="I39"/>
  <c r="D26"/>
  <c r="I24"/>
  <c r="P53" i="27" l="1"/>
  <c r="E53"/>
  <c r="H114" i="16"/>
  <c r="I114" s="1"/>
  <c r="S53" i="27" s="1"/>
  <c r="K106" i="16"/>
  <c r="I52" i="214"/>
  <c r="I40" i="213" s="1"/>
  <c r="L29" i="17"/>
  <c r="K29" s="1"/>
  <c r="U48" i="214" s="1"/>
  <c r="K27" i="17"/>
  <c r="S48" i="214" s="1"/>
  <c r="K19" i="17"/>
  <c r="J48" i="214" s="1"/>
  <c r="L23" i="17"/>
  <c r="K23" s="1"/>
  <c r="P48" i="214" s="1"/>
  <c r="K13" i="17"/>
  <c r="J30" i="35"/>
  <c r="D49" i="214"/>
  <c r="K30" i="35"/>
  <c r="I165" i="286"/>
  <c r="D165"/>
  <c r="E32" i="17"/>
  <c r="J51" i="27"/>
  <c r="K51" s="1"/>
  <c r="D8" i="287"/>
  <c r="G51" i="27"/>
  <c r="H51" s="1"/>
  <c r="C8" i="287"/>
  <c r="N48" i="202"/>
  <c r="B57" i="116"/>
  <c r="O48" i="202" s="1"/>
  <c r="Z48" s="1"/>
  <c r="B38" i="116"/>
  <c r="C34" i="49" l="1"/>
  <c r="V53" i="27"/>
  <c r="AX53"/>
  <c r="D48" i="214"/>
  <c r="Z48" s="1"/>
  <c r="K32" i="17"/>
  <c r="L34" s="1"/>
  <c r="L35" s="1"/>
  <c r="L32"/>
  <c r="Z49" i="214"/>
  <c r="C52" i="27"/>
  <c r="J103" i="35"/>
  <c r="C7" i="280"/>
  <c r="B59" i="116"/>
  <c r="AA48" i="202"/>
  <c r="D23" i="240"/>
  <c r="C23"/>
  <c r="B23"/>
  <c r="E6"/>
  <c r="J50" i="27"/>
  <c r="K50" s="1"/>
  <c r="P52" l="1"/>
  <c r="E52"/>
  <c r="H113" i="35"/>
  <c r="I113" s="1"/>
  <c r="S52" i="27" s="1"/>
  <c r="K103" i="35"/>
  <c r="L12" i="34"/>
  <c r="C51" i="27"/>
  <c r="E51" s="1"/>
  <c r="K161" i="17"/>
  <c r="B8" i="287"/>
  <c r="E8" s="1"/>
  <c r="E33" s="1"/>
  <c r="D33" s="1"/>
  <c r="C33" s="1"/>
  <c r="B33" s="1"/>
  <c r="C25" i="280"/>
  <c r="F7"/>
  <c r="F25" s="1"/>
  <c r="E23" i="240"/>
  <c r="F38" i="116"/>
  <c r="F59" s="1"/>
  <c r="K12" i="34" s="1"/>
  <c r="C32" i="49" l="1"/>
  <c r="V52" i="27"/>
  <c r="AX52"/>
  <c r="P51"/>
  <c r="K21" i="34"/>
  <c r="K47" i="214" s="1"/>
  <c r="K19" i="34"/>
  <c r="J19" s="1"/>
  <c r="Q47" i="214" s="1"/>
  <c r="K23" i="34"/>
  <c r="J23" s="1"/>
  <c r="R47" i="214" s="1"/>
  <c r="J12" i="34"/>
  <c r="B47" i="214" s="1"/>
  <c r="I169" i="17"/>
  <c r="J169" s="1"/>
  <c r="S51" i="27" s="1"/>
  <c r="L161" i="17"/>
  <c r="K24" i="34"/>
  <c r="K16"/>
  <c r="J16" s="1"/>
  <c r="G47" i="214" s="1"/>
  <c r="K22" i="34"/>
  <c r="J22" s="1"/>
  <c r="L47" i="214" s="1"/>
  <c r="K17" i="34"/>
  <c r="K25"/>
  <c r="T47" i="214" s="1"/>
  <c r="K13" i="34"/>
  <c r="G53" i="202"/>
  <c r="G55" s="1"/>
  <c r="G13" i="51" s="1"/>
  <c r="L48" i="202"/>
  <c r="L53" s="1"/>
  <c r="G50" i="27"/>
  <c r="H50" s="1"/>
  <c r="D61" i="34"/>
  <c r="D60"/>
  <c r="D59"/>
  <c r="D56"/>
  <c r="D55"/>
  <c r="D51"/>
  <c r="D50"/>
  <c r="D49"/>
  <c r="D46"/>
  <c r="D45"/>
  <c r="D44"/>
  <c r="D27"/>
  <c r="D18"/>
  <c r="D26"/>
  <c r="D25"/>
  <c r="D24"/>
  <c r="D23"/>
  <c r="D20"/>
  <c r="D16"/>
  <c r="D15"/>
  <c r="D14"/>
  <c r="D13"/>
  <c r="D12"/>
  <c r="B35" i="115"/>
  <c r="E28" i="279"/>
  <c r="D28"/>
  <c r="F26"/>
  <c r="F25"/>
  <c r="F24"/>
  <c r="F23"/>
  <c r="F21"/>
  <c r="F20"/>
  <c r="F19"/>
  <c r="F18"/>
  <c r="C17"/>
  <c r="F17" s="1"/>
  <c r="F16"/>
  <c r="F15"/>
  <c r="F14"/>
  <c r="F13"/>
  <c r="F12"/>
  <c r="C35" i="49" l="1"/>
  <c r="V51" i="27"/>
  <c r="AX51"/>
  <c r="K26" i="34"/>
  <c r="J26" s="1"/>
  <c r="U47" i="214" s="1"/>
  <c r="J24" i="34"/>
  <c r="S47" i="214" s="1"/>
  <c r="J13" i="34"/>
  <c r="J17"/>
  <c r="J47" i="214" s="1"/>
  <c r="K20" i="34"/>
  <c r="J20" s="1"/>
  <c r="P47" i="214" s="1"/>
  <c r="D63" i="34"/>
  <c r="S50" i="27"/>
  <c r="B53" i="115"/>
  <c r="L12" i="28" s="1"/>
  <c r="C28" i="279"/>
  <c r="F53" i="115"/>
  <c r="D29" i="34"/>
  <c r="P48" i="202"/>
  <c r="F11" i="279"/>
  <c r="F10"/>
  <c r="M41" i="27"/>
  <c r="J41"/>
  <c r="K41" s="1"/>
  <c r="D92" i="28"/>
  <c r="D88"/>
  <c r="D67"/>
  <c r="E34" i="325" l="1"/>
  <c r="H34" s="1"/>
  <c r="N41" i="27"/>
  <c r="H53" i="115"/>
  <c r="K12" i="28"/>
  <c r="K18" s="1"/>
  <c r="J18" s="1"/>
  <c r="K16"/>
  <c r="J16" s="1"/>
  <c r="G38" i="214" s="1"/>
  <c r="K17" i="28"/>
  <c r="K24"/>
  <c r="J24" s="1"/>
  <c r="L38" i="214" s="1"/>
  <c r="K26" i="28"/>
  <c r="K27"/>
  <c r="T38" i="214" s="1"/>
  <c r="K13" i="28"/>
  <c r="D47" i="214"/>
  <c r="J29" i="34"/>
  <c r="K29"/>
  <c r="D94" i="28"/>
  <c r="D74" i="34"/>
  <c r="F28" i="279"/>
  <c r="D66" i="28"/>
  <c r="D65"/>
  <c r="D61"/>
  <c r="AS42" i="215"/>
  <c r="AS56" s="1"/>
  <c r="I64" i="28"/>
  <c r="D64"/>
  <c r="D59"/>
  <c r="D56"/>
  <c r="D55"/>
  <c r="D50"/>
  <c r="D49"/>
  <c r="D48"/>
  <c r="D46"/>
  <c r="C40" i="215"/>
  <c r="BG40" s="1"/>
  <c r="I45" i="28"/>
  <c r="D45"/>
  <c r="D44"/>
  <c r="D29"/>
  <c r="D19"/>
  <c r="D28"/>
  <c r="D27"/>
  <c r="D26"/>
  <c r="D25"/>
  <c r="D22"/>
  <c r="D18"/>
  <c r="D16"/>
  <c r="D15"/>
  <c r="D14"/>
  <c r="D13"/>
  <c r="D12"/>
  <c r="K25" l="1"/>
  <c r="J25" s="1"/>
  <c r="R38" i="214" s="1"/>
  <c r="K23" i="28"/>
  <c r="K38" i="214" s="1"/>
  <c r="K21" i="28"/>
  <c r="J21" s="1"/>
  <c r="Q38" i="214" s="1"/>
  <c r="J12" i="28"/>
  <c r="B38" i="214" s="1"/>
  <c r="N38"/>
  <c r="J13" i="28"/>
  <c r="J17"/>
  <c r="J38" i="214" s="1"/>
  <c r="K22" i="28"/>
  <c r="J22" s="1"/>
  <c r="P38" i="214" s="1"/>
  <c r="J26" i="28"/>
  <c r="S38" i="214" s="1"/>
  <c r="K28" i="28"/>
  <c r="J28" s="1"/>
  <c r="U38" i="214" s="1"/>
  <c r="Z47"/>
  <c r="C50" i="27"/>
  <c r="J74" i="34"/>
  <c r="D31" i="28"/>
  <c r="C42" i="215"/>
  <c r="C56" s="1"/>
  <c r="C62" i="295"/>
  <c r="C78" s="1"/>
  <c r="O38" i="202"/>
  <c r="Z38" s="1"/>
  <c r="J89" i="34" l="1"/>
  <c r="J90" s="1"/>
  <c r="K74"/>
  <c r="P50" i="27"/>
  <c r="E50"/>
  <c r="K31" i="28"/>
  <c r="D38" i="214"/>
  <c r="Z38" s="1"/>
  <c r="J31" i="28"/>
  <c r="S41" i="27"/>
  <c r="AA38" i="202"/>
  <c r="B52" i="114"/>
  <c r="AX50" i="27" l="1"/>
  <c r="V50"/>
  <c r="C33" i="49"/>
  <c r="L11" i="22"/>
  <c r="J113" i="28"/>
  <c r="J125" s="1"/>
  <c r="J126" s="1"/>
  <c r="C41" i="27"/>
  <c r="E41" s="1"/>
  <c r="N38" i="202"/>
  <c r="P38" s="1"/>
  <c r="F52" i="114"/>
  <c r="K40" i="27"/>
  <c r="D85" i="22"/>
  <c r="D84"/>
  <c r="D83"/>
  <c r="D82"/>
  <c r="D81"/>
  <c r="D64"/>
  <c r="D62"/>
  <c r="D61"/>
  <c r="D60"/>
  <c r="D59"/>
  <c r="D55"/>
  <c r="D52"/>
  <c r="D51"/>
  <c r="D50"/>
  <c r="D48"/>
  <c r="D47"/>
  <c r="D46"/>
  <c r="D45"/>
  <c r="D44"/>
  <c r="D27"/>
  <c r="D18"/>
  <c r="D26"/>
  <c r="D25"/>
  <c r="D24"/>
  <c r="D23"/>
  <c r="D20"/>
  <c r="D17"/>
  <c r="D14"/>
  <c r="D13"/>
  <c r="D12"/>
  <c r="D11"/>
  <c r="C30" i="167"/>
  <c r="N37" i="202"/>
  <c r="O37"/>
  <c r="Z37" s="1"/>
  <c r="B35" i="113"/>
  <c r="E34" i="307"/>
  <c r="E26"/>
  <c r="C26"/>
  <c r="F23"/>
  <c r="F22"/>
  <c r="F21"/>
  <c r="F19"/>
  <c r="F18"/>
  <c r="F17"/>
  <c r="F16"/>
  <c r="F15"/>
  <c r="F14"/>
  <c r="D13"/>
  <c r="D26" s="1"/>
  <c r="F10"/>
  <c r="G39" i="27"/>
  <c r="H39" s="1"/>
  <c r="D68" i="11"/>
  <c r="D67"/>
  <c r="D66"/>
  <c r="D65"/>
  <c r="D63"/>
  <c r="D59"/>
  <c r="D58"/>
  <c r="D57"/>
  <c r="D53"/>
  <c r="D51"/>
  <c r="D50"/>
  <c r="D49"/>
  <c r="D47"/>
  <c r="D46"/>
  <c r="D45"/>
  <c r="D44"/>
  <c r="D43"/>
  <c r="D28"/>
  <c r="D19"/>
  <c r="D27"/>
  <c r="D26"/>
  <c r="D25"/>
  <c r="D24"/>
  <c r="D21"/>
  <c r="D18"/>
  <c r="D15"/>
  <c r="D14"/>
  <c r="D13"/>
  <c r="D12"/>
  <c r="C39" i="306"/>
  <c r="C21"/>
  <c r="N36" i="202"/>
  <c r="O36"/>
  <c r="Z36" s="1"/>
  <c r="B31" i="112"/>
  <c r="K41" i="202"/>
  <c r="H52" i="114" l="1"/>
  <c r="K11" i="22"/>
  <c r="K22"/>
  <c r="J22" s="1"/>
  <c r="L37" i="214" s="1"/>
  <c r="K12" i="22"/>
  <c r="K25"/>
  <c r="T37" i="214" s="1"/>
  <c r="K16" i="22"/>
  <c r="K15"/>
  <c r="J15" s="1"/>
  <c r="I37" i="214" s="1"/>
  <c r="K13" i="22"/>
  <c r="J13" s="1"/>
  <c r="G37" i="214" s="1"/>
  <c r="K24" i="22"/>
  <c r="K14"/>
  <c r="J14" s="1"/>
  <c r="H37" i="214" s="1"/>
  <c r="D86" i="22"/>
  <c r="D70" i="11"/>
  <c r="G40" i="27"/>
  <c r="H40" s="1"/>
  <c r="B46" i="112"/>
  <c r="C40" i="306"/>
  <c r="L36" i="202"/>
  <c r="L41" s="1"/>
  <c r="D30" i="11"/>
  <c r="D29" i="22"/>
  <c r="B52" i="113"/>
  <c r="L12" i="11" s="1"/>
  <c r="AA36" i="202"/>
  <c r="F13" i="307"/>
  <c r="F26" s="1"/>
  <c r="F31" i="112"/>
  <c r="F46" s="1"/>
  <c r="K12" i="15" s="1"/>
  <c r="G41" i="27"/>
  <c r="H41" s="1"/>
  <c r="AA37" i="202"/>
  <c r="P37"/>
  <c r="D7" i="249"/>
  <c r="D47" s="1"/>
  <c r="C34" i="306"/>
  <c r="C7" i="249"/>
  <c r="C47" s="1"/>
  <c r="D67" i="285"/>
  <c r="C49"/>
  <c r="C67" s="1"/>
  <c r="E38"/>
  <c r="B9"/>
  <c r="D107" i="15"/>
  <c r="G38" i="27"/>
  <c r="H38" s="1"/>
  <c r="D88" i="15"/>
  <c r="D84"/>
  <c r="D83"/>
  <c r="D85"/>
  <c r="D82"/>
  <c r="D58"/>
  <c r="D59"/>
  <c r="D87"/>
  <c r="D57"/>
  <c r="D54"/>
  <c r="D53"/>
  <c r="D52"/>
  <c r="D50"/>
  <c r="D49"/>
  <c r="D47"/>
  <c r="D46"/>
  <c r="D45"/>
  <c r="D44"/>
  <c r="D43"/>
  <c r="D28"/>
  <c r="D19"/>
  <c r="D27"/>
  <c r="D26"/>
  <c r="D25"/>
  <c r="D24"/>
  <c r="D21"/>
  <c r="D18"/>
  <c r="D15"/>
  <c r="D14"/>
  <c r="D13"/>
  <c r="D12"/>
  <c r="C41" i="284"/>
  <c r="C61" s="1"/>
  <c r="N35" i="202"/>
  <c r="O35"/>
  <c r="Z35" s="1"/>
  <c r="B36" i="110"/>
  <c r="P41" i="27" l="1"/>
  <c r="V41" s="1"/>
  <c r="K20" i="15"/>
  <c r="J20" s="1"/>
  <c r="Q35" i="214" s="1"/>
  <c r="K18" i="15"/>
  <c r="J18" s="1"/>
  <c r="N35" i="214" s="1"/>
  <c r="J12" i="15"/>
  <c r="B35" i="214" s="1"/>
  <c r="K24" i="15"/>
  <c r="J24" s="1"/>
  <c r="R35" i="214" s="1"/>
  <c r="K22" i="15"/>
  <c r="K35" i="214" s="1"/>
  <c r="J11" i="22"/>
  <c r="B37" i="214" s="1"/>
  <c r="K23" i="22"/>
  <c r="J23" s="1"/>
  <c r="R37" i="214" s="1"/>
  <c r="K17" i="22"/>
  <c r="J17" s="1"/>
  <c r="N37" i="214" s="1"/>
  <c r="K21" i="22"/>
  <c r="K37" i="214" s="1"/>
  <c r="K19" i="22"/>
  <c r="J19" s="1"/>
  <c r="Q37" i="214" s="1"/>
  <c r="L12" i="15"/>
  <c r="K23" i="11"/>
  <c r="J23" s="1"/>
  <c r="L36" i="214" s="1"/>
  <c r="K17" i="11"/>
  <c r="K14"/>
  <c r="J14" s="1"/>
  <c r="G36" i="214" s="1"/>
  <c r="K15" i="11"/>
  <c r="J15" s="1"/>
  <c r="H36" i="214" s="1"/>
  <c r="K13" i="11"/>
  <c r="K25"/>
  <c r="K16"/>
  <c r="J16" s="1"/>
  <c r="I36" i="214" s="1"/>
  <c r="K26" i="11"/>
  <c r="T36" i="214" s="1"/>
  <c r="J24" i="22"/>
  <c r="S37" i="214" s="1"/>
  <c r="K26" i="22"/>
  <c r="J26" s="1"/>
  <c r="U37" i="214" s="1"/>
  <c r="J12" i="22"/>
  <c r="J16"/>
  <c r="J37" i="214" s="1"/>
  <c r="K20" i="22"/>
  <c r="J20" s="1"/>
  <c r="P37" i="214" s="1"/>
  <c r="K36"/>
  <c r="I41" i="202"/>
  <c r="I55" s="1"/>
  <c r="G15" i="51" s="1"/>
  <c r="D112" i="11"/>
  <c r="B55" i="110"/>
  <c r="L12" i="5" s="1"/>
  <c r="D109" i="22"/>
  <c r="D90" i="15"/>
  <c r="E49" i="285"/>
  <c r="AA35" i="202"/>
  <c r="P35"/>
  <c r="E9" i="285"/>
  <c r="B67"/>
  <c r="D30" i="15"/>
  <c r="P36" i="202"/>
  <c r="D27" i="247"/>
  <c r="C15"/>
  <c r="C27" s="1"/>
  <c r="E13"/>
  <c r="E11"/>
  <c r="B9"/>
  <c r="J37" i="27"/>
  <c r="K37" s="1"/>
  <c r="D127" i="5"/>
  <c r="G37" i="27"/>
  <c r="H37" s="1"/>
  <c r="D82" i="5"/>
  <c r="D80"/>
  <c r="D64"/>
  <c r="D63"/>
  <c r="D60"/>
  <c r="D59"/>
  <c r="D58"/>
  <c r="D55"/>
  <c r="D53"/>
  <c r="D52"/>
  <c r="D51"/>
  <c r="D50"/>
  <c r="D48"/>
  <c r="D47"/>
  <c r="D46"/>
  <c r="D45"/>
  <c r="D44"/>
  <c r="D28"/>
  <c r="D19"/>
  <c r="D27"/>
  <c r="D26"/>
  <c r="D25"/>
  <c r="D24"/>
  <c r="D21"/>
  <c r="D18"/>
  <c r="D15"/>
  <c r="D14"/>
  <c r="D13"/>
  <c r="AX41" i="27" l="1"/>
  <c r="K26" i="5"/>
  <c r="T34" i="214" s="1"/>
  <c r="K25" i="5"/>
  <c r="K17"/>
  <c r="K16"/>
  <c r="J16" s="1"/>
  <c r="I34" i="214" s="1"/>
  <c r="K23" i="5"/>
  <c r="J23" s="1"/>
  <c r="L34" i="214" s="1"/>
  <c r="K15" i="5"/>
  <c r="J15" s="1"/>
  <c r="H34" i="214" s="1"/>
  <c r="K13" i="5"/>
  <c r="K14"/>
  <c r="J14" s="1"/>
  <c r="G34" i="214" s="1"/>
  <c r="K23" i="15"/>
  <c r="J23" s="1"/>
  <c r="L35" i="214" s="1"/>
  <c r="K14" i="15"/>
  <c r="J14" s="1"/>
  <c r="G35" i="214" s="1"/>
  <c r="K15" i="15"/>
  <c r="J15" s="1"/>
  <c r="H35" i="214" s="1"/>
  <c r="K16" i="15"/>
  <c r="J16" s="1"/>
  <c r="I35" i="214" s="1"/>
  <c r="K25" i="15"/>
  <c r="K17"/>
  <c r="K26"/>
  <c r="T35" i="214" s="1"/>
  <c r="K13" i="15"/>
  <c r="K27" i="11"/>
  <c r="J27" s="1"/>
  <c r="U36" i="214" s="1"/>
  <c r="J25" i="11"/>
  <c r="S36" i="214" s="1"/>
  <c r="J13" i="11"/>
  <c r="J17"/>
  <c r="J36" i="214" s="1"/>
  <c r="K21" i="11"/>
  <c r="J21" s="1"/>
  <c r="P36" i="214" s="1"/>
  <c r="D37"/>
  <c r="Z37" s="1"/>
  <c r="J29" i="22"/>
  <c r="K29"/>
  <c r="K34" i="214"/>
  <c r="E15" i="247"/>
  <c r="D113" i="15"/>
  <c r="D85" i="5"/>
  <c r="E9" i="247"/>
  <c r="B27"/>
  <c r="E67" i="285"/>
  <c r="C27" i="49"/>
  <c r="D12" i="5"/>
  <c r="C35" i="137"/>
  <c r="C106" s="1"/>
  <c r="J13" i="5" l="1"/>
  <c r="K21"/>
  <c r="J21" s="1"/>
  <c r="P34" i="214" s="1"/>
  <c r="J17" i="5"/>
  <c r="J34" i="214" s="1"/>
  <c r="K27" i="5"/>
  <c r="J27" s="1"/>
  <c r="U34" i="214" s="1"/>
  <c r="J25" i="5"/>
  <c r="S34" i="214" s="1"/>
  <c r="J13" i="15"/>
  <c r="J17"/>
  <c r="J35" i="214" s="1"/>
  <c r="K21" i="15"/>
  <c r="J21" s="1"/>
  <c r="P35" i="214" s="1"/>
  <c r="J25" i="15"/>
  <c r="S35" i="214" s="1"/>
  <c r="K27" i="15"/>
  <c r="J27" s="1"/>
  <c r="U35" i="214" s="1"/>
  <c r="D36"/>
  <c r="Z36" s="1"/>
  <c r="J30" i="11"/>
  <c r="K30"/>
  <c r="C40" i="27"/>
  <c r="E40" s="1"/>
  <c r="J109" i="22"/>
  <c r="B7" i="249"/>
  <c r="E27" i="247"/>
  <c r="D30" i="5"/>
  <c r="D133" s="1"/>
  <c r="N34" i="202"/>
  <c r="B48" i="111"/>
  <c r="F32"/>
  <c r="B32"/>
  <c r="E33" i="313"/>
  <c r="D33"/>
  <c r="G36" i="27"/>
  <c r="H36" s="1"/>
  <c r="I88" i="9"/>
  <c r="D86"/>
  <c r="D85"/>
  <c r="D84"/>
  <c r="D83"/>
  <c r="D61"/>
  <c r="D60"/>
  <c r="D59"/>
  <c r="D58"/>
  <c r="D57"/>
  <c r="D56"/>
  <c r="D55"/>
  <c r="D54"/>
  <c r="D51"/>
  <c r="D49"/>
  <c r="D50"/>
  <c r="D48"/>
  <c r="D47"/>
  <c r="D46"/>
  <c r="D45"/>
  <c r="D44"/>
  <c r="D28"/>
  <c r="D19"/>
  <c r="D27"/>
  <c r="D26"/>
  <c r="D25"/>
  <c r="D24"/>
  <c r="D21"/>
  <c r="D18"/>
  <c r="D15"/>
  <c r="D14"/>
  <c r="D13"/>
  <c r="D12"/>
  <c r="C29" i="312"/>
  <c r="N33" i="202"/>
  <c r="P33" s="1"/>
  <c r="F38" i="109"/>
  <c r="B54"/>
  <c r="P40" i="27" l="1"/>
  <c r="H120" i="22"/>
  <c r="I120" s="1"/>
  <c r="S40" i="27" s="1"/>
  <c r="K109" i="22"/>
  <c r="L12" i="7"/>
  <c r="D34" i="214"/>
  <c r="Z34" s="1"/>
  <c r="J30" i="5"/>
  <c r="K30"/>
  <c r="D35" i="214"/>
  <c r="Z35" s="1"/>
  <c r="J30" i="15"/>
  <c r="K30"/>
  <c r="C39" i="27"/>
  <c r="E39" s="1"/>
  <c r="J112" i="11"/>
  <c r="B47" i="249"/>
  <c r="E7"/>
  <c r="E47" s="1"/>
  <c r="F50" i="111"/>
  <c r="K12" i="9" s="1"/>
  <c r="F54" i="109"/>
  <c r="K12" i="7" s="1"/>
  <c r="O34" i="202"/>
  <c r="B50" i="111"/>
  <c r="L12" i="9" s="1"/>
  <c r="C51" i="312"/>
  <c r="D88" i="9"/>
  <c r="D30"/>
  <c r="E26" i="297"/>
  <c r="AX40" i="27" l="1"/>
  <c r="V40"/>
  <c r="P39"/>
  <c r="J12" i="7"/>
  <c r="B32" i="214" s="1"/>
  <c r="K25" i="7"/>
  <c r="K32" i="214" s="1"/>
  <c r="K23" i="7"/>
  <c r="J23" s="1"/>
  <c r="Q32" i="214" s="1"/>
  <c r="K20" i="7"/>
  <c r="J20" s="1"/>
  <c r="N32" i="214" s="1"/>
  <c r="K27" i="7"/>
  <c r="J27" s="1"/>
  <c r="R32" i="214" s="1"/>
  <c r="K18" i="9"/>
  <c r="J18" s="1"/>
  <c r="N33" i="214" s="1"/>
  <c r="K24" i="9"/>
  <c r="J24" s="1"/>
  <c r="R33" i="214" s="1"/>
  <c r="K22" i="9"/>
  <c r="K33" i="214" s="1"/>
  <c r="K20" i="9"/>
  <c r="J20" s="1"/>
  <c r="Q33" i="214" s="1"/>
  <c r="J12" i="9"/>
  <c r="B33" i="214" s="1"/>
  <c r="H120" i="11"/>
  <c r="I120" s="1"/>
  <c r="S39" i="27" s="1"/>
  <c r="K112" i="11"/>
  <c r="K28" i="7"/>
  <c r="K29"/>
  <c r="T32" i="214" s="1"/>
  <c r="K26" i="7"/>
  <c r="J26" s="1"/>
  <c r="L32" i="214" s="1"/>
  <c r="K16" i="7"/>
  <c r="J16" s="1"/>
  <c r="G32" i="214" s="1"/>
  <c r="K18" i="7"/>
  <c r="J18" s="1"/>
  <c r="I32" i="214" s="1"/>
  <c r="K19" i="7"/>
  <c r="K13"/>
  <c r="K17"/>
  <c r="J17" s="1"/>
  <c r="H32" i="214" s="1"/>
  <c r="K26" i="9"/>
  <c r="T33" i="214" s="1"/>
  <c r="K25" i="9"/>
  <c r="K16"/>
  <c r="J16" s="1"/>
  <c r="I33" i="214" s="1"/>
  <c r="K23" i="9"/>
  <c r="J23" s="1"/>
  <c r="L33" i="214" s="1"/>
  <c r="K14" i="9"/>
  <c r="J14" s="1"/>
  <c r="G33" i="214" s="1"/>
  <c r="K17" i="9"/>
  <c r="K15"/>
  <c r="J15" s="1"/>
  <c r="H33" i="214" s="1"/>
  <c r="K13" i="9"/>
  <c r="J133" i="5"/>
  <c r="C37" i="27"/>
  <c r="E37" s="1"/>
  <c r="C38"/>
  <c r="E38" s="1"/>
  <c r="J113" i="15"/>
  <c r="AA34" i="202"/>
  <c r="Z34"/>
  <c r="P34"/>
  <c r="D127" i="9"/>
  <c r="F24" i="297"/>
  <c r="D24"/>
  <c r="C24"/>
  <c r="E18"/>
  <c r="D18"/>
  <c r="C18"/>
  <c r="F13"/>
  <c r="F12"/>
  <c r="F11"/>
  <c r="D10"/>
  <c r="D14" s="1"/>
  <c r="C10"/>
  <c r="C14" s="1"/>
  <c r="G35" i="27"/>
  <c r="H35" s="1"/>
  <c r="D83" i="7"/>
  <c r="D82"/>
  <c r="D81"/>
  <c r="D80"/>
  <c r="D61"/>
  <c r="D60"/>
  <c r="D59"/>
  <c r="D55"/>
  <c r="D54"/>
  <c r="D53"/>
  <c r="D52"/>
  <c r="D51"/>
  <c r="D50"/>
  <c r="D48"/>
  <c r="D47"/>
  <c r="D46"/>
  <c r="D45"/>
  <c r="D44"/>
  <c r="D31"/>
  <c r="D21"/>
  <c r="D30"/>
  <c r="D29"/>
  <c r="D28"/>
  <c r="D27"/>
  <c r="D24"/>
  <c r="D22"/>
  <c r="D20"/>
  <c r="D17"/>
  <c r="D16"/>
  <c r="D15"/>
  <c r="D14"/>
  <c r="D13"/>
  <c r="D12"/>
  <c r="D24" i="296"/>
  <c r="AX39" i="27" l="1"/>
  <c r="V39"/>
  <c r="P38"/>
  <c r="P37"/>
  <c r="H144" i="5"/>
  <c r="I144" s="1"/>
  <c r="S37" i="27" s="1"/>
  <c r="K133" i="5"/>
  <c r="S38" i="27"/>
  <c r="K113" i="15"/>
  <c r="K30" i="7"/>
  <c r="J30" s="1"/>
  <c r="U32" i="214" s="1"/>
  <c r="J28" i="7"/>
  <c r="S32" i="214" s="1"/>
  <c r="K24" i="7"/>
  <c r="J24" s="1"/>
  <c r="P32" i="214" s="1"/>
  <c r="J19" i="7"/>
  <c r="J32" i="214" s="1"/>
  <c r="J13" i="7"/>
  <c r="J17" i="9"/>
  <c r="J33" i="214" s="1"/>
  <c r="K21" i="9"/>
  <c r="J21" s="1"/>
  <c r="P33" i="214" s="1"/>
  <c r="J25" i="9"/>
  <c r="S33" i="214" s="1"/>
  <c r="K27" i="9"/>
  <c r="J27" s="1"/>
  <c r="U33" i="214" s="1"/>
  <c r="J13" i="9"/>
  <c r="C26" i="297"/>
  <c r="F18"/>
  <c r="F14"/>
  <c r="F26" s="1"/>
  <c r="D227" i="296"/>
  <c r="F10" i="297"/>
  <c r="D26"/>
  <c r="D85" i="7"/>
  <c r="D34"/>
  <c r="O32" i="202"/>
  <c r="Z32" s="1"/>
  <c r="B68" i="108"/>
  <c r="E48" i="246"/>
  <c r="F47"/>
  <c r="F46"/>
  <c r="F45"/>
  <c r="F42"/>
  <c r="F41"/>
  <c r="F40"/>
  <c r="F39"/>
  <c r="F38"/>
  <c r="F37"/>
  <c r="F36"/>
  <c r="F35"/>
  <c r="F34"/>
  <c r="F33"/>
  <c r="F32"/>
  <c r="F31"/>
  <c r="F30"/>
  <c r="F29"/>
  <c r="F27"/>
  <c r="F26"/>
  <c r="F25"/>
  <c r="F24"/>
  <c r="F23"/>
  <c r="F22"/>
  <c r="F21"/>
  <c r="F20"/>
  <c r="F16"/>
  <c r="F15"/>
  <c r="F14"/>
  <c r="F13"/>
  <c r="F12"/>
  <c r="F10"/>
  <c r="F9"/>
  <c r="D8"/>
  <c r="D48" s="1"/>
  <c r="J34" i="27"/>
  <c r="K34" s="1"/>
  <c r="D111" i="14"/>
  <c r="D84"/>
  <c r="D83"/>
  <c r="D82"/>
  <c r="D81"/>
  <c r="D64"/>
  <c r="D59"/>
  <c r="D58"/>
  <c r="D57"/>
  <c r="D55"/>
  <c r="D54"/>
  <c r="D53"/>
  <c r="D52"/>
  <c r="D51"/>
  <c r="D50"/>
  <c r="D48"/>
  <c r="D47"/>
  <c r="D46"/>
  <c r="D45"/>
  <c r="D44"/>
  <c r="D29"/>
  <c r="D20"/>
  <c r="D28"/>
  <c r="D27"/>
  <c r="D26"/>
  <c r="D25"/>
  <c r="D22"/>
  <c r="D19"/>
  <c r="D16"/>
  <c r="D15"/>
  <c r="D14"/>
  <c r="D13"/>
  <c r="D12"/>
  <c r="D11"/>
  <c r="D125" i="146"/>
  <c r="F45" i="107"/>
  <c r="F23" i="251"/>
  <c r="F21"/>
  <c r="F20"/>
  <c r="F12"/>
  <c r="D11"/>
  <c r="D31" s="1"/>
  <c r="F10"/>
  <c r="C9"/>
  <c r="C31" s="1"/>
  <c r="F8"/>
  <c r="M33" i="27"/>
  <c r="N33" s="1"/>
  <c r="J33"/>
  <c r="K33" s="1"/>
  <c r="D69" i="12"/>
  <c r="D68"/>
  <c r="D67"/>
  <c r="D66"/>
  <c r="D60"/>
  <c r="D59"/>
  <c r="D57"/>
  <c r="D54"/>
  <c r="D53"/>
  <c r="D52"/>
  <c r="D51"/>
  <c r="D50"/>
  <c r="D49"/>
  <c r="G32" i="215"/>
  <c r="BG32" s="1"/>
  <c r="D47" i="12"/>
  <c r="D46"/>
  <c r="D45"/>
  <c r="D44"/>
  <c r="D43"/>
  <c r="AX38" i="27" l="1"/>
  <c r="V38"/>
  <c r="AX37"/>
  <c r="V37"/>
  <c r="K30" i="9"/>
  <c r="K31" i="214"/>
  <c r="L11" i="14"/>
  <c r="D32" i="214"/>
  <c r="Z32" s="1"/>
  <c r="J34" i="7"/>
  <c r="K34"/>
  <c r="D33" i="214"/>
  <c r="Z33" s="1"/>
  <c r="J30" i="9"/>
  <c r="D99" i="12"/>
  <c r="D71"/>
  <c r="F65" i="107"/>
  <c r="I47" i="12"/>
  <c r="I86" i="14"/>
  <c r="I58"/>
  <c r="F11" i="251"/>
  <c r="D103" i="7"/>
  <c r="AA32" i="202"/>
  <c r="G34" i="27"/>
  <c r="H34" s="1"/>
  <c r="D32" i="14"/>
  <c r="D86"/>
  <c r="D29" i="12"/>
  <c r="D20"/>
  <c r="D28"/>
  <c r="D27"/>
  <c r="D26"/>
  <c r="D25"/>
  <c r="D22"/>
  <c r="D19"/>
  <c r="D16"/>
  <c r="D15"/>
  <c r="D14"/>
  <c r="D13"/>
  <c r="D12"/>
  <c r="D11"/>
  <c r="C111" i="144"/>
  <c r="N30" i="202"/>
  <c r="O30"/>
  <c r="Z30" s="1"/>
  <c r="B46" i="106"/>
  <c r="E16" i="301"/>
  <c r="E15"/>
  <c r="E14"/>
  <c r="E13"/>
  <c r="J32" i="27"/>
  <c r="D113" i="6"/>
  <c r="R40" i="27" l="1"/>
  <c r="K32"/>
  <c r="H65" i="107"/>
  <c r="K11" i="12"/>
  <c r="K26" i="14"/>
  <c r="K24"/>
  <c r="J24" s="1"/>
  <c r="L31" i="214" s="1"/>
  <c r="K16" i="14"/>
  <c r="J16" s="1"/>
  <c r="H31" i="214" s="1"/>
  <c r="K15" i="14"/>
  <c r="J15" s="1"/>
  <c r="G31" i="214" s="1"/>
  <c r="K18" i="14"/>
  <c r="K27"/>
  <c r="T31" i="214" s="1"/>
  <c r="K12" i="14"/>
  <c r="K17"/>
  <c r="J17" s="1"/>
  <c r="I31" i="214" s="1"/>
  <c r="C35" i="27"/>
  <c r="E35" s="1"/>
  <c r="J103" i="7"/>
  <c r="C36" i="27"/>
  <c r="E36" s="1"/>
  <c r="J127" i="9"/>
  <c r="G33" i="27"/>
  <c r="H33" s="1"/>
  <c r="F71" i="106"/>
  <c r="AA30" i="202"/>
  <c r="P30"/>
  <c r="B71" i="106"/>
  <c r="D31" i="12"/>
  <c r="D107" s="1"/>
  <c r="D117" i="14"/>
  <c r="D84" i="6"/>
  <c r="D83"/>
  <c r="D82"/>
  <c r="D65"/>
  <c r="D61"/>
  <c r="D58"/>
  <c r="AD42" i="215"/>
  <c r="G93" i="213" s="1"/>
  <c r="P36" i="27" l="1"/>
  <c r="P35"/>
  <c r="H71" i="106"/>
  <c r="K11" i="6"/>
  <c r="K23" i="12"/>
  <c r="K30" i="214" s="1"/>
  <c r="K21" i="12"/>
  <c r="J21" s="1"/>
  <c r="Q30" i="214" s="1"/>
  <c r="K19" i="12"/>
  <c r="J19" s="1"/>
  <c r="N30" i="214" s="1"/>
  <c r="J11" i="12"/>
  <c r="K25"/>
  <c r="J25" s="1"/>
  <c r="R30" i="214" s="1"/>
  <c r="H139" i="9"/>
  <c r="I139" s="1"/>
  <c r="S36" i="27" s="1"/>
  <c r="K127" i="9"/>
  <c r="H114" i="7"/>
  <c r="I114" s="1"/>
  <c r="S35" i="27" s="1"/>
  <c r="K103" i="7"/>
  <c r="L11" i="6"/>
  <c r="K28" i="14"/>
  <c r="J28" s="1"/>
  <c r="U31" i="214" s="1"/>
  <c r="J26" i="14"/>
  <c r="S31" i="214" s="1"/>
  <c r="K22" i="14"/>
  <c r="J22" s="1"/>
  <c r="P31" i="214" s="1"/>
  <c r="J18" i="14"/>
  <c r="J31" i="214" s="1"/>
  <c r="J12" i="14"/>
  <c r="H72" i="106"/>
  <c r="D59" i="6"/>
  <c r="AX35" i="27" l="1"/>
  <c r="V35"/>
  <c r="AX36"/>
  <c r="V36"/>
  <c r="K31" i="12"/>
  <c r="B30" i="214"/>
  <c r="Z30" s="1"/>
  <c r="J31" i="12"/>
  <c r="K19" i="6"/>
  <c r="J19" s="1"/>
  <c r="N29" i="214" s="1"/>
  <c r="K23" i="6"/>
  <c r="K29" i="214" s="1"/>
  <c r="J11" i="6"/>
  <c r="B29" i="214" s="1"/>
  <c r="K25" i="6"/>
  <c r="J25" s="1"/>
  <c r="R29" i="214" s="1"/>
  <c r="K21" i="6"/>
  <c r="J21" s="1"/>
  <c r="Q29" i="214" s="1"/>
  <c r="K24" i="6"/>
  <c r="J24" s="1"/>
  <c r="L29" i="214" s="1"/>
  <c r="K18" i="6"/>
  <c r="K27"/>
  <c r="T29" i="214" s="1"/>
  <c r="K16" i="6"/>
  <c r="J16" s="1"/>
  <c r="H29" i="214" s="1"/>
  <c r="K12" i="6"/>
  <c r="K15"/>
  <c r="J15" s="1"/>
  <c r="G29" i="214" s="1"/>
  <c r="K17" i="6"/>
  <c r="J17" s="1"/>
  <c r="I29" i="214" s="1"/>
  <c r="K26" i="6"/>
  <c r="K32" i="14"/>
  <c r="D31" i="214"/>
  <c r="Z31" s="1"/>
  <c r="J32" i="14"/>
  <c r="S34" i="27"/>
  <c r="S33"/>
  <c r="D55" i="6"/>
  <c r="D52"/>
  <c r="D54"/>
  <c r="D53"/>
  <c r="D51"/>
  <c r="D50"/>
  <c r="I48"/>
  <c r="D48"/>
  <c r="D47"/>
  <c r="D46"/>
  <c r="D45"/>
  <c r="D44"/>
  <c r="D29"/>
  <c r="D20"/>
  <c r="D28"/>
  <c r="D27"/>
  <c r="D26"/>
  <c r="D25"/>
  <c r="D22"/>
  <c r="D19"/>
  <c r="D16"/>
  <c r="D15"/>
  <c r="D14"/>
  <c r="D13"/>
  <c r="D12"/>
  <c r="D11"/>
  <c r="J107" i="12" l="1"/>
  <c r="K107" s="1"/>
  <c r="C33" i="27"/>
  <c r="E33" s="1"/>
  <c r="K28" i="6"/>
  <c r="J28" s="1"/>
  <c r="U29" i="214" s="1"/>
  <c r="J26" i="6"/>
  <c r="S29" i="214" s="1"/>
  <c r="J12" i="6"/>
  <c r="K22"/>
  <c r="J22" s="1"/>
  <c r="P29" i="214" s="1"/>
  <c r="J18" i="6"/>
  <c r="J29" i="214" s="1"/>
  <c r="D27" i="146"/>
  <c r="D150" s="1"/>
  <c r="C34" i="27"/>
  <c r="E34" s="1"/>
  <c r="J117" i="14"/>
  <c r="C8" i="246"/>
  <c r="D31" i="6"/>
  <c r="G31" i="215"/>
  <c r="BG31" s="1"/>
  <c r="D86" i="6"/>
  <c r="B58" i="300"/>
  <c r="B57"/>
  <c r="B55"/>
  <c r="B42"/>
  <c r="B41"/>
  <c r="B35"/>
  <c r="B32"/>
  <c r="B31"/>
  <c r="N29" i="202"/>
  <c r="O29"/>
  <c r="Z29" s="1"/>
  <c r="B54" i="105"/>
  <c r="D20" i="305"/>
  <c r="C20"/>
  <c r="B20"/>
  <c r="D16"/>
  <c r="C16"/>
  <c r="B16"/>
  <c r="E11"/>
  <c r="P33" i="27" l="1"/>
  <c r="P34"/>
  <c r="H126" i="14"/>
  <c r="I126" s="1"/>
  <c r="K117"/>
  <c r="J31" i="6"/>
  <c r="D29" i="214"/>
  <c r="Z29" s="1"/>
  <c r="K31" i="6"/>
  <c r="C48" i="246"/>
  <c r="F8"/>
  <c r="F48" s="1"/>
  <c r="F105" i="105"/>
  <c r="B68" i="300"/>
  <c r="D119" i="6"/>
  <c r="E16" i="305"/>
  <c r="AA29" i="202"/>
  <c r="P29"/>
  <c r="B105" i="105"/>
  <c r="G32" i="27"/>
  <c r="H32" s="1"/>
  <c r="G42" i="215"/>
  <c r="G56" s="1"/>
  <c r="D69" i="32"/>
  <c r="D68"/>
  <c r="D67"/>
  <c r="D66"/>
  <c r="D61"/>
  <c r="AX34" i="27" l="1"/>
  <c r="V34"/>
  <c r="AX33"/>
  <c r="V33"/>
  <c r="K11" i="32"/>
  <c r="L11"/>
  <c r="C32" i="27"/>
  <c r="J119" i="6"/>
  <c r="B10" i="301"/>
  <c r="I86" i="6"/>
  <c r="D60" i="32"/>
  <c r="D59"/>
  <c r="D62"/>
  <c r="D58"/>
  <c r="D55"/>
  <c r="O30" i="215"/>
  <c r="O42" s="1"/>
  <c r="O56" s="1"/>
  <c r="I52" i="32"/>
  <c r="D52"/>
  <c r="D54"/>
  <c r="D53"/>
  <c r="D51"/>
  <c r="I30" i="215"/>
  <c r="I42" s="1"/>
  <c r="I56" s="1"/>
  <c r="I50" i="32"/>
  <c r="D50"/>
  <c r="D48"/>
  <c r="D47"/>
  <c r="D46"/>
  <c r="D45"/>
  <c r="D44"/>
  <c r="D29"/>
  <c r="D20"/>
  <c r="D28"/>
  <c r="D27"/>
  <c r="D26"/>
  <c r="D25"/>
  <c r="D22"/>
  <c r="D19"/>
  <c r="D16"/>
  <c r="D15"/>
  <c r="D14"/>
  <c r="D13"/>
  <c r="D12"/>
  <c r="D11"/>
  <c r="G43" i="304"/>
  <c r="G37"/>
  <c r="N28" i="202"/>
  <c r="I66" i="104"/>
  <c r="P32" i="27" l="1"/>
  <c r="E32"/>
  <c r="K25" i="32"/>
  <c r="J25" s="1"/>
  <c r="R28" i="214" s="1"/>
  <c r="K23" i="32"/>
  <c r="K28" i="214" s="1"/>
  <c r="K21" i="32"/>
  <c r="J21" s="1"/>
  <c r="Q28" i="214" s="1"/>
  <c r="K19" i="32"/>
  <c r="J19" s="1"/>
  <c r="N28" i="214" s="1"/>
  <c r="J11" i="32"/>
  <c r="B28" i="214" s="1"/>
  <c r="H127" i="6"/>
  <c r="I127" s="1"/>
  <c r="S32" i="27" s="1"/>
  <c r="K119" i="6"/>
  <c r="K18" i="32"/>
  <c r="K16"/>
  <c r="J16" s="1"/>
  <c r="H28" i="214" s="1"/>
  <c r="K12" i="32"/>
  <c r="K27"/>
  <c r="T28" i="214" s="1"/>
  <c r="K15" i="32"/>
  <c r="J15" s="1"/>
  <c r="G28" i="214" s="1"/>
  <c r="K24" i="32"/>
  <c r="J24" s="1"/>
  <c r="L28" i="214" s="1"/>
  <c r="K26" i="32"/>
  <c r="K17"/>
  <c r="J17" s="1"/>
  <c r="I28" i="214" s="1"/>
  <c r="D71" i="32"/>
  <c r="B116" i="104"/>
  <c r="L11" i="20" s="1"/>
  <c r="F116" i="104"/>
  <c r="H116" s="1"/>
  <c r="I46" i="32"/>
  <c r="G44" i="304"/>
  <c r="D30" i="215"/>
  <c r="BG30" s="1"/>
  <c r="O28" i="202"/>
  <c r="D31" i="32"/>
  <c r="E29" i="231"/>
  <c r="D29"/>
  <c r="F27"/>
  <c r="F26"/>
  <c r="F25"/>
  <c r="F24"/>
  <c r="F23"/>
  <c r="F22"/>
  <c r="F21"/>
  <c r="F20"/>
  <c r="F19"/>
  <c r="F18"/>
  <c r="F17"/>
  <c r="F16"/>
  <c r="F15"/>
  <c r="F14"/>
  <c r="F13"/>
  <c r="F12"/>
  <c r="F11"/>
  <c r="F8"/>
  <c r="K16" i="20" l="1"/>
  <c r="J16" s="1"/>
  <c r="H27" i="214" s="1"/>
  <c r="H40" s="1"/>
  <c r="H57" s="1"/>
  <c r="L104" i="48" s="1"/>
  <c r="K17" i="20"/>
  <c r="J17" s="1"/>
  <c r="I27" i="214" s="1"/>
  <c r="I40" s="1"/>
  <c r="G40" i="213" s="1"/>
  <c r="AX32" i="27"/>
  <c r="V32"/>
  <c r="K11" i="20"/>
  <c r="K19" s="1"/>
  <c r="K28" i="32"/>
  <c r="J28" s="1"/>
  <c r="U28" i="214" s="1"/>
  <c r="J26" i="32"/>
  <c r="S28" i="214" s="1"/>
  <c r="J12" i="32"/>
  <c r="K22"/>
  <c r="J22" s="1"/>
  <c r="P28" i="214" s="1"/>
  <c r="J18" i="32"/>
  <c r="J28" i="214" s="1"/>
  <c r="K12" i="20"/>
  <c r="K28"/>
  <c r="T27" i="214" s="1"/>
  <c r="K27" i="20"/>
  <c r="K18"/>
  <c r="K25"/>
  <c r="J25" s="1"/>
  <c r="L27" i="214" s="1"/>
  <c r="K15" i="20"/>
  <c r="J15" s="1"/>
  <c r="G27" i="214" s="1"/>
  <c r="H117" i="104"/>
  <c r="AA28" i="202"/>
  <c r="P28" s="1"/>
  <c r="Z28"/>
  <c r="F29" i="231"/>
  <c r="D42" i="215"/>
  <c r="K24" i="20" l="1"/>
  <c r="K27" i="214" s="1"/>
  <c r="J11" i="20"/>
  <c r="B27" i="214" s="1"/>
  <c r="B40" s="1"/>
  <c r="K26" i="20"/>
  <c r="J26" s="1"/>
  <c r="R27" i="214" s="1"/>
  <c r="R40" s="1"/>
  <c r="K22" i="20"/>
  <c r="J22" s="1"/>
  <c r="Q27" i="214" s="1"/>
  <c r="Q40" s="1"/>
  <c r="J19" i="20"/>
  <c r="N27" i="214" s="1"/>
  <c r="D28"/>
  <c r="Z28" s="1"/>
  <c r="J31" i="32"/>
  <c r="K31"/>
  <c r="J18" i="20"/>
  <c r="J27" i="214" s="1"/>
  <c r="K23" i="20"/>
  <c r="J23" s="1"/>
  <c r="P27" i="214" s="1"/>
  <c r="J12" i="20"/>
  <c r="J27"/>
  <c r="S27" i="214" s="1"/>
  <c r="K29" i="20"/>
  <c r="J29" s="1"/>
  <c r="U27" i="214" s="1"/>
  <c r="J30" i="27"/>
  <c r="K30" s="1"/>
  <c r="D88" i="20"/>
  <c r="D94" s="1"/>
  <c r="AY29" i="215"/>
  <c r="BG29" s="1"/>
  <c r="I66" i="20"/>
  <c r="D66"/>
  <c r="D65"/>
  <c r="D64"/>
  <c r="D61"/>
  <c r="D60"/>
  <c r="D58"/>
  <c r="D56"/>
  <c r="D55"/>
  <c r="D53"/>
  <c r="D52"/>
  <c r="D51"/>
  <c r="D50"/>
  <c r="D47"/>
  <c r="D46"/>
  <c r="D45"/>
  <c r="D44"/>
  <c r="D30"/>
  <c r="D20"/>
  <c r="D29"/>
  <c r="D28"/>
  <c r="D27"/>
  <c r="D26"/>
  <c r="D23"/>
  <c r="D21"/>
  <c r="D19"/>
  <c r="D16"/>
  <c r="D15"/>
  <c r="D14"/>
  <c r="D13"/>
  <c r="D12"/>
  <c r="D11"/>
  <c r="C92" i="165"/>
  <c r="C64"/>
  <c r="C60"/>
  <c r="N21" i="202"/>
  <c r="P21" s="1"/>
  <c r="B48" i="103"/>
  <c r="O21" i="202" s="1"/>
  <c r="F36" i="103"/>
  <c r="B36"/>
  <c r="J134" i="32" l="1"/>
  <c r="C31" i="27"/>
  <c r="E31" s="1"/>
  <c r="D27" i="214"/>
  <c r="Z27" s="1"/>
  <c r="J32" i="20"/>
  <c r="C7" i="231" s="1"/>
  <c r="K32" i="20"/>
  <c r="D68"/>
  <c r="AA21" i="202"/>
  <c r="Z21"/>
  <c r="B50" i="103"/>
  <c r="L12" i="23" s="1"/>
  <c r="F50" i="103"/>
  <c r="K12" i="23" s="1"/>
  <c r="I103" i="20"/>
  <c r="D32"/>
  <c r="AY42" i="215"/>
  <c r="BG42"/>
  <c r="J22" i="27"/>
  <c r="K22" s="1"/>
  <c r="D83" i="23"/>
  <c r="D86" s="1"/>
  <c r="D61"/>
  <c r="D60"/>
  <c r="D59"/>
  <c r="D56"/>
  <c r="D54"/>
  <c r="D51"/>
  <c r="D49"/>
  <c r="D48"/>
  <c r="D47"/>
  <c r="D46"/>
  <c r="D45"/>
  <c r="D44"/>
  <c r="D28"/>
  <c r="D27"/>
  <c r="D26"/>
  <c r="D25"/>
  <c r="D24"/>
  <c r="D21"/>
  <c r="D16"/>
  <c r="D15"/>
  <c r="D14"/>
  <c r="D13"/>
  <c r="D12"/>
  <c r="J12" l="1"/>
  <c r="B20" i="214" s="1"/>
  <c r="K24" i="23"/>
  <c r="J24" s="1"/>
  <c r="R20" i="214" s="1"/>
  <c r="K20" i="23"/>
  <c r="J20" s="1"/>
  <c r="Q20" i="214" s="1"/>
  <c r="K22" i="23"/>
  <c r="K20" i="214" s="1"/>
  <c r="K18" i="23"/>
  <c r="K16"/>
  <c r="J16" s="1"/>
  <c r="G20" i="214" s="1"/>
  <c r="K23" i="23"/>
  <c r="J23" s="1"/>
  <c r="L20" i="214" s="1"/>
  <c r="K13" i="23"/>
  <c r="K26"/>
  <c r="T20" i="214" s="1"/>
  <c r="K25" i="23"/>
  <c r="J144" i="20"/>
  <c r="K144" s="1"/>
  <c r="C30" i="27"/>
  <c r="E30" s="1"/>
  <c r="G22"/>
  <c r="H22" s="1"/>
  <c r="D144" i="20"/>
  <c r="D30" i="23"/>
  <c r="D63"/>
  <c r="K21" l="1"/>
  <c r="J21" s="1"/>
  <c r="P20" i="214" s="1"/>
  <c r="J18" i="23"/>
  <c r="J20" i="214" s="1"/>
  <c r="K27" i="23"/>
  <c r="J27" s="1"/>
  <c r="U20" i="214" s="1"/>
  <c r="J25" i="23"/>
  <c r="S20" i="214" s="1"/>
  <c r="J13" i="23"/>
  <c r="D94"/>
  <c r="E116" i="290"/>
  <c r="M30" i="27"/>
  <c r="O11" i="202"/>
  <c r="Z11" s="1"/>
  <c r="M42" i="27" l="1"/>
  <c r="N30"/>
  <c r="K30" i="23"/>
  <c r="J30"/>
  <c r="D20" i="214"/>
  <c r="Z20" s="1"/>
  <c r="AA11" i="202"/>
  <c r="N7" i="272"/>
  <c r="B39" i="88"/>
  <c r="E23" i="325"/>
  <c r="O7" i="272"/>
  <c r="P7" s="1"/>
  <c r="I63" i="21"/>
  <c r="D61"/>
  <c r="D54"/>
  <c r="AD24" i="215"/>
  <c r="D46" i="21"/>
  <c r="D45"/>
  <c r="D44"/>
  <c r="D43"/>
  <c r="C22" i="27" l="1"/>
  <c r="J94" i="23"/>
  <c r="K94" s="1"/>
  <c r="E8" i="291"/>
  <c r="L12" i="21"/>
  <c r="I56"/>
  <c r="J13" i="27"/>
  <c r="K13" s="1"/>
  <c r="D7" i="278"/>
  <c r="D28" s="1"/>
  <c r="H23" i="325"/>
  <c r="E36"/>
  <c r="H36" s="1"/>
  <c r="D56" i="21"/>
  <c r="E93" i="213"/>
  <c r="F39" i="88"/>
  <c r="K12" i="21" s="1"/>
  <c r="Z7" i="272"/>
  <c r="AA7"/>
  <c r="D63" i="21"/>
  <c r="D27"/>
  <c r="D18"/>
  <c r="D16"/>
  <c r="D15"/>
  <c r="D14"/>
  <c r="D13"/>
  <c r="D12"/>
  <c r="C37" i="299"/>
  <c r="F46" i="101"/>
  <c r="N20" i="202" s="1"/>
  <c r="P20" s="1"/>
  <c r="B46" i="101"/>
  <c r="O20" i="202" s="1"/>
  <c r="F35" i="101"/>
  <c r="B35"/>
  <c r="P22" i="27" l="1"/>
  <c r="E22"/>
  <c r="S22"/>
  <c r="J104" i="23"/>
  <c r="J105" s="1"/>
  <c r="E22" i="291"/>
  <c r="H8"/>
  <c r="K21" i="21"/>
  <c r="K11" i="214" s="1"/>
  <c r="J12" i="21"/>
  <c r="K17"/>
  <c r="K22"/>
  <c r="J22" s="1"/>
  <c r="L11" i="214" s="1"/>
  <c r="K24" i="21"/>
  <c r="K13"/>
  <c r="J13" s="1"/>
  <c r="K25"/>
  <c r="T11" i="214" s="1"/>
  <c r="K16" i="21"/>
  <c r="J16" s="1"/>
  <c r="K19"/>
  <c r="J19" s="1"/>
  <c r="Q11" i="214" s="1"/>
  <c r="K23" i="21"/>
  <c r="J23" s="1"/>
  <c r="R11" i="214" s="1"/>
  <c r="D29" i="21"/>
  <c r="D68" s="1"/>
  <c r="AA20" i="202"/>
  <c r="Z20"/>
  <c r="B48" i="101"/>
  <c r="L12" i="18" s="1"/>
  <c r="M21" i="27"/>
  <c r="N21" s="1"/>
  <c r="I94" i="18"/>
  <c r="C19" i="49" l="1"/>
  <c r="V22" i="27"/>
  <c r="AX22"/>
  <c r="K17" i="18"/>
  <c r="K13"/>
  <c r="K16"/>
  <c r="J16" s="1"/>
  <c r="G19" i="214" s="1"/>
  <c r="K25" i="18"/>
  <c r="K26"/>
  <c r="T19" i="214" s="1"/>
  <c r="K23" i="18"/>
  <c r="J23" s="1"/>
  <c r="L19" i="214" s="1"/>
  <c r="O21" i="21"/>
  <c r="O23"/>
  <c r="B11" i="214"/>
  <c r="K26" i="21"/>
  <c r="J26" s="1"/>
  <c r="U11" i="214" s="1"/>
  <c r="J24" i="21"/>
  <c r="S11" i="214" s="1"/>
  <c r="K20" i="21"/>
  <c r="J20" s="1"/>
  <c r="P11" i="214" s="1"/>
  <c r="J17" i="21"/>
  <c r="J11" i="214" s="1"/>
  <c r="D11"/>
  <c r="G11"/>
  <c r="I103" i="18"/>
  <c r="D85"/>
  <c r="D81"/>
  <c r="I62"/>
  <c r="D60"/>
  <c r="D57"/>
  <c r="D56"/>
  <c r="D52"/>
  <c r="D58"/>
  <c r="D50"/>
  <c r="D49"/>
  <c r="D47"/>
  <c r="D46"/>
  <c r="D45"/>
  <c r="D44"/>
  <c r="D28"/>
  <c r="D18"/>
  <c r="D27"/>
  <c r="D26"/>
  <c r="D25"/>
  <c r="D24"/>
  <c r="D21"/>
  <c r="K21" l="1"/>
  <c r="J21" s="1"/>
  <c r="P19" i="214" s="1"/>
  <c r="J17" i="18"/>
  <c r="J19" i="214" s="1"/>
  <c r="J13" i="18"/>
  <c r="J25"/>
  <c r="S19" i="214" s="1"/>
  <c r="K27" i="18"/>
  <c r="J27" s="1"/>
  <c r="U19" i="214" s="1"/>
  <c r="D94" i="18"/>
  <c r="K29" i="21"/>
  <c r="J29"/>
  <c r="C13" i="27" s="1"/>
  <c r="E13" s="1"/>
  <c r="Z11" i="214"/>
  <c r="G21" i="27"/>
  <c r="H21" s="1"/>
  <c r="D62" i="18"/>
  <c r="D19"/>
  <c r="D16"/>
  <c r="D15"/>
  <c r="D14"/>
  <c r="D13"/>
  <c r="D12"/>
  <c r="D19" i="214" l="1"/>
  <c r="J68" i="21"/>
  <c r="K68" s="1"/>
  <c r="B7" i="278"/>
  <c r="B28" s="1"/>
  <c r="D30" i="18"/>
  <c r="D106" s="1"/>
  <c r="F57" i="102"/>
  <c r="K12" i="25" s="1"/>
  <c r="B38" i="102"/>
  <c r="B57" s="1"/>
  <c r="L12" i="25" s="1"/>
  <c r="E15" i="262"/>
  <c r="E14"/>
  <c r="E13"/>
  <c r="D11"/>
  <c r="B11"/>
  <c r="B21" s="1"/>
  <c r="C10"/>
  <c r="E10" s="1"/>
  <c r="C9"/>
  <c r="E9" s="1"/>
  <c r="C8"/>
  <c r="J98" i="25"/>
  <c r="D98"/>
  <c r="T20" i="27" s="1"/>
  <c r="J20"/>
  <c r="K20" s="1"/>
  <c r="D83" i="25"/>
  <c r="D92" s="1"/>
  <c r="D64"/>
  <c r="D60"/>
  <c r="D59"/>
  <c r="D56"/>
  <c r="D55"/>
  <c r="D61"/>
  <c r="D54"/>
  <c r="D51"/>
  <c r="D50"/>
  <c r="D49"/>
  <c r="D20" i="215"/>
  <c r="BG20" s="1"/>
  <c r="D46" i="25"/>
  <c r="D45"/>
  <c r="D44"/>
  <c r="D28"/>
  <c r="D18"/>
  <c r="D27"/>
  <c r="D26"/>
  <c r="D25"/>
  <c r="D24"/>
  <c r="D21"/>
  <c r="D19"/>
  <c r="D16"/>
  <c r="D15"/>
  <c r="D14"/>
  <c r="D13"/>
  <c r="D12"/>
  <c r="C415" i="258"/>
  <c r="C538" s="1"/>
  <c r="B42" i="100"/>
  <c r="F19" i="261"/>
  <c r="C16"/>
  <c r="F14"/>
  <c r="B12"/>
  <c r="F12" s="1"/>
  <c r="F10"/>
  <c r="K22" i="25" l="1"/>
  <c r="K18" i="214" s="1"/>
  <c r="J12" i="25"/>
  <c r="B18" i="214" s="1"/>
  <c r="K20" i="25"/>
  <c r="J20" s="1"/>
  <c r="Q18" i="214" s="1"/>
  <c r="K24" i="25"/>
  <c r="J24" s="1"/>
  <c r="R18" i="214" s="1"/>
  <c r="K16" i="25"/>
  <c r="J16" s="1"/>
  <c r="K25"/>
  <c r="K17"/>
  <c r="K23"/>
  <c r="J23" s="1"/>
  <c r="L18" i="214" s="1"/>
  <c r="K26" i="25"/>
  <c r="T18" i="214" s="1"/>
  <c r="K13" i="25"/>
  <c r="J13" s="1"/>
  <c r="G20" i="27"/>
  <c r="H20" s="1"/>
  <c r="H57" i="102"/>
  <c r="H59"/>
  <c r="D24" i="215"/>
  <c r="B65" i="100"/>
  <c r="B16" i="261"/>
  <c r="F65" i="100"/>
  <c r="K11" i="31" s="1"/>
  <c r="D30" i="25"/>
  <c r="F16" i="261"/>
  <c r="F39" s="1"/>
  <c r="D65" i="25"/>
  <c r="E8" i="262"/>
  <c r="M19" i="27"/>
  <c r="N19" s="1"/>
  <c r="D60" i="31"/>
  <c r="D59"/>
  <c r="D55"/>
  <c r="D53"/>
  <c r="D54"/>
  <c r="D52"/>
  <c r="D49"/>
  <c r="D48"/>
  <c r="D47"/>
  <c r="D46"/>
  <c r="D45"/>
  <c r="D27"/>
  <c r="D17"/>
  <c r="D26"/>
  <c r="D25"/>
  <c r="D24"/>
  <c r="D23"/>
  <c r="D20"/>
  <c r="K21" l="1"/>
  <c r="K19"/>
  <c r="J19" s="1"/>
  <c r="K23"/>
  <c r="J23" s="1"/>
  <c r="R17" i="214" s="1"/>
  <c r="J11" i="31"/>
  <c r="D62"/>
  <c r="K27" i="25"/>
  <c r="J27" s="1"/>
  <c r="U18" i="214" s="1"/>
  <c r="J25" i="25"/>
  <c r="S18" i="214" s="1"/>
  <c r="K21" i="25"/>
  <c r="J21" s="1"/>
  <c r="P18" i="214" s="1"/>
  <c r="J17" i="25"/>
  <c r="J18" i="214" s="1"/>
  <c r="D18"/>
  <c r="G18"/>
  <c r="H65" i="100"/>
  <c r="K17" i="214"/>
  <c r="L11" i="31"/>
  <c r="G19" i="27"/>
  <c r="H19" s="1"/>
  <c r="D100" i="25"/>
  <c r="D18" i="31"/>
  <c r="D15"/>
  <c r="D14"/>
  <c r="D13"/>
  <c r="D12"/>
  <c r="D11"/>
  <c r="K30" i="25" l="1"/>
  <c r="K24" i="31"/>
  <c r="K25"/>
  <c r="T17" i="214" s="1"/>
  <c r="K12" i="31"/>
  <c r="K22"/>
  <c r="J22" s="1"/>
  <c r="L17" i="214" s="1"/>
  <c r="K15" i="31"/>
  <c r="J15" s="1"/>
  <c r="K16"/>
  <c r="J30" i="25"/>
  <c r="Z18" i="214"/>
  <c r="B17"/>
  <c r="D29" i="31"/>
  <c r="F31" i="99"/>
  <c r="B31"/>
  <c r="B47" s="1"/>
  <c r="L11" i="30" s="1"/>
  <c r="D21" i="230"/>
  <c r="E16"/>
  <c r="A16"/>
  <c r="J92" i="30"/>
  <c r="K92" s="1"/>
  <c r="J18" i="27"/>
  <c r="K18" s="1"/>
  <c r="D59" i="30"/>
  <c r="D57"/>
  <c r="D55"/>
  <c r="D54"/>
  <c r="D53"/>
  <c r="D58"/>
  <c r="D52"/>
  <c r="D49"/>
  <c r="D48"/>
  <c r="D46"/>
  <c r="D45"/>
  <c r="D44"/>
  <c r="D27"/>
  <c r="D17"/>
  <c r="D26"/>
  <c r="D25"/>
  <c r="D24"/>
  <c r="D23"/>
  <c r="D20"/>
  <c r="D18"/>
  <c r="D15"/>
  <c r="D14"/>
  <c r="D13"/>
  <c r="D12"/>
  <c r="D11"/>
  <c r="K16" l="1"/>
  <c r="K25"/>
  <c r="T16" i="214" s="1"/>
  <c r="K24" i="30"/>
  <c r="K12"/>
  <c r="K15"/>
  <c r="J15" s="1"/>
  <c r="G16" i="214" s="1"/>
  <c r="K22" i="30"/>
  <c r="J22" s="1"/>
  <c r="L16" i="214" s="1"/>
  <c r="K20" i="31"/>
  <c r="J20" s="1"/>
  <c r="P17" i="214" s="1"/>
  <c r="J16" i="31"/>
  <c r="J17" i="214" s="1"/>
  <c r="J12" i="31"/>
  <c r="D17" i="214" s="1"/>
  <c r="K26" i="31"/>
  <c r="J26" s="1"/>
  <c r="U17" i="214" s="1"/>
  <c r="J24" i="31"/>
  <c r="S17" i="214" s="1"/>
  <c r="J100" i="25"/>
  <c r="C20" i="27"/>
  <c r="E20" s="1"/>
  <c r="Q17" i="214"/>
  <c r="G17"/>
  <c r="G18" i="27"/>
  <c r="H18" s="1"/>
  <c r="K62" i="30"/>
  <c r="K63" s="1"/>
  <c r="F47" i="99"/>
  <c r="K11" i="30" s="1"/>
  <c r="C8" i="230"/>
  <c r="D61" i="30"/>
  <c r="D29"/>
  <c r="J109" i="25" l="1"/>
  <c r="J110" s="1"/>
  <c r="K100"/>
  <c r="K23" i="30"/>
  <c r="J23" s="1"/>
  <c r="R16" i="214" s="1"/>
  <c r="K21" i="30"/>
  <c r="K16" i="214" s="1"/>
  <c r="K19" i="30"/>
  <c r="J19" s="1"/>
  <c r="Q16" i="214" s="1"/>
  <c r="J11" i="30"/>
  <c r="B16" i="214" s="1"/>
  <c r="K20" i="30"/>
  <c r="J20" s="1"/>
  <c r="P16" i="214" s="1"/>
  <c r="J16" i="30"/>
  <c r="J16" i="214" s="1"/>
  <c r="K26" i="30"/>
  <c r="J26" s="1"/>
  <c r="U16" i="214" s="1"/>
  <c r="J24" i="30"/>
  <c r="S16" i="214" s="1"/>
  <c r="J12" i="30"/>
  <c r="K29" i="31"/>
  <c r="H112" i="25"/>
  <c r="I112" s="1"/>
  <c r="S20" i="27" s="1"/>
  <c r="J29" i="31"/>
  <c r="Z17" i="214"/>
  <c r="D94" i="30"/>
  <c r="C21" i="230"/>
  <c r="BY52" i="225"/>
  <c r="BX52"/>
  <c r="BW52"/>
  <c r="BV52"/>
  <c r="BU52"/>
  <c r="BT52"/>
  <c r="BS52"/>
  <c r="BQ52"/>
  <c r="BP52"/>
  <c r="BO52"/>
  <c r="BN52"/>
  <c r="BH52"/>
  <c r="BG52"/>
  <c r="BF52"/>
  <c r="BE52"/>
  <c r="BM52"/>
  <c r="BD52"/>
  <c r="BC52"/>
  <c r="BB52"/>
  <c r="BA52"/>
  <c r="AZ52"/>
  <c r="AY52"/>
  <c r="AW52"/>
  <c r="AV52"/>
  <c r="AS52"/>
  <c r="AN52"/>
  <c r="AM52"/>
  <c r="AL52"/>
  <c r="AP52"/>
  <c r="AO52"/>
  <c r="AK52"/>
  <c r="BL52"/>
  <c r="BK52"/>
  <c r="BJ52"/>
  <c r="BI52"/>
  <c r="AI52"/>
  <c r="AF52"/>
  <c r="AE52"/>
  <c r="AC52"/>
  <c r="AA52"/>
  <c r="Z52"/>
  <c r="Y52"/>
  <c r="X52"/>
  <c r="W52"/>
  <c r="V52"/>
  <c r="U52"/>
  <c r="T52"/>
  <c r="R52"/>
  <c r="Q52"/>
  <c r="P52"/>
  <c r="O52"/>
  <c r="N52"/>
  <c r="M52"/>
  <c r="J52"/>
  <c r="H52"/>
  <c r="E52"/>
  <c r="D52"/>
  <c r="C52"/>
  <c r="E45" i="17"/>
  <c r="E66" s="1"/>
  <c r="E161" s="1"/>
  <c r="K29" i="30" l="1"/>
  <c r="J29"/>
  <c r="D16" i="214"/>
  <c r="Z16" s="1"/>
  <c r="J97" i="31"/>
  <c r="C19" i="27"/>
  <c r="B52" i="225"/>
  <c r="BX40"/>
  <c r="BW40"/>
  <c r="BV40"/>
  <c r="BU40"/>
  <c r="BT40"/>
  <c r="BS40"/>
  <c r="BQ40"/>
  <c r="BP40"/>
  <c r="BN40"/>
  <c r="BH40"/>
  <c r="BG40"/>
  <c r="BF40"/>
  <c r="BE40"/>
  <c r="BM40"/>
  <c r="BD40"/>
  <c r="BC40"/>
  <c r="BA40"/>
  <c r="AZ40"/>
  <c r="AY40"/>
  <c r="AW40"/>
  <c r="AV40"/>
  <c r="AS40"/>
  <c r="AN40"/>
  <c r="AM40"/>
  <c r="AL40"/>
  <c r="AP40"/>
  <c r="AO40"/>
  <c r="AK40"/>
  <c r="BL40"/>
  <c r="BK40"/>
  <c r="BJ40"/>
  <c r="BI40"/>
  <c r="AI40"/>
  <c r="AF40"/>
  <c r="AE40"/>
  <c r="AC40"/>
  <c r="AA40"/>
  <c r="Z40"/>
  <c r="Y40"/>
  <c r="X40"/>
  <c r="W40"/>
  <c r="V40"/>
  <c r="U40"/>
  <c r="T40"/>
  <c r="Q40"/>
  <c r="P40"/>
  <c r="O40"/>
  <c r="N40"/>
  <c r="M40"/>
  <c r="J40"/>
  <c r="H40"/>
  <c r="E40"/>
  <c r="D40"/>
  <c r="C40"/>
  <c r="D47" i="28"/>
  <c r="D69" s="1"/>
  <c r="D113" s="1"/>
  <c r="BO40" i="225"/>
  <c r="BB40"/>
  <c r="P19" i="27" l="1"/>
  <c r="E19"/>
  <c r="H105" i="31"/>
  <c r="I105" s="1"/>
  <c r="S19" i="27" s="1"/>
  <c r="K97" i="31"/>
  <c r="C18" i="27"/>
  <c r="E18" s="1"/>
  <c r="J94" i="30"/>
  <c r="B8" i="230"/>
  <c r="R40" i="225"/>
  <c r="AX19" i="27" l="1"/>
  <c r="V19"/>
  <c r="C17" i="49"/>
  <c r="H103" i="30"/>
  <c r="I103" s="1"/>
  <c r="S18" i="27" s="1"/>
  <c r="K94" i="30"/>
  <c r="B21" i="230"/>
  <c r="E8"/>
  <c r="E21" s="1"/>
  <c r="B40" i="225"/>
  <c r="BY54"/>
  <c r="BX54"/>
  <c r="BW54"/>
  <c r="BV54"/>
  <c r="BU54"/>
  <c r="BT54"/>
  <c r="BS54"/>
  <c r="BQ54"/>
  <c r="BP54"/>
  <c r="BN54"/>
  <c r="E184" i="48" s="1"/>
  <c r="BH54" i="225"/>
  <c r="E183" i="48" s="1"/>
  <c r="BG54" i="225"/>
  <c r="E182" i="48" s="1"/>
  <c r="BF54" i="225"/>
  <c r="E181" i="48" s="1"/>
  <c r="BE54" i="225"/>
  <c r="E180" i="48" s="1"/>
  <c r="BM54" i="225"/>
  <c r="E178" i="48" s="1"/>
  <c r="BD54" i="225"/>
  <c r="E176" i="48" s="1"/>
  <c r="BC54" i="225"/>
  <c r="E175" i="48" s="1"/>
  <c r="BB54" i="225"/>
  <c r="E174" i="48" s="1"/>
  <c r="BA54" i="225"/>
  <c r="E173" i="48" s="1"/>
  <c r="AZ54" i="225"/>
  <c r="E172" i="48" s="1"/>
  <c r="AY54" i="225"/>
  <c r="E171" i="48" s="1"/>
  <c r="AW54" i="225"/>
  <c r="E159" i="48" s="1"/>
  <c r="AV54" i="225"/>
  <c r="E158" i="48" s="1"/>
  <c r="AS54" i="225"/>
  <c r="E157" i="48" s="1"/>
  <c r="AN54" i="225"/>
  <c r="AM54"/>
  <c r="AL54"/>
  <c r="AK54"/>
  <c r="E154" i="48" s="1"/>
  <c r="BL54" i="225"/>
  <c r="E153" i="48" s="1"/>
  <c r="BK54" i="225"/>
  <c r="E152" i="48" s="1"/>
  <c r="BJ54" i="225"/>
  <c r="E150" i="48" s="1"/>
  <c r="BI54" i="225"/>
  <c r="E149" i="48" s="1"/>
  <c r="AI54" i="225"/>
  <c r="E148" i="48" s="1"/>
  <c r="AF54" i="225"/>
  <c r="E147" i="48" s="1"/>
  <c r="AE54" i="225"/>
  <c r="Z54"/>
  <c r="E144" i="48" s="1"/>
  <c r="Y54" i="225"/>
  <c r="E143" i="48" s="1"/>
  <c r="V54" i="225"/>
  <c r="E140" i="48" s="1"/>
  <c r="U54" i="225"/>
  <c r="E139" i="48" s="1"/>
  <c r="T54" i="225"/>
  <c r="E138" i="48" s="1"/>
  <c r="R54" i="225"/>
  <c r="E137" i="48" s="1"/>
  <c r="Q54" i="225"/>
  <c r="E136" i="48" s="1"/>
  <c r="P54" i="225"/>
  <c r="E135" i="48" s="1"/>
  <c r="O54" i="225"/>
  <c r="E134" i="48" s="1"/>
  <c r="N54" i="225"/>
  <c r="E133" i="48" s="1"/>
  <c r="M54" i="225"/>
  <c r="E132" i="48" s="1"/>
  <c r="H54" i="225"/>
  <c r="E130" i="48" s="1"/>
  <c r="E54" i="225"/>
  <c r="D54"/>
  <c r="C54"/>
  <c r="D97" i="31"/>
  <c r="E156" i="48" l="1"/>
  <c r="AC54" i="225"/>
  <c r="CG40"/>
  <c r="X54"/>
  <c r="E142" i="48" s="1"/>
  <c r="W54" i="225"/>
  <c r="E141" i="48" s="1"/>
  <c r="N11" i="272"/>
  <c r="B54" i="98"/>
  <c r="F54" l="1"/>
  <c r="B82"/>
  <c r="K11" i="272"/>
  <c r="L11" s="1"/>
  <c r="L16" i="202"/>
  <c r="P16" s="1"/>
  <c r="AA11" i="272"/>
  <c r="Z11"/>
  <c r="D38" i="298"/>
  <c r="C38"/>
  <c r="E24"/>
  <c r="E23"/>
  <c r="E22"/>
  <c r="E21"/>
  <c r="E20"/>
  <c r="E19"/>
  <c r="E18"/>
  <c r="E17"/>
  <c r="E16"/>
  <c r="E15"/>
  <c r="E14"/>
  <c r="E13"/>
  <c r="E12"/>
  <c r="E11"/>
  <c r="E10"/>
  <c r="J17" i="27"/>
  <c r="K17" s="1"/>
  <c r="G54" i="98" l="1"/>
  <c r="F82"/>
  <c r="L12" i="19"/>
  <c r="D93"/>
  <c r="D101"/>
  <c r="D92"/>
  <c r="I69"/>
  <c r="D65"/>
  <c r="D64"/>
  <c r="D62"/>
  <c r="D57"/>
  <c r="D55"/>
  <c r="D56"/>
  <c r="D53"/>
  <c r="D50"/>
  <c r="D49"/>
  <c r="D48"/>
  <c r="D47"/>
  <c r="D46"/>
  <c r="D45"/>
  <c r="D44"/>
  <c r="D28"/>
  <c r="D18"/>
  <c r="D27"/>
  <c r="D26"/>
  <c r="D25"/>
  <c r="D24"/>
  <c r="D21"/>
  <c r="D19"/>
  <c r="D16"/>
  <c r="D15"/>
  <c r="D14"/>
  <c r="D13"/>
  <c r="D12"/>
  <c r="C62" i="158"/>
  <c r="M16" i="27"/>
  <c r="N16" s="1"/>
  <c r="J16"/>
  <c r="K16" s="1"/>
  <c r="D75" i="24"/>
  <c r="D74"/>
  <c r="D73"/>
  <c r="D72"/>
  <c r="G16" i="27"/>
  <c r="H16" s="1"/>
  <c r="D63" i="24"/>
  <c r="D61"/>
  <c r="D60"/>
  <c r="D57"/>
  <c r="D55"/>
  <c r="D62"/>
  <c r="D54"/>
  <c r="D53"/>
  <c r="D52"/>
  <c r="D49"/>
  <c r="D48"/>
  <c r="D47"/>
  <c r="D46"/>
  <c r="D45"/>
  <c r="D44"/>
  <c r="D27"/>
  <c r="D18"/>
  <c r="D26"/>
  <c r="D25"/>
  <c r="D24"/>
  <c r="D23"/>
  <c r="D20"/>
  <c r="D16"/>
  <c r="D15"/>
  <c r="D14"/>
  <c r="D13"/>
  <c r="D12"/>
  <c r="M227" i="302"/>
  <c r="L150"/>
  <c r="J231"/>
  <c r="H82" i="98" l="1"/>
  <c r="K12" i="19"/>
  <c r="K24" s="1"/>
  <c r="J24" s="1"/>
  <c r="R15" i="214" s="1"/>
  <c r="K16" i="19"/>
  <c r="J16" s="1"/>
  <c r="K25"/>
  <c r="K17"/>
  <c r="K26"/>
  <c r="T15" i="214" s="1"/>
  <c r="K23" i="19"/>
  <c r="J23" s="1"/>
  <c r="L15" i="214" s="1"/>
  <c r="K13" i="19"/>
  <c r="J13" s="1"/>
  <c r="D106"/>
  <c r="D69"/>
  <c r="D69" i="24"/>
  <c r="B65" i="97"/>
  <c r="L12" i="24" s="1"/>
  <c r="L120" i="302"/>
  <c r="L146"/>
  <c r="C39" i="303"/>
  <c r="G19"/>
  <c r="G17" i="27"/>
  <c r="H17" s="1"/>
  <c r="G25" i="303"/>
  <c r="G33"/>
  <c r="N146" i="302"/>
  <c r="M141"/>
  <c r="E39" i="303"/>
  <c r="D39"/>
  <c r="G15"/>
  <c r="M97" i="302"/>
  <c r="K240"/>
  <c r="N195"/>
  <c r="M195" s="1"/>
  <c r="O195" s="1"/>
  <c r="G13" i="303"/>
  <c r="G27"/>
  <c r="G35"/>
  <c r="G21"/>
  <c r="G29"/>
  <c r="G37"/>
  <c r="M120" i="302"/>
  <c r="M173"/>
  <c r="T244"/>
  <c r="K243" s="1"/>
  <c r="Q254"/>
  <c r="F39" i="303"/>
  <c r="G17"/>
  <c r="G23"/>
  <c r="G31"/>
  <c r="K52"/>
  <c r="D77" i="24"/>
  <c r="D31" i="19"/>
  <c r="G11" i="303"/>
  <c r="L117" i="302"/>
  <c r="M146"/>
  <c r="M150"/>
  <c r="L227"/>
  <c r="M117"/>
  <c r="L195"/>
  <c r="L141"/>
  <c r="L173"/>
  <c r="M69" i="19"/>
  <c r="D29" i="24"/>
  <c r="L97" i="302"/>
  <c r="K22" i="19" l="1"/>
  <c r="K15" i="214" s="1"/>
  <c r="K20" i="19"/>
  <c r="J20" s="1"/>
  <c r="Q15" i="214" s="1"/>
  <c r="J12" i="19"/>
  <c r="B15" i="214" s="1"/>
  <c r="K25" i="24"/>
  <c r="T14" i="214" s="1"/>
  <c r="K22" i="24"/>
  <c r="J22" s="1"/>
  <c r="L14" i="214" s="1"/>
  <c r="K17" i="24"/>
  <c r="K13"/>
  <c r="K24"/>
  <c r="K16"/>
  <c r="J16" s="1"/>
  <c r="G14" i="214" s="1"/>
  <c r="K27" i="19"/>
  <c r="J27" s="1"/>
  <c r="U15" i="214" s="1"/>
  <c r="J25" i="19"/>
  <c r="S15" i="214" s="1"/>
  <c r="K21" i="19"/>
  <c r="J21" s="1"/>
  <c r="P15" i="214" s="1"/>
  <c r="J17" i="19"/>
  <c r="J15" i="214" s="1"/>
  <c r="D15"/>
  <c r="G15"/>
  <c r="K14"/>
  <c r="O146" i="302"/>
  <c r="D112" i="19"/>
  <c r="G39" i="303"/>
  <c r="K55" s="1"/>
  <c r="D105" i="24"/>
  <c r="Q256" i="302"/>
  <c r="Q261" s="1"/>
  <c r="M84"/>
  <c r="L84"/>
  <c r="Q50"/>
  <c r="M50"/>
  <c r="L50"/>
  <c r="M30"/>
  <c r="L30"/>
  <c r="M27"/>
  <c r="L27"/>
  <c r="M25"/>
  <c r="L25"/>
  <c r="N14" i="202"/>
  <c r="O14"/>
  <c r="Z14" s="1"/>
  <c r="F34" i="96"/>
  <c r="F52" s="1"/>
  <c r="D21" i="238"/>
  <c r="J17" i="24" l="1"/>
  <c r="J14" i="214" s="1"/>
  <c r="K20" i="24"/>
  <c r="J20" s="1"/>
  <c r="P14" i="214" s="1"/>
  <c r="K26" i="24"/>
  <c r="J26" s="1"/>
  <c r="U14" i="214" s="1"/>
  <c r="J24" i="24"/>
  <c r="S14" i="214" s="1"/>
  <c r="J13" i="24"/>
  <c r="K31" i="19"/>
  <c r="J31"/>
  <c r="C17" i="27" s="1"/>
  <c r="Z15" i="214"/>
  <c r="K12" i="10"/>
  <c r="B52" i="96"/>
  <c r="L12" i="10" s="1"/>
  <c r="L231" i="302"/>
  <c r="AA14" i="202"/>
  <c r="M231" i="302"/>
  <c r="J99" i="10"/>
  <c r="D99"/>
  <c r="T15" i="27" s="1"/>
  <c r="D87" i="10"/>
  <c r="D63"/>
  <c r="D59"/>
  <c r="D58"/>
  <c r="D56"/>
  <c r="D55"/>
  <c r="D62"/>
  <c r="D61"/>
  <c r="D60"/>
  <c r="D54"/>
  <c r="D53"/>
  <c r="D50"/>
  <c r="D49"/>
  <c r="D48"/>
  <c r="D46"/>
  <c r="D45"/>
  <c r="D44"/>
  <c r="D43"/>
  <c r="D27"/>
  <c r="D18"/>
  <c r="D26"/>
  <c r="D25"/>
  <c r="D20"/>
  <c r="D16"/>
  <c r="D15"/>
  <c r="D14"/>
  <c r="D13"/>
  <c r="D12"/>
  <c r="C209" i="142"/>
  <c r="P17" i="27" l="1"/>
  <c r="V17" s="1"/>
  <c r="E17"/>
  <c r="J12" i="10"/>
  <c r="B13" i="214" s="1"/>
  <c r="K23" i="10"/>
  <c r="J23" s="1"/>
  <c r="R13" i="214" s="1"/>
  <c r="K21" i="10"/>
  <c r="K13" i="214" s="1"/>
  <c r="K19" i="10"/>
  <c r="J19" s="1"/>
  <c r="Q13" i="214" s="1"/>
  <c r="K16" i="10"/>
  <c r="J16" s="1"/>
  <c r="G13" i="214" s="1"/>
  <c r="K24" i="10"/>
  <c r="K13"/>
  <c r="K22"/>
  <c r="J22" s="1"/>
  <c r="L13" i="214" s="1"/>
  <c r="K25" i="10"/>
  <c r="T13" i="214" s="1"/>
  <c r="K17" i="10"/>
  <c r="K29" i="24"/>
  <c r="J29"/>
  <c r="D14" i="214"/>
  <c r="Z14" s="1"/>
  <c r="S16" i="27"/>
  <c r="C14" i="49"/>
  <c r="J112" i="19"/>
  <c r="D93" i="10"/>
  <c r="D65"/>
  <c r="E13" i="238"/>
  <c r="E21" s="1"/>
  <c r="G15" i="27"/>
  <c r="H15" s="1"/>
  <c r="M15"/>
  <c r="D29" i="10"/>
  <c r="F70" i="316"/>
  <c r="K11" i="315" s="1"/>
  <c r="K23" s="1"/>
  <c r="B30" i="323"/>
  <c r="E23"/>
  <c r="E18"/>
  <c r="E10"/>
  <c r="J15" i="27" l="1"/>
  <c r="K15" s="1"/>
  <c r="N15"/>
  <c r="H120" i="19"/>
  <c r="I120" s="1"/>
  <c r="S17" i="27" s="1"/>
  <c r="K112" i="19"/>
  <c r="K20" i="10"/>
  <c r="J20" s="1"/>
  <c r="P13" i="214" s="1"/>
  <c r="J17" i="10"/>
  <c r="J13" i="214" s="1"/>
  <c r="J24" i="10"/>
  <c r="S13" i="214" s="1"/>
  <c r="K26" i="10"/>
  <c r="J26" s="1"/>
  <c r="U13" i="214" s="1"/>
  <c r="J13" i="10"/>
  <c r="C16" i="27"/>
  <c r="J105" i="24"/>
  <c r="K105" s="1"/>
  <c r="AX17" i="27"/>
  <c r="B70" i="316"/>
  <c r="L11" i="315" s="1"/>
  <c r="D103" i="10"/>
  <c r="M8" i="27"/>
  <c r="L13" i="315" l="1"/>
  <c r="K24" s="1"/>
  <c r="P16" i="27"/>
  <c r="E16"/>
  <c r="K29" i="10"/>
  <c r="J29"/>
  <c r="D13" i="214"/>
  <c r="Z13" s="1"/>
  <c r="J11" i="315"/>
  <c r="B6" i="214" s="1"/>
  <c r="K25" i="315"/>
  <c r="K21"/>
  <c r="J21" s="1"/>
  <c r="K6" i="214"/>
  <c r="G8" i="27"/>
  <c r="H8" s="1"/>
  <c r="J8"/>
  <c r="K8" s="1"/>
  <c r="D6" i="323"/>
  <c r="D30" s="1"/>
  <c r="C6"/>
  <c r="C30" s="1"/>
  <c r="D141" i="315"/>
  <c r="K26" l="1"/>
  <c r="J26" s="1"/>
  <c r="S6" i="214" s="1"/>
  <c r="K16" i="315"/>
  <c r="J16" s="1"/>
  <c r="G6" i="214" s="1"/>
  <c r="K13" i="315"/>
  <c r="J13" s="1"/>
  <c r="D6" i="214" s="1"/>
  <c r="K27" i="315"/>
  <c r="T6" i="214" s="1"/>
  <c r="K17" i="315"/>
  <c r="J17" s="1"/>
  <c r="C16" i="49"/>
  <c r="V16" i="27"/>
  <c r="AX16"/>
  <c r="J25" i="315"/>
  <c r="R6" i="214" s="1"/>
  <c r="J24" i="315"/>
  <c r="L6" i="214" s="1"/>
  <c r="C15" i="27"/>
  <c r="E15" s="1"/>
  <c r="J103" i="10"/>
  <c r="K103" s="1"/>
  <c r="Q6" i="214"/>
  <c r="M22"/>
  <c r="I22"/>
  <c r="E40" i="213" s="1"/>
  <c r="J40" s="1"/>
  <c r="E6" i="323"/>
  <c r="E30" s="1"/>
  <c r="F35" i="94"/>
  <c r="N27" i="202" s="1"/>
  <c r="B35" i="94"/>
  <c r="F26"/>
  <c r="D37"/>
  <c r="B26"/>
  <c r="B37" s="1"/>
  <c r="K28" i="315" l="1"/>
  <c r="J28" s="1"/>
  <c r="K22"/>
  <c r="K30" s="1"/>
  <c r="P15" i="27"/>
  <c r="S15"/>
  <c r="J113" i="10"/>
  <c r="J114" s="1"/>
  <c r="J6" i="214"/>
  <c r="M57"/>
  <c r="E14" i="212" s="1"/>
  <c r="I57" i="214"/>
  <c r="C20" i="123" s="1"/>
  <c r="F37" i="94"/>
  <c r="B29" i="245"/>
  <c r="E12"/>
  <c r="J22" i="315" l="1"/>
  <c r="P6" i="214" s="1"/>
  <c r="AX15" i="27"/>
  <c r="V15"/>
  <c r="U6" i="214"/>
  <c r="L105" i="48"/>
  <c r="C17" i="216"/>
  <c r="L109" i="48"/>
  <c r="AA27" i="202"/>
  <c r="P27" s="1"/>
  <c r="Z27"/>
  <c r="E7" i="245"/>
  <c r="H79" i="13"/>
  <c r="J30" i="315" l="1"/>
  <c r="J141" s="1"/>
  <c r="H151" s="1"/>
  <c r="I151" s="1"/>
  <c r="S8" i="27" s="1"/>
  <c r="Z6" i="214"/>
  <c r="J29" i="27"/>
  <c r="K29" s="1"/>
  <c r="D10" i="245"/>
  <c r="E79" i="13"/>
  <c r="D74"/>
  <c r="D71"/>
  <c r="H53"/>
  <c r="H85" s="1"/>
  <c r="E53"/>
  <c r="D51"/>
  <c r="D50"/>
  <c r="D49"/>
  <c r="D48"/>
  <c r="D47"/>
  <c r="D46"/>
  <c r="D45"/>
  <c r="D44"/>
  <c r="D43"/>
  <c r="D42"/>
  <c r="D41"/>
  <c r="D40"/>
  <c r="D39"/>
  <c r="D38"/>
  <c r="D37"/>
  <c r="D36"/>
  <c r="D35"/>
  <c r="D34"/>
  <c r="E31"/>
  <c r="D28"/>
  <c r="D27"/>
  <c r="D25"/>
  <c r="D24"/>
  <c r="D23"/>
  <c r="D22"/>
  <c r="D21"/>
  <c r="D20"/>
  <c r="D19"/>
  <c r="D16"/>
  <c r="D15"/>
  <c r="D14"/>
  <c r="D13"/>
  <c r="D12"/>
  <c r="K141" i="315" l="1"/>
  <c r="C8" i="27"/>
  <c r="E8" s="1"/>
  <c r="D79" i="13"/>
  <c r="C29" i="27"/>
  <c r="E29" s="1"/>
  <c r="G29"/>
  <c r="H29" s="1"/>
  <c r="C9" i="245"/>
  <c r="D53" i="13"/>
  <c r="E10" i="245"/>
  <c r="D29"/>
  <c r="D31" i="13"/>
  <c r="AP12" i="225"/>
  <c r="AP22" s="1"/>
  <c r="AO12"/>
  <c r="AO22" s="1"/>
  <c r="AA12"/>
  <c r="AA22" s="1"/>
  <c r="J12"/>
  <c r="J22" s="1"/>
  <c r="P8" i="27" l="1"/>
  <c r="V8" s="1"/>
  <c r="P29"/>
  <c r="B12" i="225"/>
  <c r="AP54"/>
  <c r="AO54"/>
  <c r="J54"/>
  <c r="E131" i="48" s="1"/>
  <c r="AA54" i="225"/>
  <c r="E145" i="48" s="1"/>
  <c r="E85" i="13"/>
  <c r="D85"/>
  <c r="C29" i="245"/>
  <c r="E9"/>
  <c r="E29" s="1"/>
  <c r="AX8" i="27" l="1"/>
  <c r="AX29"/>
  <c r="V29"/>
  <c r="B22" i="225"/>
  <c r="B54" s="1"/>
  <c r="E128" i="48" s="1"/>
  <c r="E155"/>
  <c r="S21" i="228"/>
  <c r="C29" i="49"/>
  <c r="S17" i="228"/>
  <c r="S16"/>
  <c r="S15"/>
  <c r="S14"/>
  <c r="S13"/>
  <c r="S12"/>
  <c r="S11"/>
  <c r="S10"/>
  <c r="S9"/>
  <c r="S8"/>
  <c r="S7"/>
  <c r="S6"/>
  <c r="S5"/>
  <c r="D81" i="145"/>
  <c r="S18" i="228" l="1"/>
  <c r="S26" s="1"/>
  <c r="BO12" i="225"/>
  <c r="S23" i="228" l="1"/>
  <c r="BO22" i="225"/>
  <c r="CG12"/>
  <c r="S25" i="228" s="1"/>
  <c r="S27" s="1"/>
  <c r="M15" i="26"/>
  <c r="N12" i="202"/>
  <c r="B64" i="95"/>
  <c r="O12" i="202" s="1"/>
  <c r="B43" i="95"/>
  <c r="L26" i="26" l="1"/>
  <c r="K26" s="1"/>
  <c r="L12" i="214" s="1"/>
  <c r="CG22" i="225"/>
  <c r="Z12" i="202"/>
  <c r="AA12"/>
  <c r="B66" i="95"/>
  <c r="M13" i="26" s="1"/>
  <c r="N15" s="1"/>
  <c r="Q12" i="202"/>
  <c r="B97" i="95"/>
  <c r="B100" s="1"/>
  <c r="E8" i="294"/>
  <c r="E18" s="1"/>
  <c r="E231" i="26"/>
  <c r="T14" i="27" s="1"/>
  <c r="T57" s="1"/>
  <c r="E209" i="48" s="1"/>
  <c r="J14" i="27"/>
  <c r="K14" s="1"/>
  <c r="E201" i="26"/>
  <c r="E176"/>
  <c r="E175"/>
  <c r="E190"/>
  <c r="L29" l="1"/>
  <c r="T12" i="214" s="1"/>
  <c r="L19" i="26"/>
  <c r="K19" s="1"/>
  <c r="G12" i="214" s="1"/>
  <c r="L16" i="26"/>
  <c r="K16" s="1"/>
  <c r="L30"/>
  <c r="K30" s="1"/>
  <c r="U12" i="214" s="1"/>
  <c r="L20" i="26"/>
  <c r="K20" s="1"/>
  <c r="J12" i="214" s="1"/>
  <c r="L28" i="26"/>
  <c r="K28" s="1"/>
  <c r="S12" i="214" s="1"/>
  <c r="L24" i="26"/>
  <c r="K24" s="1"/>
  <c r="P12" i="214" s="1"/>
  <c r="T30" i="228"/>
  <c r="E205" i="26"/>
  <c r="Q23" i="202"/>
  <c r="Q55" s="1"/>
  <c r="M14" i="27"/>
  <c r="E8" i="325" s="1"/>
  <c r="F97" i="95"/>
  <c r="L15" i="26" s="1"/>
  <c r="L12" i="202"/>
  <c r="P12" s="1"/>
  <c r="C55"/>
  <c r="G9" i="51" s="1"/>
  <c r="K15" i="26" l="1"/>
  <c r="C12" i="214" s="1"/>
  <c r="C22" s="1"/>
  <c r="O13" i="26"/>
  <c r="L25"/>
  <c r="K12" i="214" s="1"/>
  <c r="L27" i="26"/>
  <c r="K27" s="1"/>
  <c r="R12" i="214" s="1"/>
  <c r="L23" i="26"/>
  <c r="K23" s="1"/>
  <c r="Q12" i="214" s="1"/>
  <c r="F100" i="95"/>
  <c r="G14" i="27"/>
  <c r="H14" s="1"/>
  <c r="E126" i="26"/>
  <c r="E121"/>
  <c r="E119"/>
  <c r="E102"/>
  <c r="E99"/>
  <c r="E98"/>
  <c r="E92"/>
  <c r="E91"/>
  <c r="E86"/>
  <c r="E58"/>
  <c r="E56"/>
  <c r="E55"/>
  <c r="E54"/>
  <c r="E47"/>
  <c r="E46"/>
  <c r="E45"/>
  <c r="E31"/>
  <c r="E21"/>
  <c r="E30"/>
  <c r="E29"/>
  <c r="E28"/>
  <c r="E27"/>
  <c r="E24"/>
  <c r="E22"/>
  <c r="E19"/>
  <c r="E18"/>
  <c r="E17"/>
  <c r="E16"/>
  <c r="K33" l="1"/>
  <c r="K233" s="1"/>
  <c r="L233" s="1"/>
  <c r="D12" i="214"/>
  <c r="Z12" s="1"/>
  <c r="E152" i="26"/>
  <c r="J241"/>
  <c r="E14"/>
  <c r="E13"/>
  <c r="E234" i="293"/>
  <c r="E230"/>
  <c r="N26" i="202"/>
  <c r="P26" s="1"/>
  <c r="O26"/>
  <c r="Z26" s="1"/>
  <c r="B25" i="93"/>
  <c r="C14" i="27" l="1"/>
  <c r="E14" s="1"/>
  <c r="I243" i="26"/>
  <c r="J243" s="1"/>
  <c r="S14" i="27" s="1"/>
  <c r="B37" i="93"/>
  <c r="L13" i="1" s="1"/>
  <c r="K17" s="1"/>
  <c r="J17" s="1"/>
  <c r="N25" i="214" s="1"/>
  <c r="N40" s="1"/>
  <c r="AA26" i="202"/>
  <c r="E33" i="26"/>
  <c r="E233" s="1"/>
  <c r="D102" i="1"/>
  <c r="D99"/>
  <c r="D94"/>
  <c r="D63"/>
  <c r="D62"/>
  <c r="D61"/>
  <c r="D60"/>
  <c r="D58"/>
  <c r="D59"/>
  <c r="D57"/>
  <c r="D52"/>
  <c r="D51"/>
  <c r="D50"/>
  <c r="D49"/>
  <c r="D48"/>
  <c r="D47"/>
  <c r="D46"/>
  <c r="D45"/>
  <c r="D28"/>
  <c r="D18"/>
  <c r="D27"/>
  <c r="D26"/>
  <c r="D25"/>
  <c r="D24"/>
  <c r="D21"/>
  <c r="D15"/>
  <c r="D14"/>
  <c r="D13"/>
  <c r="C78" i="133"/>
  <c r="C33"/>
  <c r="D49" i="317"/>
  <c r="B34"/>
  <c r="B49" s="1"/>
  <c r="D22" i="242"/>
  <c r="E18"/>
  <c r="M9" i="27"/>
  <c r="N9" s="1"/>
  <c r="P14" l="1"/>
  <c r="K7" i="214"/>
  <c r="M12" i="37"/>
  <c r="K26" i="1"/>
  <c r="T25" i="214" s="1"/>
  <c r="K14" i="1"/>
  <c r="K15"/>
  <c r="J15" s="1"/>
  <c r="G25" i="214" s="1"/>
  <c r="K23" i="1"/>
  <c r="J23" s="1"/>
  <c r="L25" i="214" s="1"/>
  <c r="K16" i="1"/>
  <c r="K25"/>
  <c r="G28" i="27"/>
  <c r="H28" s="1"/>
  <c r="D105" i="1"/>
  <c r="D30"/>
  <c r="J28" i="27"/>
  <c r="K28" s="1"/>
  <c r="D7" i="236"/>
  <c r="C7"/>
  <c r="D65" i="1"/>
  <c r="J9" i="27"/>
  <c r="K9" s="1"/>
  <c r="L20" i="37" l="1"/>
  <c r="K20" s="1"/>
  <c r="L7" i="214" s="1"/>
  <c r="L15" i="37"/>
  <c r="L18" s="1"/>
  <c r="L23"/>
  <c r="L14"/>
  <c r="K14" s="1"/>
  <c r="G7" i="214" s="1"/>
  <c r="L22" i="37"/>
  <c r="L24" s="1"/>
  <c r="L13"/>
  <c r="K13" s="1"/>
  <c r="C13" i="49"/>
  <c r="V14" i="27"/>
  <c r="AX14"/>
  <c r="T7" i="214"/>
  <c r="K21" i="1"/>
  <c r="J21" s="1"/>
  <c r="P25" i="214" s="1"/>
  <c r="J16" i="1"/>
  <c r="J25" i="214" s="1"/>
  <c r="K27" i="1"/>
  <c r="J27" s="1"/>
  <c r="U25" i="214" s="1"/>
  <c r="J25" i="1"/>
  <c r="S25" i="214" s="1"/>
  <c r="J14" i="1"/>
  <c r="D112"/>
  <c r="J58" i="37"/>
  <c r="E56"/>
  <c r="E55"/>
  <c r="E53"/>
  <c r="E51"/>
  <c r="E48"/>
  <c r="E45"/>
  <c r="E44"/>
  <c r="E43"/>
  <c r="J30" i="1" l="1"/>
  <c r="J112" s="1"/>
  <c r="K22" i="37"/>
  <c r="S7" i="214" s="1"/>
  <c r="K24" i="37"/>
  <c r="U7" i="214" s="1"/>
  <c r="K18" i="37"/>
  <c r="P7" i="214" s="1"/>
  <c r="K15" i="37"/>
  <c r="J7" i="214" s="1"/>
  <c r="K30" i="1"/>
  <c r="D25" i="214"/>
  <c r="Z25" s="1"/>
  <c r="G9" i="27"/>
  <c r="H9" s="1"/>
  <c r="E58" i="37"/>
  <c r="E74" s="1"/>
  <c r="B19" i="264"/>
  <c r="E18"/>
  <c r="E10"/>
  <c r="E9"/>
  <c r="L27" i="37" l="1"/>
  <c r="K27"/>
  <c r="D7" i="214"/>
  <c r="Z7" s="1"/>
  <c r="C28" i="27"/>
  <c r="B7" i="236"/>
  <c r="C29" i="133"/>
  <c r="C46" s="1"/>
  <c r="C47" s="1"/>
  <c r="S9" i="27"/>
  <c r="E65" i="38"/>
  <c r="P28" i="27" l="1"/>
  <c r="E28"/>
  <c r="H122" i="1"/>
  <c r="I122" s="1"/>
  <c r="S28" i="27" s="1"/>
  <c r="K112" i="1"/>
  <c r="C9" i="27"/>
  <c r="P9" s="1"/>
  <c r="V9" s="1"/>
  <c r="K74" i="37"/>
  <c r="B25" i="236"/>
  <c r="E7"/>
  <c r="E25" s="1"/>
  <c r="D25" s="1"/>
  <c r="C25" s="1"/>
  <c r="C91" i="132"/>
  <c r="D37" i="318"/>
  <c r="B37"/>
  <c r="L12" i="8" s="1"/>
  <c r="AX28" i="27" l="1"/>
  <c r="V28"/>
  <c r="E9"/>
  <c r="C26" i="49"/>
  <c r="H85" i="37"/>
  <c r="H86" s="1"/>
  <c r="L74"/>
  <c r="K22" i="8"/>
  <c r="K23"/>
  <c r="T46" i="214" s="1"/>
  <c r="K13" i="8"/>
  <c r="K20"/>
  <c r="J20" s="1"/>
  <c r="L46" i="214" s="1"/>
  <c r="K14" i="8"/>
  <c r="J14" s="1"/>
  <c r="G46" i="214" s="1"/>
  <c r="K15" i="8"/>
  <c r="K78" i="38"/>
  <c r="E60"/>
  <c r="E78" s="1"/>
  <c r="I86" l="1"/>
  <c r="J86" s="1"/>
  <c r="S10" i="27" s="1"/>
  <c r="L78" i="38"/>
  <c r="J13" i="8"/>
  <c r="J15"/>
  <c r="J46" i="214" s="1"/>
  <c r="K18" i="8"/>
  <c r="J18" s="1"/>
  <c r="P46" i="214" s="1"/>
  <c r="K24" i="8"/>
  <c r="J24" s="1"/>
  <c r="U46" i="214" s="1"/>
  <c r="J22" i="8"/>
  <c r="S46" i="214" s="1"/>
  <c r="G49" i="27"/>
  <c r="H49" s="1"/>
  <c r="D59" i="8"/>
  <c r="D57"/>
  <c r="D55"/>
  <c r="D52"/>
  <c r="D53"/>
  <c r="D51"/>
  <c r="D49"/>
  <c r="D48"/>
  <c r="D47"/>
  <c r="D45"/>
  <c r="D44"/>
  <c r="D43"/>
  <c r="D27"/>
  <c r="K27" l="1"/>
  <c r="J27"/>
  <c r="E139" i="324" s="1"/>
  <c r="D46" i="214"/>
  <c r="Z46" s="1"/>
  <c r="S49" i="27"/>
  <c r="I52" i="8"/>
  <c r="D60"/>
  <c r="BG54" i="215"/>
  <c r="AD54"/>
  <c r="I93" i="213" s="1"/>
  <c r="J93" s="1"/>
  <c r="J49" i="27"/>
  <c r="K49" s="1"/>
  <c r="D13" i="277"/>
  <c r="D17" s="1"/>
  <c r="E133" i="324"/>
  <c r="E120"/>
  <c r="E109"/>
  <c r="E103"/>
  <c r="E33"/>
  <c r="C30" i="92"/>
  <c r="B30"/>
  <c r="B13" i="277" l="1"/>
  <c r="B17" s="1"/>
  <c r="C49" i="27"/>
  <c r="E49" s="1"/>
  <c r="J75" i="8"/>
  <c r="O46" i="202"/>
  <c r="AA46" s="1"/>
  <c r="B32" i="92"/>
  <c r="I60" i="8"/>
  <c r="AD56" i="215"/>
  <c r="C47" i="124" s="1"/>
  <c r="D75" i="8"/>
  <c r="E144" i="324"/>
  <c r="F32" i="92"/>
  <c r="L11" i="33" s="1"/>
  <c r="B97" i="314"/>
  <c r="G96"/>
  <c r="G95"/>
  <c r="G94"/>
  <c r="G93"/>
  <c r="G92"/>
  <c r="G91"/>
  <c r="G90"/>
  <c r="G89"/>
  <c r="G88"/>
  <c r="G87"/>
  <c r="G86"/>
  <c r="G85"/>
  <c r="G84"/>
  <c r="G83"/>
  <c r="G82"/>
  <c r="G81"/>
  <c r="G80"/>
  <c r="G79"/>
  <c r="G78"/>
  <c r="G77"/>
  <c r="G76"/>
  <c r="G75"/>
  <c r="G74"/>
  <c r="G73"/>
  <c r="G72"/>
  <c r="G71"/>
  <c r="G70"/>
  <c r="G69"/>
  <c r="G68"/>
  <c r="G67"/>
  <c r="G66"/>
  <c r="P49" i="27" l="1"/>
  <c r="L16" i="33"/>
  <c r="K16" s="1"/>
  <c r="Q45" i="214" s="1"/>
  <c r="L18" i="33"/>
  <c r="K45" i="214" s="1"/>
  <c r="L20" i="33"/>
  <c r="K20" s="1"/>
  <c r="R45" i="214" s="1"/>
  <c r="K11" i="33"/>
  <c r="B45" i="214" s="1"/>
  <c r="I87" i="8"/>
  <c r="I88" s="1"/>
  <c r="K75"/>
  <c r="E13" i="277"/>
  <c r="M11" i="33"/>
  <c r="L14" s="1"/>
  <c r="Z46" i="202"/>
  <c r="L155" i="48"/>
  <c r="G65" i="314"/>
  <c r="G64"/>
  <c r="AX49" i="27" l="1"/>
  <c r="V49"/>
  <c r="L22" i="33"/>
  <c r="T45" i="214" s="1"/>
  <c r="L13" i="33"/>
  <c r="K13" s="1"/>
  <c r="G45" i="214" s="1"/>
  <c r="L21" i="33"/>
  <c r="L23" s="1"/>
  <c r="K23" s="1"/>
  <c r="U45" i="214" s="1"/>
  <c r="L12" i="33"/>
  <c r="K12" s="1"/>
  <c r="L19"/>
  <c r="K19" s="1"/>
  <c r="L45" i="214" s="1"/>
  <c r="L17" i="33"/>
  <c r="K17" s="1"/>
  <c r="P45" i="214" s="1"/>
  <c r="K14" i="33"/>
  <c r="J45" i="214" s="1"/>
  <c r="G44" i="314"/>
  <c r="G43"/>
  <c r="G42"/>
  <c r="G41"/>
  <c r="G40"/>
  <c r="G39"/>
  <c r="G38"/>
  <c r="G37"/>
  <c r="G36"/>
  <c r="G35"/>
  <c r="E34"/>
  <c r="G34" s="1"/>
  <c r="G33"/>
  <c r="G32"/>
  <c r="G31"/>
  <c r="G30"/>
  <c r="G29"/>
  <c r="G28"/>
  <c r="G27"/>
  <c r="G26"/>
  <c r="G25"/>
  <c r="G24"/>
  <c r="G23"/>
  <c r="G22"/>
  <c r="G21"/>
  <c r="G20"/>
  <c r="G19"/>
  <c r="G18"/>
  <c r="G17"/>
  <c r="G16"/>
  <c r="G15"/>
  <c r="G13"/>
  <c r="G12"/>
  <c r="G11"/>
  <c r="G10"/>
  <c r="G9"/>
  <c r="G8"/>
  <c r="K102" i="33"/>
  <c r="L102" s="1"/>
  <c r="J48" i="27"/>
  <c r="K48" s="1"/>
  <c r="G48"/>
  <c r="H48" s="1"/>
  <c r="J63" i="33"/>
  <c r="E61"/>
  <c r="E60"/>
  <c r="E59"/>
  <c r="E55"/>
  <c r="E54"/>
  <c r="E50"/>
  <c r="E49"/>
  <c r="E48"/>
  <c r="E47"/>
  <c r="E46"/>
  <c r="E45"/>
  <c r="E44"/>
  <c r="E24"/>
  <c r="E15"/>
  <c r="E23"/>
  <c r="E22"/>
  <c r="E21"/>
  <c r="E20"/>
  <c r="E17"/>
  <c r="E13"/>
  <c r="E12"/>
  <c r="E11"/>
  <c r="D119" i="154"/>
  <c r="D173" s="1"/>
  <c r="H48" i="172"/>
  <c r="C8" i="224" s="1"/>
  <c r="F48" i="172"/>
  <c r="I29"/>
  <c r="I25"/>
  <c r="I21"/>
  <c r="I18"/>
  <c r="K21" i="33" l="1"/>
  <c r="S45" i="214" s="1"/>
  <c r="D45"/>
  <c r="L26" i="33"/>
  <c r="M48" i="27"/>
  <c r="N48" s="1"/>
  <c r="S48"/>
  <c r="I48" i="172"/>
  <c r="D14" i="314"/>
  <c r="E63" i="33"/>
  <c r="D182" i="154"/>
  <c r="E26" i="33"/>
  <c r="F61" i="314"/>
  <c r="F97" s="1"/>
  <c r="E97" s="1"/>
  <c r="B25" i="91"/>
  <c r="B36" s="1"/>
  <c r="N12" i="4" s="1"/>
  <c r="E32" i="254"/>
  <c r="D32"/>
  <c r="C32"/>
  <c r="B32"/>
  <c r="F15"/>
  <c r="F14"/>
  <c r="F13"/>
  <c r="F12"/>
  <c r="F10"/>
  <c r="F9"/>
  <c r="F8"/>
  <c r="K26" i="33" l="1"/>
  <c r="C48" i="27" s="1"/>
  <c r="E48" s="1"/>
  <c r="M23" i="4"/>
  <c r="T44" i="214" s="1"/>
  <c r="M13" i="4"/>
  <c r="M22"/>
  <c r="M20"/>
  <c r="K20" s="1"/>
  <c r="L44" i="214" s="1"/>
  <c r="M15" i="4"/>
  <c r="M14"/>
  <c r="K14" s="1"/>
  <c r="G44" i="214" s="1"/>
  <c r="Z45"/>
  <c r="E104" i="33"/>
  <c r="D97" i="314"/>
  <c r="F32" i="254"/>
  <c r="G61" i="314"/>
  <c r="J47" i="27"/>
  <c r="K47" s="1"/>
  <c r="G47"/>
  <c r="H47" s="1"/>
  <c r="E56" i="4"/>
  <c r="E52"/>
  <c r="E53"/>
  <c r="E51"/>
  <c r="E48"/>
  <c r="E47"/>
  <c r="E46"/>
  <c r="E45"/>
  <c r="E44"/>
  <c r="E25"/>
  <c r="E16"/>
  <c r="E24"/>
  <c r="E23"/>
  <c r="E22"/>
  <c r="E21"/>
  <c r="E18"/>
  <c r="E15"/>
  <c r="E14"/>
  <c r="E13"/>
  <c r="E12"/>
  <c r="C104" i="136"/>
  <c r="C99"/>
  <c r="C95"/>
  <c r="B54" i="90"/>
  <c r="L12" i="2" s="1"/>
  <c r="D41" i="289"/>
  <c r="C41"/>
  <c r="B41"/>
  <c r="E22"/>
  <c r="E21"/>
  <c r="E19"/>
  <c r="E18"/>
  <c r="E17"/>
  <c r="E16"/>
  <c r="E15"/>
  <c r="E14"/>
  <c r="E11"/>
  <c r="J27" i="27"/>
  <c r="G27"/>
  <c r="H27" s="1"/>
  <c r="I67" i="2"/>
  <c r="D63"/>
  <c r="D60"/>
  <c r="D59"/>
  <c r="D56"/>
  <c r="D53"/>
  <c r="D54"/>
  <c r="D50"/>
  <c r="D49"/>
  <c r="D48"/>
  <c r="D47"/>
  <c r="D46"/>
  <c r="D45"/>
  <c r="D44"/>
  <c r="D25"/>
  <c r="D16"/>
  <c r="D24"/>
  <c r="D23"/>
  <c r="D22"/>
  <c r="D21"/>
  <c r="D18"/>
  <c r="D14"/>
  <c r="D13"/>
  <c r="D12"/>
  <c r="P48" i="27" l="1"/>
  <c r="AX48" s="1"/>
  <c r="K104" i="33"/>
  <c r="J115" s="1"/>
  <c r="J116" s="1"/>
  <c r="C14" i="314"/>
  <c r="C97" s="1"/>
  <c r="J42" i="27"/>
  <c r="D19" i="50" s="1"/>
  <c r="K27" i="27"/>
  <c r="K22" i="2"/>
  <c r="K14"/>
  <c r="J14" s="1"/>
  <c r="K13"/>
  <c r="K20"/>
  <c r="J20" s="1"/>
  <c r="L24" i="214" s="1"/>
  <c r="L40" s="1"/>
  <c r="K15" i="2"/>
  <c r="K23"/>
  <c r="T24" i="214" s="1"/>
  <c r="T40" s="1"/>
  <c r="K22" i="4"/>
  <c r="S44" i="214" s="1"/>
  <c r="M24" i="4"/>
  <c r="K24" s="1"/>
  <c r="U44" i="214" s="1"/>
  <c r="M18" i="4"/>
  <c r="K18" s="1"/>
  <c r="P44" i="214" s="1"/>
  <c r="K15" i="4"/>
  <c r="J44" i="214" s="1"/>
  <c r="K13" i="4"/>
  <c r="E41" i="289"/>
  <c r="E24"/>
  <c r="D67" i="2"/>
  <c r="E27" i="4"/>
  <c r="M47" i="27"/>
  <c r="N47" s="1"/>
  <c r="N20" i="272"/>
  <c r="O25" i="202"/>
  <c r="Z25" s="1"/>
  <c r="D27" i="2"/>
  <c r="C143" i="136"/>
  <c r="O20" i="272"/>
  <c r="N25" i="202"/>
  <c r="E59" i="4"/>
  <c r="Z51" i="226"/>
  <c r="O51"/>
  <c r="Y51"/>
  <c r="X51"/>
  <c r="W51"/>
  <c r="V51"/>
  <c r="U51"/>
  <c r="R51"/>
  <c r="P51"/>
  <c r="J51"/>
  <c r="I51"/>
  <c r="H51"/>
  <c r="G51"/>
  <c r="F51"/>
  <c r="D51"/>
  <c r="C51"/>
  <c r="B51"/>
  <c r="U54"/>
  <c r="D29" i="16"/>
  <c r="D106" s="1"/>
  <c r="AA49" i="226"/>
  <c r="R48" i="227" s="1"/>
  <c r="AA48" i="226"/>
  <c r="R47" i="227" s="1"/>
  <c r="AA47" i="226"/>
  <c r="R46" i="227" s="1"/>
  <c r="AA44" i="226"/>
  <c r="R43" i="227" s="1"/>
  <c r="AA43" i="226"/>
  <c r="R42" i="227" s="1"/>
  <c r="T51" i="226"/>
  <c r="Z40"/>
  <c r="O40"/>
  <c r="Y40"/>
  <c r="X40"/>
  <c r="W40"/>
  <c r="V40"/>
  <c r="U40"/>
  <c r="T40"/>
  <c r="R40"/>
  <c r="N40"/>
  <c r="N56" s="1"/>
  <c r="P40"/>
  <c r="L40"/>
  <c r="J40"/>
  <c r="I40"/>
  <c r="H40"/>
  <c r="G40"/>
  <c r="F40"/>
  <c r="D40"/>
  <c r="C40"/>
  <c r="B40"/>
  <c r="AA38"/>
  <c r="R37" i="227" s="1"/>
  <c r="AA37" i="226"/>
  <c r="R36" i="227" s="1"/>
  <c r="AA36" i="226"/>
  <c r="R35" i="227" s="1"/>
  <c r="AA35" i="226"/>
  <c r="R34" i="227" s="1"/>
  <c r="AA34" i="226"/>
  <c r="R33" i="227" s="1"/>
  <c r="AA33" i="226"/>
  <c r="R32" i="227" s="1"/>
  <c r="AA32" i="226"/>
  <c r="R31" i="227" s="1"/>
  <c r="AA31" i="226"/>
  <c r="R30" i="227" s="1"/>
  <c r="AA30" i="226"/>
  <c r="R29" i="227" s="1"/>
  <c r="AA29" i="226"/>
  <c r="R28" i="227" s="1"/>
  <c r="AA28" i="226"/>
  <c r="R27" i="227" s="1"/>
  <c r="AA27" i="226"/>
  <c r="R26" i="227" s="1"/>
  <c r="AA26" i="226"/>
  <c r="R25" i="227" s="1"/>
  <c r="AA25" i="226"/>
  <c r="R24" i="227" s="1"/>
  <c r="AA24" i="226"/>
  <c r="R23" i="227" s="1"/>
  <c r="AA20" i="226"/>
  <c r="R19" i="227" s="1"/>
  <c r="AA19" i="226"/>
  <c r="R18" i="227" s="1"/>
  <c r="R17"/>
  <c r="AA17" i="226"/>
  <c r="R16" i="227" s="1"/>
  <c r="AA16" i="226"/>
  <c r="R15" i="227" s="1"/>
  <c r="AA15" i="226"/>
  <c r="R14" i="227" s="1"/>
  <c r="AA14" i="226"/>
  <c r="R13" i="227" s="1"/>
  <c r="AA13" i="226"/>
  <c r="R12" i="227" s="1"/>
  <c r="R11"/>
  <c r="AA11" i="226"/>
  <c r="R10" i="227" s="1"/>
  <c r="AA8" i="226"/>
  <c r="R7" i="227" s="1"/>
  <c r="AA6" i="226"/>
  <c r="D274" i="288"/>
  <c r="D90"/>
  <c r="D48"/>
  <c r="D36" i="89"/>
  <c r="D38" s="1"/>
  <c r="B36"/>
  <c r="O43" i="202" s="1"/>
  <c r="B29" i="89"/>
  <c r="D35" i="235"/>
  <c r="C35"/>
  <c r="B35"/>
  <c r="E10"/>
  <c r="E9"/>
  <c r="E8"/>
  <c r="M45" i="27"/>
  <c r="N45" s="1"/>
  <c r="J45"/>
  <c r="E96" i="3"/>
  <c r="G45" i="27"/>
  <c r="H45" s="1"/>
  <c r="E56" i="3"/>
  <c r="L104" i="33" l="1"/>
  <c r="G14" i="314"/>
  <c r="G97" s="1"/>
  <c r="V48" i="27"/>
  <c r="C38" i="49"/>
  <c r="C37" s="1"/>
  <c r="J54" i="27"/>
  <c r="K45"/>
  <c r="D43" i="204"/>
  <c r="J15" i="2"/>
  <c r="J24" i="214" s="1"/>
  <c r="J40" s="1"/>
  <c r="G41" i="213" s="1"/>
  <c r="K18" i="2"/>
  <c r="J18" s="1"/>
  <c r="P24" i="214" s="1"/>
  <c r="P40" s="1"/>
  <c r="J13" i="2"/>
  <c r="K24"/>
  <c r="J24" s="1"/>
  <c r="U24" i="214" s="1"/>
  <c r="U40" s="1"/>
  <c r="J22" i="2"/>
  <c r="S24" i="214" s="1"/>
  <c r="S40" s="1"/>
  <c r="D44"/>
  <c r="R39" i="227"/>
  <c r="E88" i="39" s="1"/>
  <c r="M54" i="27"/>
  <c r="AA22" i="226"/>
  <c r="R5" i="227"/>
  <c r="R21" s="1"/>
  <c r="E86" i="39" s="1"/>
  <c r="G24" i="214"/>
  <c r="G40" s="1"/>
  <c r="K24"/>
  <c r="K40" s="1"/>
  <c r="Z43" i="202"/>
  <c r="AA43"/>
  <c r="O53"/>
  <c r="V56" i="226"/>
  <c r="O56"/>
  <c r="F56"/>
  <c r="J56"/>
  <c r="R56"/>
  <c r="W56"/>
  <c r="Z56"/>
  <c r="E120" i="48" s="1"/>
  <c r="AA40" i="226"/>
  <c r="C56"/>
  <c r="H56"/>
  <c r="P56"/>
  <c r="U56"/>
  <c r="E113" i="48" s="1"/>
  <c r="Y56" i="226"/>
  <c r="B56"/>
  <c r="G56"/>
  <c r="T56"/>
  <c r="X56"/>
  <c r="AA42"/>
  <c r="B38" i="89"/>
  <c r="N12" i="3" s="1"/>
  <c r="D56" i="226"/>
  <c r="I56"/>
  <c r="E123" i="4"/>
  <c r="D100" i="2"/>
  <c r="L51" i="226"/>
  <c r="L56" s="1"/>
  <c r="E106" i="48" s="1"/>
  <c r="D277" i="288"/>
  <c r="AA50" i="226"/>
  <c r="R49" i="227" s="1"/>
  <c r="N36" i="272"/>
  <c r="AA20"/>
  <c r="Z20"/>
  <c r="AA25" i="202"/>
  <c r="P25"/>
  <c r="G54" i="27"/>
  <c r="E35" i="235"/>
  <c r="O36" i="272"/>
  <c r="P20"/>
  <c r="P36" s="1"/>
  <c r="E55" i="3"/>
  <c r="E54"/>
  <c r="E53"/>
  <c r="D14" i="50" l="1"/>
  <c r="H54" i="27"/>
  <c r="AA58" i="226"/>
  <c r="M14" i="3"/>
  <c r="K14" s="1"/>
  <c r="G42" i="214" s="1"/>
  <c r="G52" s="1"/>
  <c r="M15" i="3"/>
  <c r="M21"/>
  <c r="K21" s="1"/>
  <c r="L42" i="214" s="1"/>
  <c r="L52" s="1"/>
  <c r="M23" i="3"/>
  <c r="M24"/>
  <c r="T42" i="214" s="1"/>
  <c r="T52" s="1"/>
  <c r="M13" i="3"/>
  <c r="K27" i="2"/>
  <c r="AA60" i="226"/>
  <c r="AA51"/>
  <c r="AA52" s="1"/>
  <c r="R41" i="227"/>
  <c r="R51" s="1"/>
  <c r="D24" i="214"/>
  <c r="J27" i="2"/>
  <c r="C27" i="27" s="1"/>
  <c r="G43" i="213"/>
  <c r="E99" i="48"/>
  <c r="E98"/>
  <c r="D15" i="50"/>
  <c r="E43" i="204"/>
  <c r="E48" i="3"/>
  <c r="E46"/>
  <c r="E45"/>
  <c r="E44"/>
  <c r="S45" i="27"/>
  <c r="E26" i="3"/>
  <c r="P27" i="27" l="1"/>
  <c r="V27" s="1"/>
  <c r="E27"/>
  <c r="R52" i="227"/>
  <c r="E87" i="39"/>
  <c r="M90" s="1"/>
  <c r="K13" i="3"/>
  <c r="K15"/>
  <c r="J42" i="214" s="1"/>
  <c r="J52" s="1"/>
  <c r="I41" i="213" s="1"/>
  <c r="M19" i="3"/>
  <c r="K19" s="1"/>
  <c r="P42" i="214" s="1"/>
  <c r="P52" s="1"/>
  <c r="N52" s="1"/>
  <c r="N57" s="1"/>
  <c r="L110" i="48" s="1"/>
  <c r="M25" i="3"/>
  <c r="K25" s="1"/>
  <c r="U42" i="214" s="1"/>
  <c r="U52" s="1"/>
  <c r="K23" i="3"/>
  <c r="S42" i="214" s="1"/>
  <c r="S52" s="1"/>
  <c r="AA56" i="226"/>
  <c r="AA57"/>
  <c r="S27" i="27"/>
  <c r="J100" i="2"/>
  <c r="E70" i="3"/>
  <c r="D40" i="214"/>
  <c r="Z24"/>
  <c r="Z40" s="1"/>
  <c r="E16" i="3"/>
  <c r="E25"/>
  <c r="E24"/>
  <c r="E23"/>
  <c r="E22"/>
  <c r="E19"/>
  <c r="E14"/>
  <c r="E13"/>
  <c r="E12"/>
  <c r="C36" i="135"/>
  <c r="O6" i="202"/>
  <c r="B47" i="87"/>
  <c r="B81" s="1"/>
  <c r="J27"/>
  <c r="G6" i="272"/>
  <c r="E21" i="275"/>
  <c r="E20"/>
  <c r="E19"/>
  <c r="E17"/>
  <c r="E9"/>
  <c r="J111" i="2" l="1"/>
  <c r="J112" s="1"/>
  <c r="K100"/>
  <c r="K29" i="3"/>
  <c r="D42" i="214"/>
  <c r="M29" i="3"/>
  <c r="AA6" i="202"/>
  <c r="Z6"/>
  <c r="O13" i="29"/>
  <c r="O15" s="1"/>
  <c r="K6" i="272"/>
  <c r="K18" s="1"/>
  <c r="L6" i="202"/>
  <c r="P6" s="1"/>
  <c r="F47" i="87"/>
  <c r="G18" i="272"/>
  <c r="G49" s="1"/>
  <c r="C176" i="135"/>
  <c r="E29" i="3"/>
  <c r="E114" s="1"/>
  <c r="G158" i="320"/>
  <c r="F158"/>
  <c r="E158"/>
  <c r="C45" i="27" l="1"/>
  <c r="K114" i="3"/>
  <c r="Z42" i="214"/>
  <c r="D52"/>
  <c r="N26" i="29"/>
  <c r="K26" s="1"/>
  <c r="L5" i="214" s="1"/>
  <c r="L22" s="1"/>
  <c r="L57" s="1"/>
  <c r="L108" i="48" s="1"/>
  <c r="N24" i="29"/>
  <c r="K24" s="1"/>
  <c r="N16"/>
  <c r="K16" s="1"/>
  <c r="N29"/>
  <c r="T5" i="214" s="1"/>
  <c r="T22" s="1"/>
  <c r="T57" s="1"/>
  <c r="N28" i="29"/>
  <c r="K28" s="1"/>
  <c r="N30"/>
  <c r="K30" s="1"/>
  <c r="N19"/>
  <c r="K19" s="1"/>
  <c r="N20"/>
  <c r="K20" s="1"/>
  <c r="AX27" i="27"/>
  <c r="C28" i="49"/>
  <c r="F81" i="87"/>
  <c r="M13" i="29" s="1"/>
  <c r="L6" i="272"/>
  <c r="G123" i="320"/>
  <c r="F123"/>
  <c r="E119"/>
  <c r="E118"/>
  <c r="E117"/>
  <c r="E116"/>
  <c r="E115"/>
  <c r="E114"/>
  <c r="E113"/>
  <c r="E112"/>
  <c r="E111"/>
  <c r="L116" i="48" l="1"/>
  <c r="T60" i="214"/>
  <c r="P45" i="27"/>
  <c r="V45" s="1"/>
  <c r="E45"/>
  <c r="K124" i="3"/>
  <c r="K125" s="1"/>
  <c r="L114"/>
  <c r="J81" i="87"/>
  <c r="U5" i="214"/>
  <c r="U22" s="1"/>
  <c r="U57" s="1"/>
  <c r="L117" i="48" s="1"/>
  <c r="S5" i="214"/>
  <c r="S22" s="1"/>
  <c r="S57" s="1"/>
  <c r="L115" i="48" s="1"/>
  <c r="J5" i="214"/>
  <c r="J22" s="1"/>
  <c r="G5"/>
  <c r="G22" s="1"/>
  <c r="G57" s="1"/>
  <c r="L103" i="48" s="1"/>
  <c r="E123" i="320"/>
  <c r="E105"/>
  <c r="E104"/>
  <c r="E103"/>
  <c r="G102"/>
  <c r="E102"/>
  <c r="E101"/>
  <c r="G100"/>
  <c r="E100"/>
  <c r="E99"/>
  <c r="E79"/>
  <c r="E78"/>
  <c r="E77"/>
  <c r="E76"/>
  <c r="E75"/>
  <c r="E74"/>
  <c r="E73"/>
  <c r="E72"/>
  <c r="E71"/>
  <c r="E69"/>
  <c r="E57"/>
  <c r="E56"/>
  <c r="E55"/>
  <c r="E54"/>
  <c r="E53"/>
  <c r="E52"/>
  <c r="E51"/>
  <c r="E50"/>
  <c r="E49"/>
  <c r="G46"/>
  <c r="F46"/>
  <c r="E46"/>
  <c r="E45"/>
  <c r="G42"/>
  <c r="E42"/>
  <c r="E35"/>
  <c r="E34"/>
  <c r="E33"/>
  <c r="E32"/>
  <c r="E31"/>
  <c r="E30"/>
  <c r="F29"/>
  <c r="E29"/>
  <c r="E28"/>
  <c r="F27"/>
  <c r="E27"/>
  <c r="E26"/>
  <c r="E25"/>
  <c r="E23"/>
  <c r="F22"/>
  <c r="E22"/>
  <c r="F21"/>
  <c r="F26" s="1"/>
  <c r="E21"/>
  <c r="E20"/>
  <c r="E19"/>
  <c r="G18"/>
  <c r="E18"/>
  <c r="E16"/>
  <c r="E15"/>
  <c r="AX45" i="27" l="1"/>
  <c r="C39" i="49"/>
  <c r="N14" i="29"/>
  <c r="K13"/>
  <c r="B5" i="214" s="1"/>
  <c r="E41" i="213"/>
  <c r="J57" i="214"/>
  <c r="C21" i="123" s="1"/>
  <c r="P5" i="214"/>
  <c r="P22" s="1"/>
  <c r="P57" s="1"/>
  <c r="L112" i="48" s="1"/>
  <c r="F31" i="320"/>
  <c r="F38" s="1"/>
  <c r="G38"/>
  <c r="G108"/>
  <c r="F108" s="1"/>
  <c r="E38"/>
  <c r="E108"/>
  <c r="N25" i="29" l="1"/>
  <c r="K5" i="214" s="1"/>
  <c r="N23" i="29"/>
  <c r="K23" s="1"/>
  <c r="Q5" i="214" s="1"/>
  <c r="N27" i="29"/>
  <c r="K27" s="1"/>
  <c r="R5" i="214" s="1"/>
  <c r="L106" i="48"/>
  <c r="C16" i="216"/>
  <c r="E16" i="212"/>
  <c r="M7" i="27"/>
  <c r="N7" s="1"/>
  <c r="E124" i="320"/>
  <c r="G124"/>
  <c r="G160"/>
  <c r="J7" i="27"/>
  <c r="K7" s="1"/>
  <c r="D6" i="275"/>
  <c r="F160" i="320"/>
  <c r="F124"/>
  <c r="E160"/>
  <c r="E115" i="29"/>
  <c r="E114"/>
  <c r="E113"/>
  <c r="E112"/>
  <c r="E111"/>
  <c r="E110"/>
  <c r="E109"/>
  <c r="K32" l="1"/>
  <c r="N32"/>
  <c r="E120"/>
  <c r="E4" i="325"/>
  <c r="E103" i="29"/>
  <c r="E102"/>
  <c r="AY56" i="215"/>
  <c r="C108" i="124" s="1"/>
  <c r="J101" i="29"/>
  <c r="E101"/>
  <c r="E73"/>
  <c r="J62"/>
  <c r="E62"/>
  <c r="E61"/>
  <c r="E60"/>
  <c r="E77"/>
  <c r="E72"/>
  <c r="E71"/>
  <c r="E67"/>
  <c r="E76"/>
  <c r="E75"/>
  <c r="E74"/>
  <c r="E59"/>
  <c r="E54"/>
  <c r="E53"/>
  <c r="E52"/>
  <c r="E51"/>
  <c r="D56" i="215"/>
  <c r="J49" i="29"/>
  <c r="E49"/>
  <c r="E48"/>
  <c r="E46"/>
  <c r="J44"/>
  <c r="E31"/>
  <c r="E21"/>
  <c r="E30"/>
  <c r="E29"/>
  <c r="E28"/>
  <c r="E27"/>
  <c r="E24"/>
  <c r="E22"/>
  <c r="E19"/>
  <c r="E18"/>
  <c r="E17"/>
  <c r="D5" i="214"/>
  <c r="E16" i="29"/>
  <c r="E13"/>
  <c r="J133" i="213"/>
  <c r="C7" i="27" l="1"/>
  <c r="E7" s="1"/>
  <c r="K122" i="29"/>
  <c r="K148"/>
  <c r="L148" s="1"/>
  <c r="E106"/>
  <c r="D22" i="214"/>
  <c r="D57" s="1"/>
  <c r="Z5"/>
  <c r="E32" i="29"/>
  <c r="BG7" i="215"/>
  <c r="G11" i="217"/>
  <c r="G112" i="213"/>
  <c r="E112" s="1"/>
  <c r="E111"/>
  <c r="E110"/>
  <c r="E107"/>
  <c r="E102"/>
  <c r="E82"/>
  <c r="E78"/>
  <c r="E77"/>
  <c r="E75"/>
  <c r="E70"/>
  <c r="G67"/>
  <c r="E67"/>
  <c r="G65"/>
  <c r="E65" s="1"/>
  <c r="G64"/>
  <c r="G62"/>
  <c r="E62"/>
  <c r="E60"/>
  <c r="G58"/>
  <c r="G55"/>
  <c r="E55" s="1"/>
  <c r="E52"/>
  <c r="E50"/>
  <c r="C57" i="214" l="1"/>
  <c r="L99" i="48" s="1"/>
  <c r="L100"/>
  <c r="AU24" i="215"/>
  <c r="AU56" s="1"/>
  <c r="AB5" i="214"/>
  <c r="B6" i="275"/>
  <c r="I158" i="29"/>
  <c r="J159" s="1"/>
  <c r="S7" i="27" s="1"/>
  <c r="E122" i="29"/>
  <c r="G48" i="213"/>
  <c r="E47"/>
  <c r="E45"/>
  <c r="E39"/>
  <c r="E38"/>
  <c r="E35"/>
  <c r="E34"/>
  <c r="G33"/>
  <c r="E148" i="29" l="1"/>
  <c r="G7" i="27"/>
  <c r="C6" i="275"/>
  <c r="E6" s="1"/>
  <c r="E28" s="1"/>
  <c r="D28" s="1"/>
  <c r="C28" s="1"/>
  <c r="B28"/>
  <c r="J19" i="213"/>
  <c r="J16"/>
  <c r="J15"/>
  <c r="J10"/>
  <c r="E40" i="212"/>
  <c r="E39"/>
  <c r="P7" i="27" l="1"/>
  <c r="V7" s="1"/>
  <c r="H7"/>
  <c r="AX7" l="1"/>
  <c r="C6" i="49"/>
  <c r="C25" i="210"/>
  <c r="I19" l="1"/>
  <c r="E19" s="1"/>
  <c r="I17"/>
  <c r="G17" s="1"/>
  <c r="E17"/>
  <c r="I15"/>
  <c r="G15" s="1"/>
  <c r="E101" i="39"/>
  <c r="E100"/>
  <c r="I91"/>
  <c r="K75"/>
  <c r="E75"/>
  <c r="K74"/>
  <c r="E74"/>
  <c r="E103" l="1"/>
  <c r="E15" i="210"/>
  <c r="G25"/>
  <c r="K71" i="39"/>
  <c r="G71"/>
  <c r="I70"/>
  <c r="I71" s="1"/>
  <c r="E70"/>
  <c r="E71" s="1"/>
  <c r="K69"/>
  <c r="E69"/>
  <c r="I69"/>
  <c r="E65"/>
  <c r="E64"/>
  <c r="E25" i="210" l="1"/>
  <c r="G63" i="39"/>
  <c r="K62"/>
  <c r="G62"/>
  <c r="G91" i="41" s="1"/>
  <c r="H91" s="1"/>
  <c r="K61" i="39"/>
  <c r="G61"/>
  <c r="K57"/>
  <c r="G57"/>
  <c r="G77" i="41" s="1"/>
  <c r="K56" i="39"/>
  <c r="I56" s="1"/>
  <c r="K55"/>
  <c r="I55" s="1"/>
  <c r="E55"/>
  <c r="K54"/>
  <c r="I54" s="1"/>
  <c r="K53"/>
  <c r="G53"/>
  <c r="H78" i="41" s="1"/>
  <c r="K50" i="39"/>
  <c r="G50"/>
  <c r="H72" i="41" s="1"/>
  <c r="K49" i="39"/>
  <c r="G49"/>
  <c r="K45"/>
  <c r="G45"/>
  <c r="H49" i="41" s="1"/>
  <c r="K44" i="39"/>
  <c r="G44"/>
  <c r="H48" i="41" s="1"/>
  <c r="K43" i="39"/>
  <c r="G43"/>
  <c r="K42"/>
  <c r="G42"/>
  <c r="K47" l="1"/>
  <c r="G47"/>
  <c r="G74" i="41"/>
  <c r="H71"/>
  <c r="G66" i="39"/>
  <c r="I63"/>
  <c r="H89" i="41"/>
  <c r="G83"/>
  <c r="H77"/>
  <c r="K66" i="39"/>
  <c r="G51"/>
  <c r="I42"/>
  <c r="I49"/>
  <c r="G58"/>
  <c r="I43"/>
  <c r="I61"/>
  <c r="I44"/>
  <c r="I50"/>
  <c r="K51"/>
  <c r="I45"/>
  <c r="I53"/>
  <c r="I57"/>
  <c r="K58"/>
  <c r="I62"/>
  <c r="K39"/>
  <c r="G39"/>
  <c r="H41" i="41" s="1"/>
  <c r="K38" i="39"/>
  <c r="G38"/>
  <c r="G53" i="41" s="1"/>
  <c r="E37" i="39"/>
  <c r="G29"/>
  <c r="E28"/>
  <c r="K27"/>
  <c r="G27"/>
  <c r="H28" i="41" s="1"/>
  <c r="G26" i="39"/>
  <c r="G27" i="41" s="1"/>
  <c r="H27" s="1"/>
  <c r="K24" i="39"/>
  <c r="G24"/>
  <c r="H26" i="41" s="1"/>
  <c r="K23" i="39"/>
  <c r="G23"/>
  <c r="H25" i="41" s="1"/>
  <c r="K22" i="39"/>
  <c r="G22"/>
  <c r="H24" i="41" s="1"/>
  <c r="G21" i="39"/>
  <c r="H23" i="41" s="1"/>
  <c r="G20" i="39"/>
  <c r="K15"/>
  <c r="G15"/>
  <c r="H17" i="41" s="1"/>
  <c r="K14" i="39"/>
  <c r="G14"/>
  <c r="H16" i="41" s="1"/>
  <c r="K13" i="39"/>
  <c r="G13"/>
  <c r="K8"/>
  <c r="I47" l="1"/>
  <c r="I29"/>
  <c r="G31" i="41"/>
  <c r="H22"/>
  <c r="G19"/>
  <c r="H40"/>
  <c r="G85"/>
  <c r="G94"/>
  <c r="H88"/>
  <c r="I66" i="39"/>
  <c r="G30"/>
  <c r="K30"/>
  <c r="I14"/>
  <c r="I26"/>
  <c r="I23"/>
  <c r="I51"/>
  <c r="I20"/>
  <c r="G17"/>
  <c r="I39"/>
  <c r="G40"/>
  <c r="G59" s="1"/>
  <c r="I21"/>
  <c r="I58"/>
  <c r="I38"/>
  <c r="K40"/>
  <c r="I15"/>
  <c r="K17"/>
  <c r="I24"/>
  <c r="I13"/>
  <c r="I22"/>
  <c r="I27"/>
  <c r="E8"/>
  <c r="F97" i="40"/>
  <c r="F96"/>
  <c r="F88"/>
  <c r="J86"/>
  <c r="L86" s="1"/>
  <c r="G33" i="41" l="1"/>
  <c r="G35" s="1"/>
  <c r="G105" s="1"/>
  <c r="H31"/>
  <c r="I30" i="39"/>
  <c r="I40"/>
  <c r="K33"/>
  <c r="G33"/>
  <c r="I17"/>
  <c r="J82" i="40"/>
  <c r="K82" s="1"/>
  <c r="F82"/>
  <c r="F81"/>
  <c r="J80"/>
  <c r="L80" s="1"/>
  <c r="F80"/>
  <c r="J79"/>
  <c r="F79"/>
  <c r="J56"/>
  <c r="J55"/>
  <c r="J54"/>
  <c r="F54"/>
  <c r="J53"/>
  <c r="K53" s="1"/>
  <c r="F53"/>
  <c r="E57" i="39" s="1"/>
  <c r="J52" i="40"/>
  <c r="K52" s="1"/>
  <c r="F52"/>
  <c r="J49"/>
  <c r="K49" s="1"/>
  <c r="F49"/>
  <c r="J48"/>
  <c r="K48" s="1"/>
  <c r="F48"/>
  <c r="F44"/>
  <c r="J43"/>
  <c r="K43" s="1"/>
  <c r="F43"/>
  <c r="J42"/>
  <c r="K42" s="1"/>
  <c r="F42"/>
  <c r="J41"/>
  <c r="K41" s="1"/>
  <c r="F41"/>
  <c r="J40"/>
  <c r="K40" s="1"/>
  <c r="F40"/>
  <c r="J39"/>
  <c r="K39" s="1"/>
  <c r="F39"/>
  <c r="E42" i="39" s="1"/>
  <c r="F38" i="40"/>
  <c r="F37"/>
  <c r="J36"/>
  <c r="K36" s="1"/>
  <c r="F36"/>
  <c r="E39" i="39" s="1"/>
  <c r="J35" i="40"/>
  <c r="K35" s="1"/>
  <c r="F35"/>
  <c r="E38" i="39" s="1"/>
  <c r="F34" i="40"/>
  <c r="N29" l="1"/>
  <c r="K16" i="229" s="1"/>
  <c r="J61" i="27" s="1"/>
  <c r="L54" i="40"/>
  <c r="L55"/>
  <c r="F50"/>
  <c r="F57"/>
  <c r="F46"/>
  <c r="K79"/>
  <c r="J46"/>
  <c r="F84"/>
  <c r="E49" i="39"/>
  <c r="E53"/>
  <c r="G72"/>
  <c r="E62"/>
  <c r="E61"/>
  <c r="J50" i="40"/>
  <c r="I33" i="39"/>
  <c r="J57" i="40"/>
  <c r="J84"/>
  <c r="E50" i="39"/>
  <c r="E43"/>
  <c r="L41" i="40"/>
  <c r="E44" i="39"/>
  <c r="E45"/>
  <c r="E54"/>
  <c r="E63"/>
  <c r="E40"/>
  <c r="F29" i="40"/>
  <c r="J28"/>
  <c r="K28" s="1"/>
  <c r="J26"/>
  <c r="K26" s="1"/>
  <c r="F26"/>
  <c r="E27" i="39" s="1"/>
  <c r="J25" i="40"/>
  <c r="K25" s="1"/>
  <c r="F25"/>
  <c r="J24"/>
  <c r="K24" s="1"/>
  <c r="F24"/>
  <c r="E24" i="39" s="1"/>
  <c r="J23" i="40"/>
  <c r="K23" s="1"/>
  <c r="F23"/>
  <c r="J22"/>
  <c r="K22" s="1"/>
  <c r="F22"/>
  <c r="J21"/>
  <c r="K21" s="1"/>
  <c r="F21"/>
  <c r="J20"/>
  <c r="K20" s="1"/>
  <c r="F20"/>
  <c r="E47" i="39" l="1"/>
  <c r="K14" i="340"/>
  <c r="J14" s="1"/>
  <c r="J21" s="1"/>
  <c r="J282" s="1"/>
  <c r="F59" i="40"/>
  <c r="C30" i="207"/>
  <c r="C44" i="49"/>
  <c r="D13" i="208"/>
  <c r="L211" i="48"/>
  <c r="C28" i="203"/>
  <c r="G8" i="217"/>
  <c r="J134" i="213"/>
  <c r="E38" i="212"/>
  <c r="J30" i="40"/>
  <c r="F30"/>
  <c r="E58" i="39"/>
  <c r="E51"/>
  <c r="E20"/>
  <c r="E29"/>
  <c r="E66"/>
  <c r="J59" i="40"/>
  <c r="E21" i="39"/>
  <c r="E23"/>
  <c r="E26"/>
  <c r="E22"/>
  <c r="K59"/>
  <c r="K72" l="1"/>
  <c r="K76"/>
  <c r="E30"/>
  <c r="E59"/>
  <c r="I59"/>
  <c r="J17" i="40"/>
  <c r="N17" s="1"/>
  <c r="F17"/>
  <c r="O17" s="1"/>
  <c r="J16"/>
  <c r="K16" s="1"/>
  <c r="F16"/>
  <c r="E14" i="39" s="1"/>
  <c r="J15" i="40"/>
  <c r="F15"/>
  <c r="J9"/>
  <c r="F9"/>
  <c r="O20" s="1"/>
  <c r="N16" l="1"/>
  <c r="N24" s="1"/>
  <c r="K18" i="229" s="1"/>
  <c r="N26" i="40"/>
  <c r="L62" i="29" s="1"/>
  <c r="O16" i="40"/>
  <c r="N22" s="1"/>
  <c r="K15"/>
  <c r="K99" s="1"/>
  <c r="L17"/>
  <c r="F18"/>
  <c r="E15" i="39"/>
  <c r="J18" i="40"/>
  <c r="J31" s="1"/>
  <c r="I72" i="39"/>
  <c r="E13"/>
  <c r="N20" i="40"/>
  <c r="J62" i="27" l="1"/>
  <c r="K23" i="229"/>
  <c r="Q23" i="40"/>
  <c r="E17" i="39"/>
  <c r="E33" s="1"/>
  <c r="E72" s="1"/>
  <c r="E76" s="1"/>
  <c r="F31" i="40"/>
  <c r="F94" s="1"/>
  <c r="F99" s="1"/>
  <c r="N18"/>
  <c r="O18"/>
  <c r="O21" s="1"/>
  <c r="P65" i="27" l="1"/>
  <c r="G7" i="217"/>
  <c r="L212" i="48"/>
  <c r="J135" i="213"/>
  <c r="F50" i="325"/>
  <c r="M103" i="41"/>
  <c r="J103"/>
  <c r="D103"/>
  <c r="M99"/>
  <c r="J99"/>
  <c r="D99"/>
  <c r="M94"/>
  <c r="J94"/>
  <c r="D94"/>
  <c r="L77" i="48" l="1"/>
  <c r="L78" s="1"/>
  <c r="J20" i="213"/>
  <c r="J90" i="40"/>
  <c r="L90" s="1"/>
  <c r="H50" i="325"/>
  <c r="C31" i="207"/>
  <c r="D14" i="208"/>
  <c r="C29" i="203"/>
  <c r="C15" i="52"/>
  <c r="B14" s="1"/>
  <c r="C13" s="1"/>
  <c r="C45" i="49"/>
  <c r="E41" i="212"/>
  <c r="E43" s="1"/>
  <c r="D83" i="41"/>
  <c r="M74"/>
  <c r="J74"/>
  <c r="D74"/>
  <c r="N49"/>
  <c r="L99" i="40" l="1"/>
  <c r="L79" i="48"/>
  <c r="L80" s="1"/>
  <c r="D85" i="41"/>
  <c r="J85"/>
  <c r="K101" i="40"/>
  <c r="I80" i="48"/>
  <c r="Q80" s="1"/>
  <c r="M85" i="41"/>
  <c r="J88" i="40"/>
  <c r="J92"/>
  <c r="N19" s="1"/>
  <c r="N21" s="1"/>
  <c r="D33" i="41"/>
  <c r="M19"/>
  <c r="J19"/>
  <c r="M99" i="40" l="1"/>
  <c r="M100" s="1"/>
  <c r="L81" i="48"/>
  <c r="L93" s="1"/>
  <c r="M35" i="41"/>
  <c r="J12" i="213" s="1"/>
  <c r="J94" i="40"/>
  <c r="J99" s="1"/>
  <c r="J35" i="41"/>
  <c r="J13" i="213"/>
  <c r="G55" i="325"/>
  <c r="D19" i="41"/>
  <c r="D35" s="1"/>
  <c r="D11" i="126"/>
  <c r="D10"/>
  <c r="D9"/>
  <c r="D8"/>
  <c r="C48" i="125"/>
  <c r="C11"/>
  <c r="D105" i="41" l="1"/>
  <c r="D110" s="1"/>
  <c r="D135" s="1"/>
  <c r="F13" i="126"/>
  <c r="J21" i="213"/>
  <c r="B31" i="127"/>
  <c r="C31" s="1"/>
  <c r="M105" i="41"/>
  <c r="M110" s="1"/>
  <c r="P78" i="27" s="1"/>
  <c r="J105" i="41"/>
  <c r="J110" s="1"/>
  <c r="G57" i="325"/>
  <c r="C49" i="124"/>
  <c r="C48" s="1"/>
  <c r="C51" s="1"/>
  <c r="C41"/>
  <c r="C40" s="1"/>
  <c r="Q23" i="27" l="1"/>
  <c r="Q7"/>
  <c r="J182" i="41"/>
  <c r="J183" s="1"/>
  <c r="J184" s="1"/>
  <c r="L145" i="48"/>
  <c r="J164" i="41"/>
  <c r="L156" i="48"/>
  <c r="I156" s="1"/>
  <c r="C39" i="124"/>
  <c r="C46" i="123"/>
  <c r="M173" i="41" l="1"/>
  <c r="M172"/>
  <c r="E21" i="212"/>
  <c r="F135" i="41"/>
  <c r="F137" s="1"/>
  <c r="F133"/>
  <c r="M135"/>
  <c r="J135"/>
  <c r="M164"/>
  <c r="N164" s="1"/>
  <c r="N166" s="1"/>
  <c r="I155" i="48"/>
  <c r="L144"/>
  <c r="C36" i="123"/>
  <c r="E13" i="212" s="1"/>
  <c r="C35" i="123"/>
  <c r="E12" i="212" s="1"/>
  <c r="C34" i="123"/>
  <c r="E11" i="212" s="1"/>
  <c r="C24" i="123"/>
  <c r="E20" i="212" s="1"/>
  <c r="C19" i="123"/>
  <c r="E22" i="212" s="1"/>
  <c r="C18" i="123"/>
  <c r="E19" i="212" s="1"/>
  <c r="C15" i="123"/>
  <c r="H62" i="268"/>
  <c r="D62"/>
  <c r="E54"/>
  <c r="G54" s="1"/>
  <c r="H54"/>
  <c r="D54"/>
  <c r="H31"/>
  <c r="E31" s="1"/>
  <c r="Q46" i="27" l="1"/>
  <c r="Q12"/>
  <c r="Q53"/>
  <c r="E17" i="212"/>
  <c r="Q52" i="27"/>
  <c r="Q11"/>
  <c r="Q10"/>
  <c r="J136" i="41"/>
  <c r="J137" s="1"/>
  <c r="Q29" i="27"/>
  <c r="Q49"/>
  <c r="Q33"/>
  <c r="Q48"/>
  <c r="Q14"/>
  <c r="Q19"/>
  <c r="Q32"/>
  <c r="Q38"/>
  <c r="Q50"/>
  <c r="Q27"/>
  <c r="Q17"/>
  <c r="Q35"/>
  <c r="Q39"/>
  <c r="Q15"/>
  <c r="Q41"/>
  <c r="Q51"/>
  <c r="Q65"/>
  <c r="Q28"/>
  <c r="Q45"/>
  <c r="Q16"/>
  <c r="Q22"/>
  <c r="Q34"/>
  <c r="Q40"/>
  <c r="F170" i="41"/>
  <c r="D65" i="268"/>
  <c r="C17" i="123"/>
  <c r="E24" i="212" s="1"/>
  <c r="C26" i="123"/>
  <c r="E18" i="212" s="1"/>
  <c r="C22" i="123"/>
  <c r="E26" i="212" s="1"/>
  <c r="H65" i="268"/>
  <c r="F47" i="310"/>
  <c r="E47"/>
  <c r="D47"/>
  <c r="F43"/>
  <c r="E43"/>
  <c r="D43"/>
  <c r="F31"/>
  <c r="E31"/>
  <c r="D31" s="1"/>
  <c r="F47" i="269"/>
  <c r="E47"/>
  <c r="D47"/>
  <c r="F40"/>
  <c r="D40"/>
  <c r="E37"/>
  <c r="E35"/>
  <c r="E34"/>
  <c r="F31"/>
  <c r="E31" s="1"/>
  <c r="D50" l="1"/>
  <c r="E50" i="310"/>
  <c r="E65" i="268"/>
  <c r="E40" i="269"/>
  <c r="E50" s="1"/>
  <c r="F50"/>
  <c r="D50" i="310"/>
  <c r="F50"/>
  <c r="C25" i="123"/>
  <c r="C16"/>
  <c r="G68" i="268" l="1"/>
  <c r="H68" s="1"/>
  <c r="E25" i="212"/>
  <c r="E23"/>
  <c r="D45" i="126"/>
  <c r="D51" s="1"/>
  <c r="J69" i="27"/>
  <c r="G15" i="217" s="1"/>
  <c r="H46" i="263"/>
  <c r="H41"/>
  <c r="I41" s="1"/>
  <c r="H30"/>
  <c r="D30"/>
  <c r="D48" s="1"/>
  <c r="H467" i="229" l="1"/>
  <c r="G60"/>
  <c r="G67" s="1"/>
  <c r="J60"/>
  <c r="D18" i="208"/>
  <c r="C33" i="203"/>
  <c r="C36" i="207"/>
  <c r="F53" i="325"/>
  <c r="H53" s="1"/>
  <c r="J68" i="27"/>
  <c r="P76" s="1"/>
  <c r="H48" i="263"/>
  <c r="E48"/>
  <c r="F24" i="270"/>
  <c r="E24"/>
  <c r="D24"/>
  <c r="F19"/>
  <c r="D19"/>
  <c r="E17"/>
  <c r="E14"/>
  <c r="G44" i="121"/>
  <c r="G33"/>
  <c r="E33"/>
  <c r="G467" i="229" l="1"/>
  <c r="G49" i="263"/>
  <c r="H49" s="1"/>
  <c r="F55" i="325"/>
  <c r="H55" s="1"/>
  <c r="F4"/>
  <c r="C35" i="207"/>
  <c r="D17" i="208"/>
  <c r="C32" i="203"/>
  <c r="D26" i="270"/>
  <c r="E19"/>
  <c r="F26"/>
  <c r="C32" i="121"/>
  <c r="G28"/>
  <c r="C27"/>
  <c r="E28" s="1"/>
  <c r="E15"/>
  <c r="F18" i="325" l="1"/>
  <c r="F57" s="1"/>
  <c r="H4"/>
  <c r="E26" i="270"/>
  <c r="I28" i="121"/>
  <c r="C25" i="216" l="1"/>
  <c r="C24"/>
  <c r="C23"/>
  <c r="C22" s="1"/>
  <c r="C20"/>
  <c r="C19"/>
  <c r="C15"/>
  <c r="C14" s="1"/>
  <c r="C13"/>
  <c r="F37" i="120"/>
  <c r="L23" l="1"/>
  <c r="J23" s="1"/>
  <c r="H20"/>
  <c r="F20" s="1"/>
  <c r="H19" l="1"/>
  <c r="N19" s="1"/>
  <c r="L19" s="1"/>
  <c r="F19"/>
  <c r="L42" s="1"/>
  <c r="L13"/>
  <c r="E6" i="216" l="1"/>
  <c r="L43" i="120"/>
  <c r="B11" i="52"/>
  <c r="B44" i="127"/>
  <c r="D44" s="1"/>
  <c r="C42" i="121"/>
  <c r="E43" s="1"/>
  <c r="I44" s="1"/>
  <c r="C19"/>
  <c r="C10" i="52" l="1"/>
  <c r="B16"/>
  <c r="C14" i="127"/>
  <c r="E37" i="121"/>
  <c r="I33"/>
  <c r="L20" i="120"/>
  <c r="N20"/>
  <c r="F27"/>
  <c r="F28"/>
  <c r="C19" i="127"/>
  <c r="G20" i="121" s="1"/>
  <c r="E20"/>
  <c r="B19" i="127" s="1"/>
  <c r="E101" i="48"/>
  <c r="I112"/>
  <c r="E112"/>
  <c r="I102"/>
  <c r="E102"/>
  <c r="I111"/>
  <c r="E111"/>
  <c r="I116"/>
  <c r="E116"/>
  <c r="I104"/>
  <c r="E104"/>
  <c r="I100"/>
  <c r="E100"/>
  <c r="I103"/>
  <c r="E103"/>
  <c r="I114"/>
  <c r="E114"/>
  <c r="I105"/>
  <c r="I113"/>
  <c r="I117"/>
  <c r="E117"/>
  <c r="C10" i="123"/>
  <c r="I110" i="48"/>
  <c r="E110"/>
  <c r="I115"/>
  <c r="E115"/>
  <c r="I122"/>
  <c r="E122"/>
  <c r="D18" i="126"/>
  <c r="C14" i="124"/>
  <c r="C16" s="1"/>
  <c r="D16" s="1"/>
  <c r="C19"/>
  <c r="C20"/>
  <c r="L142" i="48" s="1"/>
  <c r="C21" i="124"/>
  <c r="L143" i="48" s="1"/>
  <c r="C25" i="124"/>
  <c r="C26"/>
  <c r="L132" i="48" s="1"/>
  <c r="C27" i="124"/>
  <c r="L133" i="48" s="1"/>
  <c r="C28" i="124"/>
  <c r="L134" i="48" s="1"/>
  <c r="C29" i="124"/>
  <c r="L135" i="48" s="1"/>
  <c r="C30" i="124"/>
  <c r="L136" i="48" s="1"/>
  <c r="C31" i="124"/>
  <c r="L137" i="48" s="1"/>
  <c r="C32" i="124"/>
  <c r="L138" i="48" s="1"/>
  <c r="C33" i="124"/>
  <c r="L139" i="48" s="1"/>
  <c r="C34" i="124"/>
  <c r="L140" i="48" s="1"/>
  <c r="C43" i="124"/>
  <c r="C44" s="1"/>
  <c r="D44" s="1"/>
  <c r="C54"/>
  <c r="C55"/>
  <c r="L158" i="48" s="1"/>
  <c r="C56" i="124"/>
  <c r="L159" i="48" s="1"/>
  <c r="C57" i="124"/>
  <c r="L170" i="48" s="1"/>
  <c r="C58" i="124"/>
  <c r="L171" i="48" s="1"/>
  <c r="C59" i="124"/>
  <c r="L172" i="48" s="1"/>
  <c r="C60" i="124"/>
  <c r="L173" i="48" s="1"/>
  <c r="C61" i="124"/>
  <c r="L174" i="48" s="1"/>
  <c r="C62" i="124"/>
  <c r="L175" i="48" s="1"/>
  <c r="C63" i="124"/>
  <c r="L176" i="48" s="1"/>
  <c r="C78" i="124"/>
  <c r="C79" s="1"/>
  <c r="D79" s="1"/>
  <c r="C84"/>
  <c r="C85"/>
  <c r="L181" i="48" s="1"/>
  <c r="C92" i="124"/>
  <c r="L182" i="48" s="1"/>
  <c r="C93" i="124"/>
  <c r="C94"/>
  <c r="L184" i="48" s="1"/>
  <c r="C102" i="124"/>
  <c r="L150" i="48" s="1"/>
  <c r="C103" i="124"/>
  <c r="L148" i="48" s="1"/>
  <c r="C104" i="124"/>
  <c r="L149" i="48" s="1"/>
  <c r="C106" i="124"/>
  <c r="L153" i="48"/>
  <c r="L185"/>
  <c r="C26" i="125"/>
  <c r="C27"/>
  <c r="C28"/>
  <c r="D31" i="127"/>
  <c r="C16" i="125"/>
  <c r="C20"/>
  <c r="C36"/>
  <c r="C38"/>
  <c r="C39"/>
  <c r="C26" i="127"/>
  <c r="B26"/>
  <c r="K106" i="39"/>
  <c r="I25" i="210"/>
  <c r="E48" i="212"/>
  <c r="J22" i="213"/>
  <c r="J28" s="1"/>
  <c r="G39"/>
  <c r="I39"/>
  <c r="G34"/>
  <c r="G35"/>
  <c r="G36"/>
  <c r="G37"/>
  <c r="G38"/>
  <c r="G42"/>
  <c r="G45"/>
  <c r="G46"/>
  <c r="G47"/>
  <c r="G49"/>
  <c r="G50"/>
  <c r="G51"/>
  <c r="G52"/>
  <c r="I34"/>
  <c r="I38"/>
  <c r="I45"/>
  <c r="I35"/>
  <c r="I47"/>
  <c r="G82"/>
  <c r="I82"/>
  <c r="E36"/>
  <c r="E37"/>
  <c r="E42"/>
  <c r="E46"/>
  <c r="E51"/>
  <c r="I55"/>
  <c r="J55" s="1"/>
  <c r="I36"/>
  <c r="I42"/>
  <c r="I46"/>
  <c r="J64"/>
  <c r="E63"/>
  <c r="G63"/>
  <c r="I63"/>
  <c r="I62"/>
  <c r="J62" s="1"/>
  <c r="E109"/>
  <c r="G109"/>
  <c r="I109"/>
  <c r="G77"/>
  <c r="I77"/>
  <c r="G111"/>
  <c r="I111"/>
  <c r="E61"/>
  <c r="G61"/>
  <c r="I61"/>
  <c r="I67"/>
  <c r="J67" s="1"/>
  <c r="I37"/>
  <c r="G110"/>
  <c r="I110"/>
  <c r="G75"/>
  <c r="I75"/>
  <c r="I52"/>
  <c r="G60"/>
  <c r="I60"/>
  <c r="I50"/>
  <c r="I51"/>
  <c r="J112"/>
  <c r="E79"/>
  <c r="G79"/>
  <c r="I79"/>
  <c r="G78"/>
  <c r="I78"/>
  <c r="E59"/>
  <c r="G59"/>
  <c r="I59"/>
  <c r="E72"/>
  <c r="G72"/>
  <c r="I72"/>
  <c r="E71"/>
  <c r="G71"/>
  <c r="I71"/>
  <c r="G70"/>
  <c r="I70"/>
  <c r="E95"/>
  <c r="G95"/>
  <c r="I95"/>
  <c r="E101"/>
  <c r="G101"/>
  <c r="I101"/>
  <c r="E108"/>
  <c r="G108"/>
  <c r="I108"/>
  <c r="G107"/>
  <c r="I107"/>
  <c r="G106"/>
  <c r="G66"/>
  <c r="G68"/>
  <c r="G69"/>
  <c r="G73"/>
  <c r="G81"/>
  <c r="G94"/>
  <c r="G96"/>
  <c r="G97"/>
  <c r="G98"/>
  <c r="G99"/>
  <c r="G100"/>
  <c r="G102"/>
  <c r="G103"/>
  <c r="G104"/>
  <c r="E106"/>
  <c r="E73"/>
  <c r="I73"/>
  <c r="E98"/>
  <c r="I98"/>
  <c r="E97"/>
  <c r="I97"/>
  <c r="E96"/>
  <c r="I96"/>
  <c r="I106"/>
  <c r="I65"/>
  <c r="J65" s="1"/>
  <c r="I66"/>
  <c r="I68"/>
  <c r="I69"/>
  <c r="I81"/>
  <c r="I99"/>
  <c r="I100"/>
  <c r="I102"/>
  <c r="I103"/>
  <c r="I58"/>
  <c r="E66"/>
  <c r="E68"/>
  <c r="E94"/>
  <c r="E100"/>
  <c r="E69"/>
  <c r="E81"/>
  <c r="E99"/>
  <c r="E103"/>
  <c r="E104"/>
  <c r="M18" i="27"/>
  <c r="M20"/>
  <c r="P20" s="1"/>
  <c r="V20" s="1"/>
  <c r="C49" i="49"/>
  <c r="C12" i="277"/>
  <c r="E12" s="1"/>
  <c r="C11"/>
  <c r="E11" s="1"/>
  <c r="C10"/>
  <c r="E10" s="1"/>
  <c r="C9"/>
  <c r="E9" s="1"/>
  <c r="C8"/>
  <c r="C8" i="264"/>
  <c r="D11"/>
  <c r="E11" s="1"/>
  <c r="B11" i="242"/>
  <c r="B22" s="1"/>
  <c r="C11"/>
  <c r="C22" s="1"/>
  <c r="C227" i="142"/>
  <c r="C229" s="1"/>
  <c r="B9" i="238"/>
  <c r="B21" s="1"/>
  <c r="C11"/>
  <c r="F11" s="1"/>
  <c r="F13"/>
  <c r="B9" i="298"/>
  <c r="B38" s="1"/>
  <c r="C7" i="262"/>
  <c r="E7" s="1"/>
  <c r="E11" s="1"/>
  <c r="E21" s="1"/>
  <c r="D21"/>
  <c r="C11" i="252"/>
  <c r="E11"/>
  <c r="E26" s="1"/>
  <c r="F10" i="291"/>
  <c r="G12"/>
  <c r="G22" s="1"/>
  <c r="C10" i="301"/>
  <c r="E10" s="1"/>
  <c r="E17" s="1"/>
  <c r="E9" i="251"/>
  <c r="E31" s="1"/>
  <c r="C9" i="313"/>
  <c r="C33" s="1"/>
  <c r="B9"/>
  <c r="C48" i="49"/>
  <c r="C7"/>
  <c r="C20"/>
  <c r="D23" i="50"/>
  <c r="D22"/>
  <c r="E11" i="309"/>
  <c r="E25" s="1"/>
  <c r="Q8" i="27"/>
  <c r="E38" i="325"/>
  <c r="E39"/>
  <c r="H39" s="1"/>
  <c r="E40"/>
  <c r="H40" s="1"/>
  <c r="E6"/>
  <c r="E9"/>
  <c r="H9" s="1"/>
  <c r="E10"/>
  <c r="H10" s="1"/>
  <c r="E13"/>
  <c r="H13" s="1"/>
  <c r="E15"/>
  <c r="H15" s="1"/>
  <c r="Q37" i="27"/>
  <c r="Q36"/>
  <c r="H11" i="325"/>
  <c r="H8"/>
  <c r="I170" i="48"/>
  <c r="I171"/>
  <c r="I172"/>
  <c r="I173"/>
  <c r="I174"/>
  <c r="I175"/>
  <c r="I176"/>
  <c r="G180"/>
  <c r="I180" s="1"/>
  <c r="I181"/>
  <c r="I182"/>
  <c r="I183"/>
  <c r="G185"/>
  <c r="I185" s="1"/>
  <c r="I128"/>
  <c r="I130"/>
  <c r="I131"/>
  <c r="I132"/>
  <c r="I133"/>
  <c r="I134"/>
  <c r="I135"/>
  <c r="I136"/>
  <c r="I138"/>
  <c r="I139"/>
  <c r="I140"/>
  <c r="I141"/>
  <c r="I142"/>
  <c r="I143"/>
  <c r="I147"/>
  <c r="I148"/>
  <c r="I149"/>
  <c r="I150"/>
  <c r="I152"/>
  <c r="I154"/>
  <c r="I157"/>
  <c r="I158"/>
  <c r="I159"/>
  <c r="H45" i="325"/>
  <c r="L14" i="202"/>
  <c r="L23" s="1"/>
  <c r="N15"/>
  <c r="N23" s="1"/>
  <c r="N32"/>
  <c r="P32" s="1"/>
  <c r="O15"/>
  <c r="O23" s="1"/>
  <c r="N31"/>
  <c r="P31" s="1"/>
  <c r="N39"/>
  <c r="O31"/>
  <c r="O39"/>
  <c r="Z39" s="1"/>
  <c r="X55"/>
  <c r="W55"/>
  <c r="V55"/>
  <c r="T55"/>
  <c r="K39" i="272"/>
  <c r="L39" s="1"/>
  <c r="P39" s="1"/>
  <c r="P47" s="1"/>
  <c r="O11"/>
  <c r="P11" s="1"/>
  <c r="O6"/>
  <c r="P6" s="1"/>
  <c r="O9"/>
  <c r="N9"/>
  <c r="AA9" s="1"/>
  <c r="M9"/>
  <c r="L9"/>
  <c r="L18" s="1"/>
  <c r="N6"/>
  <c r="Z6" s="1"/>
  <c r="Y18"/>
  <c r="Y49" s="1"/>
  <c r="X18"/>
  <c r="X49" s="1"/>
  <c r="W18"/>
  <c r="D32" i="205"/>
  <c r="P18" i="27" l="1"/>
  <c r="V18" s="1"/>
  <c r="N18"/>
  <c r="M24"/>
  <c r="M57" s="1"/>
  <c r="C40" i="125"/>
  <c r="AX9" i="27"/>
  <c r="C87" i="124"/>
  <c r="D87" s="1"/>
  <c r="L152" i="48"/>
  <c r="C111" i="124"/>
  <c r="D111" s="1"/>
  <c r="C66"/>
  <c r="D66" s="1"/>
  <c r="L183" i="48"/>
  <c r="C97" i="124"/>
  <c r="D97" s="1"/>
  <c r="L131" i="48"/>
  <c r="C35" i="124"/>
  <c r="D35" s="1"/>
  <c r="L179" i="48"/>
  <c r="C22" i="124"/>
  <c r="D22" s="1"/>
  <c r="E125" i="48"/>
  <c r="G113" i="213"/>
  <c r="I113"/>
  <c r="M21" i="120"/>
  <c r="L25"/>
  <c r="L29" s="1"/>
  <c r="L157" i="48"/>
  <c r="E65"/>
  <c r="E80" s="1"/>
  <c r="E81" s="1"/>
  <c r="E93" s="1"/>
  <c r="C15" i="49"/>
  <c r="AX20" i="27"/>
  <c r="I99" i="48"/>
  <c r="G125"/>
  <c r="J41" i="213"/>
  <c r="J42"/>
  <c r="C9" i="49"/>
  <c r="J81" i="213"/>
  <c r="Z23" i="202"/>
  <c r="Z15"/>
  <c r="AA31"/>
  <c r="Z31"/>
  <c r="J52" i="213"/>
  <c r="BO54" i="225"/>
  <c r="L154" i="48"/>
  <c r="L147"/>
  <c r="D19" i="127"/>
  <c r="E14" i="325"/>
  <c r="H14" s="1"/>
  <c r="J63" i="213"/>
  <c r="J34"/>
  <c r="D19" i="264"/>
  <c r="J103" i="213"/>
  <c r="J106"/>
  <c r="J97"/>
  <c r="L130" i="48"/>
  <c r="J78" i="213"/>
  <c r="O18" i="272"/>
  <c r="O49" s="1"/>
  <c r="P15" i="202"/>
  <c r="N18" i="272"/>
  <c r="N49" s="1"/>
  <c r="Z49" s="1"/>
  <c r="J46" i="213"/>
  <c r="I20" i="121"/>
  <c r="J75" i="213"/>
  <c r="J94"/>
  <c r="J51"/>
  <c r="J110"/>
  <c r="F11" i="252"/>
  <c r="Q20" i="27"/>
  <c r="C21" i="125"/>
  <c r="J102" i="213"/>
  <c r="J60"/>
  <c r="J66"/>
  <c r="J98"/>
  <c r="K55" i="202"/>
  <c r="G17" i="51" s="1"/>
  <c r="G19" s="1"/>
  <c r="F9" i="251"/>
  <c r="F31" s="1"/>
  <c r="C11" i="262"/>
  <c r="C21" s="1"/>
  <c r="J107" i="213"/>
  <c r="J95"/>
  <c r="J59"/>
  <c r="J111"/>
  <c r="C38" i="127"/>
  <c r="I38" i="121" s="1"/>
  <c r="J45" i="213"/>
  <c r="C30" i="125"/>
  <c r="AA6" i="272"/>
  <c r="AA49" s="1"/>
  <c r="C21" i="238"/>
  <c r="F9"/>
  <c r="F21" s="1"/>
  <c r="J96" i="213"/>
  <c r="J73"/>
  <c r="J79"/>
  <c r="J92"/>
  <c r="J39"/>
  <c r="E12" i="325"/>
  <c r="H12" s="1"/>
  <c r="L178" i="48"/>
  <c r="H12" i="291"/>
  <c r="E9" i="298"/>
  <c r="E38" s="1"/>
  <c r="J104" i="213"/>
  <c r="J99"/>
  <c r="J68"/>
  <c r="J37"/>
  <c r="Z9" i="272"/>
  <c r="Q76" i="27"/>
  <c r="C26" i="252"/>
  <c r="J100" i="213"/>
  <c r="J50"/>
  <c r="J109"/>
  <c r="J82"/>
  <c r="J47"/>
  <c r="L47" i="272"/>
  <c r="L49" s="1"/>
  <c r="Q9" i="27"/>
  <c r="J69" i="213"/>
  <c r="AA39" i="202"/>
  <c r="O41"/>
  <c r="O55" s="1"/>
  <c r="AA15"/>
  <c r="P39"/>
  <c r="P41" s="1"/>
  <c r="N41"/>
  <c r="H6" i="325"/>
  <c r="F9" i="313"/>
  <c r="F33" s="1"/>
  <c r="B33"/>
  <c r="H10" i="291"/>
  <c r="F22"/>
  <c r="E8" i="277"/>
  <c r="E17" s="1"/>
  <c r="C17"/>
  <c r="J101" i="213"/>
  <c r="J72"/>
  <c r="J77"/>
  <c r="E47" i="325"/>
  <c r="H38"/>
  <c r="E8" i="264"/>
  <c r="E19" s="1"/>
  <c r="C19"/>
  <c r="G15" i="121"/>
  <c r="I15" s="1"/>
  <c r="D14" i="127"/>
  <c r="K47" i="272"/>
  <c r="K49" s="1"/>
  <c r="J71" i="213"/>
  <c r="J35"/>
  <c r="I101" i="48"/>
  <c r="W49" i="272"/>
  <c r="U49" s="1"/>
  <c r="P9"/>
  <c r="P18" s="1"/>
  <c r="L55" i="202"/>
  <c r="P14"/>
  <c r="E11" i="242"/>
  <c r="E22" s="1"/>
  <c r="J108" i="213"/>
  <c r="J70"/>
  <c r="J61"/>
  <c r="J38"/>
  <c r="G56"/>
  <c r="D26" i="127"/>
  <c r="L141" i="48"/>
  <c r="E9" i="216"/>
  <c r="J36" i="213"/>
  <c r="I125" i="48" l="1"/>
  <c r="F36" i="120"/>
  <c r="J132" i="213"/>
  <c r="C50" i="125"/>
  <c r="E185" i="48"/>
  <c r="E187" s="1"/>
  <c r="AA55" i="202"/>
  <c r="G137" i="213"/>
  <c r="L209" i="48"/>
  <c r="Q18" i="27"/>
  <c r="AX18"/>
  <c r="P23" i="202"/>
  <c r="C27" i="203"/>
  <c r="CG54" i="225"/>
  <c r="R54" i="227" s="1"/>
  <c r="Z55" i="202"/>
  <c r="AA58" s="1"/>
  <c r="O57"/>
  <c r="N57" s="1"/>
  <c r="Z41"/>
  <c r="H22" i="291"/>
  <c r="E18" i="325"/>
  <c r="H18" s="1"/>
  <c r="D12" i="208"/>
  <c r="C21" i="49"/>
  <c r="G114" i="213"/>
  <c r="P49" i="272"/>
  <c r="P51" s="1"/>
  <c r="AB18"/>
  <c r="Z51"/>
  <c r="H47" i="325"/>
  <c r="V207" i="48" l="1"/>
  <c r="E216"/>
  <c r="E223" s="1"/>
  <c r="D21" i="50"/>
  <c r="F21" i="51"/>
  <c r="F23" s="1"/>
  <c r="E23" s="1"/>
  <c r="E37" s="1"/>
  <c r="AB23" i="202"/>
  <c r="E57" i="325"/>
  <c r="H57" s="1"/>
  <c r="C62" s="1"/>
  <c r="C28" i="299"/>
  <c r="C41" s="1"/>
  <c r="D7" i="231"/>
  <c r="F7" s="1"/>
  <c r="C42" i="27"/>
  <c r="BY13" i="266"/>
  <c r="AG12" i="46" s="1"/>
  <c r="D60" i="288"/>
  <c r="D71" s="1"/>
  <c r="D79" s="1"/>
  <c r="D98"/>
  <c r="D111" s="1"/>
  <c r="D122" s="1"/>
  <c r="D134" s="1"/>
  <c r="D143" s="1"/>
  <c r="D157" s="1"/>
  <c r="D166" s="1"/>
  <c r="D181" s="1"/>
  <c r="D192" s="1"/>
  <c r="D208" s="1"/>
  <c r="D220" s="1"/>
  <c r="D232" s="1"/>
  <c r="D247" s="1"/>
  <c r="J53" i="13"/>
  <c r="O30" i="302"/>
  <c r="Q30"/>
  <c r="O84"/>
  <c r="R84" s="1"/>
  <c r="C84" s="1"/>
  <c r="O27"/>
  <c r="R27" s="1"/>
  <c r="C27" s="1"/>
  <c r="N50"/>
  <c r="O50" s="1"/>
  <c r="R50" s="1"/>
  <c r="C50" s="1"/>
  <c r="O173"/>
  <c r="P173"/>
  <c r="P231" s="1"/>
  <c r="R195"/>
  <c r="C195" s="1"/>
  <c r="O117"/>
  <c r="Q117"/>
  <c r="O97"/>
  <c r="Q97"/>
  <c r="O227"/>
  <c r="R227" s="1"/>
  <c r="C227" s="1"/>
  <c r="O25"/>
  <c r="R25" s="1"/>
  <c r="N120"/>
  <c r="O120" s="1"/>
  <c r="R120" s="1"/>
  <c r="C120" s="1"/>
  <c r="O141"/>
  <c r="R141" s="1"/>
  <c r="Q146"/>
  <c r="R146" s="1"/>
  <c r="C146" s="1"/>
  <c r="O150"/>
  <c r="Q150"/>
  <c r="F48" i="101"/>
  <c r="K12" i="18" s="1"/>
  <c r="E20" i="305"/>
  <c r="E25" s="1"/>
  <c r="D25"/>
  <c r="C25"/>
  <c r="B25"/>
  <c r="K24" i="18" l="1"/>
  <c r="J24" s="1"/>
  <c r="R19" i="214" s="1"/>
  <c r="R22" s="1"/>
  <c r="E49" i="213" s="1"/>
  <c r="K20" i="18"/>
  <c r="J20" s="1"/>
  <c r="Q19" i="214" s="1"/>
  <c r="Q22" s="1"/>
  <c r="E48" i="213" s="1"/>
  <c r="K22" i="18"/>
  <c r="K19" i="214" s="1"/>
  <c r="K22" s="1"/>
  <c r="E43" i="213" s="1"/>
  <c r="J12" i="18"/>
  <c r="AB40" i="214"/>
  <c r="F37" i="51"/>
  <c r="B24" i="50"/>
  <c r="R117" i="302"/>
  <c r="C117" s="1"/>
  <c r="R30"/>
  <c r="C30" s="1"/>
  <c r="N231"/>
  <c r="C65" i="325"/>
  <c r="C63"/>
  <c r="C64"/>
  <c r="R150" i="302"/>
  <c r="C150" s="1"/>
  <c r="G13" i="27"/>
  <c r="H13" s="1"/>
  <c r="H70" i="21"/>
  <c r="I70" s="1"/>
  <c r="S13" i="27" s="1"/>
  <c r="C7" i="278"/>
  <c r="E7" s="1"/>
  <c r="E28" s="1"/>
  <c r="H153" i="20"/>
  <c r="I153" s="1"/>
  <c r="S30" i="27" s="1"/>
  <c r="G30"/>
  <c r="R97" i="302"/>
  <c r="C97" s="1"/>
  <c r="R173"/>
  <c r="C173" s="1"/>
  <c r="Q231"/>
  <c r="C31" i="206"/>
  <c r="C25" i="302"/>
  <c r="O231"/>
  <c r="D17" i="50"/>
  <c r="P30" i="27" l="1"/>
  <c r="H30"/>
  <c r="G24"/>
  <c r="P13"/>
  <c r="V13" s="1"/>
  <c r="K30" i="18"/>
  <c r="B19" i="214"/>
  <c r="J30" i="18"/>
  <c r="G8" i="39"/>
  <c r="G9" i="41" s="1"/>
  <c r="G110" s="1"/>
  <c r="G93" i="48"/>
  <c r="F13" i="120"/>
  <c r="F25" s="1"/>
  <c r="F29" s="1"/>
  <c r="C28" i="278"/>
  <c r="C230" i="302"/>
  <c r="R231"/>
  <c r="S259" s="1"/>
  <c r="AX30" i="27" l="1"/>
  <c r="V30"/>
  <c r="D10" i="50"/>
  <c r="H24" i="27"/>
  <c r="Q30"/>
  <c r="C25" i="49"/>
  <c r="B32" i="205"/>
  <c r="C21" i="27"/>
  <c r="E21" s="1"/>
  <c r="B9" i="252"/>
  <c r="Z19" i="214"/>
  <c r="Z22" s="1"/>
  <c r="B22"/>
  <c r="AX13" i="27"/>
  <c r="H25" i="120"/>
  <c r="H29" s="1"/>
  <c r="G76" i="39"/>
  <c r="I8"/>
  <c r="I76" s="1"/>
  <c r="I81" i="48"/>
  <c r="Q81" s="1"/>
  <c r="R81" s="1"/>
  <c r="J13" i="120"/>
  <c r="Q13" i="27"/>
  <c r="C12" i="49"/>
  <c r="C24" i="27" l="1"/>
  <c r="E33" i="213"/>
  <c r="E56" s="1"/>
  <c r="B26" i="252"/>
  <c r="F9"/>
  <c r="J25" i="120"/>
  <c r="N26" s="1"/>
  <c r="I93" i="48"/>
  <c r="B10" i="215"/>
  <c r="AB22" i="214" l="1"/>
  <c r="D9" i="50"/>
  <c r="B31" i="206"/>
  <c r="J29" i="120"/>
  <c r="B24" i="215"/>
  <c r="B56" s="1"/>
  <c r="BG57" s="1"/>
  <c r="BG10"/>
  <c r="C9" i="124" l="1"/>
  <c r="L128" i="48" s="1"/>
  <c r="L187" s="1"/>
  <c r="BG24" i="215"/>
  <c r="BG56" s="1"/>
  <c r="E58" i="213"/>
  <c r="E113" l="1"/>
  <c r="E137" s="1"/>
  <c r="C11" i="124"/>
  <c r="D11" s="1"/>
  <c r="J58" i="213"/>
  <c r="J113" s="1"/>
  <c r="J106" i="18"/>
  <c r="D12" i="252"/>
  <c r="D26" s="1"/>
  <c r="J21" i="27"/>
  <c r="P21" l="1"/>
  <c r="K21"/>
  <c r="H114" i="18"/>
  <c r="I114" s="1"/>
  <c r="S21" i="27" s="1"/>
  <c r="K106" i="18"/>
  <c r="J24" i="27"/>
  <c r="E114" i="213"/>
  <c r="F12" i="252"/>
  <c r="F13" s="1"/>
  <c r="F26" s="1"/>
  <c r="P24" i="27" l="1"/>
  <c r="V24" s="1"/>
  <c r="V21"/>
  <c r="AX21"/>
  <c r="J57"/>
  <c r="K57" s="1"/>
  <c r="BA24"/>
  <c r="Q21"/>
  <c r="C18" i="49"/>
  <c r="C22" s="1"/>
  <c r="C43" i="204"/>
  <c r="D11" i="50"/>
  <c r="C27" i="207" l="1"/>
  <c r="C26" i="203"/>
  <c r="D11" i="208"/>
  <c r="F35" i="120"/>
  <c r="G31" i="27" l="1"/>
  <c r="H31" s="1"/>
  <c r="G42" l="1"/>
  <c r="P31"/>
  <c r="V31" s="1"/>
  <c r="H42" l="1"/>
  <c r="BA42" s="1"/>
  <c r="D18" i="50"/>
  <c r="C32" i="205"/>
  <c r="G57" i="27"/>
  <c r="Q31"/>
  <c r="P42"/>
  <c r="V42" s="1"/>
  <c r="AX31"/>
  <c r="C24" i="49"/>
  <c r="C30" s="1"/>
  <c r="D134" i="32"/>
  <c r="E134"/>
  <c r="G134"/>
  <c r="K134" s="1"/>
  <c r="D10" i="208" l="1"/>
  <c r="H57" i="27"/>
  <c r="C25" i="203"/>
  <c r="F34" i="120"/>
  <c r="H144" i="32"/>
  <c r="I144" s="1"/>
  <c r="S31" i="27" s="1"/>
  <c r="H147" i="32"/>
  <c r="H148" s="1"/>
  <c r="D147"/>
  <c r="C28" i="207"/>
  <c r="I71" i="32" l="1"/>
  <c r="Z56" i="214" l="1"/>
  <c r="C21" i="216"/>
  <c r="E33" i="212"/>
  <c r="J54" i="213" l="1"/>
  <c r="C45" i="123"/>
  <c r="D51" i="124" l="1"/>
  <c r="C113"/>
  <c r="K465" i="229"/>
  <c r="C34" i="203" s="1"/>
  <c r="C43" i="123"/>
  <c r="C48" s="1"/>
  <c r="C56" i="27"/>
  <c r="E56" s="1"/>
  <c r="L118" i="48" l="1"/>
  <c r="C34" i="207"/>
  <c r="C28" i="216"/>
  <c r="C34" s="1"/>
  <c r="D12" i="126"/>
  <c r="D13" s="1"/>
  <c r="C8" i="52"/>
  <c r="C19" s="1"/>
  <c r="K467" i="229"/>
  <c r="D19" i="208"/>
  <c r="Z55" i="214"/>
  <c r="E32" i="212"/>
  <c r="E34" s="1"/>
  <c r="H47" i="120" l="1"/>
  <c r="F161" i="126"/>
  <c r="D238"/>
  <c r="F238" s="1"/>
  <c r="J53" i="213"/>
  <c r="F22" i="46" l="1"/>
  <c r="F51" s="1"/>
  <c r="G198" i="48" s="1"/>
  <c r="AD5" i="46"/>
  <c r="AG5" s="1"/>
  <c r="F114" i="29"/>
  <c r="F120" s="1"/>
  <c r="F148" s="1"/>
  <c r="I198" i="48" l="1"/>
  <c r="I207" s="1"/>
  <c r="G207"/>
  <c r="G114" i="29"/>
  <c r="G120" s="1"/>
  <c r="G148" s="1"/>
  <c r="AD22" i="46"/>
  <c r="Q207" i="48" l="1"/>
  <c r="AD51" i="46"/>
  <c r="BY7" i="266"/>
  <c r="AG6" i="46" s="1"/>
  <c r="F46" i="37"/>
  <c r="G46" s="1"/>
  <c r="G58" s="1"/>
  <c r="G74" s="1"/>
  <c r="O23" i="266"/>
  <c r="O55" s="1"/>
  <c r="G137" i="48" l="1"/>
  <c r="F58" i="37"/>
  <c r="F74" s="1"/>
  <c r="I137" i="48" l="1"/>
  <c r="BY8" i="266"/>
  <c r="AG7" i="46" s="1"/>
  <c r="F49" i="38"/>
  <c r="F60" s="1"/>
  <c r="F78" s="1"/>
  <c r="U23" i="266"/>
  <c r="G49" i="38" l="1"/>
  <c r="G60" s="1"/>
  <c r="G78" s="1"/>
  <c r="Y55" i="266" l="1"/>
  <c r="BY26"/>
  <c r="AG24" i="46" s="1"/>
  <c r="E56" i="1"/>
  <c r="F53" s="1"/>
  <c r="F65" s="1"/>
  <c r="F112" s="1"/>
  <c r="Z41" i="266"/>
  <c r="Z55" s="1"/>
  <c r="G145" i="48" l="1"/>
  <c r="E65" i="1"/>
  <c r="E112" s="1"/>
  <c r="I145" i="48" l="1"/>
  <c r="BF23" i="266"/>
  <c r="BF55" s="1"/>
  <c r="E62" i="10"/>
  <c r="E65" s="1"/>
  <c r="E103" s="1"/>
  <c r="BY14" i="266"/>
  <c r="BY23" s="1"/>
  <c r="G86" i="39" s="1"/>
  <c r="I86" s="1"/>
  <c r="AG13" i="46" l="1"/>
  <c r="F62" i="10"/>
  <c r="F65" s="1"/>
  <c r="F103" s="1"/>
  <c r="G153" i="48"/>
  <c r="I153" l="1"/>
  <c r="U41" i="266"/>
  <c r="U55" s="1"/>
  <c r="BY28"/>
  <c r="AG26" i="46" s="1"/>
  <c r="E53" i="20"/>
  <c r="F53" s="1"/>
  <c r="F68" s="1"/>
  <c r="F144" s="1"/>
  <c r="BY57" i="266" l="1"/>
  <c r="G144" i="48"/>
  <c r="G187" s="1"/>
  <c r="G216" s="1"/>
  <c r="E68" i="20"/>
  <c r="E144" s="1"/>
  <c r="BY41" i="266"/>
  <c r="I144" i="48" l="1"/>
  <c r="I187" s="1"/>
  <c r="I216" s="1"/>
  <c r="I223" s="1"/>
  <c r="G223"/>
  <c r="BY55" i="266"/>
  <c r="G88" i="39"/>
  <c r="Q216" i="48" l="1"/>
  <c r="G97" i="39"/>
  <c r="G106" s="1"/>
  <c r="I88"/>
  <c r="I97" s="1"/>
  <c r="I106" s="1"/>
  <c r="E36" i="91"/>
  <c r="E97" i="39"/>
  <c r="E106" s="1"/>
  <c r="E132"/>
  <c r="R56" i="227" l="1"/>
  <c r="AB55" i="202"/>
  <c r="N45" l="1"/>
  <c r="M12" i="4"/>
  <c r="P45" i="202" l="1"/>
  <c r="P53" s="1"/>
  <c r="P55" s="1"/>
  <c r="N59"/>
  <c r="N53"/>
  <c r="N55" s="1"/>
  <c r="G21" i="51" s="1"/>
  <c r="G23" s="1"/>
  <c r="G37" s="1"/>
  <c r="K12" i="4"/>
  <c r="M17"/>
  <c r="K17" s="1"/>
  <c r="Q44" i="214" s="1"/>
  <c r="Q52" s="1"/>
  <c r="M21" i="4"/>
  <c r="K21" s="1"/>
  <c r="R44" i="214" s="1"/>
  <c r="R52" s="1"/>
  <c r="M19" i="4"/>
  <c r="K44" i="214" s="1"/>
  <c r="K52" s="1"/>
  <c r="K27" i="4" l="1"/>
  <c r="B44" i="214"/>
  <c r="I49" i="213"/>
  <c r="J49" s="1"/>
  <c r="R57" i="214"/>
  <c r="K57"/>
  <c r="I43" i="213"/>
  <c r="J43" s="1"/>
  <c r="Q57" i="214"/>
  <c r="I48" i="213"/>
  <c r="J48" s="1"/>
  <c r="M27" i="4"/>
  <c r="K60" i="214" l="1"/>
  <c r="K61"/>
  <c r="K123" i="4"/>
  <c r="C47" i="27"/>
  <c r="L114" i="48"/>
  <c r="C26" i="216"/>
  <c r="C33" i="123"/>
  <c r="C23"/>
  <c r="L107" i="48"/>
  <c r="C30" i="216"/>
  <c r="B52" i="214"/>
  <c r="B57" s="1"/>
  <c r="Z44"/>
  <c r="Z52" s="1"/>
  <c r="Z53" s="1"/>
  <c r="Z57" s="1"/>
  <c r="H32" i="216" s="1"/>
  <c r="L113" i="48"/>
  <c r="C27" i="123"/>
  <c r="E15" i="212" s="1"/>
  <c r="C18" i="216"/>
  <c r="P47" i="27" l="1"/>
  <c r="E47"/>
  <c r="E10" i="212"/>
  <c r="C37" i="123"/>
  <c r="I33" i="213"/>
  <c r="I133" i="4"/>
  <c r="J133" s="1"/>
  <c r="M123"/>
  <c r="C29" i="123"/>
  <c r="C54" i="27"/>
  <c r="P54" l="1"/>
  <c r="V54" s="1"/>
  <c r="V47"/>
  <c r="I134" i="4"/>
  <c r="S47" i="27"/>
  <c r="J33" i="213"/>
  <c r="J56" s="1"/>
  <c r="I56"/>
  <c r="AB52" i="214"/>
  <c r="C57" i="27"/>
  <c r="D57" s="1"/>
  <c r="D13" i="50"/>
  <c r="D24" s="1"/>
  <c r="D31" i="206"/>
  <c r="Q47" i="27"/>
  <c r="C36" i="49"/>
  <c r="C40" s="1"/>
  <c r="C50" s="1"/>
  <c r="AX47" i="27"/>
  <c r="C8" i="123"/>
  <c r="C12" s="1"/>
  <c r="L98" i="48"/>
  <c r="L125" s="1"/>
  <c r="L216" s="1"/>
  <c r="L223" s="1"/>
  <c r="C10" i="216"/>
  <c r="C32" s="1"/>
  <c r="P57" i="27" l="1"/>
  <c r="E57"/>
  <c r="C50" i="123"/>
  <c r="E9" i="212"/>
  <c r="E30" s="1"/>
  <c r="C29" i="207"/>
  <c r="C38" s="1"/>
  <c r="BA57" i="27"/>
  <c r="AB53" i="214"/>
  <c r="C24" i="203"/>
  <c r="C36" s="1"/>
  <c r="D9" i="208"/>
  <c r="D21" s="1"/>
  <c r="H33" i="216"/>
  <c r="H34" s="1"/>
  <c r="H38" s="1"/>
  <c r="E36"/>
  <c r="E38" s="1"/>
  <c r="F33" i="120"/>
  <c r="J137" i="213"/>
  <c r="J114"/>
  <c r="I114"/>
  <c r="I137"/>
  <c r="F34" i="212" l="1"/>
  <c r="E50"/>
  <c r="P77" i="27"/>
  <c r="P79" s="1"/>
  <c r="P81" s="1"/>
  <c r="P83" s="1"/>
  <c r="V57"/>
  <c r="N37" i="120"/>
  <c r="H46"/>
  <c r="L47" s="1"/>
  <c r="L48" s="1"/>
  <c r="P89" i="27" l="1"/>
  <c r="P88"/>
  <c r="P86"/>
  <c r="F9" i="231"/>
  <c r="F30"/>
  <c r="D30"/>
  <c r="D9"/>
  <c r="C30"/>
  <c r="C9"/>
  <c r="E9"/>
  <c r="E30"/>
  <c r="N110" i="41"/>
</calcChain>
</file>

<file path=xl/sharedStrings.xml><?xml version="1.0" encoding="utf-8"?>
<sst xmlns="http://schemas.openxmlformats.org/spreadsheetml/2006/main" count="29826" uniqueCount="12269">
  <si>
    <t>Local Budget Preparation Form No. 3</t>
  </si>
  <si>
    <t>PROGRAM APPROPRIATION AND OBLIGATION BY OBJECT</t>
  </si>
  <si>
    <t>Office/Department           :</t>
  </si>
  <si>
    <t>OFFICE OF THE GOVERNOR- BDJ</t>
  </si>
  <si>
    <t>Function                           :</t>
  </si>
  <si>
    <t>Rehabilitation Services</t>
  </si>
  <si>
    <t>Project/Activity                :</t>
  </si>
  <si>
    <t>Fund/Special Account     :</t>
  </si>
  <si>
    <t>GENERAL FUND</t>
  </si>
  <si>
    <t xml:space="preserve"> </t>
  </si>
  <si>
    <t>Past Year</t>
  </si>
  <si>
    <t>Current Year</t>
  </si>
  <si>
    <t>Budget Year</t>
  </si>
  <si>
    <t>Object of Expenditures</t>
  </si>
  <si>
    <t>Account Code</t>
  </si>
  <si>
    <t>(Actual)</t>
  </si>
  <si>
    <t>(Estimate)</t>
  </si>
  <si>
    <t>1.0</t>
  </si>
  <si>
    <t>Current Operating Expenditures</t>
  </si>
  <si>
    <t>1.1 Personal Services</t>
  </si>
  <si>
    <t xml:space="preserve">      Salaries- Regular</t>
  </si>
  <si>
    <t xml:space="preserve">      PERA </t>
  </si>
  <si>
    <t xml:space="preserve">      Uniform Allowance</t>
  </si>
  <si>
    <t xml:space="preserve">      Productivity Incentive Allowance</t>
  </si>
  <si>
    <t xml:space="preserve">      Productivity Enhancement Allowance</t>
  </si>
  <si>
    <t>717-1</t>
  </si>
  <si>
    <t xml:space="preserve">      Cash Gift</t>
  </si>
  <si>
    <t xml:space="preserve">      Year End Bonus</t>
  </si>
  <si>
    <t xml:space="preserve">      PAG-IBIG Contributions</t>
  </si>
  <si>
    <t xml:space="preserve">      PhilHealth Contributions</t>
  </si>
  <si>
    <t xml:space="preserve">      ECC Contributions</t>
  </si>
  <si>
    <t xml:space="preserve">      Terminal Leave Benefits</t>
  </si>
  <si>
    <t xml:space="preserve">      Other Personnel Benefits-Monetization</t>
  </si>
  <si>
    <t xml:space="preserve">      Other Personnel Benefits- Loyalty </t>
  </si>
  <si>
    <t>749(1)</t>
  </si>
  <si>
    <t xml:space="preserve">      Other Personnel Benefits- Collective</t>
  </si>
  <si>
    <t>749(2)</t>
  </si>
  <si>
    <t xml:space="preserve">                  Sub-Total</t>
  </si>
  <si>
    <t>1.2 Maint. &amp; Other Optg. Expenditures</t>
  </si>
  <si>
    <t xml:space="preserve">      Traveling Expenses</t>
  </si>
  <si>
    <t>751(1)</t>
  </si>
  <si>
    <t xml:space="preserve">      Training Expenses</t>
  </si>
  <si>
    <t xml:space="preserve">      Office Supplies Expenses</t>
  </si>
  <si>
    <t xml:space="preserve">      Drugs and Medicines Expenses</t>
  </si>
  <si>
    <t xml:space="preserve">      Gasoline, Oil and Lubricants Expenses</t>
  </si>
  <si>
    <t xml:space="preserve">      Water Expenses</t>
  </si>
  <si>
    <t xml:space="preserve">      Electricity Expenses</t>
  </si>
  <si>
    <t xml:space="preserve">      Security Services</t>
  </si>
  <si>
    <t xml:space="preserve">      R &amp; M.- Office Equipment </t>
  </si>
  <si>
    <t xml:space="preserve">      Fidelity Bond Premiums</t>
  </si>
  <si>
    <t xml:space="preserve">      Other Maint. &amp; Oprtg. Expenses</t>
  </si>
  <si>
    <t>2.0</t>
  </si>
  <si>
    <t>Capital Outlay</t>
  </si>
  <si>
    <t>3.0</t>
  </si>
  <si>
    <t>Non-Office Expenditures</t>
  </si>
  <si>
    <t xml:space="preserve">      TOTAL APPROPRIATIONS</t>
  </si>
  <si>
    <t xml:space="preserve">      Salaries-Regular</t>
  </si>
  <si>
    <t>1011-701</t>
  </si>
  <si>
    <t xml:space="preserve">      PERA</t>
  </si>
  <si>
    <t xml:space="preserve">      Life and Retirement Insurance Cont'n.</t>
  </si>
  <si>
    <t xml:space="preserve">      Other Personnel Benefits-Loyalty</t>
  </si>
  <si>
    <t xml:space="preserve">      Gasoline, Oil &amp; Lubricants Expenses</t>
  </si>
  <si>
    <t xml:space="preserve">      Postage and Deliveries</t>
  </si>
  <si>
    <t>771 &amp; 784</t>
  </si>
  <si>
    <t xml:space="preserve">       Telephone - Mobile</t>
  </si>
  <si>
    <t xml:space="preserve">      General Services</t>
  </si>
  <si>
    <t xml:space="preserve">      General Services- Contractual</t>
  </si>
  <si>
    <t>795-2</t>
  </si>
  <si>
    <t xml:space="preserve">      R &amp; M - Office Equipment</t>
  </si>
  <si>
    <t xml:space="preserve">      R &amp; M - Furniture &amp; Fixtures</t>
  </si>
  <si>
    <t xml:space="preserve">      R &amp; M -IT Equipment &amp; Software</t>
  </si>
  <si>
    <t xml:space="preserve">      R &amp; M - Othr. Properties &amp; Equipt.</t>
  </si>
  <si>
    <t xml:space="preserve">      Fidelity Bond Premium</t>
  </si>
  <si>
    <t xml:space="preserve">      Other Maintenance &amp; Oprtg. Expenses</t>
  </si>
  <si>
    <t xml:space="preserve">      EMS Support Fund for Renewal and </t>
  </si>
  <si>
    <t>969(1)</t>
  </si>
  <si>
    <t>969(2)</t>
  </si>
  <si>
    <t>GO Satellite Office - BEPO</t>
  </si>
  <si>
    <t>Past year</t>
  </si>
  <si>
    <t xml:space="preserve">      Uniform  Allowance</t>
  </si>
  <si>
    <t xml:space="preserve">       </t>
  </si>
  <si>
    <t xml:space="preserve">  Traveling Expenses</t>
  </si>
  <si>
    <t xml:space="preserve">  Training Expenses</t>
  </si>
  <si>
    <t xml:space="preserve">  Office Supplies Expenses</t>
  </si>
  <si>
    <t>755 &amp; 765</t>
  </si>
  <si>
    <t xml:space="preserve">  General Services</t>
  </si>
  <si>
    <t xml:space="preserve">  R &amp; M - IT Equipment &amp; Software</t>
  </si>
  <si>
    <t xml:space="preserve">  Other Maint. &amp; Operating Expenses</t>
  </si>
  <si>
    <t>Fund/Special Account   :</t>
  </si>
  <si>
    <t xml:space="preserve">      Telephone Expenses - Mobile</t>
  </si>
  <si>
    <t xml:space="preserve">      General Services -Contractual</t>
  </si>
  <si>
    <t xml:space="preserve">      R &amp; M - Motor Vehicle</t>
  </si>
  <si>
    <t>Hospital Services</t>
  </si>
  <si>
    <t xml:space="preserve">Account </t>
  </si>
  <si>
    <t>Code</t>
  </si>
  <si>
    <t xml:space="preserve">      Hazard Pay</t>
  </si>
  <si>
    <t xml:space="preserve">      Other Personnel Benefits- Monetization</t>
  </si>
  <si>
    <t xml:space="preserve">      Accountable Forms Expenses</t>
  </si>
  <si>
    <t xml:space="preserve">      Food Supplies Expenses</t>
  </si>
  <si>
    <t>771, 784</t>
  </si>
  <si>
    <t xml:space="preserve">      Representation Expenses</t>
  </si>
  <si>
    <t>CAN2</t>
  </si>
  <si>
    <t xml:space="preserve">      Insurance Expenses</t>
  </si>
  <si>
    <t>Account</t>
  </si>
  <si>
    <t xml:space="preserve">      Representation Allowance</t>
  </si>
  <si>
    <t xml:space="preserve">      Transportation Allowance</t>
  </si>
  <si>
    <t xml:space="preserve">      Subsistence, Laundry &amp; Qrtrs.  Allow.</t>
  </si>
  <si>
    <t xml:space="preserve">      Telephone Expenses-Landline</t>
  </si>
  <si>
    <t xml:space="preserve">      Telelphone Expenses-Mobile</t>
  </si>
  <si>
    <t xml:space="preserve">      R &amp; M.- IT Equipment and Software</t>
  </si>
  <si>
    <t xml:space="preserve">      Taxes, Duties and Licenses</t>
  </si>
  <si>
    <t>CAR2</t>
  </si>
  <si>
    <t>Capital Outlay:</t>
  </si>
  <si>
    <t xml:space="preserve">      Overtime Pay</t>
  </si>
  <si>
    <t xml:space="preserve">      Printing and Binding Expenses</t>
  </si>
  <si>
    <t xml:space="preserve">      R &amp; M.- IT Equipment &amp; Software</t>
  </si>
  <si>
    <t>IT Equipment</t>
  </si>
  <si>
    <t xml:space="preserve">      Traveling Expenses </t>
  </si>
  <si>
    <t xml:space="preserve">      Cable, Satellite, Telegraph &amp; Radio Exp.</t>
  </si>
  <si>
    <t>795-1</t>
  </si>
  <si>
    <t>CLA2</t>
  </si>
  <si>
    <t>Capital Outlays:</t>
  </si>
  <si>
    <t xml:space="preserve">     Office Equipment</t>
  </si>
  <si>
    <t xml:space="preserve">      Other Personnel Benefits - Loyalty </t>
  </si>
  <si>
    <t xml:space="preserve">      Other Personnel Benefits - Collective</t>
  </si>
  <si>
    <t xml:space="preserve">      Postage &amp; Deliveries</t>
  </si>
  <si>
    <t xml:space="preserve">      Telephone-Mobile</t>
  </si>
  <si>
    <t xml:space="preserve">      Adveritising Expenses</t>
  </si>
  <si>
    <t xml:space="preserve">      Subscription Expenses</t>
  </si>
  <si>
    <t xml:space="preserve">2.0 </t>
  </si>
  <si>
    <t xml:space="preserve">3.0 </t>
  </si>
  <si>
    <t>Non Office Expenditures</t>
  </si>
  <si>
    <t xml:space="preserve">         TOTAL APPROPRIATION</t>
  </si>
  <si>
    <t>749-1</t>
  </si>
  <si>
    <t>TEODORO B. GALAGAR DIST. HOSPITAL- Jagna</t>
  </si>
  <si>
    <t xml:space="preserve">      Medical, Dental &amp; Lab. Sup. Expenses</t>
  </si>
  <si>
    <t xml:space="preserve">      Internet Expenses</t>
  </si>
  <si>
    <t>JAG-2</t>
  </si>
  <si>
    <t>OFFICE OF THE SANGGUNIANG PANLALAWIGAN</t>
  </si>
  <si>
    <t>Library Services</t>
  </si>
  <si>
    <t>1022-701</t>
  </si>
  <si>
    <t xml:space="preserve">      Overtime and Night Pay</t>
  </si>
  <si>
    <t xml:space="preserve">      Life &amp; Retirement Insurance Contr.</t>
  </si>
  <si>
    <t xml:space="preserve">     Other Personnel Benefits- Monetization</t>
  </si>
  <si>
    <t xml:space="preserve">      Text Bks. &amp; Oth. Instructional Expenses</t>
  </si>
  <si>
    <t xml:space="preserve">      Postage &amp; Deliveries (Trans. Services)</t>
  </si>
  <si>
    <t xml:space="preserve">      Tel., Teleg. &amp; Internet (Communication)</t>
  </si>
  <si>
    <t>772,  774</t>
  </si>
  <si>
    <t xml:space="preserve">      General  Services </t>
  </si>
  <si>
    <t xml:space="preserve">      R &amp; M. - IT Equipt.and Software</t>
  </si>
  <si>
    <t xml:space="preserve">      R &amp; M. - Other Machineries &amp; Equipt.</t>
  </si>
  <si>
    <t xml:space="preserve">      R &amp; M. - Motor Vehicle </t>
  </si>
  <si>
    <t xml:space="preserve">      Other Maint. &amp; Operating Expenses</t>
  </si>
  <si>
    <t>LOON2</t>
  </si>
  <si>
    <t xml:space="preserve">      Terminal Leave</t>
  </si>
  <si>
    <t xml:space="preserve">      Telephone Expenses</t>
  </si>
  <si>
    <t>MAR2</t>
  </si>
  <si>
    <t>Equipment Pool Services</t>
  </si>
  <si>
    <t xml:space="preserve">      Tel., Teleg. Landline</t>
  </si>
  <si>
    <t xml:space="preserve">      Tel., Teleg. Mobile (MOBILE LOAD)</t>
  </si>
  <si>
    <t xml:space="preserve">      R &amp; M. IT Equiptment &amp; Softwares</t>
  </si>
  <si>
    <t>IT Equipment &amp; Software</t>
  </si>
  <si>
    <t>Furniture &amp; Fixture</t>
  </si>
  <si>
    <t>Veterinary Services</t>
  </si>
  <si>
    <t xml:space="preserve">      Animal Supplies Expenses</t>
  </si>
  <si>
    <t xml:space="preserve">      Postage and Deliveries </t>
  </si>
  <si>
    <t xml:space="preserve">      R &amp; M.- Othr. Properties &amp; Equipment </t>
  </si>
  <si>
    <t>Assessment Services</t>
  </si>
  <si>
    <t xml:space="preserve">  </t>
  </si>
  <si>
    <t xml:space="preserve">      Other Maintenance &amp; Oprtg Expenses</t>
  </si>
  <si>
    <t xml:space="preserve">Capital Outlay- </t>
  </si>
  <si>
    <t xml:space="preserve">      Overtime and NightPay</t>
  </si>
  <si>
    <t xml:space="preserve">      Office Supplies Expenses </t>
  </si>
  <si>
    <t xml:space="preserve">      Tel. - Mobile</t>
  </si>
  <si>
    <t xml:space="preserve">      R &amp; M.- Elevator</t>
  </si>
  <si>
    <t>GSO-2</t>
  </si>
  <si>
    <t>Office Equipment</t>
  </si>
  <si>
    <t>PROVINCIAL HEALTH OFFICE</t>
  </si>
  <si>
    <t>Promotion, Protection &amp; Preservation of Health Sanitation</t>
  </si>
  <si>
    <t xml:space="preserve">      Subsistence, Laundry &amp; Qrtrs. Allow.</t>
  </si>
  <si>
    <t xml:space="preserve">      Medical, Dental &amp; Lab. Supplies Exp.</t>
  </si>
  <si>
    <t>Provincial Internal Audit Service- PIAO</t>
  </si>
  <si>
    <t>Sub-Total</t>
  </si>
  <si>
    <t xml:space="preserve">      Traveling  Expenses</t>
  </si>
  <si>
    <t xml:space="preserve">      Telephone  Expenses-Landline</t>
  </si>
  <si>
    <t xml:space="preserve">      Telephone  Expenses-Mobile</t>
  </si>
  <si>
    <t xml:space="preserve">      R &amp; M. -Motor Vehicles</t>
  </si>
  <si>
    <t>HGAR2</t>
  </si>
  <si>
    <t>4.0</t>
  </si>
  <si>
    <t>Investigation &amp; Legal Services</t>
  </si>
  <si>
    <t>1131-701</t>
  </si>
  <si>
    <t xml:space="preserve">      Life &amp; Retirement Insurance Contr'n.</t>
  </si>
  <si>
    <t xml:space="preserve">      Textbooks &amp; Instructional materials</t>
  </si>
  <si>
    <t xml:space="preserve">      Telephone Expenses-Mobile</t>
  </si>
  <si>
    <t xml:space="preserve">      Other Maintenance &amp; Oprtg.  Expenses</t>
  </si>
  <si>
    <t xml:space="preserve">                 Sub- total</t>
  </si>
  <si>
    <t xml:space="preserve">      Telephone Expense- Mobile</t>
  </si>
  <si>
    <t xml:space="preserve">      Internet Expense</t>
  </si>
  <si>
    <t>PPDO- 2</t>
  </si>
  <si>
    <t xml:space="preserve">Capital Outlay </t>
  </si>
  <si>
    <t>Treasury/Collection &amp; Disbursement Services</t>
  </si>
  <si>
    <t xml:space="preserve">       Cable, Satellite, Tel. &amp; Radio Expenses</t>
  </si>
  <si>
    <t xml:space="preserve">      Advertising Expenses</t>
  </si>
  <si>
    <t xml:space="preserve">      Representation Exp.  (LFC Protocol)</t>
  </si>
  <si>
    <t xml:space="preserve">      R &amp; M.- IT Equipt. &amp; Software</t>
  </si>
  <si>
    <t>C.O -</t>
  </si>
  <si>
    <t xml:space="preserve">                 Sub total</t>
  </si>
  <si>
    <t>Legislative Services</t>
  </si>
  <si>
    <t xml:space="preserve">      Salaries &amp; Wages- Leg. Asst. Co-term.</t>
  </si>
  <si>
    <t xml:space="preserve">      R A-VG/SP Members/SP Secretary</t>
  </si>
  <si>
    <t xml:space="preserve">      T A-VG/SP Members/SP Secretary</t>
  </si>
  <si>
    <t xml:space="preserve">                                       - Secretariat</t>
  </si>
  <si>
    <t>751(2)</t>
  </si>
  <si>
    <t>SP- 2</t>
  </si>
  <si>
    <t xml:space="preserve">                Sub Total</t>
  </si>
  <si>
    <t xml:space="preserve">      Vice Governor/ SP Members</t>
  </si>
  <si>
    <t>OFFICE</t>
  </si>
  <si>
    <t>PS</t>
  </si>
  <si>
    <t>MAINTENANCE</t>
  </si>
  <si>
    <t>CAPITAL OUTLAY</t>
  </si>
  <si>
    <t>TOTAL</t>
  </si>
  <si>
    <t>GENERAL SERVICES SECTOR</t>
  </si>
  <si>
    <t xml:space="preserve">  GO</t>
  </si>
  <si>
    <t xml:space="preserve">  HRMDO</t>
  </si>
  <si>
    <t xml:space="preserve">  PPDO</t>
  </si>
  <si>
    <t xml:space="preserve">  PGSO</t>
  </si>
  <si>
    <t xml:space="preserve">  PBMO</t>
  </si>
  <si>
    <t xml:space="preserve">  PACCO</t>
  </si>
  <si>
    <t xml:space="preserve">  PTO</t>
  </si>
  <si>
    <t xml:space="preserve">  PASSO</t>
  </si>
  <si>
    <t xml:space="preserve">  PLO</t>
  </si>
  <si>
    <t xml:space="preserve">          SUB-TOTAL</t>
  </si>
  <si>
    <t>SOCIAL SERVICES SECTOR</t>
  </si>
  <si>
    <t xml:space="preserve">  BEMO</t>
  </si>
  <si>
    <t xml:space="preserve">  LIBRARY</t>
  </si>
  <si>
    <t xml:space="preserve">  PHO</t>
  </si>
  <si>
    <t xml:space="preserve">  TALIBON</t>
  </si>
  <si>
    <t xml:space="preserve">  CARMEN</t>
  </si>
  <si>
    <t xml:space="preserve">  JAGNA</t>
  </si>
  <si>
    <t xml:space="preserve">  LOON</t>
  </si>
  <si>
    <t xml:space="preserve">  CATIGBIAN</t>
  </si>
  <si>
    <t xml:space="preserve">  CLARIN</t>
  </si>
  <si>
    <t xml:space="preserve">  CANDIJAY</t>
  </si>
  <si>
    <t xml:space="preserve">  MARIBOJOC</t>
  </si>
  <si>
    <t xml:space="preserve">  PSWD</t>
  </si>
  <si>
    <t>ECONOMIC SERVICES SECTOR</t>
  </si>
  <si>
    <t xml:space="preserve">  BEPO</t>
  </si>
  <si>
    <t xml:space="preserve">  BIPC</t>
  </si>
  <si>
    <t xml:space="preserve">  BTO</t>
  </si>
  <si>
    <t xml:space="preserve">  CCAD</t>
  </si>
  <si>
    <t xml:space="preserve">  OPA</t>
  </si>
  <si>
    <t xml:space="preserve">  OPV</t>
  </si>
  <si>
    <t xml:space="preserve">  PEO</t>
  </si>
  <si>
    <t xml:space="preserve">  M-POOL</t>
  </si>
  <si>
    <t>TOTAL COE</t>
  </si>
  <si>
    <t>BUDGETARY REQUIREMENTS</t>
  </si>
  <si>
    <t xml:space="preserve">  Aid to Barangays</t>
  </si>
  <si>
    <t xml:space="preserve">  Payment of Loans </t>
  </si>
  <si>
    <t xml:space="preserve"> TOTAL</t>
  </si>
  <si>
    <t>NON-OFFICE</t>
  </si>
  <si>
    <t xml:space="preserve">  Inter-Government Aid</t>
  </si>
  <si>
    <t xml:space="preserve">  Gender and Development Program</t>
  </si>
  <si>
    <t xml:space="preserve">  Peace and Order Program</t>
  </si>
  <si>
    <t xml:space="preserve">  Other Special Purpose</t>
  </si>
  <si>
    <t>GRAND TOTAL</t>
  </si>
  <si>
    <t>TOTAL INCOME</t>
  </si>
  <si>
    <t>UNAPPROPRIATED BALANCE</t>
  </si>
  <si>
    <t xml:space="preserve">  PIAO</t>
  </si>
  <si>
    <t>Social Welfare Services</t>
  </si>
  <si>
    <t xml:space="preserve">      Other Maint. &amp; Oprtg. Exp. (Crisis Ctr/</t>
  </si>
  <si>
    <t xml:space="preserve">                                             Breaking Barriers</t>
  </si>
  <si>
    <t xml:space="preserve">      TOTAL</t>
  </si>
  <si>
    <t xml:space="preserve">3.0  </t>
  </si>
  <si>
    <t xml:space="preserve">      Bohol Crisis Intervention Center</t>
  </si>
  <si>
    <t xml:space="preserve">      Bohol Stimulation &amp; Therapeutic Activity Center</t>
  </si>
  <si>
    <t xml:space="preserve">   </t>
  </si>
  <si>
    <t>OFFICE OF THE GOVERNOR</t>
  </si>
  <si>
    <t>Executive Direction, Supervision &amp; Control Over All Programs</t>
  </si>
  <si>
    <t>Mgt. of Provincial &amp; National Offices</t>
  </si>
  <si>
    <t xml:space="preserve">      Wages- Plantilla Casuals</t>
  </si>
  <si>
    <t xml:space="preserve">      Representation Allowance (RA)</t>
  </si>
  <si>
    <t xml:space="preserve">      Transportation Allowance (TA)</t>
  </si>
  <si>
    <t xml:space="preserve">      Traveling Expenses - Governor</t>
  </si>
  <si>
    <t xml:space="preserve">      Cable, Satellite,Telegraph &amp; Radio Exp.</t>
  </si>
  <si>
    <t>GO- 2</t>
  </si>
  <si>
    <t xml:space="preserve">      Dev'tl. Committee  Mtngs ., conferences</t>
  </si>
  <si>
    <t xml:space="preserve">          Investment promotion &amp; others</t>
  </si>
  <si>
    <t xml:space="preserve">      Consultancy Services</t>
  </si>
  <si>
    <t xml:space="preserve">      R &amp; M- Office Building</t>
  </si>
  <si>
    <t xml:space="preserve">      R &amp; M - IT Equipment &amp; Software</t>
  </si>
  <si>
    <t>823 &amp; 829</t>
  </si>
  <si>
    <t xml:space="preserve">      R &amp; M - Other Machineries &amp; Equipt.</t>
  </si>
  <si>
    <t xml:space="preserve">      Repar &amp; Maintenance- Motor Vehicles</t>
  </si>
  <si>
    <t xml:space="preserve">      Donations</t>
  </si>
  <si>
    <t xml:space="preserve">      Discretionary Fund</t>
  </si>
  <si>
    <t xml:space="preserve">      Other Maint. &amp; Oprtg Expenses-Governor</t>
  </si>
  <si>
    <t xml:space="preserve">      Other Maint. &amp; Oprtg Exp. - Info. Drive</t>
  </si>
  <si>
    <t xml:space="preserve">      Other Maint. &amp; Oprtg Expenses - BLL</t>
  </si>
  <si>
    <t xml:space="preserve">      Special Employment Program</t>
  </si>
  <si>
    <t xml:space="preserve">Capital Outlay:- </t>
  </si>
  <si>
    <t xml:space="preserve">     Furnitures and Fixtures</t>
  </si>
  <si>
    <t xml:space="preserve">     IT Equipment and Software</t>
  </si>
  <si>
    <t xml:space="preserve">Non Office Expenditures </t>
  </si>
  <si>
    <t>PDIP- Governor</t>
  </si>
  <si>
    <t>PROVINCIAL BUDGET &amp; MANAGEMENT OFFICE</t>
  </si>
  <si>
    <t>Budget Management Services</t>
  </si>
  <si>
    <t xml:space="preserve">      Telephone Expenses- Mobile</t>
  </si>
  <si>
    <t xml:space="preserve">      Subcription Expenses</t>
  </si>
  <si>
    <t>PROVINCIAL ACCOUNTANT'S OFFICE</t>
  </si>
  <si>
    <t xml:space="preserve">      Postage &amp; Deliveries </t>
  </si>
  <si>
    <t xml:space="preserve">      Telephone Expenses-mobile</t>
  </si>
  <si>
    <t xml:space="preserve">      Janitorial Services</t>
  </si>
  <si>
    <t>TAL2</t>
  </si>
  <si>
    <t xml:space="preserve">      Chief of Hospital</t>
  </si>
  <si>
    <t xml:space="preserve">     Uniform  Allowance</t>
  </si>
  <si>
    <t xml:space="preserve">      Water Expense</t>
  </si>
  <si>
    <t xml:space="preserve">      R &amp; M -IT Equipment and Software</t>
  </si>
  <si>
    <t>Agricultural Services</t>
  </si>
  <si>
    <t>Economic Development (Infrastructure)</t>
  </si>
  <si>
    <t xml:space="preserve">      R &amp; M.- Road, Highways &amp; Bridges</t>
  </si>
  <si>
    <t xml:space="preserve">       Negotiation Agreement (CN A) Incentive</t>
  </si>
  <si>
    <t>Function                         :</t>
  </si>
  <si>
    <r>
      <t xml:space="preserve">DAGOHOY COMMUNITY HOSPITAL, </t>
    </r>
    <r>
      <rPr>
        <sz val="11"/>
        <rFont val="Arial"/>
        <family val="2"/>
      </rPr>
      <t>Inabanga</t>
    </r>
  </si>
  <si>
    <t>PSWDO-2</t>
  </si>
  <si>
    <t xml:space="preserve">      Cable, satellite, Radio &amp; Telegraph Expenses</t>
  </si>
  <si>
    <t>Inter-Government Aid</t>
  </si>
  <si>
    <t>Budget year</t>
  </si>
  <si>
    <t>Sub- Total</t>
  </si>
  <si>
    <t>A. Budgetary Requirements:</t>
  </si>
  <si>
    <t>20% Development Fund</t>
  </si>
  <si>
    <t xml:space="preserve">Aid to Barangay </t>
  </si>
  <si>
    <t>Calamity Fund (PDRRMF)</t>
  </si>
  <si>
    <t>Loan Payments</t>
  </si>
  <si>
    <t xml:space="preserve">   Loan Interest (IRA Monetization)</t>
  </si>
  <si>
    <t xml:space="preserve">   Loan Amortization Land Bank</t>
  </si>
  <si>
    <t>B.  Inter-Government Aids:</t>
  </si>
  <si>
    <t>Aid to IBP</t>
  </si>
  <si>
    <t>Aid to League of Municipalities</t>
  </si>
  <si>
    <t>Aid to ABC Provincial Federation</t>
  </si>
  <si>
    <t>Aid to SK Provincial Federation</t>
  </si>
  <si>
    <t>Aid to Vice Governor's League</t>
  </si>
  <si>
    <t>Aid to Vice Mayors League</t>
  </si>
  <si>
    <t>Aid to PCL Bohol</t>
  </si>
  <si>
    <t>Aid to NMYL</t>
  </si>
  <si>
    <t>Aid to PBMLP</t>
  </si>
  <si>
    <t>ULAP Annual Due</t>
  </si>
  <si>
    <t>Contribution to League of Provinces</t>
  </si>
  <si>
    <t>Rental of Office Space including electricity &amp;</t>
  </si>
  <si>
    <t>Aid to National Gov't. Agencies</t>
  </si>
  <si>
    <t>Aid to National Gov't. Agency-COA</t>
  </si>
  <si>
    <t>Aid to National Gov't. Officials - Honorarium</t>
  </si>
  <si>
    <t>Aid to Tourism/Tarsier Foundation</t>
  </si>
  <si>
    <t>C.  Gender and Development Program:</t>
  </si>
  <si>
    <t>Nutrition Program</t>
  </si>
  <si>
    <t>4994-2</t>
  </si>
  <si>
    <t xml:space="preserve">Primary Health Care Program (BHW/BNS) </t>
  </si>
  <si>
    <t>Aid to Girl Scout</t>
  </si>
  <si>
    <t>Aid to Boy Scout</t>
  </si>
  <si>
    <t>Aid to the Orphanage</t>
  </si>
  <si>
    <t>Aid to Senior Citizen</t>
  </si>
  <si>
    <t>Aid to Puericulture Center</t>
  </si>
  <si>
    <t>4994-1</t>
  </si>
  <si>
    <t>Aid to National Red Cross</t>
  </si>
  <si>
    <t>4994-3</t>
  </si>
  <si>
    <t>Aid to BAFF</t>
  </si>
  <si>
    <t>CPG Scholarship Grant -</t>
  </si>
  <si>
    <t>Health Program &amp; Preventive Mechanism for</t>
  </si>
  <si>
    <t xml:space="preserve">              PGB Officials and Employees</t>
  </si>
  <si>
    <t>Medicare para sa MASA/PhilHealth for Indigents</t>
  </si>
  <si>
    <t>4999-2</t>
  </si>
  <si>
    <t>Child Welfare Development Program</t>
  </si>
  <si>
    <t>7999(23)</t>
  </si>
  <si>
    <t>OFW Support Fund</t>
  </si>
  <si>
    <t>GAD Mainstreaming/Advocacy</t>
  </si>
  <si>
    <t>Bohol Arts and Cultural Heritage</t>
  </si>
  <si>
    <t>D. Peace and Order Program</t>
  </si>
  <si>
    <t>LAELEP Program</t>
  </si>
  <si>
    <t>Medical Mission</t>
  </si>
  <si>
    <t>4999-1</t>
  </si>
  <si>
    <t>Livelihood Program</t>
  </si>
  <si>
    <t>Food Security Program</t>
  </si>
  <si>
    <t>Sports Development/Physical Fitness</t>
  </si>
  <si>
    <t>Anti Drug Campaign Program</t>
  </si>
  <si>
    <t>E. Other Special Purpose:</t>
  </si>
  <si>
    <t>Reception &amp; Ent'mt. of Vis'g. Dignitaries</t>
  </si>
  <si>
    <t>Sandugo Festivities</t>
  </si>
  <si>
    <t>Oprtn. Of Provincial Cooperative Dev't. Council</t>
  </si>
  <si>
    <t>Election Expenses</t>
  </si>
  <si>
    <t>e-NGAS/e-BUDGET</t>
  </si>
  <si>
    <t>TOTAL APPROPRIATIONS</t>
  </si>
  <si>
    <t xml:space="preserve">      R&amp;M- Other Machineries &amp; Equipment</t>
  </si>
  <si>
    <t xml:space="preserve">     Traveling Expenses</t>
  </si>
  <si>
    <t xml:space="preserve">     Office Supplies Expenses</t>
  </si>
  <si>
    <t xml:space="preserve">    Gasoline, oil &amp; lubricant expenses</t>
  </si>
  <si>
    <t xml:space="preserve">     Water expenses</t>
  </si>
  <si>
    <t xml:space="preserve">     Electricity Expenses</t>
  </si>
  <si>
    <t xml:space="preserve">     Postage and Deliveries</t>
  </si>
  <si>
    <t xml:space="preserve">     General Services-  Research/Policy</t>
  </si>
  <si>
    <t xml:space="preserve">                         Review and Development</t>
  </si>
  <si>
    <t xml:space="preserve">     General Services-  Contractuals</t>
  </si>
  <si>
    <t xml:space="preserve">     R &amp; M - Office building</t>
  </si>
  <si>
    <t xml:space="preserve">     R &amp; M - IT Equipment &amp; Software</t>
  </si>
  <si>
    <t xml:space="preserve">     Fidelity Bond Premium</t>
  </si>
  <si>
    <t>Fund/Special Account        :</t>
  </si>
  <si>
    <t xml:space="preserve">  BICTU</t>
  </si>
  <si>
    <t>P</t>
  </si>
  <si>
    <t>Ending Balance</t>
  </si>
  <si>
    <t xml:space="preserve">      </t>
  </si>
  <si>
    <t>TOTAL EXPENDITURES</t>
  </si>
  <si>
    <t xml:space="preserve">       Financial Expenses</t>
  </si>
  <si>
    <t xml:space="preserve">       Non-Off./Inter-Gov't. Aide</t>
  </si>
  <si>
    <t>D.  Other Services</t>
  </si>
  <si>
    <t>C. Social Services</t>
  </si>
  <si>
    <t>B. Economic Services</t>
  </si>
  <si>
    <t>A. General Services</t>
  </si>
  <si>
    <t>EXPENDITURES</t>
  </si>
  <si>
    <t>TOTAL RECEIPTS</t>
  </si>
  <si>
    <t>2.4  Borrowings</t>
  </si>
  <si>
    <t>1. Gain on Sale of Assets</t>
  </si>
  <si>
    <t>2.4 Capital Investment Receipts</t>
  </si>
  <si>
    <t>3. PCSO (Lotto)</t>
  </si>
  <si>
    <t>2. Monetized IRA</t>
  </si>
  <si>
    <t>1. Internal Revenue Allotment</t>
  </si>
  <si>
    <t>2.3 External Source</t>
  </si>
  <si>
    <t>TOTAL NON-TAX REVENUE</t>
  </si>
  <si>
    <t xml:space="preserve">     Dividend Income</t>
  </si>
  <si>
    <t xml:space="preserve">             - Receipt-BOFAMCO</t>
  </si>
  <si>
    <t xml:space="preserve">             - Receipt-RACER(Fertilizer)</t>
  </si>
  <si>
    <t xml:space="preserve">628-1   </t>
  </si>
  <si>
    <t xml:space="preserve">             - Receipt-RACER(Seeds)</t>
  </si>
  <si>
    <t>Other Receipts</t>
  </si>
  <si>
    <t>Sub_Total</t>
  </si>
  <si>
    <t xml:space="preserve">      Ver./Appl./Cons. Fees</t>
  </si>
  <si>
    <t>Extra Ordinary Receipts</t>
  </si>
  <si>
    <t>Rental of Heavy Equipment</t>
  </si>
  <si>
    <t>648-2</t>
  </si>
  <si>
    <t>Share from chocolate Hills</t>
  </si>
  <si>
    <t>642-2</t>
  </si>
  <si>
    <t>Rental of Business Facilities</t>
  </si>
  <si>
    <t>642-1</t>
  </si>
  <si>
    <t>Rental of Office Spaces</t>
  </si>
  <si>
    <t>* Service/User Charges*</t>
  </si>
  <si>
    <t>2.2  Non-Tax Revenue</t>
  </si>
  <si>
    <t>TOTAL TAX REVENUE</t>
  </si>
  <si>
    <t>Amusement Tax</t>
  </si>
  <si>
    <t>Franchise Tax</t>
  </si>
  <si>
    <t>* Tax on Goods &amp; Services *</t>
  </si>
  <si>
    <t>588-2</t>
  </si>
  <si>
    <t>Real Property Tax- Penalties</t>
  </si>
  <si>
    <t>588-1</t>
  </si>
  <si>
    <t>Real Property Tax- Preceeding Yr.</t>
  </si>
  <si>
    <t>Real Property Tax- Current Year</t>
  </si>
  <si>
    <t>* Property Taxes*</t>
  </si>
  <si>
    <t>2.1  Tax Revenue</t>
  </si>
  <si>
    <t>RECEIPTS</t>
  </si>
  <si>
    <t>BEGINNING BALANCE</t>
  </si>
  <si>
    <t>Estimate</t>
  </si>
  <si>
    <t>Actual</t>
  </si>
  <si>
    <t>Total</t>
  </si>
  <si>
    <t>Acct.</t>
  </si>
  <si>
    <t>Particulars</t>
  </si>
  <si>
    <t>SUMMARY STATEMENT OF RECEIPTS AND EXPENDITURES</t>
  </si>
  <si>
    <t>STATEMENT OF RECEIPTS</t>
  </si>
  <si>
    <t>PROVINCE OF BOHOL</t>
  </si>
  <si>
    <t>ACCOUNT</t>
  </si>
  <si>
    <t>INCOME</t>
  </si>
  <si>
    <t xml:space="preserve"> CURRENT YEAR </t>
  </si>
  <si>
    <t xml:space="preserve">                            PARTICULARS</t>
  </si>
  <si>
    <t>CODE</t>
  </si>
  <si>
    <t>CLASS'N.</t>
  </si>
  <si>
    <t>(ACTUAL)</t>
  </si>
  <si>
    <t>(PROPOSED)</t>
  </si>
  <si>
    <t>(1)</t>
  </si>
  <si>
    <t>(2)</t>
  </si>
  <si>
    <t>(3)</t>
  </si>
  <si>
    <t>(4)</t>
  </si>
  <si>
    <t>(5)</t>
  </si>
  <si>
    <t>(6)</t>
  </si>
  <si>
    <t xml:space="preserve">1.0 </t>
  </si>
  <si>
    <t>2.1   TAX REVENUE</t>
  </si>
  <si>
    <t>Real Property Tax, Current Year</t>
  </si>
  <si>
    <t>R</t>
  </si>
  <si>
    <t>Real Property Tax, Preceding Year</t>
  </si>
  <si>
    <t>Real Property Tax, Penalties</t>
  </si>
  <si>
    <t>NR</t>
  </si>
  <si>
    <t>Sub-total</t>
  </si>
  <si>
    <t>*Tax on Goods &amp; Services*</t>
  </si>
  <si>
    <t>Tax on Delivery Trucks &amp; Vans</t>
  </si>
  <si>
    <t>Rental  of Business Facilities</t>
  </si>
  <si>
    <t>Compromise Rental Fees (PLDT)</t>
  </si>
  <si>
    <t>Share from Chocolate Hills</t>
  </si>
  <si>
    <t>Rental  of Heavy Equipment</t>
  </si>
  <si>
    <t>.</t>
  </si>
  <si>
    <t>Ver./Appl./Cons. Fees</t>
  </si>
  <si>
    <t>Dividend Income</t>
  </si>
  <si>
    <t>628-1</t>
  </si>
  <si>
    <t xml:space="preserve">    -Receipts-RACER(Fertilizer)</t>
  </si>
  <si>
    <t xml:space="preserve">    -Receipts from BOFAMCO</t>
  </si>
  <si>
    <t>Sub-total  .....</t>
  </si>
  <si>
    <t>TOTAL NON- TAX REVENUE</t>
  </si>
  <si>
    <t xml:space="preserve"> Internal Revenue Allotment</t>
  </si>
  <si>
    <t>2.5 Borrowings</t>
  </si>
  <si>
    <t>TOTAL REVENUE-GENERAL FUND</t>
  </si>
  <si>
    <t>NET AVAILABLE FOR APPROPRIATION</t>
  </si>
  <si>
    <t>4. Share on National Wealth</t>
  </si>
  <si>
    <t xml:space="preserve">                  </t>
  </si>
  <si>
    <t>RECEIPTS PROGRAM</t>
  </si>
  <si>
    <t>(ESTIMATE)</t>
  </si>
  <si>
    <t>LFC</t>
  </si>
  <si>
    <t>Final Recommendation</t>
  </si>
  <si>
    <t>Balance: Beginning</t>
  </si>
  <si>
    <t>Receipts</t>
  </si>
  <si>
    <t>A.</t>
  </si>
  <si>
    <t>Local (Internal) Sources</t>
  </si>
  <si>
    <t>1. TAX REVENUE</t>
  </si>
  <si>
    <t>Total Tax Revenue</t>
  </si>
  <si>
    <t>2. NON- TAX REVENUE</t>
  </si>
  <si>
    <t>Compromising Rental Fees (PLDT)</t>
  </si>
  <si>
    <t>Share of Chocolate Hills</t>
  </si>
  <si>
    <t>Verification fee/Application</t>
  </si>
  <si>
    <t>B.</t>
  </si>
  <si>
    <t>Total Non-Tax Revenue</t>
  </si>
  <si>
    <t>External sources</t>
  </si>
  <si>
    <t>Internal Revenue Allotment</t>
  </si>
  <si>
    <t>PCSO Lotto</t>
  </si>
  <si>
    <t>Capital Investment Receipts</t>
  </si>
  <si>
    <t>Gain on Sales of Assets</t>
  </si>
  <si>
    <t>Borrowings</t>
  </si>
  <si>
    <t>Total Available Resources for Appropriation</t>
  </si>
  <si>
    <t xml:space="preserve"> 2010 WORKSHEET - MOOE ACTUAL</t>
  </si>
  <si>
    <t>Travel</t>
  </si>
  <si>
    <t>Training</t>
  </si>
  <si>
    <t>Office</t>
  </si>
  <si>
    <t>Accountable</t>
  </si>
  <si>
    <t>Food Supplies</t>
  </si>
  <si>
    <t>Medical, Dental</t>
  </si>
  <si>
    <t>Gasoline, Oil</t>
  </si>
  <si>
    <t>Text Books</t>
  </si>
  <si>
    <t xml:space="preserve">Animal </t>
  </si>
  <si>
    <t>Agricultural</t>
  </si>
  <si>
    <t>Water</t>
  </si>
  <si>
    <t>Electrity</t>
  </si>
  <si>
    <t>Postage</t>
  </si>
  <si>
    <t>Tel. &amp; Teleg</t>
  </si>
  <si>
    <t>Advertising</t>
  </si>
  <si>
    <t>Awards</t>
  </si>
  <si>
    <t>Printing</t>
  </si>
  <si>
    <t>Representation</t>
  </si>
  <si>
    <t>Consultancy</t>
  </si>
  <si>
    <t>Gen Serv.</t>
  </si>
  <si>
    <t>IT Equipt</t>
  </si>
  <si>
    <t>Other Mach</t>
  </si>
  <si>
    <t>R&amp;M Motor</t>
  </si>
  <si>
    <t>Expenses</t>
  </si>
  <si>
    <t>Supplies</t>
  </si>
  <si>
    <t>Forms</t>
  </si>
  <si>
    <t>Laboratory</t>
  </si>
  <si>
    <t>Lubricant</t>
  </si>
  <si>
    <t xml:space="preserve">Supplies </t>
  </si>
  <si>
    <t>Deliveries</t>
  </si>
  <si>
    <t>Internet</t>
  </si>
  <si>
    <t>Indemnities</t>
  </si>
  <si>
    <t>Binding</t>
  </si>
  <si>
    <t>Services</t>
  </si>
  <si>
    <t>Res.  Cont.</t>
  </si>
  <si>
    <t>Software</t>
  </si>
  <si>
    <t>Equipt 840</t>
  </si>
  <si>
    <t>Vehicles</t>
  </si>
  <si>
    <t>GO</t>
  </si>
  <si>
    <t>SP</t>
  </si>
  <si>
    <t>HRMO</t>
  </si>
  <si>
    <t>PPDO</t>
  </si>
  <si>
    <t>GSO</t>
  </si>
  <si>
    <t>PBO</t>
  </si>
  <si>
    <t>PACCO</t>
  </si>
  <si>
    <t>PTO</t>
  </si>
  <si>
    <t>PASSO</t>
  </si>
  <si>
    <t>LEGAL</t>
  </si>
  <si>
    <t>BEMO</t>
  </si>
  <si>
    <t>BDRC</t>
  </si>
  <si>
    <t>LIB</t>
  </si>
  <si>
    <t>PHO</t>
  </si>
  <si>
    <t>TALIBON</t>
  </si>
  <si>
    <t>CARMEN</t>
  </si>
  <si>
    <t>JAGNA</t>
  </si>
  <si>
    <t>LOON</t>
  </si>
  <si>
    <t>CATIGBIAN</t>
  </si>
  <si>
    <t>CLARIN</t>
  </si>
  <si>
    <t>CANDIJAY</t>
  </si>
  <si>
    <t>MARIBOJOC</t>
  </si>
  <si>
    <t>INABANGA</t>
  </si>
  <si>
    <t>PITOGO</t>
  </si>
  <si>
    <t>PSWD</t>
  </si>
  <si>
    <t>BEPO</t>
  </si>
  <si>
    <t>BIPC</t>
  </si>
  <si>
    <t>BTO</t>
  </si>
  <si>
    <t>CCAD</t>
  </si>
  <si>
    <t>BPRMO</t>
  </si>
  <si>
    <t>AGRI</t>
  </si>
  <si>
    <t>VET</t>
  </si>
  <si>
    <t>PEO</t>
  </si>
  <si>
    <t>MOTORPOOL</t>
  </si>
  <si>
    <t>GT</t>
  </si>
  <si>
    <t xml:space="preserve"> 2010 ACUTAL MOOE</t>
  </si>
  <si>
    <t>( 857 - 950 )</t>
  </si>
  <si>
    <t>Donations</t>
  </si>
  <si>
    <t>Confidential</t>
  </si>
  <si>
    <t>Extraordinary</t>
  </si>
  <si>
    <t>Fidelity Bond</t>
  </si>
  <si>
    <t>Other Maint</t>
  </si>
  <si>
    <t>R &amp; M</t>
  </si>
  <si>
    <t>drugs</t>
  </si>
  <si>
    <t>R&amp;M</t>
  </si>
  <si>
    <t>R&amp;M 850</t>
  </si>
  <si>
    <t>Security/jani</t>
  </si>
  <si>
    <t>Rent</t>
  </si>
  <si>
    <t>Subscription</t>
  </si>
  <si>
    <t>Insurance</t>
  </si>
  <si>
    <t>r &amp; m -furniture</t>
  </si>
  <si>
    <t xml:space="preserve">Cooking </t>
  </si>
  <si>
    <t>Taxes, duties</t>
  </si>
  <si>
    <t>Other Exp.</t>
  </si>
  <si>
    <t>Premiums</t>
  </si>
  <si>
    <t>Operating Exp.</t>
  </si>
  <si>
    <t>Roads, Highway</t>
  </si>
  <si>
    <t>SPES/Equipt</t>
  </si>
  <si>
    <t>office eq1uipt821</t>
  </si>
  <si>
    <t>office bldg.</t>
  </si>
  <si>
    <t>other prop &amp; eqpt</t>
  </si>
  <si>
    <t>Expense</t>
  </si>
  <si>
    <t>expense</t>
  </si>
  <si>
    <t>heavy equipt.</t>
  </si>
  <si>
    <t>gas</t>
  </si>
  <si>
    <t>housekeeping</t>
  </si>
  <si>
    <t>hosp. &amp; health</t>
  </si>
  <si>
    <t>licenses</t>
  </si>
  <si>
    <t>Crisis center</t>
  </si>
  <si>
    <t>2010 ACTUAL  PERSONAL SERVICES</t>
  </si>
  <si>
    <t>OFFICES</t>
  </si>
  <si>
    <t>Salaries</t>
  </si>
  <si>
    <t>Wages</t>
  </si>
  <si>
    <t>Pera</t>
  </si>
  <si>
    <t>Adcom</t>
  </si>
  <si>
    <t>RA</t>
  </si>
  <si>
    <t>TA</t>
  </si>
  <si>
    <t>Clothing</t>
  </si>
  <si>
    <t>Productivity</t>
  </si>
  <si>
    <t>PEI</t>
  </si>
  <si>
    <t>Subsistence</t>
  </si>
  <si>
    <t>Hazard Pay</t>
  </si>
  <si>
    <t>Overtime</t>
  </si>
  <si>
    <t>Cash Gift</t>
  </si>
  <si>
    <t>Bonus</t>
  </si>
  <si>
    <t>Life</t>
  </si>
  <si>
    <t>Pag-ibig</t>
  </si>
  <si>
    <t>Phil</t>
  </si>
  <si>
    <t>ECC</t>
  </si>
  <si>
    <t>GRAUTITY</t>
  </si>
  <si>
    <t>Terminal</t>
  </si>
  <si>
    <t xml:space="preserve">C N A </t>
  </si>
  <si>
    <t>Loyalty</t>
  </si>
  <si>
    <t>TOTALS</t>
  </si>
  <si>
    <t>705-706</t>
  </si>
  <si>
    <t>742-2</t>
  </si>
  <si>
    <t>CATIG</t>
  </si>
  <si>
    <t>CANDIJ</t>
  </si>
  <si>
    <t>MARIBO</t>
  </si>
  <si>
    <t>INABAN</t>
  </si>
  <si>
    <t>MOTORP</t>
  </si>
  <si>
    <t>G-TOTAL</t>
  </si>
  <si>
    <t>2010 ACTUAL CAPITAL OUTLAY</t>
  </si>
  <si>
    <t xml:space="preserve">        20% Development Fund</t>
  </si>
  <si>
    <t xml:space="preserve">2011 ACTUAL PERSONAL SERVICES AS OF JUNE </t>
  </si>
  <si>
    <t>Anniversary</t>
  </si>
  <si>
    <t>Mone</t>
  </si>
  <si>
    <t>IAS</t>
  </si>
  <si>
    <t xml:space="preserve"> 2011 - MOOE actual as of june</t>
  </si>
  <si>
    <t>Electricity</t>
  </si>
  <si>
    <t>PIAO</t>
  </si>
  <si>
    <t xml:space="preserve"> 2009 WORKSHEET</t>
  </si>
  <si>
    <t>Estimates</t>
  </si>
  <si>
    <t>TOTAL AVAILABLE RESOURCES</t>
  </si>
  <si>
    <t>Less:  Continuing Appropriation</t>
  </si>
  <si>
    <t xml:space="preserve">       Add: Prior Yr. Adj. (Net)</t>
  </si>
  <si>
    <t>NET AVAILABLE FOR APPROP.</t>
  </si>
  <si>
    <t>5.0</t>
  </si>
  <si>
    <t>5.1  Current Operating Expenses</t>
  </si>
  <si>
    <t>A.  Personal Services:</t>
  </si>
  <si>
    <t>Wages/Contractual</t>
  </si>
  <si>
    <t xml:space="preserve">PERA </t>
  </si>
  <si>
    <t>Clothing Allowance</t>
  </si>
  <si>
    <t>Subsistence Allowance</t>
  </si>
  <si>
    <t>Life &amp; Retirement Premium</t>
  </si>
  <si>
    <t>Philhealth</t>
  </si>
  <si>
    <t>Terminal Leave</t>
  </si>
  <si>
    <t>Monetization</t>
  </si>
  <si>
    <t>TOTAL PERSONAL SERVICES</t>
  </si>
  <si>
    <t>B. Maint. &amp; Oth. Optg. Expenses:</t>
  </si>
  <si>
    <t>Travel  Expenses</t>
  </si>
  <si>
    <t>Training Expenses</t>
  </si>
  <si>
    <t>Office Supplies</t>
  </si>
  <si>
    <t>Accountable Forms</t>
  </si>
  <si>
    <t>Animal Expenses</t>
  </si>
  <si>
    <t>Food/Non-food Expenses</t>
  </si>
  <si>
    <t>Drugs</t>
  </si>
  <si>
    <t>Med. Surgical &amp; Lab. Exp.</t>
  </si>
  <si>
    <t>Gasoline, Oil &amp; Lubri. Exps.</t>
  </si>
  <si>
    <t>Agr. Supplies Exp.</t>
  </si>
  <si>
    <t>Textbooks</t>
  </si>
  <si>
    <t>Other Office Expenses-Housekeeping</t>
  </si>
  <si>
    <t>Water Expenses</t>
  </si>
  <si>
    <t>Electricity Expenses</t>
  </si>
  <si>
    <t>Cooking Gas</t>
  </si>
  <si>
    <t>Postage &amp; Deliveries</t>
  </si>
  <si>
    <t>Tel. Teleg. Internet</t>
  </si>
  <si>
    <t>Awards &amp; Indemnities</t>
  </si>
  <si>
    <t>Advertising Expenses</t>
  </si>
  <si>
    <t>Printing and Binding</t>
  </si>
  <si>
    <t>Representation Expenses</t>
  </si>
  <si>
    <t>Subscription Expenses</t>
  </si>
  <si>
    <t>General Services</t>
  </si>
  <si>
    <t>Janitorial/Security Services</t>
  </si>
  <si>
    <t xml:space="preserve">R &amp; M -Building </t>
  </si>
  <si>
    <t>R &amp; M-Hospital</t>
  </si>
  <si>
    <t>R &amp; M-Furniture &amp; Fixtures</t>
  </si>
  <si>
    <t>R &amp; M- IT</t>
  </si>
  <si>
    <t>R &amp; M- Vehicles</t>
  </si>
  <si>
    <t>R &amp; M- Properties</t>
  </si>
  <si>
    <t>Taxes, Duties</t>
  </si>
  <si>
    <t>Other Expenses/Miscellaneous</t>
  </si>
  <si>
    <t>TOTAL   M   O   O   E</t>
  </si>
  <si>
    <t xml:space="preserve">        20 % Development Fund</t>
  </si>
  <si>
    <t>ESTIMATED EXPENDITURES BY PPA AND BY SECTOR</t>
  </si>
  <si>
    <t>Programs/Projects/Activities</t>
  </si>
  <si>
    <t>Office/Department</t>
  </si>
  <si>
    <t>1. General Public Services Sector</t>
  </si>
  <si>
    <t xml:space="preserve">     Executive Services</t>
  </si>
  <si>
    <t>Governor</t>
  </si>
  <si>
    <t xml:space="preserve">     Legislative Services</t>
  </si>
  <si>
    <t>Vice Governor, SP Members, Secretary</t>
  </si>
  <si>
    <t xml:space="preserve">     Inventory &amp; Procurement</t>
  </si>
  <si>
    <t>Provincial General Services</t>
  </si>
  <si>
    <t xml:space="preserve">     Financial/Treasury Services</t>
  </si>
  <si>
    <t>Provincial Treasurer</t>
  </si>
  <si>
    <t xml:space="preserve">     Planning, Monitoring and Evaluation</t>
  </si>
  <si>
    <t>Prov'l. Planning &amp; Development</t>
  </si>
  <si>
    <t xml:space="preserve">     Accounting and Internal Services</t>
  </si>
  <si>
    <t>Provincial Accountant</t>
  </si>
  <si>
    <t xml:space="preserve">     Assessment Services</t>
  </si>
  <si>
    <t>Provincial Assessor</t>
  </si>
  <si>
    <t xml:space="preserve">     Legal Services</t>
  </si>
  <si>
    <t>Provincial Legal</t>
  </si>
  <si>
    <t xml:space="preserve">     Human Resource/Personnel</t>
  </si>
  <si>
    <t>Human Resource &amp; Management</t>
  </si>
  <si>
    <t xml:space="preserve">     Budget &amp; Management Services</t>
  </si>
  <si>
    <t>Provincial Budget &amp; Management</t>
  </si>
  <si>
    <t xml:space="preserve">  Sub-Total</t>
  </si>
  <si>
    <t>2. Social Services Sector</t>
  </si>
  <si>
    <t>10 Hospitals</t>
  </si>
  <si>
    <t xml:space="preserve">     Health Services</t>
  </si>
  <si>
    <t>Provincial Health</t>
  </si>
  <si>
    <t xml:space="preserve">     Prisoners Rehab. Services</t>
  </si>
  <si>
    <t>Bohol Jail Management &amp; Penology</t>
  </si>
  <si>
    <t xml:space="preserve">     Social Services</t>
  </si>
  <si>
    <t>Provincial Social Welfare &amp; Development</t>
  </si>
  <si>
    <t xml:space="preserve">     Environment/Sanitation Services</t>
  </si>
  <si>
    <t>Bohol Environment Satellite Office</t>
  </si>
  <si>
    <t xml:space="preserve">     Library Services</t>
  </si>
  <si>
    <t>Provincial Library</t>
  </si>
  <si>
    <t xml:space="preserve">     Engineering Services</t>
  </si>
  <si>
    <t>Provincial Engineer</t>
  </si>
  <si>
    <t xml:space="preserve">     Agricultural Services</t>
  </si>
  <si>
    <t>Provincial Agriculture</t>
  </si>
  <si>
    <t xml:space="preserve">     Support to Engineering Services</t>
  </si>
  <si>
    <t>Provincial Motor Pool</t>
  </si>
  <si>
    <t xml:space="preserve">     Veterinary Services</t>
  </si>
  <si>
    <t>Provincial Veterinarian</t>
  </si>
  <si>
    <t>Bohol Investment</t>
  </si>
  <si>
    <t xml:space="preserve">     Culture and Arts Preservation Tourism</t>
  </si>
  <si>
    <t>Culture and Arts</t>
  </si>
  <si>
    <t xml:space="preserve">     Promotion, Employment</t>
  </si>
  <si>
    <t>Bohol Tourism</t>
  </si>
  <si>
    <t xml:space="preserve">     Programs</t>
  </si>
  <si>
    <t>Bohol Employment</t>
  </si>
  <si>
    <t>4. Other Services Sector</t>
  </si>
  <si>
    <t xml:space="preserve">    Budgetary Requirements</t>
  </si>
  <si>
    <t xml:space="preserve">        a. Aid to Barangays</t>
  </si>
  <si>
    <t xml:space="preserve">        b. 20% Development Fund</t>
  </si>
  <si>
    <t xml:space="preserve">        c. Local Disaster Risk Reduction &amp;</t>
  </si>
  <si>
    <t xml:space="preserve">             Management Fund</t>
  </si>
  <si>
    <t xml:space="preserve">        d. Payment of Loans</t>
  </si>
  <si>
    <t xml:space="preserve">        Sub-Total</t>
  </si>
  <si>
    <t xml:space="preserve">     Non-Office</t>
  </si>
  <si>
    <t>ACTUAL AND ESTIMATED EXPENDITURE PROGRAM</t>
  </si>
  <si>
    <t>BY SECTOR/OFFICE</t>
  </si>
  <si>
    <t>(Three (3)-Year Period)</t>
  </si>
  <si>
    <t>Sector/Office</t>
  </si>
  <si>
    <t>General Public services</t>
  </si>
  <si>
    <t>Economic Services</t>
  </si>
  <si>
    <t>Social Services</t>
  </si>
  <si>
    <t>Other Services</t>
  </si>
  <si>
    <t xml:space="preserve">        Non-Off./Inter-Gov't. Aide</t>
  </si>
  <si>
    <t xml:space="preserve">        Financial Expenses</t>
  </si>
  <si>
    <t>STAFFING SUMMARY</t>
  </si>
  <si>
    <t>No.</t>
  </si>
  <si>
    <t>Salaries &amp; wages</t>
  </si>
  <si>
    <t>A. Permanent Positions (Filled)</t>
  </si>
  <si>
    <t xml:space="preserve">      1. Key Positions with RATA</t>
  </si>
  <si>
    <t xml:space="preserve">      2. Non-Key Positions with RATA</t>
  </si>
  <si>
    <t xml:space="preserve">      3. Other Technical Positions</t>
  </si>
  <si>
    <t xml:space="preserve">      4. Support to Technical Position</t>
  </si>
  <si>
    <t xml:space="preserve">     5. Administrative Positions</t>
  </si>
  <si>
    <t xml:space="preserve"> Add: Unfilled Authorized Positions</t>
  </si>
  <si>
    <t xml:space="preserve">   Total: Filled Non-Permanent Positions</t>
  </si>
  <si>
    <t xml:space="preserve"> Add: Unfilled Non-Permanent Positions</t>
  </si>
  <si>
    <t>Total Permanent/Non-Permanent Positions</t>
  </si>
  <si>
    <t>SUMMARY STATEMENT OF STATUTORY AND CONTRACTUAL</t>
  </si>
  <si>
    <t>OBLIGATIONS AND BUDGETARY REQUIREMENTS</t>
  </si>
  <si>
    <t>Basis of Computation</t>
  </si>
  <si>
    <t>Computed Amount</t>
  </si>
  <si>
    <t>1. Statutory and Contractual Obligations</t>
  </si>
  <si>
    <t>• Service Record</t>
  </si>
  <si>
    <t xml:space="preserve">     1.2 Debt Service</t>
  </si>
  <si>
    <t>2. Budgetary Requirements</t>
  </si>
  <si>
    <t xml:space="preserve">     2.1 20% of IRA for Development Fund</t>
  </si>
  <si>
    <t xml:space="preserve">     2.2 Local Disaster Risk Reduction &amp; Mgt. Fund</t>
  </si>
  <si>
    <t xml:space="preserve">     2.3 Financial Assistance to Barangays</t>
  </si>
  <si>
    <t>1,109 Barangays</t>
  </si>
  <si>
    <t>Creditor</t>
  </si>
  <si>
    <t>Date Contracted</t>
  </si>
  <si>
    <t>Term</t>
  </si>
  <si>
    <t>Balance</t>
  </si>
  <si>
    <t>Interest</t>
  </si>
  <si>
    <t>Principal</t>
  </si>
  <si>
    <t>CAN</t>
  </si>
  <si>
    <t>Youth Development Council</t>
  </si>
  <si>
    <t>Tripartite Industrial Peace Council (TIPC)</t>
  </si>
  <si>
    <t>PERSONNEL SCHEDULE</t>
  </si>
  <si>
    <t>Function</t>
  </si>
  <si>
    <t>Project/Activity</t>
  </si>
  <si>
    <t>:</t>
  </si>
  <si>
    <t>: GENERAL FUND</t>
  </si>
  <si>
    <t>AUTHORIZED</t>
  </si>
  <si>
    <t>ITEM</t>
  </si>
  <si>
    <t>TITLE OF POSITION</t>
  </si>
  <si>
    <t>RATE/ANNUM</t>
  </si>
  <si>
    <t>NO.</t>
  </si>
  <si>
    <t>and</t>
  </si>
  <si>
    <t>Jan.- December 2012</t>
  </si>
  <si>
    <t>DIFFERENCE</t>
  </si>
  <si>
    <t>NAME OF INCUMBENT</t>
  </si>
  <si>
    <t>GRADE/</t>
  </si>
  <si>
    <t>Old</t>
  </si>
  <si>
    <t>New</t>
  </si>
  <si>
    <t>STEP</t>
  </si>
  <si>
    <t>AMOUNT</t>
  </si>
  <si>
    <t>6/6</t>
  </si>
  <si>
    <t>ADMINISTRATIVE SUPPORT SERVICES</t>
  </si>
  <si>
    <t>4/8</t>
  </si>
  <si>
    <t>ADMINISTRATIVE AIDE VI</t>
  </si>
  <si>
    <t>3</t>
  </si>
  <si>
    <t>DRIVER I</t>
  </si>
  <si>
    <t>3/3</t>
  </si>
  <si>
    <t>4/4</t>
  </si>
  <si>
    <t>4/5</t>
  </si>
  <si>
    <t>ADMINISTRATIVE AIDE I</t>
  </si>
  <si>
    <t xml:space="preserve"> (Utility Worker I)</t>
  </si>
  <si>
    <t xml:space="preserve">   Maria  Jocelyn B. Balatero</t>
  </si>
  <si>
    <t>1/3</t>
  </si>
  <si>
    <t>1/4</t>
  </si>
  <si>
    <t xml:space="preserve">   Carmencita V. Racho</t>
  </si>
  <si>
    <t>1/2</t>
  </si>
  <si>
    <t xml:space="preserve">    Vacant</t>
  </si>
  <si>
    <t>11</t>
  </si>
  <si>
    <t xml:space="preserve"> (Clerk III)</t>
  </si>
  <si>
    <t xml:space="preserve">   Vacant </t>
  </si>
  <si>
    <t>6</t>
  </si>
  <si>
    <t>ADMINISTRATIVE ASSISTANT II</t>
  </si>
  <si>
    <t>6/8</t>
  </si>
  <si>
    <t>3/5</t>
  </si>
  <si>
    <t>8/6</t>
  </si>
  <si>
    <t>ADMINISTRATIVE OFFICER III</t>
  </si>
  <si>
    <t>3/8</t>
  </si>
  <si>
    <t>1/8</t>
  </si>
  <si>
    <t>1</t>
  </si>
  <si>
    <t>4/6</t>
  </si>
  <si>
    <t>6/2</t>
  </si>
  <si>
    <t>1/5</t>
  </si>
  <si>
    <t>4</t>
  </si>
  <si>
    <t>ENGINEER II</t>
  </si>
  <si>
    <t>6/4</t>
  </si>
  <si>
    <t>6/7</t>
  </si>
  <si>
    <t>ELECTRICIAN I</t>
  </si>
  <si>
    <t>T O T A L</t>
  </si>
  <si>
    <t>Department/Office</t>
  </si>
  <si>
    <t>:  Executive</t>
  </si>
  <si>
    <t>Fund/Special Acct.</t>
  </si>
  <si>
    <t>:  GENERAL FUND</t>
  </si>
  <si>
    <t>T         O         T         A         L</t>
  </si>
  <si>
    <t>8/7</t>
  </si>
  <si>
    <t>ENGINEER I</t>
  </si>
  <si>
    <t>9/8</t>
  </si>
  <si>
    <t>7</t>
  </si>
  <si>
    <r>
      <t xml:space="preserve">:  </t>
    </r>
    <r>
      <rPr>
        <b/>
        <sz val="9"/>
        <rFont val="Arial"/>
        <family val="2"/>
      </rPr>
      <t>OFFICE OF THE GOVERNOR - BOHOL INVEST PROMO CENTER / TECHNO-LDC</t>
    </r>
  </si>
  <si>
    <t>AGRICULTURAL CENTER CHIEF I</t>
  </si>
  <si>
    <t xml:space="preserve">    Ma. Fe M. Dominise</t>
  </si>
  <si>
    <t>18/7</t>
  </si>
  <si>
    <t>COMPUTER PROGRAMMER I</t>
  </si>
  <si>
    <t xml:space="preserve">    Emerson A. Pinos</t>
  </si>
  <si>
    <t xml:space="preserve">    Vacant </t>
  </si>
  <si>
    <t>9</t>
  </si>
  <si>
    <t xml:space="preserve">  Governor</t>
  </si>
  <si>
    <t>3/6</t>
  </si>
  <si>
    <t>10</t>
  </si>
  <si>
    <t>ADMINISTRATIVE ASSISTANT III</t>
  </si>
  <si>
    <t>9/5</t>
  </si>
  <si>
    <t>6/5</t>
  </si>
  <si>
    <t>3/2</t>
  </si>
  <si>
    <t>11/2</t>
  </si>
  <si>
    <t>4/7</t>
  </si>
  <si>
    <t>2</t>
  </si>
  <si>
    <t>22/5</t>
  </si>
  <si>
    <t>PROV'L. GOV'T.  DEPARTMENT HEAD</t>
  </si>
  <si>
    <t>18/8</t>
  </si>
  <si>
    <t xml:space="preserve"> (Suppy Officer II)</t>
  </si>
  <si>
    <t xml:space="preserve"> (Storekeeper III)</t>
  </si>
  <si>
    <t>MECHANIC I</t>
  </si>
  <si>
    <t>3/7</t>
  </si>
  <si>
    <t>ENGINEER III</t>
  </si>
  <si>
    <t>16</t>
  </si>
  <si>
    <t>MECHANIC II</t>
  </si>
  <si>
    <t>ENGINEER IV</t>
  </si>
  <si>
    <t>12</t>
  </si>
  <si>
    <t>9/3</t>
  </si>
  <si>
    <t xml:space="preserve"> (Clerk IV)</t>
  </si>
  <si>
    <t>14</t>
  </si>
  <si>
    <t>Administrative Services</t>
  </si>
  <si>
    <t>26/4</t>
  </si>
  <si>
    <t>13</t>
  </si>
  <si>
    <t>Jan. December 2012</t>
  </si>
  <si>
    <t>19/8</t>
  </si>
  <si>
    <t>OPERATIONS DIVISION</t>
  </si>
  <si>
    <r>
      <t xml:space="preserve">: </t>
    </r>
    <r>
      <rPr>
        <b/>
        <sz val="10"/>
        <rFont val="Arial"/>
        <family val="2"/>
      </rPr>
      <t>OFFICE OF THE PROVINCIAL MOTORPOOL DEPARTMENT</t>
    </r>
  </si>
  <si>
    <t>: Equipment Pool Services</t>
  </si>
  <si>
    <t xml:space="preserve">   Abraham D. Clarin</t>
  </si>
  <si>
    <t xml:space="preserve">Administrative Support Services </t>
  </si>
  <si>
    <t xml:space="preserve">    Rosario L. Cano</t>
  </si>
  <si>
    <t xml:space="preserve">    Milet Gay V. Melecio</t>
  </si>
  <si>
    <t>WELDER I</t>
  </si>
  <si>
    <t xml:space="preserve">    Eugene H. Lungay</t>
  </si>
  <si>
    <t xml:space="preserve">    Miguelita S. Barol</t>
  </si>
  <si>
    <t xml:space="preserve"> (Crafts &amp; Trades Helper)</t>
  </si>
  <si>
    <t xml:space="preserve">   Alejandro I. Patenio, Sr.</t>
  </si>
  <si>
    <t xml:space="preserve"> (Utility worker I)</t>
  </si>
  <si>
    <t xml:space="preserve">   Leo B. Barrete</t>
  </si>
  <si>
    <t xml:space="preserve">    Edna V. Dahan</t>
  </si>
  <si>
    <t xml:space="preserve">    Jennifer M. Perez</t>
  </si>
  <si>
    <t xml:space="preserve">   Honesto A. Dano</t>
  </si>
  <si>
    <t>MOTORPOOL - 2</t>
  </si>
  <si>
    <t xml:space="preserve">    Decoroso T. Omictin</t>
  </si>
  <si>
    <t>22/8</t>
  </si>
  <si>
    <t xml:space="preserve">    Elpidio T. Tubig</t>
  </si>
  <si>
    <t>FIELD MANAGEMENT SECTION I, II, III</t>
  </si>
  <si>
    <t xml:space="preserve">    Renato C. Suello</t>
  </si>
  <si>
    <t xml:space="preserve">    Edgardo E. Fernandez</t>
  </si>
  <si>
    <t xml:space="preserve">    Sergio P. Siega Jr. </t>
  </si>
  <si>
    <t xml:space="preserve">    Pascual B. Bustamante, Jr.</t>
  </si>
  <si>
    <t>12/6</t>
  </si>
  <si>
    <t xml:space="preserve">    Jonathan V. Piquero</t>
  </si>
  <si>
    <t>HEAVY EQPT. OPERATOR II</t>
  </si>
  <si>
    <t xml:space="preserve">    Virgilio B. Castro</t>
  </si>
  <si>
    <t xml:space="preserve">    Ginarosito S. Migriño</t>
  </si>
  <si>
    <t xml:space="preserve">    Ernesto A. Cordenillo</t>
  </si>
  <si>
    <t xml:space="preserve">    Samuel P. Ebero</t>
  </si>
  <si>
    <t xml:space="preserve">    Alejandro O. Palado</t>
  </si>
  <si>
    <t xml:space="preserve">    Winefredo L. Panto</t>
  </si>
  <si>
    <t xml:space="preserve">   Jeremias T. Sitoy</t>
  </si>
  <si>
    <t>MOTORPOOL- 3</t>
  </si>
  <si>
    <t xml:space="preserve">    Florente M. Castro</t>
  </si>
  <si>
    <t xml:space="preserve">    Moises B.  Gequillo</t>
  </si>
  <si>
    <t xml:space="preserve">    Melecio L. Maninantan</t>
  </si>
  <si>
    <t xml:space="preserve">    Juanito A. Perocho</t>
  </si>
  <si>
    <t xml:space="preserve">    Romualdo P. Alo, Jr.</t>
  </si>
  <si>
    <t xml:space="preserve">    Restituto B. Pacatang</t>
  </si>
  <si>
    <t xml:space="preserve">    Germanito O. Ganade</t>
  </si>
  <si>
    <t xml:space="preserve">    Alan G. Pamaong</t>
  </si>
  <si>
    <t xml:space="preserve">   Hemprey C. Boyles</t>
  </si>
  <si>
    <t xml:space="preserve">    Heracleo R. Salisid</t>
  </si>
  <si>
    <t xml:space="preserve">    Oscar C. Pajo</t>
  </si>
  <si>
    <t xml:space="preserve">   Juan D.  Gementiza Jr. </t>
  </si>
  <si>
    <t xml:space="preserve">   Junie Y. Paluga</t>
  </si>
  <si>
    <t xml:space="preserve">   Raul C. Caberte</t>
  </si>
  <si>
    <t xml:space="preserve">    Vidal Y. Bucod</t>
  </si>
  <si>
    <t xml:space="preserve">    Felipe J. Ampo</t>
  </si>
  <si>
    <t xml:space="preserve">    Orencio B. Dollisen</t>
  </si>
  <si>
    <t xml:space="preserve">    Pedro S. Cinco</t>
  </si>
  <si>
    <t>MOTORPOOL- 4</t>
  </si>
  <si>
    <t xml:space="preserve">    Lorenzo I. Dua</t>
  </si>
  <si>
    <t>MONITORING/ DISPATCHING SECTION</t>
  </si>
  <si>
    <t xml:space="preserve"> (Moorpool Dispatcher)</t>
  </si>
  <si>
    <t xml:space="preserve">    Rolando M. Lofranco</t>
  </si>
  <si>
    <t xml:space="preserve">    Marlito G. Marapao</t>
  </si>
  <si>
    <t xml:space="preserve">    Candido B. Cadiz, Jr.</t>
  </si>
  <si>
    <t xml:space="preserve">    Hermogenes M. Llano</t>
  </si>
  <si>
    <t>AUTOMOTIVE REPAIR AND MAINTENANCE DIVISION</t>
  </si>
  <si>
    <t xml:space="preserve">   Ruben C. Jimenez</t>
  </si>
  <si>
    <t>HEAVY EQUIPMENT SECTION</t>
  </si>
  <si>
    <t>MECHANICAL PLANT OPERATOR  III</t>
  </si>
  <si>
    <t xml:space="preserve">   Joel B. Socong</t>
  </si>
  <si>
    <t xml:space="preserve">    Alfredo P. Saguirel</t>
  </si>
  <si>
    <t xml:space="preserve">    Herculano I. Dua</t>
  </si>
  <si>
    <t xml:space="preserve">   Jack D. Gementiza, Sr.</t>
  </si>
  <si>
    <t>MACHINIST II</t>
  </si>
  <si>
    <t xml:space="preserve">   Castor D. Darunday</t>
  </si>
  <si>
    <t>METAL WORKER I</t>
  </si>
  <si>
    <t xml:space="preserve">    Dioscoro B. Mindoro</t>
  </si>
  <si>
    <t xml:space="preserve">    Anastacio B. Mindoro</t>
  </si>
  <si>
    <t>MOTORPOOL- 5</t>
  </si>
  <si>
    <t>SUPPORT MAINTENANCE FABRICATION SECTION</t>
  </si>
  <si>
    <t xml:space="preserve">    Virgilio M. Gresos</t>
  </si>
  <si>
    <t xml:space="preserve">    Saturnino M. Darunday</t>
  </si>
  <si>
    <t xml:space="preserve">    Joseph L. de la Victoria</t>
  </si>
  <si>
    <t xml:space="preserve">    Ramon Z. Ongyot</t>
  </si>
  <si>
    <t xml:space="preserve">LIGHT EQUIPMENT SECTION </t>
  </si>
  <si>
    <t>MECHANIC III</t>
  </si>
  <si>
    <t xml:space="preserve">   Danilo L. Abellana</t>
  </si>
  <si>
    <t xml:space="preserve">    Pedro G. Sidayon</t>
  </si>
  <si>
    <t xml:space="preserve">   Abundio D. Paye</t>
  </si>
  <si>
    <t xml:space="preserve">    Antonio D. Abapo</t>
  </si>
  <si>
    <t xml:space="preserve">    Tito P. Sangarios</t>
  </si>
  <si>
    <t>MACHINIST I</t>
  </si>
  <si>
    <t xml:space="preserve">   Agustin L. Aleria</t>
  </si>
  <si>
    <t>STAFFING AND COMPENSATION PROFILE</t>
  </si>
  <si>
    <t>Office of the Governor</t>
  </si>
  <si>
    <t>Authorized</t>
  </si>
  <si>
    <t>Number</t>
  </si>
  <si>
    <t>Salary</t>
  </si>
  <si>
    <t xml:space="preserve">     AUTHORIZED SALARY</t>
  </si>
  <si>
    <t>Position Title</t>
  </si>
  <si>
    <t>Grade</t>
  </si>
  <si>
    <t xml:space="preserve">Past Year </t>
  </si>
  <si>
    <t>Key Position with RATA</t>
  </si>
  <si>
    <t xml:space="preserve">  Prov'l. Administrator</t>
  </si>
  <si>
    <t>Non-key Position with RATA</t>
  </si>
  <si>
    <t xml:space="preserve">  Supervising Adm. Officer</t>
  </si>
  <si>
    <t>Other  Position</t>
  </si>
  <si>
    <t xml:space="preserve"> Technical</t>
  </si>
  <si>
    <t xml:space="preserve">  Executive Assistant IV</t>
  </si>
  <si>
    <t xml:space="preserve">  Executive Assistant III</t>
  </si>
  <si>
    <t xml:space="preserve">  Executive Assistant II</t>
  </si>
  <si>
    <t xml:space="preserve">  Executive Assistant I</t>
  </si>
  <si>
    <t>Support to technical Positions</t>
  </si>
  <si>
    <t xml:space="preserve">  Driver II</t>
  </si>
  <si>
    <t xml:space="preserve">  Driver I</t>
  </si>
  <si>
    <t>Administrative Positions</t>
  </si>
  <si>
    <t xml:space="preserve">  Administrative Officer V</t>
  </si>
  <si>
    <t xml:space="preserve">  Administrative Officer III</t>
  </si>
  <si>
    <t xml:space="preserve">  Administrative Officer II</t>
  </si>
  <si>
    <t xml:space="preserve">  Administrative Assistant II</t>
  </si>
  <si>
    <t xml:space="preserve">  Administrative Aide VI</t>
  </si>
  <si>
    <t xml:space="preserve">  Administrative Aide IV</t>
  </si>
  <si>
    <t xml:space="preserve">  Administrative Aide III</t>
  </si>
  <si>
    <t xml:space="preserve">  Administrative Aide II</t>
  </si>
  <si>
    <t xml:space="preserve">  Administrative Aide I</t>
  </si>
  <si>
    <t xml:space="preserve"> Total Filled Permanent  Positions</t>
  </si>
  <si>
    <t>Add: Unfilled Authorized Position</t>
  </si>
  <si>
    <t xml:space="preserve">   Community Affairs Officer I</t>
  </si>
  <si>
    <t xml:space="preserve">   Community Affairs Assistant I</t>
  </si>
  <si>
    <t xml:space="preserve">   Electronics &amp; Com. Eqpt. Tech.III</t>
  </si>
  <si>
    <t xml:space="preserve">   Communications Eqpt. Operator II</t>
  </si>
  <si>
    <t xml:space="preserve">   Electrician I</t>
  </si>
  <si>
    <t xml:space="preserve">   Administrative Officer V</t>
  </si>
  <si>
    <t xml:space="preserve">   Administrative Aide II</t>
  </si>
  <si>
    <t xml:space="preserve">           Sub-Total</t>
  </si>
  <si>
    <t xml:space="preserve"> TOTAL Permanent Positions</t>
  </si>
  <si>
    <t>Proposed Staffing Modification</t>
  </si>
  <si>
    <t xml:space="preserve">  for Budget year</t>
  </si>
  <si>
    <t xml:space="preserve">    Creation</t>
  </si>
  <si>
    <t xml:space="preserve">    Abolition</t>
  </si>
  <si>
    <t xml:space="preserve">    Reclassification</t>
  </si>
  <si>
    <t>B. Non-Permanent Position (Filled)</t>
  </si>
  <si>
    <t xml:space="preserve">   Contractuals</t>
  </si>
  <si>
    <t xml:space="preserve">   Casual/Emergency</t>
  </si>
  <si>
    <t>Total Filled Non-Permanent Position</t>
  </si>
  <si>
    <t>Add: Unfilled Non-Permanent</t>
  </si>
  <si>
    <t xml:space="preserve">     Position</t>
  </si>
  <si>
    <t>Total Non-Permanent Position</t>
  </si>
  <si>
    <t>Staffing and Compensation Profile</t>
  </si>
  <si>
    <t>POSITION TITLE</t>
  </si>
  <si>
    <t xml:space="preserve">    1. Key Position with RATA</t>
  </si>
  <si>
    <t xml:space="preserve">                  None</t>
  </si>
  <si>
    <t xml:space="preserve">   2. Other  Position</t>
  </si>
  <si>
    <t xml:space="preserve">       Technical</t>
  </si>
  <si>
    <t xml:space="preserve">       Support to Technical </t>
  </si>
  <si>
    <t xml:space="preserve">       Administrative Positions</t>
  </si>
  <si>
    <t xml:space="preserve">       Administrative Officer V</t>
  </si>
  <si>
    <t xml:space="preserve">       Administrative Assistant II</t>
  </si>
  <si>
    <t xml:space="preserve">       Administrative Aide VI</t>
  </si>
  <si>
    <t>Total Filled Permanent Positions</t>
  </si>
  <si>
    <t>Add: Unfilled Authorized  Position</t>
  </si>
  <si>
    <t>Total Unfilled Permanent Positions</t>
  </si>
  <si>
    <t>TOTAL Permanent Positions</t>
  </si>
  <si>
    <t>for Budget Year</t>
  </si>
  <si>
    <t xml:space="preserve">    Creation/</t>
  </si>
  <si>
    <t xml:space="preserve">     Contractual</t>
  </si>
  <si>
    <t xml:space="preserve">     Casual/Emergency</t>
  </si>
  <si>
    <t>Add: Unfilled Non-Permanent Position</t>
  </si>
  <si>
    <t xml:space="preserve">   1.  Key Position with RATA</t>
  </si>
  <si>
    <t xml:space="preserve">                 None</t>
  </si>
  <si>
    <t xml:space="preserve">        Technical</t>
  </si>
  <si>
    <t xml:space="preserve">               None</t>
  </si>
  <si>
    <t>Support to Technical</t>
  </si>
  <si>
    <t xml:space="preserve">             None</t>
  </si>
  <si>
    <t>Add: Unfilled Authorized Positions</t>
  </si>
  <si>
    <t xml:space="preserve"> TOTAL  Permanent Positions</t>
  </si>
  <si>
    <t xml:space="preserve"> for Budget Year</t>
  </si>
  <si>
    <t xml:space="preserve">   Creation/</t>
  </si>
  <si>
    <t xml:space="preserve">   Abolition</t>
  </si>
  <si>
    <t xml:space="preserve">   Reclassification</t>
  </si>
  <si>
    <t xml:space="preserve">    Contractual</t>
  </si>
  <si>
    <t xml:space="preserve">    Executive Assistant III</t>
  </si>
  <si>
    <t xml:space="preserve">   Agriculturist II</t>
  </si>
  <si>
    <t xml:space="preserve">  Engineer I</t>
  </si>
  <si>
    <t>Add: Unfilled Non-Permanent Posisiton</t>
  </si>
  <si>
    <t>BOHOL INVESTMENT PROMOTION CENTER/TECHNOLOGY OFFICE</t>
  </si>
  <si>
    <t xml:space="preserve">      Agricultural Center Chief I</t>
  </si>
  <si>
    <t xml:space="preserve">      Computer Programmer I</t>
  </si>
  <si>
    <t xml:space="preserve">    Administrative Position</t>
  </si>
  <si>
    <t>Total Filled Permanent Position</t>
  </si>
  <si>
    <t>Add:  Unfilled Authorized Position</t>
  </si>
  <si>
    <t xml:space="preserve">         None</t>
  </si>
  <si>
    <t>TOTAL Permanent Position</t>
  </si>
  <si>
    <t xml:space="preserve"> Add: Unfilled Non-Permanent Position</t>
  </si>
  <si>
    <t>-</t>
  </si>
  <si>
    <t xml:space="preserve">       Administrative Officer IV</t>
  </si>
  <si>
    <t xml:space="preserve">     Administrative Positions</t>
  </si>
  <si>
    <t xml:space="preserve">       Community Affairs Asst. I</t>
  </si>
  <si>
    <t xml:space="preserve">      Support to Technical </t>
  </si>
  <si>
    <t xml:space="preserve">        None</t>
  </si>
  <si>
    <t>A. Permanent Position (Filled)</t>
  </si>
  <si>
    <t xml:space="preserve">STAFFING AND COMPENSATION PROFILE </t>
  </si>
  <si>
    <t xml:space="preserve">         Provincial Warden</t>
  </si>
  <si>
    <t xml:space="preserve">         Prison Guard III</t>
  </si>
  <si>
    <t xml:space="preserve">         Prison Guard II</t>
  </si>
  <si>
    <t xml:space="preserve">         Prison Guard I</t>
  </si>
  <si>
    <t xml:space="preserve">        Administrative Aide IV</t>
  </si>
  <si>
    <t xml:space="preserve">        Asst. Provincial Warden</t>
  </si>
  <si>
    <t xml:space="preserve">        Prison Guard I</t>
  </si>
  <si>
    <t xml:space="preserve">            Sub-Total</t>
  </si>
  <si>
    <t xml:space="preserve">    1.Key Position with RATA</t>
  </si>
  <si>
    <t xml:space="preserve">                    None</t>
  </si>
  <si>
    <t xml:space="preserve">   2. Other Position</t>
  </si>
  <si>
    <t xml:space="preserve">       Support to Technical</t>
  </si>
  <si>
    <t xml:space="preserve">          Librarian II</t>
  </si>
  <si>
    <t xml:space="preserve">          Librarian I</t>
  </si>
  <si>
    <t xml:space="preserve">       Administrative Aide lV</t>
  </si>
  <si>
    <t xml:space="preserve">       Administrative Aide lll</t>
  </si>
  <si>
    <t xml:space="preserve">       Administrative Aide ll</t>
  </si>
  <si>
    <t xml:space="preserve">       Administrative Aide l</t>
  </si>
  <si>
    <t xml:space="preserve"> Total Filled Permanent Positions</t>
  </si>
  <si>
    <t xml:space="preserve">        Librarian IV</t>
  </si>
  <si>
    <t xml:space="preserve">        Librarian I</t>
  </si>
  <si>
    <t>SANGGUNIANG PANLALAWIGAN</t>
  </si>
  <si>
    <t xml:space="preserve">AUTHORIZED </t>
  </si>
  <si>
    <t xml:space="preserve">        Vice Governor</t>
  </si>
  <si>
    <t xml:space="preserve">        SP Members</t>
  </si>
  <si>
    <t xml:space="preserve">       Local Legislative Staff Officer IV</t>
  </si>
  <si>
    <t xml:space="preserve">       Board Secretary II</t>
  </si>
  <si>
    <t xml:space="preserve">     Administrative Positions/</t>
  </si>
  <si>
    <t xml:space="preserve">     Legislative Positions</t>
  </si>
  <si>
    <t xml:space="preserve">       SP Members</t>
  </si>
  <si>
    <t xml:space="preserve">       Private Secretary I</t>
  </si>
  <si>
    <t xml:space="preserve">       Administrative Officer I</t>
  </si>
  <si>
    <t xml:space="preserve">       Administrative Aide V</t>
  </si>
  <si>
    <t xml:space="preserve">       Administrative Aide III</t>
  </si>
  <si>
    <t xml:space="preserve">       Administrative Aide I</t>
  </si>
  <si>
    <t xml:space="preserve">     Board Secretary V</t>
  </si>
  <si>
    <t xml:space="preserve">     Local Legislative Staff Asst. III</t>
  </si>
  <si>
    <t xml:space="preserve"> TOTAL POSITIONS</t>
  </si>
  <si>
    <t xml:space="preserve">         Data Encoder I</t>
  </si>
  <si>
    <t xml:space="preserve">         Project Development Asst.</t>
  </si>
  <si>
    <t xml:space="preserve">         Supervising Admin. Officer</t>
  </si>
  <si>
    <t xml:space="preserve">         Administrative Officer V</t>
  </si>
  <si>
    <t xml:space="preserve">         Administrative Officer IV</t>
  </si>
  <si>
    <t xml:space="preserve">         Administrative Officer II</t>
  </si>
  <si>
    <t xml:space="preserve">        Administrative Officer l</t>
  </si>
  <si>
    <t xml:space="preserve">         Administrative Assistant II</t>
  </si>
  <si>
    <t xml:space="preserve">         Administrative Aide VI</t>
  </si>
  <si>
    <t xml:space="preserve">         Administrative Aide lV</t>
  </si>
  <si>
    <t xml:space="preserve">         Administrative Aide lll</t>
  </si>
  <si>
    <t xml:space="preserve">         Administrative Aide lI</t>
  </si>
  <si>
    <t xml:space="preserve">         Administrative Aide I</t>
  </si>
  <si>
    <t xml:space="preserve">        Administrative Officer V</t>
  </si>
  <si>
    <t xml:space="preserve">         Administrative Assistant I</t>
  </si>
  <si>
    <t>Provincial Planning &amp; Development Office</t>
  </si>
  <si>
    <t xml:space="preserve">        Prov'l. Gov't. Dept. Head</t>
  </si>
  <si>
    <t xml:space="preserve">       Community Affairs Officer IV</t>
  </si>
  <si>
    <t xml:space="preserve">       Statistician III</t>
  </si>
  <si>
    <t xml:space="preserve">       Planning Officer III</t>
  </si>
  <si>
    <t xml:space="preserve">       Project Development Officer III</t>
  </si>
  <si>
    <t xml:space="preserve">       Engineer II</t>
  </si>
  <si>
    <t xml:space="preserve">       Project Evaluation Officer II</t>
  </si>
  <si>
    <t xml:space="preserve">       Planning Officer II</t>
  </si>
  <si>
    <t xml:space="preserve">       Engineer I</t>
  </si>
  <si>
    <t xml:space="preserve">       Planning Officer I</t>
  </si>
  <si>
    <t xml:space="preserve">       Project Development Officer I</t>
  </si>
  <si>
    <t xml:space="preserve">       Project Evaluation Officer I</t>
  </si>
  <si>
    <t xml:space="preserve">       Draftsman I</t>
  </si>
  <si>
    <t xml:space="preserve">       Statistician Aide</t>
  </si>
  <si>
    <t xml:space="preserve">       Driver I</t>
  </si>
  <si>
    <t xml:space="preserve">        Planning Officer IV</t>
  </si>
  <si>
    <t xml:space="preserve">        Project Development Officer IV</t>
  </si>
  <si>
    <t xml:space="preserve">        Planning Officer II</t>
  </si>
  <si>
    <t xml:space="preserve">        Project Development Officer I</t>
  </si>
  <si>
    <t xml:space="preserve">        Statistician I</t>
  </si>
  <si>
    <t xml:space="preserve">        Records Officer I</t>
  </si>
  <si>
    <t xml:space="preserve">        Statistician Aide</t>
  </si>
  <si>
    <t xml:space="preserve">        Administrative Aide VI</t>
  </si>
  <si>
    <t xml:space="preserve">        Administrative Aide lV</t>
  </si>
  <si>
    <t>Provincial General Services Office</t>
  </si>
  <si>
    <t xml:space="preserve">        Asst. Prov'l. Gov't. Dept. Head</t>
  </si>
  <si>
    <t xml:space="preserve">       Engineer IV</t>
  </si>
  <si>
    <t xml:space="preserve">       Engineer Ill</t>
  </si>
  <si>
    <t xml:space="preserve">       Engineer Il</t>
  </si>
  <si>
    <t xml:space="preserve">     Support to Technical </t>
  </si>
  <si>
    <t xml:space="preserve">       Security Officer I</t>
  </si>
  <si>
    <t xml:space="preserve">       Security Guard llI</t>
  </si>
  <si>
    <t xml:space="preserve">       Security Guard II</t>
  </si>
  <si>
    <t xml:space="preserve">       Security Guard I</t>
  </si>
  <si>
    <t xml:space="preserve">       Lineman III</t>
  </si>
  <si>
    <t xml:space="preserve">       Lineman II</t>
  </si>
  <si>
    <t xml:space="preserve">       Draftsman II</t>
  </si>
  <si>
    <t xml:space="preserve">       Carpenter Foreman</t>
  </si>
  <si>
    <t xml:space="preserve">       Carpenter  II</t>
  </si>
  <si>
    <t xml:space="preserve">       Carpenter l</t>
  </si>
  <si>
    <t xml:space="preserve">       Mechanic II</t>
  </si>
  <si>
    <t xml:space="preserve">       Mechanic I</t>
  </si>
  <si>
    <t xml:space="preserve">       Electrical Inspector I</t>
  </si>
  <si>
    <t xml:space="preserve">       Plumber II</t>
  </si>
  <si>
    <t xml:space="preserve">       Musician</t>
  </si>
  <si>
    <t xml:space="preserve">       Water Pump Operator</t>
  </si>
  <si>
    <t xml:space="preserve">       Const. &amp; Maintenance Man</t>
  </si>
  <si>
    <t xml:space="preserve">         Administrative Officer lll</t>
  </si>
  <si>
    <t xml:space="preserve">         Administrative Officer l</t>
  </si>
  <si>
    <t xml:space="preserve">         Administrative Aide lII</t>
  </si>
  <si>
    <t xml:space="preserve">         Administrative Aide l</t>
  </si>
  <si>
    <t xml:space="preserve">        Lineman II</t>
  </si>
  <si>
    <t xml:space="preserve">        Administrative Assistant III</t>
  </si>
  <si>
    <t xml:space="preserve">        Administrative Aide V</t>
  </si>
  <si>
    <t xml:space="preserve">         Sub-Total</t>
  </si>
  <si>
    <t>PROVINCIAL BUDGET AND MANAGEMENT OFFICE</t>
  </si>
  <si>
    <t xml:space="preserve">  PGDH - Provincial Budget Officer</t>
  </si>
  <si>
    <t xml:space="preserve">    2. Other  Position</t>
  </si>
  <si>
    <t xml:space="preserve">       Administrative Position</t>
  </si>
  <si>
    <t xml:space="preserve">      Supervising Adm. Officer</t>
  </si>
  <si>
    <t xml:space="preserve">      Administrative Officer V</t>
  </si>
  <si>
    <t xml:space="preserve">      Administrative Officer IV</t>
  </si>
  <si>
    <t xml:space="preserve">      Administrative Officer II</t>
  </si>
  <si>
    <t xml:space="preserve">      Administrative Assistant II</t>
  </si>
  <si>
    <t xml:space="preserve">      Administrative Aide VI</t>
  </si>
  <si>
    <t xml:space="preserve">      Administrative Aide IV</t>
  </si>
  <si>
    <t xml:space="preserve">      Administrative Aide III</t>
  </si>
  <si>
    <t xml:space="preserve">      Administrative Aide II</t>
  </si>
  <si>
    <t xml:space="preserve">      Administrative Aide I</t>
  </si>
  <si>
    <t xml:space="preserve">        Administrative Officer II</t>
  </si>
  <si>
    <t xml:space="preserve">      PGDH - Provincial Accountant</t>
  </si>
  <si>
    <t xml:space="preserve">      PGADH -Asst. Prov'l Accountant</t>
  </si>
  <si>
    <t xml:space="preserve">    2. Other  Positions</t>
  </si>
  <si>
    <t xml:space="preserve">        Technical:</t>
  </si>
  <si>
    <t xml:space="preserve">        Accountant IV</t>
  </si>
  <si>
    <t xml:space="preserve">      Administrative Positions</t>
  </si>
  <si>
    <t xml:space="preserve">      Administrative Assistant IV</t>
  </si>
  <si>
    <t xml:space="preserve"> Add: Unfilled Authorized Position</t>
  </si>
  <si>
    <t xml:space="preserve">         Accountant I</t>
  </si>
  <si>
    <t xml:space="preserve">         Accounting Clerk II</t>
  </si>
  <si>
    <t xml:space="preserve">             Sub-Total</t>
  </si>
  <si>
    <t>PROVINCIAL ASSESSOR'S OFFICE</t>
  </si>
  <si>
    <t xml:space="preserve">    AUTHORIZED SALARY</t>
  </si>
  <si>
    <t xml:space="preserve">        PGDH - Provincial Assessor</t>
  </si>
  <si>
    <t xml:space="preserve">        PGADH -Asst. Provincial Assessor</t>
  </si>
  <si>
    <t xml:space="preserve">    2.Other  Positions</t>
  </si>
  <si>
    <t xml:space="preserve">       Tax Mapper IV</t>
  </si>
  <si>
    <t xml:space="preserve">       Local Assessment Oprt. Officer IV</t>
  </si>
  <si>
    <t xml:space="preserve">       Local Assessment Oprt. Officer III</t>
  </si>
  <si>
    <t xml:space="preserve">       Local Assessment Oprt. Officer II</t>
  </si>
  <si>
    <t xml:space="preserve">       Tax Mapper I</t>
  </si>
  <si>
    <t xml:space="preserve">    Administrative Positions</t>
  </si>
  <si>
    <t xml:space="preserve">    Total Filled Permanent Positions</t>
  </si>
  <si>
    <t>PROVINCIAL TREASURER'S OFFICE</t>
  </si>
  <si>
    <t xml:space="preserve">       PGDH - Provincial Treasurer</t>
  </si>
  <si>
    <t xml:space="preserve">       PGADH -Asst. Provincial Treasurer</t>
  </si>
  <si>
    <t xml:space="preserve">       Technical:</t>
  </si>
  <si>
    <t xml:space="preserve">       Local Rev. Collection Officer IV</t>
  </si>
  <si>
    <t xml:space="preserve">       Local Treasury  Oprt. Officer IV</t>
  </si>
  <si>
    <t xml:space="preserve">     Support  Technical </t>
  </si>
  <si>
    <t xml:space="preserve">    Administrative Officer V</t>
  </si>
  <si>
    <t xml:space="preserve">       Local Treasury  Oprt. Officer II</t>
  </si>
  <si>
    <t xml:space="preserve">       Local Treasury Oprtns. Assistant</t>
  </si>
  <si>
    <t xml:space="preserve">       Disbursing Officer II</t>
  </si>
  <si>
    <t xml:space="preserve">       Revenue Collection Clerk III</t>
  </si>
  <si>
    <t xml:space="preserve">       Accounting Clerk II</t>
  </si>
  <si>
    <t xml:space="preserve">       Administrative Officer III</t>
  </si>
  <si>
    <t xml:space="preserve">       Administrative Aide IV</t>
  </si>
  <si>
    <t xml:space="preserve">       Bill Collector</t>
  </si>
  <si>
    <t>PROVINCIAL LEGAL OFFICE</t>
  </si>
  <si>
    <t xml:space="preserve">       PGDH - Provincial Legal Officer</t>
  </si>
  <si>
    <t xml:space="preserve">      Non-key Position with RATA</t>
  </si>
  <si>
    <t xml:space="preserve">      Attorney V</t>
  </si>
  <si>
    <t xml:space="preserve">     2. Other  Position</t>
  </si>
  <si>
    <t xml:space="preserve">         Technical</t>
  </si>
  <si>
    <t xml:space="preserve">          None</t>
  </si>
  <si>
    <t xml:space="preserve">      Attorney IV</t>
  </si>
  <si>
    <t xml:space="preserve">      Attorney III</t>
  </si>
  <si>
    <t xml:space="preserve">       Legal Assistant I</t>
  </si>
  <si>
    <t xml:space="preserve">     Administrative Aide VI</t>
  </si>
  <si>
    <t xml:space="preserve"> Total Filled  Permanent Positions</t>
  </si>
  <si>
    <t xml:space="preserve"> Add:  Unfilled Authorized Positions</t>
  </si>
  <si>
    <t xml:space="preserve">     Administrative Officer IV</t>
  </si>
  <si>
    <t>A. Permanent Positions ( Filled )</t>
  </si>
  <si>
    <t xml:space="preserve">       Provincial Health Officer II</t>
  </si>
  <si>
    <t xml:space="preserve">       Provincial Health Officer I</t>
  </si>
  <si>
    <t xml:space="preserve">    2. Other Positions</t>
  </si>
  <si>
    <t xml:space="preserve">        Medical Specialist IV</t>
  </si>
  <si>
    <t xml:space="preserve">       Dentist III</t>
  </si>
  <si>
    <t xml:space="preserve">       Dentist II</t>
  </si>
  <si>
    <t xml:space="preserve">       Dental Aide</t>
  </si>
  <si>
    <t xml:space="preserve">       Pharmacist II</t>
  </si>
  <si>
    <t xml:space="preserve">       Pharmacist I</t>
  </si>
  <si>
    <t xml:space="preserve">  Dentist II</t>
  </si>
  <si>
    <t xml:space="preserve">  Dentist I</t>
  </si>
  <si>
    <t xml:space="preserve">  Dental Aide</t>
  </si>
  <si>
    <t xml:space="preserve">  Sanitation Inspector IV</t>
  </si>
  <si>
    <t xml:space="preserve">  Sanitation Inspector III</t>
  </si>
  <si>
    <t xml:space="preserve">  Sanitation Inspector II</t>
  </si>
  <si>
    <t xml:space="preserve">  Sanitation Inspector I</t>
  </si>
  <si>
    <t xml:space="preserve">  Nurse III</t>
  </si>
  <si>
    <t xml:space="preserve">  Midwife IV</t>
  </si>
  <si>
    <t xml:space="preserve">  Medical Technologist II</t>
  </si>
  <si>
    <t xml:space="preserve">  Medical Lab. Technician II</t>
  </si>
  <si>
    <t xml:space="preserve">  Administrative Officer IV</t>
  </si>
  <si>
    <t>GARCIA MEMORIAL PROVINCIAL HOSPITAL</t>
  </si>
  <si>
    <t xml:space="preserve">        Provincial Health Officer I</t>
  </si>
  <si>
    <t xml:space="preserve">       Accountant II</t>
  </si>
  <si>
    <t xml:space="preserve">       Medical Officer III</t>
  </si>
  <si>
    <t xml:space="preserve">       Nurse V</t>
  </si>
  <si>
    <t xml:space="preserve">       Nurse III</t>
  </si>
  <si>
    <t xml:space="preserve">       Nurse II</t>
  </si>
  <si>
    <t xml:space="preserve">       Nurse I</t>
  </si>
  <si>
    <t xml:space="preserve">       Medical Technologist II</t>
  </si>
  <si>
    <t xml:space="preserve">       Nutritionist-Dietitian II</t>
  </si>
  <si>
    <t xml:space="preserve">       Social Welfare Officer I</t>
  </si>
  <si>
    <t xml:space="preserve">       Medical Technologist I</t>
  </si>
  <si>
    <t xml:space="preserve">       Midwife III</t>
  </si>
  <si>
    <t xml:space="preserve">       Medical Eqp. Technician II</t>
  </si>
  <si>
    <t xml:space="preserve">       Electrician</t>
  </si>
  <si>
    <t xml:space="preserve">       Nursing Attendant II</t>
  </si>
  <si>
    <t xml:space="preserve">       Utility Foreman</t>
  </si>
  <si>
    <t xml:space="preserve">       Nursing Attendant I</t>
  </si>
  <si>
    <t xml:space="preserve">       Laboratory Aide II</t>
  </si>
  <si>
    <t xml:space="preserve">       Driver II</t>
  </si>
  <si>
    <t xml:space="preserve">       Cook I</t>
  </si>
  <si>
    <t xml:space="preserve">       Construction &amp; Maint. Man</t>
  </si>
  <si>
    <t xml:space="preserve">       Laundry Worker I</t>
  </si>
  <si>
    <t xml:space="preserve">      Administrative Officer III</t>
  </si>
  <si>
    <t xml:space="preserve">      Administrative Officer I</t>
  </si>
  <si>
    <t>Authorized Position Title</t>
  </si>
  <si>
    <t>Sub-Total Unfilled Authorized Position</t>
  </si>
  <si>
    <t>Cong Simeon Toribio Memorial Hospital</t>
  </si>
  <si>
    <t xml:space="preserve">        Chief of Hospital</t>
  </si>
  <si>
    <t xml:space="preserve">       Nurse lV</t>
  </si>
  <si>
    <t xml:space="preserve">       Radiologic Technologist II</t>
  </si>
  <si>
    <t xml:space="preserve">      Administrative Aide Vl</t>
  </si>
  <si>
    <t>TEODORO B. GALAGAR DISTRICT HOSPITAL</t>
  </si>
  <si>
    <t>Add:Unfilled Authorized Positions</t>
  </si>
  <si>
    <t xml:space="preserve">                  Sub-total</t>
  </si>
  <si>
    <t>CONG. NATALIO P. CASTILLO, SR. MEMORIAL HOSPITAL</t>
  </si>
  <si>
    <t xml:space="preserve">                Sub-total</t>
  </si>
  <si>
    <t>Catigbian District Hospital</t>
  </si>
  <si>
    <t xml:space="preserve">  Community Affairs Assistant I</t>
  </si>
  <si>
    <t>Candijay Medicare Community Hospital</t>
  </si>
  <si>
    <t xml:space="preserve">       Electrician I</t>
  </si>
  <si>
    <t xml:space="preserve">       Administrative Assistant III</t>
  </si>
  <si>
    <t xml:space="preserve">        Nursing Attendant I</t>
  </si>
  <si>
    <t>Clarin Medicare Community Hospital</t>
  </si>
  <si>
    <t xml:space="preserve">       Nursing Attendant</t>
  </si>
  <si>
    <t xml:space="preserve">        Medical Officer III</t>
  </si>
  <si>
    <t xml:space="preserve">            Sub-total</t>
  </si>
  <si>
    <t>Maribojoc  Community Hospital</t>
  </si>
  <si>
    <t xml:space="preserve">       Sub-Total</t>
  </si>
  <si>
    <t xml:space="preserve">        Medical Officer IV</t>
  </si>
  <si>
    <t xml:space="preserve">       Medical Officer Ill</t>
  </si>
  <si>
    <t xml:space="preserve">       Nurse Ill</t>
  </si>
  <si>
    <t xml:space="preserve">       Pharmacist ll</t>
  </si>
  <si>
    <t xml:space="preserve">       Community Affairs Assistant I</t>
  </si>
  <si>
    <t xml:space="preserve">       Medical Equipment Tech. I</t>
  </si>
  <si>
    <t xml:space="preserve">       Administrative Officer II</t>
  </si>
  <si>
    <t xml:space="preserve">      Sub-Total</t>
  </si>
  <si>
    <t>Carlos P. Garcia  Municipal Hospital</t>
  </si>
  <si>
    <t xml:space="preserve">       Nutrition-Dietitian I</t>
  </si>
  <si>
    <t xml:space="preserve">       Medical Officer IV</t>
  </si>
  <si>
    <t xml:space="preserve">     Sub-total</t>
  </si>
  <si>
    <t>Provincial Social Welfare &amp; Development Office</t>
  </si>
  <si>
    <t xml:space="preserve">        Prov'l. Gov;t. Dept. Head</t>
  </si>
  <si>
    <t xml:space="preserve">       Social Welfare Officer V</t>
  </si>
  <si>
    <t xml:space="preserve">       Community Affairs Officer II</t>
  </si>
  <si>
    <t xml:space="preserve">       Community Affairs Officer I</t>
  </si>
  <si>
    <t xml:space="preserve">       Handicraft Worker I</t>
  </si>
  <si>
    <t xml:space="preserve">       Security Guard</t>
  </si>
  <si>
    <t xml:space="preserve">        Agricultural Center Chief II</t>
  </si>
  <si>
    <t xml:space="preserve">        Senior Agriculturist</t>
  </si>
  <si>
    <t xml:space="preserve">        Agriculturist II</t>
  </si>
  <si>
    <t xml:space="preserve">        Aquaculturist II</t>
  </si>
  <si>
    <t xml:space="preserve">        Planning Officer I</t>
  </si>
  <si>
    <t xml:space="preserve">        Agricultural Technologist</t>
  </si>
  <si>
    <t xml:space="preserve">        Agricultural Technician l</t>
  </si>
  <si>
    <t xml:space="preserve">        Aquacultural Technician I</t>
  </si>
  <si>
    <t xml:space="preserve">        Laboratory Aide </t>
  </si>
  <si>
    <t xml:space="preserve">        Community Dev't. Asst. I</t>
  </si>
  <si>
    <t xml:space="preserve">        Community Affairs Assistant I</t>
  </si>
  <si>
    <t xml:space="preserve">       Administrative Officer lll</t>
  </si>
  <si>
    <t xml:space="preserve">       Administrative Aide II</t>
  </si>
  <si>
    <t xml:space="preserve">        Supervising Agriculturist</t>
  </si>
  <si>
    <t xml:space="preserve">       Agricultural Technician I</t>
  </si>
  <si>
    <t xml:space="preserve">        Supervising Agriculturist </t>
  </si>
  <si>
    <t xml:space="preserve">        Agricultural Center Chief I</t>
  </si>
  <si>
    <t xml:space="preserve">        Veterinarian Il</t>
  </si>
  <si>
    <t xml:space="preserve">        Market Specialist II</t>
  </si>
  <si>
    <t xml:space="preserve">       Farm Foreman</t>
  </si>
  <si>
    <t xml:space="preserve">       Farm Worker I</t>
  </si>
  <si>
    <t xml:space="preserve">                Sub-Total</t>
  </si>
  <si>
    <t xml:space="preserve">        Engineer IV</t>
  </si>
  <si>
    <t xml:space="preserve">       Engineer III</t>
  </si>
  <si>
    <t xml:space="preserve">       Const. &amp; Maint. Gen. Foreman</t>
  </si>
  <si>
    <t xml:space="preserve">       Laboratory Inspector III</t>
  </si>
  <si>
    <t xml:space="preserve">       Laboratory Technician Il</t>
  </si>
  <si>
    <t xml:space="preserve">       Laboratory Technician l</t>
  </si>
  <si>
    <t xml:space="preserve">       Laboratory Aide I</t>
  </si>
  <si>
    <t xml:space="preserve">       Const. &amp; Maint. Foreman</t>
  </si>
  <si>
    <t xml:space="preserve">       Const. &amp; Maint. Capataz</t>
  </si>
  <si>
    <t xml:space="preserve">       Engineering Assistant</t>
  </si>
  <si>
    <t xml:space="preserve">       Engineering Aide</t>
  </si>
  <si>
    <t xml:space="preserve">       Carpenter II</t>
  </si>
  <si>
    <t xml:space="preserve">       Carpenter I</t>
  </si>
  <si>
    <t xml:space="preserve">       Administrative Officer l</t>
  </si>
  <si>
    <t xml:space="preserve">       Administrative Aide Ill</t>
  </si>
  <si>
    <t xml:space="preserve">       Const. &amp; Maintenance Foreman</t>
  </si>
  <si>
    <t>Provincial Motorpool</t>
  </si>
  <si>
    <t xml:space="preserve">        Engineer Ill</t>
  </si>
  <si>
    <t xml:space="preserve">        Engineer Il</t>
  </si>
  <si>
    <t xml:space="preserve">        Engineer I</t>
  </si>
  <si>
    <t xml:space="preserve">       Mechanical Plant Operator III</t>
  </si>
  <si>
    <t xml:space="preserve">       Mechanic III</t>
  </si>
  <si>
    <t xml:space="preserve">       Heavy Eqpt. Operator II</t>
  </si>
  <si>
    <t xml:space="preserve">       Machinist Il</t>
  </si>
  <si>
    <t xml:space="preserve">       Mechanic l</t>
  </si>
  <si>
    <t xml:space="preserve">       Machinist I</t>
  </si>
  <si>
    <t xml:space="preserve">       Welder I</t>
  </si>
  <si>
    <t xml:space="preserve">       Metal Worker l</t>
  </si>
  <si>
    <t xml:space="preserve">       Administrative Assistant Il</t>
  </si>
  <si>
    <t xml:space="preserve">            Sub Total</t>
  </si>
  <si>
    <t xml:space="preserve">       Sanitation Inspector II</t>
  </si>
  <si>
    <t xml:space="preserve">       Sanitation Inspector I</t>
  </si>
  <si>
    <t xml:space="preserve">       Statistician I</t>
  </si>
  <si>
    <t xml:space="preserve">       Assistant Statistician</t>
  </si>
  <si>
    <t xml:space="preserve">       Nurse IV</t>
  </si>
  <si>
    <t xml:space="preserve">      Nursing Attendant I</t>
  </si>
  <si>
    <t xml:space="preserve">       Prov'l. Gov.t. Asst. Dept. Head</t>
  </si>
  <si>
    <t>Office/Department              :</t>
  </si>
  <si>
    <t>GO Attached Office - BEMO</t>
  </si>
  <si>
    <t>GO- Attached Office - BIPC/BTLDC</t>
  </si>
  <si>
    <t>GO - Attached Office - Bohol Tourism Office</t>
  </si>
  <si>
    <t>Summary Worksheet 1 (LGBRPS-2)</t>
  </si>
  <si>
    <t>INCOME AND EXPENDITURE (I &amp; E)</t>
  </si>
  <si>
    <t xml:space="preserve">        BOHOL Province</t>
  </si>
  <si>
    <t xml:space="preserve">      Local Government Unit</t>
  </si>
  <si>
    <t>1st Semester</t>
  </si>
  <si>
    <t>2nd Semester</t>
  </si>
  <si>
    <t>SOURCES OF FUNDS</t>
  </si>
  <si>
    <t>Prior Year</t>
  </si>
  <si>
    <t>Beginning Balance</t>
  </si>
  <si>
    <t xml:space="preserve">   Cummulative Results of Operations</t>
  </si>
  <si>
    <t xml:space="preserve">       - Unappropriated (8-92-110)</t>
  </si>
  <si>
    <t xml:space="preserve">   Continuing Appropriations/Allotments</t>
  </si>
  <si>
    <t xml:space="preserve">       (8-93-000 and 8-90-000)</t>
  </si>
  <si>
    <t>Regular Income</t>
  </si>
  <si>
    <t>Non-recurring Income</t>
  </si>
  <si>
    <t>Income on Economic Enterprise</t>
  </si>
  <si>
    <t>Capital Revenue</t>
  </si>
  <si>
    <t>Total Available</t>
  </si>
  <si>
    <t>Net Available</t>
  </si>
  <si>
    <t>Less:  Appropriation (B Y only)</t>
  </si>
  <si>
    <t xml:space="preserve">   P S </t>
  </si>
  <si>
    <t xml:space="preserve">   MOOE</t>
  </si>
  <si>
    <t xml:space="preserve">   Capital Outlay</t>
  </si>
  <si>
    <t xml:space="preserve">   Non-Office</t>
  </si>
  <si>
    <t>Unappropriated Bal. Still Available</t>
  </si>
  <si>
    <t xml:space="preserve">        -0-</t>
  </si>
  <si>
    <t>A.  COMPUTATION FOR PS LIMITATION</t>
  </si>
  <si>
    <t xml:space="preserve">   Actual regular income (PY- next preceeding year)</t>
  </si>
  <si>
    <t xml:space="preserve">   45%/55% thereof (whichever applies)</t>
  </si>
  <si>
    <t xml:space="preserve">Less:  </t>
  </si>
  <si>
    <t xml:space="preserve">Still allowable (excess) </t>
  </si>
  <si>
    <t>Summary Worksheet 3 (LGBRPS -4)</t>
  </si>
  <si>
    <t>INCOME AND EXPENDITURES (I &amp; E)</t>
  </si>
  <si>
    <t>BUDGETARY REQUIREMENTS AND OTHER PROVISIONS OF IRR</t>
  </si>
  <si>
    <t>Local Government Unit</t>
  </si>
  <si>
    <t>Title</t>
  </si>
  <si>
    <t>Budgetary Requirements</t>
  </si>
  <si>
    <t>Required/</t>
  </si>
  <si>
    <t>Appropriated</t>
  </si>
  <si>
    <t>Excess/</t>
  </si>
  <si>
    <t>Deficiency</t>
  </si>
  <si>
    <t>Aids to Barangays</t>
  </si>
  <si>
    <t>5% For Disaster Risk Reduction &amp; Mgt. Fund</t>
  </si>
  <si>
    <t>Regular Income (BY)</t>
  </si>
  <si>
    <t xml:space="preserve">Extraordinary and </t>
  </si>
  <si>
    <t>Miscellaneous Expenses</t>
  </si>
  <si>
    <t>Actual receipts derived from</t>
  </si>
  <si>
    <t>basic real property tax in the</t>
  </si>
  <si>
    <t>next preceeding year.</t>
  </si>
  <si>
    <t>2% thereof</t>
  </si>
  <si>
    <t>For Development Project</t>
  </si>
  <si>
    <t xml:space="preserve">Total IRA </t>
  </si>
  <si>
    <t>20% thereof</t>
  </si>
  <si>
    <t>Repayment of Loans</t>
  </si>
  <si>
    <t>Amount Due (per LBPF No. 155)</t>
  </si>
  <si>
    <t>Annual Amortization (per LBPF No. 152</t>
  </si>
  <si>
    <t>6.0</t>
  </si>
  <si>
    <t>Debt Servicing Cap</t>
  </si>
  <si>
    <t>Total Amortization (per LBPF No. 155)</t>
  </si>
  <si>
    <t>7.0</t>
  </si>
  <si>
    <t>For Barangays, Sangguniang</t>
  </si>
  <si>
    <t>Kabataan</t>
  </si>
  <si>
    <t>Total Income (BY)</t>
  </si>
  <si>
    <t>NA</t>
  </si>
  <si>
    <t>10% therof</t>
  </si>
  <si>
    <t>2.</t>
  </si>
  <si>
    <t>BUDGETARY REQUIREMENTS (In conformance with Art 419 &amp; other</t>
  </si>
  <si>
    <t>provisions of IRR)</t>
  </si>
  <si>
    <t>a.  The aggregate amount appropriated shall not exceed the estimates of</t>
  </si>
  <si>
    <t xml:space="preserve">     income;</t>
  </si>
  <si>
    <t>OK</t>
  </si>
  <si>
    <t>b.   Full provisions shall be made for all statutory and contactual obligations</t>
  </si>
  <si>
    <t xml:space="preserve">      of the LGU concerned provided that the amount of appropriations for debt</t>
  </si>
  <si>
    <t xml:space="preserve">     servicing shall not exceed (20%) of the LGU regular income for the</t>
  </si>
  <si>
    <t xml:space="preserve">     budget year;</t>
  </si>
  <si>
    <t xml:space="preserve">c.  In the case of province, cities and municipalities, aid to barangays shall be </t>
  </si>
  <si>
    <t xml:space="preserve">     and</t>
  </si>
  <si>
    <t>d.  Five percent (5%) of the estimated revenue from regular sources shall be</t>
  </si>
  <si>
    <t xml:space="preserve">     set aside as an annual lump-sum appropriation for unforeseen expenditures</t>
  </si>
  <si>
    <t xml:space="preserve">     shall be used only in the area or a portion thereof of the LGU, or other</t>
  </si>
  <si>
    <t xml:space="preserve">     areas declared in a state of calamity by the President.</t>
  </si>
  <si>
    <t xml:space="preserve">e.  Any available funds or resource of LGUs shall first be allocated for the </t>
  </si>
  <si>
    <t xml:space="preserve">     provision of basic services and facilities before using such fund or </t>
  </si>
  <si>
    <t xml:space="preserve">     resource for other purposes, unless otherwise provided in the Code.  For</t>
  </si>
  <si>
    <t xml:space="preserve">     Basic Services and Facilities, use Annex II-A for provinces, Annex II-B</t>
  </si>
  <si>
    <t xml:space="preserve">     for cities, Annex II-C for municipalities and Annex II-D for barangays.</t>
  </si>
  <si>
    <t xml:space="preserve">f.   No less that twenty percent (20%) of the Internal Revenue Allotment </t>
  </si>
  <si>
    <t xml:space="preserve">     (IRA) for the year shall be appropriated for development projects</t>
  </si>
  <si>
    <t xml:space="preserve">     embodied or contained in the local development plan.  Appropriation</t>
  </si>
  <si>
    <t xml:space="preserve">     development projects shall be itemized in the budget.</t>
  </si>
  <si>
    <t xml:space="preserve">g.  In case of the barangay, ten percent (10%) of the general fund of the </t>
  </si>
  <si>
    <t xml:space="preserve">     barangay shall be set aside for the sangguniang kabataan.</t>
  </si>
  <si>
    <t>h.  The proceeds from the shares of LGUs from the development and</t>
  </si>
  <si>
    <t xml:space="preserve">     utilization of the natiuonal wealth shall be appropriated to finance local</t>
  </si>
  <si>
    <t xml:space="preserve">     development and livelihood projects, provided that at least 80% of the </t>
  </si>
  <si>
    <t xml:space="preserve">     proceeds derived from the development and utilization of hydrothermal,</t>
  </si>
  <si>
    <t xml:space="preserve">     the cost of electricity in the LGU where such source of energy is located.</t>
  </si>
  <si>
    <t>GENERAL LIMITATIONS (In conformance with Art. 420 &amp; other provisions of</t>
  </si>
  <si>
    <t>IRR)</t>
  </si>
  <si>
    <t>a.  The total appropriations, whether annual or supplemental, for personal</t>
  </si>
  <si>
    <t xml:space="preserve">     sevices of an LGU for one (1) fiscal year shall not exceed forty-five</t>
  </si>
  <si>
    <t xml:space="preserve">     municipalities, and fifty-five (55%) in the case of fourth class or </t>
  </si>
  <si>
    <t xml:space="preserve">     lower, of the total annual income from regular sources in the next</t>
  </si>
  <si>
    <t xml:space="preserve">     representation and transportation allowances of officials and employees of </t>
  </si>
  <si>
    <t xml:space="preserve">     maintained by the LGU concerned shall not be included in the annual</t>
  </si>
  <si>
    <t xml:space="preserve">     budget or in the computation of the maximum amount expendable for</t>
  </si>
  <si>
    <t xml:space="preserve">     personal services.  The appropriations for the personal services of such </t>
  </si>
  <si>
    <t xml:space="preserve">     economic enterprises shall be charged to their respective budgets.</t>
  </si>
  <si>
    <t xml:space="preserve">     The limitations prescribed herein shall apply only after the LGU have</t>
  </si>
  <si>
    <t xml:space="preserve">     complied with the implementation of R.A. 6758 or Salary Standardization</t>
  </si>
  <si>
    <t xml:space="preserve">     In the case  barangays, the total annual appropriations for personal</t>
  </si>
  <si>
    <t xml:space="preserve">     services shall not exceed fifty-five percent (55%) of the total annual</t>
  </si>
  <si>
    <t xml:space="preserve">     fiscal year.</t>
  </si>
  <si>
    <t xml:space="preserve">b.  No official or employee shall be entitled to a salary rate higher that the </t>
  </si>
  <si>
    <t xml:space="preserve">     applicable laws, rules and regulations issued thereunder;</t>
  </si>
  <si>
    <t>c.  No local fund shall be appropriated to increase or adjust salaries or wages</t>
  </si>
  <si>
    <t xml:space="preserve">     of officials and emplyees of the national government, except as may be </t>
  </si>
  <si>
    <t xml:space="preserve">     expressly authorized by law;</t>
  </si>
  <si>
    <t>d.  In cases of abolition of positions and the creation of new ones resulting</t>
  </si>
  <si>
    <t xml:space="preserve">     from the abolition of exixting positions in the career service, such</t>
  </si>
  <si>
    <t xml:space="preserve">     abolition or creation shall be made in accordance with pertinent provisions</t>
  </si>
  <si>
    <t xml:space="preserve">     of the new Local Government Code and the civil service law, rules and </t>
  </si>
  <si>
    <t xml:space="preserve">     regulations;</t>
  </si>
  <si>
    <t xml:space="preserve">e.  Positions in the official plantilla for career positions which are occupied </t>
  </si>
  <si>
    <t xml:space="preserve">     by incumbents holding permanent appointments shall be covered by </t>
  </si>
  <si>
    <t xml:space="preserve">     adequate appropriations.</t>
  </si>
  <si>
    <t xml:space="preserve">f.  No changes in designation or nomenclature of positions  resulting in a </t>
  </si>
  <si>
    <t xml:space="preserve">     shall be allowed, except when the position is actually vacant, and the </t>
  </si>
  <si>
    <t xml:space="preserve">     service law, rules and regulations;</t>
  </si>
  <si>
    <t>g.  The creation of new positions and salary increase or adjustment shall in</t>
  </si>
  <si>
    <t xml:space="preserve">     case be made retroactive;</t>
  </si>
  <si>
    <t>h.  The annual appropriations for discretionary purposes of the Local Chief</t>
  </si>
  <si>
    <t xml:space="preserve">     Executive shall not exceed two percent (2%) of the actual receipts derived</t>
  </si>
  <si>
    <t xml:space="preserve">     from basic real property tax in the next preceding calendar year.  No</t>
  </si>
  <si>
    <t xml:space="preserve">     amount shall be appropriated for the purpose except as authorized</t>
  </si>
  <si>
    <t xml:space="preserve">     herein.</t>
  </si>
  <si>
    <t xml:space="preserve">     only after the terms of office of those approving such increase shall have</t>
  </si>
  <si>
    <t xml:space="preserve">     expired, while that of appointive officials and employees shall take effect</t>
  </si>
  <si>
    <t xml:space="preserve">      as provided in the ordinance authorizing such increase.</t>
  </si>
  <si>
    <t xml:space="preserve">j.   No elective or appointive local official or employees shall receive </t>
  </si>
  <si>
    <t xml:space="preserve">     by law.  Pensions or gratuity shall not be considered as additional, double</t>
  </si>
  <si>
    <t xml:space="preserve">     or indirect compensation.</t>
  </si>
  <si>
    <t>k.  No money shall be appropriated, used, or paid for entertainment or</t>
  </si>
  <si>
    <t xml:space="preserve">     reception except to the extent of the representation allowance authorized by</t>
  </si>
  <si>
    <t xml:space="preserve">     law or for the reception of visiting dignitaries of foreign government or </t>
  </si>
  <si>
    <t xml:space="preserve">     foreign missions, or when expressly authorized by the President in specific</t>
  </si>
  <si>
    <t xml:space="preserve">     cases.</t>
  </si>
  <si>
    <t>l.  The balance of continuing appropriations shall be reviewed as part of the</t>
  </si>
  <si>
    <t xml:space="preserve">      annual budget preparation and the sanggunian, concerned may approve,</t>
  </si>
  <si>
    <t xml:space="preserve">     upon recommendation of the local chief executive, the reversion of funds</t>
  </si>
  <si>
    <t xml:space="preserve">     no longer needed in connection with the activities funded by said </t>
  </si>
  <si>
    <t xml:space="preserve">     continuing appropriations.</t>
  </si>
  <si>
    <t xml:space="preserve">      plans.</t>
  </si>
  <si>
    <t xml:space="preserve">                                Budget Review Matrix ( Personal Services)</t>
  </si>
  <si>
    <t>Province of Bohol</t>
  </si>
  <si>
    <t xml:space="preserve"> Salaries &amp; Wages</t>
  </si>
  <si>
    <t xml:space="preserve"> 701   Regular</t>
  </si>
  <si>
    <t xml:space="preserve"> 703   Part-Time</t>
  </si>
  <si>
    <t xml:space="preserve"> 705   Casual</t>
  </si>
  <si>
    <t xml:space="preserve"> 706   Contractual</t>
  </si>
  <si>
    <t xml:space="preserve"> Sub-Total</t>
  </si>
  <si>
    <t xml:space="preserve"> Other Compensations</t>
  </si>
  <si>
    <t xml:space="preserve"> 711   PERA</t>
  </si>
  <si>
    <t xml:space="preserve"> 713   Representation Allowance</t>
  </si>
  <si>
    <t xml:space="preserve"> 714   Transportation Allowance</t>
  </si>
  <si>
    <t xml:space="preserve"> 715   Clothing Allowance</t>
  </si>
  <si>
    <t xml:space="preserve"> 716   Subs &amp; Other Allowance</t>
  </si>
  <si>
    <t xml:space="preserve"> 721   Hazard Pay</t>
  </si>
  <si>
    <t xml:space="preserve"> 723   Overtime &amp; Night Pay</t>
  </si>
  <si>
    <t xml:space="preserve"> 725   Christmas Bonus</t>
  </si>
  <si>
    <t xml:space="preserve"> 724   Cash Gift</t>
  </si>
  <si>
    <t xml:space="preserve"> 719   Anniversary </t>
  </si>
  <si>
    <t xml:space="preserve"> Personnel Benefits/</t>
  </si>
  <si>
    <t xml:space="preserve">   Contributions</t>
  </si>
  <si>
    <t xml:space="preserve"> 731   RLIP</t>
  </si>
  <si>
    <t xml:space="preserve"> 732   PAG-IBIG</t>
  </si>
  <si>
    <t xml:space="preserve"> 733   PHILHEALTH</t>
  </si>
  <si>
    <t xml:space="preserve"> 734   ECC</t>
  </si>
  <si>
    <t xml:space="preserve"> Other Personnel </t>
  </si>
  <si>
    <t xml:space="preserve">   Benefits</t>
  </si>
  <si>
    <t xml:space="preserve"> 738   Pension Benefits</t>
  </si>
  <si>
    <t xml:space="preserve"> 740   Retirement Benefits</t>
  </si>
  <si>
    <t xml:space="preserve"> 742   Terminal Leave Benefits</t>
  </si>
  <si>
    <t xml:space="preserve"> 743   Health Workers Benefits</t>
  </si>
  <si>
    <t xml:space="preserve">                 Budget Review Matrix ( Maintenance &amp; Other Operating Expenses)</t>
  </si>
  <si>
    <t xml:space="preserve"> Traveling Expenses</t>
  </si>
  <si>
    <t xml:space="preserve"> Training &amp; Scholarship</t>
  </si>
  <si>
    <t xml:space="preserve"> Utility Expenses</t>
  </si>
  <si>
    <t xml:space="preserve"> Supplies &amp; Material Expenses</t>
  </si>
  <si>
    <t xml:space="preserve"> Communication Expenses</t>
  </si>
  <si>
    <t xml:space="preserve"> Professional Expenses</t>
  </si>
  <si>
    <t xml:space="preserve">  Repair and Maintenance</t>
  </si>
  <si>
    <t xml:space="preserve"> Subsidies &amp; Donations</t>
  </si>
  <si>
    <t xml:space="preserve"> Taxes, Insurance Premium &amp;</t>
  </si>
  <si>
    <t xml:space="preserve"> Contributions to Organization</t>
  </si>
  <si>
    <t xml:space="preserve">          Contributions to Organizations</t>
  </si>
  <si>
    <t xml:space="preserve"> Other Maintenance &amp; Operating</t>
  </si>
  <si>
    <t xml:space="preserve">          Expenses</t>
  </si>
  <si>
    <r>
      <t xml:space="preserve">       </t>
    </r>
    <r>
      <rPr>
        <b/>
        <sz val="10"/>
        <rFont val="Arial"/>
        <family val="2"/>
      </rPr>
      <t>Total MOOE</t>
    </r>
  </si>
  <si>
    <t>Budget Review Matrix ( Capital Outlays)</t>
  </si>
  <si>
    <t xml:space="preserve"> Property, Plant &amp; Equipment</t>
  </si>
  <si>
    <r>
      <t xml:space="preserve"> </t>
    </r>
    <r>
      <rPr>
        <u/>
        <sz val="10"/>
        <rFont val="Arial"/>
        <family val="2"/>
      </rPr>
      <t>Land &amp; Land Improvement</t>
    </r>
  </si>
  <si>
    <t xml:space="preserve"> 201   Land</t>
  </si>
  <si>
    <t xml:space="preserve"> Buildings</t>
  </si>
  <si>
    <t xml:space="preserve"> Office Equipment, Furniture &amp;</t>
  </si>
  <si>
    <t xml:space="preserve">  Fixtures</t>
  </si>
  <si>
    <t xml:space="preserve"> Machineries &amp; Equipment</t>
  </si>
  <si>
    <t xml:space="preserve"> 230   Construction &amp; Heavy Equipment</t>
  </si>
  <si>
    <t xml:space="preserve"> Public Infrastructure</t>
  </si>
  <si>
    <t xml:space="preserve">   Total Capital Outlays</t>
  </si>
  <si>
    <t>Budget Review Matrix ( Non-Office Expenditures)</t>
  </si>
  <si>
    <t>N/A</t>
  </si>
  <si>
    <t>Gender and Development Program</t>
  </si>
  <si>
    <t>Bohol Crisis Intervention Center</t>
  </si>
  <si>
    <t>Peace and Order Program</t>
  </si>
  <si>
    <t>Other Special Purpose</t>
  </si>
  <si>
    <t>Annual/Supplemental Budget</t>
  </si>
  <si>
    <t xml:space="preserve">       PROVINCE OF BOHOL</t>
  </si>
  <si>
    <t xml:space="preserve">       Local Government Unit</t>
  </si>
  <si>
    <t xml:space="preserve">   Budgetary</t>
  </si>
  <si>
    <t>Excess</t>
  </si>
  <si>
    <t xml:space="preserve">   Requirements</t>
  </si>
  <si>
    <t xml:space="preserve">   1.0  Aids to Barangays</t>
  </si>
  <si>
    <t xml:space="preserve">   2.0  5% For Disaster Risk Reduction &amp; Mgt. Fund</t>
  </si>
  <si>
    <t xml:space="preserve">         Regular Income (BY)</t>
  </si>
  <si>
    <t xml:space="preserve">         5% thereof</t>
  </si>
  <si>
    <t xml:space="preserve">   3.0  Discretionary Expenses</t>
  </si>
  <si>
    <t xml:space="preserve">          Actual receipts derived</t>
  </si>
  <si>
    <t xml:space="preserve">          from basic real property</t>
  </si>
  <si>
    <t xml:space="preserve">          tax     in     the      next </t>
  </si>
  <si>
    <t xml:space="preserve">          preceding year.</t>
  </si>
  <si>
    <t xml:space="preserve">          20% thereof</t>
  </si>
  <si>
    <t xml:space="preserve">   4.0  For Development Project</t>
  </si>
  <si>
    <t xml:space="preserve">         T o t a l     IRA</t>
  </si>
  <si>
    <t xml:space="preserve">         20% thereof</t>
  </si>
  <si>
    <t xml:space="preserve">   5.0  Repayment of Loans</t>
  </si>
  <si>
    <t xml:space="preserve">          Amount Due (per LEFF</t>
  </si>
  <si>
    <t xml:space="preserve">          No. 155)     Annual</t>
  </si>
  <si>
    <t xml:space="preserve">          Amortization (per LBPF</t>
  </si>
  <si>
    <t xml:space="preserve">          No. 155)     </t>
  </si>
  <si>
    <t xml:space="preserve">   6.0  Debt Servicing Cap</t>
  </si>
  <si>
    <t xml:space="preserve">          Regular Income (BY)</t>
  </si>
  <si>
    <t xml:space="preserve">          Total Amortization</t>
  </si>
  <si>
    <t xml:space="preserve">          (per LBPF No. 155)</t>
  </si>
  <si>
    <t xml:space="preserve">   7.0  For barangays,</t>
  </si>
  <si>
    <t xml:space="preserve">         Sangguniang Kabataan</t>
  </si>
  <si>
    <t xml:space="preserve">         Total GF Income (BY)</t>
  </si>
  <si>
    <t xml:space="preserve">         10% thereof</t>
  </si>
  <si>
    <t xml:space="preserve">          2% thereof</t>
  </si>
  <si>
    <t>Debt Servicing - Loan Amortization</t>
  </si>
  <si>
    <t>Aid to Barangay</t>
  </si>
  <si>
    <t>5% Calamity Fund</t>
  </si>
  <si>
    <t>BCDS</t>
  </si>
  <si>
    <t>BICTU</t>
  </si>
  <si>
    <t xml:space="preserve">  Electricity Expenses</t>
  </si>
  <si>
    <t>Cable</t>
  </si>
  <si>
    <t>BDJ</t>
  </si>
  <si>
    <t>FUNCTIONAL STATEMENTS, OBJECTIVES AND EXPECTED RESULTS</t>
  </si>
  <si>
    <t>I. FUNCTIONAL STATEMENT</t>
  </si>
  <si>
    <t>II. OBJECTIVES</t>
  </si>
  <si>
    <t>1. Set up infrastructure for in-house research networking</t>
  </si>
  <si>
    <t>4. Publish results of research and studies made for the consumption of users</t>
  </si>
  <si>
    <t>III. PROGRAMS/PROJECTS/ACTIVITIES</t>
  </si>
  <si>
    <t>Ref. Code</t>
  </si>
  <si>
    <t>Program/Project/Activity Description</t>
  </si>
  <si>
    <t>Cost</t>
  </si>
  <si>
    <t>Performance/ Output Indicator</t>
  </si>
  <si>
    <t>Annual Targets</t>
  </si>
  <si>
    <t>Implementation Schedule</t>
  </si>
  <si>
    <t>Mar.</t>
  </si>
  <si>
    <t>May</t>
  </si>
  <si>
    <t>Sept.</t>
  </si>
  <si>
    <t>Dec.</t>
  </si>
  <si>
    <t>July</t>
  </si>
  <si>
    <t>Nov.</t>
  </si>
  <si>
    <t>March</t>
  </si>
  <si>
    <t>Oct.</t>
  </si>
  <si>
    <t>June</t>
  </si>
  <si>
    <t>FUNCTIONAL STATEMENT AND GENERAL OBJECTIVES</t>
  </si>
  <si>
    <t>Protective Services</t>
  </si>
  <si>
    <t>A.  FUNCTIONAL STATEMENT</t>
  </si>
  <si>
    <t>In line with its function the bureau is tasks</t>
  </si>
  <si>
    <t>B. OBJECTIVES</t>
  </si>
  <si>
    <t>1. To improve the living conditions of inmates in accordance with the accepted standards set by the United Nations;</t>
  </si>
  <si>
    <t>2. To enhance the safekeeping and development of inmates in preparation for their eventual reintegration into the mainstream of society upon their release; and</t>
  </si>
  <si>
    <t>3. To professionalize jail services.</t>
  </si>
  <si>
    <t>C. PROJECTS/ACTIVITIES</t>
  </si>
  <si>
    <t>CODE Reference</t>
  </si>
  <si>
    <t>Program/Activity</t>
  </si>
  <si>
    <t>Output Indicator</t>
  </si>
  <si>
    <t>Implementation Schedule (6)</t>
  </si>
  <si>
    <t>Project Description</t>
  </si>
  <si>
    <t>COST</t>
  </si>
  <si>
    <t>Target</t>
  </si>
  <si>
    <t xml:space="preserve">   From             To</t>
  </si>
  <si>
    <t>JAN.</t>
  </si>
  <si>
    <t>DEC.</t>
  </si>
  <si>
    <t>IMPROVEMENT &amp; MAINTENANCE OF JAIL FACILITIES / EQUIPMENT</t>
  </si>
  <si>
    <t xml:space="preserve"> Maintenance of Jail facility, availability of office supplies, water, electricity, telephone, fax, postage deliveries and internet services.</t>
  </si>
  <si>
    <t xml:space="preserve"> Availability of office supplies, water and electricity and effective communication system.</t>
  </si>
  <si>
    <t>Continuous (all year round)</t>
  </si>
  <si>
    <t xml:space="preserve"> - Well maintained facility.</t>
  </si>
  <si>
    <t>All bldg. within the jail vicinity.</t>
  </si>
  <si>
    <t xml:space="preserve"> - Well maintained service vehicles and office equipment.</t>
  </si>
  <si>
    <t>Four (4) vehicle, five (5) computer one (1) set sound system and CCTV camera</t>
  </si>
  <si>
    <t>- Cabinets and tables for use at the admin. And operation div.</t>
  </si>
  <si>
    <t>4 cabinets and 4 office tables.</t>
  </si>
  <si>
    <t>SECURITY MANAGEMENT</t>
  </si>
  <si>
    <t>- Well maintained and controlled facility.</t>
  </si>
  <si>
    <t xml:space="preserve">-Inmates are securely and safely brought to courts, hospitals or to any agency as stated in court orders.  </t>
  </si>
  <si>
    <t>As per court Order</t>
  </si>
  <si>
    <t>PROVISION OF BASIC NEEDS</t>
  </si>
  <si>
    <t>- Food Subsistence of inmates</t>
  </si>
  <si>
    <t xml:space="preserve"> - Satisfied inmates on the foods served.</t>
  </si>
  <si>
    <t>- Health Care Services</t>
  </si>
  <si>
    <t xml:space="preserve">- Healthy inmates </t>
  </si>
  <si>
    <t>Output</t>
  </si>
  <si>
    <t>Reference</t>
  </si>
  <si>
    <t>From</t>
  </si>
  <si>
    <t>To</t>
  </si>
  <si>
    <t>-          To implement strong security measures for the control of inmates,</t>
  </si>
  <si>
    <t>-          To provide inmates basic needs,</t>
  </si>
  <si>
    <t>-          Conduct activities for the development of inmates</t>
  </si>
  <si>
    <t>-          Improve jail facilities</t>
  </si>
  <si>
    <t>-          And promote general welfare and development of personnel</t>
  </si>
  <si>
    <r>
      <t>PROFESSIONALIZATION OF JAIL SERVICES –</t>
    </r>
    <r>
      <rPr>
        <sz val="10"/>
        <rFont val="Arial"/>
        <family val="2"/>
      </rPr>
      <t xml:space="preserve"> Personnel Inventory and Profile</t>
    </r>
  </si>
  <si>
    <t>-      Construction and Repair of Jail/Office Facilities</t>
  </si>
  <si>
    <t>-      Repair  and maintenance of Jail vehicles and Office Equipment</t>
  </si>
  <si>
    <t>-      Procurement of Equipment and furniture</t>
  </si>
  <si>
    <r>
      <t xml:space="preserve"> </t>
    </r>
    <r>
      <rPr>
        <sz val="10"/>
        <rFont val="Arial"/>
        <family val="2"/>
      </rPr>
      <t>Custodial and Escorting services</t>
    </r>
  </si>
  <si>
    <t>Functional Statement, Objectives and Expected Results</t>
  </si>
  <si>
    <t>To support the Overarching Development Framework of the present Leadership, we aim to implement Coastal, Mineral, Forestry and Integrated Solid Waste Management and Pollution Control Programs:</t>
  </si>
  <si>
    <t xml:space="preserve">                   </t>
  </si>
  <si>
    <t>Indicator</t>
  </si>
  <si>
    <t>20% Development Fund &amp; General Fund</t>
  </si>
  <si>
    <t>NATURAL RESOURCE MANAGEMENT DIVISION</t>
  </si>
  <si>
    <t>COASTAL RESOURCE MANAGEMENT PROGRAM</t>
  </si>
  <si>
    <t>Jan</t>
  </si>
  <si>
    <t>1 training</t>
  </si>
  <si>
    <t>April</t>
  </si>
  <si>
    <t>October</t>
  </si>
  <si>
    <t>1 workshop</t>
  </si>
  <si>
    <t>2 trainings</t>
  </si>
  <si>
    <t>Jan.</t>
  </si>
  <si>
    <t>FOREST RESOURCE MANAGEMENT PROGRAM</t>
  </si>
  <si>
    <t>January</t>
  </si>
  <si>
    <t xml:space="preserve"> ECOLOGICAL SOLID WASTE MANAGEMENT &amp; POLLUTION CONTROL PROGRAM</t>
  </si>
  <si>
    <t>MINERAL RESOURCE MANAGEMENT PROGRAM</t>
  </si>
  <si>
    <t>Dec</t>
  </si>
  <si>
    <t>30</t>
  </si>
  <si>
    <t>WATER RESOURCES MANAGEMENT PROGRAM</t>
  </si>
  <si>
    <t>6 meetings</t>
  </si>
  <si>
    <t>12 reports</t>
  </si>
  <si>
    <t xml:space="preserve"> ISO 14001:2004 Certification</t>
  </si>
  <si>
    <t xml:space="preserve">Jan. </t>
  </si>
  <si>
    <t>Feb.</t>
  </si>
  <si>
    <t>I. Functional Statement</t>
  </si>
  <si>
    <t>Vision</t>
  </si>
  <si>
    <t>BEPO is a respected government institution committed to provide quality employment services.</t>
  </si>
  <si>
    <t>Mission</t>
  </si>
  <si>
    <t>Establish a strong/collaborative partnership with NGA's, LGU's, NGO's, Business and Private</t>
  </si>
  <si>
    <t>Sectors to generate employment opportunities for the upliftment of the economic, social and cultural well-being</t>
  </si>
  <si>
    <t>of the Boholano people; empower and adopt a competent human resources to effectively deliver quality</t>
  </si>
  <si>
    <t>services to the constituents.</t>
  </si>
  <si>
    <t>II. Objectives</t>
  </si>
  <si>
    <t>3. To provide clients with adequate information on employment and labor market situation in the area.</t>
  </si>
  <si>
    <t>4. To network with other related offices on employment and job exchange purposes.</t>
  </si>
  <si>
    <t>5. To empower office staff thru capability building/training programs.</t>
  </si>
  <si>
    <t>III. PROJECTS/ACTIVITIES</t>
  </si>
  <si>
    <t xml:space="preserve">Implementation </t>
  </si>
  <si>
    <t>Schedule (6)</t>
  </si>
  <si>
    <t>1. Administrative Services</t>
  </si>
  <si>
    <t xml:space="preserve"> Implementation of PGBh/Office policies</t>
  </si>
  <si>
    <t>More satisfied</t>
  </si>
  <si>
    <t>customers</t>
  </si>
  <si>
    <t>policies</t>
  </si>
  <si>
    <t>Monitoring of Personnel Attendance</t>
  </si>
  <si>
    <t>Accurate Attendance</t>
  </si>
  <si>
    <t>Monitoring Scheme</t>
  </si>
  <si>
    <t>personnel</t>
  </si>
  <si>
    <t>Timely preparation &amp;</t>
  </si>
  <si>
    <t xml:space="preserve">   claims</t>
  </si>
  <si>
    <t>release of salaries &amp;</t>
  </si>
  <si>
    <t>Payrolls &amp;</t>
  </si>
  <si>
    <t>Vouchers</t>
  </si>
  <si>
    <t>Review of PES</t>
  </si>
  <si>
    <t>Competency based;</t>
  </si>
  <si>
    <t>Value for money</t>
  </si>
  <si>
    <t>Personnel</t>
  </si>
  <si>
    <t>Preparation of office communication/</t>
  </si>
  <si>
    <t>Well informed</t>
  </si>
  <si>
    <t xml:space="preserve">  memoranda to office personnel</t>
  </si>
  <si>
    <t>com/memo</t>
  </si>
  <si>
    <t xml:space="preserve">Systematic Recording and Releasing of </t>
  </si>
  <si>
    <t>Easy documents</t>
  </si>
  <si>
    <t xml:space="preserve">   communications</t>
  </si>
  <si>
    <t>retrieval</t>
  </si>
  <si>
    <t>com</t>
  </si>
  <si>
    <t>Issuance of certificate of appearance of</t>
  </si>
  <si>
    <t>Increased clients</t>
  </si>
  <si>
    <t xml:space="preserve">   transacting clients</t>
  </si>
  <si>
    <t xml:space="preserve">patronage of various </t>
  </si>
  <si>
    <t>of appearance</t>
  </si>
  <si>
    <t>services</t>
  </si>
  <si>
    <t>Answer queries on office  programs</t>
  </si>
  <si>
    <t>Advocacy</t>
  </si>
  <si>
    <t>Upon receipt</t>
  </si>
  <si>
    <t xml:space="preserve">   and services</t>
  </si>
  <si>
    <t>Strengthened</t>
  </si>
  <si>
    <t>of query</t>
  </si>
  <si>
    <t>Liaisoning and messengerial service</t>
  </si>
  <si>
    <t>Quick delivery of</t>
  </si>
  <si>
    <t>Unquantified</t>
  </si>
  <si>
    <t>support services</t>
  </si>
  <si>
    <t>Preparation of Monthly Reports</t>
  </si>
  <si>
    <t>Reports submitted</t>
  </si>
  <si>
    <t>on time</t>
  </si>
  <si>
    <t>Attendance to office related concerns</t>
  </si>
  <si>
    <t>Office well-</t>
  </si>
  <si>
    <t>represented</t>
  </si>
  <si>
    <t>Procurement of office supplies &amp;</t>
  </si>
  <si>
    <t>Smooth office</t>
  </si>
  <si>
    <t>Monthly</t>
  </si>
  <si>
    <t xml:space="preserve">   equipment</t>
  </si>
  <si>
    <t>operations</t>
  </si>
  <si>
    <t>Maintenance of office equipments/facilities</t>
  </si>
  <si>
    <t>Quarterly</t>
  </si>
  <si>
    <t>increased</t>
  </si>
  <si>
    <t>Maintenance of office cleanliness</t>
  </si>
  <si>
    <t>EMS Guidelines</t>
  </si>
  <si>
    <t>Daily</t>
  </si>
  <si>
    <t>complied</t>
  </si>
  <si>
    <t>2. Employment Related Services</t>
  </si>
  <si>
    <t>More job applicants</t>
  </si>
  <si>
    <t>hired/placed</t>
  </si>
  <si>
    <t>applicants</t>
  </si>
  <si>
    <t>More jobseekers</t>
  </si>
  <si>
    <t>employed</t>
  </si>
  <si>
    <t>Summer job</t>
  </si>
  <si>
    <t xml:space="preserve">   Employment of Students (SPES)</t>
  </si>
  <si>
    <t>opportunity for</t>
  </si>
  <si>
    <t>students</t>
  </si>
  <si>
    <t>Jobseekers aware of</t>
  </si>
  <si>
    <t xml:space="preserve">   Seminar (PEOS)</t>
  </si>
  <si>
    <t>job application</t>
  </si>
  <si>
    <t>processes</t>
  </si>
  <si>
    <t>More capable</t>
  </si>
  <si>
    <t>12 activities/</t>
  </si>
  <si>
    <t xml:space="preserve">   meetings, capability enhancement, etc.</t>
  </si>
  <si>
    <t xml:space="preserve">and empowered </t>
  </si>
  <si>
    <t>meetings</t>
  </si>
  <si>
    <t>employees</t>
  </si>
  <si>
    <t>Employees are made</t>
  </si>
  <si>
    <t>2 Strategic</t>
  </si>
  <si>
    <t xml:space="preserve">   Workshops</t>
  </si>
  <si>
    <t>aware of office</t>
  </si>
  <si>
    <t>Planning &amp;</t>
  </si>
  <si>
    <t>accomplishments &amp;</t>
  </si>
  <si>
    <t>Assessment</t>
  </si>
  <si>
    <t>strategies</t>
  </si>
  <si>
    <t>Established network</t>
  </si>
  <si>
    <t>2 activities</t>
  </si>
  <si>
    <t>with other PESO</t>
  </si>
  <si>
    <t>Employees Capability</t>
  </si>
  <si>
    <t>Enhanced</t>
  </si>
  <si>
    <t>3. Mobile Services</t>
  </si>
  <si>
    <t>Government services</t>
  </si>
  <si>
    <t>brought closer to the</t>
  </si>
  <si>
    <t>people</t>
  </si>
  <si>
    <t>Boholano OFWs and</t>
  </si>
  <si>
    <t>Travelers get passport</t>
  </si>
  <si>
    <t>Boholano Professionals</t>
  </si>
  <si>
    <t>renew licences</t>
  </si>
  <si>
    <t>Transport Operators</t>
  </si>
  <si>
    <t>4. STARS Project</t>
  </si>
  <si>
    <t>Training per LGU</t>
  </si>
  <si>
    <t>All LGUs</t>
  </si>
  <si>
    <t xml:space="preserve">   Trainings </t>
  </si>
  <si>
    <t>properly scheduled</t>
  </si>
  <si>
    <t xml:space="preserve">STARS Project </t>
  </si>
  <si>
    <t xml:space="preserve">Launching attended &amp; </t>
  </si>
  <si>
    <t>All launching</t>
  </si>
  <si>
    <t>objectives of the</t>
  </si>
  <si>
    <t>activities well</t>
  </si>
  <si>
    <t>project well explained</t>
  </si>
  <si>
    <t>All training</t>
  </si>
  <si>
    <t>implementation well</t>
  </si>
  <si>
    <t>monitored</t>
  </si>
  <si>
    <t>STARS Project</t>
  </si>
  <si>
    <t>All cetificates</t>
  </si>
  <si>
    <t xml:space="preserve">   completion</t>
  </si>
  <si>
    <t>certificates prepared</t>
  </si>
  <si>
    <t>prepared</t>
  </si>
  <si>
    <t>STARS Project graduation</t>
  </si>
  <si>
    <t>Certificates</t>
  </si>
  <si>
    <t xml:space="preserve">   Distribution of Certificates</t>
  </si>
  <si>
    <t>attended &amp; certificates</t>
  </si>
  <si>
    <t>distributed</t>
  </si>
  <si>
    <t>May &amp; Nov.</t>
  </si>
  <si>
    <t>April &amp; Dec.</t>
  </si>
  <si>
    <t>Feb. &amp; August</t>
  </si>
  <si>
    <t xml:space="preserve">Dec. </t>
  </si>
  <si>
    <t>MOOE</t>
  </si>
  <si>
    <t>Office supplies</t>
  </si>
  <si>
    <t>Jul.</t>
  </si>
  <si>
    <t>Apr.</t>
  </si>
  <si>
    <t>Ref.</t>
  </si>
  <si>
    <t>Implementation</t>
  </si>
  <si>
    <t xml:space="preserve">Output </t>
  </si>
  <si>
    <t>Program/Activity/</t>
  </si>
  <si>
    <t xml:space="preserve">Code </t>
  </si>
  <si>
    <t>C. PROGRAMS/PROJECTS/ ACTIVITIES</t>
  </si>
  <si>
    <t>To build partnerships and alliances in project implementation</t>
  </si>
  <si>
    <t>To capacitate staff on investor services and business processes, social entrepreneurship, and business-related trainings</t>
  </si>
  <si>
    <t>To produce updated promotional collaterals about investing in Bohol</t>
  </si>
  <si>
    <t>Fund/Special Account</t>
  </si>
  <si>
    <r>
      <t xml:space="preserve">A. </t>
    </r>
    <r>
      <rPr>
        <b/>
        <sz val="12"/>
        <color indexed="8"/>
        <rFont val="Arial"/>
        <family val="2"/>
      </rPr>
      <t>FUNCTIONAL STATEMENT</t>
    </r>
  </si>
  <si>
    <t>A. Functional Statement:</t>
  </si>
  <si>
    <t>B. Objectives:</t>
  </si>
  <si>
    <t>C. Programs/Projects/Activities</t>
  </si>
  <si>
    <t>Program/Activity/Project</t>
  </si>
  <si>
    <t>Description</t>
  </si>
  <si>
    <t>Schedule</t>
  </si>
  <si>
    <t>[1]</t>
  </si>
  <si>
    <t>[2]</t>
  </si>
  <si>
    <t>[3]</t>
  </si>
  <si>
    <t>[4]</t>
  </si>
  <si>
    <t>[5]</t>
  </si>
  <si>
    <t>1) Enhancement of Hospital services</t>
  </si>
  <si>
    <t>Medical Services</t>
  </si>
  <si>
    <t>2 doctors</t>
  </si>
  <si>
    <t xml:space="preserve"> - thorough evaluation &amp; assessment of patients</t>
  </si>
  <si>
    <t xml:space="preserve"> - prompt admission of patients</t>
  </si>
  <si>
    <t xml:space="preserve"> - proper management of counselling</t>
  </si>
  <si>
    <t xml:space="preserve"> - accurate diagnosis</t>
  </si>
  <si>
    <t>3 contractual doctors</t>
  </si>
  <si>
    <t xml:space="preserve"> - act as relievers due to lack of regular item for doctors</t>
  </si>
  <si>
    <t>Nursing Services</t>
  </si>
  <si>
    <t xml:space="preserve">    - Attend immediately to patients' needs</t>
  </si>
  <si>
    <t xml:space="preserve">    - Accurate recording and carrying of doctors order</t>
  </si>
  <si>
    <t xml:space="preserve">    - Effective supervision of Nursing staff</t>
  </si>
  <si>
    <t xml:space="preserve"> - Attendance to trainings &amp; seminars</t>
  </si>
  <si>
    <t>quality nursing care provided</t>
  </si>
  <si>
    <t>- Annual Licensing &amp; Accreditation</t>
  </si>
  <si>
    <t xml:space="preserve"> - Purchase of modern Lab. Equipment &amp; supplies</t>
  </si>
  <si>
    <t xml:space="preserve"> - Proper &amp; accurate recording of laboratory results</t>
  </si>
  <si>
    <t xml:space="preserve"> - attendance to trainings, seminars &amp; conventions</t>
  </si>
  <si>
    <t>BFAD regulations followed</t>
  </si>
  <si>
    <t xml:space="preserve"> - Purchase of dental supplies</t>
  </si>
  <si>
    <t xml:space="preserve"> - Strict implementation of hospital charges</t>
  </si>
  <si>
    <t xml:space="preserve"> - Systematic and immediate filing of patients claims to PHIC</t>
  </si>
  <si>
    <t xml:space="preserve"> - Prompt collection of bills</t>
  </si>
  <si>
    <t>no negative comment from COA</t>
  </si>
  <si>
    <t>hospital waste properly segregated &amp; disposed</t>
  </si>
  <si>
    <t xml:space="preserve"> - Improvement of solid waste disposal</t>
  </si>
  <si>
    <t xml:space="preserve"> - 1 Laundry Woman</t>
  </si>
  <si>
    <t>improved service delivery</t>
  </si>
  <si>
    <t>PROGRAMS/ACTIVITY/PROJECT</t>
  </si>
  <si>
    <t>OUTPUT INDICATOR</t>
  </si>
  <si>
    <t>TARGET</t>
  </si>
  <si>
    <t>IMPLEMENTATION SCHEDULE</t>
  </si>
  <si>
    <t>FROM</t>
  </si>
  <si>
    <t>TO</t>
  </si>
  <si>
    <t>D. DIETARY</t>
  </si>
  <si>
    <t>A. LABORATORY</t>
  </si>
  <si>
    <r>
      <t xml:space="preserve">               </t>
    </r>
    <r>
      <rPr>
        <b/>
        <sz val="11"/>
        <rFont val="Arial"/>
        <family val="2"/>
      </rPr>
      <t>FUNCTIONAL STATEMENT, OBJECTIVES AND EXPECTED RESULTS</t>
    </r>
  </si>
  <si>
    <t xml:space="preserve">Fund/Special Account :  </t>
  </si>
  <si>
    <t>General Fund</t>
  </si>
  <si>
    <t xml:space="preserve">The hospital will provide preventive, curative and rehabilitative services for the sick and the injured </t>
  </si>
  <si>
    <t>more particularly the less priveledged.</t>
  </si>
  <si>
    <t>To provide best possible care and treatment to all in need of hospitalization within our level of services</t>
  </si>
  <si>
    <r>
      <t>a</t>
    </r>
    <r>
      <rPr>
        <sz val="10"/>
        <rFont val="Arial"/>
        <family val="2"/>
      </rPr>
      <t>nd discharge them satisfied and delighted of the adequate and quality health care received.</t>
    </r>
  </si>
  <si>
    <t>C.</t>
  </si>
  <si>
    <t>PROGRAMS/ PROJECTS/ ACTIVITIES:</t>
  </si>
  <si>
    <t>AIP</t>
  </si>
  <si>
    <t>Programs/Acivity/Project</t>
  </si>
  <si>
    <t>REF.</t>
  </si>
  <si>
    <t>A. Programs</t>
  </si>
  <si>
    <t>documents</t>
  </si>
  <si>
    <t>B. X-RAY</t>
  </si>
  <si>
    <t>OPA</t>
  </si>
  <si>
    <t>seminars, exhibit &amp;</t>
  </si>
  <si>
    <t xml:space="preserve">Sustained &amp; supported </t>
  </si>
  <si>
    <t>A. FUNCTIONAL STATEMENT</t>
  </si>
  <si>
    <t>C. PROJECTS/PROGRAMS/ACTIVITIES</t>
  </si>
  <si>
    <t>Code Reference</t>
  </si>
  <si>
    <t>Program/Projects/Activities</t>
  </si>
  <si>
    <t>A. PROGRAMS</t>
  </si>
  <si>
    <t>A. FUNCTIONAL STATEMENT:</t>
  </si>
  <si>
    <t>●</t>
  </si>
  <si>
    <t xml:space="preserve">        </t>
  </si>
  <si>
    <t>monthly</t>
  </si>
  <si>
    <t>SELECTION</t>
  </si>
  <si>
    <t>Attendance sheets</t>
  </si>
  <si>
    <t>Minutes</t>
  </si>
  <si>
    <t>PLACEMENT</t>
  </si>
  <si>
    <t>OTHER RELATED ACTIVITIES</t>
  </si>
  <si>
    <t>25 letters</t>
  </si>
  <si>
    <t>240 documents</t>
  </si>
  <si>
    <t>350 certificate</t>
  </si>
  <si>
    <t>Implementation schedule</t>
  </si>
  <si>
    <t>C. PROJECT/ACTIVITIES</t>
  </si>
  <si>
    <t>Out-put</t>
  </si>
  <si>
    <t>Target Date</t>
  </si>
  <si>
    <t xml:space="preserve">Ref </t>
  </si>
  <si>
    <t>daily w/in 1 hour</t>
  </si>
  <si>
    <t>Jan .</t>
  </si>
  <si>
    <t>Medical services</t>
  </si>
  <si>
    <t>24 hours daily</t>
  </si>
  <si>
    <t>Nursing services</t>
  </si>
  <si>
    <t>Ancillary Services</t>
  </si>
  <si>
    <t>patients examined</t>
  </si>
  <si>
    <t>Hospital Information System and other services</t>
  </si>
  <si>
    <t>issuance of Medical Certificate</t>
  </si>
  <si>
    <t>Curative Health services</t>
  </si>
  <si>
    <t>Maximum level of out-patients and in-patients care</t>
  </si>
  <si>
    <t>SUB-TOTAL</t>
  </si>
  <si>
    <t>INFRA-</t>
  </si>
  <si>
    <t>accurate and complete recording of letters, memos, bills &amp; all other transactions accuarate billing of patients, collections remited and deposited</t>
  </si>
  <si>
    <t>1)</t>
  </si>
  <si>
    <t>2)</t>
  </si>
  <si>
    <t>3)</t>
  </si>
  <si>
    <t>To promote and protect Public Health Disease Prevention and Emergency Preparedness.</t>
  </si>
  <si>
    <t>4)</t>
  </si>
  <si>
    <t>To encourage the development of strong, health and supportive communities.</t>
  </si>
  <si>
    <t>I. Medical</t>
  </si>
  <si>
    <t># of patients served</t>
  </si>
  <si>
    <t>Continuous upgrading of health facility and equipments</t>
  </si>
  <si>
    <t>Increase health care service availability and accessibility</t>
  </si>
  <si>
    <t>Renewal of Philhealth &amp; PHILCAT Accreditation</t>
  </si>
  <si>
    <t>Early Compliance of One-Stop Shop of DOH licensing requirements for renewal</t>
  </si>
  <si>
    <t>Request for Universal Philhealth coverage on Indigency Program enrollment thru ILHZ</t>
  </si>
  <si>
    <t>Provide capability building on Internal Medicine, Pediatrics, Surgery Refresher and CEMONC training</t>
  </si>
  <si>
    <t>Support health programs and other health related activities</t>
  </si>
  <si>
    <t>II. Nursing</t>
  </si>
  <si>
    <t>Continued implementation of proper nursing care at all times</t>
  </si>
  <si>
    <t>Enhance ment of Nursing Services by promoting health awareness</t>
  </si>
  <si>
    <t>Send training in the Neonatal Intensive Care Unit (NICU)</t>
  </si>
  <si>
    <t>Respond to all patient and medical calls</t>
  </si>
  <si>
    <t>Evaluate and implement Doctor's Order</t>
  </si>
  <si>
    <t>Preparation and submission of reports and other records.</t>
  </si>
  <si>
    <t>III. Ancillary</t>
  </si>
  <si>
    <t>Perform laboratory tests.</t>
  </si>
  <si>
    <t>Prepare requisitions on laboratory supplies</t>
  </si>
  <si>
    <t>Preparation of necessary reports as needed</t>
  </si>
  <si>
    <t>Perform necessary procedures</t>
  </si>
  <si>
    <t>Ensure safety of patients in the performance of procedures</t>
  </si>
  <si>
    <t>Proper and correct reporting results</t>
  </si>
  <si>
    <t>Observe cleanliness in the workplace</t>
  </si>
  <si>
    <t>C. PHARMACY</t>
  </si>
  <si>
    <t>Provide and guarantee availability of drugs and medicines</t>
  </si>
  <si>
    <t>Improved hospital services</t>
  </si>
  <si>
    <t>Increase hospital income by 20 to 30 % per year</t>
  </si>
  <si>
    <t>Requisition of necessary medicines for procurement</t>
  </si>
  <si>
    <t>Inspection of items delivered and maintain of stock ledgers for in-coming &amp; out-going items/medicines</t>
  </si>
  <si>
    <t>Maintain cleanliness in workplace</t>
  </si>
  <si>
    <t>Maitain diet to patients as directed by the attending physician</t>
  </si>
  <si>
    <t>Maintain cleanliness in the workplace</t>
  </si>
  <si>
    <t>IV. ADMINISTRATIVE</t>
  </si>
  <si>
    <t>Support, provide guidance and supervise the administrative team to ensure that essential functions are carried out in compliance with the laws and regulations</t>
  </si>
  <si>
    <t>Oversee all program related to hospital</t>
  </si>
  <si>
    <t>Oversee all fiscal functions and services</t>
  </si>
  <si>
    <t>Maintain accurate financial records</t>
  </si>
  <si>
    <t>Provide timely and accurate information/ reports</t>
  </si>
  <si>
    <t>Regular sending of demand letters on overdue accounts for additional hospital revenue generation</t>
  </si>
  <si>
    <t>Other necessary trainings for employees</t>
  </si>
  <si>
    <t>Strict implementation of waste management system</t>
  </si>
  <si>
    <t>FUNCTIONAL STATEMENT, OBJECTIVES AND EXPECTED RESULTS</t>
  </si>
  <si>
    <t xml:space="preserve">Office /Department : </t>
  </si>
  <si>
    <t>Function               :</t>
  </si>
  <si>
    <t>Fund/Special Account:</t>
  </si>
  <si>
    <t xml:space="preserve">II.  OBJECTIVES </t>
  </si>
  <si>
    <t xml:space="preserve">            </t>
  </si>
  <si>
    <t>To help promote access to quality education at all levels.</t>
  </si>
  <si>
    <t>To enhance employee skills/capabilities.</t>
  </si>
  <si>
    <t xml:space="preserve">       Program/Activity</t>
  </si>
  <si>
    <t xml:space="preserve">Cost </t>
  </si>
  <si>
    <t xml:space="preserve">     Project Description</t>
  </si>
  <si>
    <t xml:space="preserve">From </t>
  </si>
  <si>
    <t xml:space="preserve">A. </t>
  </si>
  <si>
    <t>Personal Services</t>
  </si>
  <si>
    <t>B. Administrative Services</t>
  </si>
  <si>
    <t>Capablity Building</t>
  </si>
  <si>
    <t>Attendance to trainings and Seminars.</t>
  </si>
  <si>
    <t>Knowledge and skills of employees updated</t>
  </si>
  <si>
    <t>Increased awareness level of services delivered</t>
  </si>
  <si>
    <t>Staff meeting.</t>
  </si>
  <si>
    <t>Problem threshed out</t>
  </si>
  <si>
    <t>Procurement of office supplies.</t>
  </si>
  <si>
    <t>20 procurements</t>
  </si>
  <si>
    <t>Payment of Electricity</t>
  </si>
  <si>
    <t>Bills paid</t>
  </si>
  <si>
    <t>Payment of mobile phone</t>
  </si>
  <si>
    <t>Preparation of pertinent papers, payrolls &amp; vouchers</t>
  </si>
  <si>
    <t>Vouchers, payrolls, etc.  Prepared</t>
  </si>
  <si>
    <t>no. of documents prepared</t>
  </si>
  <si>
    <t>Supervision and monitoring of personnel</t>
  </si>
  <si>
    <t>Personnel supervised &amp; monitored</t>
  </si>
  <si>
    <t xml:space="preserve">     </t>
  </si>
  <si>
    <t>C</t>
  </si>
  <si>
    <t>Reader's Services</t>
  </si>
  <si>
    <t>Books, magazines and news papers circulated</t>
  </si>
  <si>
    <t>D.</t>
  </si>
  <si>
    <t>Technical Services and Internet</t>
  </si>
  <si>
    <t>Bookbind loosen books &amp; magazines</t>
  </si>
  <si>
    <t>Books repaired, magazines bounded</t>
  </si>
  <si>
    <t>Clip important articles on local history &amp; retrieve all documents of Boholano values for the archive</t>
  </si>
  <si>
    <t>Important articles and pictures posted at bulletin board</t>
  </si>
  <si>
    <t>E.</t>
  </si>
  <si>
    <t>LGU- coordinated for good governance</t>
  </si>
  <si>
    <t xml:space="preserve">I.  FUNCTIONAL STATEMENT  </t>
  </si>
  <si>
    <t>Fund/Special Account : General Fund</t>
  </si>
  <si>
    <t>B.  OBJECTIVES</t>
  </si>
  <si>
    <t>Undertake the promotion and preservation of health of the people and to raise the health standards of the individual and the community</t>
  </si>
  <si>
    <t>Extend the maximun health services to the people especially those who can not afford for reason of poverty.</t>
  </si>
  <si>
    <t>Develop, administer and coordinate various health activities and various services, which shall include health (preventive, curative and rehabilitative) programs and medical care.</t>
  </si>
  <si>
    <t>Upgrade the standard of medical practice and quality of service to assure people of better health services.</t>
  </si>
  <si>
    <t>C.  PROJECTS/ACTIVITIES</t>
  </si>
  <si>
    <t>REFERENCE</t>
  </si>
  <si>
    <t>PROGRAMS/ACTIVITIES/PROJECTS</t>
  </si>
  <si>
    <t>I.  ADMINISTRATIVE SERVICES</t>
  </si>
  <si>
    <t>Supervise all administrative and technical activities in the hospital</t>
  </si>
  <si>
    <t>Improved hospital services and income</t>
  </si>
  <si>
    <t>Increase hospital income by approx. 20% a year</t>
  </si>
  <si>
    <t>Develop and set hospital standards of service, cleanliness &amp; care</t>
  </si>
  <si>
    <t>Formulate &amp; supervise implementation of all hospital policies &amp; guidelines</t>
  </si>
  <si>
    <t>Plan, Organize &amp; Implement all hospital activities</t>
  </si>
  <si>
    <t>Ensure the direction of work &amp; other hospital activities to achieve hospital goals &amp; objectives</t>
  </si>
  <si>
    <t>Set evaluation &amp; monitoring standards of hospital operations &amp; other activities</t>
  </si>
  <si>
    <t>Mediation on clientelle problems &amp; complaints</t>
  </si>
  <si>
    <t># of complaining patients</t>
  </si>
  <si>
    <t>No complaints</t>
  </si>
  <si>
    <t>Exercise general supervision on confounding medical &amp; non-medical cases for discussion &amp; decision</t>
  </si>
  <si>
    <t>Ensure harmonious relationship among employees</t>
  </si>
  <si>
    <t># of cases filed w/ the grievance committee</t>
  </si>
  <si>
    <t>No cases filed</t>
  </si>
  <si>
    <t>Preparation of plans, direction, training &amp; ensure implementation of programs for personal growth &amp; development</t>
  </si>
  <si>
    <t># of training given to personnel</t>
  </si>
  <si>
    <t>Increased # of trained personnel for special task</t>
  </si>
  <si>
    <t>Preparation &amp; submission of hospital budget &amp; all other reports as required</t>
  </si>
  <si>
    <t>Budget Proposal</t>
  </si>
  <si>
    <t>Submitted Budget Proposal</t>
  </si>
  <si>
    <t>Monitoring hospital expenditures &amp; other financial considerations</t>
  </si>
  <si>
    <t>Preparation &amp; submission of communications &amp; other documents as required</t>
  </si>
  <si>
    <t># of reports, communications submitted</t>
  </si>
  <si>
    <t>All comm. promptly and completely submitted</t>
  </si>
  <si>
    <t>Preparation &amp; submission of PhilHealth claims &amp; other reports</t>
  </si>
  <si>
    <t>Ensure accuracy of all hospital records</t>
  </si>
  <si>
    <t>Ensure proper custody of all hospital inventory &amp; properties</t>
  </si>
  <si>
    <t>Installation &amp; maintenance of cleanliness of the hospital</t>
  </si>
  <si>
    <t>Ensure immediate response to all ambulance calls</t>
  </si>
  <si>
    <t># of ambulance calls</t>
  </si>
  <si>
    <t>All calls answered</t>
  </si>
  <si>
    <t>Ensure proper disposal &amp; management of hospital waste</t>
  </si>
  <si>
    <t>EMS policies</t>
  </si>
  <si>
    <t>EMS implemented</t>
  </si>
  <si>
    <t>Ensure hospital compliance to standards set by DOH, PhilHealth &amp; other agencies</t>
  </si>
  <si>
    <t>Hospital License and accreditation</t>
  </si>
  <si>
    <t>Hospital accredited and licensed to operate</t>
  </si>
  <si>
    <t>Attendance on meetings &amp; coordination with other offices</t>
  </si>
  <si>
    <t>II.  MEDICAL SERVICES</t>
  </si>
  <si>
    <t>Provide medical care at all times both on In-Patient and Out-Patient</t>
  </si>
  <si>
    <t>Total # of patients served</t>
  </si>
  <si>
    <t>Immediate &amp; proper medical care provided</t>
  </si>
  <si>
    <t>Performance of needed health care &amp; curative services in the ward</t>
  </si>
  <si>
    <t>Participation on health and non-health committees to effect change</t>
  </si>
  <si>
    <t>Support health propgrams &amp; other health related activities of DOH</t>
  </si>
  <si>
    <t>Upgrade hospital standard of care to competitive levels of secondary hospitals</t>
  </si>
  <si>
    <t>Provide health information and education to all hospital patients</t>
  </si>
  <si>
    <t>Direction &amp; coordination with the nursing activities for all medical &amp; other related activities</t>
  </si>
  <si>
    <t>Answer all medical calls as may be required/needed</t>
  </si>
  <si>
    <t>Implementation of proper nursing care at all times</t>
  </si>
  <si>
    <t>Immediate and proper medical care provided</t>
  </si>
  <si>
    <t>Respond to all patient medical calls</t>
  </si>
  <si>
    <t># of calls responded</t>
  </si>
  <si>
    <t>No complaints from admitted patients</t>
  </si>
  <si>
    <t>Ensure patient safety at all times</t>
  </si>
  <si>
    <t># of patients given  teachings</t>
  </si>
  <si>
    <t>Assist physicians in their performance of all medical procedures (surgical/non-surgical)</t>
  </si>
  <si>
    <t>Evaluate &amp; properly implement all Doctor's Orders</t>
  </si>
  <si>
    <t>Ensure proper recording of patient condition, medications &amp; treatment</t>
  </si>
  <si>
    <t>Ensure availability of all medical supplies as may be needed in all surgical procedures</t>
  </si>
  <si>
    <t>Evaluation &amp; supervision of the performance of all other medical, non-medical personnel in the area</t>
  </si>
  <si>
    <t>Assist in the activities of all other personnel from Affiliated Teaching Institutions</t>
  </si>
  <si>
    <t>Preparation &amp; submission of reports &amp; other records as may be requested</t>
  </si>
  <si>
    <t># of reports completed &amp; submitted</t>
  </si>
  <si>
    <t>Prompt &amp; complete submission of all required reports</t>
  </si>
  <si>
    <t>Ensure &amp; supervise cleanliness of the area at all times</t>
  </si>
  <si>
    <t>Ensure implementation of hospital policies &amp; guidelines</t>
  </si>
  <si>
    <t>IV.  ANCILLARY SERVICES</t>
  </si>
  <si>
    <t>Laboratory Services</t>
  </si>
  <si>
    <t>Set the competitve level of Laboratory Standard</t>
  </si>
  <si>
    <t>Laboratory licensed to operate</t>
  </si>
  <si>
    <t>License maintained for a secondary level laboratory</t>
  </si>
  <si>
    <t>Performance of all laboratory tests as may be required</t>
  </si>
  <si>
    <t># of laboratory procedures performed</t>
  </si>
  <si>
    <t>All laboratory tests performed</t>
  </si>
  <si>
    <t>Ensure proper reporting &amp; recording of all test results</t>
  </si>
  <si>
    <t>Guarantee accuracy &amp; reliability of all test results</t>
  </si>
  <si>
    <t>Preparation &amp; Evaluation of all requisition for supplies, instruments &amp; other equipment needed</t>
  </si>
  <si>
    <t>Available equipment &amp; reagents necessary for laboratory test</t>
  </si>
  <si>
    <t>Ready &amp; steady supply of necessary reagents/ supplies for all laboratory tests requested</t>
  </si>
  <si>
    <t>Cleaning &amp; sterilization of all instruments &amp; equipment</t>
  </si>
  <si>
    <t>Preparation &amp; submission of reports as may be required</t>
  </si>
  <si>
    <t># of reports submitted</t>
  </si>
  <si>
    <t>Maintain cleanliness of laboratory workspace</t>
  </si>
  <si>
    <t>Dental Services</t>
  </si>
  <si>
    <t>Perform all dental procedures available</t>
  </si>
  <si>
    <t>Increased # of patients served as well as improved quality of dental service available</t>
  </si>
  <si>
    <t>Conduct patient education on dental &amp; health care</t>
  </si>
  <si>
    <t># of patients visited in the ward</t>
  </si>
  <si>
    <t>Daily &amp; consistent ward visit of admitted patients for dental &amp; health care education</t>
  </si>
  <si>
    <t>Preparation &amp; evaluation of all requisition for supplies, instruments &amp; other equipments needed</t>
  </si>
  <si>
    <t>Available supplies for all dental procedures</t>
  </si>
  <si>
    <t>Ready &amp; steady supply of supplies for all dental procedures</t>
  </si>
  <si>
    <t>Maintain cleanliness of workspace</t>
  </si>
  <si>
    <t>Perform all X-ray and ECG procedures</t>
  </si>
  <si>
    <t>Ensure proper recording &amp; reporting of all test results</t>
  </si>
  <si>
    <t>Preparation &amp; evaluation of all requisition for supplies, instruments &amp; other equipment needed</t>
  </si>
  <si>
    <t>Maintain cleanliness of x-ray and ECG workspace</t>
  </si>
  <si>
    <t>PHARMACY SERVICES</t>
  </si>
  <si>
    <t>Prepare &amp; dispense medicines as prescribed by physician</t>
  </si>
  <si>
    <t># of prescriptions filled</t>
  </si>
  <si>
    <t>Availability of drugs and medicines</t>
  </si>
  <si>
    <t>Ensure availability of drugs &amp; medicines</t>
  </si>
  <si>
    <t>Preparation &amp; evaluation of all requisition for drugs &amp; medicines</t>
  </si>
  <si>
    <t>Inspection &amp; checking of deliveries of medicines</t>
  </si>
  <si>
    <t>Ensure proper storage of drugs and medicines</t>
  </si>
  <si>
    <t>Proper maintenance, recording &amp; filing of records as may be prescribed by law</t>
  </si>
  <si>
    <t>Maintain cleanliness of pharmacy workspace</t>
  </si>
  <si>
    <t>DIETARY SERVICES</t>
  </si>
  <si>
    <t>Prepares &amp; serves diet to patients</t>
  </si>
  <si>
    <t># of patients subsisted</t>
  </si>
  <si>
    <t>Prompt &amp; edible diet is served</t>
  </si>
  <si>
    <t>Record &amp; control of food supplies &amp; other equipments in the kitchen</t>
  </si>
  <si>
    <t>Preparation of special diets as may be prescribed by the physician</t>
  </si>
  <si>
    <t>Recording of total # of diets served</t>
  </si>
  <si>
    <t>Supervision of other personnel</t>
  </si>
  <si>
    <t>Purchase of food &amp; other supplies for patients subsistence</t>
  </si>
  <si>
    <t>Maintain cleanliness of kitchen workspace</t>
  </si>
  <si>
    <t>Support of EMS policies</t>
  </si>
  <si>
    <t xml:space="preserve">III.  </t>
  </si>
  <si>
    <t>NURSING SERVICES (Ward &amp; OPD)</t>
  </si>
  <si>
    <t>FUNCTIONAL STATEMENT. OBJECTIVES AND EXPECTED RESULTS</t>
  </si>
  <si>
    <t xml:space="preserve">Extend Health Services both out-patients and in-patients of the entire barangays of the Municipality </t>
  </si>
  <si>
    <t>of Maribojoc, Bohol and also to its neighboring towns like Cortes, Loon, Antequera, San Isidro and</t>
  </si>
  <si>
    <t>Balilihan.</t>
  </si>
  <si>
    <t xml:space="preserve">To increase hospital income for the maintenance of the hospital operation for the better health </t>
  </si>
  <si>
    <t>services to the people and most especially to the indigents.</t>
  </si>
  <si>
    <t>EFFECTIVE AND COMPREHENSIVE</t>
  </si>
  <si>
    <t>HOSPITAL SERVICES</t>
  </si>
  <si>
    <t>1. NURSING SERVICE DIV.:</t>
  </si>
  <si>
    <t xml:space="preserve">  A, ADMISSION-</t>
  </si>
  <si>
    <t xml:space="preserve">  - Data gathering</t>
  </si>
  <si>
    <t xml:space="preserve">  - Taking, measuring/recording</t>
  </si>
  <si>
    <t xml:space="preserve">    of patients vital signs</t>
  </si>
  <si>
    <t xml:space="preserve">  - Carrying out of Doctor's order</t>
  </si>
  <si>
    <t xml:space="preserve">  - Attends to normal delivery</t>
  </si>
  <si>
    <t xml:space="preserve">  B, CONSULTATION-</t>
  </si>
  <si>
    <t xml:space="preserve">  - Assessment/Examination</t>
  </si>
  <si>
    <t xml:space="preserve">   of the Patient/Diagnose/</t>
  </si>
  <si>
    <t xml:space="preserve">   Treatment of the Disease of</t>
  </si>
  <si>
    <t xml:space="preserve">   the Patients</t>
  </si>
  <si>
    <t>2.  ANCILLARY SERVICE DIV.:</t>
  </si>
  <si>
    <t xml:space="preserve">  A. LABORATORY-</t>
  </si>
  <si>
    <t>Time and Accurate</t>
  </si>
  <si>
    <t xml:space="preserve">  - Carrying out of routine labo-</t>
  </si>
  <si>
    <t>Laboratory examinations</t>
  </si>
  <si>
    <t xml:space="preserve">   ratory examinations of both</t>
  </si>
  <si>
    <t xml:space="preserve">   in-patients and out-patients</t>
  </si>
  <si>
    <t>3. ADMINISTRATIVE DIV.:</t>
  </si>
  <si>
    <t xml:space="preserve">     hospital bills</t>
  </si>
  <si>
    <t xml:space="preserve"> B. Issue Medical certificates</t>
  </si>
  <si>
    <t xml:space="preserve"> C. Render all other administrative</t>
  </si>
  <si>
    <t xml:space="preserve">   service functions in the office</t>
  </si>
  <si>
    <t>Always available and ready</t>
  </si>
  <si>
    <t xml:space="preserve">  - Cater patients for referrals to</t>
  </si>
  <si>
    <t>for referrals</t>
  </si>
  <si>
    <t>Serve the food promtly</t>
  </si>
  <si>
    <t xml:space="preserve">  - Cater patients subsistence</t>
  </si>
  <si>
    <t xml:space="preserve">Cleanliness </t>
  </si>
  <si>
    <t xml:space="preserve">  - Maintain cleanliness &amp; orderliness</t>
  </si>
  <si>
    <t xml:space="preserve">  of assigned areas as per EMS program</t>
  </si>
  <si>
    <t xml:space="preserve">     The Provincial Motor Pool Office takes charge in the repair, maintenance and rehabilitation of light and heavy</t>
  </si>
  <si>
    <t xml:space="preserve">    1.  To effeciently and effectively carry out a sustainable maintenance, repair and rehabilitation of</t>
  </si>
  <si>
    <t xml:space="preserve">    2.  To provide a dependable and quality equipment services to the provincial government of Bohol at all times;</t>
  </si>
  <si>
    <t xml:space="preserve">    4.  To have a well-meaning human resources development. </t>
  </si>
  <si>
    <t>Programs/Acivity/</t>
  </si>
  <si>
    <t>Implementaiton</t>
  </si>
  <si>
    <t xml:space="preserve"> Euipment Pool Organization</t>
  </si>
  <si>
    <t xml:space="preserve"> and Operations:</t>
  </si>
  <si>
    <t xml:space="preserve">      vehicles</t>
  </si>
  <si>
    <t>General</t>
  </si>
  <si>
    <t>B. OBJECTIVE</t>
  </si>
  <si>
    <t xml:space="preserve"> - To develop youth leaders and provide occupational skills for out-of-school youths</t>
  </si>
  <si>
    <t xml:space="preserve"> - To develop the technical competencies and accredit day care service providers</t>
  </si>
  <si>
    <t xml:space="preserve"> - To provide livelihood skills to socially disadvantaged women</t>
  </si>
  <si>
    <t xml:space="preserve"> - To promote livelihood oppportunities for the differently-abled persons</t>
  </si>
  <si>
    <t xml:space="preserve"> - To sustain the management of social welfare facilities for the abused women and children with </t>
  </si>
  <si>
    <t xml:space="preserve">    disabilities</t>
  </si>
  <si>
    <t>YOUTH DEVELOPMENT PROGRAM</t>
  </si>
  <si>
    <t>4 batches of trainings with 40 OSYs availed of free computer training</t>
  </si>
  <si>
    <t>-meetings conducted with records of proceedings</t>
  </si>
  <si>
    <t>-4 meetings</t>
  </si>
  <si>
    <t>enhanced leadership skills of the youth</t>
  </si>
  <si>
    <t>CHILD WELFARE  AND DEVELOPMENT PROGRAM</t>
  </si>
  <si>
    <t>-600 Badjao children attended day care sessions</t>
  </si>
  <si>
    <t>-52 weeks of day care sessions</t>
  </si>
  <si>
    <t>-provincial children’s congress conducted</t>
  </si>
  <si>
    <t>-1 children’s congress</t>
  </si>
  <si>
    <t>-day care workers’ competencies enhanced &amp; demonstrated readiness for accreditation</t>
  </si>
  <si>
    <t>all day care workers of the 47 LGUs</t>
  </si>
  <si>
    <t>400 day care workers</t>
  </si>
  <si>
    <t>WOMEN/GENDER AND DEVELOPMENT PROGRAM</t>
  </si>
  <si>
    <t>Gender mainstreaming activities undertaken</t>
  </si>
  <si>
    <t>5 GAD related activities</t>
  </si>
  <si>
    <t>SOCIAL INTEGRATION PROGRAM FOR REBEL RETURNEES</t>
  </si>
  <si>
    <t>DIFFERENTLY-ABLED PERSONS WELFARE PROGRAM</t>
  </si>
  <si>
    <t>SENIOR CITIZENS WELFARE PROGRAM</t>
  </si>
  <si>
    <t>Promoted senior citizen's benefits and privileges</t>
  </si>
  <si>
    <t>EMERGENCY ASSISTANCE AND RELIEF OPERATION PROGRAM</t>
  </si>
  <si>
    <t>-Intake forms accurately filled</t>
  </si>
  <si>
    <t>-clients’ eligibility for assistance determined</t>
  </si>
  <si>
    <t>-limited financial assistance provided</t>
  </si>
  <si>
    <t>-low-cost coffin provided for free</t>
  </si>
  <si>
    <t>-12 paupers</t>
  </si>
  <si>
    <t>Indigent families received goodies</t>
  </si>
  <si>
    <t>MANAGEMENT OF SOCIAL WELFARE FACILITIES</t>
  </si>
  <si>
    <t>-30 women/ girls</t>
  </si>
  <si>
    <t>-children with disabilities provided physical treatment, special education sessions, independent living skills, &amp; other social services</t>
  </si>
  <si>
    <t>-400 children with disabilities</t>
  </si>
  <si>
    <t>STAFF DEVELOPMENT PROGRAM</t>
  </si>
  <si>
    <t>PROCUREMENT PROGRAM</t>
  </si>
  <si>
    <t>EMS SUPPORT PROGRAM</t>
  </si>
  <si>
    <t>OTHER SOCIAL SERVICES PROGRAM</t>
  </si>
  <si>
    <t xml:space="preserve">                                    TOTAL</t>
  </si>
  <si>
    <t>To improve livestock and poultry productivity for household food sufficiency and family income</t>
  </si>
  <si>
    <t>1. To increase livestock and poultry production;</t>
  </si>
  <si>
    <t>2. To reduce livestock and poultry mortality;</t>
  </si>
  <si>
    <t>3. To ensure production of healthy animals, animal products and by-products for human consumption;</t>
  </si>
  <si>
    <t>4. To improve farmers income and productivity;</t>
  </si>
  <si>
    <t xml:space="preserve">5. To enhance customers' service delivery; and </t>
  </si>
  <si>
    <t>6. To maximize participation of civil societies, NGOs and NGAs in the development of the livestock industry.</t>
  </si>
  <si>
    <t>Program/Project</t>
  </si>
  <si>
    <t>Description/Activity</t>
  </si>
  <si>
    <t>5)</t>
  </si>
  <si>
    <t>a. Families benefited</t>
  </si>
  <si>
    <t>b. Animals distributed</t>
  </si>
  <si>
    <t xml:space="preserve">A holistic &amp; integrated project </t>
  </si>
  <si>
    <t xml:space="preserve">c. Batches of trainings </t>
  </si>
  <si>
    <t>where project families are</t>
  </si>
  <si>
    <t>d. PO partnership forged</t>
  </si>
  <si>
    <t>expected to become self-reliant &amp;</t>
  </si>
  <si>
    <t xml:space="preserve">e. Income generating activities </t>
  </si>
  <si>
    <t xml:space="preserve">learning communities with </t>
  </si>
  <si>
    <t xml:space="preserve">    funded</t>
  </si>
  <si>
    <t>sustained food &amp; livelihood income</t>
  </si>
  <si>
    <t>f. POs benefited by AFCAP</t>
  </si>
  <si>
    <t>&amp; living in a healthier environment</t>
  </si>
  <si>
    <t>g. No. of training participants</t>
  </si>
  <si>
    <t>Livestock shall be infused to</t>
  </si>
  <si>
    <t>improve farm productivity &amp; source</t>
  </si>
  <si>
    <t>of income, food &amp; draft power</t>
  </si>
  <si>
    <t xml:space="preserve">Barangay Livestock Aide (BALA) </t>
  </si>
  <si>
    <t>Program</t>
  </si>
  <si>
    <t xml:space="preserve">A barangay-based support force </t>
  </si>
  <si>
    <t xml:space="preserve">    - refresher</t>
  </si>
  <si>
    <t>of the livestock industry providing</t>
  </si>
  <si>
    <t>assistancein disease prevention</t>
  </si>
  <si>
    <t>b. Volunteers capacitated</t>
  </si>
  <si>
    <t>&amp; monitoring &amp; implementation</t>
  </si>
  <si>
    <t>upgrading program</t>
  </si>
  <si>
    <t xml:space="preserve">d. Disease monitoring reports </t>
  </si>
  <si>
    <t xml:space="preserve">    submitted</t>
  </si>
  <si>
    <t>e. No. &amp; type of services rendered</t>
  </si>
  <si>
    <t xml:space="preserve">    - technical</t>
  </si>
  <si>
    <t>5/5,000</t>
  </si>
  <si>
    <t>f. Consultative meetings conducted</t>
  </si>
  <si>
    <t xml:space="preserve">    - provincial level</t>
  </si>
  <si>
    <t xml:space="preserve">    - municipal level</t>
  </si>
  <si>
    <t xml:space="preserve">g. Project assessments </t>
  </si>
  <si>
    <t xml:space="preserve">a. Municipalities covered </t>
  </si>
  <si>
    <t xml:space="preserve">b. Technicians trained &amp; </t>
  </si>
  <si>
    <t xml:space="preserve">     supervised</t>
  </si>
  <si>
    <t xml:space="preserve">Genetic improvement of cattle, </t>
  </si>
  <si>
    <t>c. Animals served</t>
  </si>
  <si>
    <t xml:space="preserve">carabaos, goats &amp; swine in </t>
  </si>
  <si>
    <t>d. Offsprings produced</t>
  </si>
  <si>
    <t>partnership with Dept. of Agric.,</t>
  </si>
  <si>
    <t>e. AI Centers estab./assisted</t>
  </si>
  <si>
    <t>CONBUSAC &amp; mun. LGUs</t>
  </si>
  <si>
    <t>f. Farmers served</t>
  </si>
  <si>
    <t>a. Monitoring of existing ABCs</t>
  </si>
  <si>
    <t>b. Organic swine demo established</t>
  </si>
  <si>
    <t>d. Quail production established</t>
  </si>
  <si>
    <t>e. CLEEP goats monitored</t>
  </si>
  <si>
    <t>Livestock production demo.</t>
  </si>
  <si>
    <t>a. Techno-demo established</t>
  </si>
  <si>
    <t xml:space="preserve">farm showcasing livestock-related </t>
  </si>
  <si>
    <t xml:space="preserve">b. Forage &amp; pasture area </t>
  </si>
  <si>
    <t>technologies adaptable at farmers'</t>
  </si>
  <si>
    <t xml:space="preserve">    developed (has.)</t>
  </si>
  <si>
    <t>level , providing venue for research</t>
  </si>
  <si>
    <t>c. Animals distributed</t>
  </si>
  <si>
    <t>&amp; training. The farm also serves</t>
  </si>
  <si>
    <t>d. Trainings facilitated</t>
  </si>
  <si>
    <t xml:space="preserve">a pooling place for dispersal </t>
  </si>
  <si>
    <t xml:space="preserve">e. Families/clients benefited &amp; </t>
  </si>
  <si>
    <t>animals under LHBP &amp; LIFFE</t>
  </si>
  <si>
    <t xml:space="preserve">    assisted</t>
  </si>
  <si>
    <t xml:space="preserve">Disease Prevention &amp; Control </t>
  </si>
  <si>
    <t>a. Animals vaccinated</t>
  </si>
  <si>
    <t>b. Animals dewormed</t>
  </si>
  <si>
    <t>A comprehensive prevention &amp;</t>
  </si>
  <si>
    <t>c. Animals treated</t>
  </si>
  <si>
    <t>control program which focuses on</t>
  </si>
  <si>
    <t>d. Collection of samples</t>
  </si>
  <si>
    <t>diseases with economic &amp; public</t>
  </si>
  <si>
    <t>e. Fecalysis conducted</t>
  </si>
  <si>
    <t>health importance to produce &amp;</t>
  </si>
  <si>
    <t xml:space="preserve">f. Consultancy &amp; technical </t>
  </si>
  <si>
    <t>maintain healthy animals for food,</t>
  </si>
  <si>
    <t xml:space="preserve">   assistance</t>
  </si>
  <si>
    <t>draft, breeding, enterprise &amp;</t>
  </si>
  <si>
    <t>g. Clients served</t>
  </si>
  <si>
    <t>pet purposes.</t>
  </si>
  <si>
    <t xml:space="preserve">Forage &amp; Pasture Development </t>
  </si>
  <si>
    <t>(PIGGA)</t>
  </si>
  <si>
    <t xml:space="preserve">Planting improved forage &amp; </t>
  </si>
  <si>
    <t>a. Area developed (has.)</t>
  </si>
  <si>
    <t>pasture species on grazing lands,</t>
  </si>
  <si>
    <t>b. Municipalities assisted</t>
  </si>
  <si>
    <t>utilizing potential areas such as</t>
  </si>
  <si>
    <t>c. Farmer/Clients served</t>
  </si>
  <si>
    <t>coconut plantations, orchard,</t>
  </si>
  <si>
    <t>sloping areas to forage production</t>
  </si>
  <si>
    <t>to support the feed requirements</t>
  </si>
  <si>
    <t>of ruminants, eventually</t>
  </si>
  <si>
    <t>improving production performance.</t>
  </si>
  <si>
    <t>a. Information system estab.</t>
  </si>
  <si>
    <t>Evaluation Services</t>
  </si>
  <si>
    <t>b. Meetings facilitated</t>
  </si>
  <si>
    <t xml:space="preserve">Provides support in terms of </t>
  </si>
  <si>
    <t>c. Office assessments</t>
  </si>
  <si>
    <t>industry situationer as reference</t>
  </si>
  <si>
    <t xml:space="preserve">d. Computer literacy training </t>
  </si>
  <si>
    <t>in the formulation of plans &amp;</t>
  </si>
  <si>
    <t xml:space="preserve">    conducted</t>
  </si>
  <si>
    <t>programs at the same time in</t>
  </si>
  <si>
    <t>e. Reports prepared</t>
  </si>
  <si>
    <t>generating technical &amp; financial</t>
  </si>
  <si>
    <t>f. Proposals assisted/prepared</t>
  </si>
  <si>
    <t>support  from funders &amp; partners</t>
  </si>
  <si>
    <t xml:space="preserve">a. Organizational meetings </t>
  </si>
  <si>
    <t xml:space="preserve">    equipments</t>
  </si>
  <si>
    <t>Program Management</t>
  </si>
  <si>
    <t xml:space="preserve">b. Programs implemented in </t>
  </si>
  <si>
    <t xml:space="preserve">    coordination with other </t>
  </si>
  <si>
    <t xml:space="preserve">    agencies/insitutions</t>
  </si>
  <si>
    <t>c. OPV cornerstone established</t>
  </si>
  <si>
    <t xml:space="preserve">d. Office networking  /office </t>
  </si>
  <si>
    <t xml:space="preserve">    info. service guide formulated</t>
  </si>
  <si>
    <t>e. Livestock-related policies &amp;</t>
  </si>
  <si>
    <t xml:space="preserve">    legislations indexed &amp; compiled</t>
  </si>
  <si>
    <t>Total &gt;&gt;&gt;</t>
  </si>
  <si>
    <t xml:space="preserve">    FUNCTIONAL STATEMENT, OBJECTIVES AND EXPECTED RESULTS</t>
  </si>
  <si>
    <t>SPECIFIC OBJECTIVES/ TARGETS</t>
  </si>
  <si>
    <t>STRATEGIES</t>
  </si>
  <si>
    <t>III.PROJECTS/ACTIVITIES</t>
  </si>
  <si>
    <t>Program/ Activity/ Project Description</t>
  </si>
  <si>
    <t xml:space="preserve">Implementation Schedule </t>
  </si>
  <si>
    <t>1 team building</t>
  </si>
  <si>
    <t>20 % DF</t>
  </si>
  <si>
    <t>TEV</t>
  </si>
  <si>
    <t>Weekly</t>
  </si>
  <si>
    <t>December</t>
  </si>
  <si>
    <t>B.) IMPROVEMENT AND MAINTENANCE OF FACILITIES/EQUIPMENT</t>
  </si>
  <si>
    <t>5 Offices</t>
  </si>
  <si>
    <t>Program/Activity/Project Description</t>
  </si>
  <si>
    <t>Code Ref.</t>
  </si>
  <si>
    <t>C. PROGRAMS/PROJECTS/ACTIVITIES</t>
  </si>
  <si>
    <t xml:space="preserve">    To provide quality, objective, and relevant internal audit services to the Provincial Government of Bohol in order to contribute to the safeguarding of its assests, the achievement of effective and efficient operations, the accuracy and reliability of financial reports, and compliance with governmental requirements and regulations.</t>
  </si>
  <si>
    <t>Mission:</t>
  </si>
  <si>
    <t>Vision:</t>
  </si>
  <si>
    <r>
      <t xml:space="preserve">Fund/Special Account         :                                 </t>
    </r>
    <r>
      <rPr>
        <b/>
        <sz val="12"/>
        <rFont val="Arial"/>
        <family val="2"/>
      </rPr>
      <t>GENERAL FUND</t>
    </r>
  </si>
  <si>
    <t>B.  OBJECTIVES:</t>
  </si>
  <si>
    <t>To cascade to LGUs the pertinent provisions of RA 9593 on shared responsibilities of National and Local Government for the alignment of all local tourism developments to the national tourism development plan.</t>
  </si>
  <si>
    <t>C.  PROGRAMS / PROJECTS / ACTIVITIES</t>
  </si>
  <si>
    <t>Approve ordinances and pass resolutions necessary for an efficient and effective provincial government in support to the PGB's HEAT-LIFE HELPS Strategies</t>
  </si>
  <si>
    <t>Grant franchises, approve the issuance of permits or licenses, or enact ordinances levying taxes fees and charges upon such conditions and for such purposes intended to promote the general welfare of the inhabitants of the province.</t>
  </si>
  <si>
    <t>Approve ordinances, which shall secure the efficient and effective delivery of the basic services and facilities.</t>
  </si>
  <si>
    <t>To enact quality, relevant and responsive local legislation.</t>
  </si>
  <si>
    <t>To establish strong research and data-gathering system in aid of legislation.</t>
  </si>
  <si>
    <t>To maintain functional and computerized legislative tracking system for easy data storage and retrieval.</t>
  </si>
  <si>
    <t>To continue skills upgrading of personnel and staff.</t>
  </si>
  <si>
    <t>Keep the seal of the local government unit and affix the same with his signature to all ordinances, resolutions, and other official acts of the sanggunian and present the same to the presiding officer for his signature;</t>
  </si>
  <si>
    <t>Furnish upon request of any interested party, certified copies of records of public character in his custody, upon payment to the treasurer such fees as may be prescribed by ordinance;</t>
  </si>
  <si>
    <t>Record in a book kept for the purpose, all ordinances and resolutions enacted or adopted with the dates of passage and publication thereof;</t>
  </si>
  <si>
    <t>6)</t>
  </si>
  <si>
    <t>Take custody of the local archives and, where applicable, the local library and annually account for the same, and</t>
  </si>
  <si>
    <t>7)</t>
  </si>
  <si>
    <t>Exercise such other powers and perform such other duties and functions as may be prescribed by law or ordinances;</t>
  </si>
  <si>
    <t>To provide technical (research, documentation, recording and legislative tracking, etc.) and administrative support in the formulation of quality, relevant, and responsive local legislation;</t>
  </si>
  <si>
    <t>To provide logistical support to the administrative aspect of provincial legislation;</t>
  </si>
  <si>
    <t>To ensure the proper dissemination of measures passed by the sanggunian;</t>
  </si>
  <si>
    <t>To capacitate the legislative staff thru continuous capability building/training programs;</t>
  </si>
  <si>
    <t>To implement the austerity measures being adopted by the Provincial Government and support the Environmental Management Program</t>
  </si>
  <si>
    <t>III PROJECT/ACTIVITIES</t>
  </si>
  <si>
    <t>A.     LEGISLATIVE SERVICES:</t>
  </si>
  <si>
    <t>(ENTIRE SP)</t>
  </si>
  <si>
    <t>Sessions Conducted</t>
  </si>
  <si>
    <t>48 sessions</t>
  </si>
  <si>
    <t>Legislative measures</t>
  </si>
  <si>
    <t>enacted</t>
  </si>
  <si>
    <t>measures</t>
  </si>
  <si>
    <t>Sangguniang Bayan &amp;</t>
  </si>
  <si>
    <t>Panlungsod measures</t>
  </si>
  <si>
    <t>reviewed</t>
  </si>
  <si>
    <t>Committee meetings</t>
  </si>
  <si>
    <t>conducted</t>
  </si>
  <si>
    <t>Budget Hearings</t>
  </si>
  <si>
    <t>8 hearings</t>
  </si>
  <si>
    <t>Investigations/Ocular</t>
  </si>
  <si>
    <t>inspections conducted</t>
  </si>
  <si>
    <t>Consultations conducted</t>
  </si>
  <si>
    <t>week</t>
  </si>
  <si>
    <t>Trainings/Conventions/</t>
  </si>
  <si>
    <t>Conferences attended</t>
  </si>
  <si>
    <t>B.     PROVINCIAL DEVELOPMENT</t>
  </si>
  <si>
    <t>Counterpart for Mun.</t>
  </si>
  <si>
    <t>Whole</t>
  </si>
  <si>
    <t xml:space="preserve">         INITIATIVE PROGRAM (PDIP)</t>
  </si>
  <si>
    <t>&amp; Barangay Projects</t>
  </si>
  <si>
    <t>Province</t>
  </si>
  <si>
    <t xml:space="preserve">C.    ADMINISTRATIVE SERVICES </t>
  </si>
  <si>
    <t>(VGO ONLY)</t>
  </si>
  <si>
    <t>Communications/Office</t>
  </si>
  <si>
    <t>400</t>
  </si>
  <si>
    <t>Orders prepared and</t>
  </si>
  <si>
    <t>issued</t>
  </si>
  <si>
    <t>Financial documents</t>
  </si>
  <si>
    <t>480</t>
  </si>
  <si>
    <t>prepared &amp; payments</t>
  </si>
  <si>
    <t>processed</t>
  </si>
  <si>
    <t>Cash Advances for Petty</t>
  </si>
  <si>
    <t xml:space="preserve">Cash &amp; Gasoline </t>
  </si>
  <si>
    <t>Petty Cash and gas</t>
  </si>
  <si>
    <t>Cleanliness maintained</t>
  </si>
  <si>
    <t xml:space="preserve">Consultative </t>
  </si>
  <si>
    <t>Conferences arranged</t>
  </si>
  <si>
    <t>Conventions &amp;  Meetings</t>
  </si>
  <si>
    <t>Trainings attended by</t>
  </si>
  <si>
    <t>SP Accom. Printed</t>
  </si>
  <si>
    <t>Supplies and Equipt.</t>
  </si>
  <si>
    <t>procured</t>
  </si>
  <si>
    <t>Info Dissemination:</t>
  </si>
  <si>
    <t>published</t>
  </si>
  <si>
    <t>(SECRETARIAT)</t>
  </si>
  <si>
    <t>Attendance monitored</t>
  </si>
  <si>
    <t xml:space="preserve">Office payroll and other </t>
  </si>
  <si>
    <t>100</t>
  </si>
  <si>
    <t>claims prepared</t>
  </si>
  <si>
    <t>PES/OPES reviewed</t>
  </si>
  <si>
    <t>270</t>
  </si>
  <si>
    <t>Conventions and</t>
  </si>
  <si>
    <t>per invitation</t>
  </si>
  <si>
    <t>Meetings attended</t>
  </si>
  <si>
    <t>Trainings &amp; Seminars</t>
  </si>
  <si>
    <t>attended</t>
  </si>
  <si>
    <t>Planning &amp; Seminars</t>
  </si>
  <si>
    <t>Records of officials</t>
  </si>
  <si>
    <t xml:space="preserve">EMS documents and </t>
  </si>
  <si>
    <t>reports monitored/</t>
  </si>
  <si>
    <t>prepared and submitted</t>
  </si>
  <si>
    <t>Daily time records</t>
  </si>
  <si>
    <t>reconciled</t>
  </si>
  <si>
    <t>Blood pressure</t>
  </si>
  <si>
    <t xml:space="preserve"> monitored</t>
  </si>
  <si>
    <t>processed &amp; paid</t>
  </si>
  <si>
    <t>SERVICES</t>
  </si>
  <si>
    <t xml:space="preserve">Proceedings of sessions </t>
  </si>
  <si>
    <t>48</t>
  </si>
  <si>
    <t xml:space="preserve">taken down and </t>
  </si>
  <si>
    <t>transcribed</t>
  </si>
  <si>
    <t>Order of business</t>
  </si>
  <si>
    <t xml:space="preserve">Committee meetings, </t>
  </si>
  <si>
    <t xml:space="preserve">budget hearings, </t>
  </si>
  <si>
    <t xml:space="preserve">investigations, </t>
  </si>
  <si>
    <t>conference and ocular</t>
  </si>
  <si>
    <t xml:space="preserve">inpections taken down </t>
  </si>
  <si>
    <t>and transcribed</t>
  </si>
  <si>
    <t>Breifs/Titles</t>
  </si>
  <si>
    <t>Drafts of approved</t>
  </si>
  <si>
    <t>resolutions &amp; ordinances</t>
  </si>
  <si>
    <t>Approved resolutions &amp;</t>
  </si>
  <si>
    <t>ordinances finalized</t>
  </si>
  <si>
    <t>communications/</t>
  </si>
  <si>
    <t>invitation prepared</t>
  </si>
  <si>
    <t>Queries answered</t>
  </si>
  <si>
    <t>Journals and approved</t>
  </si>
  <si>
    <t xml:space="preserve">      measures</t>
  </si>
  <si>
    <t>measures book bound</t>
  </si>
  <si>
    <t>Incoming communications</t>
  </si>
  <si>
    <t>Documents/clearance</t>
  </si>
  <si>
    <t>Documents photocopied</t>
  </si>
  <si>
    <t>Documents posted/</t>
  </si>
  <si>
    <t>BMS office operations</t>
  </si>
  <si>
    <t>assisted</t>
  </si>
  <si>
    <t>OVERALL TOTAL&gt;&gt;&gt;</t>
  </si>
  <si>
    <t>VVVVVVVVVVV</t>
  </si>
  <si>
    <t>A.             FUNCTIONAL STATEMENT</t>
  </si>
  <si>
    <r>
      <t>Office/Department        :</t>
    </r>
    <r>
      <rPr>
        <b/>
        <sz val="12"/>
        <color indexed="8"/>
        <rFont val="Arial"/>
        <family val="2"/>
      </rPr>
      <t xml:space="preserve"> Secretary to the Sangguniang Panlalawigan</t>
    </r>
  </si>
  <si>
    <t>Forward to the governor, for approval, copies of ordinances enacted and duly certified by the presiding officer;</t>
  </si>
  <si>
    <t>A.  Functional Statement</t>
  </si>
  <si>
    <t>To support the development vision of the Province of Bohol by creating strategic development plans, comprehensive framework and policies using multi-stakeholder and participatory processes, providing timely and relevant information and services, conducting monitoring and evaluation, undertaking essential studies and research, and ensuring effective service delivery and raising the quality of local planning and development services in Bohol.</t>
  </si>
  <si>
    <t>B.  Objectives</t>
  </si>
  <si>
    <t>C.  Programs/ Projects/ Activities</t>
  </si>
  <si>
    <t>Program/ Project/ Activity Description</t>
  </si>
  <si>
    <t>Schedule of Implementation</t>
  </si>
  <si>
    <t>Start Date</t>
  </si>
  <si>
    <t>Completion Date</t>
  </si>
  <si>
    <t>Monitoring and Evaluation of Development Programs and Projects through ProMES</t>
  </si>
  <si>
    <t>Conducted monitoring and evaluation activities and prepared necessary M&amp;E Reports</t>
  </si>
  <si>
    <t>Feedback system implemented</t>
  </si>
  <si>
    <t>Implemented set of policies and guidelines for utilization of office asset/ resources</t>
  </si>
  <si>
    <t>- Maintained complete records of semi-expendable/ fixed assets/ property and equipment, Office equipment/ facilities regularly maintained and repaired, Vehicles maintained and in good running condition, Office cleanliness maintained</t>
  </si>
  <si>
    <t>Administrative functions performed</t>
  </si>
  <si>
    <t>Employees’ Various Records, Operational Semestral Plan, 201 Files, Minutes of Office Meetings)</t>
  </si>
  <si>
    <t>Accurate timebook/ Logbook maintained, Daily Time Record  (DTR) crosschecked, DTR filed, Absences/ Tardiness Report; Wearing of Uniform Report; pressure report</t>
  </si>
  <si>
    <t xml:space="preserve">Pass Slip Implementation Report; Campaign Against Wasting Government Time Report; Attendance Report; Blood </t>
  </si>
  <si>
    <t>Prepared and filed payrolls an other Personnel Benefits prepared (Clothing Allowance, Midyear/ Year End Bonus, Productivity, Step Increments, Monetization)</t>
  </si>
  <si>
    <t>Communications/ documents transmitted/ distributed to recipients</t>
  </si>
  <si>
    <t>Service delivery enhancement initiative implemented</t>
  </si>
  <si>
    <t>C. PROJECT / ACTIVITIES</t>
  </si>
  <si>
    <t xml:space="preserve">Program / Activity / </t>
  </si>
  <si>
    <t xml:space="preserve"> Implementation</t>
  </si>
  <si>
    <t>Project Descripton</t>
  </si>
  <si>
    <t xml:space="preserve">   Schedule (6)</t>
  </si>
  <si>
    <t xml:space="preserve">To </t>
  </si>
  <si>
    <t>Manage, formulate and implement PGSO mandated functions</t>
  </si>
  <si>
    <t>PGSO mandated functions complied</t>
  </si>
  <si>
    <t>Records &amp; Personnel concerns managed and monitored</t>
  </si>
  <si>
    <t>Communications &amp; Submission of Reports</t>
  </si>
  <si>
    <t>Communications and reports 100% accomplished and submitted</t>
  </si>
  <si>
    <t>Vehicle/Transportation services (including cadavers)</t>
  </si>
  <si>
    <t>100% accomplished</t>
  </si>
  <si>
    <t>Payment of monthly water, electric and telephone bills</t>
  </si>
  <si>
    <t>vouchers promplty prepared and processed</t>
  </si>
  <si>
    <t>Supervision of janitorial and security services</t>
  </si>
  <si>
    <t>100% complied</t>
  </si>
  <si>
    <t>Improvement, maintenance and supervision of landscaping and other related services (Parks, Plaza, Cultural Center, Sports Complex, Mini-Motorpool, devolved hospitals)</t>
  </si>
  <si>
    <t>Record keeping and inventory of all government properties</t>
  </si>
  <si>
    <t>98% complied</t>
  </si>
  <si>
    <t>Registration &amp; insurance of vehicle including licensing of firearms</t>
  </si>
  <si>
    <t>100% complied and facilitated</t>
  </si>
  <si>
    <t>Inspections, planning and programming of proposed provinical projects (repair &amp; construction)</t>
  </si>
  <si>
    <t>Checking up of electrical connections, lighting fixtures, telephone lines, air-condition units, elevator, generator &amp; other equpments</t>
  </si>
  <si>
    <t>100% addressed</t>
  </si>
  <si>
    <t>Operate water pumps, sanitary pipelines &amp; fittings and conduct preventive maintenance</t>
  </si>
  <si>
    <t xml:space="preserve">100% operated &amp; maintained </t>
  </si>
  <si>
    <t>Keeping of unserviceable materials and equipments including its proper disposal</t>
  </si>
  <si>
    <t>well kept and recommendations for disposal facilitated</t>
  </si>
  <si>
    <t>Repair/Maintenance of light vehicles</t>
  </si>
  <si>
    <r>
      <t xml:space="preserve">Office/Department      : </t>
    </r>
    <r>
      <rPr>
        <b/>
        <sz val="12"/>
        <color indexed="8"/>
        <rFont val="Arial"/>
        <family val="2"/>
      </rPr>
      <t>PROVINCIAL GENERAL SERVICES OFFICE</t>
    </r>
  </si>
  <si>
    <t xml:space="preserve">  A -   FUNCTIONAL STATEMENT </t>
  </si>
  <si>
    <t>B -  OBJECTIVES</t>
  </si>
  <si>
    <t>CODE REFERENCE</t>
  </si>
  <si>
    <t>DESCRIPTION</t>
  </si>
  <si>
    <t>1 Annual Executive Budget</t>
  </si>
  <si>
    <t>Oct. 15</t>
  </si>
  <si>
    <t>1 Annual Budget</t>
  </si>
  <si>
    <t>Budget Hearings attended</t>
  </si>
  <si>
    <t>Reviewed Work and Financial Plan</t>
  </si>
  <si>
    <t>36 PGBh offices/  attached offices and  hospitals</t>
  </si>
  <si>
    <t xml:space="preserve">March </t>
  </si>
  <si>
    <t>Advice of Allotment approved by the Governor</t>
  </si>
  <si>
    <t>Vouchers and payrolls  certified &amp; released</t>
  </si>
  <si>
    <t>Vouchers &amp; Payrolls Adjusted</t>
  </si>
  <si>
    <t>Reports submitted to G.O., PTO LFC,COA</t>
  </si>
  <si>
    <t>Awards of Bids attended</t>
  </si>
  <si>
    <t>Preliminary reviews letters submitted to SP</t>
  </si>
  <si>
    <t>ALBO conferences attended</t>
  </si>
  <si>
    <t>12 conferences</t>
  </si>
  <si>
    <t>Upon receipt of query</t>
  </si>
  <si>
    <t xml:space="preserve">* Render technical assistance to MBO's`and other local officials </t>
  </si>
  <si>
    <t>Technical assistance rendered</t>
  </si>
  <si>
    <t>Upon request by LGU</t>
  </si>
  <si>
    <t>Assisted PBO in its implement-tation</t>
  </si>
  <si>
    <t>Indigents’ insurance premium paid</t>
  </si>
  <si>
    <t>Office com-munications prepared</t>
  </si>
  <si>
    <t>Conducted regular office meetings</t>
  </si>
  <si>
    <t>Purchase Request reviewed for obligation</t>
  </si>
  <si>
    <t>Documents recorded and released</t>
  </si>
  <si>
    <t>-communication</t>
  </si>
  <si>
    <t>-AB &amp; SB from 47 municipalities</t>
  </si>
  <si>
    <t>-claims (vouchers, etc.)</t>
  </si>
  <si>
    <t>Approved by PBO/ Governor</t>
  </si>
  <si>
    <t>Certificate of Appearance issued</t>
  </si>
  <si>
    <t>Delivery of items</t>
  </si>
  <si>
    <t>EMS reports</t>
  </si>
  <si>
    <t>Liaisoning &amp; Messengerial Services performed</t>
  </si>
  <si>
    <t>daily</t>
  </si>
  <si>
    <t>Equipped on updated issuances, circulars and guidelines budgetary matters and enhance one's capability</t>
  </si>
  <si>
    <r>
      <t xml:space="preserve">          </t>
    </r>
    <r>
      <rPr>
        <sz val="10"/>
        <color indexed="8"/>
        <rFont val="Arial"/>
        <family val="2"/>
      </rPr>
      <t>Pursuant to Section 475 (b) of Republic Act 7160, the Budget and Management Office shall:</t>
    </r>
  </si>
  <si>
    <r>
      <t>*</t>
    </r>
    <r>
      <rPr>
        <sz val="10"/>
        <color indexed="8"/>
        <rFont val="Arial"/>
        <family val="2"/>
      </rPr>
      <t xml:space="preserve"> Sending office personnel to trainings, conferences and seminars</t>
    </r>
  </si>
  <si>
    <t>1.    BUDGET AND MANAGEMENT SERVICES</t>
  </si>
  <si>
    <t>A)   Budget Preparation-</t>
  </si>
  <si>
    <t>·         Attendance to budgetary hearings as required by the Governor, SP and LFC</t>
  </si>
  <si>
    <t>B)   Budget Execution-</t>
  </si>
  <si>
    <t>·         Review of Work and Financial Plans of all PGBh offices</t>
  </si>
  <si>
    <t>·         Preparation of Advice of Allotment</t>
  </si>
  <si>
    <t>·         Certify as to Existence of Appropriation thru e-Budget System</t>
  </si>
  <si>
    <t>·         Preparation of Augmentation/Reversion and Realignment of appropriation</t>
  </si>
  <si>
    <t xml:space="preserve">·         Adjustment of obligations after audit by PACCO thru e-Budget System </t>
  </si>
  <si>
    <t>·         Preparation of monthly reports on expenditures and appropriation balances</t>
  </si>
  <si>
    <t>·         Attendance to Bids and Awards Meetings</t>
  </si>
  <si>
    <t>2.    BUDGET REVIEW SERVICES</t>
  </si>
  <si>
    <t>·         Review of component LGU’s annual and Supplemental Budgets</t>
  </si>
  <si>
    <t>·         Attendance to ALBO Conference</t>
  </si>
  <si>
    <t>·         Answer to queries on budgetary issues and concerns</t>
  </si>
  <si>
    <t>3.    ADMINISTRATIVE GENERAL SUPPORT:</t>
  </si>
  <si>
    <t>·         Assist in the implementation of PGBh/office policies/activities and programs</t>
  </si>
  <si>
    <t>·         Focal office in the Medicare Para sa Masa Program</t>
  </si>
  <si>
    <t>·         Preparation of office communication/ correspondence</t>
  </si>
  <si>
    <t>·         Monitoring of office’ personnel attendance</t>
  </si>
  <si>
    <t>·         Processing of Leave Applications</t>
  </si>
  <si>
    <t>·         Issuance of Certificate of Appearance to transacting clients</t>
  </si>
  <si>
    <t>·         EMS implementation</t>
  </si>
  <si>
    <t>·         Liaisoning and Messengerial</t>
  </si>
  <si>
    <t xml:space="preserve">          the signature of the Governor;</t>
  </si>
  <si>
    <t xml:space="preserve">           recommendations thereon;</t>
  </si>
  <si>
    <t xml:space="preserve">4·        Study and evaluate budgetary implications of proposed legislation and submit comments and  </t>
  </si>
  <si>
    <t>1·        </t>
  </si>
  <si>
    <t>GF</t>
  </si>
  <si>
    <t xml:space="preserve">C.  PROGRAMS, PROJECTS  /ACTIVITIES:  </t>
  </si>
  <si>
    <t>ACCOUNTING SERVICES:</t>
  </si>
  <si>
    <t>Bookkeeping-</t>
  </si>
  <si>
    <t xml:space="preserve">Implementation of the electronic New Government Accounting System (e-NGAS) </t>
  </si>
  <si>
    <t>ROUTINE</t>
  </si>
  <si>
    <t>Preparation of Journal Entry Vouchers (JEV) of all transactions of the different funds.</t>
  </si>
  <si>
    <t>Review and approval of all prepared JEVs  under all fund classifications.</t>
  </si>
  <si>
    <t>Automatic electronic posting of all transactions to their respective General Ledger and Subsidiary Ledger.</t>
  </si>
  <si>
    <t>Review and approval of all prepared Journal Entry Vouchers of all funds</t>
  </si>
  <si>
    <t>Generating hard copies of the prepared Journal Entry Vouchers for filing.</t>
  </si>
  <si>
    <t>Report of Utilization for Trust Fund</t>
  </si>
  <si>
    <t>Preparation and submission of remittances of mandatory personnel deductions to GSIS, HDMF and BIR.</t>
  </si>
  <si>
    <t>Monthly remittances of mandatory personnel deductions.</t>
  </si>
  <si>
    <t>JAN</t>
  </si>
  <si>
    <t>DEC</t>
  </si>
  <si>
    <t>Posting of individual remittances of GSIS, HDMF and BIR.</t>
  </si>
  <si>
    <t xml:space="preserve">Updated  data-base of employees, creditors and properties. </t>
  </si>
  <si>
    <t xml:space="preserve">Preparation of individual certificates of remittances </t>
  </si>
  <si>
    <t xml:space="preserve">Individual employee certificates of remittances issued. </t>
  </si>
  <si>
    <t>Control of expenditures charge to Trust Fund and other Special Funds.</t>
  </si>
  <si>
    <t>AUDIT &amp; REVIEW SERVICES:</t>
  </si>
  <si>
    <t>Process and pre-audit all kinds of disbursement and reports of liquidation of accountable officers in accordance with the standard auditing rules and regulations.</t>
  </si>
  <si>
    <t>Audited vouchers and payrolls</t>
  </si>
  <si>
    <t>Vouchers and payrolls posted in individual index cards</t>
  </si>
  <si>
    <t>Receive and pre-number Reports of Disbursements of Disbursing Officers.</t>
  </si>
  <si>
    <t>Audited report disbursements.</t>
  </si>
  <si>
    <t>300 Reports of Disbursements</t>
  </si>
  <si>
    <t>Notice/ Demand of cash advances’ refundables issued</t>
  </si>
  <si>
    <t>Policies implemented and complied.</t>
  </si>
  <si>
    <t xml:space="preserve">Takes charge of the implementation of PGB and office policies in relation to the following administrative service functions: </t>
  </si>
  <si>
    <t>PERSONNEL MANAGEMENT:</t>
  </si>
  <si>
    <t>Personnel supervised and monitored.</t>
  </si>
  <si>
    <t>Control and processing of leave application</t>
  </si>
  <si>
    <t>Facilitate Target Setting per Division/Department</t>
  </si>
  <si>
    <t>Duly complied PES and OPES submitted to HRMDO.</t>
  </si>
  <si>
    <t>Review and evaluate employees’ performance (outputs) against targets for PERC approval and confirmation.</t>
  </si>
  <si>
    <t>Prepare Office Performance Evaluation System (OPES) for PAccO.</t>
  </si>
  <si>
    <t>RECORDS MANAGEMENT:</t>
  </si>
  <si>
    <t>Act as custodian and depository of financial records (receive, record, pre-number and control) to all treasury operations of the provincial government as well as other routine office and personnel records.</t>
  </si>
  <si>
    <t>Reroute official communications to concerned personnel or proper authorities.</t>
  </si>
  <si>
    <t>Retrieval of official documents for official reference or legal basis.</t>
  </si>
  <si>
    <t xml:space="preserve"> FINANCIAL  MANAGEMENT:</t>
  </si>
  <si>
    <t>Prepare Annual Budget proposals, Work &amp; Financial Plan, ADP, AIP and ASEPP.</t>
  </si>
  <si>
    <t>Proper utilization and control of annual/ quarterly budget allocations.</t>
  </si>
  <si>
    <t>Custody of Petty of Petty Cash Fund</t>
  </si>
  <si>
    <t>TOTAL NEW APPROPRIATION</t>
  </si>
  <si>
    <t>FUNCTIONAL STATEMENT</t>
  </si>
  <si>
    <t>OBJECTIVE</t>
  </si>
  <si>
    <t>PROGRAMS/PROJECTS/ACTIVITIES</t>
  </si>
  <si>
    <t>CODE REF.</t>
  </si>
  <si>
    <t>Office/Department:</t>
  </si>
  <si>
    <t>Function:                          Promotion, protection and preservation of Health and Sanitation</t>
  </si>
  <si>
    <t>Fund/Special Account:     General Fund</t>
  </si>
  <si>
    <t>1. To provide available, affordable and accessible basic health services.</t>
  </si>
  <si>
    <t>2. To reduce morbidity and mortality rate.</t>
  </si>
  <si>
    <t>3. To upgrade and strengthen hospital services.</t>
  </si>
  <si>
    <t>4. To modernize and maintain hospital equiment and facilities.</t>
  </si>
  <si>
    <t>5. To sustain high ethical standards among health personnel.</t>
  </si>
  <si>
    <t>6. To enhance the technical capability of health personnel.</t>
  </si>
  <si>
    <t>7. To provide technical assistance to other stakeholders.</t>
  </si>
  <si>
    <t>8. To strengthen the Health Information System for easy access to health information.</t>
  </si>
  <si>
    <t>9. To upgrade the laboratory services to enhance generation of income.</t>
  </si>
  <si>
    <t xml:space="preserve"> - improved services to clients</t>
  </si>
  <si>
    <t xml:space="preserve"> - improved admin. support services</t>
  </si>
  <si>
    <t xml:space="preserve"> - capability enhancement for personnel</t>
  </si>
  <si>
    <t xml:space="preserve"> - re-tooling</t>
  </si>
  <si>
    <t>2. Dental Services</t>
  </si>
  <si>
    <t xml:space="preserve"> - no. of patients served through preventive &amp; curative services</t>
  </si>
  <si>
    <t>increased number of patients served and improved quality of dental services</t>
  </si>
  <si>
    <t>3. Environmental Health &amp; Sanitation Services</t>
  </si>
  <si>
    <t xml:space="preserve"> - no. of sanitary toilets installed/given to LGUs.             Food &amp; water sanitary services provided to LGUs</t>
  </si>
  <si>
    <t xml:space="preserve">85-90% of LGUs with sanitary toilets. Public awareness to sanitary practices advocated                   </t>
  </si>
  <si>
    <t>4. Nursing Services</t>
  </si>
  <si>
    <t xml:space="preserve"> - information of health programs to the municipalities</t>
  </si>
  <si>
    <t>no. of  LGUs and barangays informed on health programs</t>
  </si>
  <si>
    <t xml:space="preserve"> - monitoring and supervision of implementation of health programs</t>
  </si>
  <si>
    <t>no. of rural health units and barangay stations</t>
  </si>
  <si>
    <t>5. Medical Laboratory Services</t>
  </si>
  <si>
    <t xml:space="preserve"> -  increase availability of potable and clean water</t>
  </si>
  <si>
    <t>level 1,2,3 source of wate</t>
  </si>
  <si>
    <t xml:space="preserve"> - increase laboratory examinations in support of health programs</t>
  </si>
  <si>
    <t>no. of municipalities of the province</t>
  </si>
  <si>
    <t>6. Nurition, Health Education Promotion services</t>
  </si>
  <si>
    <t xml:space="preserve"> - advocacy on a  healthy community</t>
  </si>
  <si>
    <t>pe-schoolers</t>
  </si>
  <si>
    <t xml:space="preserve"> - decrease malnutrition</t>
  </si>
  <si>
    <t>school children</t>
  </si>
  <si>
    <t xml:space="preserve"> - information of healthy food and nutrition</t>
  </si>
  <si>
    <t>identified communities</t>
  </si>
  <si>
    <t>Budget Year:</t>
  </si>
  <si>
    <t>I.</t>
  </si>
  <si>
    <t xml:space="preserve">          To maintain and upgrade the service category of the institution which will serve as the center of all health activities in Talibon and its catchment area with the main purpose of providing comprehensive health care:  Preventive, Diagnostic, Curative, and Rehabilitative.</t>
  </si>
  <si>
    <t>II.</t>
  </si>
  <si>
    <t>OBJECTIVES</t>
  </si>
  <si>
    <t xml:space="preserve">       ____________________________________________________________________________________</t>
  </si>
  <si>
    <t>1.</t>
  </si>
  <si>
    <t>To render maximum health services to all in and out patients.</t>
  </si>
  <si>
    <t>To render medical-surgical services to all indigent patients, admitted or not.</t>
  </si>
  <si>
    <t>3.</t>
  </si>
  <si>
    <t>To perform surgical intervention, major or minor, when deemed necessary.</t>
  </si>
  <si>
    <t>4.</t>
  </si>
  <si>
    <t>To attend to all deliveries, normal and complicated.</t>
  </si>
  <si>
    <t>5.</t>
  </si>
  <si>
    <t>To attend to all kinds of Pediatric cases.</t>
  </si>
  <si>
    <t>6.</t>
  </si>
  <si>
    <t>To attend to all communicable diseases and institute curative and/or preventive measures.</t>
  </si>
  <si>
    <t>7.</t>
  </si>
  <si>
    <t>To render Family Planning Services to all women of reproductive age.</t>
  </si>
  <si>
    <t>8.</t>
  </si>
  <si>
    <t>To follow schedules of Immunization of Infants and Children.</t>
  </si>
  <si>
    <t>To supply to hospitals in this part of Bohol quality and affordable medicines</t>
  </si>
  <si>
    <t>To make available complete laboratory tests and attain the status of a diagnostic center</t>
  </si>
  <si>
    <t>To continuously upgrade hospital facilities and equipment.</t>
  </si>
  <si>
    <t>To refer complicated cases to available consultant when deemed necessary.</t>
  </si>
  <si>
    <t>To refer patient/s to higher center/s when deemed necessary.</t>
  </si>
  <si>
    <t>To answer Medico-Legal cases.</t>
  </si>
  <si>
    <t>To upgrade the hospital personnel capabilities.</t>
  </si>
  <si>
    <t>To sustain the activity of the hospital Wellness Center.</t>
  </si>
  <si>
    <t>To render outreach programs in coordination with the Rural Health Units/NGOs/other government agencies..</t>
  </si>
  <si>
    <t>To coordinate with the RHU and/or NGO regarding health related matters especially through the Inter-local Health Zone (BOLDNEHS).</t>
  </si>
  <si>
    <t>III.</t>
  </si>
  <si>
    <t>Code Refe-rence</t>
  </si>
  <si>
    <t>Program/Activity/                                      Project Description</t>
  </si>
  <si>
    <t>(PhP)</t>
  </si>
  <si>
    <t>Hospital Management</t>
  </si>
  <si>
    <t>Continuous LTO &amp; Accreditations</t>
  </si>
  <si>
    <t>Sustainable hospital operation</t>
  </si>
  <si>
    <t>Clinical Services</t>
  </si>
  <si>
    <t>Improved patients' condition with zero valid complaint</t>
  </si>
  <si>
    <t>Timely and effective patient management</t>
  </si>
  <si>
    <t>No. of tests done</t>
  </si>
  <si>
    <t>Zero valid complaints</t>
  </si>
  <si>
    <t>Timely &amp; effective dental service</t>
  </si>
  <si>
    <t>Timely &amp; efficient nursing care</t>
  </si>
  <si>
    <t>Family Planning Service</t>
  </si>
  <si>
    <t>Timely and effective service</t>
  </si>
  <si>
    <t>Administrative-Business &amp; Finance</t>
  </si>
  <si>
    <t>(refer to OPES)</t>
  </si>
  <si>
    <t>Administrative - General Services &amp; Personnel Records</t>
  </si>
  <si>
    <t>Programs/Activity/Projects</t>
  </si>
  <si>
    <t xml:space="preserve">Office / Department                 </t>
  </si>
  <si>
    <t xml:space="preserve">Budget Year  </t>
  </si>
  <si>
    <t xml:space="preserve">Fund / Special Account           </t>
  </si>
  <si>
    <t>I</t>
  </si>
  <si>
    <t xml:space="preserve">         1.  Effectively and efficiently administer,  supervise and  control the construction, improvement,  repair</t>
  </si>
  <si>
    <t xml:space="preserve">               and  maintenance of  provincial roads,  bridges and other public works projects either funded locally </t>
  </si>
  <si>
    <t xml:space="preserve">              or with national / foreign assistance;</t>
  </si>
  <si>
    <t xml:space="preserve">         2.  Develop a road network that is truly supportive to Eco-cultural and Agro-industrial goals and Poverty</t>
  </si>
  <si>
    <t xml:space="preserve">                Reduction Program of the Province;</t>
  </si>
  <si>
    <t xml:space="preserve">         3.   Provide tecnical services to LGUs and develop the potentials of employees for self efficacy.</t>
  </si>
  <si>
    <t>II</t>
  </si>
  <si>
    <t xml:space="preserve">         1.   To effect sustainable  maintenance  of  the entire  road  network  for  safe,   economical  and </t>
  </si>
  <si>
    <t xml:space="preserve">               convenient travel;</t>
  </si>
  <si>
    <t xml:space="preserve">         2.   To upgrade roads and  bridges into permanent structures especially those  that lead to eco-cultural</t>
  </si>
  <si>
    <t xml:space="preserve">                 tourism and agro-industrial areas to encourage investments and employment opportunities;</t>
  </si>
  <si>
    <t xml:space="preserve">         3.   To empower people  through   the  involvement  of  the  community  in  project  formulation  thru</t>
  </si>
  <si>
    <t xml:space="preserve">               consultative meetings and implementation of projects thru LGUs &amp; NGOs;</t>
  </si>
  <si>
    <t xml:space="preserve">         4.   To increase private  sector awareness  and  understanding  of  government  policies  on  provisions </t>
  </si>
  <si>
    <t xml:space="preserve">               of the Provincial Administrative Code relevant to infrastructure and public safety;</t>
  </si>
  <si>
    <t xml:space="preserve">         5.   To develop human  resource management  thru capability  building activities,  values strengthening </t>
  </si>
  <si>
    <t xml:space="preserve">              seminar,  technical seminars and educational tours.</t>
  </si>
  <si>
    <t>III</t>
  </si>
  <si>
    <t>PROJECTS /  ACTIVITIES</t>
  </si>
  <si>
    <t>Program /Activity/Project Description</t>
  </si>
  <si>
    <t xml:space="preserve">Expected Output </t>
  </si>
  <si>
    <t>1.) General Administrative Services and supports services</t>
  </si>
  <si>
    <t xml:space="preserve"> * Provide administrative services in personnel, records, correspondence, property supply management and general services as support to project implementation</t>
  </si>
  <si>
    <t>Administrative services in support to other divisions for project implemenetation well administered</t>
  </si>
  <si>
    <t>one (1) office</t>
  </si>
  <si>
    <t xml:space="preserve"> * Assest and property management maintenance and upgrading</t>
  </si>
  <si>
    <t>Implemented set of policies and guidelines for utilization of office asset/resources</t>
  </si>
  <si>
    <t>Policy guideline of tariff fee of material testing conducted from outside clients</t>
  </si>
  <si>
    <t xml:space="preserve">  * Control and management of procurement and cash advances</t>
  </si>
  <si>
    <t>Canvass of goods and services conducted, PR prepared and its supporting documents, Petty Cash Fund controlled and managed, bill payments attended (internet, water, electricity, telephone, etc.)</t>
  </si>
  <si>
    <t>Prepare all necessary documents for the procurement and payment of office expenditures</t>
  </si>
  <si>
    <t>Disbursement/ claims tracked and monitored, maintained orderly and complete documentation of disbursement and procurement</t>
  </si>
  <si>
    <t>All disbursement/ claims monitored and tracked</t>
  </si>
  <si>
    <t xml:space="preserve">  * Custody and supplies/ maintenance and repair/ upgrading of facilities and equipment/ office building/ vehicles</t>
  </si>
  <si>
    <t>Maintained inventory if supples:</t>
  </si>
  <si>
    <t>Inventory maintained:</t>
  </si>
  <si>
    <t>Supplies maintained at appropriate levels and keep safely;</t>
  </si>
  <si>
    <t>Suuplies in good keeping and sustainable;</t>
  </si>
  <si>
    <t>Supplies received/ released</t>
  </si>
  <si>
    <t>Supplies properly accounted</t>
  </si>
  <si>
    <t>Maintained complete records of office properties and equipment (semi-expendable and fixed assets)</t>
  </si>
  <si>
    <t>Upgrading of office space and working area</t>
  </si>
  <si>
    <t>Upgrading of PCs, LAN, purchase of additional airconditioning units, computers and repairs of office buildings</t>
  </si>
  <si>
    <t xml:space="preserve">  * Control and management of Finanacial Resources</t>
  </si>
  <si>
    <t>Office budget prepared, disbursement controlled and monitored</t>
  </si>
  <si>
    <t>One (1) office budget</t>
  </si>
  <si>
    <t xml:space="preserve">  * Performance and management of Administrative Functions</t>
  </si>
  <si>
    <t xml:space="preserve">     - record keeping</t>
  </si>
  <si>
    <t>Filing of all communications and data banking of employees records</t>
  </si>
  <si>
    <t xml:space="preserve">      - time keeping/ uniform checking/ personnel movement and Health monitoring</t>
  </si>
  <si>
    <t>Biometric time keeping, logbook maintained, daily time records crosschecked, DTR filed, reports of absences and tradiness, wearing of uniforms, attendance to special occassions and pressure reports submissions</t>
  </si>
  <si>
    <t>time book maintained accurately year round</t>
  </si>
  <si>
    <t>reports prepared and submitted to HRMDO</t>
  </si>
  <si>
    <t xml:space="preserve">  * Liaison functions</t>
  </si>
  <si>
    <t>Financial claims, disbursement/ cash advances/ procurements processsed and tracked; process cash advances, pruchase request, job request and follow-up until released</t>
  </si>
  <si>
    <t>all calims processed and released ready for disbursement</t>
  </si>
  <si>
    <t xml:space="preserve">  * Messengerial Functions</t>
  </si>
  <si>
    <t>all communications and documents</t>
  </si>
  <si>
    <t xml:space="preserve">  * Provision of transportation services</t>
  </si>
  <si>
    <t>vehicles assigned/ deployed for official trips</t>
  </si>
  <si>
    <t>all official travels</t>
  </si>
  <si>
    <t xml:space="preserve">  * Provisions of clients information services/ receptions</t>
  </si>
  <si>
    <t>all clients</t>
  </si>
  <si>
    <t xml:space="preserve">  * Preparation of communications, memos and taking Minutes of meetings</t>
  </si>
  <si>
    <t>Official communications/ endorsements, memosand minutes of meetings taken</t>
  </si>
  <si>
    <t>all official documents</t>
  </si>
  <si>
    <t>Directives, Orders implemented and compliance checked</t>
  </si>
  <si>
    <t>all</t>
  </si>
  <si>
    <t xml:space="preserve">  * EMS implementation</t>
  </si>
  <si>
    <t>Measures implemented for EMS applicable programs such as waste minimization, waste segregation, energy and water conservation, use of safety personal and protection equipments</t>
  </si>
  <si>
    <t>applicable EMS</t>
  </si>
  <si>
    <t xml:space="preserve">  * Conduct investigation, survey, prepare plans, design and Program of Works for proposed projects</t>
  </si>
  <si>
    <t>Proposed project investigated, surveyed and plans and design, POWs prepared</t>
  </si>
  <si>
    <t>30 developmental projects</t>
  </si>
  <si>
    <t xml:space="preserve">  * Prepare quality control of program and quality assurance plan for proposed projects and conduct testing of construction materials</t>
  </si>
  <si>
    <t>construction materials testing conducted, quality control program and quality assurance plan prepared</t>
  </si>
  <si>
    <t>Office management and operations monitored and evaluated and respective reports submitted to the right authorities</t>
  </si>
  <si>
    <t>Evaluation reports of office operations submitted</t>
  </si>
  <si>
    <t>Monthly monitoring reports submitted</t>
  </si>
  <si>
    <t>2. Maintenance of Provincial Roads and Bridges</t>
  </si>
  <si>
    <t>Roads and bridges well maintaoned and passable at all weather conditions</t>
  </si>
  <si>
    <t>Guideline on the use of Tents &amp; other properties of the office</t>
  </si>
  <si>
    <t>PEO-2</t>
  </si>
  <si>
    <t>Responsible for the care, utilization and custody of supplies and other aspects of supply management in the Provincial Government, and shall have direct responsibility of the person in actual physical possession of supplies or property or entrusted with its custody, control and disposal shall be responsible for its proper use and care and shall exercise the diligence of a good father of a family in the utilization and safekeeping thereof.</t>
  </si>
  <si>
    <t>Take charge in the licensing of government vehicles and firearms, insurance of government properties and facilities and maintain a central record of all supplies or property.</t>
  </si>
  <si>
    <t>Take charge in the conduct of Annual Physical Inventory of all supplies and property.</t>
  </si>
  <si>
    <t>Undertake the inspection and verification of purchases made by the different offices of the Provincial Government by authorized inspector in conformity with the specifications stipulated in the Purchase Order (P.O).</t>
  </si>
  <si>
    <t>Responsible in the disposal of supplies or properties (real properties, building and other physical structures) which become unserviceable for any case or are no longer needed and shall be sold, whenever applicable, at public auction, subject to applicable rules and regulations and may also be disposed in the following manner:</t>
  </si>
  <si>
    <t>To undertake general supervision in the improvement, maintenance of government facilities and equipment.</t>
  </si>
  <si>
    <t>To provide security and utility services for the different offices of the Provincial Government of Bohol.</t>
  </si>
  <si>
    <t>To develop plans and strategies and make possible recommendations, assistance and support to the Governor in carrying out measures to ensure the delivery of basic services and provisions of adequate facilities for the Province of Bohol.</t>
  </si>
  <si>
    <t>To provide custody and be accountable for all properties real or personal owned by the Local Government Unit.</t>
  </si>
  <si>
    <t>To upgrade office facilities and equipment.</t>
  </si>
  <si>
    <t xml:space="preserve">                a)      Sale thru negotiation</t>
  </si>
  <si>
    <t xml:space="preserve">                b)      Transfer without cost to other offices or department</t>
  </si>
  <si>
    <t>Cable, Satellite, Teleg. &amp; Radio</t>
  </si>
  <si>
    <t xml:space="preserve">  Calamity Fund (PDRRMF)</t>
  </si>
  <si>
    <t xml:space="preserve">  BDJ</t>
  </si>
  <si>
    <t>3. Economic Services Sector</t>
  </si>
  <si>
    <t>Comprehensive Hospitals Modernization Program</t>
  </si>
  <si>
    <t>Key Position</t>
  </si>
  <si>
    <t>Non-key Position</t>
  </si>
  <si>
    <t>Other Position</t>
  </si>
  <si>
    <t>Support to</t>
  </si>
  <si>
    <t>Administrative</t>
  </si>
  <si>
    <t>Unfilled</t>
  </si>
  <si>
    <t>Contractual</t>
  </si>
  <si>
    <t>Casual</t>
  </si>
  <si>
    <t>TOTAL FILLED</t>
  </si>
  <si>
    <t>w/ RATA</t>
  </si>
  <si>
    <t>Technical</t>
  </si>
  <si>
    <t>Position</t>
  </si>
  <si>
    <t>FILLED</t>
  </si>
  <si>
    <t>PERMANENT</t>
  </si>
  <si>
    <t>NON-PERMANENT</t>
  </si>
  <si>
    <t>Non-Permanent</t>
  </si>
  <si>
    <t>HRMDO</t>
  </si>
  <si>
    <t xml:space="preserve">      (including Women Entrepreneurship Development Program)</t>
  </si>
  <si>
    <t>TOTAL: Non-Permanent Positions</t>
  </si>
  <si>
    <t>PDIP</t>
  </si>
  <si>
    <t>Local Disaster Risk Reduction &amp; Management Fund</t>
  </si>
  <si>
    <t>Aid to Barangays</t>
  </si>
  <si>
    <t>Payment of Loans- Interest</t>
  </si>
  <si>
    <t>Inter Government Aid</t>
  </si>
  <si>
    <t>Peace and Order</t>
  </si>
  <si>
    <t>General Administration Sector</t>
  </si>
  <si>
    <t>Social Services Sector</t>
  </si>
  <si>
    <t>Economic Services Sector</t>
  </si>
  <si>
    <t>DATA (BY Sector)</t>
  </si>
  <si>
    <t>Local Disaster Risk Reduction &amp; Mgt. Fund</t>
  </si>
  <si>
    <t>Payment of Loans</t>
  </si>
  <si>
    <t>Gender Development Program</t>
  </si>
  <si>
    <t>Payment of Loans-Interest</t>
  </si>
  <si>
    <t>STATEMENT OF LONG TERM OBLIGATION AND INDEBTEDNESS</t>
  </si>
  <si>
    <t>CREDITOR BY OFFICE</t>
  </si>
  <si>
    <t>TOTAL INDEBTEDNESS</t>
  </si>
  <si>
    <t>Prov'l. Gov't of Bohol</t>
  </si>
  <si>
    <t xml:space="preserve">       -LAND BANK (IRA)</t>
  </si>
  <si>
    <t xml:space="preserve">       -LAND BANK</t>
  </si>
  <si>
    <t>STATUTORY &amp; CONTRACTUAL Obligations</t>
  </si>
  <si>
    <t>II. BUDGETARY REQUIREMENTS</t>
  </si>
  <si>
    <t>A. 20% Development fund</t>
  </si>
  <si>
    <t>B. Aid to Barangays</t>
  </si>
  <si>
    <t>C. 2% Real Property Tax -Extraordinary &amp; Miscellaneous Expense</t>
  </si>
  <si>
    <t>III. OTHER STATUTORY &amp; CONTRACTUAL OBLIGATION</t>
  </si>
  <si>
    <t>2.3 External Sources</t>
  </si>
  <si>
    <t>GENERAL SERVICES</t>
  </si>
  <si>
    <t>SOCIAL SERVICES</t>
  </si>
  <si>
    <t>ECONOMIC SERVICES</t>
  </si>
  <si>
    <t>SOCIAL</t>
  </si>
  <si>
    <t>ECONOMIC</t>
  </si>
  <si>
    <t>GENERAL</t>
  </si>
  <si>
    <t>Intelligence</t>
  </si>
  <si>
    <t>TOTAL CUR. OPERATING EXPENDITURE</t>
  </si>
  <si>
    <t>3.1  Current Operating Expenses</t>
  </si>
  <si>
    <t>Total Receipts</t>
  </si>
  <si>
    <t xml:space="preserve">       1. Gain on Sale of Assets</t>
  </si>
  <si>
    <t xml:space="preserve">       2.  PCSO (Lotto)</t>
  </si>
  <si>
    <t xml:space="preserve">       1. Internal Revenue Allotment</t>
  </si>
  <si>
    <t xml:space="preserve">  Capital Outlay</t>
  </si>
  <si>
    <t xml:space="preserve">  Non-Off./Inter-Gov't. Aide</t>
  </si>
  <si>
    <t xml:space="preserve">        BOHOL PROVINCE</t>
  </si>
  <si>
    <t xml:space="preserve">                    BOHOL Province</t>
  </si>
  <si>
    <t>SUMMARY WORKSHEET NO. 2</t>
  </si>
  <si>
    <t>TOTAL ANNUAL PS BUDGET</t>
  </si>
  <si>
    <t>Total Income From Regular Sources (TIRS)</t>
  </si>
  <si>
    <t>PS Limitation</t>
  </si>
  <si>
    <t>Salaries of Existing full-time regular positions</t>
  </si>
  <si>
    <t>Salaries of existing part-time regular positions</t>
  </si>
  <si>
    <t>Step Increment</t>
  </si>
  <si>
    <t>Personnel Economic Relief Allowance</t>
  </si>
  <si>
    <t>Uniform/Clothing Allowance</t>
  </si>
  <si>
    <t>Representation and Transportation Allowance</t>
  </si>
  <si>
    <t>Hazard</t>
  </si>
  <si>
    <t>Monetization of Leave Credits</t>
  </si>
  <si>
    <t>Other legally authorized allowances/benefits</t>
  </si>
  <si>
    <t>ECC Contribution</t>
  </si>
  <si>
    <t>PAG-I.B.I.G Contributions</t>
  </si>
  <si>
    <t>PHILHEALTH Contributions</t>
  </si>
  <si>
    <t>Retirement and Life Insurance Contributions</t>
  </si>
  <si>
    <t>Terminal Leave Benefits</t>
  </si>
  <si>
    <t>Difference</t>
  </si>
  <si>
    <t>Bohol District Jail</t>
  </si>
  <si>
    <t>Tax on Sand, Gravel &amp; Other Quarry Products</t>
  </si>
  <si>
    <t>Business Taxes</t>
  </si>
  <si>
    <t>Professional Tax</t>
  </si>
  <si>
    <t>Permit Fees</t>
  </si>
  <si>
    <t>Hospital Fees</t>
  </si>
  <si>
    <t>Certification Fees</t>
  </si>
  <si>
    <t>Clearance &amp; Med., Dental &amp; Lab. Fees</t>
  </si>
  <si>
    <t>Library Fees</t>
  </si>
  <si>
    <t>642-6</t>
  </si>
  <si>
    <t>648-1</t>
  </si>
  <si>
    <t>642-5</t>
  </si>
  <si>
    <t>Fines and Penalties-Business Income</t>
  </si>
  <si>
    <t>Interest Income</t>
  </si>
  <si>
    <t>Miscellaneous Income</t>
  </si>
  <si>
    <t>628-2</t>
  </si>
  <si>
    <t>678-7</t>
  </si>
  <si>
    <t>Tax on Sand, Gravel &amp; Other Quarry Product</t>
  </si>
  <si>
    <t>Business Tax</t>
  </si>
  <si>
    <t xml:space="preserve">      Interest Income</t>
  </si>
  <si>
    <t xml:space="preserve">       Miscellaneous Income</t>
  </si>
  <si>
    <t>Tax on Delivery Trucks and Vans</t>
  </si>
  <si>
    <t>Fines &amp; Penalties- Business Income</t>
  </si>
  <si>
    <t>Fines &amp; Penalties- Local Taxes</t>
  </si>
  <si>
    <t>Clearance &amp; Med., Dental &amp; Laboratory Fees</t>
  </si>
  <si>
    <t>Fines &amp; Penalties-Business Income</t>
  </si>
  <si>
    <t>STAFFING GO-2</t>
  </si>
  <si>
    <t xml:space="preserve">        Prison Guard II</t>
  </si>
  <si>
    <t xml:space="preserve">Regular Income  </t>
  </si>
  <si>
    <t>B. Non-Permanent Positions (Filled)</t>
  </si>
  <si>
    <t xml:space="preserve">      Board Secretary V</t>
  </si>
  <si>
    <t xml:space="preserve">      Legislative Staff Asst. III</t>
  </si>
  <si>
    <t>Co-Terminus:</t>
  </si>
  <si>
    <t>Receipts Program p. 2</t>
  </si>
  <si>
    <t xml:space="preserve">      The following Special Purpose Appropriations are  reflected in the Local Expenditures Program.</t>
  </si>
  <si>
    <t xml:space="preserve">     1. Local Disaster Risk Reduction &amp; Mgt. Fund</t>
  </si>
  <si>
    <t xml:space="preserve">     2. 20% Development Fund</t>
  </si>
  <si>
    <t xml:space="preserve">     4. Peace and Order Program (Another source of fund is the 20% DF)</t>
  </si>
  <si>
    <t xml:space="preserve">     5. Discretionary Fund</t>
  </si>
  <si>
    <t xml:space="preserve">     6. Provincial Development Initiative Project/Counterparting</t>
  </si>
  <si>
    <t xml:space="preserve">     7. Special Employment Program/SPES</t>
  </si>
  <si>
    <t xml:space="preserve">     8. Scholarship Program </t>
  </si>
  <si>
    <t xml:space="preserve">     9. Gender and Development Program </t>
  </si>
  <si>
    <t xml:space="preserve">   10.Other Special purpose</t>
  </si>
  <si>
    <t>Special Provisions on the Use of Funds</t>
  </si>
  <si>
    <t xml:space="preserve">             </t>
  </si>
  <si>
    <t xml:space="preserve"> Funds for Peace and Order Program shall be used purposely to promote peace and prosperity in localities, preserve community harmony and enhance socio-economic development.</t>
  </si>
  <si>
    <t>Funds for Provincial Development Initiative Projects  shall be released as financial assistance to different municipalities and barangays as Provincial Counterpart for their priority programs and projects. This is necessary to augment the limited resources of local governments.</t>
  </si>
  <si>
    <t>Gender and Development (GAD) and Other Special Purpose Funds shall be released and used to address gender sensitive issues and concerns that affect the welfare of constituents. Such funds shall be used to pursue GAD-responsive programs, projects and activities. The 5% of the total annual appropriation earmarked for GAD-related initiatives is an indicative figure that should be included in the existing programs, projects and activities of the AIP.</t>
  </si>
  <si>
    <t>GENERAL PROVISIONS</t>
  </si>
  <si>
    <t xml:space="preserve">Use of Appropriated Funds </t>
  </si>
  <si>
    <t xml:space="preserve">                    </t>
  </si>
  <si>
    <t>Adoption of Value for Money and Management by Outcome by all departments and offices shall be encouraged to promote efficiency and effectiveness in government service.</t>
  </si>
  <si>
    <t>Continued monitoring in the implementation of Austerity Measures adopted under A.O.  103 of the Office of the President.</t>
  </si>
  <si>
    <t xml:space="preserve">                 </t>
  </si>
  <si>
    <t>Expenditure Component</t>
  </si>
  <si>
    <t>Except by act of the Sangguniang Panlalawigan, no change or modification shall be made in the  expenditure items authorized in this Appropriation Ordinance unless in case of Augmentation from savings in Appropriations as authorized under Sec. 336 of Local Government Code of 1991. All procurement of goods and services shall be in accordance with R.A. 9184 and its implementing Rules and Regulations Part A.</t>
  </si>
  <si>
    <t xml:space="preserve"> Use of Savings</t>
  </si>
  <si>
    <t>In adherence to Sec. 336 of R.A. 7160, the Local Chief Executive (Governor) and the Presiding Officer of the Sangguniang Panlalawigan (Vice Governor) are authorized to augment any items in the approved budget for their respective offices from savings in other items within the same expense class of their respective appropriations.   For purposes of this provision, "respective offices" refers to the various departmenst/ offices/ units under either the Executive or Legislative Departments.</t>
  </si>
  <si>
    <t>Performance Targets/Financial Plan</t>
  </si>
  <si>
    <t>All department heads and heads of attached offices shall prepare their respective performance targets/financial plan,  approved by the Governor as basis for release of allotments.</t>
  </si>
  <si>
    <t>Local Budget Matrix (LBM) and Cash Flow Forecast Analysis shall be used to facilitate  budget execution to ensure that allotments are safely covered by Cash Back-upand that Cash is  available when it is needed to pay obligations.</t>
  </si>
  <si>
    <t>Augmentation of Fund Procedure</t>
  </si>
  <si>
    <t>Budget Execution</t>
  </si>
  <si>
    <t>Execution of this budget shall be a shared responsibility of the Governor, the Vice Governor and Department Heads pertaining to and under their respective office in accordance with Section 305 and 340 of RA 7160, the Local Government Code and other related issuances.</t>
  </si>
  <si>
    <t>Administrative Provisions</t>
  </si>
  <si>
    <t>(a)</t>
  </si>
  <si>
    <t>(b)</t>
  </si>
  <si>
    <t>(d)</t>
  </si>
  <si>
    <t>(e)</t>
  </si>
  <si>
    <t>(f)</t>
  </si>
  <si>
    <t>(g)</t>
  </si>
  <si>
    <t>(h)</t>
  </si>
  <si>
    <t>Educational Subsidy Program - Release of Educational Subsidy Program shall only be in accordance with the approved Guidelines.</t>
  </si>
  <si>
    <t>(i)</t>
  </si>
  <si>
    <t>(j)</t>
  </si>
  <si>
    <t>(k)</t>
  </si>
  <si>
    <t>(l)</t>
  </si>
  <si>
    <t>(m)</t>
  </si>
  <si>
    <t>(n)</t>
  </si>
  <si>
    <t>(c)</t>
  </si>
  <si>
    <t>TABLE OF CONTENTS</t>
  </si>
  <si>
    <t xml:space="preserve">RECEIPTS PROGRAM                                                        </t>
  </si>
  <si>
    <t>(By Office/Department)</t>
  </si>
  <si>
    <t>STAFFING and COMPENSATION PROFILE</t>
  </si>
  <si>
    <t>BUDGET OF EXPENDITURES AND SOURCES OF FINANCING</t>
  </si>
  <si>
    <t>TABLE 1</t>
  </si>
  <si>
    <t xml:space="preserve">Summary Statement of Receipts and Expenditures      </t>
  </si>
  <si>
    <t>TABLE 2</t>
  </si>
  <si>
    <t xml:space="preserve">Estimated Expenditures by PPA and by Sector                  </t>
  </si>
  <si>
    <t>TABLE 3</t>
  </si>
  <si>
    <t xml:space="preserve">Actual and Estimated Expenditure Program by Sector/Office    </t>
  </si>
  <si>
    <t>TABLE 4</t>
  </si>
  <si>
    <t xml:space="preserve">Staffing Summary                                                                          </t>
  </si>
  <si>
    <t>TABLE 5</t>
  </si>
  <si>
    <t xml:space="preserve">Summary Statement of Statutory and Contractual Obligations and Budgetary Requirements                                                                           </t>
  </si>
  <si>
    <t>TABLE 6</t>
  </si>
  <si>
    <t xml:space="preserve">Summary Statement of Long Term Obligations and Indebtedness </t>
  </si>
  <si>
    <t xml:space="preserve">Personal Services Distributed by Sector                                    </t>
  </si>
  <si>
    <t xml:space="preserve">Maintenance &amp; Other Operating Expenditures Distributed by Sector   </t>
  </si>
  <si>
    <t>GRAPH</t>
  </si>
  <si>
    <r>
      <t>LBPF 2 -</t>
    </r>
    <r>
      <rPr>
        <i/>
        <sz val="11"/>
        <color indexed="8"/>
        <rFont val="Calibri"/>
        <family val="2"/>
      </rPr>
      <t>Summary Statement of Receipts and Expenditures</t>
    </r>
  </si>
  <si>
    <r>
      <t>LBPF 6 -</t>
    </r>
    <r>
      <rPr>
        <i/>
        <sz val="11"/>
        <color indexed="8"/>
        <rFont val="Calibri"/>
        <family val="2"/>
      </rPr>
      <t>Statement of Long Term Obligation and Indebtedness</t>
    </r>
  </si>
  <si>
    <r>
      <t>LBPF 8 -</t>
    </r>
    <r>
      <rPr>
        <i/>
        <sz val="11"/>
        <color indexed="8"/>
        <rFont val="Calibri"/>
        <family val="2"/>
      </rPr>
      <t>Statement of Fund Operation</t>
    </r>
  </si>
  <si>
    <r>
      <t>LBPF 7 -</t>
    </r>
    <r>
      <rPr>
        <i/>
        <sz val="11"/>
        <color indexed="8"/>
        <rFont val="Calibri"/>
        <family val="2"/>
      </rPr>
      <t>Statement of Statutory &amp; Contractual Obligation</t>
    </r>
  </si>
  <si>
    <t>LBPF 2 p.2</t>
  </si>
  <si>
    <t>LGBRPS-5</t>
  </si>
  <si>
    <r>
      <t>FUNCTIONAL STATEMENT,   OBJECTIVES AND EXPECTED RESULT</t>
    </r>
    <r>
      <rPr>
        <sz val="12"/>
        <color theme="1"/>
        <rFont val="Tahoma"/>
        <family val="2"/>
      </rPr>
      <t>S</t>
    </r>
  </si>
  <si>
    <t xml:space="preserve">OFFICE OF THE GOVERNOR   </t>
  </si>
  <si>
    <t>1.  FUNCTIONAL STATEMENT</t>
  </si>
  <si>
    <t>Program/Project/Activity</t>
  </si>
  <si>
    <t>200 meetings</t>
  </si>
  <si>
    <t>50 proposals</t>
  </si>
  <si>
    <t>unlimited</t>
  </si>
  <si>
    <t>5 international</t>
  </si>
  <si>
    <t>25 national</t>
  </si>
  <si>
    <t>40 local</t>
  </si>
  <si>
    <t>20 visits to hospitals</t>
  </si>
  <si>
    <t>100 visits to towns</t>
  </si>
  <si>
    <t>&gt;Well conducted</t>
  </si>
  <si>
    <t>30 meetings</t>
  </si>
  <si>
    <t>as needed</t>
  </si>
  <si>
    <t>2 times</t>
  </si>
  <si>
    <t>&gt;quality job/service</t>
  </si>
  <si>
    <t>40 papers</t>
  </si>
  <si>
    <t>supplies</t>
  </si>
  <si>
    <t>100% efficient</t>
  </si>
  <si>
    <t>1 room</t>
  </si>
  <si>
    <t>activities</t>
  </si>
  <si>
    <t>200 teachers</t>
  </si>
  <si>
    <t>&gt;processed salaries</t>
  </si>
  <si>
    <t>&gt;Consultative meetings</t>
  </si>
  <si>
    <t>&gt;meetings conducted</t>
  </si>
  <si>
    <t>145 scholars</t>
  </si>
  <si>
    <t>&gt;facilitated CPG Day</t>
  </si>
  <si>
    <t>Capital Outlay Distributed by Sector</t>
  </si>
  <si>
    <t>Terminal Leave- Lumpsum Appropriation</t>
  </si>
  <si>
    <t>Monetization- Lumpsum Appropriation</t>
  </si>
  <si>
    <t>F. Personal Services- Lumpsum Appropriation:</t>
  </si>
  <si>
    <t>LUMPSUM APPROPRIATION</t>
  </si>
  <si>
    <t>i.   The increase in compensation of elective local officials shall take effect</t>
  </si>
  <si>
    <t xml:space="preserve">     filling of such postion shall be strictly made in accordance with civil</t>
  </si>
  <si>
    <t xml:space="preserve">     promotion or demotion in rank or increase or decrease in compensation</t>
  </si>
  <si>
    <t xml:space="preserve">     maximum fixed for his position or other positions of equivalent rank by</t>
  </si>
  <si>
    <t xml:space="preserve">     Law for existing and mandatory positions.</t>
  </si>
  <si>
    <t xml:space="preserve">     preceding fiscal year.  The appropriations for salaries, wages, </t>
  </si>
  <si>
    <t xml:space="preserve">     geothermal, and other source of energy shall be applied solely to lower</t>
  </si>
  <si>
    <t xml:space="preserve">     arising from the occurrence of calamities provided that such appropriation</t>
  </si>
  <si>
    <t xml:space="preserve">     income actually realized from local sources during the next preceding</t>
  </si>
  <si>
    <t xml:space="preserve">     the public utilities and economic enterprises owned, operated, and </t>
  </si>
  <si>
    <t xml:space="preserve">     additional, double or indirect compensation, unless specifically authorized</t>
  </si>
  <si>
    <t>m.  Local government budgets shall operationalize approved local development</t>
  </si>
  <si>
    <t>Expanded Special Program for the Employment of Students</t>
  </si>
  <si>
    <t>HEAT Bohol Outreach Program</t>
  </si>
  <si>
    <t>HEAT Caravan Counterpart Fund</t>
  </si>
  <si>
    <t>Tourism Development Program</t>
  </si>
  <si>
    <t>Investment Promotion Activities</t>
  </si>
  <si>
    <t>Effective Development Communication Program</t>
  </si>
  <si>
    <t>Bohol Integrated Water Resource Management Program</t>
  </si>
  <si>
    <t>Human Resource Development Program</t>
  </si>
  <si>
    <t>Cooperative Development Program</t>
  </si>
  <si>
    <t>Sand and Gravel Quarry Monitoring Operations</t>
  </si>
  <si>
    <t>Water Testing Program (Laboratory Services)</t>
  </si>
  <si>
    <t>Drug Testing Program</t>
  </si>
  <si>
    <t>Dengue Prevention Program</t>
  </si>
  <si>
    <t>Provincial Government Educational Subsidy Program</t>
  </si>
  <si>
    <t xml:space="preserve">      Productivity Enhancement Incentives</t>
  </si>
  <si>
    <t>Cultural Preservation and Revitalization</t>
  </si>
  <si>
    <t>Construction of Livelihood Center</t>
  </si>
  <si>
    <t>Completion of Dormitory for Women</t>
  </si>
  <si>
    <t xml:space="preserve">Improvement of STAC </t>
  </si>
  <si>
    <t>Bahay Kubo FAITH AND HOPE</t>
  </si>
  <si>
    <t>Marine Protected Areas Program</t>
  </si>
  <si>
    <t>Organic Agricultural Dev't. Program</t>
  </si>
  <si>
    <t>P-NOY Corn Program</t>
  </si>
  <si>
    <t>P-NOY Rice  Program</t>
  </si>
  <si>
    <t>LETS HELP Program</t>
  </si>
  <si>
    <t>Animal Public Health Program</t>
  </si>
  <si>
    <t>Animal Rabies Program</t>
  </si>
  <si>
    <t>Jan.- December 2013</t>
  </si>
  <si>
    <t>Jan. December 2013</t>
  </si>
  <si>
    <t>LIBRARY</t>
  </si>
  <si>
    <t>PGSO</t>
  </si>
  <si>
    <t>PBMO</t>
  </si>
  <si>
    <t>PLO</t>
  </si>
  <si>
    <t>OPSWD</t>
  </si>
  <si>
    <t>OPV</t>
  </si>
  <si>
    <t>M-POOL</t>
  </si>
  <si>
    <t xml:space="preserve"> GRAND TOTAL</t>
  </si>
  <si>
    <t>4TH TRANCHE SALARY SCHEDULE</t>
  </si>
  <si>
    <t>PLANTILLA   CY 2013</t>
  </si>
  <si>
    <t>other</t>
  </si>
  <si>
    <t>Other Maint.</t>
  </si>
  <si>
    <t xml:space="preserve">R&amp;M </t>
  </si>
  <si>
    <t>office equipt.</t>
  </si>
  <si>
    <t xml:space="preserve">Equipt </t>
  </si>
  <si>
    <t>STAC</t>
  </si>
  <si>
    <t>Green Life</t>
  </si>
  <si>
    <t>C N A</t>
  </si>
  <si>
    <t>building</t>
  </si>
  <si>
    <t>hosp &amp; health</t>
  </si>
  <si>
    <t>other structures</t>
  </si>
  <si>
    <t>furnture &amp; fixtures</t>
  </si>
  <si>
    <t>hosp. equip.</t>
  </si>
  <si>
    <t>motor vehicle</t>
  </si>
  <si>
    <t>Athletic and Cultural Fees</t>
  </si>
  <si>
    <t>Business Tax (printing and publication)</t>
  </si>
  <si>
    <t>Environmental Tax</t>
  </si>
  <si>
    <t>Business Tax (printing &amp; publication)</t>
  </si>
  <si>
    <t>Telephone</t>
  </si>
  <si>
    <t>Mobile</t>
  </si>
  <si>
    <t>Landline</t>
  </si>
  <si>
    <t xml:space="preserve">        Office Equipment</t>
  </si>
  <si>
    <t xml:space="preserve">    Office Equipment</t>
  </si>
  <si>
    <t xml:space="preserve">    Motor Vehicle</t>
  </si>
  <si>
    <t>Janitorial</t>
  </si>
  <si>
    <t>Security</t>
  </si>
  <si>
    <t>Other Machineries &amp; Equipment</t>
  </si>
  <si>
    <t>Gen. Services</t>
  </si>
  <si>
    <t>Contract</t>
  </si>
  <si>
    <t>SUPPLIES</t>
  </si>
  <si>
    <t>TEL</t>
  </si>
  <si>
    <t>mobile</t>
  </si>
  <si>
    <t>internet</t>
  </si>
  <si>
    <t>CABLE</t>
  </si>
  <si>
    <t>GEN</t>
  </si>
  <si>
    <t>DONATIONS</t>
  </si>
  <si>
    <t>OTHER</t>
  </si>
  <si>
    <t>D-1, BM-1</t>
  </si>
  <si>
    <t>D-1, BM-2</t>
  </si>
  <si>
    <t>D-1, BM-3</t>
  </si>
  <si>
    <t>D-2, BM-1</t>
  </si>
  <si>
    <t>D-2, BM-2</t>
  </si>
  <si>
    <t>D-2, BM-3</t>
  </si>
  <si>
    <t>D-3, BM-1</t>
  </si>
  <si>
    <t>D-3, BM-2</t>
  </si>
  <si>
    <t>D-3, BM-3</t>
  </si>
  <si>
    <t>D-3, BM-4</t>
  </si>
  <si>
    <t>ABC</t>
  </si>
  <si>
    <t>PCL</t>
  </si>
  <si>
    <t>SK</t>
  </si>
  <si>
    <t>SECT.</t>
  </si>
  <si>
    <t>VGO</t>
  </si>
  <si>
    <t>CO-</t>
  </si>
  <si>
    <t xml:space="preserve">      Cable</t>
  </si>
  <si>
    <t>16/2</t>
  </si>
  <si>
    <t xml:space="preserve">    Donald Rey A. Simporios</t>
  </si>
  <si>
    <t>12/7</t>
  </si>
  <si>
    <t xml:space="preserve">    Agapito T. Sumampong</t>
  </si>
  <si>
    <t xml:space="preserve">    Geronides V. Gabas</t>
  </si>
  <si>
    <t xml:space="preserve">    Eligio T. Hayo</t>
  </si>
  <si>
    <t xml:space="preserve">        Operations of Local Special Bodies</t>
  </si>
  <si>
    <t>Provincial  Ord. No. 2012-010</t>
  </si>
  <si>
    <t>Institutional Support to Provincial Livestock Program</t>
  </si>
  <si>
    <t>Construction of Shop and Service Center</t>
  </si>
  <si>
    <t>Construction and completion of  Animal Disease Dagnostic Lab.</t>
  </si>
  <si>
    <t>Information Communication Technology and other related projects</t>
  </si>
  <si>
    <t>Coastal Resource Mangement Program</t>
  </si>
  <si>
    <t>Counterpart Funding for LGUs, NGOS, NGAs ODA Programs</t>
  </si>
  <si>
    <t>P-NOY Fisheries Resource Mangement &amp; Dev't. Program</t>
  </si>
  <si>
    <t>Sustainable Native Chicken Production</t>
  </si>
  <si>
    <t>P-NOY High-value Commercial Crops Program</t>
  </si>
  <si>
    <t>Bohol Bayanihan- Philhealth Survey Project</t>
  </si>
  <si>
    <t>20% DEV'T FUND</t>
  </si>
  <si>
    <t xml:space="preserve">  Lumpsum Appropriation</t>
  </si>
  <si>
    <t xml:space="preserve">       PGDH</t>
  </si>
  <si>
    <t xml:space="preserve">       Admin. Assistant II</t>
  </si>
  <si>
    <t xml:space="preserve">        Prison Guard III</t>
  </si>
  <si>
    <t xml:space="preserve">  Community Affairs Officers I</t>
  </si>
  <si>
    <t xml:space="preserve">        Provincial Gov't. Dept. Head</t>
  </si>
  <si>
    <t xml:space="preserve">       Planning Officer IV</t>
  </si>
  <si>
    <t xml:space="preserve">       Project Evaluation Officer IV</t>
  </si>
  <si>
    <t xml:space="preserve">        Administrative Aide III</t>
  </si>
  <si>
    <t xml:space="preserve">      Administrative Assistant I</t>
  </si>
  <si>
    <t xml:space="preserve">         Administrative Aide IV</t>
  </si>
  <si>
    <t xml:space="preserve">1·       Prepare forms, orders and circulars embodying instruction on budgetary and appropriation matters for  </t>
  </si>
  <si>
    <t xml:space="preserve">          government unit;</t>
  </si>
  <si>
    <t xml:space="preserve">           Coordinator, Legal Officer and Assessor for the purpose of budgeting;</t>
  </si>
  <si>
    <t xml:space="preserve">9·        Exercise such other powers and perform such other functions as may be prescribed by law or ordinance.  </t>
  </si>
  <si>
    <t>PS =</t>
  </si>
  <si>
    <t>MOOE =</t>
  </si>
  <si>
    <t xml:space="preserve">5 budget hearings for 36 PGBh offices/ Hospitals </t>
  </si>
  <si>
    <t>15 vouchers &amp; payrolls</t>
  </si>
  <si>
    <t>Once a week</t>
  </si>
  <si>
    <t xml:space="preserve">PS = </t>
  </si>
  <si>
    <t xml:space="preserve">     40  policies/ programs</t>
  </si>
  <si>
    <t>·         Review of PES</t>
  </si>
  <si>
    <t>PES approved by PBO</t>
  </si>
  <si>
    <t xml:space="preserve">·         Conduct of office' regular meeting.  </t>
  </si>
  <si>
    <t>200 PRs</t>
  </si>
  <si>
    <t>·         Receive, record release &amp; kept file on  outgoing of the following:</t>
  </si>
  <si>
    <t>·         Procurement of office supplies</t>
  </si>
  <si>
    <t>equipment</t>
  </si>
  <si>
    <t>once a week</t>
  </si>
  <si>
    <t>2 equipment</t>
  </si>
  <si>
    <t>NEW APPROPRIATIONS BY PROGRAM/PROJECT</t>
  </si>
  <si>
    <t>Program / Project /  Activity</t>
  </si>
  <si>
    <t>Budgetary Services</t>
  </si>
  <si>
    <t>B. Projects</t>
  </si>
  <si>
    <t>NONE</t>
  </si>
  <si>
    <t xml:space="preserve">     PGADH -Asst. Provincial Assessor</t>
  </si>
  <si>
    <t xml:space="preserve">       Dentist I</t>
  </si>
  <si>
    <t xml:space="preserve">       Sanitation Inspector IV</t>
  </si>
  <si>
    <t xml:space="preserve">  Medical Lab. Technician I</t>
  </si>
  <si>
    <t xml:space="preserve">        Dentist II</t>
  </si>
  <si>
    <t xml:space="preserve">        Midwife II</t>
  </si>
  <si>
    <t xml:space="preserve">        Cook I</t>
  </si>
  <si>
    <t xml:space="preserve">        Lab Aide II</t>
  </si>
  <si>
    <t xml:space="preserve">       Rural Health Physician</t>
  </si>
  <si>
    <t xml:space="preserve">       Seamstress</t>
  </si>
  <si>
    <t>1. Dental Section</t>
  </si>
  <si>
    <t>Boholano populace</t>
  </si>
  <si>
    <t>Reduce the incidence of water and food borne illnesses, decrease the number of households without sanitary toilets</t>
  </si>
  <si>
    <t>Household without toilets, food handlers, food establishments, waterworks system</t>
  </si>
  <si>
    <t>Non-Office</t>
  </si>
  <si>
    <t>Awareness on STI and HIV infection, transmission, prevention and control as well as AIDS impact to the family</t>
  </si>
  <si>
    <t>youth, MSMs, academe, embalmers, service providers- provate/public hosps., general public</t>
  </si>
  <si>
    <t>Knowledge on NVBSP, availability of blood in blood banks in the province</t>
  </si>
  <si>
    <t>Probable blood donors such as ROTC students, Brgy. &amp; Mun. officials</t>
  </si>
  <si>
    <t>3. Drug Testing Laboratory</t>
  </si>
  <si>
    <t>Quality service to clients, trained med. techs.</t>
  </si>
  <si>
    <t>med. techs., drivers, job seekers, men in uniforms, drug abuse suspects</t>
  </si>
  <si>
    <t>4. Water Bacteriology Laboratory</t>
  </si>
  <si>
    <t>Improved delivery of water laboratory services</t>
  </si>
  <si>
    <t>Level I, II, III, Ref. Station, swimming pools and sea waters</t>
  </si>
  <si>
    <t>5. Non-Communicable Diseases (Cardiovascular Disease)</t>
  </si>
  <si>
    <t>Awareness of CVD, reduced prevalence of CVD</t>
  </si>
  <si>
    <t>6. National Prevention of Blindness Program</t>
  </si>
  <si>
    <t>Knowledge on primary eye care</t>
  </si>
  <si>
    <t>community</t>
  </si>
  <si>
    <t>7. National Tuberculosis Program</t>
  </si>
  <si>
    <t>Diagnosis and mgt. of sputum negative suggestive of TB</t>
  </si>
  <si>
    <t>symptomatic patients</t>
  </si>
  <si>
    <t>8. Rabies Prevention and Control Program</t>
  </si>
  <si>
    <t>Reduce human rabies cases</t>
  </si>
  <si>
    <t>animal bite victims</t>
  </si>
  <si>
    <t>9. Dengue Prevention and Control Program</t>
  </si>
  <si>
    <t>Increase level of awareness on the transmission and prevention of dengue thus decreasing mortality of the disease</t>
  </si>
  <si>
    <t>community, school children, local officials</t>
  </si>
  <si>
    <t>12. National Leprosy Control Program</t>
  </si>
  <si>
    <t>Community awarenes about leprosy, decrease incidence of infection</t>
  </si>
  <si>
    <t>community and symptomatic patients</t>
  </si>
  <si>
    <t>Advocacy on health programs and established partnership in the delivery of health programs</t>
  </si>
  <si>
    <t>general public</t>
  </si>
  <si>
    <t>Health Services</t>
  </si>
  <si>
    <t>as requested</t>
  </si>
  <si>
    <t>13 lawyers</t>
  </si>
  <si>
    <t>Gen. F.</t>
  </si>
  <si>
    <t xml:space="preserve">  Printing &amp; Binding Expenses</t>
  </si>
  <si>
    <t xml:space="preserve">  Representation Expenses</t>
  </si>
  <si>
    <t xml:space="preserve">  Subscription Expenses</t>
  </si>
  <si>
    <t>E-SPES</t>
  </si>
  <si>
    <t>Prepared by:</t>
  </si>
  <si>
    <t>Reviewed by:</t>
  </si>
  <si>
    <t>APPROVED:</t>
  </si>
  <si>
    <t>Provincial Budget Officer</t>
  </si>
  <si>
    <t>7. To conduct GAD related activities</t>
  </si>
  <si>
    <t>8. To strictly adhere the waste segregation program</t>
  </si>
  <si>
    <t>9. To implement the austerity measures being adopted by the Provincial Government.</t>
  </si>
  <si>
    <t>4 BEPO</t>
  </si>
  <si>
    <t>Preparation of SPES Payrolls &amp; other</t>
  </si>
  <si>
    <t>other SPES claims</t>
  </si>
  <si>
    <t>Conduct Job Fairs / Mini Job Fairs</t>
  </si>
  <si>
    <t>graduating</t>
  </si>
  <si>
    <t>Conduct Special Recruitment Activities</t>
  </si>
  <si>
    <t>Implement Special Program for</t>
  </si>
  <si>
    <t xml:space="preserve">   by Recruitment Agencies</t>
  </si>
  <si>
    <t>Conduct Pre-Employment Orientation</t>
  </si>
  <si>
    <t>Attend employment related activities/</t>
  </si>
  <si>
    <t>Attend Strategic Planning &amp; Assesment</t>
  </si>
  <si>
    <t>Attend REPESOM/PESOPhil Congress/</t>
  </si>
  <si>
    <t xml:space="preserve">    Conventions</t>
  </si>
  <si>
    <t>Managers nationwide</t>
  </si>
  <si>
    <t>Educational/Benchmarking Trips</t>
  </si>
  <si>
    <t>Conduct NSO Mobile Service</t>
  </si>
  <si>
    <t>Conduct DFA Mobile Passporting</t>
  </si>
  <si>
    <t>Conduct PRC Mobile Services</t>
  </si>
  <si>
    <t>Conduct LTFRB Mobile Service</t>
  </si>
  <si>
    <t>Claim processed passports and released PRC licenses at Cebu Regional Offices</t>
  </si>
  <si>
    <t>Passports and PRC license to be claimed at BEPO Office only</t>
  </si>
  <si>
    <t>Attend Mobile Services related activities/ meetings, capability enhancement, etc.</t>
  </si>
  <si>
    <t>More capable employees</t>
  </si>
  <si>
    <t>5 activities/ meetings</t>
  </si>
  <si>
    <t>Coordinate with TESDA re: implementation of STARS Project</t>
  </si>
  <si>
    <t>STARS Project implemented in the municipalities</t>
  </si>
  <si>
    <t>Coordinate with TESDA re: schedule of</t>
  </si>
  <si>
    <t>Attend Launching of STARS Project</t>
  </si>
  <si>
    <t>Monitor STARS Project implementation</t>
  </si>
  <si>
    <t>coordinated</t>
  </si>
  <si>
    <t>Prepare STARS Project Certificates of</t>
  </si>
  <si>
    <t>and signed</t>
  </si>
  <si>
    <t>signed by the</t>
  </si>
  <si>
    <t>Attend STARS Project Graduation and</t>
  </si>
  <si>
    <t xml:space="preserve">training </t>
  </si>
  <si>
    <t>graduates</t>
  </si>
  <si>
    <t>5. Anti-Illegal Recruitment Drive</t>
  </si>
  <si>
    <t>Conduct Anti-Illegal Recruitment Drive</t>
  </si>
  <si>
    <t>Public awareness on PGBH's efforts strengthened</t>
  </si>
  <si>
    <t>Frequent announcements through media</t>
  </si>
  <si>
    <t>6. OFW Welfare Facilitation</t>
  </si>
  <si>
    <t>OFW Welfare Facilitation activities</t>
  </si>
  <si>
    <t>Lingkage with OWWA, POEA, DFA to facilitate welfare services to OFWs and their dependents</t>
  </si>
  <si>
    <t>Close liaison with related government agencies</t>
  </si>
  <si>
    <t>Foreign relation development activities</t>
  </si>
  <si>
    <t>Closer cntacts and communication with partner foreign LGUs  and Non-Government organizations</t>
  </si>
  <si>
    <t>Exchange visits, closer bilateral/ multi-sectoral relations with foreign partners</t>
  </si>
  <si>
    <t>Reviewed as to consistency with approved Annual Investment Plan</t>
  </si>
  <si>
    <t>Employment Related Services</t>
  </si>
  <si>
    <t>Mobile services</t>
  </si>
  <si>
    <t>Two (2) trainings per year</t>
  </si>
  <si>
    <t xml:space="preserve"> - two (2) trainings and seminars conducted</t>
  </si>
  <si>
    <t xml:space="preserve"> - Availability of computer set to expedite the processing of office documents. </t>
  </si>
  <si>
    <t>Two (2) computer sets</t>
  </si>
  <si>
    <t>BDJ facility with 370 inmates</t>
  </si>
  <si>
    <t>370 inmates</t>
  </si>
  <si>
    <t>(capital outlay)</t>
  </si>
  <si>
    <t>(20% Dev't. Fund)</t>
  </si>
  <si>
    <t xml:space="preserve">               Governor</t>
  </si>
  <si>
    <t>Conduct of Personnel Skills Enhancement Training Programs</t>
  </si>
  <si>
    <t xml:space="preserve">      a. Procedure on inmate Escorting</t>
  </si>
  <si>
    <t xml:space="preserve">      b. Custodial Handling Procedures</t>
  </si>
  <si>
    <t xml:space="preserve">      c. Firears Proficiency</t>
  </si>
  <si>
    <t xml:space="preserve">      d. Security Preparedness</t>
  </si>
  <si>
    <t>Year-end Assessment and Strategic Planning</t>
  </si>
  <si>
    <t>Undertake the general supervision in the improvement/maintenance of buildings, plazas, parks and grounds owned and operated by the Provincial Government of Bohol. Including the ten (10) devolved hospitals.</t>
  </si>
  <si>
    <t>To ensure the safety and protection of all other functions pertaining to supply, property management and enforce policies on records creation by providing the establishment of archival system.</t>
  </si>
  <si>
    <t>To install programs relevant to the activity of the office (e.g. inventory, support services of e-NGAS).</t>
  </si>
  <si>
    <t>Jan.-Dec.</t>
  </si>
  <si>
    <t>Records Management, Personnel concerns/ administrative matters monitoring</t>
  </si>
  <si>
    <t>Operations</t>
  </si>
  <si>
    <t>1000 PERF ratings</t>
  </si>
  <si>
    <t>1000 employee record updated monthly</t>
  </si>
  <si>
    <t>12,000 documents</t>
  </si>
  <si>
    <t>8,000 communications</t>
  </si>
  <si>
    <t>2,000 clients</t>
  </si>
  <si>
    <t>1 inventory</t>
  </si>
  <si>
    <t>2,000 documents</t>
  </si>
  <si>
    <t>6 programs</t>
  </si>
  <si>
    <t>Local Governance Performance Management System (LGPMS)</t>
  </si>
  <si>
    <t>Review of the Provincial Development and Physical Framework Plan/PDIP</t>
  </si>
  <si>
    <t>Service Delivery Enhancement Initiatives</t>
  </si>
  <si>
    <t>Performance and Management of Administrative Functions</t>
  </si>
  <si>
    <t>EMS Implementation</t>
  </si>
  <si>
    <t>office supplies</t>
  </si>
  <si>
    <t>1.1.2.3 PROGRAM MANAGEMENT SUPPORT</t>
  </si>
  <si>
    <t>6 workshops</t>
  </si>
  <si>
    <t>6 trainings</t>
  </si>
  <si>
    <t>Production of Organic Inputs at the BOATech Center</t>
  </si>
  <si>
    <t>NFTS concoctions</t>
  </si>
  <si>
    <t>12 bagsakan activities</t>
  </si>
  <si>
    <t>1 event</t>
  </si>
  <si>
    <t>12 activities</t>
  </si>
  <si>
    <t>1 graduation ceremony</t>
  </si>
  <si>
    <t>80 enrollees</t>
  </si>
  <si>
    <t xml:space="preserve"> -10 attendance sheets &amp; minutes of meetings</t>
  </si>
  <si>
    <t>39 trainings w/ 1,950 pax for KAABAG Workers</t>
  </si>
  <si>
    <t>B. OBJECTIVES:</t>
  </si>
  <si>
    <t>SOFTWARE DEVELOPMENT</t>
  </si>
  <si>
    <t>4 systems</t>
  </si>
  <si>
    <t>12 meetings</t>
  </si>
  <si>
    <t>DATABASE ADMINISTRATION</t>
  </si>
  <si>
    <t>COMPUTER INFRASTRUCTURE MAINTENANCE</t>
  </si>
  <si>
    <t>2 inventory</t>
  </si>
  <si>
    <t>28 offices/ 10 GO attached offices/ 10 hospitals</t>
  </si>
  <si>
    <t>Communication/ Records Management</t>
  </si>
  <si>
    <t>500 documents</t>
  </si>
  <si>
    <t>20 docs</t>
  </si>
  <si>
    <t>50 docs</t>
  </si>
  <si>
    <t>2000 clients</t>
  </si>
  <si>
    <t>Financial Management</t>
  </si>
  <si>
    <t>Annual Investment Plan</t>
  </si>
  <si>
    <t>1 plan</t>
  </si>
  <si>
    <t>1 budget proposal</t>
  </si>
  <si>
    <t>Work &amp; Financial Plan</t>
  </si>
  <si>
    <t>AEPP</t>
  </si>
  <si>
    <t>2 AEPP</t>
  </si>
  <si>
    <t>ASPP</t>
  </si>
  <si>
    <t>2 APPMP</t>
  </si>
  <si>
    <t>Inventory conducted</t>
  </si>
  <si>
    <t>A. MAJOR PROGRAM/PROJECT</t>
  </si>
  <si>
    <t>2. NURSING SERVICE</t>
  </si>
  <si>
    <t>3. LABORATORY SERVICE</t>
  </si>
  <si>
    <t>CLARIN COMMUNITY HOSPITAL, Clarin</t>
  </si>
  <si>
    <t>4. DIETARY SERVICE</t>
  </si>
  <si>
    <t>5. ADMINISTRATIVE SERVICES</t>
  </si>
  <si>
    <t>7. IMPROVE MANAGEMENT SYSTEMS</t>
  </si>
  <si>
    <t>1. MEDICAL SERVICE</t>
  </si>
  <si>
    <t>I. PROSPERITY PROGRAM</t>
  </si>
  <si>
    <t>h. Carabaos covered by livestock</t>
  </si>
  <si>
    <t>II. INSTITUTIONAL SUPPORT</t>
  </si>
  <si>
    <t xml:space="preserve">    - retooling</t>
  </si>
  <si>
    <t>III. PRODUCTION SUPPORT</t>
  </si>
  <si>
    <t>Genetic Improvement Program</t>
  </si>
  <si>
    <t>V. ENTERPRISE DEVELOPMENT</t>
  </si>
  <si>
    <t>Dairy Program</t>
  </si>
  <si>
    <t>b. Trainings conducted</t>
  </si>
  <si>
    <t>c. Market linkage</t>
  </si>
  <si>
    <t>d. LOMs assisted/monitored</t>
  </si>
  <si>
    <t>e. Price monitoring conducted</t>
  </si>
  <si>
    <t>f. Market Study conducted</t>
  </si>
  <si>
    <t>b. Facilities maintained</t>
  </si>
  <si>
    <t>c. Casual staff supervised</t>
  </si>
  <si>
    <t>d. Regular staff monitored</t>
  </si>
  <si>
    <t>e. Vehicles maintained</t>
  </si>
  <si>
    <t>f. Staff development</t>
  </si>
  <si>
    <t>Conduct in-service trainings for support staff.</t>
  </si>
  <si>
    <t>R&amp;M - IT equipment and software</t>
  </si>
  <si>
    <t>15,000 books   30,000 news   papers &amp; magazines</t>
  </si>
  <si>
    <t>R&amp;M - Other machineries equiptment</t>
  </si>
  <si>
    <t>763 &amp; 786</t>
  </si>
  <si>
    <t>60 books, 35 titles of magazines</t>
  </si>
  <si>
    <t>250 articles</t>
  </si>
  <si>
    <t>2.0 CAPITAL OUTLAY</t>
  </si>
  <si>
    <t>751 &amp; 753</t>
  </si>
  <si>
    <t>Payment of tel. &amp; internet communication</t>
  </si>
  <si>
    <r>
      <t xml:space="preserve"> </t>
    </r>
    <r>
      <rPr>
        <sz val="11"/>
        <color theme="1"/>
        <rFont val="Calibri"/>
        <family val="2"/>
      </rPr>
      <t>• Library Services</t>
    </r>
  </si>
  <si>
    <t xml:space="preserve">     &gt; Personal Services</t>
  </si>
  <si>
    <t xml:space="preserve"> • Maint. &amp; Other Optq. Expenditure</t>
  </si>
  <si>
    <r>
      <t xml:space="preserve"> </t>
    </r>
    <r>
      <rPr>
        <sz val="11"/>
        <color theme="1"/>
        <rFont val="Calibri"/>
        <family val="2"/>
      </rPr>
      <t>• Purchase of Equipts./IT Equipts.</t>
    </r>
  </si>
  <si>
    <t>Administrative Service</t>
  </si>
  <si>
    <t xml:space="preserve">    Laboratory</t>
  </si>
  <si>
    <t xml:space="preserve">    Dental</t>
  </si>
  <si>
    <t xml:space="preserve">    Pharmacy</t>
  </si>
  <si>
    <t xml:space="preserve">    Dietary</t>
  </si>
  <si>
    <t xml:space="preserve"> - attendance of Doctors to training &amp; seminars to upgrade their knowledge in their field of specialties</t>
  </si>
  <si>
    <t>Trained and enhanced skills of Doctors</t>
  </si>
  <si>
    <t>A. Medical Services</t>
  </si>
  <si>
    <t>a.1. Capability building</t>
  </si>
  <si>
    <t>a.2. Improvement of services to in-patients and out-patients</t>
  </si>
  <si>
    <t>a.3. Hiring of contractual doctors for additional manpower</t>
  </si>
  <si>
    <t>a.4. Computerization of information &amp; records of patients</t>
  </si>
  <si>
    <t>B.Nursing Services</t>
  </si>
  <si>
    <t>b.1. - Providing quality Nursing Care to patients</t>
  </si>
  <si>
    <t>b.2. Capability building</t>
  </si>
  <si>
    <t>Enhanced skills of nursing staff</t>
  </si>
  <si>
    <t>4 licensed nurses</t>
  </si>
  <si>
    <t>C. Ancillary/  Dental/ Pharmacy Service</t>
  </si>
  <si>
    <t>c.1. Upgrading of Clinical Laboratory Services</t>
  </si>
  <si>
    <t xml:space="preserve"> - Quality assurance check</t>
  </si>
  <si>
    <t xml:space="preserve"> -Additional affordable laboratory examinations</t>
  </si>
  <si>
    <t>c.2. Capability building</t>
  </si>
  <si>
    <t>1 Med. Tech.</t>
  </si>
  <si>
    <t>c.5. Better curative &amp; preventive dental services</t>
  </si>
  <si>
    <t>D. Administrative Services</t>
  </si>
  <si>
    <t>d.2. Computerization of all hospital records</t>
  </si>
  <si>
    <t>d.5. Up-to-date payment of salaries of personnel &amp; employees</t>
  </si>
  <si>
    <t>d.6. Strict compliance of EMS programs</t>
  </si>
  <si>
    <t>d.8. Capability building</t>
  </si>
  <si>
    <t>E.Dietary Services</t>
  </si>
  <si>
    <t>3. ANCILLARY SERVICES</t>
  </si>
  <si>
    <t>4. ADMINISTRATIVE SERVICES</t>
  </si>
  <si>
    <t>Provide Medicare Care at all times both In and Out patient</t>
  </si>
  <si>
    <t>Direction and coordination with the Nursing activities for all medical and other related activities</t>
  </si>
  <si>
    <t>Assist physicians in their performance of all medical procedures</t>
  </si>
  <si>
    <t>Ensure proper recording of patient condition, medication and treatment</t>
  </si>
  <si>
    <t>Guarantee proper, accurate recording, reporting and dependable test result</t>
  </si>
  <si>
    <t>Cleaning and sterilization of all instruments and equipments</t>
  </si>
  <si>
    <t>Maintain cleanliness in laboratory workplace</t>
  </si>
  <si>
    <t>Preparation and evaluation of all requisition for supplies in the laboratory</t>
  </si>
  <si>
    <t>Facilitate in the Annual Clinical Laboratory Licensing and accreditation</t>
  </si>
  <si>
    <t>Preparation and submission of reports as may be required</t>
  </si>
  <si>
    <t>Provide proper recording and control of food supplies and other equipments in the kitchen</t>
  </si>
  <si>
    <t>Provide proper and clear instructions/ counseling with regards to patients' home diets</t>
  </si>
  <si>
    <t>Arbitrate clientele and employees' problems and complaints</t>
  </si>
  <si>
    <t>Preparation of plans for trainings, seminars or workshops</t>
  </si>
  <si>
    <t>Preparation and submission if different communication reprots and other documents</t>
  </si>
  <si>
    <t>Follow-up (liaisoning) of hospital claims</t>
  </si>
  <si>
    <t>Proper dissemination of policies and activities</t>
  </si>
  <si>
    <t>3.0   DRRM</t>
  </si>
  <si>
    <t xml:space="preserve">          Extend health services to In &amp; Out-patients of the entire barangays of the Municipality of Pres. C. P. Garcia and to be able to meet the DOH and PHIC requirements.</t>
  </si>
  <si>
    <t xml:space="preserve">          To increase hospital income for the maintenance of the hospital operation and to provide better health services manned by competent, committed and client oriented health providers.</t>
  </si>
  <si>
    <t>Correct diagnostic procedures</t>
  </si>
  <si>
    <t>Waste properly disposed as per DOH standards</t>
  </si>
  <si>
    <t>3. Const. of concrete waste disposal</t>
  </si>
  <si>
    <t>safety of the hospital buildings as well as the employees &amp; patients</t>
  </si>
  <si>
    <t>5. Construction of Septic tank</t>
  </si>
  <si>
    <t>Compliance to DOH and PHIC requirements</t>
  </si>
  <si>
    <t>6. Const. of sewage treatment plant</t>
  </si>
  <si>
    <t>Safe &amp; efficient potable water</t>
  </si>
  <si>
    <t>Uphold and preserve the entire hospital building</t>
  </si>
  <si>
    <t>Proper sanitation</t>
  </si>
  <si>
    <t>12. Power house renovation</t>
  </si>
  <si>
    <t>Security &amp; protection to avoid electrical injuries. Safekeeping of generator</t>
  </si>
  <si>
    <t>Hospital and Health Service</t>
  </si>
  <si>
    <t>1. Nursing Services Department</t>
  </si>
  <si>
    <t xml:space="preserve"> -Carry doctor's order</t>
  </si>
  <si>
    <t xml:space="preserve"> -Do patient nursing care</t>
  </si>
  <si>
    <t xml:space="preserve"> -Assist doctors in the ward</t>
  </si>
  <si>
    <t xml:space="preserve"> -Prepare and maintain instrument and equipment in the DR and ER</t>
  </si>
  <si>
    <t xml:space="preserve"> -In-patient services (curative)</t>
  </si>
  <si>
    <t xml:space="preserve"> -Out-patient services (preventive)</t>
  </si>
  <si>
    <t>2. Ancillary Service Department</t>
  </si>
  <si>
    <t xml:space="preserve">     -Perform all laboratory procedures incumbent to a primary hospital</t>
  </si>
  <si>
    <t xml:space="preserve"> a) Laboratory Services</t>
  </si>
  <si>
    <t xml:space="preserve"> b) Dietary Services</t>
  </si>
  <si>
    <t xml:space="preserve">     -Prepare menu for patients and corresponding diet list</t>
  </si>
  <si>
    <t xml:space="preserve">     -Cook foods for patients</t>
  </si>
  <si>
    <t xml:space="preserve">     -Perform dietitic counselling</t>
  </si>
  <si>
    <t xml:space="preserve">     -Prepare replenishment of Food Supply expenses</t>
  </si>
  <si>
    <t xml:space="preserve"> c) Pharmacy Service</t>
  </si>
  <si>
    <t xml:space="preserve">     -Insure availability of medicine stocks at all times</t>
  </si>
  <si>
    <t xml:space="preserve">     -Performance billing clerk function</t>
  </si>
  <si>
    <t xml:space="preserve"> d) Preparation of monthly report</t>
  </si>
  <si>
    <t xml:space="preserve"> e) Attend quarterly therapeutic meeting</t>
  </si>
  <si>
    <t>3. Medical Services Department</t>
  </si>
  <si>
    <t xml:space="preserve"> -Delivery of quality medical care to patients</t>
  </si>
  <si>
    <t xml:space="preserve"> -Attend OPD and in-patients</t>
  </si>
  <si>
    <t xml:space="preserve"> -Perform medico-legal cases</t>
  </si>
  <si>
    <t>4. Administrative Services</t>
  </si>
  <si>
    <t xml:space="preserve"> a) Supervision of Personnel</t>
  </si>
  <si>
    <t xml:space="preserve"> b) Receiving/recording/ releasing/filing communication, claims &amp; other pertinent documents</t>
  </si>
  <si>
    <t xml:space="preserve"> c) Maintain the sanity and sterility of the wards/CRs/DR/ER</t>
  </si>
  <si>
    <t xml:space="preserve"> d) Maintain the cleanliness of the ground plaza and sorroundings</t>
  </si>
  <si>
    <t xml:space="preserve"> e) Wash soiled out linens and properly store in the central supply room</t>
  </si>
  <si>
    <t xml:space="preserve"> f) Maintain the stocks of supplies and update stock cards</t>
  </si>
  <si>
    <t xml:space="preserve"> g) Act on applications for leave and other personnel related functions</t>
  </si>
  <si>
    <t xml:space="preserve"> h) Attendance to consultative meetings, conferences, wrokshops, biddings of supplies</t>
  </si>
  <si>
    <t xml:space="preserve"> i) Submit monthly reports</t>
  </si>
  <si>
    <t xml:space="preserve"> j)Conduct of quarterly staff meeting, conference, strategic planning workshop/evaluation</t>
  </si>
  <si>
    <t xml:space="preserve"> k)Attendance to training/workshops</t>
  </si>
  <si>
    <t xml:space="preserve">       Francisco Dagohoy Municipal Hospital is a primary-Level 2 Hospital catering to all patients composed of the municipalities of Inabanga, Buenavista, Jetafe and other towns. If there be one person left uncared for, our mission is not done.</t>
  </si>
  <si>
    <t>X-ray Services</t>
  </si>
  <si>
    <t>Preventive Components</t>
  </si>
  <si>
    <t>Equipment Outlay</t>
  </si>
  <si>
    <t>Building &amp; Structure Outlay</t>
  </si>
  <si>
    <t>20% DEVELOPMENT FUND</t>
  </si>
  <si>
    <t>Hiring of Casuals/Contractuals:</t>
  </si>
  <si>
    <t>Doctors</t>
  </si>
  <si>
    <t>Nurses</t>
  </si>
  <si>
    <t>HOSPITAL OPERATION COMPONENT:</t>
  </si>
  <si>
    <t>TRAINING COMPONENT:</t>
  </si>
  <si>
    <t>Maintained hospital utilities</t>
  </si>
  <si>
    <t>Improved aesthetic appearance of the hospital</t>
  </si>
  <si>
    <t>Increased hospital revenues</t>
  </si>
  <si>
    <t xml:space="preserve">  * Conduct management and operations performance audits to promote and enhance transparency and accountability through effective stewarship of public resources and submission of office reports</t>
  </si>
  <si>
    <t>Maintained complete records of semi-expendable/ fixed assets/ property and equipment, office equipment/ facilities regularly maintaned and repaired, vehicles maintained and in good running condition, office cleanliness maintained</t>
  </si>
  <si>
    <t>Updated and complete records of incoming and outgoing communications complete and orderly files of Memo/ EOs/ ciculars/ communications/ personnel records/ performance targets &amp; ratings, form 212, and Assets and liabilities</t>
  </si>
  <si>
    <t>Provide initial information to clients, clients guided/ directed to appropriate sector/ personnel. Telephone calls/ walk-in clients answered/ received</t>
  </si>
  <si>
    <t xml:space="preserve">    Implementation/ Compliance of Executive Orders, Directives and customer service charter</t>
  </si>
  <si>
    <t>564 kms of roads and 34 bridges</t>
  </si>
  <si>
    <t>OPD Services</t>
  </si>
  <si>
    <t>Record keeping</t>
  </si>
  <si>
    <t>Reporting</t>
  </si>
  <si>
    <t>Recording</t>
  </si>
  <si>
    <t>A. General Records</t>
  </si>
  <si>
    <t>Retrieval</t>
  </si>
  <si>
    <t>B. Medical Records</t>
  </si>
  <si>
    <t>A. Budgeting</t>
  </si>
  <si>
    <t>C. Disbursements</t>
  </si>
  <si>
    <t>1. Acquisition of supplies and materials</t>
  </si>
  <si>
    <t>2. Recording &amp; Reporting</t>
  </si>
  <si>
    <t>C. Maintenance of hospital equipment</t>
  </si>
  <si>
    <t>2. To repair/replace defective parts, etc.</t>
  </si>
  <si>
    <t>(Investment Promotion Activities)</t>
  </si>
  <si>
    <t>Bohol BOSS</t>
  </si>
  <si>
    <t>Investment Promotion</t>
  </si>
  <si>
    <t>Bohol Investment Board/Policy Advocacy</t>
  </si>
  <si>
    <t>Information Services</t>
  </si>
  <si>
    <t>Knowledge Management</t>
  </si>
  <si>
    <t>Capacity Development</t>
  </si>
  <si>
    <t>(NO)</t>
  </si>
  <si>
    <t xml:space="preserve">I.  BUSINESS ONE- STOP SHOP </t>
  </si>
  <si>
    <t xml:space="preserve">II. INVESTMENT PROMOTION </t>
  </si>
  <si>
    <r>
      <t xml:space="preserve"> </t>
    </r>
    <r>
      <rPr>
        <b/>
        <sz val="10"/>
        <color theme="1"/>
        <rFont val="Calibri"/>
        <family val="2"/>
        <scheme val="minor"/>
      </rPr>
      <t>III. BOHOL INVESTMENT BOARD/POLICY ADVOCACY</t>
    </r>
  </si>
  <si>
    <t>Meetings organized/facilitated</t>
  </si>
  <si>
    <t xml:space="preserve">2 Meetings </t>
  </si>
  <si>
    <t>2,500 hits recorded</t>
  </si>
  <si>
    <t>(PS, MOOE &amp; CO)</t>
  </si>
  <si>
    <t>Hired  Regular Employee, Plantilla Casuals</t>
  </si>
  <si>
    <t>Job Order Casuals and Contractuals</t>
  </si>
  <si>
    <t>9 casuals</t>
  </si>
  <si>
    <t>3 contractuals</t>
  </si>
  <si>
    <t xml:space="preserve">Jan </t>
  </si>
  <si>
    <t>BIPC/ BOSS PERSONNEL SERVICES &amp; MANAGEMENT</t>
  </si>
  <si>
    <t>Office Policies, Reports Submitted, Staff send to trainings, Meetings attended</t>
  </si>
  <si>
    <t>5 Travels</t>
  </si>
  <si>
    <t>1 year-end assessment &amp; planning conducted</t>
  </si>
  <si>
    <t>1 mid-year assessment &amp; planning conducted</t>
  </si>
  <si>
    <t>Team Building Activity conducted</t>
  </si>
  <si>
    <r>
      <t>BIPC/BOSS SUPPLY &amp; PROPERTY PROCUREMENT</t>
    </r>
    <r>
      <rPr>
        <sz val="10"/>
        <color theme="1"/>
        <rFont val="Calibri"/>
        <family val="2"/>
        <scheme val="minor"/>
      </rPr>
      <t xml:space="preserve"> </t>
    </r>
  </si>
  <si>
    <t xml:space="preserve">Additional office supplies purchased </t>
  </si>
  <si>
    <t>BIPC/BOSS OFFICE MANAGEMENT</t>
  </si>
  <si>
    <t>Paid Office Consumption billings and other expenses, IT equipment and software maintained, and damaged facilities and equipment repaired; Paid other office maintenance and operating expenses</t>
  </si>
  <si>
    <t>Telephone/Internet</t>
  </si>
  <si>
    <t>BIPC/BOSS OFFICE ENHANCEMENT</t>
  </si>
  <si>
    <t xml:space="preserve">Additional office equipments and fixtures purchased </t>
  </si>
  <si>
    <t xml:space="preserve">DLSR Digital camera               </t>
  </si>
  <si>
    <t>2 computers</t>
  </si>
  <si>
    <t>Flat Screen LCD TV</t>
  </si>
  <si>
    <t>Program/Activity Project Description</t>
  </si>
  <si>
    <t>Code Ref</t>
  </si>
  <si>
    <t>Programs/Project/Activity</t>
  </si>
  <si>
    <t xml:space="preserve">IP Programs/Activities </t>
  </si>
  <si>
    <t>BOSS</t>
  </si>
  <si>
    <t>BIB/Policy Advocacy</t>
  </si>
  <si>
    <t xml:space="preserve">Administrative Support </t>
  </si>
  <si>
    <t>BIPC/BOSS Staff General Services</t>
  </si>
  <si>
    <t>BIPC/ BOSS Personnel and Services Management</t>
  </si>
  <si>
    <t xml:space="preserve">BIPC/BOSS Office Supply Procurement </t>
  </si>
  <si>
    <t>BIPC/BOSS Office Management</t>
  </si>
  <si>
    <t xml:space="preserve">BIPC and BOSS Office enhancement </t>
  </si>
  <si>
    <t>Purchased of Equipments:</t>
  </si>
  <si>
    <t>10) Complete the review, amendments, adoption and popularization of the Bohol Environment Code to all Boholanos in collaboration with partner NGOs, government and line agencies, the civil society, church and other stakeholders.</t>
  </si>
  <si>
    <t>I. BIODIVERSITY CONSERVATION &amp; MANAGEMENT PROGRAM</t>
  </si>
  <si>
    <t xml:space="preserve">  A. Personnel &amp; Labor Component</t>
  </si>
  <si>
    <t xml:space="preserve">  B. Training and Operation Component</t>
  </si>
  <si>
    <t>B. Training and Operation Component</t>
  </si>
  <si>
    <t># of Monthly and Special PRMB meetings/ # of quarry permits application reviewed and acted</t>
  </si>
  <si>
    <t># of office supplies purchased</t>
  </si>
  <si>
    <t>Assorted Office supplies</t>
  </si>
  <si>
    <t xml:space="preserve">A. Maintenance of BEMO's Provincial Environmental Management  Information System (PREMIS),  Natural Resource Database (NRDB) and Municipal Coastal Database (MCD)                                                                                                                                                                                                                                           </t>
  </si>
  <si>
    <t>1. Maintenance of Hardware and Software for the PREMIS and NRDB</t>
  </si>
  <si>
    <t># of Hardware and Software</t>
  </si>
  <si>
    <t>2 Hardware and 4 softwares</t>
  </si>
  <si>
    <t>2. Data Collection, Validation and Updating of PREMIS and NRDB data</t>
  </si>
  <si>
    <t xml:space="preserve">Updated PREMIS and NRDB data on permittess and quarry sites </t>
  </si>
  <si>
    <t>2 Databases</t>
  </si>
  <si>
    <t>3. Update Municipal Coastal Databases (MCD) of Coastal LGUs.</t>
  </si>
  <si>
    <t>Updated MCD at MLGUs</t>
  </si>
  <si>
    <t>4. Maintenance of Marine Protected Area (MPA) Database; Waste Assessment and Characterization (WACS) data.</t>
  </si>
  <si>
    <t>Operational MPA and WACS databases</t>
  </si>
  <si>
    <t>B. Capacity Training to PREMIS GIS/NRDB Unit staff</t>
  </si>
  <si>
    <t>1. Attendanace to GIS and other related data management training of PREMIS-NRDB staff</t>
  </si>
  <si>
    <t>Capacitated PREMIS_NRDB staff</t>
  </si>
  <si>
    <t>5 PREMIS Team Members</t>
  </si>
  <si>
    <t>A. Training Component</t>
  </si>
  <si>
    <t xml:space="preserve">1. Attendance to Capability Building Activities for IWRM Program </t>
  </si>
  <si>
    <t>Capacitated WRM Head</t>
  </si>
  <si>
    <t>1 Sector Head</t>
  </si>
  <si>
    <t>2. Attendance to NWRB seminars and trainings</t>
  </si>
  <si>
    <t>B. Operation Component</t>
  </si>
  <si>
    <t>1. Assist in the provision of technical assistance in the formulation of Watershed Management Council's management plans; Coordinates with Local Drinking Wter Quality Monitoring Committee of MLGUs.</t>
  </si>
  <si>
    <t xml:space="preserve"># of Technical Assistance </t>
  </si>
  <si>
    <t>4 TA</t>
  </si>
  <si>
    <t>2. Conduct water quality monitoring on major river i.e. (Loboc, Carood, Wahig Rivers)</t>
  </si>
  <si>
    <t># of water quality monitoring conducted</t>
  </si>
  <si>
    <t>POLLUTION CONTROL PROGRAM</t>
  </si>
  <si>
    <t>ENVIRONMENTAL MANAGEMENT SYSTEM (EMS)</t>
  </si>
  <si>
    <t>1. Labor support and EMS coach</t>
  </si>
  <si>
    <t>Available manpower to support EMS-EMP activities</t>
  </si>
  <si>
    <t>C. EMS related Activities</t>
  </si>
  <si>
    <t>Meetings conducted, EMS Info collateral produced</t>
  </si>
  <si>
    <t>6 Meetings; 2 IEC materials</t>
  </si>
  <si>
    <t>New Appropriations by Programs / Project</t>
  </si>
  <si>
    <t>Program/Activity/Projects</t>
  </si>
  <si>
    <t>Personal</t>
  </si>
  <si>
    <t>5.  Pollution Control Program</t>
  </si>
  <si>
    <t>6.  Environmental Management System</t>
  </si>
  <si>
    <t xml:space="preserve">    (EMS) implementation</t>
  </si>
  <si>
    <t>7.  Water Resource Management Program</t>
  </si>
  <si>
    <t>Grand Total</t>
  </si>
  <si>
    <t xml:space="preserve">              The Office of the Provincial Treasurer has its mandate to the Provincial Government of Bohol as collecting and</t>
  </si>
  <si>
    <t xml:space="preserve">disbursing arms .  Custody of public funds and its proper utilization  as provided for by  accounting rules and auditing </t>
  </si>
  <si>
    <t>regulations.</t>
  </si>
  <si>
    <t xml:space="preserve">       OBJECTIVE</t>
  </si>
  <si>
    <t xml:space="preserve">                auditing regulations.</t>
  </si>
  <si>
    <t>Implementation Schedule(6)</t>
  </si>
  <si>
    <t xml:space="preserve">           1.  To maximize the Revenue potentials of the Povincial Government </t>
  </si>
  <si>
    <t xml:space="preserve">           2.  To enhance its capabilty in the maximization of revenue generation program,</t>
  </si>
  <si>
    <t xml:space="preserve">           3. To adhere its proper utilization   in the disbursement of  funds in accordance with the accounting rules and </t>
  </si>
  <si>
    <t xml:space="preserve">                    Program/Activity/</t>
  </si>
  <si>
    <t xml:space="preserve">             Cost </t>
  </si>
  <si>
    <t xml:space="preserve">              Output</t>
  </si>
  <si>
    <t xml:space="preserve">                 Project Description </t>
  </si>
  <si>
    <t xml:space="preserve">           Indicator </t>
  </si>
  <si>
    <t xml:space="preserve">(4) </t>
  </si>
  <si>
    <t>CASH RECEIPTS DIVISION:</t>
  </si>
  <si>
    <t>COLLECTION OF TAXES, FEES,</t>
  </si>
  <si>
    <t xml:space="preserve">CHARGES AND OTHER </t>
  </si>
  <si>
    <t>PROVINCIAL  IMPOSITIONS:</t>
  </si>
  <si>
    <t xml:space="preserve">       - Review verification reports from</t>
  </si>
  <si>
    <t xml:space="preserve">Bills of payment </t>
  </si>
  <si>
    <t xml:space="preserve">         Bemo to ascertain the amount of </t>
  </si>
  <si>
    <t xml:space="preserve">reviewed </t>
  </si>
  <si>
    <t xml:space="preserve">       amount of Extraction taxes and fees</t>
  </si>
  <si>
    <t xml:space="preserve">       to be paid </t>
  </si>
  <si>
    <t xml:space="preserve">     - Review supporting documents</t>
  </si>
  <si>
    <t xml:space="preserve">       Property Ownership to ascertain</t>
  </si>
  <si>
    <t xml:space="preserve">       taxes &amp; and fees to be paid</t>
  </si>
  <si>
    <t xml:space="preserve">     - Fill-up the PTO portion of the </t>
  </si>
  <si>
    <t xml:space="preserve">Filled-up request </t>
  </si>
  <si>
    <t xml:space="preserve">       request form of rentals of facilities </t>
  </si>
  <si>
    <t>form</t>
  </si>
  <si>
    <t xml:space="preserve">     - Issue Official Receipt </t>
  </si>
  <si>
    <t xml:space="preserve">Issued Official Receipt </t>
  </si>
  <si>
    <t xml:space="preserve">     - Issue cash Tickets for temporary</t>
  </si>
  <si>
    <t xml:space="preserve">Cash Tickets Issued </t>
  </si>
  <si>
    <t xml:space="preserve">       use by vendors and others in the</t>
  </si>
  <si>
    <t xml:space="preserve">       Capitol premises, Plaza Rizal</t>
  </si>
  <si>
    <t xml:space="preserve">     - Records of Bills rendered </t>
  </si>
  <si>
    <t xml:space="preserve">Bills rendered </t>
  </si>
  <si>
    <t xml:space="preserve">     - Accomplish Dailly Collection</t>
  </si>
  <si>
    <t xml:space="preserve">Daily Collection </t>
  </si>
  <si>
    <t xml:space="preserve">       Reports of Collection and Deposits</t>
  </si>
  <si>
    <t xml:space="preserve">Reports </t>
  </si>
  <si>
    <t xml:space="preserve">     - Report of Accountability for </t>
  </si>
  <si>
    <t>Report of Accoun-</t>
  </si>
  <si>
    <t xml:space="preserve">       Accountable forms </t>
  </si>
  <si>
    <t>tability preprared</t>
  </si>
  <si>
    <t xml:space="preserve">     - Count cash collection and turn-over</t>
  </si>
  <si>
    <t>Collections turn-over</t>
  </si>
  <si>
    <t xml:space="preserve">        the same to Liquidating Officer </t>
  </si>
  <si>
    <t xml:space="preserve">     - Accomplish Monthly Report of</t>
  </si>
  <si>
    <t>Monhthly Reports for</t>
  </si>
  <si>
    <t xml:space="preserve">       accoutability for Accountable Forms</t>
  </si>
  <si>
    <t xml:space="preserve">accountabillity for </t>
  </si>
  <si>
    <t xml:space="preserve">prepared </t>
  </si>
  <si>
    <t xml:space="preserve">     - Monthly Report of Bills rendered </t>
  </si>
  <si>
    <t>Monthly reports of bill</t>
  </si>
  <si>
    <t xml:space="preserve">rendered prepared </t>
  </si>
  <si>
    <t>COLLECTION RECORDS SECTION:</t>
  </si>
  <si>
    <t>LIQUIDATION OF CASH RECEIPTS:</t>
  </si>
  <si>
    <t xml:space="preserve">      - Receive the money turned over by </t>
  </si>
  <si>
    <t xml:space="preserve">Acknowledgement </t>
  </si>
  <si>
    <t xml:space="preserve">receipts received </t>
  </si>
  <si>
    <t xml:space="preserve">        portion ,of the Accountability for</t>
  </si>
  <si>
    <t xml:space="preserve">        Accountable Forms </t>
  </si>
  <si>
    <t xml:space="preserve">      - Encode ORs remitted by office</t>
  </si>
  <si>
    <t xml:space="preserve">Remittance of </t>
  </si>
  <si>
    <t xml:space="preserve">        collectors</t>
  </si>
  <si>
    <t xml:space="preserve">collectors </t>
  </si>
  <si>
    <t xml:space="preserve">      - Prepare Summary of Collections</t>
  </si>
  <si>
    <t>Reports of Collections</t>
  </si>
  <si>
    <t xml:space="preserve">        and Deposits by Liquidating </t>
  </si>
  <si>
    <t>and Deposits</t>
  </si>
  <si>
    <t xml:space="preserve">        Officer </t>
  </si>
  <si>
    <t>prepared by Lquidating</t>
  </si>
  <si>
    <t xml:space="preserve">Officer </t>
  </si>
  <si>
    <t xml:space="preserve">      - Turn-over cash collections to the </t>
  </si>
  <si>
    <t xml:space="preserve">         Cashier for deposit</t>
  </si>
  <si>
    <t>receipts</t>
  </si>
  <si>
    <t>MONITORING AND REPORTORIAL:</t>
  </si>
  <si>
    <t xml:space="preserve">      - Check the report of Collection and </t>
  </si>
  <si>
    <t>Reports of Collection</t>
  </si>
  <si>
    <t xml:space="preserve">        and Deposits by Collector and </t>
  </si>
  <si>
    <t>checked</t>
  </si>
  <si>
    <t xml:space="preserve">        reconcile the same with SRE reports </t>
  </si>
  <si>
    <t xml:space="preserve">      - Record daily issuance of Official</t>
  </si>
  <si>
    <t xml:space="preserve">Reports of daily issuance </t>
  </si>
  <si>
    <t xml:space="preserve">        Receipts with correspoinding amount</t>
  </si>
  <si>
    <t xml:space="preserve">of OR recorded </t>
  </si>
  <si>
    <t xml:space="preserve">        collected and remitted by collectors</t>
  </si>
  <si>
    <t xml:space="preserve">      - Record daily collections and remittance </t>
  </si>
  <si>
    <t>Report of collections and</t>
  </si>
  <si>
    <t xml:space="preserve">        by funds </t>
  </si>
  <si>
    <t>remiitances recorded</t>
  </si>
  <si>
    <t xml:space="preserve">      - Verify and record payments to taxpayers</t>
  </si>
  <si>
    <t xml:space="preserve">Payments verified and </t>
  </si>
  <si>
    <t xml:space="preserve">        ledger</t>
  </si>
  <si>
    <t xml:space="preserve">recorded </t>
  </si>
  <si>
    <t xml:space="preserve">      - Inventory of Accountable Forms</t>
  </si>
  <si>
    <t xml:space="preserve">      - Record withdrawals of OR by collectors</t>
  </si>
  <si>
    <t xml:space="preserve">Ors recorded </t>
  </si>
  <si>
    <t xml:space="preserve">      - Record receipts of Bidders/Cash Bond</t>
  </si>
  <si>
    <t>Receipts of Bidders Bond</t>
  </si>
  <si>
    <t>recorded</t>
  </si>
  <si>
    <t xml:space="preserve">       -Record vouchers for withdrawal of Bidders</t>
  </si>
  <si>
    <t>Vouchers for Bidders/</t>
  </si>
  <si>
    <t xml:space="preserve">       /Cash Bond</t>
  </si>
  <si>
    <t>Cash Bond recorded</t>
  </si>
  <si>
    <t xml:space="preserve">      - Record payments of Extraction Taxes </t>
  </si>
  <si>
    <t xml:space="preserve">Extraction Taxes &amp; </t>
  </si>
  <si>
    <t xml:space="preserve">        related fees</t>
  </si>
  <si>
    <t xml:space="preserve">related fees recorded </t>
  </si>
  <si>
    <t xml:space="preserve">      - Record sales of Delivery Receipts to </t>
  </si>
  <si>
    <t>Delivery Receipts to</t>
  </si>
  <si>
    <t xml:space="preserve">        Quarry Permittees</t>
  </si>
  <si>
    <t>Quarry Permittees</t>
  </si>
  <si>
    <t xml:space="preserve">      - Record receipts of Monthly Report of </t>
  </si>
  <si>
    <t xml:space="preserve">Receipts of Monthly </t>
  </si>
  <si>
    <t xml:space="preserve">        Extraction of Quarry Resources</t>
  </si>
  <si>
    <t>Report of Extraction of</t>
  </si>
  <si>
    <t xml:space="preserve">      - Check/verify Report of Extractiion of</t>
  </si>
  <si>
    <t xml:space="preserve">        Quarry Materials &amp; record in the </t>
  </si>
  <si>
    <t xml:space="preserve">Quarry Materials recorded </t>
  </si>
  <si>
    <t xml:space="preserve">        control book the details of the report</t>
  </si>
  <si>
    <t>and verified</t>
  </si>
  <si>
    <t xml:space="preserve">      - Check &amp; encode Monthly Real </t>
  </si>
  <si>
    <t xml:space="preserve">Reports encoded </t>
  </si>
  <si>
    <t xml:space="preserve">        Property Tax Collection (Basic and</t>
  </si>
  <si>
    <t xml:space="preserve">        SEF) reported by MTs</t>
  </si>
  <si>
    <t xml:space="preserve">      - Encode issuance of stickers to </t>
  </si>
  <si>
    <t xml:space="preserve">Issuance of stickers to </t>
  </si>
  <si>
    <t xml:space="preserve">        Delivery Trucks Operators</t>
  </si>
  <si>
    <t>Delivery Trucks encoded</t>
  </si>
  <si>
    <t xml:space="preserve">      - Prepare Governor's Permit of Delivery </t>
  </si>
  <si>
    <t>Governor's Permit</t>
  </si>
  <si>
    <t xml:space="preserve">        Trucks Operators</t>
  </si>
  <si>
    <t xml:space="preserve">      - Prepare Certificate of Payments</t>
  </si>
  <si>
    <t>Certificate of Payments</t>
  </si>
  <si>
    <t xml:space="preserve">      - Monitor Daily Income from Internet</t>
  </si>
  <si>
    <t>Reports of Daily Income</t>
  </si>
  <si>
    <t xml:space="preserve">        Facilities and rental of overdue books</t>
  </si>
  <si>
    <t xml:space="preserve">      - Monnitor payment of Entrance Fee to</t>
  </si>
  <si>
    <t>Reports of Entrance Fee</t>
  </si>
  <si>
    <t xml:space="preserve">        Bohol Museum &amp; CPG Sports </t>
  </si>
  <si>
    <t xml:space="preserve">      - Check the number of pages of each</t>
  </si>
  <si>
    <t>Booklets of Delivery</t>
  </si>
  <si>
    <t xml:space="preserve">        booklet of Delivery Receipts dellivered</t>
  </si>
  <si>
    <t xml:space="preserve">        by supplier </t>
  </si>
  <si>
    <t xml:space="preserve">        1. Monthly Statement of Income</t>
  </si>
  <si>
    <t xml:space="preserve">Reports of Statement </t>
  </si>
  <si>
    <t xml:space="preserve">            Sources (SRE Format)</t>
  </si>
  <si>
    <t>of Income Sources</t>
  </si>
  <si>
    <t>(SRE Format)</t>
  </si>
  <si>
    <t xml:space="preserve">        3. Monthly Report of Income Generated</t>
  </si>
  <si>
    <t xml:space="preserve">Reports of Income </t>
  </si>
  <si>
    <t xml:space="preserve">            from Quaarry Operations </t>
  </si>
  <si>
    <t>Generated from Quarry</t>
  </si>
  <si>
    <t xml:space="preserve">Operations </t>
  </si>
  <si>
    <t xml:space="preserve">        4. Monthly Collections Effeciency </t>
  </si>
  <si>
    <t xml:space="preserve">Reports of Income from </t>
  </si>
  <si>
    <t xml:space="preserve">Local Sources </t>
  </si>
  <si>
    <t>INTERVENING ACTIVITIES:</t>
  </si>
  <si>
    <t xml:space="preserve">Deliver communications to offices outside </t>
  </si>
  <si>
    <t>Record of communications</t>
  </si>
  <si>
    <t>the capitol premises</t>
  </si>
  <si>
    <t xml:space="preserve">delivered </t>
  </si>
  <si>
    <t>Consolidate EMS Reports</t>
  </si>
  <si>
    <t>EMS report</t>
  </si>
  <si>
    <t>Preparation of BERA 1 &amp;2 (EMS)</t>
  </si>
  <si>
    <t xml:space="preserve">BERA reports </t>
  </si>
  <si>
    <t>Conduct Blood Monitoring of PTO employees</t>
  </si>
  <si>
    <t xml:space="preserve">Blood monitoring reports </t>
  </si>
  <si>
    <t>Conduct Training for e-TRACS users</t>
  </si>
  <si>
    <t xml:space="preserve">Training hours conducted </t>
  </si>
  <si>
    <t>CASH DIVISION:</t>
  </si>
  <si>
    <t>COLLECTION &amp; DEPOSITS:</t>
  </si>
  <si>
    <t>1. Receive collection from Liquidating Officer</t>
  </si>
  <si>
    <t xml:space="preserve">Collection deposited </t>
  </si>
  <si>
    <t xml:space="preserve">    and deposit intact to different banks</t>
  </si>
  <si>
    <t xml:space="preserve">2. Post report of collection  &amp; deposit to </t>
  </si>
  <si>
    <t>RCDs posted in cash</t>
  </si>
  <si>
    <t xml:space="preserve">    different cashbook</t>
  </si>
  <si>
    <t>book</t>
  </si>
  <si>
    <t>3. Record RCDs to different hospitals</t>
  </si>
  <si>
    <t xml:space="preserve">RCDs recorded </t>
  </si>
  <si>
    <t>DISBURSEMENT:</t>
  </si>
  <si>
    <t>1. Receive and review vouchers/payrolls</t>
  </si>
  <si>
    <t>Vouchers/payrolls</t>
  </si>
  <si>
    <t xml:space="preserve">    to be encoded </t>
  </si>
  <si>
    <t xml:space="preserve">received &amp; reviewed </t>
  </si>
  <si>
    <t>2. Payrolls &amp; vouchers distributed to</t>
  </si>
  <si>
    <t>Vouchers and payrolls</t>
  </si>
  <si>
    <t xml:space="preserve">    to Dos and Cashiers incharge for check</t>
  </si>
  <si>
    <t xml:space="preserve">    issuance</t>
  </si>
  <si>
    <t>3. Prepare Cash Advance :</t>
  </si>
  <si>
    <t>Vouchers for Cash Adv.</t>
  </si>
  <si>
    <t xml:space="preserve">    a.  Cash count </t>
  </si>
  <si>
    <t>cash counted</t>
  </si>
  <si>
    <t xml:space="preserve">    b.  Make daily counts</t>
  </si>
  <si>
    <t>Total cash balance</t>
  </si>
  <si>
    <t xml:space="preserve">after disbursement at the </t>
  </si>
  <si>
    <t xml:space="preserve">end of the day </t>
  </si>
  <si>
    <t xml:space="preserve">4. Paid to clients in cash </t>
  </si>
  <si>
    <t>5. Encode paid vouchers/payrolls to ROD</t>
  </si>
  <si>
    <t>ROD</t>
  </si>
  <si>
    <t xml:space="preserve">    (Report of Disbursement)</t>
  </si>
  <si>
    <t xml:space="preserve">6. Print  report of disbursement </t>
  </si>
  <si>
    <t>7. Prepare liquidation report of Cash Adv.</t>
  </si>
  <si>
    <t>Summary of payrolls/</t>
  </si>
  <si>
    <t xml:space="preserve">vouchers </t>
  </si>
  <si>
    <t xml:space="preserve">8. Record paid vouchers/payrolls for update </t>
  </si>
  <si>
    <t>9. Encode/issue check to approved</t>
  </si>
  <si>
    <t xml:space="preserve">checks </t>
  </si>
  <si>
    <t xml:space="preserve">   vouchers/payrolls</t>
  </si>
  <si>
    <t>checks</t>
  </si>
  <si>
    <t xml:space="preserve">           5.  To intensify collection efforts to match the cost against revenues.</t>
  </si>
  <si>
    <t xml:space="preserve">        collector by signing the certification </t>
  </si>
  <si>
    <t xml:space="preserve">      - Preparation of Monthly Collection Reports:</t>
  </si>
  <si>
    <t xml:space="preserve">            Sources and Statement of Income</t>
  </si>
  <si>
    <t>of Income Sources, Statement</t>
  </si>
  <si>
    <t>of income Sources (SRE Format)</t>
  </si>
  <si>
    <t xml:space="preserve">            Report of Income from Local Sources</t>
  </si>
  <si>
    <t xml:space="preserve">Claimants paid </t>
  </si>
  <si>
    <t xml:space="preserve">10.Review chcks issued for PTs signature </t>
  </si>
  <si>
    <t>11. Sign/approve vouchers/payrolls and</t>
  </si>
  <si>
    <t>vouhers/payrolls</t>
  </si>
  <si>
    <t xml:space="preserve">      other documents in the absence of </t>
  </si>
  <si>
    <t xml:space="preserve">      PT and APT</t>
  </si>
  <si>
    <t xml:space="preserve">12. Post disbursement vouchers with checks </t>
  </si>
  <si>
    <t xml:space="preserve">vouchers/payrolls with </t>
  </si>
  <si>
    <t xml:space="preserve">      to cash book</t>
  </si>
  <si>
    <t>13. Prepare report:</t>
  </si>
  <si>
    <t>a. NBIAP</t>
  </si>
  <si>
    <t>b, RCI</t>
  </si>
  <si>
    <t>c. Cash Report</t>
  </si>
  <si>
    <t>d. e-SRE report</t>
  </si>
  <si>
    <t xml:space="preserve">     a. Encode budget appropriation alloted for </t>
  </si>
  <si>
    <t>budget appropriation</t>
  </si>
  <si>
    <t xml:space="preserve">         4 quarters</t>
  </si>
  <si>
    <t>accoding to fund sector</t>
  </si>
  <si>
    <t xml:space="preserve">     b. Generate and print the disbursement </t>
  </si>
  <si>
    <t xml:space="preserve">Data on dusbursement </t>
  </si>
  <si>
    <t xml:space="preserve">         paid in cash and checks</t>
  </si>
  <si>
    <t>in cash and checks</t>
  </si>
  <si>
    <t xml:space="preserve">     c.  Verify each disbursement voucher</t>
  </si>
  <si>
    <t>Data on NGAS</t>
  </si>
  <si>
    <t xml:space="preserve">          for charges to current or prior year</t>
  </si>
  <si>
    <t xml:space="preserve">     d. Verify remittances each payrolls/</t>
  </si>
  <si>
    <t>Data  of remittances</t>
  </si>
  <si>
    <t xml:space="preserve">         vouchers from different offices, compute</t>
  </si>
  <si>
    <t xml:space="preserve">         and make summary to excel</t>
  </si>
  <si>
    <t xml:space="preserve">     e. Encode all disbursement for final</t>
  </si>
  <si>
    <t>Total expenditure of</t>
  </si>
  <si>
    <t xml:space="preserve">        record in e-SRE program</t>
  </si>
  <si>
    <t>disbursement of all</t>
  </si>
  <si>
    <t>provincial offices</t>
  </si>
  <si>
    <t>14. Receive payrolls for ATM</t>
  </si>
  <si>
    <t xml:space="preserve">     a. Receive ATM payrolls from  HRMDO</t>
  </si>
  <si>
    <t>ATM payrolls</t>
  </si>
  <si>
    <t xml:space="preserve">     b. Review indorsement &amp; summary of </t>
  </si>
  <si>
    <t xml:space="preserve">         payrolls to original payroll before</t>
  </si>
  <si>
    <t xml:space="preserve">transmital to payrolls </t>
  </si>
  <si>
    <t xml:space="preserve">         approva; to PT &amp; GO</t>
  </si>
  <si>
    <t>reweived</t>
  </si>
  <si>
    <t xml:space="preserve">     c. Segregates indorsement and </t>
  </si>
  <si>
    <t xml:space="preserve">         summaries of payrolls for submission</t>
  </si>
  <si>
    <t>Transmittal to payrolls</t>
  </si>
  <si>
    <t xml:space="preserve">         to LBP</t>
  </si>
  <si>
    <t>for submission to LBP</t>
  </si>
  <si>
    <t xml:space="preserve">     d. Encode all summaries &amp; endorsement</t>
  </si>
  <si>
    <t>segregated</t>
  </si>
  <si>
    <t xml:space="preserve">     e. Reconcile debit memos from LBP</t>
  </si>
  <si>
    <t>summary &amp; endorsement</t>
  </si>
  <si>
    <t xml:space="preserve">     f. Prepare 2 sets of Liquidation report</t>
  </si>
  <si>
    <t>Debit Memo</t>
  </si>
  <si>
    <t xml:space="preserve">       of ATM and submit to PACCO</t>
  </si>
  <si>
    <t>Liquidation Report</t>
  </si>
  <si>
    <t xml:space="preserve">15. No. of times delivery of checks for </t>
  </si>
  <si>
    <t xml:space="preserve">     signature to GO &amp; VGO and  follow up</t>
  </si>
  <si>
    <t>checks delivered</t>
  </si>
  <si>
    <t xml:space="preserve">     of different transactions to other offices</t>
  </si>
  <si>
    <t>Transaction followed up</t>
  </si>
  <si>
    <t xml:space="preserve">     a. Liaisoning to other offices</t>
  </si>
  <si>
    <t xml:space="preserve">     b. Receive approve check from VGO &amp; GO</t>
  </si>
  <si>
    <t>Approved check</t>
  </si>
  <si>
    <t>16. Record checks issued to check register</t>
  </si>
  <si>
    <t>Check register</t>
  </si>
  <si>
    <t>17. Release approve checks to clients</t>
  </si>
  <si>
    <t>18. Record Ors for some checks released</t>
  </si>
  <si>
    <t>Official Receipt</t>
  </si>
  <si>
    <t>19. Prepare BIR monthly remittance</t>
  </si>
  <si>
    <t>20. Encode monthly BIR form 1600, 1601E</t>
  </si>
  <si>
    <t xml:space="preserve">     and FMIS</t>
  </si>
  <si>
    <t xml:space="preserve">     a. Businees Tax Supplier/Bidder)</t>
  </si>
  <si>
    <t xml:space="preserve">     b. Contractual Collectol list</t>
  </si>
  <si>
    <t>Collection list</t>
  </si>
  <si>
    <t>21.  Prepare certificate of creditable tax</t>
  </si>
  <si>
    <t>Certification</t>
  </si>
  <si>
    <t xml:space="preserve">         withheld at source</t>
  </si>
  <si>
    <t>22. Receive, review and post FCB liquidation</t>
  </si>
  <si>
    <t xml:space="preserve">     for PEO, devolved hospital and SEF</t>
  </si>
  <si>
    <t xml:space="preserve">     teachers</t>
  </si>
  <si>
    <t>23. Support EMS</t>
  </si>
  <si>
    <t>FIELD OPERATION DIVISION:</t>
  </si>
  <si>
    <t>CONDUCT TAX INFORMATION &amp; EDUCATION</t>
  </si>
  <si>
    <t>CAMPAIGN TO LOW PERFORMING</t>
  </si>
  <si>
    <t>MUNICIPAITIES IN RPT COLLECTION</t>
  </si>
  <si>
    <t>a) gather data of delinquent real properties</t>
  </si>
  <si>
    <t>Tax declarations recorded</t>
  </si>
  <si>
    <t>b) Compute tax dues of identifed/listed</t>
  </si>
  <si>
    <t>Tax dues computed</t>
  </si>
  <si>
    <t xml:space="preserve">    delinquent properties</t>
  </si>
  <si>
    <t>c) prepare demand letters</t>
  </si>
  <si>
    <t xml:space="preserve">Demand letters prepared </t>
  </si>
  <si>
    <t xml:space="preserve">d) Speak before the barangay assembly and </t>
  </si>
  <si>
    <t>Tax Campaign conducted</t>
  </si>
  <si>
    <t>45 barangays</t>
  </si>
  <si>
    <t xml:space="preserve">    campaign for tax payments and other RPT</t>
  </si>
  <si>
    <t xml:space="preserve">    matters and distribute demand letters </t>
  </si>
  <si>
    <t>IMPLEMENTATION OF ADMINISTRATIVE /</t>
  </si>
  <si>
    <t>CIVIL REMEDIES FOR COLLECTION OF</t>
  </si>
  <si>
    <t>DELINQUENT REAL PROPERTY</t>
  </si>
  <si>
    <t>a. Editing of submitted list of delinquency for</t>
  </si>
  <si>
    <t>Edited list of delinquency</t>
  </si>
  <si>
    <t>15 pages</t>
  </si>
  <si>
    <t xml:space="preserve">    publlication of notice of delinquency</t>
  </si>
  <si>
    <t>for publication</t>
  </si>
  <si>
    <t>b. Printing of edited list of notice of delinquency</t>
  </si>
  <si>
    <t>List of notice of delinquency</t>
  </si>
  <si>
    <t xml:space="preserve">   for publication</t>
  </si>
  <si>
    <t xml:space="preserve">c. Check and review the data in the Warrant of </t>
  </si>
  <si>
    <t xml:space="preserve">Warrant of Levy reviewed </t>
  </si>
  <si>
    <t xml:space="preserve">    Levy submittref by the Mun. Treasurer's </t>
  </si>
  <si>
    <t xml:space="preserve">    against attached documents</t>
  </si>
  <si>
    <t>d. Serve Warrant of Levy</t>
  </si>
  <si>
    <t xml:space="preserve">Warrant of Levy received </t>
  </si>
  <si>
    <t>350 warrant of levy</t>
  </si>
  <si>
    <t xml:space="preserve"> by delinquent taxpayers</t>
  </si>
  <si>
    <t xml:space="preserve">e) Editing of submitted list of delinquency for </t>
  </si>
  <si>
    <t>11 pages</t>
  </si>
  <si>
    <t xml:space="preserve">    publication of nice of  sale</t>
  </si>
  <si>
    <t xml:space="preserve"> for publication</t>
  </si>
  <si>
    <t xml:space="preserve">f) Printing of edited list of notice of sale for </t>
  </si>
  <si>
    <t xml:space="preserve">List of notice of </t>
  </si>
  <si>
    <t xml:space="preserve">   publication</t>
  </si>
  <si>
    <t>delinquency</t>
  </si>
  <si>
    <t>g) Finalize the list of properties to be auctioned</t>
  </si>
  <si>
    <t>List of properties to be</t>
  </si>
  <si>
    <t xml:space="preserve">   and briefing of MTO employees in the </t>
  </si>
  <si>
    <t>auctioned and awareness of</t>
  </si>
  <si>
    <t xml:space="preserve">   auction sale processess</t>
  </si>
  <si>
    <t xml:space="preserve">auction sale processess </t>
  </si>
  <si>
    <t>h) Documentation of auction sale proceesdings</t>
  </si>
  <si>
    <t>Draft of minutes of the</t>
  </si>
  <si>
    <t xml:space="preserve"> proceedings</t>
  </si>
  <si>
    <t xml:space="preserve">POST AUCTION SALE ACTIVITIES </t>
  </si>
  <si>
    <t>a) Prepare the final minutes in the proceedings</t>
  </si>
  <si>
    <t>Report of minutes</t>
  </si>
  <si>
    <t>20 pages</t>
  </si>
  <si>
    <t xml:space="preserve">    of the auctioned properties</t>
  </si>
  <si>
    <t xml:space="preserve">b) Prepare Certificate of Sale of auctioned </t>
  </si>
  <si>
    <t>Certificate of Sale</t>
  </si>
  <si>
    <t>400 cert</t>
  </si>
  <si>
    <t xml:space="preserve">    real propperties</t>
  </si>
  <si>
    <t>c) Prepare Report of Sale</t>
  </si>
  <si>
    <t>Report of Sale</t>
  </si>
  <si>
    <t xml:space="preserve">d) Prepare Certificate of Redemption Sale </t>
  </si>
  <si>
    <t>Certificate of Redemption</t>
  </si>
  <si>
    <t>e) Final Deed to Purchaser-Private Bidder</t>
  </si>
  <si>
    <t>Final Deed</t>
  </si>
  <si>
    <t xml:space="preserve">    &amp; PGBh</t>
  </si>
  <si>
    <t>f) Prepare Notice of Levy</t>
  </si>
  <si>
    <t>Notice of Levy</t>
  </si>
  <si>
    <t>CONDUCT CASH AND REVENUE AUDIT TO</t>
  </si>
  <si>
    <t xml:space="preserve">MUNICIPAL TREASURY OFFICES AND </t>
  </si>
  <si>
    <t xml:space="preserve">DEVOLVED HOSPITLAS </t>
  </si>
  <si>
    <t xml:space="preserve">a) Cash Count of collections </t>
  </si>
  <si>
    <t>Money/cash collection</t>
  </si>
  <si>
    <t xml:space="preserve"> - collectors</t>
  </si>
  <si>
    <t xml:space="preserve"> accounted</t>
  </si>
  <si>
    <t xml:space="preserve"> - liquidating officers</t>
  </si>
  <si>
    <t xml:space="preserve"> - disbursing officers</t>
  </si>
  <si>
    <t xml:space="preserve"> - cashier</t>
  </si>
  <si>
    <t xml:space="preserve"> - mun. treasurer</t>
  </si>
  <si>
    <t>b) Conduct inventory of all kinds of accountable</t>
  </si>
  <si>
    <t>Report of Inventory of</t>
  </si>
  <si>
    <t xml:space="preserve">    forms</t>
  </si>
  <si>
    <t xml:space="preserve"> - AF 51</t>
  </si>
  <si>
    <t xml:space="preserve"> - AF 52</t>
  </si>
  <si>
    <t xml:space="preserve"> - AF 53</t>
  </si>
  <si>
    <t xml:space="preserve"> - AF 54</t>
  </si>
  <si>
    <t xml:space="preserve"> - AF 56</t>
  </si>
  <si>
    <t xml:space="preserve"> - BIR Form 0016</t>
  </si>
  <si>
    <t xml:space="preserve"> - cash tickets (stock)</t>
  </si>
  <si>
    <t xml:space="preserve"> - cash tickets ( collector)</t>
  </si>
  <si>
    <t>c) Check and verify the  duplicate copies of Ors</t>
  </si>
  <si>
    <t>Collections are remitted</t>
  </si>
  <si>
    <t xml:space="preserve">    attached in the RCD against the issued </t>
  </si>
  <si>
    <t xml:space="preserve">    receipts of the collector</t>
  </si>
  <si>
    <t>d) Verify &amp; Validate the posting of collections and</t>
  </si>
  <si>
    <t>Postings of collections</t>
  </si>
  <si>
    <t xml:space="preserve">    deposits in the cashbook of the Mun. Treasurers</t>
  </si>
  <si>
    <t>verified and validated</t>
  </si>
  <si>
    <t xml:space="preserve">    against the Report of Collection and Deposits</t>
  </si>
  <si>
    <t>e) Examine entries/postings in the cashbook</t>
  </si>
  <si>
    <t>Balances established</t>
  </si>
  <si>
    <t xml:space="preserve">f) Monitor and verify the remittance to the </t>
  </si>
  <si>
    <t>Monitoring Report</t>
  </si>
  <si>
    <t xml:space="preserve">   province of the provincial impositions </t>
  </si>
  <si>
    <t xml:space="preserve">   collected by the LGUs</t>
  </si>
  <si>
    <t>g) Issue demand letters to erring collectors/</t>
  </si>
  <si>
    <t>Demand letter to concern</t>
  </si>
  <si>
    <t xml:space="preserve">    accountable officers</t>
  </si>
  <si>
    <t xml:space="preserve"> collectors/accountable </t>
  </si>
  <si>
    <t xml:space="preserve"> officers</t>
  </si>
  <si>
    <t>h) Prepare Audit Report</t>
  </si>
  <si>
    <t>Audit Report</t>
  </si>
  <si>
    <t>DEVOLVED HOSPITALS</t>
  </si>
  <si>
    <t>List of collectibles</t>
  </si>
  <si>
    <t xml:space="preserve">SUPERVISE THE CONDUCT OF TRANSFER </t>
  </si>
  <si>
    <t xml:space="preserve"> OF OFFICE ACCOUNTABILITIES OF OUT-</t>
  </si>
  <si>
    <t>GOING &amp; INCOMING MUNICIPAL TREASURER</t>
  </si>
  <si>
    <t>a) Prepare required reports such as:</t>
  </si>
  <si>
    <t xml:space="preserve"> -Invoice Receipt of Unissued Accountable Forms</t>
  </si>
  <si>
    <t>a) Invoice Receipt- Unissued</t>
  </si>
  <si>
    <t xml:space="preserve">    Accountable Forms</t>
  </si>
  <si>
    <t xml:space="preserve"> -Invoice Receipt  of Unissued Checks</t>
  </si>
  <si>
    <t>b) Invoice Receipt- Unissued</t>
  </si>
  <si>
    <t xml:space="preserve">     Checks</t>
  </si>
  <si>
    <t xml:space="preserve"> -Invoice Receipt- Certificate of Time Deposits</t>
  </si>
  <si>
    <t>c)  Invoice Receipt- Certifi-</t>
  </si>
  <si>
    <t xml:space="preserve">     cate of Time Deposits</t>
  </si>
  <si>
    <t xml:space="preserve">d)  Invoice Receipt of Statement of Cash </t>
  </si>
  <si>
    <t>d)  Invoice Receipt- State-</t>
  </si>
  <si>
    <t xml:space="preserve">     Balances for all funds:</t>
  </si>
  <si>
    <t xml:space="preserve">ment of Cash Balances for </t>
  </si>
  <si>
    <t>all funds</t>
  </si>
  <si>
    <t xml:space="preserve">       a. Sign and witness the certificate of </t>
  </si>
  <si>
    <t>Transfer of Accountabilities</t>
  </si>
  <si>
    <t xml:space="preserve">           transfer of accountabilities in the cash</t>
  </si>
  <si>
    <t xml:space="preserve">           books from the outgoing to the in-coming</t>
  </si>
  <si>
    <t xml:space="preserve">           Mun. Treasurer</t>
  </si>
  <si>
    <t xml:space="preserve">      b. Prepare report on Transfer of Accountabilities</t>
  </si>
  <si>
    <t>Report on Transfer</t>
  </si>
  <si>
    <t>VANS</t>
  </si>
  <si>
    <t>a) Guide the collector to place of residence of</t>
  </si>
  <si>
    <t>Owners of delivery trucks/</t>
  </si>
  <si>
    <t xml:space="preserve">    owners</t>
  </si>
  <si>
    <t>vans located</t>
  </si>
  <si>
    <t xml:space="preserve">b) Issue OR for payments of tax on delivery </t>
  </si>
  <si>
    <t>Tax on Delivery Trucks/</t>
  </si>
  <si>
    <t xml:space="preserve">    trucks/vans</t>
  </si>
  <si>
    <t>Vans collected</t>
  </si>
  <si>
    <t>c) Issue governor's permit &amp; provinvial sticker</t>
  </si>
  <si>
    <t>Permit granted</t>
  </si>
  <si>
    <t>d) Issue reminder to delivery truck/vans</t>
  </si>
  <si>
    <t>Reminder issued</t>
  </si>
  <si>
    <t xml:space="preserve">    owners/operators</t>
  </si>
  <si>
    <t>CONDUCT MNITORING OF DELIVERY</t>
  </si>
  <si>
    <t>TRUCKS/VANS IN VIOLATION OF P.O.</t>
  </si>
  <si>
    <t>NO. 2008-014 &amp; P.O. NO. 2008-025:</t>
  </si>
  <si>
    <t>a) Issue apprehension ticket for 1st offense</t>
  </si>
  <si>
    <t>Apprehension Ticket issued</t>
  </si>
  <si>
    <t>b) Issue impounding receipt to drivers/operators</t>
  </si>
  <si>
    <t>Impounding receipt issued</t>
  </si>
  <si>
    <t>c) Blotter the Impoundd delivery truck/van</t>
  </si>
  <si>
    <t>Police Blotter facilitatec</t>
  </si>
  <si>
    <t>OTHER FUNCTION:</t>
  </si>
  <si>
    <t>1. Prepare Quarterly Consolidated Report in</t>
  </si>
  <si>
    <t>Quarterly Report in RPT</t>
  </si>
  <si>
    <t xml:space="preserve">    Real Property Tax Collection</t>
  </si>
  <si>
    <t>collectionsubmitted to BLGF</t>
  </si>
  <si>
    <t>2. Prepare Quarterly Real Property Tax</t>
  </si>
  <si>
    <t>Report of 47 Municipal</t>
  </si>
  <si>
    <t xml:space="preserve">   Collection Efficiency Report</t>
  </si>
  <si>
    <t>Treasurers</t>
  </si>
  <si>
    <t xml:space="preserve">3. Review e-SRE Report uploaded by the </t>
  </si>
  <si>
    <t>e_SRE Report reviewed</t>
  </si>
  <si>
    <t xml:space="preserve">    Municipal Treasurers</t>
  </si>
  <si>
    <t>4. Check &amp; verify report of Accountable Forms</t>
  </si>
  <si>
    <t xml:space="preserve">Monthly report of </t>
  </si>
  <si>
    <t xml:space="preserve">    submitted by Mun. Treasurers</t>
  </si>
  <si>
    <t>Accountable forms</t>
  </si>
  <si>
    <t>accounted &amp; verified</t>
  </si>
  <si>
    <t>5. Chek &amp; verify duplicate copies of official</t>
  </si>
  <si>
    <t xml:space="preserve">Report of Monthly </t>
  </si>
  <si>
    <t xml:space="preserve">    receipts with the attached monthly report</t>
  </si>
  <si>
    <t>collection verified</t>
  </si>
  <si>
    <t xml:space="preserve">    of collection of devolved hospitals</t>
  </si>
  <si>
    <t>6. Check and review Plans &amp; Programs</t>
  </si>
  <si>
    <t>Plans &amp; Programs</t>
  </si>
  <si>
    <t>MAR.</t>
  </si>
  <si>
    <t xml:space="preserve">    submitted  by the Mun. Treasurers</t>
  </si>
  <si>
    <t xml:space="preserve">7. Prepare the Plans &amp; Programs of the </t>
  </si>
  <si>
    <t>Plan &amp; Programs prepared</t>
  </si>
  <si>
    <t xml:space="preserve">    Provincial Treasurers Office</t>
  </si>
  <si>
    <t xml:space="preserve">8. Prepare letters for barangay chairman for </t>
  </si>
  <si>
    <t>letters</t>
  </si>
  <si>
    <t xml:space="preserve">    schedule of ta campaign</t>
  </si>
  <si>
    <t>9. Transport services</t>
  </si>
  <si>
    <t>trip ticket</t>
  </si>
  <si>
    <t>Actual driving</t>
  </si>
  <si>
    <t>10. Maintenance of vehicles</t>
  </si>
  <si>
    <t>Spare parts of vehicle</t>
  </si>
  <si>
    <t>Waste materials report</t>
  </si>
  <si>
    <t>Washing of government</t>
  </si>
  <si>
    <t>service vehicles</t>
  </si>
  <si>
    <t>11. Reproduction of documents</t>
  </si>
  <si>
    <t>Documents reproduced</t>
  </si>
  <si>
    <t xml:space="preserve">12. Conduct Monitoring of collection </t>
  </si>
  <si>
    <t>Monitoring Reports</t>
  </si>
  <si>
    <t xml:space="preserve">      performance andremittances of provincial</t>
  </si>
  <si>
    <t xml:space="preserve">      impositons collected by the Municipal</t>
  </si>
  <si>
    <t xml:space="preserve">      LGUs and other treasury matters</t>
  </si>
  <si>
    <t xml:space="preserve">13. Conduct checking and inspection of    </t>
  </si>
  <si>
    <t xml:space="preserve">      cockpit operations and other amusement</t>
  </si>
  <si>
    <t xml:space="preserve">      places in the municipalities during</t>
  </si>
  <si>
    <t xml:space="preserve">      saturdays, sundays and regular days</t>
  </si>
  <si>
    <t>ADMINISTRATIVE SUPPORT STAFF</t>
  </si>
  <si>
    <t>SERVICES:</t>
  </si>
  <si>
    <t xml:space="preserve">Personnel Management: </t>
  </si>
  <si>
    <t>Prepare Administrative Issuances</t>
  </si>
  <si>
    <t>Office Memorandum</t>
  </si>
  <si>
    <t>Office Order</t>
  </si>
  <si>
    <t>Travel Order</t>
  </si>
  <si>
    <t>Prepare Performance Management System</t>
  </si>
  <si>
    <t>Performance Contract</t>
  </si>
  <si>
    <t xml:space="preserve">Performance Commitment </t>
  </si>
  <si>
    <t>Perforance Tracking</t>
  </si>
  <si>
    <t>Correspondence &amp; Records Management:</t>
  </si>
  <si>
    <t>Preparation of Letters</t>
  </si>
  <si>
    <t>Letters</t>
  </si>
  <si>
    <t>Transmittal/Endorsement</t>
  </si>
  <si>
    <t xml:space="preserve">   letters/certifications</t>
  </si>
  <si>
    <t>Acknowledgement letters</t>
  </si>
  <si>
    <t>Certificate of Appearance</t>
  </si>
  <si>
    <t xml:space="preserve">Review of Simple &amp; Complex Routine </t>
  </si>
  <si>
    <t>Simple routine documents</t>
  </si>
  <si>
    <t xml:space="preserve">   documents</t>
  </si>
  <si>
    <t>Complex</t>
  </si>
  <si>
    <t>Processing of Bonds</t>
  </si>
  <si>
    <t>Bond Applications (new</t>
  </si>
  <si>
    <t xml:space="preserve">    and renewal)</t>
  </si>
  <si>
    <t>Communication Management:</t>
  </si>
  <si>
    <t>Receive of Incoming &amp; outgoingcommunication</t>
  </si>
  <si>
    <t>Record incoming &amp; outgoing communication</t>
  </si>
  <si>
    <t>Incoming &amp; outgoing com</t>
  </si>
  <si>
    <t>Receive Payrolls, Vouchers, POs, PRs, JOs</t>
  </si>
  <si>
    <t>Payrolls &amp; Vouchers</t>
  </si>
  <si>
    <t>and JRs</t>
  </si>
  <si>
    <t>Pos, PRs, JRs, Jos</t>
  </si>
  <si>
    <t xml:space="preserve">Receive Philhealth Collection list and </t>
  </si>
  <si>
    <t>Philhealth collection list &amp;</t>
  </si>
  <si>
    <t xml:space="preserve">    Collection list from different banks and</t>
  </si>
  <si>
    <t>Collection list of loans from</t>
  </si>
  <si>
    <t xml:space="preserve">    cooperatives</t>
  </si>
  <si>
    <t xml:space="preserve">    diff. banks and coops</t>
  </si>
  <si>
    <t>Records minutes of meeting</t>
  </si>
  <si>
    <t>Record payrolls, vouchers, PRs, POs, JRs,</t>
  </si>
  <si>
    <t>Payrolls, vouchers, PRs,</t>
  </si>
  <si>
    <t>&amp; Jos</t>
  </si>
  <si>
    <t>Pos, JRs, &amp; Jos</t>
  </si>
  <si>
    <t>Record collection list of Philhealth and</t>
  </si>
  <si>
    <t>Collection list of Philhealth</t>
  </si>
  <si>
    <t>loans from different banks and coops</t>
  </si>
  <si>
    <t>and loans from different</t>
  </si>
  <si>
    <t>banks and coops</t>
  </si>
  <si>
    <t>Record vouchers with approved checks for</t>
  </si>
  <si>
    <t>Vouchers with approved</t>
  </si>
  <si>
    <t xml:space="preserve">   payment of Electric and Water bills</t>
  </si>
  <si>
    <t>Record cash slips for fuel/oil consumption</t>
  </si>
  <si>
    <t>cash slips</t>
  </si>
  <si>
    <t xml:space="preserve">  and for office miscellaneous</t>
  </si>
  <si>
    <t>Deliver communication routed to concerned</t>
  </si>
  <si>
    <t>Documents</t>
  </si>
  <si>
    <t xml:space="preserve">  personnel </t>
  </si>
  <si>
    <t xml:space="preserve">Prepare supporting documents of outgoing </t>
  </si>
  <si>
    <t xml:space="preserve">    commuications</t>
  </si>
  <si>
    <t>Filling of documents</t>
  </si>
  <si>
    <t>Retrieval &amp; return of retrieved communications</t>
  </si>
  <si>
    <t>Coomunications</t>
  </si>
  <si>
    <t>Prepare the mailing envelopes of outgoing</t>
  </si>
  <si>
    <t>Outgoing communications</t>
  </si>
  <si>
    <t>Conduct inventory of records for disposal to</t>
  </si>
  <si>
    <t>Inventory of records</t>
  </si>
  <si>
    <t xml:space="preserve">   Archive</t>
  </si>
  <si>
    <t>Posting of documents</t>
  </si>
  <si>
    <t>Financial Management:</t>
  </si>
  <si>
    <t>Prepare Office Budget</t>
  </si>
  <si>
    <t>Prepare Annual Investment Plan</t>
  </si>
  <si>
    <t>Prepare Work &amp; Financial Plan</t>
  </si>
  <si>
    <t>Prepare Project Procurement Management Plan</t>
  </si>
  <si>
    <t>PPMP</t>
  </si>
  <si>
    <t>Preparation of Financial Reports</t>
  </si>
  <si>
    <t xml:space="preserve">Purchase Request for </t>
  </si>
  <si>
    <t xml:space="preserve">  office equipment, supplies,</t>
  </si>
  <si>
    <t xml:space="preserve">  and AF</t>
  </si>
  <si>
    <t xml:space="preserve">Approved Budget for </t>
  </si>
  <si>
    <t xml:space="preserve">    Contract</t>
  </si>
  <si>
    <t>Job Request</t>
  </si>
  <si>
    <t>Payrolls for RATA,</t>
  </si>
  <si>
    <t xml:space="preserve">  plantilla/casual employees,</t>
  </si>
  <si>
    <t xml:space="preserve">  monetization and loyalty</t>
  </si>
  <si>
    <t xml:space="preserve">  awards</t>
  </si>
  <si>
    <t>Itenerary of Travel</t>
  </si>
  <si>
    <t xml:space="preserve">Liquidation report for fuel/oil </t>
  </si>
  <si>
    <t xml:space="preserve">    consumption and for</t>
  </si>
  <si>
    <t xml:space="preserve">    office miscellaneous</t>
  </si>
  <si>
    <t xml:space="preserve">Prepare vouchers for remittances of Philhealth, </t>
  </si>
  <si>
    <t xml:space="preserve">   loans from dif. Banks and coops and other </t>
  </si>
  <si>
    <t xml:space="preserve">   monetary claims</t>
  </si>
  <si>
    <t>Prepare Obligation Request</t>
  </si>
  <si>
    <t>OBR</t>
  </si>
  <si>
    <t>Consolidation of Collection List of Philhealth</t>
  </si>
  <si>
    <t>Collection List</t>
  </si>
  <si>
    <t xml:space="preserve">   and loans from diff banks and coops</t>
  </si>
  <si>
    <t xml:space="preserve">Encode Collection List of Philhealth and </t>
  </si>
  <si>
    <t xml:space="preserve">   collection list of loans from diff banks and </t>
  </si>
  <si>
    <t xml:space="preserve">   coops</t>
  </si>
  <si>
    <t xml:space="preserve">Reconcile/justify  blank entry of  DTR </t>
  </si>
  <si>
    <t>Reconciled DTR</t>
  </si>
  <si>
    <t xml:space="preserve">  from the  HRIS</t>
  </si>
  <si>
    <t>Print DTR of all PTO employees</t>
  </si>
  <si>
    <t>DTR</t>
  </si>
  <si>
    <t xml:space="preserve">Review and sign DTRs, leave form and PAAS to </t>
  </si>
  <si>
    <t>DTRs, leave form and PAAS</t>
  </si>
  <si>
    <t xml:space="preserve">  all financial transactions of the office</t>
  </si>
  <si>
    <t>Check approve leave against DTR</t>
  </si>
  <si>
    <t>approved leave</t>
  </si>
  <si>
    <t>Compute &amp; sign loan withdrawals</t>
  </si>
  <si>
    <t>Remit to Philhealth and CFI</t>
  </si>
  <si>
    <t>Philhealth &amp; CFI remittance</t>
  </si>
  <si>
    <t>Preparation of reports</t>
  </si>
  <si>
    <t>Annual,PROMIS, Tardiness,</t>
  </si>
  <si>
    <t>Pass Slip,Wearing of Uniform,</t>
  </si>
  <si>
    <t>&amp; Philhealth</t>
  </si>
  <si>
    <t>Liaisoning of financial and communications</t>
  </si>
  <si>
    <t>Vouchers, payrolls, PRs,</t>
  </si>
  <si>
    <t>JRs &amp; communications</t>
  </si>
  <si>
    <t>Property &amp; supply management</t>
  </si>
  <si>
    <t>Inventory &amp; inspection &amp;</t>
  </si>
  <si>
    <t xml:space="preserve">  acceptance report,</t>
  </si>
  <si>
    <t xml:space="preserve">  return slip of unserviceable </t>
  </si>
  <si>
    <t xml:space="preserve">  equipment</t>
  </si>
  <si>
    <t>Custody of Accountable Forms</t>
  </si>
  <si>
    <t xml:space="preserve">Prepare PR for AF </t>
  </si>
  <si>
    <t>PR for pads of AF</t>
  </si>
  <si>
    <t>Maintenance of Office cleanliness</t>
  </si>
  <si>
    <t>Office clean and</t>
  </si>
  <si>
    <t xml:space="preserve">  presentable </t>
  </si>
  <si>
    <t>Projects:</t>
  </si>
  <si>
    <t>Generate and maximize the use of resources and revenues for the development plans, program objectives and priorities of the province with particular attention to agro-industrial development and countrywide growth and progress;</t>
  </si>
  <si>
    <t>To ensure availability and access to information to support legislative agenda formulation.</t>
  </si>
  <si>
    <t>Pursuant to Section 469(c) of R.A. 7160, the Secretary to the Sangguniang Panlalawigan shall:</t>
  </si>
  <si>
    <t>42 times per</t>
  </si>
  <si>
    <t>Research output</t>
  </si>
  <si>
    <t>For all SP Members</t>
  </si>
  <si>
    <t>3,250</t>
  </si>
  <si>
    <t>VGO-SP website</t>
  </si>
  <si>
    <t>maintained</t>
  </si>
  <si>
    <t>twice a month</t>
  </si>
  <si>
    <t>once a month</t>
  </si>
  <si>
    <t>5 documents</t>
  </si>
  <si>
    <t xml:space="preserve">       Social Welfare Assistant</t>
  </si>
  <si>
    <t>Office/Department               :</t>
  </si>
  <si>
    <t xml:space="preserve">               Under Republic Act 7160, otherwise known as the Local Government Code of 1991, the Provincial Accountant shall take charge of both Accounting and Internal Audit Services of the local government unit concerned.</t>
  </si>
  <si>
    <t>IMPLEMENT SPEEDY PROCESSING OF CLAIMS AT PACCO IN CONSONANCE WITH PACCO CITIZEN’S CHARTER..</t>
  </si>
  <si>
    <t>Process and pre-audit all kinds of disbursement claim vouchers for services and services rendered, and other claims  in accordance with the standard auditing rules and regulations.</t>
  </si>
  <si>
    <t>ENSURE TIMELY AND ACCURATE SUBMISSION OF FINANCIAL REPORTS.</t>
  </si>
  <si>
    <t>Prepare and submit financial statements to the Provincial Governor and to the Sangguniang Panlalawigan concerned in order to apprise them on the financial condition of the province.</t>
  </si>
  <si>
    <t>Preparation and generation of Journal Entry Vouchers (JEVs) of all transactions of the different funds of the Provincial Government of Bohol.</t>
  </si>
  <si>
    <t>Automatic electronic postings of all transactions to their respective General Ledger and Subsidiary Ledger</t>
  </si>
  <si>
    <t>VERIFY ALLOTMENTS AND OBLIGATIONS AS TO CORRECTNESS OF THE FOLLOWING INFORMATION:</t>
  </si>
  <si>
    <t>Object of expenditures, responsibility centers and its corresponding amount of obligation.</t>
  </si>
  <si>
    <t>Reconciliation of all bank depository accounts of the PGBh and reconciliation of fund control allocations against actual utilization of funds granted from different donor agencies and institutions.</t>
  </si>
  <si>
    <t>ENSURE PROMPT SUBMISSION OF MONTHLY REMITTANCE REPORTS FOR GSIS, HDMF AND BIR.</t>
  </si>
  <si>
    <t>Preparation and generation of Alpha Listing and certifications for individual remittances to GSIS, HDMF and BIR</t>
  </si>
  <si>
    <t xml:space="preserve">ACT AS CUSTODIAN AND REPOSITORY OF FINANCIAL RECORDS TO ALL TREASURY OPERATIONS OF THE PROVINCIAL GOVERNMENT AS WELL AS OTHER ROUTINE OFFICE AND PERSONNEL RECORDS. </t>
  </si>
  <si>
    <t xml:space="preserve">Easy reference and quick retrieval of financial documents. </t>
  </si>
  <si>
    <t>CONTINUING TECHNICAL EDUCATION AND TRAININGS (in-house innovations and other PGB interventions)</t>
  </si>
  <si>
    <t>Full implementation of the Computerized Business Process Flow -  Financial Transaction Tracking System “FITTSYS”.</t>
  </si>
  <si>
    <t>Implementation of automated cash advance control, remittance tracking system and others.</t>
  </si>
  <si>
    <t>Generation of the Financial Statements, Ledgers and Schedules.</t>
  </si>
  <si>
    <t>a.</t>
  </si>
  <si>
    <t>b.</t>
  </si>
  <si>
    <t>c.</t>
  </si>
  <si>
    <t>d.</t>
  </si>
  <si>
    <t>RAO, Remittances and Reconciliation:</t>
  </si>
  <si>
    <t>Preparation of bank reconciliation of all depository accounts of the PGBh.</t>
  </si>
  <si>
    <t>Preparation of Utilization Reports from different donor agencies and institutions and reconciliation of fund control allocation against actual allocation.</t>
  </si>
  <si>
    <t>Electronic posting of claims using the FITTSYS.</t>
  </si>
  <si>
    <t xml:space="preserve">Electronic Posting and control of cash advances drawn by accountable officers </t>
  </si>
  <si>
    <t>Preparation of office payrolls &amp; PRs, JRs, Job Orders and other claims of employees</t>
  </si>
  <si>
    <t>Bank Reconciliation Statements</t>
  </si>
  <si>
    <t>Fund Utilization Reports</t>
  </si>
  <si>
    <t>(Moving) Funds held in Trust</t>
  </si>
  <si>
    <t>30,000 claims</t>
  </si>
  <si>
    <t>•</t>
  </si>
  <si>
    <t>21 Depository Accounts  of the PGBh</t>
  </si>
  <si>
    <t>Journal Entry Voucher of all financial and non- financial transactions..</t>
  </si>
  <si>
    <t>Monthly financial reports and supporting schedules.</t>
  </si>
  <si>
    <t>600 claims</t>
  </si>
  <si>
    <t>49 Regular Plantilla and JO/ Plantilla casuals</t>
  </si>
  <si>
    <t>Annual appropriations poperly controlled and utilized</t>
  </si>
  <si>
    <t>Expenditures within the budget limit</t>
  </si>
  <si>
    <t>Efficient database and network administration</t>
  </si>
  <si>
    <t>Programs/ Project/ Activity</t>
  </si>
  <si>
    <t>Maintenance &amp;Other Operating Expenses</t>
  </si>
  <si>
    <r>
      <t>A.</t>
    </r>
    <r>
      <rPr>
        <b/>
        <sz val="7"/>
        <color theme="1"/>
        <rFont val="Times New Roman"/>
        <family val="1"/>
      </rPr>
      <t xml:space="preserve">   </t>
    </r>
    <r>
      <rPr>
        <b/>
        <sz val="11"/>
        <color theme="1"/>
        <rFont val="Arial"/>
        <family val="2"/>
      </rPr>
      <t>PROGRAMS</t>
    </r>
  </si>
  <si>
    <r>
      <t>B.</t>
    </r>
    <r>
      <rPr>
        <b/>
        <sz val="7"/>
        <color theme="1"/>
        <rFont val="Times New Roman"/>
        <family val="1"/>
      </rPr>
      <t xml:space="preserve">   </t>
    </r>
    <r>
      <rPr>
        <b/>
        <sz val="11"/>
        <color theme="1"/>
        <rFont val="Arial"/>
        <family val="2"/>
      </rPr>
      <t>PROJECTS</t>
    </r>
  </si>
  <si>
    <t>Program /Activity</t>
  </si>
  <si>
    <t xml:space="preserve">          </t>
  </si>
  <si>
    <t>1. Administration Division</t>
  </si>
  <si>
    <t>2.Cash Division</t>
  </si>
  <si>
    <t>3. Cash Receipts Division</t>
  </si>
  <si>
    <t>4. Field Operation Division</t>
  </si>
  <si>
    <t>4 IT equipment procured</t>
  </si>
  <si>
    <t>60 OSYs</t>
  </si>
  <si>
    <t>Monitoring and facilitation of DSWD Programs</t>
  </si>
  <si>
    <t># of ABC meetings; # of Brgy Captains</t>
  </si>
  <si>
    <t>VII. GENERAL FUNDS (PS &amp; MOOE)</t>
  </si>
  <si>
    <t>1. Payment of salaries and wages and other benefits</t>
  </si>
  <si>
    <t>No. of employees (regular andcasuals)</t>
  </si>
  <si>
    <t>17 reg.</t>
  </si>
  <si>
    <t xml:space="preserve">  2.1 Traveling Expenses</t>
  </si>
  <si>
    <t># of authorized regular employees</t>
  </si>
  <si>
    <t xml:space="preserve">  2.2 Training Expenses</t>
  </si>
  <si>
    <t>No. of Trainings</t>
  </si>
  <si>
    <t xml:space="preserve">  2.3 Office Supplies</t>
  </si>
  <si>
    <t>based on the Annual Sup. Proc. Plan</t>
  </si>
  <si>
    <t xml:space="preserve">  2.4 Gasoline, oil, etc.</t>
  </si>
  <si>
    <t># of vehicles &amp; motorcycles</t>
  </si>
  <si>
    <t>2V, 3M</t>
  </si>
  <si>
    <t xml:space="preserve">  2.5 Water Expenses</t>
  </si>
  <si>
    <t># of water meter</t>
  </si>
  <si>
    <t xml:space="preserve">  2.6 Electricity expenses</t>
  </si>
  <si>
    <t># of electric meter</t>
  </si>
  <si>
    <t xml:space="preserve">  2.7 Postage and deliveries</t>
  </si>
  <si>
    <t xml:space="preserve">  2.8 Telephone/Internet</t>
  </si>
  <si>
    <t xml:space="preserve">  2.9 Telephone - Mobile (load allowance)</t>
  </si>
  <si>
    <t>No. of Sector Heads provided with load allowance</t>
  </si>
  <si>
    <t xml:space="preserve">  2.10 General Services (Job Order)</t>
  </si>
  <si>
    <t>No. of Job Order Casuals</t>
  </si>
  <si>
    <t xml:space="preserve"> 2.11 General Services (Contractual)</t>
  </si>
  <si>
    <t>No. of Contractuals</t>
  </si>
  <si>
    <t xml:space="preserve">  2.12 R &amp; M Office Equipment</t>
  </si>
  <si>
    <t xml:space="preserve">  2.13 R &amp; M  - Furnitures &amp; Fixtures</t>
  </si>
  <si>
    <t xml:space="preserve">  2.14 R &amp; M- IT equipment &amp; software</t>
  </si>
  <si>
    <t xml:space="preserve">  2.15 R &amp; M - Motor vehicles</t>
  </si>
  <si>
    <t>vehicles and motocycles</t>
  </si>
  <si>
    <t xml:space="preserve">  2.16 R &amp; M - other properties &amp; equipt.</t>
  </si>
  <si>
    <t xml:space="preserve">  2.17 Fidelity Bond Premium</t>
  </si>
  <si>
    <t># of bonded employees</t>
  </si>
  <si>
    <t xml:space="preserve">  2.18 Other Maintenance &amp; Oprtg. Exp.</t>
  </si>
  <si>
    <t xml:space="preserve">  2.19 EMS Support Fund for the renewal and Expansion of EMS implementation</t>
  </si>
  <si>
    <t>EMS Certification 14001:2004</t>
  </si>
  <si>
    <t>1 Cert.</t>
  </si>
  <si>
    <t>BEC cascaded to the MLGUs and other stakeholders</t>
  </si>
  <si>
    <r>
      <t>·</t>
    </r>
    <r>
      <rPr>
        <sz val="7"/>
        <color theme="1"/>
        <rFont val="Times New Roman"/>
        <family val="1"/>
      </rPr>
      <t xml:space="preserve">      </t>
    </r>
    <r>
      <rPr>
        <sz val="11"/>
        <color theme="1"/>
        <rFont val="Calibri"/>
        <family val="2"/>
        <scheme val="minor"/>
      </rPr>
      <t>Policy recommendations</t>
    </r>
  </si>
  <si>
    <t xml:space="preserve">  B.2.1 Prepare and submit rider questions for approval of Gov.</t>
  </si>
  <si>
    <t xml:space="preserve">  C.1.3 schedule date &amp; venue</t>
  </si>
  <si>
    <t xml:space="preserve">  C.1.6 submit post training report</t>
  </si>
  <si>
    <t>C.2 Assessment, Strategic and operational planning and budgeting</t>
  </si>
  <si>
    <t xml:space="preserve">  C.2.1 prepare training design</t>
  </si>
  <si>
    <t xml:space="preserve">  C.2.3 schedule date &amp; venue</t>
  </si>
  <si>
    <t xml:space="preserve">  C.2.6 submit post training report</t>
  </si>
  <si>
    <r>
      <t>·</t>
    </r>
    <r>
      <rPr>
        <sz val="7"/>
        <color theme="1"/>
        <rFont val="Times New Roman"/>
        <family val="1"/>
      </rPr>
      <t xml:space="preserve">   </t>
    </r>
    <r>
      <rPr>
        <sz val="11"/>
        <color theme="1"/>
        <rFont val="Calibri"/>
        <family val="2"/>
        <scheme val="minor"/>
      </rPr>
      <t>Traveling Expenses</t>
    </r>
  </si>
  <si>
    <r>
      <t>·</t>
    </r>
    <r>
      <rPr>
        <sz val="7"/>
        <color theme="1"/>
        <rFont val="Times New Roman"/>
        <family val="1"/>
      </rPr>
      <t xml:space="preserve">   </t>
    </r>
    <r>
      <rPr>
        <sz val="11"/>
        <color theme="1"/>
        <rFont val="Calibri"/>
        <family val="2"/>
        <scheme val="minor"/>
      </rPr>
      <t>Training expenses –conference &amp; workshops</t>
    </r>
  </si>
  <si>
    <r>
      <t>·</t>
    </r>
    <r>
      <rPr>
        <sz val="7"/>
        <color theme="1"/>
        <rFont val="Times New Roman"/>
        <family val="1"/>
      </rPr>
      <t xml:space="preserve">   </t>
    </r>
    <r>
      <rPr>
        <sz val="11"/>
        <color theme="1"/>
        <rFont val="Calibri"/>
        <family val="2"/>
        <scheme val="minor"/>
      </rPr>
      <t>Office Supplies expenses</t>
    </r>
  </si>
  <si>
    <r>
      <t>·</t>
    </r>
    <r>
      <rPr>
        <sz val="7"/>
        <color theme="1"/>
        <rFont val="Times New Roman"/>
        <family val="1"/>
      </rPr>
      <t xml:space="preserve">   </t>
    </r>
    <r>
      <rPr>
        <sz val="11"/>
        <color theme="1"/>
        <rFont val="Calibri"/>
        <family val="2"/>
        <scheme val="minor"/>
      </rPr>
      <t>Gasoline and lubricant expenses</t>
    </r>
  </si>
  <si>
    <r>
      <t>·</t>
    </r>
    <r>
      <rPr>
        <sz val="7"/>
        <color theme="1"/>
        <rFont val="Times New Roman"/>
        <family val="1"/>
      </rPr>
      <t xml:space="preserve">   </t>
    </r>
    <r>
      <rPr>
        <sz val="11"/>
        <color theme="1"/>
        <rFont val="Calibri"/>
        <family val="2"/>
        <scheme val="minor"/>
      </rPr>
      <t>Water expenses</t>
    </r>
  </si>
  <si>
    <r>
      <t>·</t>
    </r>
    <r>
      <rPr>
        <sz val="7"/>
        <color theme="1"/>
        <rFont val="Times New Roman"/>
        <family val="1"/>
      </rPr>
      <t xml:space="preserve">   </t>
    </r>
    <r>
      <rPr>
        <sz val="11"/>
        <color theme="1"/>
        <rFont val="Calibri"/>
        <family val="2"/>
        <scheme val="minor"/>
      </rPr>
      <t>Electricity expenses</t>
    </r>
  </si>
  <si>
    <r>
      <t>·</t>
    </r>
    <r>
      <rPr>
        <sz val="7"/>
        <color theme="1"/>
        <rFont val="Times New Roman"/>
        <family val="1"/>
      </rPr>
      <t xml:space="preserve">   </t>
    </r>
    <r>
      <rPr>
        <sz val="11"/>
        <color theme="1"/>
        <rFont val="Calibri"/>
        <family val="2"/>
        <scheme val="minor"/>
      </rPr>
      <t>Postage and delivery</t>
    </r>
  </si>
  <si>
    <r>
      <t>·</t>
    </r>
    <r>
      <rPr>
        <sz val="7"/>
        <color theme="1"/>
        <rFont val="Times New Roman"/>
        <family val="1"/>
      </rPr>
      <t xml:space="preserve">   </t>
    </r>
    <r>
      <rPr>
        <sz val="11"/>
        <color theme="1"/>
        <rFont val="Calibri"/>
        <family val="2"/>
        <scheme val="minor"/>
      </rPr>
      <t>Telephone expenses-landline</t>
    </r>
  </si>
  <si>
    <r>
      <t>·</t>
    </r>
    <r>
      <rPr>
        <sz val="7"/>
        <color theme="1"/>
        <rFont val="Times New Roman"/>
        <family val="1"/>
      </rPr>
      <t xml:space="preserve">   </t>
    </r>
    <r>
      <rPr>
        <sz val="11"/>
        <color theme="1"/>
        <rFont val="Calibri"/>
        <family val="2"/>
        <scheme val="minor"/>
      </rPr>
      <t>Telephone expenses-mobile</t>
    </r>
  </si>
  <si>
    <r>
      <t>·</t>
    </r>
    <r>
      <rPr>
        <sz val="7"/>
        <color theme="1"/>
        <rFont val="Times New Roman"/>
        <family val="1"/>
      </rPr>
      <t xml:space="preserve">   </t>
    </r>
    <r>
      <rPr>
        <sz val="11"/>
        <color theme="1"/>
        <rFont val="Calibri"/>
        <family val="2"/>
        <scheme val="minor"/>
      </rPr>
      <t>General services-research policy review and development</t>
    </r>
  </si>
  <si>
    <r>
      <t>·</t>
    </r>
    <r>
      <rPr>
        <sz val="7"/>
        <color theme="1"/>
        <rFont val="Times New Roman"/>
        <family val="1"/>
      </rPr>
      <t xml:space="preserve">   </t>
    </r>
    <r>
      <rPr>
        <sz val="11"/>
        <color theme="1"/>
        <rFont val="Calibri"/>
        <family val="2"/>
        <scheme val="minor"/>
      </rPr>
      <t>General services-  wages contractuals</t>
    </r>
  </si>
  <si>
    <r>
      <t>·</t>
    </r>
    <r>
      <rPr>
        <sz val="7"/>
        <color theme="1"/>
        <rFont val="Times New Roman"/>
        <family val="1"/>
      </rPr>
      <t xml:space="preserve">   </t>
    </r>
    <r>
      <rPr>
        <sz val="11"/>
        <color theme="1"/>
        <rFont val="Calibri"/>
        <family val="2"/>
        <scheme val="minor"/>
      </rPr>
      <t>R &amp; M –office building</t>
    </r>
  </si>
  <si>
    <r>
      <t>·</t>
    </r>
    <r>
      <rPr>
        <sz val="7"/>
        <color theme="1"/>
        <rFont val="Times New Roman"/>
        <family val="1"/>
      </rPr>
      <t xml:space="preserve">   </t>
    </r>
    <r>
      <rPr>
        <sz val="11"/>
        <color theme="1"/>
        <rFont val="Calibri"/>
        <family val="2"/>
        <scheme val="minor"/>
      </rPr>
      <t>R &amp; M – IT equipment &amp; software</t>
    </r>
  </si>
  <si>
    <r>
      <t>·</t>
    </r>
    <r>
      <rPr>
        <sz val="7"/>
        <color theme="1"/>
        <rFont val="Times New Roman"/>
        <family val="1"/>
      </rPr>
      <t xml:space="preserve">   </t>
    </r>
    <r>
      <rPr>
        <sz val="11"/>
        <color theme="1"/>
        <rFont val="Calibri"/>
        <family val="2"/>
        <scheme val="minor"/>
      </rPr>
      <t>Fidelity bond premium</t>
    </r>
  </si>
  <si>
    <r>
      <t>·</t>
    </r>
    <r>
      <rPr>
        <sz val="7"/>
        <color theme="1"/>
        <rFont val="Times New Roman"/>
        <family val="1"/>
      </rPr>
      <t xml:space="preserve">   </t>
    </r>
    <r>
      <rPr>
        <sz val="11"/>
        <color theme="1"/>
        <rFont val="Calibri"/>
        <family val="2"/>
        <scheme val="minor"/>
      </rPr>
      <t>Other maintenance &amp; operating expenses-EMS</t>
    </r>
  </si>
  <si>
    <t xml:space="preserve">  One desktop computer</t>
  </si>
  <si>
    <t xml:space="preserve">  DLSR Digital Camera</t>
  </si>
  <si>
    <t>For research documentation</t>
  </si>
  <si>
    <t>HRMDO-2</t>
  </si>
  <si>
    <t xml:space="preserve">                 Total</t>
  </si>
  <si>
    <t>Adminisrative Support</t>
  </si>
  <si>
    <t>Maint. &amp; Other Operating Procedures</t>
  </si>
  <si>
    <t>Current Operating Procedures</t>
  </si>
  <si>
    <t>BOHOL CENTER FOR DEVELOPMENT STUDIES (GO-BCDS)</t>
  </si>
  <si>
    <t>New Appropriations by Program/Project</t>
  </si>
  <si>
    <t>Non-Office Expenditures- e-ngas</t>
  </si>
  <si>
    <t>Prov'l. Monitoring &amp; Evaluation System</t>
  </si>
  <si>
    <t>Counterpart to PRMF Office Operation</t>
  </si>
  <si>
    <t>Operation of PDC / RDC</t>
  </si>
  <si>
    <t>Updating of the PDPFP</t>
  </si>
  <si>
    <t>Operation of the Road Sector Committee</t>
  </si>
  <si>
    <t xml:space="preserve">                   Sub-Total</t>
  </si>
  <si>
    <t xml:space="preserve">        e-BUDGET</t>
  </si>
  <si>
    <t>e-NGAS</t>
  </si>
  <si>
    <t>e-TRACS</t>
  </si>
  <si>
    <t xml:space="preserve">Non-OFFICE  </t>
  </si>
  <si>
    <t xml:space="preserve">                 Sub-Total</t>
  </si>
  <si>
    <t xml:space="preserve">                 Sub Total</t>
  </si>
  <si>
    <t>Operating Exp. - SPES</t>
  </si>
  <si>
    <t>Operating Exp. - INFO. DRIVE</t>
  </si>
  <si>
    <t>Operating Exp. - BLL</t>
  </si>
  <si>
    <t>Operating Exp. - BOHOL ENV'T. CODE REVIEW</t>
  </si>
  <si>
    <t>ISO-14001</t>
  </si>
  <si>
    <t>Shipment of Prisoners</t>
  </si>
  <si>
    <t>COMM. RESEARCHERS</t>
  </si>
  <si>
    <t>Subsidy</t>
  </si>
  <si>
    <t>SUBSIDY</t>
  </si>
  <si>
    <t>Foreign Assisted</t>
  </si>
  <si>
    <t>CCPP / ICLEI / ECO</t>
  </si>
  <si>
    <t>PLUC-CLUP REVIEW</t>
  </si>
  <si>
    <t>CRISIS CENTER</t>
  </si>
  <si>
    <t>969-10</t>
  </si>
  <si>
    <t>749-1 Loyalty</t>
  </si>
  <si>
    <t xml:space="preserve"> 749   Monetization</t>
  </si>
  <si>
    <t>landline</t>
  </si>
  <si>
    <t>Equipt</t>
  </si>
  <si>
    <t>Other supplies exp</t>
  </si>
  <si>
    <t>transferred to PPDO</t>
  </si>
  <si>
    <t>Pro-Team, CDP, Purok Power Movement</t>
  </si>
  <si>
    <t>Purchase of Canine Narcotics Dog</t>
  </si>
  <si>
    <t xml:space="preserve">Improvement/Expansion of the Bohol Cultural Center </t>
  </si>
  <si>
    <t>Furnishing/Refurbishing of Bohol People's Mansion</t>
  </si>
  <si>
    <t>Purchase of Pumpboats</t>
  </si>
  <si>
    <t>RPTIS / RPHIS</t>
  </si>
  <si>
    <t>Land Titling Program</t>
  </si>
  <si>
    <t>Coconut Seedling</t>
  </si>
  <si>
    <t>Purchase of Survey Equipments</t>
  </si>
  <si>
    <t>Capacity Building Effective Local Governance</t>
  </si>
  <si>
    <t xml:space="preserve">          water  (Prov'l./Nat'l. Off.) -RTC Branches</t>
  </si>
  <si>
    <t>Prosperity Program -Purok Power</t>
  </si>
  <si>
    <t xml:space="preserve">      Repairs and Maintenance-Office Building</t>
  </si>
  <si>
    <t xml:space="preserve">      Repairs and Maintenance-Office Equipment</t>
  </si>
  <si>
    <t xml:space="preserve">      Repairs and Maintenance-Furniture and Fixtures</t>
  </si>
  <si>
    <t xml:space="preserve">      Extraordinary Expenses</t>
  </si>
  <si>
    <t xml:space="preserve">      Miscellaneous Expenses</t>
  </si>
  <si>
    <t xml:space="preserve">     Furnitures and Fixture</t>
  </si>
  <si>
    <t>Provincial Auditor's Office- COA</t>
  </si>
  <si>
    <t xml:space="preserve">Capital Outlay: </t>
  </si>
  <si>
    <t>Register of Deeds</t>
  </si>
  <si>
    <t xml:space="preserve">     Office Equipment - Fax Machine</t>
  </si>
  <si>
    <t xml:space="preserve">     Construction of Rest Rooms</t>
  </si>
  <si>
    <t xml:space="preserve">     Purchase of IT Equipment</t>
  </si>
  <si>
    <t>RTC Branch 1</t>
  </si>
  <si>
    <t xml:space="preserve">    Office Renovation</t>
  </si>
  <si>
    <t xml:space="preserve">    Purchase of Computer, furniture &amp; fixture</t>
  </si>
  <si>
    <t xml:space="preserve">Countryside Development Program </t>
  </si>
  <si>
    <t xml:space="preserve">               (including culture and sports)</t>
  </si>
  <si>
    <t>Prosperity Fair (Jobs Fair, Mobile Services)</t>
  </si>
  <si>
    <t xml:space="preserve">         Tourism Development Program</t>
  </si>
  <si>
    <t>ICT &amp; Other Related Projects</t>
  </si>
  <si>
    <t>Boholympics Program</t>
  </si>
  <si>
    <t>Aid to Bohol Federation of Disabled Person  / PDAO</t>
  </si>
  <si>
    <t>GAD  Programs/Projects/Activities</t>
  </si>
  <si>
    <t xml:space="preserve">            Lupon (INSURANCE)</t>
  </si>
  <si>
    <t>Gov't Aid - Brgy. Officials, BHW/BNS, Tanod, DCW, BALA,</t>
  </si>
  <si>
    <t xml:space="preserve">Dairy Development and Comprehensive Health, Agricultural and </t>
  </si>
  <si>
    <t>Health Program for Barangay / Botica sa Barangay</t>
  </si>
  <si>
    <t>PGBH-CSO Collaboration Program</t>
  </si>
  <si>
    <t>Installation of e-Procurement system</t>
  </si>
  <si>
    <t xml:space="preserve">                  -BAC</t>
  </si>
  <si>
    <t xml:space="preserve">                  -BLECS</t>
  </si>
  <si>
    <t xml:space="preserve">                        - Employees (BAC Seretariat)</t>
  </si>
  <si>
    <t xml:space="preserve">                        - Administrator</t>
  </si>
  <si>
    <t>GAD Program:</t>
  </si>
  <si>
    <t>*Real Property Tax-Basic*</t>
  </si>
  <si>
    <t>2.1 NON- TAX REVENUE</t>
  </si>
  <si>
    <t>*Operating and Miscellaneous Revenue*</t>
  </si>
  <si>
    <t>*Extra-Ordinary Receipts*</t>
  </si>
  <si>
    <t>*Other Receipts*</t>
  </si>
  <si>
    <t>2.3 EXTERNAL SOURCE</t>
  </si>
  <si>
    <t>2.4 CAPITAL INVESTMENT RECEIPTS</t>
  </si>
  <si>
    <t>2.5 BORROWINGS</t>
  </si>
  <si>
    <t>Gain on Sale of Assets</t>
  </si>
  <si>
    <t xml:space="preserve"> PCSO (Lotto)</t>
  </si>
  <si>
    <t>Note: Personnel Protective Materials charge to Other Maintenance &amp; Operating Expenses for EMS Compliance</t>
  </si>
  <si>
    <t>C. O</t>
  </si>
  <si>
    <t>Bohol Integrated Water Resources Mgt. Project</t>
  </si>
  <si>
    <t xml:space="preserve">      Productivity Enhancement Incentive</t>
  </si>
  <si>
    <t>PHO-2</t>
  </si>
  <si>
    <t xml:space="preserve">               Chief of Hospital</t>
  </si>
  <si>
    <t>BOHOL EMPLOYMENT &amp; PLACEMENT OFFICE (BEPO)</t>
  </si>
  <si>
    <t>BOHOL INVESTMENTS PROMOTION CENTER</t>
  </si>
  <si>
    <t>BOHOL DISTRICT JAIL</t>
  </si>
  <si>
    <t xml:space="preserve">    A competent, objective and professional organization providing management with quality and well-researched assessments of government operations for amore effective, efficient and compliant Provincial Government of Bohol.</t>
  </si>
  <si>
    <t>PROVINCIAL INTERNAL AUDIT OFFICE</t>
  </si>
  <si>
    <t>Total Unfilled Authorized Positions</t>
  </si>
  <si>
    <t>SP-2</t>
  </si>
  <si>
    <t xml:space="preserve">Code Ref.  </t>
  </si>
  <si>
    <t>LIBRARY SERVICES</t>
  </si>
  <si>
    <t>Function                  :           Human Resource Services</t>
  </si>
  <si>
    <t>PROVINCIAL HUMAN RESOURCE MANAGEMENT AND DEVELOPMENT OFFICE</t>
  </si>
  <si>
    <t>Provincial Human Resource Management &amp; Development Office</t>
  </si>
  <si>
    <t>Total Unfilled Authorized Position</t>
  </si>
  <si>
    <r>
      <rPr>
        <sz val="12"/>
        <color indexed="8"/>
        <rFont val="Arial"/>
        <family val="2"/>
      </rPr>
      <t xml:space="preserve">Office/Department: </t>
    </r>
    <r>
      <rPr>
        <b/>
        <sz val="12"/>
        <color indexed="8"/>
        <rFont val="Arial"/>
        <family val="2"/>
      </rPr>
      <t xml:space="preserve">  PROVINCIAL BUDGET AND MANAGEMENT OFFICE </t>
    </r>
  </si>
  <si>
    <t xml:space="preserve">      Revenue Collection Clerk II</t>
  </si>
  <si>
    <t xml:space="preserve">      Accounting Clerk I</t>
  </si>
  <si>
    <t xml:space="preserve">      Accounting Clerk II</t>
  </si>
  <si>
    <t xml:space="preserve">      Accounting Clerk III</t>
  </si>
  <si>
    <t xml:space="preserve">      Bookkeeper </t>
  </si>
  <si>
    <t xml:space="preserve">      Senior Bookkeeper</t>
  </si>
  <si>
    <t xml:space="preserve">      Accountant II</t>
  </si>
  <si>
    <t xml:space="preserve">      Management &amp; Audit Analyst I</t>
  </si>
  <si>
    <t xml:space="preserve">      Management &amp; Audit Analyst II</t>
  </si>
  <si>
    <t xml:space="preserve">      Management &amp; Audit Analyst III</t>
  </si>
  <si>
    <t xml:space="preserve">Target </t>
  </si>
  <si>
    <t>III. Programs/Projects/Activities</t>
  </si>
  <si>
    <r>
      <t xml:space="preserve">     </t>
    </r>
    <r>
      <rPr>
        <sz val="10"/>
        <rFont val="Arial"/>
        <family val="2"/>
      </rPr>
      <t xml:space="preserve">  related to Transfer of Real</t>
    </r>
  </si>
  <si>
    <t xml:space="preserve">           4.  To establish a system that would address the present challenge in the assessement and collection system </t>
  </si>
  <si>
    <t xml:space="preserve">                 in the real property throughout the province.</t>
  </si>
  <si>
    <t xml:space="preserve">       Local Assessment Oprt. Officer I</t>
  </si>
  <si>
    <t xml:space="preserve">       Assessment Clerk II</t>
  </si>
  <si>
    <t xml:space="preserve">       Assessment Clerk I</t>
  </si>
  <si>
    <r>
      <rPr>
        <sz val="12"/>
        <rFont val="Arial"/>
        <family val="2"/>
      </rPr>
      <t xml:space="preserve">Office/Department: </t>
    </r>
    <r>
      <rPr>
        <b/>
        <sz val="12"/>
        <rFont val="Arial"/>
        <family val="2"/>
      </rPr>
      <t xml:space="preserve">                            Provincial Health Office</t>
    </r>
  </si>
  <si>
    <t>TEODORO B. GALAGAR DIST. HOSPITAL</t>
  </si>
  <si>
    <t>health teachings provided to all in &amp; Out-Patients</t>
  </si>
  <si>
    <t>Provide Health Information Dissemenation specially on Preventive Health Care</t>
  </si>
  <si>
    <t>NATALIO CASTILLO, SR.MEMORIAL HOSPITAL</t>
  </si>
  <si>
    <t>CLARIN COMMUNITY HOSPITAL</t>
  </si>
  <si>
    <t>CANDIJAY COMMUNITY HOSPITAL</t>
  </si>
  <si>
    <t>PRES. CP GARCIA MUNICIPAL HOSPITAL</t>
  </si>
  <si>
    <t>OFFICE  of the PROVINCIAL AGRICULTURIST</t>
  </si>
  <si>
    <t>OFFICE of the PROVINCIAL VETERINARIAN</t>
  </si>
  <si>
    <t>OPV-2</t>
  </si>
  <si>
    <t>PROVINCIAL MOTORPOOL OFFICE</t>
  </si>
  <si>
    <t>Motor Vehicle</t>
  </si>
  <si>
    <t>Statement of Receipts-2</t>
  </si>
  <si>
    <t xml:space="preserve"> (ESTIMATE)</t>
  </si>
  <si>
    <t>TOTAL NO.</t>
  </si>
  <si>
    <t xml:space="preserve">          Hospital Modernization</t>
  </si>
  <si>
    <t>Office Equipt.</t>
  </si>
  <si>
    <t>IT Equipt.</t>
  </si>
  <si>
    <t>ANNEX "B" LBC No. 98</t>
  </si>
  <si>
    <t>Other Mach.</t>
  </si>
  <si>
    <t>Other Structure</t>
  </si>
  <si>
    <t>PHRMDO</t>
  </si>
  <si>
    <t>e-BUDGET</t>
  </si>
  <si>
    <t>Bohol Stimulation &amp; Therapeutic Activity Center</t>
  </si>
  <si>
    <t xml:space="preserve"> Statutory &amp; Contractual Obligations</t>
  </si>
  <si>
    <t>COA</t>
  </si>
  <si>
    <t>RTC Branches</t>
  </si>
  <si>
    <t>NGA</t>
  </si>
  <si>
    <t>Other Non-Office Expenditures</t>
  </si>
  <si>
    <t>Budget Review Matrix (NOE)-3</t>
  </si>
  <si>
    <t>Budget Review Matrix (NOE) -2</t>
  </si>
  <si>
    <t xml:space="preserve"> IRA </t>
  </si>
  <si>
    <t xml:space="preserve">     1.1 Terminal Leave , Monetization Leave</t>
  </si>
  <si>
    <t>2. PCSO (Lotto)</t>
  </si>
  <si>
    <t>Non-Office (Charged by Office)</t>
  </si>
  <si>
    <t>GO/SP</t>
  </si>
  <si>
    <t>PHO/OPA</t>
  </si>
  <si>
    <r>
      <t>Ø</t>
    </r>
    <r>
      <rPr>
        <sz val="7"/>
        <color theme="1"/>
        <rFont val="Times New Roman"/>
        <family val="1"/>
      </rPr>
      <t xml:space="preserve">  </t>
    </r>
    <r>
      <rPr>
        <sz val="12"/>
        <color theme="1"/>
        <rFont val="Times New Roman"/>
        <family val="1"/>
      </rPr>
      <t>Ensure the delivery of basics services and the provision of adequate facilities.</t>
    </r>
  </si>
  <si>
    <r>
      <t>Ø</t>
    </r>
    <r>
      <rPr>
        <sz val="7"/>
        <color theme="1"/>
        <rFont val="Times New Roman"/>
        <family val="1"/>
      </rPr>
      <t xml:space="preserve">  </t>
    </r>
    <r>
      <rPr>
        <sz val="12"/>
        <color theme="1"/>
        <rFont val="Times New Roman"/>
        <family val="1"/>
      </rPr>
      <t xml:space="preserve">Enforce all laws and ordinances relative to the governance of the province and exercise of the appropriate </t>
    </r>
  </si>
  <si>
    <r>
      <t>Ø</t>
    </r>
    <r>
      <rPr>
        <sz val="7"/>
        <color theme="1"/>
        <rFont val="Times New Roman"/>
        <family val="1"/>
      </rPr>
      <t xml:space="preserve">  </t>
    </r>
    <r>
      <rPr>
        <sz val="12"/>
        <color theme="1"/>
        <rFont val="Times New Roman"/>
        <family val="1"/>
      </rPr>
      <t xml:space="preserve">Initiate and maximize the generation of resources and revenues, and apply the same to implement development </t>
    </r>
  </si>
  <si>
    <t xml:space="preserve">      plan of the province, priority programs and particularly those resources and revenues programmed for the </t>
  </si>
  <si>
    <r>
      <t>1.</t>
    </r>
    <r>
      <rPr>
        <sz val="7"/>
        <color theme="1"/>
        <rFont val="Times New Roman"/>
        <family val="1"/>
      </rPr>
      <t xml:space="preserve">      </t>
    </r>
    <r>
      <rPr>
        <sz val="12"/>
        <color theme="1"/>
        <rFont val="Times New Roman"/>
        <family val="1"/>
      </rPr>
      <t>To provide effective and efficient delivery of basic services.</t>
    </r>
  </si>
  <si>
    <r>
      <t>2.</t>
    </r>
    <r>
      <rPr>
        <sz val="7"/>
        <color theme="1"/>
        <rFont val="Times New Roman"/>
        <family val="1"/>
      </rPr>
      <t xml:space="preserve">      </t>
    </r>
    <r>
      <rPr>
        <sz val="12"/>
        <color theme="1"/>
        <rFont val="Times New Roman"/>
        <family val="1"/>
      </rPr>
      <t>To enhance prosperity in order to meet the Provincial Development Goal of “HEAT BOHOL”</t>
    </r>
  </si>
  <si>
    <r>
      <t>6.</t>
    </r>
    <r>
      <rPr>
        <sz val="7"/>
        <color theme="1"/>
        <rFont val="Times New Roman"/>
        <family val="1"/>
      </rPr>
      <t xml:space="preserve">      </t>
    </r>
    <r>
      <rPr>
        <sz val="12"/>
        <color theme="1"/>
        <rFont val="Times New Roman"/>
        <family val="1"/>
      </rPr>
      <t>To adapt aggressive fiscal management program</t>
    </r>
  </si>
  <si>
    <r>
      <t>11.</t>
    </r>
    <r>
      <rPr>
        <sz val="7"/>
        <color theme="1"/>
        <rFont val="Times New Roman"/>
        <family val="1"/>
      </rPr>
      <t xml:space="preserve">  </t>
    </r>
    <r>
      <rPr>
        <sz val="12"/>
        <color theme="1"/>
        <rFont val="Times New Roman"/>
        <family val="1"/>
      </rPr>
      <t>To provide executive and administrative support with dedication and commitment.</t>
    </r>
  </si>
  <si>
    <r>
      <t>9.</t>
    </r>
    <r>
      <rPr>
        <sz val="7"/>
        <color theme="1"/>
        <rFont val="Times New Roman"/>
        <family val="1"/>
      </rPr>
      <t xml:space="preserve">      </t>
    </r>
    <r>
      <rPr>
        <sz val="12"/>
        <color theme="1"/>
        <rFont val="Times New Roman"/>
        <family val="1"/>
      </rPr>
      <t xml:space="preserve">To attract local and foreign investments and develop tourist destinations balanced with environment </t>
    </r>
  </si>
  <si>
    <t xml:space="preserve">       preservation</t>
  </si>
  <si>
    <t>PROGRAM/PROJECT/</t>
  </si>
  <si>
    <t>ACTIVITY</t>
  </si>
  <si>
    <t>1.  MANAGEMENT AND EXECUTION OF POLICIES</t>
  </si>
  <si>
    <t>a.  Executive Division:</t>
  </si>
  <si>
    <t>&gt;Coordination with National Agencies and Private Sector stationed in the province to harmonize the plans and programs of National/LGU’s</t>
  </si>
  <si>
    <t>&gt;well-coordinated</t>
  </si>
  <si>
    <t>&gt;Formulation of the provincial development plans with the assistance of the Provincial Development Council</t>
  </si>
  <si>
    <t>&gt;formulation of the PD plans</t>
  </si>
  <si>
    <t>&gt;Presentation of the program of government and propose policies and projects for the consideration in the regular session of the SP during the calendar year and as may be necessary for the general welfare of the inhabitants</t>
  </si>
  <si>
    <t>&gt;Presented and proposed policies and projects to SP</t>
  </si>
  <si>
    <t>&gt;Dignitaries and investors well received</t>
  </si>
  <si>
    <t>&gt;Executive and legislative policies indorsed to SP</t>
  </si>
  <si>
    <t>&gt;Represent the province in all its business transactions and sign in its behalf all bonds, contracts, and obligations, and such other documents</t>
  </si>
  <si>
    <t>&gt;PGB business transaction well represented</t>
  </si>
  <si>
    <t>&gt;Ensure the delivery of basic services and provisions of adequate facilities to hospitals, municipalities</t>
  </si>
  <si>
    <t>&gt;Delivered basic services in hospitals, municipalities, and barangays</t>
  </si>
  <si>
    <t>100 visits to brgys.</t>
  </si>
  <si>
    <t>&gt;Coordinate the implementation of technical services by national offices for the province and its component cities and municipalities</t>
  </si>
  <si>
    <t>&gt;Authorize official trips of the provincial officials and employees outside of the province for period not exceeding thirty days (30)</t>
  </si>
  <si>
    <t>&gt;Approved official trips outside the province</t>
  </si>
  <si>
    <t>&gt;Well organized</t>
  </si>
  <si>
    <t>&gt;Represent the province in inter-provincial or regional Palaro or Sports development activities</t>
  </si>
  <si>
    <t>&gt;Represented well</t>
  </si>
  <si>
    <t>&gt;Submission to the Office of the President the annual report containing summary of all matters pertinent to the management, administration and development</t>
  </si>
  <si>
    <t>b.  Finance Division</t>
  </si>
  <si>
    <r>
      <t>·</t>
    </r>
    <r>
      <rPr>
        <sz val="7"/>
        <color theme="1"/>
        <rFont val="Times New Roman"/>
        <family val="1"/>
      </rPr>
      <t xml:space="preserve">         </t>
    </r>
    <r>
      <rPr>
        <sz val="11"/>
        <color theme="1"/>
        <rFont val="Calibri"/>
        <family val="2"/>
        <scheme val="minor"/>
      </rPr>
      <t>Budget and Finance Management</t>
    </r>
  </si>
  <si>
    <r>
      <t>·</t>
    </r>
    <r>
      <rPr>
        <sz val="7"/>
        <color theme="1"/>
        <rFont val="Times New Roman"/>
        <family val="1"/>
      </rPr>
      <t xml:space="preserve">         </t>
    </r>
    <r>
      <rPr>
        <sz val="11"/>
        <color theme="1"/>
        <rFont val="Calibri"/>
        <family val="2"/>
        <scheme val="minor"/>
      </rPr>
      <t>Verification of financial documents as to its mathematical accuracy, propriety of transactions and availability of funds.</t>
    </r>
  </si>
  <si>
    <r>
      <t>·</t>
    </r>
    <r>
      <rPr>
        <sz val="7"/>
        <color theme="1"/>
        <rFont val="Times New Roman"/>
        <family val="1"/>
      </rPr>
      <t xml:space="preserve">         </t>
    </r>
    <r>
      <rPr>
        <sz val="11"/>
        <color theme="1"/>
        <rFont val="Calibri"/>
        <family val="2"/>
        <scheme val="minor"/>
      </rPr>
      <t>Monitoring on the status of GO’s financial obligations</t>
    </r>
  </si>
  <si>
    <r>
      <t>·</t>
    </r>
    <r>
      <rPr>
        <sz val="7"/>
        <color theme="1"/>
        <rFont val="Times New Roman"/>
        <family val="1"/>
      </rPr>
      <t xml:space="preserve">         </t>
    </r>
    <r>
      <rPr>
        <sz val="11"/>
        <color theme="1"/>
        <rFont val="Calibri"/>
        <family val="2"/>
        <scheme val="minor"/>
      </rPr>
      <t>Provision of financial information to the management</t>
    </r>
  </si>
  <si>
    <r>
      <t>·</t>
    </r>
    <r>
      <rPr>
        <sz val="7"/>
        <color theme="1"/>
        <rFont val="Times New Roman"/>
        <family val="1"/>
      </rPr>
      <t xml:space="preserve">         </t>
    </r>
    <r>
      <rPr>
        <sz val="11"/>
        <color theme="1"/>
        <rFont val="Calibri"/>
        <family val="2"/>
        <scheme val="minor"/>
      </rPr>
      <t>Well-managed and well-utilized PGB funds</t>
    </r>
  </si>
  <si>
    <r>
      <t>·</t>
    </r>
    <r>
      <rPr>
        <sz val="7"/>
        <color theme="1"/>
        <rFont val="Times New Roman"/>
        <family val="1"/>
      </rPr>
      <t xml:space="preserve">         </t>
    </r>
    <r>
      <rPr>
        <sz val="11"/>
        <color theme="1"/>
        <rFont val="Calibri"/>
        <family val="2"/>
        <scheme val="minor"/>
      </rPr>
      <t>number of financial documents verified</t>
    </r>
  </si>
  <si>
    <r>
      <t>·</t>
    </r>
    <r>
      <rPr>
        <sz val="7"/>
        <color theme="1"/>
        <rFont val="Times New Roman"/>
        <family val="1"/>
      </rPr>
      <t xml:space="preserve">         </t>
    </r>
    <r>
      <rPr>
        <sz val="11"/>
        <color theme="1"/>
        <rFont val="Calibri"/>
        <family val="2"/>
        <scheme val="minor"/>
      </rPr>
      <t>financial obligations paid</t>
    </r>
  </si>
  <si>
    <r>
      <t>·</t>
    </r>
    <r>
      <rPr>
        <sz val="7"/>
        <color theme="1"/>
        <rFont val="Times New Roman"/>
        <family val="1"/>
      </rPr>
      <t xml:space="preserve">         </t>
    </r>
    <r>
      <rPr>
        <sz val="11"/>
        <color theme="1"/>
        <rFont val="Calibri"/>
        <family val="2"/>
        <scheme val="minor"/>
      </rPr>
      <t>number of financial reports submitted to the management</t>
    </r>
  </si>
  <si>
    <r>
      <t>·</t>
    </r>
    <r>
      <rPr>
        <sz val="7"/>
        <color theme="1"/>
        <rFont val="Times New Roman"/>
        <family val="1"/>
      </rPr>
      <t xml:space="preserve">         </t>
    </r>
    <r>
      <rPr>
        <sz val="11"/>
        <color theme="1"/>
        <rFont val="Calibri"/>
        <family val="2"/>
        <scheme val="minor"/>
      </rPr>
      <t>Daily</t>
    </r>
  </si>
  <si>
    <r>
      <t>·</t>
    </r>
    <r>
      <rPr>
        <sz val="7"/>
        <color theme="1"/>
        <rFont val="Times New Roman"/>
        <family val="1"/>
      </rPr>
      <t xml:space="preserve">         </t>
    </r>
    <r>
      <rPr>
        <sz val="11"/>
        <color theme="1"/>
        <rFont val="Calibri"/>
        <family val="2"/>
        <scheme val="minor"/>
      </rPr>
      <t>100 financial documents per day</t>
    </r>
  </si>
  <si>
    <r>
      <t>·</t>
    </r>
    <r>
      <rPr>
        <sz val="7"/>
        <color theme="1"/>
        <rFont val="Times New Roman"/>
        <family val="1"/>
      </rPr>
      <t xml:space="preserve">         </t>
    </r>
    <r>
      <rPr>
        <sz val="11"/>
        <color theme="1"/>
        <rFont val="Calibri"/>
        <family val="2"/>
        <scheme val="minor"/>
      </rPr>
      <t>all unpaid obligations during the current year</t>
    </r>
  </si>
  <si>
    <r>
      <t>·</t>
    </r>
    <r>
      <rPr>
        <sz val="7"/>
        <color theme="1"/>
        <rFont val="Times New Roman"/>
        <family val="1"/>
      </rPr>
      <t xml:space="preserve">         </t>
    </r>
    <r>
      <rPr>
        <sz val="11"/>
        <color theme="1"/>
        <rFont val="Calibri"/>
        <family val="2"/>
        <scheme val="minor"/>
      </rPr>
      <t>12 financial reports</t>
    </r>
  </si>
  <si>
    <t>c. Administrative Division</t>
  </si>
  <si>
    <t>&gt;Provision of capability development activities</t>
  </si>
  <si>
    <r>
      <t>·</t>
    </r>
    <r>
      <rPr>
        <sz val="7"/>
        <color theme="1"/>
        <rFont val="Times New Roman"/>
        <family val="1"/>
      </rPr>
      <t xml:space="preserve">         </t>
    </r>
    <r>
      <rPr>
        <sz val="11"/>
        <color theme="1"/>
        <rFont val="Calibri"/>
        <family val="2"/>
        <scheme val="minor"/>
      </rPr>
      <t>Team building</t>
    </r>
  </si>
  <si>
    <r>
      <t>·</t>
    </r>
    <r>
      <rPr>
        <sz val="7"/>
        <color theme="1"/>
        <rFont val="Times New Roman"/>
        <family val="1"/>
      </rPr>
      <t xml:space="preserve">         </t>
    </r>
    <r>
      <rPr>
        <sz val="11"/>
        <color theme="1"/>
        <rFont val="Calibri"/>
        <family val="2"/>
        <scheme val="minor"/>
      </rPr>
      <t>Assessment and planning workshop</t>
    </r>
  </si>
  <si>
    <r>
      <t>·</t>
    </r>
    <r>
      <rPr>
        <sz val="7"/>
        <color theme="1"/>
        <rFont val="Times New Roman"/>
        <family val="1"/>
      </rPr>
      <t xml:space="preserve">         </t>
    </r>
    <r>
      <rPr>
        <sz val="11"/>
        <color theme="1"/>
        <rFont val="Calibri"/>
        <family val="2"/>
        <scheme val="minor"/>
      </rPr>
      <t>Records computerization training</t>
    </r>
  </si>
  <si>
    <t>&gt;Database Management</t>
  </si>
  <si>
    <t>&gt;Environmental Management System Implementation</t>
  </si>
  <si>
    <t>&gt;Monthly staff coordination meeting and executive planning</t>
  </si>
  <si>
    <t>&gt;Establishment of Records Management Program</t>
  </si>
  <si>
    <t>&gt;Papers/records per management</t>
  </si>
  <si>
    <t>&gt;availability of stock supplies</t>
  </si>
  <si>
    <t>&gt;availability of computers and internet facilities</t>
  </si>
  <si>
    <t>&gt;general support provided</t>
  </si>
  <si>
    <t>&gt;construction of records management</t>
  </si>
  <si>
    <t>60 documents daily</t>
  </si>
  <si>
    <t>150 documents daily</t>
  </si>
  <si>
    <t>100% participation</t>
  </si>
  <si>
    <t>2.  ATTACHED OFFICES PROGRAMS &amp; Other Programs</t>
  </si>
  <si>
    <t>a.  Local Government Affairs/Constituency Services</t>
  </si>
  <si>
    <t>&gt;Info-drive on barangay projects and GAGPAI</t>
  </si>
  <si>
    <t>&gt;Coordinate with management/implementation of projects and release of financial assistance to different barangays</t>
  </si>
  <si>
    <t>&gt;Extend assistance to Individuals in Crisis Situation</t>
  </si>
  <si>
    <t>&gt;disseminated information</t>
  </si>
  <si>
    <t>&gt;coordinated and implemented well</t>
  </si>
  <si>
    <t>&gt;facilitated claims of deceased brgy officials beneficiaries</t>
  </si>
  <si>
    <t>&gt;extended assistance to individuals who are in crisis situation</t>
  </si>
  <si>
    <t>320 claimants</t>
  </si>
  <si>
    <t xml:space="preserve">Daily </t>
  </si>
  <si>
    <t>&gt;print media and its distribution</t>
  </si>
  <si>
    <t>&gt;activities of the Governor well monitored</t>
  </si>
  <si>
    <t>&gt;6,000/issue</t>
  </si>
  <si>
    <t>&gt;Interviews/Cover views of personalities</t>
  </si>
  <si>
    <t>&gt;governor’s report</t>
  </si>
  <si>
    <t>&gt;printed news releases and distributed</t>
  </si>
  <si>
    <t>&gt;Assist in hiring and substitution of province paid SEF teachers</t>
  </si>
  <si>
    <t>&gt;Processing of salaries including benefits to teachers and scholars</t>
  </si>
  <si>
    <t>&gt;Preparation of schedules of CPG Scholars exam in coordination with DEP-ED</t>
  </si>
  <si>
    <t>&gt;Coordinate with tertiary schools within Bohol as to CPG Scholars</t>
  </si>
  <si>
    <t>&gt;Coordinate with the CPG day</t>
  </si>
  <si>
    <t>&gt;Augment the existing 200 teachers</t>
  </si>
  <si>
    <t>Lack of teachers</t>
  </si>
  <si>
    <t>&gt;Meetings conducted</t>
  </si>
  <si>
    <t>&gt;scholarship grants</t>
  </si>
  <si>
    <t>&gt;prompt processing of allowances</t>
  </si>
  <si>
    <t>Head and staff</t>
  </si>
  <si>
    <t>4 X with teachers</t>
  </si>
  <si>
    <t>&gt;Medical Outreach Missions</t>
  </si>
  <si>
    <t>&gt;International Humanitarian Mission</t>
  </si>
  <si>
    <t>&gt;number of HEAT Bohol Caravans conducted</t>
  </si>
  <si>
    <t>&gt;number of  participating agencies continuously participated</t>
  </si>
  <si>
    <t>&gt;number of municipalities/brgys. Benefitted</t>
  </si>
  <si>
    <t>&gt;number of outreach missions conducted</t>
  </si>
  <si>
    <t>&gt;number of beneficiaries served</t>
  </si>
  <si>
    <t>&gt;number of international missions</t>
  </si>
  <si>
    <t>&gt;number of patients served</t>
  </si>
  <si>
    <t>6 HEAT Caravans</t>
  </si>
  <si>
    <t>48 Medical missions</t>
  </si>
  <si>
    <t>&gt;4 missions</t>
  </si>
  <si>
    <t>3.  IMPLEMENTATION AND SUPERVISION OF PRIORITY PRORAMS</t>
  </si>
  <si>
    <t>&gt;claims/salaries Vouchers paid</t>
  </si>
  <si>
    <t>&gt;efficient workers/ personnel/ effective working area</t>
  </si>
  <si>
    <t>Weekly/ monthly</t>
  </si>
  <si>
    <t>&gt;Responsive/ quality communication/ papers for signature/ approval</t>
  </si>
  <si>
    <t>Dental Program</t>
  </si>
  <si>
    <t>Non-Communicable Disease</t>
  </si>
  <si>
    <t>STD/HIVAIDS Prevention Program</t>
  </si>
  <si>
    <t>Blindness Prevention Program</t>
  </si>
  <si>
    <t>Renal Disease Program</t>
  </si>
  <si>
    <t>Field Health Information System</t>
  </si>
  <si>
    <t>Blood Program</t>
  </si>
  <si>
    <t>STD/HIV/AIDS Prevention Program</t>
  </si>
  <si>
    <t xml:space="preserve">    R &amp; M.- IT Equipt. Maint. &amp; Software</t>
  </si>
  <si>
    <t xml:space="preserve">    Fidelity Bond Premium</t>
  </si>
  <si>
    <t xml:space="preserve">    Other  Maint. &amp; Oprtg. Exp.- Info Drive</t>
  </si>
  <si>
    <t>BESF 1 p.1</t>
  </si>
  <si>
    <t>BESF 1 p.2</t>
  </si>
  <si>
    <t>BESF 1 p. 3</t>
  </si>
  <si>
    <t>GOVERNOR'S OFFICE</t>
  </si>
  <si>
    <t>1. Management and Execution of Policies</t>
  </si>
  <si>
    <t>2. Attached Offices Program</t>
  </si>
  <si>
    <t>BOHOL TOURISM OFFICE</t>
  </si>
  <si>
    <t>CENTER FOR CULTURE AND ARTS DEVELOPMENT</t>
  </si>
  <si>
    <t>PROV'L. SOCIAL WELFARE &amp; DEVELOPMENT OFFICE</t>
  </si>
  <si>
    <t>OFFICE of the PROVINCIAL ENGINEER</t>
  </si>
  <si>
    <t>NON-OFFICE by Office</t>
  </si>
  <si>
    <t>transferred from GO</t>
  </si>
  <si>
    <t xml:space="preserve">   Community Development Assistant I</t>
  </si>
  <si>
    <t xml:space="preserve">        Administrative Aide I</t>
  </si>
  <si>
    <t xml:space="preserve">           and render technical budget review report;</t>
  </si>
  <si>
    <t xml:space="preserve">           government units;</t>
  </si>
  <si>
    <t>Posting of individual remittances of GSIS, HDMF and BIR and updating of database of employees, creditors and properties.</t>
  </si>
  <si>
    <t>a) Make listings of hospital collectors</t>
  </si>
  <si>
    <r>
      <t xml:space="preserve">Office/Department           : </t>
    </r>
    <r>
      <rPr>
        <b/>
        <sz val="12"/>
        <rFont val="Arial"/>
        <family val="2"/>
      </rPr>
      <t>NATALIO CASTILLO, SR.MEMORIAL HOSPITAL- Loon</t>
    </r>
  </si>
  <si>
    <t xml:space="preserve">   2. Other Position Technical</t>
  </si>
  <si>
    <t xml:space="preserve">  20% Development Fund </t>
  </si>
  <si>
    <t>Livestock Enterprise Program</t>
  </si>
  <si>
    <t xml:space="preserve">BALA Program Support Fund </t>
  </si>
  <si>
    <t>PDIP GO</t>
  </si>
  <si>
    <t>PDIP VGO</t>
  </si>
  <si>
    <t>BALA Program</t>
  </si>
  <si>
    <t xml:space="preserve">Dairy Development  and Comprehensive Health, </t>
  </si>
  <si>
    <t xml:space="preserve">      Agricultural and Tourism Development Program</t>
  </si>
  <si>
    <t xml:space="preserve">Rabies Treatment &amp; Control Program (Human Vaccine) </t>
  </si>
  <si>
    <t>PHO Staffing 2</t>
  </si>
  <si>
    <t xml:space="preserve">   2. Other Position </t>
  </si>
  <si>
    <t xml:space="preserve">     corporate powers to implement all approved policies, programs, projects, services and activities of the </t>
  </si>
  <si>
    <t xml:space="preserve">      province.</t>
  </si>
  <si>
    <r>
      <t xml:space="preserve">Office/Department :   </t>
    </r>
    <r>
      <rPr>
        <b/>
        <sz val="11"/>
        <rFont val="Arial"/>
        <family val="2"/>
      </rPr>
      <t>PROVINCIAL HUMAN RESOURCE MANAGEMENT AND DEVELOPMENT OFFICE</t>
    </r>
  </si>
  <si>
    <t>Accountable Forms inventory</t>
  </si>
  <si>
    <t>Quarry Resources recorded</t>
  </si>
  <si>
    <t>Accountable Forms prepared</t>
  </si>
  <si>
    <t xml:space="preserve">       Capitol Annex and CPG Sports Complex</t>
  </si>
  <si>
    <t xml:space="preserve">      Supervising Agriculturist</t>
  </si>
  <si>
    <t xml:space="preserve">      Agricultural Center Chief II</t>
  </si>
  <si>
    <t xml:space="preserve">      Aquaculturist II</t>
  </si>
  <si>
    <t xml:space="preserve">      Agriculturist II</t>
  </si>
  <si>
    <t xml:space="preserve">      Agricultural Technologist</t>
  </si>
  <si>
    <t xml:space="preserve">      Agricultural Technician I</t>
  </si>
  <si>
    <t xml:space="preserve">      Aquacultural Technician I</t>
  </si>
  <si>
    <t xml:space="preserve">      Administrative Officer lll</t>
  </si>
  <si>
    <t xml:space="preserve">        Aquacultural Technician II</t>
  </si>
  <si>
    <t xml:space="preserve">      Senior Agriculturist</t>
  </si>
  <si>
    <t>Committee Research</t>
  </si>
  <si>
    <t>INFO. DRIVE</t>
  </si>
  <si>
    <t>BLL</t>
  </si>
  <si>
    <t>969(5)</t>
  </si>
  <si>
    <t xml:space="preserve">     Office Building</t>
  </si>
  <si>
    <t xml:space="preserve">     School Building</t>
  </si>
  <si>
    <t xml:space="preserve">     Other Structures</t>
  </si>
  <si>
    <t xml:space="preserve">     Other Machineries &amp; equipt.</t>
  </si>
  <si>
    <t xml:space="preserve">     Other Public Infra.</t>
  </si>
  <si>
    <t xml:space="preserve">     Work/Other Animals</t>
  </si>
  <si>
    <t>SHIPMENT OF PRISONERS</t>
  </si>
  <si>
    <t>BOHOL ENV'T. CODE REVIEW</t>
  </si>
  <si>
    <t xml:space="preserve">    General Services- </t>
  </si>
  <si>
    <t>FOREIGN ASSISTED</t>
  </si>
  <si>
    <t>CCPP /ICLEI /ECO</t>
  </si>
  <si>
    <t xml:space="preserve">     Furniture &amp; Fixtures</t>
  </si>
  <si>
    <t>BCIC</t>
  </si>
  <si>
    <t xml:space="preserve">      Other Personnel Benefits- C N A</t>
  </si>
  <si>
    <t xml:space="preserve">      Other Bonuses &amp; Allowances - Anniversary</t>
  </si>
  <si>
    <t xml:space="preserve">     Other Bonuses &amp; Allowances - Anniversary</t>
  </si>
  <si>
    <t>no mone &amp; terminal</t>
  </si>
  <si>
    <t>Establishment of Real Property History Information System / Counterpart Fund for General Revision -Updating of SMV (Schedule of Market Values)</t>
  </si>
  <si>
    <t xml:space="preserve"> 2014 WORKSHEET -STAFFING</t>
  </si>
  <si>
    <t>OTHER MOOE</t>
  </si>
  <si>
    <t>TOTAL MOOE</t>
  </si>
  <si>
    <t>Travel  Expenses- Shipment of Prisoner</t>
  </si>
  <si>
    <t xml:space="preserve">Office:  </t>
  </si>
  <si>
    <t>Patients treated without</t>
  </si>
  <si>
    <t xml:space="preserve"> delay</t>
  </si>
  <si>
    <t xml:space="preserve"> Time and Accurate</t>
  </si>
  <si>
    <t xml:space="preserve">  A. Collects payments of all</t>
  </si>
  <si>
    <t>collections and issuances</t>
  </si>
  <si>
    <t xml:space="preserve">  D. AMBULANCE-</t>
  </si>
  <si>
    <t xml:space="preserve">   other higher medical facility</t>
  </si>
  <si>
    <t xml:space="preserve">  E. DIETARY-</t>
  </si>
  <si>
    <t xml:space="preserve">  F. UTILITY-</t>
  </si>
  <si>
    <t xml:space="preserve">    Prepared by:</t>
  </si>
  <si>
    <t xml:space="preserve">              EMMA PERPETUA F. CAHATOL,MD.</t>
  </si>
  <si>
    <t xml:space="preserve">          Chief of Hospital</t>
  </si>
  <si>
    <t xml:space="preserve">                               ATTY. EDGARDO M. CHATTO</t>
  </si>
  <si>
    <t xml:space="preserve">                   Governor</t>
  </si>
  <si>
    <t xml:space="preserve">      Reviewed as to consistency with Local Development Plan:</t>
  </si>
  <si>
    <t>VALERIA M. ORIG</t>
  </si>
  <si>
    <t>New Appropriation Language</t>
  </si>
  <si>
    <t>Current Operating Expenditure</t>
  </si>
  <si>
    <t>Capital</t>
  </si>
  <si>
    <t>Outlay</t>
  </si>
  <si>
    <t>1. Administrative Services:</t>
  </si>
  <si>
    <t xml:space="preserve">   - Prepare Annual Budget </t>
  </si>
  <si>
    <t xml:space="preserve">   - Prepare payrolls, vouchers, pr's</t>
  </si>
  <si>
    <t xml:space="preserve">     and all other supporting documents</t>
  </si>
  <si>
    <r>
      <t xml:space="preserve">   - Receive and </t>
    </r>
    <r>
      <rPr>
        <sz val="9"/>
        <rFont val="Arial"/>
        <family val="2"/>
      </rPr>
      <t>record all hospital</t>
    </r>
  </si>
  <si>
    <t xml:space="preserve">     collections and remit to PTO</t>
  </si>
  <si>
    <t xml:space="preserve">   - Disbursed all hospital obligations</t>
  </si>
  <si>
    <t xml:space="preserve">   - Facilitate requests for retrieval</t>
  </si>
  <si>
    <r>
      <t xml:space="preserve">   - Generally provide </t>
    </r>
    <r>
      <rPr>
        <sz val="9"/>
        <rFont val="Arial"/>
        <family val="2"/>
      </rPr>
      <t>administrative</t>
    </r>
  </si>
  <si>
    <t xml:space="preserve">      Ambulance services-</t>
  </si>
  <si>
    <t xml:space="preserve">      -Conduct patients to referral hospital</t>
  </si>
  <si>
    <t xml:space="preserve">      -Cater officials on official business</t>
  </si>
  <si>
    <t xml:space="preserve">      -Maintain and check ambulance</t>
  </si>
  <si>
    <t xml:space="preserve">     Dietary services-</t>
  </si>
  <si>
    <t xml:space="preserve">      -Cook and serve food to all in-patients</t>
  </si>
  <si>
    <t xml:space="preserve">      -Prepare daily inventory for food supplies</t>
  </si>
  <si>
    <t xml:space="preserve">      -Perform inventory of all kitchen utensils</t>
  </si>
  <si>
    <t xml:space="preserve">      -Purchase food supplies</t>
  </si>
  <si>
    <t xml:space="preserve">      Utility services-</t>
  </si>
  <si>
    <t xml:space="preserve">      -Maintain hospital cleanliness</t>
  </si>
  <si>
    <t xml:space="preserve">      -Assists hospital patients at ward</t>
  </si>
  <si>
    <t>2. Nursing service:</t>
  </si>
  <si>
    <t xml:space="preserve">     -Provide health care services to in-patients</t>
  </si>
  <si>
    <t xml:space="preserve">      such as: O2 theraphy, IV theraphy and</t>
  </si>
  <si>
    <t xml:space="preserve">      Nebulization</t>
  </si>
  <si>
    <t xml:space="preserve">     -Provide health care services to out-patients</t>
  </si>
  <si>
    <t xml:space="preserve">      due for consultation &amp; follow up such as:</t>
  </si>
  <si>
    <t xml:space="preserve">      dressing, suturing minor surgical cases,</t>
  </si>
  <si>
    <t xml:space="preserve">     -Attends normal deliveries</t>
  </si>
  <si>
    <t xml:space="preserve">     -Cater minor surgical procedures both in</t>
  </si>
  <si>
    <t xml:space="preserve">     and out patients</t>
  </si>
  <si>
    <t>3. Ancillary service:</t>
  </si>
  <si>
    <t xml:space="preserve">   a) Drugroom services-</t>
  </si>
  <si>
    <t xml:space="preserve">      -Prepare Purchase Request for drugs &amp;</t>
  </si>
  <si>
    <t xml:space="preserve">       medicines</t>
  </si>
  <si>
    <t xml:space="preserve">      -Dispense and record drugs and medi-</t>
  </si>
  <si>
    <t xml:space="preserve">       cines as prescribed by the physician</t>
  </si>
  <si>
    <t xml:space="preserve">      -Perform monthly inventory report for</t>
  </si>
  <si>
    <t xml:space="preserve">    b) Laboratory services-</t>
  </si>
  <si>
    <t xml:space="preserve">      -Perform laboratory examinations to all </t>
  </si>
  <si>
    <t xml:space="preserve">       patients requested by the physician</t>
  </si>
  <si>
    <t xml:space="preserve">      -Record and release patient's laboratory</t>
  </si>
  <si>
    <t xml:space="preserve">       examination results</t>
  </si>
  <si>
    <t xml:space="preserve">      -Perform monthly inventory for laboratory</t>
  </si>
  <si>
    <t xml:space="preserve">       supplies</t>
  </si>
  <si>
    <t xml:space="preserve">      -Prepare PR for laboratory supplies</t>
  </si>
  <si>
    <t xml:space="preserve">      -Prepare monthly reports</t>
  </si>
  <si>
    <t>page 2</t>
  </si>
  <si>
    <t xml:space="preserve">                    The Office 0f the Provincial Agriculturist  (OPA) is the strategic arm of the Provincial Government to ensure food sufficiency &amp;  security in the province. It sees  to it  that agricultural productivity is increased thus increasing the Boholano farmers’ income. By promoting high productivity at household level in agricultural communities is one of the many  strategies of the Office to contribute to the reduction of poverty incidence in the province </t>
  </si>
  <si>
    <t xml:space="preserve">                    At the regional context, Bohol has provided a substantial share for palay production. Bohol produced 70% of Region VII’s total palay production. Since it is mainly produced by Farmers with small farm size, there is really a need to increase their productivity through appropriate technology, inputs and assistance. Appropriate technology are to be taught thru trainings/seminars and technical briefings. The Community Seed Banking is the new approach to solve the unavailability of planting seeds during sowing. Through coordination with the Department of Agriculture which is providing a good sum of money , the Office of the Provincial Agriculturist is distributing  certified seeds to interested farmers and register seeds for the community seed banks for the farmers’ future needs.</t>
  </si>
  <si>
    <t xml:space="preserve">                    Corn is an alternative  for rice. It is consumed by about 16% of Bohol’s population. The industrial demand of this crop is also increasing, as the livestock sector in the province continues to prosper. Provincial Government of Bohol is providing budget every year to sustain its production. The last year production of corn is declining . Strategies are to be formulated to increase the production.</t>
  </si>
  <si>
    <t xml:space="preserve">                    Bahay Kubo FAITH HOPE is another project of the office to ensure the sustainability of vegetable supply in the province to help boost the tourism industry. It is province led wherein winners are declared every year to enhance its production. Gulayan sa Paaralan in collaboration with Dept. of Agriculture is also ensuring that even at the early age of the children they are taught to cultivate  vegetables for food and to have income.</t>
  </si>
  <si>
    <t xml:space="preserve">                   Production of mostly  fishery products is observed to decrease. Program/projects are  geared to enhance and sustain its production.</t>
  </si>
  <si>
    <t xml:space="preserve">                   The Office integrate the “Green Economy” concept into the province’s commercial agriculture development and advocate the adoption of sustainable agriculture practices.</t>
  </si>
  <si>
    <t>DEVELOPMENT GOALS/ DIRECTIONS:</t>
  </si>
  <si>
    <t>1. SUSTAINABLE INTEGRATED AGRI-BUSSINESS PROGRAM</t>
  </si>
  <si>
    <t>1.1 Crops Productivity Enhancement</t>
  </si>
  <si>
    <t>Increased productivity</t>
  </si>
  <si>
    <t>Dec. 2014</t>
  </si>
  <si>
    <t>1.1.1 Enhanced Grains Production</t>
  </si>
  <si>
    <t>1.1.1.1 Intensive Palay  Base Farming     System</t>
  </si>
  <si>
    <t>P5,000,000</t>
  </si>
  <si>
    <t>To increase rice production &amp; diversification</t>
  </si>
  <si>
    <t>1.1.1.1.1  Facilitate Rice Seed Production</t>
  </si>
  <si>
    <t xml:space="preserve">10 Ha. </t>
  </si>
  <si>
    <t>Area</t>
  </si>
  <si>
    <t>Total Prodn</t>
  </si>
  <si>
    <t>Ave. Production</t>
  </si>
  <si>
    <t>Farmers</t>
  </si>
  <si>
    <t>Job Generated</t>
  </si>
  <si>
    <t>Jan. 2014</t>
  </si>
  <si>
    <t>To increase</t>
  </si>
  <si>
    <t>To ensure</t>
  </si>
  <si>
    <t>To conduct</t>
  </si>
  <si>
    <t xml:space="preserve">Jan. 2014 </t>
  </si>
  <si>
    <t>Maintenance &amp; Other Operating</t>
  </si>
  <si>
    <t>A. Program</t>
  </si>
  <si>
    <t xml:space="preserve">1. Crops Productivity </t>
  </si>
  <si>
    <t xml:space="preserve">    Division</t>
  </si>
  <si>
    <t>2. Fisheries Division</t>
  </si>
  <si>
    <t>3. Agribusiness Division</t>
  </si>
  <si>
    <t>4. Research Division</t>
  </si>
  <si>
    <t>5. Planning Division</t>
  </si>
  <si>
    <t xml:space="preserve">6. Administrative Support </t>
  </si>
  <si>
    <t xml:space="preserve">    Services Division</t>
  </si>
  <si>
    <t>l. Functional Statement</t>
  </si>
  <si>
    <t>ll. Objectives</t>
  </si>
  <si>
    <t>lll. Programs/Projects/Activities</t>
  </si>
  <si>
    <t>Livestock Integration For Food</t>
  </si>
  <si>
    <t xml:space="preserve">&amp; Family Enhancement (LIFFE) </t>
  </si>
  <si>
    <t>and LETS HELP BOHOL PROGRAM</t>
  </si>
  <si>
    <t xml:space="preserve">     mortuary assistance</t>
  </si>
  <si>
    <t xml:space="preserve">i. Families adapting organic </t>
  </si>
  <si>
    <t xml:space="preserve">  gardening</t>
  </si>
  <si>
    <t>a. Training conducted</t>
  </si>
  <si>
    <t xml:space="preserve">c. BALA Asso. monitored &amp; </t>
  </si>
  <si>
    <t xml:space="preserve">    supervised</t>
  </si>
  <si>
    <t xml:space="preserve">Provincial Livestock &amp; Poultry </t>
  </si>
  <si>
    <t>Farm</t>
  </si>
  <si>
    <t>Livestock -Based enterprise</t>
  </si>
  <si>
    <t>Support (LIVES) Program</t>
  </si>
  <si>
    <t>c. Native chicken prod. established</t>
  </si>
  <si>
    <t>Development of livestock-based</t>
  </si>
  <si>
    <t>enterprise/entrepreneurs at PO level</t>
  </si>
  <si>
    <t>for food &amp; livelihood</t>
  </si>
  <si>
    <t>production and profit.</t>
  </si>
  <si>
    <t>IV. ANIMAL &amp; PUBLIC HEALTH</t>
  </si>
  <si>
    <t>PROGRAM</t>
  </si>
  <si>
    <t>a. Livestock-based enterprise assisted</t>
  </si>
  <si>
    <t>Identifying business potentials &amp; oppor-</t>
  </si>
  <si>
    <t>tunities of a livestock commodities</t>
  </si>
  <si>
    <t>to maximize farmers' production</t>
  </si>
  <si>
    <t>and profit</t>
  </si>
  <si>
    <t xml:space="preserve">Planning, Monitoring, </t>
  </si>
  <si>
    <t>g. Maintenance of existing</t>
  </si>
  <si>
    <t xml:space="preserve">a. Agencies/institutions </t>
  </si>
  <si>
    <t xml:space="preserve">    collaborated</t>
  </si>
  <si>
    <t>Approved:</t>
  </si>
  <si>
    <t>STELLA MARIE D. LAPIZ, DVM</t>
  </si>
  <si>
    <t xml:space="preserve">   Provincial Veterinarian</t>
  </si>
  <si>
    <t>ATTY. EDGAR M. CHATTO</t>
  </si>
  <si>
    <t>CHARITY (Chicken Always In The Yard)</t>
  </si>
  <si>
    <t>Prov'l. Livestock &amp; Poultry Farm</t>
  </si>
  <si>
    <t>Livestock Disease Preparedness Prog.</t>
  </si>
  <si>
    <t>Prov'l. Meat Safety &amp; Control Program</t>
  </si>
  <si>
    <t>Livestock Disease Preparedness Program</t>
  </si>
  <si>
    <t>SNACK (Simpleng Negosyo, Asenso sa Carne ug Keso)</t>
  </si>
  <si>
    <t>EDGARDO M. CHATTO</t>
  </si>
  <si>
    <t xml:space="preserve">    Department Head</t>
  </si>
  <si>
    <t>Projects Under Non Office</t>
  </si>
  <si>
    <t>Expenditures</t>
  </si>
  <si>
    <t>CHARITY (Chicken Always in the Yard)</t>
  </si>
  <si>
    <t>Provincial Livestock &amp; Poultry Farm</t>
  </si>
  <si>
    <t>Bohol Rabies Program</t>
  </si>
  <si>
    <t>Prov'l Meat Safety &amp; Control Program</t>
  </si>
  <si>
    <t>GAD Programs</t>
  </si>
  <si>
    <t>SNACK (Simpleng Negosyo, Asenso</t>
  </si>
  <si>
    <t>sa Carne ug Keso) Project</t>
  </si>
  <si>
    <t>LETS HELP BOHOL PROGRAM</t>
  </si>
  <si>
    <t>Livestock Production Support Program</t>
  </si>
  <si>
    <r>
      <t xml:space="preserve">Office/Department       :  </t>
    </r>
    <r>
      <rPr>
        <b/>
        <sz val="11"/>
        <rFont val="Arial"/>
        <family val="2"/>
      </rPr>
      <t>G.O. Satellite Office-BEMO</t>
    </r>
  </si>
  <si>
    <r>
      <t xml:space="preserve">Budget Year                :  </t>
    </r>
    <r>
      <rPr>
        <b/>
        <sz val="11"/>
        <rFont val="Arial"/>
        <family val="2"/>
      </rPr>
      <t>2014</t>
    </r>
  </si>
  <si>
    <t>1) To protect, conserve &amp; rehabilitate the environment and its natural resources through sustainable approach supporting Multi-sectoral participation,</t>
  </si>
  <si>
    <t>2) To develop a Multi-year Environmental Management Framework Plan aimed for the promotion of local government-driven-based and livelihood-oriented programs/projects, particularly in  Watershed, Marine Protected Areas, Waste Recycling, Mineral Resources &amp; Eco-tourism,</t>
  </si>
  <si>
    <t>3) To assist lower level LGUs in the formation of clusters for the development, implementation and monitoring of the environmental programs and policies,</t>
  </si>
  <si>
    <t>4) To generate a Comprehensive Environment and Natural Resource Database for information dissemination and researches intended for decision-making processes processes,</t>
  </si>
  <si>
    <t>5) To regularly monitor compliance of the Bohol Mining Ordinance,</t>
  </si>
  <si>
    <t>6) To establish a strong link between national and international institutions and Local Government Units/Community groups for purposes of fund sourcing, networking, partnership and data collection,</t>
  </si>
  <si>
    <t>7) To  establish model sites for purposes of showcasing various environmental initiatives that adopt best-of-the-moment methods, like Agroforestry, Watershed Management Councils initiatives, ISF projects, and others,</t>
  </si>
  <si>
    <t>8) To orient and guide LGUs in the implementation of local projects, programs and plans to support Climate Change Adaptation and Disaster Risk Reduction and MManagement,</t>
  </si>
  <si>
    <t>9) To ensure completion of certification process of the Environmental Management System to ISO 14001:2004 in the offices of the Provincial Government, and</t>
  </si>
  <si>
    <t>I. Enironmental Sanitation Program</t>
  </si>
  <si>
    <t xml:space="preserve"> 1. Conduct regular coastal &amp; waterways clean-up; Incorporate nutrition &amp; sanitation programs to Municipal Integrated Coastal Resources Management Plan (ICRMP) in every coastal LGUs</t>
  </si>
  <si>
    <t># of Clean up activity per year; # of ICRMP Plan</t>
  </si>
  <si>
    <t>3 Clean up per yr; 2 ICRM Plan</t>
  </si>
  <si>
    <t>II. EDUCATION &amp; INFORMATION SERVICES</t>
  </si>
  <si>
    <t>1. Conduct collaborative activities in the implementation of programs, IEC, Dolphin Festival, Month of the Ocean celebration, Fish Conservation Week celebration, International Coastal Clean-up, etc. (BCRMTF, MPA-PTWG, BRUMW, CLEC, PTWG on CRM Certification, etc)</t>
  </si>
  <si>
    <t># of collaborative activities conducted</t>
  </si>
  <si>
    <t xml:space="preserve">8 coll activities </t>
  </si>
  <si>
    <t>2. Expand information, education &amp; communications campaign (IEC) to students, communities &amp; all stakeholders</t>
  </si>
  <si>
    <t># of stakeholders,  # of IEC materials produced</t>
  </si>
  <si>
    <t>250 stakeholders,  4 enhanced IEC materials produced</t>
  </si>
  <si>
    <t>Amount Forwarded</t>
  </si>
  <si>
    <t>3.  Send CRM Staff to CRM related trainings</t>
  </si>
  <si>
    <t># of CRM staff ; # of trainings</t>
  </si>
  <si>
    <t>3 staff sent to 3 CRM trainings</t>
  </si>
  <si>
    <t>III. AGRICULTURE, FOOD SECURITY &amp; ENVIRONMENT</t>
  </si>
  <si>
    <t>1.  Strenghten People's Organizations/MPA Mgt. Councils managing the MPA: Conduct MPA Mgt. Planning; Training on MPA monitoring and assessment; Training on MPA livelihood</t>
  </si>
  <si>
    <t># of MPA Plans;</t>
  </si>
  <si>
    <t>10 MPA Management Plan</t>
  </si>
  <si>
    <t># of MPA Mgt Councils</t>
  </si>
  <si>
    <t xml:space="preserve">9 MPA Mgt. Councils trained; </t>
  </si>
  <si>
    <t># of MPA livelihood trainings</t>
  </si>
  <si>
    <t>3 MPA Livelihood trainings</t>
  </si>
  <si>
    <t>2. Strengthen CLECs &amp; MCLETs as vehicle for strong enforcement:  Conduct monitoring and assessment of CLEC's/MCLET's Plan; Review &amp; harmonize policies/ordinances in coastal law enforcement; CLEC quarterly meetings; Conduct Environmental Law Enforcement Summit</t>
  </si>
  <si>
    <t># of LGUs; # of CLEC Plans</t>
  </si>
  <si>
    <t xml:space="preserve"> 30 coastal LGUs;  3 CLEC's Plan</t>
  </si>
  <si>
    <t>3. Coastal resources management initiatives to enhance production of fishery products: Conduct particpatory coastal resource assessment with community involvement; Conduct regular MPA monitoring and evaluation</t>
  </si>
  <si>
    <t># of Coastal Resource Profile established; # of MPA assessed</t>
  </si>
  <si>
    <t>2 Coastal profile; 10 MPAs assessed</t>
  </si>
  <si>
    <t>4. Establish/upgrade post harvest facilities to support product development &amp; utilization: Establishment of Giant Clams Hatchery - Send staff to attend giant clams hatchery training @ UP Bolinao Marine Laboratory; Preparation/ presentation &amp; MOA signing between partners; Purchase, construction &amp; upgrading of facility &amp; equipment for clam hatchery;  Collection of eggs &amp; sperms from seeding sites</t>
  </si>
  <si>
    <t># of CRM staff trained; # of meeting with MPA-PTWG partners; MOA signed; Upgraded hatchery facility established; No. of shells developed</t>
  </si>
  <si>
    <t>2 CRM staff;Quarterly meeting; MOA signed</t>
  </si>
  <si>
    <t>5. Establishment of Giant Clams Ocean Nursery: -  Identification of site for Ocean nursery;  Transporting of newly produced clams to ocean nursery</t>
  </si>
  <si>
    <t># of Site; # of Shell transported &amp; stocked to ocean nursery</t>
  </si>
  <si>
    <t>1 site identifed; ___ of shells</t>
  </si>
  <si>
    <t>6.  Enhancement &amp; restoration of coastal/marine habitat:  Conduct training to MLGU divers for coral nursery &amp; restoration;  Conduct coral planting to giant clams seeding sites; Conduct mangrove planting</t>
  </si>
  <si>
    <t># of MLGU staff trained; # of MPA seeding sites; # of mangrove planted/survived</t>
  </si>
  <si>
    <t>15 staff; 10 sites; 10,000 planted</t>
  </si>
  <si>
    <t>7. Establishment of Mangrovetum: Site identification; Preparation of MOA, signing, launching and ceremonial planting; Construction &amp; establishment of mangrove nursery for planting materials; Mangrove planting w/ all stakeholders &amp; establishment of mangrovetum</t>
  </si>
  <si>
    <t># of Site; # of Mangrove species planted</t>
  </si>
  <si>
    <t xml:space="preserve"> 1 site per district;  20 Mangrove species planted</t>
  </si>
  <si>
    <t>8. Institutionalize environmental law enforcement group: Assist in the formulation of Mun. Ordinance institutionalizing MCLETs to strictly enforce all existing fishery laws</t>
  </si>
  <si>
    <t># of MCLETS institutionalized</t>
  </si>
  <si>
    <t>30 MCLETs institutionalized</t>
  </si>
  <si>
    <t>IV. TOURISM, CULTURE &amp; LIVELIHOOD</t>
  </si>
  <si>
    <t>1. Strengthening tourism/livelihood research program &amp; data base management:  Financial assistance to MPA Mgt. Councils w/ higher level of management for livelihood programs;  Provision of financial assistance to MPA Mgt. Councils for MPA livelihood program; Develop/link active &amp; deserving MPAs for possible tourist destination &amp; attraction; Facilitate in the conduct of appropriate MPA livelihood trainings to MPA Mgt. Councils; Update/maintain Municipal Coastal  &amp; MPA Profile Database</t>
  </si>
  <si>
    <t># of  MPA Mgt. Councils; # of best MPAs; # of  livelihood trainings with 40 participants; 30 Coastal LGUs</t>
  </si>
  <si>
    <t xml:space="preserve">10 MPA Mgt. Councils; 10 best MPAs; 3 livelihood trainings </t>
  </si>
  <si>
    <t>1. Rehiring of Job Order FRM staff to support labor requirements.</t>
  </si>
  <si>
    <t xml:space="preserve"> # personnel rehired       </t>
  </si>
  <si>
    <t>5  staff rehired</t>
  </si>
  <si>
    <t>1. Indigenous Tree Seedling Production &amp; Maintenance: Procurement of nursery tools, supplies &amp; materials</t>
  </si>
  <si>
    <t># of Seedlings produced</t>
  </si>
  <si>
    <t>40,000 seedlings</t>
  </si>
  <si>
    <t>2. Training on Rainforestation / Nursery Establishment and Management, Tre Farm Establishemnt and Management, etc.</t>
  </si>
  <si>
    <t># of Activities conducted</t>
  </si>
  <si>
    <t>1 Activity</t>
  </si>
  <si>
    <t>3. Procurement of Office Equipments; Laptop/ LCD and colored printer</t>
  </si>
  <si>
    <t># of Equipments procured</t>
  </si>
  <si>
    <t>3 units od equipments</t>
  </si>
  <si>
    <t>II. WATERSHED / FOREST RESOURCE MANAGEMENT PROGRAM</t>
  </si>
  <si>
    <t>1. Conduct 2 days Devolved ISF-PO Assessment and Planning Workshops</t>
  </si>
  <si>
    <t>Accomplishment of Devolved ISF-POs</t>
  </si>
  <si>
    <t xml:space="preserve">1 Assessment </t>
  </si>
  <si>
    <t>2. IEC Program: Production of IEC materials (e.g. brochures, tarpaulines, tarps, leaflets, posters and etc.)</t>
  </si>
  <si>
    <t># of brochures designed and printed</t>
  </si>
  <si>
    <t>1 design; 100 copies</t>
  </si>
  <si>
    <t>3. Capacity Development for FRM staff: Attendance and participation to trainings, seminars, workshops, conferences, conventions etc.</t>
  </si>
  <si>
    <t># of CapDev activites attended</t>
  </si>
  <si>
    <t>5 Activities</t>
  </si>
  <si>
    <t>Facilitate hiring labor support</t>
  </si>
  <si>
    <t># of personnel hired</t>
  </si>
  <si>
    <t>1 ESWM Staff</t>
  </si>
  <si>
    <t>Provide Technical Assistance to MLGUs on ESWM Program                           * conduct trainings                               * coaching</t>
  </si>
  <si>
    <t># of trainings; # of MLGUs; # of sessions</t>
  </si>
  <si>
    <t>4 trainings      4 LGUs               12 sessions, 5 pax/per session               140 pax</t>
  </si>
  <si>
    <t>Information, Education Communication                                                        * conduct orientation on ESWM/RA 9003                                      *production and distribution of  IEC Materials</t>
  </si>
  <si>
    <t># of Orientations; # of IEC Materials produced</t>
  </si>
  <si>
    <t>2 orientations   60 pax;                 150 copies of tarpaulin</t>
  </si>
  <si>
    <t>Participate in training/seminar/workshop</t>
  </si>
  <si>
    <t># of trainings</t>
  </si>
  <si>
    <t>2 Trainings</t>
  </si>
  <si>
    <t>Solid Waste Management Program Monitoring                                              * Reconstitute Provincial Monitoring and Evaluation Team                                          *Review  ESWM M &amp; E tool                                                                                                                                                                                                 * conduct field  M &amp; E on ESWM  implementation/RA9003       * consolidate M &amp; E Results</t>
  </si>
  <si>
    <t># of E.O.; # of M &amp; E tools; # of MLGUs</t>
  </si>
  <si>
    <t>1 approved E.O.                    1 Revised  ESWM M &amp; E Tool                   48 LGUs visited  3 meetings      42 pax</t>
  </si>
  <si>
    <t>Facilitate in the conduct of meetings of Provincial Ecological Solid Waste Management Board (PESWMB) and Provincial  Technical Working Group(PTWG)</t>
  </si>
  <si>
    <t># of PESWMB Meetings; # of PTWG Meetings</t>
  </si>
  <si>
    <t>1 PESWMB meeting          95 pax;                      4 PTWG meeting         208 pax</t>
  </si>
  <si>
    <t>Facilitate Alburquerque Cluster  Sanitary landfill meeting</t>
  </si>
  <si>
    <t># of Meetings; # of MLGUs</t>
  </si>
  <si>
    <t>4 meetings      12 LGUs attended      144 pax</t>
  </si>
  <si>
    <t>Provide rewards in form of ESWM Project                          * Awarding of incentives</t>
  </si>
  <si>
    <t># of MLGUs</t>
  </si>
  <si>
    <t>10 MLGUs awarded</t>
  </si>
  <si>
    <t>1. Labor support / Job Order Staff</t>
  </si>
  <si>
    <t># of MRM staff hired</t>
  </si>
  <si>
    <t>12 MRM qualified staff hired</t>
  </si>
  <si>
    <t>1. Review of quarry permit application during PMRB Meetings</t>
  </si>
  <si>
    <t>12 Meetings / 50 Quarry permits applications</t>
  </si>
  <si>
    <t>2. Orientation on Bohol Mining Ordinance of 2008 to Sanguguniang Bayan Chair, Committee on Environment, Barangay Captains &amp; MENROs</t>
  </si>
  <si>
    <t>30 ABC meetings/ 600 Brgys Capt; 40 SB Kag and 40 MENROs</t>
  </si>
  <si>
    <t>3. Meetings with Quarry Permittees, Mineral Traders and Contractors</t>
  </si>
  <si>
    <t># of meeting</t>
  </si>
  <si>
    <t>2 Meetings;   160 paxs</t>
  </si>
  <si>
    <t>4. Capacity development activity of MRM staff</t>
  </si>
  <si>
    <t># of of MRM satff; # trainings attended</t>
  </si>
  <si>
    <t>12 MRM staff: 4 trainings</t>
  </si>
  <si>
    <t>5. Conduct verification of applied quarry sites; evaluate existing quarry sites; Monitor quarrying activities; and enforcement of Bohol Mining Ordinance of 2008</t>
  </si>
  <si>
    <t># of quarry sites evaluated/verified; # of monitoring results/ apprehension reports</t>
  </si>
  <si>
    <t>150 quarry sites verified/evaluated</t>
  </si>
  <si>
    <t>6. Reimbursement of travelling expenses of the verification team &amp; BEMEG members</t>
  </si>
  <si>
    <t># of MRM staff; # of TO completed</t>
  </si>
  <si>
    <t>15 MRM staff</t>
  </si>
  <si>
    <t>7. Procurement of office supplies and fixtures</t>
  </si>
  <si>
    <t>8. Honorarium to PMRB Officers and staff during meetings and special sessions</t>
  </si>
  <si>
    <t># of PMRB Officers and Staff; # of Meetings</t>
  </si>
  <si>
    <t>8 Officers; 12 Meetings</t>
  </si>
  <si>
    <t>C. Capital Outlay</t>
  </si>
  <si>
    <t>1. Procurement of office equipments</t>
  </si>
  <si>
    <t>Assorted Office equipment</t>
  </si>
  <si>
    <t>2. Maintenance of vehicles &amp; office equipments</t>
  </si>
  <si>
    <t># of vehicles; # of equipments</t>
  </si>
  <si>
    <t>2 Vehicles; 2 Motorcycles; Various Tires and spareparts</t>
  </si>
  <si>
    <t xml:space="preserve">PrEMIS / NATURAL RESOURCE DATABASE (NRDB) </t>
  </si>
  <si>
    <t>3 Databases</t>
  </si>
  <si>
    <t>12 MLGUs</t>
  </si>
  <si>
    <t>4 monitoring</t>
  </si>
  <si>
    <t>3. Conduct water sources inventory in the province</t>
  </si>
  <si>
    <t>Water source inventory of the province</t>
  </si>
  <si>
    <t>4. Purchase of test strips and re-agents for water quality testing</t>
  </si>
  <si>
    <t>1 complete test strips and re-agents</t>
  </si>
  <si>
    <t>1 purchase</t>
  </si>
  <si>
    <t>5. Production of IEC Materials for Water Resource Manangement Sector</t>
  </si>
  <si>
    <t xml:space="preserve"> Tarpaulines and CDs</t>
  </si>
  <si>
    <t>2 Tarpaulines</t>
  </si>
  <si>
    <t>1. Capability Building Activities for Pollution Program</t>
  </si>
  <si>
    <t>Capacitated Pollution  Head and staff</t>
  </si>
  <si>
    <t>4  Trngs</t>
  </si>
  <si>
    <t>2. Submission of Self Monitoring Report (SMR) to DENR-EMB R7, Cebu City</t>
  </si>
  <si>
    <t>SMR submmitted to DENR-EMB R7</t>
  </si>
  <si>
    <t>4 SMR Reports</t>
  </si>
  <si>
    <t>3. Collection of effluent sample for laboratory testing.</t>
  </si>
  <si>
    <t>Samples collected for laboratory testing; Reports on water quality</t>
  </si>
  <si>
    <t>1 DEWATS; 4 Hospital wastewater</t>
  </si>
  <si>
    <t>4. Assist in the implementation of Sustainable Environment Protection Project (SEPP)</t>
  </si>
  <si>
    <t>Wastewater inventory reports</t>
  </si>
  <si>
    <t>50 Household; 12 Hotels</t>
  </si>
  <si>
    <t>5. Compliance to legal and other requirements of PGBh Offices and hospitals</t>
  </si>
  <si>
    <t>Water permit; Permit to Operate; Discharge permit</t>
  </si>
  <si>
    <t>3 W P ; 2 Permit to operate; 1 DP</t>
  </si>
  <si>
    <t>6. Production of IEC Materials for Pollution Control Sector</t>
  </si>
  <si>
    <t>Leaflets; tarpaulines and CDs</t>
  </si>
  <si>
    <t>100 Leaflets; 2 Tarpaulines</t>
  </si>
  <si>
    <t>2 staff and 1 EMS Coach</t>
  </si>
  <si>
    <t>1. Support funds for EMS implementation                                (Trainings  to EMS Officers and ICs; Workshops and Meetings and EMS documentation as required by the ISO 14001:2004 standard )</t>
  </si>
  <si>
    <t xml:space="preserve">Capacited EMS Officers and ICs; Completed EMS documents as required , # of  meetings/workshops  conducted </t>
  </si>
  <si>
    <t>4 Trainings ;Completed EMS required documents</t>
  </si>
  <si>
    <t>2. Maintenance to ISO 14001:2004 Certification (Conduct of EMS Internal Audit; EMP Monitoring, EMS Management Review and Third Party Survelliance Audit)</t>
  </si>
  <si>
    <t>Sustained ISO 14001:2004 Certification to the PGBh</t>
  </si>
  <si>
    <t>1. Purchase of Garbage bins; Production of EMS stickers, IEC and Info Collaterals; Support Equipments</t>
  </si>
  <si>
    <t>2. MOOE to support all sectors and</t>
  </si>
  <si>
    <t>programs of BEMO</t>
  </si>
  <si>
    <t xml:space="preserve">globelines </t>
  </si>
  <si>
    <t xml:space="preserve">  2.20 Bohol Environment Code Printing</t>
  </si>
  <si>
    <t xml:space="preserve">                       Capital Outlay</t>
  </si>
  <si>
    <t>Submitted by:</t>
  </si>
  <si>
    <t>SAMUEL V. RACHO</t>
  </si>
  <si>
    <t xml:space="preserve"> BEMO OIC</t>
  </si>
  <si>
    <t>Maintenance &amp;</t>
  </si>
  <si>
    <t>Other Opera-</t>
  </si>
  <si>
    <t>ting Expenses</t>
  </si>
  <si>
    <t>8.  Provincial Environmental Management Information System (PrEMIS) / Natural Resources Database (NRDB)</t>
  </si>
  <si>
    <t>EDGAR M. CHATTO</t>
  </si>
  <si>
    <t xml:space="preserve">                  OIC-BEMO</t>
  </si>
  <si>
    <t>: PROVINCIAL ASSESSOR’S OFFICE</t>
  </si>
  <si>
    <t>: 2014</t>
  </si>
  <si>
    <t>Budget Cost</t>
  </si>
  <si>
    <t>A – FUNCTIONAL STATEMENT</t>
  </si>
  <si>
    <t>B – OBJECTIVES</t>
  </si>
  <si>
    <t>1.) Streamlined processes on all office transactions by 20%</t>
  </si>
  <si>
    <t>2.) Increased collection of secretary’s fees by 10 %</t>
  </si>
  <si>
    <t>3.) Improved customers’ satisfaction with PAssO services by 20%</t>
  </si>
  <si>
    <t>4.) Improved knowledge in modern SMV developing by 50%</t>
  </si>
  <si>
    <t>C. PROGRAMS/PROJECT/ACTIVITIES</t>
  </si>
  <si>
    <t>PROGRAM/ACTIVITY/ PROJECTS DESCRIPTION</t>
  </si>
  <si>
    <t>4.1 Development of New processes application established ( for the enhancement &amp; modernization of service delivery)</t>
  </si>
  <si>
    <t xml:space="preserve"> 4.2 Records &amp; archival system</t>
  </si>
  <si>
    <t xml:space="preserve">          Ensure that all laws and policies that govern the appraisal and assessment of real properties of the province for taxation purposes are properly observed and executed through the installation and maintenance of a system of tax mapping, effective technical assistance to local assessors, constant updating of Schedule of Fair Market Values, proper project monitoring and evaluation  and assessment audit.</t>
  </si>
  <si>
    <r>
      <t xml:space="preserve">1.0   </t>
    </r>
    <r>
      <rPr>
        <sz val="10"/>
        <color theme="1"/>
        <rFont val="Arial"/>
        <family val="2"/>
      </rPr>
      <t xml:space="preserve">  </t>
    </r>
    <r>
      <rPr>
        <b/>
        <u/>
        <sz val="10"/>
        <color theme="1"/>
        <rFont val="Arial"/>
        <family val="2"/>
      </rPr>
      <t>Administrative Division</t>
    </r>
    <r>
      <rPr>
        <u/>
        <sz val="10"/>
        <color theme="1"/>
        <rFont val="Arial"/>
        <family val="2"/>
      </rPr>
      <t>:</t>
    </r>
  </si>
  <si>
    <r>
      <t>1.1   Improvement of Office</t>
    </r>
    <r>
      <rPr>
        <sz val="10"/>
        <color theme="1"/>
        <rFont val="Arial"/>
        <family val="2"/>
      </rPr>
      <t xml:space="preserve"> </t>
    </r>
    <r>
      <rPr>
        <b/>
        <sz val="10"/>
        <color theme="1"/>
        <rFont val="Arial"/>
        <family val="2"/>
      </rPr>
      <t>Facility</t>
    </r>
  </si>
  <si>
    <t>·         Reface/repainting of office (replacement of office floor tiles/repainting of office)</t>
  </si>
  <si>
    <t>·         1 main PAssO Office floor tiles replaced</t>
  </si>
  <si>
    <t>·         Office floor tiles replaced</t>
  </si>
  <si>
    <r>
      <t>1</t>
    </r>
    <r>
      <rPr>
        <vertAlign val="superscript"/>
        <sz val="10"/>
        <color theme="1"/>
        <rFont val="Arial"/>
        <family val="2"/>
      </rPr>
      <t>st</t>
    </r>
    <r>
      <rPr>
        <sz val="10"/>
        <color theme="1"/>
        <rFont val="Arial"/>
        <family val="2"/>
      </rPr>
      <t xml:space="preserve"> Quarter</t>
    </r>
  </si>
  <si>
    <t>·         1 office  repainted</t>
  </si>
  <si>
    <t>·         Main office repainted</t>
  </si>
  <si>
    <t>·         30 tables</t>
  </si>
  <si>
    <t>·         Repair, refurbishing &amp; installation of office furniture &amp; fixtures (tables, chairs &amp; wood cabinets)</t>
  </si>
  <si>
    <t>·         30 chairs</t>
  </si>
  <si>
    <t>·         2 wood cabinets</t>
  </si>
  <si>
    <t>·         Tables, chairs &amp; wood cabinets have been repaired &amp; installed</t>
  </si>
  <si>
    <t>·         Purchase of additional equipment of office lounge</t>
  </si>
  <si>
    <t>·         1 DVD player</t>
  </si>
  <si>
    <t>·         Additional equipment purchase</t>
  </si>
  <si>
    <t>·         2 bulletin board</t>
  </si>
  <si>
    <t>·         Much improved customer lounge</t>
  </si>
  <si>
    <t>·         Mid-year assessment conducted</t>
  </si>
  <si>
    <r>
      <t xml:space="preserve">1.2  </t>
    </r>
    <r>
      <rPr>
        <b/>
        <sz val="10"/>
        <color theme="1"/>
        <rFont val="Arial"/>
        <family val="2"/>
      </rPr>
      <t>CapDev Program</t>
    </r>
  </si>
  <si>
    <t>·         1 midyear assessment</t>
  </si>
  <si>
    <t>·         Year-end assessment conducted</t>
  </si>
  <si>
    <t>·         1 year-end assessment &amp; OpPlan &amp; Teambuilding activities</t>
  </si>
  <si>
    <r>
      <t>1</t>
    </r>
    <r>
      <rPr>
        <vertAlign val="superscript"/>
        <sz val="10"/>
        <color theme="1"/>
        <rFont val="Arial"/>
        <family val="2"/>
      </rPr>
      <t>st</t>
    </r>
    <r>
      <rPr>
        <sz val="10"/>
        <color theme="1"/>
        <rFont val="Arial"/>
        <family val="2"/>
      </rPr>
      <t xml:space="preserve"> quarter</t>
    </r>
  </si>
  <si>
    <t>·         Goods &amp; services procured have been used within the prescribed target and implementation in the PPMP &amp; WFP</t>
  </si>
  <si>
    <t>·         Goods &amp; services in the PPMP &amp; WFP have been procured &amp; implemented</t>
  </si>
  <si>
    <r>
      <t>2</t>
    </r>
    <r>
      <rPr>
        <vertAlign val="superscript"/>
        <sz val="10"/>
        <color theme="1"/>
        <rFont val="Arial"/>
        <family val="2"/>
      </rPr>
      <t>nd</t>
    </r>
    <r>
      <rPr>
        <sz val="10"/>
        <color theme="1"/>
        <rFont val="Arial"/>
        <family val="2"/>
      </rPr>
      <t xml:space="preserve"> quarter &amp; 4</t>
    </r>
    <r>
      <rPr>
        <vertAlign val="superscript"/>
        <sz val="10"/>
        <color theme="1"/>
        <rFont val="Arial"/>
        <family val="2"/>
      </rPr>
      <t>th</t>
    </r>
    <r>
      <rPr>
        <sz val="10"/>
        <color theme="1"/>
        <rFont val="Arial"/>
        <family val="2"/>
      </rPr>
      <t xml:space="preserve"> quarter</t>
    </r>
  </si>
  <si>
    <t>·         Training and coaching on PAssO personnel have been conducted and made knowledgeable</t>
  </si>
  <si>
    <t>·         8 personnel trained</t>
  </si>
  <si>
    <t>·         10 coaching sessions have been conducted</t>
  </si>
  <si>
    <t>·         Discovered ubdeclared RPs in the municipalities</t>
  </si>
  <si>
    <t>·         150 undeclared RPs discovered</t>
  </si>
  <si>
    <r>
      <t xml:space="preserve">2.0   </t>
    </r>
    <r>
      <rPr>
        <b/>
        <u/>
        <sz val="10"/>
        <color theme="1"/>
        <rFont val="Arial"/>
        <family val="2"/>
      </rPr>
      <t>Appraisal Division</t>
    </r>
  </si>
  <si>
    <t>·         systems design has been established</t>
  </si>
  <si>
    <t>·         Personnel have been trained</t>
  </si>
  <si>
    <t>·         1 PEA system established</t>
  </si>
  <si>
    <t>·         10 personnel trained</t>
  </si>
  <si>
    <r>
      <t>3</t>
    </r>
    <r>
      <rPr>
        <vertAlign val="superscript"/>
        <sz val="10"/>
        <color theme="1"/>
        <rFont val="Arial"/>
        <family val="2"/>
      </rPr>
      <t>rd</t>
    </r>
    <r>
      <rPr>
        <sz val="10"/>
        <color theme="1"/>
        <rFont val="Arial"/>
        <family val="2"/>
      </rPr>
      <t xml:space="preserve"> quarter</t>
    </r>
  </si>
  <si>
    <t>·         Operational systems customized &amp; enhanced</t>
  </si>
  <si>
    <t>·         8 operational systems customized &amp; enhanced</t>
  </si>
  <si>
    <t>·         2 high-end servers with purchased/license OS installed</t>
  </si>
  <si>
    <t>·         2 high capacity back-up devices purchased</t>
  </si>
  <si>
    <t>·         2 additional back up devices purchased</t>
  </si>
  <si>
    <r>
      <t xml:space="preserve">3.0. </t>
    </r>
    <r>
      <rPr>
        <b/>
        <u/>
        <sz val="10"/>
        <color theme="1"/>
        <rFont val="Arial"/>
        <family val="2"/>
      </rPr>
      <t>Tax Mapping/IT Division</t>
    </r>
  </si>
  <si>
    <t>·         4 servers, 20 workstations &amp; 10 printers properly connected to the PAssO network</t>
  </si>
  <si>
    <r>
      <t>1</t>
    </r>
    <r>
      <rPr>
        <vertAlign val="superscript"/>
        <sz val="10"/>
        <color theme="1"/>
        <rFont val="Arial"/>
        <family val="2"/>
      </rPr>
      <t>st</t>
    </r>
    <r>
      <rPr>
        <sz val="10"/>
        <color theme="1"/>
        <rFont val="Arial"/>
        <family val="2"/>
      </rPr>
      <t>, 2</t>
    </r>
    <r>
      <rPr>
        <vertAlign val="superscript"/>
        <sz val="10"/>
        <color theme="1"/>
        <rFont val="Arial"/>
        <family val="2"/>
      </rPr>
      <t>nd</t>
    </r>
    <r>
      <rPr>
        <sz val="10"/>
        <color theme="1"/>
        <rFont val="Arial"/>
        <family val="2"/>
      </rPr>
      <t>, 3</t>
    </r>
    <r>
      <rPr>
        <vertAlign val="superscript"/>
        <sz val="10"/>
        <color theme="1"/>
        <rFont val="Arial"/>
        <family val="2"/>
      </rPr>
      <t>rd</t>
    </r>
    <r>
      <rPr>
        <sz val="10"/>
        <color theme="1"/>
        <rFont val="Arial"/>
        <family val="2"/>
      </rPr>
      <t xml:space="preserve"> &amp; 4</t>
    </r>
    <r>
      <rPr>
        <vertAlign val="superscript"/>
        <sz val="10"/>
        <color theme="1"/>
        <rFont val="Arial"/>
        <family val="2"/>
      </rPr>
      <t>th</t>
    </r>
    <r>
      <rPr>
        <sz val="10"/>
        <color theme="1"/>
        <rFont val="Arial"/>
        <family val="2"/>
      </rPr>
      <t xml:space="preserve"> quarters</t>
    </r>
  </si>
  <si>
    <t>·         Purchased 2 additional backup devices</t>
  </si>
  <si>
    <t>·         1 network layout plan formulated</t>
  </si>
  <si>
    <t>·         Purchased  two 16-ports switch hub, 2 box OTP cable, Modular box, 35 junction box, RJ 45, crimper</t>
  </si>
  <si>
    <t>·         Formulated  network layout plan</t>
  </si>
  <si>
    <t>·         personnel trained</t>
  </si>
  <si>
    <t>3.2   Enhancement of the existing PAssO systems ( RPTIS, eROTIS, ePRIS, Admin IS, Bodega</t>
  </si>
  <si>
    <r>
      <t>1</t>
    </r>
    <r>
      <rPr>
        <vertAlign val="superscript"/>
        <sz val="10"/>
        <color theme="1"/>
        <rFont val="Arial"/>
        <family val="2"/>
      </rPr>
      <t xml:space="preserve">st, </t>
    </r>
    <r>
      <rPr>
        <sz val="10"/>
        <color theme="1"/>
        <rFont val="Arial"/>
        <family val="2"/>
      </rPr>
      <t>2</t>
    </r>
    <r>
      <rPr>
        <vertAlign val="superscript"/>
        <sz val="10"/>
        <color theme="1"/>
        <rFont val="Arial"/>
        <family val="2"/>
      </rPr>
      <t>nd</t>
    </r>
    <r>
      <rPr>
        <sz val="10"/>
        <color theme="1"/>
        <rFont val="Arial"/>
        <family val="2"/>
      </rPr>
      <t>,3</t>
    </r>
    <r>
      <rPr>
        <vertAlign val="superscript"/>
        <sz val="10"/>
        <color theme="1"/>
        <rFont val="Arial"/>
        <family val="2"/>
      </rPr>
      <t>rd</t>
    </r>
    <r>
      <rPr>
        <sz val="10"/>
        <color theme="1"/>
        <rFont val="Arial"/>
        <family val="2"/>
      </rPr>
      <t xml:space="preserve"> &amp; 4</t>
    </r>
    <r>
      <rPr>
        <vertAlign val="superscript"/>
        <sz val="10"/>
        <color theme="1"/>
        <rFont val="Arial"/>
        <family val="2"/>
      </rPr>
      <t>th</t>
    </r>
    <r>
      <rPr>
        <sz val="10"/>
        <color theme="1"/>
        <rFont val="Arial"/>
        <family val="2"/>
      </rPr>
      <t xml:space="preserve"> quarters</t>
    </r>
  </si>
  <si>
    <t>·         1 large format scanner, 4 personal computers &amp; 1 GIS server acquired/purchased</t>
  </si>
  <si>
    <t>·         Customization/modification of the existing PAssO systems</t>
  </si>
  <si>
    <t>·         Conducted training to personnel</t>
  </si>
  <si>
    <t>·         Upgrading of  PAssO Server &amp; Back-up devices</t>
  </si>
  <si>
    <t>·            Purchasing of two 16-ports switch hub, 2 box OTP cable, Modular box, 35 junction box, RJ 45, crimper</t>
  </si>
  <si>
    <t>·         Formulating  of network layout plan</t>
  </si>
  <si>
    <t>·         150 bookbinders purchased</t>
  </si>
  <si>
    <t>·         Conduct Training of personnel</t>
  </si>
  <si>
    <t>·         200 file boxes purchased</t>
  </si>
  <si>
    <t>·         Acquiring/purchasing of equipment</t>
  </si>
  <si>
    <t>·         Acquiring/purchasing  of GIS Unit</t>
  </si>
  <si>
    <t>·         Acquiring of digital maps from the DENR</t>
  </si>
  <si>
    <t>·         16 file racks purchased</t>
  </si>
  <si>
    <r>
      <t>4.</t>
    </r>
    <r>
      <rPr>
        <b/>
        <sz val="10"/>
        <color theme="1"/>
        <rFont val="Arial"/>
        <family val="2"/>
      </rPr>
      <t xml:space="preserve">0 Records Management Division </t>
    </r>
  </si>
  <si>
    <t>·         Establish an electronic Priority Numbering System</t>
  </si>
  <si>
    <t>·         Improved records room</t>
  </si>
  <si>
    <t>·         Imaged records relocated to the new archives bldg</t>
  </si>
  <si>
    <t>·         Establish an  Electronic Assistance Kiosk</t>
  </si>
  <si>
    <t>·         All imaged records transferred to the archives bldg</t>
  </si>
  <si>
    <t>·         Training of users</t>
  </si>
  <si>
    <t>Ø  Improvement of records room</t>
  </si>
  <si>
    <t>·         Purchase of new bookbinders for old books of assessment</t>
  </si>
  <si>
    <t>4.3   Relocation of imaged records to the imaged records to the Provincial Archives building</t>
  </si>
  <si>
    <t>·         Purchase and installation of new still file racks</t>
  </si>
  <si>
    <t>·         Transfer and filing of records to the archives bldg</t>
  </si>
  <si>
    <t>IMPLEMENTA-TION SCHEDULE</t>
  </si>
  <si>
    <t>1.3   Implementation of Bulk Procurement</t>
  </si>
  <si>
    <t xml:space="preserve">     2.1   CapDev for PAssO personnel on eTRACS</t>
  </si>
  <si>
    <t xml:space="preserve">     2.2   Discovery of Real Properties</t>
  </si>
  <si>
    <r>
      <t xml:space="preserve">     3.1 </t>
    </r>
    <r>
      <rPr>
        <b/>
        <sz val="10"/>
        <color theme="1"/>
        <rFont val="Arial"/>
        <family val="2"/>
      </rPr>
      <t>Establishment of PAssO Electronic Assistance (PEA</t>
    </r>
    <r>
      <rPr>
        <sz val="10"/>
        <color theme="1"/>
        <rFont val="Arial"/>
        <family val="2"/>
      </rPr>
      <t>)</t>
    </r>
  </si>
  <si>
    <t>·         Designing &amp; creating a system  for the PEA</t>
  </si>
  <si>
    <t xml:space="preserve">          Training of users</t>
  </si>
  <si>
    <t xml:space="preserve">     Purchase of new servers w/ license OS</t>
  </si>
  <si>
    <t xml:space="preserve">     Purchasing of additional back-up devices</t>
  </si>
  <si>
    <t>·         Acquired/ purchased  equipment</t>
  </si>
  <si>
    <t xml:space="preserve">     1 electronic priority numbering machine purchased</t>
  </si>
  <si>
    <t xml:space="preserve">        Purchase and installation of electronic priority numbering machine</t>
  </si>
  <si>
    <t xml:space="preserve">     New processes application established for enhancement &amp; modernization of service delivery</t>
  </si>
  <si>
    <t xml:space="preserve">     Electronic assistance kiosk established</t>
  </si>
  <si>
    <t>3.3    Establishment of GIS unit</t>
  </si>
  <si>
    <t>·         Purchase of new file boxes for assessment records</t>
  </si>
  <si>
    <t>Programs/Projects/Activity</t>
  </si>
  <si>
    <t>Maintenance &amp; Other Operating Expenses</t>
  </si>
  <si>
    <r>
      <t>A.</t>
    </r>
    <r>
      <rPr>
        <b/>
        <sz val="7"/>
        <color theme="1"/>
        <rFont val="Times New Roman"/>
        <family val="1"/>
      </rPr>
      <t xml:space="preserve">      </t>
    </r>
    <r>
      <rPr>
        <b/>
        <sz val="11"/>
        <color theme="1"/>
        <rFont val="Calibri"/>
        <family val="2"/>
        <scheme val="minor"/>
      </rPr>
      <t>PROGRAMS</t>
    </r>
  </si>
  <si>
    <r>
      <t>1.</t>
    </r>
    <r>
      <rPr>
        <sz val="7"/>
        <color theme="1"/>
        <rFont val="Times New Roman"/>
        <family val="1"/>
      </rPr>
      <t xml:space="preserve">       </t>
    </r>
    <r>
      <rPr>
        <sz val="11"/>
        <color theme="1"/>
        <rFont val="Calibri"/>
        <family val="2"/>
        <scheme val="minor"/>
      </rPr>
      <t>General Administration Services</t>
    </r>
  </si>
  <si>
    <r>
      <t>2.</t>
    </r>
    <r>
      <rPr>
        <sz val="7"/>
        <color theme="1"/>
        <rFont val="Times New Roman"/>
        <family val="1"/>
      </rPr>
      <t xml:space="preserve">       </t>
    </r>
    <r>
      <rPr>
        <sz val="11"/>
        <color theme="1"/>
        <rFont val="Calibri"/>
        <family val="2"/>
        <scheme val="minor"/>
      </rPr>
      <t>Maintenance and Other Operating Expenses</t>
    </r>
  </si>
  <si>
    <r>
      <t>3.</t>
    </r>
    <r>
      <rPr>
        <sz val="7"/>
        <color theme="1"/>
        <rFont val="Times New Roman"/>
        <family val="1"/>
      </rPr>
      <t xml:space="preserve">       </t>
    </r>
    <r>
      <rPr>
        <sz val="11"/>
        <color theme="1"/>
        <rFont val="Calibri"/>
        <family val="2"/>
        <scheme val="minor"/>
      </rPr>
      <t>Capital Outlay</t>
    </r>
  </si>
  <si>
    <t xml:space="preserve">             SUB-TOTAL</t>
  </si>
  <si>
    <r>
      <t>B.</t>
    </r>
    <r>
      <rPr>
        <b/>
        <sz val="7"/>
        <color theme="1"/>
        <rFont val="Times New Roman"/>
        <family val="1"/>
      </rPr>
      <t xml:space="preserve">      </t>
    </r>
    <r>
      <rPr>
        <b/>
        <sz val="11"/>
        <color theme="1"/>
        <rFont val="Calibri"/>
        <family val="2"/>
        <scheme val="minor"/>
      </rPr>
      <t>PROJECTS</t>
    </r>
  </si>
  <si>
    <t>Improvement/Repair of PAssO  Facilities:</t>
  </si>
  <si>
    <r>
      <t>·</t>
    </r>
    <r>
      <rPr>
        <sz val="7"/>
        <color theme="1"/>
        <rFont val="Times New Roman"/>
        <family val="1"/>
      </rPr>
      <t xml:space="preserve">         </t>
    </r>
    <r>
      <rPr>
        <sz val="11"/>
        <color theme="1"/>
        <rFont val="Calibri"/>
        <family val="2"/>
        <scheme val="minor"/>
      </rPr>
      <t>Purchase of File Racks</t>
    </r>
  </si>
  <si>
    <r>
      <t>·</t>
    </r>
    <r>
      <rPr>
        <sz val="7"/>
        <color theme="1"/>
        <rFont val="Times New Roman"/>
        <family val="1"/>
      </rPr>
      <t xml:space="preserve">         </t>
    </r>
    <r>
      <rPr>
        <sz val="11"/>
        <color theme="1"/>
        <rFont val="Calibri"/>
        <family val="2"/>
        <scheme val="minor"/>
      </rPr>
      <t>Purchase of New Bookbinders for Old Books of Assessment &amp;file boxes</t>
    </r>
  </si>
  <si>
    <r>
      <t>·</t>
    </r>
    <r>
      <rPr>
        <sz val="7"/>
        <color theme="1"/>
        <rFont val="Times New Roman"/>
        <family val="1"/>
      </rPr>
      <t xml:space="preserve">         </t>
    </r>
    <r>
      <rPr>
        <sz val="11"/>
        <color theme="1"/>
        <rFont val="Calibri"/>
        <family val="2"/>
        <scheme val="minor"/>
      </rPr>
      <t>Upgrade PassO server &amp; back up devices &amp; purchase of New servers w/license OS</t>
    </r>
  </si>
  <si>
    <r>
      <t>·</t>
    </r>
    <r>
      <rPr>
        <sz val="7"/>
        <color theme="1"/>
        <rFont val="Times New Roman"/>
        <family val="1"/>
      </rPr>
      <t xml:space="preserve">         </t>
    </r>
    <r>
      <rPr>
        <sz val="11"/>
        <color theme="1"/>
        <rFont val="Calibri"/>
        <family val="2"/>
        <scheme val="minor"/>
      </rPr>
      <t>Purchased of electronic priority numbering machine &amp; established electronic asst.  kiosk</t>
    </r>
  </si>
  <si>
    <r>
      <t>·</t>
    </r>
    <r>
      <rPr>
        <sz val="7"/>
        <color theme="1"/>
        <rFont val="Times New Roman"/>
        <family val="1"/>
      </rPr>
      <t xml:space="preserve">         </t>
    </r>
    <r>
      <rPr>
        <sz val="11"/>
        <color theme="1"/>
        <rFont val="Calibri"/>
        <family val="2"/>
        <scheme val="minor"/>
      </rPr>
      <t>Replacement of office floor tiles &amp; repainting of office</t>
    </r>
  </si>
  <si>
    <t xml:space="preserve"> TOTAL NEW APPROPRIATION</t>
  </si>
  <si>
    <t>Updating of the electronic New Government Accounting System (e-NGAS) thru continuous coaching and mentoring.</t>
  </si>
  <si>
    <t>Jan. 2014 (Daily)</t>
  </si>
  <si>
    <t>Supervision and monitoring of personnel attendance thru biometrics and internal logsheets</t>
  </si>
  <si>
    <t>Initiate CAPABILITY BUILDING, TEAM BUILDING and VALUE FORMATION  activities to capacitate employees and enhance camaraderie.</t>
  </si>
  <si>
    <t>Activities initiated and conducted</t>
  </si>
  <si>
    <t>Implement Performance Monitoring and Tracking thru the monthly accomplishment reports.</t>
  </si>
  <si>
    <t>Implement Rewards and Recognition strategies to boost the morale of employees.</t>
  </si>
  <si>
    <t>Accomplishment Reports attached to monthly DTRs</t>
  </si>
  <si>
    <t>Accomplishment Report duly signed and approved</t>
  </si>
  <si>
    <t>One (1) Awardee</t>
  </si>
  <si>
    <t>Four (4) Awardees</t>
  </si>
  <si>
    <t>Every Convocation Program</t>
  </si>
  <si>
    <t>Every December</t>
  </si>
  <si>
    <t>EQUIPMENT AND SYSTEMS IMPROVEMENT PROGRAM:</t>
  </si>
  <si>
    <t>Inventory of office equipment/s according to its serviceability and maximum utilization.</t>
  </si>
  <si>
    <t>Adopt modernization  to update existing electronic systems implemented at PAccO.</t>
  </si>
  <si>
    <t>Implement system maintenance and system  enhancements to improve delivery of basic services (e-NGAS, FiTTSys, RITS, Cash Advance Control, etc.)</t>
  </si>
  <si>
    <t xml:space="preserve">Maximum utilization of office equipment </t>
  </si>
  <si>
    <t xml:space="preserve">Systems/ process improvement </t>
  </si>
  <si>
    <t>High-Performing office equipments</t>
  </si>
  <si>
    <t>e-NGAS, FiTTSys, RITS, Cash Advance Control enhanced</t>
  </si>
  <si>
    <t>Maintain an updated Management Information System</t>
  </si>
  <si>
    <t>e-NGAS real time</t>
  </si>
  <si>
    <t>Implementation of FiTTSys Version 2</t>
  </si>
  <si>
    <t>DEPARTMENT/ FACILITIES  IMPROVEMENT PROGRAM:</t>
  </si>
  <si>
    <t>Promote a healthy and conducive working environment.</t>
  </si>
  <si>
    <t>Repair and Repainting  of entire PAccO Area and Facilities.</t>
  </si>
  <si>
    <t>Conducive working area.</t>
  </si>
  <si>
    <t>PAccO building and facilities maintained.</t>
  </si>
  <si>
    <t>Employee welfare</t>
  </si>
  <si>
    <t>Repainted, Maintained and  improved</t>
  </si>
  <si>
    <t>Implement EMS/EMP-</t>
  </si>
  <si>
    <t xml:space="preserve"> - Waste Segregation/  Minimization</t>
  </si>
  <si>
    <t>- Energy Conservation</t>
  </si>
  <si>
    <t>- Water Conservation</t>
  </si>
  <si>
    <t>- Health and Safety</t>
  </si>
  <si>
    <t>EMS/EMP supported and implemented</t>
  </si>
  <si>
    <t>ISO Certification sustained</t>
  </si>
  <si>
    <t>Prompt submission to the Commission on Audit</t>
  </si>
  <si>
    <t>Easy retrieval of document through the electronic database  of  communica tions received, released and sent.</t>
  </si>
  <si>
    <t>Monthly/ timely submission</t>
  </si>
  <si>
    <t>Electronic records control</t>
  </si>
  <si>
    <t>o Procurement of office goods</t>
  </si>
  <si>
    <t>o Prepare replenishments and liquidation of Petty Cash Fund and other special cash advances</t>
  </si>
  <si>
    <t>o Maintain record and Report of Supplies Utilization.</t>
  </si>
  <si>
    <t>Proposed Annual Budget and attachments submitted</t>
  </si>
  <si>
    <t xml:space="preserve">Sufficient supplies petty cash fund  
Available for ready use
</t>
  </si>
  <si>
    <t>Annual Budget approved as proposed</t>
  </si>
  <si>
    <t>Labor payrolls, Job Orders, Purchase Requests, Vouchers and supporting documents</t>
  </si>
  <si>
    <t>Replenishments within 70% utilization level.</t>
  </si>
  <si>
    <t>Liquidations submitted and processed on time (year-end)</t>
  </si>
  <si>
    <t xml:space="preserve">Continuing Information and Education Campaigns through the conduct of Consultative For a for all office. </t>
  </si>
  <si>
    <t>CUSTOMER SERVICE:</t>
  </si>
  <si>
    <t>Updating of PAccO guidebook</t>
  </si>
  <si>
    <t>Send demand letters to all officials and employees with outstanding unliquidated balances.</t>
  </si>
  <si>
    <t>Consultative For a conducted</t>
  </si>
  <si>
    <t>Guidebook updated</t>
  </si>
  <si>
    <t>Demand letters prepared</t>
  </si>
  <si>
    <t>Once every year</t>
  </si>
  <si>
    <t>Guidebook distributed</t>
  </si>
  <si>
    <t>Demand letters served</t>
  </si>
  <si>
    <t>Within the first semester of CY 2014</t>
  </si>
  <si>
    <t>Within 2014</t>
  </si>
  <si>
    <t>Year-end</t>
  </si>
  <si>
    <t>(Capacity Development)</t>
  </si>
  <si>
    <t>Trainings completed</t>
  </si>
  <si>
    <t>Enhanced knowledge on software development</t>
  </si>
  <si>
    <t>Enhanced knowledge on Server Administation</t>
  </si>
  <si>
    <t>Enhanced knowledge of e-NGAS users</t>
  </si>
  <si>
    <t>P150,000.00</t>
  </si>
  <si>
    <t>Purchase of hardware requirements for the e-NGAS Upgrading shall provide:</t>
  </si>
  <si>
    <t>e-NGAS Version 1.2.2. implemented</t>
  </si>
  <si>
    <t>One Consultative FORA-  for all Liaisons, Adm. Officers/ Supply Oficers, Payroll makers, etc.</t>
  </si>
  <si>
    <t>PAccO Guidebook 2 distributed</t>
  </si>
  <si>
    <t>Purchase of new aircon units as replacement of the depreciated with high maintenance cost equipment</t>
  </si>
  <si>
    <t>1 unit 1Hp Split-type airconditioner installed</t>
  </si>
  <si>
    <t>PAccO area and facilities repainted</t>
  </si>
  <si>
    <t>Health-friendly and conducive working environment</t>
  </si>
  <si>
    <t>o  Updating and printing of PaccO Guidebook 2</t>
  </si>
  <si>
    <t xml:space="preserve">Purchase of hardware requirements for the proposed upgrading of FiTTSys Version 2.0.6.8-9 shall provide: </t>
  </si>
  <si>
    <t>2. EQUIPMENT AND SYSTEMS IMPROVEMENT</t>
  </si>
  <si>
    <t>3. REPAIR/IMPROVEMENT OF OFFICE BUILDING</t>
  </si>
  <si>
    <t>SUMMARY</t>
  </si>
  <si>
    <t>Annual conduct of Consultative Fora and Information and Education Campaigns of in-house PAccO Programs and initiatives.</t>
  </si>
  <si>
    <t>(GF)</t>
  </si>
  <si>
    <r>
      <t>1.0</t>
    </r>
    <r>
      <rPr>
        <sz val="7"/>
        <color theme="1"/>
        <rFont val="Times New Roman"/>
        <family val="1"/>
      </rPr>
      <t xml:space="preserve">  </t>
    </r>
    <r>
      <rPr>
        <sz val="10"/>
        <color theme="1"/>
        <rFont val="Arial"/>
        <family val="2"/>
      </rPr>
      <t>General Administration Services</t>
    </r>
  </si>
  <si>
    <r>
      <t>2.0</t>
    </r>
    <r>
      <rPr>
        <sz val="7"/>
        <color theme="1"/>
        <rFont val="Times New Roman"/>
        <family val="1"/>
      </rPr>
      <t xml:space="preserve">  </t>
    </r>
    <r>
      <rPr>
        <sz val="10"/>
        <color theme="1"/>
        <rFont val="Arial"/>
        <family val="2"/>
      </rPr>
      <t xml:space="preserve"> Operations – Accounting</t>
    </r>
  </si>
  <si>
    <r>
      <t>3.0</t>
    </r>
    <r>
      <rPr>
        <sz val="7"/>
        <color theme="1"/>
        <rFont val="Times New Roman"/>
        <family val="1"/>
      </rPr>
      <t xml:space="preserve">  </t>
    </r>
    <r>
      <rPr>
        <sz val="10"/>
        <color theme="1"/>
        <rFont val="Arial"/>
        <family val="2"/>
      </rPr>
      <t>Operations – Auditing</t>
    </r>
  </si>
  <si>
    <t>P15,659,373.00</t>
  </si>
  <si>
    <t xml:space="preserve">E-NGAS/FITTSYS/ RITS/eRMS  Upgrading and Implementation </t>
  </si>
  <si>
    <r>
      <t>·</t>
    </r>
    <r>
      <rPr>
        <sz val="7"/>
        <color theme="1"/>
        <rFont val="Times New Roman"/>
        <family val="1"/>
      </rPr>
      <t xml:space="preserve">         </t>
    </r>
    <r>
      <rPr>
        <sz val="10"/>
        <color theme="1"/>
        <rFont val="Arial"/>
        <family val="2"/>
      </rPr>
      <t>Wages (Job Order/Plantilla)</t>
    </r>
  </si>
  <si>
    <r>
      <t>·</t>
    </r>
    <r>
      <rPr>
        <sz val="7"/>
        <color theme="1"/>
        <rFont val="Times New Roman"/>
        <family val="1"/>
      </rPr>
      <t xml:space="preserve">         </t>
    </r>
    <r>
      <rPr>
        <sz val="10"/>
        <color theme="1"/>
        <rFont val="Arial"/>
        <family val="2"/>
      </rPr>
      <t>Overtime</t>
    </r>
  </si>
  <si>
    <r>
      <t>·</t>
    </r>
    <r>
      <rPr>
        <sz val="7"/>
        <color theme="1"/>
        <rFont val="Times New Roman"/>
        <family val="1"/>
      </rPr>
      <t xml:space="preserve">         </t>
    </r>
    <r>
      <rPr>
        <sz val="10"/>
        <color theme="1"/>
        <rFont val="Arial"/>
        <family val="2"/>
      </rPr>
      <t>Trainings</t>
    </r>
  </si>
  <si>
    <r>
      <t>1.0</t>
    </r>
    <r>
      <rPr>
        <sz val="7"/>
        <color theme="1"/>
        <rFont val="Times New Roman"/>
        <family val="1"/>
      </rPr>
      <t xml:space="preserve">    </t>
    </r>
    <r>
      <rPr>
        <sz val="10"/>
        <color theme="1"/>
        <rFont val="Arial"/>
        <family val="2"/>
      </rPr>
      <t>Purchase of Hardwares and IT parts for the implementation of the enhanced and improved FiTTSys</t>
    </r>
  </si>
  <si>
    <r>
      <t>2.0</t>
    </r>
    <r>
      <rPr>
        <sz val="7"/>
        <color theme="1"/>
        <rFont val="Times New Roman"/>
        <family val="1"/>
      </rPr>
      <t xml:space="preserve">    </t>
    </r>
    <r>
      <rPr>
        <sz val="10"/>
        <color theme="1"/>
        <rFont val="Arial"/>
        <family val="2"/>
      </rPr>
      <t>Purchase of Hardwares and IT Parts for the e-NGAS enhancement and expansion</t>
    </r>
  </si>
  <si>
    <r>
      <t>3.0</t>
    </r>
    <r>
      <rPr>
        <sz val="7"/>
        <color theme="1"/>
        <rFont val="Times New Roman"/>
        <family val="1"/>
      </rPr>
      <t xml:space="preserve">    </t>
    </r>
    <r>
      <rPr>
        <sz val="10"/>
        <color theme="1"/>
        <rFont val="Arial"/>
        <family val="2"/>
      </rPr>
      <t>Purchase of Hardware and Software requirements for the implementation of Electronic Records Management</t>
    </r>
  </si>
  <si>
    <r>
      <t>4.0</t>
    </r>
    <r>
      <rPr>
        <sz val="7"/>
        <color theme="1"/>
        <rFont val="Times New Roman"/>
        <family val="1"/>
      </rPr>
      <t xml:space="preserve">    </t>
    </r>
    <r>
      <rPr>
        <sz val="10"/>
        <color theme="1"/>
        <rFont val="Arial"/>
        <family val="2"/>
      </rPr>
      <t>Purchase of one unit 1Hp split-type aircon for the Asst. Provl. Accountant’s room</t>
    </r>
  </si>
  <si>
    <r>
      <t>5.0</t>
    </r>
    <r>
      <rPr>
        <sz val="7"/>
        <color theme="1"/>
        <rFont val="Times New Roman"/>
        <family val="1"/>
      </rPr>
      <t xml:space="preserve">    </t>
    </r>
    <r>
      <rPr>
        <sz val="10"/>
        <color theme="1"/>
        <rFont val="Arial"/>
        <family val="2"/>
      </rPr>
      <t>Repair and Repainting of the entire PAccO Area and Facilities</t>
    </r>
  </si>
  <si>
    <r>
      <t>6.0</t>
    </r>
    <r>
      <rPr>
        <sz val="7"/>
        <color theme="1"/>
        <rFont val="Times New Roman"/>
        <family val="1"/>
      </rPr>
      <t xml:space="preserve">    </t>
    </r>
    <r>
      <rPr>
        <sz val="10"/>
        <color theme="1"/>
        <rFont val="Arial"/>
        <family val="2"/>
      </rPr>
      <t xml:space="preserve">Continuous IEC thru the conduct of Annual  Consultative FOR A </t>
    </r>
  </si>
  <si>
    <t>(SPECIAL BODIES-P100,000)</t>
  </si>
  <si>
    <t>TOTAL NEW APPROPRIATIONS</t>
  </si>
  <si>
    <t>P2,577,200.00</t>
  </si>
  <si>
    <t>P900,000.00</t>
  </si>
  <si>
    <t>BUDGET YEAR :</t>
  </si>
  <si>
    <t xml:space="preserve">BUDGET COST: </t>
  </si>
  <si>
    <t>I.  FUNCTIONAL STATEMENT</t>
  </si>
  <si>
    <t xml:space="preserve">           1.  Assist and support the provincial government and its component units to ensure that their actions and</t>
  </si>
  <si>
    <t xml:space="preserve">          2.  Ably provide competent and professional legal representation to the provincial government, its</t>
  </si>
  <si>
    <t xml:space="preserve">          3. Initiate appropriate actions to protech the interest of the provincial government and its component units,</t>
  </si>
  <si>
    <t xml:space="preserve">          4. Build the capability and skills of legal officers and administrative personnel.</t>
  </si>
  <si>
    <t xml:space="preserve">          5.  Readiness to perform other tasks as may be assigned by the Governor, ordinance or resolution from the</t>
  </si>
  <si>
    <t>III.  PROJECTS   /  ACTIVITIES</t>
  </si>
  <si>
    <t xml:space="preserve">            PROGRAM /ACTIVITY</t>
  </si>
  <si>
    <t>OUTPUT</t>
  </si>
  <si>
    <t>IMPLEMENTATION</t>
  </si>
  <si>
    <t xml:space="preserve">           PROJECT  DESCRIPTION</t>
  </si>
  <si>
    <t>INDICATOR</t>
  </si>
  <si>
    <t xml:space="preserve">  SCHEDULE[S]</t>
  </si>
  <si>
    <t>1. Legal assistance to component local</t>
  </si>
  <si>
    <t>Legal actions or inter-</t>
  </si>
  <si>
    <t xml:space="preserve"> government units</t>
  </si>
  <si>
    <t>ventions to protect</t>
  </si>
  <si>
    <t>interest of government</t>
  </si>
  <si>
    <t>and its constituents</t>
  </si>
  <si>
    <t>file in proper forum</t>
  </si>
  <si>
    <t xml:space="preserve">  a. Hiring of lawyers under Contract of</t>
  </si>
  <si>
    <t>Availability of lawyers</t>
  </si>
  <si>
    <t>Jan 2014</t>
  </si>
  <si>
    <t>Dec 2014</t>
  </si>
  <si>
    <t xml:space="preserve">        services</t>
  </si>
  <si>
    <t>assigned for every</t>
  </si>
  <si>
    <t>congressional district</t>
  </si>
  <si>
    <t xml:space="preserve">  b. Procurement of Regular Office</t>
  </si>
  <si>
    <t xml:space="preserve">          Supplies</t>
  </si>
  <si>
    <t xml:space="preserve">Availability of </t>
  </si>
  <si>
    <t>Consumable</t>
  </si>
  <si>
    <t xml:space="preserve">Jan 2014 </t>
  </si>
  <si>
    <t xml:space="preserve">  supplies</t>
  </si>
  <si>
    <t>replenish</t>
  </si>
  <si>
    <t>quarterly</t>
  </si>
  <si>
    <t xml:space="preserve"> c. Repair and Maintenance for Office</t>
  </si>
  <si>
    <t>Availability of office</t>
  </si>
  <si>
    <t>as scheduled or</t>
  </si>
  <si>
    <t>vehicles for court</t>
  </si>
  <si>
    <t>ordered by the</t>
  </si>
  <si>
    <t>hearings and for</t>
  </si>
  <si>
    <t>court</t>
  </si>
  <si>
    <t>serving pleadings and</t>
  </si>
  <si>
    <t>other court processes</t>
  </si>
  <si>
    <t xml:space="preserve">  d. Gasoline, Oil &amp; Lubricants</t>
  </si>
  <si>
    <t>Availability of gaso-</t>
  </si>
  <si>
    <t>per travel</t>
  </si>
  <si>
    <t>line, oil &amp; lubricants</t>
  </si>
  <si>
    <t>of office vehicle</t>
  </si>
  <si>
    <t xml:space="preserve">  e. Travel</t>
  </si>
  <si>
    <t xml:space="preserve">  f. Postage &amp; deliveries</t>
  </si>
  <si>
    <t>per request</t>
  </si>
  <si>
    <t xml:space="preserve">  g. Telephone - landline</t>
  </si>
  <si>
    <t>per month</t>
  </si>
  <si>
    <t xml:space="preserve">  h. Telephone - mobile</t>
  </si>
  <si>
    <t xml:space="preserve">  i. Internet</t>
  </si>
  <si>
    <t xml:space="preserve">  j. R &amp; M - Other Mach, &amp; Equipment</t>
  </si>
  <si>
    <t xml:space="preserve">  k. Fidelity Bond Premium</t>
  </si>
  <si>
    <t xml:space="preserve">  l. .Other Maintenance and Other Operating </t>
  </si>
  <si>
    <t>as scheduled</t>
  </si>
  <si>
    <t xml:space="preserve">       Expenses</t>
  </si>
  <si>
    <t xml:space="preserve">      a. Conduct regular meeting</t>
  </si>
  <si>
    <t xml:space="preserve">      b.  Medical kit , etc.</t>
  </si>
  <si>
    <t xml:space="preserve">      c. OM &amp; OO misc</t>
  </si>
  <si>
    <t>3. Research facility upgrading and</t>
  </si>
  <si>
    <t xml:space="preserve">    networking</t>
  </si>
  <si>
    <t xml:space="preserve">    a. Computer and IT Maintenance and</t>
  </si>
  <si>
    <t>Up to date computer</t>
  </si>
  <si>
    <t>A released by</t>
  </si>
  <si>
    <t xml:space="preserve">         Repair</t>
  </si>
  <si>
    <t>hardware &amp; software</t>
  </si>
  <si>
    <t>the developer</t>
  </si>
  <si>
    <t xml:space="preserve">  b. Updating and Procurement of </t>
  </si>
  <si>
    <t xml:space="preserve">      Additional Research Materials</t>
  </si>
  <si>
    <t>Up to date legal</t>
  </si>
  <si>
    <t>Updated quarterly</t>
  </si>
  <si>
    <t>research materials</t>
  </si>
  <si>
    <t>starting January</t>
  </si>
  <si>
    <t xml:space="preserve">   c. Electronics indexing of legal opinions</t>
  </si>
  <si>
    <t xml:space="preserve">Office legal opinions </t>
  </si>
  <si>
    <t>in PDF format stored</t>
  </si>
  <si>
    <t>electronically</t>
  </si>
  <si>
    <t>4. Personnel development thru</t>
  </si>
  <si>
    <t xml:space="preserve">    continuing legal education and </t>
  </si>
  <si>
    <t xml:space="preserve">    trainings</t>
  </si>
  <si>
    <t xml:space="preserve">   a. Attendance to Mandatory </t>
  </si>
  <si>
    <t>Compliance with the</t>
  </si>
  <si>
    <t>as scheduled by</t>
  </si>
  <si>
    <t xml:space="preserve">        continuing Legal Education to</t>
  </si>
  <si>
    <t>required MCLE Units</t>
  </si>
  <si>
    <t>required MCLE</t>
  </si>
  <si>
    <t xml:space="preserve">        Lawyers</t>
  </si>
  <si>
    <t>units</t>
  </si>
  <si>
    <t xml:space="preserve">  b. Attnedance to Basic Computer</t>
  </si>
  <si>
    <t>Computer literacy for</t>
  </si>
  <si>
    <t>3 staff</t>
  </si>
  <si>
    <t xml:space="preserve">       Applications Training</t>
  </si>
  <si>
    <t>office support staff</t>
  </si>
  <si>
    <t xml:space="preserve">  c. Conduct trainings &amp; seminars</t>
  </si>
  <si>
    <t>Empowered and</t>
  </si>
  <si>
    <t>40 staff</t>
  </si>
  <si>
    <t>empowered personnel</t>
  </si>
  <si>
    <t>5. Hiring of Job Order Personnel</t>
  </si>
  <si>
    <t xml:space="preserve">Additional manpower </t>
  </si>
  <si>
    <t>6 casuals</t>
  </si>
  <si>
    <t>Jan 2013</t>
  </si>
  <si>
    <t xml:space="preserve">to augment organic </t>
  </si>
  <si>
    <t>office staff</t>
  </si>
  <si>
    <t>6. Office space upgrade</t>
  </si>
  <si>
    <t xml:space="preserve">    a. Office Space  Expansion</t>
  </si>
  <si>
    <t xml:space="preserve">Spacious and </t>
  </si>
  <si>
    <t xml:space="preserve">Office </t>
  </si>
  <si>
    <t>organized office space</t>
  </si>
  <si>
    <t xml:space="preserve">   renovation</t>
  </si>
  <si>
    <t xml:space="preserve">   completed</t>
  </si>
  <si>
    <t xml:space="preserve">    b. Procurement of new office equip-</t>
  </si>
  <si>
    <t xml:space="preserve">         ment and fixtures</t>
  </si>
  <si>
    <t>Comfortable and</t>
  </si>
  <si>
    <t>Old and dilapi</t>
  </si>
  <si>
    <t>Ja. 2014</t>
  </si>
  <si>
    <t>July 2014</t>
  </si>
  <si>
    <t>fonctional office</t>
  </si>
  <si>
    <t>dated chairs</t>
  </si>
  <si>
    <t>equipment and</t>
  </si>
  <si>
    <t>and tables are</t>
  </si>
  <si>
    <t>fixtures</t>
  </si>
  <si>
    <t>replaced on or</t>
  </si>
  <si>
    <t>before July 2014</t>
  </si>
  <si>
    <t xml:space="preserve">                 those of their officials and personnel are consistent with law.</t>
  </si>
  <si>
    <t xml:space="preserve">                components units and its officials and personnel facing legal actions in their official capacity.</t>
  </si>
  <si>
    <t xml:space="preserve">                promote the general welfare, and do justice to every constituents.</t>
  </si>
  <si>
    <t xml:space="preserve">                Sangguniang Panlalawigan</t>
  </si>
  <si>
    <r>
      <t xml:space="preserve">OFFICE/DEPARTMENT : </t>
    </r>
    <r>
      <rPr>
        <b/>
        <sz val="12"/>
        <color theme="1"/>
        <rFont val="Arial"/>
        <family val="2"/>
      </rPr>
      <t>PROVINCIAL LEGAL OFFICE</t>
    </r>
  </si>
  <si>
    <t>NEW APPROPRIATIONS BY PROGRAM / PROJECT</t>
  </si>
  <si>
    <t>OFFICE OF THE PROVINCIAL LEGAL  OFFICER</t>
  </si>
  <si>
    <t xml:space="preserve">      Program  / Project  /  Activity      </t>
  </si>
  <si>
    <t xml:space="preserve">                Current  Operating  Expenditures</t>
  </si>
  <si>
    <t>Personal  Services</t>
  </si>
  <si>
    <t xml:space="preserve">MOOE </t>
  </si>
  <si>
    <t>a.  Personal  Services</t>
  </si>
  <si>
    <t>b. Programs</t>
  </si>
  <si>
    <t>c. Projects</t>
  </si>
  <si>
    <t>Total New Appropriation</t>
  </si>
  <si>
    <t xml:space="preserve">             Pursuant to Section 468(a) of R.A. 7160, the Sangguniang Panlalawigan, as the Legislative Body of the province, shall enact Ordinances, approve resolutions and appropriate funds for the general welfare of the province and its inhabitants and shall:</t>
  </si>
  <si>
    <t>Exercise such other powers and perform such other duties and functions as may be prescribed by law or ordinance.</t>
  </si>
  <si>
    <t>Attend meetings of the sanggunian and keep a journal of its proceedings,</t>
  </si>
  <si>
    <t xml:space="preserve"> -  Conduct Regular &amp; Special</t>
  </si>
  <si>
    <t>Sessions</t>
  </si>
  <si>
    <t>-  Enact Legislative measures</t>
  </si>
  <si>
    <t xml:space="preserve"> 500 legislative</t>
  </si>
  <si>
    <t>(ordinances &amp; resolutions)</t>
  </si>
  <si>
    <t xml:space="preserve">-   Review ordinances submitted by </t>
  </si>
  <si>
    <t>350 ords.</t>
  </si>
  <si>
    <t>Sangguniang Bayan</t>
  </si>
  <si>
    <t>-   Conduct committee meetings in</t>
  </si>
  <si>
    <t>40 meetings</t>
  </si>
  <si>
    <t>aid-of-legislation</t>
  </si>
  <si>
    <t>-   Conduct Budget Hearings</t>
  </si>
  <si>
    <t>-   Conduct investigations and</t>
  </si>
  <si>
    <t>ocular inspection</t>
  </si>
  <si>
    <t>-   Conduct regular visitations/</t>
  </si>
  <si>
    <t>consultations to all its constituents</t>
  </si>
  <si>
    <t xml:space="preserve">in the 3 congressional districts </t>
  </si>
  <si>
    <t>of Bohol</t>
  </si>
  <si>
    <t>-   Conduct research in aid of</t>
  </si>
  <si>
    <t>legislation</t>
  </si>
  <si>
    <t>-    Attend trainings/conventions</t>
  </si>
  <si>
    <t>Upon request</t>
  </si>
  <si>
    <t>national/regional/local conference</t>
  </si>
  <si>
    <t>&amp;/or invitation</t>
  </si>
  <si>
    <t xml:space="preserve">-   Prepare &amp; process financial </t>
  </si>
  <si>
    <t>documents, &amp; requests for</t>
  </si>
  <si>
    <t>prepared &amp; processed</t>
  </si>
  <si>
    <t>financial assistance.</t>
  </si>
  <si>
    <t xml:space="preserve">-    Monitor employee attendance, </t>
  </si>
  <si>
    <t>Leave of absence, Pass slips</t>
  </si>
  <si>
    <t>&amp; reported per month</t>
  </si>
  <si>
    <t>-   Prepare communications for</t>
  </si>
  <si>
    <t>different government offices &amp;</t>
  </si>
  <si>
    <t>issue office orders &amp; TOs for</t>
  </si>
  <si>
    <t>its employees</t>
  </si>
  <si>
    <t xml:space="preserve">-   Prepare cash advance &amp; </t>
  </si>
  <si>
    <t xml:space="preserve">liquidation report of claims, petty </t>
  </si>
  <si>
    <t>cash &amp; gasoline allocation.</t>
  </si>
  <si>
    <t xml:space="preserve">allocation prepared </t>
  </si>
  <si>
    <t xml:space="preserve">-   Prepare replenishment for petty </t>
  </si>
  <si>
    <t>5</t>
  </si>
  <si>
    <t>cash and gasoline allocation</t>
  </si>
  <si>
    <t>allocation replenished</t>
  </si>
  <si>
    <t>-   Maintain cleanliness of SP</t>
  </si>
  <si>
    <t xml:space="preserve">Session Hall, VGO &amp; Conference </t>
  </si>
  <si>
    <t>Room</t>
  </si>
  <si>
    <t>-    Arrange committee meetings &amp;</t>
  </si>
  <si>
    <t>Committee Meetings &amp;</t>
  </si>
  <si>
    <t>other consultative conferences</t>
  </si>
  <si>
    <t>per request from the Executive</t>
  </si>
  <si>
    <t>Department &amp; its clients.</t>
  </si>
  <si>
    <t>-    Attendance to League</t>
  </si>
  <si>
    <t>Conventions and meetings</t>
  </si>
  <si>
    <t>-   Attendance to trainings &amp; seminars</t>
  </si>
  <si>
    <t>Printing:</t>
  </si>
  <si>
    <t>-   Printing of SP accomplishments</t>
  </si>
  <si>
    <t>-  Procurement of supplies/equipment</t>
  </si>
  <si>
    <t>-   Maintain VGO-SP website</t>
  </si>
  <si>
    <t>A.   ADMINISTRATIVE SERVICES</t>
  </si>
  <si>
    <t>-   Issue Memoranda &amp; Office Orders</t>
  </si>
  <si>
    <t xml:space="preserve">Memoranda/Office </t>
  </si>
  <si>
    <t>to implement office policies</t>
  </si>
  <si>
    <t>orders issued</t>
  </si>
  <si>
    <t>-    Monitor personnel attendance</t>
  </si>
  <si>
    <t>39</t>
  </si>
  <si>
    <t>-   Prepare office payrolls and</t>
  </si>
  <si>
    <t>other claims</t>
  </si>
  <si>
    <t>-   Review of PES/OPES</t>
  </si>
  <si>
    <t>112</t>
  </si>
  <si>
    <t xml:space="preserve">-   Process application for leave of </t>
  </si>
  <si>
    <t xml:space="preserve">Approved by SP Sec. </t>
  </si>
  <si>
    <t>absence for submission to PHRMDO</t>
  </si>
  <si>
    <t>&amp;/or Vice Governor</t>
  </si>
  <si>
    <t>-  Prepare Purchase Requests</t>
  </si>
  <si>
    <t>Purchase Requests</t>
  </si>
  <si>
    <t>-  Attend Conventions and meetings</t>
  </si>
  <si>
    <t>-  Attend trainings &amp; Seminars</t>
  </si>
  <si>
    <t>-  Conduct Planning/Seminars</t>
  </si>
  <si>
    <t>-   Prepare Petty Cash Fund for</t>
  </si>
  <si>
    <t xml:space="preserve">Petty Cash </t>
  </si>
  <si>
    <t>SP-secretariat and the weekly SP</t>
  </si>
  <si>
    <t xml:space="preserve">consultative conference and </t>
  </si>
  <si>
    <t>committee meetings</t>
  </si>
  <si>
    <t>-  Issue certificate of appearance</t>
  </si>
  <si>
    <t xml:space="preserve">Certificates of </t>
  </si>
  <si>
    <t>to transacting clients</t>
  </si>
  <si>
    <t>appearnce issued</t>
  </si>
  <si>
    <t>-  Manage records of officials and</t>
  </si>
  <si>
    <t>89 records</t>
  </si>
  <si>
    <t>&amp; personnel managed</t>
  </si>
  <si>
    <t>-  Monitor/Prepare and submit EMS</t>
  </si>
  <si>
    <t>120 reports</t>
  </si>
  <si>
    <t>documents and reports</t>
  </si>
  <si>
    <t>-  Prepare and process plantilla of</t>
  </si>
  <si>
    <t xml:space="preserve">Casual workers' plantilla </t>
  </si>
  <si>
    <t>18 casuals</t>
  </si>
  <si>
    <t>casual appointment</t>
  </si>
  <si>
    <t>prepared and processed</t>
  </si>
  <si>
    <t>-  Reconcile daily time records of</t>
  </si>
  <si>
    <t>-  Coordinate w/ PHRMDO for payroll</t>
  </si>
  <si>
    <t xml:space="preserve">Coordinated w/ </t>
  </si>
  <si>
    <t>preparation</t>
  </si>
  <si>
    <t>- Monitor blood pressure of personnel</t>
  </si>
  <si>
    <t>-  Liaisoning services</t>
  </si>
  <si>
    <t>Payrolls/vouchers/bills</t>
  </si>
  <si>
    <t xml:space="preserve">65 </t>
  </si>
  <si>
    <t>-  Maintenance of office cleanliness</t>
  </si>
  <si>
    <t>B. DOCUMENTATION &amp; RECORDS</t>
  </si>
  <si>
    <t>- Take down &amp; transcribe proceedings</t>
  </si>
  <si>
    <t>of Regular &amp; Special Sessions.</t>
  </si>
  <si>
    <t>proceedings</t>
  </si>
  <si>
    <t>-   Prepare Order of Business for SP</t>
  </si>
  <si>
    <t>48 OBs</t>
  </si>
  <si>
    <t xml:space="preserve"> sessions</t>
  </si>
  <si>
    <t>-   Document Committee Meetings,</t>
  </si>
  <si>
    <t>Budget Hearing, Investigation,</t>
  </si>
  <si>
    <t>Conference and Ocular inspection</t>
  </si>
  <si>
    <t>-  Prepare Brief/Titles of approved</t>
  </si>
  <si>
    <t xml:space="preserve">400 </t>
  </si>
  <si>
    <t>Briefs/Titles</t>
  </si>
  <si>
    <t xml:space="preserve">-  Review drafts of approved </t>
  </si>
  <si>
    <t>resolutions and ordinances</t>
  </si>
  <si>
    <t>-   Finalize approved resolution and</t>
  </si>
  <si>
    <t>ordinances.</t>
  </si>
  <si>
    <t xml:space="preserve"> -  Prepare communication/invitation to</t>
  </si>
  <si>
    <t xml:space="preserve">to concerned entities/persons to </t>
  </si>
  <si>
    <t>commus</t>
  </si>
  <si>
    <t>attend Session in-aid of Legislation</t>
  </si>
  <si>
    <t xml:space="preserve">- Receive proposed SP ordinances/  resolutions, petitions, letter requests, res./ord. from the city/different 
municipalities, departments, offices and citizens
</t>
  </si>
  <si>
    <t>Proposed SP measures, petitions, letter requests,etc received from city/muns.,depts, offices, &amp; citizens</t>
  </si>
  <si>
    <t>2,600</t>
  </si>
  <si>
    <t xml:space="preserve">- Indorse various documents received (proposed SP ordinances/resolutions, petitions, letter requests, res./ord. from the city/different municipalities, departments, offices and citizens) to concerned committees
</t>
  </si>
  <si>
    <t>Various documents indorsed to different committees</t>
  </si>
  <si>
    <t>500</t>
  </si>
  <si>
    <t>- Encode finalized approved provincial resolutions and ordinances</t>
  </si>
  <si>
    <t xml:space="preserve">Approved measures encoded </t>
  </si>
  <si>
    <t>600</t>
  </si>
  <si>
    <r>
      <t xml:space="preserve">-  </t>
    </r>
    <r>
      <rPr>
        <sz val="10"/>
        <rFont val="Arial Narrow"/>
        <family val="2"/>
      </rPr>
      <t>Keep and file records of approved SP ord. and res., municipal ord., municipal budgets, indorsements, response/feedbacks, and the like</t>
    </r>
  </si>
  <si>
    <t>Approved measures &amp; various documents kept and filed</t>
  </si>
  <si>
    <t>1,300</t>
  </si>
  <si>
    <t>-   Bookbinding of journals and approved</t>
  </si>
  <si>
    <t>-  Release/furnish approved SP ord. and res. to different entities</t>
  </si>
  <si>
    <t>Approved SP ord. and res. released/furnished</t>
  </si>
  <si>
    <t>1,360</t>
  </si>
  <si>
    <r>
      <t xml:space="preserve">- </t>
    </r>
    <r>
      <rPr>
        <sz val="10"/>
        <rFont val="Arial Narrow"/>
        <family val="2"/>
      </rPr>
      <t xml:space="preserve"> Track/monitor status of records and provide requested documents to clients</t>
    </r>
  </si>
  <si>
    <t>Status of records tracked &amp; provided requested documents to clients</t>
  </si>
  <si>
    <t>3,320</t>
  </si>
  <si>
    <t>-   Convert to pdf files the Journal of Proceedings, Order of Business, Committee Reports,&amp;proposed measures &amp; email the same before regular session to SP Sec., Chief of Staff &amp; BMs</t>
  </si>
  <si>
    <t>documents converted &amp; emailed to concerned persons</t>
  </si>
  <si>
    <t>200</t>
  </si>
  <si>
    <t>- Prepare powerpoint presentations, certificates of completion/recognition and the like</t>
  </si>
  <si>
    <t>Powerpoint presentations, certificates of completion/ recognition, etc prepared</t>
  </si>
  <si>
    <t>-  Sign clearance of SP officials and</t>
  </si>
  <si>
    <t>30 documents</t>
  </si>
  <si>
    <t>employees/authenticate documents</t>
  </si>
  <si>
    <t>signed/authenticated</t>
  </si>
  <si>
    <t xml:space="preserve">-  Make photocopies of different </t>
  </si>
  <si>
    <t>30,000 diff.</t>
  </si>
  <si>
    <t>-  Post/Publish documents</t>
  </si>
  <si>
    <t xml:space="preserve">C. LEGISLATIVE SUPPORT  </t>
  </si>
  <si>
    <t xml:space="preserve">              SERVICES</t>
  </si>
  <si>
    <t>-  Assist BMs in the operation of their</t>
  </si>
  <si>
    <t>respective offices</t>
  </si>
  <si>
    <t>Current Operating Services</t>
  </si>
  <si>
    <t>Operating Expenditures</t>
  </si>
  <si>
    <t>Counterpart  to Prov'l./Mun./Brgy. Dev.</t>
  </si>
  <si>
    <t xml:space="preserve">  Programs, Projects &amp; Activities</t>
  </si>
  <si>
    <t>TOTAL&gt;&gt;&gt;</t>
  </si>
  <si>
    <t xml:space="preserve">         * medicines</t>
  </si>
  <si>
    <t xml:space="preserve">         * DSWD</t>
  </si>
  <si>
    <t xml:space="preserve">         * Gov. Celestino Gallares Memorial Regional  Hosp.</t>
  </si>
  <si>
    <t xml:space="preserve">         * sports activities</t>
  </si>
  <si>
    <t xml:space="preserve">         * socio cultural activities</t>
  </si>
  <si>
    <t xml:space="preserve">         * senior citizens assistance</t>
  </si>
  <si>
    <t xml:space="preserve">         * Women's</t>
  </si>
  <si>
    <t xml:space="preserve">         * Livelihood</t>
  </si>
  <si>
    <t xml:space="preserve">         * individual in crisis situation</t>
  </si>
  <si>
    <t xml:space="preserve">         * socio cultural activites</t>
  </si>
  <si>
    <t xml:space="preserve">         * women's organization</t>
  </si>
  <si>
    <t>Furnitures &amp; Fixtures</t>
  </si>
  <si>
    <t>Vice Governor:</t>
  </si>
  <si>
    <t>* improvements/repairs</t>
  </si>
  <si>
    <t xml:space="preserve">* constructions </t>
  </si>
  <si>
    <t>* electrification projects</t>
  </si>
  <si>
    <t>* Day Care Centers</t>
  </si>
  <si>
    <t xml:space="preserve">* farm to market road </t>
  </si>
  <si>
    <t>* waterwork system</t>
  </si>
  <si>
    <t>* fabrications (tents/grills/glass)</t>
  </si>
  <si>
    <t>SP Members:</t>
  </si>
  <si>
    <t>* constructions</t>
  </si>
  <si>
    <t xml:space="preserve">* funitures/ fixtures/paraphernalias </t>
  </si>
  <si>
    <t>SP- 3</t>
  </si>
  <si>
    <t>General  2014</t>
  </si>
  <si>
    <t xml:space="preserve">         The Provincial Social Welfare and Development Office shall take charge on social welfare and development services for the needy, disadvantaged, underprivileged or impoverished individuals, groups, and/or communities, including the differently-abled, the elderly, the children and out-of-school youths, the socially disadvantaged women, the former rebels and the indigenous people.</t>
  </si>
  <si>
    <t xml:space="preserve">  -To establish the Bohol Youth Home as a rehabilitation facility that will provide correctional services for those delinquent youths and/or children in conflict with the law</t>
  </si>
  <si>
    <t xml:space="preserve"> - To provide crisis intervention to distressed individuals and families in critical situation</t>
  </si>
  <si>
    <t xml:space="preserve"> - To provide supplemental parental care services to pre-school children of indigenous people</t>
  </si>
  <si>
    <t>Reference Code</t>
  </si>
  <si>
    <t>40 OSYs enrolled and acquired vocational skills</t>
  </si>
  <si>
    <t xml:space="preserve">2 trainings with full payment of  school tuition fees   </t>
  </si>
  <si>
    <t>40 OSYs  acquired basic computer literacy skills</t>
  </si>
  <si>
    <t>Enhancement of Computer Training Center</t>
  </si>
  <si>
    <t>60 OSYs participated the convention</t>
  </si>
  <si>
    <t>PYAP Provincial Federation Officers Quarterly Meetings</t>
  </si>
  <si>
    <t>Sept. 2014</t>
  </si>
  <si>
    <t>Youth Leadership Training</t>
  </si>
  <si>
    <t>Apr. 2014</t>
  </si>
  <si>
    <t>Unlad Kabataan Training Program</t>
  </si>
  <si>
    <t>25 pool of trainers capacitated on the implementation of youth development program</t>
  </si>
  <si>
    <t>Oct. 2014</t>
  </si>
  <si>
    <t>Accreditation of Day Care Workers</t>
  </si>
  <si>
    <t>ensured DCWs and/or DCCs compliance to DSWD standards</t>
  </si>
  <si>
    <t>Feb. 2014</t>
  </si>
  <si>
    <t>Women's Month  Celebration</t>
  </si>
  <si>
    <t>Rights of women upheld; popularized Magna Carta for Women</t>
  </si>
  <si>
    <t>GAD Mainstreming, advocacy and other related activities</t>
  </si>
  <si>
    <t xml:space="preserve">Dec. 2014  </t>
  </si>
  <si>
    <t>INDIGENOUS PEOPLE WELFARE PROGRAM</t>
  </si>
  <si>
    <t xml:space="preserve">Conduct of Outreach Missions </t>
  </si>
  <si>
    <t>300 families received goodies</t>
  </si>
  <si>
    <t>JVAC/IKRMT/CRFR Secretariat Functions</t>
  </si>
  <si>
    <t>Programs for rebel returnees</t>
  </si>
  <si>
    <t xml:space="preserve">Management of Resettlement Centers                                                       </t>
  </si>
  <si>
    <t>Conduct of Inventory and Monitoring of FRs</t>
  </si>
  <si>
    <t xml:space="preserve">Purchase of assistive devices for indigent PWDs </t>
  </si>
  <si>
    <t>Wheelchairs, canes, walkers, talking watches, hearing aids purchased and enhanced the mobility of PWDs</t>
  </si>
  <si>
    <t>Senior Citizen's Week Culmination Program</t>
  </si>
  <si>
    <t>Aid to Individuals/Families in Crisis Situation</t>
  </si>
  <si>
    <t xml:space="preserve">5,000 families/ individuals </t>
  </si>
  <si>
    <t>Ø Sudden loss of Income/job</t>
  </si>
  <si>
    <t>Pauper’s Burial Assistance</t>
  </si>
  <si>
    <t>Disaster Relief Operation</t>
  </si>
  <si>
    <t>Operations conducted in disaster/affected areas where affected families' immediate needs are met</t>
  </si>
  <si>
    <t>HEAT IT - Bohol HELPS LIFE - BIG LEAP Caravan</t>
  </si>
  <si>
    <t>abused women/ children sheltered, provided protective custody, and psychosocially rehabilitated</t>
  </si>
  <si>
    <t xml:space="preserve">staff capacitated </t>
  </si>
  <si>
    <t>Purchase of office supplies, fixtures and IT Equipment</t>
  </si>
  <si>
    <t>computers, airconditioning unit, digicam, netbook, office tables, office chairs, steel cabinet purchased</t>
  </si>
  <si>
    <t>INDIGENOUS PEOPLE WELFARE</t>
  </si>
  <si>
    <t>To purchase to ensure efficient delivery of and source out various reference books, informational materials and office equipment assuring library services to the people in the community.</t>
  </si>
  <si>
    <t>To acquire, compile and develop the Local History materials: Bohol history, biography, tourism to address the ever increasing demand for these information.</t>
  </si>
  <si>
    <t>To manage and administer the Bohol archives in preserving and retrieving the many old documents as maps and commemorative programs and such other documents of cultural and archival value.</t>
  </si>
  <si>
    <t>To provide education, information services &amp; skills development.</t>
  </si>
  <si>
    <t>To coordinate with the LGUs thru the National Library of the Philippines in the opening of more municipal and barangay libraries in relation to RA 7743</t>
  </si>
  <si>
    <t>To enhance revenue generation thru the provision internet facility and the improvement of its services.</t>
  </si>
  <si>
    <t>Provide the people access to these resources for their intellectual growth, citizenship building, life-long learning and enlightenment.</t>
  </si>
  <si>
    <t>Repository of printed and recorded cultural heritage and the intellectual, literary and informational sources.</t>
  </si>
  <si>
    <t>Attained sufficient office supplies and less waste</t>
  </si>
  <si>
    <t>Bills paid monthly</t>
  </si>
  <si>
    <t xml:space="preserve">IT equipment and software repaired and maintained </t>
  </si>
  <si>
    <t xml:space="preserve">Other machineries repaired and maintained </t>
  </si>
  <si>
    <t>Fidelity bond applied</t>
  </si>
  <si>
    <t>14 employees        5 casuals</t>
  </si>
  <si>
    <t xml:space="preserve">19 employees </t>
  </si>
  <si>
    <t>Jan.2014</t>
  </si>
  <si>
    <t>12 payments</t>
  </si>
  <si>
    <t>No. of equipment maintained and repaired</t>
  </si>
  <si>
    <t>Bonded employees</t>
  </si>
  <si>
    <t>Service reference materials by circulating out books and serials in different sections.</t>
  </si>
  <si>
    <t>Receive returned books circulated for home use and Library use</t>
  </si>
  <si>
    <t>Catalog and classify</t>
  </si>
  <si>
    <t>Orient Library users neophyte students in the physical setup of books and other tools of the library</t>
  </si>
  <si>
    <t>Send overdue notices to diligent borrowers whose books kept overtime</t>
  </si>
  <si>
    <t>Books returned received</t>
  </si>
  <si>
    <t>Books catalogue &amp; classified</t>
  </si>
  <si>
    <t>Library users orineted</t>
  </si>
  <si>
    <t>Delinquent book borrowers reminded</t>
  </si>
  <si>
    <t>no. of books returned</t>
  </si>
  <si>
    <t>no. of book catalogue &amp; classified</t>
  </si>
  <si>
    <t>no. of library users visiting the library</t>
  </si>
  <si>
    <t>no. of notices send to delinquent book borrowers</t>
  </si>
  <si>
    <t>No. of update reference  materials newspapers magazines procured</t>
  </si>
  <si>
    <t>Updated reference materials newspapers &amp; magazines procured.</t>
  </si>
  <si>
    <t>Current awareness services through Bulletin Board display</t>
  </si>
  <si>
    <t xml:space="preserve">Maintenance &amp; other operating expenses </t>
  </si>
  <si>
    <t>important articles clipped and retrieved</t>
  </si>
  <si>
    <t xml:space="preserve">Other facilities and library equipment maintained </t>
  </si>
  <si>
    <t>No. of facilities &amp; other library equipment maintained</t>
  </si>
  <si>
    <t xml:space="preserve">MUNICIPAL LIBRARIES COORDINATION </t>
  </si>
  <si>
    <t>PILLAR - EDUCATION</t>
  </si>
  <si>
    <t>No. of LGU Librarians In Charge given trainings</t>
  </si>
  <si>
    <t xml:space="preserve"> - procurement of 2 air conditioning units</t>
  </si>
  <si>
    <t xml:space="preserve"> - procurement of heavy duty UPS</t>
  </si>
  <si>
    <t xml:space="preserve">     &gt; computer specs</t>
  </si>
  <si>
    <t xml:space="preserve">     &gt; Airconditioning units</t>
  </si>
  <si>
    <t xml:space="preserve">     &gt; Heavy duty UPS</t>
  </si>
  <si>
    <t>Office/Department   :</t>
  </si>
  <si>
    <t xml:space="preserve">Function                      : </t>
  </si>
  <si>
    <t xml:space="preserve">Work closely with other government and private heaalth facilities for better coordination of health related activities  </t>
  </si>
  <si>
    <t>and enhance referral and networking.</t>
  </si>
  <si>
    <t>1.MEDICAL SERVICES                  P.S.</t>
  </si>
  <si>
    <t>To provide</t>
  </si>
  <si>
    <t>OPD patients</t>
  </si>
  <si>
    <t>Jan,'14</t>
  </si>
  <si>
    <t>Dec.'1 4</t>
  </si>
  <si>
    <t xml:space="preserve">     Consultation</t>
  </si>
  <si>
    <t>adequate pre-</t>
  </si>
  <si>
    <t>Major surgery</t>
  </si>
  <si>
    <t xml:space="preserve">     Counselling</t>
  </si>
  <si>
    <t>ventive,curative</t>
  </si>
  <si>
    <t>Minor surgery</t>
  </si>
  <si>
    <t xml:space="preserve">     Treatment </t>
  </si>
  <si>
    <t>&amp; rehabilitative</t>
  </si>
  <si>
    <t xml:space="preserve">Occupancy rate                                  </t>
  </si>
  <si>
    <t xml:space="preserve">     Recording</t>
  </si>
  <si>
    <t>health care</t>
  </si>
  <si>
    <t xml:space="preserve">Total Admission                              </t>
  </si>
  <si>
    <t>Admission &amp; Discharge</t>
  </si>
  <si>
    <t xml:space="preserve">Phil Health                                        </t>
  </si>
  <si>
    <t xml:space="preserve"> of patients</t>
  </si>
  <si>
    <t xml:space="preserve">Non Phil Health                                   </t>
  </si>
  <si>
    <t xml:space="preserve">     Prompt admission</t>
  </si>
  <si>
    <t xml:space="preserve">Death rate                                       </t>
  </si>
  <si>
    <t xml:space="preserve">     Accurate diagnosis</t>
  </si>
  <si>
    <t>Medico legal cases</t>
  </si>
  <si>
    <t xml:space="preserve">     Proper management</t>
  </si>
  <si>
    <t>Ave. length of stay</t>
  </si>
  <si>
    <t>3 days</t>
  </si>
  <si>
    <t>2.NURSING SERVICES                  P.S.</t>
  </si>
  <si>
    <t>New Born Screening</t>
  </si>
  <si>
    <t xml:space="preserve">Carry out Doctor's Order                  MOOE </t>
  </si>
  <si>
    <t>1.To provide Nursing Care to In and Out Patients</t>
  </si>
  <si>
    <t>Referrals to higher</t>
  </si>
  <si>
    <t>Counselling</t>
  </si>
  <si>
    <t>2.To promote</t>
  </si>
  <si>
    <t>facilities</t>
  </si>
  <si>
    <t>health aware-</t>
  </si>
  <si>
    <t>ness to the</t>
  </si>
  <si>
    <t>populace</t>
  </si>
  <si>
    <t>3.ANCILLARY</t>
  </si>
  <si>
    <t>A.LABORATORY SERVICES            P.S.</t>
  </si>
  <si>
    <t xml:space="preserve">Laboratory Services                      </t>
  </si>
  <si>
    <t>Perform laboratory Procedures,          P.S.</t>
  </si>
  <si>
    <t>lab. Exams for</t>
  </si>
  <si>
    <t>Accurate recording and releasing of results</t>
  </si>
  <si>
    <t>accurate &amp; defi-</t>
  </si>
  <si>
    <t>nitive diagnosis</t>
  </si>
  <si>
    <r>
      <t xml:space="preserve">Perform X-ray Procedures,              </t>
    </r>
    <r>
      <rPr>
        <b/>
        <sz val="10"/>
        <rFont val="Arial"/>
        <family val="2"/>
      </rPr>
      <t xml:space="preserve"> MOOE</t>
    </r>
  </si>
  <si>
    <t>To conduct Xray</t>
  </si>
  <si>
    <t>X-ray services</t>
  </si>
  <si>
    <t>Accurate recording and  releasing of results</t>
  </si>
  <si>
    <t>activities for ac-</t>
  </si>
  <si>
    <t>and reports</t>
  </si>
  <si>
    <t>curate &amp; defini-</t>
  </si>
  <si>
    <t>tive diagnosis</t>
  </si>
  <si>
    <t>Ultrasound Services</t>
  </si>
  <si>
    <t xml:space="preserve">Facilitate </t>
  </si>
  <si>
    <t>Ultrasound</t>
  </si>
  <si>
    <t xml:space="preserve"> conduct of</t>
  </si>
  <si>
    <t>ultrasound</t>
  </si>
  <si>
    <t>Perform preventive,rehabilitative and</t>
  </si>
  <si>
    <t xml:space="preserve">To provide </t>
  </si>
  <si>
    <t>Tooth Extraction</t>
  </si>
  <si>
    <t>quality &amp; optimal</t>
  </si>
  <si>
    <t>Filling of cavities</t>
  </si>
  <si>
    <t>dental services</t>
  </si>
  <si>
    <t>Oral Prophylaxis</t>
  </si>
  <si>
    <t>Gums Treated</t>
  </si>
  <si>
    <t>Pharmacy prescription</t>
  </si>
  <si>
    <t>readily available</t>
  </si>
  <si>
    <t>medicines and</t>
  </si>
  <si>
    <t>4.ADMINISTRATIVE SERVICES</t>
  </si>
  <si>
    <t>To provide nut-</t>
  </si>
  <si>
    <t>Market purchase</t>
  </si>
  <si>
    <t>2/week</t>
  </si>
  <si>
    <t>cook food to patients</t>
  </si>
  <si>
    <t>ritious &amp; thera-</t>
  </si>
  <si>
    <t>therapeutic diets Routine diets Counselling to patients</t>
  </si>
  <si>
    <t>Ensure  food sanitation</t>
  </si>
  <si>
    <t>peutic diets to</t>
  </si>
  <si>
    <t xml:space="preserve">Recording </t>
  </si>
  <si>
    <t>patients</t>
  </si>
  <si>
    <t>90patients</t>
  </si>
  <si>
    <t>B. Management and Support    P.S.</t>
  </si>
  <si>
    <t>*To assist the</t>
  </si>
  <si>
    <t>COH inPlanning</t>
  </si>
  <si>
    <t>directing, super-</t>
  </si>
  <si>
    <t>vising &amp; imple-</t>
  </si>
  <si>
    <t>mentingPGB/</t>
  </si>
  <si>
    <t>CDH Plans and</t>
  </si>
  <si>
    <t>Programs</t>
  </si>
  <si>
    <t>*To provide sup-</t>
  </si>
  <si>
    <t xml:space="preserve"> 1.  Medical</t>
  </si>
  <si>
    <t xml:space="preserve">port to all </t>
  </si>
  <si>
    <t xml:space="preserve"> 2.  Nursing</t>
  </si>
  <si>
    <t>sections of CDH</t>
  </si>
  <si>
    <t xml:space="preserve"> 3.  Ancilliary:</t>
  </si>
  <si>
    <t>C.Human Resource</t>
  </si>
  <si>
    <t xml:space="preserve">1. Act on all administrative  related issues </t>
  </si>
  <si>
    <t>*To formulate CDH/PGB Policies and Procedures</t>
  </si>
  <si>
    <t>Policies formulated</t>
  </si>
  <si>
    <t xml:space="preserve">     and concern</t>
  </si>
  <si>
    <t>Procedures</t>
  </si>
  <si>
    <t>*To prepare indorsements, memos and other forms of communications</t>
  </si>
  <si>
    <t xml:space="preserve"> Memos</t>
  </si>
  <si>
    <t>Correspondence</t>
  </si>
  <si>
    <t>Special Orders</t>
  </si>
  <si>
    <t>communications</t>
  </si>
  <si>
    <t>DTRs:</t>
  </si>
  <si>
    <t>To sign/initial</t>
  </si>
  <si>
    <t>regular</t>
  </si>
  <si>
    <t>legal documents</t>
  </si>
  <si>
    <t>casual</t>
  </si>
  <si>
    <t>leave applications</t>
  </si>
  <si>
    <t>2. Facilitate Capability Building</t>
  </si>
  <si>
    <t>Seminars/Trainings</t>
  </si>
  <si>
    <t>level of</t>
  </si>
  <si>
    <t>competencies</t>
  </si>
  <si>
    <t>among</t>
  </si>
  <si>
    <t>Nursing Attendant</t>
  </si>
  <si>
    <t>Support and Ancillary</t>
  </si>
  <si>
    <t>To assess gaps</t>
  </si>
  <si>
    <t>&amp; success of</t>
  </si>
  <si>
    <t>Admin. Personnel</t>
  </si>
  <si>
    <t>hosp. operation</t>
  </si>
  <si>
    <t>All employees</t>
  </si>
  <si>
    <t>To monitor and</t>
  </si>
  <si>
    <t>P E S</t>
  </si>
  <si>
    <t>evaluate each</t>
  </si>
  <si>
    <t>employee</t>
  </si>
  <si>
    <t>2times/year</t>
  </si>
  <si>
    <t xml:space="preserve"> 3. Timekeeping </t>
  </si>
  <si>
    <t xml:space="preserve"> 1.Check &amp; review DTRs </t>
  </si>
  <si>
    <t>correctnes of</t>
  </si>
  <si>
    <t>employee's</t>
  </si>
  <si>
    <t>records</t>
  </si>
  <si>
    <t xml:space="preserve"> 2.Post and facilitate leave applications</t>
  </si>
  <si>
    <t xml:space="preserve"> 3. Monthly updating leave balances</t>
  </si>
  <si>
    <t>employees record</t>
  </si>
  <si>
    <t xml:space="preserve"> 4.Prepare&amp; encode reports:</t>
  </si>
  <si>
    <t>Reports</t>
  </si>
  <si>
    <t xml:space="preserve">         absences, tardiness and undertimes</t>
  </si>
  <si>
    <t>C.Facilitate other social Activities</t>
  </si>
  <si>
    <t>To enhance</t>
  </si>
  <si>
    <t>CDH Foundation Day</t>
  </si>
  <si>
    <t>CDH Family Day</t>
  </si>
  <si>
    <t>relations</t>
  </si>
  <si>
    <t>Christmas Program</t>
  </si>
  <si>
    <t>PGB Official Programs</t>
  </si>
  <si>
    <t>and Activities</t>
  </si>
  <si>
    <t>II.Records Management</t>
  </si>
  <si>
    <t>Receive, reroute and record in-coming</t>
  </si>
  <si>
    <t xml:space="preserve">To maintain </t>
  </si>
  <si>
    <t>In-coming</t>
  </si>
  <si>
    <t>and out-going documents</t>
  </si>
  <si>
    <t xml:space="preserve">effective and </t>
  </si>
  <si>
    <t>Out-going</t>
  </si>
  <si>
    <t>efficient safe-</t>
  </si>
  <si>
    <t>Filing,safekeeping of files</t>
  </si>
  <si>
    <t xml:space="preserve">keeping of </t>
  </si>
  <si>
    <t>Files</t>
  </si>
  <si>
    <t>OPD &amp; In-Patients</t>
  </si>
  <si>
    <t>III. Financial Management</t>
  </si>
  <si>
    <t xml:space="preserve">To prepare </t>
  </si>
  <si>
    <t>Annual Budget</t>
  </si>
  <si>
    <t>Office plans and</t>
  </si>
  <si>
    <t>programs</t>
  </si>
  <si>
    <t>Annual Development Plan</t>
  </si>
  <si>
    <t>Project Implementation  Plan</t>
  </si>
  <si>
    <t>Accomplishment Report</t>
  </si>
  <si>
    <t>To control Office</t>
  </si>
  <si>
    <t>Expenditure reports</t>
  </si>
  <si>
    <t>budget and</t>
  </si>
  <si>
    <t>expenditures</t>
  </si>
  <si>
    <t>B. Collection and Remittances</t>
  </si>
  <si>
    <t>This year</t>
  </si>
  <si>
    <t>7 M</t>
  </si>
  <si>
    <t>annual income</t>
  </si>
  <si>
    <t>Bills/St. of Account</t>
  </si>
  <si>
    <t>Official Receipts</t>
  </si>
  <si>
    <t>To submit PHIC</t>
  </si>
  <si>
    <t>PHIC claims</t>
  </si>
  <si>
    <t>claims on time</t>
  </si>
  <si>
    <t>St. of Collections</t>
  </si>
  <si>
    <t>To prepare docs</t>
  </si>
  <si>
    <t>Purchase Request</t>
  </si>
  <si>
    <t>required for</t>
  </si>
  <si>
    <t>payment</t>
  </si>
  <si>
    <t>Job orders</t>
  </si>
  <si>
    <t>ObRs</t>
  </si>
  <si>
    <t xml:space="preserve">2.Prepare required docs for payment </t>
  </si>
  <si>
    <t>To draft payrolls</t>
  </si>
  <si>
    <t>and compute</t>
  </si>
  <si>
    <t>Payrolls</t>
  </si>
  <si>
    <t>deductions</t>
  </si>
  <si>
    <t>3. Repairs &amp; Improvement</t>
  </si>
  <si>
    <t xml:space="preserve">To request </t>
  </si>
  <si>
    <t>Minor Repairs</t>
  </si>
  <si>
    <t>repairs and</t>
  </si>
  <si>
    <t>improvements</t>
  </si>
  <si>
    <t xml:space="preserve">4. Custody of Cash advances and </t>
  </si>
  <si>
    <t>To provide im-</t>
  </si>
  <si>
    <t>Petty cash voucher</t>
  </si>
  <si>
    <t xml:space="preserve">    special fund cash advances </t>
  </si>
  <si>
    <t>mediate needs</t>
  </si>
  <si>
    <t>Rep. of Inspection</t>
  </si>
  <si>
    <t>for hospital</t>
  </si>
  <si>
    <t>&amp; Acceptance</t>
  </si>
  <si>
    <t>IV General Services</t>
  </si>
  <si>
    <t>A. Property and Supplies Management.</t>
  </si>
  <si>
    <t>1. Conduct inspection of delivered goods</t>
  </si>
  <si>
    <t>To ensure com-</t>
  </si>
  <si>
    <t>Inspection and</t>
  </si>
  <si>
    <t xml:space="preserve">     for acceptance</t>
  </si>
  <si>
    <t>pliance of re-</t>
  </si>
  <si>
    <t>Acceptance Report</t>
  </si>
  <si>
    <t>quested goods</t>
  </si>
  <si>
    <t>and services</t>
  </si>
  <si>
    <t>Inventory Report</t>
  </si>
  <si>
    <t>monitoring</t>
  </si>
  <si>
    <t>B.  Linen &amp; Laundry</t>
  </si>
  <si>
    <t xml:space="preserve">1.   To monitor the in and out of linens </t>
  </si>
  <si>
    <t>Monitoring report</t>
  </si>
  <si>
    <t>twice/day</t>
  </si>
  <si>
    <t>availability</t>
  </si>
  <si>
    <t>at all times</t>
  </si>
  <si>
    <t>1. To check &amp; monitor equipment and</t>
  </si>
  <si>
    <t>To ensure their</t>
  </si>
  <si>
    <t>Monitoring  report</t>
  </si>
  <si>
    <t xml:space="preserve">    facilities</t>
  </si>
  <si>
    <t>anytime</t>
  </si>
  <si>
    <t>Accomplishment report</t>
  </si>
  <si>
    <t xml:space="preserve">safety and </t>
  </si>
  <si>
    <t>functionality</t>
  </si>
  <si>
    <t>C.Transport Services</t>
  </si>
  <si>
    <t>1. Maintenance of  hospital ambulance</t>
  </si>
  <si>
    <t>To ensure its</t>
  </si>
  <si>
    <t>trip tickets</t>
  </si>
  <si>
    <t>availability during</t>
  </si>
  <si>
    <t>ambulance calls</t>
  </si>
  <si>
    <t>referrals</t>
  </si>
  <si>
    <t>D.Maintenance of Hospital Cleanliness</t>
  </si>
  <si>
    <t xml:space="preserve">   and Sanitation</t>
  </si>
  <si>
    <t xml:space="preserve">1.To clean and prevent the hospital to </t>
  </si>
  <si>
    <t>To provide clean</t>
  </si>
  <si>
    <t>Office rooms</t>
  </si>
  <si>
    <t xml:space="preserve">   be smelly </t>
  </si>
  <si>
    <t>and healthy</t>
  </si>
  <si>
    <t>Wards</t>
  </si>
  <si>
    <t>environment to</t>
  </si>
  <si>
    <t>Comfort rooms</t>
  </si>
  <si>
    <t>the clientle</t>
  </si>
  <si>
    <t>Hospital ground</t>
  </si>
  <si>
    <t>D. Compliance to EMS</t>
  </si>
  <si>
    <t>To comply PGB/</t>
  </si>
  <si>
    <t>CDH EMS</t>
  </si>
  <si>
    <t>standards</t>
  </si>
  <si>
    <r>
      <t xml:space="preserve">               </t>
    </r>
    <r>
      <rPr>
        <u/>
        <sz val="11"/>
        <rFont val="Arial"/>
        <family val="2"/>
      </rPr>
      <t>______________________</t>
    </r>
  </si>
  <si>
    <t>ESTERLITA A. TUBAL, MD</t>
  </si>
  <si>
    <t xml:space="preserve">                   Department /Office Head</t>
  </si>
  <si>
    <t>Approved by:</t>
  </si>
  <si>
    <t xml:space="preserve">    EDGAR M. CHATTO</t>
  </si>
  <si>
    <t xml:space="preserve">     Reviewed as to consistency with approved Annual Investment Plan.</t>
  </si>
  <si>
    <t>Instructions</t>
  </si>
  <si>
    <t>1. Summarize briefly the function of the Office/Department in outline or capsulized statement the mandate</t>
  </si>
  <si>
    <t xml:space="preserve">    of the office should be dearly described.</t>
  </si>
  <si>
    <t>II. Specify the objectives of the office for the budget year.</t>
  </si>
  <si>
    <t>III. (1) Indicate in column 1 the AIP Reference Code for the specific P/P/A to be implemented for the budget year</t>
  </si>
  <si>
    <t xml:space="preserve">    (2) Describe briefly the project/activity to be implemented.</t>
  </si>
  <si>
    <t xml:space="preserve">    (3) Indicate the proposed funding for the project/activity trainings related to the job</t>
  </si>
  <si>
    <t xml:space="preserve">    (4) Specify the expected result of the project/activity in terms of performance or output indicator e.g.</t>
  </si>
  <si>
    <t xml:space="preserve">        percent reduction in malnultrition number of children provided re-education, kilometers of road</t>
  </si>
  <si>
    <t xml:space="preserve">        cemented, etc.</t>
  </si>
  <si>
    <t xml:space="preserve">    (5) Specify the quantity, quality and timeliness of project/activity in terms of targets for the budget year.</t>
  </si>
  <si>
    <t>Conduct Assessment</t>
  </si>
  <si>
    <t xml:space="preserve">    (6) Indicate the expected start and completion of the project/activity</t>
  </si>
  <si>
    <t>EMS Programs</t>
  </si>
  <si>
    <t xml:space="preserve">        Current Operating Expenditures</t>
  </si>
  <si>
    <t xml:space="preserve">      Programs/Project/Activity</t>
  </si>
  <si>
    <t>Maintenance &amp; Other</t>
  </si>
  <si>
    <t>Operating Expenses</t>
  </si>
  <si>
    <t xml:space="preserve">     1. Medical</t>
  </si>
  <si>
    <t xml:space="preserve">     2. Nursing</t>
  </si>
  <si>
    <t xml:space="preserve">     3. Ancillary</t>
  </si>
  <si>
    <t xml:space="preserve">     4. Support includes Dietary Services</t>
  </si>
  <si>
    <t xml:space="preserve">                         Sub-Total</t>
  </si>
  <si>
    <t xml:space="preserve">     11. Operations</t>
  </si>
  <si>
    <t>B. Meds &amp; Drugs charge toRevolving  Fund</t>
  </si>
  <si>
    <t xml:space="preserve">    Medicines &amp; Drugs</t>
  </si>
  <si>
    <t xml:space="preserve">                          Sub-Total</t>
  </si>
  <si>
    <t xml:space="preserve">       TOTAL NEW APPROPRIATIONS</t>
  </si>
  <si>
    <t xml:space="preserve">   Department /Office Head</t>
  </si>
  <si>
    <t xml:space="preserve">         Approved by:</t>
  </si>
  <si>
    <t xml:space="preserve">                -Office Bldg. Other Offices</t>
  </si>
  <si>
    <t>Purchase of Airconditioning Unit</t>
  </si>
  <si>
    <t xml:space="preserve">     -2 computers</t>
  </si>
  <si>
    <t xml:space="preserve">     -Flat screen LCD TV</t>
  </si>
  <si>
    <t xml:space="preserve">     -1 Laptop</t>
  </si>
  <si>
    <t xml:space="preserve">     -2 portable Hard Disk</t>
  </si>
  <si>
    <t xml:space="preserve">     -FAX machine</t>
  </si>
  <si>
    <t xml:space="preserve">     -2 Digital Recorders</t>
  </si>
  <si>
    <t xml:space="preserve">     -Cash Register</t>
  </si>
  <si>
    <t xml:space="preserve">     -Safety Deposit Box</t>
  </si>
  <si>
    <t xml:space="preserve">     -Clear Glass tinting &amp; curtain</t>
  </si>
  <si>
    <t>Funds to support the implementation of special programs</t>
  </si>
  <si>
    <t>Funds to support the formulation/updating of dev't. plans</t>
  </si>
  <si>
    <t>Funds to support operation of local councils and special bodies</t>
  </si>
  <si>
    <t xml:space="preserve">     Bohol Integrated Water Resources Mgt. Project</t>
  </si>
  <si>
    <t xml:space="preserve">     Prov'l. Monitoring &amp; Evaluation System (PROMES)</t>
  </si>
  <si>
    <t xml:space="preserve">     Operation of PDC / RDC</t>
  </si>
  <si>
    <t xml:space="preserve">     Operation of the Road Sector Committee</t>
  </si>
  <si>
    <t xml:space="preserve">     Updating of the PDPFP</t>
  </si>
  <si>
    <t xml:space="preserve">     Counterpart to PRMF Office Operation</t>
  </si>
  <si>
    <t xml:space="preserve">  Gasoline, Oil and Lubricants Expenses</t>
  </si>
  <si>
    <t xml:space="preserve">  Fidelity Bond</t>
  </si>
  <si>
    <t xml:space="preserve">  Other Maint. &amp; Oprtg. Exp.- SPES  </t>
  </si>
  <si>
    <t xml:space="preserve">      Printing and Binding</t>
  </si>
  <si>
    <t>New Appropriations by Program/ Project</t>
  </si>
  <si>
    <t>GENERAL SERVICES OFFICE</t>
  </si>
  <si>
    <t>Maint. &amp; Other Operating Expenditures</t>
  </si>
  <si>
    <t>Purchase ofComputers</t>
  </si>
  <si>
    <t>Purcchase of Tables &amp; Chairs</t>
  </si>
  <si>
    <t>Purchase of Carpentry Tools</t>
  </si>
  <si>
    <t>Purchase of Personal Protective Equipments</t>
  </si>
  <si>
    <t>Purchase of Motorcycle</t>
  </si>
  <si>
    <t>Land Titling of PGBH Real Properties</t>
  </si>
  <si>
    <t>Purchase of Automatic Hydraulic Lifter for Mini Motorpool</t>
  </si>
  <si>
    <t xml:space="preserve">           BOHOL INVESTMENT PROMOTION CENTER is the investment promotion arm of the provincial government, and in partnership with the private sector, is mandated to provide programs and services to attract and sustain investment in Bohol.</t>
  </si>
  <si>
    <t>·</t>
  </si>
  <si>
    <t>To enhance and sustain the operations of the Bohol Business One-Stop Shop</t>
  </si>
  <si>
    <t>To sustain Bohol’s promotions and exposure in local and international business/trade events</t>
  </si>
  <si>
    <t xml:space="preserve">To generate additional investments of P1 Billion </t>
  </si>
  <si>
    <r>
      <rPr>
        <sz val="7"/>
        <color theme="1"/>
        <rFont val="Times New Roman"/>
        <family val="1"/>
      </rPr>
      <t xml:space="preserve"> </t>
    </r>
    <r>
      <rPr>
        <b/>
        <sz val="11"/>
        <color theme="1"/>
        <rFont val="Calibri"/>
        <family val="2"/>
        <scheme val="minor"/>
      </rPr>
      <t>To provide assistance for the promotion and marketing of MSMEs in the processed food and the ICT industry</t>
    </r>
  </si>
  <si>
    <t>To set up an operational MSME monitoring and evaluation system</t>
  </si>
  <si>
    <t xml:space="preserve">To encourage target LGUs to prioritize investment promotion activities/projects with corresponding budget </t>
  </si>
  <si>
    <t>Set up a database system  with LGUs to store data on businesses  with Mayor’s Permits &amp; BN/SEC registration</t>
  </si>
  <si>
    <r>
      <t>·</t>
    </r>
    <r>
      <rPr>
        <sz val="7"/>
        <color theme="1"/>
        <rFont val="Times New Roman"/>
        <family val="1"/>
      </rPr>
      <t xml:space="preserve">         </t>
    </r>
    <r>
      <rPr>
        <sz val="10"/>
        <color theme="1"/>
        <rFont val="Calibri"/>
        <family val="2"/>
        <scheme val="minor"/>
      </rPr>
      <t>Set up partnership on IT system with BICTU</t>
    </r>
  </si>
  <si>
    <r>
      <t>·</t>
    </r>
    <r>
      <rPr>
        <sz val="7"/>
        <color theme="1"/>
        <rFont val="Times New Roman"/>
        <family val="1"/>
      </rPr>
      <t xml:space="preserve">         </t>
    </r>
    <r>
      <rPr>
        <sz val="10"/>
        <color theme="1"/>
        <rFont val="Calibri"/>
        <family val="2"/>
        <scheme val="minor"/>
      </rPr>
      <t xml:space="preserve">LGUs trained on data sharing </t>
    </r>
  </si>
  <si>
    <r>
      <t>·</t>
    </r>
    <r>
      <rPr>
        <sz val="7"/>
        <color theme="1"/>
        <rFont val="Times New Roman"/>
        <family val="1"/>
      </rPr>
      <t xml:space="preserve">         </t>
    </r>
    <r>
      <rPr>
        <sz val="10"/>
        <color theme="1"/>
        <rFont val="Calibri"/>
        <family val="2"/>
        <scheme val="minor"/>
      </rPr>
      <t>LGUs linked up into the system</t>
    </r>
  </si>
  <si>
    <r>
      <t>·</t>
    </r>
    <r>
      <rPr>
        <sz val="7"/>
        <color theme="1"/>
        <rFont val="Times New Roman"/>
        <family val="1"/>
      </rPr>
      <t xml:space="preserve">         </t>
    </r>
    <r>
      <rPr>
        <sz val="10"/>
        <color theme="1"/>
        <rFont val="Calibri"/>
        <family val="2"/>
        <scheme val="minor"/>
      </rPr>
      <t>Memo of Cooperation with Pilot LGUs</t>
    </r>
  </si>
  <si>
    <r>
      <t>·</t>
    </r>
    <r>
      <rPr>
        <sz val="7"/>
        <color theme="1"/>
        <rFont val="Times New Roman"/>
        <family val="1"/>
      </rPr>
      <t xml:space="preserve">         </t>
    </r>
    <r>
      <rPr>
        <sz val="10"/>
        <color theme="1"/>
        <rFont val="Calibri"/>
        <family val="2"/>
        <scheme val="minor"/>
      </rPr>
      <t xml:space="preserve">15 LGUs </t>
    </r>
  </si>
  <si>
    <r>
      <t>·</t>
    </r>
    <r>
      <rPr>
        <sz val="7"/>
        <color theme="1"/>
        <rFont val="Times New Roman"/>
        <family val="1"/>
      </rPr>
      <t xml:space="preserve">         </t>
    </r>
    <r>
      <rPr>
        <sz val="10"/>
        <color theme="1"/>
        <rFont val="Calibri"/>
        <family val="2"/>
        <scheme val="minor"/>
      </rPr>
      <t xml:space="preserve">10 LGUs </t>
    </r>
  </si>
  <si>
    <t xml:space="preserve">June </t>
  </si>
  <si>
    <t>M &amp; E on businesses with BN/SEC registration</t>
  </si>
  <si>
    <r>
      <t>·</t>
    </r>
    <r>
      <rPr>
        <sz val="7"/>
        <color theme="1"/>
        <rFont val="Times New Roman"/>
        <family val="1"/>
      </rPr>
      <t xml:space="preserve">         </t>
    </r>
    <r>
      <rPr>
        <sz val="10"/>
        <color theme="1"/>
        <rFont val="Calibri"/>
        <family val="2"/>
        <scheme val="minor"/>
      </rPr>
      <t>Quarterly report</t>
    </r>
  </si>
  <si>
    <r>
      <t>·</t>
    </r>
    <r>
      <rPr>
        <sz val="7"/>
        <color theme="1"/>
        <rFont val="Times New Roman"/>
        <family val="1"/>
      </rPr>
      <t xml:space="preserve">         </t>
    </r>
    <r>
      <rPr>
        <sz val="10"/>
        <color theme="1"/>
        <rFont val="Calibri"/>
        <family val="2"/>
        <scheme val="minor"/>
      </rPr>
      <t>Annual report</t>
    </r>
  </si>
  <si>
    <r>
      <t>·</t>
    </r>
    <r>
      <rPr>
        <sz val="7"/>
        <color theme="1"/>
        <rFont val="Times New Roman"/>
        <family val="1"/>
      </rPr>
      <t xml:space="preserve">         </t>
    </r>
    <r>
      <rPr>
        <sz val="10"/>
        <color theme="1"/>
        <rFont val="Calibri"/>
        <family val="2"/>
        <scheme val="minor"/>
      </rPr>
      <t xml:space="preserve">Number of registered businesses </t>
    </r>
  </si>
  <si>
    <r>
      <t>·</t>
    </r>
    <r>
      <rPr>
        <sz val="7"/>
        <color theme="1"/>
        <rFont val="Times New Roman"/>
        <family val="1"/>
      </rPr>
      <t xml:space="preserve">         </t>
    </r>
    <r>
      <rPr>
        <sz val="10"/>
        <color theme="1"/>
        <rFont val="Calibri"/>
        <family val="2"/>
        <scheme val="minor"/>
      </rPr>
      <t>Investment generated</t>
    </r>
  </si>
  <si>
    <r>
      <t>·</t>
    </r>
    <r>
      <rPr>
        <sz val="7"/>
        <color theme="1"/>
        <rFont val="Times New Roman"/>
        <family val="1"/>
      </rPr>
      <t xml:space="preserve">         </t>
    </r>
    <r>
      <rPr>
        <sz val="10"/>
        <color theme="1"/>
        <rFont val="Calibri"/>
        <family val="2"/>
        <scheme val="minor"/>
      </rPr>
      <t>4 Quarterly report</t>
    </r>
  </si>
  <si>
    <r>
      <t>·</t>
    </r>
    <r>
      <rPr>
        <sz val="7"/>
        <color theme="1"/>
        <rFont val="Times New Roman"/>
        <family val="1"/>
      </rPr>
      <t xml:space="preserve">         </t>
    </r>
    <r>
      <rPr>
        <sz val="10"/>
        <color theme="1"/>
        <rFont val="Calibri"/>
        <family val="2"/>
        <scheme val="minor"/>
      </rPr>
      <t>1 Annual report</t>
    </r>
  </si>
  <si>
    <r>
      <t>·</t>
    </r>
    <r>
      <rPr>
        <sz val="7"/>
        <color theme="1"/>
        <rFont val="Times New Roman"/>
        <family val="1"/>
      </rPr>
      <t xml:space="preserve">         </t>
    </r>
    <r>
      <rPr>
        <sz val="10"/>
        <color theme="1"/>
        <rFont val="Calibri"/>
        <family val="2"/>
        <scheme val="minor"/>
      </rPr>
      <t xml:space="preserve">2,500 registered businesses </t>
    </r>
  </si>
  <si>
    <r>
      <t>·</t>
    </r>
    <r>
      <rPr>
        <sz val="7"/>
        <color theme="1"/>
        <rFont val="Times New Roman"/>
        <family val="1"/>
      </rPr>
      <t xml:space="preserve">         </t>
    </r>
    <r>
      <rPr>
        <sz val="10"/>
        <color theme="1"/>
        <rFont val="Calibri"/>
        <family val="2"/>
        <scheme val="minor"/>
      </rPr>
      <t xml:space="preserve">P1B </t>
    </r>
  </si>
  <si>
    <t>Client satisfaction survey</t>
  </si>
  <si>
    <r>
      <t>·</t>
    </r>
    <r>
      <rPr>
        <sz val="7"/>
        <color theme="1"/>
        <rFont val="Times New Roman"/>
        <family val="1"/>
      </rPr>
      <t xml:space="preserve">         </t>
    </r>
    <r>
      <rPr>
        <sz val="10"/>
        <color theme="1"/>
        <rFont val="Calibri"/>
        <family val="2"/>
        <scheme val="minor"/>
      </rPr>
      <t>Satisfaction rating on BOSS services</t>
    </r>
  </si>
  <si>
    <r>
      <t>·</t>
    </r>
    <r>
      <rPr>
        <sz val="7"/>
        <color theme="1"/>
        <rFont val="Times New Roman"/>
        <family val="1"/>
      </rPr>
      <t xml:space="preserve">         </t>
    </r>
    <r>
      <rPr>
        <sz val="10"/>
        <color theme="1"/>
        <rFont val="Calibri"/>
        <family val="2"/>
        <scheme val="minor"/>
      </rPr>
      <t xml:space="preserve">90% Satisfaction rating </t>
    </r>
  </si>
  <si>
    <t>Set-up of online registration kiosk</t>
  </si>
  <si>
    <r>
      <t>·</t>
    </r>
    <r>
      <rPr>
        <sz val="7"/>
        <color theme="1"/>
        <rFont val="Times New Roman"/>
        <family val="1"/>
      </rPr>
      <t xml:space="preserve">         </t>
    </r>
    <r>
      <rPr>
        <sz val="10"/>
        <color theme="1"/>
        <rFont val="Calibri"/>
        <family val="2"/>
        <scheme val="minor"/>
      </rPr>
      <t>Online kiosk set up</t>
    </r>
  </si>
  <si>
    <r>
      <t>·</t>
    </r>
    <r>
      <rPr>
        <sz val="7"/>
        <color theme="1"/>
        <rFont val="Times New Roman"/>
        <family val="1"/>
      </rPr>
      <t xml:space="preserve">         </t>
    </r>
    <r>
      <rPr>
        <sz val="10"/>
        <color theme="1"/>
        <rFont val="Calibri"/>
        <family val="2"/>
        <scheme val="minor"/>
      </rPr>
      <t>1 kiosk set up</t>
    </r>
  </si>
  <si>
    <r>
      <t>·</t>
    </r>
    <r>
      <rPr>
        <sz val="7"/>
        <color theme="1"/>
        <rFont val="Times New Roman"/>
        <family val="1"/>
      </rPr>
      <t xml:space="preserve">         </t>
    </r>
    <r>
      <rPr>
        <sz val="10"/>
        <color theme="1"/>
        <rFont val="Calibri"/>
        <family val="2"/>
        <scheme val="minor"/>
      </rPr>
      <t>50 users monthly</t>
    </r>
  </si>
  <si>
    <t>Capacity development training for BOSS personnel</t>
  </si>
  <si>
    <r>
      <t>·</t>
    </r>
    <r>
      <rPr>
        <sz val="7"/>
        <color theme="1"/>
        <rFont val="Times New Roman"/>
        <family val="1"/>
      </rPr>
      <t xml:space="preserve">         </t>
    </r>
    <r>
      <rPr>
        <sz val="10"/>
        <color theme="1"/>
        <rFont val="Calibri"/>
        <family val="2"/>
        <scheme val="minor"/>
      </rPr>
      <t>BOSS personnel capacitated on technical frontline servicing</t>
    </r>
  </si>
  <si>
    <r>
      <t>·</t>
    </r>
    <r>
      <rPr>
        <sz val="7"/>
        <color theme="1"/>
        <rFont val="Times New Roman"/>
        <family val="1"/>
      </rPr>
      <t xml:space="preserve">         </t>
    </r>
    <r>
      <rPr>
        <sz val="10"/>
        <color theme="1"/>
        <rFont val="Calibri"/>
        <family val="2"/>
        <scheme val="minor"/>
      </rPr>
      <t xml:space="preserve">100% </t>
    </r>
  </si>
  <si>
    <t>Seminars/ trainings for micro-entrepreneurs</t>
  </si>
  <si>
    <r>
      <t>·</t>
    </r>
    <r>
      <rPr>
        <sz val="7"/>
        <color theme="1"/>
        <rFont val="Times New Roman"/>
        <family val="1"/>
      </rPr>
      <t xml:space="preserve">         </t>
    </r>
    <r>
      <rPr>
        <sz val="10"/>
        <color theme="1"/>
        <rFont val="Calibri"/>
        <family val="2"/>
        <scheme val="minor"/>
      </rPr>
      <t xml:space="preserve">Number of participants who set-up businesses with proper business registration </t>
    </r>
  </si>
  <si>
    <r>
      <t>·</t>
    </r>
    <r>
      <rPr>
        <sz val="7"/>
        <color theme="1"/>
        <rFont val="Times New Roman"/>
        <family val="1"/>
      </rPr>
      <t xml:space="preserve">         </t>
    </r>
    <r>
      <rPr>
        <sz val="10"/>
        <color theme="1"/>
        <rFont val="Calibri"/>
        <family val="2"/>
        <scheme val="minor"/>
      </rPr>
      <t>100pax</t>
    </r>
  </si>
  <si>
    <t>Publication of updated promotion collaterals (printed brochures)</t>
  </si>
  <si>
    <t>Printed copies</t>
  </si>
  <si>
    <t xml:space="preserve">2000 copies </t>
  </si>
  <si>
    <t>Aug</t>
  </si>
  <si>
    <t>Sep</t>
  </si>
  <si>
    <t>Periodic updates of ICT-BPM scorecard (annual)</t>
  </si>
  <si>
    <t>Updated revision of scorecard for advocacy and promotion efforts</t>
  </si>
  <si>
    <t>1 Updated version</t>
  </si>
  <si>
    <t>Data gathering on investment generation (no. of LGUs and capitalization) bi-annual</t>
  </si>
  <si>
    <t>No. of LGUs</t>
  </si>
  <si>
    <t>15 LGUs</t>
  </si>
  <si>
    <t xml:space="preserve">Research studies: </t>
  </si>
  <si>
    <r>
      <t>o</t>
    </r>
    <r>
      <rPr>
        <sz val="7"/>
        <color theme="1"/>
        <rFont val="Times New Roman"/>
        <family val="1"/>
      </rPr>
      <t xml:space="preserve">    </t>
    </r>
    <r>
      <rPr>
        <sz val="10"/>
        <color theme="1"/>
        <rFont val="Calibri"/>
        <family val="2"/>
        <scheme val="minor"/>
      </rPr>
      <t xml:space="preserve">talent/skills available (annual) </t>
    </r>
  </si>
  <si>
    <r>
      <t>o</t>
    </r>
    <r>
      <rPr>
        <sz val="7"/>
        <color theme="1"/>
        <rFont val="Times New Roman"/>
        <family val="1"/>
      </rPr>
      <t xml:space="preserve">    </t>
    </r>
    <r>
      <rPr>
        <sz val="10"/>
        <color theme="1"/>
        <rFont val="Calibri"/>
        <family val="2"/>
        <scheme val="minor"/>
      </rPr>
      <t xml:space="preserve">micro finance </t>
    </r>
  </si>
  <si>
    <r>
      <t>o</t>
    </r>
    <r>
      <rPr>
        <sz val="7"/>
        <color theme="1"/>
        <rFont val="Times New Roman"/>
        <family val="1"/>
      </rPr>
      <t xml:space="preserve">    </t>
    </r>
    <r>
      <rPr>
        <sz val="10"/>
        <color theme="1"/>
        <rFont val="Calibri"/>
        <family val="2"/>
        <scheme val="minor"/>
      </rPr>
      <t>large enterprises profile and</t>
    </r>
  </si>
  <si>
    <t>industry classification</t>
  </si>
  <si>
    <r>
      <t>o</t>
    </r>
    <r>
      <rPr>
        <sz val="7"/>
        <color theme="1"/>
        <rFont val="Times New Roman"/>
        <family val="1"/>
      </rPr>
      <t xml:space="preserve">    </t>
    </r>
    <r>
      <rPr>
        <sz val="10"/>
        <color theme="1"/>
        <rFont val="Calibri"/>
        <family val="2"/>
        <scheme val="minor"/>
      </rPr>
      <t>Jobs fair analyses</t>
    </r>
  </si>
  <si>
    <r>
      <t>o</t>
    </r>
    <r>
      <rPr>
        <sz val="7"/>
        <color theme="1"/>
        <rFont val="Times New Roman"/>
        <family val="1"/>
      </rPr>
      <t xml:space="preserve">    </t>
    </r>
    <r>
      <rPr>
        <sz val="10"/>
        <color theme="1"/>
        <rFont val="Calibri"/>
        <family val="2"/>
        <scheme val="minor"/>
      </rPr>
      <t>Data research/ gathering (regular updates on fact book data), business profile, economic indicators, etc. (annual)</t>
    </r>
  </si>
  <si>
    <t>Research studies</t>
  </si>
  <si>
    <t xml:space="preserve">Percentage of hit rate; </t>
  </si>
  <si>
    <t xml:space="preserve">no. of applicants </t>
  </si>
  <si>
    <t xml:space="preserve">no. of participating companies </t>
  </si>
  <si>
    <t>Updated data for advocacy and promotion efforts</t>
  </si>
  <si>
    <t>3 Research Studies</t>
  </si>
  <si>
    <t>Improved website (new design, features, linkages and contents)</t>
  </si>
  <si>
    <r>
      <t>o</t>
    </r>
    <r>
      <rPr>
        <sz val="7"/>
        <color theme="1"/>
        <rFont val="Times New Roman"/>
        <family val="1"/>
      </rPr>
      <t xml:space="preserve">    </t>
    </r>
    <r>
      <rPr>
        <sz val="10"/>
        <color theme="1"/>
        <rFont val="Calibri"/>
        <family val="2"/>
        <scheme val="minor"/>
      </rPr>
      <t>Page on BOSS and existing processes</t>
    </r>
  </si>
  <si>
    <r>
      <t>o</t>
    </r>
    <r>
      <rPr>
        <sz val="7"/>
        <color theme="1"/>
        <rFont val="Times New Roman"/>
        <family val="1"/>
      </rPr>
      <t xml:space="preserve">    </t>
    </r>
    <r>
      <rPr>
        <sz val="10"/>
        <color theme="1"/>
        <rFont val="Calibri"/>
        <family val="2"/>
        <scheme val="minor"/>
      </rPr>
      <t>ICT page</t>
    </r>
  </si>
  <si>
    <r>
      <t>o</t>
    </r>
    <r>
      <rPr>
        <sz val="7"/>
        <color theme="1"/>
        <rFont val="Times New Roman"/>
        <family val="1"/>
      </rPr>
      <t xml:space="preserve">    </t>
    </r>
    <r>
      <rPr>
        <sz val="10"/>
        <color theme="1"/>
        <rFont val="Calibri"/>
        <family val="2"/>
        <scheme val="minor"/>
      </rPr>
      <t>New system features</t>
    </r>
  </si>
  <si>
    <t>New features</t>
  </si>
  <si>
    <t>5 Features</t>
  </si>
  <si>
    <t xml:space="preserve">Investor Services </t>
  </si>
  <si>
    <t>Clients served</t>
  </si>
  <si>
    <t>20 Clients</t>
  </si>
  <si>
    <t>Participation to National ICT-BPM activities (per invitation)  NICP, ICTO, BPAP, CCAP</t>
  </si>
  <si>
    <t xml:space="preserve">activities attended </t>
  </si>
  <si>
    <t>ICT, agri, tourism sectoral dev support</t>
  </si>
  <si>
    <t>Meetings facilitated (10)</t>
  </si>
  <si>
    <t>10 Meetings</t>
  </si>
  <si>
    <t>Training on ICT-related courses (partner with TESDA, CHED, BPAP and etc.</t>
  </si>
  <si>
    <t xml:space="preserve">Trainings partnered with TESDA, CHED, BPAP </t>
  </si>
  <si>
    <t>BIB Meetings</t>
  </si>
  <si>
    <t xml:space="preserve">Orientation on incentives and investments for LGU and business sector (include green tourism-ICT-BPM) </t>
  </si>
  <si>
    <t>Seminars organized/facilitated</t>
  </si>
  <si>
    <t>2 Seminars</t>
  </si>
  <si>
    <t xml:space="preserve"> IV. ADMINISTRATIVE SUPPORT</t>
  </si>
  <si>
    <t>BIPC/BOSS STAFF</t>
  </si>
  <si>
    <t xml:space="preserve">Permanent/Regular Employees </t>
  </si>
  <si>
    <t xml:space="preserve">Hiring of Job Order Casuals </t>
  </si>
  <si>
    <t>and Contractuals</t>
  </si>
  <si>
    <t xml:space="preserve">4 Regular Employees </t>
  </si>
  <si>
    <t>4 Casual Plantilla</t>
  </si>
  <si>
    <t>Travels</t>
  </si>
  <si>
    <t xml:space="preserve">1 Office Assessment and Planning </t>
  </si>
  <si>
    <t>Additional purchase of office supplies</t>
  </si>
  <si>
    <t>for BIPC and BOSS</t>
  </si>
  <si>
    <t>Increase office budget for office supplies</t>
  </si>
  <si>
    <r>
      <t xml:space="preserve"> </t>
    </r>
    <r>
      <rPr>
        <sz val="10"/>
        <color theme="1"/>
        <rFont val="Calibri"/>
        <family val="2"/>
        <scheme val="minor"/>
      </rPr>
      <t xml:space="preserve">Office Billings and other Expenses </t>
    </r>
  </si>
  <si>
    <t>Tel Expenses – Mobile</t>
  </si>
  <si>
    <t>Cable TV Annual Sub</t>
  </si>
  <si>
    <t xml:space="preserve">R &amp; M – IT Maint. </t>
  </si>
  <si>
    <t>Other MOOE Expenses</t>
  </si>
  <si>
    <t>Other MOOE Exp - Research</t>
  </si>
  <si>
    <r>
      <t>2</t>
    </r>
    <r>
      <rPr>
        <vertAlign val="superscript"/>
        <sz val="10"/>
        <color theme="1"/>
        <rFont val="Calibri"/>
        <family val="2"/>
        <scheme val="minor"/>
      </rPr>
      <t>nd</t>
    </r>
    <r>
      <rPr>
        <sz val="10"/>
        <color theme="1"/>
        <rFont val="Calibri"/>
        <family val="2"/>
        <scheme val="minor"/>
      </rPr>
      <t xml:space="preserve"> Phase of Office Renovation  for BIPC/BOSS</t>
    </r>
  </si>
  <si>
    <t>Purchase of new office equipments</t>
  </si>
  <si>
    <t xml:space="preserve">Improvement of BIPC office </t>
  </si>
  <si>
    <t>Enhanced one-stop shop services through improvement of BOSS office</t>
  </si>
  <si>
    <t xml:space="preserve"> DLSR Digital camera               </t>
  </si>
  <si>
    <t>Clients Bench/Chairs</t>
  </si>
  <si>
    <t>1 Laptop</t>
  </si>
  <si>
    <t>2 Portable Hard Disk</t>
  </si>
  <si>
    <t>FAX Machine</t>
  </si>
  <si>
    <t>2 Digital Recorders</t>
  </si>
  <si>
    <t>Cash Register</t>
  </si>
  <si>
    <t>Safety Deposit Box</t>
  </si>
  <si>
    <t>BP Apparatus and Medical Kit</t>
  </si>
  <si>
    <t xml:space="preserve">Clear Glass Tinting &amp; Curtain </t>
  </si>
  <si>
    <t xml:space="preserve">Office Utensils for Clients  </t>
  </si>
  <si>
    <t>ImplementationSchedule</t>
  </si>
  <si>
    <r>
      <t xml:space="preserve">Budget Year                         :                                 </t>
    </r>
    <r>
      <rPr>
        <b/>
        <sz val="12"/>
        <rFont val="Arial"/>
        <family val="2"/>
      </rPr>
      <t>2014</t>
    </r>
  </si>
  <si>
    <t>To audit the selected and prioritized areas, funds and processes in accordance with a Risk-Based Audit Approach and other established criteria</t>
  </si>
  <si>
    <t>To conduct risk assessment on prioritized offices</t>
  </si>
  <si>
    <t>To monitor compliance of audit findings and recommendations on previous Risk-based Audits</t>
  </si>
  <si>
    <t>To complete the Internal Control System Baseline Assessment documentation for all departments involved in the road sector (PEO, BAC, PMPO, PAccO, PBMO, PTO, HRMDO, BEMO, PGSO, PAssO) and including other prioritized offices (GO and PHO)</t>
  </si>
  <si>
    <t>To implement the Audit Plan for 2014</t>
  </si>
  <si>
    <t>A.) IEC and AUDIT ENGAGEMENTS</t>
  </si>
  <si>
    <t>IEC on the Roles &amp; Functions of PIAO, IEC on the role and function of Audit Committee, and Orientation on ICS Baseline Assessment &amp; Risk Assessment</t>
  </si>
  <si>
    <t>Documentation of the orientation, Risk Control Matrix per department</t>
  </si>
  <si>
    <t>All PGBh Key Employees</t>
  </si>
  <si>
    <t xml:space="preserve">ICS Baseline Assessment </t>
  </si>
  <si>
    <t>ICS Baseline Assessment Report</t>
  </si>
  <si>
    <t>2 Offices</t>
  </si>
  <si>
    <t xml:space="preserve">Risk Assessment </t>
  </si>
  <si>
    <t>Risk Assessment Report</t>
  </si>
  <si>
    <t>Audit (4 offices, Financial Audit – Cash Management, special audits)</t>
  </si>
  <si>
    <t>6 Offices</t>
  </si>
  <si>
    <t xml:space="preserve">Follow-up Audit (4 offices, PAccO’s Audit of Disbursement Function) </t>
  </si>
  <si>
    <t xml:space="preserve">Assessment and Planning </t>
  </si>
  <si>
    <t>Annual Plan, PES Target and Implementation</t>
  </si>
  <si>
    <t>Risk Management Training Workshop</t>
  </si>
  <si>
    <t>Documentation on the Workshop</t>
  </si>
  <si>
    <t xml:space="preserve">Other Auditor’s Trainings (as identified in SFMP) </t>
  </si>
  <si>
    <t>Completion Report, Cascading</t>
  </si>
  <si>
    <t>Procurement of Operating System (OS)</t>
  </si>
  <si>
    <t>Procurement and Installation</t>
  </si>
  <si>
    <t>Procurement of Portable Hard Drive</t>
  </si>
  <si>
    <t>Procurement</t>
  </si>
  <si>
    <t>Procurement of CPU</t>
  </si>
  <si>
    <t>PASSO -2</t>
  </si>
  <si>
    <t>PTO -2</t>
  </si>
  <si>
    <t>CO</t>
  </si>
  <si>
    <t xml:space="preserve">           Bohol Tourism Office is a unit in the Office of the Governor created through Provincial Ordinance No. 2000-009 as the marketing and promotions  arm of the province and lead agency in the implementation of tourism development plans, programs and projects geared towards the attainment of the Vision of the tourism industry, which foresees Bohol as the country’s prime eco-cultural tourist destination where visitors experience and learn from its distinct beauty and culture nurtured by a community committed to environmental, cultural and economic sustainability while meeting global tourism standards and eventually that of the Vision of Bohol.   </t>
  </si>
  <si>
    <t xml:space="preserve">            In line with the Provincial administration’s efforts towards poverty reduction, the office also focuses in capacitating tourism service providers specially the marginalized Boholanos to be able to operate and engage in entrepreneurial activities or be gainfully employed in the tourism industry. </t>
  </si>
  <si>
    <t>To assist in the implementation of standards and regulations for the efficient execution and sound control of tourism developments to sustain Bohol as a prime eco-cultural tourist destination in the country.</t>
  </si>
  <si>
    <t xml:space="preserve">To conduct tourism capability-enhancing activities for local communities necessary to improve their skills and competencies in tourism product development </t>
  </si>
  <si>
    <t>To ensure that Bohol is in the tourism map through the production of promo materials and conduct of promotional campaigns within and outside the country in coordination with Department of Tourism and private sector.</t>
  </si>
  <si>
    <t>A program that will boost an economically vibrant tourism industry through effective Branding, with full respect to local culture  by means of effective  tourism plans and programs in data management; branding; private sector partnership; quality web-based knowledge center and on-line access; and efficient Information education campaign.</t>
  </si>
  <si>
    <t>Marketing and Promotion</t>
  </si>
  <si>
    <t>Globally competitive tourism products, services and facilities</t>
  </si>
  <si>
    <t># of media promotional features of Bohol</t>
  </si>
  <si>
    <t># of National trade fair participated</t>
  </si>
  <si>
    <t># of promotional collaterals produced</t>
  </si>
  <si>
    <t># of copies produced</t>
  </si>
  <si>
    <t># of productions</t>
  </si>
  <si>
    <t>Sept. &amp;  Feb.</t>
  </si>
  <si>
    <t>Formulation of private sector marketing body (structure &amp; mechanism)</t>
  </si>
  <si>
    <t># of  meetings/ workshops</t>
  </si>
  <si>
    <t xml:space="preserve">Establish/ organize  a private sector led marketing body/ structure </t>
  </si>
  <si>
    <t>Planning and Product Development</t>
  </si>
  <si>
    <t># of meetings/sessions</t>
  </si>
  <si>
    <t>approved guidelines</t>
  </si>
  <si>
    <t># of  community-based tourism product enhanced/ developed (Abatan, Anda, Ubay, Buenavista, Batuan, Bilar, Candijay)</t>
  </si>
  <si>
    <t># of coordination meetings with DPWH</t>
  </si>
  <si>
    <t># of  area assessment conducted</t>
  </si>
  <si>
    <t xml:space="preserve">IV.   Ecotourism Monitoring Program, a project in partnership with  DOT           </t>
  </si>
  <si>
    <t>50,000.00 (DOT)</t>
  </si>
  <si>
    <t>Set  of Indicators for monitoring change of tourist sites drafted</t>
  </si>
  <si>
    <t># of assessment instrument formulated</t>
  </si>
  <si>
    <t># of  assessment conducted per identified site</t>
  </si>
  <si>
    <t xml:space="preserve"># of sites established Carrying Capacity/Limits of Acceptable Change </t>
  </si>
  <si>
    <t># of exit survey conducted at 5 major ports of entry</t>
  </si>
  <si>
    <t xml:space="preserve"> # of LGUs with accommodation facilities regularly submitting tourist arrival data </t>
  </si>
  <si>
    <t># of  Lodging Accommodation facilities regularly submitting monthly tourist arrival data</t>
  </si>
  <si>
    <t xml:space="preserve"># of consolidated tourism data submitted to DOT  </t>
  </si>
  <si>
    <t># of People Counters Installed</t>
  </si>
  <si>
    <t>Policy and Standards</t>
  </si>
  <si>
    <t># of service sector provider  provided with customer service seminar</t>
  </si>
  <si>
    <t># of drivers trained</t>
  </si>
  <si>
    <t xml:space="preserve"> # of training conducted</t>
  </si>
  <si>
    <t># of MTOs trained</t>
  </si>
  <si>
    <t># of BTO staff trained</t>
  </si>
  <si>
    <t># of training conducted</t>
  </si>
  <si>
    <t># of participants</t>
  </si>
  <si>
    <t>Conduct cascading activity on Tourism Act RA 9593</t>
  </si>
  <si>
    <t>Increased awareness and effective provisions of guidelines / laws</t>
  </si>
  <si>
    <t xml:space="preserve"> Bohol Tourism Code Amended</t>
  </si>
  <si>
    <t># of  LGUs knowledgeable with Tourism Act RA 9593</t>
  </si>
  <si>
    <t>Start in Mar.</t>
  </si>
  <si>
    <t>Start in Apr.</t>
  </si>
  <si>
    <t>III.    Monitoring and evaluation</t>
  </si>
  <si>
    <t># of new tourism facilities /services inspected</t>
  </si>
  <si>
    <t>Tourism Assistance</t>
  </si>
  <si>
    <t xml:space="preserve">Global accessibility on Tourism information / assistance services </t>
  </si>
  <si>
    <t># of  online hotline email address dedicated to complaints / emergencies established</t>
  </si>
  <si>
    <t>Start in June</t>
  </si>
  <si>
    <t># of tourist/ guests assisted in Tagbilaran info counters</t>
  </si>
  <si>
    <t xml:space="preserve"># of groups offered special reception </t>
  </si>
  <si>
    <t># of  groups tour guided in Bohol Tourism Center</t>
  </si>
  <si>
    <t># of students / OJTs received tourism related training from BTO</t>
  </si>
  <si>
    <t># of schools / LGUs received tourism related lectures</t>
  </si>
  <si>
    <t># of SPES trained in basic frontline services orientation / training</t>
  </si>
  <si>
    <t>20K</t>
  </si>
  <si>
    <t>Admin and Finance</t>
  </si>
  <si>
    <t>Administrative Support Management Program</t>
  </si>
  <si>
    <t>Increased organizational effectiveness and efficiency</t>
  </si>
  <si>
    <t># of sessions conducted</t>
  </si>
  <si>
    <t xml:space="preserve"> # of Tourism Desk Assistants hired</t>
  </si>
  <si>
    <t># of Tourism Data Collectors  hired</t>
  </si>
  <si>
    <t># of Liaison /Messenger hired</t>
  </si>
  <si>
    <t>Capacitated and effective human resource</t>
  </si>
  <si>
    <t xml:space="preserve"> # of capacity building activities conducted</t>
  </si>
  <si>
    <t># of personnel capacitated</t>
  </si>
  <si>
    <t># of  BP monitoring conducted per  the year</t>
  </si>
  <si>
    <t># of water refill cont. procured for the year</t>
  </si>
  <si>
    <t xml:space="preserve"> Hataw conducted </t>
  </si>
  <si>
    <t># of payrolls/ vouchers for Salaries and incentives/awards given to qualified personnel</t>
  </si>
  <si>
    <t># of  Operational planning and budgeting workshop conducted</t>
  </si>
  <si>
    <t xml:space="preserve">  Annual Investment Development Plan 2015 crafted &amp; submitted to PPDO a week after</t>
  </si>
  <si>
    <t># of Assessment Workshops conducted</t>
  </si>
  <si>
    <t xml:space="preserve"># of Semi-annual Monitoring Reports  crafted </t>
  </si>
  <si>
    <t>Submission of Reports to PPDO 2 weeks after the conduct of monitoring</t>
  </si>
  <si>
    <t># of bonded official</t>
  </si>
  <si>
    <t>July &amp; Dec.</t>
  </si>
  <si>
    <t>supplies available</t>
  </si>
  <si>
    <t># of VGA splitter cord acquired</t>
  </si>
  <si>
    <t># of  laptop computers acquired</t>
  </si>
  <si>
    <t>desktop computer, with licensed unti-virus  acquired</t>
  </si>
  <si>
    <t># of laser colored printer acquired</t>
  </si>
  <si>
    <t xml:space="preserve"># of Tablet computer acquired </t>
  </si>
  <si>
    <t># of Digital camera acquired</t>
  </si>
  <si>
    <t>2pcs   30m</t>
  </si>
  <si>
    <t xml:space="preserve">Landline </t>
  </si>
  <si>
    <t xml:space="preserve"> mobile</t>
  </si>
  <si>
    <t># of  Office accounts settled</t>
  </si>
  <si>
    <t xml:space="preserve"> # of monthly bills processed</t>
  </si>
  <si>
    <t># of Equipments,  in good working condition</t>
  </si>
  <si>
    <t># of IT Equipment enhanced</t>
  </si>
  <si>
    <t># of vehicle in good running condition</t>
  </si>
  <si>
    <t>communications delivered</t>
  </si>
  <si>
    <t xml:space="preserve">  waste solid segregated</t>
  </si>
  <si>
    <t># of monitoring reports submitted semi-annual to BEMO</t>
  </si>
  <si>
    <t>Noted:</t>
  </si>
  <si>
    <t xml:space="preserve">                            Approved:</t>
  </si>
  <si>
    <t xml:space="preserve">            LIZA M. QUIROG</t>
  </si>
  <si>
    <t xml:space="preserve">  ATTY. EDGAR M. CHATTO</t>
  </si>
  <si>
    <t>Head, SEEM Cluster</t>
  </si>
  <si>
    <t>OIC, Bohol Tourism Office</t>
  </si>
  <si>
    <t xml:space="preserve"> JOSEPHINE R. CABARRUS</t>
  </si>
  <si>
    <t># of meetings/ workshops conducted</t>
  </si>
  <si>
    <t>Purchase of Other Hospital Equipment</t>
  </si>
  <si>
    <t>FUNCTIONAL STATEMENT, OBJECTIVES AND EXPECTED OUTPUT</t>
  </si>
  <si>
    <t>CONG. SIMEON G. TORIBIO MEMORIAL HOSPITAL</t>
  </si>
  <si>
    <t>Function:</t>
  </si>
  <si>
    <t>Fund:</t>
  </si>
  <si>
    <t xml:space="preserve">            Hospitals are providers of quality health services manned by innovative personnel with modern equipments and facilities and affordable medicines.</t>
  </si>
  <si>
    <t>II. OBJECTIVE</t>
  </si>
  <si>
    <t xml:space="preserve">             To improve the quality of life by providing the highest degree of health care services through effective, efficient and comprehensive health care.</t>
  </si>
  <si>
    <t>III. PROGRAMS/PROJECTS/ACTIVITIES:</t>
  </si>
  <si>
    <t>PERSONNEL COMPONENT:</t>
  </si>
  <si>
    <t>Payment of Salaries to Permanent Personnel</t>
  </si>
  <si>
    <t>*Provided quality health services                        *Regular personnel were paid monthly</t>
  </si>
  <si>
    <t xml:space="preserve">Payment of Allowances </t>
  </si>
  <si>
    <t>Contributions to:</t>
  </si>
  <si>
    <t xml:space="preserve">                    GSIS</t>
  </si>
  <si>
    <t xml:space="preserve">                    Pag-ibig</t>
  </si>
  <si>
    <t xml:space="preserve">                    PHIC</t>
  </si>
  <si>
    <t xml:space="preserve">                    Others</t>
  </si>
  <si>
    <t>Other Benefits</t>
  </si>
  <si>
    <t>As mandated</t>
  </si>
  <si>
    <t>Additional workforce for the efficient operation in the hospital</t>
  </si>
  <si>
    <t>1 Doctor</t>
  </si>
  <si>
    <t>14 Nurses</t>
  </si>
  <si>
    <t>Labor Casuals</t>
  </si>
  <si>
    <t>15 Labor Casuals</t>
  </si>
  <si>
    <t>Security Guards (ousourced)</t>
  </si>
  <si>
    <t xml:space="preserve">3 Security Guards </t>
  </si>
  <si>
    <t>Purchase of the Following Hospital Supplies:</t>
  </si>
  <si>
    <t xml:space="preserve">    1. Office Supplies</t>
  </si>
  <si>
    <t>Served as support system in the delivery quality healthcare services in order to increase revenues</t>
  </si>
  <si>
    <t>Monthly purchase</t>
  </si>
  <si>
    <t xml:space="preserve">    2. Accountable Forms</t>
  </si>
  <si>
    <t xml:space="preserve">    3. Food Supplies and Cooking Gas</t>
  </si>
  <si>
    <t xml:space="preserve">    4. Med/Dental/Surg/X-ray/ Lab</t>
  </si>
  <si>
    <t xml:space="preserve">    5. Other Maintenance &amp; Operating Supplies (including cultural and sports expenses)</t>
  </si>
  <si>
    <t>Attendance to Trainings/Seminars/Workshop and Other Related expenses</t>
  </si>
  <si>
    <t>Enhanced health care providers' competence and capabilities</t>
  </si>
  <si>
    <t>5 trainings/ workshops/ seminars per month</t>
  </si>
  <si>
    <t>ADMINISTRATIVE COMPONENT:</t>
  </si>
  <si>
    <t>Repair and Maintenance of the following:</t>
  </si>
  <si>
    <t xml:space="preserve">   1. Hospital and Health Centers</t>
  </si>
  <si>
    <t>Minor repairs done monthly</t>
  </si>
  <si>
    <t>Dec.2014</t>
  </si>
  <si>
    <t xml:space="preserve">   2. IT Equipment and Software</t>
  </si>
  <si>
    <t>Maintained good working conditions of all PCs and other communication gadgets in the hospital</t>
  </si>
  <si>
    <t xml:space="preserve">   3. Motor Vehicles</t>
  </si>
  <si>
    <t>*Maintained good running condition of the hospital vehicles                            *Currently registered hospital vehicles</t>
  </si>
  <si>
    <t xml:space="preserve">* Annual registration                     * Monthly check-up/change oil </t>
  </si>
  <si>
    <t xml:space="preserve">Payment of all Hospital Utility Bills  </t>
  </si>
  <si>
    <t xml:space="preserve">  Monthly as to due dates</t>
  </si>
  <si>
    <t>Purchase of Gases, Oil and Lubricants for Hospital Vehicles</t>
  </si>
  <si>
    <t>Maintained good running condition of the hospital vehicles</t>
  </si>
  <si>
    <t>As needed</t>
  </si>
  <si>
    <t>Payment of Postage and Deliveries</t>
  </si>
  <si>
    <t>Efficient communication</t>
  </si>
  <si>
    <t>Payment of Taxes, Dues, Licenses  and Fidelity Bond Premium</t>
  </si>
  <si>
    <t>Maintained accreditation of the hospital and to uphold the governments' fund</t>
  </si>
  <si>
    <t>Annually</t>
  </si>
  <si>
    <t>Mar. 2014</t>
  </si>
  <si>
    <t>EQUIPMENT:</t>
  </si>
  <si>
    <t>Purchase of Accessories for Filmless X-ray</t>
  </si>
  <si>
    <t>March 2014</t>
  </si>
  <si>
    <t>Purchase of Airconditioning Units for Conference Hall ( 5.0 TR Floor Mounted Non-Inverter ) 2 units</t>
  </si>
  <si>
    <t>Improved Conference Hall</t>
  </si>
  <si>
    <t>Airconditioning Units for Private Rooms</t>
  </si>
  <si>
    <t>JAIME E. CALAMBA, M.D.</t>
  </si>
  <si>
    <t>chief of Hospital-OIC</t>
  </si>
  <si>
    <t>New Appropriations by Program/Project:</t>
  </si>
  <si>
    <t>Maintenance &amp; Other Operating Expenditures</t>
  </si>
  <si>
    <t>Provision of quality health care services through innovative personnel, modern equipment and affordable medicines</t>
  </si>
  <si>
    <t>Purchase of 2 units Aircondtioning Units (5.0 TR Floor Mounted Non-Inverter/ unit)</t>
  </si>
  <si>
    <t>Purchase of 5 units Airconditioning Units for additional private rooms (window type- 1 HP)</t>
  </si>
  <si>
    <t>JAIME E. CALAMBA</t>
  </si>
  <si>
    <t>Officer In-charge</t>
  </si>
  <si>
    <r>
      <t xml:space="preserve">Budget Year: </t>
    </r>
    <r>
      <rPr>
        <b/>
        <u/>
        <sz val="11"/>
        <rFont val="Arial"/>
        <family val="2"/>
      </rPr>
      <t xml:space="preserve"> 2014</t>
    </r>
  </si>
  <si>
    <t>1. To formulate integrated economic, social, physical, and other development plans and policies for consideration of the Provincial Development Council</t>
  </si>
  <si>
    <t>2. To monitor and evaluate the implementation of different development programs, projects and activities in the province in accordance  with the approved development plan;</t>
  </si>
  <si>
    <t>3. To provide an effective support system to local government units and other stakeholders for development;</t>
  </si>
  <si>
    <t>4. To achieve operational excellence through an organization that has the right mix of people, skills and technology and operating under the fundamental principle of keen customer focus and value for money;</t>
  </si>
  <si>
    <t>5. To continuously build human resource capacity and welfare through formal and informal training, better employee-focused initiatives and working internal systems;</t>
  </si>
  <si>
    <t>6. To conduct continuing studies, researches, and training programs necessary to evolve policies, plans and programs for implementation and recommend fiscal plans and policies to the Local Finance Committee;</t>
  </si>
  <si>
    <t>7. To exercise supervision and control as the secretariat of the Provincial Development Council and other appropriate local special bodies</t>
  </si>
  <si>
    <t>NO</t>
  </si>
  <si>
    <t>Common</t>
  </si>
  <si>
    <t>Specific</t>
  </si>
  <si>
    <t xml:space="preserve">Preparation of the 2013 Provincial Annual Report </t>
  </si>
  <si>
    <t>Provincial Annual Report for CY 2013</t>
  </si>
  <si>
    <t>1 Provincial Annual Report for CY 2013 submitted to the GO,  SP, DILG and COA</t>
  </si>
  <si>
    <t>Preparation of the CY 2015 Provincial Annual Development/ Investment Plan</t>
  </si>
  <si>
    <t>2015 Provincial Annual Development/ Investment Plan</t>
  </si>
  <si>
    <t>2015 Provincial Annual Development/ Investment Plan approved by the PDC and SP and transmitted to the DILG and DBM</t>
  </si>
  <si>
    <t>August</t>
  </si>
  <si>
    <t>(includes updating of planning database, distribution of communication to all PGBh offices for the preparation of the ADP/ AIP, collection of office ADPs/ AIPs, analysis of planning environment, preparation of sectoral plans/ ADP/ AIP, preparation of consolidated Provincial ADP/ AIP, presentation to and approval by the PDC, Approval by the SP)</t>
  </si>
  <si>
    <t>Add Non Office ok</t>
  </si>
  <si>
    <t>Continued operation  and improvement of the Provincial Monitoring and Evaluation System (ProMES)</t>
  </si>
  <si>
    <t>M&amp;E Information System</t>
  </si>
  <si>
    <t>1 Software installed and deployed</t>
  </si>
  <si>
    <t>M&amp;E Users' training</t>
  </si>
  <si>
    <t>Users' training provided to all PGBh departments and offices</t>
  </si>
  <si>
    <t>Semi- Annual Monitoring Report</t>
  </si>
  <si>
    <t>2 Semi-annual Monitoring Reports generated, submitted and reported to MEB/ PDC</t>
  </si>
  <si>
    <t>January/ July</t>
  </si>
  <si>
    <t>Reconstituted Provincial Monitoring Committee</t>
  </si>
  <si>
    <t>1 Provincial Monitoring Committee reconstituted</t>
  </si>
  <si>
    <t>Monitoring and Evaluation System established at PPDO</t>
  </si>
  <si>
    <t>1 Monitoring and Evaluation System established at PPDO</t>
  </si>
  <si>
    <t xml:space="preserve">M&amp;E Manual </t>
  </si>
  <si>
    <t>1 M&amp;E Manual prepared and approved by the PDC</t>
  </si>
  <si>
    <t>Community Impact Monitoring and Evaluation (CIME)  Report</t>
  </si>
  <si>
    <t>1 CIME Report of 1 pilot project</t>
  </si>
  <si>
    <t xml:space="preserve">M&amp;E Reports for the Full Disclosure Policy &amp; Gawad Pamana ng Lahi </t>
  </si>
  <si>
    <t xml:space="preserve">4 Quarterly M&amp;E Reports for the Full Disclosure Policy &amp; Gawad Pamana ng Lahi </t>
  </si>
  <si>
    <t>Technical Assistance to Local Government Units/ Provincial Government Offices/ Projects/ National Government Agencies/ NGOs/ Private Sector</t>
  </si>
  <si>
    <t xml:space="preserve">Technical Assistance provided to PGBh/ LGU/ NGAs </t>
  </si>
  <si>
    <t>Preparation of Comprehensive Land Use Plan/ Comprehensive Development Plans/ Municipal Socio-Economic Profile</t>
  </si>
  <si>
    <t>Comprehensive Land Use Plan (CLUP)</t>
  </si>
  <si>
    <t>Updated CLUPs of LGUs requesting PPDO's assistance</t>
  </si>
  <si>
    <t>Comprehensive Development Plan (CDP)</t>
  </si>
  <si>
    <t>CDPs of LGUs requesting PPDO's assistance</t>
  </si>
  <si>
    <t>Municipal Socio Economic Profile (MSEP)</t>
  </si>
  <si>
    <t>48 MSEP/CSEP</t>
  </si>
  <si>
    <t>Preparation of Feasibility Studies/Project Proposals and Marketing of Project Proposals</t>
  </si>
  <si>
    <t>Feasibility Studies</t>
  </si>
  <si>
    <t>100% of  Feasibility Studies prepared</t>
  </si>
  <si>
    <t>Project Proposals</t>
  </si>
  <si>
    <t>100% Project Proposals prepared</t>
  </si>
  <si>
    <t>Provision of water development-related technical assistance</t>
  </si>
  <si>
    <t>Georesistivity surveys</t>
  </si>
  <si>
    <t>Georesistivity survey results provided to LGUs</t>
  </si>
  <si>
    <t>Water quality monitoring survey and reports</t>
  </si>
  <si>
    <t>Water quality monitoring and reports of all major river systems of Bohol</t>
  </si>
  <si>
    <t>Feasibility Study on the Bohol Water and Sanitation Project</t>
  </si>
  <si>
    <t>1 Complete Feasibility Study as basis for the actual Bulk Water Supply Project for Bohol</t>
  </si>
  <si>
    <t>Water Rights application for Bohol's River Systems/ water sources</t>
  </si>
  <si>
    <t>Water Rights applied and sustained for Bohol's selected  water sources</t>
  </si>
  <si>
    <t>Assistance in the preparation of special plans/ provision of technical training/ coordination in the implementation of special development initiatives</t>
  </si>
  <si>
    <t>Other PGBh/ LGU/ NGA plans</t>
  </si>
  <si>
    <t>100% of plans prepared and assisted</t>
  </si>
  <si>
    <t>Capability Building Trainings/ Coordination</t>
  </si>
  <si>
    <t>100% of Trainings provided to PGBh/ LGUs/ NGAs that requested assistance</t>
  </si>
  <si>
    <t>Orientation/ training on the creation of local housing boards/ shelter plans</t>
  </si>
  <si>
    <t>100% of planned activities conducted</t>
  </si>
  <si>
    <t>Presentation of updated development framework of Bohol</t>
  </si>
  <si>
    <t>100% of assigned Presentation of updated development framework of Bohol</t>
  </si>
  <si>
    <t>Coordination/ partnerships with LGUs/ NGAs/ NGOs and other development partners</t>
  </si>
  <si>
    <t>Meetings/ workshops attended/ conducted</t>
  </si>
  <si>
    <t>100% of planned Meetings/ workshops attended/ conducted</t>
  </si>
  <si>
    <t>Review of the Comprehensive Land Use Plan of Municipalities through the Operation of the Provincial Land Use Committee (PLUC)</t>
  </si>
  <si>
    <t>PLUC Meetings
CLUPs approved</t>
  </si>
  <si>
    <t xml:space="preserve">Collection, storage, retrieval and sharing of information in the realm of socio-economic development </t>
  </si>
  <si>
    <t>Updated and maintained socio-economic database/ profile, website</t>
  </si>
  <si>
    <t>Municipal Socio-Economic Profile</t>
  </si>
  <si>
    <t>47 MSEP/ 1 CSEP</t>
  </si>
  <si>
    <t>Sectoral Socio-Economic Profile</t>
  </si>
  <si>
    <t>5 Sectoral Socio-Economic Profile</t>
  </si>
  <si>
    <t xml:space="preserve">Provincial Socio-Economic Profile </t>
  </si>
  <si>
    <t xml:space="preserve">1 Provincial Socio-Economic Profile </t>
  </si>
  <si>
    <t xml:space="preserve">Fast Economic Facts of Bohol </t>
  </si>
  <si>
    <t xml:space="preserve">1 Fast Economic Facts of Bohol </t>
  </si>
  <si>
    <t>Quarterly Provincial Economic Situationer (QPES)</t>
  </si>
  <si>
    <t>4 QPES/QRES</t>
  </si>
  <si>
    <t>Every Quarter</t>
  </si>
  <si>
    <t>Ecological Profile</t>
  </si>
  <si>
    <t>1 Ecological Profile</t>
  </si>
  <si>
    <t>1 Set LGPMS Data Set</t>
  </si>
  <si>
    <t>Platform for PPDO Integrated database system, Data entry</t>
  </si>
  <si>
    <t>1 Platform for PPDO Integrated Database</t>
  </si>
  <si>
    <t xml:space="preserve">Updated PPDO website </t>
  </si>
  <si>
    <t>1 Website</t>
  </si>
  <si>
    <t>Bohol Atlas</t>
  </si>
  <si>
    <t>1 Bohol Atlas</t>
  </si>
  <si>
    <t>Bohol Data Directory</t>
  </si>
  <si>
    <t>1 Bohol Data Directory</t>
  </si>
  <si>
    <t>Updated PDPFP/ PDIP</t>
  </si>
  <si>
    <t>1 Updated PDPFP and PDIP approved by the PDC and SP</t>
  </si>
  <si>
    <t>(includes assessment of the current PDPFP/ PDIP, updating of socio-economic profile, analysis of the planning environment, review of development framework, spatial strategies, to incorporate disaster risk reduction management strategies, road network development , integrated transport planning and management, financial management strategies, human resource development strategies. PPAs and investment programs of sectors will be updated. Includes presentation to the PDC and SP)</t>
  </si>
  <si>
    <t>Formulation of the Bohol Integrated Transport Plan (BITP)</t>
  </si>
  <si>
    <t>Bohol Integrated Transport Plan</t>
  </si>
  <si>
    <t>1 Bohol Integrated Transport Plan presented to and approved by the PDC and SP</t>
  </si>
  <si>
    <t>(Includes the organization of TWGs, capacity-building trainings, conduct of data gathering activities, technical surveys, workshops, meetings, writeshops, consultation, situational analysis, development planning, strategy formulation, identification of PPAs, technical writing and review, presentation to the PDC and SP and packaging/ reproduction of plan)</t>
  </si>
  <si>
    <t>Maintenance/ Administration of Local Area Network - Information Technology (IT) System</t>
  </si>
  <si>
    <t>Improved Administration and Maintenance of PPDO LAN and IT System</t>
  </si>
  <si>
    <t>Maintenance and Administration of PPDO Local Area Network (LAN) (Daily systems monitoring, upgrading of network appliance, maintenance of computer system, maintenance of service logs)</t>
  </si>
  <si>
    <t>Maintained and managed LAN, computers updated/ upgraded, network utilization  report prepared</t>
  </si>
  <si>
    <t>Maintained and managed 1 LAN, 100% of PPDO computers updated/ upgraded, periodic network utilization  report prepared</t>
  </si>
  <si>
    <t>Maintenance of Poverty Database Monitoring System (PDMS)</t>
  </si>
  <si>
    <t>Updated PDMS Summary Reports released 
Map layout for 12 poverty indicators</t>
  </si>
  <si>
    <t>Updated PDMS Summary Reports released to clients when requested
Map layout for 12 poverty indicators</t>
  </si>
  <si>
    <t>Maintenance of PPDO Website</t>
  </si>
  <si>
    <t>Website and content updated
Updated Data Directory
Updated Provincial Atlas</t>
  </si>
  <si>
    <t>1 Website and 100% of content updated, where appropriate, 
Updated 1 Data Directory
Updated 1 Provincial Atlas</t>
  </si>
  <si>
    <t>Provision of relevant IT Training</t>
  </si>
  <si>
    <t>IT Training Conducted for PPDO Personnel</t>
  </si>
  <si>
    <t>100% of targeted PPDO personnel trained</t>
  </si>
  <si>
    <t>Assistance in the development of an Information System for database management</t>
  </si>
  <si>
    <t>Provincial Integrated Information System</t>
  </si>
  <si>
    <t>1 Provincial Integrated Information System</t>
  </si>
  <si>
    <t>Enhancement of the Geographic Information System  (GIS)</t>
  </si>
  <si>
    <t>Conduct of facilities mapping/ preparation of thematic maps</t>
  </si>
  <si>
    <t>Facilities maps</t>
  </si>
  <si>
    <t>100% of requested maps prepared/ provided, if doable</t>
  </si>
  <si>
    <t>Updating of Thematic maps</t>
  </si>
  <si>
    <t>Thematic maps</t>
  </si>
  <si>
    <t>Provision of GIS-Services to support special projects and activities</t>
  </si>
  <si>
    <t>Base maps, facilities maps, thematic maps</t>
  </si>
  <si>
    <t>Coordination and assistance relative to the implementation of Special Programs/ Projects/ Activities in support of the Provincial development thrusts and priorities</t>
  </si>
  <si>
    <t>Assistance/coordination provided for the implementation of various programs/projects</t>
  </si>
  <si>
    <t>Provide assistance, coordination for the implementation of the following programs and projects:</t>
  </si>
  <si>
    <t xml:space="preserve">Assistance provided for the following:
PRMF, EU-DREAMS, Great Women Project, LGSP-LED, BIWRM Program, Waterless municipalities project, RED Steer Program, 4 Ps, ECLEI,  HEAT Caravan and other projects  and activities
</t>
  </si>
  <si>
    <t>Extension of technical/ secretariat support to the Provincial Development Council (PDC) and other Appropriate Bodies/ Committees</t>
  </si>
  <si>
    <t>PDC Full Council and ExeCom Meetings</t>
  </si>
  <si>
    <t>At least 2 PDC Full Council Meetings, 4 Execom Meetings</t>
  </si>
  <si>
    <t>RDC Full Council Meeting/ RDC-related Activities</t>
  </si>
  <si>
    <t>1 RDC Full Council Meeting in Bohol/ RDC-related Activities</t>
  </si>
  <si>
    <t>Project briefs, Comprehensive Project Profiles, Studies, Reports and Analysis, Resolutions, Agenda Folder, Minutes of Meetings, Communication/ Transmittal Letters</t>
  </si>
  <si>
    <t>Representation to various committees and councils</t>
  </si>
  <si>
    <t>Meetings conducted/ attended called by appropriate committees</t>
  </si>
  <si>
    <t xml:space="preserve">100% of Meetings conducted/ attended </t>
  </si>
  <si>
    <t>Filling up of PPDO vacant positions</t>
  </si>
  <si>
    <t>Filled at least 7 PPDO vacant positions</t>
  </si>
  <si>
    <t>Review of Customer Service Charter</t>
  </si>
  <si>
    <t>1 Updated Customer Service Charter</t>
  </si>
  <si>
    <t>Conduct of Midyear and Year-end Office Assessment/ Team Building and Operational Planning Workshop</t>
  </si>
  <si>
    <t>1 Operational Planning and 2 Assessment Workshops</t>
  </si>
  <si>
    <t>Provision of training and capability-building programs for PPDO Staff (technical and administrative staff)</t>
  </si>
  <si>
    <t>Trainings provided for personnel/ Number of personnel that attended need-based trainings</t>
  </si>
  <si>
    <t>100% of planned trainings provided for personnel/ 100% of the number of targeted personnel attended need-based trainings</t>
  </si>
  <si>
    <t>Conduct of Participatory Meetings</t>
  </si>
  <si>
    <t>Mancom Meetings and General Assembly Meetings</t>
  </si>
  <si>
    <t>12 Mancom Meetings and 4 General Assembly Meetings</t>
  </si>
  <si>
    <t>Implementation of PPDO's Rewards System</t>
  </si>
  <si>
    <t>Rewards System implemented</t>
  </si>
  <si>
    <t>1 Rewards System implemented</t>
  </si>
  <si>
    <t>Implementation of PPDO's Client Feedback System</t>
  </si>
  <si>
    <t>1 Feedback system implemented</t>
  </si>
  <si>
    <t>Equipment and facilities upgrading</t>
  </si>
  <si>
    <t>Procured and upgraded necessary equipment  IT Equipment/ office quipment and fixtures</t>
  </si>
  <si>
    <t>IT Equipment  (Desktop computer, Laptop, portable scanner, Office Equipment/Fixtures (Airconditioning unit, portable sound system)</t>
  </si>
  <si>
    <t>Add Capital Outlay Breakdown</t>
  </si>
  <si>
    <t>Implementation of office policies, procedures, guidelines and fees for utilization of  office data, maps, reports, facilities and equipment</t>
  </si>
  <si>
    <t>Control and Management of Financial Resources</t>
  </si>
  <si>
    <t>Office Budget, Disbursements controlled and monitored, Book - PBO reconciliation prepared, Petty cash fund managed and controlled, Petty cash fund report</t>
  </si>
  <si>
    <t>Control and management of procurement and disbursement/ cash advances</t>
  </si>
  <si>
    <t>Prepared Canvass papers , Vouchers/ ALOBS/ and Supporting documents for PRs,  disbursements, payments (payroll, supplies, cash advances, reimbursements, travels, electricity, subscription, telephone, internet, freight)</t>
  </si>
  <si>
    <t>Disbursements/ claims tracked and monitored, Maintained orderly and complete documentation of disbursement/ procurement</t>
  </si>
  <si>
    <t>Custody of supplies/ maintenance and repair/ upgrading of facilities and equipment/ Office Building/ vehicles</t>
  </si>
  <si>
    <t>Maintained accurate supplies inventory, Supplies maintained at appropriate levels and kept safely, Supplies received/ released</t>
  </si>
  <si>
    <t>Records keeping</t>
  </si>
  <si>
    <t xml:space="preserve">Updated and complete record of incoming and outgoing communications complete and orderly files of Memos/ EOs/ Circulars/ communications/ Personnel Records (Performance targets &amp; Ratings, Form 212, Assets and Liabilities, </t>
  </si>
  <si>
    <t>Time Keeping/ Uniform Checking/ Personnel Movement and Health Monitoring</t>
  </si>
  <si>
    <t>Payroll Making</t>
  </si>
  <si>
    <t>Maintenance/Updating/ Management of Leave Credits</t>
  </si>
  <si>
    <t>Leave Credit Records/ Card Maintained and Updated, Leave Forms Crosschecked</t>
  </si>
  <si>
    <t>Liaison Functions</t>
  </si>
  <si>
    <t>Financial Claims/ Disbursements/ Cash Advances/ Procurement Processed and Tracked, Completed/ Paid Obligations/ Cash Advances Released/ Purchase Orders Released</t>
  </si>
  <si>
    <t>Messengerial Functions</t>
  </si>
  <si>
    <t>Provision of Transportation Services</t>
  </si>
  <si>
    <t>Vehicles assigned/ deployed for official trips, Driving services rendered for official trips</t>
  </si>
  <si>
    <t>Provision of Client Information Services/ Reception</t>
  </si>
  <si>
    <t>Provided initial information to clients, Clients guided/ directed to appropriate sector/ personnel, Telephone calls/ walk-in clients answered/ received</t>
  </si>
  <si>
    <t>Preparation of Communication/ Memos/ Minutes of Meetings</t>
  </si>
  <si>
    <t>Official communications/ endorsements prepared, Memos/ Minutes of meetings prepared</t>
  </si>
  <si>
    <t>Implementation/ Compliance of Executive Orders/ Directives/ Customer Service Charter</t>
  </si>
  <si>
    <t>Directives implemented and monitored, Reports submitted</t>
  </si>
  <si>
    <t>Environmental Management System (EMS) Implementation</t>
  </si>
  <si>
    <t>Implementation of measures for waste minimization, energy and water conservation, safety and protection, human resources, fuel, health, mineral usage, and utilities management</t>
  </si>
  <si>
    <t>EMS Monitoring Reports/ Month (air, fuel, water, energy, human resources, mineral usage, waste, health, sanitation , utilities</t>
  </si>
  <si>
    <t>10 EMS Monitoring Reports/ Month</t>
  </si>
  <si>
    <t>MOOE SPECIFIC</t>
  </si>
  <si>
    <t>JOHN TITUS J. VISTAL</t>
  </si>
  <si>
    <t>IT</t>
  </si>
  <si>
    <t>Department Head</t>
  </si>
  <si>
    <t>MOOE Common</t>
  </si>
  <si>
    <t>Admin</t>
  </si>
  <si>
    <t>Special Projects</t>
  </si>
  <si>
    <t>PLUC</t>
  </si>
  <si>
    <t>Non Office</t>
  </si>
  <si>
    <t>TOTAL BUDGET IN FORM 3</t>
  </si>
  <si>
    <t>New Appropriation by Program/ Project</t>
  </si>
  <si>
    <r>
      <t xml:space="preserve">Office: </t>
    </r>
    <r>
      <rPr>
        <b/>
        <u/>
        <sz val="12"/>
        <rFont val="Arial"/>
        <family val="2"/>
      </rPr>
      <t xml:space="preserve"> Provincial Planning and Development Office</t>
    </r>
  </si>
  <si>
    <t>To strengthen the role of the hospital as the referral center for Talibon ILHZ.</t>
  </si>
  <si>
    <t>HAROLD B. GALLEGO, M.D.</t>
  </si>
  <si>
    <t>PHO I/Chief of Hospital</t>
  </si>
  <si>
    <t>New Appropriations by Programs/Project</t>
  </si>
  <si>
    <t>Maintenace &amp; Other</t>
  </si>
  <si>
    <t>I. General Services</t>
  </si>
  <si>
    <t>II. Operations</t>
  </si>
  <si>
    <t>Total Programs</t>
  </si>
  <si>
    <t>I. Locally Funded</t>
  </si>
  <si>
    <t>II. Other Sources</t>
  </si>
  <si>
    <t>Total Projects</t>
  </si>
  <si>
    <t>Office/Department     :    FRANCISCO DAGOHOY MUNICIPAL HOSPITAL</t>
  </si>
  <si>
    <t xml:space="preserve">           </t>
  </si>
  <si>
    <t xml:space="preserve">       2. To complete manpower needed to perform preventive and curative services</t>
  </si>
  <si>
    <t>Administrative Services:</t>
  </si>
  <si>
    <t>no. of out-patients treated                         no. of in-patients attended and discharge</t>
  </si>
  <si>
    <t>2,500 admissions</t>
  </si>
  <si>
    <t>2,500 in-patients ______ Out patients</t>
  </si>
  <si>
    <t>Equipment outlay</t>
  </si>
  <si>
    <t>Building and Structure  outlay</t>
  </si>
  <si>
    <t>Land and land Improvement</t>
  </si>
  <si>
    <t xml:space="preserve">     1. General Administration Services</t>
  </si>
  <si>
    <t>Maximum hospital services (out-patients &amp; in-patients)</t>
  </si>
  <si>
    <t>Land &amp; Land Improvement outlay</t>
  </si>
  <si>
    <t>B. Projects (20% D.F.)</t>
  </si>
  <si>
    <t>Equipment</t>
  </si>
  <si>
    <t>Building &amp; Structure</t>
  </si>
  <si>
    <t>Land Improvement</t>
  </si>
  <si>
    <r>
      <t>A</t>
    </r>
    <r>
      <rPr>
        <b/>
        <sz val="12"/>
        <rFont val="Arial"/>
        <family val="2"/>
      </rPr>
      <t>.              FUNCTIONAL STATEMENT</t>
    </r>
  </si>
  <si>
    <t>equipment belonging to the provincial government of Bohol being utilized in various Infrastructure Projects</t>
  </si>
  <si>
    <t>more particularly roads and bridges.</t>
  </si>
  <si>
    <r>
      <t xml:space="preserve">B.             </t>
    </r>
    <r>
      <rPr>
        <b/>
        <sz val="12"/>
        <rFont val="Arial"/>
        <family val="2"/>
      </rPr>
      <t>OBJECTIVES:</t>
    </r>
  </si>
  <si>
    <t xml:space="preserve">                      province owned light and heavy equipment, thereby providing an adequate support services to </t>
  </si>
  <si>
    <t xml:space="preserve">                      various road projects;</t>
  </si>
  <si>
    <t xml:space="preserve">                       </t>
  </si>
  <si>
    <t xml:space="preserve">    3.  To reduce and minimize breakdown and downtime hours of the maintained equipment; &amp;</t>
  </si>
  <si>
    <r>
      <t xml:space="preserve">C.            </t>
    </r>
    <r>
      <rPr>
        <b/>
        <sz val="13"/>
        <rFont val="Arial"/>
        <family val="2"/>
      </rPr>
      <t>PROJECTS/ACTIVITIES:</t>
    </r>
  </si>
  <si>
    <t>Gen. F. Devt. F.</t>
  </si>
  <si>
    <t>1. Supervise/direct/control personnel in carrying out their job activities &amp; functions. Perform mandated and assigned tasks by all levels.</t>
  </si>
  <si>
    <t>Assignment completely performed and office performance target accomplished. Individual performance ratings.</t>
  </si>
  <si>
    <t>2- Divisions    7-Sections</t>
  </si>
  <si>
    <t xml:space="preserve"> December</t>
  </si>
  <si>
    <t>Gen. F.    Devt. F.</t>
  </si>
  <si>
    <t>2. Maintain/repair/rehab all equipment for operational condition being utilized in the implementation of infra projects undertaken by the provincial government including spareparts need availability.</t>
  </si>
  <si>
    <t>Number of equipment repaired, rehabilitated and applied maintenance within the Repair shop or in the field. PEO utilization report.</t>
  </si>
  <si>
    <t>29 - Old Units     27 New Units    3 - Old Service Vehicles</t>
  </si>
  <si>
    <t>3. Coordinate with management, field personnel and clients in the dispatch and field repair of equipment.</t>
  </si>
  <si>
    <t>Improved coordination between supervisors, supervisor and personnel and supervisor and clients.</t>
  </si>
  <si>
    <t>8 Supervising Engineers            1 Adm. Officer</t>
  </si>
  <si>
    <t>4. Conduct of field travels necessary to carry out job activities and functions.</t>
  </si>
  <si>
    <t>Field assignment completely performed and division target accomplished. Individual performance ratings.</t>
  </si>
  <si>
    <t>8 reg. engineers   37-reg. workers  52-casual workers</t>
  </si>
  <si>
    <t>5. Provision and Procurement of office facilities, office equipment and furnitures.</t>
  </si>
  <si>
    <t>Lacking facilities and necessary office equipment and furnitures provided to maximize work output.</t>
  </si>
  <si>
    <t>Main Bldg. Admin area ext. with male &amp; female CRs      1-Digital Camera        3-Computer Sets</t>
  </si>
  <si>
    <t>6. Maintenance &amp; repair of office bldgs., equipment &amp; other facilities.</t>
  </si>
  <si>
    <t>Improved working condition and office facilities.</t>
  </si>
  <si>
    <t>1-Repair Bay    3-Aircon       3-Computers</t>
  </si>
  <si>
    <t>7. Maintains supply needs and necessary services for continued office operations.</t>
  </si>
  <si>
    <t>Uninterupted office operations.</t>
  </si>
  <si>
    <t>2-Divisions      7-Sections</t>
  </si>
  <si>
    <t>8. Conducts workshop &amp; trainings for capability building, assessment &amp; planning.</t>
  </si>
  <si>
    <t>Improved capabilities of employees and sound fiscal management.</t>
  </si>
  <si>
    <t>70 personnel</t>
  </si>
  <si>
    <t>September</t>
  </si>
  <si>
    <t>9. Environment Management Program</t>
  </si>
  <si>
    <t>Observance of 5S</t>
  </si>
  <si>
    <t>Cabinet for every driver/ mechanics at the Repair Bay Bldg.</t>
  </si>
  <si>
    <t>20% Devt. Fund - 23,925,000.00</t>
  </si>
  <si>
    <t>Prepared by :</t>
  </si>
  <si>
    <t xml:space="preserve">             Approved :</t>
  </si>
  <si>
    <t>ABRAHAM D. CLARIN</t>
  </si>
  <si>
    <t xml:space="preserve">            EDGARDO M. CHATTO</t>
  </si>
  <si>
    <t xml:space="preserve">                      Governor</t>
  </si>
  <si>
    <t>Road Equipment Services</t>
  </si>
  <si>
    <t>Building Extension Project</t>
  </si>
  <si>
    <t>Total New Appropriations</t>
  </si>
  <si>
    <r>
      <t xml:space="preserve">Budget Year:    </t>
    </r>
    <r>
      <rPr>
        <b/>
        <sz val="10"/>
        <rFont val="Arial"/>
        <family val="2"/>
      </rPr>
      <t>2014</t>
    </r>
  </si>
  <si>
    <t xml:space="preserve">         As mandated by Republic Act no. 6975 otherwise known as the “Department of the Interior and Local Government act of 1990” the Bohol District Jail under the Management of the Bureau of Jail Management and Penology and the Province of Bohol as per Memorandum of Agreement dated 26 September is task to ensure the establishment of secured, clean, adequately equipped and sanitary facilities and provision of quality services for the custody, safekeeping and development of inmates, any fugitive from justice, or person detained, awaiting or undergoing investigation or trial and/or transfer to the National Penitentiary, and/or violent mentally ill person who endangers him/herself or the safety of others as certified by the proper medical or health officer, pending transfer to a mental institution.</t>
  </si>
  <si>
    <t xml:space="preserve"> - One hundre one (101) trained and capable personnel.</t>
  </si>
  <si>
    <t xml:space="preserve"> - One hundre one (101) personnel attending seminars and training local and national</t>
  </si>
  <si>
    <t>101 personnel</t>
  </si>
  <si>
    <t>1. Purchase of 15 Handcuffs</t>
  </si>
  <si>
    <t>Strengthened security during court hearing and transfer of inmates to other institution</t>
  </si>
  <si>
    <t>15 handcuffs</t>
  </si>
  <si>
    <t>2. Purchase and Installation of Biometric Machine</t>
  </si>
  <si>
    <t>Properly monitor attendance of personnel</t>
  </si>
  <si>
    <t>One (1) unit Biometric Machine</t>
  </si>
  <si>
    <t>3. Purchase of Hazmat Protective Gear</t>
  </si>
  <si>
    <t>Protection of personnel in case of hazardous materials</t>
  </si>
  <si>
    <t>6 sets</t>
  </si>
  <si>
    <t>4. Purchase and Installation of Paging System</t>
  </si>
  <si>
    <t>Proper call of personnel and inmates w/in the facility</t>
  </si>
  <si>
    <t>1 unit Paging System</t>
  </si>
  <si>
    <t>5. Purchase of 2 unit camera</t>
  </si>
  <si>
    <t>For proper documentation of any activity</t>
  </si>
  <si>
    <t>2 units camera</t>
  </si>
  <si>
    <t>6. Purchase of 2 units of computer set</t>
  </si>
  <si>
    <t>For operational use and proper storage of documents</t>
  </si>
  <si>
    <t>2 computer sets</t>
  </si>
  <si>
    <t>7. Purchase of 1 unit prisoners van</t>
  </si>
  <si>
    <t>secured inmates during court hearing</t>
  </si>
  <si>
    <t>1 unit vehicle</t>
  </si>
  <si>
    <t>8. Construction of Additional Septic Tank</t>
  </si>
  <si>
    <t>Properly accommodate all waste disposal of the inmates</t>
  </si>
  <si>
    <t>1 septic tank</t>
  </si>
  <si>
    <t>9. Construction of Tower House</t>
  </si>
  <si>
    <t>Strengthened Security system</t>
  </si>
  <si>
    <t>2 tower house</t>
  </si>
  <si>
    <t>10. Construction of Inner Security Fence Roof Top</t>
  </si>
  <si>
    <t>Improved security system</t>
  </si>
  <si>
    <t>1 inner security fence</t>
  </si>
  <si>
    <t>11. Construction of Control Gate at Post No. 1</t>
  </si>
  <si>
    <t>Strengthened the security in the facility</t>
  </si>
  <si>
    <t>Gate at Post No. 1</t>
  </si>
  <si>
    <t xml:space="preserve">             A primary hospital that ensures and safeguards the health of the people in the community and catchment area, through effective and sustainable delivery of promotive, preventive, curative and rehabilitative  health  services in partnership with  all  stakeholders for a productive Boholano.</t>
  </si>
  <si>
    <t>1. To provide available, affordable and accessible basic health services</t>
  </si>
  <si>
    <t>2. To reduce mortality and morbidity rate.</t>
  </si>
  <si>
    <t>4. To sustain high ethical standards among personnel.</t>
  </si>
  <si>
    <t>5. To enhance technical capability of health personnel</t>
  </si>
  <si>
    <t>6. To build sustainable networking with other community health providers.</t>
  </si>
  <si>
    <t>7. To enhance hospital revenue.</t>
  </si>
  <si>
    <t>Improved quality of health service by 50%</t>
  </si>
  <si>
    <t>Improved division of labor</t>
  </si>
  <si>
    <t>enhanced record retrieval by 100%</t>
  </si>
  <si>
    <t>1 computer for medical service section</t>
  </si>
  <si>
    <t>Improved support to health service delivery</t>
  </si>
  <si>
    <t>2,350 in-patients, 6,300 out-patients</t>
  </si>
  <si>
    <t xml:space="preserve">    - Proper endorsement to receiving Nursing staff</t>
  </si>
  <si>
    <t>3 nurses,     2 nursing attendant</t>
  </si>
  <si>
    <t>b.3. Hiring of casual nurses</t>
  </si>
  <si>
    <t xml:space="preserve">  - Act as reliever and to augment nursing services in the ward</t>
  </si>
  <si>
    <t>PHIC requirement for clinical laboratory complies, Licensed Clinical Lab., Enhanced laboratory services</t>
  </si>
  <si>
    <t>Med. Tech. trained and skills enhanced</t>
  </si>
  <si>
    <t>c.3. Hiring of Contractual Pharmacistbecause there is no item for Pharmacist</t>
  </si>
  <si>
    <t>1 contractual pharmacist</t>
  </si>
  <si>
    <t xml:space="preserve"> - preparation of reports of inventories and issuances of medicines and drugs</t>
  </si>
  <si>
    <t xml:space="preserve"> - Accurate dispensing of Medicines &amp; Drugs</t>
  </si>
  <si>
    <t>dental supplies available and dental services available as scheduled</t>
  </si>
  <si>
    <t>d.1. Reveneu Enhancement</t>
  </si>
  <si>
    <t>Increase in hospital revenue</t>
  </si>
  <si>
    <t>50% increase in revenue based on 2013</t>
  </si>
  <si>
    <t>easy records retrieval</t>
  </si>
  <si>
    <t>1 additional computer</t>
  </si>
  <si>
    <t>d.3. Daily &amp; accurate remittance of hospital collections</t>
  </si>
  <si>
    <t>100% of hospital collection remitted daily</t>
  </si>
  <si>
    <t>d.4. Immediate issuance of Medical Certificates</t>
  </si>
  <si>
    <t>Satisfied clients</t>
  </si>
  <si>
    <t>50 medical certificate per month</t>
  </si>
  <si>
    <t>no complaints from personnel &amp; employees</t>
  </si>
  <si>
    <t>15 regular employees, 5 contractual workers &amp; 16 Job Order employees</t>
  </si>
  <si>
    <t>100% implementa-tion of EMS program</t>
  </si>
  <si>
    <t>d.7. Hiring of Job Orders employees to augment manpower services</t>
  </si>
  <si>
    <t xml:space="preserve"> - 1 Liaison Officer</t>
  </si>
  <si>
    <t xml:space="preserve"> - 2 Encoders</t>
  </si>
  <si>
    <t xml:space="preserve"> - 1 Security Guards</t>
  </si>
  <si>
    <t xml:space="preserve"> - 1 Cook</t>
  </si>
  <si>
    <t xml:space="preserve"> - 4 Utility Workers</t>
  </si>
  <si>
    <t xml:space="preserve"> - 1 Driver</t>
  </si>
  <si>
    <t>Distribution of workload</t>
  </si>
  <si>
    <t>12 Job order employees</t>
  </si>
  <si>
    <t xml:space="preserve"> - Attendance to training &amp; seminars</t>
  </si>
  <si>
    <t>enhanced skills &amp; improved service delivery</t>
  </si>
  <si>
    <t>3 admin. employees</t>
  </si>
  <si>
    <t>d.9. Monitoring &amp; evaluation of employees performance &amp; output</t>
  </si>
  <si>
    <t>personnel given Productivity Incentives for their performance</t>
  </si>
  <si>
    <t>15 reg. employees</t>
  </si>
  <si>
    <t xml:space="preserve"> - Prepare appropriate and nutritious food for patients</t>
  </si>
  <si>
    <t xml:space="preserve"> - Maintain cleanliness in hospital kitchen</t>
  </si>
  <si>
    <t>approopriate diet given to patients</t>
  </si>
  <si>
    <t>Sanitary hospital kitchen</t>
  </si>
  <si>
    <t>3x a day</t>
  </si>
  <si>
    <t>Jan, 2014</t>
  </si>
  <si>
    <t>Payment of : 1. Electrict bills</t>
  </si>
  <si>
    <t xml:space="preserve">                      2. Telephone landline &amp; Mobile</t>
  </si>
  <si>
    <t xml:space="preserve">Repair &amp; maintenance of office vehicles </t>
  </si>
  <si>
    <t xml:space="preserve">Repair &amp; maintenance of office equipment </t>
  </si>
  <si>
    <t>Repair &amp; maintenance of office bldg.</t>
  </si>
  <si>
    <t>18. Other Maintenance &amp; Oprtg. Expenses</t>
  </si>
  <si>
    <r>
      <t xml:space="preserve">Repair &amp; maintenance of IT </t>
    </r>
    <r>
      <rPr>
        <sz val="10"/>
        <rFont val="Arial"/>
        <family val="2"/>
      </rPr>
      <t>equipment &amp; software</t>
    </r>
  </si>
  <si>
    <t>Fedility Bond</t>
  </si>
  <si>
    <t xml:space="preserve">Gasoline </t>
  </si>
  <si>
    <t>C.O.</t>
  </si>
  <si>
    <t xml:space="preserve">    1. Purchase of office furnitures &amp; fixtures </t>
  </si>
  <si>
    <t xml:space="preserve">    2. Repair/Renovation of office vault</t>
  </si>
  <si>
    <t xml:space="preserve">    3. Purchase of Surviellance  Camera</t>
  </si>
  <si>
    <t xml:space="preserve">1. Purchase of office furnitures &amp; fixtures </t>
  </si>
  <si>
    <t>2. Repair/Renovation of office vault</t>
  </si>
  <si>
    <t>3. Purchase of Surviellance Camera</t>
  </si>
  <si>
    <r>
      <rPr>
        <sz val="12"/>
        <color indexed="8"/>
        <rFont val="Arial"/>
        <family val="2"/>
      </rPr>
      <t>Budget Year</t>
    </r>
    <r>
      <rPr>
        <b/>
        <sz val="12"/>
        <color indexed="8"/>
        <rFont val="Arial"/>
        <family val="2"/>
      </rPr>
      <t xml:space="preserve">          :   BY 2014</t>
    </r>
  </si>
  <si>
    <r>
      <rPr>
        <sz val="12"/>
        <color indexed="8"/>
        <rFont val="Arial"/>
        <family val="2"/>
      </rPr>
      <t xml:space="preserve">Budget Cost </t>
    </r>
    <r>
      <rPr>
        <b/>
        <sz val="12"/>
        <color indexed="8"/>
        <rFont val="Arial"/>
        <family val="2"/>
      </rPr>
      <t xml:space="preserve"> </t>
    </r>
    <r>
      <rPr>
        <sz val="12"/>
        <color indexed="8"/>
        <rFont val="Arial"/>
        <family val="2"/>
      </rPr>
      <t xml:space="preserve">        :  </t>
    </r>
    <r>
      <rPr>
        <b/>
        <sz val="12"/>
        <color indexed="8"/>
        <rFont val="Arial"/>
        <family val="2"/>
      </rPr>
      <t xml:space="preserve"> </t>
    </r>
    <r>
      <rPr>
        <b/>
        <strike/>
        <sz val="12"/>
        <color indexed="8"/>
        <rFont val="Arial"/>
        <family val="2"/>
      </rPr>
      <t>P</t>
    </r>
    <r>
      <rPr>
        <b/>
        <sz val="12"/>
        <color indexed="8"/>
        <rFont val="Arial"/>
        <family val="2"/>
      </rPr>
      <t xml:space="preserve"> 8,901,997.00</t>
    </r>
  </si>
  <si>
    <t>2·       Review and consolidate the budget proposals of different departments, hospitals and attched offices of the</t>
  </si>
  <si>
    <t>as in the preparation of Supplemental Budgets;</t>
  </si>
  <si>
    <t xml:space="preserve"> Provincial Government of Bohol;</t>
  </si>
  <si>
    <t xml:space="preserve">3·       Assist the Governor in the preparation of its Annual Budget especially during budget hearing and as well </t>
  </si>
  <si>
    <t xml:space="preserve">5.        Coordinate with the Provincial Administrator, Treasurer, Accountant, the Planning and Development </t>
  </si>
  <si>
    <t xml:space="preserve">7·        Coordinate with the Provincial Planning and Development Coordinator in the formulation of an Annual Investment </t>
  </si>
  <si>
    <t xml:space="preserve">  Plan of the Provincil Government of Bohol;</t>
  </si>
  <si>
    <t>8         Submit periodic budgetary reports to the Department of Budget and Management ;</t>
  </si>
  <si>
    <t xml:space="preserve">6·        Assist the Sangguniang Panlalawigan of Bohol in reviewing the approved budgets of component local government </t>
  </si>
  <si>
    <t>To provide effective and efficient budgetary services to all service department/hospitals/attached offices and stakeholders for a sound fiscal management;</t>
  </si>
  <si>
    <t>To provide technical support on budgetary matters to the Local Chief Executive, the Sangguniang Panlalawigan Members and other local officials concerned;</t>
  </si>
  <si>
    <t>To provide an updated and accurate reports on the balances of the respective PGBh offices and hospitals' appropriations thru the e-Budget System a component of e-NGAS;</t>
  </si>
  <si>
    <t>To adopt the Public Finance Management Assessment Tool (PFMAT) in giving a freater emphasis on the "Value for Money" concept as one of the austerity measures to be adopted for the Provincial Governemnt of Bohol;</t>
  </si>
  <si>
    <t>To empower PBMO personnel on their capacities and skills thru capability building/training programs; and</t>
  </si>
  <si>
    <t>To support the administration of the BOHOL HEAT-IT HELPS LIFE BIG LEAP program.</t>
  </si>
  <si>
    <t>PROGRAM / ACTIVITY/PROJECTS</t>
  </si>
  <si>
    <r>
      <t xml:space="preserve"> </t>
    </r>
    <r>
      <rPr>
        <b/>
        <sz val="9"/>
        <color indexed="8"/>
        <rFont val="Arial"/>
        <family val="2"/>
      </rPr>
      <t xml:space="preserve">TARGET            </t>
    </r>
  </si>
  <si>
    <t>·         Preparation for CY 2015 Executive Budget</t>
  </si>
  <si>
    <t>Approved Executive Budget for CY 2015</t>
  </si>
  <si>
    <t>·         Finalization of budgetary documents for CY 2014</t>
  </si>
  <si>
    <t>Approved CY 2014 Annual Budget</t>
  </si>
  <si>
    <t>·         Preparation of CY 2014 Supplemental Budgets</t>
  </si>
  <si>
    <t>Approved Supplemental Budgets</t>
  </si>
  <si>
    <t>2 Supplemental Budgets</t>
  </si>
  <si>
    <t>Sept. 1</t>
  </si>
  <si>
    <t>Sept. 15</t>
  </si>
  <si>
    <t>20,500 vouchers/ payrolls</t>
  </si>
  <si>
    <t>Approved Request of Augmentation/ Reversion &amp; reallignment</t>
  </si>
  <si>
    <t>50 Augmentation/     Reversion/ reallignment of funds</t>
  </si>
  <si>
    <t>33 Annual and  110 Supplemental Budgets</t>
  </si>
  <si>
    <t>30,000 indigents</t>
  </si>
  <si>
    <t>200 communications</t>
  </si>
  <si>
    <t xml:space="preserve"> 19 PES             </t>
  </si>
  <si>
    <t xml:space="preserve">12 meetings  </t>
  </si>
  <si>
    <t>·         Review of Purchase  Request from PGBh offices against CY 2014 PPMP</t>
  </si>
  <si>
    <t>750 comm.</t>
  </si>
  <si>
    <t>375 AB &amp; SB</t>
  </si>
  <si>
    <t>26 personnel</t>
  </si>
  <si>
    <t>98  leave applica-tions</t>
  </si>
  <si>
    <t>450 Certificate of Appearance</t>
  </si>
  <si>
    <t xml:space="preserve">once in two weeks </t>
  </si>
  <si>
    <t>15 reports</t>
  </si>
  <si>
    <t>3 seminars /trainings</t>
  </si>
  <si>
    <r>
      <t xml:space="preserve">                  SUB-</t>
    </r>
    <r>
      <rPr>
        <b/>
        <sz val="10"/>
        <color indexed="8"/>
        <rFont val="Arial"/>
        <family val="2"/>
      </rPr>
      <t>TOTAL</t>
    </r>
  </si>
  <si>
    <t>PS = 7,675,122.00  MOOE = 826,875</t>
  </si>
  <si>
    <t xml:space="preserve">e-NGAS/e-Budget System : </t>
  </si>
  <si>
    <r>
      <rPr>
        <b/>
        <sz val="10"/>
        <color theme="1"/>
        <rFont val="Arial"/>
        <family val="2"/>
      </rPr>
      <t xml:space="preserve">MOOE          </t>
    </r>
    <r>
      <rPr>
        <sz val="10"/>
        <color theme="1"/>
        <rFont val="Arial"/>
        <family val="2"/>
      </rPr>
      <t xml:space="preserve">                               *Wages                                  *Trainings - Budget Control                           * Office Supplies                                * Repair of IT Equipments                          * General Services                          </t>
    </r>
    <r>
      <rPr>
        <b/>
        <sz val="10"/>
        <color theme="1"/>
        <rFont val="Arial"/>
        <family val="2"/>
      </rPr>
      <t xml:space="preserve">Capital Outlay   </t>
    </r>
    <r>
      <rPr>
        <sz val="10"/>
        <color theme="1"/>
        <rFont val="Arial"/>
        <family val="2"/>
      </rPr>
      <t xml:space="preserve">                             * Furniture &amp; Fixtures                          * Fabrication of Cabinets                          * Purchase of Paper cutter        *Purchase of one unit voice recorder</t>
    </r>
  </si>
  <si>
    <t xml:space="preserve">         Responsible for the development of a comprehensive program of health services designed to conserve and promote the state of health and well-being of the people.  Hospital In-patient care for Medical, Surgical also including major operations, OB-Gyne, Out-Patient care for consultative and minor surgeries including Ancillary Services such as laboratory, x-ray, dental, pharmacy and family planning.</t>
  </si>
  <si>
    <t>V.</t>
  </si>
  <si>
    <t>RADIOLOGIC SERVICES</t>
  </si>
  <si>
    <t xml:space="preserve">    Radiologic Services</t>
  </si>
  <si>
    <t>20% Dev't. Fund</t>
  </si>
  <si>
    <t>Dev't. of a new Hospital Master Plan</t>
  </si>
  <si>
    <t xml:space="preserve">   Renovation of Social Hall</t>
  </si>
  <si>
    <t xml:space="preserve">   Improvement of Basketball Court</t>
  </si>
  <si>
    <t xml:space="preserve">   Renovation of dormitories</t>
  </si>
  <si>
    <t xml:space="preserve">   Construction of new morgue</t>
  </si>
  <si>
    <t xml:space="preserve">   Renovation of ward/ER</t>
  </si>
  <si>
    <t xml:space="preserve">   Construction of new garage</t>
  </si>
  <si>
    <t>Construction of Hospital Canteen</t>
  </si>
  <si>
    <t>Upgrading of Hospital equipment</t>
  </si>
  <si>
    <t xml:space="preserve">   Anesthesia Machine</t>
  </si>
  <si>
    <t xml:space="preserve">   Surgical Cautery Machine</t>
  </si>
  <si>
    <t xml:space="preserve">   Hospital Beds</t>
  </si>
  <si>
    <t xml:space="preserve">   Patient monitor</t>
  </si>
  <si>
    <t xml:space="preserve">   OB delivery Examination Table</t>
  </si>
  <si>
    <t xml:space="preserve">   Autoclave Machine</t>
  </si>
  <si>
    <t xml:space="preserve">   Food Cart</t>
  </si>
  <si>
    <t xml:space="preserve">   Automated Clinical Chemistry Machine</t>
  </si>
  <si>
    <t xml:space="preserve">   HB AIC Machine</t>
  </si>
  <si>
    <t xml:space="preserve">   Hemo Point H2 (Hemoglobin/Hematocrit)</t>
  </si>
  <si>
    <t xml:space="preserve">   Immuno Assay Analyzer</t>
  </si>
  <si>
    <t xml:space="preserve">   ECG Machine</t>
  </si>
  <si>
    <t xml:space="preserve">   Infusion Pump</t>
  </si>
  <si>
    <t xml:space="preserve">   Computer Set w/ printer (2 sets)</t>
  </si>
  <si>
    <t>Upgrading of IT Equipment</t>
  </si>
  <si>
    <t xml:space="preserve">   Desktop PC's</t>
  </si>
  <si>
    <t xml:space="preserve">   Server PC</t>
  </si>
  <si>
    <t xml:space="preserve">   Computer Networking</t>
  </si>
  <si>
    <t xml:space="preserve">     The promotion, protection and preservation of good health among Boholanos through the implementation of health programs (preventive, curative and rehabilitative).</t>
  </si>
  <si>
    <t xml:space="preserve">     The administration, management and coordination all health activities relative to the promotion, preservation oh health and sanitation in both curative and rehabilitative aspects of medicine in the province.</t>
  </si>
  <si>
    <t xml:space="preserve">     The exercise administrative directions, supervision and control over all provincial hospitals, special units and PHO Main.</t>
  </si>
  <si>
    <t xml:space="preserve">     The development of plans and programs involving health services and other related activities appreciable to the province and the provision of consultative and technical guidance to the Chiefs of province-owned hospitals, Municipal Health Officers and their staff in the implementation of health programs.</t>
  </si>
  <si>
    <t xml:space="preserve">     The exercise, directly or through other related government agencies, the planning, controlling, coordinating and execution of programs covering health, nursing, maternal and child care, control of communicable diseases, sanitation, family planning, medical care, nutrition and some specialized services which are extended to the municipalities of the province.</t>
  </si>
  <si>
    <t xml:space="preserve">     Attend to the in-patient as well as out-patient care, perform surgical interventions when deemed necessary; attend to deliveries both normal and complicated, refer serious and special cases to higher levels of hospital care when necessary and shall attend to all kinds of pediatric cases as well as all communicable diseases and institute preventive measures against infections.</t>
  </si>
  <si>
    <t>1. Administrative / Management</t>
  </si>
  <si>
    <t>20% of PHO personnel</t>
  </si>
  <si>
    <t>7. Ancillary</t>
  </si>
  <si>
    <t xml:space="preserve"> - support the implementation of other health programs</t>
  </si>
  <si>
    <t>hospital pharmacy, LGUs, prov'l. hospitals</t>
  </si>
  <si>
    <t>8. Other programs HIMSOG</t>
  </si>
  <si>
    <t xml:space="preserve"> - Mobile medical and surgical activities done</t>
  </si>
  <si>
    <t>indigent patients of the LGU</t>
  </si>
  <si>
    <t>1. Environmental Sanitation</t>
  </si>
  <si>
    <t>2. Procurement of equipment, furniture and fixtures</t>
  </si>
  <si>
    <t>Facilitate the operation and function of the office</t>
  </si>
  <si>
    <t>Adm., technical and hospital services</t>
  </si>
  <si>
    <t>No. of patients served through preventive &amp; curative services</t>
  </si>
  <si>
    <t>increased numder of patients served and improved quality of dental services</t>
  </si>
  <si>
    <t>2. STI / HIV / AIDS Prevention &amp; Control Porgram</t>
  </si>
  <si>
    <t>10. Expanded Program on Immunization</t>
  </si>
  <si>
    <t>Reduction of infant ,ortality and morbidity among infants and children</t>
  </si>
  <si>
    <t>infants and children</t>
  </si>
  <si>
    <t>11. National Voluntary Blood Services Program</t>
  </si>
  <si>
    <t>13. Renal Disease Program</t>
  </si>
  <si>
    <t>Kidney awareness thereby reducing morbidity and mortality</t>
  </si>
  <si>
    <t>14. Health Promotion and Advocacy</t>
  </si>
  <si>
    <t>15. HIMSOG Program</t>
  </si>
  <si>
    <t>Promotion of preventive and curative health services</t>
  </si>
  <si>
    <t>Office furnitures and equipment</t>
  </si>
  <si>
    <t>HIMSOG</t>
  </si>
  <si>
    <t>Nutrition Program c/o OPA</t>
  </si>
  <si>
    <t>Dental Section</t>
  </si>
  <si>
    <t>Drug Testing Laboratory</t>
  </si>
  <si>
    <t>Water Bacteriology Laboratory</t>
  </si>
  <si>
    <t>Environmental Sanitation</t>
  </si>
  <si>
    <t>Dengue Prevention and Control Program</t>
  </si>
  <si>
    <t>STI / HIV / AIDS Prevention &amp; Control Porgram</t>
  </si>
  <si>
    <t>National Voluntary Blood Services Program</t>
  </si>
  <si>
    <t>Non-Communicable Diseases (Cardiovascular Disease)</t>
  </si>
  <si>
    <t>National Prevention of Blindness Program</t>
  </si>
  <si>
    <t>National Tuberculosis Program</t>
  </si>
  <si>
    <t>Rabies Prevention and Control Program</t>
  </si>
  <si>
    <t>National Leprosy Control Program</t>
  </si>
  <si>
    <t>Health Promotion and Advocacy</t>
  </si>
  <si>
    <t>Expanded Program on Immunization</t>
  </si>
  <si>
    <t>TOTAL (programs)</t>
  </si>
  <si>
    <t>TOTAL (projects)</t>
  </si>
  <si>
    <t xml:space="preserve">   Data Encoder I</t>
  </si>
  <si>
    <t xml:space="preserve">       Administrative Assistant V</t>
  </si>
  <si>
    <t xml:space="preserve">       Carpenter ll</t>
  </si>
  <si>
    <t xml:space="preserve">      Accountant I</t>
  </si>
  <si>
    <t xml:space="preserve">       Medical Specialist III</t>
  </si>
  <si>
    <t xml:space="preserve">       Administrative Officer llI</t>
  </si>
  <si>
    <t>Income from National Wealth</t>
  </si>
  <si>
    <t>Monetized IRA</t>
  </si>
  <si>
    <t>45% PS CAP</t>
  </si>
  <si>
    <t>Total Amount still Allowable for PS Budget</t>
  </si>
  <si>
    <t>5 BEPO</t>
  </si>
  <si>
    <t>50 certificate</t>
  </si>
  <si>
    <t>1,000 PRC licenses</t>
  </si>
  <si>
    <t>TRUST FUND</t>
  </si>
  <si>
    <t>distributed to all</t>
  </si>
  <si>
    <t>7. Bohol PESO Capacity Development</t>
  </si>
  <si>
    <t>Conduct Annual Assessment &amp; Planning Workshops, Team Building Activities &amp; Capacity Development Activities for Bohol PESO Managers</t>
  </si>
  <si>
    <t>PESO Programs &amp; Services monitored, Gaps in PESO program implementation determined, Operational Plan &amp; Strategic Plans prepared, work relationship among Bohol PESO Managers deppened &amp; skills in PESO program facilitation enhanced</t>
  </si>
  <si>
    <t>all PESO Managers in the LGU &amp; Academe</t>
  </si>
  <si>
    <t>8. Foreign Relation Development</t>
  </si>
  <si>
    <t>.                Agriculture is one of the economic drivers of Bohol and is the main source of livelihood of majority of the Boholanos.  It provides income and livelihood to farmers and fisherfolks and their dependents. It enables traders, processors, retailers and other groups to directly and indirectly make a living</t>
  </si>
  <si>
    <t>Assistance to indigents and individuals in crisis situation (such as burial, medical/hospital assistance)</t>
  </si>
  <si>
    <t xml:space="preserve">150 Ha. </t>
  </si>
  <si>
    <t>Total Production</t>
  </si>
  <si>
    <t>1,109 Ha.</t>
  </si>
  <si>
    <t>20 Ha.</t>
  </si>
  <si>
    <t>10 Ha.</t>
  </si>
  <si>
    <t>1,000 bags</t>
  </si>
  <si>
    <t>Ave. Prodn</t>
  </si>
  <si>
    <t>15,000 bags</t>
  </si>
  <si>
    <t>600 bags</t>
  </si>
  <si>
    <t>1,000 Ha.</t>
  </si>
  <si>
    <t>Coverage Plan/Ha.</t>
  </si>
  <si>
    <t>Job generated</t>
  </si>
  <si>
    <t>3,000 farmers</t>
  </si>
  <si>
    <t xml:space="preserve"> Job Generated</t>
  </si>
  <si>
    <t xml:space="preserve">500 Ha.  </t>
  </si>
  <si>
    <t>1.1.1.1.3 Institutional Development: Community Organizing-Community Development</t>
  </si>
  <si>
    <t xml:space="preserve">1.1.1.1.3.1     Continues Social marketing of RAPID and Purok Power Movement in the neighboring barangays  </t>
  </si>
  <si>
    <t>78 IA</t>
  </si>
  <si>
    <t>139 Coops</t>
  </si>
  <si>
    <t>542 POs</t>
  </si>
  <si>
    <t>350 FA</t>
  </si>
  <si>
    <t>No. of IA</t>
  </si>
  <si>
    <t>No. of Coops</t>
  </si>
  <si>
    <t>No. of Pos</t>
  </si>
  <si>
    <t>No. of FA</t>
  </si>
  <si>
    <t>1.1.1.1.3.2     Continues updating of farmer beneficiaries and rice stakeholder’s   profiles</t>
  </si>
  <si>
    <t>10 profiles</t>
  </si>
  <si>
    <t>To update list of beneficiaries for database</t>
  </si>
  <si>
    <t>1.1.1.1.4 On-Farm Rice Mechanization and Postharvest Facilities</t>
  </si>
  <si>
    <t xml:space="preserve">1.1.1.1.4.1 Provision of farm implements for rice and other farm work services to ensure the availability of service provider </t>
  </si>
  <si>
    <t xml:space="preserve">370 units </t>
  </si>
  <si>
    <t>370 units</t>
  </si>
  <si>
    <t xml:space="preserve">No. Thresher w/ Blower </t>
  </si>
  <si>
    <t xml:space="preserve">No. Floating Tiller </t>
  </si>
  <si>
    <t>No. of Hand Tractor</t>
  </si>
  <si>
    <t>1.1.1.1.5 Agricultural Knowledge Mgt and Promotion</t>
  </si>
  <si>
    <t>10 trainings</t>
  </si>
  <si>
    <t>No. of Pax</t>
  </si>
  <si>
    <t>1.1.1.1.5.2 Conduct of Cross Visit</t>
  </si>
  <si>
    <t>2 CV</t>
  </si>
  <si>
    <t>CV Conducted</t>
  </si>
  <si>
    <t>1.1.1.1.5.3 Continues collection of BSAP/BFAP/PCIC repayments</t>
  </si>
  <si>
    <t>100K</t>
  </si>
  <si>
    <t>Amount Collected</t>
  </si>
  <si>
    <t>1.1.1.1.5.4 Production and Distribution of Info materials (tarpaulins, stickers, brochures, pamphlets, booklets)</t>
  </si>
  <si>
    <t>1,000 copies</t>
  </si>
  <si>
    <t>Information Disseminated</t>
  </si>
  <si>
    <t>1.1.1.1.5.5 Anchoring on  Radio Program</t>
  </si>
  <si>
    <t>72 hours</t>
  </si>
  <si>
    <t>1.1.1.1.5.6 HEAT  Caravan and Agri-HEAT</t>
  </si>
  <si>
    <t>6 caravans</t>
  </si>
  <si>
    <t xml:space="preserve">1.1.1.1.5.7 Conduct of </t>
  </si>
  <si>
    <t xml:space="preserve">                  KAABAG </t>
  </si>
  <si>
    <t xml:space="preserve">                  Congress</t>
  </si>
  <si>
    <t>1 congress</t>
  </si>
  <si>
    <t>Ahead preparation and congress conducted</t>
  </si>
  <si>
    <t>1.1.1.1.5.8 Season Long Training on Integrated Rice Duck Farming System and establishment of the Demo Farms</t>
  </si>
  <si>
    <t>3  sites</t>
  </si>
  <si>
    <t>POT Applied</t>
  </si>
  <si>
    <t>1.1.1.1.5.9 Establishment of Palayamanan/Bahay Kubo Faith in the Upland</t>
  </si>
  <si>
    <t>3 sites</t>
  </si>
  <si>
    <t>POT Applied increased adoption of DFS</t>
  </si>
  <si>
    <t>1.1.1.1.5.10 Establishment of the Expanded MRC demo sites</t>
  </si>
  <si>
    <t>300 Ha.</t>
  </si>
  <si>
    <t>POT</t>
  </si>
  <si>
    <t xml:space="preserve">1.1.1.1.5.11 Conduct of IPM PGR for Rice </t>
  </si>
  <si>
    <t>Technology Showcase</t>
  </si>
  <si>
    <t>1.1.1.1.5.12 Conduct entrepreneurial skills training and Financial Mgt. for RBOs</t>
  </si>
  <si>
    <t>217 IA</t>
  </si>
  <si>
    <t>IA/FAs sustained</t>
  </si>
  <si>
    <t xml:space="preserve">1.1.1.1.5.13 Conduct of Provincial Rice Achievers Awards </t>
  </si>
  <si>
    <t>5 categories</t>
  </si>
  <si>
    <t>To recognized and awards Provincial Rice Achievers</t>
  </si>
  <si>
    <t>1.1.1.1.6 Extension Delivery Enhancement</t>
  </si>
  <si>
    <t xml:space="preserve">1.1.1.1.6.1    Facilitate the conduct of organizational meetings: PTWG, MAO, AT, BASEG, LFTs, IA/FA </t>
  </si>
  <si>
    <t>4 PTWG</t>
  </si>
  <si>
    <t>2 IA</t>
  </si>
  <si>
    <t>12 AT</t>
  </si>
  <si>
    <t>4 MAO</t>
  </si>
  <si>
    <t xml:space="preserve">2 LFT </t>
  </si>
  <si>
    <t>Meetings conducted and Facilitated</t>
  </si>
  <si>
    <t>1.1.1.1.6.2  Facilitate /consolidated/submission of technicians report</t>
  </si>
  <si>
    <t xml:space="preserve">Reports consolidated and submitted </t>
  </si>
  <si>
    <t>1.1.1.1.6.3 Facilitate the conduct of Team Building for AEW</t>
  </si>
  <si>
    <t>2 TB</t>
  </si>
  <si>
    <t>Teambuilding Conducted</t>
  </si>
  <si>
    <t>1.1.1.1.7 Program Management</t>
  </si>
  <si>
    <t xml:space="preserve">1.1.1.1.7.1Personnel development support  </t>
  </si>
  <si>
    <t>5  casuals</t>
  </si>
  <si>
    <t>Increased capability of personnel</t>
  </si>
  <si>
    <t>2  trainings outside</t>
  </si>
  <si>
    <t>Travel conducted</t>
  </si>
  <si>
    <t>1.1.1.1.7.3 Attendance to meetings</t>
  </si>
  <si>
    <t xml:space="preserve">12 Div Mtg </t>
  </si>
  <si>
    <t>24 Unit Mtg</t>
  </si>
  <si>
    <t>Increased awareness and feed backing</t>
  </si>
  <si>
    <t xml:space="preserve">1.1.1.1.7.4 Submission/Downloading of news articles, press release for Agri-IS, Harvester and News Papers </t>
  </si>
  <si>
    <t>21news articles</t>
  </si>
  <si>
    <t>1.1.1.1.7.5 Purchase of office supplies and materials</t>
  </si>
  <si>
    <t>Assorted office supplies &amp; equipment</t>
  </si>
  <si>
    <t>1.1.1.1.8 Monitoring and Evaluation</t>
  </si>
  <si>
    <t>1.1.1.1.9.1 Personnel, Project, Pest and Diseases</t>
  </si>
  <si>
    <t>Monitoring Tool Designed and applied</t>
  </si>
  <si>
    <t>1.2 Corn-Based Farming</t>
  </si>
  <si>
    <t>System</t>
  </si>
  <si>
    <t xml:space="preserve">To increase corn </t>
  </si>
  <si>
    <t>Production</t>
  </si>
  <si>
    <t>Dec .2014</t>
  </si>
  <si>
    <t>1.2.1 Seed Production</t>
  </si>
  <si>
    <t>To ensure availa-</t>
  </si>
  <si>
    <t>Dec., 2014</t>
  </si>
  <si>
    <t xml:space="preserve">1.2.2 Seed Distribution/ </t>
  </si>
  <si>
    <t>Campaign Input Support</t>
  </si>
  <si>
    <t>To increase corn</t>
  </si>
  <si>
    <t>production</t>
  </si>
  <si>
    <t>* OPV Corn Seeds</t>
  </si>
  <si>
    <t>* BIO-N</t>
  </si>
  <si>
    <t>production/ 2,580 packs</t>
  </si>
  <si>
    <t>1.2.3 Facilitate campaign</t>
  </si>
  <si>
    <t>for tractor services on</t>
  </si>
  <si>
    <t>corn-cassava production</t>
  </si>
  <si>
    <t xml:space="preserve">To increase hec- </t>
  </si>
  <si>
    <t>tarage on corn</t>
  </si>
  <si>
    <t>production/</t>
  </si>
  <si>
    <t>tractor support</t>
  </si>
  <si>
    <t xml:space="preserve">deployed in the </t>
  </si>
  <si>
    <t xml:space="preserve">mun. with corn </t>
  </si>
  <si>
    <t>technician/ 50 has.</t>
  </si>
  <si>
    <t>50 farmers</t>
  </si>
  <si>
    <t>1.2.4 Facilitate campaign</t>
  </si>
  <si>
    <t>for seed takers</t>
  </si>
  <si>
    <t>production/30 TB</t>
  </si>
  <si>
    <t>1.2.5 Pest &amp; Disease</t>
  </si>
  <si>
    <t>Monitoring</t>
  </si>
  <si>
    <t xml:space="preserve">To control pest &amp; </t>
  </si>
  <si>
    <t>disease/30 mun.</t>
  </si>
  <si>
    <t xml:space="preserve">1.2.6 Maintenance of </t>
  </si>
  <si>
    <t>Earwig Production</t>
  </si>
  <si>
    <t>To produce Bio-</t>
  </si>
  <si>
    <t xml:space="preserve">Control of corn </t>
  </si>
  <si>
    <t>pests infestation/</t>
  </si>
  <si>
    <t>500 boxes</t>
  </si>
  <si>
    <t>1.2.7 Community Organizing</t>
  </si>
  <si>
    <t>Community Dev’t</t>
  </si>
  <si>
    <t>1.2.7.1 Maintenance of</t>
  </si>
  <si>
    <t>ABAG &amp; BCSAP</t>
  </si>
  <si>
    <t xml:space="preserve"> Growers thru model farms/1 ABAG &amp; ! BCSAP</t>
  </si>
  <si>
    <t>To bring OPA/</t>
  </si>
  <si>
    <t>PGBh program</t>
  </si>
  <si>
    <t xml:space="preserve">down to the </t>
  </si>
  <si>
    <t>grassroot level/</t>
  </si>
  <si>
    <t>1.2.7.3 Collection of BCSAP</t>
  </si>
  <si>
    <t>repayments</t>
  </si>
  <si>
    <t>To collect pay-</t>
  </si>
  <si>
    <t>ments/ P 260,000</t>
  </si>
  <si>
    <t>1.2.7.4 Updatingprofile</t>
  </si>
  <si>
    <t>of ABAG &amp; BCSAP beneficiaries in the</t>
  </si>
  <si>
    <t xml:space="preserve"> existing pilot areas</t>
  </si>
  <si>
    <t>To update bene-</t>
  </si>
  <si>
    <t>ficiaries profile</t>
  </si>
  <si>
    <t>for future use/</t>
  </si>
  <si>
    <t>5 profiles</t>
  </si>
  <si>
    <t>1.2.8 Agricultural Knowledge</t>
  </si>
  <si>
    <t>Mgt &amp; Promotion</t>
  </si>
  <si>
    <t>To update corn</t>
  </si>
  <si>
    <t>farmers on latest</t>
  </si>
  <si>
    <t>corn production</t>
  </si>
  <si>
    <t>technology/ 2 trng.</t>
  </si>
  <si>
    <t xml:space="preserve">To increase </t>
  </si>
  <si>
    <t>1.2.8.3 Attendance and</t>
  </si>
  <si>
    <t>Participation of the HEAT</t>
  </si>
  <si>
    <t>CARAVAN</t>
  </si>
  <si>
    <t>utilization of Cert.</t>
  </si>
  <si>
    <t>corn seeds pro-</t>
  </si>
  <si>
    <t>vincewide/ 6 mun.</t>
  </si>
  <si>
    <t xml:space="preserve">To capacitate </t>
  </si>
  <si>
    <t>LGU in availing</t>
  </si>
  <si>
    <t>3 proposals</t>
  </si>
  <si>
    <t>1.2.10 Information Materials</t>
  </si>
  <si>
    <t>Dev’t &amp; Dissemination</t>
  </si>
  <si>
    <t>1.2.10.1 Distribution of info/</t>
  </si>
  <si>
    <t>reading mat for corn</t>
  </si>
  <si>
    <t xml:space="preserve">To disseminate </t>
  </si>
  <si>
    <t>information/ 500</t>
  </si>
  <si>
    <t xml:space="preserve">info. materials </t>
  </si>
  <si>
    <t xml:space="preserve">Anchoring Radio Eskuela Sa </t>
  </si>
  <si>
    <t xml:space="preserve">Panguma </t>
  </si>
  <si>
    <t>1.2.11 Entrpreneurial</t>
  </si>
  <si>
    <t>Knowledge &amp; Skills</t>
  </si>
  <si>
    <t>Development</t>
  </si>
  <si>
    <t>1.2.11.1 Training on Agri-</t>
  </si>
  <si>
    <t>Enterprise Development</t>
  </si>
  <si>
    <t>skills/ 1 Training</t>
  </si>
  <si>
    <t>1.2.12 Extension Delivery</t>
  </si>
  <si>
    <t>Enhancement</t>
  </si>
  <si>
    <t xml:space="preserve">1.2.12.1 Facilitate the  </t>
  </si>
  <si>
    <t xml:space="preserve">To facilitate corn </t>
  </si>
  <si>
    <t xml:space="preserve">technicians </t>
  </si>
  <si>
    <t>1.2.12.2 Facilitate consolida-</t>
  </si>
  <si>
    <t xml:space="preserve">To facilitate  </t>
  </si>
  <si>
    <t xml:space="preserve">consolidation &amp; </t>
  </si>
  <si>
    <t xml:space="preserve">submission of </t>
  </si>
  <si>
    <t>reports/ 12 reports</t>
  </si>
  <si>
    <t>1.2.13 Market Access</t>
  </si>
  <si>
    <t xml:space="preserve">1.2.13.1 Profiling of </t>
  </si>
  <si>
    <t>To prepare</t>
  </si>
  <si>
    <t>growers profile/</t>
  </si>
  <si>
    <t>1 profile</t>
  </si>
  <si>
    <t>1.2.13.2 Linkging/Crop</t>
  </si>
  <si>
    <t>Programming/Promotion</t>
  </si>
  <si>
    <t xml:space="preserve">awareness on </t>
  </si>
  <si>
    <t>1.2.14 Program</t>
  </si>
  <si>
    <t>Management</t>
  </si>
  <si>
    <t xml:space="preserve">1.2.14.1 Personnel </t>
  </si>
  <si>
    <t>Development Support</t>
  </si>
  <si>
    <t>1.2.14.2 Staff Development</t>
  </si>
  <si>
    <t>Outside province</t>
  </si>
  <si>
    <t>To increase capa-</t>
  </si>
  <si>
    <t xml:space="preserve">bility of personnel/ </t>
  </si>
  <si>
    <t>1 trng/conference</t>
  </si>
  <si>
    <t xml:space="preserve">1.2.14.3 Team Building of </t>
  </si>
  <si>
    <t>Corn Technicians</t>
  </si>
  <si>
    <t>To enhance unity</t>
  </si>
  <si>
    <t>among Technicians</t>
  </si>
  <si>
    <t>1 Team Building</t>
  </si>
  <si>
    <t>1.2.14.6 Purchase of Office</t>
  </si>
  <si>
    <t>Suppl;ies</t>
  </si>
  <si>
    <t xml:space="preserve">To Procure office </t>
  </si>
  <si>
    <t xml:space="preserve">supples for effec- </t>
  </si>
  <si>
    <t>effective delivery</t>
  </si>
  <si>
    <t>of services/assor-</t>
  </si>
  <si>
    <t>ted office supplies</t>
  </si>
  <si>
    <t xml:space="preserve">1.2.14.7  Attendance to </t>
  </si>
  <si>
    <t>Meetings</t>
  </si>
  <si>
    <t xml:space="preserve">To learn more </t>
  </si>
  <si>
    <t>info on issues &amp;</t>
  </si>
  <si>
    <t>concerns about</t>
  </si>
  <si>
    <t xml:space="preserve">       *  Office Meeting</t>
  </si>
  <si>
    <t>12 Meetings</t>
  </si>
  <si>
    <t xml:space="preserve">       * PTWG</t>
  </si>
  <si>
    <t>2 Meetings</t>
  </si>
  <si>
    <t xml:space="preserve">       * ABAG</t>
  </si>
  <si>
    <t xml:space="preserve">       * Corn Seed Growers</t>
  </si>
  <si>
    <t>1.2.14.8 Submission/Down-</t>
  </si>
  <si>
    <t>loading of news articles,</t>
  </si>
  <si>
    <t>press release for Agri- IS,</t>
  </si>
  <si>
    <t>Harvester and newspaper</t>
  </si>
  <si>
    <t>latest information/</t>
  </si>
  <si>
    <t>12 News articles</t>
  </si>
  <si>
    <t>1.2.14.9 Fuel and Spare</t>
  </si>
  <si>
    <t>Parts</t>
  </si>
  <si>
    <t>availability of fuel</t>
  </si>
  <si>
    <t>planting materials</t>
  </si>
  <si>
    <t>1.3.2 Establishment of Corn-</t>
  </si>
  <si>
    <t>Cassava Techno Demo</t>
  </si>
  <si>
    <t xml:space="preserve">1.2.15  Monitoring &amp; </t>
  </si>
  <si>
    <t>Evaluation</t>
  </si>
  <si>
    <t>1.1.1.2. Diversified Highland Value Crops Farming System</t>
  </si>
  <si>
    <t xml:space="preserve">To increase crop productivity </t>
  </si>
  <si>
    <t>*  Diversified Organic HVCDP Farming System</t>
  </si>
  <si>
    <t>*Highland Agro-forestry Farming System</t>
  </si>
  <si>
    <t>* Highland Cutflowers Enterprise</t>
  </si>
  <si>
    <t>*Sheltered &amp; Organic HVCDP Enterprise</t>
  </si>
  <si>
    <t>1.1.1.2.1.Prodution Enhancement Project</t>
  </si>
  <si>
    <t xml:space="preserve">To enhance HVCDP production </t>
  </si>
  <si>
    <t>1.1.1.2.1.1.1. Com.Organizing-Com Devt.</t>
  </si>
  <si>
    <t>20 meetings</t>
  </si>
  <si>
    <t>To sustain organization of growers</t>
  </si>
  <si>
    <t>Vegetables</t>
  </si>
  <si>
    <t>Mango</t>
  </si>
  <si>
    <t>Banana</t>
  </si>
  <si>
    <t>Ubi</t>
  </si>
  <si>
    <t>Peanut</t>
  </si>
  <si>
    <t>Ornamental</t>
  </si>
  <si>
    <t>1.1.1.2.1.1.1.1.Maintain model PO</t>
  </si>
  <si>
    <t xml:space="preserve">Facilitate in the implementation of the pilot barangay of the Contryside Development Program: Purok Power Movement </t>
  </si>
  <si>
    <t>15 Pilot Barangay</t>
  </si>
  <si>
    <t xml:space="preserve">To increase  awareness of                                        CDP: PPM  </t>
  </si>
  <si>
    <t xml:space="preserve">Banana </t>
  </si>
  <si>
    <t>2 POs</t>
  </si>
  <si>
    <t xml:space="preserve">To maintain model POs </t>
  </si>
  <si>
    <t xml:space="preserve">1.1.1.2.1.1.1.2.Seed/Planting </t>
  </si>
  <si>
    <t xml:space="preserve">To increase Production through seeds/planting mat. support </t>
  </si>
  <si>
    <t xml:space="preserve">Mat. Support </t>
  </si>
  <si>
    <t>*Vegetables</t>
  </si>
  <si>
    <t>Seed Assistance (OPV)</t>
  </si>
  <si>
    <t>100 bgs</t>
  </si>
  <si>
    <t>Vegetables Seeds Hybrid</t>
  </si>
  <si>
    <t>50 bgs</t>
  </si>
  <si>
    <t xml:space="preserve">*Banana Dispersal of planting materials </t>
  </si>
  <si>
    <t xml:space="preserve">800 Seedlings tissue cultured </t>
  </si>
  <si>
    <t>To increase production</t>
  </si>
  <si>
    <t xml:space="preserve">*Rootcrops Production </t>
  </si>
  <si>
    <t>4,600 kgs</t>
  </si>
  <si>
    <t>Ubi Dispersal</t>
  </si>
  <si>
    <t xml:space="preserve">Endemic Crops </t>
  </si>
  <si>
    <t xml:space="preserve">* Peanut Dispersal of planting materials </t>
  </si>
  <si>
    <t>2,200 kgs</t>
  </si>
  <si>
    <t xml:space="preserve">To increase production . </t>
  </si>
  <si>
    <t xml:space="preserve">*Procurement of  Materials for Coffee &amp; Cacao Parent Plant </t>
  </si>
  <si>
    <t>Cacao - 2,000 pods (Certified Robusta Seeds)</t>
  </si>
  <si>
    <t xml:space="preserve">Ornamentals </t>
  </si>
  <si>
    <t xml:space="preserve">To increase production </t>
  </si>
  <si>
    <t xml:space="preserve">1.1.1.3.2. Monitoring and Evaluation </t>
  </si>
  <si>
    <t xml:space="preserve">1.1.1.3.1.Conduct monitoring on HVCDP/ Upland Crops </t>
  </si>
  <si>
    <t xml:space="preserve">250000/fuel &amp; lubricants </t>
  </si>
  <si>
    <t xml:space="preserve">30 mun. per commudity </t>
  </si>
  <si>
    <t>To conduct monitoring &amp; evaluation on HVCDP/ Upland areas</t>
  </si>
  <si>
    <t>-do-</t>
  </si>
  <si>
    <t>Mang</t>
  </si>
  <si>
    <t>Ornamentals</t>
  </si>
  <si>
    <t xml:space="preserve">Industrial Crops </t>
  </si>
  <si>
    <t>20 pax</t>
  </si>
  <si>
    <t xml:space="preserve">To facilitate SLT </t>
  </si>
  <si>
    <t>6 proposals</t>
  </si>
  <si>
    <t xml:space="preserve">To Avail for funding support  </t>
  </si>
  <si>
    <t>Cacao and coffee</t>
  </si>
  <si>
    <t xml:space="preserve">Peanut </t>
  </si>
  <si>
    <t>1.1.1.6.Market Access Support</t>
  </si>
  <si>
    <t>1.1.1.6.1.Profiling/Updating  of growers/Barangay</t>
  </si>
  <si>
    <t xml:space="preserve">Office Supplies &amp; Materials </t>
  </si>
  <si>
    <t>To update Profile and download to the agri-system</t>
  </si>
  <si>
    <t>Barangay/Purok</t>
  </si>
  <si>
    <t>4 tarp and 2,000 leaflets</t>
  </si>
  <si>
    <t>To disseminate infoto clientelle</t>
  </si>
  <si>
    <t>Vegetable</t>
  </si>
  <si>
    <t>-do</t>
  </si>
  <si>
    <t>Jan., 2014</t>
  </si>
  <si>
    <t>1.1.1.8.Program management</t>
  </si>
  <si>
    <t xml:space="preserve">To increase capability of perssonnel/ 5 personnel </t>
  </si>
  <si>
    <t xml:space="preserve">Fruits Symposuim </t>
  </si>
  <si>
    <t xml:space="preserve">CDP:PPM </t>
  </si>
  <si>
    <t xml:space="preserve">1. Prepare Power Point Presentation during TWG, M&amp;E, Sec &amp; C. O. meeting </t>
  </si>
  <si>
    <t xml:space="preserve">75 slides </t>
  </si>
  <si>
    <t>Reports presented to the TWG,M&amp;E, C. Os</t>
  </si>
  <si>
    <t>10 communication</t>
  </si>
  <si>
    <t xml:space="preserve">3. Presentation of Training Evaluation Survey forms </t>
  </si>
  <si>
    <t>10 forms</t>
  </si>
  <si>
    <t xml:space="preserve">4. Preparation of Traning Evaluation for YLS </t>
  </si>
  <si>
    <t>5. Prepared Memos for the traning</t>
  </si>
  <si>
    <t>10 memos</t>
  </si>
  <si>
    <t xml:space="preserve">6. Preparation of  Materials/kit for YLS </t>
  </si>
  <si>
    <t>50 kits</t>
  </si>
  <si>
    <t xml:space="preserve">7. Preparation of Templates/Workshop forms </t>
  </si>
  <si>
    <t>10 templates</t>
  </si>
  <si>
    <t xml:space="preserve">8. Preperation of Training Design </t>
  </si>
  <si>
    <t xml:space="preserve">2 traning design </t>
  </si>
  <si>
    <t>9. Preparation of Training Invitation</t>
  </si>
  <si>
    <t>2 invitation</t>
  </si>
  <si>
    <t>10. Preparation of Memos during deployment</t>
  </si>
  <si>
    <t xml:space="preserve">1 memo </t>
  </si>
  <si>
    <t>11. Preparation of Memos during debriefing</t>
  </si>
  <si>
    <t>Ornamentals/Cutflowers</t>
  </si>
  <si>
    <t xml:space="preserve">1.1.1.8.3 Personnel Development Support </t>
  </si>
  <si>
    <t>5 job order contractual worker</t>
  </si>
  <si>
    <t>To ensure available staff support</t>
  </si>
  <si>
    <t>1.1.1.8.4 Staff Devt. and outside province travel-support to tranings</t>
  </si>
  <si>
    <t>1 training/ conference</t>
  </si>
  <si>
    <t xml:space="preserve">To conduct Travel </t>
  </si>
  <si>
    <t>1.1.1.8.5 Facilitate the conduct of Team Building of AEW (HVCDP Coordinator) and Year-end assessment</t>
  </si>
  <si>
    <t xml:space="preserve">To facilitate Year-end /Team building assessment and unity among HVCDP Technicians </t>
  </si>
  <si>
    <t xml:space="preserve">1.1.1.8.6. Facilitate conduct of HVCDP monthly meeting </t>
  </si>
  <si>
    <t xml:space="preserve">1.1.1.8.6.1 Facilitate in consolidation and submission of technicians reports </t>
  </si>
  <si>
    <t xml:space="preserve">12 reports DA-RFU 7/12 reports for division </t>
  </si>
  <si>
    <t>To facilitate s consolidation and submission of reports</t>
  </si>
  <si>
    <t xml:space="preserve">1.1.1.8.7 Procurement of Office Supplies </t>
  </si>
  <si>
    <t xml:space="preserve">To ensure availability of office supplies </t>
  </si>
  <si>
    <t>To enhance production</t>
  </si>
  <si>
    <t>Radio Eskwela</t>
  </si>
  <si>
    <t>30 mun.</t>
  </si>
  <si>
    <t xml:space="preserve">To monitor diseases on the diff. crops </t>
  </si>
  <si>
    <t xml:space="preserve">1.1.1.2.1.1.Pest &amp; disease monitoring  on different crops </t>
  </si>
  <si>
    <t>Industrial Crops - Coconut/Cacao/Coffee</t>
  </si>
  <si>
    <t>1.1.1.2.1.2  Market Access Support</t>
  </si>
  <si>
    <t xml:space="preserve">1.1.1.2.1.3.1. Strengthening of growers (Mun. Grower Association </t>
  </si>
  <si>
    <t>22 meetings</t>
  </si>
  <si>
    <t>To strengthen growers’ association</t>
  </si>
  <si>
    <t xml:space="preserve">Coconut </t>
  </si>
  <si>
    <t>Coffee</t>
  </si>
  <si>
    <t xml:space="preserve">Cacao </t>
  </si>
  <si>
    <t xml:space="preserve">1.1.1.2.13.1 Training as per request  from the LGUs </t>
  </si>
  <si>
    <t xml:space="preserve">10 trainings conducted as per request </t>
  </si>
  <si>
    <t xml:space="preserve">To conduct trainings per request of MLGUs </t>
  </si>
  <si>
    <t xml:space="preserve">-Ornamentals </t>
  </si>
  <si>
    <t>- Banana</t>
  </si>
  <si>
    <t>- Mango</t>
  </si>
  <si>
    <t>- Vegetables</t>
  </si>
  <si>
    <t>- Peanut</t>
  </si>
  <si>
    <t>- Ubi</t>
  </si>
  <si>
    <t>1.1.1.3.2.  Implementation of BAHAY KUBO (FAITH HOPE-CHARITY) and Gulayan sa Paaralan 2013</t>
  </si>
  <si>
    <t xml:space="preserve">* Personnel Development support </t>
  </si>
  <si>
    <t>Job Order Workers</t>
  </si>
  <si>
    <t>To augment workforce for  efficient implementation of project/ 3 job order</t>
  </si>
  <si>
    <t xml:space="preserve">* Procurement of seeds </t>
  </si>
  <si>
    <t>Different kind of seeds</t>
  </si>
  <si>
    <t>To  increase  vegetable production thru giving of seeds</t>
  </si>
  <si>
    <t>* Implementation of BAHAY-KUBO (FAITH-HOPE-CHARITY) and Gulayan sa Paaralan 2013</t>
  </si>
  <si>
    <t xml:space="preserve">*Provision of services for Training, Workshop, Meeting &amp; Conferences etc. in support to Bahay Kubo (FAITH-HOPE-CHARITY) and Gulayan sa Paaralan </t>
  </si>
  <si>
    <t xml:space="preserve">To disseminate Information  thru launching </t>
  </si>
  <si>
    <t xml:space="preserve">To screen  by monitoring &amp; Evaluating winners /20 monitoring </t>
  </si>
  <si>
    <t xml:space="preserve">Awarding of winner in BAHAY KUBO-FAITH HOPE-CHARITY and Gulayan Sa Paaralan </t>
  </si>
  <si>
    <t xml:space="preserve">To award winners  / awardees Cash Prizes, Plaques and Certificates </t>
  </si>
  <si>
    <t>Establishment / Briefing/Training of  BAHAY KUBO (FAITH HOPE-CHARITY) and Gulayan sa Paaralan</t>
  </si>
  <si>
    <t>8 municipalities</t>
  </si>
  <si>
    <t xml:space="preserve">Program Management </t>
  </si>
  <si>
    <t>2 meetings</t>
  </si>
  <si>
    <t xml:space="preserve">* Conduct Evaluation of projects </t>
  </si>
  <si>
    <t>10 sites monitored</t>
  </si>
  <si>
    <t xml:space="preserve">To Monitorand Evaluate projects </t>
  </si>
  <si>
    <t xml:space="preserve">1.Maintainance of the growiong high Value fruit tree planted in PGBH nurseries as source of plant scions </t>
  </si>
  <si>
    <t>P 27, 000</t>
  </si>
  <si>
    <t xml:space="preserve">900 hills cirling every 6 months </t>
  </si>
  <si>
    <t xml:space="preserve">To take care of growing high value fruit tree for plant scion source </t>
  </si>
  <si>
    <t xml:space="preserve">2.Propagation of Herbal Organic Plants at PGBh nurseries </t>
  </si>
  <si>
    <t>P 15, 000</t>
  </si>
  <si>
    <t xml:space="preserve">5,000 sq. m. </t>
  </si>
  <si>
    <t xml:space="preserve">To propagate the DOH approved herbal plants to support the HOPE programs of the province </t>
  </si>
  <si>
    <t>4.Production of bagged fruit tree seedlings of different variety and species at the 2 plnt nurseries</t>
  </si>
  <si>
    <t>P 72,000</t>
  </si>
  <si>
    <t>24,000 seedlings</t>
  </si>
  <si>
    <t xml:space="preserve">To produce rootstocks suitable in the province based on organic agriculture strategy </t>
  </si>
  <si>
    <t xml:space="preserve">5.Production of asexually prpagated seedlings at the plant nursery </t>
  </si>
  <si>
    <t xml:space="preserve">     P90,000</t>
  </si>
  <si>
    <t>6000 seedling</t>
  </si>
  <si>
    <t>To produce grafted/marcitted seedlings for true to type planting materials</t>
  </si>
  <si>
    <t xml:space="preserve">6.Production of coconut seedlings at BOATech Center </t>
  </si>
  <si>
    <t>P 3,500</t>
  </si>
  <si>
    <t>700 seedlings</t>
  </si>
  <si>
    <t xml:space="preserve">To produce coconut seedlings at BOATech for farmers </t>
  </si>
  <si>
    <t xml:space="preserve">7.Production of white gumela planting materials in cellophane pots at the 2 nurseries </t>
  </si>
  <si>
    <t>P 72, 000</t>
  </si>
  <si>
    <t xml:space="preserve">24000 planting materials in cellophane pot </t>
  </si>
  <si>
    <t>To produce gumamela palnting materials in support to agri-tourism pr</t>
  </si>
  <si>
    <t xml:space="preserve">8.Production of banana suckers at the Botech plant </t>
  </si>
  <si>
    <t>12, 000</t>
  </si>
  <si>
    <t xml:space="preserve">1200 suckers </t>
  </si>
  <si>
    <t xml:space="preserve">To produce organically grown </t>
  </si>
  <si>
    <t>nursery</t>
  </si>
  <si>
    <t>Banana suckers to support the organic agriculture</t>
  </si>
  <si>
    <t xml:space="preserve">9. Operation of screenhouses by planting fruits and vegetables inside at the 2 plant nurseries </t>
  </si>
  <si>
    <t>6 units of screenhouses 550 sq. m.</t>
  </si>
  <si>
    <t xml:space="preserve">To operationalize the established screennhouses built in order to produce fruit and vegetables </t>
  </si>
  <si>
    <t>10.Production of coconut at the coconut area of BOATech Center</t>
  </si>
  <si>
    <t>3,000 nuts harvested</t>
  </si>
  <si>
    <t xml:space="preserve">To enhance production of nuts at the Center for revenue generation </t>
  </si>
  <si>
    <t xml:space="preserve">11.Utilization of vacant area to rice and corn planting based on organic agriculture strategy. </t>
  </si>
  <si>
    <t>P 50,000</t>
  </si>
  <si>
    <t xml:space="preserve">2.5 hectares </t>
  </si>
  <si>
    <t xml:space="preserve">To plant rice and corn at the vacant lot of BOATEch Center </t>
  </si>
  <si>
    <t>12.Water sourcing for domestic and drinking use</t>
  </si>
  <si>
    <t>P 100,000</t>
  </si>
  <si>
    <t xml:space="preserve">1 water sourced </t>
  </si>
  <si>
    <t xml:space="preserve">To source out water for the nursery needs </t>
  </si>
  <si>
    <t xml:space="preserve">13.Farm machineries and equipmets sourcing for BOATech Center </t>
  </si>
  <si>
    <t>P 500,000</t>
  </si>
  <si>
    <t xml:space="preserve">14.Conduct regular /inventory of stocks at the 2 nurseries </t>
  </si>
  <si>
    <t>P 12,000</t>
  </si>
  <si>
    <t xml:space="preserve">12 inventories </t>
  </si>
  <si>
    <t xml:space="preserve">To have available records of stocks being raised </t>
  </si>
  <si>
    <t>15.Ems compliance</t>
  </si>
  <si>
    <t>180 hours devoted</t>
  </si>
  <si>
    <t xml:space="preserve">To comply EMS requirements </t>
  </si>
  <si>
    <t xml:space="preserve">16.Regular Submission of monthly reports </t>
  </si>
  <si>
    <t xml:space="preserve">12 reports </t>
  </si>
  <si>
    <t xml:space="preserve">To have recent accomplishment reports </t>
  </si>
  <si>
    <t>FISHERIES RESOURCES MANAGEMENT AND DEV'T (FRMD)</t>
  </si>
  <si>
    <t>1.1.  AGRI- FISHERY PRODUCTION ENHANCEMENT DEVELOPMENT PROGRAM</t>
  </si>
  <si>
    <t>P 2,750,000</t>
  </si>
  <si>
    <t>1.1.2   FISHERY PRODUCTION ENHANCEMENT DEVELOPMENT</t>
  </si>
  <si>
    <t>P 590,000</t>
  </si>
  <si>
    <t>To enhance the production of tilapia and other species in inland bodies of water</t>
  </si>
  <si>
    <t>1.1.2.1.1 Operation &amp; Maintenance of Multi – Species Freshwater Fish Hatchery.</t>
  </si>
  <si>
    <t xml:space="preserve">To sustain the production of tilapia fry and other freshwater species         </t>
  </si>
  <si>
    <t>●Operate and maintain the hatchery for fry production</t>
  </si>
  <si>
    <t>P300,000</t>
  </si>
  <si>
    <t>1 hatchery operated</t>
  </si>
  <si>
    <t xml:space="preserve">        ♦ Tilapia fry                 produced</t>
  </si>
  <si>
    <t xml:space="preserve">        ♦ Catfish fry produced</t>
  </si>
  <si>
    <t>Pcs. Catfish fry</t>
  </si>
  <si>
    <t>Pcs. Carp fry</t>
  </si>
  <si>
    <t>Pcs. tilapia breeders</t>
  </si>
  <si>
    <t>1.1.2.1.2. Support to Hatchery Facility Improvement</t>
  </si>
  <si>
    <t>P30,000.00</t>
  </si>
  <si>
    <t>To maximize the potential of fresh water areas for dispersal</t>
  </si>
  <si>
    <t xml:space="preserve">● Tilapia fry stocked </t>
  </si>
  <si>
    <t xml:space="preserve">Pcs. tilapia fry </t>
  </si>
  <si>
    <t>●Catfish fry stocked</t>
  </si>
  <si>
    <t>1.1.2.1.4. Institutionalization of HEAT-FAITH Program</t>
  </si>
  <si>
    <t>No. of Backyard fishpond</t>
  </si>
  <si>
    <t>To ensure fish supply and affordable food on the table by assisting 250 backyard fishpond</t>
  </si>
  <si>
    <t>1.1.2.1.5.  Policy Recommendation Support</t>
  </si>
  <si>
    <t>Guidelines</t>
  </si>
  <si>
    <t xml:space="preserve">To formulate   2 guidelines to provide </t>
  </si>
  <si>
    <t>1 project implementation</t>
  </si>
  <si>
    <t xml:space="preserve">1.1.2.1.6 Input Assistance Support </t>
  </si>
  <si>
    <t>P 150,000</t>
  </si>
  <si>
    <t>Tilapia Growers provided input assistance</t>
  </si>
  <si>
    <t>Ensure better production of Tilapia through input assitance to 6 tilapia growers</t>
  </si>
  <si>
    <t>1.1.2.1.7. Peace Reform Program</t>
  </si>
  <si>
    <t>No. of KR's assisted</t>
  </si>
  <si>
    <t>Ensure peace and development in the countryside by assiting 16 KR's</t>
  </si>
  <si>
    <t>1.1.2.1.8 Feed Mill Operation Monitoring</t>
  </si>
  <si>
    <t>P 80,000</t>
  </si>
  <si>
    <t>1 Feed mill</t>
  </si>
  <si>
    <t>To monitor the perforamance of the feed mill</t>
  </si>
  <si>
    <t>1.1.2.2.  MARINE AQUACULTURE DEVELOPMENT PROGRAMS</t>
  </si>
  <si>
    <t>P 1,195,000</t>
  </si>
  <si>
    <t>1.1.2.2.1. Technical Assistance in the Implementation of Marine-Based  Technologies</t>
  </si>
  <si>
    <t>To ensure increased production of fish and other commodities in marine waters</t>
  </si>
  <si>
    <t>●Seaweeds Production</t>
  </si>
  <si>
    <t>P 300,000</t>
  </si>
  <si>
    <t>No. of Seaweeds growers</t>
  </si>
  <si>
    <t>●Oyster Production</t>
  </si>
  <si>
    <t>No. of Oyster growers</t>
  </si>
  <si>
    <t>●Abalone Production</t>
  </si>
  <si>
    <t>No. of P.O raising abalone</t>
  </si>
  <si>
    <t>●Sandfish Production ( Sea-Cucumber)</t>
  </si>
  <si>
    <t>P 20,000</t>
  </si>
  <si>
    <t>No. of P.O assisted</t>
  </si>
  <si>
    <t>●Bangus Production in Fish Cages/Fishpond</t>
  </si>
  <si>
    <t>No. of Bangus Growers Assisted</t>
  </si>
  <si>
    <t>●Environment-Friendly Marine-based fishing gears monitoring (Capture Fisheries) under CDP-PPM</t>
  </si>
  <si>
    <t>No. of P.O Assisted</t>
  </si>
  <si>
    <t>1.1.2.2.2. Strengthening of Marine Protected Areas</t>
  </si>
  <si>
    <t>To ensure effective management</t>
  </si>
  <si>
    <t>●MPA rating System facilitated</t>
  </si>
  <si>
    <t>P 10,000</t>
  </si>
  <si>
    <t>No. of MPA's rated</t>
  </si>
  <si>
    <t>●Assistance in the conduct of Biophysical monitoring</t>
  </si>
  <si>
    <t>No. of MPA's assessed</t>
  </si>
  <si>
    <t>●Livelihood Assistance Monitoring</t>
  </si>
  <si>
    <t>No. of PO's assisted</t>
  </si>
  <si>
    <t xml:space="preserve">1.1.2.2.3. Capability Building Program </t>
  </si>
  <si>
    <t>To enhance the skills on the culture and managemen  of various projects implemented</t>
  </si>
  <si>
    <t>●Tilapia culture and Management</t>
  </si>
  <si>
    <t>●Catfish Culture/Induced Spawning</t>
  </si>
  <si>
    <t>P 10,000.00</t>
  </si>
  <si>
    <t>●Eucheuma Culture and Management</t>
  </si>
  <si>
    <t>●Oyster Culture and Management</t>
  </si>
  <si>
    <t>No. of Trainings assisted</t>
  </si>
  <si>
    <t>●Sandfish Culture and Management</t>
  </si>
  <si>
    <t>●Abalone Culture and Management</t>
  </si>
  <si>
    <t>●Benchmarking to Upland Development Best Practices</t>
  </si>
  <si>
    <t>To increase adoption of technology of P.O technician group their 1 exposure</t>
  </si>
  <si>
    <t>1.1.2.2.4 Capitalization Asssistance Support</t>
  </si>
  <si>
    <t>No. of Proposals prepared/ submitted</t>
  </si>
  <si>
    <t>1.1.2.2.5 Market Acess Support and Product Promotion</t>
  </si>
  <si>
    <t>To ensure promotion of product for market</t>
  </si>
  <si>
    <t>●Profiling of Growers</t>
  </si>
  <si>
    <t>No. of tilapia growers profiled</t>
  </si>
  <si>
    <t>No. of Seaweeds growers profiled</t>
  </si>
  <si>
    <t>No. of Oyter Growers Pr</t>
  </si>
  <si>
    <t>No. of Abalone Growers Profiled</t>
  </si>
  <si>
    <t>No. of Sanfish Growers Profiled</t>
  </si>
  <si>
    <t>No. of Catfish Growers Profiled</t>
  </si>
  <si>
    <t>● Agri-Fisheries Promotional Events Support</t>
  </si>
  <si>
    <t>No. of Promotio-nal events</t>
  </si>
  <si>
    <t>1.1.2.2.6 Institutional Development Strengthening Support</t>
  </si>
  <si>
    <t>●Tilapia growers Association Organized Registered</t>
  </si>
  <si>
    <t>No. Of tilapia growers association organized registered</t>
  </si>
  <si>
    <t>●Upland Tilapia Growers Federation</t>
  </si>
  <si>
    <t>No. of Meetings Facilitated</t>
  </si>
  <si>
    <t>●MFARMC Federation</t>
  </si>
  <si>
    <t xml:space="preserve">No. of meetings </t>
  </si>
  <si>
    <t>●Support to BPFSG (Seaweeds)</t>
  </si>
  <si>
    <t>No. of Meetings Supported</t>
  </si>
  <si>
    <t>1.1.2.2.7 Linkaging and Collaboartion with Development Partners</t>
  </si>
  <si>
    <t>●BFAR (Agri-Pinoy) Fisheries</t>
  </si>
  <si>
    <t>No. of meetings</t>
  </si>
  <si>
    <t>●MPA-TWG</t>
  </si>
  <si>
    <t>No. of Meetings</t>
  </si>
  <si>
    <t>●BCRMTW/BRUMM</t>
  </si>
  <si>
    <t>●BISU CORE GROUP</t>
  </si>
  <si>
    <t>●CLEC</t>
  </si>
  <si>
    <t>No. of Meetings Attended</t>
  </si>
  <si>
    <t>1.1.2.2.8 Support to Agri-Information and advocacy of Agri-Fisheries Programs</t>
  </si>
  <si>
    <t>P 5,000</t>
  </si>
  <si>
    <t>NO. of IEC materials</t>
  </si>
  <si>
    <t>No. of News letter</t>
  </si>
  <si>
    <t>Radio Program</t>
  </si>
  <si>
    <t>P 965,000</t>
  </si>
  <si>
    <t>To increased personnel capability and support</t>
  </si>
  <si>
    <t>●Conduct of Division meeting</t>
  </si>
  <si>
    <t>●Staff Development, Conferences, forum outside the province</t>
  </si>
  <si>
    <t>●Team Building Activities</t>
  </si>
  <si>
    <t>No. of Activities</t>
  </si>
  <si>
    <t>To increase unity and harmonous relationship</t>
  </si>
  <si>
    <t>●Consolidation and Submission of Agri-Pinoy Fisheries Technicians Report</t>
  </si>
  <si>
    <t>No. of consolidated reports submitted</t>
  </si>
  <si>
    <t>●Staff Support Services</t>
  </si>
  <si>
    <t>P 600,000</t>
  </si>
  <si>
    <t>No. of staffs hired</t>
  </si>
  <si>
    <t>●Support to Govt. Vehicle Maintenance</t>
  </si>
  <si>
    <t>No. of vehicles supported</t>
  </si>
  <si>
    <t>To maintain 2 vehicles in good condition</t>
  </si>
  <si>
    <t>●Gasoline, Oil and Lubricant Support</t>
  </si>
  <si>
    <t>No. of Liters procured</t>
  </si>
  <si>
    <t>To provide mobility support to vehicle through the purchase of 2,000 liters of fuel</t>
  </si>
  <si>
    <t>●Office Supplies Procurement</t>
  </si>
  <si>
    <t>P 30,000</t>
  </si>
  <si>
    <t>No. of Procurement Plan</t>
  </si>
  <si>
    <t>●Program Management Support Activities</t>
  </si>
  <si>
    <t>Database</t>
  </si>
  <si>
    <t>To provide strategic direction in program/proj. implementation</t>
  </si>
  <si>
    <t>1.3.1</t>
  </si>
  <si>
    <t xml:space="preserve">Research  </t>
  </si>
  <si>
    <t>4 concept papers</t>
  </si>
  <si>
    <t>4 research proposals</t>
  </si>
  <si>
    <t>To prepare concept papers and research proposals</t>
  </si>
  <si>
    <t>4 FGDs</t>
  </si>
  <si>
    <t>4 consultative meetings</t>
  </si>
  <si>
    <t>4 workshsops &amp; orientaions</t>
  </si>
  <si>
    <t>8 collaborative meetings</t>
  </si>
  <si>
    <t>To conduct focus group discussions, consultative meetings, workshops and orientations &amp; collaborative meetings</t>
  </si>
  <si>
    <t>12 monitoring reports</t>
  </si>
  <si>
    <t xml:space="preserve">To facilitate in Monitoring of project and evaluation of the research projects </t>
  </si>
  <si>
    <t>1.3.2</t>
  </si>
  <si>
    <t>Bohol Organic Agriculture Program</t>
  </si>
  <si>
    <t>1.3.2.1</t>
  </si>
  <si>
    <t xml:space="preserve"> Production Enhancement</t>
  </si>
  <si>
    <t>1.3.2.1.1</t>
  </si>
  <si>
    <t>Increase areas converted  to organic farms</t>
  </si>
  <si>
    <t>1.3.2.1.1.1</t>
  </si>
  <si>
    <t>Undertake massive advocacy for organic farm conversions</t>
  </si>
  <si>
    <t>12 campaigns</t>
  </si>
  <si>
    <t>To conduct continuous information campaigns (info caravans, fora, use of tri-media, etc)</t>
  </si>
  <si>
    <t>1.3.2.1.1.2</t>
  </si>
  <si>
    <t>Lobby in Providing Financial Asistance in support for OA Production</t>
  </si>
  <si>
    <t>1 review sessions</t>
  </si>
  <si>
    <t>Review crafted  guidance</t>
  </si>
  <si>
    <t>Review crafted  guidelines</t>
  </si>
  <si>
    <t>1.3.2.1.1.3</t>
  </si>
  <si>
    <t>Provide of incentives to OA Farmers</t>
  </si>
  <si>
    <t>2 evaluations</t>
  </si>
  <si>
    <t>To conduct of Search for Best OA POs/ Farmers</t>
  </si>
  <si>
    <t>1.3.2.1.1.4</t>
  </si>
  <si>
    <t>Document and Monitor OA Farms</t>
  </si>
  <si>
    <t>4 survey reports</t>
  </si>
  <si>
    <t>To conduct upddating of OA database (Inventory of farmers, farm size, types of products produced, best practices, POs and coops engaged in marketing of organic products, etc.)</t>
  </si>
  <si>
    <t>1.3.2.1.2</t>
  </si>
  <si>
    <t>Skills Development and Capability Building</t>
  </si>
  <si>
    <t>1.3.2.1.2.1</t>
  </si>
  <si>
    <t>Install Organic Agriculture Program at MLGU</t>
  </si>
  <si>
    <t xml:space="preserve">To conduct planning  &amp;assessment workshops at MLGUs in selected </t>
  </si>
  <si>
    <t>Cluster areas</t>
  </si>
  <si>
    <t>6 MLGUs</t>
  </si>
  <si>
    <t>To creation  MLGU level OA TWGs</t>
  </si>
  <si>
    <t>1.3.2.1.2.2</t>
  </si>
  <si>
    <t>Establish of Education and Training at MLGUs</t>
  </si>
  <si>
    <t>4 progress reports</t>
  </si>
  <si>
    <t>To lobby for designation of OA personnel at MLGUs</t>
  </si>
  <si>
    <t>4 trainings</t>
  </si>
  <si>
    <t>To conduct OA trainings at MLGUs by cluster</t>
  </si>
  <si>
    <t>- Sustainable Agri.</t>
  </si>
  <si>
    <t>- Post harvest and processing</t>
  </si>
  <si>
    <t>100 graduates</t>
  </si>
  <si>
    <t>To provide technical support to OA graduates</t>
  </si>
  <si>
    <t>4 reports</t>
  </si>
  <si>
    <t>1.3.2.1.2.3</t>
  </si>
  <si>
    <t>Stabilize supply of organic products</t>
  </si>
  <si>
    <t>6 clusters</t>
  </si>
  <si>
    <t>Regular inventory of organic crops esp. with high market demand</t>
  </si>
  <si>
    <t>6 POs</t>
  </si>
  <si>
    <t>To organize farmers towards instituting internal quality control</t>
  </si>
  <si>
    <t>1.3.2.1.2.4</t>
  </si>
  <si>
    <t>Ensure sustainable supply of organic inputs</t>
  </si>
  <si>
    <t>4 meetings</t>
  </si>
  <si>
    <t>To coordinate operations and services of community seed bank at BISU</t>
  </si>
  <si>
    <t>1.3.2.1.2.4.1</t>
  </si>
  <si>
    <t>Available Organic Seeds</t>
  </si>
  <si>
    <t>4 POs</t>
  </si>
  <si>
    <t>To campaign for Production of organic seeds at household/ community</t>
  </si>
  <si>
    <t>Based on agreed standard</t>
  </si>
  <si>
    <t>1training</t>
  </si>
  <si>
    <t>To conduct training of community organic seed growers in selected cluster areas</t>
  </si>
  <si>
    <t>To monitor organic seed Growers</t>
  </si>
  <si>
    <t>6 facilities</t>
  </si>
  <si>
    <t>To facilitate installation/ rehabilitation of facilities</t>
  </si>
  <si>
    <t>&amp; Equipment (Vermicompost facilities, shredders, vermitea brewers, etc.)</t>
  </si>
  <si>
    <t>4 demos</t>
  </si>
  <si>
    <t>To facilitate  assistance for roll over production organic inputs at PO level including the integration of animal component to enhance production of organic fertilizers</t>
  </si>
  <si>
    <t>900 bottles</t>
  </si>
  <si>
    <t>To maintain production of Trichoderma</t>
  </si>
  <si>
    <t>-120 kls. vworms</t>
  </si>
  <si>
    <t>-72 bags (2,800 kls.) vcompost</t>
  </si>
  <si>
    <t>To maintain vermicompost Production Vermiworm Dispersal</t>
  </si>
  <si>
    <t>300 L of assorted concoctions</t>
  </si>
  <si>
    <t>To maintain production of Natural Farming Systems (NFS) Concoctions</t>
  </si>
  <si>
    <t>1.3.2.1.2.4.3</t>
  </si>
  <si>
    <t xml:space="preserve">Available  post harvest, processing and other facilities for organic products managed by government entities and private individuals for access to organic farmers </t>
  </si>
  <si>
    <t>1 proposal</t>
  </si>
  <si>
    <t>Facilitate availment of farm machineries &amp; equipment for the upscaling of natural/organic farms</t>
  </si>
  <si>
    <t>1.3.2.1.2.4.4</t>
  </si>
  <si>
    <t>Create of local pool of facilitators and trainers on OA</t>
  </si>
  <si>
    <t>To coordinate in the conduct TOT for BOAB &amp; BOAExeCom members</t>
  </si>
  <si>
    <t>To conduct inventory of trainees on Field Facilitators and COs for OA, Part. Agro-environmental Analysis and community Planning, PRA</t>
  </si>
  <si>
    <t>1 network</t>
  </si>
  <si>
    <t>To create network of trainers from support institutions and organized farmers</t>
  </si>
  <si>
    <t>1.3.2.1.2.4.5</t>
  </si>
  <si>
    <t>Promote organic livestock and poultry husbndry in coordination with DA and OPV</t>
  </si>
  <si>
    <t>1 session</t>
  </si>
  <si>
    <t>To coordinate in introducing &amp; facilitating adoption of existing tech. thru:Techno briefing IEC</t>
  </si>
  <si>
    <t>1 PO</t>
  </si>
  <si>
    <t>To identify and organize natural swine raisers</t>
  </si>
  <si>
    <t>1 cluster</t>
  </si>
  <si>
    <t>To cluster natural livestock and poultry growers</t>
  </si>
  <si>
    <t>1.3.2.1.4.6</t>
  </si>
  <si>
    <t xml:space="preserve">Available supply of organic/natural feeds and biologics </t>
  </si>
  <si>
    <t>To train farmers in producing organic feeds and biologics</t>
  </si>
  <si>
    <t>1 invitation</t>
  </si>
  <si>
    <t>To invite investors to put up organic feed mill</t>
  </si>
  <si>
    <t>1.3.2.1.4.8</t>
  </si>
  <si>
    <t>Develop fishery-based ecologicallly sound livelihoods for marginalized fishers</t>
  </si>
  <si>
    <t>1 meeting</t>
  </si>
  <si>
    <t xml:space="preserve">1 To coordinate in facilitating inland fisheries production </t>
  </si>
  <si>
    <t>1.3.2.2</t>
  </si>
  <si>
    <t xml:space="preserve">Research and Development </t>
  </si>
  <si>
    <t>1.3.2.2.1</t>
  </si>
  <si>
    <t>Institutionalize Organic Agriculture Research Agenda</t>
  </si>
  <si>
    <t>To facilitate creation of research consortium for agriculture and fisheries</t>
  </si>
  <si>
    <t>1.3.2.2.2</t>
  </si>
  <si>
    <t>Institute Functional Database on OA</t>
  </si>
  <si>
    <t>1 database</t>
  </si>
  <si>
    <t>Maintenance and updating of OA database</t>
  </si>
  <si>
    <t>1.3.2.2.2.3</t>
  </si>
  <si>
    <t>Establish baseline data on OA practices and technology</t>
  </si>
  <si>
    <t>6 cluster data</t>
  </si>
  <si>
    <t>To collect  secondary data</t>
  </si>
  <si>
    <t>6 cluster profiles</t>
  </si>
  <si>
    <t>To facilitate profiling of organic input suppliers and OA practitioners</t>
  </si>
  <si>
    <t>1.3.2.2.2.4</t>
  </si>
  <si>
    <t>Determine the adaptability &amp; acceptability of of OA techno practices</t>
  </si>
  <si>
    <t>6 cluster compilation</t>
  </si>
  <si>
    <t>To facilitate compilationof indigenous/ nature farming technologies</t>
  </si>
  <si>
    <t>1.3.2.2.2.5</t>
  </si>
  <si>
    <t xml:space="preserve">Disseminate farmer-based and led </t>
  </si>
  <si>
    <t>6 model farms</t>
  </si>
  <si>
    <t xml:space="preserve">To facilitate estab. of organic model </t>
  </si>
  <si>
    <t>Research initiative To the wider populace</t>
  </si>
  <si>
    <t>And training farms</t>
  </si>
  <si>
    <t>To facilitate the conduct of training and FFS</t>
  </si>
  <si>
    <t>12 tarpaulins</t>
  </si>
  <si>
    <t>100 brochures</t>
  </si>
  <si>
    <t>To produce and distribute  IEC materials</t>
  </si>
  <si>
    <t>6 best practices</t>
  </si>
  <si>
    <t>To facilitate documentation of best practices on OA</t>
  </si>
  <si>
    <t xml:space="preserve">1.3.2.3  </t>
  </si>
  <si>
    <t xml:space="preserve">Marketing Development </t>
  </si>
  <si>
    <t>1.3.2.3.1</t>
  </si>
  <si>
    <t>Update supply and demand of organic agriculture products</t>
  </si>
  <si>
    <t>6 oganizations</t>
  </si>
  <si>
    <t>To facilitate industry-based farmer organizing</t>
  </si>
  <si>
    <t xml:space="preserve">To expand clustering of organic farmer producers </t>
  </si>
  <si>
    <t>To facilitate data gathering from POs, NGOs and GAs</t>
  </si>
  <si>
    <t>2 updates</t>
  </si>
  <si>
    <t>To facilitate updating of  database  of natural/ organic growers</t>
  </si>
  <si>
    <t xml:space="preserve">1.3.2.3.2 Design and operationalize marketing systems </t>
  </si>
  <si>
    <t>6 stations</t>
  </si>
  <si>
    <t>activate Community/ Cluster Buying stations of OA products(include church based )</t>
  </si>
  <si>
    <t>2 engineering works</t>
  </si>
  <si>
    <t>Facilitate provision of  access to marketing facilities (warehouse, showroom, milling and processing facilities, shops)</t>
  </si>
  <si>
    <t>6 negotiations</t>
  </si>
  <si>
    <t>- Create a Unibrand for Bohol Organic Products</t>
  </si>
  <si>
    <t>2 consultations</t>
  </si>
  <si>
    <t>Facilitate inclusion of Bohol Organic Products in the DTI Bohol Products' Website</t>
  </si>
  <si>
    <t>1.3.2.3.3</t>
  </si>
  <si>
    <t>Establish market linkages</t>
  </si>
  <si>
    <t>2  sessions</t>
  </si>
  <si>
    <t>To facilitate market matching activities</t>
  </si>
  <si>
    <t>6 profiles</t>
  </si>
  <si>
    <t>Producer Buyer Linkages</t>
  </si>
  <si>
    <t>2 trade fairs</t>
  </si>
  <si>
    <t>To organize/participate organic trade fairs and exhibits</t>
  </si>
  <si>
    <t>2 campaigns</t>
  </si>
  <si>
    <t>Consumer Awareness Campaign</t>
  </si>
  <si>
    <t>1 evaluation and awarding</t>
  </si>
  <si>
    <t>To provide marketing incentives to org grower</t>
  </si>
  <si>
    <t xml:space="preserve">1.3.2.4  </t>
  </si>
  <si>
    <t>Advocacy and Stakeholder Development</t>
  </si>
  <si>
    <t>1.3.2.4.1</t>
  </si>
  <si>
    <t>Institutionalize organic agriculture framework and program</t>
  </si>
  <si>
    <t>To facilitate public awareness consultations</t>
  </si>
  <si>
    <t>4 sessions</t>
  </si>
  <si>
    <t>To facilitate formulation of the Bohol Organic Agricuture Code IRR</t>
  </si>
  <si>
    <t>12 meetings/ conferences</t>
  </si>
  <si>
    <t>To facilitate Meetings, Orientations, Conferences of beneficiaries &amp; stakeholders/ Agri Planners/ Implementors</t>
  </si>
  <si>
    <t>1.3.2.4.2</t>
  </si>
  <si>
    <t>Facilitate integration of organic agriculture in some provincial and national policies and bodies</t>
  </si>
  <si>
    <t>6 lobbyings</t>
  </si>
  <si>
    <t>To facilitate lobbying  for the integration of OA in intermediate and secondary levels</t>
  </si>
  <si>
    <t>24 radio airings</t>
  </si>
  <si>
    <t xml:space="preserve">Media Advocacy </t>
  </si>
  <si>
    <t>1.3.2.4.3</t>
  </si>
  <si>
    <t>Recognize and strengthen BISAD as the legitimate representation of th Bohol OA Movement</t>
  </si>
  <si>
    <t>To facilitate regular leaders' meetings, organizational management and development</t>
  </si>
  <si>
    <t>1.3.2.4.4 Facilitate healthy coordination and collaboration</t>
  </si>
  <si>
    <t>6 celebrations</t>
  </si>
  <si>
    <t xml:space="preserve">To enhance collaboration on World Food Day, Earth Day, Sandugo, Environment Month, Nutrition </t>
  </si>
  <si>
    <t>Month, ubi, festival, etc.</t>
  </si>
  <si>
    <t>1.3.2.4.5</t>
  </si>
  <si>
    <t>Recognize and support BOFA representing small-scale farmers in pursuit of food and healthy farming environment in the province</t>
  </si>
  <si>
    <t>Conduct of Assessment and Planning Workshops</t>
  </si>
  <si>
    <t>Organize, Strengthen/ Expand of  BOFA members</t>
  </si>
  <si>
    <t>4 organizational meetings</t>
  </si>
  <si>
    <t>To maintain and expand BOFA members</t>
  </si>
  <si>
    <t>1.3.2.4.6</t>
  </si>
  <si>
    <t>Strengthen of the GMO Monitoring System</t>
  </si>
  <si>
    <t>8 meetings</t>
  </si>
  <si>
    <t>To facilitate meetings and other related activities</t>
  </si>
  <si>
    <t>1.3.2.5</t>
  </si>
  <si>
    <t>Organic Certification System</t>
  </si>
  <si>
    <t>2 MLGUs</t>
  </si>
  <si>
    <t xml:space="preserve">To facilitate organizing of credible inspectors at Municipal level with strong PO participation </t>
  </si>
  <si>
    <t>- 4 trainings</t>
  </si>
  <si>
    <t xml:space="preserve"> - 25 pax/</t>
  </si>
  <si>
    <t>training</t>
  </si>
  <si>
    <t xml:space="preserve">To facilitate in the conduct of Trainings on Organic Production and Certification (Internal Guarantee System) </t>
  </si>
  <si>
    <t>To facilitate training of Inspectors and Certifiers</t>
  </si>
  <si>
    <t>1.3.3</t>
  </si>
  <si>
    <t>Engineering</t>
  </si>
  <si>
    <t>1.3.3.1</t>
  </si>
  <si>
    <t>Farm Mechanization Support Services</t>
  </si>
  <si>
    <t>Oversee tractor operation</t>
  </si>
  <si>
    <t xml:space="preserve">(corn funds) </t>
  </si>
  <si>
    <t>5 tractors</t>
  </si>
  <si>
    <t>To monitor tractor units and accessories</t>
  </si>
  <si>
    <t>24 check-up/light repairs made</t>
  </si>
  <si>
    <t>(5 tractors)</t>
  </si>
  <si>
    <t>To perform monthly regular check-up and reconditioning of tractors</t>
  </si>
  <si>
    <t>12 monthly reports</t>
  </si>
  <si>
    <t>To facilitate collection/ remittance of tractor income in coordination with MLGUs</t>
  </si>
  <si>
    <t>1.3.3.2</t>
  </si>
  <si>
    <t>Postharvest  Support Services</t>
  </si>
  <si>
    <t>Improve access of farmers to Postharvest Facilities</t>
  </si>
  <si>
    <t>6 LGUs</t>
  </si>
  <si>
    <t>To campaign LGUs in the availment of Post harvest facilities/ equipments</t>
  </si>
  <si>
    <t>4 quarterly reports</t>
  </si>
  <si>
    <t>To assist in the monitoring of flatbed dryers performance</t>
  </si>
  <si>
    <t>4 quarterly collection reports</t>
  </si>
  <si>
    <t>To facilitate the collection/Follow-up payments of Corn Shellers Amortization</t>
  </si>
  <si>
    <t>6 Corn Shellers</t>
  </si>
  <si>
    <t>To facilitate transfer of corn shellers to qualified beneficiaries</t>
  </si>
  <si>
    <t>1 training/ seminar</t>
  </si>
  <si>
    <t>(35 participants)</t>
  </si>
  <si>
    <t>To conduct Capability Building on Postharvest Technology</t>
  </si>
  <si>
    <t xml:space="preserve">12 reports  </t>
  </si>
  <si>
    <t>200 bags CRH produced</t>
  </si>
  <si>
    <t>1.3.3.3</t>
  </si>
  <si>
    <t>Farm to Market Road Support   Services</t>
  </si>
  <si>
    <t>Improve access of Farmers to Farm to Market Roads</t>
  </si>
  <si>
    <t>20 FMRs validated with coordinates submitted to DA</t>
  </si>
  <si>
    <t>To obtain track coordinates and other data needed</t>
  </si>
  <si>
    <t>1.3.3.4</t>
  </si>
  <si>
    <t>Irrigation Support Service</t>
  </si>
  <si>
    <t>Improve access to Irrigation Facilities and Equipments</t>
  </si>
  <si>
    <t>8 sites for SFR</t>
  </si>
  <si>
    <t>6 sites for STW</t>
  </si>
  <si>
    <t>12 sites for Water Aquifer</t>
  </si>
  <si>
    <t>1 site for Spring Dev't/CDD</t>
  </si>
  <si>
    <t>2 SWIP sites for rehab</t>
  </si>
  <si>
    <t>To identify/</t>
  </si>
  <si>
    <t xml:space="preserve"> Development, </t>
  </si>
  <si>
    <t xml:space="preserve">Water Aquifer </t>
  </si>
  <si>
    <t>Detection and Rehabilatation</t>
  </si>
  <si>
    <t xml:space="preserve"> of SWIP</t>
  </si>
  <si>
    <t>10 SFRs constructed</t>
  </si>
  <si>
    <t>4 STWs installed</t>
  </si>
  <si>
    <t>1 SWIPs  rehabilitated</t>
  </si>
  <si>
    <t>To assist in the establishment/ installation and rehabilitation of irrigation facilities</t>
  </si>
  <si>
    <t>1.3.3.5</t>
  </si>
  <si>
    <t>Other Support Services</t>
  </si>
  <si>
    <t>Available rainfall and other climatic data</t>
  </si>
  <si>
    <t>1 assessment</t>
  </si>
  <si>
    <t>10 units</t>
  </si>
  <si>
    <t>1 unit</t>
  </si>
  <si>
    <t>Procurement of</t>
  </si>
  <si>
    <t xml:space="preserve"> Tunnel Drier</t>
  </si>
  <si>
    <t>Support PGBh in acquiring ISO Certification</t>
  </si>
  <si>
    <t>4 meetings/ activities  attended</t>
  </si>
  <si>
    <t>To coordinate with BEMO as EMS-IC member.</t>
  </si>
  <si>
    <t>10 monitoring reports submitted semi-annually</t>
  </si>
  <si>
    <t>Obtain funding from other institutions</t>
  </si>
  <si>
    <t>To prepare training/ project proposals</t>
  </si>
  <si>
    <t xml:space="preserve">Do building maintenance works </t>
  </si>
  <si>
    <t>To do plumbing and electrical works</t>
  </si>
  <si>
    <t>Assist during exhibits, caravans and other agriculture related functions and gatherings</t>
  </si>
  <si>
    <t>To assist in installation of tents during various activities</t>
  </si>
  <si>
    <t>Enhance quality project implementation</t>
  </si>
  <si>
    <t>3 agricultural facilities constructed</t>
  </si>
  <si>
    <t>To coordinate &amp; supervise in the establishment/ construction of other agricultural projects</t>
  </si>
  <si>
    <t>1.3.4</t>
  </si>
  <si>
    <t>Document and publish accomplishments</t>
  </si>
  <si>
    <t>To submit of plans and monthly reports</t>
  </si>
  <si>
    <t>36 monthly section reports</t>
  </si>
  <si>
    <t>1 annual report</t>
  </si>
  <si>
    <t>Enhance knowledge and skills</t>
  </si>
  <si>
    <t>3 reports</t>
  </si>
  <si>
    <t>Maintain office cleanliness and upkeeping</t>
  </si>
  <si>
    <t>To implement EMS and cleanliness</t>
  </si>
  <si>
    <t>Enhance awareness of agricultural technologies &amp; updates</t>
  </si>
  <si>
    <t>96 articles</t>
  </si>
  <si>
    <t>To  submit news articles</t>
  </si>
  <si>
    <t xml:space="preserve">1.3.5Administrative Assistance Services </t>
  </si>
  <si>
    <t>Labor component</t>
  </si>
  <si>
    <t>Facilitate submission of needed documentsfor office operation</t>
  </si>
  <si>
    <t>To prepare/record/ facilitation for action of correspondence/reports and other documents including secretariat works</t>
  </si>
  <si>
    <t>300 documents</t>
  </si>
  <si>
    <t>To encode documents</t>
  </si>
  <si>
    <t>6 designs documents</t>
  </si>
  <si>
    <t>To prepare of  designs for posters/streamers</t>
  </si>
  <si>
    <t>24 back-up of data files</t>
  </si>
  <si>
    <t>To maintain IT</t>
  </si>
  <si>
    <t>SUSTAINABLE INTEGRATED AGRIBUSINESS PROGRAM</t>
  </si>
  <si>
    <t>1.5. Service Delivery Enhancement Program</t>
  </si>
  <si>
    <t>To improve the support in the delivery of services</t>
  </si>
  <si>
    <t>1.5.1 Participatory Planning and Capability Enhancement Project</t>
  </si>
  <si>
    <t xml:space="preserve">To establish &amp; enhance capability &amp; participatory planning </t>
  </si>
  <si>
    <t>1.5.1.1 Facilitates the preparation  of Work &amp; Financial Plan 2014 of OPA</t>
  </si>
  <si>
    <t xml:space="preserve">To synchronize Work plans and corresponding budget </t>
  </si>
  <si>
    <t>1.5.1.2  Facilitates  OPA Mid &amp; Year-End Assessment &amp; Planning Workshops</t>
  </si>
  <si>
    <t>P140,000</t>
  </si>
  <si>
    <t>4 workshops</t>
  </si>
  <si>
    <t xml:space="preserve">To formulate Program plans  by key personnel </t>
  </si>
  <si>
    <t>1.5.1.3  Facilitates  the Operational Planning Workshop for OPA</t>
  </si>
  <si>
    <t>P70,000</t>
  </si>
  <si>
    <t xml:space="preserve">To plan programs   ahead for budget </t>
  </si>
  <si>
    <t>1.5.1.4  Facilitates  the preparation of Annual Investment &amp; Development  Plan 2015</t>
  </si>
  <si>
    <t xml:space="preserve">To prepare budget for the succeeding year  </t>
  </si>
  <si>
    <t>1.5.1.5 Facilitates/Presides PCCAF meetings/ activities</t>
  </si>
  <si>
    <t>13 meetings</t>
  </si>
  <si>
    <t xml:space="preserve">To enhance strong collaboration among Agri-sectors  </t>
  </si>
  <si>
    <t>1.5.1.7  Consults/ Coordinates with Other Division on Planning  concern</t>
  </si>
  <si>
    <t>12 coordination</t>
  </si>
  <si>
    <t xml:space="preserve">To enhance strong coordination among divisions especially  on planning   </t>
  </si>
  <si>
    <t>1.5.2. Database Institutionalization Dev’t. Project</t>
  </si>
  <si>
    <t>To institutionalize participatory database development</t>
  </si>
  <si>
    <t>1.5.2.1. Database Capability Enhancement</t>
  </si>
  <si>
    <t>To capacitate users for database</t>
  </si>
  <si>
    <t>1.5.2.1.1 Coordinates/ consultations on agri-project implementation</t>
  </si>
  <si>
    <t xml:space="preserve">To enhance effective coordination/ consultation   </t>
  </si>
  <si>
    <t>1.5.2.2.  Database Systematization</t>
  </si>
  <si>
    <t>To ensure Database is managed Systematically</t>
  </si>
  <si>
    <t>1.5.2.2.1  Fine tuning of server</t>
  </si>
  <si>
    <t>1 server</t>
  </si>
  <si>
    <t>To ensure effective services of the agri-website</t>
  </si>
  <si>
    <t>1.5.2.2.2  Regular updating of ports</t>
  </si>
  <si>
    <t>27 ports</t>
  </si>
  <si>
    <t>To ensure effective services of IT equipment</t>
  </si>
  <si>
    <t>1.5.2.2.3  Regular monitoring of  system and website status</t>
  </si>
  <si>
    <t>1 website &amp; 1 system</t>
  </si>
  <si>
    <t>To ensure Website &amp; system are functioning</t>
  </si>
  <si>
    <t>1.5.2.2.4 Preparation of data templates</t>
  </si>
  <si>
    <t xml:space="preserve">To obtain a uniform templates  </t>
  </si>
  <si>
    <t>1.5.2.2.5  Collection of data</t>
  </si>
  <si>
    <t>8 data</t>
  </si>
  <si>
    <t xml:space="preserve">To  ensure data well collected  </t>
  </si>
  <si>
    <t>1.5.2.2.6  Data Analysis</t>
  </si>
  <si>
    <t>8 sets of data</t>
  </si>
  <si>
    <t xml:space="preserve">To analyse data  </t>
  </si>
  <si>
    <t>1.5.2.2.7  Data       Controlling</t>
  </si>
  <si>
    <t>7 div. data</t>
  </si>
  <si>
    <t xml:space="preserve">To control data  minimal errors </t>
  </si>
  <si>
    <t>1.5.2.2.8 Uploading pictures &amp; videos in Agri-IS</t>
  </si>
  <si>
    <t xml:space="preserve">To upload for future use  </t>
  </si>
  <si>
    <t>1.5.2.2.9  Develop database on priority commodities re: rice, corn, vegetables &amp; tilapia</t>
  </si>
  <si>
    <t>4 commodities</t>
  </si>
  <si>
    <t xml:space="preserve">To develop user friendly database  </t>
  </si>
  <si>
    <t>1.5.3. Monitoring Development Project</t>
  </si>
  <si>
    <t>To monitor the  projects for updates</t>
  </si>
  <si>
    <t>1.5.3.1. Monitoring of Purok  Power Movement activities</t>
  </si>
  <si>
    <t>22 projects</t>
  </si>
  <si>
    <t xml:space="preserve">To obtain Project updates  ready for reference </t>
  </si>
  <si>
    <t>1.5.4. Program Management</t>
  </si>
  <si>
    <t>To  update on the activities  from time to time</t>
  </si>
  <si>
    <t xml:space="preserve">1.5.4.1. Compiles  monthly accomplishment of Employees </t>
  </si>
  <si>
    <t>12 times</t>
  </si>
  <si>
    <t xml:space="preserve">To compile accomplishments for easy retrieval  </t>
  </si>
  <si>
    <t>1.5.4.2. Prepares/ consolidates:</t>
  </si>
  <si>
    <t>1.5.4.2.1.  Year –end Narrative Accomplishment &amp; Physical Reports &amp; mid- year &amp; year –end highlights</t>
  </si>
  <si>
    <t xml:space="preserve">To consolidate  reports for submission &amp; safekeeping   </t>
  </si>
  <si>
    <t>1.5.4.2.2. Monthly Highlights of Accomp. Per Division</t>
  </si>
  <si>
    <t>12  times</t>
  </si>
  <si>
    <t xml:space="preserve">To compile for easy retrieval </t>
  </si>
  <si>
    <t>1.5.4.2.3 O PA Annual Investment/ Ann.Dev’t.Plan</t>
  </si>
  <si>
    <t xml:space="preserve">To consolidate AIP &amp; annual development plan  for next year   </t>
  </si>
  <si>
    <t>1.5.4.2.4  PAO Physical &amp; Financial Status Report</t>
  </si>
  <si>
    <t xml:space="preserve">To consolidate the physical &amp; financial status of OPA  </t>
  </si>
  <si>
    <t>1.5.4.3  Prepares News /press release</t>
  </si>
  <si>
    <t>8 news articles</t>
  </si>
  <si>
    <t xml:space="preserve">To disseminate agri info </t>
  </si>
  <si>
    <t>1.5.4.4  Attendance to Meetings</t>
  </si>
  <si>
    <t>24 meetings</t>
  </si>
  <si>
    <t xml:space="preserve">To learn  Updates of activities   </t>
  </si>
  <si>
    <t>1.5 .4.5   Prepares Notice of Meetings, Phone Brigades, BLECS Msg. for PCCAF members</t>
  </si>
  <si>
    <t>780 mtsg, 12 times phone brigade, 12 BLECS</t>
  </si>
  <si>
    <t xml:space="preserve">To be able to conduct a well –attended mtg   </t>
  </si>
  <si>
    <t>1.5.4.6  Takes the minutes during PCCAF meeting</t>
  </si>
  <si>
    <t>12 doc.</t>
  </si>
  <si>
    <t xml:space="preserve">To document minutes of mtg </t>
  </si>
  <si>
    <t>1.5.4.7 Prepares &amp; encodes the minutes of the PCCAF meeting</t>
  </si>
  <si>
    <t xml:space="preserve">To prepare minutes of the previous mtg for the coming mtg  </t>
  </si>
  <si>
    <t>1.5.4.8  Presides/onduct  division meeting</t>
  </si>
  <si>
    <t xml:space="preserve">  36 div. meetings</t>
  </si>
  <si>
    <t xml:space="preserve">To see to it Div. activities is well carried out </t>
  </si>
  <si>
    <t>1.5.4.9 Conducts 5S at planning premise for conducive working place</t>
  </si>
  <si>
    <t>1 premise</t>
  </si>
  <si>
    <t xml:space="preserve">To ensure a clean &amp; conducive working division area  </t>
  </si>
  <si>
    <t>1.5.4.10  Attend to Request of Customers (co-employees, supervisors, clients)</t>
  </si>
  <si>
    <t>36 requests</t>
  </si>
  <si>
    <t xml:space="preserve">To attend to clientele request  </t>
  </si>
  <si>
    <t xml:space="preserve">1.5.4.11  Facilitates the purchase of office supplies for the division </t>
  </si>
  <si>
    <t xml:space="preserve">To be able to prepare reports on time </t>
  </si>
  <si>
    <t xml:space="preserve">1.5.4.12. Facilitates the purchase of office equipment for the database systematization </t>
  </si>
  <si>
    <t>desktop, printer, camera</t>
  </si>
  <si>
    <t xml:space="preserve">To facilitate the purchase of office equipment   </t>
  </si>
  <si>
    <t>1.5.4.13   Facilitates the hiring of additional staff</t>
  </si>
  <si>
    <t>Job Order workers</t>
  </si>
  <si>
    <t xml:space="preserve">To deliver our services to clientele on time   </t>
  </si>
  <si>
    <t>1.5.4.14   Photocopying &amp; Risograph services</t>
  </si>
  <si>
    <t>200 pcs</t>
  </si>
  <si>
    <t xml:space="preserve">To Reproduce documents    </t>
  </si>
  <si>
    <t>1.5.4.15    Liaisoning</t>
  </si>
  <si>
    <t>50 impt papers</t>
  </si>
  <si>
    <t xml:space="preserve">To ensure Impt papers reached the right destination  </t>
  </si>
  <si>
    <t>1.5.4.16 Facilitates the purchase of fuel and other lubricants</t>
  </si>
  <si>
    <t>gasoline purchsed</t>
  </si>
  <si>
    <t xml:space="preserve">To be able to reach our projects on time  </t>
  </si>
  <si>
    <t>OTHER RELATED ACTIVITIES:1.5.4.17   Conduct Nutrition Evaluation  in the mun.</t>
  </si>
  <si>
    <t>10 mun.</t>
  </si>
  <si>
    <t xml:space="preserve">T0 evaluate mun. nutrition program  </t>
  </si>
  <si>
    <t>1.5.4.19   Document Bahay-Kubo FAITH HOPE and Gulayan sa Paaralan winners</t>
  </si>
  <si>
    <t>12 winners</t>
  </si>
  <si>
    <t xml:space="preserve">To document nominees &amp; winners   </t>
  </si>
  <si>
    <t>1.5.4.20  Conduct radio farm program</t>
  </si>
  <si>
    <t>48 hrs.</t>
  </si>
  <si>
    <t xml:space="preserve">To disseminate  agri-information  </t>
  </si>
  <si>
    <t>1.5.4.21  Review Comprehensive Land Use Plan (CLUP) of municipalities</t>
  </si>
  <si>
    <t>2 CLUPs</t>
  </si>
  <si>
    <t xml:space="preserve">To harmonize CLUPs of the different mun.  </t>
  </si>
  <si>
    <t>1.5.4.22 Attend PTWG review on CLUPs</t>
  </si>
  <si>
    <t xml:space="preserve">To make comments for the improvement of CLUPs </t>
  </si>
  <si>
    <t>1.3.2.1.11</t>
  </si>
  <si>
    <t xml:space="preserve">- Vermicompost Production </t>
  </si>
  <si>
    <t>-  Vermiworm Dispersal</t>
  </si>
  <si>
    <t>To ensure availability of organic inputs</t>
  </si>
  <si>
    <t>1.3.2.1.12Production of Natural Farming Systems (NFS) Concoctions</t>
  </si>
  <si>
    <t>1.3.2.1.13</t>
  </si>
  <si>
    <t>Production of Trichogramma &amp; earwig</t>
  </si>
  <si>
    <t>Info dessimination</t>
  </si>
  <si>
    <t>1.2. AGRIBUSINESS DEVELOPMENT PROGRAM</t>
  </si>
  <si>
    <t xml:space="preserve">1.2.1 Market Access Development Project </t>
  </si>
  <si>
    <t xml:space="preserve">1.2.1.1 Market Reconnaissance and Development </t>
  </si>
  <si>
    <t xml:space="preserve">-Conduct market research for agri-fishery products </t>
  </si>
  <si>
    <t>P30,000-Office supplies</t>
  </si>
  <si>
    <t xml:space="preserve"> P30,000 – Gasoline</t>
  </si>
  <si>
    <t>P10,000 - Catering</t>
  </si>
  <si>
    <t>-30 respondents interviewed</t>
  </si>
  <si>
    <t>-2 buyers / suppliers info. guide updated</t>
  </si>
  <si>
    <t>-1 case study on supply &amp; demand info. conducted</t>
  </si>
  <si>
    <t>- price updated weekly (52) &amp; uploaded to Agri IS</t>
  </si>
  <si>
    <t>-monthly report on shipment of products(12)</t>
  </si>
  <si>
    <t>-1 technical report</t>
  </si>
  <si>
    <t>To help farmers and fisherfolks in the marketing of produce</t>
  </si>
  <si>
    <t>1.2.1.2 Market Linkaging &amp; Networking</t>
  </si>
  <si>
    <t>-Facilitate the conduct of market consultation / market matching</t>
  </si>
  <si>
    <t>- Provide market information to clients</t>
  </si>
  <si>
    <t xml:space="preserve">- 10 products match to buyers </t>
  </si>
  <si>
    <t>-12 market matching activities</t>
  </si>
  <si>
    <t xml:space="preserve">-10 clients provided w/ marketing info   </t>
  </si>
  <si>
    <t>1.2.1.3 Marketing Support    &amp; Facilitation</t>
  </si>
  <si>
    <t>P100,000 - Catering</t>
  </si>
  <si>
    <t>- 4 meetings of the Bohol VCO Producer’s Ass’n. &amp; Fish Price TWG/Council conducted</t>
  </si>
  <si>
    <t>To facilitate the growers in te marketing of produce</t>
  </si>
  <si>
    <t xml:space="preserve">P100,000 -  Supplies &amp; Materials  </t>
  </si>
  <si>
    <t xml:space="preserve">P 50,000 - Gasoline        </t>
  </si>
  <si>
    <t xml:space="preserve">P50,000 - Gasoline  </t>
  </si>
  <si>
    <t>4 Bagsakan centers monitored &amp; assisted</t>
  </si>
  <si>
    <t xml:space="preserve">P 179,200 -Ornamental plants rental  </t>
  </si>
  <si>
    <t>Provision of ornamental plants by the Bohol Green Earth Society Producers Coop as indoor decoration at the Governor’s Mansion</t>
  </si>
  <si>
    <t xml:space="preserve">1.2.2   Agri-Fishery Promotion Project </t>
  </si>
  <si>
    <t>1.2.2.1 Conduct of Local Promotional Events</t>
  </si>
  <si>
    <t>P 750,000</t>
  </si>
  <si>
    <t>Supplies &amp; Materials</t>
  </si>
  <si>
    <t>Catering, Prizes</t>
  </si>
  <si>
    <t xml:space="preserve">3 promotional events </t>
  </si>
  <si>
    <t>Info dissemination thru the conduct of promotional events</t>
  </si>
  <si>
    <t>1.2.2.2 Participation in national promotional events</t>
  </si>
  <si>
    <t>P15,000  – Airfare / travel expenses</t>
  </si>
  <si>
    <t>To learn more  thru participation of nat’l promo</t>
  </si>
  <si>
    <t>-Facilitate in the implementation &amp; promotion of Gulayan sa Paaralan</t>
  </si>
  <si>
    <t>P 50,000 – Supplies &amp; Materials</t>
  </si>
  <si>
    <t>-Facilitate in the Promotion of Consumer Conservation Measures of Prime Agri-commodities and Suhid sa Malampusong Mag-uumang Bol-anon</t>
  </si>
  <si>
    <t>P 120,000 – Awards/ Prizes</t>
  </si>
  <si>
    <t>-2000 Printed Materials produced &amp; distributed</t>
  </si>
  <si>
    <t>-27  categories (SUHID) awarded and recognized</t>
  </si>
  <si>
    <t>1.2.2.3  Awards &amp; Recognition to Outstanding Achievers in Agriculture &amp; Fisheries</t>
  </si>
  <si>
    <t xml:space="preserve">P 5,000 -Supplies      </t>
  </si>
  <si>
    <t xml:space="preserve">-5   Nominees  for GAWAD SAKA 2012 search </t>
  </si>
  <si>
    <t xml:space="preserve">-6 activities </t>
  </si>
  <si>
    <t>To facilitate  the giving of awards to Outstanding Achievers I n Agriculture</t>
  </si>
  <si>
    <t>1.2.2.4 Operationalization of FITS Center</t>
  </si>
  <si>
    <t xml:space="preserve">P100,000 – Supplies &amp; Materials </t>
  </si>
  <si>
    <t>1 Operational FITS Center  maintained</t>
  </si>
  <si>
    <t>To maintain ProFITS center</t>
  </si>
  <si>
    <t xml:space="preserve">1.2.2.5 Production and Reproduction of IEC material </t>
  </si>
  <si>
    <t xml:space="preserve">P 25,000 - Office Supplies      </t>
  </si>
  <si>
    <t>6,250 copies of  agri-fishery reading materials distributed</t>
  </si>
  <si>
    <t>To disseminate agr info</t>
  </si>
  <si>
    <t>1.2.2.6 Preparation and submission of  news articles (print &amp; broadcast)</t>
  </si>
  <si>
    <t>P 25,000 - Office Supplies</t>
  </si>
  <si>
    <t xml:space="preserve">-6 newsletter   </t>
  </si>
  <si>
    <t xml:space="preserve">-30 news article </t>
  </si>
  <si>
    <t>To disseminate agri info thru print &amp; broadcast</t>
  </si>
  <si>
    <t>1.2.2.7 Facilitating Radyo Eskwela</t>
  </si>
  <si>
    <t>Info dissemination thru radio broadcasting</t>
  </si>
  <si>
    <t>1.2.3 Production Enhancement Project</t>
  </si>
  <si>
    <t>P50,000 - Ingredients/</t>
  </si>
  <si>
    <t>P50,000 - Fuel</t>
  </si>
  <si>
    <t xml:space="preserve">4 Agri-fishery products developed </t>
  </si>
  <si>
    <t>-1 Business Incubator Project (Tilapia based product)</t>
  </si>
  <si>
    <t>-3 new agribusinesses supporting agri</t>
  </si>
  <si>
    <t xml:space="preserve">1.2.3.1 Capability Building in Support to Entrepreneurial Dev’t </t>
  </si>
  <si>
    <t>P 50,000 - Office Supplies, Fuel, Catering</t>
  </si>
  <si>
    <t xml:space="preserve">6 Agri-entrepreneurship trainings w/25 pax (attendance sheets, pictures, 2 reports prepared </t>
  </si>
  <si>
    <t>To capacitate for Entrepreneurial development</t>
  </si>
  <si>
    <t>-1 business</t>
  </si>
  <si>
    <t>Plan w/ 15 pax(attendance sheets &amp;  doc.)</t>
  </si>
  <si>
    <t xml:space="preserve">1.2.3.2 Development of Market Driven Products </t>
  </si>
  <si>
    <t>Ingredients/</t>
  </si>
  <si>
    <t>Supplies –</t>
  </si>
  <si>
    <t>P200,000 MOE</t>
  </si>
  <si>
    <t>P5,000 - Ingredients/</t>
  </si>
  <si>
    <t>- 10 processing trials</t>
  </si>
  <si>
    <t xml:space="preserve">- 10 packaging trials </t>
  </si>
  <si>
    <t xml:space="preserve">- 10 skills training on product processing </t>
  </si>
  <si>
    <t>- 2 labeling materials</t>
  </si>
  <si>
    <t>Printed &amp; tested</t>
  </si>
  <si>
    <t xml:space="preserve">- 15 products  </t>
  </si>
  <si>
    <t>(3) Products market tested and feedback gathere</t>
  </si>
  <si>
    <t>-1 display center of Bohol MADe products</t>
  </si>
  <si>
    <t>To develop Marketg Driven Products</t>
  </si>
  <si>
    <t xml:space="preserve">1.2.3.3 Agribusiness Assessment </t>
  </si>
  <si>
    <t>P 50,000 - Supplies/Fuel /Food</t>
  </si>
  <si>
    <t>- 6 agri-assessments workshop</t>
  </si>
  <si>
    <t xml:space="preserve">- 6 reports prepared </t>
  </si>
  <si>
    <t>To assess Agribusiness activities</t>
  </si>
  <si>
    <t>Preparation and submission of news articles</t>
  </si>
  <si>
    <t xml:space="preserve">P 5,000 - Supplies </t>
  </si>
  <si>
    <t>30 news article prepared &amp; submitted</t>
  </si>
  <si>
    <t>Facilitate meetings for Bohol MADe, RWEE &amp; gardener’s association</t>
  </si>
  <si>
    <t xml:space="preserve">P 15,000 - Catering / Supplies </t>
  </si>
  <si>
    <t xml:space="preserve">-12 meetings </t>
  </si>
  <si>
    <t>1.2.4 Institutional Development Program</t>
  </si>
  <si>
    <t>1.2.4.1 Strengthening of assisted Peoples Organizations</t>
  </si>
  <si>
    <t xml:space="preserve">P5,000 - Supplies </t>
  </si>
  <si>
    <t xml:space="preserve">P45,000 - Catering Services </t>
  </si>
  <si>
    <t xml:space="preserve">P 10,000 - Training       </t>
  </si>
  <si>
    <t xml:space="preserve">6 activities facilitated   </t>
  </si>
  <si>
    <t>To srenthen assisted People’s Organizations</t>
  </si>
  <si>
    <t>Supplies P50,000; gasoline P100,000 and catering</t>
  </si>
  <si>
    <t>Facilitated 80 org/ass./coop assisted (Bohol MADe, BAFF, RWEE, BGLPC,BPSFPC, BIFGA, FYEE, BOFAMCO, BUGA, VCO Assn., 4-H Club/FAs/RICs</t>
  </si>
  <si>
    <t xml:space="preserve">2 checks released </t>
  </si>
  <si>
    <t xml:space="preserve">P 10,000 - Training Supplies </t>
  </si>
  <si>
    <t xml:space="preserve">P 50,000 - Gasoline  </t>
  </si>
  <si>
    <t xml:space="preserve">P 100,000Catering Services        </t>
  </si>
  <si>
    <t>-Facilitated trainings to 80  Org./ Growers/ Association /Cooperatives Assisted</t>
  </si>
  <si>
    <t>(Bohol MADe, BAFF, RWEE, BGLPC,BPSFPC, BIFGA,FYEE, BOFAMCO,BUGA, VCO Assn., 4-H Club/FA’s/RICs</t>
  </si>
  <si>
    <t>-2 checks released</t>
  </si>
  <si>
    <t>Capacitation trainings for KAABAG workers</t>
  </si>
  <si>
    <t>P 938,200 - -Supplies &amp; mat, Food, Gasoline</t>
  </si>
  <si>
    <t>P140,000 – laptop</t>
  </si>
  <si>
    <t>To capacitate KAABAG workers</t>
  </si>
  <si>
    <t>Attendance to meetingss</t>
  </si>
  <si>
    <t>P 60,000 - TEV</t>
  </si>
  <si>
    <t>12 meetings attended in the municipal/regional/national level</t>
  </si>
  <si>
    <t>1.2.4.3 Resource Mobilization (for livelihood projects)</t>
  </si>
  <si>
    <t xml:space="preserve">3 proposals/ IGP’s </t>
  </si>
  <si>
    <t>1.2.4.4 Coordinate in the implementation of AKBAY-PINOY Agrikulturang Kaagapay ng Bayan Pinoy Program</t>
  </si>
  <si>
    <t xml:space="preserve">  P 5,000 - Supplies –         P 30,000 - Gasoline</t>
  </si>
  <si>
    <t>12 monitoring activities / status reports submitted</t>
  </si>
  <si>
    <t>P 4,547,400.00</t>
  </si>
  <si>
    <t>1.1.1.1.7.2 Staff Development &amp; outside province travel - Support to Trainings/ conference/ congress</t>
  </si>
  <si>
    <t>News released/ circulated</t>
  </si>
  <si>
    <t>bility of corn seeds/ 30bags</t>
  </si>
  <si>
    <t>production/ 400 bags</t>
  </si>
  <si>
    <t>1.2.7.2 Facilitate implementation / organization of KaABAG in every purok province-wide</t>
  </si>
  <si>
    <t>10  pilot barangays</t>
  </si>
  <si>
    <t>1.2.8.1 Conduct of Corn- Cassava Production Training for farmers</t>
  </si>
  <si>
    <t>1.2.8.2 Conduct of Field Day in corn/ cassava demo site</t>
  </si>
  <si>
    <t>1.2.9 Capacitation of MLGUs &amp; Corn Farmers in availing assistance and linkaging to to support institution</t>
  </si>
  <si>
    <t xml:space="preserve">prodn ( Tarpaulines, Stickers &amp; brochures)  </t>
  </si>
  <si>
    <t>meeting/ 4 meetings</t>
  </si>
  <si>
    <t>conduct of Corn Technicians Meeting</t>
  </si>
  <si>
    <t>tion/submission of Technician reports</t>
  </si>
  <si>
    <t>Growers province-wide with area &amp; location</t>
  </si>
  <si>
    <t>crop programming &amp; promotion/4 P.Os</t>
  </si>
  <si>
    <t>To augment labor force by hiring new job/ 4 casuals</t>
  </si>
  <si>
    <t>1.3 CASSAVA-BASED FARMING SYSTEM</t>
  </si>
  <si>
    <t>1.3.1 Distribution of Cassava planting materials</t>
  </si>
  <si>
    <t>To ensure availability of cassava / 25000 seed pecies</t>
  </si>
  <si>
    <t>1.1.1.4.1.Facilitate/co-facilitate the conduct of SLT  Vegetables</t>
  </si>
  <si>
    <t>1.1.1.5.1.Linkaging &amp; capacitation of POs for funding assistance</t>
  </si>
  <si>
    <t>15 profiles/ mun.</t>
  </si>
  <si>
    <t>1.1.1.7.1.2.1. Info materials devt. &amp; dissemination/ Distribution of Info Materials and Tarpaulins</t>
  </si>
  <si>
    <t>1.1.1.8.1.Attendance to conferences / workshops/ congresses/etc</t>
  </si>
  <si>
    <t xml:space="preserve">7 mtgs/ trngs/ workshop </t>
  </si>
  <si>
    <t xml:space="preserve">To conduct meetings/ trngs/ workshop </t>
  </si>
  <si>
    <t>1.1.1.8.2.Conduct of  meetings/ trainings/ wokshops</t>
  </si>
  <si>
    <t>To conduct meetings/ trngs/ workshop</t>
  </si>
  <si>
    <t xml:space="preserve">To facilitate monthly meeting 6 monthly meeting </t>
  </si>
  <si>
    <t xml:space="preserve">Monitoring/ Implementation of Projects </t>
  </si>
  <si>
    <t>To procure Supplies and Materials/ Tarpaulins</t>
  </si>
  <si>
    <t>To facilitae meetings/ conferences</t>
  </si>
  <si>
    <t>To source out machinary and equipment/ facilities for the farm</t>
  </si>
  <si>
    <t xml:space="preserve">         Administrative Officer III</t>
  </si>
  <si>
    <t xml:space="preserve">  Barangay Health Aide</t>
  </si>
  <si>
    <t xml:space="preserve">  Laboratory Aide II</t>
  </si>
  <si>
    <t xml:space="preserve">  Statistician Aide</t>
  </si>
  <si>
    <t>A.- FUNCTIONAL STATEMENT</t>
  </si>
  <si>
    <t>Implementation of Personnel Mechanism such as the:</t>
  </si>
  <si>
    <t xml:space="preserve">RECRUITMENT, SELECTION AND PLACEMENT DIVISION </t>
  </si>
  <si>
    <t>HR Planning</t>
  </si>
  <si>
    <t>-Two (2) Separate workshops with all PGBh Administrative Officers</t>
  </si>
  <si>
    <t>100,000.00</t>
  </si>
  <si>
    <t>10 Offices</t>
  </si>
  <si>
    <t>10 Ordinances</t>
  </si>
  <si>
    <t>RECRUITMENT PROGRAM</t>
  </si>
  <si>
    <t>Filling up of vacant positions</t>
  </si>
  <si>
    <t>50 positions filled- up including TARSIER staff</t>
  </si>
  <si>
    <t>2 plantilla</t>
  </si>
  <si>
    <t>12 lists of vacant positions</t>
  </si>
  <si>
    <t>5 lists notice of vacancies</t>
  </si>
  <si>
    <t>400-regular</t>
  </si>
  <si>
    <t>400 applications</t>
  </si>
  <si>
    <t>Updating of Job Descriptions</t>
  </si>
  <si>
    <t>Updated Job Descriptions of 4 Departments/Offices</t>
  </si>
  <si>
    <t>Workshop completion reports</t>
  </si>
  <si>
    <t>Departments/ Offices updated Job Description Manual</t>
  </si>
  <si>
    <t>200 positions</t>
  </si>
  <si>
    <t>Conduct of Pre- screening of applicants</t>
  </si>
  <si>
    <t>Test questions</t>
  </si>
  <si>
    <t>Notices to qualified applicants for Pre-screenings</t>
  </si>
  <si>
    <t>Report of Ratings</t>
  </si>
  <si>
    <t>5 sessions       300 applicants</t>
  </si>
  <si>
    <t xml:space="preserve"> Facilitation of PSB Screening/interview</t>
  </si>
  <si>
    <t>Notices to qualified applicants for screenings/interview</t>
  </si>
  <si>
    <t>Comparative Data of Applicants</t>
  </si>
  <si>
    <t>Score sheets</t>
  </si>
  <si>
    <t xml:space="preserve">Attendance sheets </t>
  </si>
  <si>
    <t>minutes</t>
  </si>
  <si>
    <t xml:space="preserve">8 sessions      </t>
  </si>
  <si>
    <t>150 interviewees</t>
  </si>
  <si>
    <t>50 sheets</t>
  </si>
  <si>
    <t>2 reams</t>
  </si>
  <si>
    <t>8 sheets</t>
  </si>
  <si>
    <t>8-minutes</t>
  </si>
  <si>
    <t>Submission of PSB Reports to the HRMD Head for the Governor’s final selection</t>
  </si>
  <si>
    <t>Summary of Ratings</t>
  </si>
  <si>
    <t>Background Investigation Report</t>
  </si>
  <si>
    <t>PSB Final Screening Report</t>
  </si>
  <si>
    <t>Governor’s final action</t>
  </si>
  <si>
    <t>50 PSB Reports</t>
  </si>
  <si>
    <t>Preparation and processing of appointments, Job Orders, Contracts</t>
  </si>
  <si>
    <t>Approved Appointments</t>
  </si>
  <si>
    <t>50 - regular           60 sheets-casual plantilla(GO,SEF &amp; SP)</t>
  </si>
  <si>
    <t>Data Banking of  Job  Order Employees</t>
  </si>
  <si>
    <t>Updated List of Job Order workers</t>
  </si>
  <si>
    <t>1,000 JOs</t>
  </si>
  <si>
    <t xml:space="preserve"> Briefing &amp; deployment of new entrants employees</t>
  </si>
  <si>
    <t>Briefing of new entrants conducted/ documented</t>
  </si>
  <si>
    <t>40 new entrants</t>
  </si>
  <si>
    <t xml:space="preserve"> Coordinate with the CODD re: conduct of orientation of newly appointed employees (Regular and Plantilla casuals)</t>
  </si>
  <si>
    <t>List of newly hired employees</t>
  </si>
  <si>
    <t>Memo for Orientation</t>
  </si>
  <si>
    <t>2 sessions</t>
  </si>
  <si>
    <t xml:space="preserve"> Submission of Reports on Appointments Issued to the CSC</t>
  </si>
  <si>
    <t>Validated RAI</t>
  </si>
  <si>
    <t>12 RAI</t>
  </si>
  <si>
    <t>Preparation of communication and certifications</t>
  </si>
  <si>
    <t>Acknowledgement and other related correspondence</t>
  </si>
  <si>
    <t>Certification of Savings out of unfilled positions as requested</t>
  </si>
  <si>
    <t>Supporting Certifications for PEI claims of JOB Order and Contractual Workers</t>
  </si>
  <si>
    <t>1,000 employment record</t>
  </si>
  <si>
    <t>200 certifications</t>
  </si>
  <si>
    <t>5 certifications of savings</t>
  </si>
  <si>
    <t>CAREER AND ORGANIZATIONAL DEVELOPMENT DIVISION</t>
  </si>
  <si>
    <t>Implementation of  Capacity Development Program</t>
  </si>
  <si>
    <t>Approved Activity Design</t>
  </si>
  <si>
    <t>Activity Completion report</t>
  </si>
  <si>
    <t>No. Of Capacity Development</t>
  </si>
  <si>
    <t>No. of training designs</t>
  </si>
  <si>
    <t>No. Of attendees/ attendance sheets</t>
  </si>
  <si>
    <t>Development of  Competency - Based PGBh HRD Plan</t>
  </si>
  <si>
    <t>Competency Based HRD Plan for Non-Road Sector Offices</t>
  </si>
  <si>
    <t>No. Of activities/ workshops conducted</t>
  </si>
  <si>
    <t xml:space="preserve">No. Of offices/ departments </t>
  </si>
  <si>
    <t>No. Of attendance/ participants</t>
  </si>
  <si>
    <t>Development of a Draft Career Plan</t>
  </si>
  <si>
    <t>Draft Career Plan</t>
  </si>
  <si>
    <t>Finalization of PHRMDO Operation Manual</t>
  </si>
  <si>
    <t>Final PHRMDO Operation Manual</t>
  </si>
  <si>
    <t>No. Of activities/ workshop conducted</t>
  </si>
  <si>
    <t>No. Of attendees/ participants</t>
  </si>
  <si>
    <t>Review and Update Human Resource Management and Development Plan including its M&amp;E System that support the development directions of the PGBH</t>
  </si>
  <si>
    <t>Updated HRMD Plan</t>
  </si>
  <si>
    <t xml:space="preserve">No. Of activities/ workshop  conducted </t>
  </si>
  <si>
    <t>No. Of participants</t>
  </si>
  <si>
    <t>Facilitate LTT  nomination and other HRODF engagements</t>
  </si>
  <si>
    <t>Minutes of HRDC meetings</t>
  </si>
  <si>
    <t>Approved nominations</t>
  </si>
  <si>
    <t>No. nominations</t>
  </si>
  <si>
    <t>No. Of LTT slots</t>
  </si>
  <si>
    <t>No. Of Cap Dev. provided/ funded  by HRODF</t>
  </si>
  <si>
    <t>Enhance HRDC Rules and Policies</t>
  </si>
  <si>
    <t>Institutionalized rules and policies by Executive Order</t>
  </si>
  <si>
    <t>No. Of activities conducted</t>
  </si>
  <si>
    <t>No of participants</t>
  </si>
  <si>
    <t>Capacitate the M&amp;E team on the process of the system</t>
  </si>
  <si>
    <t>Activity Completion</t>
  </si>
  <si>
    <t>Conduct Semi Annual and Annual Monitoring and Evaluation on CD implemented including CD monitoring/ tracking and reporting of programs, project and activities implemented and Monitoring of Re-Entry Plan</t>
  </si>
  <si>
    <t>Semi Annual and Annual M&amp;E reports</t>
  </si>
  <si>
    <t>Tracking Reports</t>
  </si>
  <si>
    <t>REAP Monitoring reports</t>
  </si>
  <si>
    <t>No. Of  monitoring activities conducted</t>
  </si>
  <si>
    <t>No of reports</t>
  </si>
  <si>
    <t>PERFORMANCE REVIEW AND RECOGNITION DIVISION</t>
  </si>
  <si>
    <t>STRATEGIC PERFORMANCE  MANAGEMENT SYSTEM (SPMS) IMPLEMENTATION</t>
  </si>
  <si>
    <t>Coach in the formulation of OPCR and IPCR</t>
  </si>
  <si>
    <t>OPCR and IPCR</t>
  </si>
  <si>
    <t>1 workshop conducted</t>
  </si>
  <si>
    <t>January, 2014</t>
  </si>
  <si>
    <t>March, 2014</t>
  </si>
  <si>
    <t>Review and evaluate  performance ratings</t>
  </si>
  <si>
    <t>20 certifications</t>
  </si>
  <si>
    <t>December, 2014</t>
  </si>
  <si>
    <t>POLICY MONITORING IMPLEMENTATION</t>
  </si>
  <si>
    <t>Establishment of on-line reporting system</t>
  </si>
  <si>
    <t>Reporting system established on- line</t>
  </si>
  <si>
    <t>1 System</t>
  </si>
  <si>
    <t>Monitor compliance of PGBH policies, CSC rules and regulations</t>
  </si>
  <si>
    <t>Employee Monitoring Record</t>
  </si>
  <si>
    <t>RECORDS MANAGEMENT</t>
  </si>
  <si>
    <t>Receive and record incoming documents</t>
  </si>
  <si>
    <t>Recorded documents</t>
  </si>
  <si>
    <t>240 documents recorded</t>
  </si>
  <si>
    <t>Filing of documents</t>
  </si>
  <si>
    <t>Filed documents</t>
  </si>
  <si>
    <t>240 documents filed</t>
  </si>
  <si>
    <t>Prepare communications and administrative issuances</t>
  </si>
  <si>
    <t>10 communication prepared</t>
  </si>
  <si>
    <t>AWARDS AND RECOGNITION</t>
  </si>
  <si>
    <t>Conduct awards and recognition activities</t>
  </si>
  <si>
    <t>Evaluated Nomination documents</t>
  </si>
  <si>
    <t>Consolidated reports</t>
  </si>
  <si>
    <t>List of awardees</t>
  </si>
  <si>
    <t>SUBMISSION OF REPORTS</t>
  </si>
  <si>
    <t>Prepare  and submit reports</t>
  </si>
  <si>
    <t>On – The-Job Trainees (OJT) Engagements Office supplies</t>
  </si>
  <si>
    <t>10 OJT</t>
  </si>
  <si>
    <t>PERSONNEL WELFARE AND EMPLOYEE RELATIONS MANAGEMENT DIVISION</t>
  </si>
  <si>
    <t>Managing the Human Resource Information System (HRIS)</t>
  </si>
  <si>
    <t>Enhancement of HRIS through establishment of additional features/modules</t>
  </si>
  <si>
    <t xml:space="preserve"> Encoding/Updating of additional employees and other related information</t>
  </si>
  <si>
    <t>Generation of DTRs</t>
  </si>
  <si>
    <t>No. of DTR</t>
  </si>
  <si>
    <t>Preparation of payroll registry and transmittal letter to Landbank (sal &amp; other benefits)</t>
  </si>
  <si>
    <t xml:space="preserve"> No. of Payrolls, Pay slips and Transmittal</t>
  </si>
  <si>
    <t>Generation of pay slips</t>
  </si>
  <si>
    <t>No. of signed payslip</t>
  </si>
  <si>
    <t>Updating of leave records</t>
  </si>
  <si>
    <t>Updating of service records</t>
  </si>
  <si>
    <t>Preparation/generation of service records</t>
  </si>
  <si>
    <t>No.of signed service record</t>
  </si>
  <si>
    <t>Provision of personnel records/data/information</t>
  </si>
  <si>
    <t>Preparation/Generation of certifications</t>
  </si>
  <si>
    <t>Implementation of Welfare and Benefits</t>
  </si>
  <si>
    <t>Payroll  preparation</t>
  </si>
  <si>
    <t>Computation of retirement and terminal leave benefits due to employees</t>
  </si>
  <si>
    <t>Review evaluation worksheet submitted by other offices</t>
  </si>
  <si>
    <t>Preparation of personnel schedule/plantilla</t>
  </si>
  <si>
    <t>Implementation of Salary Adjustments</t>
  </si>
  <si>
    <t>- Preparation of NOSA</t>
  </si>
  <si>
    <t>- Facilitate in the signing the NOSA          - Distribution of NOSA</t>
  </si>
  <si>
    <t>Counseling of retireable employees</t>
  </si>
  <si>
    <t>List of counseled employees</t>
  </si>
  <si>
    <t>Counseling of employee’s work related conflicts/problems</t>
  </si>
  <si>
    <t>List of Employees Counseled</t>
  </si>
  <si>
    <t>As need arises</t>
  </si>
  <si>
    <t>Facilitating in the conduct of Grievance and 1st Level Investigation</t>
  </si>
  <si>
    <t>Resolutions signed</t>
  </si>
  <si>
    <t>Preparing Technical Communications</t>
  </si>
  <si>
    <t>Do research on related law and rules in preparing opinion &amp; recommendations</t>
  </si>
  <si>
    <t>Policies, Circulars,  R.A.s</t>
  </si>
  <si>
    <t>Preparation of Indorsements/Referrals/ opinions/memo order/admin order, etc.</t>
  </si>
  <si>
    <t>Records Management</t>
  </si>
  <si>
    <t>Receiving/Recording &amp; filing of leave applications</t>
  </si>
  <si>
    <t>Record Book</t>
  </si>
  <si>
    <t>Filing / Retrieval of documents</t>
  </si>
  <si>
    <t>Submission of Reports</t>
  </si>
  <si>
    <t>Preparation of Accession and separation report</t>
  </si>
  <si>
    <t>Health and Welness Program</t>
  </si>
  <si>
    <t>Facilitate the Conduct of Annual Medical Check-up for PGBh Employees</t>
  </si>
  <si>
    <t>Conducted Yearly</t>
  </si>
  <si>
    <t>Facilitate the Conduct of Weekly “HATAW” Activity</t>
  </si>
  <si>
    <t>Conducted Weekly</t>
  </si>
  <si>
    <t>ADMINISTRATIVE SUPPORT DIVISION</t>
  </si>
  <si>
    <t>Communication /Records Management</t>
  </si>
  <si>
    <t>Receiving  and recording of incoming communication/ documents</t>
  </si>
  <si>
    <t>Filing  of communications/ documents</t>
  </si>
  <si>
    <t>Retrieval of documents</t>
  </si>
  <si>
    <t>Retrieved Documents</t>
  </si>
  <si>
    <t xml:space="preserve">Preparation of </t>
  </si>
  <si>
    <t xml:space="preserve">10 communications </t>
  </si>
  <si>
    <t>Pre-Audit financial documents</t>
  </si>
  <si>
    <t>50 financial documents</t>
  </si>
  <si>
    <t>Customer Service/Technical Assistance</t>
  </si>
  <si>
    <t xml:space="preserve">    -Entertain clients</t>
  </si>
  <si>
    <t xml:space="preserve">    -Answering Telephone calls</t>
  </si>
  <si>
    <t>6,000 phone calls</t>
  </si>
  <si>
    <t>Posting of documents (Memo-Advisory, Announcements, Model Employee Awardees)</t>
  </si>
  <si>
    <t>30 announcement, Memo-Advisory, Model employee</t>
  </si>
  <si>
    <t>Personnel Management</t>
  </si>
  <si>
    <t>Checking Daily Time Records</t>
  </si>
  <si>
    <t>400 DTRs</t>
  </si>
  <si>
    <t>Reports Preparation-Checking attendance - flag raising/retreat ,wearing of uniform, special activity.</t>
  </si>
  <si>
    <t>150 reports</t>
  </si>
  <si>
    <t>Processing of bonds</t>
  </si>
  <si>
    <t xml:space="preserve">2 bond applications </t>
  </si>
  <si>
    <t>Preparation of supporting documents</t>
  </si>
  <si>
    <t>10 financial reports/plans</t>
  </si>
  <si>
    <t>Preparation of Financial Reports/documents</t>
  </si>
  <si>
    <t>2000 financial</t>
  </si>
  <si>
    <t>Property and Supply Inventory</t>
  </si>
  <si>
    <t>Maintenance services</t>
  </si>
  <si>
    <t>January, April,July, October 2014</t>
  </si>
  <si>
    <t>EMS implementation</t>
  </si>
  <si>
    <t>Messengerial/Liaisoning Services</t>
  </si>
  <si>
    <t>Disseminate communications</t>
  </si>
  <si>
    <t>2,000 communications</t>
  </si>
  <si>
    <t>Follow-up documents</t>
  </si>
  <si>
    <t>(payroll ,financial claims,etc)</t>
  </si>
  <si>
    <t>OTHER ACTIVITY: Personnel Development</t>
  </si>
  <si>
    <t>Attend/conduct Capacity Development Activities</t>
  </si>
  <si>
    <t>PHRMDO Mid-Year Assessment</t>
  </si>
  <si>
    <t>1 Mid-Year Assessment</t>
  </si>
  <si>
    <t xml:space="preserve">  Year-end Assessment</t>
  </si>
  <si>
    <t>1 Year-end Assessment</t>
  </si>
  <si>
    <t>Operational Planning</t>
  </si>
  <si>
    <t>1 operational plan</t>
  </si>
  <si>
    <t>Team Building</t>
  </si>
  <si>
    <t>Civil Service Month Celebration</t>
  </si>
  <si>
    <t>4 Activities</t>
  </si>
  <si>
    <t xml:space="preserve">Purchase of Office  Equipment and vehicle </t>
  </si>
  <si>
    <t>2 Desktop Computer, 3 Unit Splitype Aircon,3 Colored Printers,Service  Vehicle (4 wheels),1 Unit RISO machine, 1 Unit Photocopier,1 unit laptop,2 unit UPS</t>
  </si>
  <si>
    <t>And Nov. 2014</t>
  </si>
  <si>
    <t>Quarterly checkup(aircons, computer desktop,laptops, service vehicles, photocopier</t>
  </si>
  <si>
    <t>a. Personal Services</t>
  </si>
  <si>
    <t xml:space="preserve">2 equip-ments sourced out </t>
  </si>
  <si>
    <t>Pcs.  tilapia fry</t>
  </si>
  <si>
    <t xml:space="preserve">Direction in Program </t>
  </si>
  <si>
    <t>No. of P.O/ technician group exposed</t>
  </si>
  <si>
    <t>To strengthen collaboration in the project implementation</t>
  </si>
  <si>
    <t>No. of trainings/ workshops, conferences, forum</t>
  </si>
  <si>
    <t>To sustain program/ projt implementation by hiring 5 staffs</t>
  </si>
  <si>
    <t xml:space="preserve">1.3.1.1 Conduct studies on agriculture and fisheries </t>
  </si>
  <si>
    <t>To conduct of regular monitoring and follow-up of trained farmers</t>
  </si>
  <si>
    <t>1.3.2.1.2.4.2 Available Organic Fertilizers</t>
  </si>
  <si>
    <t>To facilitate development and maintainance /</t>
  </si>
  <si>
    <t>To distribute/ monitor the performance of Rice hull  Carbonizers</t>
  </si>
  <si>
    <t>validate proposed sites for SFR, STW,  Spring</t>
  </si>
  <si>
    <t xml:space="preserve">To participate/ attend to events and other  functions </t>
  </si>
  <si>
    <t>8 sets of pictures/ video</t>
  </si>
  <si>
    <t xml:space="preserve">To prepare &amp; consolidateOPA prog/ proj/ activities </t>
  </si>
  <si>
    <t>Vermi-compost &amp; vermiworms</t>
  </si>
  <si>
    <t xml:space="preserve"> Payment for radio station                          P20,000- awards and prizes </t>
  </si>
  <si>
    <t>1.1.1.2.1.Technology Transfer &amp; Resource Mgt.</t>
  </si>
  <si>
    <t>1.1.1.2.Production Enhancement Program</t>
  </si>
  <si>
    <t>I.   FUNCTIONAL  STATEMENT</t>
  </si>
  <si>
    <r>
      <t xml:space="preserve">                   </t>
    </r>
    <r>
      <rPr>
        <sz val="10"/>
        <color theme="1"/>
        <rFont val="Cambria"/>
        <family val="1"/>
      </rPr>
      <t>The Office utilizes Agribusiness as a tool for catalyzing local/regional economic development . A pool of trainers in agribusiness  was created with the aim of turning Boholano farmers into entrepreneurs. It is a challenge for OPA to increase Farmers,  income thru adding value to their produce</t>
    </r>
  </si>
  <si>
    <t>»        Ensure food sufficiency &amp; security in the province</t>
  </si>
  <si>
    <t>»        Increase agricultural productivity and income of Boholano farmers</t>
  </si>
  <si>
    <t>»        Contribute to the reduction of poverty incidence in the province.</t>
  </si>
  <si>
    <t xml:space="preserve">»        Integrate the “Green Economy” concept into the province’s commercial agriculture development and advocate the adoption of sustainable agriculture practices </t>
  </si>
  <si>
    <t>»        Utilize Agribusiness as a tool for catalyzing local/regional economic development</t>
  </si>
  <si>
    <t xml:space="preserve">»        Promote high productivity at household level in agricultural communities for food sufficiency and agribusiness </t>
  </si>
  <si>
    <t>»        Pilot and replicate successes in small landholding-based agriculture</t>
  </si>
  <si>
    <t>»        Address the challenge of turning farmers into entrepreneurs</t>
  </si>
  <si>
    <t>1.      Increased  self-sufficiency in rice by 120% in 2016</t>
  </si>
  <si>
    <t>Ø Provide revolving fund for seed and fertilizer capital to the farmers;</t>
  </si>
  <si>
    <t>Ø Adopt/streamline community seed banking to ensure sustainable rice production;</t>
  </si>
  <si>
    <t>Ø Adopt technologies to increase yield to 4 tons/ hectare;</t>
  </si>
  <si>
    <t>Ø Increase availment of crop insurance services;</t>
  </si>
  <si>
    <t>Ø Campaign for reduction of rice wastage;</t>
  </si>
  <si>
    <t>Ø Developed alternative source of staple food;</t>
  </si>
  <si>
    <t>2.      Increase  vegetable  production of 15% by 2016</t>
  </si>
  <si>
    <t>»       Provide seeds for backyard vegetable production;</t>
  </si>
  <si>
    <t>»       Establishment of community seed banking;.</t>
  </si>
  <si>
    <t>»       Institutionalize SUHID/ Bahay-Kubo FAITH HOPE/Gulayan sa Paaralan programs;</t>
  </si>
  <si>
    <t>»       Upscaling and promotion of organic inputs and organically grown vegetables;</t>
  </si>
  <si>
    <t>»       Capability development</t>
  </si>
  <si>
    <t>3.      Declare Bohol as an Organic Agriculture Province by 2016</t>
  </si>
  <si>
    <t>»       Convert  5% of the prime agricultural lands into organic agriculture farms;</t>
  </si>
  <si>
    <t>»       Enhancement of organic agriculture technology center;</t>
  </si>
  <si>
    <t>»       Institutionalize the organic marketing clusters;</t>
  </si>
  <si>
    <t>»       Establishment of the Provincial organic show room  and marketing center.</t>
  </si>
  <si>
    <t>4.      Meet the local demand of the peanut industry by 50% in 2016</t>
  </si>
  <si>
    <t>»       Strengthen Peanut Seed Producers Association;</t>
  </si>
  <si>
    <t>»       Provide high quality seeds for Peanut Seed Producers;</t>
  </si>
  <si>
    <t>»       Enhance dispersal seed system on peanut production;</t>
  </si>
  <si>
    <t>»       Establish an aflatoxin testing laboratory;</t>
  </si>
  <si>
    <t>»       Establish a Peanut Trading center in the province..</t>
  </si>
  <si>
    <t>5.      Meet the demand of corn industry by 50% in 2016</t>
  </si>
  <si>
    <t>»       Strengthen the corn seed system;</t>
  </si>
  <si>
    <t>»       Strengthen the Corn Seed Producers Association;</t>
  </si>
  <si>
    <t>»       Provide a revolving fund for the payment of high quality seeds for Corn Seed Producers;</t>
  </si>
  <si>
    <t>»       Provide a revolving fund for the seed requirement of the corn farmers.</t>
  </si>
  <si>
    <t>6.     Meet the 30% of the national demand for violet ubi</t>
  </si>
  <si>
    <t>»       Increase yield of violet ubi to 12 tons/has.</t>
  </si>
  <si>
    <t>»       Create an Ubi Seed System;</t>
  </si>
  <si>
    <t>»       Enhancement of a Violet Ubi Tissue Culture Laboratory;</t>
  </si>
  <si>
    <t>»       Strengthen collaboration with ubi industry players;</t>
  </si>
  <si>
    <t>»       Provide for the seed requirement of the ubi farmers;</t>
  </si>
  <si>
    <t>»       Strengthen ubi research and development.</t>
  </si>
  <si>
    <t>7.       Maximize the potential of the banana industry in the province.</t>
  </si>
  <si>
    <t>»       Enhancement of cardava banana processing industry;</t>
  </si>
  <si>
    <t>»       Upscaling banana production area;</t>
  </si>
  <si>
    <t>»       Strengthen banana growers</t>
  </si>
  <si>
    <t>8.      Meet local demand of fish and fishery products.</t>
  </si>
  <si>
    <t>»       Establish  marine parks in 12 sites in the province run by LGUs;</t>
  </si>
  <si>
    <t>»       Enhance Marine/Inland Hatcheries to support grow-out production;</t>
  </si>
  <si>
    <t>»       Strengthen rural-based organizations;</t>
  </si>
  <si>
    <t>»       Strengthen protection and management of the marine sanctuaries;</t>
  </si>
  <si>
    <t>»       Advocate for strict enforcement of fishery laws and regulations;</t>
  </si>
  <si>
    <t>»       Implement coastal resource management program;</t>
  </si>
  <si>
    <t>»       Increase  production of inland and marine fisheries;</t>
  </si>
  <si>
    <t>»       Institutionalize award and incentive system;</t>
  </si>
  <si>
    <t>»       Strengthen collaboration with line agencies on fishery research and development.</t>
  </si>
  <si>
    <t>9.      Harness the potential of seaweeds in the province.</t>
  </si>
  <si>
    <t>»       Strenghten seaweed seedling banks;</t>
  </si>
  <si>
    <t>»       Establish a village –level eucheuma processing plant;</t>
  </si>
  <si>
    <t>»       Provide input assistance ffor the seaweed farmers;</t>
  </si>
  <si>
    <t>»       Strengthen seaweed farmer organizations;</t>
  </si>
  <si>
    <t>»       Campaign expansion of planting eucheuma in deep sea areas;</t>
  </si>
  <si>
    <t>»       Collaboration with Seaweed Industry Association of the Philippines/Research Institution on seaweed research and development..</t>
  </si>
  <si>
    <t>10.   Harness the potential of oysters in estuarine areas.</t>
  </si>
  <si>
    <t>»       Establish an oyster processing plant;</t>
  </si>
  <si>
    <t>»       Provide input assistance for requirement of the oyster farmers;</t>
  </si>
  <si>
    <t>»       Strengthen oyster growers association;</t>
  </si>
  <si>
    <t>»       Campaign for expansion of oyster production areas.</t>
  </si>
  <si>
    <t>11.  Promote enterprise development in the communities.</t>
  </si>
  <si>
    <t>»       Establish 100 community-based micro  enterprises;</t>
  </si>
  <si>
    <t>»       Create a pool of business service providers;</t>
  </si>
  <si>
    <t>»       Enhance technology service center;</t>
  </si>
  <si>
    <t>»       Strengthen convergence among industry stakeholders;</t>
  </si>
  <si>
    <t>»       Continuous product development;</t>
  </si>
  <si>
    <t>»       Establish linkages with financing windows.</t>
  </si>
  <si>
    <t>12.  Support marketing of agricultural products.</t>
  </si>
  <si>
    <t xml:space="preserve">»       Establish a business incubator for micro enterprises; </t>
  </si>
  <si>
    <t>»       Provide access for micro finance providers;</t>
  </si>
  <si>
    <t>»       Strengthen collaboration on market research and development;.</t>
  </si>
  <si>
    <t>»       Establish linkage  between buyers and suppliers.</t>
  </si>
  <si>
    <r>
      <t xml:space="preserve">·         </t>
    </r>
    <r>
      <rPr>
        <sz val="10"/>
        <color rgb="FF000000"/>
        <rFont val="Cambria"/>
        <family val="1"/>
      </rPr>
      <t xml:space="preserve">Foundation to Registered Rice Seeds  in Upland and Lowland for community seed banking  </t>
    </r>
  </si>
  <si>
    <t xml:space="preserve">·          Registered to Certified Rice Seeds  in Upland and Lowland for community seed banking (formal system)   </t>
  </si>
  <si>
    <t xml:space="preserve">·         Registered to Certified Rice Seeds  in Upland and Lowland for community seed banking (informal system)   </t>
  </si>
  <si>
    <t>·         Japonica Rice</t>
  </si>
  <si>
    <t>·         Basmati for CSB</t>
  </si>
  <si>
    <r>
      <t>1.1.1.1.2 Distribution  Campaign</t>
    </r>
    <r>
      <rPr>
        <b/>
        <sz val="10"/>
        <color rgb="FFFF0000"/>
        <rFont val="Cambria"/>
        <family val="1"/>
      </rPr>
      <t xml:space="preserve"> </t>
    </r>
  </si>
  <si>
    <t>·         Hybrid seeds</t>
  </si>
  <si>
    <t>·         Certified Seeds for CSB</t>
  </si>
  <si>
    <t>·         Upland Rice Seeds</t>
  </si>
  <si>
    <t>·         Crop Insurance</t>
  </si>
  <si>
    <t>·         Accident Insurance</t>
  </si>
  <si>
    <t>·         Organic Fertilizers (Vermicast)</t>
  </si>
  <si>
    <t>·         Dispersal of Bio  Control Agents (Metarhizium and Trichogramma)</t>
  </si>
  <si>
    <t xml:space="preserve">2. Established linkage and networking with line agencies for training </t>
  </si>
  <si>
    <t xml:space="preserve">* Facilitate the conduct of meetings and conferences </t>
  </si>
  <si>
    <r>
      <t xml:space="preserve">        </t>
    </r>
    <r>
      <rPr>
        <sz val="10"/>
        <color theme="1"/>
        <rFont val="Cambria"/>
        <family val="1"/>
      </rPr>
      <t>♦Carp fry produced</t>
    </r>
  </si>
  <si>
    <r>
      <t xml:space="preserve">        </t>
    </r>
    <r>
      <rPr>
        <sz val="10"/>
        <color theme="1"/>
        <rFont val="Cambria"/>
        <family val="1"/>
      </rPr>
      <t>♦New sets of tilpia breeders procured</t>
    </r>
  </si>
  <si>
    <t>-    Maintenance of Fish Bagsakan Center</t>
  </si>
  <si>
    <t>-      Strengthen Landscaper Association</t>
  </si>
  <si>
    <t>Annual Report 2013</t>
  </si>
  <si>
    <t>3. Purchase of Maint. Tools, Material Testing and IT Equipment</t>
  </si>
  <si>
    <t>Roads and bridges tools and testing materials to assure quality of materials and IT equipment for plan preparation and reporting</t>
  </si>
  <si>
    <t xml:space="preserve"> - one office</t>
  </si>
  <si>
    <t>4. Renovation &amp; Repair of Office Building</t>
  </si>
  <si>
    <t>Repairs/construction of office facilites to sought the required need</t>
  </si>
  <si>
    <t>one office</t>
  </si>
  <si>
    <t>Jan. 2015</t>
  </si>
  <si>
    <t>Dec. 2015</t>
  </si>
  <si>
    <t>Jan. 2016</t>
  </si>
  <si>
    <t>Dec. 2016</t>
  </si>
  <si>
    <t>Jan. 2017</t>
  </si>
  <si>
    <t>Dec. 2017</t>
  </si>
  <si>
    <t>1. Constrcution of CEMONC facilities</t>
  </si>
  <si>
    <t>2. Construction of Admin. Office &amp; Medical Records room</t>
  </si>
  <si>
    <t>Patients records safely kept. DOH requirment</t>
  </si>
  <si>
    <t>4. Consruction of Perimeter fence &amp; Guard House</t>
  </si>
  <si>
    <t>7. Breastfeeding Room</t>
  </si>
  <si>
    <t>Level I DOH requirement</t>
  </si>
  <si>
    <t xml:space="preserve">8. Roof painting </t>
  </si>
  <si>
    <t>9. Const. of X-ray room</t>
  </si>
  <si>
    <t>10. Construction of Placenta Pit</t>
  </si>
  <si>
    <t>DENR requirement</t>
  </si>
  <si>
    <t>11. Floor tiling</t>
  </si>
  <si>
    <t>13. Construction of Recovery room</t>
  </si>
  <si>
    <t>14. Renovaion of Morgue w/ septic tank</t>
  </si>
  <si>
    <t>15. Renovation of Dirty Kitchen (wash area for patients accompanying)</t>
  </si>
  <si>
    <t>Patients use</t>
  </si>
  <si>
    <t>Sale of Accountable Forms</t>
  </si>
  <si>
    <t xml:space="preserve">         Accountant III</t>
  </si>
  <si>
    <t xml:space="preserve">         Sr. Admin. Asst. II</t>
  </si>
  <si>
    <t>GO- EDUCATION DEVELOPMENT CENTER</t>
  </si>
  <si>
    <t xml:space="preserve">      General Services -Job Order Casuals</t>
  </si>
  <si>
    <t xml:space="preserve">      Annual Reg. of RP Vehicle of LTO</t>
  </si>
  <si>
    <t xml:space="preserve">      Monitoring &amp; Reporting Activity</t>
  </si>
  <si>
    <t xml:space="preserve">      General Services - 3 Job Order Personnel</t>
  </si>
  <si>
    <t xml:space="preserve">      Observance of Senior Citizens Month celebration</t>
  </si>
  <si>
    <t>Federation of Senior Citizens Associations of the Philippines</t>
  </si>
  <si>
    <t>FUNCTIONAL  STATEMENT, OBJECTIVES AND EXPECTED RESULTS</t>
  </si>
  <si>
    <t xml:space="preserve">1.  To be able to handle first aid, medical and surgical emergencies necessary to save life </t>
  </si>
  <si>
    <t xml:space="preserve">     and limb through acquisition of modern hospital equipments and devices and have</t>
  </si>
  <si>
    <t xml:space="preserve">     continuous availability of medical supplies.</t>
  </si>
  <si>
    <t xml:space="preserve">2. To be able to prepare and/or condition non transportable patients for further evacuation </t>
  </si>
  <si>
    <t xml:space="preserve">    to higher echelon medical services.</t>
  </si>
  <si>
    <t>3. To be able to perform minor surgical cases.</t>
  </si>
  <si>
    <t>4. To be able to attend to the disposition and discharges and admission of patients.</t>
  </si>
  <si>
    <t>5. To be able to accommodate or handle in-patients and/or out-patients.</t>
  </si>
  <si>
    <t>6. To be able to increase hospital revenue collection and bed occupancy through enhanced</t>
  </si>
  <si>
    <t xml:space="preserve">     laboratory and medical services.</t>
  </si>
  <si>
    <t xml:space="preserve">    Implementation</t>
  </si>
  <si>
    <t>Ref</t>
  </si>
  <si>
    <t xml:space="preserve">           Schedule</t>
  </si>
  <si>
    <t>1. MEDICAL SERVICES:</t>
  </si>
  <si>
    <t>Increased #</t>
  </si>
  <si>
    <t xml:space="preserve">satisfied </t>
  </si>
  <si>
    <t>1.1 Prompt admission &amp; discharge</t>
  </si>
  <si>
    <t>of admission</t>
  </si>
  <si>
    <t>recovered</t>
  </si>
  <si>
    <t>of patients.</t>
  </si>
  <si>
    <t xml:space="preserve">and OPD </t>
  </si>
  <si>
    <t>1.2 Enhancement of OPD services.</t>
  </si>
  <si>
    <t>Total patient</t>
  </si>
  <si>
    <t>satisfied</t>
  </si>
  <si>
    <t>2.1 Provide quality nursing care</t>
  </si>
  <si>
    <t>satisfaction</t>
  </si>
  <si>
    <t>patient</t>
  </si>
  <si>
    <t>prompt &amp;</t>
  </si>
  <si>
    <t>3.1 Prompt and accurate results</t>
  </si>
  <si>
    <t>of patients</t>
  </si>
  <si>
    <t>accurate</t>
  </si>
  <si>
    <t>of laboratory examinations.</t>
  </si>
  <si>
    <t>submitted for</t>
  </si>
  <si>
    <t>laboratory</t>
  </si>
  <si>
    <t>results</t>
  </si>
  <si>
    <t>examination.</t>
  </si>
  <si>
    <t># of meals</t>
  </si>
  <si>
    <t xml:space="preserve">80% of </t>
  </si>
  <si>
    <t>4.1 Menu Planning</t>
  </si>
  <si>
    <t>served</t>
  </si>
  <si>
    <t>patient days</t>
  </si>
  <si>
    <t>efficient use</t>
  </si>
  <si>
    <t>2014 income</t>
  </si>
  <si>
    <t>5.1. Human Resource Management</t>
  </si>
  <si>
    <t>of human</t>
  </si>
  <si>
    <t xml:space="preserve">   P 5M</t>
  </si>
  <si>
    <t>5.2 Fiscal Management</t>
  </si>
  <si>
    <t xml:space="preserve">capital &amp; </t>
  </si>
  <si>
    <t>proper accoun-</t>
  </si>
  <si>
    <t>ting of funds</t>
  </si>
  <si>
    <t>6. IMPROVEMENT/UPGRADE</t>
  </si>
  <si>
    <t>serviceable</t>
  </si>
  <si>
    <t>improved</t>
  </si>
  <si>
    <t>hospital facili-</t>
  </si>
  <si>
    <t>facilities &amp;</t>
  </si>
  <si>
    <t>6.1 Repair of hospital facilities</t>
  </si>
  <si>
    <t>ties &amp; upgraded</t>
  </si>
  <si>
    <t>fully upgraded</t>
  </si>
  <si>
    <t>6.2 Acquisition of Modern Hospital</t>
  </si>
  <si>
    <t>hospital services</t>
  </si>
  <si>
    <t>hospital</t>
  </si>
  <si>
    <t>equipments/supplies</t>
  </si>
  <si>
    <t>efficient hospi-</t>
  </si>
  <si>
    <t>quality</t>
  </si>
  <si>
    <t>7.1 Strengthening monitoring &amp;</t>
  </si>
  <si>
    <t>tal services</t>
  </si>
  <si>
    <t>management</t>
  </si>
  <si>
    <t>evaluation systems</t>
  </si>
  <si>
    <t>systems</t>
  </si>
  <si>
    <t xml:space="preserve">             Clarin Community Hospital is a Level I Infirmary Philhealth Accredited hospital with 15 bed capacity,with postal address at Pob. Norte, Clarin, Bohol that is 61 kilometers away from Tagbilaran City where higher medical echelon facilities are found.  This hospital is mandated to serve PHILHEALTH, Non-Philhealth and indigent patients with catchment area of Loon District as the base. Mostly, patients catered were coming from the municipalities of  Clarin, Sagbayan, Inabanga, Carmen, Danao, Dagohoy and Tubigon.</t>
  </si>
  <si>
    <t>NEW APPROPRIATIONS BY PROGRAM/ PROJECT</t>
  </si>
  <si>
    <t xml:space="preserve">Program / Project / Activity </t>
  </si>
  <si>
    <t xml:space="preserve">            Current Operating Expenditures</t>
  </si>
  <si>
    <t xml:space="preserve">Capital </t>
  </si>
  <si>
    <t>Non-office</t>
  </si>
  <si>
    <t xml:space="preserve">Outlay </t>
  </si>
  <si>
    <t>Expenditure</t>
  </si>
  <si>
    <t>1. Medical Service</t>
  </si>
  <si>
    <t>2. Nursing Service</t>
  </si>
  <si>
    <t>3. Laboratory Service</t>
  </si>
  <si>
    <t>4. Dietary Service</t>
  </si>
  <si>
    <t>5. Administrative Services</t>
  </si>
  <si>
    <t>6. Improvement/Upgrade</t>
  </si>
  <si>
    <t xml:space="preserve">         Services</t>
  </si>
  <si>
    <t>7.Improve Management</t>
  </si>
  <si>
    <t xml:space="preserve">      Projects are taken cared</t>
  </si>
  <si>
    <t>off by the PLGU and DOH.</t>
  </si>
  <si>
    <t>C. Activity</t>
  </si>
  <si>
    <t xml:space="preserve">      Activities are taken cared</t>
  </si>
  <si>
    <t xml:space="preserve">     Attend to the admission of in-patient as well as out-patient care. Perform surgical intervention, attend deliveries to ensure &amp; safeguard the health of Boholano community through effective &amp; sustainable delivery of preventive, curative, &amp; rehabilitative health services in partnership with all stakeholders.</t>
  </si>
  <si>
    <t>To render maximum health services to all patients by expanding the bed capacity from 25 to 50 beds due to consistently high bed occupancy of over 100% for the past 8 years</t>
  </si>
  <si>
    <t>To improve the safety, quality, affordability and accessibility of health care couple with hospital information technology.</t>
  </si>
  <si>
    <t>immediate and proper medical care provided</t>
  </si>
  <si>
    <t>ECONOMIC SECTOR</t>
  </si>
  <si>
    <t>Fund Source:  Non-Office Funds</t>
  </si>
  <si>
    <t>Program / Project / Activity</t>
  </si>
  <si>
    <t>Ads</t>
  </si>
  <si>
    <t>A. TOURISM DEVELOPMENT PROGRAM</t>
  </si>
  <si>
    <t>Marketing and Promotions</t>
  </si>
  <si>
    <t>I.  Bohol branding</t>
  </si>
  <si>
    <t>* Media exposures</t>
  </si>
  <si>
    <t>*Participation in travel trade fairs</t>
  </si>
  <si>
    <t>*Production of tourism promotional collaterals</t>
  </si>
  <si>
    <t xml:space="preserve">    ▪ Pocket map</t>
  </si>
  <si>
    <t xml:space="preserve">    ▪ Collateral jacket</t>
  </si>
  <si>
    <t xml:space="preserve">    ▪ Bohol Tourism Video</t>
  </si>
  <si>
    <t xml:space="preserve">     ▪ Bohol Tourism Center flyer</t>
  </si>
  <si>
    <t>* Culture of Tourism enhancement</t>
  </si>
  <si>
    <t>II.  Private sector -led Bohol promotions program</t>
  </si>
  <si>
    <t>*Formulation of private sector structure, mechanism and promotions program</t>
  </si>
  <si>
    <t>I. Formulation of a mechanism and standards for new improved products, services and facilities</t>
  </si>
  <si>
    <t>II. Development of new / improvement of   existing tourism products/ services (Community-Based Tourism Development)</t>
  </si>
  <si>
    <t>III. Coordination for the installation of standard road signage, tourism signs and symbols</t>
  </si>
  <si>
    <t xml:space="preserve">IV. Ecotourism Monitoring Program, a project in partnership with  DOT           </t>
  </si>
  <si>
    <r>
      <t>V.</t>
    </r>
    <r>
      <rPr>
        <sz val="11"/>
        <color indexed="8"/>
        <rFont val="Arial Narrow"/>
        <family val="2"/>
      </rPr>
      <t>  Strengthening tourism/ livelihood and database management</t>
    </r>
  </si>
  <si>
    <t xml:space="preserve"> *Tourism statistics program</t>
  </si>
  <si>
    <r>
      <t xml:space="preserve">       ▪</t>
    </r>
    <r>
      <rPr>
        <sz val="11"/>
        <color indexed="8"/>
        <rFont val="Arial Narrow"/>
        <family val="2"/>
      </rPr>
      <t xml:space="preserve"> Conduct of visitor exit survey</t>
    </r>
  </si>
  <si>
    <r>
      <t xml:space="preserve">       ▪</t>
    </r>
    <r>
      <rPr>
        <sz val="11"/>
        <color indexed="8"/>
        <rFont val="Arial Narrow"/>
        <family val="2"/>
      </rPr>
      <t xml:space="preserve"> Tourism data collection and data banking</t>
    </r>
  </si>
  <si>
    <t>*Installation of People Counter at Airport and Seaport Arrival Area for Tourist, Domestic and Resident Lanes</t>
  </si>
  <si>
    <t>Policy and Standard</t>
  </si>
  <si>
    <r>
      <t>I.</t>
    </r>
    <r>
      <rPr>
        <sz val="11"/>
        <color indexed="8"/>
        <rFont val="Arial Narrow"/>
        <family val="2"/>
      </rPr>
      <t>  Capability enhancement for service providers and skilled workers</t>
    </r>
  </si>
  <si>
    <r>
      <t xml:space="preserve">      ▪</t>
    </r>
    <r>
      <rPr>
        <sz val="11"/>
        <color indexed="8"/>
        <rFont val="Arial Narrow"/>
        <family val="2"/>
      </rPr>
      <t>  Transport sector</t>
    </r>
  </si>
  <si>
    <r>
      <t xml:space="preserve">       ▪</t>
    </r>
    <r>
      <rPr>
        <sz val="11"/>
        <color indexed="8"/>
        <rFont val="Arial Narrow"/>
        <family val="2"/>
      </rPr>
      <t>  MTOs &amp; Hotel personnel Mentoring / couching on     data   gathering system</t>
    </r>
  </si>
  <si>
    <t xml:space="preserve">       ▪  Product Development, Marketing and Branding for MTOs and BTO staff</t>
  </si>
  <si>
    <t xml:space="preserve">        ▪ Local Tour Guide Training</t>
  </si>
  <si>
    <r>
      <t>II.</t>
    </r>
    <r>
      <rPr>
        <sz val="11"/>
        <color indexed="8"/>
        <rFont val="Arial Narrow"/>
        <family val="2"/>
      </rPr>
      <t xml:space="preserve"> Information education campaign on tourism </t>
    </r>
  </si>
  <si>
    <t xml:space="preserve">       ▪  Conduct review of the Bohol Tourism Code</t>
  </si>
  <si>
    <t xml:space="preserve">       ▪ Conduct cascading activity on Tourism Act RA 9593</t>
  </si>
  <si>
    <t xml:space="preserve"> III.    Monitoring and evaluation</t>
  </si>
  <si>
    <r>
      <t xml:space="preserve">     ▪</t>
    </r>
    <r>
      <rPr>
        <sz val="11"/>
        <color indexed="8"/>
        <rFont val="Arial Narrow"/>
        <family val="2"/>
      </rPr>
      <t xml:space="preserve">   Inspection of new facilities /  services </t>
    </r>
  </si>
  <si>
    <r>
      <t>I.</t>
    </r>
    <r>
      <rPr>
        <sz val="11"/>
        <color indexed="8"/>
        <rFont val="Arial Narrow"/>
        <family val="2"/>
      </rPr>
      <t> Quality web-based knowledge center and on-line access</t>
    </r>
  </si>
  <si>
    <r>
      <t xml:space="preserve">     ▪</t>
    </r>
    <r>
      <rPr>
        <sz val="11"/>
        <color indexed="8"/>
        <rFont val="Arial Narrow"/>
        <family val="2"/>
      </rPr>
      <t>  Provision of Hotline for complaints</t>
    </r>
  </si>
  <si>
    <r>
      <t xml:space="preserve">     ▪</t>
    </r>
    <r>
      <rPr>
        <sz val="11"/>
        <color indexed="8"/>
        <rFont val="Arial Narrow"/>
        <family val="2"/>
      </rPr>
      <t> Upgrade and update tourism website lay-out, programs and design</t>
    </r>
  </si>
  <si>
    <t>II. Provision of tourist assistance services</t>
  </si>
  <si>
    <r>
      <t>I.</t>
    </r>
    <r>
      <rPr>
        <sz val="11"/>
        <color indexed="8"/>
        <rFont val="Arial Narrow"/>
        <family val="2"/>
      </rPr>
      <t>   Operations System Enhancement</t>
    </r>
  </si>
  <si>
    <t>  *Enhancement of Organizational Structure</t>
  </si>
  <si>
    <t>      ▪ Conduct sessions/ Meetings</t>
  </si>
  <si>
    <t xml:space="preserve">      ▪ Manpower Strengthening</t>
  </si>
  <si>
    <r>
      <t>II.</t>
    </r>
    <r>
      <rPr>
        <sz val="11"/>
        <color indexed="8"/>
        <rFont val="Arial Narrow"/>
        <family val="2"/>
      </rPr>
      <t>   Personnel Support</t>
    </r>
  </si>
  <si>
    <r>
      <t xml:space="preserve">   * </t>
    </r>
    <r>
      <rPr>
        <sz val="11"/>
        <color indexed="8"/>
        <rFont val="Arial Narrow"/>
        <family val="2"/>
      </rPr>
      <t> Sustain human resource capacity development program</t>
    </r>
  </si>
  <si>
    <t xml:space="preserve">          ▪  Conduct Capability Building </t>
  </si>
  <si>
    <r>
      <t xml:space="preserve">             </t>
    </r>
    <r>
      <rPr>
        <sz val="11"/>
        <color theme="1"/>
        <rFont val="Arial Narrow"/>
        <family val="2"/>
      </rPr>
      <t>▪</t>
    </r>
    <r>
      <rPr>
        <sz val="11"/>
        <color indexed="8"/>
        <rFont val="Arial Narrow"/>
        <family val="2"/>
      </rPr>
      <t>   Monitor blood pressure</t>
    </r>
  </si>
  <si>
    <r>
      <t xml:space="preserve">             ▪</t>
    </r>
    <r>
      <rPr>
        <sz val="11"/>
        <color indexed="8"/>
        <rFont val="Arial Narrow"/>
        <family val="2"/>
      </rPr>
      <t>   Provision of water for drinking &amp;  cleaning</t>
    </r>
  </si>
  <si>
    <t xml:space="preserve">             ▪  Conduct physical Fitness</t>
  </si>
  <si>
    <r>
      <t>III.</t>
    </r>
    <r>
      <rPr>
        <sz val="11"/>
        <color indexed="8"/>
        <rFont val="Arial Narrow"/>
        <family val="2"/>
      </rPr>
      <t>   Finance Management</t>
    </r>
  </si>
  <si>
    <t xml:space="preserve">       ▪  Conduct  operational planning and budgeting workshop</t>
  </si>
  <si>
    <t xml:space="preserve">       ▪ Conduct Mid-year &amp; Year-end Assessment </t>
  </si>
  <si>
    <t xml:space="preserve">        ▪ Application for surety bond</t>
  </si>
  <si>
    <r>
      <t>IV.</t>
    </r>
    <r>
      <rPr>
        <sz val="11"/>
        <color indexed="8"/>
        <rFont val="Arial Narrow"/>
        <family val="2"/>
      </rPr>
      <t>  General Services Support</t>
    </r>
  </si>
  <si>
    <t xml:space="preserve">    * Procurement of the following:</t>
  </si>
  <si>
    <t xml:space="preserve">          ▪ Office supplies</t>
  </si>
  <si>
    <t xml:space="preserve">          ▪ Equipments</t>
  </si>
  <si>
    <t xml:space="preserve">   Splitter cord, Laptop, Desktop, Computer printer</t>
  </si>
  <si>
    <t xml:space="preserve">   Tablet, Degital Camera</t>
  </si>
  <si>
    <t xml:space="preserve">   * Bill settlements </t>
  </si>
  <si>
    <r>
      <t xml:space="preserve">   ▪</t>
    </r>
    <r>
      <rPr>
        <sz val="11"/>
        <color indexed="8"/>
        <rFont val="Arial Narrow"/>
        <family val="2"/>
      </rPr>
      <t>   Phone (Landline, Mobile) Electricity, Cable</t>
    </r>
  </si>
  <si>
    <t xml:space="preserve">   * Enhance and sustain repair and maintenance of office equipments  and facility</t>
  </si>
  <si>
    <r>
      <t xml:space="preserve">      ▪</t>
    </r>
    <r>
      <rPr>
        <sz val="11"/>
        <color indexed="8"/>
        <rFont val="Arial Narrow"/>
        <family val="2"/>
      </rPr>
      <t>  Office Equipment</t>
    </r>
  </si>
  <si>
    <t xml:space="preserve">      ▪   Motor vehicle</t>
  </si>
  <si>
    <t xml:space="preserve">  * Messengerial services</t>
  </si>
  <si>
    <t>V.  Environmental Management System Implementation</t>
  </si>
  <si>
    <r>
      <t xml:space="preserve"> *  </t>
    </r>
    <r>
      <rPr>
        <sz val="11"/>
        <color indexed="8"/>
        <rFont val="Arial Narrow"/>
        <family val="2"/>
      </rPr>
      <t>Health and Safety scheme</t>
    </r>
  </si>
  <si>
    <t xml:space="preserve">   *   Remuneration scheme</t>
  </si>
  <si>
    <t xml:space="preserve">        Takes the lead in providing institutional support to the Provincial Government of Bohol in the use of ICT and geodatabase to increase efficiency in service delivery and to enhance Management Information Systems towards good governance and sustainable development.</t>
  </si>
  <si>
    <t>To establish a sustainable IT-based industry in the province</t>
  </si>
  <si>
    <t>To maximize public  awareness of PGBh programs and services</t>
  </si>
  <si>
    <t>To support the development of new processes and applications linking the PGBh to other LGUs/ NGAs/ partners and stakeholders</t>
  </si>
  <si>
    <t>Program/Project/Activities Description</t>
  </si>
  <si>
    <t>No. of systems</t>
  </si>
  <si>
    <t>No. of systems enhanced</t>
  </si>
  <si>
    <t>9 systems</t>
  </si>
  <si>
    <t>No. of office WebPages enhanced</t>
  </si>
  <si>
    <t>WebPages</t>
  </si>
  <si>
    <t>No. of Maps</t>
  </si>
  <si>
    <t>No. of Reports</t>
  </si>
  <si>
    <t xml:space="preserve">No. of systems </t>
  </si>
  <si>
    <t>No. of servers</t>
  </si>
  <si>
    <t>14 systems</t>
  </si>
  <si>
    <t>No. of plans/ lay outs</t>
  </si>
  <si>
    <t>No. of offices</t>
  </si>
  <si>
    <t>28 offices/ 10 GO attached offices/ 10 hospital</t>
  </si>
  <si>
    <t>No. of communication recorded</t>
  </si>
  <si>
    <t>No. of documents filed</t>
  </si>
  <si>
    <t>No. of communications prepared</t>
  </si>
  <si>
    <t>No. of docs reviewed/ signed</t>
  </si>
  <si>
    <t>Office Annual Budget</t>
  </si>
  <si>
    <t>APPMP</t>
  </si>
  <si>
    <t>Financial docs (PR’s, ABC, ObR’s, Vouchers, etc…)</t>
  </si>
  <si>
    <t>2 work and financial plans</t>
  </si>
  <si>
    <t>1ASPP</t>
  </si>
  <si>
    <t>I inventory report</t>
  </si>
  <si>
    <t>Messengerial/ Laiasoning</t>
  </si>
  <si>
    <t>Disseminated documents</t>
  </si>
  <si>
    <t>No. of docs</t>
  </si>
  <si>
    <t>100 docs</t>
  </si>
  <si>
    <t>EMS Programs Implemented</t>
  </si>
  <si>
    <t>Other Activity/ Developmental:</t>
  </si>
  <si>
    <t>Programs/ Projects/ Activity</t>
  </si>
  <si>
    <t>Capital Outlay/ Non -Office</t>
  </si>
  <si>
    <t>Personnel Services</t>
  </si>
  <si>
    <t>Maint &amp; Other Operating Expenditures</t>
  </si>
  <si>
    <r>
      <t>A.</t>
    </r>
    <r>
      <rPr>
        <b/>
        <sz val="7"/>
        <color theme="1"/>
        <rFont val="Times New Roman"/>
        <family val="1"/>
      </rPr>
      <t xml:space="preserve">   </t>
    </r>
    <r>
      <rPr>
        <b/>
        <sz val="11"/>
        <color theme="1"/>
        <rFont val="Arial"/>
        <family val="2"/>
      </rPr>
      <t xml:space="preserve">Programs </t>
    </r>
  </si>
  <si>
    <t>Operation of the Bohol ICT Unit</t>
  </si>
  <si>
    <r>
      <t>·</t>
    </r>
    <r>
      <rPr>
        <sz val="7"/>
        <color theme="1"/>
        <rFont val="Times New Roman"/>
        <family val="1"/>
      </rPr>
      <t xml:space="preserve">         </t>
    </r>
    <r>
      <rPr>
        <sz val="11"/>
        <color theme="1"/>
        <rFont val="Arial"/>
        <family val="2"/>
      </rPr>
      <t>Software Development</t>
    </r>
  </si>
  <si>
    <r>
      <t>·</t>
    </r>
    <r>
      <rPr>
        <sz val="7"/>
        <color theme="1"/>
        <rFont val="Times New Roman"/>
        <family val="1"/>
      </rPr>
      <t xml:space="preserve">         </t>
    </r>
    <r>
      <rPr>
        <sz val="11"/>
        <color theme="1"/>
        <rFont val="Arial"/>
        <family val="2"/>
      </rPr>
      <t>Infrastructure Maintenance</t>
    </r>
  </si>
  <si>
    <r>
      <t>·</t>
    </r>
    <r>
      <rPr>
        <sz val="7"/>
        <color theme="1"/>
        <rFont val="Times New Roman"/>
        <family val="1"/>
      </rPr>
      <t xml:space="preserve">         </t>
    </r>
    <r>
      <rPr>
        <sz val="11"/>
        <color theme="1"/>
        <rFont val="Arial"/>
        <family val="2"/>
      </rPr>
      <t>Database Management</t>
    </r>
  </si>
  <si>
    <r>
      <t>·</t>
    </r>
    <r>
      <rPr>
        <sz val="7"/>
        <color theme="1"/>
        <rFont val="Times New Roman"/>
        <family val="1"/>
      </rPr>
      <t xml:space="preserve">         </t>
    </r>
    <r>
      <rPr>
        <sz val="11"/>
        <color theme="1"/>
        <rFont val="Arial"/>
        <family val="2"/>
      </rPr>
      <t>Administrative Support Services</t>
    </r>
  </si>
  <si>
    <r>
      <t>B.</t>
    </r>
    <r>
      <rPr>
        <b/>
        <sz val="7"/>
        <color theme="1"/>
        <rFont val="Times New Roman"/>
        <family val="1"/>
      </rPr>
      <t xml:space="preserve">   </t>
    </r>
    <r>
      <rPr>
        <b/>
        <sz val="11"/>
        <color theme="1"/>
        <rFont val="Arial"/>
        <family val="2"/>
      </rPr>
      <t>Projects</t>
    </r>
  </si>
  <si>
    <r>
      <t>Upgrading of PGBh Offices Network Infrastructure (</t>
    </r>
    <r>
      <rPr>
        <i/>
        <sz val="11"/>
        <color theme="1"/>
        <rFont val="Arial"/>
        <family val="2"/>
      </rPr>
      <t>upgrading of individual PGBh office network</t>
    </r>
    <r>
      <rPr>
        <b/>
        <sz val="11"/>
        <color theme="1"/>
        <rFont val="Arial"/>
        <family val="2"/>
      </rPr>
      <t>)</t>
    </r>
  </si>
  <si>
    <t>Capability Building</t>
  </si>
  <si>
    <t>I. FUNCTIONALSTATEMENTS</t>
  </si>
  <si>
    <t>Per E.O. No 3 s. 2003 of the Governor:</t>
  </si>
  <si>
    <t>2. Provide research support to various departments in the executive and legislative branches</t>
  </si>
  <si>
    <t xml:space="preserve">     and other local bodies of the provincial government</t>
  </si>
  <si>
    <t>3. Provide policy development, review and studies on various governance issues and concerns as input to decision making processes</t>
  </si>
  <si>
    <t>5. Capacitate staff to undertake the mandate of the office</t>
  </si>
  <si>
    <r>
      <t>1.</t>
    </r>
    <r>
      <rPr>
        <b/>
        <sz val="7"/>
        <color theme="1"/>
        <rFont val="Times New Roman"/>
        <family val="1"/>
      </rPr>
      <t xml:space="preserve">    </t>
    </r>
    <r>
      <rPr>
        <b/>
        <sz val="11"/>
        <color theme="1"/>
        <rFont val="Calibri"/>
        <family val="2"/>
        <scheme val="minor"/>
      </rPr>
      <t>Policy Review and Development</t>
    </r>
  </si>
  <si>
    <t>A.1  Policy review, research and draft on executive issuances for implementation of various programs and projects spearheaded by PGBh</t>
  </si>
  <si>
    <t xml:space="preserve">  A.1.1 review relevant laws, ordinances, resolutions and executive orders</t>
  </si>
  <si>
    <t xml:space="preserve">  A.1.2 draft policy statement </t>
  </si>
  <si>
    <t xml:space="preserve">  A.3.3 submit report or draft issuances to PA or to the Governor thru SEEM</t>
  </si>
  <si>
    <t>A.2 Draft, review issuances of PGBh departments, attached offices and hospitals</t>
  </si>
  <si>
    <r>
      <t>·</t>
    </r>
    <r>
      <rPr>
        <sz val="7"/>
        <color theme="1"/>
        <rFont val="Times New Roman"/>
        <family val="1"/>
      </rPr>
      <t xml:space="preserve">   </t>
    </r>
    <r>
      <rPr>
        <sz val="11"/>
        <color theme="1"/>
        <rFont val="Calibri"/>
        <family val="2"/>
        <scheme val="minor"/>
      </rPr>
      <t>Policy recommendations</t>
    </r>
  </si>
  <si>
    <r>
      <t>2.</t>
    </r>
    <r>
      <rPr>
        <b/>
        <sz val="7"/>
        <color theme="1"/>
        <rFont val="Times New Roman"/>
        <family val="1"/>
      </rPr>
      <t xml:space="preserve">    </t>
    </r>
    <r>
      <rPr>
        <b/>
        <sz val="11"/>
        <color theme="1"/>
        <rFont val="Calibri"/>
        <family val="2"/>
        <scheme val="minor"/>
      </rPr>
      <t>Research and Development</t>
    </r>
  </si>
  <si>
    <t xml:space="preserve">B.1 Developmental research (to be outsourced) </t>
  </si>
  <si>
    <t>B.1.1 Identify researchable topics</t>
  </si>
  <si>
    <t>B.1.2 arrange partnership with research institutions and/or individuals</t>
  </si>
  <si>
    <r>
      <t xml:space="preserve">B.2 </t>
    </r>
    <r>
      <rPr>
        <b/>
        <i/>
        <sz val="11"/>
        <color theme="1"/>
        <rFont val="Calibri"/>
        <family val="2"/>
        <scheme val="minor"/>
      </rPr>
      <t>Bohol Poll ( Rider Questions to regular Poll being conducted by HNU )</t>
    </r>
  </si>
  <si>
    <t xml:space="preserve">  B.2.2 arrange for inclusion of rider questions in the Bohol Poll to be outsourced to the HNU Research Center</t>
  </si>
  <si>
    <r>
      <t>·</t>
    </r>
    <r>
      <rPr>
        <sz val="7"/>
        <color theme="1"/>
        <rFont val="Times New Roman"/>
        <family val="1"/>
      </rPr>
      <t xml:space="preserve">      </t>
    </r>
    <r>
      <rPr>
        <sz val="11"/>
        <color theme="1"/>
        <rFont val="Calibri"/>
        <family val="2"/>
        <scheme val="minor"/>
      </rPr>
      <t xml:space="preserve">Research outputs </t>
    </r>
  </si>
  <si>
    <r>
      <t>·</t>
    </r>
    <r>
      <rPr>
        <sz val="7"/>
        <color theme="1"/>
        <rFont val="Times New Roman"/>
        <family val="1"/>
      </rPr>
      <t xml:space="preserve">      </t>
    </r>
    <r>
      <rPr>
        <sz val="11"/>
        <color theme="1"/>
        <rFont val="Calibri"/>
        <family val="2"/>
        <scheme val="minor"/>
      </rPr>
      <t xml:space="preserve">Research report  findings conclusions and recommendations </t>
    </r>
  </si>
  <si>
    <r>
      <t>3.</t>
    </r>
    <r>
      <rPr>
        <b/>
        <sz val="7"/>
        <color theme="1"/>
        <rFont val="Times New Roman"/>
        <family val="1"/>
      </rPr>
      <t xml:space="preserve">    </t>
    </r>
    <r>
      <rPr>
        <b/>
        <sz val="11"/>
        <color theme="1"/>
        <rFont val="Calibri"/>
        <family val="2"/>
        <scheme val="minor"/>
      </rPr>
      <t>Capability Development</t>
    </r>
  </si>
  <si>
    <t xml:space="preserve">C.1 Statistical treatment analysis and interpretation </t>
  </si>
  <si>
    <t xml:space="preserve">  C.1.1 prepare training design </t>
  </si>
  <si>
    <t xml:space="preserve">  C.1.2 determine participants and resource persons </t>
  </si>
  <si>
    <t xml:space="preserve">  C.1.4 prepare memo/invitation for participants/resource persons </t>
  </si>
  <si>
    <t xml:space="preserve">  C.1.5 conduct training </t>
  </si>
  <si>
    <t xml:space="preserve">  C.2.2 determine participants and resource persons </t>
  </si>
  <si>
    <t xml:space="preserve">  C.2.4 prepare memo/invitation for participants/resource persons </t>
  </si>
  <si>
    <t xml:space="preserve">  C.2.5 conduct training </t>
  </si>
  <si>
    <r>
      <t>·</t>
    </r>
    <r>
      <rPr>
        <sz val="7"/>
        <color theme="1"/>
        <rFont val="Times New Roman"/>
        <family val="1"/>
      </rPr>
      <t xml:space="preserve">      </t>
    </r>
    <r>
      <rPr>
        <sz val="11"/>
        <color theme="1"/>
        <rFont val="Calibri"/>
        <family val="2"/>
        <scheme val="minor"/>
      </rPr>
      <t xml:space="preserve">Improved KSA </t>
    </r>
  </si>
  <si>
    <r>
      <t>·</t>
    </r>
    <r>
      <rPr>
        <sz val="7"/>
        <color theme="1"/>
        <rFont val="Times New Roman"/>
        <family val="1"/>
      </rPr>
      <t xml:space="preserve">      </t>
    </r>
    <r>
      <rPr>
        <sz val="11"/>
        <color theme="1"/>
        <rFont val="Calibri"/>
        <family val="2"/>
        <scheme val="minor"/>
      </rPr>
      <t>Report ,  operational plan and budget</t>
    </r>
  </si>
  <si>
    <r>
      <t>4.</t>
    </r>
    <r>
      <rPr>
        <b/>
        <sz val="7"/>
        <color theme="1"/>
        <rFont val="Times New Roman"/>
        <family val="1"/>
      </rPr>
      <t xml:space="preserve">    </t>
    </r>
    <r>
      <rPr>
        <b/>
        <sz val="11"/>
        <color theme="1"/>
        <rFont val="Calibri"/>
        <family val="2"/>
        <scheme val="minor"/>
      </rPr>
      <t>Administrative Support</t>
    </r>
  </si>
  <si>
    <r>
      <t>A.</t>
    </r>
    <r>
      <rPr>
        <b/>
        <sz val="7"/>
        <color theme="1"/>
        <rFont val="Times New Roman"/>
        <family val="1"/>
      </rPr>
      <t xml:space="preserve">   </t>
    </r>
    <r>
      <rPr>
        <b/>
        <sz val="11"/>
        <color theme="1"/>
        <rFont val="Calibri"/>
        <family val="2"/>
        <scheme val="minor"/>
      </rPr>
      <t>Capital Outlay</t>
    </r>
  </si>
  <si>
    <t>Cellular Phone &amp; Laptops</t>
  </si>
  <si>
    <t>Furniture and Fixtures</t>
  </si>
  <si>
    <t xml:space="preserve">                                 Prepared:                                        Reviewed:                                       Approved:</t>
  </si>
  <si>
    <t xml:space="preserve">                             DIOVILE A. MAR                    VALERIA M.ORIG                           EDGARDO M. CHATTO</t>
  </si>
  <si>
    <t xml:space="preserve">                                  Head, BCDS                       Provincial Budget Officer                            Governor</t>
  </si>
  <si>
    <t>Reviewed as to consistency with approved AIP</t>
  </si>
  <si>
    <t xml:space="preserve">     -DLSR Digital Camera</t>
  </si>
  <si>
    <t xml:space="preserve">      Repair of Office Building</t>
  </si>
  <si>
    <t>to edcom</t>
  </si>
  <si>
    <t>Nutrition and BNS Program including Honorarium</t>
  </si>
  <si>
    <t>Primary Health Care &amp; BHW Program including Honorarium</t>
  </si>
  <si>
    <t xml:space="preserve">      Drugs and Medicines</t>
  </si>
  <si>
    <t xml:space="preserve">        Nursing Attendant II</t>
  </si>
  <si>
    <t xml:space="preserve">        Administrative Officer I</t>
  </si>
  <si>
    <t xml:space="preserve">        Driver II</t>
  </si>
  <si>
    <t xml:space="preserve">          Support to maintenance of Roads &amp; Bridges</t>
  </si>
  <si>
    <t xml:space="preserve"> - Upgrading of computer specs., purchase of ten (10) computer units</t>
  </si>
  <si>
    <t xml:space="preserve">     Motor Vehicle</t>
  </si>
  <si>
    <t xml:space="preserve">    Monobloc Chairs at Bohol Cultural Center</t>
  </si>
  <si>
    <t xml:space="preserve">    Stage Curtain at Bohol Cultural Center</t>
  </si>
  <si>
    <t>PROVINCIAL ADMINISTRATOR</t>
  </si>
  <si>
    <t>PROVINCIAL DISASTER RISK REDUCTION AND MANAGEMENT OFFICE</t>
  </si>
  <si>
    <t xml:space="preserve">  PA</t>
  </si>
  <si>
    <t>PA</t>
  </si>
  <si>
    <t>Recommended by:</t>
  </si>
  <si>
    <t>STAFFING PA-2</t>
  </si>
  <si>
    <t xml:space="preserve">      Asst. Prov'l. Gov't. Dept. Head</t>
  </si>
  <si>
    <t xml:space="preserve">      Other Maint. &amp; Oprtg Expenses</t>
  </si>
  <si>
    <t xml:space="preserve">                  - Employees (BAC Seretariat)</t>
  </si>
  <si>
    <t>Satellite Office - Bohol Information &amp; Communication Technology</t>
  </si>
  <si>
    <t>Satellite Office - CCAD</t>
  </si>
  <si>
    <t xml:space="preserve">    Planning Officer II</t>
  </si>
  <si>
    <t xml:space="preserve">    Computer Programmer II</t>
  </si>
  <si>
    <t xml:space="preserve">    Comm. Eqpt. Oprt. III</t>
  </si>
  <si>
    <t xml:space="preserve">    Comm. Eqpt. Oprt. II</t>
  </si>
  <si>
    <t xml:space="preserve">    Project Dev't. Assistant</t>
  </si>
  <si>
    <t xml:space="preserve">    Data Encoder I</t>
  </si>
  <si>
    <t xml:space="preserve">        Supervising Admin. Officer</t>
  </si>
  <si>
    <t xml:space="preserve">        Veterinarian IlI</t>
  </si>
  <si>
    <t>Aid to Loboc Youth Association Inc.</t>
  </si>
  <si>
    <t>Repair /Renovation of Perimeter Fence at Camp Dagohoy, Tagb. City</t>
  </si>
  <si>
    <t>FELIX M. MEJORADA</t>
  </si>
  <si>
    <t>Chief Administrative Officer</t>
  </si>
  <si>
    <t xml:space="preserve">       EDGARDO M. CHATTO</t>
  </si>
  <si>
    <t>Fund/Special Account       :</t>
  </si>
  <si>
    <t>HON. CONCEPCION O. LIM, M.D.</t>
  </si>
  <si>
    <t>Lib.-2</t>
  </si>
  <si>
    <t>Prov'l Counterpart to Integrated Local Health Zone</t>
  </si>
  <si>
    <t>Blood Program (Governor's Office)</t>
  </si>
  <si>
    <t>PRMF-PGBh Counterpart for Office Operations</t>
  </si>
  <si>
    <t>ALFONSO R. DAMALERIO II</t>
  </si>
  <si>
    <t>JOSEFINA J. RELAMPAGOS</t>
  </si>
  <si>
    <t>ATTY. MITCHELL JOHN L. BOISER</t>
  </si>
  <si>
    <t>REYMOSES A. CABAGNOT, M.D.</t>
  </si>
  <si>
    <t xml:space="preserve">              Department Head</t>
  </si>
  <si>
    <t>JAIME E. CALAMBA. M.D.</t>
  </si>
  <si>
    <t xml:space="preserve">        ESTERLITA A. TUBAL, M.D.</t>
  </si>
  <si>
    <t>NOEL G. MANALO, M.D.</t>
  </si>
  <si>
    <t xml:space="preserve"> ALEX GUSTAVOS S. SUMERA, M.D.</t>
  </si>
  <si>
    <t>EMMA PERPETUA C. CAHATOL, M.D.</t>
  </si>
  <si>
    <t xml:space="preserve">                 Chief of Hospital</t>
  </si>
  <si>
    <t>Expanded Local Finance Committee:</t>
  </si>
  <si>
    <t xml:space="preserve">               EUSTAQUIO A. SOCORIN</t>
  </si>
  <si>
    <t xml:space="preserve">                    Provincial Treasurer</t>
  </si>
  <si>
    <t xml:space="preserve">     Provincial Planning &amp; Dev't. Coordinator</t>
  </si>
  <si>
    <t xml:space="preserve">                                                   APPROVED:</t>
  </si>
  <si>
    <t>Certified Correct:</t>
  </si>
  <si>
    <t xml:space="preserve">              Governor</t>
  </si>
  <si>
    <t xml:space="preserve">Drugs and </t>
  </si>
  <si>
    <t>Medicines</t>
  </si>
  <si>
    <t>mooe-2</t>
  </si>
  <si>
    <t>Hospital Equipment</t>
  </si>
  <si>
    <t xml:space="preserve">      Salaries- Plantilla Casuals</t>
  </si>
  <si>
    <t xml:space="preserve">      Wages</t>
  </si>
  <si>
    <t xml:space="preserve">      Governor</t>
  </si>
  <si>
    <t>ATTY. JOHN TITUS J. VISTAL</t>
  </si>
  <si>
    <t>Provincial Planning &amp; Dev't. Coordinator</t>
  </si>
  <si>
    <t>Office Building</t>
  </si>
  <si>
    <t>2. Income from Grants and Donations</t>
  </si>
  <si>
    <t>4. Monetized IRA</t>
  </si>
  <si>
    <t>Other Machineries</t>
  </si>
  <si>
    <t>Add:</t>
  </si>
  <si>
    <t>Unappropriated Surplus</t>
  </si>
  <si>
    <t>Unexpended Balances</t>
  </si>
  <si>
    <t>6. PRMF</t>
  </si>
  <si>
    <t xml:space="preserve">          Unexpended Balances</t>
  </si>
  <si>
    <t xml:space="preserve">    Unexpended Balances</t>
  </si>
  <si>
    <t>3. Share on National Wealth</t>
  </si>
  <si>
    <t>BB</t>
  </si>
  <si>
    <t xml:space="preserve">5% CALAMITY </t>
  </si>
  <si>
    <t>Income from Grants and Donation -PRMF</t>
  </si>
  <si>
    <t>Fines and Penalties - Local Taxes</t>
  </si>
  <si>
    <t>5. PRMF</t>
  </si>
  <si>
    <t>Fines and Penalties -Local Taxes</t>
  </si>
  <si>
    <t xml:space="preserve"> Income from National Wealth</t>
  </si>
  <si>
    <t xml:space="preserve"> Monetized IRA</t>
  </si>
  <si>
    <t>Income from Grants &amp; Donations - PRMF</t>
  </si>
  <si>
    <t xml:space="preserve">       Supervising Adm. Officer</t>
  </si>
  <si>
    <t xml:space="preserve">        Engineer III</t>
  </si>
  <si>
    <t xml:space="preserve">       Nutritionist-Dietitian I</t>
  </si>
  <si>
    <t xml:space="preserve">       Healh Educ. &amp; Promotion Offr. II</t>
  </si>
  <si>
    <t xml:space="preserve">       Healh Educ. &amp; Promotion Offr. I</t>
  </si>
  <si>
    <t xml:space="preserve">       Medical Lab. Technician I</t>
  </si>
  <si>
    <t xml:space="preserve">       Laboratory Aide </t>
  </si>
  <si>
    <t xml:space="preserve">       Well Driller II</t>
  </si>
  <si>
    <t xml:space="preserve">       Barangay Health Aide</t>
  </si>
  <si>
    <t>TAL-2</t>
  </si>
  <si>
    <t xml:space="preserve">       Administrative Aide Vl</t>
  </si>
  <si>
    <t xml:space="preserve">      Medical Officer III</t>
  </si>
  <si>
    <t xml:space="preserve">      Nurse IV</t>
  </si>
  <si>
    <t xml:space="preserve">      Nurse II</t>
  </si>
  <si>
    <t xml:space="preserve">      Nurse I</t>
  </si>
  <si>
    <t xml:space="preserve">      Dentist II</t>
  </si>
  <si>
    <t xml:space="preserve">      Medical Technologist II</t>
  </si>
  <si>
    <t xml:space="preserve">      Nutrition-Dietitian II</t>
  </si>
  <si>
    <t xml:space="preserve">      Midwife III</t>
  </si>
  <si>
    <t xml:space="preserve">      Medical Eqp. Technician II</t>
  </si>
  <si>
    <t xml:space="preserve">      Nursing Attendant II</t>
  </si>
  <si>
    <t xml:space="preserve">      Driver II</t>
  </si>
  <si>
    <t xml:space="preserve">      Laundry Worker I</t>
  </si>
  <si>
    <t xml:space="preserve">      Cook I</t>
  </si>
  <si>
    <t xml:space="preserve">      Construction &amp; Maintenance Man</t>
  </si>
  <si>
    <t xml:space="preserve">      Security Guard</t>
  </si>
  <si>
    <t>`</t>
  </si>
  <si>
    <t xml:space="preserve">    Casual/Emergency</t>
  </si>
  <si>
    <t>BOHOL ENVIRONMENT MANAGEMENT OFFICE</t>
  </si>
  <si>
    <t>BOHOL EMPLOYMENT and PLACEMENT OFFICE</t>
  </si>
  <si>
    <t>REF</t>
  </si>
  <si>
    <t>franchised renewed locally</t>
  </si>
  <si>
    <t xml:space="preserve">Budget Year: </t>
  </si>
  <si>
    <t>6. To ensure that BEPO programs is geared towards the achievement of the Proverty Alleviation Program of the Provincial Government.</t>
  </si>
  <si>
    <t xml:space="preserve">    government agencies related to employment.</t>
  </si>
  <si>
    <t>2. To serve as referral and information center for the various services and program of DOLE, OWWA, POEA, TESDA and other</t>
  </si>
  <si>
    <t>1. To provide venue where people could seek employment assistance and other related services, ie., DFA, LTFRB &amp; PRC</t>
  </si>
  <si>
    <r>
      <t xml:space="preserve">PART V - </t>
    </r>
    <r>
      <rPr>
        <sz val="10"/>
        <rFont val="Arial"/>
        <family val="2"/>
      </rPr>
      <t>The last portion of the Local Expenditure Program summarizes the Proposed Appropriation by office, Lumpsum funds for 20% Dev't. Fund, 5% Reserve, Aid to Barangay and Non-Office Expenditures.</t>
    </r>
  </si>
  <si>
    <t xml:space="preserve">       Guided by the provisions of the Bohol Environment Code, the Bohol Environment Management  Office (BEMO) is tasked to:  coordinate and facilitate the provision/extension of technical assistance to Municipal LGUs and People's Organizations in partnership with the Non-Government  Organizations (NGOs) and other government institutions in the sustainable management of its natural resources:  coastal, upland watershed, forestry, mineral, solid waste management, air, water, noise and soil pollution control.</t>
  </si>
  <si>
    <r>
      <rPr>
        <b/>
        <sz val="11"/>
        <rFont val="Arial Narrow"/>
        <family val="2"/>
      </rPr>
      <t xml:space="preserve">II. OBJECTIVES:     </t>
    </r>
    <r>
      <rPr>
        <sz val="11"/>
        <rFont val="Arial Narrow"/>
        <family val="2"/>
      </rPr>
      <t xml:space="preserve">                                                                                                                                                                                                                                                     </t>
    </r>
  </si>
  <si>
    <r>
      <t xml:space="preserve">A. </t>
    </r>
    <r>
      <rPr>
        <b/>
        <sz val="11"/>
        <color indexed="8"/>
        <rFont val="Arial Narrow"/>
        <family val="2"/>
      </rPr>
      <t>Labor Component</t>
    </r>
  </si>
  <si>
    <t>III. PROGRAMS / PROJECTS/ ACTIVITIES</t>
  </si>
  <si>
    <t>TOTAL (20% D.F. &amp; NON-OFFICE)</t>
  </si>
  <si>
    <t>Total (G.F.)</t>
  </si>
  <si>
    <t>General Funds</t>
  </si>
  <si>
    <r>
      <t xml:space="preserve">           </t>
    </r>
    <r>
      <rPr>
        <b/>
        <u/>
        <sz val="11"/>
        <rFont val="Arial"/>
        <family val="2"/>
      </rPr>
      <t>SAMUEL V. RACHO</t>
    </r>
  </si>
  <si>
    <t>PROGRAMS</t>
  </si>
  <si>
    <t>3.  Mineral Resource Management Program</t>
  </si>
  <si>
    <t>2. Forest Resource Management Program</t>
  </si>
  <si>
    <t>1.Coastal Resource Management Program</t>
  </si>
  <si>
    <t>4.  Ecological Solid Waste Managemen Program</t>
  </si>
  <si>
    <t xml:space="preserve"> (NO)</t>
  </si>
  <si>
    <t>·         Increased domestic and foreign visitor arrivals</t>
  </si>
  <si>
    <t>·         Sustained economic activity in Bohol</t>
  </si>
  <si>
    <t>o   Pocket map</t>
  </si>
  <si>
    <t>o   Collateral jacket</t>
  </si>
  <si>
    <t>o   Bohol Tourism video</t>
  </si>
  <si>
    <t>o   Bohol Tourism Center flyer</t>
  </si>
  <si>
    <t>·         Culture of tourism enhancement</t>
  </si>
  <si>
    <t>·         Job generated, employment increased</t>
  </si>
  <si>
    <t>1. MARKETING AND PROMOTION</t>
  </si>
  <si>
    <t>I.          Private sector –led Bohol promotions program</t>
  </si>
  <si>
    <t>I.     Formulation of a mechanism and standards for new improved products, services and facilities</t>
  </si>
  <si>
    <t>II.   Development of new / improvement of   existing tourism products/ services (Community-Based Tourism Development)</t>
  </si>
  <si>
    <t>III.     Coordination for the installation of standard road signage, tourism signs and symbols</t>
  </si>
  <si>
    <t>V.     Strengthening tourism database management</t>
  </si>
  <si>
    <t>·         Tourism statistics program</t>
  </si>
  <si>
    <t>·         Conduct of visitor exit survey</t>
  </si>
  <si>
    <t>-           Tourism data collection and data banking</t>
  </si>
  <si>
    <t>·         Installation of People Counter at Airport and Seaport Arrival Area for Tourist, Domestic and Resident Lanes</t>
  </si>
  <si>
    <t>I.        Capability enhancement for service providers and skilled workers</t>
  </si>
  <si>
    <t>·         Transport sector</t>
  </si>
  <si>
    <t>·         Product Development, Marketing and Branding for MTOs and BTO staff</t>
  </si>
  <si>
    <t>·         Local Tour Guide Training</t>
  </si>
  <si>
    <t xml:space="preserve">II.      Information education campaign on tourism </t>
  </si>
  <si>
    <t>·         Conduct review of the Bohol Tourism Code</t>
  </si>
  <si>
    <t xml:space="preserve">·         Inspection of new facilities /  services </t>
  </si>
  <si>
    <t>I.       Quality web-based knowledge center and on-line access</t>
  </si>
  <si>
    <t>·         Provision of Hotline for complaints</t>
  </si>
  <si>
    <t>II.     Provision of tourist assistance services</t>
  </si>
  <si>
    <t>I.        Operations System Enhancement</t>
  </si>
  <si>
    <t>-          Enhancement of Organizational Structure</t>
  </si>
  <si>
    <t>o   Conduct  sessions/                                         Meetings</t>
  </si>
  <si>
    <t>-          Manpower Strengthening</t>
  </si>
  <si>
    <t>II.      Personnel Support</t>
  </si>
  <si>
    <t>·         Sustain human resource capacity development program</t>
  </si>
  <si>
    <t>o   Conduct Capability Building</t>
  </si>
  <si>
    <t>·   Health and Safety</t>
  </si>
  <si>
    <t>o    Blood pressure monitoring</t>
  </si>
  <si>
    <t>o   Provision of water for drinking &amp;  cleaning</t>
  </si>
  <si>
    <t>o   Conduct physical Fitness activities</t>
  </si>
  <si>
    <t>·     Remuneration scheme</t>
  </si>
  <si>
    <t>III.    Finance Management</t>
  </si>
  <si>
    <t>·         Conduct  operational planning and budgeting workshop</t>
  </si>
  <si>
    <t xml:space="preserve">·         Conduct Mid-year &amp; Year-end Assessment </t>
  </si>
  <si>
    <t xml:space="preserve">·         Application of surety bond </t>
  </si>
  <si>
    <t>IV.   General Services Support</t>
  </si>
  <si>
    <t>·         Procurement of the following:</t>
  </si>
  <si>
    <t>·         Equipments</t>
  </si>
  <si>
    <t>o   Splitter cord</t>
  </si>
  <si>
    <t>o   lap top computer</t>
  </si>
  <si>
    <t>o   Desktop computer</t>
  </si>
  <si>
    <t>o   Computer printer</t>
  </si>
  <si>
    <t>o   Tablet</t>
  </si>
  <si>
    <t>o   Digital camera</t>
  </si>
  <si>
    <t xml:space="preserve">o   Phone </t>
  </si>
  <si>
    <t>o   Electricity</t>
  </si>
  <si>
    <t>o   Cable</t>
  </si>
  <si>
    <t>o   Office Equipment</t>
  </si>
  <si>
    <t>o   IT Equipment and Software</t>
  </si>
  <si>
    <t>o   Motor vehicle</t>
  </si>
  <si>
    <t>V.       Environmental Management System Implementation</t>
  </si>
  <si>
    <t xml:space="preserve"># of activities staged (National Tourism Week Celebration &amp;International Choir Festival/ competition </t>
  </si>
  <si>
    <t>(PGBh / BTO)</t>
  </si>
  <si>
    <t>I. Bohol branding</t>
  </si>
  <si>
    <t>·  Media exposures</t>
  </si>
  <si>
    <t>·  Participation in travel trade fairs</t>
  </si>
  <si>
    <t>·  Production of tourism promotional collaterals</t>
  </si>
  <si>
    <t xml:space="preserve">      Confidential  Fund</t>
  </si>
  <si>
    <t>Less:</t>
  </si>
  <si>
    <t>Continuing Appropriation</t>
  </si>
  <si>
    <t>Add: Unappropriated Surplus</t>
  </si>
  <si>
    <t xml:space="preserve">         Unexpended Balance</t>
  </si>
  <si>
    <t>current year</t>
  </si>
  <si>
    <t xml:space="preserve">C.O- </t>
  </si>
  <si>
    <t>Youth Development Program</t>
  </si>
  <si>
    <t>Monetization, Terminal Leave</t>
  </si>
  <si>
    <t xml:space="preserve">Assistance to Individuals/Indigents in Crisis Situations </t>
  </si>
  <si>
    <t xml:space="preserve">             (such as burial, medical.hospital assistance)</t>
  </si>
  <si>
    <t>Repair/Renovation of Perimeter Fence at Camp Dagohoy, Tagb. City</t>
  </si>
  <si>
    <t xml:space="preserve">      Certified Correct:</t>
  </si>
  <si>
    <t xml:space="preserve">     Support to Executive Services on Investment Promotion</t>
  </si>
  <si>
    <r>
      <t>2</t>
    </r>
    <r>
      <rPr>
        <vertAlign val="superscript"/>
        <sz val="9"/>
        <color theme="1"/>
        <rFont val="Arial"/>
        <family val="2"/>
      </rPr>
      <t>nd</t>
    </r>
    <r>
      <rPr>
        <sz val="9"/>
        <color theme="1"/>
        <rFont val="Arial"/>
        <family val="2"/>
      </rPr>
      <t xml:space="preserve"> Qtr.</t>
    </r>
  </si>
  <si>
    <r>
      <t>4</t>
    </r>
    <r>
      <rPr>
        <vertAlign val="superscript"/>
        <sz val="9"/>
        <color theme="1"/>
        <rFont val="Arial"/>
        <family val="2"/>
      </rPr>
      <t>th</t>
    </r>
    <r>
      <rPr>
        <sz val="9"/>
        <color theme="1"/>
        <rFont val="Arial"/>
        <family val="2"/>
      </rPr>
      <t xml:space="preserve"> Qtr.</t>
    </r>
  </si>
  <si>
    <r>
      <t>3</t>
    </r>
    <r>
      <rPr>
        <vertAlign val="superscript"/>
        <sz val="9"/>
        <color theme="1"/>
        <rFont val="Arial"/>
        <family val="2"/>
      </rPr>
      <t>rd</t>
    </r>
    <r>
      <rPr>
        <sz val="9"/>
        <color theme="1"/>
        <rFont val="Arial"/>
        <family val="2"/>
      </rPr>
      <t xml:space="preserve"> qtr</t>
    </r>
  </si>
  <si>
    <r>
      <t>4</t>
    </r>
    <r>
      <rPr>
        <vertAlign val="superscript"/>
        <sz val="9"/>
        <color theme="1"/>
        <rFont val="Arial"/>
        <family val="2"/>
      </rPr>
      <t>th</t>
    </r>
    <r>
      <rPr>
        <sz val="9"/>
        <color theme="1"/>
        <rFont val="Arial"/>
        <family val="2"/>
      </rPr>
      <t xml:space="preserve"> Qtr</t>
    </r>
  </si>
  <si>
    <r>
      <t xml:space="preserve">·            </t>
    </r>
    <r>
      <rPr>
        <b/>
        <sz val="9"/>
        <color theme="1"/>
        <rFont val="Arial"/>
        <family val="2"/>
      </rPr>
      <t xml:space="preserve">Bill settlements </t>
    </r>
  </si>
  <si>
    <r>
      <t xml:space="preserve">·         </t>
    </r>
    <r>
      <rPr>
        <b/>
        <sz val="9"/>
        <color theme="1"/>
        <rFont val="Arial"/>
        <family val="2"/>
      </rPr>
      <t>Enhance and sustain repair and maintenance of office equipments  and facility</t>
    </r>
  </si>
  <si>
    <r>
      <t xml:space="preserve">·         </t>
    </r>
    <r>
      <rPr>
        <b/>
        <sz val="9"/>
        <color theme="1"/>
        <rFont val="Arial"/>
        <family val="2"/>
      </rPr>
      <t>Messengerial services</t>
    </r>
  </si>
  <si>
    <r>
      <t xml:space="preserve">Budget Year                     :                              </t>
    </r>
    <r>
      <rPr>
        <b/>
        <sz val="11"/>
        <color indexed="8"/>
        <rFont val="Arial"/>
        <family val="2"/>
      </rPr>
      <t>2014</t>
    </r>
  </si>
  <si>
    <r>
      <t xml:space="preserve">      ▪</t>
    </r>
    <r>
      <rPr>
        <sz val="11"/>
        <color indexed="8"/>
        <rFont val="Arial Narrow"/>
        <family val="2"/>
      </rPr>
      <t>   IT Equipment and Software</t>
    </r>
  </si>
  <si>
    <r>
      <t>Department/Office</t>
    </r>
    <r>
      <rPr>
        <b/>
        <u/>
        <sz val="11"/>
        <color theme="1"/>
        <rFont val="Calibri"/>
        <family val="2"/>
        <scheme val="minor"/>
      </rPr>
      <t xml:space="preserve">:  </t>
    </r>
    <r>
      <rPr>
        <b/>
        <u/>
        <sz val="12"/>
        <color theme="1"/>
        <rFont val="Calibri"/>
        <family val="2"/>
        <scheme val="minor"/>
      </rPr>
      <t>BOHOL CENTER FOR DEVELOPEMENT STUDIES (GO-BCDS)</t>
    </r>
  </si>
  <si>
    <r>
      <t xml:space="preserve">Budget year               :  </t>
    </r>
    <r>
      <rPr>
        <b/>
        <u/>
        <sz val="11"/>
        <color theme="1"/>
        <rFont val="Calibri"/>
        <family val="2"/>
        <scheme val="minor"/>
      </rPr>
      <t>2014</t>
    </r>
  </si>
  <si>
    <t xml:space="preserve">          Study, research and development, gather data on agriculture, tourism, poverty reduction, employment generation, policy development and submit written recommendations for integration in the development plan to be considered by the Provincial Government and Provincial Development Council;</t>
  </si>
  <si>
    <t xml:space="preserve">            Coordinate with other research institutions;</t>
  </si>
  <si>
    <t xml:space="preserve">            Consolidate all development plans based on research outputs of other departments.</t>
  </si>
  <si>
    <r>
      <t xml:space="preserve">Office/Department: </t>
    </r>
    <r>
      <rPr>
        <b/>
        <u/>
        <sz val="11"/>
        <color theme="1"/>
        <rFont val="Arial"/>
        <family val="2"/>
      </rPr>
      <t>BOHOL INFORMATION &amp; COMMUNICATION TECHNOLOGY UNIT</t>
    </r>
  </si>
  <si>
    <r>
      <t xml:space="preserve">Budget Year: </t>
    </r>
    <r>
      <rPr>
        <b/>
        <u/>
        <sz val="11"/>
        <color theme="1"/>
        <rFont val="Arial"/>
        <family val="2"/>
      </rPr>
      <t>2014</t>
    </r>
  </si>
  <si>
    <r>
      <rPr>
        <sz val="7"/>
        <color theme="1"/>
        <rFont val="Arial"/>
        <family val="2"/>
      </rPr>
      <t xml:space="preserve"> </t>
    </r>
    <r>
      <rPr>
        <sz val="11"/>
        <color theme="1"/>
        <rFont val="Arial"/>
        <family val="2"/>
      </rPr>
      <t>To institutionalize and implement the Bohol Information System Strategic Plan (BISSP)</t>
    </r>
  </si>
  <si>
    <r>
      <t>1.</t>
    </r>
    <r>
      <rPr>
        <sz val="7"/>
        <color theme="1"/>
        <rFont val="Arial"/>
        <family val="2"/>
      </rPr>
      <t xml:space="preserve">     </t>
    </r>
    <r>
      <rPr>
        <sz val="10"/>
        <color theme="1"/>
        <rFont val="Arial"/>
        <family val="2"/>
      </rPr>
      <t>Development of New IT Projects/ systems</t>
    </r>
  </si>
  <si>
    <r>
      <t>2.</t>
    </r>
    <r>
      <rPr>
        <sz val="7"/>
        <color theme="1"/>
        <rFont val="Arial"/>
        <family val="2"/>
      </rPr>
      <t xml:space="preserve">     </t>
    </r>
    <r>
      <rPr>
        <sz val="10"/>
        <color theme="1"/>
        <rFont val="Arial"/>
        <family val="2"/>
      </rPr>
      <t>Enhancement of Existing Systems</t>
    </r>
  </si>
  <si>
    <r>
      <t>a)</t>
    </r>
    <r>
      <rPr>
        <sz val="7"/>
        <color theme="1"/>
        <rFont val="Arial"/>
        <family val="2"/>
      </rPr>
      <t xml:space="preserve">     </t>
    </r>
    <r>
      <rPr>
        <sz val="10"/>
        <color theme="1"/>
        <rFont val="Arial"/>
        <family val="2"/>
      </rPr>
      <t>HRIS</t>
    </r>
  </si>
  <si>
    <r>
      <t>b)</t>
    </r>
    <r>
      <rPr>
        <sz val="7"/>
        <color theme="1"/>
        <rFont val="Arial"/>
        <family val="2"/>
      </rPr>
      <t xml:space="preserve">     </t>
    </r>
    <r>
      <rPr>
        <sz val="9"/>
        <color theme="1"/>
        <rFont val="Arial"/>
        <family val="2"/>
      </rPr>
      <t>FMIS</t>
    </r>
  </si>
  <si>
    <r>
      <t>c)</t>
    </r>
    <r>
      <rPr>
        <sz val="7"/>
        <color theme="1"/>
        <rFont val="Arial"/>
        <family val="2"/>
      </rPr>
      <t xml:space="preserve">     </t>
    </r>
    <r>
      <rPr>
        <sz val="9"/>
        <color theme="1"/>
        <rFont val="Arial"/>
        <family val="2"/>
      </rPr>
      <t>Asset Management Information System</t>
    </r>
  </si>
  <si>
    <r>
      <t>d)</t>
    </r>
    <r>
      <rPr>
        <sz val="7"/>
        <color theme="1"/>
        <rFont val="Arial"/>
        <family val="2"/>
      </rPr>
      <t xml:space="preserve">     </t>
    </r>
    <r>
      <rPr>
        <sz val="9"/>
        <color theme="1"/>
        <rFont val="Arial"/>
        <family val="2"/>
      </rPr>
      <t>Poverty Database Monitoring System</t>
    </r>
  </si>
  <si>
    <r>
      <t>e)</t>
    </r>
    <r>
      <rPr>
        <sz val="7"/>
        <color theme="1"/>
        <rFont val="Arial"/>
        <family val="2"/>
      </rPr>
      <t xml:space="preserve">     </t>
    </r>
    <r>
      <rPr>
        <sz val="9"/>
        <color theme="1"/>
        <rFont val="Arial"/>
        <family val="2"/>
      </rPr>
      <t>Agri – IS</t>
    </r>
  </si>
  <si>
    <r>
      <t>f)</t>
    </r>
    <r>
      <rPr>
        <sz val="7"/>
        <color theme="1"/>
        <rFont val="Arial"/>
        <family val="2"/>
      </rPr>
      <t xml:space="preserve">      </t>
    </r>
    <r>
      <rPr>
        <sz val="9"/>
        <color theme="1"/>
        <rFont val="Arial"/>
        <family val="2"/>
      </rPr>
      <t>PrEMIS</t>
    </r>
  </si>
  <si>
    <r>
      <t>g)</t>
    </r>
    <r>
      <rPr>
        <sz val="7"/>
        <color theme="1"/>
        <rFont val="Arial"/>
        <family val="2"/>
      </rPr>
      <t xml:space="preserve">     </t>
    </r>
    <r>
      <rPr>
        <sz val="9"/>
        <color theme="1"/>
        <rFont val="Arial"/>
        <family val="2"/>
      </rPr>
      <t>PRoMES</t>
    </r>
  </si>
  <si>
    <r>
      <t>h)</t>
    </r>
    <r>
      <rPr>
        <sz val="7"/>
        <color theme="1"/>
        <rFont val="Arial"/>
        <family val="2"/>
      </rPr>
      <t xml:space="preserve">     </t>
    </r>
    <r>
      <rPr>
        <sz val="9"/>
        <color theme="1"/>
        <rFont val="Arial"/>
        <family val="2"/>
      </rPr>
      <t>Bohol Animal Kingdom</t>
    </r>
  </si>
  <si>
    <r>
      <t>i)</t>
    </r>
    <r>
      <rPr>
        <sz val="7"/>
        <color theme="1"/>
        <rFont val="Arial"/>
        <family val="2"/>
      </rPr>
      <t xml:space="preserve">      </t>
    </r>
    <r>
      <rPr>
        <sz val="9"/>
        <color theme="1"/>
        <rFont val="Arial"/>
        <family val="2"/>
      </rPr>
      <t>Bohol Tourism IS</t>
    </r>
  </si>
  <si>
    <r>
      <t>3.</t>
    </r>
    <r>
      <rPr>
        <sz val="7"/>
        <color theme="1"/>
        <rFont val="Arial"/>
        <family val="2"/>
      </rPr>
      <t xml:space="preserve">     </t>
    </r>
    <r>
      <rPr>
        <sz val="10"/>
        <color theme="1"/>
        <rFont val="Arial"/>
        <family val="2"/>
      </rPr>
      <t>Enhancement of Office WebPages</t>
    </r>
  </si>
  <si>
    <r>
      <t>a)</t>
    </r>
    <r>
      <rPr>
        <sz val="7"/>
        <color theme="1"/>
        <rFont val="Arial"/>
        <family val="2"/>
      </rPr>
      <t xml:space="preserve">     </t>
    </r>
    <r>
      <rPr>
        <sz val="10"/>
        <color theme="1"/>
        <rFont val="Arial"/>
        <family val="2"/>
      </rPr>
      <t>PGBh  Website</t>
    </r>
  </si>
  <si>
    <r>
      <t>b)</t>
    </r>
    <r>
      <rPr>
        <sz val="7"/>
        <color theme="1"/>
        <rFont val="Arial"/>
        <family val="2"/>
      </rPr>
      <t xml:space="preserve">    </t>
    </r>
    <r>
      <rPr>
        <sz val="10"/>
        <color theme="1"/>
        <rFont val="Arial"/>
        <family val="2"/>
      </rPr>
      <t>OPV webpage</t>
    </r>
  </si>
  <si>
    <r>
      <t>c)</t>
    </r>
    <r>
      <rPr>
        <sz val="7"/>
        <color theme="1"/>
        <rFont val="Arial"/>
        <family val="2"/>
      </rPr>
      <t xml:space="preserve">     </t>
    </r>
    <r>
      <rPr>
        <sz val="10"/>
        <color theme="1"/>
        <rFont val="Arial"/>
        <family val="2"/>
      </rPr>
      <t>Bohol Tourism webpage</t>
    </r>
  </si>
  <si>
    <r>
      <t>d)</t>
    </r>
    <r>
      <rPr>
        <sz val="7"/>
        <color theme="1"/>
        <rFont val="Arial"/>
        <family val="2"/>
      </rPr>
      <t xml:space="preserve">    </t>
    </r>
    <r>
      <rPr>
        <sz val="10"/>
        <color theme="1"/>
        <rFont val="Arial"/>
        <family val="2"/>
      </rPr>
      <t>BICTU webpage</t>
    </r>
  </si>
  <si>
    <r>
      <t>e)</t>
    </r>
    <r>
      <rPr>
        <sz val="7"/>
        <color theme="1"/>
        <rFont val="Arial"/>
        <family val="2"/>
      </rPr>
      <t xml:space="preserve">     </t>
    </r>
    <r>
      <rPr>
        <sz val="10"/>
        <color theme="1"/>
        <rFont val="Arial"/>
        <family val="2"/>
      </rPr>
      <t>PIAO</t>
    </r>
  </si>
  <si>
    <r>
      <t>f)</t>
    </r>
    <r>
      <rPr>
        <sz val="7"/>
        <color theme="1"/>
        <rFont val="Arial"/>
        <family val="2"/>
      </rPr>
      <t xml:space="preserve">     </t>
    </r>
    <r>
      <rPr>
        <sz val="10"/>
        <color theme="1"/>
        <rFont val="Arial"/>
        <family val="2"/>
      </rPr>
      <t>PPMU</t>
    </r>
  </si>
  <si>
    <r>
      <t>g)</t>
    </r>
    <r>
      <rPr>
        <sz val="7"/>
        <color theme="1"/>
        <rFont val="Arial"/>
        <family val="2"/>
      </rPr>
      <t xml:space="preserve">    </t>
    </r>
    <r>
      <rPr>
        <sz val="10"/>
        <color theme="1"/>
        <rFont val="Arial"/>
        <family val="2"/>
      </rPr>
      <t>PLO</t>
    </r>
  </si>
  <si>
    <r>
      <t>h)</t>
    </r>
    <r>
      <rPr>
        <sz val="7"/>
        <color theme="1"/>
        <rFont val="Arial"/>
        <family val="2"/>
      </rPr>
      <t xml:space="preserve">     </t>
    </r>
    <r>
      <rPr>
        <sz val="10"/>
        <color theme="1"/>
        <rFont val="Arial"/>
        <family val="2"/>
      </rPr>
      <t>EDCOM</t>
    </r>
  </si>
  <si>
    <r>
      <t>4.</t>
    </r>
    <r>
      <rPr>
        <sz val="7"/>
        <color theme="1"/>
        <rFont val="Arial"/>
        <family val="2"/>
      </rPr>
      <t xml:space="preserve">     </t>
    </r>
    <r>
      <rPr>
        <sz val="11"/>
        <color theme="1"/>
        <rFont val="Arial"/>
        <family val="2"/>
      </rPr>
      <t>Enhancement of GIS Maps</t>
    </r>
  </si>
  <si>
    <r>
      <t>5.</t>
    </r>
    <r>
      <rPr>
        <sz val="7"/>
        <color theme="1"/>
        <rFont val="Arial"/>
        <family val="2"/>
      </rPr>
      <t xml:space="preserve">     </t>
    </r>
    <r>
      <rPr>
        <sz val="10"/>
        <color theme="1"/>
        <rFont val="Arial"/>
        <family val="2"/>
      </rPr>
      <t>Uploading Financial Report to DILG Full Disclosure Policy Portal Website</t>
    </r>
  </si>
  <si>
    <r>
      <t>1.</t>
    </r>
    <r>
      <rPr>
        <sz val="7"/>
        <color theme="1"/>
        <rFont val="Arial"/>
        <family val="2"/>
      </rPr>
      <t xml:space="preserve">     </t>
    </r>
    <r>
      <rPr>
        <sz val="9"/>
        <color theme="1"/>
        <rFont val="Arial"/>
        <family val="2"/>
      </rPr>
      <t>Database Back up</t>
    </r>
  </si>
  <si>
    <r>
      <t>2.</t>
    </r>
    <r>
      <rPr>
        <sz val="7"/>
        <color theme="1"/>
        <rFont val="Arial"/>
        <family val="2"/>
      </rPr>
      <t xml:space="preserve">     </t>
    </r>
    <r>
      <rPr>
        <sz val="9"/>
        <color theme="1"/>
        <rFont val="Arial"/>
        <family val="2"/>
      </rPr>
      <t>Administer the Provincial Data Center Spatial and Statistical/ Textual Databases ensuring its operation 24/7 appropriate user access privileges are implemented, ensuring a disaster recovery plan is in effect</t>
    </r>
  </si>
  <si>
    <r>
      <t>3.</t>
    </r>
    <r>
      <rPr>
        <sz val="7"/>
        <color theme="1"/>
        <rFont val="Arial"/>
        <family val="2"/>
      </rPr>
      <t xml:space="preserve">     </t>
    </r>
    <r>
      <rPr>
        <sz val="9"/>
        <color theme="1"/>
        <rFont val="Arial"/>
        <family val="2"/>
      </rPr>
      <t>Maintain computer networks, servers administration, PC/ Notebook, ID phone system and software control</t>
    </r>
  </si>
  <si>
    <r>
      <t>4.</t>
    </r>
    <r>
      <rPr>
        <sz val="7"/>
        <color theme="1"/>
        <rFont val="Arial"/>
        <family val="2"/>
      </rPr>
      <t xml:space="preserve">     </t>
    </r>
    <r>
      <rPr>
        <sz val="9"/>
        <color theme="1"/>
        <rFont val="Arial"/>
        <family val="2"/>
      </rPr>
      <t>Trouble shoot and diagnostic all the problems on various system</t>
    </r>
  </si>
  <si>
    <r>
      <t>1.</t>
    </r>
    <r>
      <rPr>
        <sz val="7"/>
        <color theme="1"/>
        <rFont val="Arial"/>
        <family val="2"/>
      </rPr>
      <t xml:space="preserve">     </t>
    </r>
    <r>
      <rPr>
        <sz val="9"/>
        <color theme="1"/>
        <rFont val="Arial"/>
        <family val="2"/>
      </rPr>
      <t>Preparation of computer network infrastructure planning, design and estimates</t>
    </r>
  </si>
  <si>
    <r>
      <t>2.</t>
    </r>
    <r>
      <rPr>
        <sz val="7"/>
        <color theme="1"/>
        <rFont val="Arial"/>
        <family val="2"/>
      </rPr>
      <t xml:space="preserve">     </t>
    </r>
    <r>
      <rPr>
        <sz val="9"/>
        <color theme="1"/>
        <rFont val="Arial"/>
        <family val="2"/>
      </rPr>
      <t>Provision of technical support (computer hardware servicing)</t>
    </r>
  </si>
  <si>
    <r>
      <t>3.</t>
    </r>
    <r>
      <rPr>
        <sz val="7"/>
        <color theme="1"/>
        <rFont val="Arial"/>
        <family val="2"/>
      </rPr>
      <t xml:space="preserve">     </t>
    </r>
    <r>
      <rPr>
        <sz val="9"/>
        <color theme="1"/>
        <rFont val="Arial"/>
        <family val="2"/>
      </rPr>
      <t>Preparation and installation of computer network cable/ infrastructure to PGBh offices, hospitals and LGUs according to logical and physical layout plan</t>
    </r>
  </si>
  <si>
    <r>
      <t>·</t>
    </r>
    <r>
      <rPr>
        <sz val="7"/>
        <color theme="1"/>
        <rFont val="Arial"/>
        <family val="2"/>
      </rPr>
      <t xml:space="preserve">         </t>
    </r>
    <r>
      <rPr>
        <sz val="9"/>
        <color theme="1"/>
        <rFont val="Arial"/>
        <family val="2"/>
      </rPr>
      <t>Receiving &amp; recording of incoming and outgoing communications</t>
    </r>
  </si>
  <si>
    <r>
      <t>·</t>
    </r>
    <r>
      <rPr>
        <sz val="7"/>
        <color theme="1"/>
        <rFont val="Arial"/>
        <family val="2"/>
      </rPr>
      <t xml:space="preserve">         </t>
    </r>
    <r>
      <rPr>
        <sz val="9"/>
        <color theme="1"/>
        <rFont val="Arial"/>
        <family val="2"/>
      </rPr>
      <t>Filing  of communications/ documents</t>
    </r>
  </si>
  <si>
    <r>
      <t>·</t>
    </r>
    <r>
      <rPr>
        <sz val="7"/>
        <color theme="1"/>
        <rFont val="Arial"/>
        <family val="2"/>
      </rPr>
      <t xml:space="preserve">         </t>
    </r>
    <r>
      <rPr>
        <sz val="9"/>
        <color theme="1"/>
        <rFont val="Arial"/>
        <family val="2"/>
      </rPr>
      <t>Preparation of communications</t>
    </r>
  </si>
  <si>
    <r>
      <t>·</t>
    </r>
    <r>
      <rPr>
        <sz val="7"/>
        <color theme="1"/>
        <rFont val="Arial"/>
        <family val="2"/>
      </rPr>
      <t xml:space="preserve">         </t>
    </r>
    <r>
      <rPr>
        <sz val="9"/>
        <color theme="1"/>
        <rFont val="Arial"/>
        <family val="2"/>
      </rPr>
      <t>Review/ signing of documents</t>
    </r>
  </si>
  <si>
    <r>
      <t>·</t>
    </r>
    <r>
      <rPr>
        <sz val="7"/>
        <color theme="1"/>
        <rFont val="Arial"/>
        <family val="2"/>
      </rPr>
      <t xml:space="preserve">         </t>
    </r>
    <r>
      <rPr>
        <sz val="9"/>
        <color theme="1"/>
        <rFont val="Arial"/>
        <family val="2"/>
      </rPr>
      <t>Customer Service/ Technical</t>
    </r>
  </si>
  <si>
    <r>
      <t>-</t>
    </r>
    <r>
      <rPr>
        <sz val="7"/>
        <color theme="1"/>
        <rFont val="Arial"/>
        <family val="2"/>
      </rPr>
      <t xml:space="preserve">       </t>
    </r>
    <r>
      <rPr>
        <sz val="9"/>
        <color theme="1"/>
        <rFont val="Arial"/>
        <family val="2"/>
      </rPr>
      <t>Entertain Clients</t>
    </r>
  </si>
  <si>
    <r>
      <t>-</t>
    </r>
    <r>
      <rPr>
        <sz val="7"/>
        <color theme="1"/>
        <rFont val="Arial"/>
        <family val="2"/>
      </rPr>
      <t xml:space="preserve">       </t>
    </r>
    <r>
      <rPr>
        <sz val="9"/>
        <color theme="1"/>
        <rFont val="Arial"/>
        <family val="2"/>
      </rPr>
      <t>Answering telephone calls</t>
    </r>
  </si>
  <si>
    <r>
      <t>·</t>
    </r>
    <r>
      <rPr>
        <sz val="7"/>
        <color theme="1"/>
        <rFont val="Arial"/>
        <family val="2"/>
      </rPr>
      <t xml:space="preserve">         </t>
    </r>
    <r>
      <rPr>
        <sz val="9"/>
        <color theme="1"/>
        <rFont val="Arial"/>
        <family val="2"/>
      </rPr>
      <t>Preparation of Financial Plans</t>
    </r>
  </si>
  <si>
    <r>
      <t>-</t>
    </r>
    <r>
      <rPr>
        <sz val="7"/>
        <color theme="1"/>
        <rFont val="Arial"/>
        <family val="2"/>
      </rPr>
      <t xml:space="preserve">       </t>
    </r>
    <r>
      <rPr>
        <sz val="9"/>
        <color theme="1"/>
        <rFont val="Arial"/>
        <family val="2"/>
      </rPr>
      <t>Annual Investment Plan</t>
    </r>
  </si>
  <si>
    <r>
      <t>-</t>
    </r>
    <r>
      <rPr>
        <sz val="7"/>
        <color theme="1"/>
        <rFont val="Arial"/>
        <family val="2"/>
      </rPr>
      <t xml:space="preserve">       </t>
    </r>
    <r>
      <rPr>
        <sz val="9"/>
        <color theme="1"/>
        <rFont val="Arial"/>
        <family val="2"/>
      </rPr>
      <t>Office Annual Budget Proposal</t>
    </r>
  </si>
  <si>
    <r>
      <t>-</t>
    </r>
    <r>
      <rPr>
        <sz val="7"/>
        <color theme="1"/>
        <rFont val="Arial"/>
        <family val="2"/>
      </rPr>
      <t xml:space="preserve">       </t>
    </r>
    <r>
      <rPr>
        <sz val="9"/>
        <color theme="1"/>
        <rFont val="Arial"/>
        <family val="2"/>
      </rPr>
      <t>Annual Work &amp; Financial Plan</t>
    </r>
  </si>
  <si>
    <r>
      <t>-</t>
    </r>
    <r>
      <rPr>
        <sz val="7"/>
        <color theme="1"/>
        <rFont val="Arial"/>
        <family val="2"/>
      </rPr>
      <t xml:space="preserve">       </t>
    </r>
    <r>
      <rPr>
        <sz val="9"/>
        <color theme="1"/>
        <rFont val="Arial"/>
        <family val="2"/>
      </rPr>
      <t>Office AEPP</t>
    </r>
  </si>
  <si>
    <r>
      <t>-</t>
    </r>
    <r>
      <rPr>
        <sz val="7"/>
        <color theme="1"/>
        <rFont val="Arial"/>
        <family val="2"/>
      </rPr>
      <t xml:space="preserve">       </t>
    </r>
    <r>
      <rPr>
        <sz val="9"/>
        <color theme="1"/>
        <rFont val="Arial"/>
        <family val="2"/>
      </rPr>
      <t>Office ASPP</t>
    </r>
  </si>
  <si>
    <r>
      <t>-</t>
    </r>
    <r>
      <rPr>
        <sz val="7"/>
        <color theme="1"/>
        <rFont val="Arial"/>
        <family val="2"/>
      </rPr>
      <t xml:space="preserve">       </t>
    </r>
    <r>
      <rPr>
        <sz val="9"/>
        <color theme="1"/>
        <rFont val="Arial"/>
        <family val="2"/>
      </rPr>
      <t>Office APPMP</t>
    </r>
  </si>
  <si>
    <r>
      <t>·</t>
    </r>
    <r>
      <rPr>
        <sz val="7"/>
        <color theme="1"/>
        <rFont val="Arial"/>
        <family val="2"/>
      </rPr>
      <t xml:space="preserve">         </t>
    </r>
    <r>
      <rPr>
        <sz val="9"/>
        <color theme="1"/>
        <rFont val="Arial"/>
        <family val="2"/>
      </rPr>
      <t>Preparation of financial documents/ reports</t>
    </r>
  </si>
  <si>
    <r>
      <t>·</t>
    </r>
    <r>
      <rPr>
        <sz val="7"/>
        <color theme="1"/>
        <rFont val="Arial"/>
        <family val="2"/>
      </rPr>
      <t xml:space="preserve">         </t>
    </r>
    <r>
      <rPr>
        <sz val="9"/>
        <color theme="1"/>
        <rFont val="Arial"/>
        <family val="2"/>
      </rPr>
      <t>Property &amp; Supply Management</t>
    </r>
  </si>
  <si>
    <r>
      <t>·</t>
    </r>
    <r>
      <rPr>
        <sz val="7"/>
        <color theme="1"/>
        <rFont val="Arial"/>
        <family val="2"/>
      </rPr>
      <t xml:space="preserve">      </t>
    </r>
    <r>
      <rPr>
        <sz val="9"/>
        <color theme="1"/>
        <rFont val="Arial"/>
        <family val="2"/>
      </rPr>
      <t>Disseminate communication</t>
    </r>
  </si>
  <si>
    <r>
      <t>·</t>
    </r>
    <r>
      <rPr>
        <sz val="7"/>
        <color theme="1"/>
        <rFont val="Arial"/>
        <family val="2"/>
      </rPr>
      <t xml:space="preserve">      </t>
    </r>
    <r>
      <rPr>
        <sz val="9"/>
        <color theme="1"/>
        <rFont val="Arial"/>
        <family val="2"/>
      </rPr>
      <t>Follow-up docs</t>
    </r>
  </si>
  <si>
    <r>
      <t>·</t>
    </r>
    <r>
      <rPr>
        <sz val="7"/>
        <color theme="1"/>
        <rFont val="Arial"/>
        <family val="2"/>
      </rPr>
      <t xml:space="preserve">      </t>
    </r>
    <r>
      <rPr>
        <sz val="9"/>
        <color theme="1"/>
        <rFont val="Arial"/>
        <family val="2"/>
      </rPr>
      <t>Waste Segregation</t>
    </r>
  </si>
  <si>
    <r>
      <t>·</t>
    </r>
    <r>
      <rPr>
        <sz val="7"/>
        <color theme="1"/>
        <rFont val="Arial"/>
        <family val="2"/>
      </rPr>
      <t xml:space="preserve">      </t>
    </r>
    <r>
      <rPr>
        <sz val="9"/>
        <color theme="1"/>
        <rFont val="Arial"/>
        <family val="2"/>
      </rPr>
      <t>Water Conservation</t>
    </r>
  </si>
  <si>
    <r>
      <t>·</t>
    </r>
    <r>
      <rPr>
        <sz val="7"/>
        <color theme="1"/>
        <rFont val="Arial"/>
        <family val="2"/>
      </rPr>
      <t xml:space="preserve">      </t>
    </r>
    <r>
      <rPr>
        <sz val="9"/>
        <color theme="1"/>
        <rFont val="Arial"/>
        <family val="2"/>
      </rPr>
      <t>Energy Conservation</t>
    </r>
  </si>
  <si>
    <r>
      <t>·</t>
    </r>
    <r>
      <rPr>
        <sz val="7"/>
        <color theme="1"/>
        <rFont val="Arial"/>
        <family val="2"/>
      </rPr>
      <t xml:space="preserve">      </t>
    </r>
    <r>
      <rPr>
        <sz val="9"/>
        <color theme="1"/>
        <rFont val="Arial"/>
        <family val="2"/>
      </rPr>
      <t>Pollution Control</t>
    </r>
  </si>
  <si>
    <r>
      <t>·</t>
    </r>
    <r>
      <rPr>
        <sz val="7"/>
        <color theme="1"/>
        <rFont val="Arial"/>
        <family val="2"/>
      </rPr>
      <t xml:space="preserve">      </t>
    </r>
    <r>
      <rPr>
        <sz val="9"/>
        <color theme="1"/>
        <rFont val="Arial"/>
        <family val="2"/>
      </rPr>
      <t>Mineral Conservation</t>
    </r>
  </si>
  <si>
    <t>·      Fuel Usage</t>
  </si>
  <si>
    <r>
      <t>·</t>
    </r>
    <r>
      <rPr>
        <sz val="7"/>
        <color theme="1"/>
        <rFont val="Arial"/>
        <family val="2"/>
      </rPr>
      <t xml:space="preserve">      </t>
    </r>
    <r>
      <rPr>
        <sz val="9"/>
        <color theme="1"/>
        <rFont val="Arial"/>
        <family val="2"/>
      </rPr>
      <t>Attend meetings/ trainings/ seminars</t>
    </r>
  </si>
  <si>
    <r>
      <t>·</t>
    </r>
    <r>
      <rPr>
        <sz val="7"/>
        <color theme="1"/>
        <rFont val="Arial"/>
        <family val="2"/>
      </rPr>
      <t xml:space="preserve">      </t>
    </r>
    <r>
      <rPr>
        <sz val="9"/>
        <color theme="1"/>
        <rFont val="Arial"/>
        <family val="2"/>
      </rPr>
      <t>Conduct trainings/ ICT related trainings</t>
    </r>
  </si>
  <si>
    <r>
      <t xml:space="preserve">Office/Department: </t>
    </r>
    <r>
      <rPr>
        <b/>
        <u/>
        <sz val="10"/>
        <rFont val="Arial"/>
        <family val="2"/>
      </rPr>
      <t xml:space="preserve">    </t>
    </r>
    <r>
      <rPr>
        <b/>
        <u/>
        <sz val="11"/>
        <rFont val="Arial"/>
        <family val="2"/>
      </rPr>
      <t>BOHOL DISTRICT JAIL</t>
    </r>
  </si>
  <si>
    <r>
      <t xml:space="preserve">Budget Year                  : </t>
    </r>
    <r>
      <rPr>
        <b/>
        <sz val="11"/>
        <color indexed="8"/>
        <rFont val="Arial"/>
        <family val="2"/>
      </rPr>
      <t>2014</t>
    </r>
  </si>
  <si>
    <r>
      <t>Budget Year                  :</t>
    </r>
    <r>
      <rPr>
        <b/>
        <sz val="11"/>
        <color indexed="8"/>
        <rFont val="Arial"/>
        <family val="2"/>
      </rPr>
      <t xml:space="preserve"> 2014</t>
    </r>
  </si>
  <si>
    <r>
      <t xml:space="preserve">Office/Department        </t>
    </r>
    <r>
      <rPr>
        <sz val="12"/>
        <color indexed="8"/>
        <rFont val="Arial"/>
        <family val="2"/>
      </rPr>
      <t xml:space="preserve">: </t>
    </r>
    <r>
      <rPr>
        <b/>
        <sz val="12"/>
        <color indexed="8"/>
        <rFont val="Arial"/>
        <family val="2"/>
      </rPr>
      <t>Sangguniang Panlalawigan</t>
    </r>
  </si>
  <si>
    <r>
      <t>·</t>
    </r>
    <r>
      <rPr>
        <sz val="7"/>
        <color theme="1"/>
        <rFont val="Arial"/>
        <family val="2"/>
      </rPr>
      <t xml:space="preserve">         </t>
    </r>
    <r>
      <rPr>
        <sz val="11"/>
        <color theme="1"/>
        <rFont val="Arial"/>
        <family val="2"/>
      </rPr>
      <t>Procure updated reference materials and professional magazines</t>
    </r>
  </si>
  <si>
    <r>
      <t>·</t>
    </r>
    <r>
      <rPr>
        <sz val="7"/>
        <color theme="1"/>
        <rFont val="Arial"/>
        <family val="2"/>
      </rPr>
      <t xml:space="preserve">      </t>
    </r>
    <r>
      <rPr>
        <sz val="11"/>
        <color theme="1"/>
        <rFont val="Arial"/>
        <family val="2"/>
      </rPr>
      <t>Coordinate with the national library of the Philippines in establishing municipal libraries and barangay reading centers in relation to RA 7743</t>
    </r>
  </si>
  <si>
    <r>
      <t>·</t>
    </r>
    <r>
      <rPr>
        <sz val="7"/>
        <color theme="1"/>
        <rFont val="Arial"/>
        <family val="2"/>
      </rPr>
      <t xml:space="preserve">      </t>
    </r>
    <r>
      <rPr>
        <sz val="11"/>
        <color theme="1"/>
        <rFont val="Arial"/>
        <family val="2"/>
      </rPr>
      <t>Conduct trainings and re – echo seminar workshops to LGU librarian in change</t>
    </r>
  </si>
  <si>
    <r>
      <t>·</t>
    </r>
    <r>
      <rPr>
        <sz val="7"/>
        <color theme="1"/>
        <rFont val="Arial"/>
        <family val="2"/>
      </rPr>
      <t xml:space="preserve">      </t>
    </r>
    <r>
      <rPr>
        <sz val="11"/>
        <color theme="1"/>
        <rFont val="Arial"/>
        <family val="2"/>
      </rPr>
      <t>Conduct consultative meetings</t>
    </r>
  </si>
  <si>
    <r>
      <t>·</t>
    </r>
    <r>
      <rPr>
        <sz val="7"/>
        <color theme="1"/>
        <rFont val="Arial"/>
        <family val="2"/>
      </rPr>
      <t xml:space="preserve">      </t>
    </r>
    <r>
      <rPr>
        <sz val="11"/>
        <color theme="1"/>
        <rFont val="Arial"/>
        <family val="2"/>
      </rPr>
      <t>Upgrading computer units specifications</t>
    </r>
  </si>
  <si>
    <r>
      <t>·</t>
    </r>
    <r>
      <rPr>
        <sz val="7"/>
        <color theme="1"/>
        <rFont val="Arial"/>
        <family val="2"/>
      </rPr>
      <t xml:space="preserve">      </t>
    </r>
    <r>
      <rPr>
        <sz val="11"/>
        <color theme="1"/>
        <rFont val="Arial"/>
        <family val="2"/>
      </rPr>
      <t>Procurement of ten (10) computers for internet use and online public access (OPAC)  in view of traditional catalog</t>
    </r>
  </si>
  <si>
    <r>
      <t>·</t>
    </r>
    <r>
      <rPr>
        <sz val="7"/>
        <color theme="1"/>
        <rFont val="Arial"/>
        <family val="2"/>
      </rPr>
      <t xml:space="preserve">      </t>
    </r>
    <r>
      <rPr>
        <sz val="11"/>
        <color theme="1"/>
        <rFont val="Arial"/>
        <family val="2"/>
      </rPr>
      <t>Procurement of heavy duty UPS for cataloguing purposes</t>
    </r>
  </si>
  <si>
    <r>
      <t>·</t>
    </r>
    <r>
      <rPr>
        <sz val="7"/>
        <color theme="1"/>
        <rFont val="Arial"/>
        <family val="2"/>
      </rPr>
      <t xml:space="preserve">      </t>
    </r>
    <r>
      <rPr>
        <sz val="11"/>
        <color theme="1"/>
        <rFont val="Arial"/>
        <family val="2"/>
      </rPr>
      <t>Procurement of 2 units air-conditioned of 5 tons</t>
    </r>
  </si>
  <si>
    <t>Ø  Merit Selection Plan</t>
  </si>
  <si>
    <t>Ø  Programs on Awards and Incentives for Service Excellence and Incentives</t>
  </si>
  <si>
    <t>Ø  Office Performance Evaluation System and Performance Evaluation System</t>
  </si>
  <si>
    <t>Ø  Grievance Machinery</t>
  </si>
  <si>
    <t>Ø  Committee on Decorum and Investigation</t>
  </si>
  <si>
    <t>Ø  Management Employee Committee</t>
  </si>
  <si>
    <t>Ø  Satisfied clients of the Provincial Government of Bohol through timely delivery of quality and responsive Public Service.</t>
  </si>
  <si>
    <t>Ø  More active in office concerns through active involvement in human resource program and activities.</t>
  </si>
  <si>
    <t>Ø  Harmonious relationships kept among Provincial Government of Bohol employee union and management.</t>
  </si>
  <si>
    <t>·         Updated Organizational/Departmental/Offices structures with recommended positions /items for abolition to support  needed  positions for creation</t>
  </si>
  <si>
    <t>·         Publication of Vacancies to 3 conspicuous places</t>
  </si>
  <si>
    <t>·         Updated list of Vacancies posted at the Website</t>
  </si>
  <si>
    <t>·         Submission of the lists of vacancies to CSC</t>
  </si>
  <si>
    <t>·         Updated Plantilla</t>
  </si>
  <si>
    <t>·         Supporting certifications for the PBB</t>
  </si>
  <si>
    <t>·         Prepared communications and Administrative issuances</t>
  </si>
  <si>
    <t>·         Division accomplishment report</t>
  </si>
  <si>
    <t>·         Year-end accomplishment report</t>
  </si>
  <si>
    <t>·         BP monitoring report</t>
  </si>
  <si>
    <t>·         Employee’s rating report</t>
  </si>
  <si>
    <r>
      <t xml:space="preserve">·         </t>
    </r>
    <r>
      <rPr>
        <sz val="11"/>
        <color theme="1"/>
        <rFont val="Arial"/>
        <family val="2"/>
      </rPr>
      <t>List of OJTs and offices assigned</t>
    </r>
  </si>
  <si>
    <t>·         Additional features/modules established</t>
  </si>
  <si>
    <t>·         Updated Date</t>
  </si>
  <si>
    <t>·         Approved DTR</t>
  </si>
  <si>
    <t>·         Payrolls, Pay slips and Transmittal</t>
  </si>
  <si>
    <t>·         Signed Pay slip</t>
  </si>
  <si>
    <t>·         Leave Record updated</t>
  </si>
  <si>
    <t>·         Updated Employment Record</t>
  </si>
  <si>
    <t>·         Signed Service Record</t>
  </si>
  <si>
    <t>·         Approved Financial Claims</t>
  </si>
  <si>
    <t>·         Signed Evaluation Sheets</t>
  </si>
  <si>
    <t>·         Draft of Plantilla</t>
  </si>
  <si>
    <t>·         Approved NOSA, Approved Financial Claims</t>
  </si>
  <si>
    <t>·         Indorsements, Referrals, Memo Order, Admin Order</t>
  </si>
  <si>
    <t>·         Recorded approved leave applications</t>
  </si>
  <si>
    <t>·         Recorded filed &amp; retrieved documents</t>
  </si>
  <si>
    <t>·         Reports</t>
  </si>
  <si>
    <t>·         BMCI reports</t>
  </si>
  <si>
    <t>·         Attendance sheets</t>
  </si>
  <si>
    <t>·         Incoming communications filed/recorded</t>
  </si>
  <si>
    <t>·         Communications filed</t>
  </si>
  <si>
    <t>·         Retrieved documents</t>
  </si>
  <si>
    <t>·         Draft communications</t>
  </si>
  <si>
    <t>·         Financial documents pre-audited</t>
  </si>
  <si>
    <t>·         Memo-Advisory, announcement and etc posted</t>
  </si>
  <si>
    <t>·         Report prepared</t>
  </si>
  <si>
    <t>·         Bonds prepared</t>
  </si>
  <si>
    <t>·         Supporting documents prepared</t>
  </si>
  <si>
    <t>·         Financial reports/documents prepared</t>
  </si>
  <si>
    <r>
      <t xml:space="preserve">·         </t>
    </r>
    <r>
      <rPr>
        <sz val="11"/>
        <color theme="1"/>
        <rFont val="Arial"/>
        <family val="2"/>
      </rPr>
      <t>Inventory report</t>
    </r>
  </si>
  <si>
    <t>·         Quarterly checkup (aircons, computer, desktop, laptops, service vehicles, photocopier)report</t>
  </si>
  <si>
    <t>·         EMS implementation report</t>
  </si>
  <si>
    <t>·         Documents dessiminated and processed</t>
  </si>
  <si>
    <t>·         Documents followed-up</t>
  </si>
  <si>
    <t>·         Activities for CSC month conducted</t>
  </si>
  <si>
    <t>Ø  Increased capabilities of all levels of personnel in the Provincial Government of Bohol as to shown to</t>
  </si>
  <si>
    <t>Review and Update Organizational/Departmental/ Offices Structures</t>
  </si>
  <si>
    <t>June 2014 &amp; Dec. 2014</t>
  </si>
  <si>
    <t>reports/ documents</t>
  </si>
  <si>
    <t xml:space="preserve"> Confidential,  Extraordinary &amp; Misc. Expenses</t>
  </si>
  <si>
    <t>Donation</t>
  </si>
  <si>
    <t>PROGRAM/ ACTIVITY/ PROJECTS</t>
  </si>
  <si>
    <t>CARMELITA M. TECSON</t>
  </si>
  <si>
    <t>100% of planned PLUC Meetings conducted 
100% of updated CLUPs reviewed / deliberated/ approved</t>
  </si>
  <si>
    <t>JOSETH J. CELOCIA</t>
  </si>
  <si>
    <t>BALANCE</t>
  </si>
  <si>
    <t>LARRY M. PAMUGAS</t>
  </si>
  <si>
    <t>OIC-Department Head</t>
  </si>
  <si>
    <t xml:space="preserve"> Provincial Accountant</t>
  </si>
  <si>
    <t>CY-2014</t>
  </si>
  <si>
    <t>OFFICE OF THE PROVINCIAL ADMINISTRATOR</t>
  </si>
  <si>
    <t xml:space="preserve">          PROVINCIAL ADMINISTRATOR</t>
  </si>
  <si>
    <r>
      <t>FUNCTIONAL STATEMENT,   OBJECTIVES AND EXPECTED RESULT</t>
    </r>
    <r>
      <rPr>
        <sz val="11"/>
        <color theme="1"/>
        <rFont val="Candara"/>
        <family val="2"/>
      </rPr>
      <t>S</t>
    </r>
  </si>
  <si>
    <t xml:space="preserve">          PROVINCIAL PROCUREMENT MGT. UNIT</t>
  </si>
  <si>
    <t>1.  FUNCTIONAL STATEMENT:</t>
  </si>
  <si>
    <t xml:space="preserve">         LOCAL DISASTER RISK REDUCTION AND MANAGEMENT</t>
  </si>
  <si>
    <t xml:space="preserve">Provided representation of the office in various meetings, tasks and activities in relation to the mandates and roles of various committees, special bodies, tasks forces and teams. Meetings attended, reports prepared, assistance provided to:
Social: Nutrition Council, SubCom for the Welfare of Children, PCW, BIAD 5 ExeCom; RDC SDC, Regional KALAHI Convergence Team; RDC statistical Coord. Committee
Economic: PITE RedCom, , BIB, , MSMED Council, ICT Council, Provincial Tourism Council (PTC), RDC-EDC
Environment: PLUC, PAMB,  TFIL, Watershed Health, Ecological Solid Waste Mgt.,  BIWRMB, PDRRMC,  ARDMC; 
Infrastructure: Road Sector Committee, Unified Power  Committee; RDC-IDC, Bohol Water and Sanitation Project
DevAd: LFC,  ICTAF, RSC, HRDC,  RDC-DevAd, Bohol Water &amp; Sanitation Project
</t>
  </si>
  <si>
    <t xml:space="preserve">PDMU/ODA: Provl. Monitoring Evaluation Committee (PMEC),  Water Quality Monitoring Team, HRMD Planning Team,; PTWG GREAT  Women Project., EMS Secretariat, NBACEPP, BWSP, </t>
  </si>
  <si>
    <t xml:space="preserve">Admin:PGB-NGO Covenant for Prosperity; </t>
  </si>
  <si>
    <t>PPDC: MEB, LFC, RDC, RSC, ICTAF, PLUC,  PPP TWG, Water TWG, NBACEPP, BWSP, all mentioned Committees above</t>
  </si>
  <si>
    <t>Budget Year                : 2014</t>
  </si>
  <si>
    <t>Annual Pre and Post Closing financial reports.</t>
  </si>
  <si>
    <t>PERFORMANCE MANAGEMENT AND EVALUATION SYSTEM</t>
  </si>
  <si>
    <t>Systems developed, implemented and maintained</t>
  </si>
  <si>
    <t xml:space="preserve"> Post and maintain in systematic order individual index cards specifically prescribed for the purpose.</t>
  </si>
  <si>
    <t xml:space="preserve"> Account  all issued request for obligations and maintain / keep all records and reports related thereto;</t>
  </si>
  <si>
    <t xml:space="preserve"> Maintain proper and safe custody of financial claims, reports and other supporting documents.</t>
  </si>
  <si>
    <t>·         Monthly awarding</t>
  </si>
  <si>
    <t>·         Annual  awarding</t>
  </si>
  <si>
    <t xml:space="preserve">o    Concurrence with the electronic-New Government Accounting System  (e-NGAS) at PAccO and e-Budget at PBMO </t>
  </si>
  <si>
    <t>o    Full implementation of the Financial Transaction Tracking System “FITTSYS” at PAccO</t>
  </si>
  <si>
    <t xml:space="preserve">1.     PERSONNEL MANAGEMENT </t>
  </si>
  <si>
    <t>a.     Technical Training on Software Development Modules – 3 Systems</t>
  </si>
  <si>
    <t>b.    Technical Training on Server Administration and System Security - 3 Systems</t>
  </si>
  <si>
    <t xml:space="preserve">c.     E-NGAS Users’  Training on Version 2.1.2. – </t>
  </si>
  <si>
    <t xml:space="preserve">·         efficiency and stability of the system </t>
  </si>
  <si>
    <t>·         faster query response</t>
  </si>
  <si>
    <t>·         additional features in the preparation and submission of remittances</t>
  </si>
  <si>
    <t>·         and features in  the releasing of claims shall also be incorporated.</t>
  </si>
  <si>
    <t>·         e-NGAS enhancement</t>
  </si>
  <si>
    <t>·         e-NGAS Workstation expansion</t>
  </si>
  <si>
    <t>·         updated control of appropriation allotment balances at PBO</t>
  </si>
  <si>
    <t>o    Continuous Information and Education Campaigns  (annual)</t>
  </si>
  <si>
    <t>·         Electronic Records Management System (ERMS)</t>
  </si>
  <si>
    <t>·          Software on  Records Management developed</t>
  </si>
  <si>
    <t>·          ERMS implemented</t>
  </si>
  <si>
    <t>·         Remittance Information Tracking System</t>
  </si>
  <si>
    <t>·          RITS enhanced</t>
  </si>
  <si>
    <t>·          RITS fully implemented</t>
  </si>
  <si>
    <t>·         Purchase of 1 unit 1 Hp Split-type for the Asst. Provl. Accountant’s room,  as  replacement of old aircon units installed 14 years ago.</t>
  </si>
  <si>
    <t>·         Repainting  of the entire PAccO area, and Facilities.</t>
  </si>
  <si>
    <r>
      <t xml:space="preserve"> A. </t>
    </r>
    <r>
      <rPr>
        <b/>
        <sz val="10"/>
        <color indexed="8"/>
        <rFont val="Arial Narrow"/>
        <family val="2"/>
      </rPr>
      <t>FUNCTIONAL STATEMENT</t>
    </r>
  </si>
  <si>
    <r>
      <t>BIR and GSIS  - Deadline every 10</t>
    </r>
    <r>
      <rPr>
        <b/>
        <vertAlign val="superscript"/>
        <sz val="10"/>
        <color theme="1"/>
        <rFont val="Arial Narrow"/>
        <family val="2"/>
      </rPr>
      <t>th</t>
    </r>
    <r>
      <rPr>
        <b/>
        <sz val="10"/>
        <color theme="1"/>
        <rFont val="Arial Narrow"/>
        <family val="2"/>
      </rPr>
      <t xml:space="preserve"> of the Month</t>
    </r>
  </si>
  <si>
    <r>
      <t>ADMINISTRATIVE SERVICES</t>
    </r>
    <r>
      <rPr>
        <b/>
        <sz val="10"/>
        <color theme="1"/>
        <rFont val="Arial Narrow"/>
        <family val="2"/>
      </rPr>
      <t>:.</t>
    </r>
  </si>
  <si>
    <r>
      <t xml:space="preserve">·         Upgrading and implementation  of the </t>
    </r>
    <r>
      <rPr>
        <b/>
        <sz val="10"/>
        <color theme="1"/>
        <rFont val="Arial Narrow"/>
        <family val="2"/>
      </rPr>
      <t>Financial Transaction Tracking System  (FiTTSys)</t>
    </r>
    <r>
      <rPr>
        <sz val="10"/>
        <color theme="1"/>
        <rFont val="Arial Narrow"/>
        <family val="2"/>
      </rPr>
      <t xml:space="preserve"> from  Version 1.2.2  to 2.0.6.8. to 2.0.6.9.– intended to incorporate additional features parallel with the changes and implementation of the Enhanced Audit Steps.  FiTTSys Version 1.2.2. is now fully implemented with features reaching out more clients ranging from employees, suppliers and  expanded features in the creation of remittances database.  </t>
    </r>
  </si>
  <si>
    <r>
      <t xml:space="preserve">·         </t>
    </r>
    <r>
      <rPr>
        <b/>
        <sz val="10"/>
        <color theme="1"/>
        <rFont val="Arial Narrow"/>
        <family val="2"/>
      </rPr>
      <t>electronic New Government Accounting System (E-NGAS)</t>
    </r>
    <r>
      <rPr>
        <sz val="10"/>
        <color theme="1"/>
        <rFont val="Arial Narrow"/>
        <family val="2"/>
      </rPr>
      <t xml:space="preserve"> Upgrading from Version 1.2.1 to 1.2.2. with Workstation Enhancement and Expansion with Linkage to the e-BUDGET – is intended to address system’s technical issue on query timeout errors which hampers operation with the growing volume of transactions of the Provincial Government of Bohol.  With the goal of providing timely and accurate financial information, it is imperative to the operation that additional users and equipments are considered.</t>
    </r>
  </si>
  <si>
    <r>
      <t>· PACCO MOBILE</t>
    </r>
    <r>
      <rPr>
        <sz val="10"/>
        <color theme="1"/>
        <rFont val="Arial Narrow"/>
        <family val="2"/>
      </rPr>
      <t xml:space="preserve"> –</t>
    </r>
  </si>
  <si>
    <t>COLLECTION OF TAX ON DELIVERY TRUCKS/</t>
  </si>
  <si>
    <t xml:space="preserve">     personnel in matters relating to their official functions with the end view that the rule of law should always be</t>
  </si>
  <si>
    <t xml:space="preserve">     upheld.  For this purpose, this office shall: formulate measures for consideration of the chief executive and the</t>
  </si>
  <si>
    <t xml:space="preserve">     sanggunian; provide legal assistance and support to local government officials in carrying out their functions</t>
  </si>
  <si>
    <t xml:space="preserve">     and advise them on relevant legal matters; represent the provincial government, its component local government</t>
  </si>
  <si>
    <t xml:space="preserve">     units and their officials and personnel in all cases allowed by law who become parties in legal actions in their</t>
  </si>
  <si>
    <t xml:space="preserve">     official capacity; draft legislative measures, executive issuances,, contracts and other instruments and provide</t>
  </si>
  <si>
    <t xml:space="preserve">     comments and recommendations on any instruments already drawn; render legal opinion on questions of law;</t>
  </si>
  <si>
    <t xml:space="preserve">     conduct administrative and fact-finding investigations; initiate legal acttions to promote and protect the interest</t>
  </si>
  <si>
    <t xml:space="preserve">     of the provincial government and its component units as may be directed by the governor, the sanggunian, or as</t>
  </si>
  <si>
    <t xml:space="preserve">     requested by the component unit; review and submit recommendations on ordinances approved and executive </t>
  </si>
  <si>
    <t xml:space="preserve">     orders issued by components units; be in the frontline of protecting human rights; and exercise such functions </t>
  </si>
  <si>
    <t xml:space="preserve">     as may be prescribed by law or ordinance [c.f. Section 481(b), R.A. 7160]</t>
  </si>
  <si>
    <r>
      <t xml:space="preserve">               </t>
    </r>
    <r>
      <rPr>
        <sz val="11"/>
        <color indexed="8"/>
        <rFont val="Calibri"/>
        <family val="2"/>
      </rPr>
      <t xml:space="preserve">Provide legal services to the provincial government, its component local government units, officials and </t>
    </r>
  </si>
  <si>
    <t>Function:                         HEALTH PROMOTION AND PREVENTION/ ADMINISTRATIVE SERVICES</t>
  </si>
  <si>
    <r>
      <t xml:space="preserve">Office/Department:         </t>
    </r>
    <r>
      <rPr>
        <b/>
        <sz val="12"/>
        <rFont val="Arial"/>
        <family val="2"/>
      </rPr>
      <t>CONG. SIMEON G. TORIBIO MEMORIAL HOSPITAL</t>
    </r>
  </si>
  <si>
    <t>Monthly check-up of all IT equip-ments</t>
  </si>
  <si>
    <t>B.  X RAY/Radiology                       P.S.</t>
  </si>
  <si>
    <t>C. DENTAL                                     P.S.</t>
  </si>
  <si>
    <r>
      <t xml:space="preserve">curative dental care                     </t>
    </r>
    <r>
      <rPr>
        <b/>
        <sz val="10"/>
        <rFont val="Arial"/>
        <family val="2"/>
      </rPr>
      <t xml:space="preserve">  MOOE</t>
    </r>
  </si>
  <si>
    <t>D. PHARMACY                                P.S.</t>
  </si>
  <si>
    <r>
      <t xml:space="preserve">Maintain enough stocks of             </t>
    </r>
    <r>
      <rPr>
        <b/>
        <sz val="10"/>
        <rFont val="Arial"/>
        <family val="2"/>
      </rPr>
      <t>MOOE</t>
    </r>
  </si>
  <si>
    <r>
      <t xml:space="preserve">medicines &amp; drugs      </t>
    </r>
    <r>
      <rPr>
        <b/>
        <sz val="10"/>
        <rFont val="Arial"/>
        <family val="2"/>
      </rPr>
      <t>REVOLVING FUND</t>
    </r>
  </si>
  <si>
    <t>A.  Dietary                                      P.S.</t>
  </si>
  <si>
    <r>
      <t xml:space="preserve">Prepare menu, prepare &amp;             </t>
    </r>
    <r>
      <rPr>
        <b/>
        <sz val="10"/>
        <rFont val="Arial"/>
        <family val="2"/>
      </rPr>
      <t xml:space="preserve">  MOOE</t>
    </r>
  </si>
  <si>
    <t xml:space="preserve">     Services                                 MOOE</t>
  </si>
  <si>
    <t xml:space="preserve">   with complete supporting</t>
  </si>
  <si>
    <t>Annual Supp./ Equipt.Procurement Plan</t>
  </si>
  <si>
    <t>CATIGBIAN DISTRICT HOSPITAL- Catigbian</t>
  </si>
  <si>
    <r>
      <rPr>
        <sz val="12"/>
        <rFont val="Arial"/>
        <family val="2"/>
      </rPr>
      <t>Office</t>
    </r>
    <r>
      <rPr>
        <b/>
        <sz val="12"/>
        <rFont val="Arial"/>
        <family val="2"/>
      </rPr>
      <t xml:space="preserve">                            : CANDIJAY COMMUNITY HOSPITAL, Candijay, Bohol</t>
    </r>
  </si>
  <si>
    <r>
      <rPr>
        <sz val="12"/>
        <rFont val="Arial"/>
        <family val="2"/>
      </rPr>
      <t xml:space="preserve">Budget Year                 </t>
    </r>
    <r>
      <rPr>
        <b/>
        <sz val="12"/>
        <rFont val="Arial"/>
        <family val="2"/>
      </rPr>
      <t>: 2014</t>
    </r>
  </si>
  <si>
    <t xml:space="preserve">                          :  MARIBOJOC COMMUNITY HOSPITAL</t>
  </si>
  <si>
    <r>
      <t xml:space="preserve">Budget Year                </t>
    </r>
    <r>
      <rPr>
        <b/>
        <sz val="11"/>
        <rFont val="Arial"/>
        <family val="2"/>
      </rPr>
      <t>:  2014</t>
    </r>
  </si>
  <si>
    <t>III. Projects/Activities</t>
  </si>
  <si>
    <t>MARIBOJOC COMMUNITY HOSPITAL</t>
  </si>
  <si>
    <t xml:space="preserve">    of medical records of in patients kept in the office.</t>
  </si>
  <si>
    <t xml:space="preserve">   - Keep and maintain proper recording/ filing </t>
  </si>
  <si>
    <t xml:space="preserve">     files for easy reference and retrieval.</t>
  </si>
  <si>
    <t xml:space="preserve">     support in all divisions of the office.</t>
  </si>
  <si>
    <t xml:space="preserve">     of all communications including personnel</t>
  </si>
  <si>
    <t xml:space="preserve">      -Maintain cleanliness in areas of assignments</t>
  </si>
  <si>
    <t xml:space="preserve">      -Sanitize all kitchen utensils routinely used</t>
  </si>
  <si>
    <t xml:space="preserve">      -Prepare statement of daily market purchases</t>
  </si>
  <si>
    <t xml:space="preserve">      nebulization, circumcission and pre-natal care</t>
  </si>
  <si>
    <t xml:space="preserve">       drugs and medicines issuances and balances</t>
  </si>
  <si>
    <t xml:space="preserve">      -Collect specimen for laboratory examinations</t>
  </si>
  <si>
    <t>no. of in-patients and out-patients attended                      accurate recording of patients charts. Complete and accurate medical records</t>
  </si>
  <si>
    <t xml:space="preserve">       1. To upgrade facilities, supplies &amp; equipments to satisfy the needs of all constituents regardless of      </t>
  </si>
  <si>
    <t>culture, race, or religion</t>
  </si>
  <si>
    <t xml:space="preserve">       3. To be able to comply with all PHIC, DOH, &amp; other government entities requirements to obtain </t>
  </si>
  <si>
    <t>income for hospital use.</t>
  </si>
  <si>
    <r>
      <t>A.</t>
    </r>
    <r>
      <rPr>
        <sz val="10"/>
        <rFont val="Arial"/>
        <family val="2"/>
      </rPr>
      <t xml:space="preserve">  </t>
    </r>
    <r>
      <rPr>
        <b/>
        <sz val="10"/>
        <rFont val="Arial"/>
        <family val="2"/>
      </rPr>
      <t>FUNCTIONAL STATEMENT AND GENERAL OBJECTIVES</t>
    </r>
  </si>
  <si>
    <t>20% DEV'T. FUND</t>
  </si>
  <si>
    <r>
      <t xml:space="preserve">Office/Department       : </t>
    </r>
    <r>
      <rPr>
        <b/>
        <sz val="12"/>
        <rFont val="Arial"/>
        <family val="2"/>
      </rPr>
      <t>PRES. CARLOS P. GARCIA MUNICIPAL HOSPITAL</t>
    </r>
  </si>
  <si>
    <t>Function                        : Hospital Services</t>
  </si>
  <si>
    <t>PROVINCIAL SOCIAL WELFARE &amp; DEVELOPMENT OFFICE</t>
  </si>
  <si>
    <t>C. PROGRAMS/PROJECTS / ACTIVITIES</t>
  </si>
  <si>
    <r>
      <rPr>
        <b/>
        <sz val="10"/>
        <rFont val="Arial"/>
        <family val="2"/>
      </rPr>
      <t xml:space="preserve">Vocational Skills Training - </t>
    </r>
    <r>
      <rPr>
        <sz val="10"/>
        <rFont val="Arial"/>
        <family val="2"/>
      </rPr>
      <t xml:space="preserve">scholarship grant for OSYs </t>
    </r>
  </si>
  <si>
    <r>
      <rPr>
        <b/>
        <sz val="10"/>
        <rFont val="Arial"/>
        <family val="2"/>
      </rPr>
      <t>Basic Computer Literacy Training</t>
    </r>
    <r>
      <rPr>
        <sz val="10"/>
        <rFont val="Arial"/>
        <family val="2"/>
      </rPr>
      <t xml:space="preserve"> - Information Technology Center-Based Training for the Out- of -School Youths  </t>
    </r>
  </si>
  <si>
    <r>
      <rPr>
        <b/>
        <sz val="10"/>
        <rFont val="Arial"/>
        <family val="2"/>
      </rPr>
      <t>Mid Year Assessment  &amp;  Annual Provincial PYAP Convention</t>
    </r>
    <r>
      <rPr>
        <sz val="10"/>
        <rFont val="Arial"/>
        <family val="2"/>
      </rPr>
      <t xml:space="preserve"> - 2 days annual gathering of all PYAP Youth Leaders re:  assessment/ evaluation of PYAP accomplishments</t>
    </r>
  </si>
  <si>
    <r>
      <rPr>
        <b/>
        <sz val="10"/>
        <rFont val="Arial"/>
        <family val="2"/>
      </rPr>
      <t xml:space="preserve">Provincial Children Congress - </t>
    </r>
    <r>
      <rPr>
        <sz val="10"/>
        <rFont val="Arial"/>
        <family val="2"/>
      </rPr>
      <t>holding of annual children’s talent competition for day care preschoolers province-wide highlighting the celebration of Children’s Month</t>
    </r>
  </si>
  <si>
    <r>
      <t xml:space="preserve">Capability Development for Day Care Workers                                                           </t>
    </r>
    <r>
      <rPr>
        <sz val="10"/>
        <rFont val="Arial"/>
        <family val="2"/>
      </rPr>
      <t xml:space="preserve"> (DCWs Provincial Congress, Capdev activities for DCWs, etc.)</t>
    </r>
  </si>
  <si>
    <r>
      <rPr>
        <b/>
        <sz val="10"/>
        <rFont val="Arial"/>
        <family val="2"/>
      </rPr>
      <t>Badjao Day Care Center</t>
    </r>
    <r>
      <rPr>
        <sz val="10"/>
        <rFont val="Arial"/>
        <family val="2"/>
      </rPr>
      <t xml:space="preserve">  - providing supplemental parental care and early childhood development services for Badjao pre-school age children </t>
    </r>
  </si>
  <si>
    <r>
      <rPr>
        <u/>
        <sz val="10"/>
        <rFont val="Arial"/>
        <family val="2"/>
      </rPr>
      <t>Clients Beneficiaries:</t>
    </r>
    <r>
      <rPr>
        <sz val="10"/>
        <rFont val="Arial"/>
        <family val="2"/>
      </rPr>
      <t xml:space="preserve">                                                                                                             Ø  Sickness &amp; Hospitalization</t>
    </r>
  </si>
  <si>
    <r>
      <rPr>
        <b/>
        <sz val="10"/>
        <rFont val="Arial"/>
        <family val="2"/>
      </rPr>
      <t>Bohol Crisis Intervention Center (BCIC)</t>
    </r>
    <r>
      <rPr>
        <sz val="10"/>
        <rFont val="Arial"/>
        <family val="2"/>
      </rPr>
      <t xml:space="preserve"> - provides Residential Care &amp; Psychosocial Services for Abused Women &amp; Children</t>
    </r>
  </si>
  <si>
    <r>
      <rPr>
        <b/>
        <sz val="10"/>
        <rFont val="Arial"/>
        <family val="2"/>
      </rPr>
      <t xml:space="preserve">Bohol Stimulation And Activity Center  (BSTAC) </t>
    </r>
    <r>
      <rPr>
        <sz val="10"/>
        <rFont val="Arial"/>
        <family val="2"/>
      </rPr>
      <t>- provides Rehabilitation &amp;    Therapeutic Services for Children with Disabilities</t>
    </r>
  </si>
  <si>
    <r>
      <t xml:space="preserve">STAFF DEVELOPMENT PROGRAM </t>
    </r>
    <r>
      <rPr>
        <sz val="10"/>
        <rFont val="Arial"/>
        <family val="2"/>
      </rPr>
      <t xml:space="preserve">                                                        •   Staff Development Activities                  - Planning Workshop                           - Trainings/Seminar                                      - Benchmarking                                                     </t>
    </r>
  </si>
  <si>
    <r>
      <rPr>
        <b/>
        <sz val="11"/>
        <color indexed="8"/>
        <rFont val="Cambria"/>
        <family val="1"/>
      </rPr>
      <t xml:space="preserve">Office/Department: </t>
    </r>
    <r>
      <rPr>
        <b/>
        <sz val="12"/>
        <color indexed="8"/>
        <rFont val="Cambria"/>
        <family val="1"/>
      </rPr>
      <t xml:space="preserve">  OFFICE OF THE PROVINCIAL AGRICULTURIST</t>
    </r>
  </si>
  <si>
    <r>
      <rPr>
        <b/>
        <sz val="11"/>
        <color indexed="8"/>
        <rFont val="Cambria"/>
        <family val="1"/>
      </rPr>
      <t xml:space="preserve">Budget Year  </t>
    </r>
    <r>
      <rPr>
        <b/>
        <sz val="12"/>
        <color indexed="8"/>
        <rFont val="Cambria"/>
        <family val="1"/>
      </rPr>
      <t xml:space="preserve">        :   BY 2014</t>
    </r>
  </si>
  <si>
    <t>1.1.1.1.5.1     Seed Production training for Barangay Seed Gowers/Orientation and Technical Briefings on CSB and Diversified Farming System/Bantay Peste Brigade/LFTs</t>
  </si>
  <si>
    <t xml:space="preserve"> - Facilitate  OPV Corn Seed </t>
  </si>
  <si>
    <t>Production RS- CS for seed banking</t>
  </si>
  <si>
    <t xml:space="preserve"> of POT/ 1 Field Day</t>
  </si>
  <si>
    <t>To increase adoption</t>
  </si>
  <si>
    <t>assistance/ 3 proposals</t>
  </si>
  <si>
    <t>To capacitate farmers</t>
  </si>
  <si>
    <t xml:space="preserve"> on agri-entrepreneurial</t>
  </si>
  <si>
    <t xml:space="preserve">To monitor &amp; validate </t>
  </si>
  <si>
    <t xml:space="preserve">projects properly/ </t>
  </si>
  <si>
    <t>20 Field Visits</t>
  </si>
  <si>
    <t xml:space="preserve">To increase adoption on </t>
  </si>
  <si>
    <t>POT of corn Cassava tech</t>
  </si>
  <si>
    <t>1.3 RESEARCH AND AGRI-SUPPORT  SERVICES</t>
  </si>
  <si>
    <t>Facilitate establishing  tie-ups with tourist destinations, establishments supermarkets, etc. Organic section at selected est.</t>
  </si>
  <si>
    <t>To collect rainfall data and consolidate reports</t>
  </si>
  <si>
    <t>Purchase of raingauge units</t>
  </si>
  <si>
    <t xml:space="preserve"> Multi commodity Solar</t>
  </si>
  <si>
    <t xml:space="preserve"> with raingauge beneficiaries</t>
  </si>
  <si>
    <t xml:space="preserve">To conduct assessment and evaluation </t>
  </si>
  <si>
    <t xml:space="preserve"> -    Facilitation / assistance in the marketing of Bohol MADe products (Display Center), organically grown . vegetable products, etc</t>
  </si>
  <si>
    <t xml:space="preserve"> 6 PO assisted in vegetable trading</t>
  </si>
  <si>
    <t>PERSONAL SERVICES</t>
  </si>
  <si>
    <r>
      <t xml:space="preserve">Office/Department           : </t>
    </r>
    <r>
      <rPr>
        <sz val="14"/>
        <rFont val="Arial"/>
        <family val="2"/>
      </rPr>
      <t xml:space="preserve"> </t>
    </r>
    <r>
      <rPr>
        <b/>
        <u/>
        <sz val="13"/>
        <rFont val="Arial"/>
        <family val="2"/>
      </rPr>
      <t xml:space="preserve"> PROVINCIAL MOTORPOOL OFFICE </t>
    </r>
  </si>
  <si>
    <r>
      <t xml:space="preserve">Budget Year                         :                </t>
    </r>
    <r>
      <rPr>
        <b/>
        <u/>
        <sz val="13"/>
        <rFont val="Arial"/>
        <family val="2"/>
      </rPr>
      <t>CY 2014</t>
    </r>
  </si>
  <si>
    <t>General Fund     - 27,529,856.00</t>
  </si>
  <si>
    <t xml:space="preserve">        &gt;Counterpart fund for Construction/Improvement/Repair</t>
  </si>
  <si>
    <t xml:space="preserve">             of various Infrastructures</t>
  </si>
  <si>
    <t xml:space="preserve">        &gt;Construction/Improvement/Repair</t>
  </si>
  <si>
    <t xml:space="preserve">        &gt;Sports Activities</t>
  </si>
  <si>
    <t xml:space="preserve">        &gt;Socio-Cultural Activites/Foundation Day/</t>
  </si>
  <si>
    <t xml:space="preserve">            Commemorative Activities</t>
  </si>
  <si>
    <t xml:space="preserve">        &gt;Health Program for LGUs/Botica</t>
  </si>
  <si>
    <t xml:space="preserve">        &gt;Drugs, Vitamins, Food Supplements for</t>
  </si>
  <si>
    <t xml:space="preserve">             Senior Citizens &amp; Other Sectors</t>
  </si>
  <si>
    <t xml:space="preserve">        &gt;Assistance to Individual in Crisis Situation</t>
  </si>
  <si>
    <t xml:space="preserve">        &gt;Medical,Dental &amp; Other Civic Action</t>
  </si>
  <si>
    <t xml:space="preserve">        &gt;Seminars/Trainings/Team Building Activity/</t>
  </si>
  <si>
    <t xml:space="preserve">            Activitites/Assessments/Benchmarking </t>
  </si>
  <si>
    <t xml:space="preserve">        &gt;Livelihood Projects</t>
  </si>
  <si>
    <t xml:space="preserve">        &gt;Procurement of Land/ Office Equipment/</t>
  </si>
  <si>
    <t xml:space="preserve">          Medical Equipment/Sports Equipment/</t>
  </si>
  <si>
    <t xml:space="preserve">          IT Equipment/Other Equipment/Furnitures &amp; Fixtures/Tents</t>
  </si>
  <si>
    <t xml:space="preserve">        &gt;Others</t>
  </si>
  <si>
    <t>GO- 3</t>
  </si>
  <si>
    <t xml:space="preserve">        &gt;Counterpart fund for Construction/</t>
  </si>
  <si>
    <t xml:space="preserve">             Improvement/Repair of various Infrastructures</t>
  </si>
  <si>
    <t xml:space="preserve">        &gt;Procurement of Land/ Office Equipment/ Medical Equipment/Sports Equipment/</t>
  </si>
  <si>
    <t xml:space="preserve">              IT Equipment/Other Equipment/Furnitures &amp; Fixtures/Tents</t>
  </si>
  <si>
    <t>The Office of the Governor is mandated by the Local Government Code of 1991(RA 7160) to function as follows:</t>
  </si>
  <si>
    <r>
      <t>Ø</t>
    </r>
    <r>
      <rPr>
        <sz val="7"/>
        <color theme="1"/>
        <rFont val="Times New Roman"/>
        <family val="1"/>
      </rPr>
      <t xml:space="preserve">  </t>
    </r>
    <r>
      <rPr>
        <sz val="12"/>
        <color theme="1"/>
        <rFont val="Times New Roman"/>
        <family val="1"/>
      </rPr>
      <t>Exercise general supervision and control over all programs, projects and activities of the province.</t>
    </r>
  </si>
  <si>
    <t xml:space="preserve">      HEAT IT BOHOL HELPS LIFE BIG LEAP.</t>
  </si>
  <si>
    <t>3.   Efficient and effective implementation of Poverty Reduction and development strategies; ensure accountability</t>
  </si>
  <si>
    <t xml:space="preserve">       for every peso investment</t>
  </si>
  <si>
    <r>
      <t>4.</t>
    </r>
    <r>
      <rPr>
        <sz val="7"/>
        <color theme="1"/>
        <rFont val="Times New Roman"/>
        <family val="1"/>
      </rPr>
      <t xml:space="preserve">      </t>
    </r>
    <r>
      <rPr>
        <sz val="12"/>
        <color theme="1"/>
        <rFont val="Times New Roman"/>
        <family val="1"/>
      </rPr>
      <t xml:space="preserve">To strengthen governance processes thru capacity building </t>
    </r>
  </si>
  <si>
    <r>
      <t>5.</t>
    </r>
    <r>
      <rPr>
        <sz val="7"/>
        <color theme="1"/>
        <rFont val="Times New Roman"/>
        <family val="1"/>
      </rPr>
      <t xml:space="preserve">      </t>
    </r>
    <r>
      <rPr>
        <sz val="12"/>
        <color theme="1"/>
        <rFont val="Times New Roman"/>
        <family val="1"/>
      </rPr>
      <t>To upgrade hospital facilities, particularly laboratory services</t>
    </r>
  </si>
  <si>
    <r>
      <t>7.</t>
    </r>
    <r>
      <rPr>
        <sz val="7"/>
        <color theme="1"/>
        <rFont val="Times New Roman"/>
        <family val="1"/>
      </rPr>
      <t xml:space="preserve">      </t>
    </r>
    <r>
      <rPr>
        <sz val="12"/>
        <color theme="1"/>
        <rFont val="Times New Roman"/>
        <family val="1"/>
      </rPr>
      <t>To build strong partnership and alliance to effect good governance and development</t>
    </r>
  </si>
  <si>
    <r>
      <t>8.</t>
    </r>
    <r>
      <rPr>
        <sz val="7"/>
        <color theme="1"/>
        <rFont val="Times New Roman"/>
        <family val="1"/>
      </rPr>
      <t xml:space="preserve">      </t>
    </r>
    <r>
      <rPr>
        <sz val="12"/>
        <color theme="1"/>
        <rFont val="Times New Roman"/>
        <family val="1"/>
      </rPr>
      <t xml:space="preserve">To adapt entrepreneurial strategies among partner institution in provincial projects contributing to </t>
    </r>
  </si>
  <si>
    <t xml:space="preserve">      non-IRA dependence</t>
  </si>
  <si>
    <r>
      <t>10.</t>
    </r>
    <r>
      <rPr>
        <sz val="7"/>
        <color theme="1"/>
        <rFont val="Times New Roman"/>
        <family val="1"/>
      </rPr>
      <t xml:space="preserve">  </t>
    </r>
    <r>
      <rPr>
        <sz val="12"/>
        <color theme="1"/>
        <rFont val="Times New Roman"/>
        <family val="1"/>
      </rPr>
      <t>To ensure that the overarching strategies will be orchestrated and implemented by all PGB Offices</t>
    </r>
  </si>
  <si>
    <r>
      <t>12.</t>
    </r>
    <r>
      <rPr>
        <sz val="7"/>
        <color theme="1"/>
        <rFont val="Times New Roman"/>
        <family val="1"/>
      </rPr>
      <t xml:space="preserve">  </t>
    </r>
    <r>
      <rPr>
        <sz val="12"/>
        <color theme="1"/>
        <rFont val="Times New Roman"/>
        <family val="1"/>
      </rPr>
      <t>To develop and coordinate national and local cultural development for eco-cultural activities.</t>
    </r>
  </si>
  <si>
    <t>&gt;Representations during visting dignitaries investors, tourists, guests from local and international origin</t>
  </si>
  <si>
    <t>&gt;Represent the province to international/ national conventions bringing  the province of BOHOL to global exposure</t>
  </si>
  <si>
    <t>&gt;International/National and local conventions well represented</t>
  </si>
  <si>
    <t>&gt;Recommendation to legislative for policy support and measures that will improve the efficiency and effectiveness of provincial governance.</t>
  </si>
  <si>
    <t>&gt;Organize  different activities initiated by the department heads</t>
  </si>
  <si>
    <r>
      <t>&gt;</t>
    </r>
    <r>
      <rPr>
        <sz val="11"/>
        <color theme="1"/>
        <rFont val="Calibri"/>
        <family val="2"/>
        <scheme val="minor"/>
      </rPr>
      <t>Draft,prepare, finalize communications, memorandum, executive orders, etc.</t>
    </r>
  </si>
  <si>
    <t>&gt;Appropriate disposition of received documents including financial papers, communication.</t>
  </si>
  <si>
    <t>&gt;Preparation of vouchers, PRs, claims and settlement of obligations</t>
  </si>
  <si>
    <t>&gt;Control of office supplies including reproduction of documents</t>
  </si>
  <si>
    <t>&gt;Provide messengerial utility, driving and other general support service</t>
  </si>
  <si>
    <t>&gt;Assistance to  claimants on BARANGAY LIFE INSURANCE</t>
  </si>
  <si>
    <t>b.  EDCOM</t>
  </si>
  <si>
    <t>&gt;Active advocacy of programs/projects and activities of the governor</t>
  </si>
  <si>
    <t>&gt;press releases of new PPAs</t>
  </si>
  <si>
    <t>&gt;Consultation with  concerned people on issues related to PGBh PPAs</t>
  </si>
  <si>
    <t>&gt;radio programs for governor’s report and PGBh program implementation</t>
  </si>
  <si>
    <t xml:space="preserve">c.  EDUCATION DEVELOPMENT CENTER </t>
  </si>
  <si>
    <t>d.  HEAT IT BOHOL CARAVAN</t>
  </si>
  <si>
    <t>&gt;Support HEAT IT Bohol Caravan</t>
  </si>
  <si>
    <t xml:space="preserve">3. Implementation and Supervision </t>
  </si>
  <si>
    <t xml:space="preserve">     of Priority Program</t>
  </si>
  <si>
    <t>Other Special Purpose w/ Terminal &amp; Monetization</t>
  </si>
  <si>
    <t xml:space="preserve">                  - BCDS</t>
  </si>
  <si>
    <t xml:space="preserve">      Other Maint. &amp; Oprtg Expenses -EMS</t>
  </si>
  <si>
    <t xml:space="preserve">     Cellular Phone and Laptops</t>
  </si>
  <si>
    <t xml:space="preserve">     One Desktop Computer</t>
  </si>
  <si>
    <t xml:space="preserve">     DLSR Digital Camera</t>
  </si>
  <si>
    <t xml:space="preserve">     Furniture and Fixture</t>
  </si>
  <si>
    <t>PA -2</t>
  </si>
  <si>
    <t>Bubget Year</t>
  </si>
  <si>
    <t>I. Functional Statemets</t>
  </si>
  <si>
    <t>A. Promotion</t>
  </si>
  <si>
    <t>2. To support the PGBh celebrations on Special Events and Annual Cultural activities.</t>
  </si>
  <si>
    <t>B. For Development</t>
  </si>
  <si>
    <t>4. To develop cultural groups in tourism potential sites;</t>
  </si>
  <si>
    <t>5. To support cultural activities of LGU's;</t>
  </si>
  <si>
    <t>6. To create local arts and cultural council in municipalities.</t>
  </si>
  <si>
    <t>C. For Preservation</t>
  </si>
  <si>
    <t>2. To come up with a list of heritage sites in the province.</t>
  </si>
  <si>
    <t>III. Programs/Projects/Activities Non-Office 2014(General Fund)</t>
  </si>
  <si>
    <t xml:space="preserve">Ref. </t>
  </si>
  <si>
    <t>Performance/</t>
  </si>
  <si>
    <t xml:space="preserve">Annual </t>
  </si>
  <si>
    <t>Person/</t>
  </si>
  <si>
    <t>Targets</t>
  </si>
  <si>
    <t>Group</t>
  </si>
  <si>
    <t xml:space="preserve">Schedule </t>
  </si>
  <si>
    <t>Responsible</t>
  </si>
  <si>
    <t xml:space="preserve">FROM </t>
  </si>
  <si>
    <t>(7)</t>
  </si>
  <si>
    <t>I. ARTS PROGRAM</t>
  </si>
  <si>
    <t>Improved skills &amp; perfor-</t>
  </si>
  <si>
    <t xml:space="preserve">mances of Boholano  </t>
  </si>
  <si>
    <t xml:space="preserve">     1. Music</t>
  </si>
  <si>
    <t>artists through workshops,</t>
  </si>
  <si>
    <t>DepEd, Cultural</t>
  </si>
  <si>
    <t xml:space="preserve">         a. Capability Bldg.</t>
  </si>
  <si>
    <t>Collectives, BACH</t>
  </si>
  <si>
    <t xml:space="preserve">           1. seminars &amp; workshops</t>
  </si>
  <si>
    <t xml:space="preserve">Children's Choirs equipped </t>
  </si>
  <si>
    <t>1 sem. &amp; ws</t>
  </si>
  <si>
    <t>PGBh</t>
  </si>
  <si>
    <t xml:space="preserve">           2. attendance in conferences</t>
  </si>
  <si>
    <t>with better proficiency in</t>
  </si>
  <si>
    <t>1 attendance</t>
  </si>
  <si>
    <t xml:space="preserve">           3. participation in competition</t>
  </si>
  <si>
    <t>different field arts</t>
  </si>
  <si>
    <t>1 participation</t>
  </si>
  <si>
    <t xml:space="preserve">          b. Performing Arts </t>
  </si>
  <si>
    <t>4 concerts</t>
  </si>
  <si>
    <t>1 concert</t>
  </si>
  <si>
    <t>1 competition</t>
  </si>
  <si>
    <t xml:space="preserve">    2. Dance &amp; Movement </t>
  </si>
  <si>
    <t xml:space="preserve">            1. seminars &amp; workshops in </t>
  </si>
  <si>
    <t>PGBh, CDP-PPM</t>
  </si>
  <si>
    <t xml:space="preserve">                 dance both modern &amp; folk    </t>
  </si>
  <si>
    <t xml:space="preserve">            2. attendance in conferences</t>
  </si>
  <si>
    <t xml:space="preserve">            3. participation in competition</t>
  </si>
  <si>
    <t xml:space="preserve">         b. Performing Arts </t>
  </si>
  <si>
    <t xml:space="preserve">                     professional groups</t>
  </si>
  <si>
    <t xml:space="preserve">                 3. conducting Hataw for PGBh</t>
  </si>
  <si>
    <t>35 Hataws</t>
  </si>
  <si>
    <t xml:space="preserve">                    employees &amp; Senior Citizens</t>
  </si>
  <si>
    <t xml:space="preserve">               a. Capability Bldg.</t>
  </si>
  <si>
    <t xml:space="preserve">                 1. workshops &amp; seminars</t>
  </si>
  <si>
    <t>1 comp./festival</t>
  </si>
  <si>
    <t xml:space="preserve">               b. Art Exhibits</t>
  </si>
  <si>
    <t xml:space="preserve">                 1. put up individual arts exhibit</t>
  </si>
  <si>
    <t>2 exhibits</t>
  </si>
  <si>
    <t xml:space="preserve">                 3. participation in regional VI-</t>
  </si>
  <si>
    <t xml:space="preserve">                     VA an org. of Visayan artists</t>
  </si>
  <si>
    <t xml:space="preserve">            4. Drama &amp; Theater</t>
  </si>
  <si>
    <t xml:space="preserve">                 1. attendance in drama &amp; thea-</t>
  </si>
  <si>
    <t>1 seminar &amp; ws</t>
  </si>
  <si>
    <t xml:space="preserve">                     ter workshops &amp; seminar</t>
  </si>
  <si>
    <t xml:space="preserve">                 2. participation in nat'l &amp; reg'l</t>
  </si>
  <si>
    <t xml:space="preserve">                     drama &amp; theater</t>
  </si>
  <si>
    <t xml:space="preserve">               b. Drama &amp; Theater Presentation</t>
  </si>
  <si>
    <t>1 production</t>
  </si>
  <si>
    <t xml:space="preserve">              a. Workshops</t>
  </si>
  <si>
    <t>2 ws</t>
  </si>
  <si>
    <t>Students</t>
  </si>
  <si>
    <t xml:space="preserve">            6. Special Program for the Arts </t>
  </si>
  <si>
    <t>1 retooling</t>
  </si>
  <si>
    <t>Arts teachers</t>
  </si>
  <si>
    <t xml:space="preserve">3 municipality </t>
  </si>
  <si>
    <t>Loon, Inabanga &amp;</t>
  </si>
  <si>
    <t>for 6 days</t>
  </si>
  <si>
    <t>Candijay</t>
  </si>
  <si>
    <t xml:space="preserve">                  1. seminar &amp; workshop</t>
  </si>
  <si>
    <t xml:space="preserve">                  2. art exhibits</t>
  </si>
  <si>
    <t xml:space="preserve">                  3. cultural performances</t>
  </si>
  <si>
    <t xml:space="preserve">            8. Heat-IT Caravan Culture &amp; Arts</t>
  </si>
  <si>
    <t xml:space="preserve">                   1. workshops</t>
  </si>
  <si>
    <t>6 ws</t>
  </si>
  <si>
    <t>MLGUs</t>
  </si>
  <si>
    <t xml:space="preserve">                   2. performances</t>
  </si>
  <si>
    <t>II. CREATIVE INDUSTRIES PROGRAM</t>
  </si>
  <si>
    <t xml:space="preserve">   A. Development of Cultural  </t>
  </si>
  <si>
    <t xml:space="preserve">To develop ceativity through </t>
  </si>
  <si>
    <t xml:space="preserve">        Program for Livehood</t>
  </si>
  <si>
    <t>the promotion &amp; enhance</t>
  </si>
  <si>
    <t xml:space="preserve">       1. Cross Stitch Designing </t>
  </si>
  <si>
    <t xml:space="preserve">ment of cultural creative  </t>
  </si>
  <si>
    <t>1 training w/ 30 pax</t>
  </si>
  <si>
    <t>BDJ,CG</t>
  </si>
  <si>
    <t xml:space="preserve">       2. Designing on Rock Salt Packaging</t>
  </si>
  <si>
    <t xml:space="preserve">industries &amp; agri-based </t>
  </si>
  <si>
    <t xml:space="preserve">local artists, local </t>
  </si>
  <si>
    <t>handicrafts in Bohol</t>
  </si>
  <si>
    <t>salt makers</t>
  </si>
  <si>
    <t>III. CULTURAL HERITAGE DEVELOPMENT</t>
  </si>
  <si>
    <t>Cultural resources &amp; heri</t>
  </si>
  <si>
    <t>MLGUs,BACH</t>
  </si>
  <si>
    <t xml:space="preserve">tage in the locality will be </t>
  </si>
  <si>
    <t>Council, Artists</t>
  </si>
  <si>
    <t xml:space="preserve">identified,developed &amp; </t>
  </si>
  <si>
    <t>NM, EDCOM &amp;</t>
  </si>
  <si>
    <t xml:space="preserve">             Culture and Arts Groups/Cultural</t>
  </si>
  <si>
    <t xml:space="preserve">encourage people's </t>
  </si>
  <si>
    <t xml:space="preserve">             Collectives</t>
  </si>
  <si>
    <t>awareness</t>
  </si>
  <si>
    <t xml:space="preserve">       2. Research and Publication/Exhibit</t>
  </si>
  <si>
    <t>6 exhibits</t>
  </si>
  <si>
    <t xml:space="preserve">              of Sagisag Kultura: Bohol Edition</t>
  </si>
  <si>
    <t>1 training/ws</t>
  </si>
  <si>
    <t xml:space="preserve">              - Training on Museulogy</t>
  </si>
  <si>
    <t>1000 pcs.</t>
  </si>
  <si>
    <t xml:space="preserve">      5. Support to LGU Arts Program</t>
  </si>
  <si>
    <t xml:space="preserve">BTO,NGA's </t>
  </si>
  <si>
    <t xml:space="preserve">yearly cultural actvities of </t>
  </si>
  <si>
    <t>CDP-PPM, G.O/</t>
  </si>
  <si>
    <t xml:space="preserve">        a. Ubi Festival</t>
  </si>
  <si>
    <t>the province</t>
  </si>
  <si>
    <t>1 coordination</t>
  </si>
  <si>
    <t>SPU, BNM,</t>
  </si>
  <si>
    <t xml:space="preserve">        b. National Arts Month</t>
  </si>
  <si>
    <t>10 activities</t>
  </si>
  <si>
    <t>BACH Council,</t>
  </si>
  <si>
    <t xml:space="preserve">        c. Women's Month Celebration</t>
  </si>
  <si>
    <t>1 celebration</t>
  </si>
  <si>
    <t xml:space="preserve">Dep-Ed City,OPA </t>
  </si>
  <si>
    <t xml:space="preserve">        d. National Heritage Month</t>
  </si>
  <si>
    <t>Gov't, Sandugo</t>
  </si>
  <si>
    <t xml:space="preserve">        e. National Flag Day</t>
  </si>
  <si>
    <t>Foundation, in-</t>
  </si>
  <si>
    <t xml:space="preserve">         f. Independence Day </t>
  </si>
  <si>
    <t>dividual,artists</t>
  </si>
  <si>
    <t>Jun.</t>
  </si>
  <si>
    <t xml:space="preserve">        g. Bohol Day Celebration </t>
  </si>
  <si>
    <t xml:space="preserve">        h. Sandugo</t>
  </si>
  <si>
    <t xml:space="preserve">         i. CPG Day</t>
  </si>
  <si>
    <t xml:space="preserve">         j. Rizal Day </t>
  </si>
  <si>
    <t xml:space="preserve">        k. Christmas Cultural Event</t>
  </si>
  <si>
    <t>V. NETWORKING &amp; LINKAGES</t>
  </si>
  <si>
    <t xml:space="preserve">Sustained and widen </t>
  </si>
  <si>
    <t>*4 activities</t>
  </si>
  <si>
    <t>G.O. BACH</t>
  </si>
  <si>
    <t xml:space="preserve">        a. Meetings/consultations with line</t>
  </si>
  <si>
    <t xml:space="preserve">linkages with line agencies </t>
  </si>
  <si>
    <t>Council, Dep-Ed</t>
  </si>
  <si>
    <t>agencies/Local Arts Council</t>
  </si>
  <si>
    <t xml:space="preserve">in the implementation of </t>
  </si>
  <si>
    <t>LGUs, NGO's,</t>
  </si>
  <si>
    <t xml:space="preserve">        b. Assistance to visiting artists</t>
  </si>
  <si>
    <t xml:space="preserve"> culture &amp; arts in the </t>
  </si>
  <si>
    <t xml:space="preserve">academe </t>
  </si>
  <si>
    <t xml:space="preserve">             Tanghal Visayas, ASEAN Likha et. Al..</t>
  </si>
  <si>
    <t>VI. ADMINISTRATIVE SUPPORT</t>
  </si>
  <si>
    <t>Enhancement of knowledge,</t>
  </si>
  <si>
    <t>G.O., HRMDO,</t>
  </si>
  <si>
    <t xml:space="preserve"> a. Assessment/Stragetic Planning</t>
  </si>
  <si>
    <t xml:space="preserve">skills &amp; attitudes among </t>
  </si>
  <si>
    <t>2 assessments</t>
  </si>
  <si>
    <t xml:space="preserve">GSO, PACCO, </t>
  </si>
  <si>
    <t xml:space="preserve"> b. Personnel/Labor Component</t>
  </si>
  <si>
    <t>workers</t>
  </si>
  <si>
    <t>3 contract of service</t>
  </si>
  <si>
    <t>PBMO, CCAD Staff</t>
  </si>
  <si>
    <t xml:space="preserve"> c. Video Production, Brochures &amp; </t>
  </si>
  <si>
    <t>1 video coverage</t>
  </si>
  <si>
    <t xml:space="preserve">           other IEC materials</t>
  </si>
  <si>
    <t xml:space="preserve">  &amp; 500 brochures</t>
  </si>
  <si>
    <t xml:space="preserve">                     Reviewed by:</t>
  </si>
  <si>
    <t>ENRIQUETA B. BUTALID</t>
  </si>
  <si>
    <t xml:space="preserve">                     VALERIA M. ORIG</t>
  </si>
  <si>
    <t>Head,CCAD</t>
  </si>
  <si>
    <t xml:space="preserve">             Provincial Budget Office</t>
  </si>
  <si>
    <t xml:space="preserve">        c. Support for Bohol Delegations to NAMCYA,</t>
  </si>
  <si>
    <t xml:space="preserve">       c. Facilitate demonstration/ </t>
  </si>
  <si>
    <t xml:space="preserve">           publication of +Mr. Oscar Real</t>
  </si>
  <si>
    <t xml:space="preserve">           and Mr. Bobby Bargamento's</t>
  </si>
  <si>
    <t xml:space="preserve">           research on Kuradang Dance</t>
  </si>
  <si>
    <r>
      <t xml:space="preserve">:            </t>
    </r>
    <r>
      <rPr>
        <b/>
        <sz val="11"/>
        <color theme="1"/>
        <rFont val="Arial Narrow"/>
        <family val="2"/>
      </rPr>
      <t>Go - Attached Office- CCAD</t>
    </r>
  </si>
  <si>
    <r>
      <t xml:space="preserve">:            </t>
    </r>
    <r>
      <rPr>
        <b/>
        <sz val="11"/>
        <color theme="1"/>
        <rFont val="Arial Narrow"/>
        <family val="2"/>
      </rPr>
      <t>2014</t>
    </r>
  </si>
  <si>
    <r>
      <t xml:space="preserve">   </t>
    </r>
    <r>
      <rPr>
        <b/>
        <sz val="10"/>
        <color theme="1"/>
        <rFont val="Arial Narrow"/>
        <family val="2"/>
      </rPr>
      <t>A. Development of Arts &amp; Artists</t>
    </r>
  </si>
  <si>
    <r>
      <t xml:space="preserve">            </t>
    </r>
    <r>
      <rPr>
        <b/>
        <sz val="10"/>
        <color theme="1"/>
        <rFont val="Arial Narrow"/>
        <family val="2"/>
      </rPr>
      <t>5. Literary Arts</t>
    </r>
  </si>
  <si>
    <r>
      <t xml:space="preserve">                 </t>
    </r>
    <r>
      <rPr>
        <b/>
        <sz val="10"/>
        <color theme="1"/>
        <rFont val="Arial Narrow"/>
        <family val="2"/>
      </rPr>
      <t>(SPA) of DCPNHS and Public</t>
    </r>
  </si>
  <si>
    <r>
      <t xml:space="preserve">                  </t>
    </r>
    <r>
      <rPr>
        <b/>
        <sz val="10"/>
        <color theme="1"/>
        <rFont val="Arial Narrow"/>
        <family val="2"/>
      </rPr>
      <t>School Arts Teachers</t>
    </r>
  </si>
  <si>
    <r>
      <t xml:space="preserve">            </t>
    </r>
    <r>
      <rPr>
        <b/>
        <sz val="10"/>
        <color theme="1"/>
        <rFont val="Arial Narrow"/>
        <family val="2"/>
      </rPr>
      <t>7. Cultural Travelogue (Panaw</t>
    </r>
  </si>
  <si>
    <r>
      <t xml:space="preserve">                </t>
    </r>
    <r>
      <rPr>
        <b/>
        <sz val="10"/>
        <rFont val="Arial Narrow"/>
        <family val="2"/>
      </rPr>
      <t>sa Alampat) 1 municiaplity/dist.</t>
    </r>
  </si>
  <si>
    <r>
      <t xml:space="preserve">                 </t>
    </r>
    <r>
      <rPr>
        <b/>
        <sz val="10"/>
        <color theme="1"/>
        <rFont val="Arial Narrow"/>
        <family val="2"/>
      </rPr>
      <t>Component</t>
    </r>
  </si>
  <si>
    <r>
      <t xml:space="preserve">       </t>
    </r>
    <r>
      <rPr>
        <sz val="10"/>
        <color theme="1"/>
        <rFont val="Arial Narrow"/>
        <family val="2"/>
      </rPr>
      <t>1. Support to Community-based</t>
    </r>
  </si>
  <si>
    <t>6 performances</t>
  </si>
  <si>
    <t xml:space="preserve">        Promote, develop and preserve our culture and the arts in the province of Bohol in line with its mandate of pursuing the development of a dynamic, proactive and creative Boholano Arts and Culture.</t>
  </si>
  <si>
    <t>1. To support local arts group for music, visual arts, drama &amp; theater, dance in national and regional cultural and tourism activities.</t>
  </si>
  <si>
    <t>3. To develop community based cultural groups that will showcase cultural traditions in the municipalities.</t>
  </si>
  <si>
    <t>1. To give seminars in all discipline of the arts in order to upgrade local artists' skills and develop creativity;</t>
  </si>
  <si>
    <t>2. To support local artists to participate in National Festival, Competitions and cultural conferences for the national and regional levels;</t>
  </si>
  <si>
    <t>3. To strengthen linkages/collaboration with national agencies such as NCCA, NHI, National Museum and other NGO's and individuals;</t>
  </si>
  <si>
    <t>1. To initiate the formulation of appropriate legislations  for the preservation and protection of Boholano Cultural Heritage;</t>
  </si>
  <si>
    <t xml:space="preserve">                 2. put up individual or group art exhibits</t>
  </si>
  <si>
    <t xml:space="preserve">                 2. participation in painting competition/festival</t>
  </si>
  <si>
    <t xml:space="preserve">                 1. participation in Sandugo Festival </t>
  </si>
  <si>
    <t xml:space="preserve">                 2. dance performances in sch.,community &amp; </t>
  </si>
  <si>
    <t xml:space="preserve">           3. music competition for budding artists</t>
  </si>
  <si>
    <t xml:space="preserve">           2. musical concert feat. nat'l or inter'l artists</t>
  </si>
  <si>
    <t xml:space="preserve">    3. Visual Arts</t>
  </si>
  <si>
    <t xml:space="preserve">           1. musical concerts feat. Local artists</t>
  </si>
  <si>
    <t xml:space="preserve">                 1. production of drama and/or arts theater</t>
  </si>
  <si>
    <t xml:space="preserve">       3. Support to Local Museums and National Museum</t>
  </si>
  <si>
    <t xml:space="preserve">       4. AVP (National Anthem &amp; Awit sa Bohol)</t>
  </si>
  <si>
    <t>IV. ANNUAL CULTURAL CELEBRATIONS</t>
  </si>
  <si>
    <t>PART I</t>
  </si>
  <si>
    <t xml:space="preserve">     This is the part of the LEP where the receipts indicated in the LBP Form Nos. 1 and 2 are reflected as major sources of funds. These sources, declared as realistic and probable to be collected, include funds from new tax measures, etc., which are supported by ordinances fromt the Local Sanggunian authorizing the collection. The Receipts Program presented below.</t>
  </si>
  <si>
    <r>
      <t xml:space="preserve">Office                                    : </t>
    </r>
    <r>
      <rPr>
        <b/>
        <u/>
        <sz val="13"/>
        <rFont val="Arial"/>
        <family val="2"/>
      </rPr>
      <t>PROVINCIAL PLANNING AND DEVELOPMENT OFFICE</t>
    </r>
  </si>
  <si>
    <r>
      <t xml:space="preserve">Budget Year                         : </t>
    </r>
    <r>
      <rPr>
        <b/>
        <u/>
        <sz val="13"/>
        <rFont val="Arial"/>
        <family val="2"/>
      </rPr>
      <t xml:space="preserve"> 2014</t>
    </r>
  </si>
  <si>
    <r>
      <t xml:space="preserve">Office/Department             :  </t>
    </r>
    <r>
      <rPr>
        <b/>
        <sz val="12"/>
        <color indexed="8"/>
        <rFont val="Arial"/>
        <family val="2"/>
      </rPr>
      <t>OFFICE OF THE PROVINCIAL ACCOUNTANT</t>
    </r>
  </si>
  <si>
    <t>Budget Year                       :  2014</t>
  </si>
  <si>
    <r>
      <t>Budget Year                       :</t>
    </r>
    <r>
      <rPr>
        <b/>
        <sz val="12"/>
        <color indexed="8"/>
        <rFont val="Arial"/>
        <family val="2"/>
      </rPr>
      <t xml:space="preserve">  2014</t>
    </r>
  </si>
  <si>
    <r>
      <t xml:space="preserve">Office/Department             :  </t>
    </r>
    <r>
      <rPr>
        <b/>
        <sz val="12"/>
        <color indexed="8"/>
        <rFont val="Arial"/>
        <family val="2"/>
      </rPr>
      <t>OFFICE OF THE PROVINCIAL TREASURER</t>
    </r>
  </si>
  <si>
    <t xml:space="preserve">           Health Promotion and Prevention</t>
  </si>
  <si>
    <t xml:space="preserve">           General Fund</t>
  </si>
  <si>
    <t xml:space="preserve">         CATIGBIAN DISTRICT HOSPITAL, Catigbian, Bohol</t>
  </si>
  <si>
    <t xml:space="preserve"> OBJECTIVES</t>
  </si>
  <si>
    <t xml:space="preserve">I. </t>
  </si>
  <si>
    <t xml:space="preserve"> FUNCTIONAL STATEMENT</t>
  </si>
  <si>
    <r>
      <t xml:space="preserve">Office/Department      :      </t>
    </r>
    <r>
      <rPr>
        <b/>
        <sz val="12"/>
        <rFont val="Arial"/>
        <family val="2"/>
      </rPr>
      <t>OFFICE OF THE PROVINCIAL VETERINARIAN</t>
    </r>
  </si>
  <si>
    <r>
      <t xml:space="preserve">Budget year                  :      </t>
    </r>
    <r>
      <rPr>
        <b/>
        <sz val="12"/>
        <rFont val="Arial"/>
        <family val="2"/>
      </rPr>
      <t>2014</t>
    </r>
  </si>
  <si>
    <t xml:space="preserve">   11. Confidential Fund</t>
  </si>
  <si>
    <t>General Administration</t>
  </si>
  <si>
    <t xml:space="preserve">     Provincial Administrator</t>
  </si>
  <si>
    <t xml:space="preserve">     Provincial Disaster Risk Reduction and Mgt.</t>
  </si>
  <si>
    <t xml:space="preserve">     Research and Planning</t>
  </si>
  <si>
    <t xml:space="preserve">     Operations and Warning</t>
  </si>
  <si>
    <t xml:space="preserve">     Provincial Procurement Mgt. Unit</t>
  </si>
  <si>
    <t xml:space="preserve">      Housekeeping Supplies Expenses</t>
  </si>
  <si>
    <t xml:space="preserve">      Bohol Env't. Code Final Review and Printing</t>
  </si>
  <si>
    <t>HEAT-IT Bohol Outreach Program</t>
  </si>
  <si>
    <t>HEAT-IT Caravan Counterpart Fund</t>
  </si>
  <si>
    <r>
      <t xml:space="preserve">      </t>
    </r>
    <r>
      <rPr>
        <sz val="11"/>
        <color theme="1"/>
        <rFont val="Arial"/>
        <family val="2"/>
      </rPr>
      <t>Formulation and execution of governing rules and regulations in the areas of personnel management in accordance with Civil Service Laws and Rules. Implementation of Capacity Development Programs designed to raise the level of efficiency, effectiveness and morale of all employees of the PGBH.</t>
    </r>
  </si>
  <si>
    <t>improved performance and positive attitude towards work.</t>
  </si>
  <si>
    <t>Ø  Recruitment, Selection and Placement of Personnel</t>
  </si>
  <si>
    <t xml:space="preserve">To be an effective and efficient implementing arm of the DOH Kalusugan Pangkalahatan </t>
  </si>
  <si>
    <t>Program as re-echoed in the HEAT IT of the Provincial Government of Bohol.</t>
  </si>
  <si>
    <t>OTHERS</t>
  </si>
  <si>
    <t>MONETIZATION</t>
  </si>
  <si>
    <t>TERMINAL</t>
  </si>
  <si>
    <t>NON-OFFICE BY OFFICE</t>
  </si>
  <si>
    <t>BUDGET MATRIX 2014</t>
  </si>
  <si>
    <t>GENERAL SERVICES   -</t>
  </si>
  <si>
    <t>SOCIAL SERVICES       -</t>
  </si>
  <si>
    <t>ECONOMIC SERVICES -</t>
  </si>
  <si>
    <t>OTHERS                         -</t>
  </si>
  <si>
    <t>Percentage of the Total Budget</t>
  </si>
  <si>
    <r>
      <rPr>
        <sz val="10"/>
        <color rgb="FF0000FF"/>
        <rFont val="Calibri"/>
        <family val="2"/>
        <scheme val="minor"/>
      </rPr>
      <t>(BUDGETARY REQUIREMENT)</t>
    </r>
    <r>
      <rPr>
        <sz val="11"/>
        <color rgb="FF0000FF"/>
        <rFont val="Calibri"/>
        <family val="2"/>
        <scheme val="minor"/>
      </rPr>
      <t xml:space="preserve"> </t>
    </r>
    <r>
      <rPr>
        <b/>
        <sz val="11"/>
        <color theme="1"/>
        <rFont val="Calibri"/>
        <family val="2"/>
        <scheme val="minor"/>
      </rPr>
      <t>20% DF</t>
    </r>
  </si>
  <si>
    <t>Office Eqpt.</t>
  </si>
  <si>
    <t>Furniture &amp; Fixtures</t>
  </si>
  <si>
    <t>Motoer Vehicle</t>
  </si>
  <si>
    <t>Anti-Illegal</t>
  </si>
  <si>
    <t>OFW Affairs</t>
  </si>
  <si>
    <t>Convention</t>
  </si>
  <si>
    <t>PLUC-CLUP Review</t>
  </si>
  <si>
    <t>Administrator</t>
  </si>
  <si>
    <t>BAC Secretariat</t>
  </si>
  <si>
    <t>Supplies -BAC</t>
  </si>
  <si>
    <t xml:space="preserve">      Intelligence</t>
  </si>
  <si>
    <t xml:space="preserve">      Subsidy to LGUs</t>
  </si>
  <si>
    <t xml:space="preserve">     General Services</t>
  </si>
  <si>
    <t>969(13)</t>
  </si>
  <si>
    <t xml:space="preserve">      OMOE - BCIC</t>
  </si>
  <si>
    <t>Support / Maintenance of Roads &amp; Bridges</t>
  </si>
  <si>
    <t>BCIC &amp; STAC</t>
  </si>
  <si>
    <t>4994-4</t>
  </si>
  <si>
    <t>account code</t>
  </si>
  <si>
    <t>999901-1</t>
  </si>
  <si>
    <t>69902-1</t>
  </si>
  <si>
    <t xml:space="preserve">  R &amp; M - Vehicles</t>
  </si>
  <si>
    <t xml:space="preserve">    (6 units UPS)</t>
  </si>
  <si>
    <t xml:space="preserve">    (Bindery Equipment)</t>
  </si>
  <si>
    <t xml:space="preserve">      Textbooks &amp; Other Instructional Expenses</t>
  </si>
  <si>
    <t xml:space="preserve">     Operation of the Bohol Energy Dev't. Advisory Group</t>
  </si>
  <si>
    <t>Asphalting of the area inside jail compound covering from main entrance to frontages of administrative bldg., cafeteria, kitchen to garage area</t>
  </si>
  <si>
    <t xml:space="preserve">      Telephone Expenses - Internet</t>
  </si>
  <si>
    <t>UTILIZATION</t>
  </si>
  <si>
    <t>%</t>
  </si>
  <si>
    <t xml:space="preserve">    Furniture &amp; Fixtures</t>
  </si>
  <si>
    <t>PERCENTAGE</t>
  </si>
  <si>
    <t xml:space="preserve">     -Clients Bench/chairs/counter</t>
  </si>
  <si>
    <t xml:space="preserve">     -Standies</t>
  </si>
  <si>
    <t xml:space="preserve">     -Cabinets</t>
  </si>
  <si>
    <t xml:space="preserve">     Laptop</t>
  </si>
  <si>
    <t xml:space="preserve">     Computer Desktop</t>
  </si>
  <si>
    <t xml:space="preserve">      Other Maint. &amp; Oprtg Exp. - Info. Drive (EDCOM)</t>
  </si>
  <si>
    <t xml:space="preserve">      Donations - Assistive Devices</t>
  </si>
  <si>
    <t>Forest Resource Mgt. Program</t>
  </si>
  <si>
    <t>Pollution Control Program</t>
  </si>
  <si>
    <t>Water Resource Mgt. Program</t>
  </si>
  <si>
    <t xml:space="preserve">              -EMS/ISO Certification</t>
  </si>
  <si>
    <t xml:space="preserve">     IT Equipment &amp; Software</t>
  </si>
  <si>
    <t xml:space="preserve">      Office Equipment</t>
  </si>
  <si>
    <t>NATIONAL GOV'T. AGENCIES</t>
  </si>
  <si>
    <t xml:space="preserve">UTILIZATION </t>
  </si>
  <si>
    <t>PROV'L. PROSECUTOR'S OFFICE</t>
  </si>
  <si>
    <t xml:space="preserve">           Negotiation Agreement (CN A) Incentive</t>
  </si>
  <si>
    <t>REGISTER OF DEEDS</t>
  </si>
  <si>
    <t xml:space="preserve">      R&amp;M - other Machineries and Equipment</t>
  </si>
  <si>
    <t xml:space="preserve">       Printing &amp; Binding Expenses</t>
  </si>
  <si>
    <t>Building &amp; Other Structures</t>
  </si>
  <si>
    <t xml:space="preserve">      Salaries-Casual</t>
  </si>
  <si>
    <t xml:space="preserve">      Honorarium </t>
  </si>
  <si>
    <t xml:space="preserve">      Meals Expenses</t>
  </si>
  <si>
    <t xml:space="preserve">      Vehicle Maintenance &amp; Others</t>
  </si>
  <si>
    <t xml:space="preserve">     Renovation/Improvement of Office Bldg.</t>
  </si>
  <si>
    <t>Aid to Girl Scouts</t>
  </si>
  <si>
    <t>Aid to Boy Scouts</t>
  </si>
  <si>
    <t>Aid to Bohol Federation of Differently-abled Persons  / PDAO</t>
  </si>
  <si>
    <t xml:space="preserve">    Airconditioning Unit</t>
  </si>
  <si>
    <t xml:space="preserve">    Computer Set</t>
  </si>
  <si>
    <t xml:space="preserve">    Computer Printer</t>
  </si>
  <si>
    <t xml:space="preserve">    Photocopier Machine</t>
  </si>
  <si>
    <t xml:space="preserve">    Steel Cabinet (4 drawers)</t>
  </si>
  <si>
    <t xml:space="preserve">    Mini Conference Table</t>
  </si>
  <si>
    <t xml:space="preserve">    Executive Table</t>
  </si>
  <si>
    <t xml:space="preserve">    Office Tables</t>
  </si>
  <si>
    <t xml:space="preserve">    Executive Chair</t>
  </si>
  <si>
    <t xml:space="preserve">    Chairs (for mini conference table)</t>
  </si>
  <si>
    <t>BAC</t>
  </si>
  <si>
    <t xml:space="preserve">    Desktop Computer</t>
  </si>
  <si>
    <t xml:space="preserve">    Laptop</t>
  </si>
  <si>
    <t xml:space="preserve">    LCD Projector w/ screen</t>
  </si>
  <si>
    <t xml:space="preserve">    Motorcycle</t>
  </si>
  <si>
    <t xml:space="preserve">    Plastic Chairs</t>
  </si>
  <si>
    <t xml:space="preserve">    TV Set</t>
  </si>
  <si>
    <t>COMMISSION ON ELECTION</t>
  </si>
  <si>
    <t>NBI</t>
  </si>
  <si>
    <t>RTC - 1</t>
  </si>
  <si>
    <t>RTC - 2</t>
  </si>
  <si>
    <t xml:space="preserve">      Telephone Expenses- Internet</t>
  </si>
  <si>
    <t>RTC - 3</t>
  </si>
  <si>
    <t>RTC - 4</t>
  </si>
  <si>
    <t xml:space="preserve">      R&amp;M - IT Equipment &amp; Software</t>
  </si>
  <si>
    <t>RTC - 47</t>
  </si>
  <si>
    <t>RTC - 48</t>
  </si>
  <si>
    <t>RTC - 49</t>
  </si>
  <si>
    <t>RTC - 50</t>
  </si>
  <si>
    <t xml:space="preserve">      R&amp;M - Other Machineries &amp; Equipment</t>
  </si>
  <si>
    <t>RTC - 51</t>
  </si>
  <si>
    <t>RTC - 52</t>
  </si>
  <si>
    <t>AID TO NATIONAL GOVERNMENT</t>
  </si>
  <si>
    <t xml:space="preserve">      Rent</t>
  </si>
  <si>
    <t>Building &amp; Other Structure</t>
  </si>
  <si>
    <t>transferred to BEPO</t>
  </si>
  <si>
    <t>transferred to PHO</t>
  </si>
  <si>
    <t>transferred to OPV</t>
  </si>
  <si>
    <t>transferred to BIPC</t>
  </si>
  <si>
    <t>tranferred to hrmdo</t>
  </si>
  <si>
    <t>transferred to BTO</t>
  </si>
  <si>
    <t>transferred to pbo &amp;  pacco</t>
  </si>
  <si>
    <t>transferred to PASSO &amp; PTO</t>
  </si>
  <si>
    <t>transferred to BICTU</t>
  </si>
  <si>
    <t>MULTIPLE SALAS</t>
  </si>
  <si>
    <t>Construction of Comfort Room</t>
  </si>
  <si>
    <t xml:space="preserve">     Generator Set</t>
  </si>
  <si>
    <t>CONTRACTUAL</t>
  </si>
  <si>
    <t>Fund</t>
  </si>
  <si>
    <t>Discretionary</t>
  </si>
  <si>
    <t>office equipt</t>
  </si>
  <si>
    <t>Research</t>
  </si>
  <si>
    <t>PROVINCIAL ADMINISTRATOR'S OFFICE</t>
  </si>
  <si>
    <t>PROVINCIAL BUDGET OFFICE</t>
  </si>
  <si>
    <t>PROVINCIAL TREASURY OFFICE</t>
  </si>
  <si>
    <t>PROVINCIAL OFFICE FOR AGRICULTURAL SERVICES</t>
  </si>
  <si>
    <t>PROVINCIAL ENGINEERING OFFICE</t>
  </si>
  <si>
    <t>PROVINCIAL OFFICE FOR VETERINARY SERVICES</t>
  </si>
  <si>
    <t>PROVINCIAL OFFICE FOR HEALTH SERVICES</t>
  </si>
  <si>
    <t>PROVINCIAL OFFICE FOR LEGAL SERVICES</t>
  </si>
  <si>
    <t>Aid to DILG (LTIA &amp; TOBOY)</t>
  </si>
  <si>
    <t xml:space="preserve">                  - EDC</t>
  </si>
  <si>
    <t xml:space="preserve">    Janitorial Services</t>
  </si>
  <si>
    <t xml:space="preserve">    Security Services</t>
  </si>
  <si>
    <t>Establishment of Fish Terminal 'Bagsakan Center"</t>
  </si>
  <si>
    <t>Improvement of Facilities @ Camp Bernido</t>
  </si>
  <si>
    <t>Financial Assistance to Support Bohol LGUs Waterworks  Program</t>
  </si>
  <si>
    <t>Financial Assistance to Support Bohol LGUs Various Infra Projects</t>
  </si>
  <si>
    <t>Financial Assistance to Support Bohol LGUs Electrification Program</t>
  </si>
  <si>
    <t>Financial Assistance to Support Bohol LGUs Road Development Program</t>
  </si>
  <si>
    <t xml:space="preserve">                   - EDC</t>
  </si>
  <si>
    <t xml:space="preserve">                   - Employees (BAC Seretariat)</t>
  </si>
  <si>
    <t>Barangay Kontra Droga</t>
  </si>
  <si>
    <t>Farmers Congress</t>
  </si>
  <si>
    <t>Locally Generated Income</t>
  </si>
  <si>
    <t>Project Management Operation for the Phil. Rural Development Program (PRDP) - I-Plan, I-Reap, I-Build, I-Support, PPMIU Operations</t>
  </si>
  <si>
    <t>Health Intervention (Immunization of Personnel Handling AICS)</t>
  </si>
  <si>
    <t>EMS / ISO Certification &amp; Other Related Programs</t>
  </si>
  <si>
    <t>P 10M</t>
  </si>
  <si>
    <t>Lupong Tagapamayapa Training</t>
  </si>
  <si>
    <t>P 1M</t>
  </si>
  <si>
    <t>Senior Citizen's Medical Outreach Program</t>
  </si>
  <si>
    <t>Association of Bohol Executives of National Agencies</t>
  </si>
  <si>
    <t>Improvement and Rehabilitation of People's Mansion</t>
  </si>
  <si>
    <t>Ecological Mgt. Program</t>
  </si>
  <si>
    <t>800,000 to 20%</t>
  </si>
  <si>
    <t>2M to PDRRMF</t>
  </si>
  <si>
    <t>1.2M</t>
  </si>
  <si>
    <t>HIMSOG Program</t>
  </si>
  <si>
    <t xml:space="preserve">    FLORLINDA P. AMORA</t>
  </si>
  <si>
    <t>FLORLINDA P. AMORA</t>
  </si>
  <si>
    <t>SANGGUNIANG PANLALAWIGAN- Vice Governor Office, 13 SP Members,</t>
  </si>
  <si>
    <t xml:space="preserve">   FLORLINDA P. AMORA</t>
  </si>
  <si>
    <t>Vice Governor</t>
  </si>
  <si>
    <t>Head, PHRMDO</t>
  </si>
  <si>
    <t>EDGARDO P.ORIG</t>
  </si>
  <si>
    <t>Chief of Hospital</t>
  </si>
  <si>
    <t xml:space="preserve">     STELLA MARIE D. LAPIZ, DVM</t>
  </si>
  <si>
    <t xml:space="preserve">                 Department Head</t>
  </si>
  <si>
    <t xml:space="preserve">             ABRAHAM D. CLARIN</t>
  </si>
  <si>
    <t>Bohol Tourism Recovery Program</t>
  </si>
  <si>
    <t xml:space="preserve">                      Provincial Administrator</t>
  </si>
  <si>
    <t xml:space="preserve">                    ALFONSO R. DAMALERIO</t>
  </si>
  <si>
    <t xml:space="preserve">       Recommended by:                                                      Reviewed by:</t>
  </si>
  <si>
    <t xml:space="preserve">      FLORLINDA P. AMORA</t>
  </si>
  <si>
    <t>R &amp; M- Other Machinery Equipt.</t>
  </si>
  <si>
    <t xml:space="preserve">   Aquaculturist II</t>
  </si>
  <si>
    <t xml:space="preserve">      Supervising Admin. Officer</t>
  </si>
  <si>
    <t xml:space="preserve">     Prov'l. Gov't. Dept. Head</t>
  </si>
  <si>
    <t xml:space="preserve">     Engineer II</t>
  </si>
  <si>
    <t xml:space="preserve">     Special Operation Officer II</t>
  </si>
  <si>
    <t xml:space="preserve">     Community Affairs Officer I</t>
  </si>
  <si>
    <t xml:space="preserve">     Security Officer I</t>
  </si>
  <si>
    <t xml:space="preserve">     Security Guard III</t>
  </si>
  <si>
    <t xml:space="preserve">     Security Guard II</t>
  </si>
  <si>
    <t xml:space="preserve">     Security Guard I</t>
  </si>
  <si>
    <t xml:space="preserve">     Communication Eqpt. Optr. II</t>
  </si>
  <si>
    <t xml:space="preserve">     Const. and Maint. Man</t>
  </si>
  <si>
    <t xml:space="preserve">     Admin Officer V</t>
  </si>
  <si>
    <t xml:space="preserve">     Admin Officer IV</t>
  </si>
  <si>
    <t xml:space="preserve">     Admin Officer III</t>
  </si>
  <si>
    <t xml:space="preserve">     Admin Officer II</t>
  </si>
  <si>
    <t xml:space="preserve">     Admin Assistant II</t>
  </si>
  <si>
    <t xml:space="preserve">     Admin Aide VI</t>
  </si>
  <si>
    <t xml:space="preserve">     Admin Aide IV</t>
  </si>
  <si>
    <t xml:space="preserve">     Admin Aide III</t>
  </si>
  <si>
    <t xml:space="preserve">     Admin Aide I</t>
  </si>
  <si>
    <t xml:space="preserve">         Administrative Officer I</t>
  </si>
  <si>
    <t xml:space="preserve">        Administrative Aide lII</t>
  </si>
  <si>
    <t xml:space="preserve">       Prov'l. Gov't. Dept. Head</t>
  </si>
  <si>
    <t xml:space="preserve">       Mason I</t>
  </si>
  <si>
    <t xml:space="preserve">       Painter I</t>
  </si>
  <si>
    <t xml:space="preserve">      PGDH - Provincial Budget Officer</t>
  </si>
  <si>
    <t xml:space="preserve">         Accounting Clerk I</t>
  </si>
  <si>
    <t xml:space="preserve">         Internal Auditor III</t>
  </si>
  <si>
    <t xml:space="preserve">         Internal Auditor I</t>
  </si>
  <si>
    <t xml:space="preserve">      Administrative Aide V</t>
  </si>
  <si>
    <t xml:space="preserve">       Chief of Hospital</t>
  </si>
  <si>
    <t xml:space="preserve">       Medical Specialist II</t>
  </si>
  <si>
    <t xml:space="preserve">       Accountant I</t>
  </si>
  <si>
    <t>Equipment on Anti-Dengue Program (Sprayer)</t>
  </si>
  <si>
    <t xml:space="preserve">       Social Welfare Officer III</t>
  </si>
  <si>
    <t xml:space="preserve">       Social Welfare Officer II</t>
  </si>
  <si>
    <t xml:space="preserve">        Asst. Prov'l. Gov;t. Dept. Head</t>
  </si>
  <si>
    <t xml:space="preserve">       Administrative Officer ll</t>
  </si>
  <si>
    <t>Rental Expenses</t>
  </si>
  <si>
    <t xml:space="preserve">                                     Governor</t>
  </si>
  <si>
    <t xml:space="preserve">                 FLORLINDA P. AMORA                                                              EDGARDO M. CHATTO</t>
  </si>
  <si>
    <t xml:space="preserve">                               FLORLINDA P. AMORA                                                              EDGARDO M. CHATTO</t>
  </si>
  <si>
    <t xml:space="preserve">                    APPROVED:</t>
  </si>
  <si>
    <t xml:space="preserve">     Prepared by:</t>
  </si>
  <si>
    <t>Operation of the Bohol Energy Dev't. Advisory Group</t>
  </si>
  <si>
    <t xml:space="preserve">                               FLORLINDA P. AMORA                                                                  EDGARDO M. CHATTO</t>
  </si>
  <si>
    <t xml:space="preserve">     Certified Correct:</t>
  </si>
  <si>
    <t xml:space="preserve">     APPROVED:</t>
  </si>
  <si>
    <t xml:space="preserve">                                                                 APPROVED:</t>
  </si>
  <si>
    <t xml:space="preserve">         Provincial Administrator</t>
  </si>
  <si>
    <t>Sale on Accountable Form</t>
  </si>
  <si>
    <t xml:space="preserve">       3. Share on National Wealth</t>
  </si>
  <si>
    <t>SFO - 2</t>
  </si>
  <si>
    <t xml:space="preserve">                    - EMS related materials</t>
  </si>
  <si>
    <t xml:space="preserve">     (incl. Disaster Mgt. Preparedness on Health and Sanitation)</t>
  </si>
  <si>
    <t>BNS Competency Training</t>
  </si>
  <si>
    <t xml:space="preserve">     (incl. Disaster Mgt. Preparedness on Nutrition)</t>
  </si>
  <si>
    <t xml:space="preserve">Day Care Workers Congress Competency Training </t>
  </si>
  <si>
    <t xml:space="preserve">     (incl. Disaster Mgt. Preparedness on Social Protection and Camp Mgt.)</t>
  </si>
  <si>
    <t>Educators Competency Training (incl. Disaster Mgt. Preparedness on Education)</t>
  </si>
  <si>
    <t>Brgy. Secretaries &amp; Treasurers Competency Training</t>
  </si>
  <si>
    <t xml:space="preserve">     (incl. Disaster Mgt. Preparedness on Legislation, fund Mgt. and Logistics)</t>
  </si>
  <si>
    <t>Capacity Building for Brgy. Tanod on Peace &amp; Order and Public Safety</t>
  </si>
  <si>
    <t>Capacity Building for Brgy. Officials on Climate Change adaptation and Disaster Risk Reduction Mgt.</t>
  </si>
  <si>
    <t>Day Care Workers Competency Training</t>
  </si>
  <si>
    <t>Educators Cempetency Training</t>
  </si>
  <si>
    <t xml:space="preserve">     (incl. Disaster Mgt. Preparedness on Education)</t>
  </si>
  <si>
    <t xml:space="preserve">     (incl. Disaster Mgt. Preparedness on Legislation, Fund Mgt. and Logistics)</t>
  </si>
  <si>
    <t>Capacity Building for Brgy. Tanods on Peace &amp; Order and Public Safety</t>
  </si>
  <si>
    <t>Capacity Building for Brgy. Officials on Climate Change Adaptation</t>
  </si>
  <si>
    <t xml:space="preserve">      and Disaster Risk Reduction Mgt.</t>
  </si>
  <si>
    <t>BHW Competency Training</t>
  </si>
  <si>
    <t>PROVINCIAL ACCOUNTING OFFICE</t>
  </si>
  <si>
    <t xml:space="preserve">         -Bohol Skills Registry System Implementation</t>
  </si>
  <si>
    <t>Provincial Internal Audit Office- PIAO</t>
  </si>
  <si>
    <t>BDJ-2</t>
  </si>
  <si>
    <t xml:space="preserve">        Nurse IV</t>
  </si>
  <si>
    <t xml:space="preserve">        Medical Technologist II</t>
  </si>
  <si>
    <t xml:space="preserve">        Medical Eqp. Technician I</t>
  </si>
  <si>
    <t xml:space="preserve">        Nutritionist-Dietitian II</t>
  </si>
  <si>
    <t xml:space="preserve">        Nurse II</t>
  </si>
  <si>
    <t xml:space="preserve">        Nurse I</t>
  </si>
  <si>
    <t xml:space="preserve">        Dental Aide</t>
  </si>
  <si>
    <t xml:space="preserve">        Security Guard I</t>
  </si>
  <si>
    <t xml:space="preserve">        Sanitation Inspector I</t>
  </si>
  <si>
    <t>INA-2</t>
  </si>
  <si>
    <t>OPA-2</t>
  </si>
  <si>
    <t>filled</t>
  </si>
  <si>
    <t>Librarian III</t>
  </si>
  <si>
    <t>to BEMO</t>
  </si>
  <si>
    <t>Maintenance of Roads &amp; Bridges</t>
  </si>
  <si>
    <t>Wages-Casuals</t>
  </si>
  <si>
    <t>Wages-Plantilla</t>
  </si>
  <si>
    <t>Expenses BCDS</t>
  </si>
  <si>
    <t>Supplies - BCDS</t>
  </si>
  <si>
    <t>Lubricant - BCDS</t>
  </si>
  <si>
    <t>Landline - BCDS</t>
  </si>
  <si>
    <t>795-6</t>
  </si>
  <si>
    <t>Wages-Contractual</t>
  </si>
  <si>
    <t xml:space="preserve">      General Services -Security</t>
  </si>
  <si>
    <t xml:space="preserve">      General Services -Janitorial</t>
  </si>
  <si>
    <t>Mobile - BCDS</t>
  </si>
  <si>
    <t>9993-969</t>
  </si>
  <si>
    <t>Operating Exp. - EDC</t>
  </si>
  <si>
    <t>Expenses -BAC</t>
  </si>
  <si>
    <t xml:space="preserve">      Other Bonuses &amp; Allowances - PBB</t>
  </si>
  <si>
    <t xml:space="preserve">        Improvement/Repair and Painting of office building and conference room</t>
  </si>
  <si>
    <t>Salary Increase</t>
  </si>
  <si>
    <t xml:space="preserve">        -Maintenance for ISO Accreditation</t>
  </si>
  <si>
    <t xml:space="preserve">      Security Services (58 casual employees)</t>
  </si>
  <si>
    <t xml:space="preserve">  Postage and Delivery</t>
  </si>
  <si>
    <t xml:space="preserve">         -Bohol PESO Capacity Dev't. &amp; Partnership</t>
  </si>
  <si>
    <t xml:space="preserve">CO- </t>
  </si>
  <si>
    <t xml:space="preserve">        (Replacement of office tables &amp; Chairs)</t>
  </si>
  <si>
    <t>Adolescent Youth Health Dev. Prog.</t>
  </si>
  <si>
    <t>Health Emergency Mgt. Staff</t>
  </si>
  <si>
    <t>Health Education &amp; Promotion</t>
  </si>
  <si>
    <t>Mental Health Program</t>
  </si>
  <si>
    <t>Leprosy Program</t>
  </si>
  <si>
    <t>Disability Program</t>
  </si>
  <si>
    <t>PESU</t>
  </si>
  <si>
    <t>Natl. Voluntary Blood Service Progam</t>
  </si>
  <si>
    <t>Biomedical Refrigerator</t>
  </si>
  <si>
    <t>Cardiac Board</t>
  </si>
  <si>
    <t>Floor Lamps</t>
  </si>
  <si>
    <t>Minor Surgical Set</t>
  </si>
  <si>
    <t>Protective Face Shield</t>
  </si>
  <si>
    <t>Pulmonary Function Test Pulse Oximeter</t>
  </si>
  <si>
    <t>Close Tube Thoracotomy Set Defibrillator w/ Cardiac Monitor</t>
  </si>
  <si>
    <t>Spine Board w/ straps</t>
  </si>
  <si>
    <t>Tracheostomy Set</t>
  </si>
  <si>
    <t>Waterproof Aprons</t>
  </si>
  <si>
    <t>Xray Reading Lamp/Negatoscope</t>
  </si>
  <si>
    <t>Stethoscope (adult &amp; pedia) x 3</t>
  </si>
  <si>
    <t>Sphymomanometer (adult &amp; pedia) x 3</t>
  </si>
  <si>
    <t>Ambu Bag (adult &amp; pedia) x 3</t>
  </si>
  <si>
    <t>Clinical Weighing Scale x 3</t>
  </si>
  <si>
    <t>Instrument Table x 3</t>
  </si>
  <si>
    <t>Instrument Cabinet x 3</t>
  </si>
  <si>
    <t>Emergency Light Heavy Duty x 3</t>
  </si>
  <si>
    <t>Laryngoscope x 2</t>
  </si>
  <si>
    <t>Wheeled Stretcher x 2</t>
  </si>
  <si>
    <t xml:space="preserve">      Travelling Expenses</t>
  </si>
  <si>
    <t>PBB</t>
  </si>
  <si>
    <t xml:space="preserve">                                       - Library</t>
  </si>
  <si>
    <t xml:space="preserve">      Telephone Expenses   - Mobile</t>
  </si>
  <si>
    <t xml:space="preserve">    Subscription Expenses -Library</t>
  </si>
  <si>
    <t xml:space="preserve">      2 airconditioning units</t>
  </si>
  <si>
    <t xml:space="preserve">      1 unit water dispenser</t>
  </si>
  <si>
    <t xml:space="preserve">      repair of entance door</t>
  </si>
  <si>
    <t>Ecological Solid Waste Mgt. Program</t>
  </si>
  <si>
    <t>Mineral Resource Mangement Program</t>
  </si>
  <si>
    <t>ACTUAL INCOME</t>
  </si>
  <si>
    <t>as of</t>
  </si>
  <si>
    <t>Secretariat and Library</t>
  </si>
  <si>
    <t xml:space="preserve">               Photocopier</t>
  </si>
  <si>
    <t xml:space="preserve">               Laminating Machine</t>
  </si>
  <si>
    <t xml:space="preserve">               Ink Tank system printer</t>
  </si>
  <si>
    <t>IRA</t>
  </si>
  <si>
    <t xml:space="preserve">        Purchase of motorcycle, IT equipment, </t>
  </si>
  <si>
    <t xml:space="preserve">      Online Database</t>
  </si>
  <si>
    <t xml:space="preserve">                       Landline</t>
  </si>
  <si>
    <t xml:space="preserve">                       Mobile</t>
  </si>
  <si>
    <t>INCOME ESTIMATES</t>
  </si>
  <si>
    <t xml:space="preserve">      Year-end assessment</t>
  </si>
  <si>
    <t xml:space="preserve">      Repainting of existing Senior Citizens Center</t>
  </si>
  <si>
    <t>Coastal Resource Management Program</t>
  </si>
  <si>
    <t xml:space="preserve">  Other Maint. &amp; Oprtg. Exp. Anti-Illegal / OFW Affairs</t>
  </si>
  <si>
    <t>DOH - PRESCRIBED EQUIPMENT</t>
  </si>
  <si>
    <t xml:space="preserve">          Water Bacteriology      </t>
  </si>
  <si>
    <t xml:space="preserve">          Water Sewage Lab       </t>
  </si>
  <si>
    <t>Water Sewage</t>
  </si>
  <si>
    <t>BOHOL NATIVE CHICKEN DEVT. PROGRAM</t>
  </si>
  <si>
    <t xml:space="preserve">       CHARITY (Chicken Always In The Yard)</t>
  </si>
  <si>
    <t xml:space="preserve">                   - GO Employees/Staff</t>
  </si>
  <si>
    <t xml:space="preserve">      R &amp; M- Office Equipment</t>
  </si>
  <si>
    <t>Older Persons Program</t>
  </si>
  <si>
    <t xml:space="preserve">      Printing &amp; Binding Expenses -Library</t>
  </si>
  <si>
    <t>(Library)</t>
  </si>
  <si>
    <t xml:space="preserve">                  - BAC</t>
  </si>
  <si>
    <t xml:space="preserve">      Honorarium for BAC-TWG</t>
  </si>
  <si>
    <t xml:space="preserve">          incl. upgrading of utility facilities</t>
  </si>
  <si>
    <t>Counterpart Fund to DILG (LTIA &amp; TOBOY)</t>
  </si>
  <si>
    <t>Counterpart Fund to BAFF</t>
  </si>
  <si>
    <t>GALING PUROK AWARDS</t>
  </si>
  <si>
    <t>Kauban sa Reforma/ CLIP</t>
  </si>
  <si>
    <t>Badjao Community Outreach</t>
  </si>
  <si>
    <t>Counterpart Fund to PPOC/RPOC</t>
  </si>
  <si>
    <t xml:space="preserve">    Tourism Development Program </t>
  </si>
  <si>
    <t>GO/OPV</t>
  </si>
  <si>
    <t>Capacity Building and Recognition for Effective Local Governance</t>
  </si>
  <si>
    <t>Lot Acquisition for Day Care program</t>
  </si>
  <si>
    <t>EDCOM</t>
  </si>
  <si>
    <t>EDC</t>
  </si>
  <si>
    <t>other benefit</t>
  </si>
  <si>
    <t xml:space="preserve">  EDC</t>
  </si>
  <si>
    <t xml:space="preserve">  EDCOM</t>
  </si>
  <si>
    <t>2% OF BASIC REAL PROPERTY TAX</t>
  </si>
  <si>
    <t xml:space="preserve">     Other Maint. &amp; Oprtg. Expenses</t>
  </si>
  <si>
    <t xml:space="preserve">     Training Expenses</t>
  </si>
  <si>
    <t xml:space="preserve">     Other Maint. &amp; Oprtg. Expenses- </t>
  </si>
  <si>
    <t>HONORARIUM</t>
  </si>
  <si>
    <t>PDRRMO</t>
  </si>
  <si>
    <t xml:space="preserve">  PDRRMO</t>
  </si>
  <si>
    <t>LESS MONE</t>
  </si>
  <si>
    <t>LESS TERMINAL</t>
  </si>
  <si>
    <t>Honorarium</t>
  </si>
  <si>
    <t>Maintenance for ISO Accreditation</t>
  </si>
  <si>
    <t>less budgetary requirement</t>
  </si>
  <si>
    <t>Oline Database</t>
  </si>
  <si>
    <t xml:space="preserve">  SP-VG,KAGS, SECT. &amp; LIB.</t>
  </si>
  <si>
    <t xml:space="preserve">     Gasoline, oil &amp; lubricant expenses</t>
  </si>
  <si>
    <t xml:space="preserve">     Telelphone Expenses -  landline</t>
  </si>
  <si>
    <t xml:space="preserve">     Telelphone Expenses -  Mobile</t>
  </si>
  <si>
    <t>transferred to EDC</t>
  </si>
  <si>
    <t>BEMO 2</t>
  </si>
  <si>
    <t>PBMO 2</t>
  </si>
  <si>
    <t>PACCO 2</t>
  </si>
  <si>
    <t xml:space="preserve">      Provincial Budget Officer</t>
  </si>
  <si>
    <t xml:space="preserve">                                     Chief of Hospital</t>
  </si>
  <si>
    <t>Head-PSWDO</t>
  </si>
  <si>
    <t xml:space="preserve">  Provincial Budget Officer</t>
  </si>
  <si>
    <t xml:space="preserve">    Provincial Budget Officer</t>
  </si>
  <si>
    <t>INTEGRATED IN THE SANGGUNIANG PANLALAWIGAN BUDGET</t>
  </si>
  <si>
    <t>BY 2016</t>
  </si>
  <si>
    <t>Satellite Office - EDCOM</t>
  </si>
  <si>
    <t>Satellite Office - EDCENTER</t>
  </si>
  <si>
    <t>NON-OFFICE 2</t>
  </si>
  <si>
    <t>NON-OFFICE 3</t>
  </si>
  <si>
    <t xml:space="preserve">                ATTY. JOHN TITUS J. VISTAL</t>
  </si>
  <si>
    <t xml:space="preserve">                Provincial Budget Officer</t>
  </si>
  <si>
    <r>
      <t xml:space="preserve"> </t>
    </r>
    <r>
      <rPr>
        <b/>
        <sz val="11"/>
        <rFont val="Candara"/>
        <family val="2"/>
      </rPr>
      <t>Total Non-Office Expenditures</t>
    </r>
  </si>
  <si>
    <t>Annual Budget    s. 2016</t>
  </si>
  <si>
    <t xml:space="preserve">                             Provincial Budget Officer                                                                      Governor</t>
  </si>
  <si>
    <r>
      <t xml:space="preserve">     provided in not less than One Thousand Pesos (</t>
    </r>
    <r>
      <rPr>
        <strike/>
        <sz val="11"/>
        <rFont val="Candara"/>
        <family val="2"/>
      </rPr>
      <t>P</t>
    </r>
    <r>
      <rPr>
        <sz val="11"/>
        <color theme="1"/>
        <rFont val="Candara"/>
        <family val="2"/>
      </rPr>
      <t>1,000.00) per barangay;</t>
    </r>
  </si>
  <si>
    <r>
      <t xml:space="preserve">     percent (45%) in the case of 1</t>
    </r>
    <r>
      <rPr>
        <vertAlign val="superscript"/>
        <sz val="11"/>
        <rFont val="Candara"/>
        <family val="2"/>
      </rPr>
      <t>st</t>
    </r>
    <r>
      <rPr>
        <sz val="11"/>
        <color theme="1"/>
        <rFont val="Candara"/>
        <family val="2"/>
      </rPr>
      <t xml:space="preserve"> to 3</t>
    </r>
    <r>
      <rPr>
        <vertAlign val="superscript"/>
        <sz val="11"/>
        <rFont val="Candara"/>
        <family val="2"/>
      </rPr>
      <t>rd</t>
    </r>
    <r>
      <rPr>
        <sz val="11"/>
        <color theme="1"/>
        <rFont val="Candara"/>
        <family val="2"/>
      </rPr>
      <t xml:space="preserve"> class provinces, cities and</t>
    </r>
  </si>
  <si>
    <t xml:space="preserve">     Driver II</t>
  </si>
  <si>
    <t xml:space="preserve">       Administrative Asst. II</t>
  </si>
  <si>
    <t xml:space="preserve">       Librarian IV</t>
  </si>
  <si>
    <t xml:space="preserve">       Librarian III</t>
  </si>
  <si>
    <t xml:space="preserve">       Librarian II</t>
  </si>
  <si>
    <t xml:space="preserve">       Librarian I</t>
  </si>
  <si>
    <t xml:space="preserve">           Admin Aide IV</t>
  </si>
  <si>
    <t xml:space="preserve">      Admin. Officer V</t>
  </si>
  <si>
    <t xml:space="preserve">      Admin. Assitant II</t>
  </si>
  <si>
    <t xml:space="preserve">      Admin. Aide VI</t>
  </si>
  <si>
    <t xml:space="preserve">    Data Controller II</t>
  </si>
  <si>
    <t xml:space="preserve">    Computer File Librarian II</t>
  </si>
  <si>
    <t xml:space="preserve">   Senior Environmental Mgt. Specialist</t>
  </si>
  <si>
    <t xml:space="preserve">   Chief Administrative Officer</t>
  </si>
  <si>
    <t xml:space="preserve">       Project Development Officer IV</t>
  </si>
  <si>
    <t xml:space="preserve">        Computer Programmer III</t>
  </si>
  <si>
    <t xml:space="preserve">        Project Evaluation Officer I</t>
  </si>
  <si>
    <t xml:space="preserve">        Draftsman I</t>
  </si>
  <si>
    <t>TRANSFER OF ITEM AND PERSONNEL TO ANOTHER OFFICES</t>
  </si>
  <si>
    <t>ADMIN. OFFICER IV</t>
  </si>
  <si>
    <t>ADMIN. ASSISTANT II</t>
  </si>
  <si>
    <t>ADMIN AIDE VI</t>
  </si>
  <si>
    <t>ADMIN OFFICER IV</t>
  </si>
  <si>
    <t>ADMIN AIDE IV</t>
  </si>
  <si>
    <t>ITEM #</t>
  </si>
  <si>
    <t>POSITION</t>
  </si>
  <si>
    <t>AGRICULTURAL CENTER CHIEF II</t>
  </si>
  <si>
    <t>ADMIN. ASST. III</t>
  </si>
  <si>
    <t>CONST. AND MAINT. MAN</t>
  </si>
  <si>
    <t>PADMO</t>
  </si>
  <si>
    <t>ADMIN. OFFICER V</t>
  </si>
  <si>
    <t>ADMIN. OFFICER III</t>
  </si>
  <si>
    <t>ADMIN. AIDE II</t>
  </si>
  <si>
    <t>WATERPUMP OPERATOR</t>
  </si>
  <si>
    <t>ADMIN. AIDE IV</t>
  </si>
  <si>
    <t>SANITATION INSPECTOR I</t>
  </si>
  <si>
    <t>MEDICAL TECHNOLOGIST II</t>
  </si>
  <si>
    <t>CATIGBIAN HOSP</t>
  </si>
  <si>
    <t>MEDICAL OFFICER III</t>
  </si>
  <si>
    <t>ADMIN AIDE II</t>
  </si>
  <si>
    <t>AGRICULTURAL TECHNOLOGIST</t>
  </si>
  <si>
    <t xml:space="preserve">        Administrative Assistant I</t>
  </si>
  <si>
    <t xml:space="preserve">       Driver</t>
  </si>
  <si>
    <t xml:space="preserve">      Sr. Admin. Asst. II</t>
  </si>
  <si>
    <t xml:space="preserve">         Accountant II</t>
  </si>
  <si>
    <t xml:space="preserve">         Accounting Clerk III</t>
  </si>
  <si>
    <t xml:space="preserve">          ALFONSO R. DAMALERIO II</t>
  </si>
  <si>
    <t xml:space="preserve">             Provincial Administrator</t>
  </si>
  <si>
    <t xml:space="preserve">       Waterpump Operator</t>
  </si>
  <si>
    <t xml:space="preserve">      Admin. Asst. III</t>
  </si>
  <si>
    <t xml:space="preserve">      Admin. Aide II</t>
  </si>
  <si>
    <t xml:space="preserve">      Pharmacist II</t>
  </si>
  <si>
    <t xml:space="preserve">        Livestock Inspector II</t>
  </si>
  <si>
    <t xml:space="preserve">        Meat Inspector I</t>
  </si>
  <si>
    <t xml:space="preserve">  Pharmacist I</t>
  </si>
  <si>
    <r>
      <t xml:space="preserve">   </t>
    </r>
    <r>
      <rPr>
        <sz val="11"/>
        <rFont val="Candara"/>
        <family val="2"/>
      </rPr>
      <t>Executive Asst. IV</t>
    </r>
  </si>
  <si>
    <t xml:space="preserve">      Administrative Assistant V</t>
  </si>
  <si>
    <t xml:space="preserve">      Administrative Assistant III</t>
  </si>
  <si>
    <t xml:space="preserve">        Administrative Aide lll</t>
  </si>
  <si>
    <t xml:space="preserve">       Waterpump Operator </t>
  </si>
  <si>
    <t xml:space="preserve">       Revenue Collection Clerk II</t>
  </si>
  <si>
    <t xml:space="preserve">       Local Rev. Collection Officer I</t>
  </si>
  <si>
    <t xml:space="preserve">       Local Rev. Collection Officer II</t>
  </si>
  <si>
    <t xml:space="preserve">      Legal Assistant I</t>
  </si>
  <si>
    <t xml:space="preserve">        Pharmacist II</t>
  </si>
  <si>
    <t xml:space="preserve">        Social Welfare Officer I</t>
  </si>
  <si>
    <t xml:space="preserve">        Medical Eqp. Technician II</t>
  </si>
  <si>
    <t xml:space="preserve">        Electrician I</t>
  </si>
  <si>
    <t xml:space="preserve">        Construction &amp; Maint. Man</t>
  </si>
  <si>
    <t xml:space="preserve">        Accountant I</t>
  </si>
  <si>
    <t xml:space="preserve">        Driver I</t>
  </si>
  <si>
    <t xml:space="preserve">        Administrative Officer IV</t>
  </si>
  <si>
    <t>Aid to Federated Parent-Teacher Association</t>
  </si>
  <si>
    <t xml:space="preserve">        Prov'l. Govt. Dept. Head</t>
  </si>
  <si>
    <t xml:space="preserve">        Prov'l. Govt. Asst. Dept. Head</t>
  </si>
  <si>
    <t>PROVINCIAL ENGINEER'S OFFICE</t>
  </si>
  <si>
    <t>TOTAL PS WORKSHEET W/ TL &amp; MONE</t>
  </si>
  <si>
    <t xml:space="preserve">     We hereby certify to the correctness of the actual income for the past and current calendar years 2014-2015, to the reasonable probability of the collection of the estimated income for the Budget Year 2016 based on the present economic conditions and subsisting tax ordinances.</t>
  </si>
  <si>
    <t xml:space="preserve">                                                   Governor</t>
  </si>
  <si>
    <t xml:space="preserve">  Appropriation for PS (excluding Economic Enterprise)</t>
  </si>
  <si>
    <t xml:space="preserve">   PDRRMF</t>
  </si>
  <si>
    <t xml:space="preserve">              Title</t>
  </si>
  <si>
    <t xml:space="preserve">               Provincial Budget Officer                                                                          Governor</t>
  </si>
  <si>
    <t xml:space="preserve">         Honorarium</t>
  </si>
  <si>
    <t xml:space="preserve">         Other Benefits</t>
  </si>
  <si>
    <t xml:space="preserve">         PBB</t>
  </si>
  <si>
    <t xml:space="preserve">                             Provincial Budget Officer                                                                           Governor</t>
  </si>
  <si>
    <t xml:space="preserve">                               Provincial Budget Officer                                                                      Governor</t>
  </si>
  <si>
    <t>Annual Budget No. 1 s. 2016</t>
  </si>
  <si>
    <r>
      <t xml:space="preserve">Add:  </t>
    </r>
    <r>
      <rPr>
        <sz val="11"/>
        <rFont val="Candara"/>
        <family val="2"/>
      </rPr>
      <t>Unappropriated Surplus</t>
    </r>
  </si>
  <si>
    <t>Provincial Administrator</t>
  </si>
  <si>
    <t xml:space="preserve">                     FLORLINDA P. AMORA</t>
  </si>
  <si>
    <t xml:space="preserve">                   Provincial Budget Officer</t>
  </si>
  <si>
    <t xml:space="preserve">         ATTY. JOHN TITUS J. VISTAL</t>
  </si>
  <si>
    <t xml:space="preserve">   Provincial Budget Officer                                     Provincial Accountant</t>
  </si>
  <si>
    <t>Past Year     2014</t>
  </si>
  <si>
    <t>Current Year     2015</t>
  </si>
  <si>
    <t>Budget Year   2016</t>
  </si>
  <si>
    <t>Budget Year  2016(Estimate)</t>
  </si>
  <si>
    <r>
      <rPr>
        <sz val="11"/>
        <color indexed="8"/>
        <rFont val="Candara"/>
        <family val="2"/>
      </rPr>
      <t xml:space="preserve">                       </t>
    </r>
    <r>
      <rPr>
        <u/>
        <sz val="11"/>
        <color indexed="8"/>
        <rFont val="Candara"/>
        <family val="2"/>
      </rPr>
      <t>Personal Services</t>
    </r>
  </si>
  <si>
    <r>
      <t xml:space="preserve">                       </t>
    </r>
    <r>
      <rPr>
        <u/>
        <sz val="11"/>
        <color indexed="8"/>
        <rFont val="Candara"/>
        <family val="2"/>
      </rPr>
      <t>MOOE</t>
    </r>
  </si>
  <si>
    <r>
      <t xml:space="preserve">                       </t>
    </r>
    <r>
      <rPr>
        <u/>
        <sz val="11"/>
        <color indexed="8"/>
        <rFont val="Candara"/>
        <family val="2"/>
      </rPr>
      <t>CO</t>
    </r>
  </si>
  <si>
    <r>
      <t xml:space="preserve">   Total: </t>
    </r>
    <r>
      <rPr>
        <sz val="11"/>
        <rFont val="Candara"/>
        <family val="2"/>
      </rPr>
      <t>Filled Permanent Positions</t>
    </r>
  </si>
  <si>
    <r>
      <t xml:space="preserve">      Total:</t>
    </r>
    <r>
      <rPr>
        <b/>
        <sz val="11"/>
        <rFont val="Candara"/>
        <family val="2"/>
      </rPr>
      <t xml:space="preserve"> Permanent Positions</t>
    </r>
  </si>
  <si>
    <t xml:space="preserve"> Provincial Budget Officer</t>
  </si>
  <si>
    <r>
      <t>•</t>
    </r>
    <r>
      <rPr>
        <sz val="11"/>
        <color theme="1"/>
        <rFont val="Candara"/>
        <family val="2"/>
      </rPr>
      <t xml:space="preserve"> Regular Income </t>
    </r>
    <r>
      <rPr>
        <b/>
        <sz val="11"/>
        <color indexed="8"/>
        <rFont val="Candara"/>
        <family val="2"/>
      </rPr>
      <t xml:space="preserve">          </t>
    </r>
  </si>
  <si>
    <t xml:space="preserve">           Appropriated under 20% DF</t>
  </si>
  <si>
    <t xml:space="preserve">     Provincial Budget Officer</t>
  </si>
  <si>
    <t>COMPARATIVE BUDGET FISCAL YEAR 2015-2016</t>
  </si>
  <si>
    <t xml:space="preserve"> JOSETH J. CELOCIA</t>
  </si>
  <si>
    <t>EDGARDO P. ORIG</t>
  </si>
  <si>
    <t>Provincial Legal Officer</t>
  </si>
  <si>
    <t xml:space="preserve">           EDGARDO P. ORIG</t>
  </si>
  <si>
    <t xml:space="preserve">           Provincial Assessor</t>
  </si>
  <si>
    <t xml:space="preserve">                         EDGARDO P. ORIG</t>
  </si>
  <si>
    <t xml:space="preserve">                         Provincial Assessor</t>
  </si>
  <si>
    <t>PREVIOUS PAYMENT MADE 2015</t>
  </si>
  <si>
    <t>AMOUNT DUE 2016</t>
  </si>
  <si>
    <t xml:space="preserve">                              Provincial Budget Officer                                                                          Governor</t>
  </si>
  <si>
    <t>Budget Year  2016</t>
  </si>
  <si>
    <t>Comparative Budget Fiscal Year 2015-2016</t>
  </si>
  <si>
    <t xml:space="preserve">Consolidated Budget for Fiscal Year 2016 Distributed by Major Expense Class  </t>
  </si>
  <si>
    <t xml:space="preserve">Consolidated Budget Fiscal Year 2016 Distributed by Sector   </t>
  </si>
  <si>
    <t>Conduct General Revision/SMV Development</t>
  </si>
  <si>
    <t>TB Program</t>
  </si>
  <si>
    <t>PLO-2</t>
  </si>
  <si>
    <t>PESO</t>
  </si>
  <si>
    <t>BSRSI</t>
  </si>
  <si>
    <t xml:space="preserve">      Other Maint. &amp; Oprtg Expenses - EDC</t>
  </si>
  <si>
    <t xml:space="preserve">  Other Maint. &amp; Oprtg. Exp.- Foreign Assisted</t>
  </si>
  <si>
    <t xml:space="preserve">  Other Maint. &amp; Oprtg. Exp.-PESO</t>
  </si>
  <si>
    <t>969 (29)</t>
  </si>
  <si>
    <t>749 (2)</t>
  </si>
  <si>
    <t>719 (1)</t>
  </si>
  <si>
    <t>717 (1)</t>
  </si>
  <si>
    <t>717 (2)</t>
  </si>
  <si>
    <t>749 (1)</t>
  </si>
  <si>
    <t>751 (1)</t>
  </si>
  <si>
    <t xml:space="preserve">                  Expansion of ISO- 14001</t>
  </si>
  <si>
    <t>other machineries</t>
  </si>
  <si>
    <t xml:space="preserve">     Motor Vehicle -Ambulance</t>
  </si>
  <si>
    <t>MOOE ACTUAL JUNE 2016</t>
  </si>
  <si>
    <t>Mid-Year</t>
  </si>
  <si>
    <t>GO Staff</t>
  </si>
  <si>
    <t>TRAINING</t>
  </si>
  <si>
    <t>TEXTBOOKS</t>
  </si>
  <si>
    <t>ELECTRICITY</t>
  </si>
  <si>
    <t>POSTAGE</t>
  </si>
  <si>
    <t>REPRESENTATION</t>
  </si>
  <si>
    <t>SUBSCRIPTION</t>
  </si>
  <si>
    <t>RM-IT</t>
  </si>
  <si>
    <t>RM-OTHER MACHINERIES</t>
  </si>
  <si>
    <t>FIDELITY</t>
  </si>
  <si>
    <t>sub-total</t>
  </si>
  <si>
    <t xml:space="preserve">                                      - Vice Gov.</t>
  </si>
  <si>
    <t xml:space="preserve">                                       - VGO</t>
  </si>
  <si>
    <t xml:space="preserve">     Travelling Expenses</t>
  </si>
  <si>
    <t xml:space="preserve">     Office Supplies</t>
  </si>
  <si>
    <t xml:space="preserve">                                      - VGO</t>
  </si>
  <si>
    <t xml:space="preserve">                                      - Secretariat</t>
  </si>
  <si>
    <t xml:space="preserve">                                      - Library</t>
  </si>
  <si>
    <t xml:space="preserve">    Other  Maint. &amp; Oprtg. Exp.</t>
  </si>
  <si>
    <t xml:space="preserve">                                       - Vice Gov.</t>
  </si>
  <si>
    <t xml:space="preserve">      Advertising/Publication Expenses</t>
  </si>
  <si>
    <t>Current year</t>
  </si>
  <si>
    <r>
      <t xml:space="preserve">         P20,000 x </t>
    </r>
    <r>
      <rPr>
        <b/>
        <u/>
        <sz val="10"/>
        <rFont val="Arial"/>
        <family val="2"/>
      </rPr>
      <t>1,109</t>
    </r>
    <r>
      <rPr>
        <sz val="10"/>
        <rFont val="Arial"/>
        <family val="2"/>
      </rPr>
      <t xml:space="preserve"> Barangays</t>
    </r>
  </si>
  <si>
    <t>MID-YEAR</t>
  </si>
  <si>
    <t>Productivity Enhancement Incentives</t>
  </si>
  <si>
    <t>Mid-Year Bonus</t>
  </si>
  <si>
    <t xml:space="preserve"> 2017 - MOOE </t>
  </si>
  <si>
    <t>1.3 Capital Outlay</t>
  </si>
  <si>
    <t xml:space="preserve">     Construction of Extension for Conference Room</t>
  </si>
  <si>
    <t xml:space="preserve">      Training Expenses &amp; Scholarship Expenses</t>
  </si>
  <si>
    <t xml:space="preserve">      Motor Vehicle</t>
  </si>
  <si>
    <t xml:space="preserve">      Medical Equipment</t>
  </si>
  <si>
    <t>COMELEC</t>
  </si>
  <si>
    <t>PAROLE OFFICE</t>
  </si>
  <si>
    <t>PROSECUTOR</t>
  </si>
  <si>
    <t>RTC 1</t>
  </si>
  <si>
    <t>RTC 2</t>
  </si>
  <si>
    <t>RTC 3</t>
  </si>
  <si>
    <t>RTC 4</t>
  </si>
  <si>
    <t>RTC 47</t>
  </si>
  <si>
    <t>RTC 48</t>
  </si>
  <si>
    <t>RTC 49</t>
  </si>
  <si>
    <t>RTC 50</t>
  </si>
  <si>
    <t>RTC 51</t>
  </si>
  <si>
    <t>RTC 52</t>
  </si>
  <si>
    <t>69907-C</t>
  </si>
  <si>
    <t>69907-A</t>
  </si>
  <si>
    <t>69907-B</t>
  </si>
  <si>
    <r>
      <t>2</t>
    </r>
    <r>
      <rPr>
        <b/>
        <vertAlign val="superscript"/>
        <sz val="11"/>
        <color rgb="FFFF0000"/>
        <rFont val="Candara"/>
        <family val="2"/>
      </rPr>
      <t>nd</t>
    </r>
    <r>
      <rPr>
        <b/>
        <sz val="11"/>
        <color rgb="FFFF0000"/>
        <rFont val="Candara"/>
        <family val="2"/>
      </rPr>
      <t xml:space="preserve"> Semester</t>
    </r>
  </si>
  <si>
    <r>
      <t>1</t>
    </r>
    <r>
      <rPr>
        <b/>
        <vertAlign val="superscript"/>
        <sz val="11"/>
        <color rgb="FFFF0000"/>
        <rFont val="Candara"/>
        <family val="2"/>
      </rPr>
      <t>st</t>
    </r>
    <r>
      <rPr>
        <b/>
        <sz val="11"/>
        <color rgb="FFFF0000"/>
        <rFont val="Candara"/>
        <family val="2"/>
      </rPr>
      <t xml:space="preserve"> Semester</t>
    </r>
  </si>
  <si>
    <t xml:space="preserve">      Community Affairs Asst. I</t>
  </si>
  <si>
    <t>AUTHORIZED SALARY</t>
  </si>
  <si>
    <t xml:space="preserve">       Admin Aide IV</t>
  </si>
  <si>
    <t xml:space="preserve">        Medical Specialist II</t>
  </si>
  <si>
    <t xml:space="preserve">       Midwife II</t>
  </si>
  <si>
    <t xml:space="preserve">       Med. Tech I</t>
  </si>
  <si>
    <t xml:space="preserve">  Nutritionist-Dietitian I</t>
  </si>
  <si>
    <t xml:space="preserve">  Admin. Aide I</t>
  </si>
  <si>
    <t xml:space="preserve">        Prov'l Gov't Dept. Head</t>
  </si>
  <si>
    <t xml:space="preserve">      Waterpump Operator</t>
  </si>
  <si>
    <t xml:space="preserve">       Admin Aide II</t>
  </si>
  <si>
    <t xml:space="preserve">       Admin Aide VI</t>
  </si>
  <si>
    <t xml:space="preserve">      Accountant III</t>
  </si>
  <si>
    <t xml:space="preserve">       Computer Programmer III</t>
  </si>
  <si>
    <t xml:space="preserve">     Admin Aide II</t>
  </si>
  <si>
    <t xml:space="preserve">     Planning Officer II</t>
  </si>
  <si>
    <t xml:space="preserve">     Admin Officer I</t>
  </si>
  <si>
    <t xml:space="preserve">     Admin Asst. II</t>
  </si>
  <si>
    <t xml:space="preserve">                        (Cabinets, Blinds &amp; Bulletin Board)</t>
  </si>
  <si>
    <t>Primary Health Care incl. honorarium BHW</t>
  </si>
  <si>
    <t>Primary Health Care incl. honorarium BNS</t>
  </si>
  <si>
    <t>Maternal Neonatal Child Health &amp; Nutrition</t>
  </si>
  <si>
    <t>Construction of additional ten (10) cells</t>
  </si>
  <si>
    <t>Construciton of Control Fence</t>
  </si>
  <si>
    <t>Construction of Secondary Fence</t>
  </si>
  <si>
    <t>Construction of Water Tank</t>
  </si>
  <si>
    <t xml:space="preserve">        Purchase of copier/printer/scanner (3 in 1)</t>
  </si>
  <si>
    <t>increase</t>
  </si>
  <si>
    <t xml:space="preserve">  Other Public Infrastructure</t>
  </si>
  <si>
    <t>Other Income (accountable forms)</t>
  </si>
  <si>
    <t>Rental of Office Spaces / Maintenance Fees</t>
  </si>
  <si>
    <t>20% of IRA</t>
  </si>
  <si>
    <t>2% EXTRA-ORDINARY</t>
  </si>
  <si>
    <t xml:space="preserve">        Administrative Aide l</t>
  </si>
  <si>
    <t>Other Income (Accountable Forms)</t>
  </si>
  <si>
    <t>PDDRMO</t>
  </si>
  <si>
    <t>Non-Off./Inter-Gov't. Aide</t>
  </si>
  <si>
    <t>Financial Expenses</t>
  </si>
  <si>
    <t>20 % Development Fund</t>
  </si>
  <si>
    <t>Special Purpose Appropriations (SPAs)</t>
  </si>
  <si>
    <t>TOTAL CAPITAL OUTLAY</t>
  </si>
  <si>
    <t>Maint. &amp; Oth. Optg. Expenses:</t>
  </si>
  <si>
    <t>Personal Services:</t>
  </si>
  <si>
    <t>Communication Equipment</t>
  </si>
  <si>
    <t>Other Public Infrastructure</t>
  </si>
  <si>
    <t>Center for Drug Education and Counseling</t>
  </si>
  <si>
    <t>Reception &amp; Ent'mt. of Vis'g. Dignitaries and ASEAN 2017 Bohol Hosting</t>
  </si>
  <si>
    <t xml:space="preserve">    Purchase of Vehicle (Dental Program)</t>
  </si>
  <si>
    <t>Population Dev't. Program</t>
  </si>
  <si>
    <t xml:space="preserve">    Purchase of Vehicle (HEMS Program)</t>
  </si>
  <si>
    <t>MODERNIZATION</t>
  </si>
  <si>
    <t>Office furnishings and various office and other equipment - New Capitol Building</t>
  </si>
  <si>
    <t>GO/PGSO</t>
  </si>
  <si>
    <t>Installation of Powerhouse facility - New Capitol Bldg</t>
  </si>
  <si>
    <t>Improvement of CPG Park (New Capitol Site)</t>
  </si>
  <si>
    <t>Corn Program</t>
  </si>
  <si>
    <t>Rice  Program</t>
  </si>
  <si>
    <t>High-value Commercial Crops Program</t>
  </si>
  <si>
    <t>Fisheries Resource Mangement &amp; Dev't. Program</t>
  </si>
  <si>
    <t>Greenhouse for vegetable production</t>
  </si>
  <si>
    <t>Orchard Production</t>
  </si>
  <si>
    <t>Giant Clam hatchery</t>
  </si>
  <si>
    <t>CRM Research boat</t>
  </si>
  <si>
    <t>Support Fund to Joint Task Force Dagon</t>
  </si>
  <si>
    <t xml:space="preserve">                  - BLECS</t>
  </si>
  <si>
    <t>World Food Day Celebration</t>
  </si>
  <si>
    <t>Sandugo Agri-Fair Celebration</t>
  </si>
  <si>
    <t>Ubi Festival Celebration</t>
  </si>
  <si>
    <t>Suhid sa Malamposong Mag-uunang Bol-anon</t>
  </si>
  <si>
    <t>Special Project for Bangus Hatchery at BISU, CANDIJAY</t>
  </si>
  <si>
    <t xml:space="preserve">       Piano</t>
  </si>
  <si>
    <t xml:space="preserve">       Piano Case</t>
  </si>
  <si>
    <t>Medical Equipment</t>
  </si>
  <si>
    <t>2 units microscope</t>
  </si>
  <si>
    <t>Automated X-ray developer</t>
  </si>
  <si>
    <t xml:space="preserve"> Hospital beds and bedside tables</t>
  </si>
  <si>
    <t>Emergency Cart</t>
  </si>
  <si>
    <t>( Cardiac Monitor w/ Defibrilliator, EKG Machine, X-ray)</t>
  </si>
  <si>
    <t xml:space="preserve"> construction of oncology bldg</t>
  </si>
  <si>
    <t>Construction of hemodialysis bldg</t>
  </si>
  <si>
    <t>Library</t>
  </si>
  <si>
    <t xml:space="preserve">      Food Supplies Exps. (30.00 / Prisoner)</t>
  </si>
  <si>
    <t>Other Machineries &amp; Equipt.</t>
  </si>
  <si>
    <t>2016 non office electrification</t>
  </si>
  <si>
    <t>Senior Citizen's Medical Outreach Program (medicines, vitamins, food supplements)</t>
  </si>
  <si>
    <t xml:space="preserve">Health Program for Barangay / Gamot sa Barangay </t>
  </si>
  <si>
    <t>Waterworks  Support Program</t>
  </si>
  <si>
    <t>Various Infra Projects Support Program</t>
  </si>
  <si>
    <t>Electrification Support Program</t>
  </si>
  <si>
    <t>Road Development Support Program</t>
  </si>
  <si>
    <t>Construction of fence for the New Building for Prov'l. Motorpool Office</t>
  </si>
  <si>
    <t>CPG Heritage House</t>
  </si>
  <si>
    <t>Hospital &amp; Health Center</t>
  </si>
  <si>
    <t xml:space="preserve">         CPG Heritage House</t>
  </si>
  <si>
    <t>R &amp; M- CPG Heritage House</t>
  </si>
  <si>
    <t>50KVA Generator Set</t>
  </si>
  <si>
    <t>Powerhouse bldg</t>
  </si>
  <si>
    <t>Upgrading of power supply</t>
  </si>
  <si>
    <t>Acquisition &amp; Installation of a 100kva Transformer</t>
  </si>
  <si>
    <t>parked</t>
  </si>
  <si>
    <t>piano</t>
  </si>
  <si>
    <t>piano case</t>
  </si>
  <si>
    <t>purchase of vehicle (Dental &amp; HEMS program</t>
  </si>
  <si>
    <t>5% DRRMF</t>
  </si>
  <si>
    <t>DRRMO</t>
  </si>
  <si>
    <t>command center</t>
  </si>
  <si>
    <t xml:space="preserve">  PEEMU</t>
  </si>
  <si>
    <t xml:space="preserve">            incl. PGBH Family Day Celebration</t>
  </si>
  <si>
    <t xml:space="preserve">      Special Operations Officer II</t>
  </si>
  <si>
    <t xml:space="preserve">      Admin. Asst. II</t>
  </si>
  <si>
    <t xml:space="preserve">      Const'n. &amp; Maintenance Man</t>
  </si>
  <si>
    <t xml:space="preserve">                Governor</t>
  </si>
  <si>
    <t>APPROVED :</t>
  </si>
  <si>
    <t xml:space="preserve">           EDGARDO M. CHATTO</t>
  </si>
  <si>
    <t xml:space="preserve">                     Governor</t>
  </si>
  <si>
    <t xml:space="preserve">                       JOHN TITUS J. VISTAL</t>
  </si>
  <si>
    <t>ANTHONY R. DAMALERIO</t>
  </si>
  <si>
    <t>M-POOL 2</t>
  </si>
  <si>
    <t xml:space="preserve">     Representation Expenses</t>
  </si>
  <si>
    <t xml:space="preserve">     Subscription Expenses</t>
  </si>
  <si>
    <t xml:space="preserve">     OMOOE - IEC</t>
  </si>
  <si>
    <t xml:space="preserve">     General Services-  Researcher</t>
  </si>
  <si>
    <t>Purchase of Fur. And Fixtures/Utensils</t>
  </si>
  <si>
    <t>Operation of the Cafe Caloy</t>
  </si>
  <si>
    <t>Development of Chess Plaza</t>
  </si>
  <si>
    <t>Landscaping at CPG Heritage Chess Plaza</t>
  </si>
  <si>
    <t>Blessing and Inauguration of Café Caloy and Chess Plaza</t>
  </si>
  <si>
    <t>Promotional activities (Indigay sa Balak)</t>
  </si>
  <si>
    <t>Chess Tournament</t>
  </si>
  <si>
    <t xml:space="preserve"> Chess Clock w/Variable Timer</t>
  </si>
  <si>
    <t xml:space="preserve"> Outdoor tables &amp; chess sets &amp; chairs</t>
  </si>
  <si>
    <t>Development of Parking Area</t>
  </si>
  <si>
    <t>Improvement of Bohol Biodiversity Complex</t>
  </si>
  <si>
    <t>BBC-Landscaping</t>
  </si>
  <si>
    <t>Webhosting</t>
  </si>
  <si>
    <t xml:space="preserve">  Security Guard</t>
  </si>
  <si>
    <t>staffing</t>
  </si>
  <si>
    <t>Satellite Office - PEEMU</t>
  </si>
  <si>
    <t xml:space="preserve">       Executive Assistant II</t>
  </si>
  <si>
    <t>PEEMU-2</t>
  </si>
  <si>
    <t xml:space="preserve">         Mgt. &amp; Audit Analyst I</t>
  </si>
  <si>
    <t xml:space="preserve">       LDRRMO III</t>
  </si>
  <si>
    <t xml:space="preserve">       LDRRM Assistant</t>
  </si>
  <si>
    <t xml:space="preserve">    Transferred to Other Office</t>
  </si>
  <si>
    <t xml:space="preserve">   Transferred from Other Office</t>
  </si>
  <si>
    <t xml:space="preserve">  Med. Technologist I</t>
  </si>
  <si>
    <t xml:space="preserve">        Supply Officer I</t>
  </si>
  <si>
    <t xml:space="preserve">       Supply Officer I</t>
  </si>
  <si>
    <t xml:space="preserve">        Cashier I</t>
  </si>
  <si>
    <t xml:space="preserve">        Admin Officer I</t>
  </si>
  <si>
    <t xml:space="preserve">        Pharmacist I</t>
  </si>
  <si>
    <t xml:space="preserve">        Storekeeper II</t>
  </si>
  <si>
    <t xml:space="preserve">       Admin Officer I</t>
  </si>
  <si>
    <t xml:space="preserve">    Transferred from Other Office</t>
  </si>
  <si>
    <t xml:space="preserve">        Veterinarian IV</t>
  </si>
  <si>
    <t>1st Sem</t>
  </si>
  <si>
    <t>2nd Sem</t>
  </si>
  <si>
    <t>Current Year (Estimate)</t>
  </si>
  <si>
    <t>OPV-3</t>
  </si>
  <si>
    <t>Function                                :</t>
  </si>
  <si>
    <t>Fund/Special Account      :</t>
  </si>
  <si>
    <t xml:space="preserve">Office/Department           : </t>
  </si>
  <si>
    <t>Function                                 :</t>
  </si>
  <si>
    <t>M-POOL -3</t>
  </si>
  <si>
    <t xml:space="preserve">Office/Department           :              </t>
  </si>
  <si>
    <t>PROV'L. SOCIAL WELFARE &amp; DEVELOPMENT SERVICES OFFICE</t>
  </si>
  <si>
    <t>PSWDO-3</t>
  </si>
  <si>
    <t>PRES. CP GARCIA MUNICIPAL HOSPITAL, P. Garcia, Bohol</t>
  </si>
  <si>
    <r>
      <t xml:space="preserve">Office/Department           :              </t>
    </r>
    <r>
      <rPr>
        <b/>
        <sz val="12"/>
        <rFont val="Candara"/>
        <family val="2"/>
      </rPr>
      <t xml:space="preserve"> </t>
    </r>
  </si>
  <si>
    <r>
      <t xml:space="preserve">FRANCISCO DAGOHOY MUNICIPAL HOSPITAL, </t>
    </r>
    <r>
      <rPr>
        <sz val="12"/>
        <rFont val="Candara"/>
        <family val="2"/>
      </rPr>
      <t>Inabanga</t>
    </r>
  </si>
  <si>
    <t>INA-3</t>
  </si>
  <si>
    <t>MARIBOJOC MEDICARE COMMUNITY HOSPITAL, Maribojoc</t>
  </si>
  <si>
    <t>MAR-3</t>
  </si>
  <si>
    <r>
      <t xml:space="preserve">CANDIJAY COMMUNITY HOSPITAL, </t>
    </r>
    <r>
      <rPr>
        <sz val="12"/>
        <rFont val="Candara"/>
        <family val="2"/>
      </rPr>
      <t>Candijay</t>
    </r>
  </si>
  <si>
    <t>CAN-3</t>
  </si>
  <si>
    <r>
      <t xml:space="preserve">CLARIN COMMUNITY HOSPITAL, </t>
    </r>
    <r>
      <rPr>
        <sz val="12"/>
        <rFont val="Candara"/>
        <family val="2"/>
      </rPr>
      <t>Clarin</t>
    </r>
  </si>
  <si>
    <t>CLA-3</t>
  </si>
  <si>
    <r>
      <t xml:space="preserve">CATIGBIAN DISTRICT HOSPITAL- </t>
    </r>
    <r>
      <rPr>
        <sz val="12"/>
        <rFont val="Candara"/>
        <family val="2"/>
      </rPr>
      <t>Catigbian</t>
    </r>
  </si>
  <si>
    <t>CATIG-3</t>
  </si>
  <si>
    <t xml:space="preserve">Office/Department           :   </t>
  </si>
  <si>
    <t>NATALIO CASTILLO, SR.MEMORIAL HOSPITAL- Loon</t>
  </si>
  <si>
    <t xml:space="preserve">Function                                 :   </t>
  </si>
  <si>
    <t xml:space="preserve">Fund/Special Account     :    </t>
  </si>
  <si>
    <t>LOON-3</t>
  </si>
  <si>
    <t>CONG. SIMEON TORIBIO MEM. HOSPITAL- Carmen, Bohol</t>
  </si>
  <si>
    <t>CAR-3</t>
  </si>
  <si>
    <r>
      <t xml:space="preserve">Office/Department           :               </t>
    </r>
    <r>
      <rPr>
        <b/>
        <sz val="12"/>
        <rFont val="Candara"/>
        <family val="2"/>
      </rPr>
      <t xml:space="preserve"> </t>
    </r>
  </si>
  <si>
    <t>GARCIA MEMORIAL PROV'L. HOSPITAL- Talibon, Bohol</t>
  </si>
  <si>
    <t xml:space="preserve">Function                                 :  </t>
  </si>
  <si>
    <t xml:space="preserve">Fund/Special Account     :  </t>
  </si>
  <si>
    <t>TAL-3</t>
  </si>
  <si>
    <r>
      <t xml:space="preserve">Office/Department           :  </t>
    </r>
    <r>
      <rPr>
        <b/>
        <sz val="12"/>
        <rFont val="Candara"/>
        <family val="2"/>
      </rPr>
      <t xml:space="preserve"> </t>
    </r>
  </si>
  <si>
    <t>Function                              :</t>
  </si>
  <si>
    <t>PHO-3</t>
  </si>
  <si>
    <t xml:space="preserve">Office/Department              :           </t>
  </si>
  <si>
    <t xml:space="preserve"> PROVINCIAL DISASTER RISK REDUCTION AND MANAGEMENT OFFICE</t>
  </si>
  <si>
    <t>PDRRMO-2</t>
  </si>
  <si>
    <t>Dept. Head</t>
  </si>
  <si>
    <t>PIAO-2</t>
  </si>
  <si>
    <t>MAY D. LIMBAGA</t>
  </si>
  <si>
    <t>Head -PIAO</t>
  </si>
  <si>
    <r>
      <t xml:space="preserve">           (</t>
    </r>
    <r>
      <rPr>
        <i/>
        <sz val="12"/>
        <rFont val="Candara"/>
        <family val="2"/>
      </rPr>
      <t>Purchase of office tables &amp; Chairs)</t>
    </r>
  </si>
  <si>
    <t>EUSTAQUIO A. SOCORIN</t>
  </si>
  <si>
    <t>PTO -3</t>
  </si>
  <si>
    <t xml:space="preserve">Office/Department           :                      </t>
  </si>
  <si>
    <t xml:space="preserve">Function                                :                      </t>
  </si>
  <si>
    <t>PACCO-3</t>
  </si>
  <si>
    <r>
      <t xml:space="preserve">                  </t>
    </r>
    <r>
      <rPr>
        <b/>
        <sz val="12"/>
        <rFont val="Candara"/>
        <family val="2"/>
      </rPr>
      <t>Sub-Total</t>
    </r>
  </si>
  <si>
    <t xml:space="preserve">Office/Department           :         </t>
  </si>
  <si>
    <t>PROVINCIAL GENERAL SERVICES OFFICE</t>
  </si>
  <si>
    <t xml:space="preserve">Function                                 :        </t>
  </si>
  <si>
    <t>Technical Support &amp; General Services</t>
  </si>
  <si>
    <t xml:space="preserve">Fund/Special Account     :        </t>
  </si>
  <si>
    <t xml:space="preserve"> GENERAL FUND</t>
  </si>
  <si>
    <t>GSO-3</t>
  </si>
  <si>
    <t xml:space="preserve">Prepared by:                                                                       </t>
  </si>
  <si>
    <t xml:space="preserve">Office/Department           :    </t>
  </si>
  <si>
    <t xml:space="preserve"> PROVINCIAL PLANNING &amp; DEVELOPMENT OFFICE</t>
  </si>
  <si>
    <t xml:space="preserve">Function                                  :     </t>
  </si>
  <si>
    <t>Planning, Programming &amp; Development Services</t>
  </si>
  <si>
    <t xml:space="preserve">Fund/Special Account     :     </t>
  </si>
  <si>
    <t>HRMDO-3</t>
  </si>
  <si>
    <t xml:space="preserve">                  - PADMO</t>
  </si>
  <si>
    <t xml:space="preserve">                 - PADMO</t>
  </si>
  <si>
    <r>
      <t xml:space="preserve">Office/Department           :   </t>
    </r>
    <r>
      <rPr>
        <b/>
        <sz val="12"/>
        <rFont val="Candara"/>
        <family val="2"/>
      </rPr>
      <t xml:space="preserve"> </t>
    </r>
  </si>
  <si>
    <t xml:space="preserve">Function                                  :           </t>
  </si>
  <si>
    <t>Human Resource Services</t>
  </si>
  <si>
    <t xml:space="preserve">Fund/Special Account     :          </t>
  </si>
  <si>
    <t>PA -3</t>
  </si>
  <si>
    <r>
      <t xml:space="preserve">    </t>
    </r>
    <r>
      <rPr>
        <i/>
        <sz val="12"/>
        <rFont val="Candara"/>
        <family val="2"/>
      </rPr>
      <t>Individual in Crisis Situation:</t>
    </r>
  </si>
  <si>
    <r>
      <t xml:space="preserve">     </t>
    </r>
    <r>
      <rPr>
        <i/>
        <sz val="12"/>
        <rFont val="Candara"/>
        <family val="2"/>
      </rPr>
      <t>Legislative Division</t>
    </r>
  </si>
  <si>
    <t>SP- 4</t>
  </si>
  <si>
    <t>SP- 5</t>
  </si>
  <si>
    <t xml:space="preserve">                </t>
  </si>
  <si>
    <t>BDJ-3</t>
  </si>
  <si>
    <t xml:space="preserve">Office/Department               : </t>
  </si>
  <si>
    <t>OIC-PEEMU</t>
  </si>
  <si>
    <t>EDC-2</t>
  </si>
  <si>
    <t>EDCOM-2</t>
  </si>
  <si>
    <t>AUGUSTUS E. ESCOBIA                   LIZA M. QUIROG</t>
  </si>
  <si>
    <t xml:space="preserve">Office/Department             : </t>
  </si>
  <si>
    <t>Information Management Services</t>
  </si>
  <si>
    <r>
      <t xml:space="preserve">Function                                   : </t>
    </r>
    <r>
      <rPr>
        <b/>
        <sz val="12"/>
        <rFont val="Candara"/>
        <family val="2"/>
      </rPr>
      <t xml:space="preserve"> </t>
    </r>
  </si>
  <si>
    <t>BICTU-2</t>
  </si>
  <si>
    <t>SENEN S. BOJOS                  LIZA M. QUIROG</t>
  </si>
  <si>
    <t>CCAD-2</t>
  </si>
  <si>
    <t>BTO-2</t>
  </si>
  <si>
    <t>BTO 3</t>
  </si>
  <si>
    <t>BIPC 2</t>
  </si>
  <si>
    <t>BIPC-3</t>
  </si>
  <si>
    <t>BEPO 2</t>
  </si>
  <si>
    <t>BEPO 3</t>
  </si>
  <si>
    <t>GO 2</t>
  </si>
  <si>
    <t>VICTOR ALAN A. TORREFRANCA, MD</t>
  </si>
  <si>
    <t xml:space="preserve">    OIC- Chief of Hospital</t>
  </si>
  <si>
    <t>JAG-3</t>
  </si>
  <si>
    <t>PEEMU-3</t>
  </si>
  <si>
    <t>BEMO 3</t>
  </si>
  <si>
    <t>GO-4</t>
  </si>
  <si>
    <t>PEEMU</t>
  </si>
  <si>
    <t>Crafting of Master Plan &amp; Business Plan</t>
  </si>
  <si>
    <t xml:space="preserve">     OMOOE</t>
  </si>
  <si>
    <t xml:space="preserve"> IEC</t>
  </si>
  <si>
    <t>5% LDRRM Fund</t>
  </si>
  <si>
    <t xml:space="preserve">            We hereby certify that the information presented above are true and correct. We further certify that the foregoing estimated receipts are reasonably projected as collectible for the Budget Year.</t>
  </si>
  <si>
    <t>Year-End Bonus</t>
  </si>
  <si>
    <t xml:space="preserve">         5% LDRRM Fund</t>
  </si>
  <si>
    <t xml:space="preserve">         Aid to Barangays</t>
  </si>
  <si>
    <t xml:space="preserve">Certified Correct:                                                                                                              </t>
  </si>
  <si>
    <t xml:space="preserve">  APPROVED:</t>
  </si>
  <si>
    <t>Food Expenses</t>
  </si>
  <si>
    <t>Drugs &amp; Medicines</t>
  </si>
  <si>
    <t>R &amp; M- Other Mach. &amp; Eqpt.</t>
  </si>
  <si>
    <t>TOTAL C.O.</t>
  </si>
  <si>
    <t>LBP Form No. 7</t>
  </si>
  <si>
    <t>Life and Retirement Insurance Contributions</t>
  </si>
  <si>
    <t>PAG-IBIG Contribution</t>
  </si>
  <si>
    <t>PhilHealth Contribution</t>
  </si>
  <si>
    <t>Year End Bonus</t>
  </si>
  <si>
    <t>PERA</t>
  </si>
  <si>
    <t>Clothing/Uniform Allowance</t>
  </si>
  <si>
    <t>Magna Carta Benefits to Health Worker</t>
  </si>
  <si>
    <t>Representation Allowance</t>
  </si>
  <si>
    <t>Transportation Allowance</t>
  </si>
  <si>
    <t>Overtime &amp; Night Pay</t>
  </si>
  <si>
    <t xml:space="preserve">Certified Correct:                                                                  </t>
  </si>
  <si>
    <t>lbp Form No. 6</t>
  </si>
  <si>
    <t>D. 5 % PDRRMF</t>
  </si>
  <si>
    <t>LBP Form No. 1</t>
  </si>
  <si>
    <t xml:space="preserve"> Governor</t>
  </si>
  <si>
    <t>2017</t>
  </si>
  <si>
    <t>PEO-3</t>
  </si>
  <si>
    <t xml:space="preserve">     3. Aid to Barangays @ P20,000 per barangay</t>
  </si>
  <si>
    <t>Confidential Fund shall be used for the expenses related to surveillance and information gathering  activities that are intended to support the mandate / operation of the Provincial Government for the promotion of peace and order, public order and security, in conformity with the provisions of DILG MC No. 99-65 as supplemented by DILG MC No. 99-100</t>
  </si>
  <si>
    <t>No. of</t>
  </si>
  <si>
    <t>Filled</t>
  </si>
  <si>
    <t>No. of unfilled</t>
  </si>
  <si>
    <t>STATEMENT OF INDEBTEDNESS</t>
  </si>
  <si>
    <t>Purpose of Loan</t>
  </si>
  <si>
    <t>Heavy Equipment</t>
  </si>
  <si>
    <t>10 yrs.</t>
  </si>
  <si>
    <t>7 yrs.</t>
  </si>
  <si>
    <t>Hospital Modernization Program</t>
  </si>
  <si>
    <t>(Construction Project)</t>
  </si>
  <si>
    <t>(Equipment)</t>
  </si>
  <si>
    <t>Land Bank of the Philippines</t>
  </si>
  <si>
    <t>Tagbilaran</t>
  </si>
  <si>
    <t>Principal Amount</t>
  </si>
  <si>
    <t>10 yrs</t>
  </si>
  <si>
    <t>We hereby certify that we have reviewed the contents and hereby attest to the veracity and correctness of the data or information contained in this document.</t>
  </si>
  <si>
    <r>
      <t>P</t>
    </r>
    <r>
      <rPr>
        <sz val="11"/>
        <color theme="1"/>
        <rFont val="Candara"/>
        <family val="2"/>
      </rPr>
      <t>20,000 X 1109  Barangay</t>
    </r>
  </si>
  <si>
    <t>6-7</t>
  </si>
  <si>
    <t>LBPF 3  -PERSONNEL SCHEDULE</t>
  </si>
  <si>
    <t xml:space="preserve">                 and TARGETS</t>
  </si>
  <si>
    <t>Effective Development Communication Unit -----------------------------------------------------------------------</t>
  </si>
  <si>
    <t>Education Development Center                            --------------------------------------------------------------------</t>
  </si>
  <si>
    <t xml:space="preserve">Provincial Economic Enterprise Management Unit ------------------------------------------------------------              </t>
  </si>
  <si>
    <t xml:space="preserve">Bohol Environment Managemernt Office        ----------------------------------------------------------------------          </t>
  </si>
  <si>
    <t xml:space="preserve">Bohol Investment Promotion Center                  ----------------------------------------------------------------------            </t>
  </si>
  <si>
    <t xml:space="preserve">Bohol Tourism Office                                                   ---------------------------------------------------------------------    </t>
  </si>
  <si>
    <t xml:space="preserve">Sangguniang Panlalawigan, Secretariat &amp; Library ----------------------------------------------------------------           </t>
  </si>
  <si>
    <t>Provincial Administrator's Office                        ------------------------------------------------------------------------------</t>
  </si>
  <si>
    <t>Provincial Human Resource Management &amp; Development Office   -----------------------------------</t>
  </si>
  <si>
    <t xml:space="preserve">Provincial Planning &amp; Development Office     -------------------------------------------------------------------------- </t>
  </si>
  <si>
    <t>Provincial General Services Office                       ---------------------------------------------------------------------</t>
  </si>
  <si>
    <t xml:space="preserve">Provincial Budget &amp; Management Office         -------------------------------------------------------------------------           </t>
  </si>
  <si>
    <t xml:space="preserve">Provincial Accountanting Office                           -------------------------------------------------------------------------   </t>
  </si>
  <si>
    <t>Provincial Treasury Office                                        -----------------------------------------------------------------------------</t>
  </si>
  <si>
    <t>Provincial Assessor's Office                                     -----------------------------------------------------------------------------</t>
  </si>
  <si>
    <t>Provincial Internal Audit Office                            ---------------------------------------------------------------------</t>
  </si>
  <si>
    <t>Provincial Legal Office                                               --------------------------------------------------------------------------</t>
  </si>
  <si>
    <t>Provincial Disaster Risk Reduction and Mgt. Office --------------------------------------------------------------</t>
  </si>
  <si>
    <t xml:space="preserve">Provincial Health Office                                            -----------------------------------------------------------------------------            </t>
  </si>
  <si>
    <t>Garcial Memorial Provincial Hospital (Talibon)    -----------------------------------------------------------------------</t>
  </si>
  <si>
    <t xml:space="preserve">Cong. Simeon G. Toribio Memorial Hospital (Carmen)   --------------------------------------------------------- </t>
  </si>
  <si>
    <t>Teodoro Galagar District Hospital (Jagna)     -------------------------------------------------------------------------------</t>
  </si>
  <si>
    <t>Cong. Natalio C. Castillo Memorial Hospital (Loon)  ---------------------------------------------------------------</t>
  </si>
  <si>
    <t>Catigbian District Hospital (Catigbian)            -----------------------------------------------------------------------</t>
  </si>
  <si>
    <t>Clarin  Community Hospital (Clarin)                                  -------------------------------------------------------------</t>
  </si>
  <si>
    <t>Candijay Medicare Hospital (Candijay)                           --------------------------------------------------------------</t>
  </si>
  <si>
    <t>Maribojoc Community Hospital (Maribojoc)                ---------------------------------------------------------------</t>
  </si>
  <si>
    <t>Francisco Dagohoy Municipal Hospital (Inabanga)   ------------------------------------------------------------------</t>
  </si>
  <si>
    <t>Pres. Carlos P. Garcia Municipal Hospital (Pitogo)     -------------------------------------------------------------</t>
  </si>
  <si>
    <t>Provincial Social Welfare &amp; Development Office         --------------------------------------------------------------</t>
  </si>
  <si>
    <t>Office of the Provincial Agriculturist           ------------------------------------------------------------------------------</t>
  </si>
  <si>
    <t xml:space="preserve">Office of the Provincial Veterinarian       --------------------------------------------------------------------------------- </t>
  </si>
  <si>
    <t xml:space="preserve">Provincial Engineer's Office                                   --------------------------------------------------------------------------   </t>
  </si>
  <si>
    <t xml:space="preserve">Provincial Motorpool Office                      -------------------------------------------------------------------------------------- </t>
  </si>
  <si>
    <t xml:space="preserve">Non-Office                                      ----------------------------------------------------------------------------------------------------  </t>
  </si>
  <si>
    <t>SPECIAL PURPOSE APPROPRIATIONS and GENERAL PROVISIONS</t>
  </si>
  <si>
    <t>cont.</t>
  </si>
  <si>
    <t>Countryside Development Program / Water Testing Program (Laboratory Services)</t>
  </si>
  <si>
    <t>PPDO- 3</t>
  </si>
  <si>
    <t>PASSO -3</t>
  </si>
  <si>
    <t>PLO-3</t>
  </si>
  <si>
    <t>PHO-4</t>
  </si>
  <si>
    <t>CATIG-2</t>
  </si>
  <si>
    <t>HGAR-3</t>
  </si>
  <si>
    <t>NON-OFFICE 4</t>
  </si>
  <si>
    <t>NON-OFFICE 5</t>
  </si>
  <si>
    <t>NON-OFFICE 6</t>
  </si>
  <si>
    <t>SECTION 4.</t>
  </si>
  <si>
    <t xml:space="preserve">           SPECIAL PURPOSE APPROPRIATIONS</t>
  </si>
  <si>
    <t>GO employees</t>
  </si>
  <si>
    <t>Subsidy to LGUs</t>
  </si>
  <si>
    <t>Policy Advocacy</t>
  </si>
  <si>
    <t>EMS</t>
  </si>
  <si>
    <t>R.M. -IT</t>
  </si>
  <si>
    <t>TEXTBOOK</t>
  </si>
  <si>
    <t>office bldg. BAC</t>
  </si>
  <si>
    <t>equipt. BAC</t>
  </si>
  <si>
    <t>other offices</t>
  </si>
  <si>
    <t>agri., fishery, forestry equip.</t>
  </si>
  <si>
    <t xml:space="preserve">       terminal</t>
  </si>
  <si>
    <t xml:space="preserve">        mone</t>
  </si>
  <si>
    <t xml:space="preserve"> + LUMPSUM</t>
  </si>
  <si>
    <t>4995-1</t>
  </si>
  <si>
    <t>PS+MOOE+CO</t>
  </si>
  <si>
    <t xml:space="preserve">      Productivity Incentive Allowance (PEI)</t>
  </si>
  <si>
    <t xml:space="preserve">      Year End Bonus / Mid-Year Bonus</t>
  </si>
  <si>
    <t xml:space="preserve">      Longevity Pay (Loyalty)</t>
  </si>
  <si>
    <t xml:space="preserve">      Salaries- Plantilla Casuals / Wages</t>
  </si>
  <si>
    <t xml:space="preserve">      Telephone  Expenses</t>
  </si>
  <si>
    <t xml:space="preserve">      R &amp; M - Transportation Equipt. (Motor Vehicle)</t>
  </si>
  <si>
    <t xml:space="preserve">      R &amp; M - Machineries &amp; Equipt. (Office, IT equipt.)</t>
  </si>
  <si>
    <t xml:space="preserve">      Representation Expenses (Dev'tl. Committee Mtngs)</t>
  </si>
  <si>
    <t xml:space="preserve">      Other General Services</t>
  </si>
  <si>
    <t xml:space="preserve">      Telelphone Expenses </t>
  </si>
  <si>
    <t xml:space="preserve">  R &amp; M - Machineries &amp; Equipt. (Office, IT equipt.)</t>
  </si>
  <si>
    <t xml:space="preserve">     Other Maint. &amp; Operating Expenses</t>
  </si>
  <si>
    <t xml:space="preserve">      Other Professional Services (Contractual)</t>
  </si>
  <si>
    <t xml:space="preserve">      Furniture &amp; Fixtures</t>
  </si>
  <si>
    <t xml:space="preserve">     Information and Communication Technology</t>
  </si>
  <si>
    <t>Information and Communication Technology</t>
  </si>
  <si>
    <t xml:space="preserve">      Other Property, Plant &amp; Equipt.</t>
  </si>
  <si>
    <t xml:space="preserve">     Other Maint. &amp; Oprtg. Expenses </t>
  </si>
  <si>
    <t xml:space="preserve">     Telelphone Expenses </t>
  </si>
  <si>
    <t xml:space="preserve">     Internet Subscription Expenses</t>
  </si>
  <si>
    <t>Water Supply Systems</t>
  </si>
  <si>
    <t xml:space="preserve">    R &amp; M - Machineries &amp; Equipt. (Office, IT equipt.)</t>
  </si>
  <si>
    <t xml:space="preserve">    R &amp; M - Transportation Equipt. (Motor Vehicle)</t>
  </si>
  <si>
    <t xml:space="preserve">     Other Professional Services (Contractual)</t>
  </si>
  <si>
    <t xml:space="preserve">     Other General Services</t>
  </si>
  <si>
    <t xml:space="preserve">     R &amp; M - Machineries &amp; Equipt. (Office, IT equipt.)</t>
  </si>
  <si>
    <t xml:space="preserve">     R &amp; M - Transportation Equipt. (Motor Vehicle)</t>
  </si>
  <si>
    <t xml:space="preserve">      R &amp; M- Buildings and Other Structure</t>
  </si>
  <si>
    <t xml:space="preserve">      Awards/Rewards Expenses</t>
  </si>
  <si>
    <t xml:space="preserve">      Printing and Publication Expenses</t>
  </si>
  <si>
    <t xml:space="preserve">      Office Equipment </t>
  </si>
  <si>
    <t xml:space="preserve">      Information and Communication Technology</t>
  </si>
  <si>
    <t xml:space="preserve">       Motor Vehicle </t>
  </si>
  <si>
    <t xml:space="preserve">     Supplies and Materials- Accountable Forms</t>
  </si>
  <si>
    <t xml:space="preserve">                  Accountable Forms Expenses</t>
  </si>
  <si>
    <t xml:space="preserve">          Information and Communication Technology</t>
  </si>
  <si>
    <t xml:space="preserve">     Telephone Expenses</t>
  </si>
  <si>
    <t>LAUNDRY</t>
  </si>
  <si>
    <t xml:space="preserve">      Laundry Allowance</t>
  </si>
  <si>
    <t xml:space="preserve">      Other Maintenance &amp; Operating Expenses</t>
  </si>
  <si>
    <t xml:space="preserve">     Cable. Satellite Expenses</t>
  </si>
  <si>
    <t xml:space="preserve">      Internet Subscription Expenses</t>
  </si>
  <si>
    <t xml:space="preserve">      Other Supplies &amp; Materials Expenses (Cooking GaS)</t>
  </si>
  <si>
    <t xml:space="preserve">     Other Structure</t>
  </si>
  <si>
    <t xml:space="preserve">    Information and Communication Technology</t>
  </si>
  <si>
    <t xml:space="preserve">     Other Machineries &amp; Equipment</t>
  </si>
  <si>
    <t xml:space="preserve">     Buildings</t>
  </si>
  <si>
    <t xml:space="preserve">      Rent Expenses</t>
  </si>
  <si>
    <t xml:space="preserve">      Agricultural and Marine Supplies Expenses</t>
  </si>
  <si>
    <t xml:space="preserve">     Building</t>
  </si>
  <si>
    <t xml:space="preserve">      Donations -AICS/Assistive Device</t>
  </si>
  <si>
    <t xml:space="preserve">Prepared by:                                                                   </t>
  </si>
  <si>
    <t xml:space="preserve">      Extraordinary and Miscellaneous -Discretionary Fund</t>
  </si>
  <si>
    <t xml:space="preserve">      R &amp; M - Othr. Property, Plant &amp; Equipment</t>
  </si>
  <si>
    <t xml:space="preserve">      R &amp; M - Building and Other Structure (CPG Heritage House)</t>
  </si>
  <si>
    <t>Legal Services</t>
  </si>
  <si>
    <t>total actual VGO</t>
  </si>
  <si>
    <t>total vgo worksheet</t>
  </si>
  <si>
    <t>total vgo form 2</t>
  </si>
  <si>
    <t xml:space="preserve">    Advertising Expenses</t>
  </si>
  <si>
    <t xml:space="preserve">    Representation Expenses/Committee Meeting</t>
  </si>
  <si>
    <t xml:space="preserve">    Cable, Satellite, Telegraph and Radio</t>
  </si>
  <si>
    <t>changed to cable, satellite, telegraph and radio</t>
  </si>
  <si>
    <t xml:space="preserve">    Research, Exploration and Development</t>
  </si>
  <si>
    <t>Research, Exploration and Development</t>
  </si>
  <si>
    <t>Extraordinary and Miscellaneous</t>
  </si>
  <si>
    <t xml:space="preserve"> Other Supplies &amp; Materials Expenses (Cooking Gas)</t>
  </si>
  <si>
    <t xml:space="preserve">      Legal Services</t>
  </si>
  <si>
    <t>Other Professional</t>
  </si>
  <si>
    <t>Other Supplies</t>
  </si>
  <si>
    <t>cooking gas / housekeeping</t>
  </si>
  <si>
    <t xml:space="preserve">      Other Supplies &amp; Materials Expenses (Cooking Gas &amp; HouseKeeping)</t>
  </si>
  <si>
    <t>Information &amp; Communication</t>
  </si>
  <si>
    <t>Communication Network</t>
  </si>
  <si>
    <t>Year-End and Mid-Year Bonus</t>
  </si>
  <si>
    <t xml:space="preserve">   Local</t>
  </si>
  <si>
    <t xml:space="preserve">   Foreign</t>
  </si>
  <si>
    <t xml:space="preserve">   Training Expenses</t>
  </si>
  <si>
    <t xml:space="preserve">   Scholarship Expenses</t>
  </si>
  <si>
    <t xml:space="preserve">   Water Expenses</t>
  </si>
  <si>
    <t xml:space="preserve">   Electricity Expenses</t>
  </si>
  <si>
    <t xml:space="preserve">   Cooking Gas Expenses</t>
  </si>
  <si>
    <t xml:space="preserve">   Office Supplies Expenses</t>
  </si>
  <si>
    <t xml:space="preserve">   Accountable Forms Expenses</t>
  </si>
  <si>
    <t xml:space="preserve">   Animal Supplies Expenses</t>
  </si>
  <si>
    <t xml:space="preserve">   Food Supplies Expenses</t>
  </si>
  <si>
    <t xml:space="preserve">   Drugs &amp; Medicines Expenses</t>
  </si>
  <si>
    <t xml:space="preserve">   Medical, Dental &amp; Lab Expenses</t>
  </si>
  <si>
    <t xml:space="preserve">   Gasoline, Oil &amp; Lubricant</t>
  </si>
  <si>
    <t xml:space="preserve">   Agricultural Supplies Expenses</t>
  </si>
  <si>
    <t xml:space="preserve">   Textbooks</t>
  </si>
  <si>
    <t xml:space="preserve">   Other Supplies Expenses -houskeeping</t>
  </si>
  <si>
    <t xml:space="preserve">   Postage &amp; Deliveries</t>
  </si>
  <si>
    <t xml:space="preserve">   Telephone Expenses (Landline)</t>
  </si>
  <si>
    <t xml:space="preserve">   Telephone Expenses (Mobile)</t>
  </si>
  <si>
    <t xml:space="preserve">   Internet Expenses</t>
  </si>
  <si>
    <t xml:space="preserve">   Cable, Satellite, Teleg. &amp; Radio</t>
  </si>
  <si>
    <t xml:space="preserve">   General Services</t>
  </si>
  <si>
    <t xml:space="preserve">   Janitorial Services</t>
  </si>
  <si>
    <t xml:space="preserve">   Security Services</t>
  </si>
  <si>
    <t xml:space="preserve">   Office Building</t>
  </si>
  <si>
    <t xml:space="preserve">   Hospitals &amp; Health Center</t>
  </si>
  <si>
    <t xml:space="preserve">   Office Equipment</t>
  </si>
  <si>
    <t xml:space="preserve">   IT Equipment &amp; Software</t>
  </si>
  <si>
    <t xml:space="preserve">   Heavy Equipment</t>
  </si>
  <si>
    <t xml:space="preserve">   Other Machineries &amp; Equipt</t>
  </si>
  <si>
    <t xml:space="preserve">   Motor Vehicles</t>
  </si>
  <si>
    <t xml:space="preserve">   Other Property &amp; Equipment</t>
  </si>
  <si>
    <t xml:space="preserve">   Subsidy to NGA</t>
  </si>
  <si>
    <t xml:space="preserve">   Subsidy to LGUs</t>
  </si>
  <si>
    <t xml:space="preserve">   Subsidy to NGOs/Pos</t>
  </si>
  <si>
    <t xml:space="preserve">   Donations</t>
  </si>
  <si>
    <t xml:space="preserve">  Confidential Expenses</t>
  </si>
  <si>
    <t xml:space="preserve">   Taxes, Duties &amp; Licenses</t>
  </si>
  <si>
    <t xml:space="preserve">   Fidelity Bond Premiums</t>
  </si>
  <si>
    <t xml:space="preserve">   Insurance Premiums</t>
  </si>
  <si>
    <t xml:space="preserve">   Membership Dues &amp;</t>
  </si>
  <si>
    <t xml:space="preserve">   Printing &amp; Binding</t>
  </si>
  <si>
    <t xml:space="preserve">   Awards &amp; Indemnities</t>
  </si>
  <si>
    <t xml:space="preserve">   Advertising Expense</t>
  </si>
  <si>
    <t xml:space="preserve">   Rent Expense</t>
  </si>
  <si>
    <t xml:space="preserve">   Representation Expense</t>
  </si>
  <si>
    <t xml:space="preserve">   Subscription Expenses</t>
  </si>
  <si>
    <t xml:space="preserve">   Other Maint. &amp; Operating Exp.</t>
  </si>
  <si>
    <t xml:space="preserve">  Discretionary Fund</t>
  </si>
  <si>
    <t xml:space="preserve">  Extraordinary &amp; Miscellaneous Expenses</t>
  </si>
  <si>
    <t>BUDGET YEAR 2018</t>
  </si>
  <si>
    <t>Other -MOOE (for DRRM related trainings/workshops..)</t>
  </si>
  <si>
    <t>Other MOOE</t>
  </si>
  <si>
    <t xml:space="preserve">      Telelphone Expenses -  (Communications)</t>
  </si>
  <si>
    <t>Cable, Satelite, Telegraph, &amp; Radio Expenses</t>
  </si>
  <si>
    <t>Printing and Publication Expenses</t>
  </si>
  <si>
    <t>Office Supplies Expenses - INSPIRED HEAT IT BOHOL info komiks</t>
  </si>
  <si>
    <t>Other Machineries &amp; Equipt. -</t>
  </si>
  <si>
    <t>Reproductive Health  &amp; FP</t>
  </si>
  <si>
    <t>Primary Health Program - BHW</t>
  </si>
  <si>
    <t>Infrastructure</t>
  </si>
  <si>
    <t>2016 Approp</t>
  </si>
  <si>
    <t>2017 increase</t>
  </si>
  <si>
    <t>2016 approp</t>
  </si>
  <si>
    <t>2018 increase</t>
  </si>
  <si>
    <t>GRACE N. VALDEZ  MD</t>
  </si>
  <si>
    <t xml:space="preserve">     Training Expenses (Inc ISO training)</t>
  </si>
  <si>
    <t xml:space="preserve">      Vehicle - PCSO COUNTERPART</t>
  </si>
  <si>
    <t xml:space="preserve">      Service Vehicle</t>
  </si>
  <si>
    <t>Job Facilitation, IEC &amp; Mobile Services</t>
  </si>
  <si>
    <t>2016 to 2017</t>
  </si>
  <si>
    <t>2017  to 2018</t>
  </si>
  <si>
    <t>2017 to 2018</t>
  </si>
  <si>
    <t>2016  to 2017</t>
  </si>
  <si>
    <t>Older Persons Program/Elderly Welfare &amp; Development</t>
  </si>
  <si>
    <t>Indigeneous People Welfare and Development</t>
  </si>
  <si>
    <t>Persons with Disability Welfare and Development</t>
  </si>
  <si>
    <t>Family Community Welfare and Development</t>
  </si>
  <si>
    <t>Technical Support to LSWDOs</t>
  </si>
  <si>
    <t>Crop Insurance Fund</t>
  </si>
  <si>
    <t>Food Supplement for Malnourished Children</t>
  </si>
  <si>
    <t>Fish Bagsakan</t>
  </si>
  <si>
    <t>Sand and Gravel Quarry Monitoring Operations/MRM</t>
  </si>
  <si>
    <t xml:space="preserve">       Subscription Expense</t>
  </si>
  <si>
    <t>to OPA</t>
  </si>
  <si>
    <t>Support Programs of DSWD</t>
  </si>
  <si>
    <t xml:space="preserve">     Vehicle</t>
  </si>
  <si>
    <t>Full Operation of Café Caloy</t>
  </si>
  <si>
    <t>Gen.Services (foodhandlers, waiter,maintenance, receptionist)</t>
  </si>
  <si>
    <t>Business License</t>
  </si>
  <si>
    <t>Equipment for Business Operation</t>
  </si>
  <si>
    <t>Marketing, Promotion and Advertisement</t>
  </si>
  <si>
    <t>Revolving Fund</t>
  </si>
  <si>
    <t>Promotion and Investment - Marketing Promotion &amp; Advertisement</t>
  </si>
  <si>
    <t>Operation of BBC</t>
  </si>
  <si>
    <t>Business Operation Equipment</t>
  </si>
  <si>
    <t>Guard House and Welcome Arc</t>
  </si>
  <si>
    <t xml:space="preserve">      Office / IT Equipment</t>
  </si>
  <si>
    <t xml:space="preserve">  PC w/ licensed OS, software and other paraphernalias w/ printer</t>
  </si>
  <si>
    <t>2 units water tank</t>
  </si>
  <si>
    <t>Purchase of 3 units external drive</t>
  </si>
  <si>
    <t>Purchase with 2 units printer w/ scanner</t>
  </si>
  <si>
    <t xml:space="preserve">   3 units steel cabinet</t>
  </si>
  <si>
    <t xml:space="preserve">   2 units freezer</t>
  </si>
  <si>
    <t>Purchase of 2 units laptop</t>
  </si>
  <si>
    <t>2 units Anti Melaware Software</t>
  </si>
  <si>
    <t>2 units LED Monitor 17 inches</t>
  </si>
  <si>
    <t>GO / PLO</t>
  </si>
  <si>
    <t>OPA / GO - AOS</t>
  </si>
  <si>
    <t>GO - AOS</t>
  </si>
  <si>
    <t>GO / OPSWD</t>
  </si>
  <si>
    <t>LDRRMC</t>
  </si>
  <si>
    <t>GO/AOS</t>
  </si>
  <si>
    <t>GO / PHO</t>
  </si>
  <si>
    <t>Barangay Secretaries and Treasurers' Competency Training</t>
  </si>
  <si>
    <t>Capacity Building for Barangay Tanod on Peace and Order and Public Safety</t>
  </si>
  <si>
    <t>Capacity Building for Barangay Officials</t>
  </si>
  <si>
    <t>Barangay Health Workers' (BHW) Competency Training</t>
  </si>
  <si>
    <t>Barangay Nutrition Scholars' (BNS) Competency Training</t>
  </si>
  <si>
    <t>GO / PADMO</t>
  </si>
  <si>
    <t>CEDEC</t>
  </si>
  <si>
    <t>GO / BTO / CCAD</t>
  </si>
  <si>
    <t>Equipments / Furnitures / Furnishings at New Capitol Building</t>
  </si>
  <si>
    <t>PEO / PGSO</t>
  </si>
  <si>
    <t>Bohol Youth Home</t>
  </si>
  <si>
    <t>GO / OPWSD</t>
  </si>
  <si>
    <t>Conversion of Motorpool Facility to Conference Room / Activity Center</t>
  </si>
  <si>
    <t>Canteen at the New Capitol Building</t>
  </si>
  <si>
    <t>Lot Acquisition (Right of Way for Hangos Road - P52.5 Million Total, P30 Million current year appropriation c/o 20% DF)</t>
  </si>
  <si>
    <t>Could be included in 20% DF</t>
  </si>
  <si>
    <t>Road Widening (Hangos Street)</t>
  </si>
  <si>
    <t xml:space="preserve">  (w/ other programs under GADProgram &amp; 20% DF)</t>
  </si>
  <si>
    <t>G0</t>
  </si>
  <si>
    <t>Terminal Leave (other Gen Public Services)</t>
  </si>
  <si>
    <t>GO/BTO</t>
  </si>
  <si>
    <t>GO-CEDEC</t>
  </si>
  <si>
    <t>Various offices</t>
  </si>
  <si>
    <t>Bohol Sunshine Homes</t>
  </si>
  <si>
    <t>BFSCAP</t>
  </si>
  <si>
    <t>BFDPI</t>
  </si>
  <si>
    <t>NGAs</t>
  </si>
  <si>
    <t>PYSA</t>
  </si>
  <si>
    <t>? OPSWD</t>
  </si>
  <si>
    <t>BEPO/</t>
  </si>
  <si>
    <t>OFW Support Fund- OFW Desk</t>
  </si>
  <si>
    <t>opa/opv</t>
  </si>
  <si>
    <t>BEMO - Park -1.09 M</t>
  </si>
  <si>
    <t>BEMO- P- 585,000</t>
  </si>
  <si>
    <t>BEMO-P 1.0795M</t>
  </si>
  <si>
    <t>bemo</t>
  </si>
  <si>
    <t xml:space="preserve">      Overtime/Night Pay</t>
  </si>
  <si>
    <t xml:space="preserve"> +1M</t>
  </si>
  <si>
    <t xml:space="preserve"> +100K</t>
  </si>
  <si>
    <t>amount slashed</t>
  </si>
  <si>
    <t xml:space="preserve"> -1.5M</t>
  </si>
  <si>
    <t xml:space="preserve"> -25M C/O FCB</t>
  </si>
  <si>
    <t>Improvement/Set-up for new Bohol Tourism Office</t>
  </si>
  <si>
    <t xml:space="preserve">Lot Acquisition </t>
  </si>
  <si>
    <t>Road Widening (Hangos Street) incl. Lot Acquisition (Right of Way for Hangos Road - P52.5 Million Total, P30 Million current year appropriation c/o 20% DF)</t>
  </si>
  <si>
    <t xml:space="preserve"> -100M transferred to 20% DF</t>
  </si>
  <si>
    <t xml:space="preserve"> -80M transferred to 20% Df</t>
  </si>
  <si>
    <t>Lot Acquisition - CPG Park affected properties</t>
  </si>
  <si>
    <t xml:space="preserve"> -5M for 2019 budget or 2018 supplemental</t>
  </si>
  <si>
    <t>total unappropriated balance</t>
  </si>
  <si>
    <t>salaries and benefits for positions  proposed for creation</t>
  </si>
  <si>
    <t>Feeding Program for Malnourished Children</t>
  </si>
  <si>
    <t>Reception of Visiting Dignitaries and MICE Program</t>
  </si>
  <si>
    <t>Waste Water Treatment Facility</t>
  </si>
  <si>
    <t>Outsourcing: Planning and Design for hospital bldg.</t>
  </si>
  <si>
    <t>JOEL C. MOLINA</t>
  </si>
  <si>
    <t>OIC-PYDO</t>
  </si>
  <si>
    <t xml:space="preserve">  PYDO</t>
  </si>
  <si>
    <t>KAABAG competency Training on DRRM</t>
  </si>
  <si>
    <t>Barangay Youth Competency Training on DRRM</t>
  </si>
  <si>
    <t>Barangay Educators Competency Training on DRRM</t>
  </si>
  <si>
    <t>Barangay Livelihood Workers Competency Training on DRRM</t>
  </si>
  <si>
    <t>Capacity Building for Barangay Tanod on Peace and Order and Public Safety (DRRM)</t>
  </si>
  <si>
    <t>Capacity Building for Barangay Officials on DRRM</t>
  </si>
  <si>
    <t>Barangay Health Workers' (BHW) Competency Training on DRRM</t>
  </si>
  <si>
    <t>Barangay Nutrition Scholars' (BNS) Competency Training on DRRM</t>
  </si>
  <si>
    <t>Barangay Environmental Workers Competency Training on DRRM</t>
  </si>
  <si>
    <t>Barangay Secretaries and Treasurers' Competency Training on DRRM</t>
  </si>
  <si>
    <t>Renovation of DENR bldg for OPA</t>
  </si>
  <si>
    <t>Structured cabling, cctv cameras, paging system, integrated fiber optic connection , etc</t>
  </si>
  <si>
    <t xml:space="preserve">     R &amp; M - Building and Other Structure</t>
  </si>
  <si>
    <t>PYDO</t>
  </si>
  <si>
    <t xml:space="preserve">                                   Book Mobile</t>
  </si>
  <si>
    <t xml:space="preserve">           EMS Support Fund</t>
  </si>
  <si>
    <t xml:space="preserve">     Other Structure - septic vault</t>
  </si>
  <si>
    <t xml:space="preserve">     Land -  lot acquisition &amp; titling</t>
  </si>
  <si>
    <t>Land</t>
  </si>
  <si>
    <t xml:space="preserve">   Research, Exploration and Development</t>
  </si>
  <si>
    <t xml:space="preserve">   Roads, Highways &amp; Bridges</t>
  </si>
  <si>
    <t>R &amp; M- Roads, Highway &amp; Bridges</t>
  </si>
  <si>
    <t>Office Buildings</t>
  </si>
  <si>
    <t>School Building</t>
  </si>
  <si>
    <t>Hospital &amp; Health Centers</t>
  </si>
  <si>
    <t>Market &amp; Slaughterhouse</t>
  </si>
  <si>
    <t>Other Structures</t>
  </si>
  <si>
    <t>Furnitures &amp; Fixture</t>
  </si>
  <si>
    <t>Library Books</t>
  </si>
  <si>
    <t>Medical, Dental &amp; Lab Equipment</t>
  </si>
  <si>
    <t>Other Machineries and Equipment</t>
  </si>
  <si>
    <t>Motor Vehicles</t>
  </si>
  <si>
    <t>Roads &amp; Bridges</t>
  </si>
  <si>
    <t>Parks, Plazas &amp; Monuments</t>
  </si>
  <si>
    <t>Other Public Infrastructures</t>
  </si>
  <si>
    <t>2018</t>
  </si>
  <si>
    <t>ACTUAL</t>
  </si>
  <si>
    <t>ESTIMATE</t>
  </si>
  <si>
    <t>BORROWINGS</t>
  </si>
  <si>
    <t>CURRENT BUDGET</t>
  </si>
  <si>
    <t>Satellite Office - PYDO</t>
  </si>
  <si>
    <t xml:space="preserve">  Hospitals Modernization Program</t>
  </si>
  <si>
    <t xml:space="preserve">Prepared by:                                              </t>
  </si>
  <si>
    <t xml:space="preserve">Prepared by:                                          </t>
  </si>
  <si>
    <t>OIC-Chief of Hospital</t>
  </si>
  <si>
    <t xml:space="preserve">      Other Supplies &amp; Materials Expenses (Cooking Gas)</t>
  </si>
  <si>
    <t xml:space="preserve">                  Prepared by:</t>
  </si>
  <si>
    <t xml:space="preserve">    Communication Equipment</t>
  </si>
  <si>
    <t>Acting Chief of Hospital</t>
  </si>
  <si>
    <t>FRUSERMA MARY A. UY</t>
  </si>
  <si>
    <t xml:space="preserve">     Other Professional Services</t>
  </si>
  <si>
    <t xml:space="preserve">       ISO TRAINING</t>
  </si>
  <si>
    <t>MIGUELITO S. JAYOMA</t>
  </si>
  <si>
    <t>Rabies Treatment &amp; Control Program (Human Vaccine)</t>
  </si>
  <si>
    <t xml:space="preserve">     Computer Software</t>
  </si>
  <si>
    <t xml:space="preserve">     RPTIS / RPHIS</t>
  </si>
  <si>
    <t xml:space="preserve">     Land Titling Program (PUBLIC)</t>
  </si>
  <si>
    <t xml:space="preserve">     Conduct General Revision/SMV Development</t>
  </si>
  <si>
    <t xml:space="preserve">     Tax Mapping Project</t>
  </si>
  <si>
    <t xml:space="preserve">Prepared by:                                                          </t>
  </si>
  <si>
    <t xml:space="preserve">     Support to Bohol UP Advisory Council</t>
  </si>
  <si>
    <t>PYDO-2</t>
  </si>
  <si>
    <t>OFFICE OF THE GOVERNOR - PROVL. YOUTH DEVELOPMENT OFFICE</t>
  </si>
  <si>
    <t>OFFICE OF THE GOVERNOR - PROVL. ECONOMIC ENTERPRISE MANAGEMENT UNIT (PEEMU)</t>
  </si>
  <si>
    <t>Lot Survey-Banat-I &amp; BBC Bilar</t>
  </si>
  <si>
    <t>OFFICE OF THE GOVERNOR - EDUCATION DEVELOPMENT CENTER</t>
  </si>
  <si>
    <t>OFFICE OF THE GOVERNOR - EDCOM</t>
  </si>
  <si>
    <t>OFFICE OF THE GOVERNOR - BICTU</t>
  </si>
  <si>
    <t xml:space="preserve">                        Head-BICTU                      Head-SEEM Cluster</t>
  </si>
  <si>
    <t xml:space="preserve">                  ROMULO L. TAGAAN                 LIZA M. QUIROG</t>
  </si>
  <si>
    <t xml:space="preserve">                       Head-Designate                    Head-SEEM Cluster</t>
  </si>
  <si>
    <t>OFFICE OF THE GOVERNOR - CCAD</t>
  </si>
  <si>
    <t xml:space="preserve">              JOSEPHINE R. CABARRUS                  LIZA M. QUIROG</t>
  </si>
  <si>
    <t xml:space="preserve">                       Head-Designate                           Head-SEEM Cluster</t>
  </si>
  <si>
    <t>OFFICE OF THE GOVERNOR - BOHOL TOURISM OFFICE</t>
  </si>
  <si>
    <t>OFFICE OF THE GOVERNOR - BOHOL INVESTMENT PROMOTION CENTER</t>
  </si>
  <si>
    <t xml:space="preserve">                   MARIA FE M. DOMINISE                     LIZA M. QUIROG</t>
  </si>
  <si>
    <t xml:space="preserve">                          Head-Designate                            Head-SEEM Cluster</t>
  </si>
  <si>
    <t xml:space="preserve">                            OIC-BEPO                                   Head-SEEM Cluster</t>
  </si>
  <si>
    <t xml:space="preserve">             MARIA VILMA C. YORONG                LIZA M. QUIROG</t>
  </si>
  <si>
    <t>OFFICE OF THE GOVERNOR - BEMO</t>
  </si>
  <si>
    <t>OFFICE OF THE GOVERNOR - BEPO</t>
  </si>
  <si>
    <t xml:space="preserve">Recommended by:                                                      </t>
  </si>
  <si>
    <t>Construction of Additional Prov'.l Govt. Bldgs. in various locations</t>
  </si>
  <si>
    <t xml:space="preserve">       Storekeeper II</t>
  </si>
  <si>
    <t xml:space="preserve">        Dentist I</t>
  </si>
  <si>
    <t xml:space="preserve">        Nurse III</t>
  </si>
  <si>
    <t xml:space="preserve">      Admin. Officer IV</t>
  </si>
  <si>
    <t xml:space="preserve">       Senior Tourism Operations Officer</t>
  </si>
  <si>
    <t xml:space="preserve">      Economist I</t>
  </si>
  <si>
    <t xml:space="preserve">      Market Specialist I</t>
  </si>
  <si>
    <t xml:space="preserve">     Community Affairs Assistant I</t>
  </si>
  <si>
    <t xml:space="preserve">    Administrative Aide III</t>
  </si>
  <si>
    <t xml:space="preserve">     Support to Technical</t>
  </si>
  <si>
    <t xml:space="preserve">        Admin. Officer IV</t>
  </si>
  <si>
    <t xml:space="preserve">        Admin. Aide III</t>
  </si>
  <si>
    <t xml:space="preserve">   Transferred from other office</t>
  </si>
  <si>
    <t xml:space="preserve">    Electronics &amp; Comm. Eqpt. Oprt. III</t>
  </si>
  <si>
    <t xml:space="preserve">    Data Controller I</t>
  </si>
  <si>
    <t xml:space="preserve">    Computer Maintenance</t>
  </si>
  <si>
    <t xml:space="preserve">    Agricultural Center Chief II</t>
  </si>
  <si>
    <t>ANA LOINDA C. SALUAN</t>
  </si>
  <si>
    <t>GLICERIO P. DOLORITOS, Ph.D.</t>
  </si>
  <si>
    <t>Provl. Govt. Asst. Department Head</t>
  </si>
  <si>
    <t xml:space="preserve">   Administrative Officer IV</t>
  </si>
  <si>
    <t xml:space="preserve">   Transferred to Other Office</t>
  </si>
  <si>
    <t xml:space="preserve">   Creation</t>
  </si>
  <si>
    <t xml:space="preserve">         Administrative Aide II</t>
  </si>
  <si>
    <t>PACCO-2</t>
  </si>
  <si>
    <t>RYAN R. PALMA</t>
  </si>
  <si>
    <t>Designated Administrative Officer</t>
  </si>
  <si>
    <t xml:space="preserve">     Local Assessment Oprt. Officer IV</t>
  </si>
  <si>
    <t xml:space="preserve">  Nurse V</t>
  </si>
  <si>
    <t xml:space="preserve">  Provincial Health Officer I</t>
  </si>
  <si>
    <t xml:space="preserve">  Accountant III</t>
  </si>
  <si>
    <t xml:space="preserve">        Nurse V</t>
  </si>
  <si>
    <t xml:space="preserve">        Administrative Aide II</t>
  </si>
  <si>
    <t xml:space="preserve">        Denstist III</t>
  </si>
  <si>
    <t xml:space="preserve">       Pharmacist</t>
  </si>
  <si>
    <t xml:space="preserve">      Medical Officer IV</t>
  </si>
  <si>
    <t xml:space="preserve">      Pharmacist  I</t>
  </si>
  <si>
    <t xml:space="preserve">      Supply Officer I</t>
  </si>
  <si>
    <t xml:space="preserve">       Asst. Prov'l. Gov't. Dept. Head</t>
  </si>
  <si>
    <t xml:space="preserve">       Admin Aide I</t>
  </si>
  <si>
    <t xml:space="preserve">       Admin. Asst. II</t>
  </si>
  <si>
    <t xml:space="preserve">        Community Affairs Officer I</t>
  </si>
  <si>
    <t xml:space="preserve">        Animal Keeper</t>
  </si>
  <si>
    <t xml:space="preserve">         Laundry Allowance</t>
  </si>
  <si>
    <t xml:space="preserve">         PEI</t>
  </si>
  <si>
    <t>Laundry Allowance</t>
  </si>
  <si>
    <t>Extraordinary and Miscellaneous Expenses</t>
  </si>
  <si>
    <t>R &amp; M- Roads and Highways</t>
  </si>
  <si>
    <r>
      <t>Aid to Barangays will be released directly to the 1,109 barangays of the Province as financial assistance and may be used to support priorities of the barangays such as the implementation of projects or to support current operating expenses.</t>
    </r>
    <r>
      <rPr>
        <i/>
        <sz val="12"/>
        <rFont val="Candara"/>
        <family val="2"/>
      </rPr>
      <t xml:space="preserve"> (Section 324 (c) of R.A. 7160)</t>
    </r>
  </si>
  <si>
    <r>
      <rPr>
        <b/>
        <sz val="12"/>
        <rFont val="Candara"/>
        <family val="2"/>
      </rPr>
      <t>Traveling Expenses</t>
    </r>
    <r>
      <rPr>
        <sz val="12"/>
        <rFont val="Candara"/>
        <family val="2"/>
      </rPr>
      <t xml:space="preserve"> - Travel Orders shall be approved by the Office of the Governor three days prior to the scheduled date of travel except when there is an expressed order of the Governor and shall contain the estimated expenses to be incurred.  Likewise, Travel Orders of the Sangguniang Panlalawigan Members shall be approved by the Governor.</t>
    </r>
  </si>
  <si>
    <r>
      <rPr>
        <b/>
        <sz val="12"/>
        <rFont val="Candara"/>
        <family val="2"/>
      </rPr>
      <t>Reimbursement</t>
    </r>
    <r>
      <rPr>
        <sz val="12"/>
        <rFont val="Candara"/>
        <family val="2"/>
      </rPr>
      <t xml:space="preserve"> of actual expenses for accommodation is allowed for Sangguniang Panlalawigan Members, Department Heads, Acting Department Heads or his authorized representatives and other officials at the discretion of the Governor as specified in the Travel Order approved by the  Governor without prejudice to the existing guidelines under E.O. 298 dated March 23, 2004.</t>
    </r>
  </si>
  <si>
    <t>SECTION 5</t>
  </si>
  <si>
    <t>Contracting Out of services for the repair and/or maintenance of provincial roads identified under the PRDP partnership shall also be governed by the provisions of the agreement and other supplemental guidelines.</t>
  </si>
  <si>
    <t xml:space="preserve">           Annual Budget 2018</t>
  </si>
  <si>
    <t>CARMEN-2</t>
  </si>
  <si>
    <t>Budget Year  2018(Proposed)</t>
  </si>
  <si>
    <t>FOR CREATION</t>
  </si>
  <si>
    <t>SG</t>
  </si>
  <si>
    <t>COMMUNITY AFFAIRS ASSISTANT I</t>
  </si>
  <si>
    <t>ACCOUNTANT I</t>
  </si>
  <si>
    <t>SECURITY GUARD I</t>
  </si>
  <si>
    <t>ADMINISTRATIVE AIDE IV</t>
  </si>
  <si>
    <t>SUPERVISING ADMIN OFFICER</t>
  </si>
  <si>
    <t>PHARMACIST I</t>
  </si>
  <si>
    <t xml:space="preserve">        Head-PHRMDO</t>
  </si>
  <si>
    <t>CLOTHING</t>
  </si>
  <si>
    <t>CASH GIFT</t>
  </si>
  <si>
    <t>PAG-IBIG</t>
  </si>
  <si>
    <t>PHILHEALTH</t>
  </si>
  <si>
    <t>NURSE III</t>
  </si>
  <si>
    <t>17</t>
  </si>
  <si>
    <t>NURSE I</t>
  </si>
  <si>
    <t>MEDICAL TECHNOLOGIST I</t>
  </si>
  <si>
    <t>8</t>
  </si>
  <si>
    <t>ADMINISTRATIVE AIDE II</t>
  </si>
  <si>
    <t>ADMINISTRATIVE OFFICER V</t>
  </si>
  <si>
    <t>18</t>
  </si>
  <si>
    <t>NURSE V</t>
  </si>
  <si>
    <t>20</t>
  </si>
  <si>
    <t>ACCOUNTANT III</t>
  </si>
  <si>
    <t>19</t>
  </si>
  <si>
    <t>PROVINCIAL HEALTH OFFICER I</t>
  </si>
  <si>
    <t>ANIMAL KEEPER l</t>
  </si>
  <si>
    <t>ADMINISTRATIVE AIDE l</t>
  </si>
  <si>
    <t>INTERNAL AUDITOR II</t>
  </si>
  <si>
    <t>15</t>
  </si>
  <si>
    <t>ACCOUNTANT II</t>
  </si>
  <si>
    <t>SENIOR TOURISM OPERATIONS OFFICER</t>
  </si>
  <si>
    <t>ECONOMIST l</t>
  </si>
  <si>
    <t>MARKET SPECIALIST I</t>
  </si>
  <si>
    <t>22</t>
  </si>
  <si>
    <t>ADMINISTRATIVE OFFICER IV</t>
  </si>
  <si>
    <t>TOTAL ADDTL. SALARIES &amp; BENEFITS</t>
  </si>
  <si>
    <t>HAZARD</t>
  </si>
  <si>
    <t>SUBSISTENCE</t>
  </si>
  <si>
    <t>GSIS</t>
  </si>
  <si>
    <t>YEAR END/MID YEAR</t>
  </si>
  <si>
    <t xml:space="preserve"> /12*.575</t>
  </si>
  <si>
    <t>37</t>
  </si>
  <si>
    <t>PAG IBIG</t>
  </si>
  <si>
    <t>YEAR/MID YEAR</t>
  </si>
  <si>
    <t>SALARIES</t>
  </si>
  <si>
    <t>288</t>
  </si>
  <si>
    <t>277</t>
  </si>
  <si>
    <t>CARPENTER FOREMAN</t>
  </si>
  <si>
    <t>381</t>
  </si>
  <si>
    <t>MUSICIAN</t>
  </si>
  <si>
    <t>359</t>
  </si>
  <si>
    <t>ACQUACULTURAL TECH. I</t>
  </si>
  <si>
    <t>1228</t>
  </si>
  <si>
    <t>1225</t>
  </si>
  <si>
    <t>1410</t>
  </si>
  <si>
    <t>1328</t>
  </si>
  <si>
    <t>681</t>
  </si>
  <si>
    <t>677</t>
  </si>
  <si>
    <t>ITEM NO.</t>
  </si>
  <si>
    <t xml:space="preserve">FOR ABOLITION </t>
  </si>
  <si>
    <t>OFFICE/HOSP.</t>
  </si>
  <si>
    <t xml:space="preserve">                          Governor</t>
  </si>
  <si>
    <t xml:space="preserve">LOCAL DISASTER RISK REDUCTION </t>
  </si>
  <si>
    <t xml:space="preserve">                      &amp; MGT. OFFICER III</t>
  </si>
  <si>
    <t xml:space="preserve">SUPERVISING ENVIRONMENTAL </t>
  </si>
  <si>
    <t xml:space="preserve">            MANAGEMENT SPECIALIST</t>
  </si>
  <si>
    <t xml:space="preserve">SUMMARY OF POSITIONS FOR CREATION AND ABOLITION </t>
  </si>
  <si>
    <t>The grant of Performance-Based Bonus (PBB) shall be released in accordance with the guidelines set by DILG and DBM under Joint Memorandum Circular No. 2017-4 dated June 7, 2017</t>
  </si>
  <si>
    <t>The grant of monetization of accumulatd leave credit shall be governed by CSC MC No 16 s. 2002 and Budget Circular No. 2016-2 dated March 29, 2016.</t>
  </si>
  <si>
    <t xml:space="preserve">                                              APPROVED:</t>
  </si>
  <si>
    <t>Land Bank of the Philippines, Tagbilaran</t>
  </si>
  <si>
    <t>Balance of Principal</t>
  </si>
  <si>
    <t xml:space="preserve">                 BUDGETARY REQUIREMENTS</t>
  </si>
  <si>
    <t>SUMMARY WORKSHEET 1 (INCOME AND EXPENDITURE)</t>
  </si>
  <si>
    <t>SUMMARY WORKSHEET 2 (TOTAL ANNUAL PS BUDGET)</t>
  </si>
  <si>
    <t xml:space="preserve">SUMMARY WORKSHEET 3 </t>
  </si>
  <si>
    <t>Provincial Youth Development Office                -------------------------------------------------------------</t>
  </si>
  <si>
    <t>PROGRAMMED APPROPRIATION and OBLIGATION BY OBJECT OF EXPENDITURE</t>
  </si>
  <si>
    <t>MANDATE, VISION/MISSION, MAJOR FINAL OUTPUT, PERFORMANCE INDICATORS</t>
  </si>
  <si>
    <t xml:space="preserve">  Security Guard I</t>
  </si>
  <si>
    <t xml:space="preserve">       Administrative Aide lI</t>
  </si>
  <si>
    <t xml:space="preserve">        Chief of Hospital I</t>
  </si>
  <si>
    <t xml:space="preserve">       Sanitation Inspector III</t>
  </si>
  <si>
    <t xml:space="preserve">     Laboratory Aide II</t>
  </si>
  <si>
    <t xml:space="preserve">   Health Educ. &amp; Promotion Offr. II</t>
  </si>
  <si>
    <t xml:space="preserve">  Statistician I</t>
  </si>
  <si>
    <t xml:space="preserve">     Administrative Aide II</t>
  </si>
  <si>
    <t xml:space="preserve">    Admin. Aide VI</t>
  </si>
  <si>
    <t xml:space="preserve">    Admin. Aide IV</t>
  </si>
  <si>
    <t xml:space="preserve">        Chief of Hospital </t>
  </si>
  <si>
    <t xml:space="preserve">        Medical Specialist III</t>
  </si>
  <si>
    <t xml:space="preserve">      Other Maint. &amp; Oprtg Expenses - EMS</t>
  </si>
  <si>
    <t xml:space="preserve">       LAELEP Program</t>
  </si>
  <si>
    <t xml:space="preserve">    R &amp; M- Buildings and Other Structure</t>
  </si>
  <si>
    <t>Bonuses and Cash Gift</t>
  </si>
  <si>
    <t>APPROPRIATION ORDINANCE NO. 2017-012</t>
  </si>
  <si>
    <t>Section 1</t>
  </si>
  <si>
    <t>Approval</t>
  </si>
  <si>
    <t>Section 2</t>
  </si>
  <si>
    <t>Sources of Revenue</t>
  </si>
  <si>
    <t>Distribution of Expenditures by Major Expense Class</t>
  </si>
  <si>
    <t>Special Purpose Appropriations</t>
  </si>
  <si>
    <t>General Provision</t>
  </si>
  <si>
    <t>Section 6</t>
  </si>
  <si>
    <t>Section 7</t>
  </si>
  <si>
    <t>Section 8</t>
  </si>
  <si>
    <t>Section 9</t>
  </si>
  <si>
    <t>Creation of New Positions and Abolition of Positions</t>
  </si>
  <si>
    <t>Separability Clause</t>
  </si>
  <si>
    <t>Sponsorship, C0-sponsorship and Deliberation</t>
  </si>
  <si>
    <t>Effectivity</t>
  </si>
  <si>
    <t xml:space="preserve"> -STATEMENT OF DEBT SERVICE</t>
  </si>
  <si>
    <t xml:space="preserve"> -STATEMENT OF STATUTORY and CONTRACTUAL OBLIGATIONS and</t>
  </si>
  <si>
    <t xml:space="preserve"> -STATEMENT OF FUND ALLOCATION BY SECTOR</t>
  </si>
  <si>
    <t>MATRICES ( PS, MOOE, CAPITAL OUTLAY)</t>
  </si>
  <si>
    <t xml:space="preserve"> (BUDGETARY REQUIREMENTS AND OTHER PROVISIONS OF IRR)</t>
  </si>
  <si>
    <t xml:space="preserve">  INABANGA</t>
  </si>
  <si>
    <t>R &amp; M - IT Equipment &amp; Software</t>
  </si>
  <si>
    <t>R &amp; M - Other Machineries &amp; Office Equipment</t>
  </si>
  <si>
    <t>R &amp; M - Motor Vehicle</t>
  </si>
  <si>
    <t>Fidelity Bond Premium</t>
  </si>
  <si>
    <t>OMOE - Counterpart for Foreign-Assisted/ Special Projects and Technical Cooperation/ Exchange</t>
  </si>
  <si>
    <t>OMOE - ICLEI</t>
  </si>
  <si>
    <t>OMOE - PLUC - CLUP Review</t>
  </si>
  <si>
    <t>Bohol Integrated Water Resource Mgt. Project</t>
  </si>
  <si>
    <t>Prov'l. Monitoring &amp; Evaluation System (ProMES)</t>
  </si>
  <si>
    <t>Operation of the PDC/ RDC</t>
  </si>
  <si>
    <t>Formulation of the Integrated Transport Plan</t>
  </si>
  <si>
    <t>WORKSHEET - MOOE</t>
  </si>
  <si>
    <t xml:space="preserve">Other </t>
  </si>
  <si>
    <t>Professional Services</t>
  </si>
  <si>
    <t>Other</t>
  </si>
  <si>
    <t>Machinery &amp; Equipment</t>
  </si>
  <si>
    <t>Transportation Equipment</t>
  </si>
  <si>
    <t>Year-End</t>
  </si>
  <si>
    <t>PEMMU</t>
  </si>
  <si>
    <t>Honoraria</t>
  </si>
  <si>
    <t>Longevity</t>
  </si>
  <si>
    <t>Fuel, Oil</t>
  </si>
  <si>
    <t>Investment - Land</t>
  </si>
  <si>
    <t>ICT equipt.</t>
  </si>
  <si>
    <t>communication network</t>
  </si>
  <si>
    <t>Legal</t>
  </si>
  <si>
    <t>R.M.-MACHINERY</t>
  </si>
  <si>
    <t>Laundry</t>
  </si>
  <si>
    <t xml:space="preserve"> SUMMARY OF EXPENDITURES- KAGAWADS </t>
  </si>
  <si>
    <t>National Voluntary Blood Service Program</t>
  </si>
  <si>
    <t>Suhid sa Malamposong Mag-uumang Bol-anon</t>
  </si>
  <si>
    <t>ACTUAL 2017</t>
  </si>
  <si>
    <t>ESTIMATE 2019</t>
  </si>
  <si>
    <t>Aid to National Gov't. Officials</t>
  </si>
  <si>
    <t>9993(02-17)</t>
  </si>
  <si>
    <t>PAST YEAR 2017</t>
  </si>
  <si>
    <t>HONORARIA</t>
  </si>
  <si>
    <t xml:space="preserve">           Beginning Balance 2018 AB</t>
  </si>
  <si>
    <t>acutal non-office</t>
  </si>
  <si>
    <t>2018     Total</t>
  </si>
  <si>
    <t>PERSONAL SERVICES ACTUAL JUNE 2018</t>
  </si>
  <si>
    <t xml:space="preserve">      Textbooks and Instructional Material Espenses</t>
  </si>
  <si>
    <t>BONUS</t>
  </si>
  <si>
    <t>ANNIVERSARY</t>
  </si>
  <si>
    <t>DEPT. HEAD</t>
  </si>
  <si>
    <t>ASST. DEPT. HEAD</t>
  </si>
  <si>
    <t>COH</t>
  </si>
  <si>
    <t>total salaries</t>
  </si>
  <si>
    <t xml:space="preserve">  x    no. of employees</t>
  </si>
  <si>
    <t xml:space="preserve">  x    total salaries</t>
  </si>
  <si>
    <t>LAUNDDRY</t>
  </si>
  <si>
    <t xml:space="preserve">  ÷  12  x  2</t>
  </si>
  <si>
    <t>V-GOV</t>
  </si>
  <si>
    <t>SP MEMBERS</t>
  </si>
  <si>
    <t>SEC'T</t>
  </si>
  <si>
    <t xml:space="preserve"> @ 8500</t>
  </si>
  <si>
    <t xml:space="preserve"> @ 10000</t>
  </si>
  <si>
    <t>50102990-01</t>
  </si>
  <si>
    <t>13 @ 8500</t>
  </si>
  <si>
    <t xml:space="preserve">      Other Bonuses and Allowances - PBB</t>
  </si>
  <si>
    <t xml:space="preserve">      Productivity Incentive Allowance - PEI</t>
  </si>
  <si>
    <t xml:space="preserve">      Other Bonuses and Allowances - Anniversary</t>
  </si>
  <si>
    <t xml:space="preserve">  2018 (ESTIMATE)</t>
  </si>
  <si>
    <t>2019 PERSONAL SERVICES</t>
  </si>
  <si>
    <t xml:space="preserve"> CURRENT YEAR  2018</t>
  </si>
  <si>
    <t>Total Annual PS Budget</t>
  </si>
  <si>
    <t xml:space="preserve">             (Terminal Leave Benefit &amp; Monetization)</t>
  </si>
  <si>
    <t xml:space="preserve">      Less: Waived Items</t>
  </si>
  <si>
    <t xml:space="preserve">  x    total basic salaries</t>
  </si>
  <si>
    <t>WS-MOOE ACTUAL JUNE 2018</t>
  </si>
  <si>
    <t>Amusement Tax on Admission</t>
  </si>
  <si>
    <t>Tax on Transfer of Real Property Ownership</t>
  </si>
  <si>
    <t>Income from Hospital</t>
  </si>
  <si>
    <t>YEAR-END Bonus</t>
  </si>
  <si>
    <t>transportation</t>
  </si>
  <si>
    <t>Year End</t>
  </si>
  <si>
    <t>Receipt from Economic Enterprise</t>
  </si>
  <si>
    <t>BUDGET YEAR 2019</t>
  </si>
  <si>
    <t xml:space="preserve">       Receipt from Economic Enterprise</t>
  </si>
  <si>
    <t xml:space="preserve">       Dividend Income</t>
  </si>
  <si>
    <t>Budget Year 2019</t>
  </si>
  <si>
    <t>Research,</t>
  </si>
  <si>
    <t>Exploration and Dev't.</t>
  </si>
  <si>
    <t>WS- CAPITAL OUTLAY JUNE 2018</t>
  </si>
  <si>
    <t xml:space="preserve">      Salaries &amp; Wages- Casual/Contractual</t>
  </si>
  <si>
    <t xml:space="preserve">2018 SUMMARY OF EXPENDITURES- KAGAWADS </t>
  </si>
  <si>
    <t xml:space="preserve">      Other Maint. &amp; Operating Expenses -EMS</t>
  </si>
  <si>
    <t xml:space="preserve">     Panglao and Dauis Tagbilaran Executive Council</t>
  </si>
  <si>
    <t xml:space="preserve">      Other Structures</t>
  </si>
  <si>
    <t>Health Emergency Mgt. Services</t>
  </si>
  <si>
    <t>Water Sewage Laboratory</t>
  </si>
  <si>
    <t>Environmental Sanitation Program (Latrine)</t>
  </si>
  <si>
    <t>Gamot sa Barangay</t>
  </si>
  <si>
    <t xml:space="preserve">      Telephone Expenses (landline &amp; mobile)</t>
  </si>
  <si>
    <t xml:space="preserve">      Office Supplies Expenses incl. EMS supplies</t>
  </si>
  <si>
    <t xml:space="preserve">     Purchase of Office Curtains/Venetian Blinds</t>
  </si>
  <si>
    <t xml:space="preserve">     Purchase of Steel Cabinet w/out Vault</t>
  </si>
  <si>
    <t xml:space="preserve">     Fabricated counter cabinet</t>
  </si>
  <si>
    <t xml:space="preserve">     2 units Water Dispenser</t>
  </si>
  <si>
    <t xml:space="preserve">      Other Maintenance &amp; Oprtg. Expenses - Land Titling</t>
  </si>
  <si>
    <t xml:space="preserve">      Other Maintenance &amp; Oprtg. Expenses - EMS</t>
  </si>
  <si>
    <t xml:space="preserve">     Fabrication of Movable Stage</t>
  </si>
  <si>
    <t xml:space="preserve">     Fabrication of rack/shelve for new record &amp; storage room</t>
  </si>
  <si>
    <t xml:space="preserve">     Construction of comfort rooms for new capitol bldg</t>
  </si>
  <si>
    <t xml:space="preserve">     Construction of septic vault for used oil (15-20,000 ltrs)</t>
  </si>
  <si>
    <t xml:space="preserve">     Construction of MRF Bldg</t>
  </si>
  <si>
    <t xml:space="preserve">     1 unit Mini Elf</t>
  </si>
  <si>
    <t xml:space="preserve">     Service Vehicle</t>
  </si>
  <si>
    <t xml:space="preserve">     Airconditioning unit for Bohol Cultural Center</t>
  </si>
  <si>
    <t xml:space="preserve">      Other Maint. &amp; Oprtg. Expenses - EMS</t>
  </si>
  <si>
    <t xml:space="preserve">          steel rack</t>
  </si>
  <si>
    <t xml:space="preserve">          split type inverter aircon (5 ton)</t>
  </si>
  <si>
    <t xml:space="preserve">          laptop</t>
  </si>
  <si>
    <t xml:space="preserve">          photocopier machine</t>
  </si>
  <si>
    <t xml:space="preserve">          intranet backbone rewiring</t>
  </si>
  <si>
    <t xml:space="preserve">          (2 office tables, dental cabinet, 2 office cabinet, 2 plastic chairs, plastic bench)</t>
  </si>
  <si>
    <t xml:space="preserve">          renovation/rehab of admin bldg and expansion</t>
  </si>
  <si>
    <t xml:space="preserve">          dregding and Improvement of Waste Canal and Construction of Septic Tanks for Admin Bldg and St. Michael Wing</t>
  </si>
  <si>
    <t xml:space="preserve">          const'n of sharp object chamber</t>
  </si>
  <si>
    <t xml:space="preserve">          completion of waste water treatment facility</t>
  </si>
  <si>
    <t xml:space="preserve">          retiling and repainting of medical ward</t>
  </si>
  <si>
    <t xml:space="preserve">       Demolition and Relocation Expenses</t>
  </si>
  <si>
    <t xml:space="preserve">  *   Demolition of old building transferred to MOOE</t>
  </si>
  <si>
    <t xml:space="preserve">      Other Maintenance &amp; Oprtg. Expenses - EMS/ISO</t>
  </si>
  <si>
    <t>3 ICU Bed automatic @ 80,000</t>
  </si>
  <si>
    <t>1 spirometer</t>
  </si>
  <si>
    <t>1 phototherapy machine</t>
  </si>
  <si>
    <t>1 Clinical infant bag valve</t>
  </si>
  <si>
    <t>2 laryngoscope @ 60,000</t>
  </si>
  <si>
    <t>1 deonate stethoscope</t>
  </si>
  <si>
    <t>2 emergency cart @ 80,000 each</t>
  </si>
  <si>
    <t>3 EENT Diagnostic Set w/ ophthalmoscope &amp; otoscope @ 15,000 each</t>
  </si>
  <si>
    <t>3 Suction Apparatus 2 liters @ 35,000</t>
  </si>
  <si>
    <t>3 Infusion Pump/Syringe Pump @ 72,000</t>
  </si>
  <si>
    <t>1 Risograph</t>
  </si>
  <si>
    <t>1 Washing Machine</t>
  </si>
  <si>
    <t>1 Freezer</t>
  </si>
  <si>
    <t>2 external hard disk</t>
  </si>
  <si>
    <t>10 thin clients @ 10,000 each</t>
  </si>
  <si>
    <t>10 monitor @ 10,000 each</t>
  </si>
  <si>
    <t>10 keyboard &amp; mouse @ 1,000 each</t>
  </si>
  <si>
    <t>5 printers &amp; 7,000 each</t>
  </si>
  <si>
    <t>8 Led Flatscreen @ 20,000 each</t>
  </si>
  <si>
    <t>Technology Equipment</t>
  </si>
  <si>
    <t>CAT 6 UTP Cable</t>
  </si>
  <si>
    <t>3 Computer Set w/ Printer   135,000</t>
  </si>
  <si>
    <t>Internet Switch Hub (1/24 ports)</t>
  </si>
  <si>
    <t>7 revolving chairs @ 5,000 each</t>
  </si>
  <si>
    <t>1 excecutive chair</t>
  </si>
  <si>
    <t xml:space="preserve">          Const'n of parking area for Ambulances and staff  cars</t>
  </si>
  <si>
    <t xml:space="preserve">          Const'n of sprinkler system and piping (fire hydrant): elevated water tank with water pump</t>
  </si>
  <si>
    <t xml:space="preserve">          Const'n of work station at E.R. and Nurse station 1</t>
  </si>
  <si>
    <t xml:space="preserve">    Medical Equipment</t>
  </si>
  <si>
    <t xml:space="preserve">     Medical Equipment </t>
  </si>
  <si>
    <t xml:space="preserve">    Furniture &amp; Fixtures/Office Equipment</t>
  </si>
  <si>
    <t xml:space="preserve">    Medical Equipment - Dental</t>
  </si>
  <si>
    <t xml:space="preserve">     Medical Equipment</t>
  </si>
  <si>
    <t xml:space="preserve">      Communication Equipment</t>
  </si>
  <si>
    <t>1200 prisoner</t>
  </si>
  <si>
    <t xml:space="preserve">     Hospitals and Health Centers</t>
  </si>
  <si>
    <t xml:space="preserve">     Motor Vehicle - Service Vehicle</t>
  </si>
  <si>
    <t xml:space="preserve">          Const'n of covered vehicle wash rack</t>
  </si>
  <si>
    <t xml:space="preserve">          Const'n of employees mess hall</t>
  </si>
  <si>
    <t xml:space="preserve">     Other Property, Plant and Equipment </t>
  </si>
  <si>
    <t xml:space="preserve">         PPEs</t>
  </si>
  <si>
    <t xml:space="preserve">         new shop tools/equipment</t>
  </si>
  <si>
    <t xml:space="preserve">          2 units Laptop - 70,000.00</t>
  </si>
  <si>
    <t xml:space="preserve">          5 Heavy Duty Rechargeable Flashlights - 10,000.00</t>
  </si>
  <si>
    <t xml:space="preserve">          10 units Bedside Table - 55,000.00</t>
  </si>
  <si>
    <t xml:space="preserve">          6 units Ergodynamic Office Chairs - 30,000.00</t>
  </si>
  <si>
    <t xml:space="preserve">          3 units Ergonomic Sit Stand Stool - 15,000.00</t>
  </si>
  <si>
    <t xml:space="preserve">          1 unit Gas Range with Oven, 4 burners - 30,000.00</t>
  </si>
  <si>
    <t xml:space="preserve">          1 unit Rice Cooker, 10L, Heavy Duty - 9,000.00</t>
  </si>
  <si>
    <t xml:space="preserve">          1 unit Electric Dish Dryer, Heavy Duty - 8,000.00</t>
  </si>
  <si>
    <t xml:space="preserve">          1 unit Oven Toaster - 3,000.00</t>
  </si>
  <si>
    <t xml:space="preserve">          1 unit Food Conveyor with 30 trays - 50,000.00</t>
  </si>
  <si>
    <t xml:space="preserve">      Other Maint. &amp; Oprtg. Expenses - Research</t>
  </si>
  <si>
    <t xml:space="preserve">         -AIRTRIP, Child Labor &amp; OFW Affairs</t>
  </si>
  <si>
    <t>Coastal and Marine Resource Management Program</t>
  </si>
  <si>
    <t>Land and Mineral Resource Mangement Program</t>
  </si>
  <si>
    <t>completion of PDRRMC Command Center, risograph machine, photocopier, desktop computers, Laptops, 3in1 CIS printer, 2 units outdoor projector, welding machine, 2 units water dispenser, 10 pcs 4-drawer steel cabinet</t>
  </si>
  <si>
    <t>JAN-JUNE 2018</t>
  </si>
  <si>
    <t xml:space="preserve">     Other Machineries &amp; Equipment (Gen. Set)</t>
  </si>
  <si>
    <t>BY 2019</t>
  </si>
  <si>
    <t xml:space="preserve">       Prov'l. Govt. Dept. Head</t>
  </si>
  <si>
    <t xml:space="preserve">        Veterinarian III</t>
  </si>
  <si>
    <t xml:space="preserve">         Agriculturist II</t>
  </si>
  <si>
    <t xml:space="preserve">       Nutritionist Dietitian II</t>
  </si>
  <si>
    <t xml:space="preserve">       Administrative Officer </t>
  </si>
  <si>
    <t xml:space="preserve">       Cashier I</t>
  </si>
  <si>
    <t xml:space="preserve">      Storekeeper II</t>
  </si>
  <si>
    <t xml:space="preserve">      Medical Eqp. Tech. II</t>
  </si>
  <si>
    <t xml:space="preserve">     Laundry Worker I</t>
  </si>
  <si>
    <t xml:space="preserve">        Laboratory Aide II</t>
  </si>
  <si>
    <t xml:space="preserve">       Electrician </t>
  </si>
  <si>
    <t xml:space="preserve">       Supply Officer II</t>
  </si>
  <si>
    <t xml:space="preserve">  Med. Technologist II</t>
  </si>
  <si>
    <t xml:space="preserve"> Administrative Officer </t>
  </si>
  <si>
    <t xml:space="preserve">     Administrative Aide III</t>
  </si>
  <si>
    <t xml:space="preserve">     Administrative Aide I</t>
  </si>
  <si>
    <t xml:space="preserve">     Local Assessment Oprt. Officer I</t>
  </si>
  <si>
    <t xml:space="preserve">     Tax Mapper I</t>
  </si>
  <si>
    <t xml:space="preserve">     Local Assessment Oprt. Officer II</t>
  </si>
  <si>
    <t xml:space="preserve">       Local Treas. Oprt. Assistant II</t>
  </si>
  <si>
    <t xml:space="preserve">      Management &amp; Audit Analyst IV</t>
  </si>
  <si>
    <t xml:space="preserve">          Mgt. and Audit Analyst IV</t>
  </si>
  <si>
    <t xml:space="preserve">          Mgt. and Audit Analyst III</t>
  </si>
  <si>
    <t xml:space="preserve">        Revenue Collection Clerk II</t>
  </si>
  <si>
    <t xml:space="preserve">      Carpenter I</t>
  </si>
  <si>
    <t xml:space="preserve">      Project Evaluation Officer I</t>
  </si>
  <si>
    <t xml:space="preserve">        Project Evaluation Officer IV</t>
  </si>
  <si>
    <t xml:space="preserve">       Administrative Asst. V</t>
  </si>
  <si>
    <t xml:space="preserve">    Computer Maintenance Tech. I</t>
  </si>
  <si>
    <t xml:space="preserve">    Administrative Officer IV</t>
  </si>
  <si>
    <t xml:space="preserve">       Senior Tourism Operations Officer </t>
  </si>
  <si>
    <t xml:space="preserve">      Market Specialist </t>
  </si>
  <si>
    <t xml:space="preserve">   Engineer I</t>
  </si>
  <si>
    <t xml:space="preserve">   Environmental Mgt. Specialist I</t>
  </si>
  <si>
    <t xml:space="preserve">    Fiscal Controller III</t>
  </si>
  <si>
    <t xml:space="preserve">    Supply Officer I</t>
  </si>
  <si>
    <t xml:space="preserve">    Revenue Collection Clerk I</t>
  </si>
  <si>
    <t xml:space="preserve">    Supervising Administrative Officer</t>
  </si>
  <si>
    <t xml:space="preserve">        Admin. Aide IV</t>
  </si>
  <si>
    <t xml:space="preserve">     Admin. Officer IV</t>
  </si>
  <si>
    <t xml:space="preserve">  Executive Asst. IV</t>
  </si>
  <si>
    <t xml:space="preserve">  Community Development Assistant I</t>
  </si>
  <si>
    <t xml:space="preserve">  Electronics &amp; Com.Eqpt. Tech. III</t>
  </si>
  <si>
    <t xml:space="preserve">  Communications Eqpt. Operator II</t>
  </si>
  <si>
    <t xml:space="preserve">  Data Encoder I</t>
  </si>
  <si>
    <t xml:space="preserve">  Electrician I</t>
  </si>
  <si>
    <t xml:space="preserve">   Administrative Officer II</t>
  </si>
  <si>
    <t xml:space="preserve">   Administrative Assistant II</t>
  </si>
  <si>
    <t xml:space="preserve">  Comminity Affairs Officer I</t>
  </si>
  <si>
    <t>17 staff</t>
  </si>
  <si>
    <t xml:space="preserve">        Furniture &amp; Fixtures</t>
  </si>
  <si>
    <t xml:space="preserve">     Motor Vehicle - motorbike</t>
  </si>
  <si>
    <t xml:space="preserve">     Office Equipment &amp; Accessories</t>
  </si>
  <si>
    <t xml:space="preserve">     E-SPES</t>
  </si>
  <si>
    <t xml:space="preserve">     Prosperity Fair (Jobs Fair, Mobile Services)</t>
  </si>
  <si>
    <t xml:space="preserve">     Bohol BOSS</t>
  </si>
  <si>
    <t xml:space="preserve">     Investment Promotion</t>
  </si>
  <si>
    <t xml:space="preserve">     Bohol Investment Board/Policy Advocacy</t>
  </si>
  <si>
    <t xml:space="preserve">     ICT &amp; Other Related Projects</t>
  </si>
  <si>
    <t xml:space="preserve">     Effective Development Communication Program</t>
  </si>
  <si>
    <t xml:space="preserve">     CPG Scholarship Grant -</t>
  </si>
  <si>
    <t xml:space="preserve">     Provincial Government Educational Subsidy Program</t>
  </si>
  <si>
    <t xml:space="preserve">     Communication Networks</t>
  </si>
  <si>
    <t xml:space="preserve">     Military, Police and Security equipment</t>
  </si>
  <si>
    <t xml:space="preserve">        - 15 units handheld radios</t>
  </si>
  <si>
    <t xml:space="preserve">     Purchase of 1 unit Motorcycle</t>
  </si>
  <si>
    <t xml:space="preserve">        Other Structures</t>
  </si>
  <si>
    <t>Demolition &amp;</t>
  </si>
  <si>
    <t>Relocation</t>
  </si>
  <si>
    <t xml:space="preserve"> 2019 - MOOE </t>
  </si>
  <si>
    <t xml:space="preserve">   Construction and Heavy Equipment</t>
  </si>
  <si>
    <t>Demolition and Relocation Expenses</t>
  </si>
  <si>
    <t>Construction and Heavy Equipment</t>
  </si>
  <si>
    <t>Police and Security Equipment</t>
  </si>
  <si>
    <t>Other Property, Plant &amp; Equipt.</t>
  </si>
  <si>
    <t xml:space="preserve">   Demolition and Relocation Expenses</t>
  </si>
  <si>
    <t>Annual Budget    s. 2019</t>
  </si>
  <si>
    <t xml:space="preserve">  Beginning Balance 2018 AB</t>
  </si>
  <si>
    <t xml:space="preserve">        5% LDRRM Fund</t>
  </si>
  <si>
    <t xml:space="preserve">        Aid to Barangays</t>
  </si>
  <si>
    <t>2019 CAPITAL OUTLAY</t>
  </si>
  <si>
    <t xml:space="preserve">      Furniture &amp; Fixture</t>
  </si>
  <si>
    <t xml:space="preserve">      Information and Communication Technology -IHOMIS</t>
  </si>
  <si>
    <t xml:space="preserve">      Other Machineries and Equipment </t>
  </si>
  <si>
    <t xml:space="preserve">      ISO</t>
  </si>
  <si>
    <t>? MOOE</t>
  </si>
  <si>
    <t xml:space="preserve">     Other Land Improvement</t>
  </si>
  <si>
    <t xml:space="preserve">     Motor Vehicle -Service Vehicle</t>
  </si>
  <si>
    <t xml:space="preserve">     Mobile pedestal cabinet</t>
  </si>
  <si>
    <t xml:space="preserve">     Ruby Monoblock Chairs</t>
  </si>
  <si>
    <t xml:space="preserve">     Steel Rack</t>
  </si>
  <si>
    <t xml:space="preserve">      * Purchase of Digital RISO</t>
  </si>
  <si>
    <t xml:space="preserve">      * Purchase of 50 Chairs for reading area</t>
  </si>
  <si>
    <t xml:space="preserve">          Office Tables &amp; Chairs of SP Sect.,</t>
  </si>
  <si>
    <t xml:space="preserve">           SP Members, Vice Governor &amp; other office equipment</t>
  </si>
  <si>
    <t xml:space="preserve">      * React. Of Legis. Track. Sys. SP</t>
  </si>
  <si>
    <t xml:space="preserve">      * DSLR Photo/Video, Monitor, LED</t>
  </si>
  <si>
    <t xml:space="preserve">     * 6 units UPS - Library</t>
  </si>
  <si>
    <t xml:space="preserve">        Upgrading of Session Hall Sound System</t>
  </si>
  <si>
    <t xml:space="preserve">       Construction of Partitions/cubicles  and records/storage room</t>
  </si>
  <si>
    <t xml:space="preserve">       Purchase of 50 chairs for reading area</t>
  </si>
  <si>
    <t xml:space="preserve">       Office tables &amp; chairs of SP sect., SP members, VGO &amp; other equipment</t>
  </si>
  <si>
    <t xml:space="preserve">                and wirings/sinages/door signs: ( for VGO/SP sec/Legislative)</t>
  </si>
  <si>
    <t xml:space="preserve">      Purchase of Digital Riso</t>
  </si>
  <si>
    <t xml:space="preserve">      Digital Copier</t>
  </si>
  <si>
    <t xml:space="preserve">      Purchase of Camera</t>
  </si>
  <si>
    <t xml:space="preserve">      12 units Office Desktop computer w/ printer (2 units for Library)</t>
  </si>
  <si>
    <t xml:space="preserve">      3 laptop (1 unit for EMS)</t>
  </si>
  <si>
    <t xml:space="preserve">       Executive chairs</t>
  </si>
  <si>
    <t xml:space="preserve">       Steel cabinets</t>
  </si>
  <si>
    <t xml:space="preserve">       Executive table</t>
  </si>
  <si>
    <t xml:space="preserve">       Water dispenser</t>
  </si>
  <si>
    <t xml:space="preserve">       Staff tables</t>
  </si>
  <si>
    <t xml:space="preserve">       Computer chairs</t>
  </si>
  <si>
    <t xml:space="preserve">       Visiting Chairs</t>
  </si>
  <si>
    <t xml:space="preserve">       Office tables</t>
  </si>
  <si>
    <t xml:space="preserve">       Embossing seal (province)</t>
  </si>
  <si>
    <t>FY 2018-2019</t>
  </si>
  <si>
    <t>JULY 31, 2018</t>
  </si>
  <si>
    <t xml:space="preserve">     Motor Vehicle - (L-300 van)</t>
  </si>
  <si>
    <t>Person's with Disability Affairs Office (PDAO)</t>
  </si>
  <si>
    <t>Elderly Affairs Center</t>
  </si>
  <si>
    <t>Child and Youth Welfare and Development</t>
  </si>
  <si>
    <t xml:space="preserve">proposed in DSWD Budget </t>
  </si>
  <si>
    <t>as of Aug. 17,</t>
  </si>
  <si>
    <t>as of Aug. 17</t>
  </si>
  <si>
    <t xml:space="preserve">         R &amp; M - Machineries &amp; Equipt. (Office, IT equipt.)</t>
  </si>
  <si>
    <t>actual</t>
  </si>
  <si>
    <t xml:space="preserve">      R&amp;M -Machineries and Equipment</t>
  </si>
  <si>
    <r>
      <rPr>
        <i/>
        <sz val="12"/>
        <rFont val="Arial Narrow"/>
        <family val="2"/>
      </rPr>
      <t xml:space="preserve">     1.a. </t>
    </r>
    <r>
      <rPr>
        <i/>
        <u/>
        <sz val="12"/>
        <rFont val="Arial Narrow"/>
        <family val="2"/>
      </rPr>
      <t>Real Property Tax</t>
    </r>
  </si>
  <si>
    <r>
      <rPr>
        <i/>
        <sz val="12"/>
        <rFont val="Arial Narrow"/>
        <family val="2"/>
      </rPr>
      <t xml:space="preserve">     1.b. </t>
    </r>
    <r>
      <rPr>
        <i/>
        <u/>
        <sz val="12"/>
        <rFont val="Arial Narrow"/>
        <family val="2"/>
      </rPr>
      <t>Other Local Taxes</t>
    </r>
  </si>
  <si>
    <r>
      <t xml:space="preserve">   2.a </t>
    </r>
    <r>
      <rPr>
        <i/>
        <u/>
        <sz val="12"/>
        <rFont val="Arial Narrow"/>
        <family val="2"/>
      </rPr>
      <t>Operating and Miscellaneous Revenue</t>
    </r>
  </si>
  <si>
    <r>
      <t xml:space="preserve">   2.b. </t>
    </r>
    <r>
      <rPr>
        <i/>
        <u/>
        <sz val="12"/>
        <rFont val="Arial Narrow"/>
        <family val="2"/>
      </rPr>
      <t>Extra-Ordinary Receipts</t>
    </r>
  </si>
  <si>
    <r>
      <t xml:space="preserve">   2.c.</t>
    </r>
    <r>
      <rPr>
        <i/>
        <u/>
        <sz val="12"/>
        <rFont val="Arial Narrow"/>
        <family val="2"/>
      </rPr>
      <t>Other Receipts</t>
    </r>
  </si>
  <si>
    <t>Other Income</t>
  </si>
  <si>
    <t>*</t>
  </si>
  <si>
    <t xml:space="preserve">          5 high speed computers</t>
  </si>
  <si>
    <t xml:space="preserve">     Enhanced e-NGAS (for PPSAS compliance)</t>
  </si>
  <si>
    <t xml:space="preserve">      FiTTSyS Enhancement/Expansion (PGBh-US)</t>
  </si>
  <si>
    <t xml:space="preserve">      ICT Equipment</t>
  </si>
  <si>
    <t xml:space="preserve">      Telephone Expenses </t>
  </si>
  <si>
    <t xml:space="preserve">     Janitorial Services</t>
  </si>
  <si>
    <t>less 185,000.00 for ac</t>
  </si>
  <si>
    <t>PDRRM FUND</t>
  </si>
  <si>
    <t xml:space="preserve">proposed in OPSWD Budget </t>
  </si>
  <si>
    <t>proposed in OPSWD Budget  (FAMILY AND COMMUNITY WELFARE)</t>
  </si>
  <si>
    <t>as of AUG. 19, 2018</t>
  </si>
  <si>
    <t>as of AUG. 20, 2018</t>
  </si>
  <si>
    <t>SLASHED</t>
  </si>
  <si>
    <t xml:space="preserve">              C.O.</t>
  </si>
  <si>
    <t xml:space="preserve">Other Machineries and Equipment </t>
  </si>
  <si>
    <t>MOOE - Training</t>
  </si>
  <si>
    <t xml:space="preserve">C.O. - Other Machineries and Equipment </t>
  </si>
  <si>
    <t>Other Maint. &amp; Oprtg. Expenses</t>
  </si>
  <si>
    <t>Animal Supplies</t>
  </si>
  <si>
    <t>Gasoline, Oil and Lubricants Expenses</t>
  </si>
  <si>
    <t>R &amp; M - Transportation Equipt. (Motor Vehicle)</t>
  </si>
  <si>
    <t>Office Supplies Expenses</t>
  </si>
  <si>
    <t>Travelling</t>
  </si>
  <si>
    <t>Van Rentals</t>
  </si>
  <si>
    <t>Plaques &amp; Tokens</t>
  </si>
  <si>
    <t>Catering</t>
  </si>
  <si>
    <t>Accomodation</t>
  </si>
  <si>
    <t>Promotional Materials</t>
  </si>
  <si>
    <t>Logistic</t>
  </si>
  <si>
    <t>eBIPP counterpart</t>
  </si>
  <si>
    <t>Advertisement</t>
  </si>
  <si>
    <t>OMOOE</t>
  </si>
  <si>
    <t>Fuel</t>
  </si>
  <si>
    <t>R&amp;M - Transportation Equipt.</t>
  </si>
  <si>
    <t>Travelling &amp; Training</t>
  </si>
  <si>
    <t>Cash Award</t>
  </si>
  <si>
    <t>Agricultural &amp; Marine Supplies</t>
  </si>
  <si>
    <t>Building</t>
  </si>
  <si>
    <t>Agricultural &amp; Forestry Equipment</t>
  </si>
  <si>
    <t>Marine &amp; Fishery Equipment</t>
  </si>
  <si>
    <t>Office Supplies, Meals &amp; snacks, publicity, transportation exp.-monitoring</t>
  </si>
  <si>
    <t>Wages, Honorariums, Professional fee</t>
  </si>
  <si>
    <t>travelling</t>
  </si>
  <si>
    <t>communication expenses</t>
  </si>
  <si>
    <t>catering expenses</t>
  </si>
  <si>
    <t>fuel</t>
  </si>
  <si>
    <t>office supplies, palques, tokens and tarpaulins</t>
  </si>
  <si>
    <t>Laminator, 4 drawers steel cabinet</t>
  </si>
  <si>
    <t>Other Professional Services</t>
  </si>
  <si>
    <t>Radio Expenses</t>
  </si>
  <si>
    <t xml:space="preserve">Office Supplies Expenses </t>
  </si>
  <si>
    <t>Meals and Snacks</t>
  </si>
  <si>
    <t>Medical, Dental Lab. Exp.</t>
  </si>
  <si>
    <t xml:space="preserve">      Other Supplies &amp; Materials Expenses</t>
  </si>
  <si>
    <t>Rental</t>
  </si>
  <si>
    <t>Prizes</t>
  </si>
  <si>
    <t>Printing and Publication</t>
  </si>
  <si>
    <t xml:space="preserve">Awards/Rewards </t>
  </si>
  <si>
    <t>Hotel Accommodation</t>
  </si>
  <si>
    <t>Binding  &amp; Printing</t>
  </si>
  <si>
    <t>Airfare/Boatfare</t>
  </si>
  <si>
    <t>Transportation and Gasoline</t>
  </si>
  <si>
    <t>AUG. 31</t>
  </si>
  <si>
    <t>Financial Assistance</t>
  </si>
  <si>
    <t>Aug. 31</t>
  </si>
  <si>
    <t>ICT</t>
  </si>
  <si>
    <t xml:space="preserve">     Furniture &amp; Fixtures (COUCH)</t>
  </si>
  <si>
    <t>transfer to PGSO</t>
  </si>
  <si>
    <t>PARKED 4.5M</t>
  </si>
  <si>
    <t xml:space="preserve">      Office Equipment (PHOTOCOPIER)</t>
  </si>
  <si>
    <t xml:space="preserve">BALA Program       </t>
  </si>
  <si>
    <t>less 200K incase of slashing</t>
  </si>
  <si>
    <t>proposed for transfer to OPA</t>
  </si>
  <si>
    <t>transfer to BICTU</t>
  </si>
  <si>
    <t>Dive gear</t>
  </si>
  <si>
    <t>1.5 M proposed for inclusion in the improvement of  theold DENR project</t>
  </si>
  <si>
    <t>for the rewards, retain 2017</t>
  </si>
  <si>
    <t>150K to 20%</t>
  </si>
  <si>
    <t>Geopark Project</t>
  </si>
  <si>
    <t>as of SEPT.3, 2018</t>
  </si>
  <si>
    <t xml:space="preserve">          Office Equipment</t>
  </si>
  <si>
    <t>SEPT. 3</t>
  </si>
  <si>
    <t>1M</t>
  </si>
  <si>
    <t xml:space="preserve">     Procurement of Heavy Equipment </t>
  </si>
  <si>
    <t>10M charge to 2018 DRRM fund</t>
  </si>
  <si>
    <t xml:space="preserve">      Other Gen. Services-Maintenance of Roads &amp; Bridges</t>
  </si>
  <si>
    <t xml:space="preserve">     Installation of cubicles</t>
  </si>
  <si>
    <t>600K</t>
  </si>
  <si>
    <t>1.5M</t>
  </si>
  <si>
    <t xml:space="preserve">     Telephone Expenses </t>
  </si>
  <si>
    <t>500K</t>
  </si>
  <si>
    <t xml:space="preserve">     ICT</t>
  </si>
  <si>
    <t xml:space="preserve">     Other Machineries</t>
  </si>
  <si>
    <t xml:space="preserve">     Rehabilitation of Office Building</t>
  </si>
  <si>
    <t>* includes Solar Panel installation</t>
  </si>
  <si>
    <t xml:space="preserve">                   EMS</t>
  </si>
  <si>
    <t xml:space="preserve">      Other Maint. &amp; Oprtg. Expenses- </t>
  </si>
  <si>
    <t>50K</t>
  </si>
  <si>
    <t>200K</t>
  </si>
  <si>
    <t>Other Potential Identified Revenue Center/ Café Caloy Expnsion</t>
  </si>
  <si>
    <t>Gen. Services (foodhandlers, waiter, maintenance, receptionist)</t>
  </si>
  <si>
    <t>Honorarium &amp; Other Services</t>
  </si>
  <si>
    <t>Purchase of Fur. And Fixtures</t>
  </si>
  <si>
    <t xml:space="preserve">Operation of Cafe Caloy </t>
  </si>
  <si>
    <t>Equipment and Utensils for Business Operation</t>
  </si>
  <si>
    <t>Marketing,promotion &amp;advertisement</t>
  </si>
  <si>
    <t>Blessing and Inauguration</t>
  </si>
  <si>
    <t>Business Operation of BBC</t>
  </si>
  <si>
    <t>Glamping /bedroom showcas/linens</t>
  </si>
  <si>
    <t>Equipment &amp; Utensils</t>
  </si>
  <si>
    <t>Gen. Services-(site maintenance, security)</t>
  </si>
  <si>
    <t>Welcome Center</t>
  </si>
  <si>
    <t>Guard House &amp; Comfort Rooms</t>
  </si>
  <si>
    <t>SEPT. 4</t>
  </si>
  <si>
    <t>SEPT. 5, 2018</t>
  </si>
  <si>
    <t xml:space="preserve">      Water Expenses </t>
  </si>
  <si>
    <t xml:space="preserve">Motor Vehicle </t>
  </si>
  <si>
    <t>1M-PDRRM</t>
  </si>
  <si>
    <t>see ranking</t>
  </si>
  <si>
    <t>c/o PDRRM</t>
  </si>
  <si>
    <t>service vehicle parked 1.5M</t>
  </si>
  <si>
    <t>General Services/Contracts</t>
  </si>
  <si>
    <t xml:space="preserve">      Security Services (PSF)</t>
  </si>
  <si>
    <t>SEPT. 6</t>
  </si>
  <si>
    <t xml:space="preserve">     Construction of Mezzanine- Library</t>
  </si>
  <si>
    <t xml:space="preserve">      Purchase of Reading Table and Library Fixtures</t>
  </si>
  <si>
    <t>Youth Leaders' Competency Training</t>
  </si>
  <si>
    <t>Daycare Workers' Competency Training</t>
  </si>
  <si>
    <t>Educators'  Competency Training (Teachers' Summit)</t>
  </si>
  <si>
    <t>PYDO/SKPF</t>
  </si>
  <si>
    <t>EDCENTER/PSB</t>
  </si>
  <si>
    <t xml:space="preserve">     Security equipment (firearms)</t>
  </si>
  <si>
    <t>parked 2.5M</t>
  </si>
  <si>
    <t>from 18 firearms to 9</t>
  </si>
  <si>
    <t xml:space="preserve">      Overtime</t>
  </si>
  <si>
    <t xml:space="preserve">     Other Transportation Equipment - Towing vehicle</t>
  </si>
  <si>
    <t>disallowed</t>
  </si>
  <si>
    <t xml:space="preserve">       Internal Auditor II</t>
  </si>
  <si>
    <t xml:space="preserve">       Internal Auditor III</t>
  </si>
  <si>
    <t xml:space="preserve">         Internal Auditor II</t>
  </si>
  <si>
    <t xml:space="preserve">  Nutritionist-Dietitian II</t>
  </si>
  <si>
    <t xml:space="preserve">     Other Machineries &amp; Equipment (DRONE)</t>
  </si>
  <si>
    <t>as of Oct. 3</t>
  </si>
  <si>
    <t>Previous Payment 2018</t>
  </si>
  <si>
    <t>Amount Due BY 2019</t>
  </si>
  <si>
    <t>CY 2019</t>
  </si>
  <si>
    <t>as of Oct. 5, 2018</t>
  </si>
  <si>
    <t xml:space="preserve">     Garbage Truck (addtl. Budget)</t>
  </si>
  <si>
    <t xml:space="preserve">     Fabrication of 10 units 4x5 tents</t>
  </si>
  <si>
    <t>2.5M parked</t>
  </si>
  <si>
    <t xml:space="preserve">             Laboratory Equipment</t>
  </si>
  <si>
    <t xml:space="preserve">             Calibration of Lab Apparatus/Survey Equipment</t>
  </si>
  <si>
    <t>1.850M parked possible for PDRRMF</t>
  </si>
  <si>
    <t xml:space="preserve">              shredder &amp; other various machineries</t>
  </si>
  <si>
    <t xml:space="preserve">                 construction of comfort rooms &amp; dorm</t>
  </si>
  <si>
    <t xml:space="preserve">       ICT (laptop, printer, external drive, UPS)</t>
  </si>
  <si>
    <t>7M -CEMONC BLDG TO 20%</t>
  </si>
  <si>
    <t>1.560M Parked</t>
  </si>
  <si>
    <t xml:space="preserve">                             -        ISO</t>
  </si>
  <si>
    <t>3M to 20%</t>
  </si>
  <si>
    <t xml:space="preserve">      Other Structure (expansion of Clinical Laboratory)</t>
  </si>
  <si>
    <t>5M construction of hosp. bldg to 20%</t>
  </si>
  <si>
    <t xml:space="preserve">               -computer sets</t>
  </si>
  <si>
    <t>1.1 M -subj to availability</t>
  </si>
  <si>
    <t>1 cardiac monitor @ 450,000</t>
  </si>
  <si>
    <t>50 IV stand @ 1,900</t>
  </si>
  <si>
    <t xml:space="preserve">               -WINDOW TYPE AIRCON, SPLIT TYPE AIRCON, WASHING MACHINE, FREEZER, FLAT SCREEN</t>
  </si>
  <si>
    <t xml:space="preserve">                   UTP cable, computer sets, switch hub, 10 thin clients monitor, keyboard, printer</t>
  </si>
  <si>
    <t xml:space="preserve">      Other Machineries &amp; Equipment</t>
  </si>
  <si>
    <t>1M to pdrrmf</t>
  </si>
  <si>
    <t xml:space="preserve">    ICT Equipment</t>
  </si>
  <si>
    <t xml:space="preserve">          1 Split type inverter Airconditioning unit - 70,000.00</t>
  </si>
  <si>
    <t xml:space="preserve">          2 Window type Airconditioning units - 60,000.00</t>
  </si>
  <si>
    <t xml:space="preserve">         1 unit washing machine - 30,000.00</t>
  </si>
  <si>
    <t xml:space="preserve">    ICT Equipment - 2 laptop</t>
  </si>
  <si>
    <t xml:space="preserve">    Other Machineries &amp; Equipment</t>
  </si>
  <si>
    <t xml:space="preserve">           -desktop computer, laptop</t>
  </si>
  <si>
    <t xml:space="preserve">          -office table, steel cabinet, steel locker</t>
  </si>
  <si>
    <t xml:space="preserve">          - split type aircon, window type, aircon, electric fan, emergency light, conveyor, oven, fire extinguisher</t>
  </si>
  <si>
    <t>Kauban sa Reporma/Comprehensive Local Integration Program &amp; Development for Former Rebels</t>
  </si>
  <si>
    <t>2M</t>
  </si>
  <si>
    <t>Fish Bagsakan (incl. reefer van)</t>
  </si>
  <si>
    <t xml:space="preserve">      Gasoline</t>
  </si>
  <si>
    <t xml:space="preserve">                  (Computer, printer, multi-media)</t>
  </si>
  <si>
    <t xml:space="preserve">                  (CCTV cameras)</t>
  </si>
  <si>
    <t>1 Split type aircon @ 70,000 each</t>
  </si>
  <si>
    <t>5 windowtype aircon 2.5hp @ 42,000 each</t>
  </si>
  <si>
    <t xml:space="preserve">                 ground floor type and split type airconditioning unit</t>
  </si>
  <si>
    <t xml:space="preserve">               -solar panel</t>
  </si>
  <si>
    <t xml:space="preserve">     Communication Equipment</t>
  </si>
  <si>
    <t xml:space="preserve">               -installation of CCTVs</t>
  </si>
  <si>
    <t>1 defibrillator</t>
  </si>
  <si>
    <t>1 HbA1c machine</t>
  </si>
  <si>
    <t>Hematology Analyzer 5 parts</t>
  </si>
  <si>
    <t>Pulmonary Function Test (PFT) or Peak Expiratory Rate Tube</t>
  </si>
  <si>
    <t>Heavy Duty Nebulizer</t>
  </si>
  <si>
    <t>Medical Food Conveyor</t>
  </si>
  <si>
    <t>Spine Board with straps</t>
  </si>
  <si>
    <t>Closed Tube Thoracostomy Set</t>
  </si>
  <si>
    <t>EENt Diagnostic Set</t>
  </si>
  <si>
    <t>X-ray lead glass</t>
  </si>
  <si>
    <t>Binocular microscopes</t>
  </si>
  <si>
    <t>Lead sheet</t>
  </si>
  <si>
    <t>E-carts</t>
  </si>
  <si>
    <t>Clinical centrifuge for urinalysis</t>
  </si>
  <si>
    <t>Micro hematocrit centrifuge</t>
  </si>
  <si>
    <t>Electrolyte Analyzer</t>
  </si>
  <si>
    <t>Urine Sediment Analyzer</t>
  </si>
  <si>
    <t>Clinical centrifuge for clinical chemistry</t>
  </si>
  <si>
    <t>scanner/printer/copier</t>
  </si>
  <si>
    <t>desktop computer</t>
  </si>
  <si>
    <t>laptop</t>
  </si>
  <si>
    <t xml:space="preserve">        1 unit refrigerator - 8,000.00</t>
  </si>
  <si>
    <t>1 shredding machine</t>
  </si>
  <si>
    <t>6 sphygmomanometer - pedia</t>
  </si>
  <si>
    <t>3 sphygmomanometer - adult</t>
  </si>
  <si>
    <t>1 ultrasound</t>
  </si>
  <si>
    <t>2 split type aircon</t>
  </si>
  <si>
    <t>6 window type aircon</t>
  </si>
  <si>
    <t>1 conveyor</t>
  </si>
  <si>
    <t>1 oven</t>
  </si>
  <si>
    <t>10 ceiling fan</t>
  </si>
  <si>
    <t>1 washing machine</t>
  </si>
  <si>
    <t>2 desktop</t>
  </si>
  <si>
    <t>1 laptop</t>
  </si>
  <si>
    <t>10 office tables</t>
  </si>
  <si>
    <t>2 steel cabinet w/ vault</t>
  </si>
  <si>
    <t>3 office steel cabinet</t>
  </si>
  <si>
    <t>1 steel locker</t>
  </si>
  <si>
    <t>centrifuge for urine</t>
  </si>
  <si>
    <t>electrolyte analyzer</t>
  </si>
  <si>
    <t>blood chemistry analyzer</t>
  </si>
  <si>
    <t>3 defibrillator @ 450,000</t>
  </si>
  <si>
    <t>2 external Hrd disk</t>
  </si>
  <si>
    <t>5 thin clients @ 10,000</t>
  </si>
  <si>
    <t>5 monitor @ 10,000</t>
  </si>
  <si>
    <t>5 keyboard &amp; mouse @ 1,000</t>
  </si>
  <si>
    <t>5 printers @ 7,000</t>
  </si>
  <si>
    <t>5 emergency light</t>
  </si>
  <si>
    <t>5 fire extinguisher</t>
  </si>
  <si>
    <t>1 unit transformer</t>
  </si>
  <si>
    <t xml:space="preserve">         1 automated Hematology Analyzer - 1,700,000.00</t>
  </si>
  <si>
    <t xml:space="preserve">         1 automated clinical chemistry analyzer - 1,700,000.00</t>
  </si>
  <si>
    <t>Gooseneck Lamp</t>
  </si>
  <si>
    <t>medical grade oxygen lamp (12)</t>
  </si>
  <si>
    <t>emergency light (5)</t>
  </si>
  <si>
    <t>heavy duty document scanner</t>
  </si>
  <si>
    <t>monobloc chair</t>
  </si>
  <si>
    <t>PS computation for the proposed position for creation</t>
  </si>
  <si>
    <t>PS computation for the proposed position for ABOLITION</t>
  </si>
  <si>
    <t>Rental of Office Space including Honorarium, electricity &amp;</t>
  </si>
  <si>
    <t>2.5M to DRRM</t>
  </si>
  <si>
    <t>2.5M</t>
  </si>
  <si>
    <t>5M</t>
  </si>
  <si>
    <t>4.5M</t>
  </si>
  <si>
    <t>2.1M</t>
  </si>
  <si>
    <t>15M</t>
  </si>
  <si>
    <t>2.8M</t>
  </si>
  <si>
    <t>1.7M</t>
  </si>
  <si>
    <t xml:space="preserve">    Administrative Aide I</t>
  </si>
  <si>
    <t xml:space="preserve">    Computer Programmer III</t>
  </si>
  <si>
    <t xml:space="preserve">    Communication Equipt. Technician</t>
  </si>
  <si>
    <t xml:space="preserve">    Admin. Aide I</t>
  </si>
  <si>
    <t xml:space="preserve">          Admin. Officer I</t>
  </si>
  <si>
    <t>ABOLISH</t>
  </si>
  <si>
    <t>1 ABOLISH</t>
  </si>
  <si>
    <t xml:space="preserve">       LDRRMO I</t>
  </si>
  <si>
    <t xml:space="preserve">      Supervising Admin Officer</t>
  </si>
  <si>
    <t xml:space="preserve">       Rad. Tech II</t>
  </si>
  <si>
    <t xml:space="preserve">      Social Welfare Officer I</t>
  </si>
  <si>
    <t xml:space="preserve">        Rad Tech II</t>
  </si>
  <si>
    <t>2 ABOLISH</t>
  </si>
  <si>
    <t xml:space="preserve">       Supervising Admin. Officer</t>
  </si>
  <si>
    <t xml:space="preserve">    Supervising Environmental Mgt. Specialist</t>
  </si>
  <si>
    <t xml:space="preserve">   Agricultural Technologist</t>
  </si>
  <si>
    <t xml:space="preserve">   Aquacultural Technician I</t>
  </si>
  <si>
    <t xml:space="preserve">   Community Dev't. Assistant II</t>
  </si>
  <si>
    <t xml:space="preserve">   Community Dev't. Assistant I</t>
  </si>
  <si>
    <t xml:space="preserve">    Administrative Assistant Il</t>
  </si>
  <si>
    <t xml:space="preserve">    Administrative Aide II</t>
  </si>
  <si>
    <t xml:space="preserve">    Senior Environmental Mgt. Specialist</t>
  </si>
  <si>
    <t xml:space="preserve">    Engineer II</t>
  </si>
  <si>
    <t xml:space="preserve">    Engineer I</t>
  </si>
  <si>
    <t xml:space="preserve">    Community Dev't. Assistant II</t>
  </si>
  <si>
    <t xml:space="preserve">    Environmental Mgt. Specialist I</t>
  </si>
  <si>
    <t xml:space="preserve">    Admin. Assistant II</t>
  </si>
  <si>
    <t xml:space="preserve">    Community Dev't. Assistant I</t>
  </si>
  <si>
    <t xml:space="preserve">    Community Affairs Assistant I</t>
  </si>
  <si>
    <t>Staffing - PPDO 2</t>
  </si>
  <si>
    <t xml:space="preserve">         Administrative Assistant III</t>
  </si>
  <si>
    <t>Staffing -  PGSO 2</t>
  </si>
  <si>
    <t xml:space="preserve">       Attorney V</t>
  </si>
  <si>
    <t xml:space="preserve">       Attorney IV</t>
  </si>
  <si>
    <t xml:space="preserve">       Agricultural Technologist </t>
  </si>
  <si>
    <t xml:space="preserve">       Special Operations Officer II</t>
  </si>
  <si>
    <t xml:space="preserve">      Support to Technical</t>
  </si>
  <si>
    <t>Staffing - Jagna 2</t>
  </si>
  <si>
    <t>Staffing - Loon 2</t>
  </si>
  <si>
    <t xml:space="preserve">       (Administrative Assistant II) Bookeeper </t>
  </si>
  <si>
    <t>Staffing - PEO 2</t>
  </si>
  <si>
    <t xml:space="preserve">               PETER ROSS M. RETURAL</t>
  </si>
  <si>
    <t>PETER ROSS M. RETUTAL</t>
  </si>
  <si>
    <t xml:space="preserve">               JOVENCIA B. GANUB                           LIZA M. QUIROG</t>
  </si>
  <si>
    <t xml:space="preserve">                         Head-BEMO                                Head-SEEM Cluster</t>
  </si>
  <si>
    <t>CHRISTENSEN B. BALAORO, M.D.</t>
  </si>
  <si>
    <t xml:space="preserve">      PETER ROSS M. RETUTAL</t>
  </si>
  <si>
    <t xml:space="preserve">                 OIC-EDCOM                                     Head-SEEM Cluster</t>
  </si>
  <si>
    <t xml:space="preserve">       GISELA L. GIMENTEZA                                LIZA M. QUIROG</t>
  </si>
  <si>
    <t xml:space="preserve">              Head-EDC                                               Head-SEEM Cluster</t>
  </si>
  <si>
    <t xml:space="preserve">   PETER ROSS M. RETUTAL</t>
  </si>
  <si>
    <t>DIONISIO D. BALITE</t>
  </si>
  <si>
    <t xml:space="preserve">           RONILITA M. BUNADO</t>
  </si>
  <si>
    <t xml:space="preserve">                  OIC-PPDO</t>
  </si>
  <si>
    <t xml:space="preserve">      Other Maint. &amp; Oprtg. Expenses (incl. EMS)</t>
  </si>
  <si>
    <t>ANGELITA J. FUDERANAN</t>
  </si>
  <si>
    <t xml:space="preserve">               OIC-PEO</t>
  </si>
  <si>
    <t xml:space="preserve">        JC/INSP RICHARD TULABING                            LIZA M. QUIROG</t>
  </si>
  <si>
    <t xml:space="preserve">                     Jail Warden                                                Head-SEEM Cluster</t>
  </si>
  <si>
    <t>Accounting &amp; Pre-Audit Services</t>
  </si>
  <si>
    <r>
      <t>1</t>
    </r>
    <r>
      <rPr>
        <b/>
        <vertAlign val="superscript"/>
        <sz val="9"/>
        <rFont val="Calibri"/>
        <family val="2"/>
        <scheme val="minor"/>
      </rPr>
      <t>st</t>
    </r>
    <r>
      <rPr>
        <b/>
        <sz val="9"/>
        <rFont val="Calibri"/>
        <family val="2"/>
        <scheme val="minor"/>
      </rPr>
      <t xml:space="preserve"> Semester</t>
    </r>
  </si>
  <si>
    <r>
      <t>2</t>
    </r>
    <r>
      <rPr>
        <b/>
        <vertAlign val="superscript"/>
        <sz val="9"/>
        <rFont val="Calibri"/>
        <family val="2"/>
        <scheme val="minor"/>
      </rPr>
      <t>nd</t>
    </r>
    <r>
      <rPr>
        <b/>
        <sz val="9"/>
        <rFont val="Calibri"/>
        <family val="2"/>
        <scheme val="minor"/>
      </rPr>
      <t xml:space="preserve"> Semester</t>
    </r>
  </si>
  <si>
    <r>
      <t xml:space="preserve">Add: </t>
    </r>
    <r>
      <rPr>
        <sz val="10"/>
        <rFont val="Calibri"/>
        <family val="2"/>
        <scheme val="minor"/>
      </rPr>
      <t>Unappropriated Surplus</t>
    </r>
  </si>
  <si>
    <r>
      <t xml:space="preserve">Less:  </t>
    </r>
    <r>
      <rPr>
        <sz val="10"/>
        <rFont val="Calibri"/>
        <family val="2"/>
        <scheme val="minor"/>
      </rPr>
      <t>Continuing Appropriation</t>
    </r>
  </si>
  <si>
    <t>RONILITA M. BUNADO</t>
  </si>
  <si>
    <t>OIC-PPDO</t>
  </si>
  <si>
    <t>Anniversary Bonus</t>
  </si>
  <si>
    <t xml:space="preserve">       PETER ROSS M. RETUTAL                            EUSTAQUIO A. SOCORIN                              RONILITA M. BUNADO</t>
  </si>
  <si>
    <t xml:space="preserve">       Provincial Budget Officer                                Provincial Treasurer                                              OIC-PPDO</t>
  </si>
  <si>
    <t xml:space="preserve"> EDGARDO M. CHATTO</t>
  </si>
  <si>
    <t>STATEMENT OF STATUTORY &amp; CONTRACTUAL OBLIGATION and BUDGETARY REQUIREMENTS CY 2019</t>
  </si>
  <si>
    <t>STATEMENT OF FUND ALLOCATION BY SECTOR CY 2019</t>
  </si>
  <si>
    <t>Military, Police &amp; Security Equipt.</t>
  </si>
  <si>
    <t>Demolition &amp; Relocation</t>
  </si>
  <si>
    <t xml:space="preserve">            Governor</t>
  </si>
  <si>
    <t xml:space="preserve">      JOSETH J. CELOCIA</t>
  </si>
  <si>
    <t>SUMMARY OF THE FISCAL YEAR 2019 NEW APPROPRIATION</t>
  </si>
  <si>
    <t>2019</t>
  </si>
  <si>
    <t>Annual Budget 2019</t>
  </si>
  <si>
    <t xml:space="preserve">                            PETER ROSS M. RETUTAL</t>
  </si>
  <si>
    <t>(Note: Other GAD projects are part of the programs &amp; project of the various departmentd/offices, including the 20% DF)</t>
  </si>
  <si>
    <t xml:space="preserve">        Less: Waived Item (Terminal Leave&amp; Monetization)</t>
  </si>
  <si>
    <r>
      <t xml:space="preserve">Discretionary Fund shall be used for public purposes at the discretion of the Provincial Governor for the promotion of social equity, sustainable development and general welfare of the constituents. </t>
    </r>
    <r>
      <rPr>
        <i/>
        <sz val="12"/>
        <rFont val="Candara"/>
        <family val="2"/>
      </rPr>
      <t>(Section 325 (h) of R.A. 7160)</t>
    </r>
  </si>
  <si>
    <t>Funds for Scholarship Program shall be used solely for qualified scholars belonging to indigent families and preferably those enrolled in public schools. Related guidelines and issuances from the Department of Education (DepEd) shall be followed.</t>
  </si>
  <si>
    <t>The allotments serve as authority for the department/office to incur obligation for a specific amount within the appropriation ordinance.  Appropriations as authorized shall not be disbursed without Allotment Release Order approved by the Governor.</t>
  </si>
  <si>
    <t>Appropriations authorized in every office/department shall be released thru  Allotment Release Order.</t>
  </si>
  <si>
    <t>The grant of step increment is based  on the length of service as authorized under CSC   and DBM Joint Circular No. 1 s. 1990 and CSC-DBM-JC No. 01, s. 2016. The Human Resource and Management Office and the Department Heads shall review and implement the grant of step increment.</t>
  </si>
  <si>
    <t>The Grant of Anniversary Bonus shall be authorized pursuant to LBC No. 65 dated March 3, 1997</t>
  </si>
  <si>
    <t>Augmentation shall be allowed only when there are actual savings from Personal Services  and Maintenance and Other Operating Expenditures appropriations duly certified by HRMDO/ Department heads and confirmed by the Provincial Budget and Management Office. Department Heads shall verify as to the savings of unexpended balance free from any obligation or encumbrances and shall be approved by the Governor or his duly authorized representative for the Executive Appropriation and the Vice Governor or his duly authorized representative under the Legislative Appropriations.</t>
  </si>
  <si>
    <t>Special Program for the Employment of Students, shall be implemented based on set guidelines in coordination with the Department of Labor and Employment</t>
  </si>
  <si>
    <t>Disaster Risk Reduction &amp; Management Fund as provided under R.A. 10121 shall be utilized for the disaster risk reduction management activities such as pre-disaster preparedness, mitigation, disaster response, and rehabilitation/recovery. The utilization of such fund shall adhere to the provisions of R.A. 10121 as well as the Joint Memorandum Circular No. 2013-1 of the NDRRMC, DBM and DILG.</t>
  </si>
  <si>
    <r>
      <t xml:space="preserve">The Development Fund shall be utilized for the priority development projects consistent with the Provincial Development and Physical Framework Plan and supportive to the InSPIRED HEAT IT -Bohol Development Agenda of the Provincial Administration. All programs, projects and activities appropriated thereat shall be reflected in the Annual Investment Plan. </t>
    </r>
    <r>
      <rPr>
        <i/>
        <sz val="12"/>
        <rFont val="Candara"/>
        <family val="2"/>
      </rPr>
      <t>(Section 287 of R.A. 7160)</t>
    </r>
    <r>
      <rPr>
        <sz val="12"/>
        <rFont val="Candara"/>
        <family val="2"/>
      </rPr>
      <t xml:space="preserve"> and shall be aligned with the guidelines set through JMC 2017-1 of DBM and DILG.</t>
    </r>
  </si>
  <si>
    <t>Other Special Purpose appropriations, includes, among others, the Operation of Local Special Bodies, Implementation of Environmental Management System (EMS) and Election Expenses. Utilization  of these funds shall be subject to pertinent Government Auditing and Accounting rules and regulations.</t>
  </si>
  <si>
    <t>Department Heads, Heads of Attached Offices, Chiefs of Hospitals shall be accountable for the funds appropriated thereof in conformity with the provisions of law and shall be  reponsible for the preparation of Work and Financial Plan and physical performance targets, Project Procurement Management Plan (PPMP), Obligation Request and other financial documents for the authorized programs, projects and activities to produce the  desired results/goods and services.</t>
  </si>
  <si>
    <t>Grant of Loyalty Award shall be subject to CSC MC No. 06 s.2002 and CSC Res. No.020295. Qualified employees shall be determined by the PHRMDO .</t>
  </si>
  <si>
    <r>
      <rPr>
        <b/>
        <sz val="12"/>
        <rFont val="Candara"/>
        <family val="2"/>
      </rPr>
      <t>General Services Appropriations</t>
    </r>
    <r>
      <rPr>
        <sz val="12"/>
        <rFont val="Candara"/>
        <family val="2"/>
      </rPr>
      <t xml:space="preserve"> - All Department Heads, Chiefs of Hospitals, Heads of Attached Offices shall coordinate with the Office of the Governor in hiring Job Order Casuals charged to their respective office. No Job Order casual shall be allowed to work without an Approved Job Order otherwise the Office Head concerned shall be held accountable for payment of their services rendered without prior Approved Job Order and no contracts shall be approved without the corresponding certificate as to availability of Appropriation/Funds.</t>
    </r>
  </si>
  <si>
    <r>
      <rPr>
        <b/>
        <sz val="12"/>
        <rFont val="Candara"/>
        <family val="2"/>
      </rPr>
      <t>Supplies and Materials/Spare Parts</t>
    </r>
    <r>
      <rPr>
        <sz val="12"/>
        <rFont val="Candara"/>
        <family val="2"/>
      </rPr>
      <t xml:space="preserve"> - Procurement shall be consistent with the approved Annual Procurement Plan and in accordance with R.A. 9184 and its revised Implementing Rules and Regulations as reviewed by the Provincial Budget Officer and approved by the Office of the Governor.</t>
    </r>
  </si>
  <si>
    <r>
      <rPr>
        <b/>
        <sz val="12"/>
        <rFont val="Candara"/>
        <family val="2"/>
      </rPr>
      <t>Equipment/IT Equipment</t>
    </r>
    <r>
      <rPr>
        <sz val="12"/>
        <rFont val="Candara"/>
        <family val="2"/>
      </rPr>
      <t xml:space="preserve"> - Purchase Request for equipment, IT and other office equiptment shall be consistent with the Annual Procurement Plan and approved Work and Financial Plan.</t>
    </r>
  </si>
  <si>
    <t>All infrastructure projects shall be supported with Project Procurement Management Plan, Program of Work and must be consistent with the approved Annual Investment Plan.</t>
  </si>
  <si>
    <t>For all items in the budget, the allotment released shall be disbursed solely for such items of expenditures as appropriated.</t>
  </si>
  <si>
    <t>Asistance to Individuals in Crisis Situation (AICS) shall be released to indigent beneficiaries only after proper screening and recommendation of the Provincial Social Welfare and Development Officer.</t>
  </si>
  <si>
    <t>Funds released to beneficiaries in the form of donations and subsidies need to be liquidated by the beneficiaries subject to appropriate auditing and accounting rules and regulations.</t>
  </si>
  <si>
    <t>Philippine Rural Development Project (PRDP) Counterpart Fund - The use of PRDP counterpart funds shall be in accordance with the provisions of the Memorandum of Agreement between the PGBh, Dept. of Agriculture and World Bank.</t>
  </si>
  <si>
    <t>Preparation and Implementation of Managemet Action Plan on Audit findings and strengthening of  ompliance Audit Mechanism shall be pursued.</t>
  </si>
  <si>
    <t>Monitoring and evaluation of all programs, projects and activities shall be monitored thru the Provincial Monitoring and Evaluation System (PROMES) to ensure that PPAs are implemented within the set performance targets.</t>
  </si>
  <si>
    <t>(o)</t>
  </si>
  <si>
    <t>To continue to enhance Public Financial  Management (PFM), the PFM Assessment Report, as introduced by the Department of Budget and Management shall be prepared and utilized as a tool to track PFM performance</t>
  </si>
  <si>
    <t>1-3</t>
  </si>
  <si>
    <t>PROGRAMMED APPROPRIATION and OBLIGATION for Special Purpose Apprpriations</t>
  </si>
  <si>
    <t>LBPF No. 2</t>
  </si>
  <si>
    <t>LBPF No. 2-A</t>
  </si>
  <si>
    <t>LBPF no. 4</t>
  </si>
  <si>
    <t xml:space="preserve">Office of the Governor                                                 ---------------------------------------------------------------                                                    </t>
  </si>
  <si>
    <t xml:space="preserve">Bohol Employment &amp; Placement Office            ----------------------------------------------------------------                  </t>
  </si>
  <si>
    <t xml:space="preserve">Center for Culture and Arts Development       ----------------------------------------------------------------           </t>
  </si>
  <si>
    <t>Bohol Information and Communication Technology Unit ----------------------------------------------</t>
  </si>
  <si>
    <t xml:space="preserve">Bohol District Jail                                                          --------------------------------------------------------------------             </t>
  </si>
  <si>
    <t>4-17</t>
  </si>
  <si>
    <t>18-21</t>
  </si>
  <si>
    <t>22-39</t>
  </si>
  <si>
    <t>40-51</t>
  </si>
  <si>
    <t>52-63</t>
  </si>
  <si>
    <t>64-70</t>
  </si>
  <si>
    <t>71-76</t>
  </si>
  <si>
    <t>77-84</t>
  </si>
  <si>
    <t>85-87</t>
  </si>
  <si>
    <t>88-94</t>
  </si>
  <si>
    <t>95-96</t>
  </si>
  <si>
    <t>97-101</t>
  </si>
  <si>
    <t>102-116</t>
  </si>
  <si>
    <t>117-123</t>
  </si>
  <si>
    <t>124-138</t>
  </si>
  <si>
    <t>139-153</t>
  </si>
  <si>
    <t>154-163</t>
  </si>
  <si>
    <t>164-176</t>
  </si>
  <si>
    <t>177-187</t>
  </si>
  <si>
    <t>188-194</t>
  </si>
  <si>
    <t>195-198</t>
  </si>
  <si>
    <t>199-203</t>
  </si>
  <si>
    <t>204-208</t>
  </si>
  <si>
    <t>209-210</t>
  </si>
  <si>
    <t>211-217</t>
  </si>
  <si>
    <t>218-226</t>
  </si>
  <si>
    <t>227-238</t>
  </si>
  <si>
    <t>239-250</t>
  </si>
  <si>
    <t>251-260</t>
  </si>
  <si>
    <t>261-267</t>
  </si>
  <si>
    <t>268-272</t>
  </si>
  <si>
    <t>273-278</t>
  </si>
  <si>
    <t>279-284</t>
  </si>
  <si>
    <t>285-290</t>
  </si>
  <si>
    <t>291-295</t>
  </si>
  <si>
    <t>296-313</t>
  </si>
  <si>
    <t>314-362</t>
  </si>
  <si>
    <t>363-370</t>
  </si>
  <si>
    <t>371-373</t>
  </si>
  <si>
    <t>374-.78</t>
  </si>
  <si>
    <t>379-384</t>
  </si>
  <si>
    <t>385-386</t>
  </si>
  <si>
    <t>387-389</t>
  </si>
  <si>
    <t>390</t>
  </si>
  <si>
    <t>391</t>
  </si>
  <si>
    <t>392-393</t>
  </si>
  <si>
    <t>394</t>
  </si>
  <si>
    <t>395</t>
  </si>
  <si>
    <t>396</t>
  </si>
  <si>
    <t>397</t>
  </si>
  <si>
    <t>398-404</t>
  </si>
  <si>
    <t>EXECUTIVE BUDGET MESSAGE</t>
  </si>
  <si>
    <t>Part 1</t>
  </si>
  <si>
    <t>LBPF No. 1</t>
  </si>
  <si>
    <t>Part 2</t>
  </si>
  <si>
    <t>Part 3</t>
  </si>
  <si>
    <t>Part 4</t>
  </si>
  <si>
    <t>LBPF No. 5</t>
  </si>
  <si>
    <t xml:space="preserve">LBPF No. 6 </t>
  </si>
  <si>
    <t xml:space="preserve">LBPF No.  7 </t>
  </si>
  <si>
    <t>BUDGET OF EXPENDITURES and SOURCES OF FINANCING</t>
  </si>
  <si>
    <t xml:space="preserve">  Telephone Expenses </t>
  </si>
  <si>
    <t xml:space="preserve">  Telephone Expenses -  Mobile</t>
  </si>
  <si>
    <t xml:space="preserve">  Telephone Expenses -  Internet</t>
  </si>
  <si>
    <t>Special Area for Agricultural Development (SAAD)</t>
  </si>
  <si>
    <t xml:space="preserve"> -50K</t>
  </si>
  <si>
    <t xml:space="preserve">     Purchase of 1 unit heavy duty shredder</t>
  </si>
  <si>
    <t xml:space="preserve">     Sports Development/Physical Fitness</t>
  </si>
  <si>
    <t xml:space="preserve">     Boholympics Program</t>
  </si>
  <si>
    <t xml:space="preserve">     Youth Development Program</t>
  </si>
  <si>
    <t xml:space="preserve">     Anti Drug Campaign Program</t>
  </si>
  <si>
    <t xml:space="preserve">           Support to DRRM-related Summit/Fora and activation of EOC during special events</t>
  </si>
  <si>
    <t xml:space="preserve"> +120K</t>
  </si>
  <si>
    <t xml:space="preserve"> -120K</t>
  </si>
  <si>
    <t xml:space="preserve"> 2019WORKSHEET -STAFFING</t>
  </si>
  <si>
    <t>Current Year  2018</t>
  </si>
  <si>
    <t>Previous Year  2017</t>
  </si>
  <si>
    <t xml:space="preserve"> + 140K</t>
  </si>
  <si>
    <t xml:space="preserve"> - 140K</t>
  </si>
  <si>
    <t>PLUS 446000</t>
  </si>
  <si>
    <t>less 446000</t>
  </si>
  <si>
    <t>less 60k</t>
  </si>
  <si>
    <t>plus 60k</t>
  </si>
  <si>
    <t>less 80k</t>
  </si>
  <si>
    <t>plus 80k</t>
  </si>
  <si>
    <t xml:space="preserve">     Furniture and Fixtures</t>
  </si>
  <si>
    <t xml:space="preserve">     Dental Equipment</t>
  </si>
  <si>
    <t xml:space="preserve">     Other Machineries and Equipment </t>
  </si>
  <si>
    <t>Communication euipt.</t>
  </si>
  <si>
    <t xml:space="preserve">  PRES. CP GARCIA</t>
  </si>
  <si>
    <t xml:space="preserve">                                       - Board Members</t>
  </si>
  <si>
    <t>already less 1 for the transfer to piao</t>
  </si>
  <si>
    <t>R &amp; M-Office Equipment</t>
  </si>
  <si>
    <t>R &amp; M- Heavy Equipment</t>
  </si>
  <si>
    <t xml:space="preserve">     Office Equipment(GPS/camera)</t>
  </si>
  <si>
    <t>* medical Equipment</t>
  </si>
  <si>
    <t>* IT Equipment</t>
  </si>
  <si>
    <t xml:space="preserve">    Office Equipment - risograph</t>
  </si>
  <si>
    <t>Capital Outlay- Equipment</t>
  </si>
  <si>
    <t xml:space="preserve">      Office Equipment (VAULT)</t>
  </si>
  <si>
    <t>Purchase of Survey Equipment</t>
  </si>
  <si>
    <t xml:space="preserve">   Furniture &amp; Fixtures</t>
  </si>
  <si>
    <t xml:space="preserve">          IT Equipment/Other Equipment/Furniture &amp; Fixtures/Tents</t>
  </si>
  <si>
    <t xml:space="preserve">     Furniture &amp; Fixture</t>
  </si>
  <si>
    <t xml:space="preserve">     Furniture &amp; Fxiture</t>
  </si>
  <si>
    <t>Furniture &amp; Fixtures - SP sec/VGO/Legislative</t>
  </si>
  <si>
    <t xml:space="preserve">* Furniture/ fixtures/paraphernalias </t>
  </si>
  <si>
    <t>Furniture &amp; Fxiture</t>
  </si>
  <si>
    <t xml:space="preserve">      Furniture &amp; Fxiture</t>
  </si>
  <si>
    <t>Equipment / Furniture / Furnishings at New Capitol Building</t>
  </si>
  <si>
    <t>Furniture/Fixtures of New Capitol Annex Bldg</t>
  </si>
  <si>
    <t xml:space="preserve">        PGDH (Secretary to SP)</t>
  </si>
  <si>
    <t>Already Less by 1 to be transferred to PDRRMO with salary of P178,164.00</t>
  </si>
  <si>
    <t>Already added 3 from 1 to 4 (plus 3 new to be transferred to PDRRMO)</t>
  </si>
  <si>
    <t>3 from PADMO</t>
  </si>
  <si>
    <t>Already added 1 Admin Aide VI from PADMO with salary of P178,164.00)</t>
  </si>
  <si>
    <t>Already less by 2: transferred to PDRRMO with total Annual Salary of P 356, 328.00</t>
  </si>
  <si>
    <t>Reclassification : SAO - Supply Officer</t>
  </si>
  <si>
    <t>Added 1 new transfer to PIAO</t>
  </si>
  <si>
    <t>Transferred to GO-BICTU</t>
  </si>
  <si>
    <t>Transferred from PGSO</t>
  </si>
  <si>
    <t>Transferred to BICTU</t>
  </si>
  <si>
    <t>Francisco Dagohoy Community Hospital</t>
  </si>
  <si>
    <t>Deleted 1: for Nurse I originally for transfer to GMPH</t>
  </si>
  <si>
    <t>Added back 1 for the nurse I originally for transfer to GMPH</t>
  </si>
  <si>
    <t>Less 1 : Nurse I originally transferred from Maribojoc to GMPH but transferred back to maribojoc</t>
  </si>
  <si>
    <t>Less 1 Nurse I (originally transferred from Maribojoc to GMPH but transferred back to Maribojoc)</t>
  </si>
  <si>
    <t>Transferred 1 Admin Officer V to Edcenter (Vacant)</t>
  </si>
  <si>
    <t>Less 1 (Admin Officer V ) transferred to Edcenter</t>
  </si>
  <si>
    <t>Transferred 1 Admin Officer V from EDCOM (Vacant)</t>
  </si>
  <si>
    <t xml:space="preserve">          Admin. Office V</t>
  </si>
  <si>
    <t xml:space="preserve">Already added 2 from PADMO with total Annual Salary of P356,328 (Communication Eqpt. Optr II reclassified to </t>
  </si>
  <si>
    <t xml:space="preserve">       (Communication Eqpt. Optr. II)</t>
  </si>
  <si>
    <t xml:space="preserve">            Administrative Aide VI</t>
  </si>
  <si>
    <t>transferred from filled</t>
  </si>
</sst>
</file>

<file path=xl/styles.xml><?xml version="1.0" encoding="utf-8"?>
<styleSheet xmlns="http://schemas.openxmlformats.org/spreadsheetml/2006/main">
  <numFmts count="24">
    <numFmt numFmtId="41" formatCode="_(* #,##0_);_(* \(#,##0\);_(* &quot;-&quot;_);_(@_)"/>
    <numFmt numFmtId="43" formatCode="_(* #,##0.00_);_(* \(#,##0.00\);_(* &quot;-&quot;??_);_(@_)"/>
    <numFmt numFmtId="164" formatCode="_-* #,##0.00_-;\-* #,##0.00_-;_-* &quot;-&quot;??_-;_-@_-"/>
    <numFmt numFmtId="165" formatCode="#,##0.0"/>
    <numFmt numFmtId="166" formatCode="0.00_);\(0.00\)"/>
    <numFmt numFmtId="167" formatCode="0.0_)"/>
    <numFmt numFmtId="168" formatCode="0_);\(0\)"/>
    <numFmt numFmtId="169" formatCode="0.00_);[Red]\(0.00\)"/>
    <numFmt numFmtId="170" formatCode="0.00_)"/>
    <numFmt numFmtId="171" formatCode="General_)"/>
    <numFmt numFmtId="172" formatCode="#,##0.00;[Red]#,##0.00"/>
    <numFmt numFmtId="173" formatCode="[$-409]mmm\-yy;@"/>
    <numFmt numFmtId="174" formatCode="[$-409]mmmm\-yy;@"/>
    <numFmt numFmtId="175" formatCode="0\ \ \ &quot;employees&quot;"/>
    <numFmt numFmtId="176" formatCode="0\ \ \ &quot;road sections&quot;"/>
    <numFmt numFmtId="177" formatCode="0;[Red]0"/>
    <numFmt numFmtId="178" formatCode="\P\ #,##0.00"/>
    <numFmt numFmtId="179" formatCode="_([$PhP-464]* #,##0.00_);_([$PhP-464]* \(#,##0.00\);_([$PhP-464]* &quot;-&quot;??_);_(@_)"/>
    <numFmt numFmtId="180" formatCode="_(* #,##0.0_);_(* \(#,##0.0\);_(* &quot;-&quot;??_);_(@_)"/>
    <numFmt numFmtId="181" formatCode="0.0"/>
    <numFmt numFmtId="182" formatCode="[$-409]mmmm\ d\,\ yyyy;@"/>
    <numFmt numFmtId="183" formatCode="0.0%"/>
    <numFmt numFmtId="184" formatCode="_(* #,##0.000_);_(* \(#,##0.000\);_(* &quot;-&quot;??_);_(@_)"/>
    <numFmt numFmtId="185" formatCode="#,##0.00_ ;\-#,##0.00\ "/>
  </numFmts>
  <fonts count="416">
    <font>
      <sz val="11"/>
      <color theme="1"/>
      <name val="Calibri"/>
      <family val="2"/>
      <scheme val="minor"/>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libri"/>
      <family val="2"/>
      <scheme val="minor"/>
    </font>
    <font>
      <sz val="11"/>
      <name val="Arial"/>
      <family val="2"/>
    </font>
    <font>
      <sz val="10"/>
      <name val="Arial"/>
      <family val="2"/>
    </font>
    <font>
      <b/>
      <u/>
      <sz val="10"/>
      <name val="Arial"/>
      <family val="2"/>
    </font>
    <font>
      <b/>
      <sz val="10"/>
      <name val="Arial"/>
      <family val="2"/>
    </font>
    <font>
      <sz val="9"/>
      <name val="Arial"/>
      <family val="2"/>
    </font>
    <font>
      <sz val="11"/>
      <name val="Arial"/>
      <family val="2"/>
    </font>
    <font>
      <sz val="10"/>
      <name val="Arial"/>
      <family val="2"/>
    </font>
    <font>
      <sz val="11"/>
      <color indexed="8"/>
      <name val="Calibri"/>
      <family val="2"/>
    </font>
    <font>
      <sz val="8"/>
      <name val="Arial"/>
      <family val="2"/>
    </font>
    <font>
      <b/>
      <sz val="11"/>
      <name val="Arial"/>
      <family val="2"/>
    </font>
    <font>
      <sz val="10"/>
      <name val="Helv"/>
    </font>
    <font>
      <i/>
      <sz val="10"/>
      <name val="Arial"/>
      <family val="2"/>
    </font>
    <font>
      <u/>
      <sz val="10"/>
      <name val="Arial"/>
      <family val="2"/>
    </font>
    <font>
      <b/>
      <sz val="12"/>
      <name val="Arial"/>
      <family val="2"/>
    </font>
    <font>
      <sz val="12"/>
      <name val="Arial"/>
      <family val="2"/>
    </font>
    <font>
      <b/>
      <sz val="9"/>
      <name val="Arial"/>
      <family val="2"/>
    </font>
    <font>
      <b/>
      <sz val="8"/>
      <name val="Arial"/>
      <family val="2"/>
    </font>
    <font>
      <b/>
      <u/>
      <sz val="11"/>
      <name val="Arial"/>
      <family val="2"/>
    </font>
    <font>
      <b/>
      <i/>
      <sz val="10"/>
      <name val="Arial"/>
      <family val="2"/>
    </font>
    <font>
      <sz val="9"/>
      <name val="Arial Narrow"/>
      <family val="2"/>
    </font>
    <font>
      <sz val="10"/>
      <color indexed="10"/>
      <name val="Arial"/>
      <family val="2"/>
    </font>
    <font>
      <sz val="13"/>
      <name val="Arial"/>
      <family val="2"/>
    </font>
    <font>
      <i/>
      <u/>
      <sz val="10"/>
      <name val="Arial"/>
      <family val="2"/>
    </font>
    <font>
      <b/>
      <sz val="10"/>
      <name val="Arial Narrow"/>
      <family val="2"/>
    </font>
    <font>
      <sz val="11"/>
      <name val="Arial"/>
      <family val="2"/>
    </font>
    <font>
      <sz val="12"/>
      <name val="Helv"/>
    </font>
    <font>
      <b/>
      <sz val="22"/>
      <name val="Arial Black"/>
      <family val="2"/>
    </font>
    <font>
      <b/>
      <sz val="26"/>
      <name val="Arial Narrow"/>
      <family val="2"/>
    </font>
    <font>
      <sz val="10"/>
      <name val="Arial Narrow"/>
      <family val="2"/>
    </font>
    <font>
      <sz val="18"/>
      <name val="Arial"/>
      <family val="2"/>
    </font>
    <font>
      <b/>
      <sz val="9"/>
      <name val="Arial Narrow"/>
      <family val="2"/>
    </font>
    <font>
      <sz val="9"/>
      <name val="Helv"/>
    </font>
    <font>
      <b/>
      <sz val="12"/>
      <name val="Helv"/>
    </font>
    <font>
      <b/>
      <sz val="9"/>
      <name val="Helv"/>
    </font>
    <font>
      <sz val="10"/>
      <name val="Arial"/>
      <family val="2"/>
    </font>
    <font>
      <b/>
      <sz val="12"/>
      <name val="Arial Rounded MT Bold"/>
      <family val="2"/>
    </font>
    <font>
      <b/>
      <sz val="11"/>
      <color indexed="8"/>
      <name val="Calibri"/>
      <family val="2"/>
    </font>
    <font>
      <sz val="11"/>
      <color indexed="8"/>
      <name val="Arial"/>
      <family val="2"/>
    </font>
    <font>
      <b/>
      <sz val="10"/>
      <color indexed="8"/>
      <name val="Calibri"/>
      <family val="2"/>
    </font>
    <font>
      <sz val="10"/>
      <color indexed="8"/>
      <name val="Calibri"/>
      <family val="2"/>
    </font>
    <font>
      <b/>
      <sz val="10"/>
      <color rgb="FFFF0000"/>
      <name val="Arial"/>
      <family val="2"/>
    </font>
    <font>
      <b/>
      <u/>
      <sz val="9"/>
      <name val="Arial"/>
      <family val="2"/>
    </font>
    <font>
      <b/>
      <u/>
      <sz val="12"/>
      <name val="Arial"/>
      <family val="2"/>
    </font>
    <font>
      <u/>
      <sz val="11"/>
      <name val="Arial"/>
      <family val="2"/>
    </font>
    <font>
      <b/>
      <sz val="11"/>
      <color theme="1"/>
      <name val="Calibri"/>
      <family val="2"/>
      <scheme val="minor"/>
    </font>
    <font>
      <sz val="11"/>
      <name val="Calibri"/>
      <family val="2"/>
      <scheme val="minor"/>
    </font>
    <font>
      <sz val="11"/>
      <name val="Arial"/>
      <family val="2"/>
    </font>
    <font>
      <sz val="10"/>
      <name val="Arial"/>
      <family val="2"/>
    </font>
    <font>
      <u val="singleAccounting"/>
      <sz val="10"/>
      <name val="Arial"/>
      <family val="2"/>
    </font>
    <font>
      <sz val="12"/>
      <color theme="1"/>
      <name val="Arial"/>
      <family val="2"/>
    </font>
    <font>
      <b/>
      <sz val="12"/>
      <color theme="1"/>
      <name val="Arial"/>
      <family val="2"/>
    </font>
    <font>
      <b/>
      <sz val="10"/>
      <color theme="1"/>
      <name val="Arial"/>
      <family val="2"/>
    </font>
    <font>
      <b/>
      <sz val="9"/>
      <color theme="1"/>
      <name val="Arial"/>
      <family val="2"/>
    </font>
    <font>
      <sz val="10"/>
      <color theme="1"/>
      <name val="Arial"/>
      <family val="2"/>
    </font>
    <font>
      <sz val="10"/>
      <color indexed="8"/>
      <name val="Arial"/>
      <family val="2"/>
    </font>
    <font>
      <i/>
      <sz val="10"/>
      <color theme="1"/>
      <name val="Arial"/>
      <family val="2"/>
    </font>
    <font>
      <sz val="11"/>
      <color theme="1"/>
      <name val="Arial"/>
      <family val="2"/>
    </font>
    <font>
      <b/>
      <sz val="11"/>
      <color indexed="8"/>
      <name val="Arial"/>
      <family val="2"/>
    </font>
    <font>
      <b/>
      <sz val="10"/>
      <name val="Helv"/>
    </font>
    <font>
      <b/>
      <sz val="10"/>
      <color indexed="8"/>
      <name val="Arial"/>
      <family val="2"/>
    </font>
    <font>
      <sz val="12"/>
      <color indexed="8"/>
      <name val="Arial"/>
      <family val="2"/>
    </font>
    <font>
      <b/>
      <u/>
      <sz val="12"/>
      <color indexed="8"/>
      <name val="Arial"/>
      <family val="2"/>
    </font>
    <font>
      <sz val="10"/>
      <color theme="1"/>
      <name val="Calibri"/>
      <family val="2"/>
      <scheme val="minor"/>
    </font>
    <font>
      <b/>
      <sz val="12"/>
      <color indexed="8"/>
      <name val="Arial"/>
      <family val="2"/>
    </font>
    <font>
      <b/>
      <sz val="9"/>
      <color indexed="8"/>
      <name val="Arial"/>
      <family val="2"/>
    </font>
    <font>
      <b/>
      <i/>
      <sz val="11"/>
      <name val="Arial"/>
      <family val="2"/>
    </font>
    <font>
      <i/>
      <sz val="11"/>
      <name val="Arial"/>
      <family val="2"/>
    </font>
    <font>
      <sz val="12"/>
      <color theme="1"/>
      <name val="Calibri"/>
      <family val="2"/>
      <scheme val="minor"/>
    </font>
    <font>
      <b/>
      <sz val="8"/>
      <color indexed="8"/>
      <name val="Arial"/>
      <family val="2"/>
    </font>
    <font>
      <b/>
      <i/>
      <sz val="10"/>
      <color indexed="8"/>
      <name val="Arial"/>
      <family val="2"/>
    </font>
    <font>
      <b/>
      <sz val="8"/>
      <color theme="1"/>
      <name val="Arial"/>
      <family val="2"/>
    </font>
    <font>
      <sz val="9"/>
      <color theme="1"/>
      <name val="Arial"/>
      <family val="2"/>
    </font>
    <font>
      <b/>
      <i/>
      <sz val="9"/>
      <color theme="1"/>
      <name val="Arial"/>
      <family val="2"/>
    </font>
    <font>
      <sz val="10"/>
      <name val="Calibri"/>
      <family val="2"/>
    </font>
    <font>
      <b/>
      <sz val="10"/>
      <color theme="1"/>
      <name val="Calibri"/>
      <family val="2"/>
      <scheme val="minor"/>
    </font>
    <font>
      <sz val="9"/>
      <color indexed="8"/>
      <name val="Arial"/>
      <family val="2"/>
    </font>
    <font>
      <sz val="8"/>
      <color indexed="8"/>
      <name val="Arial"/>
      <family val="2"/>
    </font>
    <font>
      <b/>
      <sz val="12"/>
      <name val="Arial Narrow"/>
      <family val="2"/>
    </font>
    <font>
      <strike/>
      <sz val="10"/>
      <name val="Arial Narrow"/>
      <family val="2"/>
    </font>
    <font>
      <b/>
      <i/>
      <sz val="10"/>
      <name val="Arial Narrow"/>
      <family val="2"/>
    </font>
    <font>
      <b/>
      <sz val="9"/>
      <name val="Book Antiqua"/>
      <family val="1"/>
    </font>
    <font>
      <b/>
      <u/>
      <sz val="10"/>
      <color indexed="8"/>
      <name val="Arial"/>
      <family val="2"/>
    </font>
    <font>
      <sz val="11"/>
      <name val="Arial"/>
      <family val="2"/>
    </font>
    <font>
      <sz val="9"/>
      <color rgb="FFFF0000"/>
      <name val="Helv"/>
    </font>
    <font>
      <b/>
      <sz val="10"/>
      <color rgb="FFFF0000"/>
      <name val="Arial Narrow"/>
      <family val="2"/>
    </font>
    <font>
      <b/>
      <sz val="9"/>
      <color rgb="FFFF0000"/>
      <name val="Arial Narrow"/>
      <family val="2"/>
    </font>
    <font>
      <b/>
      <sz val="10"/>
      <color rgb="FFFF0000"/>
      <name val="Helv"/>
    </font>
    <font>
      <b/>
      <sz val="11"/>
      <color rgb="FFFF0000"/>
      <name val="Arial"/>
      <family val="2"/>
    </font>
    <font>
      <i/>
      <sz val="11"/>
      <color theme="1"/>
      <name val="Calibri"/>
      <family val="2"/>
      <scheme val="minor"/>
    </font>
    <font>
      <b/>
      <sz val="14"/>
      <name val="Arial"/>
      <family val="2"/>
    </font>
    <font>
      <sz val="14"/>
      <name val="Arial"/>
      <family val="2"/>
    </font>
    <font>
      <b/>
      <sz val="10"/>
      <name val="Calibri"/>
      <family val="2"/>
      <scheme val="minor"/>
    </font>
    <font>
      <sz val="10"/>
      <name val="Calibri"/>
      <family val="2"/>
      <scheme val="minor"/>
    </font>
    <font>
      <sz val="9"/>
      <name val="Calibri"/>
      <family val="2"/>
      <scheme val="minor"/>
    </font>
    <font>
      <b/>
      <sz val="11"/>
      <color theme="1"/>
      <name val="Arial"/>
      <family val="2"/>
    </font>
    <font>
      <strike/>
      <sz val="11"/>
      <color theme="1"/>
      <name val="Arial"/>
      <family val="2"/>
    </font>
    <font>
      <b/>
      <strike/>
      <sz val="11"/>
      <color theme="1"/>
      <name val="Arial"/>
      <family val="2"/>
    </font>
    <font>
      <b/>
      <sz val="9"/>
      <name val="Calibri"/>
      <family val="2"/>
      <scheme val="minor"/>
    </font>
    <font>
      <sz val="8"/>
      <name val="Calibri"/>
      <family val="2"/>
      <scheme val="minor"/>
    </font>
    <font>
      <i/>
      <sz val="10"/>
      <name val="Calibri"/>
      <family val="2"/>
      <scheme val="minor"/>
    </font>
    <font>
      <sz val="11"/>
      <name val="Arial"/>
      <family val="2"/>
    </font>
    <font>
      <b/>
      <sz val="12"/>
      <color theme="1"/>
      <name val="Calibri"/>
      <family val="2"/>
      <scheme val="minor"/>
    </font>
    <font>
      <sz val="11"/>
      <name val="Arial"/>
      <family val="2"/>
    </font>
    <font>
      <i/>
      <sz val="11"/>
      <color indexed="8"/>
      <name val="Calibri"/>
      <family val="2"/>
    </font>
    <font>
      <sz val="12"/>
      <color theme="1"/>
      <name val="Times New Roman"/>
      <family val="1"/>
    </font>
    <font>
      <sz val="12"/>
      <color theme="1"/>
      <name val="Arial Rounded MT Bold"/>
      <family val="2"/>
    </font>
    <font>
      <b/>
      <sz val="12"/>
      <color theme="1"/>
      <name val="Tahoma"/>
      <family val="2"/>
    </font>
    <font>
      <sz val="12"/>
      <color theme="1"/>
      <name val="Tahoma"/>
      <family val="2"/>
    </font>
    <font>
      <sz val="7"/>
      <color theme="1"/>
      <name val="Times New Roman"/>
      <family val="1"/>
    </font>
    <font>
      <b/>
      <sz val="12"/>
      <color indexed="8"/>
      <name val="Berlin Sans FB Demi"/>
      <family val="2"/>
    </font>
    <font>
      <sz val="12"/>
      <color theme="1"/>
      <name val="Berlin Sans FB Demi"/>
      <family val="2"/>
    </font>
    <font>
      <sz val="10"/>
      <color rgb="FFFF0000"/>
      <name val="Arial"/>
      <family val="2"/>
    </font>
    <font>
      <b/>
      <u/>
      <sz val="10"/>
      <color theme="1"/>
      <name val="Arial"/>
      <family val="2"/>
    </font>
    <font>
      <sz val="10"/>
      <color theme="1"/>
      <name val="Arial Narrow"/>
      <family val="2"/>
    </font>
    <font>
      <sz val="12"/>
      <color theme="1"/>
      <name val="Century Gothic"/>
      <family val="2"/>
    </font>
    <font>
      <u/>
      <sz val="12"/>
      <color theme="1"/>
      <name val="Century Gothic"/>
      <family val="2"/>
    </font>
    <font>
      <b/>
      <sz val="12"/>
      <color theme="1"/>
      <name val="Century Gothic"/>
      <family val="2"/>
    </font>
    <font>
      <b/>
      <u/>
      <sz val="12"/>
      <color theme="1"/>
      <name val="Century Gothic"/>
      <family val="2"/>
    </font>
    <font>
      <sz val="11"/>
      <color rgb="FFFF0000"/>
      <name val="Calibri"/>
      <family val="2"/>
      <scheme val="minor"/>
    </font>
    <font>
      <sz val="10"/>
      <name val="Arial"/>
      <family val="2"/>
    </font>
    <font>
      <sz val="10"/>
      <color rgb="FFFF0000"/>
      <name val="Calibri"/>
      <family val="2"/>
      <scheme val="minor"/>
    </font>
    <font>
      <b/>
      <strike/>
      <sz val="12"/>
      <color indexed="8"/>
      <name val="Arial"/>
      <family val="2"/>
    </font>
    <font>
      <sz val="11"/>
      <color theme="1"/>
      <name val="Calibri"/>
      <family val="2"/>
    </font>
    <font>
      <sz val="10"/>
      <color rgb="FF000000"/>
      <name val="Calibri"/>
      <family val="2"/>
      <scheme val="minor"/>
    </font>
    <font>
      <i/>
      <sz val="10"/>
      <color theme="1"/>
      <name val="Calibri"/>
      <family val="2"/>
      <scheme val="minor"/>
    </font>
    <font>
      <sz val="10"/>
      <color rgb="FFFFFFFF"/>
      <name val="Calibri"/>
      <family val="2"/>
      <scheme val="minor"/>
    </font>
    <font>
      <sz val="10"/>
      <color theme="1"/>
      <name val="Symbol"/>
      <family val="1"/>
      <charset val="2"/>
    </font>
    <font>
      <b/>
      <u/>
      <sz val="10"/>
      <color theme="1"/>
      <name val="Calibri"/>
      <family val="2"/>
      <scheme val="minor"/>
    </font>
    <font>
      <vertAlign val="superscript"/>
      <sz val="10"/>
      <color theme="1"/>
      <name val="Calibri"/>
      <family val="2"/>
      <scheme val="minor"/>
    </font>
    <font>
      <sz val="11"/>
      <color rgb="FF000000"/>
      <name val="Calibri"/>
      <family val="2"/>
      <scheme val="minor"/>
    </font>
    <font>
      <sz val="10"/>
      <name val="Arial"/>
      <family val="2"/>
    </font>
    <font>
      <b/>
      <sz val="13"/>
      <name val="Arial"/>
      <family val="2"/>
    </font>
    <font>
      <u/>
      <sz val="10"/>
      <color theme="1"/>
      <name val="Arial"/>
      <family val="2"/>
    </font>
    <font>
      <b/>
      <sz val="7"/>
      <color theme="1"/>
      <name val="Times New Roman"/>
      <family val="1"/>
    </font>
    <font>
      <sz val="11"/>
      <color theme="1"/>
      <name val="Symbol"/>
      <family val="1"/>
      <charset val="2"/>
    </font>
    <font>
      <b/>
      <sz val="10"/>
      <name val="Calibri"/>
      <family val="2"/>
    </font>
    <font>
      <sz val="9"/>
      <color theme="1"/>
      <name val="Calibri"/>
      <family val="2"/>
      <scheme val="minor"/>
    </font>
    <font>
      <b/>
      <sz val="8"/>
      <color theme="1"/>
      <name val="Calibri"/>
      <family val="2"/>
      <scheme val="minor"/>
    </font>
    <font>
      <sz val="11"/>
      <color rgb="FFFF0000"/>
      <name val="Arial"/>
      <family val="2"/>
    </font>
    <font>
      <sz val="10"/>
      <color theme="3" tint="0.39997558519241921"/>
      <name val="Arial"/>
      <family val="2"/>
    </font>
    <font>
      <b/>
      <u/>
      <sz val="11"/>
      <color theme="1"/>
      <name val="Calibri"/>
      <family val="2"/>
      <scheme val="minor"/>
    </font>
    <font>
      <sz val="11"/>
      <name val="Helv"/>
    </font>
    <font>
      <sz val="11"/>
      <name val="Arial Narrow"/>
      <family val="2"/>
    </font>
    <font>
      <b/>
      <sz val="10"/>
      <color theme="6" tint="-0.249977111117893"/>
      <name val="Helv"/>
    </font>
    <font>
      <b/>
      <sz val="9"/>
      <color theme="6" tint="-0.249977111117893"/>
      <name val="Arial Narrow"/>
      <family val="2"/>
    </font>
    <font>
      <b/>
      <sz val="10"/>
      <color theme="6" tint="-0.249977111117893"/>
      <name val="Arial Narrow"/>
      <family val="2"/>
    </font>
    <font>
      <b/>
      <sz val="12"/>
      <color theme="6" tint="-0.249977111117893"/>
      <name val="Helv"/>
    </font>
    <font>
      <b/>
      <sz val="14"/>
      <name val="Arial Black"/>
      <family val="2"/>
    </font>
    <font>
      <b/>
      <sz val="14"/>
      <color rgb="FFFF0000"/>
      <name val="Arial Black"/>
      <family val="2"/>
    </font>
    <font>
      <b/>
      <sz val="14"/>
      <color theme="6" tint="-0.249977111117893"/>
      <name val="Arial Black"/>
      <family val="2"/>
    </font>
    <font>
      <b/>
      <sz val="14"/>
      <name val="Arial Narrow"/>
      <family val="2"/>
    </font>
    <font>
      <sz val="14"/>
      <name val="Helv"/>
    </font>
    <font>
      <b/>
      <sz val="14"/>
      <name val="Helv"/>
    </font>
    <font>
      <b/>
      <sz val="11"/>
      <name val="Calibri"/>
      <family val="2"/>
    </font>
    <font>
      <sz val="12"/>
      <color theme="1"/>
      <name val="Wingdings"/>
      <charset val="2"/>
    </font>
    <font>
      <sz val="8"/>
      <color theme="1"/>
      <name val="Calibri"/>
      <family val="2"/>
      <scheme val="minor"/>
    </font>
    <font>
      <b/>
      <i/>
      <sz val="11"/>
      <color theme="1"/>
      <name val="Calibri"/>
      <family val="2"/>
      <scheme val="minor"/>
    </font>
    <font>
      <b/>
      <i/>
      <u/>
      <sz val="11"/>
      <name val="Arial"/>
      <family val="2"/>
    </font>
    <font>
      <sz val="10"/>
      <color rgb="FFFF3300"/>
      <name val="Arial"/>
      <family val="2"/>
    </font>
    <font>
      <b/>
      <sz val="10"/>
      <color rgb="FFFF3300"/>
      <name val="Arial"/>
      <family val="2"/>
    </font>
    <font>
      <sz val="9.5"/>
      <name val="Arial"/>
      <family val="2"/>
    </font>
    <font>
      <sz val="11"/>
      <color rgb="FF0000FF"/>
      <name val="Calibri"/>
      <family val="2"/>
      <scheme val="minor"/>
    </font>
    <font>
      <sz val="10"/>
      <name val="Arial"/>
      <family val="2"/>
    </font>
    <font>
      <sz val="9"/>
      <name val="Arial"/>
      <family val="2"/>
    </font>
    <font>
      <sz val="8"/>
      <name val="Arial"/>
      <family val="2"/>
    </font>
    <font>
      <b/>
      <sz val="11"/>
      <name val="Arial Narrow"/>
      <family val="2"/>
    </font>
    <font>
      <b/>
      <i/>
      <sz val="11"/>
      <name val="Arial Narrow"/>
      <family val="2"/>
    </font>
    <font>
      <sz val="11"/>
      <color indexed="10"/>
      <name val="Arial Narrow"/>
      <family val="2"/>
    </font>
    <font>
      <vertAlign val="superscript"/>
      <sz val="10"/>
      <color theme="1"/>
      <name val="Arial"/>
      <family val="2"/>
    </font>
    <font>
      <sz val="10"/>
      <color theme="1"/>
      <name val="Courier New"/>
      <family val="3"/>
    </font>
    <font>
      <b/>
      <i/>
      <sz val="14"/>
      <color indexed="8"/>
      <name val="Calibri"/>
      <family val="2"/>
    </font>
    <font>
      <b/>
      <sz val="12"/>
      <color indexed="8"/>
      <name val="Calibri"/>
      <family val="2"/>
    </font>
    <font>
      <sz val="11"/>
      <name val="Arial"/>
      <family val="2"/>
    </font>
    <font>
      <sz val="11"/>
      <color theme="1"/>
      <name val="Arial Narrow"/>
      <family val="2"/>
    </font>
    <font>
      <b/>
      <sz val="11"/>
      <color theme="1"/>
      <name val="Arial Narrow"/>
      <family val="2"/>
    </font>
    <font>
      <b/>
      <sz val="10"/>
      <color rgb="FFFFFFFF"/>
      <name val="Calibri"/>
      <family val="2"/>
      <scheme val="minor"/>
    </font>
    <font>
      <i/>
      <u/>
      <sz val="11"/>
      <color rgb="FF000000"/>
      <name val="Calibri"/>
      <family val="2"/>
      <scheme val="minor"/>
    </font>
    <font>
      <b/>
      <sz val="6"/>
      <name val="Arial"/>
      <family val="2"/>
    </font>
    <font>
      <sz val="8"/>
      <color indexed="12"/>
      <name val="Arial"/>
      <family val="2"/>
    </font>
    <font>
      <b/>
      <sz val="10"/>
      <color indexed="12"/>
      <name val="Arial"/>
      <family val="2"/>
    </font>
    <font>
      <b/>
      <u val="singleAccounting"/>
      <sz val="10"/>
      <name val="Arial"/>
      <family val="2"/>
    </font>
    <font>
      <b/>
      <u/>
      <sz val="13"/>
      <name val="Arial"/>
      <family val="2"/>
    </font>
    <font>
      <b/>
      <i/>
      <u/>
      <sz val="11"/>
      <color theme="1"/>
      <name val="Calibri"/>
      <family val="2"/>
      <scheme val="minor"/>
    </font>
    <font>
      <sz val="10"/>
      <name val="Cambria"/>
      <family val="1"/>
    </font>
    <font>
      <sz val="10"/>
      <color theme="1"/>
      <name val="Cambria"/>
      <family val="1"/>
    </font>
    <font>
      <b/>
      <sz val="10"/>
      <color theme="1"/>
      <name val="Cambria"/>
      <family val="1"/>
    </font>
    <font>
      <sz val="10"/>
      <color rgb="FF000000"/>
      <name val="Cambria"/>
      <family val="1"/>
    </font>
    <font>
      <b/>
      <i/>
      <sz val="10"/>
      <color theme="1"/>
      <name val="Cambria"/>
      <family val="1"/>
    </font>
    <font>
      <b/>
      <sz val="10"/>
      <color rgb="FFFF0000"/>
      <name val="Cambria"/>
      <family val="1"/>
    </font>
    <font>
      <sz val="10"/>
      <color rgb="FFFF0000"/>
      <name val="Cambria"/>
      <family val="1"/>
    </font>
    <font>
      <b/>
      <sz val="10"/>
      <color rgb="FF000000"/>
      <name val="Cambria"/>
      <family val="1"/>
    </font>
    <font>
      <b/>
      <sz val="10"/>
      <color rgb="FFC00000"/>
      <name val="Cambria"/>
      <family val="1"/>
    </font>
    <font>
      <sz val="10"/>
      <name val="Arial"/>
      <family val="2"/>
    </font>
    <font>
      <b/>
      <sz val="11"/>
      <color theme="1"/>
      <name val="Candara"/>
      <family val="2"/>
    </font>
    <font>
      <b/>
      <sz val="12"/>
      <color theme="1"/>
      <name val="Candara"/>
      <family val="2"/>
    </font>
    <font>
      <sz val="11"/>
      <color indexed="8"/>
      <name val="Arial Narrow"/>
      <family val="2"/>
    </font>
    <font>
      <b/>
      <u/>
      <sz val="12"/>
      <color theme="1"/>
      <name val="Calibri"/>
      <family val="2"/>
      <scheme val="minor"/>
    </font>
    <font>
      <i/>
      <sz val="11"/>
      <color theme="1"/>
      <name val="Arial"/>
      <family val="2"/>
    </font>
    <font>
      <i/>
      <sz val="10"/>
      <name val="Arial Narrow"/>
      <family val="2"/>
    </font>
    <font>
      <u val="singleAccounting"/>
      <sz val="11"/>
      <color theme="1"/>
      <name val="Candara"/>
      <family val="2"/>
    </font>
    <font>
      <b/>
      <u val="singleAccounting"/>
      <sz val="11"/>
      <color theme="1"/>
      <name val="Candara"/>
      <family val="2"/>
    </font>
    <font>
      <b/>
      <u val="doubleAccounting"/>
      <sz val="11"/>
      <color theme="1"/>
      <name val="Candara"/>
      <family val="2"/>
    </font>
    <font>
      <b/>
      <sz val="11"/>
      <name val="Candara"/>
      <family val="2"/>
    </font>
    <font>
      <sz val="11"/>
      <name val="Candara"/>
      <family val="2"/>
    </font>
    <font>
      <b/>
      <sz val="10"/>
      <name val="Candara"/>
      <family val="2"/>
    </font>
    <font>
      <sz val="10"/>
      <name val="Candara"/>
      <family val="2"/>
    </font>
    <font>
      <b/>
      <strike/>
      <sz val="10"/>
      <name val="Candara"/>
      <family val="2"/>
    </font>
    <font>
      <i/>
      <u/>
      <sz val="10"/>
      <name val="Candara"/>
      <family val="2"/>
    </font>
    <font>
      <strike/>
      <sz val="10"/>
      <name val="Candara"/>
      <family val="2"/>
    </font>
    <font>
      <u val="singleAccounting"/>
      <sz val="10"/>
      <name val="Candara"/>
      <family val="2"/>
    </font>
    <font>
      <b/>
      <u/>
      <sz val="11"/>
      <name val="Arial Narrow"/>
      <family val="2"/>
    </font>
    <font>
      <b/>
      <sz val="11"/>
      <color indexed="8"/>
      <name val="Arial Narrow"/>
      <family val="2"/>
    </font>
    <font>
      <u/>
      <sz val="11"/>
      <name val="Arial Narrow"/>
      <family val="2"/>
    </font>
    <font>
      <vertAlign val="superscript"/>
      <sz val="9"/>
      <color theme="1"/>
      <name val="Arial"/>
      <family val="2"/>
    </font>
    <font>
      <b/>
      <u/>
      <sz val="11"/>
      <color theme="1"/>
      <name val="Arial"/>
      <family val="2"/>
    </font>
    <font>
      <sz val="7"/>
      <color theme="1"/>
      <name val="Arial"/>
      <family val="2"/>
    </font>
    <font>
      <sz val="11"/>
      <color rgb="FF000000"/>
      <name val="Arial"/>
      <family val="2"/>
    </font>
    <font>
      <b/>
      <sz val="11"/>
      <color rgb="FF000000"/>
      <name val="Arial"/>
      <family val="2"/>
    </font>
    <font>
      <b/>
      <u/>
      <sz val="10"/>
      <name val="Arial Narrow"/>
      <family val="2"/>
    </font>
    <font>
      <b/>
      <sz val="10"/>
      <color indexed="12"/>
      <name val="Arial Narrow"/>
      <family val="2"/>
    </font>
    <font>
      <sz val="10"/>
      <color rgb="FFFF0000"/>
      <name val="Arial Narrow"/>
      <family val="2"/>
    </font>
    <font>
      <sz val="10"/>
      <color indexed="12"/>
      <name val="Arial Narrow"/>
      <family val="2"/>
    </font>
    <font>
      <b/>
      <sz val="11"/>
      <color theme="1"/>
      <name val="Calibri"/>
      <family val="2"/>
    </font>
    <font>
      <b/>
      <sz val="10"/>
      <color theme="1"/>
      <name val="Arial Narrow"/>
      <family val="2"/>
    </font>
    <font>
      <b/>
      <sz val="10"/>
      <color indexed="8"/>
      <name val="Arial Narrow"/>
      <family val="2"/>
    </font>
    <font>
      <sz val="10"/>
      <color indexed="8"/>
      <name val="Arial Narrow"/>
      <family val="2"/>
    </font>
    <font>
      <sz val="10"/>
      <color rgb="FF000000"/>
      <name val="Arial Narrow"/>
      <family val="2"/>
    </font>
    <font>
      <u/>
      <sz val="10"/>
      <color theme="1"/>
      <name val="Arial Narrow"/>
      <family val="2"/>
    </font>
    <font>
      <i/>
      <sz val="10"/>
      <color theme="1"/>
      <name val="Arial Narrow"/>
      <family val="2"/>
    </font>
    <font>
      <b/>
      <u/>
      <sz val="10"/>
      <color theme="1"/>
      <name val="Arial Narrow"/>
      <family val="2"/>
    </font>
    <font>
      <b/>
      <vertAlign val="superscript"/>
      <sz val="10"/>
      <color theme="1"/>
      <name val="Arial Narrow"/>
      <family val="2"/>
    </font>
    <font>
      <i/>
      <sz val="12"/>
      <name val="Arial"/>
      <family val="2"/>
    </font>
    <font>
      <u/>
      <sz val="10"/>
      <name val="Calibri"/>
      <family val="2"/>
    </font>
    <font>
      <i/>
      <sz val="10"/>
      <color indexed="8"/>
      <name val="Arial"/>
      <family val="2"/>
    </font>
    <font>
      <b/>
      <sz val="10"/>
      <color theme="1"/>
      <name val="Candara"/>
      <family val="2"/>
    </font>
    <font>
      <sz val="10"/>
      <color theme="1"/>
      <name val="Candara"/>
      <family val="2"/>
    </font>
    <font>
      <sz val="12"/>
      <color theme="1"/>
      <name val="Candara"/>
      <family val="2"/>
    </font>
    <font>
      <b/>
      <sz val="12"/>
      <color indexed="8"/>
      <name val="Cambria"/>
      <family val="1"/>
    </font>
    <font>
      <sz val="12"/>
      <name val="Cambria"/>
      <family val="1"/>
    </font>
    <font>
      <b/>
      <sz val="12"/>
      <color theme="1"/>
      <name val="Cambria"/>
      <family val="1"/>
    </font>
    <font>
      <b/>
      <sz val="11"/>
      <color indexed="8"/>
      <name val="Cambria"/>
      <family val="1"/>
    </font>
    <font>
      <sz val="12"/>
      <color theme="1"/>
      <name val="Cambria"/>
      <family val="1"/>
    </font>
    <font>
      <b/>
      <i/>
      <sz val="10"/>
      <color theme="1"/>
      <name val="Arial Narrow"/>
      <family val="2"/>
    </font>
    <font>
      <i/>
      <u/>
      <sz val="11"/>
      <color theme="1"/>
      <name val="Arial Narrow"/>
      <family val="2"/>
    </font>
    <font>
      <sz val="10"/>
      <color indexed="8"/>
      <name val="Candara"/>
      <family val="2"/>
    </font>
    <font>
      <b/>
      <sz val="11"/>
      <color indexed="8"/>
      <name val="Candara"/>
      <family val="2"/>
    </font>
    <font>
      <sz val="11"/>
      <color indexed="8"/>
      <name val="Candara"/>
      <family val="2"/>
    </font>
    <font>
      <sz val="13"/>
      <color theme="1"/>
      <name val="Arial"/>
      <family val="2"/>
    </font>
    <font>
      <i/>
      <u/>
      <sz val="11"/>
      <name val="Arial Narrow"/>
      <family val="2"/>
    </font>
    <font>
      <i/>
      <sz val="12"/>
      <color indexed="8"/>
      <name val="Candara"/>
      <family val="2"/>
    </font>
    <font>
      <sz val="9"/>
      <name val="Candara"/>
      <family val="2"/>
    </font>
    <font>
      <b/>
      <sz val="11"/>
      <color rgb="FF0000FF"/>
      <name val="Calibri"/>
      <family val="2"/>
      <scheme val="minor"/>
    </font>
    <font>
      <b/>
      <sz val="11"/>
      <color rgb="FF0000FF"/>
      <name val="Arial"/>
      <family val="2"/>
    </font>
    <font>
      <b/>
      <sz val="11"/>
      <color rgb="FF7030A0"/>
      <name val="Arial"/>
      <family val="2"/>
    </font>
    <font>
      <b/>
      <i/>
      <u val="singleAccounting"/>
      <sz val="11"/>
      <color theme="1"/>
      <name val="Calibri"/>
      <family val="2"/>
      <scheme val="minor"/>
    </font>
    <font>
      <u val="singleAccounting"/>
      <sz val="11"/>
      <color theme="1"/>
      <name val="Calibri"/>
      <family val="2"/>
      <scheme val="minor"/>
    </font>
    <font>
      <sz val="10"/>
      <color rgb="FF0000FF"/>
      <name val="Calibri"/>
      <family val="2"/>
      <scheme val="minor"/>
    </font>
    <font>
      <sz val="10"/>
      <color indexed="8"/>
      <name val="Calibri"/>
      <family val="2"/>
      <scheme val="minor"/>
    </font>
    <font>
      <sz val="11"/>
      <color theme="3" tint="0.39997558519241921"/>
      <name val="Arial"/>
      <family val="2"/>
    </font>
    <font>
      <b/>
      <sz val="11"/>
      <color theme="3" tint="0.39997558519241921"/>
      <name val="Arial"/>
      <family val="2"/>
    </font>
    <font>
      <b/>
      <sz val="12"/>
      <name val="Candara"/>
      <family val="2"/>
    </font>
    <font>
      <b/>
      <sz val="18"/>
      <color theme="1"/>
      <name val="Arial Rounded MT Bold"/>
      <family val="2"/>
    </font>
    <font>
      <b/>
      <sz val="18"/>
      <color theme="1"/>
      <name val="Century Gothic"/>
      <family val="2"/>
    </font>
    <font>
      <b/>
      <sz val="10"/>
      <color rgb="FF00B050"/>
      <name val="Arial Narrow"/>
      <family val="2"/>
    </font>
    <font>
      <sz val="11"/>
      <color rgb="FFFF0000"/>
      <name val="Candara"/>
      <family val="2"/>
    </font>
    <font>
      <sz val="10"/>
      <color rgb="FFFF0000"/>
      <name val="Candara"/>
      <family val="2"/>
    </font>
    <font>
      <b/>
      <sz val="8"/>
      <name val="Candara"/>
      <family val="2"/>
    </font>
    <font>
      <sz val="8"/>
      <name val="Candara"/>
      <family val="2"/>
    </font>
    <font>
      <i/>
      <sz val="11"/>
      <name val="Candara"/>
      <family val="2"/>
    </font>
    <font>
      <b/>
      <u/>
      <sz val="11"/>
      <name val="Candara"/>
      <family val="2"/>
    </font>
    <font>
      <b/>
      <u/>
      <sz val="11"/>
      <name val="Calibri"/>
      <family val="2"/>
    </font>
    <font>
      <sz val="11"/>
      <name val="Calibri"/>
      <family val="2"/>
    </font>
    <font>
      <i/>
      <sz val="11"/>
      <name val="Calibri"/>
      <family val="2"/>
    </font>
    <font>
      <i/>
      <u/>
      <sz val="11"/>
      <name val="Candara"/>
      <family val="2"/>
    </font>
    <font>
      <b/>
      <i/>
      <sz val="11"/>
      <name val="Candara"/>
      <family val="2"/>
    </font>
    <font>
      <b/>
      <strike/>
      <sz val="11"/>
      <name val="Candara"/>
      <family val="2"/>
    </font>
    <font>
      <strike/>
      <sz val="11"/>
      <name val="Candara"/>
      <family val="2"/>
    </font>
    <font>
      <b/>
      <u val="singleAccounting"/>
      <sz val="11"/>
      <name val="Candara"/>
      <family val="2"/>
    </font>
    <font>
      <u val="singleAccounting"/>
      <sz val="11"/>
      <name val="Candara"/>
      <family val="2"/>
    </font>
    <font>
      <vertAlign val="superscript"/>
      <sz val="11"/>
      <name val="Candara"/>
      <family val="2"/>
    </font>
    <font>
      <u/>
      <sz val="11"/>
      <name val="Candara"/>
      <family val="2"/>
    </font>
    <font>
      <strike/>
      <sz val="11"/>
      <color theme="1"/>
      <name val="Candara"/>
      <family val="2"/>
    </font>
    <font>
      <b/>
      <strike/>
      <sz val="11"/>
      <color theme="1"/>
      <name val="Candara"/>
      <family val="2"/>
    </font>
    <font>
      <u/>
      <sz val="11"/>
      <color indexed="8"/>
      <name val="Candara"/>
      <family val="2"/>
    </font>
    <font>
      <i/>
      <sz val="11"/>
      <color theme="1"/>
      <name val="Candara"/>
      <family val="2"/>
    </font>
    <font>
      <i/>
      <sz val="12"/>
      <color theme="1"/>
      <name val="Candara"/>
      <family val="2"/>
    </font>
    <font>
      <b/>
      <sz val="11"/>
      <color rgb="FFFF0000"/>
      <name val="Candara"/>
      <family val="2"/>
    </font>
    <font>
      <i/>
      <sz val="11"/>
      <color rgb="FFFF0000"/>
      <name val="Candara"/>
      <family val="2"/>
    </font>
    <font>
      <b/>
      <strike/>
      <sz val="11"/>
      <color rgb="FFFF0000"/>
      <name val="Candara"/>
      <family val="2"/>
    </font>
    <font>
      <b/>
      <i/>
      <sz val="11"/>
      <color rgb="FFFF0000"/>
      <name val="Candara"/>
      <family val="2"/>
    </font>
    <font>
      <strike/>
      <sz val="11"/>
      <color rgb="FFFF0000"/>
      <name val="Candara"/>
      <family val="2"/>
    </font>
    <font>
      <sz val="11"/>
      <color theme="9" tint="-0.499984740745262"/>
      <name val="Candara"/>
      <family val="2"/>
    </font>
    <font>
      <b/>
      <sz val="9"/>
      <color theme="9" tint="-0.499984740745262"/>
      <name val="Candara"/>
      <family val="2"/>
    </font>
    <font>
      <b/>
      <sz val="9"/>
      <name val="Candara"/>
      <family val="2"/>
    </font>
    <font>
      <sz val="9"/>
      <color theme="9" tint="-0.499984740745262"/>
      <name val="Candara"/>
      <family val="2"/>
    </font>
    <font>
      <b/>
      <sz val="11"/>
      <color theme="9" tint="-0.499984740745262"/>
      <name val="Candara"/>
      <family val="2"/>
    </font>
    <font>
      <b/>
      <sz val="12"/>
      <color theme="9" tint="-0.499984740745262"/>
      <name val="Candara"/>
      <family val="2"/>
    </font>
    <font>
      <b/>
      <sz val="9"/>
      <color theme="5" tint="-0.249977111117893"/>
      <name val="Candara"/>
      <family val="2"/>
    </font>
    <font>
      <b/>
      <sz val="9"/>
      <color rgb="FF0000FF"/>
      <name val="Candara"/>
      <family val="2"/>
    </font>
    <font>
      <b/>
      <vertAlign val="superscript"/>
      <sz val="11"/>
      <color rgb="FFFF0000"/>
      <name val="Candara"/>
      <family val="2"/>
    </font>
    <font>
      <b/>
      <sz val="11"/>
      <name val="Calibri"/>
      <family val="2"/>
      <scheme val="minor"/>
    </font>
    <font>
      <b/>
      <u/>
      <sz val="12"/>
      <name val="Candara"/>
      <family val="2"/>
    </font>
    <font>
      <sz val="12"/>
      <name val="Candara"/>
      <family val="2"/>
    </font>
    <font>
      <i/>
      <sz val="12"/>
      <name val="Candara"/>
      <family val="2"/>
    </font>
    <font>
      <i/>
      <u/>
      <sz val="12"/>
      <name val="Candara"/>
      <family val="2"/>
    </font>
    <font>
      <b/>
      <i/>
      <sz val="12"/>
      <name val="Candara"/>
      <family val="2"/>
    </font>
    <font>
      <u/>
      <sz val="12"/>
      <name val="Candara"/>
      <family val="2"/>
    </font>
    <font>
      <b/>
      <i/>
      <u/>
      <sz val="12"/>
      <name val="Candara"/>
      <family val="2"/>
    </font>
    <font>
      <b/>
      <sz val="22"/>
      <color theme="1"/>
      <name val="Arial Black"/>
      <family val="2"/>
    </font>
    <font>
      <b/>
      <sz val="26"/>
      <color theme="1"/>
      <name val="Arial Narrow"/>
      <family val="2"/>
    </font>
    <font>
      <sz val="10"/>
      <color theme="1"/>
      <name val="Helv"/>
    </font>
    <font>
      <b/>
      <sz val="10"/>
      <color theme="1"/>
      <name val="Helv"/>
    </font>
    <font>
      <b/>
      <sz val="8"/>
      <color theme="1"/>
      <name val="Arial Narrow"/>
      <family val="2"/>
    </font>
    <font>
      <sz val="9"/>
      <color theme="1"/>
      <name val="Helv"/>
    </font>
    <font>
      <b/>
      <sz val="10"/>
      <color theme="1"/>
      <name val="Cambria"/>
      <family val="1"/>
      <scheme val="major"/>
    </font>
    <font>
      <b/>
      <sz val="12"/>
      <color theme="1"/>
      <name val="Helv"/>
    </font>
    <font>
      <b/>
      <sz val="22"/>
      <color rgb="FF00B050"/>
      <name val="Arial Black"/>
      <family val="2"/>
    </font>
    <font>
      <b/>
      <sz val="10"/>
      <color rgb="FF00B050"/>
      <name val="Helv"/>
    </font>
    <font>
      <b/>
      <sz val="11"/>
      <color rgb="FF00B050"/>
      <name val="Arial"/>
      <family val="2"/>
    </font>
    <font>
      <b/>
      <sz val="9"/>
      <color rgb="FF00B050"/>
      <name val="Arial"/>
      <family val="2"/>
    </font>
    <font>
      <b/>
      <sz val="22"/>
      <color rgb="FF7030A0"/>
      <name val="Arial Black"/>
      <family val="2"/>
    </font>
    <font>
      <sz val="10"/>
      <color rgb="FF7030A0"/>
      <name val="Helv"/>
    </font>
    <font>
      <sz val="10"/>
      <color rgb="FF7030A0"/>
      <name val="Arial Narrow"/>
      <family val="2"/>
    </font>
    <font>
      <b/>
      <sz val="10"/>
      <color rgb="FF7030A0"/>
      <name val="Arial Narrow"/>
      <family val="2"/>
    </font>
    <font>
      <sz val="11"/>
      <color rgb="FF7030A0"/>
      <name val="Arial"/>
      <family val="2"/>
    </font>
    <font>
      <b/>
      <sz val="9"/>
      <color rgb="FF7030A0"/>
      <name val="Arial"/>
      <family val="2"/>
    </font>
    <font>
      <b/>
      <sz val="12"/>
      <color theme="1"/>
      <name val="Calibri"/>
      <family val="2"/>
    </font>
    <font>
      <b/>
      <sz val="12"/>
      <name val="Calibri"/>
      <family val="2"/>
    </font>
    <font>
      <sz val="12"/>
      <name val="Calibri"/>
      <family val="2"/>
    </font>
    <font>
      <sz val="10"/>
      <color theme="1"/>
      <name val="Calibri"/>
      <family val="2"/>
    </font>
    <font>
      <b/>
      <sz val="10"/>
      <color theme="1"/>
      <name val="Calibri"/>
      <family val="2"/>
    </font>
    <font>
      <i/>
      <sz val="10"/>
      <color indexed="8"/>
      <name val="Calibri"/>
      <family val="2"/>
    </font>
    <font>
      <sz val="12"/>
      <color theme="1"/>
      <name val="Calibri"/>
      <family val="2"/>
    </font>
    <font>
      <b/>
      <sz val="14"/>
      <name val="Candara"/>
      <family val="2"/>
    </font>
    <font>
      <sz val="12"/>
      <color rgb="FFFF0000"/>
      <name val="Arial"/>
      <family val="2"/>
    </font>
    <font>
      <b/>
      <sz val="11"/>
      <color rgb="FF00B050"/>
      <name val="Candara"/>
      <family val="2"/>
    </font>
    <font>
      <sz val="11"/>
      <color rgb="FF00B050"/>
      <name val="Candara"/>
      <family val="2"/>
    </font>
    <font>
      <b/>
      <sz val="10"/>
      <color rgb="FFFF0000"/>
      <name val="Candara"/>
      <family val="2"/>
    </font>
    <font>
      <b/>
      <sz val="10"/>
      <color rgb="FF00B050"/>
      <name val="Candara"/>
      <family val="2"/>
    </font>
    <font>
      <sz val="10"/>
      <color rgb="FF00B050"/>
      <name val="Candara"/>
      <family val="2"/>
    </font>
    <font>
      <b/>
      <sz val="12"/>
      <color rgb="FF00B050"/>
      <name val="Candara"/>
      <family val="2"/>
    </font>
    <font>
      <b/>
      <sz val="11"/>
      <color rgb="FFFF0000"/>
      <name val="Arial Narrow"/>
      <family val="2"/>
    </font>
    <font>
      <sz val="11"/>
      <color rgb="FFFF0000"/>
      <name val="Arial Narrow"/>
      <family val="2"/>
    </font>
    <font>
      <sz val="10"/>
      <color rgb="FFFF3300"/>
      <name val="Candara"/>
      <family val="2"/>
    </font>
    <font>
      <u val="singleAccounting"/>
      <sz val="10"/>
      <color rgb="FFFF3300"/>
      <name val="Candara"/>
      <family val="2"/>
    </font>
    <font>
      <u/>
      <sz val="10"/>
      <color rgb="FFFF3300"/>
      <name val="Candara"/>
      <family val="2"/>
    </font>
    <font>
      <b/>
      <sz val="11"/>
      <color rgb="FFFF3300"/>
      <name val="Candara"/>
      <family val="2"/>
    </font>
    <font>
      <b/>
      <sz val="11"/>
      <color rgb="FF00FF00"/>
      <name val="Candara"/>
      <family val="2"/>
    </font>
    <font>
      <b/>
      <sz val="11"/>
      <color rgb="FFC00000"/>
      <name val="Candara"/>
      <family val="2"/>
    </font>
    <font>
      <b/>
      <sz val="8"/>
      <color rgb="FF00B050"/>
      <name val="Arial Narrow"/>
      <family val="2"/>
    </font>
    <font>
      <sz val="8"/>
      <color rgb="FF7030A0"/>
      <name val="Arial Narrow"/>
      <family val="2"/>
    </font>
    <font>
      <b/>
      <u val="doubleAccounting"/>
      <sz val="11"/>
      <name val="Candara"/>
      <family val="2"/>
    </font>
    <font>
      <sz val="13"/>
      <name val="Candara"/>
      <family val="2"/>
    </font>
    <font>
      <b/>
      <sz val="13"/>
      <name val="Candara"/>
      <family val="2"/>
    </font>
    <font>
      <sz val="12"/>
      <color indexed="8"/>
      <name val="Candara"/>
      <family val="2"/>
    </font>
    <font>
      <b/>
      <sz val="12"/>
      <color indexed="8"/>
      <name val="Candara"/>
      <family val="2"/>
    </font>
    <font>
      <b/>
      <i/>
      <sz val="10"/>
      <name val="Calibri"/>
      <family val="2"/>
      <scheme val="minor"/>
    </font>
    <font>
      <u val="singleAccounting"/>
      <sz val="12"/>
      <name val="Candara"/>
      <family val="2"/>
    </font>
    <font>
      <i/>
      <u val="singleAccounting"/>
      <sz val="11"/>
      <color theme="1"/>
      <name val="Candara"/>
      <family val="2"/>
    </font>
    <font>
      <sz val="11"/>
      <color rgb="FFF329E9"/>
      <name val="Candara"/>
      <family val="2"/>
    </font>
    <font>
      <b/>
      <u val="singleAccounting"/>
      <sz val="10"/>
      <name val="Candara"/>
      <family val="2"/>
    </font>
    <font>
      <b/>
      <u val="singleAccounting"/>
      <sz val="10"/>
      <color rgb="FFFF3300"/>
      <name val="Candara"/>
      <family val="2"/>
    </font>
    <font>
      <b/>
      <sz val="10"/>
      <color rgb="FFF329E9"/>
      <name val="Candara"/>
      <family val="2"/>
    </font>
    <font>
      <sz val="10"/>
      <color rgb="FFF329E9"/>
      <name val="Candara"/>
      <family val="2"/>
    </font>
    <font>
      <sz val="12"/>
      <name val="Arial Narrow"/>
      <family val="2"/>
    </font>
    <font>
      <i/>
      <u/>
      <sz val="12"/>
      <name val="Arial Narrow"/>
      <family val="2"/>
    </font>
    <font>
      <i/>
      <sz val="12"/>
      <name val="Arial Narrow"/>
      <family val="2"/>
    </font>
    <font>
      <sz val="12"/>
      <name val="Calibri"/>
      <family val="2"/>
      <scheme val="minor"/>
    </font>
    <font>
      <i/>
      <u val="singleAccounting"/>
      <sz val="12"/>
      <name val="Candara"/>
      <family val="2"/>
    </font>
    <font>
      <u val="double"/>
      <sz val="12"/>
      <name val="Candara"/>
      <family val="2"/>
    </font>
    <font>
      <b/>
      <sz val="20"/>
      <name val="Arial"/>
      <family val="2"/>
    </font>
    <font>
      <b/>
      <sz val="12"/>
      <name val="Calibri"/>
      <family val="2"/>
      <scheme val="minor"/>
    </font>
    <font>
      <b/>
      <sz val="18"/>
      <name val="Calibri"/>
      <family val="2"/>
      <scheme val="minor"/>
    </font>
    <font>
      <b/>
      <sz val="8"/>
      <name val="Calibri"/>
      <family val="2"/>
      <scheme val="minor"/>
    </font>
    <font>
      <b/>
      <vertAlign val="superscript"/>
      <sz val="9"/>
      <name val="Calibri"/>
      <family val="2"/>
      <scheme val="minor"/>
    </font>
    <font>
      <b/>
      <strike/>
      <sz val="9"/>
      <name val="Calibri"/>
      <family val="2"/>
      <scheme val="minor"/>
    </font>
    <font>
      <b/>
      <i/>
      <sz val="8"/>
      <name val="Calibri"/>
      <family val="2"/>
      <scheme val="minor"/>
    </font>
    <font>
      <b/>
      <i/>
      <sz val="9"/>
      <name val="Calibri"/>
      <family val="2"/>
      <scheme val="minor"/>
    </font>
    <font>
      <u/>
      <sz val="10"/>
      <name val="Calibri"/>
      <family val="2"/>
      <scheme val="minor"/>
    </font>
    <font>
      <i/>
      <u/>
      <sz val="10"/>
      <name val="Calibri"/>
      <family val="2"/>
      <scheme val="minor"/>
    </font>
    <font>
      <i/>
      <u/>
      <sz val="8"/>
      <name val="Calibri"/>
      <family val="2"/>
      <scheme val="minor"/>
    </font>
    <font>
      <b/>
      <i/>
      <u/>
      <sz val="8"/>
      <name val="Calibri"/>
      <family val="2"/>
      <scheme val="minor"/>
    </font>
    <font>
      <i/>
      <sz val="9"/>
      <name val="Calibri"/>
      <family val="2"/>
      <scheme val="minor"/>
    </font>
    <font>
      <strike/>
      <sz val="9"/>
      <name val="Calibri"/>
      <family val="2"/>
      <scheme val="minor"/>
    </font>
    <font>
      <b/>
      <strike/>
      <sz val="10"/>
      <name val="Calibri"/>
      <family val="2"/>
      <scheme val="minor"/>
    </font>
    <font>
      <b/>
      <strike/>
      <sz val="12"/>
      <name val="Candara"/>
      <family val="2"/>
    </font>
    <font>
      <strike/>
      <sz val="12"/>
      <name val="Candara"/>
      <family val="2"/>
    </font>
    <font>
      <b/>
      <i/>
      <u/>
      <sz val="10"/>
      <name val="Arial Narrow"/>
      <family val="2"/>
    </font>
    <font>
      <u val="doubleAccounting"/>
      <sz val="10"/>
      <name val="Arial Narrow"/>
      <family val="2"/>
    </font>
    <font>
      <i/>
      <sz val="10"/>
      <color theme="1"/>
      <name val="Candara"/>
      <family val="2"/>
    </font>
    <font>
      <i/>
      <sz val="10"/>
      <color indexed="8"/>
      <name val="Candara"/>
      <family val="2"/>
    </font>
    <font>
      <b/>
      <sz val="16"/>
      <color rgb="FFFF0000"/>
      <name val="Candara"/>
      <family val="2"/>
    </font>
    <font>
      <b/>
      <sz val="14"/>
      <color rgb="FFFF0000"/>
      <name val="Candara"/>
      <family val="2"/>
    </font>
    <font>
      <b/>
      <sz val="16"/>
      <color rgb="FFFF3300"/>
      <name val="Candara"/>
      <family val="2"/>
    </font>
    <font>
      <b/>
      <sz val="12"/>
      <color rgb="FFFF3300"/>
      <name val="Candara"/>
      <family val="2"/>
    </font>
    <font>
      <b/>
      <sz val="16"/>
      <name val="Candara"/>
      <family val="2"/>
    </font>
    <font>
      <sz val="8"/>
      <color theme="1"/>
      <name val="Arial Narrow"/>
      <family val="2"/>
    </font>
    <font>
      <sz val="10"/>
      <color rgb="FF00CC00"/>
      <name val="Arial"/>
      <family val="2"/>
    </font>
  </fonts>
  <fills count="30">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9" tint="0.39997558519241921"/>
        <bgColor indexed="64"/>
      </patternFill>
    </fill>
    <fill>
      <patternFill patternType="solid">
        <fgColor indexed="65"/>
        <bgColor indexed="64"/>
      </patternFill>
    </fill>
    <fill>
      <patternFill patternType="solid">
        <fgColor theme="2"/>
        <bgColor indexed="64"/>
      </patternFill>
    </fill>
    <fill>
      <patternFill patternType="solid">
        <fgColor theme="2" tint="-9.9978637043366805E-2"/>
        <bgColor indexed="64"/>
      </patternFill>
    </fill>
    <fill>
      <patternFill patternType="solid">
        <fgColor theme="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66"/>
        <bgColor indexed="64"/>
      </patternFill>
    </fill>
    <fill>
      <patternFill patternType="solid">
        <fgColor rgb="FFFFFF99"/>
        <bgColor indexed="64"/>
      </patternFill>
    </fill>
    <fill>
      <patternFill patternType="solid">
        <fgColor theme="6" tint="0.39997558519241921"/>
        <bgColor indexed="64"/>
      </patternFill>
    </fill>
    <fill>
      <patternFill patternType="solid">
        <fgColor rgb="FF00FFFF"/>
        <bgColor indexed="64"/>
      </patternFill>
    </fill>
    <fill>
      <patternFill patternType="solid">
        <fgColor rgb="FF00FF00"/>
        <bgColor indexed="64"/>
      </patternFill>
    </fill>
    <fill>
      <patternFill patternType="solid">
        <fgColor theme="7" tint="0.59999389629810485"/>
        <bgColor indexed="64"/>
      </patternFill>
    </fill>
    <fill>
      <patternFill patternType="solid">
        <fgColor rgb="FFFF3399"/>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8"/>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9"/>
        <bgColor indexed="64"/>
      </patternFill>
    </fill>
    <fill>
      <patternFill patternType="solid">
        <fgColor theme="0" tint="-0.249977111117893"/>
        <bgColor indexed="64"/>
      </patternFill>
    </fill>
    <fill>
      <patternFill patternType="solid">
        <fgColor rgb="FF0099CC"/>
        <bgColor indexed="64"/>
      </patternFill>
    </fill>
    <fill>
      <patternFill patternType="solid">
        <fgColor theme="5" tint="0.59999389629810485"/>
        <bgColor indexed="64"/>
      </patternFill>
    </fill>
    <fill>
      <patternFill patternType="solid">
        <fgColor rgb="FFFF9900"/>
        <bgColor indexed="64"/>
      </patternFill>
    </fill>
    <fill>
      <patternFill patternType="solid">
        <fgColor theme="0" tint="-0.14999847407452621"/>
        <bgColor indexed="64"/>
      </patternFill>
    </fill>
  </fills>
  <borders count="736">
    <border>
      <left/>
      <right/>
      <top/>
      <bottom/>
      <diagonal/>
    </border>
    <border>
      <left/>
      <right/>
      <top/>
      <bottom style="medium">
        <color indexed="64"/>
      </bottom>
      <diagonal/>
    </border>
    <border>
      <left style="thin">
        <color indexed="64"/>
      </left>
      <right/>
      <top/>
      <bottom/>
      <diagonal/>
    </border>
    <border>
      <left style="thin">
        <color indexed="64"/>
      </left>
      <right style="thin">
        <color indexed="64"/>
      </right>
      <top style="medium">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style="double">
        <color indexed="64"/>
      </bottom>
      <diagonal/>
    </border>
    <border>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8"/>
      </right>
      <top/>
      <bottom/>
      <diagonal/>
    </border>
    <border>
      <left style="thin">
        <color indexed="8"/>
      </left>
      <right/>
      <top/>
      <bottom/>
      <diagonal/>
    </border>
    <border>
      <left/>
      <right style="thin">
        <color indexed="64"/>
      </right>
      <top style="medium">
        <color indexed="8"/>
      </top>
      <bottom/>
      <diagonal/>
    </border>
    <border>
      <left/>
      <right style="thin">
        <color indexed="64"/>
      </right>
      <top/>
      <bottom style="thin">
        <color indexed="8"/>
      </bottom>
      <diagonal/>
    </border>
    <border>
      <left style="thin">
        <color indexed="64"/>
      </left>
      <right/>
      <top/>
      <bottom style="thin">
        <color indexed="8"/>
      </bottom>
      <diagonal/>
    </border>
    <border>
      <left/>
      <right/>
      <top/>
      <bottom style="thin">
        <color indexed="8"/>
      </bottom>
      <diagonal/>
    </border>
    <border>
      <left/>
      <right style="thin">
        <color indexed="64"/>
      </right>
      <top style="thin">
        <color indexed="8"/>
      </top>
      <bottom/>
      <diagonal/>
    </border>
    <border>
      <left style="thin">
        <color indexed="64"/>
      </left>
      <right/>
      <top style="thin">
        <color indexed="8"/>
      </top>
      <bottom/>
      <diagonal/>
    </border>
    <border>
      <left/>
      <right/>
      <top style="thin">
        <color indexed="8"/>
      </top>
      <bottom/>
      <diagonal/>
    </border>
    <border>
      <left style="thin">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top style="medium">
        <color indexed="64"/>
      </top>
      <bottom/>
      <diagonal/>
    </border>
    <border>
      <left/>
      <right style="thin">
        <color indexed="8"/>
      </right>
      <top style="medium">
        <color indexed="64"/>
      </top>
      <bottom/>
      <diagonal/>
    </border>
    <border>
      <left/>
      <right style="medium">
        <color indexed="64"/>
      </right>
      <top style="medium">
        <color indexed="64"/>
      </top>
      <bottom/>
      <diagonal/>
    </border>
    <border>
      <left style="thin">
        <color indexed="8"/>
      </left>
      <right style="thin">
        <color indexed="8"/>
      </right>
      <top/>
      <bottom/>
      <diagonal/>
    </border>
    <border>
      <left/>
      <right style="medium">
        <color indexed="64"/>
      </right>
      <top/>
      <bottom/>
      <diagonal/>
    </border>
    <border>
      <left style="medium">
        <color indexed="64"/>
      </left>
      <right/>
      <top/>
      <bottom style="thin">
        <color indexed="8"/>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right style="medium">
        <color indexed="64"/>
      </right>
      <top/>
      <bottom style="thin">
        <color indexed="8"/>
      </bottom>
      <diagonal/>
    </border>
    <border>
      <left style="thin">
        <color indexed="8"/>
      </left>
      <right/>
      <top style="thin">
        <color indexed="64"/>
      </top>
      <bottom style="thin">
        <color indexed="64"/>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right style="medium">
        <color indexed="64"/>
      </right>
      <top/>
      <bottom style="medium">
        <color indexed="64"/>
      </bottom>
      <diagonal/>
    </border>
    <border>
      <left style="thin">
        <color indexed="8"/>
      </left>
      <right style="thin">
        <color indexed="64"/>
      </right>
      <top/>
      <bottom/>
      <diagonal/>
    </border>
    <border>
      <left/>
      <right style="thin">
        <color indexed="8"/>
      </right>
      <top/>
      <bottom style="medium">
        <color indexed="64"/>
      </bottom>
      <diagonal/>
    </border>
    <border>
      <left style="thin">
        <color indexed="8"/>
      </left>
      <right/>
      <top style="thin">
        <color indexed="8"/>
      </top>
      <bottom/>
      <diagonal/>
    </border>
    <border>
      <left/>
      <right style="thin">
        <color auto="1"/>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right style="thin">
        <color indexed="8"/>
      </right>
      <top/>
      <bottom/>
      <diagonal/>
    </border>
    <border>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auto="1"/>
      </top>
      <bottom/>
      <diagonal/>
    </border>
    <border>
      <left/>
      <right/>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double">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style="thin">
        <color auto="1"/>
      </left>
      <right style="thin">
        <color auto="1"/>
      </right>
      <top/>
      <bottom/>
      <diagonal/>
    </border>
    <border>
      <left style="thin">
        <color indexed="64"/>
      </left>
      <right/>
      <top/>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auto="1"/>
      </right>
      <top/>
      <bottom style="medium">
        <color indexed="64"/>
      </bottom>
      <diagonal/>
    </border>
    <border>
      <left/>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8"/>
      </left>
      <right style="thin">
        <color indexed="8"/>
      </right>
      <top style="thin">
        <color indexed="8"/>
      </top>
      <bottom style="thin">
        <color indexed="8"/>
      </bottom>
      <diagonal/>
    </border>
    <border>
      <left style="medium">
        <color indexed="64"/>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indexed="64"/>
      </left>
      <right style="medium">
        <color rgb="FF000000"/>
      </right>
      <top/>
      <bottom/>
      <diagonal/>
    </border>
    <border>
      <left style="medium">
        <color rgb="FF000000"/>
      </left>
      <right style="medium">
        <color rgb="FF000000"/>
      </right>
      <top/>
      <bottom/>
      <diagonal/>
    </border>
    <border>
      <left style="medium">
        <color indexed="64"/>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style="medium">
        <color indexed="64"/>
      </left>
      <right style="medium">
        <color indexed="64"/>
      </right>
      <top style="medium">
        <color rgb="FF000000"/>
      </top>
      <bottom style="medium">
        <color indexed="64"/>
      </bottom>
      <diagonal/>
    </border>
    <border>
      <left style="medium">
        <color rgb="FF000000"/>
      </left>
      <right style="medium">
        <color indexed="64"/>
      </right>
      <top/>
      <bottom style="medium">
        <color rgb="FF000000"/>
      </bottom>
      <diagonal/>
    </border>
    <border>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right style="medium">
        <color rgb="FF000000"/>
      </right>
      <top style="medium">
        <color indexed="64"/>
      </top>
      <bottom style="medium">
        <color indexed="64"/>
      </bottom>
      <diagonal/>
    </border>
    <border>
      <left/>
      <right/>
      <top/>
      <bottom style="medium">
        <color rgb="FF000000"/>
      </bottom>
      <diagonal/>
    </border>
    <border>
      <left/>
      <right style="thin">
        <color auto="1"/>
      </right>
      <top/>
      <bottom style="thin">
        <color indexed="64"/>
      </bottom>
      <diagonal/>
    </border>
    <border>
      <left/>
      <right style="thin">
        <color auto="1"/>
      </right>
      <top/>
      <bottom style="medium">
        <color indexed="64"/>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double">
        <color indexed="64"/>
      </left>
      <right style="thin">
        <color indexed="64"/>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thin">
        <color indexed="64"/>
      </right>
      <top/>
      <bottom/>
      <diagonal/>
    </border>
    <border>
      <left/>
      <right style="double">
        <color indexed="64"/>
      </right>
      <top/>
      <bottom/>
      <diagonal/>
    </border>
    <border>
      <left style="double">
        <color indexed="64"/>
      </left>
      <right style="thin">
        <color indexed="64"/>
      </right>
      <top/>
      <bottom style="double">
        <color indexed="64"/>
      </bottom>
      <diagonal/>
    </border>
    <border>
      <left/>
      <right style="double">
        <color indexed="64"/>
      </right>
      <top/>
      <bottom style="double">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rgb="FF000000"/>
      </left>
      <right style="medium">
        <color rgb="FF000000"/>
      </right>
      <top style="medium">
        <color indexed="64"/>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style="thin">
        <color indexed="64"/>
      </top>
      <bottom style="double">
        <color indexed="64"/>
      </bottom>
      <diagonal/>
    </border>
    <border>
      <left style="thin">
        <color auto="1"/>
      </left>
      <right style="thin">
        <color auto="1"/>
      </right>
      <top style="medium">
        <color indexed="64"/>
      </top>
      <bottom/>
      <diagonal/>
    </border>
    <border>
      <left style="thin">
        <color indexed="64"/>
      </left>
      <right/>
      <top style="medium">
        <color indexed="64"/>
      </top>
      <bottom/>
      <diagonal/>
    </border>
    <border>
      <left style="medium">
        <color auto="1"/>
      </left>
      <right style="medium">
        <color auto="1"/>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style="thin">
        <color auto="1"/>
      </left>
      <right style="medium">
        <color auto="1"/>
      </right>
      <top style="medium">
        <color auto="1"/>
      </top>
      <bottom/>
      <diagonal/>
    </border>
    <border>
      <left style="medium">
        <color auto="1"/>
      </left>
      <right/>
      <top/>
      <bottom/>
      <diagonal/>
    </border>
    <border>
      <left style="thin">
        <color auto="1"/>
      </left>
      <right style="medium">
        <color auto="1"/>
      </right>
      <top style="thin">
        <color auto="1"/>
      </top>
      <bottom style="thin">
        <color auto="1"/>
      </bottom>
      <diagonal/>
    </border>
    <border>
      <left/>
      <right/>
      <top/>
      <bottom style="medium">
        <color auto="1"/>
      </bottom>
      <diagonal/>
    </border>
    <border>
      <left/>
      <right style="thin">
        <color auto="1"/>
      </right>
      <top/>
      <bottom/>
      <diagonal/>
    </border>
    <border>
      <left style="medium">
        <color indexed="64"/>
      </left>
      <right style="thin">
        <color indexed="64"/>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style="thin">
        <color auto="1"/>
      </right>
      <top/>
      <bottom/>
      <diagonal/>
    </border>
    <border>
      <left style="thin">
        <color indexed="64"/>
      </left>
      <right/>
      <top/>
      <bottom/>
      <diagonal/>
    </border>
    <border>
      <left style="thin">
        <color indexed="64"/>
      </left>
      <right style="thin">
        <color auto="1"/>
      </right>
      <top style="thin">
        <color indexed="64"/>
      </top>
      <bottom/>
      <diagonal/>
    </border>
    <border>
      <left/>
      <right style="thin">
        <color indexed="64"/>
      </right>
      <top style="thin">
        <color indexed="64"/>
      </top>
      <bottom style="thin">
        <color indexed="64"/>
      </bottom>
      <diagonal/>
    </border>
    <border>
      <left style="thin">
        <color auto="1"/>
      </left>
      <right style="medium">
        <color indexed="64"/>
      </right>
      <top/>
      <bottom/>
      <diagonal/>
    </border>
    <border>
      <left style="thin">
        <color indexed="64"/>
      </left>
      <right style="medium">
        <color indexed="64"/>
      </right>
      <top style="thin">
        <color indexed="64"/>
      </top>
      <bottom/>
      <diagonal/>
    </border>
    <border>
      <left style="thin">
        <color indexed="64"/>
      </left>
      <right style="thin">
        <color indexed="64"/>
      </right>
      <top/>
      <bottom style="thin">
        <color auto="1"/>
      </bottom>
      <diagonal/>
    </border>
    <border>
      <left style="thin">
        <color indexed="8"/>
      </left>
      <right/>
      <top/>
      <bottom/>
      <diagonal/>
    </border>
    <border>
      <left style="thin">
        <color indexed="8"/>
      </left>
      <right style="thin">
        <color indexed="8"/>
      </right>
      <top/>
      <bottom/>
      <diagonal/>
    </border>
    <border>
      <left style="thin">
        <color indexed="64"/>
      </left>
      <right style="thin">
        <color auto="1"/>
      </right>
      <top style="thin">
        <color indexed="64"/>
      </top>
      <bottom/>
      <diagonal/>
    </border>
    <border>
      <left style="thin">
        <color indexed="64"/>
      </left>
      <right/>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top style="thin">
        <color indexed="64"/>
      </top>
      <bottom/>
      <diagonal/>
    </border>
    <border>
      <left/>
      <right/>
      <top/>
      <bottom style="thin">
        <color indexed="8"/>
      </bottom>
      <diagonal/>
    </border>
    <border>
      <left style="thin">
        <color indexed="64"/>
      </left>
      <right/>
      <top/>
      <bottom style="thin">
        <color indexed="8"/>
      </bottom>
      <diagonal/>
    </border>
    <border>
      <left style="thin">
        <color auto="1"/>
      </left>
      <right style="thin">
        <color auto="1"/>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double">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medium">
        <color auto="1"/>
      </right>
      <top/>
      <bottom/>
      <diagonal/>
    </border>
    <border>
      <left/>
      <right/>
      <top style="thin">
        <color auto="1"/>
      </top>
      <bottom/>
      <diagonal/>
    </border>
    <border>
      <left/>
      <right/>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style="medium">
        <color rgb="FF000000"/>
      </right>
      <top style="medium">
        <color indexed="64"/>
      </top>
      <bottom/>
      <diagonal/>
    </border>
    <border>
      <left/>
      <right/>
      <top style="medium">
        <color rgb="FF000000"/>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auto="1"/>
      </bottom>
      <diagonal/>
    </border>
    <border>
      <left style="medium">
        <color indexed="64"/>
      </left>
      <right style="thin">
        <color indexed="64"/>
      </right>
      <top/>
      <bottom style="medium">
        <color auto="1"/>
      </bottom>
      <diagonal/>
    </border>
    <border>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style="thin">
        <color indexed="8"/>
      </left>
      <right/>
      <top/>
      <bottom style="thin">
        <color indexed="64"/>
      </bottom>
      <diagonal/>
    </border>
    <border>
      <left style="thin">
        <color indexed="8"/>
      </left>
      <right/>
      <top style="medium">
        <color indexed="64"/>
      </top>
      <bottom style="medium">
        <color indexed="64"/>
      </bottom>
      <diagonal/>
    </border>
    <border>
      <left style="thin">
        <color auto="1"/>
      </left>
      <right style="thin">
        <color auto="1"/>
      </right>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style="medium">
        <color indexed="64"/>
      </bottom>
      <diagonal/>
    </border>
    <border>
      <left/>
      <right style="thin">
        <color indexed="64"/>
      </right>
      <top/>
      <bottom style="thin">
        <color auto="1"/>
      </bottom>
      <diagonal/>
    </border>
    <border>
      <left style="thin">
        <color indexed="64"/>
      </left>
      <right style="medium">
        <color indexed="64"/>
      </right>
      <top/>
      <bottom style="double">
        <color indexed="64"/>
      </bottom>
      <diagonal/>
    </border>
    <border>
      <left style="medium">
        <color auto="1"/>
      </left>
      <right/>
      <top style="medium">
        <color auto="1"/>
      </top>
      <bottom/>
      <diagonal/>
    </border>
    <border>
      <left/>
      <right style="medium">
        <color indexed="64"/>
      </right>
      <top style="medium">
        <color auto="1"/>
      </top>
      <bottom/>
      <diagonal/>
    </border>
    <border>
      <left/>
      <right/>
      <top style="medium">
        <color indexed="64"/>
      </top>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auto="1"/>
      </left>
      <right/>
      <top style="medium">
        <color auto="1"/>
      </top>
      <bottom style="medium">
        <color auto="1"/>
      </bottom>
      <diagonal/>
    </border>
    <border>
      <left style="thin">
        <color indexed="8"/>
      </left>
      <right style="thin">
        <color indexed="8"/>
      </right>
      <top/>
      <bottom/>
      <diagonal/>
    </border>
    <border>
      <left style="thin">
        <color indexed="8"/>
      </left>
      <right/>
      <top/>
      <bottom/>
      <diagonal/>
    </border>
    <border>
      <left style="thin">
        <color indexed="64"/>
      </left>
      <right/>
      <top/>
      <bottom/>
      <diagonal/>
    </border>
    <border>
      <left/>
      <right/>
      <top style="medium">
        <color auto="1"/>
      </top>
      <bottom/>
      <diagonal/>
    </border>
    <border>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auto="1"/>
      </left>
      <right style="medium">
        <color indexed="64"/>
      </right>
      <top style="medium">
        <color auto="1"/>
      </top>
      <bottom style="medium">
        <color auto="1"/>
      </bottom>
      <diagonal/>
    </border>
    <border>
      <left/>
      <right style="medium">
        <color indexed="64"/>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indexed="64"/>
      </left>
      <right style="thin">
        <color indexed="64"/>
      </right>
      <top/>
      <bottom/>
      <diagonal/>
    </border>
    <border>
      <left/>
      <right/>
      <top style="thin">
        <color indexed="64"/>
      </top>
      <bottom/>
      <diagonal/>
    </border>
    <border>
      <left style="medium">
        <color indexed="64"/>
      </left>
      <right style="medium">
        <color indexed="64"/>
      </right>
      <top/>
      <bottom style="dotted">
        <color indexed="64"/>
      </bottom>
      <diagonal/>
    </border>
    <border>
      <left style="thin">
        <color auto="1"/>
      </left>
      <right style="thin">
        <color auto="1"/>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auto="1"/>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right/>
      <top/>
      <bottom style="thin">
        <color auto="1"/>
      </bottom>
      <diagonal/>
    </border>
    <border>
      <left/>
      <right/>
      <top style="medium">
        <color auto="1"/>
      </top>
      <bottom/>
      <diagonal/>
    </border>
    <border>
      <left style="medium">
        <color indexed="64"/>
      </left>
      <right style="medium">
        <color indexed="64"/>
      </right>
      <top style="medium">
        <color auto="1"/>
      </top>
      <bottom/>
      <diagonal/>
    </border>
    <border>
      <left style="thin">
        <color auto="1"/>
      </left>
      <right style="thin">
        <color indexed="64"/>
      </right>
      <top style="medium">
        <color auto="1"/>
      </top>
      <bottom/>
      <diagonal/>
    </border>
    <border>
      <left style="medium">
        <color indexed="64"/>
      </left>
      <right/>
      <top/>
      <bottom/>
      <diagonal/>
    </border>
    <border>
      <left/>
      <right/>
      <top/>
      <bottom style="thin">
        <color indexed="64"/>
      </bottom>
      <diagonal/>
    </border>
    <border>
      <left/>
      <right style="thin">
        <color indexed="64"/>
      </right>
      <top/>
      <bottom style="thin">
        <color indexed="64"/>
      </bottom>
      <diagonal/>
    </border>
    <border>
      <left/>
      <right/>
      <top style="medium">
        <color rgb="FF000000"/>
      </top>
      <bottom style="medium">
        <color rgb="FF000000"/>
      </bottom>
      <diagonal/>
    </border>
    <border>
      <left style="double">
        <color indexed="64"/>
      </left>
      <right style="medium">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medium">
        <color indexed="64"/>
      </right>
      <top/>
      <bottom style="medium">
        <color indexed="64"/>
      </bottom>
      <diagonal/>
    </border>
    <border>
      <left style="double">
        <color indexed="64"/>
      </left>
      <right style="medium">
        <color indexed="64"/>
      </right>
      <top/>
      <bottom/>
      <diagonal/>
    </border>
    <border>
      <left/>
      <right style="double">
        <color indexed="64"/>
      </right>
      <top/>
      <bottom style="medium">
        <color indexed="64"/>
      </bottom>
      <diagonal/>
    </border>
    <border>
      <left style="double">
        <color indexed="64"/>
      </left>
      <right style="medium">
        <color indexed="64"/>
      </right>
      <top/>
      <bottom style="double">
        <color indexed="64"/>
      </bottom>
      <diagonal/>
    </border>
    <border>
      <left/>
      <right style="medium">
        <color indexed="64"/>
      </right>
      <top/>
      <bottom style="double">
        <color indexed="64"/>
      </bottom>
      <diagonal/>
    </border>
    <border>
      <left/>
      <right style="thin">
        <color auto="1"/>
      </right>
      <top/>
      <bottom/>
      <diagonal/>
    </border>
    <border>
      <left/>
      <right style="medium">
        <color rgb="FF000000"/>
      </right>
      <top/>
      <bottom style="medium">
        <color indexed="64"/>
      </bottom>
      <diagonal/>
    </border>
    <border>
      <left/>
      <right style="medium">
        <color indexed="64"/>
      </right>
      <top style="medium">
        <color rgb="FF000000"/>
      </top>
      <bottom/>
      <diagonal/>
    </border>
    <border>
      <left style="medium">
        <color rgb="FF000000"/>
      </left>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rgb="FF000000"/>
      </right>
      <top style="medium">
        <color rgb="FF000000"/>
      </top>
      <bottom style="medium">
        <color rgb="FF000000"/>
      </bottom>
      <diagonal/>
    </border>
    <border>
      <left style="medium">
        <color indexed="64"/>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thin">
        <color indexed="64"/>
      </bottom>
      <diagonal/>
    </border>
    <border>
      <left/>
      <right style="medium">
        <color rgb="FF000000"/>
      </right>
      <top style="medium">
        <color indexed="64"/>
      </top>
      <bottom style="thin">
        <color indexed="64"/>
      </bottom>
      <diagonal/>
    </border>
    <border>
      <left/>
      <right style="medium">
        <color indexed="64"/>
      </right>
      <top style="medium">
        <color rgb="FF000000"/>
      </top>
      <bottom style="medium">
        <color indexed="64"/>
      </bottom>
      <diagonal/>
    </border>
    <border>
      <left/>
      <right style="thin">
        <color auto="1"/>
      </right>
      <top/>
      <bottom/>
      <diagonal/>
    </border>
    <border>
      <left/>
      <right style="medium">
        <color indexed="64"/>
      </right>
      <top style="medium">
        <color rgb="FF000000"/>
      </top>
      <bottom style="medium">
        <color rgb="FF000000"/>
      </bottom>
      <diagonal/>
    </border>
    <border>
      <left style="thin">
        <color indexed="64"/>
      </left>
      <right/>
      <top/>
      <bottom style="hair">
        <color indexed="64"/>
      </bottom>
      <diagonal/>
    </border>
    <border>
      <left style="thin">
        <color indexed="64"/>
      </left>
      <right style="medium">
        <color indexed="64"/>
      </right>
      <top style="thin">
        <color indexed="64"/>
      </top>
      <bottom style="thin">
        <color indexed="64"/>
      </bottom>
      <diagonal/>
    </border>
    <border>
      <left style="medium">
        <color indexed="8"/>
      </left>
      <right style="medium">
        <color indexed="8"/>
      </right>
      <top style="medium">
        <color indexed="8"/>
      </top>
      <bottom/>
      <diagonal/>
    </border>
    <border>
      <left style="medium">
        <color indexed="8"/>
      </left>
      <right/>
      <top style="medium">
        <color indexed="8"/>
      </top>
      <bottom/>
      <diagonal/>
    </border>
    <border>
      <left/>
      <right style="medium">
        <color indexed="8"/>
      </right>
      <top style="medium">
        <color indexed="8"/>
      </top>
      <bottom/>
      <diagonal/>
    </border>
    <border>
      <left style="medium">
        <color indexed="8"/>
      </left>
      <right style="medium">
        <color indexed="8"/>
      </right>
      <top/>
      <bottom/>
      <diagonal/>
    </border>
    <border>
      <left style="medium">
        <color indexed="8"/>
      </left>
      <right/>
      <top/>
      <bottom/>
      <diagonal/>
    </border>
    <border>
      <left/>
      <right style="medium">
        <color indexed="8"/>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auto="1"/>
      </left>
      <right style="medium">
        <color auto="1"/>
      </right>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style="thin">
        <color auto="1"/>
      </right>
      <top style="thin">
        <color auto="1"/>
      </top>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style="thin">
        <color indexed="8"/>
      </left>
      <right style="thin">
        <color indexed="64"/>
      </right>
      <top/>
      <bottom style="medium">
        <color indexed="64"/>
      </bottom>
      <diagonal/>
    </border>
    <border>
      <left style="medium">
        <color indexed="64"/>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dotted">
        <color auto="1"/>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medium">
        <color auto="1"/>
      </left>
      <right style="medium">
        <color indexed="64"/>
      </right>
      <top style="medium">
        <color auto="1"/>
      </top>
      <bottom/>
      <diagonal/>
    </border>
    <border>
      <left style="medium">
        <color auto="1"/>
      </left>
      <right style="medium">
        <color indexed="64"/>
      </right>
      <top style="medium">
        <color auto="1"/>
      </top>
      <bottom style="medium">
        <color auto="1"/>
      </bottom>
      <diagonal/>
    </border>
    <border>
      <left/>
      <right style="thin">
        <color auto="1"/>
      </right>
      <top/>
      <bottom/>
      <diagonal/>
    </border>
    <border>
      <left/>
      <right style="medium">
        <color indexed="64"/>
      </right>
      <top style="medium">
        <color indexed="64"/>
      </top>
      <bottom/>
      <diagonal/>
    </border>
    <border>
      <left/>
      <right style="thin">
        <color indexed="64"/>
      </right>
      <top/>
      <bottom style="thin">
        <color auto="1"/>
      </bottom>
      <diagonal/>
    </border>
    <border>
      <left/>
      <right style="thin">
        <color indexed="64"/>
      </right>
      <top style="thin">
        <color indexed="8"/>
      </top>
      <bottom style="thin">
        <color indexed="8"/>
      </bottom>
      <diagonal/>
    </border>
    <border>
      <left/>
      <right style="thin">
        <color indexed="8"/>
      </right>
      <top/>
      <bottom/>
      <diagonal/>
    </border>
    <border>
      <left/>
      <right style="thin">
        <color indexed="64"/>
      </right>
      <top/>
      <bottom/>
      <diagonal/>
    </border>
    <border>
      <left style="medium">
        <color indexed="64"/>
      </left>
      <right style="thin">
        <color indexed="64"/>
      </right>
      <top/>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auto="1"/>
      </right>
      <top/>
      <bottom/>
      <diagonal/>
    </border>
    <border>
      <left/>
      <right/>
      <top style="medium">
        <color auto="1"/>
      </top>
      <bottom/>
      <diagonal/>
    </border>
    <border>
      <left style="thin">
        <color auto="1"/>
      </left>
      <right style="thin">
        <color auto="1"/>
      </right>
      <top/>
      <bottom style="medium">
        <color indexed="64"/>
      </bottom>
      <diagonal/>
    </border>
    <border>
      <left/>
      <right style="medium">
        <color auto="1"/>
      </right>
      <top/>
      <bottom/>
      <diagonal/>
    </border>
    <border>
      <left/>
      <right style="medium">
        <color indexed="64"/>
      </right>
      <top style="thin">
        <color indexed="64"/>
      </top>
      <bottom style="thin">
        <color indexed="64"/>
      </bottom>
      <diagonal/>
    </border>
    <border>
      <left style="thin">
        <color auto="1"/>
      </left>
      <right style="thin">
        <color auto="1"/>
      </right>
      <top style="medium">
        <color indexed="64"/>
      </top>
      <bottom style="medium">
        <color indexed="64"/>
      </bottom>
      <diagonal/>
    </border>
    <border>
      <left style="thin">
        <color indexed="64"/>
      </left>
      <right/>
      <top style="thin">
        <color indexed="64"/>
      </top>
      <bottom style="thin">
        <color indexed="64"/>
      </bottom>
      <diagonal/>
    </border>
    <border>
      <left/>
      <right style="thin">
        <color auto="1"/>
      </right>
      <top/>
      <bottom/>
      <diagonal/>
    </border>
    <border>
      <left style="thin">
        <color auto="1"/>
      </left>
      <right style="thin">
        <color auto="1"/>
      </right>
      <top style="thin">
        <color indexed="64"/>
      </top>
      <bottom/>
      <diagonal/>
    </border>
    <border>
      <left/>
      <right/>
      <top style="thin">
        <color indexed="8"/>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auto="1"/>
      </left>
      <right style="thin">
        <color auto="1"/>
      </right>
      <top style="thin">
        <color auto="1"/>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medium">
        <color indexed="64"/>
      </top>
      <bottom style="medium">
        <color indexed="64"/>
      </bottom>
      <diagonal/>
    </border>
    <border>
      <left/>
      <right style="medium">
        <color auto="1"/>
      </right>
      <top style="medium">
        <color auto="1"/>
      </top>
      <bottom/>
      <diagonal/>
    </border>
    <border>
      <left style="thin">
        <color indexed="64"/>
      </left>
      <right style="thin">
        <color indexed="64"/>
      </right>
      <top style="medium">
        <color indexed="64"/>
      </top>
      <bottom style="thin">
        <color indexed="64"/>
      </bottom>
      <diagonal/>
    </border>
    <border>
      <left style="thin">
        <color indexed="64"/>
      </left>
      <right style="medium">
        <color auto="1"/>
      </right>
      <top style="medium">
        <color indexed="64"/>
      </top>
      <bottom style="thin">
        <color indexed="64"/>
      </bottom>
      <diagonal/>
    </border>
    <border>
      <left/>
      <right/>
      <top style="thin">
        <color indexed="64"/>
      </top>
      <bottom/>
      <diagonal/>
    </border>
    <border>
      <left style="medium">
        <color auto="1"/>
      </left>
      <right/>
      <top style="medium">
        <color auto="1"/>
      </top>
      <bottom/>
      <diagonal/>
    </border>
    <border>
      <left/>
      <right/>
      <top/>
      <bottom style="thin">
        <color indexed="8"/>
      </bottom>
      <diagonal/>
    </border>
    <border>
      <left/>
      <right/>
      <top style="medium">
        <color indexed="8"/>
      </top>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style="medium">
        <color indexed="8"/>
      </bottom>
      <diagonal/>
    </border>
    <border>
      <left style="thin">
        <color indexed="64"/>
      </left>
      <right style="thin">
        <color indexed="64"/>
      </right>
      <top style="medium">
        <color indexed="8"/>
      </top>
      <bottom/>
      <diagonal/>
    </border>
    <border>
      <left style="thin">
        <color indexed="8"/>
      </left>
      <right/>
      <top style="thin">
        <color indexed="8"/>
      </top>
      <bottom style="thin">
        <color indexed="8"/>
      </bottom>
      <diagonal/>
    </border>
    <border>
      <left/>
      <right/>
      <top/>
      <bottom style="medium">
        <color indexed="64"/>
      </bottom>
      <diagonal/>
    </border>
    <border>
      <left/>
      <right style="thin">
        <color auto="1"/>
      </right>
      <top/>
      <bottom style="medium">
        <color indexed="64"/>
      </bottom>
      <diagonal/>
    </border>
    <border>
      <left style="thin">
        <color indexed="64"/>
      </left>
      <right/>
      <top style="medium">
        <color indexed="64"/>
      </top>
      <bottom/>
      <diagonal/>
    </border>
    <border>
      <left/>
      <right/>
      <top style="medium">
        <color auto="1"/>
      </top>
      <bottom/>
      <diagonal/>
    </border>
    <border>
      <left/>
      <right style="medium">
        <color indexed="64"/>
      </right>
      <top/>
      <bottom style="medium">
        <color indexed="64"/>
      </bottom>
      <diagonal/>
    </border>
    <border>
      <left/>
      <right/>
      <top style="medium">
        <color indexed="64"/>
      </top>
      <bottom/>
      <diagonal/>
    </border>
    <border>
      <left style="thin">
        <color indexed="8"/>
      </left>
      <right style="thin">
        <color indexed="8"/>
      </right>
      <top/>
      <bottom style="thin">
        <color indexed="8"/>
      </bottom>
      <diagonal/>
    </border>
    <border>
      <left/>
      <right/>
      <top style="medium">
        <color auto="1"/>
      </top>
      <bottom/>
      <diagonal/>
    </border>
    <border>
      <left style="medium">
        <color indexed="64"/>
      </left>
      <right style="medium">
        <color auto="1"/>
      </right>
      <top style="medium">
        <color auto="1"/>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rgb="FF000000"/>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right/>
      <top/>
      <bottom style="thin">
        <color indexed="64"/>
      </bottom>
      <diagonal/>
    </border>
    <border>
      <left style="thin">
        <color auto="1"/>
      </left>
      <right style="thin">
        <color auto="1"/>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auto="1"/>
      </top>
      <bottom/>
      <diagonal/>
    </border>
    <border>
      <left/>
      <right style="thin">
        <color indexed="64"/>
      </right>
      <top style="medium">
        <color auto="1"/>
      </top>
      <bottom/>
      <diagonal/>
    </border>
    <border>
      <left style="thin">
        <color indexed="64"/>
      </left>
      <right style="thin">
        <color indexed="64"/>
      </right>
      <top style="medium">
        <color auto="1"/>
      </top>
      <bottom/>
      <diagonal/>
    </border>
    <border>
      <left/>
      <right/>
      <top style="medium">
        <color auto="1"/>
      </top>
      <bottom/>
      <diagonal/>
    </border>
    <border>
      <left style="medium">
        <color auto="1"/>
      </left>
      <right style="medium">
        <color indexed="64"/>
      </right>
      <top style="medium">
        <color auto="1"/>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right style="medium">
        <color rgb="FF000000"/>
      </right>
      <top style="medium">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auto="1"/>
      </left>
      <right style="medium">
        <color indexed="64"/>
      </right>
      <top style="medium">
        <color auto="1"/>
      </top>
      <bottom/>
      <diagonal/>
    </border>
    <border>
      <left style="medium">
        <color auto="1"/>
      </left>
      <right/>
      <top style="medium">
        <color auto="1"/>
      </top>
      <bottom/>
      <diagonal/>
    </border>
    <border>
      <left/>
      <right style="medium">
        <color indexed="64"/>
      </right>
      <top style="medium">
        <color auto="1"/>
      </top>
      <bottom/>
      <diagonal/>
    </border>
    <border>
      <left style="medium">
        <color indexed="64"/>
      </left>
      <right style="medium">
        <color indexed="64"/>
      </right>
      <top style="thin">
        <color indexed="64"/>
      </top>
      <bottom/>
      <diagonal/>
    </border>
    <border>
      <left/>
      <right/>
      <top style="medium">
        <color auto="1"/>
      </top>
      <bottom/>
      <diagonal/>
    </border>
    <border>
      <left style="medium">
        <color indexed="64"/>
      </left>
      <right style="thin">
        <color indexed="64"/>
      </right>
      <top style="thin">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left/>
      <right style="thin">
        <color auto="1"/>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auto="1"/>
      </top>
      <bottom style="thin">
        <color auto="1"/>
      </bottom>
      <diagonal/>
    </border>
    <border>
      <left/>
      <right style="thin">
        <color auto="1"/>
      </right>
      <top/>
      <bottom/>
      <diagonal/>
    </border>
    <border>
      <left style="thin">
        <color indexed="8"/>
      </left>
      <right/>
      <top style="hair">
        <color indexed="8"/>
      </top>
      <bottom style="hair">
        <color indexed="8"/>
      </bottom>
      <diagonal/>
    </border>
    <border>
      <left/>
      <right style="thin">
        <color indexed="64"/>
      </right>
      <top style="hair">
        <color indexed="8"/>
      </top>
      <bottom style="hair">
        <color indexed="8"/>
      </bottom>
      <diagonal/>
    </border>
    <border>
      <left style="thin">
        <color indexed="64"/>
      </left>
      <right/>
      <top style="hair">
        <color indexed="8"/>
      </top>
      <bottom style="hair">
        <color indexed="8"/>
      </bottom>
      <diagonal/>
    </border>
    <border>
      <left/>
      <right/>
      <top style="hair">
        <color indexed="8"/>
      </top>
      <bottom style="hair">
        <color indexed="8"/>
      </bottom>
      <diagonal/>
    </border>
    <border>
      <left/>
      <right style="thin">
        <color indexed="8"/>
      </right>
      <top/>
      <bottom/>
      <diagonal/>
    </border>
    <border>
      <left/>
      <right style="thin">
        <color indexed="64"/>
      </right>
      <top/>
      <bottom/>
      <diagonal/>
    </border>
    <border>
      <left style="thin">
        <color indexed="8"/>
      </left>
      <right/>
      <top/>
      <bottom style="hair">
        <color indexed="8"/>
      </bottom>
      <diagonal/>
    </border>
    <border>
      <left/>
      <right style="thin">
        <color indexed="64"/>
      </right>
      <top/>
      <bottom style="hair">
        <color indexed="8"/>
      </bottom>
      <diagonal/>
    </border>
    <border>
      <left style="thin">
        <color indexed="64"/>
      </left>
      <right/>
      <top/>
      <bottom style="hair">
        <color indexed="8"/>
      </bottom>
      <diagonal/>
    </border>
    <border>
      <left/>
      <right/>
      <top/>
      <bottom style="hair">
        <color indexed="8"/>
      </bottom>
      <diagonal/>
    </border>
    <border>
      <left style="thin">
        <color indexed="8"/>
      </left>
      <right/>
      <top style="hair">
        <color indexed="8"/>
      </top>
      <bottom/>
      <diagonal/>
    </border>
    <border>
      <left/>
      <right/>
      <top style="hair">
        <color indexed="8"/>
      </top>
      <bottom/>
      <diagonal/>
    </border>
    <border>
      <left/>
      <right style="thin">
        <color indexed="64"/>
      </right>
      <top style="hair">
        <color indexed="8"/>
      </top>
      <bottom/>
      <diagonal/>
    </border>
    <border>
      <left style="thin">
        <color indexed="64"/>
      </left>
      <right/>
      <top style="hair">
        <color indexed="8"/>
      </top>
      <bottom/>
      <diagonal/>
    </border>
    <border>
      <left/>
      <right/>
      <top/>
      <bottom style="thin">
        <color indexed="8"/>
      </bottom>
      <diagonal/>
    </border>
    <border>
      <left style="thin">
        <color indexed="8"/>
      </left>
      <right/>
      <top/>
      <bottom style="thin">
        <color indexed="8"/>
      </bottom>
      <diagonal/>
    </border>
    <border>
      <left style="thin">
        <color indexed="64"/>
      </left>
      <right/>
      <top/>
      <bottom style="thin">
        <color indexed="8"/>
      </bottom>
      <diagonal/>
    </border>
    <border>
      <left/>
      <right style="thin">
        <color auto="1"/>
      </right>
      <top/>
      <bottom style="thin">
        <color indexed="8"/>
      </bottom>
      <diagonal/>
    </border>
    <border>
      <left/>
      <right/>
      <top style="thin">
        <color indexed="8"/>
      </top>
      <bottom style="thin">
        <color indexed="8"/>
      </bottom>
      <diagonal/>
    </border>
    <border>
      <left/>
      <right style="thin">
        <color indexed="8"/>
      </right>
      <top/>
      <bottom style="thin">
        <color indexed="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thin">
        <color indexed="8"/>
      </left>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top/>
      <bottom style="hair">
        <color indexed="64"/>
      </bottom>
      <diagonal/>
    </border>
    <border>
      <left style="thin">
        <color indexed="8"/>
      </left>
      <right/>
      <top/>
      <bottom style="hair">
        <color indexed="64"/>
      </bottom>
      <diagonal/>
    </border>
    <border>
      <left/>
      <right style="medium">
        <color indexed="64"/>
      </right>
      <top/>
      <bottom style="hair">
        <color indexed="64"/>
      </bottom>
      <diagonal/>
    </border>
    <border>
      <left/>
      <right style="medium">
        <color indexed="64"/>
      </right>
      <top style="hair">
        <color indexed="8"/>
      </top>
      <bottom style="hair">
        <color indexed="8"/>
      </bottom>
      <diagonal/>
    </border>
    <border>
      <left/>
      <right style="medium">
        <color indexed="64"/>
      </right>
      <top style="hair">
        <color indexed="8"/>
      </top>
      <bottom/>
      <diagonal/>
    </border>
    <border>
      <left style="thin">
        <color indexed="8"/>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right style="medium">
        <color indexed="64"/>
      </right>
      <top style="thin">
        <color indexed="8"/>
      </top>
      <bottom style="thin">
        <color indexed="8"/>
      </bottom>
      <diagonal/>
    </border>
    <border>
      <left/>
      <right style="thin">
        <color indexed="8"/>
      </right>
      <top style="thin">
        <color indexed="8"/>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auto="1"/>
      </left>
      <right style="thin">
        <color auto="1"/>
      </right>
      <top/>
      <bottom style="dotted">
        <color auto="1"/>
      </bottom>
      <diagonal/>
    </border>
    <border>
      <left/>
      <right/>
      <top/>
      <bottom style="thin">
        <color auto="1"/>
      </bottom>
      <diagonal/>
    </border>
    <border>
      <left style="thin">
        <color auto="1"/>
      </left>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style="dashed">
        <color indexed="64"/>
      </top>
      <bottom style="dashed">
        <color indexed="64"/>
      </bottom>
      <diagonal/>
    </border>
    <border>
      <left/>
      <right style="thin">
        <color auto="1"/>
      </right>
      <top/>
      <bottom/>
      <diagonal/>
    </border>
    <border>
      <left style="thin">
        <color indexed="64"/>
      </left>
      <right style="thin">
        <color indexed="64"/>
      </right>
      <top style="dashed">
        <color indexed="64"/>
      </top>
      <bottom style="thin">
        <color indexed="64"/>
      </bottom>
      <diagonal/>
    </border>
    <border>
      <left/>
      <right style="thin">
        <color auto="1"/>
      </right>
      <top/>
      <bottom/>
      <diagonal/>
    </border>
    <border>
      <left style="thin">
        <color indexed="64"/>
      </left>
      <right style="thin">
        <color indexed="64"/>
      </right>
      <top/>
      <bottom style="thin">
        <color auto="1"/>
      </bottom>
      <diagonal/>
    </border>
    <border>
      <left/>
      <right style="thin">
        <color auto="1"/>
      </right>
      <top/>
      <bottom/>
      <diagonal/>
    </border>
    <border>
      <left/>
      <right/>
      <top style="thin">
        <color indexed="64"/>
      </top>
      <bottom/>
      <diagonal/>
    </border>
    <border>
      <left style="thin">
        <color auto="1"/>
      </left>
      <right style="thin">
        <color auto="1"/>
      </right>
      <top style="thin">
        <color auto="1"/>
      </top>
      <bottom/>
      <diagonal/>
    </border>
    <border>
      <left/>
      <right style="thin">
        <color indexed="64"/>
      </right>
      <top style="thin">
        <color indexed="64"/>
      </top>
      <bottom/>
      <diagonal/>
    </border>
    <border>
      <left/>
      <right style="thin">
        <color auto="1"/>
      </right>
      <top/>
      <bottom/>
      <diagonal/>
    </border>
    <border>
      <left/>
      <right/>
      <top style="medium">
        <color auto="1"/>
      </top>
      <bottom/>
      <diagonal/>
    </border>
    <border>
      <left/>
      <right style="thin">
        <color auto="1"/>
      </right>
      <top/>
      <bottom/>
      <diagonal/>
    </border>
    <border>
      <left/>
      <right style="thin">
        <color auto="1"/>
      </right>
      <top/>
      <bottom/>
      <diagonal/>
    </border>
    <border>
      <left/>
      <right style="thin">
        <color auto="1"/>
      </right>
      <top/>
      <bottom/>
      <diagonal/>
    </border>
    <border>
      <left/>
      <right style="thin">
        <color auto="1"/>
      </right>
      <top/>
      <bottom/>
      <diagonal/>
    </border>
    <border>
      <left style="thin">
        <color indexed="8"/>
      </left>
      <right/>
      <top style="thin">
        <color indexed="8"/>
      </top>
      <bottom/>
      <diagonal/>
    </border>
    <border>
      <left/>
      <right style="medium">
        <color indexed="64"/>
      </right>
      <top style="thin">
        <color indexed="8"/>
      </top>
      <bottom/>
      <diagonal/>
    </border>
    <border>
      <left style="thin">
        <color indexed="8"/>
      </left>
      <right/>
      <top style="thin">
        <color indexed="64"/>
      </top>
      <bottom style="thin">
        <color indexed="64"/>
      </bottom>
      <diagonal/>
    </border>
    <border>
      <left style="thin">
        <color indexed="8"/>
      </left>
      <right/>
      <top style="medium">
        <color indexed="64"/>
      </top>
      <bottom style="medium">
        <color indexed="64"/>
      </bottom>
      <diagonal/>
    </border>
    <border>
      <left/>
      <right style="thin">
        <color indexed="8"/>
      </right>
      <top style="medium">
        <color indexed="64"/>
      </top>
      <bottom style="medium">
        <color indexed="64"/>
      </bottom>
      <diagonal/>
    </border>
    <border>
      <left/>
      <right/>
      <top style="thin">
        <color auto="1"/>
      </top>
      <bottom/>
      <diagonal/>
    </border>
    <border>
      <left style="thin">
        <color auto="1"/>
      </left>
      <right style="thin">
        <color indexed="64"/>
      </right>
      <top style="thin">
        <color auto="1"/>
      </top>
      <bottom/>
      <diagonal/>
    </border>
    <border>
      <left/>
      <right style="thin">
        <color indexed="64"/>
      </right>
      <top style="thin">
        <color auto="1"/>
      </top>
      <bottom/>
      <diagonal/>
    </border>
    <border>
      <left style="thin">
        <color auto="1"/>
      </left>
      <right/>
      <top style="thin">
        <color auto="1"/>
      </top>
      <bottom/>
      <diagonal/>
    </border>
    <border>
      <left style="thin">
        <color indexed="64"/>
      </left>
      <right style="thin">
        <color indexed="64"/>
      </right>
      <top style="medium">
        <color indexed="64"/>
      </top>
      <bottom style="dashed">
        <color indexed="64"/>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ashed">
        <color auto="1"/>
      </bottom>
      <diagonal/>
    </border>
    <border>
      <left style="thin">
        <color indexed="64"/>
      </left>
      <right style="thin">
        <color indexed="64"/>
      </right>
      <top style="dashed">
        <color indexed="64"/>
      </top>
      <bottom/>
      <diagonal/>
    </border>
    <border>
      <left/>
      <right style="thin">
        <color auto="1"/>
      </right>
      <top/>
      <bottom/>
      <diagonal/>
    </border>
    <border>
      <left/>
      <right style="thin">
        <color auto="1"/>
      </right>
      <top/>
      <bottom/>
      <diagonal/>
    </border>
    <border>
      <left/>
      <right style="thin">
        <color auto="1"/>
      </right>
      <top/>
      <bottom/>
      <diagonal/>
    </border>
    <border>
      <left/>
      <right/>
      <top style="thin">
        <color indexed="8"/>
      </top>
      <bottom/>
      <diagonal/>
    </border>
    <border>
      <left/>
      <right/>
      <top style="thin">
        <color indexed="8"/>
      </top>
      <bottom style="thin">
        <color indexed="8"/>
      </bottom>
      <diagonal/>
    </border>
    <border>
      <left/>
      <right style="thin">
        <color auto="1"/>
      </right>
      <top/>
      <bottom/>
      <diagonal/>
    </border>
    <border>
      <left/>
      <right style="thin">
        <color auto="1"/>
      </right>
      <top/>
      <bottom/>
      <diagonal/>
    </border>
    <border>
      <left/>
      <right style="thin">
        <color auto="1"/>
      </right>
      <top/>
      <bottom/>
      <diagonal/>
    </border>
    <border>
      <left style="thin">
        <color auto="1"/>
      </left>
      <right style="thin">
        <color auto="1"/>
      </right>
      <top style="thin">
        <color indexed="64"/>
      </top>
      <bottom style="thin">
        <color indexed="64"/>
      </bottom>
      <diagonal/>
    </border>
    <border>
      <left style="thin">
        <color auto="1"/>
      </left>
      <right/>
      <top style="thin">
        <color auto="1"/>
      </top>
      <bottom style="thin">
        <color auto="1"/>
      </bottom>
      <diagonal/>
    </border>
    <border>
      <left/>
      <right style="medium">
        <color indexed="64"/>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right/>
      <top style="medium">
        <color auto="1"/>
      </top>
      <bottom style="medium">
        <color auto="1"/>
      </bottom>
      <diagonal/>
    </border>
    <border>
      <left style="thin">
        <color indexed="64"/>
      </left>
      <right style="medium">
        <color indexed="64"/>
      </right>
      <top style="medium">
        <color auto="1"/>
      </top>
      <bottom style="medium">
        <color auto="1"/>
      </bottom>
      <diagonal/>
    </border>
    <border>
      <left style="medium">
        <color indexed="64"/>
      </left>
      <right style="medium">
        <color indexed="64"/>
      </right>
      <top style="thin">
        <color indexed="64"/>
      </top>
      <bottom/>
      <diagonal/>
    </border>
    <border>
      <left/>
      <right style="thin">
        <color auto="1"/>
      </right>
      <top/>
      <bottom/>
      <diagonal/>
    </border>
    <border>
      <left/>
      <right style="thin">
        <color indexed="64"/>
      </right>
      <top style="thin">
        <color indexed="64"/>
      </top>
      <bottom style="thin">
        <color indexed="64"/>
      </bottom>
      <diagonal/>
    </border>
    <border>
      <left/>
      <right style="thin">
        <color indexed="8"/>
      </right>
      <top style="hair">
        <color indexed="8"/>
      </top>
      <bottom style="hair">
        <color indexed="8"/>
      </bottom>
      <diagonal/>
    </border>
    <border>
      <left/>
      <right style="thin">
        <color indexed="8"/>
      </right>
      <top/>
      <bottom style="medium">
        <color indexed="64"/>
      </bottom>
      <diagonal/>
    </border>
    <border>
      <left/>
      <right style="thin">
        <color auto="1"/>
      </right>
      <top/>
      <bottom/>
      <diagonal/>
    </border>
    <border>
      <left style="thin">
        <color indexed="64"/>
      </left>
      <right style="thin">
        <color indexed="64"/>
      </right>
      <top style="medium">
        <color auto="1"/>
      </top>
      <bottom/>
      <diagonal/>
    </border>
    <border>
      <left/>
      <right style="thin">
        <color indexed="64"/>
      </right>
      <top style="medium">
        <color auto="1"/>
      </top>
      <bottom/>
      <diagonal/>
    </border>
    <border>
      <left/>
      <right style="thin">
        <color auto="1"/>
      </right>
      <top/>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right style="thin">
        <color indexed="64"/>
      </right>
      <top/>
      <bottom style="medium">
        <color indexed="64"/>
      </bottom>
      <diagonal/>
    </border>
    <border>
      <left/>
      <right/>
      <top style="medium">
        <color auto="1"/>
      </top>
      <bottom/>
      <diagonal/>
    </border>
    <border>
      <left style="thin">
        <color indexed="64"/>
      </left>
      <right style="thin">
        <color auto="1"/>
      </right>
      <top style="thin">
        <color indexed="64"/>
      </top>
      <bottom style="dashDotDot">
        <color indexed="64"/>
      </bottom>
      <diagonal/>
    </border>
    <border>
      <left style="thin">
        <color indexed="64"/>
      </left>
      <right style="thin">
        <color auto="1"/>
      </right>
      <top style="dashDotDot">
        <color indexed="64"/>
      </top>
      <bottom style="dashDotDot">
        <color indexed="64"/>
      </bottom>
      <diagonal/>
    </border>
    <border>
      <left style="thin">
        <color indexed="64"/>
      </left>
      <right style="thin">
        <color auto="1"/>
      </right>
      <top style="dashDotDot">
        <color indexed="64"/>
      </top>
      <bottom style="thin">
        <color auto="1"/>
      </bottom>
      <diagonal/>
    </border>
    <border>
      <left style="thin">
        <color indexed="64"/>
      </left>
      <right style="thin">
        <color indexed="64"/>
      </right>
      <top style="thin">
        <color indexed="64"/>
      </top>
      <bottom style="dashDot">
        <color indexed="64"/>
      </bottom>
      <diagonal/>
    </border>
    <border>
      <left style="thin">
        <color indexed="64"/>
      </left>
      <right style="thin">
        <color indexed="64"/>
      </right>
      <top style="dashDot">
        <color indexed="64"/>
      </top>
      <bottom style="dashDot">
        <color indexed="64"/>
      </bottom>
      <diagonal/>
    </border>
    <border>
      <left style="thin">
        <color indexed="64"/>
      </left>
      <right style="thin">
        <color indexed="64"/>
      </right>
      <top style="dashDot">
        <color indexed="64"/>
      </top>
      <bottom style="thin">
        <color auto="1"/>
      </bottom>
      <diagonal/>
    </border>
    <border>
      <left/>
      <right style="thin">
        <color indexed="64"/>
      </right>
      <top style="medium">
        <color indexed="64"/>
      </top>
      <bottom style="dashed">
        <color indexed="64"/>
      </bottom>
      <diagonal/>
    </border>
    <border>
      <left/>
      <right style="thin">
        <color indexed="64"/>
      </right>
      <top style="dashed">
        <color indexed="64"/>
      </top>
      <bottom style="thin">
        <color auto="1"/>
      </bottom>
      <diagonal/>
    </border>
    <border>
      <left style="thin">
        <color auto="1"/>
      </left>
      <right style="thin">
        <color auto="1"/>
      </right>
      <top style="thin">
        <color auto="1"/>
      </top>
      <bottom style="dashed">
        <color auto="1"/>
      </bottom>
      <diagonal/>
    </border>
    <border>
      <left/>
      <right style="thin">
        <color indexed="64"/>
      </right>
      <top style="thin">
        <color auto="1"/>
      </top>
      <bottom style="dashed">
        <color auto="1"/>
      </bottom>
      <diagonal/>
    </border>
    <border>
      <left/>
      <right style="thin">
        <color indexed="64"/>
      </right>
      <top style="dashed">
        <color auto="1"/>
      </top>
      <bottom/>
      <diagonal/>
    </border>
    <border>
      <left/>
      <right style="thin">
        <color auto="1"/>
      </right>
      <top/>
      <bottom/>
      <diagonal/>
    </border>
    <border>
      <left/>
      <right/>
      <top style="thin">
        <color indexed="64"/>
      </top>
      <bottom style="thin">
        <color indexed="64"/>
      </bottom>
      <diagonal/>
    </border>
    <border>
      <left/>
      <right style="thin">
        <color indexed="8"/>
      </right>
      <top style="thin">
        <color indexed="8"/>
      </top>
      <bottom/>
      <diagonal/>
    </border>
    <border>
      <left/>
      <right style="medium">
        <color indexed="64"/>
      </right>
      <top style="medium">
        <color indexed="64"/>
      </top>
      <bottom style="thin">
        <color indexed="64"/>
      </bottom>
      <diagonal/>
    </border>
    <border>
      <left style="medium">
        <color auto="1"/>
      </left>
      <right style="medium">
        <color indexed="64"/>
      </right>
      <top style="medium">
        <color auto="1"/>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bottom style="thin">
        <color indexed="64"/>
      </bottom>
      <diagonal/>
    </border>
    <border>
      <left style="thin">
        <color indexed="64"/>
      </left>
      <right/>
      <top style="thin">
        <color auto="1"/>
      </top>
      <bottom style="thin">
        <color auto="1"/>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style="thin">
        <color indexed="64"/>
      </right>
      <top style="thin">
        <color auto="1"/>
      </top>
      <bottom/>
      <diagonal/>
    </border>
    <border>
      <left/>
      <right style="thin">
        <color indexed="8"/>
      </right>
      <top/>
      <bottom/>
      <diagonal/>
    </border>
    <border>
      <left/>
      <right style="thin">
        <color auto="1"/>
      </right>
      <top/>
      <bottom/>
      <diagonal/>
    </border>
    <border>
      <left style="thin">
        <color indexed="8"/>
      </left>
      <right style="thin">
        <color indexed="8"/>
      </right>
      <top/>
      <bottom/>
      <diagonal/>
    </border>
    <border>
      <left/>
      <right style="thin">
        <color indexed="64"/>
      </right>
      <top/>
      <bottom/>
      <diagonal/>
    </border>
    <border>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style="thin">
        <color auto="1"/>
      </left>
      <right style="thin">
        <color indexed="64"/>
      </right>
      <top style="hair">
        <color auto="1"/>
      </top>
      <bottom style="thin">
        <color indexed="64"/>
      </bottom>
      <diagonal/>
    </border>
    <border>
      <left style="thin">
        <color auto="1"/>
      </left>
      <right style="thin">
        <color auto="1"/>
      </right>
      <top style="hair">
        <color auto="1"/>
      </top>
      <bottom style="hair">
        <color auto="1"/>
      </bottom>
      <diagonal/>
    </border>
    <border>
      <left/>
      <right style="thin">
        <color indexed="64"/>
      </right>
      <top style="hair">
        <color auto="1"/>
      </top>
      <bottom style="hair">
        <color auto="1"/>
      </bottom>
      <diagonal/>
    </border>
    <border>
      <left/>
      <right style="thin">
        <color indexed="64"/>
      </right>
      <top style="hair">
        <color auto="1"/>
      </top>
      <bottom style="thin">
        <color indexed="64"/>
      </bottom>
      <diagonal/>
    </border>
    <border>
      <left style="thin">
        <color auto="1"/>
      </left>
      <right style="thin">
        <color auto="1"/>
      </right>
      <top/>
      <bottom style="hair">
        <color auto="1"/>
      </bottom>
      <diagonal/>
    </border>
    <border>
      <left/>
      <right style="thin">
        <color indexed="64"/>
      </right>
      <top/>
      <bottom style="hair">
        <color auto="1"/>
      </bottom>
      <diagonal/>
    </border>
    <border>
      <left style="thin">
        <color indexed="64"/>
      </left>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auto="1"/>
      </top>
      <bottom/>
      <diagonal/>
    </border>
    <border>
      <left/>
      <right style="thin">
        <color auto="1"/>
      </right>
      <top/>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right style="thin">
        <color auto="1"/>
      </right>
      <top/>
      <bottom/>
      <diagonal/>
    </border>
    <border>
      <left/>
      <right/>
      <top style="medium">
        <color indexed="64"/>
      </top>
      <bottom/>
      <diagonal/>
    </border>
    <border>
      <left/>
      <right style="thin">
        <color indexed="64"/>
      </right>
      <top style="medium">
        <color auto="1"/>
      </top>
      <bottom/>
      <diagonal/>
    </border>
    <border>
      <left/>
      <right style="thin">
        <color auto="1"/>
      </right>
      <top/>
      <bottom/>
      <diagonal/>
    </border>
    <border>
      <left style="thin">
        <color indexed="64"/>
      </left>
      <right style="thin">
        <color indexed="64"/>
      </right>
      <top style="medium">
        <color auto="1"/>
      </top>
      <bottom/>
      <diagonal/>
    </border>
    <border>
      <left/>
      <right/>
      <top style="medium">
        <color indexed="64"/>
      </top>
      <bottom/>
      <diagonal/>
    </border>
    <border>
      <left/>
      <right style="thin">
        <color auto="1"/>
      </right>
      <top style="medium">
        <color auto="1"/>
      </top>
      <bottom style="medium">
        <color indexed="64"/>
      </bottom>
      <diagonal/>
    </border>
    <border>
      <left style="thin">
        <color indexed="64"/>
      </left>
      <right/>
      <top style="medium">
        <color indexed="64"/>
      </top>
      <bottom/>
      <diagonal/>
    </border>
    <border>
      <left/>
      <right/>
      <top style="medium">
        <color auto="1"/>
      </top>
      <bottom/>
      <diagonal/>
    </border>
    <border>
      <left style="thin">
        <color indexed="64"/>
      </left>
      <right/>
      <top style="medium">
        <color indexed="64"/>
      </top>
      <bottom/>
      <diagonal/>
    </border>
    <border>
      <left style="thin">
        <color auto="1"/>
      </left>
      <right style="thin">
        <color auto="1"/>
      </right>
      <top style="medium">
        <color indexed="64"/>
      </top>
      <bottom/>
      <diagonal/>
    </border>
    <border>
      <left/>
      <right style="thin">
        <color auto="1"/>
      </right>
      <top style="medium">
        <color indexed="64"/>
      </top>
      <bottom/>
      <diagonal/>
    </border>
    <border>
      <left style="thin">
        <color auto="1"/>
      </left>
      <right style="thin">
        <color auto="1"/>
      </right>
      <top/>
      <bottom style="hair">
        <color auto="1"/>
      </bottom>
      <diagonal/>
    </border>
    <border>
      <left/>
      <right style="thin">
        <color indexed="64"/>
      </right>
      <top/>
      <bottom style="hair">
        <color auto="1"/>
      </bottom>
      <diagonal/>
    </border>
    <border>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top style="thin">
        <color indexed="8"/>
      </top>
      <bottom/>
      <diagonal/>
    </border>
    <border>
      <left/>
      <right style="thin">
        <color indexed="64"/>
      </right>
      <top/>
      <bottom style="hair">
        <color indexed="8"/>
      </bottom>
      <diagonal/>
    </border>
    <border>
      <left style="thin">
        <color indexed="8"/>
      </left>
      <right/>
      <top/>
      <bottom/>
      <diagonal/>
    </border>
    <border>
      <left style="thin">
        <color indexed="8"/>
      </left>
      <right/>
      <top style="thin">
        <color indexed="8"/>
      </top>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top/>
      <bottom/>
      <diagonal/>
    </border>
    <border>
      <left/>
      <right style="thin">
        <color indexed="64"/>
      </right>
      <top style="thin">
        <color indexed="64"/>
      </top>
      <bottom/>
      <diagonal/>
    </border>
    <border>
      <left/>
      <right style="thin">
        <color auto="1"/>
      </right>
      <top/>
      <bottom/>
      <diagonal/>
    </border>
    <border>
      <left/>
      <right style="thin">
        <color auto="1"/>
      </right>
      <top/>
      <bottom/>
      <diagonal/>
    </border>
    <border>
      <left/>
      <right style="thin">
        <color auto="1"/>
      </right>
      <top/>
      <bottom/>
      <diagonal/>
    </border>
    <border>
      <left/>
      <right style="thin">
        <color auto="1"/>
      </right>
      <top/>
      <bottom/>
      <diagonal/>
    </border>
    <border>
      <left/>
      <right style="thin">
        <color auto="1"/>
      </right>
      <top/>
      <bottom/>
      <diagonal/>
    </border>
    <border>
      <left/>
      <right style="thin">
        <color auto="1"/>
      </right>
      <top/>
      <bottom/>
      <diagonal/>
    </border>
    <border>
      <left/>
      <right style="thin">
        <color auto="1"/>
      </right>
      <top/>
      <bottom/>
      <diagonal/>
    </border>
    <border>
      <left/>
      <right style="thin">
        <color auto="1"/>
      </right>
      <top/>
      <bottom/>
      <diagonal/>
    </border>
    <border>
      <left style="thin">
        <color auto="1"/>
      </left>
      <right style="medium">
        <color auto="1"/>
      </right>
      <top/>
      <bottom/>
      <diagonal/>
    </border>
    <border>
      <left style="thin">
        <color auto="1"/>
      </left>
      <right style="medium">
        <color auto="1"/>
      </right>
      <top/>
      <bottom style="medium">
        <color indexed="64"/>
      </bottom>
      <diagonal/>
    </border>
    <border>
      <left style="thin">
        <color auto="1"/>
      </left>
      <right style="thin">
        <color auto="1"/>
      </right>
      <top/>
      <bottom style="hair">
        <color auto="1"/>
      </bottom>
      <diagonal/>
    </border>
    <border>
      <left/>
      <right style="thin">
        <color auto="1"/>
      </right>
      <top/>
      <bottom/>
      <diagonal/>
    </border>
    <border>
      <left style="thin">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auto="1"/>
      </left>
      <right style="medium">
        <color indexed="64"/>
      </right>
      <top/>
      <bottom style="thin">
        <color auto="1"/>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medium">
        <color auto="1"/>
      </top>
      <bottom style="medium">
        <color indexed="64"/>
      </bottom>
      <diagonal/>
    </border>
    <border>
      <left style="thin">
        <color indexed="64"/>
      </left>
      <right style="thin">
        <color indexed="64"/>
      </right>
      <top style="medium">
        <color auto="1"/>
      </top>
      <bottom style="medium">
        <color indexed="64"/>
      </bottom>
      <diagonal/>
    </border>
    <border>
      <left style="thin">
        <color indexed="64"/>
      </left>
      <right style="medium">
        <color indexed="64"/>
      </right>
      <top style="medium">
        <color auto="1"/>
      </top>
      <bottom style="medium">
        <color indexed="64"/>
      </bottom>
      <diagonal/>
    </border>
    <border>
      <left/>
      <right/>
      <top style="medium">
        <color indexed="64"/>
      </top>
      <bottom/>
      <diagonal/>
    </border>
    <border>
      <left/>
      <right style="thin">
        <color auto="1"/>
      </right>
      <top/>
      <bottom/>
      <diagonal/>
    </border>
    <border>
      <left style="medium">
        <color auto="1"/>
      </left>
      <right style="medium">
        <color auto="1"/>
      </right>
      <top style="medium">
        <color auto="1"/>
      </top>
      <bottom/>
      <diagonal/>
    </border>
    <border>
      <left style="thin">
        <color indexed="64"/>
      </left>
      <right/>
      <top style="medium">
        <color indexed="64"/>
      </top>
      <bottom style="medium">
        <color indexed="64"/>
      </bottom>
      <diagonal/>
    </border>
    <border>
      <left/>
      <right style="thin">
        <color indexed="64"/>
      </right>
      <top style="thin">
        <color auto="1"/>
      </top>
      <bottom style="thin">
        <color auto="1"/>
      </bottom>
      <diagonal/>
    </border>
    <border>
      <left/>
      <right style="thin">
        <color auto="1"/>
      </right>
      <top/>
      <bottom/>
      <diagonal/>
    </border>
    <border>
      <left style="mediumDashed">
        <color auto="1"/>
      </left>
      <right/>
      <top style="hair">
        <color auto="1"/>
      </top>
      <bottom style="hair">
        <color auto="1"/>
      </bottom>
      <diagonal/>
    </border>
    <border>
      <left/>
      <right style="hair">
        <color auto="1"/>
      </right>
      <top style="hair">
        <color auto="1"/>
      </top>
      <bottom style="hair">
        <color auto="1"/>
      </bottom>
      <diagonal/>
    </border>
    <border>
      <left/>
      <right style="thin">
        <color auto="1"/>
      </right>
      <top/>
      <bottom/>
      <diagonal/>
    </border>
    <border>
      <left/>
      <right style="thin">
        <color auto="1"/>
      </right>
      <top/>
      <bottom/>
      <diagonal/>
    </border>
    <border>
      <left/>
      <right style="thin">
        <color auto="1"/>
      </right>
      <top/>
      <bottom/>
      <diagonal/>
    </border>
    <border>
      <left/>
      <right/>
      <top style="hair">
        <color indexed="64"/>
      </top>
      <bottom/>
      <diagonal/>
    </border>
    <border>
      <left style="thin">
        <color indexed="64"/>
      </left>
      <right style="thin">
        <color indexed="64"/>
      </right>
      <top style="dashDot">
        <color indexed="64"/>
      </top>
      <bottom/>
      <diagonal/>
    </border>
    <border>
      <left/>
      <right style="thin">
        <color auto="1"/>
      </right>
      <top/>
      <bottom/>
      <diagonal/>
    </border>
    <border>
      <left/>
      <right style="thin">
        <color auto="1"/>
      </right>
      <top/>
      <bottom/>
      <diagonal/>
    </border>
    <border>
      <left/>
      <right style="thin">
        <color auto="1"/>
      </right>
      <top/>
      <bottom/>
      <diagonal/>
    </border>
    <border>
      <left style="thin">
        <color auto="1"/>
      </left>
      <right style="thin">
        <color auto="1"/>
      </right>
      <top/>
      <bottom style="thick">
        <color auto="1"/>
      </bottom>
      <diagonal/>
    </border>
    <border>
      <left style="medium">
        <color indexed="64"/>
      </left>
      <right style="thin">
        <color indexed="64"/>
      </right>
      <top/>
      <bottom style="thick">
        <color auto="1"/>
      </bottom>
      <diagonal/>
    </border>
    <border>
      <left style="thin">
        <color indexed="64"/>
      </left>
      <right style="medium">
        <color indexed="64"/>
      </right>
      <top/>
      <bottom style="thick">
        <color auto="1"/>
      </bottom>
      <diagonal/>
    </border>
    <border>
      <left style="thin">
        <color auto="1"/>
      </left>
      <right style="thin">
        <color auto="1"/>
      </right>
      <top style="thick">
        <color auto="1"/>
      </top>
      <bottom/>
      <diagonal/>
    </border>
    <border>
      <left style="medium">
        <color indexed="64"/>
      </left>
      <right style="thin">
        <color indexed="64"/>
      </right>
      <top style="thick">
        <color auto="1"/>
      </top>
      <bottom/>
      <diagonal/>
    </border>
    <border>
      <left style="thin">
        <color indexed="64"/>
      </left>
      <right style="medium">
        <color indexed="64"/>
      </right>
      <top style="thick">
        <color auto="1"/>
      </top>
      <bottom/>
      <diagonal/>
    </border>
    <border>
      <left/>
      <right style="thin">
        <color auto="1"/>
      </right>
      <top/>
      <bottom/>
      <diagonal/>
    </border>
    <border>
      <left style="medium">
        <color auto="1"/>
      </left>
      <right/>
      <top style="thin">
        <color indexed="64"/>
      </top>
      <bottom/>
      <diagonal/>
    </border>
    <border>
      <left/>
      <right style="thin">
        <color auto="1"/>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111">
    <xf numFmtId="0" fontId="0" fillId="0" borderId="0"/>
    <xf numFmtId="43" fontId="17" fillId="0" borderId="0" applyFont="0" applyFill="0" applyBorder="0" applyAlignment="0" applyProtection="0"/>
    <xf numFmtId="0" fontId="18" fillId="0" borderId="0"/>
    <xf numFmtId="43" fontId="23"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24" fillId="0" borderId="0" applyFont="0" applyFill="0" applyBorder="0" applyProtection="0"/>
    <xf numFmtId="43" fontId="2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7" fillId="0" borderId="0"/>
    <xf numFmtId="3" fontId="19" fillId="0" borderId="0"/>
    <xf numFmtId="0" fontId="19" fillId="0" borderId="0"/>
    <xf numFmtId="0" fontId="24" fillId="0" borderId="0"/>
    <xf numFmtId="0" fontId="19" fillId="0" borderId="0"/>
    <xf numFmtId="0" fontId="18" fillId="0" borderId="0"/>
    <xf numFmtId="0" fontId="19" fillId="0" borderId="0"/>
    <xf numFmtId="0" fontId="18" fillId="0" borderId="0"/>
    <xf numFmtId="0" fontId="18" fillId="0" borderId="0"/>
    <xf numFmtId="0" fontId="18" fillId="0" borderId="0"/>
    <xf numFmtId="3" fontId="19" fillId="0" borderId="0"/>
    <xf numFmtId="0" fontId="17" fillId="0" borderId="0"/>
    <xf numFmtId="0" fontId="19" fillId="0" borderId="0"/>
    <xf numFmtId="0" fontId="26" fillId="0" borderId="0"/>
    <xf numFmtId="0" fontId="18" fillId="0" borderId="0"/>
    <xf numFmtId="0" fontId="26" fillId="0" borderId="0"/>
    <xf numFmtId="0" fontId="18" fillId="0" borderId="0"/>
    <xf numFmtId="0" fontId="19" fillId="0" borderId="0"/>
    <xf numFmtId="0" fontId="18" fillId="0" borderId="0"/>
    <xf numFmtId="0" fontId="25"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43" fontId="24" fillId="0" borderId="0" applyFont="0" applyFill="0" applyBorder="0" applyAlignment="0" applyProtection="0"/>
    <xf numFmtId="0" fontId="28" fillId="0" borderId="0"/>
    <xf numFmtId="0" fontId="28" fillId="0" borderId="0"/>
    <xf numFmtId="0" fontId="28" fillId="0" borderId="0"/>
    <xf numFmtId="0" fontId="28" fillId="0" borderId="0"/>
    <xf numFmtId="0" fontId="23" fillId="0" borderId="0"/>
    <xf numFmtId="0" fontId="18" fillId="0" borderId="0"/>
    <xf numFmtId="43" fontId="18" fillId="0" borderId="0" applyFont="0" applyFill="0" applyBorder="0" applyAlignment="0" applyProtection="0"/>
    <xf numFmtId="43" fontId="25" fillId="0" borderId="0" applyFont="0" applyFill="0" applyBorder="0" applyAlignment="0" applyProtection="0"/>
    <xf numFmtId="0" fontId="18" fillId="0" borderId="0"/>
    <xf numFmtId="0" fontId="19" fillId="0" borderId="0"/>
    <xf numFmtId="9"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Protection="0"/>
    <xf numFmtId="43" fontId="19" fillId="0" borderId="0" applyFont="0" applyFill="0" applyBorder="0" applyAlignment="0" applyProtection="0"/>
    <xf numFmtId="0" fontId="19" fillId="0" borderId="0"/>
    <xf numFmtId="3" fontId="19" fillId="0" borderId="0"/>
    <xf numFmtId="4" fontId="19" fillId="0" borderId="0" applyFont="0" applyFill="0" applyBorder="0" applyAlignment="0" applyProtection="0"/>
    <xf numFmtId="0" fontId="42" fillId="0" borderId="0"/>
    <xf numFmtId="43" fontId="19" fillId="0" borderId="0" applyFont="0" applyFill="0" applyBorder="0" applyProtection="0"/>
    <xf numFmtId="0" fontId="17" fillId="0" borderId="0"/>
    <xf numFmtId="0" fontId="17" fillId="0" borderId="0"/>
    <xf numFmtId="0" fontId="17" fillId="0" borderId="0"/>
    <xf numFmtId="0" fontId="19" fillId="0" borderId="0"/>
    <xf numFmtId="0" fontId="43" fillId="0" borderId="0"/>
    <xf numFmtId="43" fontId="52" fillId="0" borderId="0" applyFont="0" applyFill="0" applyBorder="0" applyAlignment="0" applyProtection="0"/>
    <xf numFmtId="3" fontId="19" fillId="0" borderId="0"/>
    <xf numFmtId="0" fontId="64" fillId="0" borderId="0"/>
    <xf numFmtId="43" fontId="65" fillId="0" borderId="0" applyFont="0" applyFill="0" applyBorder="0" applyAlignment="0" applyProtection="0"/>
    <xf numFmtId="0" fontId="18" fillId="0" borderId="0"/>
    <xf numFmtId="43" fontId="19" fillId="0" borderId="0" applyFont="0" applyFill="0" applyBorder="0" applyAlignment="0" applyProtection="0"/>
    <xf numFmtId="0" fontId="64" fillId="0" borderId="0"/>
    <xf numFmtId="0" fontId="65" fillId="0" borderId="0"/>
    <xf numFmtId="0" fontId="18" fillId="0" borderId="0"/>
    <xf numFmtId="0" fontId="18" fillId="0" borderId="0"/>
    <xf numFmtId="0" fontId="18" fillId="0" borderId="0"/>
    <xf numFmtId="0" fontId="100" fillId="0" borderId="0"/>
    <xf numFmtId="0" fontId="19" fillId="0" borderId="0"/>
    <xf numFmtId="9" fontId="17" fillId="0" borderId="0" applyFont="0" applyFill="0" applyBorder="0" applyAlignment="0" applyProtection="0"/>
    <xf numFmtId="0" fontId="118" fillId="0" borderId="0"/>
    <xf numFmtId="0" fontId="120" fillId="0" borderId="0"/>
    <xf numFmtId="0" fontId="17" fillId="0" borderId="0"/>
    <xf numFmtId="0" fontId="17" fillId="0" borderId="0"/>
    <xf numFmtId="43" fontId="137" fillId="0" borderId="0" applyFont="0" applyFill="0" applyBorder="0" applyAlignment="0" applyProtection="0"/>
    <xf numFmtId="0" fontId="17" fillId="0" borderId="0"/>
    <xf numFmtId="43" fontId="17" fillId="0" borderId="0" applyFont="0" applyFill="0" applyBorder="0" applyAlignment="0" applyProtection="0"/>
    <xf numFmtId="170" fontId="28" fillId="0" borderId="0"/>
    <xf numFmtId="171" fontId="28" fillId="0" borderId="0"/>
    <xf numFmtId="0" fontId="148" fillId="0" borderId="0"/>
    <xf numFmtId="43" fontId="148" fillId="0" borderId="0" applyFont="0" applyFill="0" applyBorder="0" applyAlignment="0" applyProtection="0"/>
    <xf numFmtId="0" fontId="18" fillId="0" borderId="0"/>
    <xf numFmtId="0" fontId="180" fillId="0" borderId="0"/>
    <xf numFmtId="43" fontId="180" fillId="0" borderId="0" applyFont="0" applyFill="0" applyBorder="0" applyAlignment="0" applyProtection="0"/>
    <xf numFmtId="170" fontId="28" fillId="0" borderId="0"/>
    <xf numFmtId="0" fontId="190" fillId="0" borderId="0"/>
    <xf numFmtId="0" fontId="19" fillId="0" borderId="0"/>
    <xf numFmtId="9" fontId="19" fillId="0" borderId="0" applyFont="0" applyFill="0" applyBorder="0" applyAlignment="0" applyProtection="0"/>
    <xf numFmtId="0" fontId="210" fillId="0" borderId="0"/>
    <xf numFmtId="43" fontId="17" fillId="0" borderId="0" applyFont="0" applyFill="0" applyBorder="0" applyAlignment="0" applyProtection="0"/>
    <xf numFmtId="0" fontId="7" fillId="0" borderId="0"/>
    <xf numFmtId="43" fontId="7" fillId="0" borderId="0" applyFont="0" applyFill="0" applyBorder="0" applyAlignment="0" applyProtection="0"/>
  </cellStyleXfs>
  <cellXfs count="15543">
    <xf numFmtId="0" fontId="0" fillId="0" borderId="0" xfId="0"/>
    <xf numFmtId="0" fontId="19" fillId="0" borderId="0" xfId="2" applyFont="1" applyProtection="1">
      <protection locked="0"/>
    </xf>
    <xf numFmtId="0" fontId="18" fillId="0" borderId="0" xfId="2"/>
    <xf numFmtId="0" fontId="19" fillId="0" borderId="0" xfId="2" applyFont="1"/>
    <xf numFmtId="0" fontId="20" fillId="0" borderId="0" xfId="2" applyFont="1" applyAlignment="1" applyProtection="1">
      <alignment horizontal="centerContinuous"/>
      <protection locked="0"/>
    </xf>
    <xf numFmtId="0" fontId="19" fillId="0" borderId="0" xfId="2" applyFont="1" applyAlignment="1" applyProtection="1">
      <alignment horizontal="centerContinuous"/>
      <protection locked="0"/>
    </xf>
    <xf numFmtId="0" fontId="21" fillId="0" borderId="0" xfId="2" applyFont="1" applyProtection="1">
      <protection locked="0"/>
    </xf>
    <xf numFmtId="0" fontId="19" fillId="0" borderId="1" xfId="2" applyFont="1" applyBorder="1" applyProtection="1">
      <protection locked="0"/>
    </xf>
    <xf numFmtId="0" fontId="21" fillId="0" borderId="0" xfId="2" applyFont="1" applyBorder="1" applyAlignment="1" applyProtection="1">
      <alignment horizontal="center"/>
      <protection locked="0"/>
    </xf>
    <xf numFmtId="0" fontId="21" fillId="0" borderId="4" xfId="2" applyFont="1" applyBorder="1" applyAlignment="1" applyProtection="1">
      <alignment horizontal="center"/>
      <protection locked="0"/>
    </xf>
    <xf numFmtId="0" fontId="21" fillId="0" borderId="1" xfId="2" applyFont="1" applyBorder="1" applyAlignment="1" applyProtection="1">
      <alignment horizontal="center"/>
      <protection locked="0"/>
    </xf>
    <xf numFmtId="0" fontId="21" fillId="0" borderId="8" xfId="2" applyFont="1" applyBorder="1" applyAlignment="1" applyProtection="1">
      <alignment horizontal="center"/>
      <protection locked="0"/>
    </xf>
    <xf numFmtId="0" fontId="19" fillId="0" borderId="0" xfId="2" applyFont="1" applyBorder="1" applyProtection="1">
      <protection locked="0"/>
    </xf>
    <xf numFmtId="0" fontId="19" fillId="0" borderId="5" xfId="2" applyFont="1" applyBorder="1" applyProtection="1">
      <protection locked="0"/>
    </xf>
    <xf numFmtId="0" fontId="19" fillId="0" borderId="4" xfId="2" applyFont="1" applyBorder="1" applyProtection="1">
      <protection locked="0"/>
    </xf>
    <xf numFmtId="0" fontId="19" fillId="0" borderId="5" xfId="2" applyFont="1" applyBorder="1" applyAlignment="1" applyProtection="1">
      <alignment horizontal="right"/>
      <protection locked="0"/>
    </xf>
    <xf numFmtId="4" fontId="19" fillId="0" borderId="4" xfId="2" applyNumberFormat="1" applyFont="1" applyBorder="1" applyProtection="1">
      <protection locked="0"/>
    </xf>
    <xf numFmtId="4" fontId="19" fillId="0" borderId="9" xfId="2" applyNumberFormat="1" applyFont="1" applyBorder="1" applyProtection="1">
      <protection locked="0"/>
    </xf>
    <xf numFmtId="0" fontId="21" fillId="0" borderId="0" xfId="2" applyFont="1" applyBorder="1" applyProtection="1">
      <protection locked="0"/>
    </xf>
    <xf numFmtId="4" fontId="21" fillId="0" borderId="4" xfId="2" applyNumberFormat="1" applyFont="1" applyBorder="1" applyProtection="1">
      <protection locked="0"/>
    </xf>
    <xf numFmtId="0" fontId="19" fillId="0" borderId="15" xfId="2" applyFont="1" applyBorder="1" applyProtection="1">
      <protection locked="0"/>
    </xf>
    <xf numFmtId="0" fontId="19" fillId="0" borderId="16" xfId="2" applyFont="1" applyBorder="1" applyAlignment="1" applyProtection="1">
      <alignment horizontal="right"/>
      <protection locked="0"/>
    </xf>
    <xf numFmtId="0" fontId="19" fillId="0" borderId="17" xfId="2" applyFont="1" applyBorder="1" applyAlignment="1" applyProtection="1">
      <alignment horizontal="right"/>
      <protection locked="0"/>
    </xf>
    <xf numFmtId="0" fontId="19" fillId="0" borderId="0" xfId="2" applyFont="1" applyAlignment="1" applyProtection="1">
      <protection locked="0"/>
    </xf>
    <xf numFmtId="0" fontId="18" fillId="0" borderId="0" xfId="2" applyProtection="1">
      <protection locked="0"/>
    </xf>
    <xf numFmtId="0" fontId="27" fillId="0" borderId="0" xfId="2" applyFont="1"/>
    <xf numFmtId="0" fontId="21" fillId="0" borderId="0" xfId="2" applyFont="1"/>
    <xf numFmtId="0" fontId="21" fillId="0" borderId="7" xfId="2" applyFont="1" applyBorder="1" applyAlignment="1" applyProtection="1">
      <alignment horizontal="center"/>
      <protection locked="0"/>
    </xf>
    <xf numFmtId="43" fontId="19" fillId="0" borderId="4" xfId="7" applyFont="1" applyBorder="1" applyAlignment="1" applyProtection="1">
      <alignment horizontal="right"/>
      <protection locked="0"/>
    </xf>
    <xf numFmtId="0" fontId="19" fillId="0" borderId="0" xfId="2" applyFont="1" applyFill="1" applyBorder="1" applyProtection="1">
      <protection locked="0"/>
    </xf>
    <xf numFmtId="0" fontId="19" fillId="0" borderId="4" xfId="2" applyFont="1" applyBorder="1" applyAlignment="1" applyProtection="1">
      <alignment horizontal="right"/>
      <protection locked="0"/>
    </xf>
    <xf numFmtId="0" fontId="21" fillId="0" borderId="5" xfId="2" applyFont="1" applyBorder="1" applyAlignment="1" applyProtection="1">
      <alignment horizontal="right"/>
      <protection locked="0"/>
    </xf>
    <xf numFmtId="0" fontId="19" fillId="0" borderId="9" xfId="2" applyFont="1" applyBorder="1" applyAlignment="1" applyProtection="1">
      <alignment horizontal="right"/>
      <protection locked="0"/>
    </xf>
    <xf numFmtId="0" fontId="19" fillId="0" borderId="0" xfId="46" applyFont="1" applyProtection="1">
      <protection locked="0"/>
    </xf>
    <xf numFmtId="0" fontId="18" fillId="0" borderId="0" xfId="46"/>
    <xf numFmtId="0" fontId="19" fillId="0" borderId="0" xfId="46" applyFont="1"/>
    <xf numFmtId="0" fontId="21" fillId="0" borderId="0" xfId="46" applyFont="1" applyProtection="1">
      <protection locked="0"/>
    </xf>
    <xf numFmtId="0" fontId="19" fillId="0" borderId="0" xfId="46" applyFont="1" applyBorder="1" applyProtection="1">
      <protection locked="0"/>
    </xf>
    <xf numFmtId="0" fontId="19" fillId="0" borderId="2" xfId="46" applyFont="1" applyBorder="1" applyProtection="1">
      <protection locked="0"/>
    </xf>
    <xf numFmtId="4" fontId="19" fillId="0" borderId="4" xfId="46" applyNumberFormat="1" applyFont="1" applyBorder="1" applyProtection="1">
      <protection locked="0"/>
    </xf>
    <xf numFmtId="0" fontId="19" fillId="0" borderId="5" xfId="46" applyFont="1" applyBorder="1" applyAlignment="1" applyProtection="1">
      <alignment horizontal="right"/>
      <protection locked="0"/>
    </xf>
    <xf numFmtId="0" fontId="18" fillId="0" borderId="0" xfId="46" applyFont="1"/>
    <xf numFmtId="0" fontId="19" fillId="0" borderId="0" xfId="30" applyFont="1"/>
    <xf numFmtId="0" fontId="18" fillId="0" borderId="0" xfId="30"/>
    <xf numFmtId="0" fontId="19" fillId="0" borderId="0" xfId="30" applyFont="1" applyProtection="1">
      <protection locked="0"/>
    </xf>
    <xf numFmtId="0" fontId="20" fillId="0" borderId="0" xfId="30" applyFont="1" applyAlignment="1" applyProtection="1">
      <alignment horizontal="centerContinuous"/>
      <protection locked="0"/>
    </xf>
    <xf numFmtId="0" fontId="19" fillId="0" borderId="0" xfId="30" applyFont="1" applyAlignment="1" applyProtection="1">
      <alignment horizontal="centerContinuous"/>
      <protection locked="0"/>
    </xf>
    <xf numFmtId="0" fontId="21" fillId="0" borderId="0" xfId="30" applyFont="1" applyProtection="1">
      <protection locked="0"/>
    </xf>
    <xf numFmtId="0" fontId="19" fillId="0" borderId="1" xfId="30" applyFont="1" applyBorder="1" applyProtection="1">
      <protection locked="0"/>
    </xf>
    <xf numFmtId="0" fontId="21" fillId="0" borderId="0" xfId="30" applyFont="1" applyBorder="1" applyAlignment="1" applyProtection="1">
      <alignment horizontal="center"/>
      <protection locked="0"/>
    </xf>
    <xf numFmtId="0" fontId="21" fillId="0" borderId="5" xfId="30" applyFont="1" applyBorder="1" applyAlignment="1" applyProtection="1">
      <alignment horizontal="center"/>
      <protection locked="0"/>
    </xf>
    <xf numFmtId="0" fontId="21" fillId="0" borderId="4" xfId="30" applyFont="1" applyBorder="1" applyAlignment="1" applyProtection="1">
      <alignment horizontal="center"/>
      <protection locked="0"/>
    </xf>
    <xf numFmtId="0" fontId="21" fillId="0" borderId="1" xfId="30" applyFont="1" applyBorder="1" applyAlignment="1" applyProtection="1">
      <alignment horizontal="center"/>
      <protection locked="0"/>
    </xf>
    <xf numFmtId="0" fontId="21" fillId="0" borderId="7" xfId="30" applyFont="1" applyBorder="1" applyAlignment="1" applyProtection="1">
      <alignment horizontal="center"/>
      <protection locked="0"/>
    </xf>
    <xf numFmtId="0" fontId="21" fillId="0" borderId="8" xfId="30" applyFont="1" applyBorder="1" applyAlignment="1" applyProtection="1">
      <alignment horizontal="center"/>
      <protection locked="0"/>
    </xf>
    <xf numFmtId="0" fontId="19" fillId="0" borderId="0" xfId="30" applyFont="1" applyBorder="1" applyProtection="1">
      <protection locked="0"/>
    </xf>
    <xf numFmtId="0" fontId="19" fillId="0" borderId="5" xfId="30" applyFont="1" applyBorder="1" applyAlignment="1" applyProtection="1">
      <alignment horizontal="right"/>
      <protection locked="0"/>
    </xf>
    <xf numFmtId="0" fontId="21" fillId="0" borderId="0" xfId="30" applyFont="1" applyBorder="1" applyProtection="1">
      <protection locked="0"/>
    </xf>
    <xf numFmtId="0" fontId="19" fillId="0" borderId="2" xfId="30" applyFont="1" applyBorder="1" applyProtection="1">
      <protection locked="0"/>
    </xf>
    <xf numFmtId="49" fontId="19" fillId="0" borderId="2" xfId="30" applyNumberFormat="1" applyFont="1" applyBorder="1" applyProtection="1">
      <protection locked="0"/>
    </xf>
    <xf numFmtId="0" fontId="19" fillId="0" borderId="0" xfId="30" applyFont="1" applyAlignment="1" applyProtection="1">
      <protection locked="0"/>
    </xf>
    <xf numFmtId="0" fontId="18" fillId="0" borderId="0" xfId="30" applyProtection="1">
      <protection locked="0"/>
    </xf>
    <xf numFmtId="0" fontId="21" fillId="0" borderId="5" xfId="2" applyFont="1" applyBorder="1" applyAlignment="1" applyProtection="1">
      <alignment horizontal="center"/>
      <protection locked="0"/>
    </xf>
    <xf numFmtId="4" fontId="19" fillId="0" borderId="17" xfId="2" applyNumberFormat="1" applyFont="1" applyBorder="1" applyProtection="1">
      <protection locked="0"/>
    </xf>
    <xf numFmtId="4" fontId="21" fillId="0" borderId="24" xfId="30" applyNumberFormat="1" applyFont="1" applyBorder="1" applyProtection="1">
      <protection locked="0"/>
    </xf>
    <xf numFmtId="0" fontId="18" fillId="0" borderId="0" xfId="2" applyFont="1"/>
    <xf numFmtId="4" fontId="19" fillId="0" borderId="0" xfId="2" applyNumberFormat="1" applyFont="1"/>
    <xf numFmtId="43" fontId="19" fillId="0" borderId="5" xfId="7" applyFont="1" applyBorder="1"/>
    <xf numFmtId="0" fontId="19" fillId="0" borderId="6" xfId="30" applyFont="1" applyBorder="1" applyProtection="1">
      <protection locked="0"/>
    </xf>
    <xf numFmtId="4" fontId="19" fillId="0" borderId="4" xfId="30" applyNumberFormat="1" applyFont="1" applyBorder="1" applyProtection="1">
      <protection locked="0"/>
    </xf>
    <xf numFmtId="0" fontId="19" fillId="0" borderId="4" xfId="30" applyFont="1" applyBorder="1" applyAlignment="1" applyProtection="1">
      <alignment horizontal="right"/>
      <protection locked="0"/>
    </xf>
    <xf numFmtId="4" fontId="19" fillId="0" borderId="9" xfId="30" applyNumberFormat="1" applyFont="1" applyBorder="1" applyProtection="1">
      <protection locked="0"/>
    </xf>
    <xf numFmtId="4" fontId="21" fillId="0" borderId="11" xfId="30" applyNumberFormat="1" applyFont="1" applyBorder="1" applyProtection="1">
      <protection locked="0"/>
    </xf>
    <xf numFmtId="4" fontId="21" fillId="0" borderId="4" xfId="30" applyNumberFormat="1" applyFont="1" applyBorder="1" applyProtection="1">
      <protection locked="0"/>
    </xf>
    <xf numFmtId="43" fontId="19" fillId="0" borderId="0" xfId="7" applyFont="1" applyProtection="1">
      <protection locked="0"/>
    </xf>
    <xf numFmtId="43" fontId="19" fillId="0" borderId="0" xfId="7" applyFont="1" applyAlignment="1" applyProtection="1">
      <alignment horizontal="centerContinuous"/>
      <protection locked="0"/>
    </xf>
    <xf numFmtId="43" fontId="21" fillId="0" borderId="0" xfId="7" applyFont="1" applyProtection="1">
      <protection locked="0"/>
    </xf>
    <xf numFmtId="0" fontId="18" fillId="0" borderId="0" xfId="2" applyBorder="1" applyProtection="1">
      <protection locked="0"/>
    </xf>
    <xf numFmtId="43" fontId="19" fillId="0" borderId="0" xfId="7" applyFont="1" applyBorder="1" applyProtection="1">
      <protection locked="0"/>
    </xf>
    <xf numFmtId="0" fontId="18" fillId="0" borderId="1" xfId="2" applyBorder="1" applyProtection="1">
      <protection locked="0"/>
    </xf>
    <xf numFmtId="43" fontId="19" fillId="0" borderId="1" xfId="7" applyFont="1" applyBorder="1" applyProtection="1">
      <protection locked="0"/>
    </xf>
    <xf numFmtId="0" fontId="18" fillId="0" borderId="2" xfId="2" applyBorder="1" applyProtection="1">
      <protection locked="0"/>
    </xf>
    <xf numFmtId="43" fontId="21" fillId="0" borderId="4" xfId="7" applyFont="1" applyBorder="1" applyAlignment="1" applyProtection="1">
      <alignment horizontal="center"/>
      <protection locked="0"/>
    </xf>
    <xf numFmtId="0" fontId="18" fillId="0" borderId="6" xfId="2" applyBorder="1" applyProtection="1">
      <protection locked="0"/>
    </xf>
    <xf numFmtId="0" fontId="21" fillId="0" borderId="8" xfId="7" applyNumberFormat="1" applyFont="1" applyBorder="1" applyAlignment="1" applyProtection="1">
      <alignment horizontal="center"/>
      <protection locked="0"/>
    </xf>
    <xf numFmtId="0" fontId="21" fillId="0" borderId="4" xfId="7" applyNumberFormat="1" applyFont="1" applyBorder="1" applyAlignment="1" applyProtection="1">
      <alignment horizontal="center"/>
      <protection locked="0"/>
    </xf>
    <xf numFmtId="49" fontId="18" fillId="0" borderId="2" xfId="2" applyNumberFormat="1" applyFont="1" applyBorder="1" applyProtection="1">
      <protection locked="0"/>
    </xf>
    <xf numFmtId="43" fontId="19" fillId="0" borderId="4" xfId="7" applyFont="1" applyBorder="1" applyProtection="1">
      <protection locked="0"/>
    </xf>
    <xf numFmtId="0" fontId="19" fillId="0" borderId="0" xfId="45" applyFont="1" applyBorder="1" applyProtection="1">
      <protection locked="0"/>
    </xf>
    <xf numFmtId="49" fontId="27" fillId="0" borderId="2" xfId="2" applyNumberFormat="1" applyFont="1" applyBorder="1" applyProtection="1">
      <protection locked="0"/>
    </xf>
    <xf numFmtId="0" fontId="21" fillId="0" borderId="5" xfId="2" applyFont="1" applyBorder="1" applyProtection="1">
      <protection locked="0"/>
    </xf>
    <xf numFmtId="0" fontId="21" fillId="0" borderId="24" xfId="2" applyFont="1" applyBorder="1" applyProtection="1">
      <protection locked="0"/>
    </xf>
    <xf numFmtId="43" fontId="21" fillId="0" borderId="11" xfId="7" applyFont="1" applyBorder="1" applyProtection="1">
      <protection locked="0"/>
    </xf>
    <xf numFmtId="0" fontId="18" fillId="0" borderId="2" xfId="2" applyFont="1" applyBorder="1" applyProtection="1">
      <protection locked="0"/>
    </xf>
    <xf numFmtId="0" fontId="19" fillId="0" borderId="2" xfId="47" applyFont="1" applyBorder="1" applyProtection="1">
      <protection locked="0"/>
    </xf>
    <xf numFmtId="0" fontId="19" fillId="0" borderId="0" xfId="47" applyFont="1" applyBorder="1" applyProtection="1">
      <protection locked="0"/>
    </xf>
    <xf numFmtId="3" fontId="19" fillId="0" borderId="5" xfId="47" applyNumberFormat="1" applyFont="1" applyBorder="1" applyAlignment="1" applyProtection="1">
      <alignment horizontal="right"/>
      <protection locked="0"/>
    </xf>
    <xf numFmtId="4" fontId="19" fillId="0" borderId="5" xfId="47" applyNumberFormat="1" applyFont="1" applyBorder="1" applyProtection="1">
      <protection locked="0"/>
    </xf>
    <xf numFmtId="43" fontId="19" fillId="0" borderId="5" xfId="7" applyFont="1" applyBorder="1" applyProtection="1">
      <protection locked="0"/>
    </xf>
    <xf numFmtId="4" fontId="18" fillId="0" borderId="0" xfId="47" applyNumberFormat="1" applyFont="1" applyBorder="1" applyProtection="1">
      <protection locked="0"/>
    </xf>
    <xf numFmtId="43" fontId="18" fillId="0" borderId="0" xfId="7" applyFont="1"/>
    <xf numFmtId="0" fontId="18" fillId="0" borderId="0" xfId="47"/>
    <xf numFmtId="43" fontId="19" fillId="0" borderId="9" xfId="7" applyFont="1" applyBorder="1" applyProtection="1">
      <protection locked="0"/>
    </xf>
    <xf numFmtId="43" fontId="21" fillId="0" borderId="4" xfId="7" applyFont="1" applyBorder="1" applyProtection="1">
      <protection locked="0"/>
    </xf>
    <xf numFmtId="49" fontId="18" fillId="0" borderId="2" xfId="2" applyNumberFormat="1" applyBorder="1" applyProtection="1">
      <protection locked="0"/>
    </xf>
    <xf numFmtId="0" fontId="18" fillId="0" borderId="14" xfId="2" applyBorder="1" applyProtection="1">
      <protection locked="0"/>
    </xf>
    <xf numFmtId="43" fontId="19" fillId="0" borderId="17" xfId="7" applyFont="1" applyBorder="1" applyProtection="1">
      <protection locked="0"/>
    </xf>
    <xf numFmtId="43" fontId="19" fillId="0" borderId="0" xfId="7" applyFont="1"/>
    <xf numFmtId="4" fontId="19" fillId="0" borderId="0" xfId="46" applyNumberFormat="1" applyFont="1"/>
    <xf numFmtId="0" fontId="19" fillId="0" borderId="0" xfId="58" applyFont="1" applyAlignment="1">
      <alignment vertical="top"/>
    </xf>
    <xf numFmtId="0" fontId="21" fillId="0" borderId="0" xfId="44" applyFont="1" applyProtection="1">
      <protection locked="0"/>
    </xf>
    <xf numFmtId="43" fontId="19" fillId="0" borderId="4" xfId="1" applyFont="1" applyBorder="1" applyProtection="1">
      <protection locked="0"/>
    </xf>
    <xf numFmtId="0" fontId="19" fillId="0" borderId="0" xfId="0" applyFont="1"/>
    <xf numFmtId="0" fontId="27" fillId="0" borderId="0" xfId="30" applyFont="1" applyProtection="1">
      <protection locked="0"/>
    </xf>
    <xf numFmtId="0" fontId="27" fillId="0" borderId="2" xfId="2" applyFont="1" applyBorder="1" applyProtection="1">
      <protection locked="0"/>
    </xf>
    <xf numFmtId="43" fontId="21" fillId="0" borderId="24" xfId="7" applyFont="1" applyBorder="1" applyAlignment="1" applyProtection="1">
      <alignment horizontal="right"/>
      <protection locked="0"/>
    </xf>
    <xf numFmtId="0" fontId="28" fillId="0" borderId="0" xfId="74" applyFont="1"/>
    <xf numFmtId="0" fontId="43" fillId="0" borderId="0" xfId="74"/>
    <xf numFmtId="0" fontId="41" fillId="0" borderId="45" xfId="74" applyFont="1" applyBorder="1" applyAlignment="1">
      <alignment horizontal="center"/>
    </xf>
    <xf numFmtId="0" fontId="46" fillId="0" borderId="87" xfId="74" applyFont="1" applyBorder="1"/>
    <xf numFmtId="0" fontId="41" fillId="0" borderId="87" xfId="74" applyFont="1" applyBorder="1" applyAlignment="1">
      <alignment horizontal="center"/>
    </xf>
    <xf numFmtId="0" fontId="46" fillId="0" borderId="2" xfId="74" applyFont="1" applyBorder="1"/>
    <xf numFmtId="0" fontId="46" fillId="0" borderId="3" xfId="74" applyFont="1" applyBorder="1" applyAlignment="1">
      <alignment horizontal="center"/>
    </xf>
    <xf numFmtId="0" fontId="41" fillId="0" borderId="2" xfId="74" applyFont="1" applyBorder="1"/>
    <xf numFmtId="43" fontId="46" fillId="0" borderId="5" xfId="62" applyNumberFormat="1" applyFont="1" applyBorder="1" applyProtection="1"/>
    <xf numFmtId="43" fontId="46" fillId="0" borderId="5" xfId="62" applyFont="1" applyBorder="1" applyProtection="1"/>
    <xf numFmtId="39" fontId="46" fillId="0" borderId="5" xfId="74" applyNumberFormat="1" applyFont="1" applyBorder="1" applyProtection="1"/>
    <xf numFmtId="0" fontId="46" fillId="0" borderId="5" xfId="74" applyFont="1" applyBorder="1"/>
    <xf numFmtId="0" fontId="41" fillId="0" borderId="44" xfId="74" applyFont="1" applyBorder="1" applyAlignment="1">
      <alignment horizontal="center"/>
    </xf>
    <xf numFmtId="39" fontId="41" fillId="0" borderId="45" xfId="74" applyNumberFormat="1" applyFont="1" applyBorder="1" applyProtection="1"/>
    <xf numFmtId="0" fontId="41" fillId="0" borderId="2" xfId="74" applyFont="1" applyBorder="1" applyAlignment="1">
      <alignment horizontal="center"/>
    </xf>
    <xf numFmtId="39" fontId="41" fillId="0" borderId="5" xfId="74" applyNumberFormat="1" applyFont="1" applyBorder="1" applyProtection="1"/>
    <xf numFmtId="43" fontId="46" fillId="0" borderId="5" xfId="62" applyFont="1" applyBorder="1" applyAlignment="1">
      <alignment horizontal="center"/>
    </xf>
    <xf numFmtId="43" fontId="41" fillId="0" borderId="5" xfId="62" applyFont="1" applyBorder="1" applyAlignment="1">
      <alignment horizontal="center"/>
    </xf>
    <xf numFmtId="43" fontId="46" fillId="0" borderId="5" xfId="62" applyFont="1" applyBorder="1"/>
    <xf numFmtId="0" fontId="46" fillId="0" borderId="14" xfId="74" applyFont="1" applyBorder="1"/>
    <xf numFmtId="0" fontId="46" fillId="0" borderId="16" xfId="74" applyFont="1" applyBorder="1"/>
    <xf numFmtId="0" fontId="41" fillId="0" borderId="6" xfId="74" applyFont="1" applyBorder="1" applyAlignment="1">
      <alignment horizontal="center"/>
    </xf>
    <xf numFmtId="39" fontId="41" fillId="0" borderId="7" xfId="74" applyNumberFormat="1" applyFont="1" applyBorder="1" applyProtection="1"/>
    <xf numFmtId="39" fontId="41" fillId="0" borderId="8" xfId="74" applyNumberFormat="1" applyFont="1" applyBorder="1" applyProtection="1"/>
    <xf numFmtId="0" fontId="44" fillId="0" borderId="0" xfId="74" applyFont="1"/>
    <xf numFmtId="0" fontId="47" fillId="0" borderId="0" xfId="74" applyFont="1"/>
    <xf numFmtId="0" fontId="48" fillId="0" borderId="45" xfId="74" applyFont="1" applyBorder="1" applyAlignment="1">
      <alignment horizontal="center"/>
    </xf>
    <xf numFmtId="0" fontId="48" fillId="0" borderId="24" xfId="74" applyFont="1" applyBorder="1" applyAlignment="1">
      <alignment horizontal="center"/>
    </xf>
    <xf numFmtId="0" fontId="37" fillId="0" borderId="87" xfId="74" applyFont="1" applyBorder="1"/>
    <xf numFmtId="0" fontId="48" fillId="0" borderId="87" xfId="74" applyFont="1" applyBorder="1" applyAlignment="1">
      <alignment horizontal="center"/>
    </xf>
    <xf numFmtId="0" fontId="48" fillId="0" borderId="7" xfId="74" applyFont="1" applyBorder="1" applyAlignment="1">
      <alignment horizontal="center"/>
    </xf>
    <xf numFmtId="0" fontId="37" fillId="0" borderId="3" xfId="74" applyFont="1" applyBorder="1"/>
    <xf numFmtId="0" fontId="37" fillId="0" borderId="3" xfId="74" applyFont="1" applyBorder="1" applyAlignment="1">
      <alignment horizontal="center"/>
    </xf>
    <xf numFmtId="0" fontId="48" fillId="0" borderId="2" xfId="74" applyFont="1" applyBorder="1"/>
    <xf numFmtId="39" fontId="37" fillId="0" borderId="5" xfId="74" applyNumberFormat="1" applyFont="1" applyBorder="1" applyProtection="1"/>
    <xf numFmtId="43" fontId="48" fillId="0" borderId="5" xfId="74" applyNumberFormat="1" applyFont="1" applyBorder="1" applyProtection="1"/>
    <xf numFmtId="43" fontId="37" fillId="0" borderId="5" xfId="62" applyNumberFormat="1" applyFont="1" applyBorder="1" applyProtection="1"/>
    <xf numFmtId="43" fontId="37" fillId="0" borderId="5" xfId="62" applyFont="1" applyBorder="1" applyProtection="1"/>
    <xf numFmtId="0" fontId="48" fillId="0" borderId="5" xfId="74" applyFont="1" applyBorder="1"/>
    <xf numFmtId="0" fontId="37" fillId="0" borderId="5" xfId="74" applyFont="1" applyBorder="1"/>
    <xf numFmtId="39" fontId="48" fillId="0" borderId="45" xfId="74" applyNumberFormat="1" applyFont="1" applyBorder="1" applyProtection="1"/>
    <xf numFmtId="43" fontId="37" fillId="0" borderId="5" xfId="62" applyFont="1" applyBorder="1"/>
    <xf numFmtId="0" fontId="48" fillId="0" borderId="5" xfId="74" applyFont="1" applyBorder="1" applyAlignment="1">
      <alignment horizontal="center"/>
    </xf>
    <xf numFmtId="39" fontId="48" fillId="0" borderId="5" xfId="74" applyNumberFormat="1" applyFont="1" applyBorder="1" applyProtection="1"/>
    <xf numFmtId="0" fontId="37" fillId="0" borderId="16" xfId="74" applyFont="1" applyBorder="1"/>
    <xf numFmtId="39" fontId="48" fillId="0" borderId="87" xfId="74" applyNumberFormat="1" applyFont="1" applyBorder="1" applyProtection="1"/>
    <xf numFmtId="0" fontId="49" fillId="0" borderId="0" xfId="74" applyFont="1"/>
    <xf numFmtId="0" fontId="50" fillId="0" borderId="0" xfId="74" applyFont="1"/>
    <xf numFmtId="0" fontId="51" fillId="0" borderId="45" xfId="74" applyFont="1" applyBorder="1" applyAlignment="1">
      <alignment horizontal="center"/>
    </xf>
    <xf numFmtId="0" fontId="49" fillId="0" borderId="87" xfId="74" applyFont="1" applyBorder="1"/>
    <xf numFmtId="0" fontId="51" fillId="0" borderId="87" xfId="74" applyFont="1" applyBorder="1" applyAlignment="1">
      <alignment horizontal="center"/>
    </xf>
    <xf numFmtId="0" fontId="51" fillId="0" borderId="87" xfId="74" applyFont="1" applyBorder="1"/>
    <xf numFmtId="0" fontId="49" fillId="0" borderId="3" xfId="74" applyFont="1" applyBorder="1"/>
    <xf numFmtId="0" fontId="49" fillId="0" borderId="3" xfId="74" applyFont="1" applyBorder="1" applyAlignment="1">
      <alignment horizontal="center"/>
    </xf>
    <xf numFmtId="0" fontId="51" fillId="0" borderId="4" xfId="74" applyFont="1" applyBorder="1"/>
    <xf numFmtId="0" fontId="51" fillId="0" borderId="5" xfId="74" applyFont="1" applyBorder="1"/>
    <xf numFmtId="43" fontId="22" fillId="0" borderId="5" xfId="62" applyFont="1" applyBorder="1" applyProtection="1"/>
    <xf numFmtId="43" fontId="49" fillId="0" borderId="5" xfId="62" applyFont="1" applyBorder="1"/>
    <xf numFmtId="39" fontId="33" fillId="0" borderId="4" xfId="74" applyNumberFormat="1" applyFont="1" applyBorder="1" applyProtection="1"/>
    <xf numFmtId="39" fontId="33" fillId="0" borderId="45" xfId="74" applyNumberFormat="1" applyFont="1" applyBorder="1" applyProtection="1"/>
    <xf numFmtId="39" fontId="33" fillId="0" borderId="46" xfId="74" applyNumberFormat="1" applyFont="1" applyBorder="1" applyProtection="1"/>
    <xf numFmtId="0" fontId="49" fillId="0" borderId="5" xfId="74" applyFont="1" applyBorder="1"/>
    <xf numFmtId="39" fontId="22" fillId="0" borderId="5" xfId="74" applyNumberFormat="1" applyFont="1" applyBorder="1" applyProtection="1"/>
    <xf numFmtId="0" fontId="49" fillId="0" borderId="16" xfId="74" applyFont="1" applyBorder="1"/>
    <xf numFmtId="39" fontId="33" fillId="0" borderId="17" xfId="74" applyNumberFormat="1" applyFont="1" applyBorder="1" applyProtection="1"/>
    <xf numFmtId="39" fontId="33" fillId="0" borderId="88" xfId="74" applyNumberFormat="1" applyFont="1" applyBorder="1" applyProtection="1"/>
    <xf numFmtId="0" fontId="51" fillId="0" borderId="82" xfId="74" applyFont="1" applyBorder="1"/>
    <xf numFmtId="43" fontId="22" fillId="0" borderId="5" xfId="75" applyFont="1" applyBorder="1" applyProtection="1"/>
    <xf numFmtId="43" fontId="49" fillId="0" borderId="5" xfId="75" applyFont="1" applyBorder="1"/>
    <xf numFmtId="39" fontId="33" fillId="0" borderId="82" xfId="74" applyNumberFormat="1" applyFont="1" applyBorder="1" applyProtection="1"/>
    <xf numFmtId="0" fontId="43" fillId="0" borderId="0" xfId="74" applyFont="1"/>
    <xf numFmtId="0" fontId="41" fillId="3" borderId="45" xfId="74" applyFont="1" applyFill="1" applyBorder="1" applyAlignment="1">
      <alignment horizontal="center"/>
    </xf>
    <xf numFmtId="0" fontId="49" fillId="3" borderId="0" xfId="74" applyFont="1" applyFill="1"/>
    <xf numFmtId="0" fontId="43" fillId="3" borderId="0" xfId="74" applyFill="1"/>
    <xf numFmtId="0" fontId="46" fillId="3" borderId="87" xfId="74" applyFont="1" applyFill="1" applyBorder="1"/>
    <xf numFmtId="0" fontId="41" fillId="3" borderId="87" xfId="74" applyFont="1" applyFill="1" applyBorder="1" applyAlignment="1">
      <alignment horizontal="center"/>
    </xf>
    <xf numFmtId="0" fontId="41" fillId="0" borderId="2" xfId="74" applyFont="1" applyFill="1" applyBorder="1"/>
    <xf numFmtId="43" fontId="46" fillId="0" borderId="5" xfId="62" applyFont="1" applyFill="1" applyBorder="1" applyProtection="1"/>
    <xf numFmtId="0" fontId="49" fillId="0" borderId="0" xfId="74" applyFont="1" applyFill="1"/>
    <xf numFmtId="0" fontId="43" fillId="0" borderId="0" xfId="74" applyFill="1"/>
    <xf numFmtId="0" fontId="48" fillId="4" borderId="45" xfId="74" applyFont="1" applyFill="1" applyBorder="1" applyAlignment="1">
      <alignment horizontal="center"/>
    </xf>
    <xf numFmtId="0" fontId="48" fillId="4" borderId="24" xfId="74" applyFont="1" applyFill="1" applyBorder="1" applyAlignment="1">
      <alignment horizontal="center"/>
    </xf>
    <xf numFmtId="0" fontId="49" fillId="4" borderId="0" xfId="74" applyFont="1" applyFill="1"/>
    <xf numFmtId="0" fontId="43" fillId="4" borderId="0" xfId="74" applyFill="1"/>
    <xf numFmtId="0" fontId="37" fillId="4" borderId="87" xfId="74" applyFont="1" applyFill="1" applyBorder="1"/>
    <xf numFmtId="0" fontId="48" fillId="4" borderId="87" xfId="74" applyFont="1" applyFill="1" applyBorder="1" applyAlignment="1">
      <alignment horizontal="center"/>
    </xf>
    <xf numFmtId="0" fontId="48" fillId="4" borderId="7" xfId="74" applyFont="1" applyFill="1" applyBorder="1" applyAlignment="1">
      <alignment horizontal="center"/>
    </xf>
    <xf numFmtId="0" fontId="48" fillId="4" borderId="2" xfId="74" applyFont="1" applyFill="1" applyBorder="1"/>
    <xf numFmtId="39" fontId="37" fillId="0" borderId="5" xfId="74" applyNumberFormat="1" applyFont="1" applyFill="1" applyBorder="1" applyProtection="1"/>
    <xf numFmtId="43" fontId="48" fillId="0" borderId="5" xfId="74" applyNumberFormat="1" applyFont="1" applyFill="1" applyBorder="1" applyProtection="1"/>
    <xf numFmtId="0" fontId="48" fillId="4" borderId="5" xfId="74" applyFont="1" applyFill="1" applyBorder="1"/>
    <xf numFmtId="43" fontId="37" fillId="0" borderId="5" xfId="62" applyFont="1" applyFill="1" applyBorder="1"/>
    <xf numFmtId="0" fontId="37" fillId="0" borderId="5" xfId="74" applyFont="1" applyFill="1" applyBorder="1"/>
    <xf numFmtId="0" fontId="48" fillId="4" borderId="5" xfId="74" applyFont="1" applyFill="1" applyBorder="1" applyAlignment="1">
      <alignment horizontal="center"/>
    </xf>
    <xf numFmtId="0" fontId="22" fillId="0" borderId="0" xfId="35" applyFont="1"/>
    <xf numFmtId="0" fontId="26" fillId="0" borderId="0" xfId="35" applyFont="1"/>
    <xf numFmtId="0" fontId="59" fillId="0" borderId="0" xfId="35" applyFont="1" applyAlignment="1">
      <alignment horizontal="centerContinuous"/>
    </xf>
    <xf numFmtId="0" fontId="22" fillId="0" borderId="0" xfId="35" applyFont="1" applyAlignment="1">
      <alignment horizontal="centerContinuous"/>
    </xf>
    <xf numFmtId="0" fontId="19" fillId="0" borderId="0" xfId="35" applyFont="1"/>
    <xf numFmtId="0" fontId="22" fillId="0" borderId="1" xfId="35" applyFont="1" applyBorder="1"/>
    <xf numFmtId="0" fontId="22" fillId="0" borderId="0" xfId="35" applyFont="1" applyBorder="1"/>
    <xf numFmtId="0" fontId="22" fillId="0" borderId="37" xfId="35" applyFont="1" applyBorder="1" applyAlignment="1">
      <alignment horizontal="centerContinuous"/>
    </xf>
    <xf numFmtId="0" fontId="22" fillId="0" borderId="21" xfId="35" applyFont="1" applyBorder="1" applyAlignment="1">
      <alignment horizontal="centerContinuous"/>
    </xf>
    <xf numFmtId="0" fontId="22" fillId="0" borderId="20" xfId="35" applyFont="1" applyBorder="1" applyAlignment="1">
      <alignment horizontal="centerContinuous"/>
    </xf>
    <xf numFmtId="0" fontId="22" fillId="0" borderId="91" xfId="35" applyFont="1" applyBorder="1" applyAlignment="1">
      <alignment horizontal="centerContinuous"/>
    </xf>
    <xf numFmtId="0" fontId="33" fillId="0" borderId="0" xfId="35" applyFont="1" applyBorder="1" applyAlignment="1">
      <alignment horizontal="centerContinuous"/>
    </xf>
    <xf numFmtId="0" fontId="22" fillId="0" borderId="1" xfId="35" applyFont="1" applyBorder="1" applyAlignment="1">
      <alignment horizontal="centerContinuous"/>
    </xf>
    <xf numFmtId="0" fontId="19" fillId="0" borderId="5" xfId="35" applyFont="1" applyBorder="1" applyAlignment="1">
      <alignment horizontal="center"/>
    </xf>
    <xf numFmtId="0" fontId="19" fillId="0" borderId="0" xfId="35" applyFont="1" applyBorder="1"/>
    <xf numFmtId="0" fontId="19" fillId="0" borderId="5" xfId="35" applyFont="1" applyBorder="1"/>
    <xf numFmtId="4" fontId="19" fillId="0" borderId="5" xfId="35" applyNumberFormat="1" applyFont="1" applyBorder="1"/>
    <xf numFmtId="0" fontId="21" fillId="0" borderId="0" xfId="35" applyFont="1" applyBorder="1"/>
    <xf numFmtId="0" fontId="19" fillId="0" borderId="91" xfId="35" applyFont="1" applyBorder="1" applyAlignment="1">
      <alignment horizontal="center"/>
    </xf>
    <xf numFmtId="49" fontId="19" fillId="0" borderId="5" xfId="35" applyNumberFormat="1" applyFont="1" applyBorder="1" applyAlignment="1">
      <alignment horizontal="center"/>
    </xf>
    <xf numFmtId="0" fontId="19" fillId="0" borderId="0" xfId="35" applyFont="1" applyBorder="1" applyAlignment="1">
      <alignment horizontal="centerContinuous"/>
    </xf>
    <xf numFmtId="0" fontId="29" fillId="0" borderId="0" xfId="35" applyFont="1" applyBorder="1"/>
    <xf numFmtId="0" fontId="19" fillId="0" borderId="0" xfId="35" applyFont="1" applyBorder="1" applyAlignment="1"/>
    <xf numFmtId="0" fontId="19" fillId="5" borderId="0" xfId="35" applyFont="1" applyFill="1" applyBorder="1"/>
    <xf numFmtId="0" fontId="21" fillId="5" borderId="0" xfId="35" applyFont="1" applyFill="1" applyBorder="1"/>
    <xf numFmtId="0" fontId="21" fillId="0" borderId="0" xfId="35" applyFont="1" applyBorder="1" applyAlignment="1">
      <alignment horizontal="left"/>
    </xf>
    <xf numFmtId="0" fontId="19" fillId="0" borderId="0" xfId="35" applyFont="1" applyBorder="1" applyAlignment="1">
      <alignment horizontal="left"/>
    </xf>
    <xf numFmtId="0" fontId="19" fillId="0" borderId="0" xfId="35" applyFont="1" applyBorder="1" applyAlignment="1">
      <alignment horizontal="center"/>
    </xf>
    <xf numFmtId="4" fontId="19" fillId="0" borderId="0" xfId="35" applyNumberFormat="1" applyFont="1" applyBorder="1"/>
    <xf numFmtId="0" fontId="21" fillId="0" borderId="0" xfId="35" applyFont="1"/>
    <xf numFmtId="49" fontId="19" fillId="0" borderId="0" xfId="35" applyNumberFormat="1" applyFont="1" applyBorder="1" applyAlignment="1">
      <alignment horizontal="center"/>
    </xf>
    <xf numFmtId="0" fontId="22" fillId="0" borderId="0" xfId="35" applyFont="1" applyBorder="1" applyAlignment="1">
      <alignment horizontal="center"/>
    </xf>
    <xf numFmtId="0" fontId="22" fillId="0" borderId="1" xfId="35" applyFont="1" applyBorder="1" applyAlignment="1">
      <alignment horizontal="center"/>
    </xf>
    <xf numFmtId="49" fontId="19" fillId="0" borderId="91" xfId="35" applyNumberFormat="1" applyFont="1" applyBorder="1" applyAlignment="1">
      <alignment horizontal="center"/>
    </xf>
    <xf numFmtId="0" fontId="19" fillId="0" borderId="91" xfId="35" applyFont="1" applyBorder="1"/>
    <xf numFmtId="4" fontId="19" fillId="0" borderId="91" xfId="35" applyNumberFormat="1" applyFont="1" applyBorder="1"/>
    <xf numFmtId="0" fontId="20" fillId="0" borderId="0" xfId="35" applyFont="1" applyBorder="1"/>
    <xf numFmtId="0" fontId="20" fillId="0" borderId="91" xfId="35" applyFont="1" applyBorder="1"/>
    <xf numFmtId="49" fontId="19" fillId="0" borderId="2" xfId="35" applyNumberFormat="1" applyFont="1" applyBorder="1" applyAlignment="1">
      <alignment horizontal="center"/>
    </xf>
    <xf numFmtId="0" fontId="20" fillId="0" borderId="0" xfId="35" applyFont="1" applyBorder="1" applyAlignment="1">
      <alignment horizontal="centerContinuous"/>
    </xf>
    <xf numFmtId="4" fontId="30" fillId="0" borderId="5" xfId="35" applyNumberFormat="1" applyFont="1" applyBorder="1"/>
    <xf numFmtId="0" fontId="22" fillId="0" borderId="0" xfId="35" applyFont="1" applyBorder="1" applyAlignment="1">
      <alignment horizontal="left"/>
    </xf>
    <xf numFmtId="0" fontId="21" fillId="0" borderId="0" xfId="35" applyFont="1" applyBorder="1" applyAlignment="1">
      <alignment horizontal="centerContinuous"/>
    </xf>
    <xf numFmtId="0" fontId="33" fillId="0" borderId="0" xfId="35" applyFont="1"/>
    <xf numFmtId="0" fontId="26" fillId="0" borderId="0" xfId="35" applyFont="1" applyAlignment="1">
      <alignment horizontal="center"/>
    </xf>
    <xf numFmtId="0" fontId="19" fillId="0" borderId="3" xfId="35" applyFont="1" applyBorder="1" applyAlignment="1">
      <alignment horizontal="center"/>
    </xf>
    <xf numFmtId="0" fontId="19" fillId="0" borderId="91" xfId="35" applyFont="1" applyBorder="1" applyAlignment="1">
      <alignment horizontal="centerContinuous"/>
    </xf>
    <xf numFmtId="0" fontId="21" fillId="0" borderId="1" xfId="35" applyFont="1" applyBorder="1"/>
    <xf numFmtId="4" fontId="19" fillId="0" borderId="21" xfId="35" applyNumberFormat="1" applyFont="1" applyBorder="1"/>
    <xf numFmtId="4" fontId="21" fillId="0" borderId="91" xfId="35" applyNumberFormat="1" applyFont="1" applyBorder="1"/>
    <xf numFmtId="0" fontId="19" fillId="0" borderId="14" xfId="35" applyFont="1" applyBorder="1" applyAlignment="1">
      <alignment horizontal="center"/>
    </xf>
    <xf numFmtId="0" fontId="19" fillId="0" borderId="15" xfId="35" applyFont="1" applyBorder="1"/>
    <xf numFmtId="4" fontId="19" fillId="0" borderId="17" xfId="35" applyNumberFormat="1" applyFont="1" applyBorder="1"/>
    <xf numFmtId="4" fontId="22" fillId="0" borderId="0" xfId="35" applyNumberFormat="1" applyFont="1" applyBorder="1"/>
    <xf numFmtId="0" fontId="30" fillId="0" borderId="91" xfId="35" applyFont="1" applyBorder="1"/>
    <xf numFmtId="0" fontId="29" fillId="0" borderId="0" xfId="35" applyFont="1" applyBorder="1" applyAlignment="1"/>
    <xf numFmtId="0" fontId="29" fillId="0" borderId="0" xfId="35" applyFont="1" applyBorder="1" applyAlignment="1">
      <alignment horizontal="left"/>
    </xf>
    <xf numFmtId="4" fontId="19" fillId="5" borderId="91" xfId="35" applyNumberFormat="1" applyFont="1" applyFill="1" applyBorder="1"/>
    <xf numFmtId="4" fontId="19" fillId="0" borderId="91" xfId="35" applyNumberFormat="1" applyFont="1" applyBorder="1" applyAlignment="1">
      <alignment horizontal="center"/>
    </xf>
    <xf numFmtId="0" fontId="19" fillId="0" borderId="1" xfId="35" applyFont="1" applyBorder="1"/>
    <xf numFmtId="0" fontId="19" fillId="0" borderId="37" xfId="35" applyFont="1" applyBorder="1" applyAlignment="1">
      <alignment horizontal="centerContinuous"/>
    </xf>
    <xf numFmtId="0" fontId="19" fillId="0" borderId="21" xfId="35" applyFont="1" applyBorder="1" applyAlignment="1">
      <alignment horizontal="centerContinuous"/>
    </xf>
    <xf numFmtId="0" fontId="19" fillId="0" borderId="20" xfId="35" applyFont="1" applyBorder="1" applyAlignment="1">
      <alignment horizontal="centerContinuous"/>
    </xf>
    <xf numFmtId="0" fontId="21" fillId="0" borderId="2" xfId="35" applyFont="1" applyBorder="1" applyAlignment="1">
      <alignment horizontal="centerContinuous"/>
    </xf>
    <xf numFmtId="0" fontId="19" fillId="0" borderId="35" xfId="35" applyFont="1" applyBorder="1" applyAlignment="1">
      <alignment horizontal="center"/>
    </xf>
    <xf numFmtId="0" fontId="19" fillId="0" borderId="1" xfId="35" applyFont="1" applyBorder="1" applyAlignment="1">
      <alignment horizontal="centerContinuous"/>
    </xf>
    <xf numFmtId="0" fontId="19" fillId="0" borderId="1" xfId="35" applyFont="1" applyBorder="1" applyAlignment="1">
      <alignment horizontal="center"/>
    </xf>
    <xf numFmtId="0" fontId="20" fillId="0" borderId="91" xfId="35" applyFont="1" applyBorder="1" applyAlignment="1">
      <alignment horizontal="centerContinuous"/>
    </xf>
    <xf numFmtId="0" fontId="19" fillId="0" borderId="0" xfId="35" applyFont="1" applyAlignment="1">
      <alignment horizontal="center"/>
    </xf>
    <xf numFmtId="0" fontId="29" fillId="0" borderId="0" xfId="35" applyFont="1"/>
    <xf numFmtId="49" fontId="19" fillId="0" borderId="0" xfId="35" applyNumberFormat="1" applyFont="1" applyBorder="1"/>
    <xf numFmtId="49" fontId="30" fillId="0" borderId="91" xfId="35" applyNumberFormat="1" applyFont="1" applyBorder="1" applyAlignment="1">
      <alignment horizontal="center"/>
    </xf>
    <xf numFmtId="4" fontId="30" fillId="0" borderId="91" xfId="35" applyNumberFormat="1" applyFont="1" applyBorder="1"/>
    <xf numFmtId="49" fontId="30" fillId="0" borderId="0" xfId="35" applyNumberFormat="1" applyFont="1" applyBorder="1" applyAlignment="1">
      <alignment horizontal="center"/>
    </xf>
    <xf numFmtId="0" fontId="19" fillId="0" borderId="0" xfId="21"/>
    <xf numFmtId="0" fontId="19" fillId="0" borderId="0" xfId="21" applyBorder="1"/>
    <xf numFmtId="0" fontId="19" fillId="0" borderId="111" xfId="21" applyBorder="1"/>
    <xf numFmtId="43" fontId="19" fillId="0" borderId="0" xfId="21" applyNumberFormat="1"/>
    <xf numFmtId="0" fontId="31" fillId="0" borderId="0" xfId="24" applyFont="1"/>
    <xf numFmtId="0" fontId="19" fillId="0" borderId="0" xfId="24"/>
    <xf numFmtId="0" fontId="21" fillId="0" borderId="92" xfId="24" applyFont="1" applyBorder="1" applyAlignment="1">
      <alignment horizontal="center"/>
    </xf>
    <xf numFmtId="0" fontId="21" fillId="0" borderId="21" xfId="24" applyFont="1" applyBorder="1" applyAlignment="1">
      <alignment horizontal="center"/>
    </xf>
    <xf numFmtId="0" fontId="21" fillId="0" borderId="99" xfId="24" applyFont="1" applyBorder="1" applyAlignment="1">
      <alignment horizontal="center"/>
    </xf>
    <xf numFmtId="0" fontId="21" fillId="0" borderId="8" xfId="24" applyFont="1" applyBorder="1" applyAlignment="1">
      <alignment horizontal="center"/>
    </xf>
    <xf numFmtId="0" fontId="19" fillId="0" borderId="94" xfId="24" applyFont="1" applyBorder="1" applyAlignment="1"/>
    <xf numFmtId="0" fontId="36" fillId="0" borderId="94" xfId="24" applyFont="1" applyBorder="1" applyAlignment="1"/>
    <xf numFmtId="0" fontId="19" fillId="0" borderId="91" xfId="24" applyFont="1" applyBorder="1" applyAlignment="1"/>
    <xf numFmtId="0" fontId="19" fillId="0" borderId="99" xfId="24" applyFont="1" applyBorder="1" applyAlignment="1"/>
    <xf numFmtId="0" fontId="19" fillId="0" borderId="8" xfId="24" applyFont="1" applyBorder="1" applyAlignment="1"/>
    <xf numFmtId="0" fontId="19" fillId="0" borderId="98" xfId="24" applyFont="1" applyBorder="1" applyAlignment="1"/>
    <xf numFmtId="0" fontId="19" fillId="0" borderId="48" xfId="24" applyFont="1" applyBorder="1" applyAlignment="1"/>
    <xf numFmtId="0" fontId="19" fillId="0" borderId="92" xfId="24" applyFont="1" applyBorder="1" applyAlignment="1"/>
    <xf numFmtId="0" fontId="21" fillId="0" borderId="3" xfId="24" applyFont="1" applyBorder="1" applyAlignment="1">
      <alignment horizontal="center"/>
    </xf>
    <xf numFmtId="0" fontId="21" fillId="0" borderId="7" xfId="24" applyFont="1" applyBorder="1" applyAlignment="1">
      <alignment horizontal="center"/>
    </xf>
    <xf numFmtId="0" fontId="21" fillId="0" borderId="5" xfId="24" applyFont="1" applyBorder="1" applyAlignment="1">
      <alignment horizontal="center"/>
    </xf>
    <xf numFmtId="0" fontId="19" fillId="0" borderId="5" xfId="24" applyFont="1" applyBorder="1" applyAlignment="1"/>
    <xf numFmtId="0" fontId="19" fillId="0" borderId="7" xfId="24" applyFont="1" applyBorder="1" applyAlignment="1"/>
    <xf numFmtId="0" fontId="19" fillId="0" borderId="43" xfId="24" applyFont="1" applyBorder="1" applyAlignment="1"/>
    <xf numFmtId="0" fontId="19" fillId="0" borderId="3" xfId="24" applyFont="1" applyBorder="1" applyAlignment="1"/>
    <xf numFmtId="0" fontId="19" fillId="0" borderId="19" xfId="24" applyBorder="1"/>
    <xf numFmtId="0" fontId="19" fillId="0" borderId="3" xfId="24" applyBorder="1"/>
    <xf numFmtId="0" fontId="19" fillId="0" borderId="22" xfId="24" applyBorder="1"/>
    <xf numFmtId="0" fontId="19" fillId="0" borderId="5" xfId="24" applyBorder="1"/>
    <xf numFmtId="0" fontId="19" fillId="0" borderId="23" xfId="24" applyBorder="1"/>
    <xf numFmtId="0" fontId="19" fillId="0" borderId="7" xfId="24" applyBorder="1"/>
    <xf numFmtId="0" fontId="19" fillId="0" borderId="0" xfId="65"/>
    <xf numFmtId="0" fontId="21" fillId="0" borderId="92" xfId="65" applyFont="1" applyBorder="1" applyAlignment="1">
      <alignment horizontal="center"/>
    </xf>
    <xf numFmtId="0" fontId="21" fillId="0" borderId="21" xfId="65" applyFont="1" applyBorder="1" applyAlignment="1">
      <alignment horizontal="center"/>
    </xf>
    <xf numFmtId="0" fontId="21" fillId="0" borderId="66" xfId="65" applyFont="1" applyBorder="1" applyAlignment="1">
      <alignment horizontal="center"/>
    </xf>
    <xf numFmtId="0" fontId="21" fillId="0" borderId="99" xfId="65" applyFont="1" applyBorder="1" applyAlignment="1">
      <alignment horizontal="center"/>
    </xf>
    <xf numFmtId="0" fontId="21" fillId="0" borderId="8" xfId="65" applyFont="1" applyBorder="1" applyAlignment="1">
      <alignment horizontal="center"/>
    </xf>
    <xf numFmtId="0" fontId="21" fillId="0" borderId="78" xfId="65" applyFont="1" applyBorder="1" applyAlignment="1">
      <alignment horizontal="center"/>
    </xf>
    <xf numFmtId="0" fontId="19" fillId="0" borderId="94" xfId="65" applyFont="1" applyBorder="1" applyAlignment="1"/>
    <xf numFmtId="0" fontId="19" fillId="0" borderId="91" xfId="65" applyFont="1" applyBorder="1" applyAlignment="1"/>
    <xf numFmtId="0" fontId="19" fillId="0" borderId="68" xfId="65" applyFont="1" applyBorder="1" applyAlignment="1"/>
    <xf numFmtId="0" fontId="36" fillId="0" borderId="94" xfId="65" applyFont="1" applyBorder="1" applyAlignment="1"/>
    <xf numFmtId="43" fontId="19" fillId="0" borderId="68" xfId="62" applyFont="1" applyBorder="1" applyAlignment="1"/>
    <xf numFmtId="0" fontId="19" fillId="0" borderId="98" xfId="65" applyFont="1" applyBorder="1" applyAlignment="1"/>
    <xf numFmtId="0" fontId="19" fillId="0" borderId="48" xfId="65" applyFont="1" applyBorder="1" applyAlignment="1"/>
    <xf numFmtId="43" fontId="21" fillId="0" borderId="41" xfId="65" applyNumberFormat="1" applyFont="1" applyBorder="1" applyAlignment="1"/>
    <xf numFmtId="0" fontId="30" fillId="0" borderId="94" xfId="65" applyFont="1" applyBorder="1" applyAlignment="1"/>
    <xf numFmtId="0" fontId="40" fillId="0" borderId="94" xfId="65" applyFont="1" applyBorder="1" applyAlignment="1"/>
    <xf numFmtId="0" fontId="19" fillId="0" borderId="8" xfId="65" applyFont="1" applyBorder="1" applyAlignment="1"/>
    <xf numFmtId="43" fontId="19" fillId="0" borderId="78" xfId="62" applyFont="1" applyBorder="1" applyAlignment="1"/>
    <xf numFmtId="0" fontId="19" fillId="0" borderId="21" xfId="65" applyFont="1" applyBorder="1" applyAlignment="1"/>
    <xf numFmtId="0" fontId="19" fillId="0" borderId="92" xfId="65" applyFont="1" applyBorder="1" applyAlignment="1"/>
    <xf numFmtId="0" fontId="19" fillId="0" borderId="66" xfId="65" applyFont="1" applyBorder="1" applyAlignment="1"/>
    <xf numFmtId="0" fontId="19" fillId="0" borderId="78" xfId="65" applyFont="1" applyBorder="1" applyAlignment="1"/>
    <xf numFmtId="43" fontId="19" fillId="0" borderId="41" xfId="65" applyNumberFormat="1" applyFont="1" applyBorder="1" applyAlignment="1"/>
    <xf numFmtId="0" fontId="21" fillId="0" borderId="94" xfId="65" applyFont="1" applyBorder="1" applyAlignment="1"/>
    <xf numFmtId="43" fontId="21" fillId="0" borderId="68" xfId="65" applyNumberFormat="1" applyFont="1" applyBorder="1" applyAlignment="1"/>
    <xf numFmtId="0" fontId="19" fillId="0" borderId="99" xfId="65" applyFont="1" applyBorder="1" applyAlignment="1"/>
    <xf numFmtId="0" fontId="35" fillId="0" borderId="0" xfId="58" applyFont="1"/>
    <xf numFmtId="0" fontId="18" fillId="0" borderId="5" xfId="58" applyBorder="1"/>
    <xf numFmtId="0" fontId="19" fillId="0" borderId="5" xfId="65" applyBorder="1"/>
    <xf numFmtId="0" fontId="19" fillId="0" borderId="10" xfId="65" applyBorder="1"/>
    <xf numFmtId="43" fontId="19" fillId="0" borderId="0" xfId="1" applyFont="1"/>
    <xf numFmtId="43" fontId="18" fillId="0" borderId="18" xfId="1" applyFont="1" applyBorder="1"/>
    <xf numFmtId="43" fontId="18" fillId="0" borderId="10" xfId="1" applyFont="1" applyBorder="1"/>
    <xf numFmtId="0" fontId="21" fillId="0" borderId="10" xfId="65" applyFont="1" applyBorder="1" applyAlignment="1">
      <alignment horizontal="center"/>
    </xf>
    <xf numFmtId="0" fontId="21" fillId="0" borderId="120" xfId="65" applyFont="1" applyBorder="1" applyAlignment="1">
      <alignment horizontal="center"/>
    </xf>
    <xf numFmtId="0" fontId="21" fillId="0" borderId="0" xfId="65" applyFont="1" applyAlignment="1">
      <alignment horizontal="center"/>
    </xf>
    <xf numFmtId="0" fontId="27" fillId="0" borderId="5" xfId="58" applyFont="1" applyBorder="1" applyAlignment="1">
      <alignment horizontal="center"/>
    </xf>
    <xf numFmtId="43" fontId="27" fillId="0" borderId="5" xfId="1" applyFont="1" applyBorder="1" applyAlignment="1">
      <alignment horizontal="center"/>
    </xf>
    <xf numFmtId="0" fontId="27" fillId="0" borderId="0" xfId="58" applyFont="1" applyAlignment="1">
      <alignment horizontal="center"/>
    </xf>
    <xf numFmtId="0" fontId="46" fillId="0" borderId="5" xfId="74" applyFont="1" applyFill="1" applyBorder="1"/>
    <xf numFmtId="0" fontId="41" fillId="0" borderId="44" xfId="74" applyFont="1" applyFill="1" applyBorder="1" applyAlignment="1">
      <alignment horizontal="center"/>
    </xf>
    <xf numFmtId="39" fontId="41" fillId="0" borderId="45" xfId="74" applyNumberFormat="1" applyFont="1" applyFill="1" applyBorder="1" applyProtection="1"/>
    <xf numFmtId="39" fontId="41" fillId="0" borderId="5" xfId="74" applyNumberFormat="1" applyFont="1" applyFill="1" applyBorder="1" applyProtection="1"/>
    <xf numFmtId="43" fontId="46" fillId="0" borderId="5" xfId="62" applyFont="1" applyFill="1" applyBorder="1"/>
    <xf numFmtId="0" fontId="46" fillId="0" borderId="14" xfId="74" applyFont="1" applyFill="1" applyBorder="1"/>
    <xf numFmtId="0" fontId="46" fillId="0" borderId="16" xfId="74" applyFont="1" applyFill="1" applyBorder="1"/>
    <xf numFmtId="0" fontId="41" fillId="0" borderId="6" xfId="74" applyFont="1" applyFill="1" applyBorder="1" applyAlignment="1">
      <alignment horizontal="center"/>
    </xf>
    <xf numFmtId="39" fontId="41" fillId="0" borderId="7" xfId="74" applyNumberFormat="1" applyFont="1" applyFill="1" applyBorder="1" applyProtection="1"/>
    <xf numFmtId="39" fontId="41" fillId="0" borderId="8" xfId="74" applyNumberFormat="1" applyFont="1" applyFill="1" applyBorder="1" applyProtection="1"/>
    <xf numFmtId="0" fontId="48" fillId="0" borderId="5" xfId="74" applyFont="1" applyFill="1" applyBorder="1"/>
    <xf numFmtId="39" fontId="48" fillId="0" borderId="45" xfId="74" applyNumberFormat="1" applyFont="1" applyFill="1" applyBorder="1" applyProtection="1"/>
    <xf numFmtId="0" fontId="37" fillId="0" borderId="16" xfId="74" applyFont="1" applyFill="1" applyBorder="1"/>
    <xf numFmtId="39" fontId="48" fillId="0" borderId="87" xfId="74" applyNumberFormat="1" applyFont="1" applyFill="1" applyBorder="1" applyProtection="1"/>
    <xf numFmtId="43" fontId="18" fillId="0" borderId="0" xfId="1" applyFont="1"/>
    <xf numFmtId="43" fontId="21" fillId="0" borderId="0" xfId="1" applyFont="1"/>
    <xf numFmtId="0" fontId="67" fillId="0" borderId="0" xfId="0" applyFont="1"/>
    <xf numFmtId="0" fontId="67" fillId="0" borderId="0" xfId="0" applyFont="1" applyAlignment="1">
      <alignment vertical="top" wrapText="1"/>
    </xf>
    <xf numFmtId="0" fontId="67" fillId="0" borderId="0" xfId="0" applyFont="1" applyAlignment="1">
      <alignment vertical="top"/>
    </xf>
    <xf numFmtId="0" fontId="71" fillId="0" borderId="0" xfId="0" applyFont="1"/>
    <xf numFmtId="0" fontId="71" fillId="0" borderId="0" xfId="0" applyFont="1" applyAlignment="1">
      <alignment horizontal="left" vertical="top"/>
    </xf>
    <xf numFmtId="0" fontId="74" fillId="0" borderId="0" xfId="0" applyFont="1"/>
    <xf numFmtId="43" fontId="74" fillId="0" borderId="0" xfId="1" applyFont="1"/>
    <xf numFmtId="0" fontId="21" fillId="0" borderId="104" xfId="65" applyFont="1" applyBorder="1" applyAlignment="1">
      <alignment horizontal="center" vertical="top" wrapText="1"/>
    </xf>
    <xf numFmtId="0" fontId="21" fillId="0" borderId="66" xfId="65" applyFont="1" applyBorder="1" applyAlignment="1">
      <alignment horizontal="center" vertical="top" wrapText="1"/>
    </xf>
    <xf numFmtId="0" fontId="21" fillId="0" borderId="111" xfId="65" applyFont="1" applyBorder="1" applyAlignment="1">
      <alignment horizontal="center" vertical="top" wrapText="1"/>
    </xf>
    <xf numFmtId="0" fontId="21" fillId="0" borderId="68" xfId="65" applyFont="1" applyBorder="1" applyAlignment="1">
      <alignment horizontal="center" vertical="top" wrapText="1"/>
    </xf>
    <xf numFmtId="0" fontId="21" fillId="0" borderId="78" xfId="65" applyFont="1" applyBorder="1" applyAlignment="1">
      <alignment horizontal="center" vertical="top" wrapText="1"/>
    </xf>
    <xf numFmtId="0" fontId="21" fillId="0" borderId="78" xfId="65" applyFont="1" applyBorder="1" applyAlignment="1">
      <alignment horizontal="left" vertical="top" wrapText="1"/>
    </xf>
    <xf numFmtId="0" fontId="19" fillId="0" borderId="107" xfId="65" applyFont="1" applyBorder="1" applyAlignment="1">
      <alignment vertical="top" wrapText="1"/>
    </xf>
    <xf numFmtId="0" fontId="19" fillId="0" borderId="111" xfId="65" applyFont="1" applyBorder="1" applyAlignment="1">
      <alignment horizontal="left" vertical="top" wrapText="1"/>
    </xf>
    <xf numFmtId="0" fontId="19" fillId="0" borderId="111" xfId="65" applyFont="1" applyBorder="1" applyAlignment="1">
      <alignment vertical="top" wrapText="1"/>
    </xf>
    <xf numFmtId="0" fontId="19" fillId="0" borderId="0" xfId="65" applyFont="1" applyAlignment="1">
      <alignment vertical="top"/>
    </xf>
    <xf numFmtId="0" fontId="19" fillId="0" borderId="104" xfId="65" applyFont="1" applyBorder="1" applyAlignment="1">
      <alignment horizontal="center" vertical="top" wrapText="1"/>
    </xf>
    <xf numFmtId="0" fontId="19" fillId="0" borderId="111" xfId="65" applyFont="1" applyBorder="1" applyAlignment="1">
      <alignment horizontal="center" vertical="top" wrapText="1"/>
    </xf>
    <xf numFmtId="0" fontId="19" fillId="0" borderId="68" xfId="65" applyFont="1" applyBorder="1" applyAlignment="1">
      <alignment horizontal="center" vertical="top" wrapText="1"/>
    </xf>
    <xf numFmtId="0" fontId="19" fillId="0" borderId="104" xfId="65" applyFont="1" applyBorder="1" applyAlignment="1">
      <alignment vertical="top" wrapText="1"/>
    </xf>
    <xf numFmtId="0" fontId="21" fillId="0" borderId="111" xfId="65" applyFont="1" applyBorder="1" applyAlignment="1">
      <alignment vertical="top" wrapText="1"/>
    </xf>
    <xf numFmtId="17" fontId="19" fillId="0" borderId="111" xfId="65" applyNumberFormat="1" applyFont="1" applyBorder="1" applyAlignment="1">
      <alignment horizontal="center" vertical="top" wrapText="1"/>
    </xf>
    <xf numFmtId="0" fontId="19" fillId="0" borderId="107" xfId="65" applyFont="1" applyBorder="1" applyAlignment="1">
      <alignment horizontal="left" vertical="top" wrapText="1"/>
    </xf>
    <xf numFmtId="0" fontId="19" fillId="0" borderId="107" xfId="65" applyFont="1" applyBorder="1" applyAlignment="1">
      <alignment horizontal="center" vertical="top" wrapText="1"/>
    </xf>
    <xf numFmtId="17" fontId="19" fillId="0" borderId="107" xfId="65" applyNumberFormat="1" applyFont="1" applyBorder="1" applyAlignment="1">
      <alignment horizontal="center" vertical="top" wrapText="1"/>
    </xf>
    <xf numFmtId="0" fontId="19" fillId="0" borderId="0" xfId="65" applyFont="1" applyAlignment="1">
      <alignment vertical="top" wrapText="1"/>
    </xf>
    <xf numFmtId="0" fontId="19" fillId="0" borderId="0" xfId="65" applyFont="1" applyAlignment="1">
      <alignment horizontal="justify" vertical="top"/>
    </xf>
    <xf numFmtId="0" fontId="21" fillId="0" borderId="0" xfId="65" applyFont="1" applyAlignment="1">
      <alignment vertical="top"/>
    </xf>
    <xf numFmtId="43" fontId="21" fillId="0" borderId="0" xfId="5" applyFont="1" applyAlignment="1">
      <alignment vertical="top"/>
    </xf>
    <xf numFmtId="0" fontId="19" fillId="0" borderId="0" xfId="65" applyFont="1" applyAlignment="1">
      <alignment horizontal="left" vertical="top"/>
    </xf>
    <xf numFmtId="0" fontId="21" fillId="0" borderId="0" xfId="65" applyFont="1" applyAlignment="1">
      <alignment horizontal="justify" vertical="top"/>
    </xf>
    <xf numFmtId="0" fontId="21" fillId="0" borderId="111" xfId="65" applyFont="1" applyBorder="1" applyAlignment="1">
      <alignment vertical="top"/>
    </xf>
    <xf numFmtId="0" fontId="19" fillId="0" borderId="111" xfId="65" applyFont="1" applyBorder="1" applyAlignment="1">
      <alignment vertical="top"/>
    </xf>
    <xf numFmtId="0" fontId="21" fillId="0" borderId="108" xfId="65" applyFont="1" applyBorder="1" applyAlignment="1">
      <alignment vertical="top"/>
    </xf>
    <xf numFmtId="0" fontId="21" fillId="0" borderId="108" xfId="65" applyFont="1" applyBorder="1" applyAlignment="1">
      <alignment horizontal="center" vertical="top"/>
    </xf>
    <xf numFmtId="43" fontId="21" fillId="0" borderId="108" xfId="5" applyFont="1" applyBorder="1" applyAlignment="1">
      <alignment vertical="top"/>
    </xf>
    <xf numFmtId="0" fontId="29" fillId="0" borderId="0" xfId="65" applyFont="1" applyAlignment="1">
      <alignment vertical="top"/>
    </xf>
    <xf numFmtId="43" fontId="19" fillId="0" borderId="0" xfId="65" applyNumberFormat="1" applyFont="1" applyAlignment="1">
      <alignment vertical="top"/>
    </xf>
    <xf numFmtId="0" fontId="29" fillId="0" borderId="0" xfId="65" applyFont="1" applyAlignment="1">
      <alignment horizontal="center" vertical="top"/>
    </xf>
    <xf numFmtId="0" fontId="21" fillId="0" borderId="108" xfId="65" applyFont="1" applyBorder="1" applyAlignment="1">
      <alignment horizontal="left" vertical="top"/>
    </xf>
    <xf numFmtId="0" fontId="31" fillId="0" borderId="0" xfId="65" applyFont="1" applyAlignment="1">
      <alignment vertical="top"/>
    </xf>
    <xf numFmtId="43" fontId="31" fillId="0" borderId="0" xfId="5" applyFont="1" applyAlignment="1">
      <alignment vertical="top"/>
    </xf>
    <xf numFmtId="0" fontId="21" fillId="0" borderId="107" xfId="65" applyFont="1" applyBorder="1" applyAlignment="1">
      <alignment vertical="top" wrapText="1"/>
    </xf>
    <xf numFmtId="0" fontId="29" fillId="0" borderId="104" xfId="65" applyFont="1" applyBorder="1" applyAlignment="1">
      <alignment horizontal="center" vertical="top" wrapText="1"/>
    </xf>
    <xf numFmtId="0" fontId="29" fillId="0" borderId="66" xfId="65" applyFont="1" applyBorder="1" applyAlignment="1">
      <alignment horizontal="left" vertical="top" wrapText="1"/>
    </xf>
    <xf numFmtId="0" fontId="29" fillId="0" borderId="111" xfId="65" applyFont="1" applyBorder="1" applyAlignment="1">
      <alignment horizontal="center" vertical="top" wrapText="1"/>
    </xf>
    <xf numFmtId="0" fontId="29" fillId="0" borderId="68" xfId="65" applyFont="1" applyBorder="1" applyAlignment="1">
      <alignment horizontal="center" vertical="top" wrapText="1"/>
    </xf>
    <xf numFmtId="0" fontId="29" fillId="0" borderId="107" xfId="65" applyFont="1" applyBorder="1" applyAlignment="1">
      <alignment horizontal="center" vertical="top" wrapText="1"/>
    </xf>
    <xf numFmtId="0" fontId="29" fillId="0" borderId="78" xfId="65" applyFont="1" applyBorder="1" applyAlignment="1">
      <alignment horizontal="left" vertical="top" wrapText="1"/>
    </xf>
    <xf numFmtId="0" fontId="29" fillId="0" borderId="78" xfId="65" applyFont="1" applyBorder="1" applyAlignment="1">
      <alignment vertical="top" wrapText="1"/>
    </xf>
    <xf numFmtId="0" fontId="31" fillId="0" borderId="108" xfId="65" applyFont="1" applyBorder="1" applyAlignment="1">
      <alignment vertical="top"/>
    </xf>
    <xf numFmtId="0" fontId="31" fillId="0" borderId="108" xfId="65" applyFont="1" applyBorder="1" applyAlignment="1">
      <alignment horizontal="center" vertical="top"/>
    </xf>
    <xf numFmtId="0" fontId="32" fillId="0" borderId="108" xfId="65" applyFont="1" applyBorder="1" applyAlignment="1">
      <alignment horizontal="left" vertical="top"/>
    </xf>
    <xf numFmtId="0" fontId="32" fillId="0" borderId="108" xfId="65" applyFont="1" applyBorder="1" applyAlignment="1">
      <alignment vertical="top"/>
    </xf>
    <xf numFmtId="0" fontId="32" fillId="0" borderId="0" xfId="65" applyFont="1" applyAlignment="1">
      <alignment vertical="top"/>
    </xf>
    <xf numFmtId="0" fontId="19" fillId="0" borderId="20" xfId="65" applyFont="1" applyBorder="1" applyAlignment="1">
      <alignment vertical="top" wrapText="1"/>
    </xf>
    <xf numFmtId="0" fontId="19" fillId="0" borderId="20" xfId="65" applyFont="1" applyBorder="1" applyAlignment="1">
      <alignment horizontal="center" vertical="top" wrapText="1"/>
    </xf>
    <xf numFmtId="0" fontId="19" fillId="0" borderId="20" xfId="65" applyFont="1" applyBorder="1" applyAlignment="1">
      <alignment horizontal="left" vertical="top" wrapText="1"/>
    </xf>
    <xf numFmtId="0" fontId="19" fillId="0" borderId="0" xfId="0" applyFont="1" applyAlignment="1">
      <alignment horizontal="center"/>
    </xf>
    <xf numFmtId="0" fontId="72" fillId="0" borderId="0" xfId="0" applyFont="1" applyAlignment="1"/>
    <xf numFmtId="0" fontId="71" fillId="0" borderId="0" xfId="0" applyFont="1" applyAlignment="1">
      <alignment horizontal="left"/>
    </xf>
    <xf numFmtId="0" fontId="71" fillId="0" borderId="0" xfId="0" applyFont="1" applyAlignment="1">
      <alignment vertical="top"/>
    </xf>
    <xf numFmtId="0" fontId="71" fillId="0" borderId="0" xfId="0" applyFont="1" applyBorder="1"/>
    <xf numFmtId="0" fontId="81" fillId="0" borderId="0" xfId="0" applyFont="1"/>
    <xf numFmtId="0" fontId="21" fillId="0" borderId="104" xfId="81" applyFont="1" applyBorder="1" applyAlignment="1">
      <alignment horizontal="center" vertical="top" wrapText="1"/>
    </xf>
    <xf numFmtId="43" fontId="21" fillId="0" borderId="104" xfId="7" applyFont="1" applyBorder="1" applyAlignment="1">
      <alignment horizontal="center" vertical="top" wrapText="1"/>
    </xf>
    <xf numFmtId="0" fontId="19" fillId="0" borderId="0" xfId="81" applyFont="1"/>
    <xf numFmtId="0" fontId="21" fillId="0" borderId="111" xfId="81" applyFont="1" applyBorder="1" applyAlignment="1">
      <alignment horizontal="center" vertical="top" wrapText="1"/>
    </xf>
    <xf numFmtId="43" fontId="21" fillId="0" borderId="111" xfId="7" applyFont="1" applyBorder="1" applyAlignment="1">
      <alignment horizontal="center" vertical="top" wrapText="1"/>
    </xf>
    <xf numFmtId="0" fontId="21" fillId="0" borderId="107" xfId="81" applyFont="1" applyBorder="1" applyAlignment="1">
      <alignment horizontal="center" vertical="top" wrapText="1"/>
    </xf>
    <xf numFmtId="43" fontId="21" fillId="0" borderId="107" xfId="7" applyFont="1" applyBorder="1" applyAlignment="1">
      <alignment horizontal="center" vertical="top" wrapText="1"/>
    </xf>
    <xf numFmtId="0" fontId="19" fillId="0" borderId="0" xfId="81" applyFont="1" applyAlignment="1">
      <alignment horizontal="center"/>
    </xf>
    <xf numFmtId="0" fontId="21" fillId="0" borderId="111" xfId="81" applyFont="1" applyBorder="1" applyAlignment="1">
      <alignment horizontal="center" vertical="center" wrapText="1"/>
    </xf>
    <xf numFmtId="0" fontId="19" fillId="0" borderId="0" xfId="81" applyFont="1" applyAlignment="1">
      <alignment horizontal="center" vertical="center"/>
    </xf>
    <xf numFmtId="0" fontId="32" fillId="0" borderId="0" xfId="81" applyFont="1"/>
    <xf numFmtId="0" fontId="31" fillId="0" borderId="0" xfId="81" applyFont="1"/>
    <xf numFmtId="0" fontId="32" fillId="0" borderId="0" xfId="81" applyFont="1" applyAlignment="1"/>
    <xf numFmtId="0" fontId="36" fillId="0" borderId="111" xfId="81" applyFont="1" applyBorder="1" applyAlignment="1">
      <alignment vertical="top" wrapText="1"/>
    </xf>
    <xf numFmtId="0" fontId="19" fillId="0" borderId="111" xfId="81" applyFont="1" applyBorder="1" applyAlignment="1">
      <alignment vertical="top" wrapText="1"/>
    </xf>
    <xf numFmtId="0" fontId="21" fillId="0" borderId="111" xfId="81" applyFont="1" applyBorder="1" applyAlignment="1">
      <alignment vertical="top" wrapText="1"/>
    </xf>
    <xf numFmtId="0" fontId="19" fillId="0" borderId="107" xfId="81" applyFont="1" applyBorder="1" applyAlignment="1">
      <alignment vertical="top" wrapText="1"/>
    </xf>
    <xf numFmtId="0" fontId="19" fillId="0" borderId="41" xfId="81" applyFont="1" applyBorder="1" applyAlignment="1">
      <alignment vertical="top" wrapText="1"/>
    </xf>
    <xf numFmtId="0" fontId="19" fillId="0" borderId="0" xfId="81" applyFont="1" applyAlignment="1"/>
    <xf numFmtId="43" fontId="71" fillId="0" borderId="0" xfId="7" applyFont="1"/>
    <xf numFmtId="0" fontId="21" fillId="0" borderId="0" xfId="81" applyFont="1"/>
    <xf numFmtId="0" fontId="21" fillId="0" borderId="19" xfId="81" applyFont="1" applyBorder="1" applyAlignment="1">
      <alignment vertical="center" wrapText="1"/>
    </xf>
    <xf numFmtId="0" fontId="21" fillId="0" borderId="104" xfId="81" applyFont="1" applyBorder="1" applyAlignment="1">
      <alignment vertical="center" wrapText="1"/>
    </xf>
    <xf numFmtId="0" fontId="36" fillId="0" borderId="111" xfId="81" applyFont="1" applyBorder="1"/>
    <xf numFmtId="43" fontId="36" fillId="0" borderId="111" xfId="7" applyFont="1" applyBorder="1" applyAlignment="1">
      <alignment vertical="top" wrapText="1"/>
    </xf>
    <xf numFmtId="0" fontId="36" fillId="0" borderId="0" xfId="81" applyFont="1"/>
    <xf numFmtId="43" fontId="19" fillId="0" borderId="111" xfId="7" applyFont="1" applyBorder="1" applyAlignment="1">
      <alignment vertical="top" wrapText="1"/>
    </xf>
    <xf numFmtId="0" fontId="29" fillId="0" borderId="111" xfId="81" applyFont="1" applyBorder="1"/>
    <xf numFmtId="0" fontId="29" fillId="0" borderId="111" xfId="81" applyFont="1" applyBorder="1" applyAlignment="1">
      <alignment vertical="top" wrapText="1"/>
    </xf>
    <xf numFmtId="0" fontId="29" fillId="0" borderId="0" xfId="81" applyFont="1"/>
    <xf numFmtId="0" fontId="29" fillId="0" borderId="0" xfId="81" applyFont="1" applyBorder="1"/>
    <xf numFmtId="0" fontId="19" fillId="0" borderId="111" xfId="81" applyFont="1" applyBorder="1" applyAlignment="1">
      <alignment horizontal="left" vertical="top" wrapText="1"/>
    </xf>
    <xf numFmtId="43" fontId="21" fillId="0" borderId="111" xfId="7" applyFont="1" applyBorder="1" applyAlignment="1">
      <alignment vertical="top" wrapText="1"/>
    </xf>
    <xf numFmtId="0" fontId="19" fillId="0" borderId="39" xfId="81" applyFont="1" applyBorder="1" applyAlignment="1">
      <alignment vertical="top" wrapText="1"/>
    </xf>
    <xf numFmtId="0" fontId="19" fillId="0" borderId="40" xfId="81" applyFont="1" applyBorder="1" applyAlignment="1">
      <alignment vertical="top" wrapText="1"/>
    </xf>
    <xf numFmtId="43" fontId="21" fillId="0" borderId="40" xfId="7" applyFont="1" applyBorder="1" applyAlignment="1">
      <alignment vertical="top" wrapText="1"/>
    </xf>
    <xf numFmtId="43" fontId="67" fillId="0" borderId="0" xfId="7" applyFont="1"/>
    <xf numFmtId="0" fontId="34" fillId="0" borderId="111" xfId="81" applyFont="1" applyBorder="1" applyAlignment="1">
      <alignment horizontal="center" vertical="top" wrapText="1"/>
    </xf>
    <xf numFmtId="0" fontId="19" fillId="0" borderId="0" xfId="83" applyFont="1" applyAlignment="1">
      <alignment vertical="top"/>
    </xf>
    <xf numFmtId="0" fontId="68" fillId="0" borderId="0" xfId="0" applyFont="1" applyAlignment="1">
      <alignment vertical="top"/>
    </xf>
    <xf numFmtId="0" fontId="71" fillId="0" borderId="0" xfId="0" applyFont="1" applyBorder="1" applyAlignment="1">
      <alignment vertical="top"/>
    </xf>
    <xf numFmtId="0" fontId="21" fillId="0" borderId="0" xfId="83" applyFont="1" applyAlignment="1">
      <alignment vertical="top"/>
    </xf>
    <xf numFmtId="0" fontId="19" fillId="0" borderId="0" xfId="83" applyFont="1" applyAlignment="1">
      <alignment vertical="top" wrapText="1"/>
    </xf>
    <xf numFmtId="0" fontId="32" fillId="0" borderId="0" xfId="2" applyFont="1" applyProtection="1">
      <protection locked="0"/>
    </xf>
    <xf numFmtId="0" fontId="31" fillId="0" borderId="0" xfId="2" applyFont="1" applyProtection="1">
      <protection locked="0"/>
    </xf>
    <xf numFmtId="0" fontId="32" fillId="0" borderId="0" xfId="2" applyFont="1"/>
    <xf numFmtId="0" fontId="71" fillId="0" borderId="0" xfId="0" applyFont="1" applyAlignment="1">
      <alignment horizontal="center" vertical="top"/>
    </xf>
    <xf numFmtId="0" fontId="19" fillId="0" borderId="0" xfId="2" applyFont="1" applyBorder="1" applyAlignment="1">
      <alignment horizontal="center" vertical="top"/>
    </xf>
    <xf numFmtId="0" fontId="18" fillId="0" borderId="0" xfId="2" applyAlignment="1">
      <alignment vertical="top"/>
    </xf>
    <xf numFmtId="0" fontId="19" fillId="0" borderId="0" xfId="2" applyFont="1" applyFill="1" applyBorder="1" applyAlignment="1">
      <alignment horizontal="center" vertical="top"/>
    </xf>
    <xf numFmtId="0" fontId="18" fillId="0" borderId="0" xfId="2" applyFont="1" applyAlignment="1">
      <alignment horizontal="center" vertical="top"/>
    </xf>
    <xf numFmtId="0" fontId="18" fillId="0" borderId="0" xfId="2" applyFont="1" applyAlignment="1">
      <alignment vertical="top"/>
    </xf>
    <xf numFmtId="0" fontId="19" fillId="0" borderId="0" xfId="2" applyFont="1" applyBorder="1" applyAlignment="1">
      <alignment vertical="top"/>
    </xf>
    <xf numFmtId="0" fontId="18" fillId="0" borderId="0" xfId="2" applyAlignment="1">
      <alignment horizontal="center" vertical="top"/>
    </xf>
    <xf numFmtId="0" fontId="18" fillId="0" borderId="94" xfId="2" applyBorder="1" applyAlignment="1">
      <alignment vertical="top" wrapText="1"/>
    </xf>
    <xf numFmtId="0" fontId="83" fillId="0" borderId="0" xfId="2" applyFont="1" applyBorder="1" applyAlignment="1">
      <alignment vertical="top" wrapText="1"/>
    </xf>
    <xf numFmtId="0" fontId="18" fillId="0" borderId="5" xfId="2" applyBorder="1" applyAlignment="1">
      <alignment vertical="top" wrapText="1"/>
    </xf>
    <xf numFmtId="49" fontId="18" fillId="0" borderId="0" xfId="2" applyNumberFormat="1" applyFont="1" applyBorder="1" applyAlignment="1">
      <alignment vertical="top" wrapText="1"/>
    </xf>
    <xf numFmtId="49" fontId="18" fillId="0" borderId="29" xfId="2" applyNumberFormat="1" applyFont="1" applyBorder="1" applyAlignment="1">
      <alignment vertical="top" wrapText="1"/>
    </xf>
    <xf numFmtId="0" fontId="18" fillId="0" borderId="0" xfId="2" applyAlignment="1">
      <alignment vertical="top" wrapText="1"/>
    </xf>
    <xf numFmtId="0" fontId="18" fillId="0" borderId="94" xfId="2" applyBorder="1" applyAlignment="1">
      <alignment vertical="top"/>
    </xf>
    <xf numFmtId="0" fontId="18" fillId="0" borderId="0" xfId="2" applyBorder="1" applyAlignment="1">
      <alignment vertical="top" wrapText="1"/>
    </xf>
    <xf numFmtId="0" fontId="18" fillId="0" borderId="0" xfId="2" applyBorder="1" applyAlignment="1">
      <alignment horizontal="center" vertical="top"/>
    </xf>
    <xf numFmtId="0" fontId="18" fillId="0" borderId="5" xfId="2" applyBorder="1" applyAlignment="1">
      <alignment horizontal="center" vertical="top"/>
    </xf>
    <xf numFmtId="49" fontId="18" fillId="0" borderId="0" xfId="2" applyNumberFormat="1" applyBorder="1" applyAlignment="1">
      <alignment horizontal="center" vertical="top"/>
    </xf>
    <xf numFmtId="49" fontId="18" fillId="0" borderId="29" xfId="2" applyNumberFormat="1" applyBorder="1" applyAlignment="1">
      <alignment horizontal="center" vertical="top"/>
    </xf>
    <xf numFmtId="0" fontId="18" fillId="0" borderId="0" xfId="2" applyFont="1" applyFill="1" applyBorder="1" applyAlignment="1">
      <alignment vertical="top" wrapText="1"/>
    </xf>
    <xf numFmtId="0" fontId="18" fillId="0" borderId="0" xfId="2" applyBorder="1" applyAlignment="1">
      <alignment vertical="top"/>
    </xf>
    <xf numFmtId="0" fontId="18" fillId="0" borderId="5" xfId="2" applyBorder="1" applyAlignment="1">
      <alignment vertical="top"/>
    </xf>
    <xf numFmtId="49" fontId="18" fillId="0" borderId="0" xfId="2" applyNumberFormat="1" applyBorder="1" applyAlignment="1">
      <alignment vertical="top"/>
    </xf>
    <xf numFmtId="49" fontId="18" fillId="0" borderId="29" xfId="2" applyNumberFormat="1" applyBorder="1" applyAlignment="1">
      <alignment vertical="top"/>
    </xf>
    <xf numFmtId="43" fontId="27" fillId="0" borderId="0" xfId="1" applyFont="1" applyAlignment="1">
      <alignment vertical="top"/>
    </xf>
    <xf numFmtId="43" fontId="27" fillId="0" borderId="5" xfId="1" applyFont="1" applyBorder="1" applyAlignment="1">
      <alignment vertical="top" wrapText="1"/>
    </xf>
    <xf numFmtId="43" fontId="27" fillId="0" borderId="5" xfId="1" applyFont="1" applyBorder="1" applyAlignment="1">
      <alignment vertical="top"/>
    </xf>
    <xf numFmtId="0" fontId="19" fillId="0" borderId="0" xfId="65" applyFont="1" applyBorder="1" applyAlignment="1">
      <alignment vertical="top"/>
    </xf>
    <xf numFmtId="0" fontId="19" fillId="0" borderId="0" xfId="65" applyFont="1" applyFill="1" applyBorder="1" applyAlignment="1">
      <alignment vertical="top"/>
    </xf>
    <xf numFmtId="0" fontId="21" fillId="0" borderId="50" xfId="65" applyFont="1" applyFill="1" applyBorder="1" applyAlignment="1">
      <alignment horizontal="center" vertical="top" wrapText="1"/>
    </xf>
    <xf numFmtId="43" fontId="21" fillId="0" borderId="18" xfId="62" applyFont="1" applyBorder="1" applyAlignment="1">
      <alignment horizontal="center" vertical="top" wrapText="1"/>
    </xf>
    <xf numFmtId="0" fontId="21" fillId="0" borderId="18" xfId="65" applyFont="1" applyBorder="1" applyAlignment="1">
      <alignment horizontal="center" vertical="top" wrapText="1"/>
    </xf>
    <xf numFmtId="0" fontId="21" fillId="0" borderId="0" xfId="65" applyFont="1" applyBorder="1" applyAlignment="1">
      <alignment horizontal="center" vertical="top" wrapText="1"/>
    </xf>
    <xf numFmtId="0" fontId="21" fillId="0" borderId="0" xfId="65" applyFont="1" applyAlignment="1">
      <alignment horizontal="center" vertical="top" wrapText="1"/>
    </xf>
    <xf numFmtId="0" fontId="21" fillId="0" borderId="128" xfId="65" applyFont="1" applyFill="1" applyBorder="1" applyAlignment="1">
      <alignment horizontal="center" vertical="top" wrapText="1"/>
    </xf>
    <xf numFmtId="0" fontId="21" fillId="0" borderId="9" xfId="65" applyFont="1" applyBorder="1" applyAlignment="1">
      <alignment horizontal="center" vertical="top" wrapText="1"/>
    </xf>
    <xf numFmtId="43" fontId="21" fillId="0" borderId="121" xfId="62" applyFont="1" applyBorder="1" applyAlignment="1">
      <alignment horizontal="center" vertical="top" wrapText="1"/>
    </xf>
    <xf numFmtId="0" fontId="21" fillId="0" borderId="121" xfId="65" applyFont="1" applyBorder="1" applyAlignment="1">
      <alignment horizontal="center" vertical="top" wrapText="1"/>
    </xf>
    <xf numFmtId="0" fontId="21" fillId="0" borderId="121" xfId="65" applyFont="1" applyBorder="1" applyAlignment="1">
      <alignment horizontal="center" vertical="top"/>
    </xf>
    <xf numFmtId="0" fontId="21" fillId="0" borderId="0" xfId="65" applyFont="1" applyAlignment="1">
      <alignment horizontal="left" vertical="top" wrapText="1"/>
    </xf>
    <xf numFmtId="0" fontId="21" fillId="0" borderId="2" xfId="65" applyFont="1" applyBorder="1" applyAlignment="1">
      <alignment horizontal="center" vertical="top"/>
    </xf>
    <xf numFmtId="0" fontId="21" fillId="0" borderId="91" xfId="65" applyFont="1" applyBorder="1" applyAlignment="1">
      <alignment vertical="top"/>
    </xf>
    <xf numFmtId="0" fontId="19" fillId="0" borderId="18" xfId="65" applyFont="1" applyBorder="1" applyAlignment="1">
      <alignment vertical="top"/>
    </xf>
    <xf numFmtId="0" fontId="19" fillId="0" borderId="5" xfId="65" applyFont="1" applyBorder="1" applyAlignment="1">
      <alignment vertical="top"/>
    </xf>
    <xf numFmtId="0" fontId="19" fillId="0" borderId="2" xfId="65" applyFont="1" applyBorder="1" applyAlignment="1">
      <alignment horizontal="left" vertical="top"/>
    </xf>
    <xf numFmtId="0" fontId="21" fillId="0" borderId="91" xfId="65" applyFont="1" applyBorder="1" applyAlignment="1">
      <alignment horizontal="center" vertical="top"/>
    </xf>
    <xf numFmtId="0" fontId="21" fillId="0" borderId="2" xfId="65" applyFont="1" applyBorder="1" applyAlignment="1">
      <alignment horizontal="center" vertical="top" wrapText="1"/>
    </xf>
    <xf numFmtId="0" fontId="19" fillId="0" borderId="5" xfId="65" applyFont="1" applyBorder="1" applyAlignment="1">
      <alignment vertical="top" wrapText="1"/>
    </xf>
    <xf numFmtId="0" fontId="19" fillId="0" borderId="91" xfId="65" applyFont="1" applyBorder="1" applyAlignment="1">
      <alignment vertical="top"/>
    </xf>
    <xf numFmtId="0" fontId="19" fillId="0" borderId="2" xfId="65" applyFont="1" applyBorder="1" applyAlignment="1">
      <alignment horizontal="center" vertical="top"/>
    </xf>
    <xf numFmtId="0" fontId="19" fillId="0" borderId="0" xfId="65" applyFont="1" applyBorder="1" applyAlignment="1">
      <alignment vertical="top" wrapText="1"/>
    </xf>
    <xf numFmtId="0" fontId="19" fillId="0" borderId="2" xfId="65" applyFont="1" applyBorder="1" applyAlignment="1">
      <alignment vertical="top" wrapText="1"/>
    </xf>
    <xf numFmtId="0" fontId="19" fillId="0" borderId="2" xfId="65" applyFont="1" applyBorder="1" applyAlignment="1">
      <alignment vertical="top"/>
    </xf>
    <xf numFmtId="0" fontId="19" fillId="0" borderId="2" xfId="65" applyFont="1" applyBorder="1" applyAlignment="1">
      <alignment horizontal="center" vertical="top" wrapText="1"/>
    </xf>
    <xf numFmtId="43" fontId="19" fillId="0" borderId="0" xfId="62" applyFont="1" applyAlignment="1">
      <alignment vertical="top"/>
    </xf>
    <xf numFmtId="43" fontId="19" fillId="0" borderId="0" xfId="62" applyFont="1" applyBorder="1" applyAlignment="1">
      <alignment vertical="top"/>
    </xf>
    <xf numFmtId="43" fontId="19" fillId="0" borderId="18" xfId="62" applyFont="1" applyBorder="1" applyAlignment="1">
      <alignment vertical="top"/>
    </xf>
    <xf numFmtId="43" fontId="19" fillId="0" borderId="5" xfId="62" applyFont="1" applyBorder="1" applyAlignment="1">
      <alignment vertical="top"/>
    </xf>
    <xf numFmtId="43" fontId="19" fillId="0" borderId="5" xfId="62" applyFont="1" applyBorder="1" applyAlignment="1">
      <alignment vertical="top" wrapText="1"/>
    </xf>
    <xf numFmtId="17" fontId="19" fillId="0" borderId="5" xfId="65" applyNumberFormat="1" applyFont="1" applyBorder="1" applyAlignment="1">
      <alignment vertical="top"/>
    </xf>
    <xf numFmtId="14" fontId="19" fillId="0" borderId="0" xfId="65" applyNumberFormat="1" applyFont="1" applyAlignment="1">
      <alignment vertical="top" wrapText="1"/>
    </xf>
    <xf numFmtId="43" fontId="19" fillId="0" borderId="0" xfId="65" applyNumberFormat="1" applyFont="1" applyAlignment="1">
      <alignment vertical="top" wrapText="1"/>
    </xf>
    <xf numFmtId="43" fontId="19" fillId="0" borderId="2" xfId="62" applyFont="1" applyBorder="1" applyAlignment="1">
      <alignment vertical="top"/>
    </xf>
    <xf numFmtId="43" fontId="19" fillId="0" borderId="2" xfId="62" applyFont="1" applyBorder="1" applyAlignment="1">
      <alignment vertical="top" wrapText="1"/>
    </xf>
    <xf numFmtId="43" fontId="32" fillId="0" borderId="0" xfId="62" applyFont="1" applyAlignment="1">
      <alignment vertical="top"/>
    </xf>
    <xf numFmtId="43" fontId="31" fillId="0" borderId="0" xfId="62" applyFont="1" applyAlignment="1">
      <alignment vertical="top"/>
    </xf>
    <xf numFmtId="0" fontId="32" fillId="0" borderId="0" xfId="65" applyFont="1" applyBorder="1" applyAlignment="1">
      <alignment vertical="top"/>
    </xf>
    <xf numFmtId="0" fontId="31" fillId="0" borderId="0" xfId="65" applyFont="1" applyBorder="1" applyAlignment="1">
      <alignment vertical="top"/>
    </xf>
    <xf numFmtId="0" fontId="31" fillId="0" borderId="0" xfId="65" applyFont="1" applyBorder="1" applyAlignment="1">
      <alignment horizontal="center" vertical="top"/>
    </xf>
    <xf numFmtId="43" fontId="31" fillId="0" borderId="0" xfId="62" applyFont="1" applyBorder="1" applyAlignment="1">
      <alignment vertical="top"/>
    </xf>
    <xf numFmtId="43" fontId="32" fillId="0" borderId="0" xfId="62" applyFont="1" applyBorder="1" applyAlignment="1">
      <alignment vertical="top"/>
    </xf>
    <xf numFmtId="0" fontId="71" fillId="0" borderId="0" xfId="33" applyFont="1" applyAlignment="1">
      <alignment horizontal="center" vertical="top"/>
    </xf>
    <xf numFmtId="0" fontId="77" fillId="0" borderId="50" xfId="33" applyFont="1" applyBorder="1" applyAlignment="1">
      <alignment vertical="top"/>
    </xf>
    <xf numFmtId="0" fontId="77" fillId="0" borderId="49" xfId="33" applyFont="1" applyBorder="1" applyAlignment="1">
      <alignment vertical="top"/>
    </xf>
    <xf numFmtId="43" fontId="77" fillId="0" borderId="18" xfId="33" applyNumberFormat="1" applyFont="1" applyBorder="1" applyAlignment="1">
      <alignment vertical="top"/>
    </xf>
    <xf numFmtId="0" fontId="72" fillId="0" borderId="18" xfId="33" applyFont="1" applyBorder="1" applyAlignment="1">
      <alignment vertical="top" wrapText="1"/>
    </xf>
    <xf numFmtId="0" fontId="72" fillId="0" borderId="18" xfId="33" applyFont="1" applyBorder="1" applyAlignment="1">
      <alignment horizontal="center" vertical="top"/>
    </xf>
    <xf numFmtId="0" fontId="72" fillId="0" borderId="2" xfId="33" applyFont="1" applyBorder="1" applyAlignment="1">
      <alignment vertical="top"/>
    </xf>
    <xf numFmtId="0" fontId="72" fillId="0" borderId="0" xfId="33" applyFont="1" applyBorder="1" applyAlignment="1">
      <alignment vertical="top" wrapText="1"/>
    </xf>
    <xf numFmtId="0" fontId="72" fillId="0" borderId="5" xfId="33" applyFont="1" applyBorder="1" applyAlignment="1">
      <alignment vertical="top"/>
    </xf>
    <xf numFmtId="0" fontId="72" fillId="0" borderId="5" xfId="33" applyFont="1" applyBorder="1" applyAlignment="1">
      <alignment vertical="top" wrapText="1"/>
    </xf>
    <xf numFmtId="16" fontId="72" fillId="0" borderId="5" xfId="33" applyNumberFormat="1" applyFont="1" applyBorder="1" applyAlignment="1">
      <alignment horizontal="center" vertical="top"/>
    </xf>
    <xf numFmtId="0" fontId="72" fillId="0" borderId="50" xfId="33" applyFont="1" applyBorder="1" applyAlignment="1">
      <alignment vertical="top"/>
    </xf>
    <xf numFmtId="0" fontId="72" fillId="0" borderId="49" xfId="33" applyFont="1" applyBorder="1" applyAlignment="1">
      <alignment vertical="top" wrapText="1"/>
    </xf>
    <xf numFmtId="0" fontId="72" fillId="0" borderId="18" xfId="33" applyFont="1" applyBorder="1" applyAlignment="1">
      <alignment vertical="top"/>
    </xf>
    <xf numFmtId="0" fontId="72" fillId="0" borderId="129" xfId="33" applyFont="1" applyBorder="1" applyAlignment="1">
      <alignment vertical="top"/>
    </xf>
    <xf numFmtId="0" fontId="72" fillId="0" borderId="125" xfId="33" applyFont="1" applyBorder="1" applyAlignment="1">
      <alignment vertical="top" wrapText="1"/>
    </xf>
    <xf numFmtId="0" fontId="72" fillId="0" borderId="122" xfId="33" applyFont="1" applyBorder="1" applyAlignment="1">
      <alignment vertical="top"/>
    </xf>
    <xf numFmtId="0" fontId="72" fillId="0" borderId="122" xfId="33" applyFont="1" applyBorder="1" applyAlignment="1">
      <alignment vertical="top" wrapText="1"/>
    </xf>
    <xf numFmtId="0" fontId="72" fillId="0" borderId="122" xfId="33" applyFont="1" applyBorder="1" applyAlignment="1">
      <alignment horizontal="center" vertical="top"/>
    </xf>
    <xf numFmtId="16" fontId="72" fillId="0" borderId="122" xfId="33" applyNumberFormat="1" applyFont="1" applyBorder="1" applyAlignment="1">
      <alignment horizontal="center" vertical="top"/>
    </xf>
    <xf numFmtId="16" fontId="72" fillId="0" borderId="18" xfId="33" applyNumberFormat="1" applyFont="1" applyBorder="1" applyAlignment="1">
      <alignment horizontal="center" vertical="top"/>
    </xf>
    <xf numFmtId="0" fontId="72" fillId="0" borderId="49" xfId="33" applyFont="1" applyBorder="1" applyAlignment="1">
      <alignment vertical="top"/>
    </xf>
    <xf numFmtId="0" fontId="72" fillId="0" borderId="128" xfId="33" applyFont="1" applyBorder="1" applyAlignment="1">
      <alignment vertical="top"/>
    </xf>
    <xf numFmtId="0" fontId="72" fillId="0" borderId="13" xfId="33" applyFont="1" applyBorder="1" applyAlignment="1">
      <alignment vertical="top" wrapText="1"/>
    </xf>
    <xf numFmtId="0" fontId="72" fillId="0" borderId="121" xfId="33" applyFont="1" applyBorder="1" applyAlignment="1">
      <alignment vertical="top"/>
    </xf>
    <xf numFmtId="0" fontId="72" fillId="0" borderId="121" xfId="33" applyFont="1" applyBorder="1" applyAlignment="1">
      <alignment vertical="top" wrapText="1"/>
    </xf>
    <xf numFmtId="16" fontId="72" fillId="0" borderId="121" xfId="33" applyNumberFormat="1" applyFont="1" applyBorder="1" applyAlignment="1">
      <alignment horizontal="center" vertical="top"/>
    </xf>
    <xf numFmtId="0" fontId="72" fillId="0" borderId="121" xfId="33" applyFont="1" applyBorder="1" applyAlignment="1">
      <alignment horizontal="center" vertical="top"/>
    </xf>
    <xf numFmtId="0" fontId="87" fillId="0" borderId="0" xfId="33" applyFont="1" applyBorder="1" applyAlignment="1">
      <alignment vertical="top"/>
    </xf>
    <xf numFmtId="43" fontId="77" fillId="0" borderId="5" xfId="33" applyNumberFormat="1" applyFont="1" applyBorder="1" applyAlignment="1">
      <alignment vertical="top"/>
    </xf>
    <xf numFmtId="0" fontId="72" fillId="0" borderId="5" xfId="33" applyFont="1" applyBorder="1" applyAlignment="1">
      <alignment horizontal="center" vertical="top"/>
    </xf>
    <xf numFmtId="0" fontId="72" fillId="0" borderId="25" xfId="33" applyFont="1" applyBorder="1" applyAlignment="1">
      <alignment vertical="top" wrapText="1"/>
    </xf>
    <xf numFmtId="0" fontId="87" fillId="0" borderId="49" xfId="33" applyFont="1" applyBorder="1" applyAlignment="1">
      <alignment vertical="top"/>
    </xf>
    <xf numFmtId="0" fontId="67" fillId="0" borderId="0" xfId="33" applyFont="1" applyAlignment="1">
      <alignment vertical="top"/>
    </xf>
    <xf numFmtId="0" fontId="67" fillId="0" borderId="0" xfId="33" applyFont="1" applyAlignment="1">
      <alignment vertical="top" wrapText="1"/>
    </xf>
    <xf numFmtId="0" fontId="81" fillId="0" borderId="0" xfId="33" applyFont="1" applyAlignment="1">
      <alignment vertical="top"/>
    </xf>
    <xf numFmtId="0" fontId="81" fillId="0" borderId="0" xfId="33" applyFont="1" applyAlignment="1">
      <alignment horizontal="center" vertical="top"/>
    </xf>
    <xf numFmtId="0" fontId="81" fillId="0" borderId="0" xfId="33" applyFont="1" applyAlignment="1">
      <alignment horizontal="center" vertical="top" wrapText="1"/>
    </xf>
    <xf numFmtId="0" fontId="32" fillId="0" borderId="0" xfId="42" applyFont="1" applyAlignment="1" applyProtection="1">
      <alignment vertical="top"/>
      <protection locked="0"/>
    </xf>
    <xf numFmtId="0" fontId="31" fillId="0" borderId="0" xfId="42" applyFont="1" applyAlignment="1" applyProtection="1">
      <alignment vertical="top"/>
      <protection locked="0"/>
    </xf>
    <xf numFmtId="0" fontId="32" fillId="0" borderId="0" xfId="42" applyFont="1" applyAlignment="1">
      <alignment vertical="top"/>
    </xf>
    <xf numFmtId="0" fontId="78" fillId="0" borderId="0" xfId="33" applyFont="1" applyBorder="1" applyAlignment="1">
      <alignment vertical="top"/>
    </xf>
    <xf numFmtId="0" fontId="78" fillId="0" borderId="0" xfId="33" applyFont="1" applyBorder="1" applyAlignment="1">
      <alignment vertical="top" wrapText="1"/>
    </xf>
    <xf numFmtId="0" fontId="81" fillId="0" borderId="0" xfId="33" applyFont="1" applyBorder="1" applyAlignment="1">
      <alignment horizontal="center" vertical="top" wrapText="1"/>
    </xf>
    <xf numFmtId="0" fontId="81" fillId="0" borderId="0" xfId="33" applyFont="1" applyBorder="1" applyAlignment="1">
      <alignment horizontal="center" vertical="top"/>
    </xf>
    <xf numFmtId="0" fontId="78" fillId="0" borderId="0" xfId="33" applyFont="1" applyAlignment="1">
      <alignment vertical="top"/>
    </xf>
    <xf numFmtId="0" fontId="78" fillId="0" borderId="0" xfId="33" applyFont="1" applyAlignment="1">
      <alignment vertical="top" wrapText="1"/>
    </xf>
    <xf numFmtId="0" fontId="72" fillId="0" borderId="0" xfId="33" applyFont="1" applyAlignment="1">
      <alignment vertical="top"/>
    </xf>
    <xf numFmtId="0" fontId="72" fillId="0" borderId="0" xfId="33" applyFont="1" applyAlignment="1">
      <alignment vertical="top" wrapText="1"/>
    </xf>
    <xf numFmtId="0" fontId="77" fillId="0" borderId="0" xfId="33" applyFont="1" applyAlignment="1">
      <alignment horizontal="center" vertical="top" wrapText="1"/>
    </xf>
    <xf numFmtId="0" fontId="77" fillId="0" borderId="0" xfId="33" applyFont="1" applyAlignment="1">
      <alignment horizontal="center" vertical="top"/>
    </xf>
    <xf numFmtId="0" fontId="71" fillId="0" borderId="0" xfId="33" applyFont="1" applyAlignment="1">
      <alignment vertical="top"/>
    </xf>
    <xf numFmtId="0" fontId="72" fillId="0" borderId="0" xfId="33" applyFont="1" applyAlignment="1">
      <alignment horizontal="center" vertical="top"/>
    </xf>
    <xf numFmtId="0" fontId="71" fillId="0" borderId="0" xfId="33" applyFont="1" applyAlignment="1">
      <alignment vertical="top" wrapText="1"/>
    </xf>
    <xf numFmtId="0" fontId="88" fillId="0" borderId="50" xfId="33" applyFont="1" applyBorder="1" applyAlignment="1">
      <alignment horizontal="center" vertical="top"/>
    </xf>
    <xf numFmtId="0" fontId="88" fillId="0" borderId="49" xfId="33" applyFont="1" applyBorder="1" applyAlignment="1">
      <alignment horizontal="center" vertical="top"/>
    </xf>
    <xf numFmtId="0" fontId="88" fillId="0" borderId="18" xfId="33" applyFont="1" applyBorder="1" applyAlignment="1">
      <alignment horizontal="center" vertical="top"/>
    </xf>
    <xf numFmtId="0" fontId="88" fillId="0" borderId="18" xfId="33" applyFont="1" applyBorder="1" applyAlignment="1">
      <alignment horizontal="center" vertical="top" wrapText="1"/>
    </xf>
    <xf numFmtId="0" fontId="88" fillId="0" borderId="0" xfId="33" applyFont="1" applyAlignment="1">
      <alignment horizontal="center" vertical="top"/>
    </xf>
    <xf numFmtId="0" fontId="86" fillId="0" borderId="2" xfId="33" applyFont="1" applyBorder="1" applyAlignment="1">
      <alignment horizontal="center" vertical="top" wrapText="1"/>
    </xf>
    <xf numFmtId="0" fontId="88" fillId="0" borderId="5" xfId="33" applyFont="1" applyBorder="1" applyAlignment="1">
      <alignment horizontal="center" vertical="top"/>
    </xf>
    <xf numFmtId="0" fontId="88" fillId="0" borderId="5" xfId="33" applyFont="1" applyBorder="1" applyAlignment="1">
      <alignment horizontal="center" vertical="top" wrapText="1"/>
    </xf>
    <xf numFmtId="0" fontId="88" fillId="0" borderId="128" xfId="33" quotePrefix="1" applyFont="1" applyBorder="1" applyAlignment="1">
      <alignment horizontal="center" vertical="top"/>
    </xf>
    <xf numFmtId="0" fontId="88" fillId="0" borderId="121" xfId="33" quotePrefix="1" applyFont="1" applyBorder="1" applyAlignment="1">
      <alignment horizontal="center" vertical="top"/>
    </xf>
    <xf numFmtId="0" fontId="88" fillId="0" borderId="121" xfId="33" quotePrefix="1" applyFont="1" applyBorder="1" applyAlignment="1">
      <alignment horizontal="center" vertical="top" wrapText="1"/>
    </xf>
    <xf numFmtId="0" fontId="88" fillId="0" borderId="122" xfId="33" applyFont="1" applyBorder="1" applyAlignment="1">
      <alignment horizontal="center" vertical="top"/>
    </xf>
    <xf numFmtId="0" fontId="77" fillId="0" borderId="121" xfId="33" applyFont="1" applyBorder="1" applyAlignment="1">
      <alignment vertical="center"/>
    </xf>
    <xf numFmtId="0" fontId="77" fillId="0" borderId="128" xfId="33" applyFont="1" applyBorder="1" applyAlignment="1">
      <alignment vertical="center"/>
    </xf>
    <xf numFmtId="0" fontId="77" fillId="0" borderId="9" xfId="33" applyFont="1" applyBorder="1" applyAlignment="1">
      <alignment horizontal="center" vertical="center"/>
    </xf>
    <xf numFmtId="43" fontId="77" fillId="0" borderId="121" xfId="33" applyNumberFormat="1" applyFont="1" applyBorder="1" applyAlignment="1">
      <alignment vertical="center"/>
    </xf>
    <xf numFmtId="0" fontId="77" fillId="0" borderId="121" xfId="33" applyFont="1" applyBorder="1" applyAlignment="1">
      <alignment vertical="center" wrapText="1"/>
    </xf>
    <xf numFmtId="0" fontId="77" fillId="0" borderId="0" xfId="33" applyFont="1" applyAlignment="1">
      <alignment vertical="center"/>
    </xf>
    <xf numFmtId="0" fontId="77" fillId="0" borderId="0" xfId="33" applyFont="1" applyAlignment="1">
      <alignment horizontal="center" vertical="center"/>
    </xf>
    <xf numFmtId="0" fontId="77" fillId="0" borderId="49" xfId="33" applyFont="1" applyBorder="1" applyAlignment="1">
      <alignment vertical="top" wrapText="1"/>
    </xf>
    <xf numFmtId="0" fontId="19" fillId="0" borderId="5" xfId="65" applyFont="1" applyBorder="1"/>
    <xf numFmtId="0" fontId="19" fillId="0" borderId="5" xfId="65" applyFont="1" applyBorder="1" applyAlignment="1">
      <alignment horizontal="center" vertical="top"/>
    </xf>
    <xf numFmtId="0" fontId="19" fillId="0" borderId="0" xfId="65" applyFont="1"/>
    <xf numFmtId="0" fontId="32" fillId="0" borderId="0" xfId="34" applyFont="1"/>
    <xf numFmtId="0" fontId="21" fillId="0" borderId="0" xfId="34" applyFont="1"/>
    <xf numFmtId="0" fontId="19" fillId="0" borderId="0" xfId="34" applyFont="1"/>
    <xf numFmtId="0" fontId="21" fillId="0" borderId="112" xfId="34" applyFont="1" applyBorder="1" applyAlignment="1">
      <alignment horizontal="center"/>
    </xf>
    <xf numFmtId="0" fontId="21" fillId="0" borderId="112" xfId="34" applyFont="1" applyBorder="1" applyAlignment="1">
      <alignment horizontal="center" vertical="center" shrinkToFit="1"/>
    </xf>
    <xf numFmtId="0" fontId="21" fillId="0" borderId="112" xfId="34" applyFont="1" applyBorder="1" applyAlignment="1">
      <alignment horizontal="center" vertical="center" wrapText="1"/>
    </xf>
    <xf numFmtId="0" fontId="19" fillId="0" borderId="0" xfId="34" applyFont="1" applyBorder="1"/>
    <xf numFmtId="0" fontId="21" fillId="0" borderId="0" xfId="58" applyFont="1" applyAlignment="1">
      <alignment vertical="top"/>
    </xf>
    <xf numFmtId="0" fontId="22" fillId="0" borderId="117" xfId="35" applyFont="1" applyBorder="1" applyAlignment="1">
      <alignment horizontal="center"/>
    </xf>
    <xf numFmtId="0" fontId="22" fillId="0" borderId="124" xfId="35" applyFont="1" applyBorder="1" applyAlignment="1">
      <alignment horizontal="center"/>
    </xf>
    <xf numFmtId="0" fontId="19" fillId="0" borderId="117" xfId="35" applyFont="1" applyBorder="1" applyAlignment="1">
      <alignment horizontal="center"/>
    </xf>
    <xf numFmtId="49" fontId="19" fillId="0" borderId="117" xfId="35" applyNumberFormat="1" applyFont="1" applyBorder="1" applyAlignment="1">
      <alignment horizontal="center"/>
    </xf>
    <xf numFmtId="4" fontId="19" fillId="0" borderId="117" xfId="35" applyNumberFormat="1" applyFont="1" applyBorder="1"/>
    <xf numFmtId="0" fontId="19" fillId="5" borderId="117" xfId="35" applyFont="1" applyFill="1" applyBorder="1" applyAlignment="1">
      <alignment horizontal="center"/>
    </xf>
    <xf numFmtId="4" fontId="19" fillId="5" borderId="117" xfId="35" applyNumberFormat="1" applyFont="1" applyFill="1" applyBorder="1"/>
    <xf numFmtId="0" fontId="19" fillId="0" borderId="121" xfId="35" applyFont="1" applyBorder="1" applyAlignment="1">
      <alignment horizontal="center"/>
    </xf>
    <xf numFmtId="0" fontId="21" fillId="0" borderId="117" xfId="35" applyFont="1" applyBorder="1" applyAlignment="1">
      <alignment horizontal="center"/>
    </xf>
    <xf numFmtId="0" fontId="33" fillId="0" borderId="118" xfId="35" applyFont="1" applyBorder="1" applyAlignment="1">
      <alignment horizontal="centerContinuous"/>
    </xf>
    <xf numFmtId="0" fontId="22" fillId="0" borderId="156" xfId="35" applyFont="1" applyBorder="1" applyAlignment="1">
      <alignment horizontal="centerContinuous"/>
    </xf>
    <xf numFmtId="0" fontId="19" fillId="0" borderId="128" xfId="35" applyFont="1" applyBorder="1"/>
    <xf numFmtId="0" fontId="19" fillId="0" borderId="124" xfId="35" applyFont="1" applyBorder="1" applyAlignment="1">
      <alignment horizontal="center"/>
    </xf>
    <xf numFmtId="0" fontId="19" fillId="0" borderId="156" xfId="35" applyFont="1" applyBorder="1" applyAlignment="1">
      <alignment horizontal="center"/>
    </xf>
    <xf numFmtId="0" fontId="19" fillId="0" borderId="156" xfId="35" applyFont="1" applyBorder="1"/>
    <xf numFmtId="4" fontId="19" fillId="0" borderId="156" xfId="35" applyNumberFormat="1" applyFont="1" applyBorder="1"/>
    <xf numFmtId="0" fontId="19" fillId="0" borderId="156" xfId="35" applyFont="1" applyBorder="1" applyAlignment="1">
      <alignment horizontal="centerContinuous"/>
    </xf>
    <xf numFmtId="0" fontId="19" fillId="0" borderId="155" xfId="35" applyFont="1" applyBorder="1" applyAlignment="1">
      <alignment horizontal="center"/>
    </xf>
    <xf numFmtId="0" fontId="19" fillId="0" borderId="118" xfId="35" applyFont="1" applyBorder="1" applyAlignment="1">
      <alignment horizontal="center"/>
    </xf>
    <xf numFmtId="0" fontId="33" fillId="0" borderId="155" xfId="35" applyFont="1" applyBorder="1" applyAlignment="1">
      <alignment horizontal="center"/>
    </xf>
    <xf numFmtId="0" fontId="21" fillId="0" borderId="118" xfId="35" applyFont="1" applyBorder="1" applyAlignment="1">
      <alignment horizontal="center"/>
    </xf>
    <xf numFmtId="43" fontId="80" fillId="0" borderId="0" xfId="61" applyFont="1" applyAlignment="1">
      <alignment vertical="top"/>
    </xf>
    <xf numFmtId="0" fontId="91" fillId="0" borderId="0" xfId="58" applyFont="1" applyAlignment="1">
      <alignment horizontal="center" vertical="top"/>
    </xf>
    <xf numFmtId="0" fontId="21" fillId="0" borderId="0" xfId="58" applyFont="1" applyAlignment="1">
      <alignment vertical="top" wrapText="1"/>
    </xf>
    <xf numFmtId="0" fontId="19" fillId="0" borderId="0" xfId="58" applyFont="1" applyAlignment="1">
      <alignment vertical="top" wrapText="1"/>
    </xf>
    <xf numFmtId="43" fontId="80" fillId="0" borderId="0" xfId="61" applyFont="1" applyAlignment="1">
      <alignment vertical="top" wrapText="1"/>
    </xf>
    <xf numFmtId="0" fontId="32" fillId="0" borderId="0" xfId="58" applyFont="1" applyAlignment="1">
      <alignment vertical="top"/>
    </xf>
    <xf numFmtId="43" fontId="85" fillId="0" borderId="0" xfId="61" applyFont="1" applyAlignment="1">
      <alignment vertical="top"/>
    </xf>
    <xf numFmtId="43" fontId="31" fillId="0" borderId="0" xfId="7" applyFont="1" applyProtection="1">
      <protection locked="0"/>
    </xf>
    <xf numFmtId="0" fontId="31" fillId="0" borderId="0" xfId="58" applyFont="1" applyAlignment="1">
      <alignment vertical="top"/>
    </xf>
    <xf numFmtId="0" fontId="21" fillId="0" borderId="0" xfId="58" applyFont="1" applyAlignment="1">
      <alignment horizontal="center" vertical="top" wrapText="1"/>
    </xf>
    <xf numFmtId="168" fontId="21" fillId="0" borderId="0" xfId="58" applyNumberFormat="1" applyFont="1" applyAlignment="1">
      <alignment horizontal="center" vertical="top" wrapText="1"/>
    </xf>
    <xf numFmtId="0" fontId="95" fillId="5" borderId="0" xfId="48" applyFont="1" applyFill="1" applyAlignment="1">
      <alignment vertical="top"/>
    </xf>
    <xf numFmtId="0" fontId="46" fillId="5" borderId="0" xfId="48" applyFont="1" applyFill="1" applyAlignment="1">
      <alignment vertical="top"/>
    </xf>
    <xf numFmtId="0" fontId="46" fillId="5" borderId="0" xfId="48" applyFont="1" applyFill="1" applyAlignment="1">
      <alignment horizontal="center" vertical="top"/>
    </xf>
    <xf numFmtId="49" fontId="46" fillId="5" borderId="68" xfId="48" applyNumberFormat="1" applyFont="1" applyFill="1" applyBorder="1" applyAlignment="1">
      <alignment vertical="top"/>
    </xf>
    <xf numFmtId="49" fontId="46" fillId="5" borderId="68" xfId="48" applyNumberFormat="1" applyFont="1" applyFill="1" applyBorder="1" applyAlignment="1">
      <alignment horizontal="center" vertical="top"/>
    </xf>
    <xf numFmtId="0" fontId="41" fillId="5" borderId="68" xfId="48" applyFont="1" applyFill="1" applyBorder="1" applyAlignment="1">
      <alignment vertical="top"/>
    </xf>
    <xf numFmtId="0" fontId="46" fillId="5" borderId="0" xfId="48" applyFont="1" applyFill="1" applyBorder="1" applyAlignment="1">
      <alignment horizontal="left" vertical="top"/>
    </xf>
    <xf numFmtId="0" fontId="46" fillId="5" borderId="0" xfId="48" applyFont="1" applyFill="1" applyBorder="1" applyAlignment="1">
      <alignment horizontal="center" vertical="top"/>
    </xf>
    <xf numFmtId="0" fontId="46" fillId="5" borderId="0" xfId="48" applyFont="1" applyFill="1" applyAlignment="1">
      <alignment horizontal="left" vertical="top"/>
    </xf>
    <xf numFmtId="0" fontId="46" fillId="5" borderId="68" xfId="48" applyFont="1" applyFill="1" applyBorder="1" applyAlignment="1">
      <alignment horizontal="left" vertical="top"/>
    </xf>
    <xf numFmtId="0" fontId="71" fillId="0" borderId="0" xfId="0" applyFont="1" applyAlignment="1">
      <alignment horizontal="justify" vertical="top"/>
    </xf>
    <xf numFmtId="0" fontId="72" fillId="0" borderId="0" xfId="0" applyFont="1" applyAlignment="1">
      <alignment horizontal="justify"/>
    </xf>
    <xf numFmtId="0" fontId="81" fillId="0" borderId="0" xfId="0" applyFont="1" applyAlignment="1">
      <alignment horizontal="center"/>
    </xf>
    <xf numFmtId="0" fontId="78" fillId="0" borderId="0" xfId="0" applyFont="1"/>
    <xf numFmtId="0" fontId="19" fillId="0" borderId="0" xfId="43" applyAlignment="1">
      <alignment vertical="top"/>
    </xf>
    <xf numFmtId="0" fontId="19" fillId="0" borderId="16" xfId="43" applyBorder="1" applyAlignment="1">
      <alignment vertical="top"/>
    </xf>
    <xf numFmtId="0" fontId="19" fillId="0" borderId="17" xfId="43" applyBorder="1" applyAlignment="1">
      <alignment vertical="top"/>
    </xf>
    <xf numFmtId="0" fontId="19" fillId="0" borderId="173" xfId="43" applyBorder="1" applyAlignment="1">
      <alignment vertical="top"/>
    </xf>
    <xf numFmtId="0" fontId="19" fillId="0" borderId="117" xfId="43" applyBorder="1" applyAlignment="1">
      <alignment vertical="top"/>
    </xf>
    <xf numFmtId="0" fontId="19" fillId="0" borderId="91" xfId="43" applyBorder="1" applyAlignment="1">
      <alignment vertical="top"/>
    </xf>
    <xf numFmtId="0" fontId="19" fillId="0" borderId="171" xfId="43" applyBorder="1" applyAlignment="1">
      <alignment vertical="top"/>
    </xf>
    <xf numFmtId="0" fontId="71" fillId="0" borderId="0" xfId="0" applyFont="1" applyAlignment="1"/>
    <xf numFmtId="0" fontId="93" fillId="0" borderId="0" xfId="0" applyFont="1"/>
    <xf numFmtId="0" fontId="78" fillId="0" borderId="0" xfId="0" applyFont="1" applyAlignment="1">
      <alignment horizontal="center" vertical="top"/>
    </xf>
    <xf numFmtId="0" fontId="32" fillId="0" borderId="0" xfId="43" applyFont="1" applyAlignment="1">
      <alignment horizontal="left" vertical="top"/>
    </xf>
    <xf numFmtId="0" fontId="31" fillId="0" borderId="0" xfId="43" applyFont="1" applyAlignment="1">
      <alignment horizontal="left" vertical="top"/>
    </xf>
    <xf numFmtId="0" fontId="31" fillId="0" borderId="0" xfId="26" applyFont="1" applyAlignment="1">
      <alignment horizontal="left" vertical="top"/>
    </xf>
    <xf numFmtId="0" fontId="32" fillId="0" borderId="0" xfId="26" applyFont="1" applyAlignment="1">
      <alignment horizontal="left" vertical="top"/>
    </xf>
    <xf numFmtId="0" fontId="19" fillId="0" borderId="0" xfId="43" applyFont="1" applyAlignment="1">
      <alignment horizontal="left" vertical="top"/>
    </xf>
    <xf numFmtId="0" fontId="21" fillId="0" borderId="0" xfId="43" applyFont="1" applyAlignment="1">
      <alignment horizontal="left" vertical="top"/>
    </xf>
    <xf numFmtId="0" fontId="21" fillId="0" borderId="0" xfId="26" applyFont="1" applyAlignment="1">
      <alignment horizontal="left" vertical="top"/>
    </xf>
    <xf numFmtId="0" fontId="19" fillId="0" borderId="0" xfId="26" applyFont="1" applyAlignment="1">
      <alignment horizontal="left" vertical="top"/>
    </xf>
    <xf numFmtId="0" fontId="19" fillId="0" borderId="3" xfId="26" applyFont="1" applyBorder="1" applyAlignment="1">
      <alignment horizontal="left" vertical="top" wrapText="1"/>
    </xf>
    <xf numFmtId="0" fontId="21" fillId="0" borderId="5" xfId="26" applyFont="1" applyBorder="1" applyAlignment="1">
      <alignment horizontal="left" vertical="top" wrapText="1" shrinkToFit="1"/>
    </xf>
    <xf numFmtId="0" fontId="19" fillId="0" borderId="5" xfId="26" applyFont="1" applyBorder="1" applyAlignment="1">
      <alignment horizontal="left" vertical="top" wrapText="1"/>
    </xf>
    <xf numFmtId="0" fontId="21" fillId="0" borderId="121" xfId="26" applyFont="1" applyBorder="1" applyAlignment="1">
      <alignment horizontal="left" vertical="top" wrapText="1" shrinkToFit="1"/>
    </xf>
    <xf numFmtId="0" fontId="19" fillId="0" borderId="121" xfId="26" applyFont="1" applyBorder="1" applyAlignment="1">
      <alignment horizontal="left" vertical="top" wrapText="1"/>
    </xf>
    <xf numFmtId="0" fontId="21" fillId="0" borderId="122" xfId="26" applyFont="1" applyBorder="1" applyAlignment="1">
      <alignment horizontal="left" vertical="top" wrapText="1" shrinkToFit="1"/>
    </xf>
    <xf numFmtId="0" fontId="19" fillId="0" borderId="122" xfId="26" applyFont="1" applyBorder="1" applyAlignment="1">
      <alignment horizontal="left" vertical="top" wrapText="1"/>
    </xf>
    <xf numFmtId="0" fontId="21" fillId="0" borderId="120" xfId="26" applyFont="1" applyBorder="1" applyAlignment="1">
      <alignment horizontal="left" vertical="top" wrapText="1" shrinkToFit="1"/>
    </xf>
    <xf numFmtId="0" fontId="19" fillId="0" borderId="120" xfId="26" applyFont="1" applyBorder="1" applyAlignment="1">
      <alignment horizontal="left" vertical="top" wrapText="1"/>
    </xf>
    <xf numFmtId="0" fontId="19" fillId="0" borderId="0" xfId="21" applyNumberFormat="1" applyFont="1"/>
    <xf numFmtId="0" fontId="32" fillId="0" borderId="0" xfId="83" applyFont="1" applyAlignment="1">
      <alignment vertical="top"/>
    </xf>
    <xf numFmtId="43" fontId="85" fillId="0" borderId="0" xfId="7" applyFont="1" applyAlignment="1">
      <alignment vertical="top"/>
    </xf>
    <xf numFmtId="0" fontId="31" fillId="0" borderId="0" xfId="83" applyFont="1" applyAlignment="1">
      <alignment vertical="top"/>
    </xf>
    <xf numFmtId="43" fontId="31" fillId="0" borderId="0" xfId="7" applyFont="1" applyAlignment="1">
      <alignment vertical="top"/>
    </xf>
    <xf numFmtId="43" fontId="80" fillId="0" borderId="0" xfId="7" applyFont="1" applyAlignment="1">
      <alignment vertical="top"/>
    </xf>
    <xf numFmtId="0" fontId="21" fillId="0" borderId="120" xfId="83" applyFont="1" applyBorder="1" applyAlignment="1">
      <alignment horizontal="center" vertical="top" wrapText="1"/>
    </xf>
    <xf numFmtId="43" fontId="21" fillId="0" borderId="120" xfId="7" applyFont="1" applyBorder="1" applyAlignment="1">
      <alignment horizontal="center" vertical="top" wrapText="1"/>
    </xf>
    <xf numFmtId="0" fontId="21" fillId="0" borderId="0" xfId="83" applyFont="1" applyAlignment="1">
      <alignment horizontal="center" vertical="top" wrapText="1"/>
    </xf>
    <xf numFmtId="0" fontId="21" fillId="0" borderId="121" xfId="83" applyFont="1" applyBorder="1" applyAlignment="1">
      <alignment horizontal="center" vertical="top"/>
    </xf>
    <xf numFmtId="0" fontId="19" fillId="0" borderId="5" xfId="83" applyFont="1" applyBorder="1" applyAlignment="1">
      <alignment vertical="top" wrapText="1"/>
    </xf>
    <xf numFmtId="43" fontId="80" fillId="0" borderId="5" xfId="7" applyFont="1" applyBorder="1" applyAlignment="1">
      <alignment vertical="top" wrapText="1"/>
    </xf>
    <xf numFmtId="0" fontId="19" fillId="0" borderId="5" xfId="83" applyFont="1" applyBorder="1" applyAlignment="1">
      <alignment horizontal="center" vertical="top" wrapText="1"/>
    </xf>
    <xf numFmtId="0" fontId="21" fillId="0" borderId="122" xfId="83" applyFont="1" applyBorder="1" applyAlignment="1">
      <alignment vertical="top" wrapText="1"/>
    </xf>
    <xf numFmtId="0" fontId="21" fillId="0" borderId="122" xfId="83" applyFont="1" applyBorder="1" applyAlignment="1">
      <alignment horizontal="center" vertical="top" wrapText="1"/>
    </xf>
    <xf numFmtId="43" fontId="21" fillId="0" borderId="122" xfId="7" applyFont="1" applyBorder="1" applyAlignment="1">
      <alignment vertical="top" wrapText="1"/>
    </xf>
    <xf numFmtId="43" fontId="80" fillId="0" borderId="0" xfId="7" applyFont="1" applyAlignment="1">
      <alignment vertical="top" wrapText="1"/>
    </xf>
    <xf numFmtId="0" fontId="19" fillId="0" borderId="0" xfId="83" applyFont="1" applyAlignment="1">
      <alignment horizontal="center" vertical="top" wrapText="1"/>
    </xf>
    <xf numFmtId="0" fontId="32" fillId="0" borderId="0" xfId="83" applyFont="1" applyAlignment="1">
      <alignment horizontal="center" vertical="top"/>
    </xf>
    <xf numFmtId="0" fontId="31" fillId="0" borderId="0" xfId="83" applyFont="1" applyAlignment="1">
      <alignment horizontal="center" vertical="top"/>
    </xf>
    <xf numFmtId="43" fontId="31" fillId="0" borderId="0" xfId="7" applyFont="1" applyAlignment="1">
      <alignment horizontal="justify" vertical="top"/>
    </xf>
    <xf numFmtId="0" fontId="31" fillId="0" borderId="0" xfId="83" applyFont="1" applyAlignment="1">
      <alignment horizontal="justify" vertical="top"/>
    </xf>
    <xf numFmtId="0" fontId="19" fillId="0" borderId="0" xfId="83" applyFont="1" applyAlignment="1">
      <alignment horizontal="center" vertical="top"/>
    </xf>
    <xf numFmtId="0" fontId="21" fillId="0" borderId="121" xfId="83" applyFont="1" applyBorder="1" applyAlignment="1">
      <alignment vertical="top"/>
    </xf>
    <xf numFmtId="43" fontId="21" fillId="0" borderId="121" xfId="7" applyFont="1" applyBorder="1" applyAlignment="1">
      <alignment vertical="top"/>
    </xf>
    <xf numFmtId="0" fontId="22" fillId="0" borderId="156" xfId="35" applyFont="1" applyBorder="1" applyAlignment="1">
      <alignment horizontal="center"/>
    </xf>
    <xf numFmtId="0" fontId="33" fillId="0" borderId="91" xfId="35" applyFont="1" applyBorder="1" applyAlignment="1">
      <alignment horizontal="center"/>
    </xf>
    <xf numFmtId="0" fontId="33" fillId="0" borderId="21" xfId="35" applyFont="1" applyBorder="1" applyAlignment="1">
      <alignment horizontal="center"/>
    </xf>
    <xf numFmtId="0" fontId="21" fillId="0" borderId="3" xfId="35" applyFont="1" applyBorder="1" applyAlignment="1">
      <alignment horizontal="center"/>
    </xf>
    <xf numFmtId="0" fontId="21" fillId="0" borderId="5" xfId="35" applyFont="1" applyBorder="1" applyAlignment="1">
      <alignment horizontal="center"/>
    </xf>
    <xf numFmtId="0" fontId="19" fillId="0" borderId="21" xfId="35" applyFont="1" applyBorder="1" applyAlignment="1">
      <alignment horizontal="center"/>
    </xf>
    <xf numFmtId="4" fontId="21" fillId="0" borderId="123" xfId="30" applyNumberFormat="1" applyFont="1" applyBorder="1" applyProtection="1">
      <protection locked="0"/>
    </xf>
    <xf numFmtId="0" fontId="19" fillId="0" borderId="0" xfId="30" applyFont="1" applyAlignment="1">
      <alignment vertical="center"/>
    </xf>
    <xf numFmtId="0" fontId="18" fillId="0" borderId="0" xfId="30" applyAlignment="1">
      <alignment vertical="center"/>
    </xf>
    <xf numFmtId="0" fontId="19" fillId="0" borderId="129" xfId="30" applyFont="1" applyBorder="1" applyProtection="1">
      <protection locked="0"/>
    </xf>
    <xf numFmtId="0" fontId="21" fillId="0" borderId="125" xfId="30" applyFont="1" applyBorder="1" applyProtection="1">
      <protection locked="0"/>
    </xf>
    <xf numFmtId="0" fontId="19" fillId="0" borderId="122" xfId="30" applyFont="1" applyBorder="1" applyAlignment="1" applyProtection="1">
      <alignment horizontal="right"/>
      <protection locked="0"/>
    </xf>
    <xf numFmtId="0" fontId="19" fillId="0" borderId="0" xfId="2" applyFont="1" applyBorder="1" applyAlignment="1" applyProtection="1">
      <alignment vertical="top"/>
      <protection locked="0"/>
    </xf>
    <xf numFmtId="0" fontId="19" fillId="0" borderId="0" xfId="2" applyFont="1" applyAlignment="1">
      <alignment vertical="top"/>
    </xf>
    <xf numFmtId="0" fontId="22" fillId="0" borderId="128" xfId="35" applyFont="1" applyBorder="1"/>
    <xf numFmtId="0" fontId="22" fillId="0" borderId="155" xfId="35" applyFont="1" applyBorder="1"/>
    <xf numFmtId="0" fontId="19" fillId="0" borderId="122" xfId="35" applyFont="1" applyBorder="1" applyAlignment="1">
      <alignment horizontal="center"/>
    </xf>
    <xf numFmtId="4" fontId="21" fillId="0" borderId="122" xfId="35" applyNumberFormat="1" applyFont="1" applyBorder="1" applyAlignment="1">
      <alignment vertical="center"/>
    </xf>
    <xf numFmtId="49" fontId="19" fillId="0" borderId="122" xfId="35" applyNumberFormat="1" applyFont="1" applyBorder="1" applyAlignment="1">
      <alignment horizontal="center"/>
    </xf>
    <xf numFmtId="49" fontId="19" fillId="0" borderId="156" xfId="35" applyNumberFormat="1" applyFont="1" applyBorder="1" applyAlignment="1">
      <alignment horizontal="center"/>
    </xf>
    <xf numFmtId="0" fontId="19" fillId="0" borderId="120" xfId="35" applyFont="1" applyBorder="1" applyAlignment="1">
      <alignment horizontal="center"/>
    </xf>
    <xf numFmtId="0" fontId="21" fillId="0" borderId="121" xfId="35" applyFont="1" applyBorder="1" applyAlignment="1">
      <alignment horizontal="center"/>
    </xf>
    <xf numFmtId="49" fontId="19" fillId="0" borderId="122" xfId="35" applyNumberFormat="1" applyFont="1" applyBorder="1" applyAlignment="1">
      <alignment vertical="center"/>
    </xf>
    <xf numFmtId="0" fontId="78" fillId="0" borderId="0" xfId="0" applyFont="1" applyAlignment="1">
      <alignment horizontal="left" vertical="top"/>
    </xf>
    <xf numFmtId="0" fontId="81" fillId="0" borderId="0" xfId="0" applyFont="1" applyAlignment="1">
      <alignment horizontal="left" vertical="top"/>
    </xf>
    <xf numFmtId="0" fontId="81" fillId="0" borderId="0" xfId="0" applyFont="1" applyAlignment="1">
      <alignment horizontal="center" vertical="top"/>
    </xf>
    <xf numFmtId="0" fontId="67" fillId="0" borderId="0" xfId="0" applyFont="1" applyAlignment="1">
      <alignment horizontal="center" vertical="top"/>
    </xf>
    <xf numFmtId="43" fontId="19" fillId="0" borderId="0" xfId="1" applyFont="1" applyAlignment="1">
      <alignment vertical="top"/>
    </xf>
    <xf numFmtId="43" fontId="19" fillId="0" borderId="16" xfId="1" applyFont="1" applyBorder="1" applyAlignment="1">
      <alignment vertical="top"/>
    </xf>
    <xf numFmtId="43" fontId="19" fillId="0" borderId="117" xfId="1" applyFont="1" applyBorder="1" applyAlignment="1">
      <alignment vertical="top"/>
    </xf>
    <xf numFmtId="0" fontId="19" fillId="0" borderId="0" xfId="43" applyAlignment="1">
      <alignment horizontal="center" vertical="top"/>
    </xf>
    <xf numFmtId="0" fontId="19" fillId="0" borderId="172" xfId="43" applyBorder="1" applyAlignment="1">
      <alignment horizontal="center" vertical="top"/>
    </xf>
    <xf numFmtId="0" fontId="19" fillId="0" borderId="170" xfId="43" applyBorder="1" applyAlignment="1">
      <alignment horizontal="center" vertical="top"/>
    </xf>
    <xf numFmtId="0" fontId="19" fillId="0" borderId="0" xfId="43" applyBorder="1" applyAlignment="1">
      <alignment horizontal="left" vertical="top"/>
    </xf>
    <xf numFmtId="43" fontId="19" fillId="0" borderId="0" xfId="1" applyFont="1" applyAlignment="1">
      <alignment horizontal="left" vertical="top"/>
    </xf>
    <xf numFmtId="0" fontId="19" fillId="0" borderId="0" xfId="43" applyAlignment="1">
      <alignment horizontal="left" vertical="top"/>
    </xf>
    <xf numFmtId="0" fontId="98" fillId="0" borderId="0" xfId="43" applyFont="1" applyAlignment="1">
      <alignment horizontal="left" vertical="top"/>
    </xf>
    <xf numFmtId="1" fontId="41" fillId="0" borderId="0" xfId="5" applyNumberFormat="1" applyFont="1" applyBorder="1" applyAlignment="1" applyProtection="1">
      <alignment horizontal="center"/>
    </xf>
    <xf numFmtId="0" fontId="19" fillId="0" borderId="0" xfId="87" applyFont="1"/>
    <xf numFmtId="0" fontId="19" fillId="0" borderId="0" xfId="87"/>
    <xf numFmtId="0" fontId="53" fillId="0" borderId="0" xfId="87" applyFont="1" applyAlignment="1">
      <alignment horizontal="center"/>
    </xf>
    <xf numFmtId="0" fontId="19" fillId="0" borderId="122" xfId="87" applyBorder="1"/>
    <xf numFmtId="178" fontId="21" fillId="0" borderId="122" xfId="87" applyNumberFormat="1" applyFont="1" applyBorder="1"/>
    <xf numFmtId="4" fontId="21" fillId="0" borderId="122" xfId="87" applyNumberFormat="1" applyFont="1" applyBorder="1"/>
    <xf numFmtId="0" fontId="19" fillId="0" borderId="122" xfId="87" applyBorder="1" applyAlignment="1">
      <alignment wrapText="1"/>
    </xf>
    <xf numFmtId="0" fontId="19" fillId="0" borderId="122" xfId="87" applyFont="1" applyBorder="1" applyAlignment="1">
      <alignment wrapText="1"/>
    </xf>
    <xf numFmtId="0" fontId="19" fillId="0" borderId="122" xfId="87" applyBorder="1" applyAlignment="1">
      <alignment horizontal="right"/>
    </xf>
    <xf numFmtId="0" fontId="21" fillId="0" borderId="122" xfId="87" applyFont="1" applyBorder="1" applyAlignment="1">
      <alignment horizontal="center" vertical="center" wrapText="1"/>
    </xf>
    <xf numFmtId="0" fontId="21" fillId="0" borderId="118" xfId="87" applyFont="1" applyBorder="1" applyAlignment="1">
      <alignment horizontal="center" vertical="center" wrapText="1"/>
    </xf>
    <xf numFmtId="4" fontId="21" fillId="0" borderId="122" xfId="87" applyNumberFormat="1" applyFont="1" applyBorder="1" applyAlignment="1">
      <alignment horizontal="center" vertical="center"/>
    </xf>
    <xf numFmtId="4" fontId="21" fillId="0" borderId="118" xfId="87" applyNumberFormat="1" applyFont="1" applyBorder="1" applyAlignment="1">
      <alignment horizontal="center" vertical="center"/>
    </xf>
    <xf numFmtId="0" fontId="22" fillId="0" borderId="122" xfId="87" applyFont="1" applyBorder="1"/>
    <xf numFmtId="178" fontId="33" fillId="0" borderId="122" xfId="87" applyNumberFormat="1" applyFont="1" applyBorder="1"/>
    <xf numFmtId="4" fontId="33" fillId="0" borderId="122" xfId="87" applyNumberFormat="1" applyFont="1" applyBorder="1"/>
    <xf numFmtId="0" fontId="22" fillId="0" borderId="122" xfId="87" applyFont="1" applyBorder="1" applyAlignment="1">
      <alignment wrapText="1"/>
    </xf>
    <xf numFmtId="0" fontId="22" fillId="0" borderId="122" xfId="87" applyFont="1" applyBorder="1" applyAlignment="1">
      <alignment horizontal="right"/>
    </xf>
    <xf numFmtId="178" fontId="19" fillId="0" borderId="0" xfId="87" applyNumberFormat="1"/>
    <xf numFmtId="0" fontId="22" fillId="0" borderId="0" xfId="87" applyFont="1"/>
    <xf numFmtId="4" fontId="19" fillId="0" borderId="0" xfId="87" applyNumberFormat="1"/>
    <xf numFmtId="0" fontId="112" fillId="0" borderId="0" xfId="0" applyFont="1"/>
    <xf numFmtId="0" fontId="112" fillId="0" borderId="0" xfId="0" applyFont="1" applyAlignment="1">
      <alignment horizontal="center" vertical="top" wrapText="1"/>
    </xf>
    <xf numFmtId="43" fontId="112" fillId="0" borderId="0" xfId="1" applyFont="1"/>
    <xf numFmtId="0" fontId="112" fillId="0" borderId="104" xfId="0" applyFont="1" applyBorder="1" applyAlignment="1">
      <alignment horizontal="center" vertical="top" wrapText="1"/>
    </xf>
    <xf numFmtId="0" fontId="112" fillId="0" borderId="186" xfId="0" applyFont="1" applyBorder="1" applyAlignment="1">
      <alignment horizontal="center" vertical="top" wrapText="1"/>
    </xf>
    <xf numFmtId="0" fontId="74" fillId="0" borderId="186" xfId="0" applyFont="1" applyBorder="1"/>
    <xf numFmtId="0" fontId="112" fillId="0" borderId="66" xfId="0" applyFont="1" applyBorder="1" applyAlignment="1">
      <alignment horizontal="center" vertical="top" wrapText="1"/>
    </xf>
    <xf numFmtId="0" fontId="112" fillId="0" borderId="68" xfId="0" applyFont="1" applyBorder="1" applyAlignment="1">
      <alignment horizontal="center" vertical="top" wrapText="1"/>
    </xf>
    <xf numFmtId="43" fontId="74" fillId="0" borderId="68" xfId="1" applyFont="1" applyBorder="1"/>
    <xf numFmtId="0" fontId="112" fillId="0" borderId="19" xfId="0" applyFont="1" applyBorder="1" applyAlignment="1">
      <alignment horizontal="center" vertical="top" wrapText="1"/>
    </xf>
    <xf numFmtId="0" fontId="112" fillId="0" borderId="22" xfId="0" applyFont="1" applyBorder="1" applyAlignment="1">
      <alignment horizontal="center" vertical="top" wrapText="1"/>
    </xf>
    <xf numFmtId="0" fontId="74" fillId="0" borderId="22" xfId="0" applyFont="1" applyBorder="1"/>
    <xf numFmtId="0" fontId="113" fillId="0" borderId="22" xfId="0" applyFont="1" applyBorder="1"/>
    <xf numFmtId="0" fontId="112" fillId="0" borderId="108" xfId="0" applyFont="1" applyBorder="1"/>
    <xf numFmtId="0" fontId="114" fillId="0" borderId="39" xfId="0" applyFont="1" applyBorder="1"/>
    <xf numFmtId="43" fontId="112" fillId="0" borderId="41" xfId="1" applyFont="1" applyBorder="1"/>
    <xf numFmtId="0" fontId="74" fillId="0" borderId="0" xfId="0" applyFont="1" applyBorder="1"/>
    <xf numFmtId="0" fontId="112" fillId="0" borderId="20" xfId="0" applyFont="1" applyBorder="1" applyAlignment="1">
      <alignment horizontal="center" vertical="top" wrapText="1"/>
    </xf>
    <xf numFmtId="0" fontId="112" fillId="0" borderId="0" xfId="0" applyFont="1" applyBorder="1" applyAlignment="1">
      <alignment horizontal="center" vertical="top" wrapText="1"/>
    </xf>
    <xf numFmtId="43" fontId="74" fillId="0" borderId="0" xfId="1" applyFont="1" applyBorder="1"/>
    <xf numFmtId="43" fontId="112" fillId="0" borderId="68" xfId="1" applyFont="1" applyBorder="1"/>
    <xf numFmtId="0" fontId="112" fillId="0" borderId="0" xfId="0" applyFont="1" applyBorder="1"/>
    <xf numFmtId="0" fontId="0" fillId="0" borderId="0" xfId="0" applyAlignment="1">
      <alignment vertical="center"/>
    </xf>
    <xf numFmtId="0" fontId="111" fillId="0" borderId="122" xfId="87" applyFont="1" applyBorder="1"/>
    <xf numFmtId="0" fontId="115" fillId="0" borderId="122" xfId="87" applyFont="1" applyBorder="1" applyAlignment="1">
      <alignment horizontal="center"/>
    </xf>
    <xf numFmtId="178" fontId="115" fillId="0" borderId="122" xfId="87" applyNumberFormat="1" applyFont="1" applyBorder="1"/>
    <xf numFmtId="4" fontId="115" fillId="0" borderId="122" xfId="87" applyNumberFormat="1" applyFont="1" applyBorder="1"/>
    <xf numFmtId="0" fontId="111" fillId="0" borderId="122" xfId="87" applyFont="1" applyBorder="1" applyAlignment="1">
      <alignment wrapText="1"/>
    </xf>
    <xf numFmtId="0" fontId="115" fillId="0" borderId="122" xfId="87" applyFont="1" applyBorder="1" applyAlignment="1">
      <alignment horizontal="right" vertical="center"/>
    </xf>
    <xf numFmtId="178" fontId="115" fillId="0" borderId="122" xfId="87" applyNumberFormat="1" applyFont="1" applyBorder="1" applyAlignment="1">
      <alignment vertical="center"/>
    </xf>
    <xf numFmtId="0" fontId="33" fillId="0" borderId="0" xfId="87" applyFont="1" applyAlignment="1">
      <alignment vertical="center"/>
    </xf>
    <xf numFmtId="0" fontId="119" fillId="0" borderId="0" xfId="0" applyFont="1"/>
    <xf numFmtId="0" fontId="19" fillId="0" borderId="0" xfId="24" applyAlignment="1"/>
    <xf numFmtId="43" fontId="18" fillId="0" borderId="0" xfId="9" applyFont="1"/>
    <xf numFmtId="0" fontId="54" fillId="0" borderId="0" xfId="91" applyFont="1"/>
    <xf numFmtId="0" fontId="17" fillId="0" borderId="0" xfId="91"/>
    <xf numFmtId="0" fontId="0" fillId="0" borderId="0" xfId="91" applyFont="1"/>
    <xf numFmtId="0" fontId="25" fillId="0" borderId="0" xfId="91" applyFont="1"/>
    <xf numFmtId="0" fontId="122" fillId="0" borderId="0" xfId="92" applyFont="1"/>
    <xf numFmtId="0" fontId="17" fillId="0" borderId="0" xfId="92"/>
    <xf numFmtId="0" fontId="17" fillId="0" borderId="0" xfId="92" applyAlignment="1">
      <alignment horizontal="right"/>
    </xf>
    <xf numFmtId="0" fontId="123" fillId="0" borderId="0" xfId="92" applyFont="1" applyAlignment="1">
      <alignment horizontal="center"/>
    </xf>
    <xf numFmtId="0" fontId="125" fillId="0" borderId="0" xfId="92" applyFont="1" applyAlignment="1">
      <alignment horizontal="center"/>
    </xf>
    <xf numFmtId="0" fontId="123" fillId="0" borderId="0" xfId="92" applyFont="1"/>
    <xf numFmtId="0" fontId="125" fillId="0" borderId="0" xfId="92" applyFont="1"/>
    <xf numFmtId="0" fontId="124" fillId="0" borderId="0" xfId="92" applyFont="1"/>
    <xf numFmtId="0" fontId="21" fillId="0" borderId="0" xfId="73" applyFont="1"/>
    <xf numFmtId="0" fontId="53" fillId="0" borderId="0" xfId="73" applyFont="1" applyAlignment="1">
      <alignment horizontal="center"/>
    </xf>
    <xf numFmtId="0" fontId="19" fillId="0" borderId="0" xfId="73"/>
    <xf numFmtId="0" fontId="19" fillId="0" borderId="0" xfId="73" applyBorder="1"/>
    <xf numFmtId="43" fontId="27" fillId="0" borderId="108" xfId="5" applyFont="1" applyBorder="1" applyAlignment="1">
      <alignment vertical="top"/>
    </xf>
    <xf numFmtId="49" fontId="46" fillId="5" borderId="197" xfId="48" applyNumberFormat="1" applyFont="1" applyFill="1" applyBorder="1" applyAlignment="1">
      <alignment vertical="top"/>
    </xf>
    <xf numFmtId="0" fontId="72" fillId="0" borderId="203" xfId="33" applyFont="1" applyBorder="1" applyAlignment="1">
      <alignment vertical="top"/>
    </xf>
    <xf numFmtId="0" fontId="72" fillId="0" borderId="200" xfId="33" applyFont="1" applyBorder="1" applyAlignment="1">
      <alignment vertical="top"/>
    </xf>
    <xf numFmtId="0" fontId="72" fillId="0" borderId="157" xfId="33" applyFont="1" applyBorder="1" applyAlignment="1">
      <alignment vertical="top" wrapText="1"/>
    </xf>
    <xf numFmtId="0" fontId="72" fillId="0" borderId="203" xfId="33" applyFont="1" applyBorder="1" applyAlignment="1">
      <alignment vertical="top" wrapText="1"/>
    </xf>
    <xf numFmtId="16" fontId="72" fillId="0" borderId="203" xfId="33" applyNumberFormat="1" applyFont="1" applyBorder="1" applyAlignment="1">
      <alignment horizontal="center" vertical="top"/>
    </xf>
    <xf numFmtId="0" fontId="19" fillId="0" borderId="186" xfId="81" applyFont="1" applyBorder="1" applyAlignment="1">
      <alignment vertical="top" wrapText="1"/>
    </xf>
    <xf numFmtId="43" fontId="19" fillId="0" borderId="186" xfId="7" applyFont="1" applyBorder="1" applyAlignment="1">
      <alignment vertical="top" wrapText="1"/>
    </xf>
    <xf numFmtId="0" fontId="19" fillId="0" borderId="20" xfId="81" applyFont="1" applyBorder="1" applyAlignment="1">
      <alignment vertical="top" wrapText="1"/>
    </xf>
    <xf numFmtId="43" fontId="19" fillId="0" borderId="20" xfId="7" applyFont="1" applyBorder="1" applyAlignment="1">
      <alignment vertical="top" wrapText="1"/>
    </xf>
    <xf numFmtId="0" fontId="19" fillId="0" borderId="20" xfId="81" applyFont="1" applyBorder="1" applyAlignment="1">
      <alignment horizontal="left" vertical="top" wrapText="1"/>
    </xf>
    <xf numFmtId="0" fontId="19" fillId="0" borderId="20" xfId="81" applyFont="1" applyBorder="1" applyAlignment="1">
      <alignment horizontal="center" vertical="top" wrapText="1"/>
    </xf>
    <xf numFmtId="0" fontId="128" fillId="0" borderId="0" xfId="91" applyFont="1"/>
    <xf numFmtId="0" fontId="41" fillId="0" borderId="2" xfId="74" applyFont="1" applyFill="1" applyBorder="1" applyAlignment="1">
      <alignment horizontal="left"/>
    </xf>
    <xf numFmtId="0" fontId="19" fillId="0" borderId="5" xfId="35" applyFont="1" applyBorder="1" applyAlignment="1">
      <alignment horizontal="center"/>
    </xf>
    <xf numFmtId="0" fontId="132" fillId="0" borderId="0" xfId="0" applyFont="1"/>
    <xf numFmtId="4" fontId="132" fillId="0" borderId="0" xfId="0" applyNumberFormat="1" applyFont="1"/>
    <xf numFmtId="43" fontId="132" fillId="0" borderId="0" xfId="0" applyNumberFormat="1" applyFont="1"/>
    <xf numFmtId="4" fontId="133" fillId="0" borderId="0" xfId="0" applyNumberFormat="1" applyFont="1"/>
    <xf numFmtId="0" fontId="134" fillId="0" borderId="0" xfId="0" applyFont="1" applyAlignment="1">
      <alignment horizontal="center"/>
    </xf>
    <xf numFmtId="4" fontId="134" fillId="0" borderId="0" xfId="0" applyNumberFormat="1" applyFont="1" applyAlignment="1">
      <alignment horizontal="right"/>
    </xf>
    <xf numFmtId="0" fontId="134" fillId="0" borderId="0" xfId="0" applyFont="1"/>
    <xf numFmtId="0" fontId="135" fillId="0" borderId="0" xfId="0" applyFont="1" applyAlignment="1">
      <alignment horizontal="center"/>
    </xf>
    <xf numFmtId="0" fontId="19" fillId="0" borderId="212" xfId="2" applyFont="1" applyBorder="1" applyAlignment="1" applyProtection="1">
      <alignment horizontal="right"/>
      <protection locked="0"/>
    </xf>
    <xf numFmtId="4" fontId="19" fillId="0" borderId="199" xfId="2" applyNumberFormat="1" applyFont="1" applyBorder="1" applyProtection="1">
      <protection locked="0"/>
    </xf>
    <xf numFmtId="43" fontId="21" fillId="0" borderId="11" xfId="2" applyNumberFormat="1" applyFont="1" applyBorder="1" applyProtection="1">
      <protection locked="0"/>
    </xf>
    <xf numFmtId="43" fontId="19" fillId="0" borderId="4" xfId="30" applyNumberFormat="1" applyFont="1" applyBorder="1" applyAlignment="1" applyProtection="1">
      <alignment horizontal="right"/>
      <protection locked="0"/>
    </xf>
    <xf numFmtId="0" fontId="21" fillId="0" borderId="5" xfId="35" applyFont="1" applyBorder="1" applyAlignment="1">
      <alignment horizontal="center"/>
    </xf>
    <xf numFmtId="0" fontId="19" fillId="0" borderId="5" xfId="35" applyFont="1" applyBorder="1" applyAlignment="1">
      <alignment horizontal="center"/>
    </xf>
    <xf numFmtId="0" fontId="18" fillId="0" borderId="0" xfId="30" applyFont="1"/>
    <xf numFmtId="0" fontId="71" fillId="0" borderId="0" xfId="0" applyFont="1" applyBorder="1" applyAlignment="1">
      <alignment vertical="top" wrapText="1"/>
    </xf>
    <xf numFmtId="0" fontId="81" fillId="0" borderId="0" xfId="0" applyFont="1" applyAlignment="1"/>
    <xf numFmtId="0" fontId="0" fillId="0" borderId="201" xfId="0" applyBorder="1" applyAlignment="1">
      <alignment vertical="center"/>
    </xf>
    <xf numFmtId="0" fontId="0" fillId="0" borderId="207" xfId="0" applyBorder="1" applyAlignment="1">
      <alignment vertical="center"/>
    </xf>
    <xf numFmtId="0" fontId="62" fillId="0" borderId="0" xfId="0" applyFont="1" applyAlignment="1">
      <alignment vertical="center"/>
    </xf>
    <xf numFmtId="0" fontId="62" fillId="0" borderId="0" xfId="0" applyFont="1" applyAlignment="1">
      <alignment horizontal="center" vertical="center"/>
    </xf>
    <xf numFmtId="0" fontId="62" fillId="0" borderId="201" xfId="0" applyFont="1" applyBorder="1" applyAlignment="1">
      <alignment vertical="center"/>
    </xf>
    <xf numFmtId="43" fontId="62" fillId="0" borderId="0" xfId="1" applyFont="1" applyAlignment="1">
      <alignment vertical="center"/>
    </xf>
    <xf numFmtId="43" fontId="62" fillId="0" borderId="224" xfId="1" applyFont="1" applyBorder="1" applyAlignment="1">
      <alignment horizontal="center" vertical="center"/>
    </xf>
    <xf numFmtId="43" fontId="62" fillId="0" borderId="201" xfId="1" applyFont="1" applyBorder="1" applyAlignment="1">
      <alignment vertical="center"/>
    </xf>
    <xf numFmtId="43" fontId="0" fillId="0" borderId="201" xfId="1" applyFont="1" applyBorder="1" applyAlignment="1">
      <alignment vertical="center"/>
    </xf>
    <xf numFmtId="43" fontId="0" fillId="0" borderId="207" xfId="1" applyFont="1" applyBorder="1" applyAlignment="1">
      <alignment vertical="center"/>
    </xf>
    <xf numFmtId="43" fontId="0" fillId="0" borderId="0" xfId="1" applyFont="1" applyAlignment="1">
      <alignment vertical="center"/>
    </xf>
    <xf numFmtId="0" fontId="0" fillId="0" borderId="201" xfId="0" applyBorder="1" applyAlignment="1">
      <alignment horizontal="center" vertical="center"/>
    </xf>
    <xf numFmtId="0" fontId="62" fillId="0" borderId="224" xfId="0" applyFont="1" applyBorder="1" applyAlignment="1">
      <alignment vertical="center"/>
    </xf>
    <xf numFmtId="43" fontId="62" fillId="0" borderId="224" xfId="1" applyFont="1" applyBorder="1" applyAlignment="1">
      <alignment vertical="center"/>
    </xf>
    <xf numFmtId="0" fontId="19" fillId="0" borderId="111" xfId="21" applyFont="1" applyBorder="1" applyAlignment="1">
      <alignment horizontal="center" vertical="center"/>
    </xf>
    <xf numFmtId="0" fontId="18" fillId="0" borderId="0" xfId="2" applyFont="1" applyProtection="1">
      <protection locked="0"/>
    </xf>
    <xf numFmtId="0" fontId="19" fillId="0" borderId="0" xfId="43" applyFont="1" applyAlignment="1">
      <alignment horizontal="left" vertical="top" wrapText="1"/>
    </xf>
    <xf numFmtId="0" fontId="71" fillId="0" borderId="0" xfId="0" applyFont="1" applyAlignment="1">
      <alignment vertical="top" wrapText="1"/>
    </xf>
    <xf numFmtId="0" fontId="21" fillId="0" borderId="0" xfId="43" applyFont="1" applyAlignment="1">
      <alignment horizontal="left" vertical="top" wrapText="1"/>
    </xf>
    <xf numFmtId="0" fontId="19" fillId="0" borderId="226" xfId="43" applyFont="1" applyBorder="1" applyAlignment="1">
      <alignment horizontal="left" vertical="top" wrapText="1"/>
    </xf>
    <xf numFmtId="0" fontId="19" fillId="0" borderId="227" xfId="43" applyFont="1" applyBorder="1" applyAlignment="1">
      <alignment horizontal="left" vertical="top" wrapText="1"/>
    </xf>
    <xf numFmtId="0" fontId="32" fillId="0" borderId="0" xfId="26" applyFont="1" applyAlignment="1">
      <alignment horizontal="justify" vertical="top"/>
    </xf>
    <xf numFmtId="0" fontId="32" fillId="0" borderId="0" xfId="43" applyFont="1" applyAlignment="1">
      <alignment horizontal="justify" vertical="top"/>
    </xf>
    <xf numFmtId="0" fontId="31" fillId="0" borderId="0" xfId="43" applyFont="1" applyAlignment="1">
      <alignment horizontal="justify" vertical="top"/>
    </xf>
    <xf numFmtId="43" fontId="31" fillId="0" borderId="0" xfId="18" applyFont="1" applyAlignment="1">
      <alignment horizontal="justify" vertical="top"/>
    </xf>
    <xf numFmtId="0" fontId="19" fillId="0" borderId="0" xfId="43" applyFont="1" applyAlignment="1">
      <alignment horizontal="justify" vertical="top"/>
    </xf>
    <xf numFmtId="43" fontId="21" fillId="0" borderId="0" xfId="18" applyFont="1" applyAlignment="1">
      <alignment horizontal="justify" vertical="top"/>
    </xf>
    <xf numFmtId="0" fontId="19" fillId="0" borderId="0" xfId="43" applyFont="1" applyBorder="1" applyAlignment="1">
      <alignment horizontal="justify" vertical="top"/>
    </xf>
    <xf numFmtId="0" fontId="19" fillId="0" borderId="0" xfId="43" applyFont="1" applyAlignment="1">
      <alignment horizontal="justify" vertical="top" wrapText="1"/>
    </xf>
    <xf numFmtId="0" fontId="31" fillId="0" borderId="0" xfId="26" applyFont="1" applyAlignment="1">
      <alignment horizontal="justify" vertical="top"/>
    </xf>
    <xf numFmtId="0" fontId="19" fillId="0" borderId="0" xfId="26" applyFont="1" applyAlignment="1">
      <alignment horizontal="justify" vertical="top"/>
    </xf>
    <xf numFmtId="0" fontId="21" fillId="0" borderId="108" xfId="26" applyFont="1" applyBorder="1" applyAlignment="1">
      <alignment horizontal="justify" vertical="top"/>
    </xf>
    <xf numFmtId="43" fontId="21" fillId="0" borderId="3" xfId="18" applyFont="1" applyBorder="1" applyAlignment="1">
      <alignment horizontal="justify" vertical="top" wrapText="1"/>
    </xf>
    <xf numFmtId="0" fontId="19" fillId="0" borderId="3" xfId="26" applyFont="1" applyBorder="1" applyAlignment="1">
      <alignment horizontal="justify" vertical="top" wrapText="1"/>
    </xf>
    <xf numFmtId="0" fontId="19" fillId="0" borderId="28" xfId="26" applyFont="1" applyBorder="1" applyAlignment="1">
      <alignment horizontal="justify" vertical="top" wrapText="1"/>
    </xf>
    <xf numFmtId="43" fontId="21" fillId="0" borderId="5" xfId="18" applyFont="1" applyBorder="1" applyAlignment="1">
      <alignment horizontal="justify" vertical="top" wrapText="1"/>
    </xf>
    <xf numFmtId="0" fontId="19" fillId="0" borderId="5" xfId="26" applyFont="1" applyBorder="1" applyAlignment="1">
      <alignment horizontal="justify" vertical="top" wrapText="1"/>
    </xf>
    <xf numFmtId="0" fontId="21" fillId="0" borderId="5" xfId="26" applyFont="1" applyBorder="1" applyAlignment="1">
      <alignment horizontal="justify" vertical="top" wrapText="1"/>
    </xf>
    <xf numFmtId="0" fontId="21" fillId="0" borderId="29" xfId="26" applyFont="1" applyBorder="1" applyAlignment="1">
      <alignment horizontal="justify" vertical="top" wrapText="1"/>
    </xf>
    <xf numFmtId="43" fontId="21" fillId="0" borderId="121" xfId="18" applyFont="1" applyBorder="1" applyAlignment="1">
      <alignment horizontal="justify" vertical="top" wrapText="1"/>
    </xf>
    <xf numFmtId="0" fontId="19" fillId="0" borderId="121" xfId="26" applyFont="1" applyBorder="1" applyAlignment="1">
      <alignment horizontal="justify" vertical="top" wrapText="1"/>
    </xf>
    <xf numFmtId="0" fontId="21" fillId="0" borderId="121" xfId="26" applyFont="1" applyBorder="1" applyAlignment="1">
      <alignment horizontal="justify" vertical="top" wrapText="1"/>
    </xf>
    <xf numFmtId="0" fontId="21" fillId="0" borderId="32" xfId="26" applyFont="1" applyBorder="1" applyAlignment="1">
      <alignment horizontal="justify" vertical="top" wrapText="1"/>
    </xf>
    <xf numFmtId="43" fontId="21" fillId="0" borderId="122" xfId="18" applyFont="1" applyBorder="1" applyAlignment="1">
      <alignment horizontal="justify" vertical="top" wrapText="1"/>
    </xf>
    <xf numFmtId="0" fontId="19" fillId="0" borderId="122" xfId="26" applyFont="1" applyBorder="1" applyAlignment="1">
      <alignment horizontal="justify" vertical="top" wrapText="1"/>
    </xf>
    <xf numFmtId="0" fontId="19" fillId="0" borderId="26" xfId="26" applyFont="1" applyBorder="1" applyAlignment="1">
      <alignment horizontal="justify" vertical="top" wrapText="1"/>
    </xf>
    <xf numFmtId="43" fontId="21" fillId="0" borderId="120" xfId="18" applyFont="1" applyBorder="1" applyAlignment="1">
      <alignment horizontal="justify" vertical="top" wrapText="1"/>
    </xf>
    <xf numFmtId="0" fontId="19" fillId="0" borderId="120" xfId="26" applyFont="1" applyBorder="1" applyAlignment="1">
      <alignment horizontal="justify" vertical="top" wrapText="1"/>
    </xf>
    <xf numFmtId="0" fontId="19" fillId="0" borderId="203" xfId="26" applyFont="1" applyBorder="1" applyAlignment="1">
      <alignment horizontal="justify" vertical="top" wrapText="1"/>
    </xf>
    <xf numFmtId="0" fontId="19" fillId="0" borderId="206" xfId="26" applyFont="1" applyBorder="1" applyAlignment="1">
      <alignment horizontal="justify" vertical="top" wrapText="1"/>
    </xf>
    <xf numFmtId="0" fontId="21" fillId="0" borderId="201" xfId="26" applyFont="1" applyBorder="1" applyAlignment="1">
      <alignment horizontal="justify" vertical="top" wrapText="1"/>
    </xf>
    <xf numFmtId="0" fontId="21" fillId="0" borderId="205" xfId="26" applyFont="1" applyBorder="1" applyAlignment="1">
      <alignment horizontal="justify" vertical="top" wrapText="1"/>
    </xf>
    <xf numFmtId="0" fontId="19" fillId="0" borderId="226" xfId="43" applyFont="1" applyBorder="1" applyAlignment="1">
      <alignment horizontal="justify" vertical="top" wrapText="1"/>
    </xf>
    <xf numFmtId="43" fontId="21" fillId="0" borderId="226" xfId="18" applyFont="1" applyBorder="1" applyAlignment="1">
      <alignment horizontal="justify" vertical="top" wrapText="1"/>
    </xf>
    <xf numFmtId="0" fontId="19" fillId="0" borderId="226" xfId="43" applyFont="1" applyBorder="1" applyAlignment="1">
      <alignment horizontal="justify" vertical="top"/>
    </xf>
    <xf numFmtId="0" fontId="19" fillId="0" borderId="227" xfId="43" applyFont="1" applyBorder="1" applyAlignment="1">
      <alignment horizontal="justify" vertical="top" wrapText="1"/>
    </xf>
    <xf numFmtId="43" fontId="21" fillId="0" borderId="227" xfId="18" applyFont="1" applyBorder="1" applyAlignment="1">
      <alignment horizontal="justify" vertical="top" wrapText="1"/>
    </xf>
    <xf numFmtId="0" fontId="19" fillId="0" borderId="227" xfId="43" applyFont="1" applyBorder="1" applyAlignment="1">
      <alignment horizontal="justify" vertical="top"/>
    </xf>
    <xf numFmtId="43" fontId="21" fillId="0" borderId="0" xfId="18" applyFont="1" applyAlignment="1">
      <alignment horizontal="justify" vertical="top" wrapText="1"/>
    </xf>
    <xf numFmtId="0" fontId="34" fillId="0" borderId="111" xfId="26" applyFont="1" applyBorder="1" applyAlignment="1">
      <alignment horizontal="justify" vertical="top"/>
    </xf>
    <xf numFmtId="0" fontId="34" fillId="0" borderId="107" xfId="26" applyFont="1" applyBorder="1" applyAlignment="1">
      <alignment horizontal="justify" vertical="top"/>
    </xf>
    <xf numFmtId="0" fontId="21" fillId="0" borderId="92" xfId="26" applyFont="1" applyBorder="1" applyAlignment="1">
      <alignment horizontal="justify" vertical="top"/>
    </xf>
    <xf numFmtId="0" fontId="21" fillId="0" borderId="94" xfId="26" applyFont="1" applyBorder="1" applyAlignment="1">
      <alignment horizontal="justify" vertical="top"/>
    </xf>
    <xf numFmtId="0" fontId="21" fillId="0" borderId="93" xfId="26" applyFont="1" applyBorder="1" applyAlignment="1">
      <alignment horizontal="justify" vertical="top"/>
    </xf>
    <xf numFmtId="0" fontId="21" fillId="0" borderId="95" xfId="26" applyFont="1" applyBorder="1" applyAlignment="1">
      <alignment horizontal="justify" vertical="top"/>
    </xf>
    <xf numFmtId="0" fontId="21" fillId="0" borderId="96" xfId="26" applyFont="1" applyBorder="1" applyAlignment="1">
      <alignment horizontal="justify" vertical="top"/>
    </xf>
    <xf numFmtId="43" fontId="0" fillId="0" borderId="212" xfId="1" applyFont="1" applyBorder="1" applyAlignment="1">
      <alignment vertical="center"/>
    </xf>
    <xf numFmtId="0" fontId="62" fillId="0" borderId="0" xfId="0" applyFont="1" applyAlignment="1">
      <alignment vertical="top"/>
    </xf>
    <xf numFmtId="0" fontId="0" fillId="0" borderId="211" xfId="0" applyBorder="1" applyAlignment="1">
      <alignment vertical="top"/>
    </xf>
    <xf numFmtId="0" fontId="0" fillId="0" borderId="219" xfId="0" applyBorder="1" applyAlignment="1">
      <alignment vertical="top"/>
    </xf>
    <xf numFmtId="3" fontId="0" fillId="0" borderId="211" xfId="0" applyNumberFormat="1" applyBorder="1" applyAlignment="1">
      <alignment horizontal="center" vertical="top"/>
    </xf>
    <xf numFmtId="0" fontId="62" fillId="0" borderId="219" xfId="0" applyFont="1" applyBorder="1" applyAlignment="1">
      <alignment vertical="top"/>
    </xf>
    <xf numFmtId="0" fontId="0" fillId="0" borderId="0" xfId="0" applyAlignment="1">
      <alignment vertical="top"/>
    </xf>
    <xf numFmtId="43" fontId="62" fillId="0" borderId="0" xfId="1" applyFont="1" applyAlignment="1">
      <alignment vertical="top"/>
    </xf>
    <xf numFmtId="43" fontId="62" fillId="0" borderId="201" xfId="1" applyFont="1" applyBorder="1" applyAlignment="1">
      <alignment vertical="top"/>
    </xf>
    <xf numFmtId="43" fontId="0" fillId="0" borderId="201" xfId="1" applyFont="1" applyBorder="1" applyAlignment="1">
      <alignment vertical="top"/>
    </xf>
    <xf numFmtId="43" fontId="0" fillId="0" borderId="207" xfId="1" applyFont="1" applyBorder="1" applyAlignment="1">
      <alignment vertical="top"/>
    </xf>
    <xf numFmtId="43" fontId="0" fillId="0" borderId="223" xfId="1" applyFont="1" applyBorder="1" applyAlignment="1">
      <alignment vertical="top"/>
    </xf>
    <xf numFmtId="43" fontId="0" fillId="0" borderId="212" xfId="1" applyFont="1" applyBorder="1" applyAlignment="1">
      <alignment vertical="top"/>
    </xf>
    <xf numFmtId="43" fontId="62" fillId="0" borderId="224" xfId="1" applyFont="1" applyBorder="1" applyAlignment="1">
      <alignment vertical="top"/>
    </xf>
    <xf numFmtId="43" fontId="0" fillId="0" borderId="0" xfId="1" applyFont="1" applyAlignment="1">
      <alignment vertical="top"/>
    </xf>
    <xf numFmtId="0" fontId="0" fillId="0" borderId="199" xfId="0" applyBorder="1" applyAlignment="1">
      <alignment vertical="top"/>
    </xf>
    <xf numFmtId="0" fontId="0" fillId="0" borderId="214" xfId="0" applyBorder="1" applyAlignment="1">
      <alignment vertical="top"/>
    </xf>
    <xf numFmtId="0" fontId="0" fillId="0" borderId="199" xfId="0" applyBorder="1" applyAlignment="1">
      <alignment horizontal="left" vertical="top"/>
    </xf>
    <xf numFmtId="0" fontId="62" fillId="0" borderId="190" xfId="0" applyFont="1" applyBorder="1" applyAlignment="1">
      <alignment vertical="top"/>
    </xf>
    <xf numFmtId="0" fontId="19" fillId="0" borderId="108" xfId="43" applyFont="1" applyBorder="1" applyAlignment="1">
      <alignment horizontal="justify" vertical="top"/>
    </xf>
    <xf numFmtId="0" fontId="21" fillId="0" borderId="108" xfId="43" applyFont="1" applyBorder="1" applyAlignment="1">
      <alignment horizontal="left" vertical="top" wrapText="1"/>
    </xf>
    <xf numFmtId="43" fontId="21" fillId="0" borderId="108" xfId="18" applyFont="1" applyBorder="1" applyAlignment="1">
      <alignment horizontal="justify" vertical="top" wrapText="1"/>
    </xf>
    <xf numFmtId="0" fontId="19" fillId="0" borderId="108" xfId="43" applyFont="1" applyBorder="1" applyAlignment="1">
      <alignment horizontal="left" vertical="top" wrapText="1"/>
    </xf>
    <xf numFmtId="0" fontId="19" fillId="0" borderId="108" xfId="43" applyFont="1" applyBorder="1" applyAlignment="1">
      <alignment horizontal="justify" vertical="top" wrapText="1"/>
    </xf>
    <xf numFmtId="0" fontId="18" fillId="0" borderId="0" xfId="30" applyFont="1" applyProtection="1">
      <protection locked="0"/>
    </xf>
    <xf numFmtId="43" fontId="71" fillId="0" borderId="0" xfId="1" applyFont="1" applyAlignment="1">
      <alignment vertical="top"/>
    </xf>
    <xf numFmtId="0" fontId="62" fillId="0" borderId="0" xfId="0" applyFont="1" applyAlignment="1">
      <alignment horizontal="center" vertical="top"/>
    </xf>
    <xf numFmtId="0" fontId="62" fillId="0" borderId="199" xfId="0" applyFont="1" applyBorder="1" applyAlignment="1">
      <alignment vertical="top"/>
    </xf>
    <xf numFmtId="0" fontId="78" fillId="0" borderId="0" xfId="0" applyFont="1" applyAlignment="1">
      <alignment horizontal="left" vertical="top"/>
    </xf>
    <xf numFmtId="0" fontId="29" fillId="0" borderId="66" xfId="65" applyFont="1" applyBorder="1" applyAlignment="1">
      <alignment horizontal="center" vertical="top" wrapText="1"/>
    </xf>
    <xf numFmtId="0" fontId="29" fillId="0" borderId="78" xfId="65" applyFont="1" applyBorder="1" applyAlignment="1">
      <alignment horizontal="center" vertical="top" wrapText="1"/>
    </xf>
    <xf numFmtId="0" fontId="31" fillId="0" borderId="0" xfId="65" applyFont="1" applyAlignment="1">
      <alignment horizontal="left" vertical="top"/>
    </xf>
    <xf numFmtId="43" fontId="62" fillId="0" borderId="224" xfId="1" applyFont="1" applyBorder="1" applyAlignment="1">
      <alignment horizontal="center" vertical="center"/>
    </xf>
    <xf numFmtId="43" fontId="0" fillId="0" borderId="218" xfId="1" applyFont="1" applyBorder="1" applyAlignment="1">
      <alignment vertical="center"/>
    </xf>
    <xf numFmtId="4" fontId="19" fillId="0" borderId="4" xfId="2" applyNumberFormat="1" applyFont="1" applyBorder="1" applyAlignment="1" applyProtection="1">
      <alignment vertical="top"/>
      <protection locked="0"/>
    </xf>
    <xf numFmtId="0" fontId="19" fillId="0" borderId="186" xfId="65" applyFont="1" applyBorder="1" applyAlignment="1">
      <alignment horizontal="center" vertical="top" wrapText="1"/>
    </xf>
    <xf numFmtId="0" fontId="19" fillId="0" borderId="108" xfId="65" applyFont="1" applyBorder="1" applyAlignment="1">
      <alignment vertical="top"/>
    </xf>
    <xf numFmtId="0" fontId="21" fillId="0" borderId="66" xfId="65" applyFont="1" applyBorder="1" applyAlignment="1">
      <alignment horizontal="center" vertical="top"/>
    </xf>
    <xf numFmtId="0" fontId="21" fillId="0" borderId="68" xfId="65" applyFont="1" applyBorder="1" applyAlignment="1">
      <alignment horizontal="center" vertical="top"/>
    </xf>
    <xf numFmtId="0" fontId="21" fillId="0" borderId="78" xfId="65" applyFont="1" applyBorder="1" applyAlignment="1">
      <alignment horizontal="center" vertical="top"/>
    </xf>
    <xf numFmtId="43" fontId="29" fillId="0" borderId="66" xfId="5" applyFont="1" applyBorder="1" applyAlignment="1">
      <alignment horizontal="center" vertical="top"/>
    </xf>
    <xf numFmtId="43" fontId="29" fillId="0" borderId="68" xfId="5" applyFont="1" applyBorder="1" applyAlignment="1">
      <alignment horizontal="center" vertical="top"/>
    </xf>
    <xf numFmtId="43" fontId="29" fillId="0" borderId="78" xfId="5" applyFont="1" applyBorder="1" applyAlignment="1">
      <alignment vertical="top"/>
    </xf>
    <xf numFmtId="43" fontId="21" fillId="0" borderId="68" xfId="5" applyFont="1" applyBorder="1" applyAlignment="1">
      <alignment horizontal="center" vertical="top"/>
    </xf>
    <xf numFmtId="4" fontId="19" fillId="0" borderId="104" xfId="65" applyNumberFormat="1" applyFont="1" applyBorder="1" applyAlignment="1">
      <alignment horizontal="right" vertical="top"/>
    </xf>
    <xf numFmtId="0" fontId="19" fillId="0" borderId="111" xfId="65" applyFont="1" applyBorder="1" applyAlignment="1">
      <alignment horizontal="right" vertical="top"/>
    </xf>
    <xf numFmtId="4" fontId="19" fillId="0" borderId="111" xfId="65" applyNumberFormat="1" applyFont="1" applyBorder="1" applyAlignment="1">
      <alignment horizontal="right" vertical="top"/>
    </xf>
    <xf numFmtId="0" fontId="19" fillId="0" borderId="20" xfId="65" applyFont="1" applyBorder="1" applyAlignment="1">
      <alignment horizontal="right" vertical="top"/>
    </xf>
    <xf numFmtId="4" fontId="19" fillId="0" borderId="107" xfId="65" applyNumberFormat="1" applyFont="1" applyBorder="1" applyAlignment="1">
      <alignment horizontal="right" vertical="top"/>
    </xf>
    <xf numFmtId="0" fontId="19" fillId="0" borderId="186" xfId="65" applyFont="1" applyBorder="1" applyAlignment="1">
      <alignment vertical="top" wrapText="1"/>
    </xf>
    <xf numFmtId="43" fontId="21" fillId="0" borderId="68" xfId="5" applyFont="1" applyBorder="1" applyAlignment="1">
      <alignment horizontal="center"/>
    </xf>
    <xf numFmtId="0" fontId="0" fillId="0" borderId="201" xfId="0" applyBorder="1" applyAlignment="1">
      <alignment vertical="center" wrapText="1"/>
    </xf>
    <xf numFmtId="0" fontId="0" fillId="0" borderId="201" xfId="0" applyBorder="1" applyAlignment="1">
      <alignment vertical="top" wrapText="1"/>
    </xf>
    <xf numFmtId="0" fontId="0" fillId="0" borderId="201" xfId="0" applyBorder="1" applyAlignment="1">
      <alignment vertical="top"/>
    </xf>
    <xf numFmtId="0" fontId="0" fillId="0" borderId="207" xfId="0" applyBorder="1" applyAlignment="1">
      <alignment vertical="top"/>
    </xf>
    <xf numFmtId="43" fontId="0" fillId="0" borderId="218" xfId="1" applyFont="1" applyBorder="1" applyAlignment="1">
      <alignment vertical="top"/>
    </xf>
    <xf numFmtId="0" fontId="0" fillId="0" borderId="212" xfId="0" applyBorder="1" applyAlignment="1">
      <alignment vertical="top"/>
    </xf>
    <xf numFmtId="43" fontId="62" fillId="0" borderId="224" xfId="1" applyFont="1" applyBorder="1" applyAlignment="1">
      <alignment horizontal="center" vertical="center" wrapText="1"/>
    </xf>
    <xf numFmtId="0" fontId="0" fillId="0" borderId="212" xfId="0" applyBorder="1" applyAlignment="1">
      <alignment vertical="top" wrapText="1"/>
    </xf>
    <xf numFmtId="43" fontId="0" fillId="0" borderId="212" xfId="1" applyFont="1" applyBorder="1" applyAlignment="1">
      <alignment vertical="top" wrapText="1"/>
    </xf>
    <xf numFmtId="0" fontId="0" fillId="0" borderId="0" xfId="0" applyAlignment="1">
      <alignment vertical="top" wrapText="1"/>
    </xf>
    <xf numFmtId="0" fontId="0" fillId="0" borderId="201" xfId="0" applyBorder="1" applyAlignment="1">
      <alignment horizontal="left" vertical="center"/>
    </xf>
    <xf numFmtId="0" fontId="0" fillId="0" borderId="212" xfId="0" applyBorder="1" applyAlignment="1">
      <alignment vertical="center"/>
    </xf>
    <xf numFmtId="43" fontId="62" fillId="0" borderId="212" xfId="1" applyFont="1" applyBorder="1" applyAlignment="1">
      <alignment vertical="center"/>
    </xf>
    <xf numFmtId="0" fontId="21" fillId="0" borderId="0" xfId="30" applyFont="1"/>
    <xf numFmtId="0" fontId="27" fillId="0" borderId="0" xfId="30" applyFont="1"/>
    <xf numFmtId="0" fontId="21" fillId="0" borderId="167" xfId="43" applyFont="1" applyBorder="1" applyAlignment="1">
      <alignment horizontal="center" vertical="top"/>
    </xf>
    <xf numFmtId="0" fontId="33" fillId="0" borderId="170" xfId="43" applyFont="1" applyBorder="1" applyAlignment="1">
      <alignment horizontal="center" vertical="top"/>
    </xf>
    <xf numFmtId="0" fontId="33" fillId="0" borderId="117" xfId="43" applyFont="1" applyBorder="1" applyAlignment="1">
      <alignment horizontal="center" vertical="top"/>
    </xf>
    <xf numFmtId="43" fontId="33" fillId="0" borderId="117" xfId="1" applyFont="1" applyBorder="1" applyAlignment="1">
      <alignment horizontal="center" vertical="top"/>
    </xf>
    <xf numFmtId="0" fontId="33" fillId="0" borderId="91" xfId="43" applyFont="1" applyBorder="1" applyAlignment="1">
      <alignment horizontal="center" vertical="top"/>
    </xf>
    <xf numFmtId="0" fontId="33" fillId="0" borderId="171" xfId="43" applyFont="1" applyBorder="1" applyAlignment="1">
      <alignment horizontal="center" vertical="top"/>
    </xf>
    <xf numFmtId="0" fontId="33" fillId="0" borderId="170" xfId="43" quotePrefix="1" applyFont="1" applyBorder="1" applyAlignment="1">
      <alignment horizontal="center" vertical="top"/>
    </xf>
    <xf numFmtId="0" fontId="33" fillId="0" borderId="117" xfId="43" quotePrefix="1" applyFont="1" applyBorder="1" applyAlignment="1">
      <alignment horizontal="center" vertical="top"/>
    </xf>
    <xf numFmtId="43" fontId="33" fillId="0" borderId="117" xfId="1" quotePrefix="1" applyFont="1" applyBorder="1" applyAlignment="1">
      <alignment horizontal="center" vertical="top"/>
    </xf>
    <xf numFmtId="0" fontId="33" fillId="0" borderId="117" xfId="43" quotePrefix="1" applyFont="1" applyFill="1" applyBorder="1" applyAlignment="1">
      <alignment horizontal="center" vertical="top"/>
    </xf>
    <xf numFmtId="0" fontId="33" fillId="0" borderId="127" xfId="43" applyFont="1" applyFill="1" applyBorder="1" applyAlignment="1">
      <alignment horizontal="center" vertical="top"/>
    </xf>
    <xf numFmtId="0" fontId="21" fillId="0" borderId="132" xfId="43" applyFont="1" applyBorder="1" applyAlignment="1">
      <alignment horizontal="center" vertical="top"/>
    </xf>
    <xf numFmtId="43" fontId="21" fillId="0" borderId="132" xfId="1" applyFont="1" applyBorder="1" applyAlignment="1">
      <alignment horizontal="center" vertical="top"/>
    </xf>
    <xf numFmtId="0" fontId="21" fillId="0" borderId="168" xfId="43" applyFont="1" applyBorder="1" applyAlignment="1">
      <alignment horizontal="center" vertical="top"/>
    </xf>
    <xf numFmtId="0" fontId="21" fillId="0" borderId="169" xfId="43" applyFont="1" applyBorder="1" applyAlignment="1">
      <alignment horizontal="center" vertical="top"/>
    </xf>
    <xf numFmtId="0" fontId="69" fillId="0" borderId="0" xfId="0" applyFont="1" applyAlignment="1">
      <alignment horizontal="center" vertical="top"/>
    </xf>
    <xf numFmtId="0" fontId="62" fillId="0" borderId="0" xfId="0" applyFont="1" applyAlignment="1">
      <alignment horizontal="center" vertical="center" wrapText="1"/>
    </xf>
    <xf numFmtId="0" fontId="0" fillId="0" borderId="218" xfId="0" applyBorder="1" applyAlignment="1">
      <alignment vertical="center"/>
    </xf>
    <xf numFmtId="0" fontId="0" fillId="0" borderId="0" xfId="0" applyFont="1" applyAlignment="1">
      <alignment vertical="top"/>
    </xf>
    <xf numFmtId="0" fontId="62" fillId="0" borderId="0" xfId="0" applyFont="1" applyAlignment="1">
      <alignment horizontal="center" vertical="top" wrapText="1"/>
    </xf>
    <xf numFmtId="0" fontId="80" fillId="0" borderId="212" xfId="0" applyFont="1" applyBorder="1" applyAlignment="1">
      <alignment vertical="top" wrapText="1"/>
    </xf>
    <xf numFmtId="49" fontId="18" fillId="0" borderId="211" xfId="2" applyNumberFormat="1" applyBorder="1" applyProtection="1">
      <protection locked="0"/>
    </xf>
    <xf numFmtId="43" fontId="19" fillId="0" borderId="199" xfId="7" applyFont="1" applyBorder="1" applyProtection="1">
      <protection locked="0"/>
    </xf>
    <xf numFmtId="0" fontId="19" fillId="0" borderId="212" xfId="65" applyFont="1" applyBorder="1" applyAlignment="1">
      <alignment horizontal="center" vertical="top"/>
    </xf>
    <xf numFmtId="0" fontId="19" fillId="0" borderId="212" xfId="65" applyFont="1" applyBorder="1" applyAlignment="1">
      <alignment vertical="top" wrapText="1"/>
    </xf>
    <xf numFmtId="43" fontId="62" fillId="0" borderId="212" xfId="1" applyFont="1" applyBorder="1" applyAlignment="1">
      <alignment vertical="top"/>
    </xf>
    <xf numFmtId="43" fontId="19" fillId="0" borderId="199" xfId="7" applyFont="1" applyBorder="1" applyAlignment="1" applyProtection="1">
      <alignment horizontal="right"/>
      <protection locked="0"/>
    </xf>
    <xf numFmtId="0" fontId="21" fillId="0" borderId="211" xfId="65" applyFont="1" applyBorder="1" applyAlignment="1">
      <alignment horizontal="center" vertical="top" wrapText="1"/>
    </xf>
    <xf numFmtId="0" fontId="19" fillId="0" borderId="199" xfId="65" applyFont="1" applyBorder="1" applyAlignment="1">
      <alignment vertical="top" wrapText="1"/>
    </xf>
    <xf numFmtId="43" fontId="19" fillId="0" borderId="212" xfId="62" applyFont="1" applyBorder="1" applyAlignment="1">
      <alignment vertical="top" wrapText="1"/>
    </xf>
    <xf numFmtId="0" fontId="21" fillId="0" borderId="211" xfId="65" applyFont="1" applyBorder="1" applyAlignment="1">
      <alignment horizontal="center" vertical="top"/>
    </xf>
    <xf numFmtId="43" fontId="19" fillId="0" borderId="212" xfId="62" applyFont="1" applyBorder="1" applyAlignment="1">
      <alignment vertical="top"/>
    </xf>
    <xf numFmtId="43" fontId="62" fillId="0" borderId="224" xfId="1" applyFont="1" applyBorder="1" applyAlignment="1">
      <alignment horizontal="center" vertical="top"/>
    </xf>
    <xf numFmtId="0" fontId="21" fillId="0" borderId="0" xfId="65" applyFont="1" applyBorder="1" applyAlignment="1">
      <alignment vertical="top" wrapText="1"/>
    </xf>
    <xf numFmtId="43" fontId="19" fillId="0" borderId="211" xfId="62" applyFont="1" applyBorder="1" applyAlignment="1">
      <alignment vertical="top" wrapText="1"/>
    </xf>
    <xf numFmtId="0" fontId="19" fillId="0" borderId="211" xfId="65" applyFont="1" applyBorder="1" applyAlignment="1">
      <alignment vertical="top" wrapText="1"/>
    </xf>
    <xf numFmtId="0" fontId="21" fillId="0" borderId="211" xfId="65" applyFont="1" applyBorder="1" applyAlignment="1">
      <alignment horizontal="left" vertical="top"/>
    </xf>
    <xf numFmtId="0" fontId="140" fillId="0" borderId="212" xfId="0" applyFont="1" applyBorder="1" applyAlignment="1">
      <alignment vertical="top"/>
    </xf>
    <xf numFmtId="43" fontId="62" fillId="0" borderId="224" xfId="1" applyFont="1" applyBorder="1" applyAlignment="1">
      <alignment horizontal="center" vertical="center"/>
    </xf>
    <xf numFmtId="0" fontId="19" fillId="0" borderId="111" xfId="81" applyFont="1" applyBorder="1" applyAlignment="1">
      <alignment vertical="top" wrapText="1"/>
    </xf>
    <xf numFmtId="0" fontId="18" fillId="0" borderId="5" xfId="2" applyBorder="1" applyAlignment="1">
      <alignment horizontal="center" vertical="top" wrapText="1"/>
    </xf>
    <xf numFmtId="0" fontId="29" fillId="0" borderId="193" xfId="81" applyFont="1" applyBorder="1" applyAlignment="1">
      <alignment vertical="top" wrapText="1"/>
    </xf>
    <xf numFmtId="0" fontId="19" fillId="0" borderId="186" xfId="81" applyFont="1" applyBorder="1"/>
    <xf numFmtId="0" fontId="29" fillId="0" borderId="186" xfId="81" applyFont="1" applyBorder="1" applyAlignment="1">
      <alignment vertical="top" wrapText="1"/>
    </xf>
    <xf numFmtId="0" fontId="21" fillId="0" borderId="186" xfId="81" applyFont="1" applyBorder="1" applyAlignment="1">
      <alignment vertical="top" wrapText="1"/>
    </xf>
    <xf numFmtId="43" fontId="21" fillId="0" borderId="186" xfId="7" applyFont="1" applyBorder="1" applyAlignment="1">
      <alignment vertical="top" wrapText="1"/>
    </xf>
    <xf numFmtId="0" fontId="36" fillId="0" borderId="111" xfId="81" applyFont="1" applyBorder="1" applyAlignment="1">
      <alignment horizontal="left" vertical="top" wrapText="1"/>
    </xf>
    <xf numFmtId="0" fontId="27" fillId="0" borderId="0" xfId="2" applyFont="1" applyAlignment="1">
      <alignment vertical="top"/>
    </xf>
    <xf numFmtId="43" fontId="21" fillId="0" borderId="0" xfId="1" applyFont="1" applyAlignment="1">
      <alignment vertical="top"/>
    </xf>
    <xf numFmtId="0" fontId="19" fillId="0" borderId="0" xfId="2" applyFont="1" applyAlignment="1" applyProtection="1">
      <alignment vertical="top"/>
      <protection locked="0"/>
    </xf>
    <xf numFmtId="0" fontId="21" fillId="0" borderId="0" xfId="2" applyFont="1" applyAlignment="1" applyProtection="1">
      <alignment vertical="top"/>
      <protection locked="0"/>
    </xf>
    <xf numFmtId="43" fontId="27" fillId="0" borderId="0" xfId="1" applyFont="1" applyAlignment="1" applyProtection="1">
      <alignment vertical="top"/>
      <protection locked="0"/>
    </xf>
    <xf numFmtId="43" fontId="21" fillId="0" borderId="0" xfId="1" applyFont="1" applyAlignment="1" applyProtection="1">
      <alignment vertical="top"/>
      <protection locked="0"/>
    </xf>
    <xf numFmtId="0" fontId="19" fillId="0" borderId="49" xfId="2" applyFont="1" applyBorder="1" applyAlignment="1">
      <alignment vertical="top"/>
    </xf>
    <xf numFmtId="43" fontId="21" fillId="0" borderId="49" xfId="1" applyFont="1" applyBorder="1" applyAlignment="1">
      <alignment vertical="top"/>
    </xf>
    <xf numFmtId="0" fontId="21" fillId="0" borderId="0" xfId="2" applyFont="1" applyBorder="1" applyAlignment="1">
      <alignment vertical="top"/>
    </xf>
    <xf numFmtId="43" fontId="21" fillId="0" borderId="0" xfId="1" applyFont="1" applyBorder="1" applyAlignment="1">
      <alignment vertical="top"/>
    </xf>
    <xf numFmtId="0" fontId="21" fillId="0" borderId="104" xfId="2" applyFont="1" applyBorder="1" applyAlignment="1">
      <alignment horizontal="center" vertical="top"/>
    </xf>
    <xf numFmtId="0" fontId="21" fillId="0" borderId="111" xfId="2" applyFont="1" applyBorder="1" applyAlignment="1">
      <alignment horizontal="center" vertical="top"/>
    </xf>
    <xf numFmtId="0" fontId="21" fillId="0" borderId="107" xfId="2" applyFont="1" applyBorder="1" applyAlignment="1">
      <alignment horizontal="center" vertical="top"/>
    </xf>
    <xf numFmtId="0" fontId="21" fillId="0" borderId="108" xfId="2" applyFont="1" applyBorder="1" applyAlignment="1">
      <alignment horizontal="center" vertical="top"/>
    </xf>
    <xf numFmtId="0" fontId="27" fillId="0" borderId="94" xfId="2" applyFont="1" applyBorder="1" applyAlignment="1">
      <alignment vertical="top"/>
    </xf>
    <xf numFmtId="0" fontId="27" fillId="0" borderId="0" xfId="2" applyFont="1" applyBorder="1" applyAlignment="1">
      <alignment vertical="top"/>
    </xf>
    <xf numFmtId="0" fontId="27" fillId="0" borderId="5" xfId="2" applyFont="1" applyBorder="1" applyAlignment="1">
      <alignment vertical="top"/>
    </xf>
    <xf numFmtId="49" fontId="27" fillId="0" borderId="0" xfId="2" applyNumberFormat="1" applyFont="1" applyBorder="1" applyAlignment="1">
      <alignment vertical="top"/>
    </xf>
    <xf numFmtId="49" fontId="27" fillId="0" borderId="29" xfId="2" applyNumberFormat="1" applyFont="1" applyBorder="1" applyAlignment="1">
      <alignment vertical="top"/>
    </xf>
    <xf numFmtId="0" fontId="18" fillId="0" borderId="0" xfId="2" applyFont="1" applyBorder="1" applyAlignment="1">
      <alignment vertical="top" wrapText="1"/>
    </xf>
    <xf numFmtId="49" fontId="18" fillId="0" borderId="0" xfId="2" applyNumberFormat="1" applyBorder="1" applyAlignment="1">
      <alignment vertical="top" wrapText="1"/>
    </xf>
    <xf numFmtId="49" fontId="18" fillId="0" borderId="29" xfId="2" applyNumberFormat="1" applyBorder="1" applyAlignment="1">
      <alignment vertical="top" wrapText="1"/>
    </xf>
    <xf numFmtId="0" fontId="18" fillId="0" borderId="0" xfId="2" applyFont="1" applyFill="1" applyBorder="1" applyAlignment="1">
      <alignment vertical="top"/>
    </xf>
    <xf numFmtId="49" fontId="18" fillId="0" borderId="0" xfId="2" applyNumberFormat="1" applyBorder="1" applyAlignment="1">
      <alignment horizontal="center" vertical="top" wrapText="1"/>
    </xf>
    <xf numFmtId="49" fontId="18" fillId="0" borderId="29" xfId="2" applyNumberFormat="1" applyBorder="1" applyAlignment="1">
      <alignment horizontal="center" vertical="top" wrapText="1"/>
    </xf>
    <xf numFmtId="0" fontId="18" fillId="0" borderId="0" xfId="2" applyFont="1" applyFill="1" applyBorder="1" applyAlignment="1">
      <alignment horizontal="left" vertical="top" wrapText="1"/>
    </xf>
    <xf numFmtId="49" fontId="18" fillId="0" borderId="0" xfId="2" applyNumberFormat="1" applyBorder="1" applyAlignment="1">
      <alignment horizontal="left" vertical="top"/>
    </xf>
    <xf numFmtId="0" fontId="18" fillId="0" borderId="0" xfId="2" applyBorder="1" applyAlignment="1">
      <alignment horizontal="left" vertical="top" wrapText="1"/>
    </xf>
    <xf numFmtId="0" fontId="18" fillId="0" borderId="0" xfId="2" applyFont="1" applyBorder="1" applyAlignment="1">
      <alignment vertical="top"/>
    </xf>
    <xf numFmtId="0" fontId="83" fillId="0" borderId="0" xfId="2" applyFont="1" applyBorder="1" applyAlignment="1">
      <alignment vertical="top"/>
    </xf>
    <xf numFmtId="0" fontId="84" fillId="0" borderId="0" xfId="2" applyFont="1" applyBorder="1" applyAlignment="1">
      <alignment vertical="top"/>
    </xf>
    <xf numFmtId="49" fontId="19" fillId="0" borderId="0" xfId="2" applyNumberFormat="1" applyFont="1" applyBorder="1" applyAlignment="1">
      <alignment vertical="top"/>
    </xf>
    <xf numFmtId="0" fontId="18" fillId="0" borderId="0" xfId="2" applyFont="1" applyBorder="1" applyAlignment="1">
      <alignment horizontal="left" vertical="top" wrapText="1"/>
    </xf>
    <xf numFmtId="49" fontId="19" fillId="0" borderId="29" xfId="2" applyNumberFormat="1" applyFont="1" applyBorder="1" applyAlignment="1">
      <alignment vertical="top"/>
    </xf>
    <xf numFmtId="0" fontId="84" fillId="0" borderId="0" xfId="2" applyFont="1" applyFill="1" applyBorder="1" applyAlignment="1">
      <alignment vertical="top"/>
    </xf>
    <xf numFmtId="0" fontId="83" fillId="0" borderId="0" xfId="2" applyFont="1" applyFill="1" applyBorder="1" applyAlignment="1">
      <alignment vertical="top"/>
    </xf>
    <xf numFmtId="0" fontId="27" fillId="0" borderId="99" xfId="2" applyFont="1" applyBorder="1" applyAlignment="1">
      <alignment horizontal="center" vertical="top"/>
    </xf>
    <xf numFmtId="0" fontId="27" fillId="0" borderId="52" xfId="2" applyFont="1" applyBorder="1" applyAlignment="1">
      <alignment horizontal="center" vertical="top"/>
    </xf>
    <xf numFmtId="43" fontId="27" fillId="0" borderId="35" xfId="1" applyFont="1" applyBorder="1" applyAlignment="1">
      <alignment horizontal="center" vertical="top"/>
    </xf>
    <xf numFmtId="0" fontId="27" fillId="0" borderId="35" xfId="2" applyFont="1" applyBorder="1" applyAlignment="1">
      <alignment horizontal="center" vertical="top"/>
    </xf>
    <xf numFmtId="49" fontId="27" fillId="0" borderId="35" xfId="2" applyNumberFormat="1" applyFont="1" applyBorder="1" applyAlignment="1">
      <alignment horizontal="center" vertical="top"/>
    </xf>
    <xf numFmtId="49" fontId="27" fillId="0" borderId="36" xfId="2" applyNumberFormat="1" applyFont="1" applyBorder="1" applyAlignment="1">
      <alignment horizontal="center" vertical="top"/>
    </xf>
    <xf numFmtId="0" fontId="27" fillId="0" borderId="0" xfId="2" applyFont="1" applyAlignment="1">
      <alignment horizontal="center" vertical="top"/>
    </xf>
    <xf numFmtId="0" fontId="18" fillId="0" borderId="197" xfId="2" applyBorder="1" applyAlignment="1">
      <alignment vertical="top"/>
    </xf>
    <xf numFmtId="43" fontId="27" fillId="0" borderId="212" xfId="1" applyFont="1" applyBorder="1" applyAlignment="1">
      <alignment vertical="top"/>
    </xf>
    <xf numFmtId="0" fontId="18" fillId="0" borderId="212" xfId="2" applyBorder="1" applyAlignment="1">
      <alignment vertical="top"/>
    </xf>
    <xf numFmtId="49" fontId="18" fillId="0" borderId="212" xfId="2" applyNumberFormat="1" applyBorder="1" applyAlignment="1">
      <alignment vertical="top"/>
    </xf>
    <xf numFmtId="49" fontId="18" fillId="0" borderId="238" xfId="2" applyNumberFormat="1" applyBorder="1" applyAlignment="1">
      <alignment vertical="top"/>
    </xf>
    <xf numFmtId="0" fontId="18" fillId="0" borderId="94" xfId="2" applyBorder="1" applyAlignment="1">
      <alignment horizontal="left" vertical="top"/>
    </xf>
    <xf numFmtId="43" fontId="27" fillId="0" borderId="5" xfId="1" applyFont="1" applyBorder="1" applyAlignment="1">
      <alignment horizontal="left" vertical="top"/>
    </xf>
    <xf numFmtId="0" fontId="18" fillId="0" borderId="0" xfId="2" applyBorder="1" applyAlignment="1">
      <alignment horizontal="left" vertical="top"/>
    </xf>
    <xf numFmtId="0" fontId="18" fillId="0" borderId="5" xfId="2" applyBorder="1" applyAlignment="1">
      <alignment horizontal="left" vertical="top"/>
    </xf>
    <xf numFmtId="49" fontId="18" fillId="0" borderId="29" xfId="2" applyNumberFormat="1" applyBorder="1" applyAlignment="1">
      <alignment horizontal="left" vertical="top"/>
    </xf>
    <xf numFmtId="0" fontId="18" fillId="0" borderId="0" xfId="2" applyAlignment="1">
      <alignment horizontal="left" vertical="top"/>
    </xf>
    <xf numFmtId="0" fontId="18" fillId="0" borderId="212" xfId="2" applyBorder="1" applyAlignment="1">
      <alignment vertical="top" wrapText="1"/>
    </xf>
    <xf numFmtId="0" fontId="18" fillId="0" borderId="212" xfId="2" applyBorder="1" applyAlignment="1">
      <alignment horizontal="center" vertical="top" wrapText="1"/>
    </xf>
    <xf numFmtId="0" fontId="18" fillId="0" borderId="197" xfId="2" applyBorder="1" applyAlignment="1">
      <alignment vertical="top" wrapText="1"/>
    </xf>
    <xf numFmtId="43" fontId="27" fillId="0" borderId="212" xfId="1" applyFont="1" applyBorder="1" applyAlignment="1">
      <alignment vertical="top" wrapText="1"/>
    </xf>
    <xf numFmtId="49" fontId="18" fillId="0" borderId="238" xfId="2" applyNumberFormat="1" applyBorder="1" applyAlignment="1">
      <alignment vertical="top" wrapText="1"/>
    </xf>
    <xf numFmtId="43" fontId="62" fillId="0" borderId="0" xfId="1" applyFont="1" applyAlignment="1">
      <alignment vertical="top" wrapText="1"/>
    </xf>
    <xf numFmtId="0" fontId="62" fillId="0" borderId="0" xfId="0" applyFont="1" applyAlignment="1">
      <alignment vertical="top" wrapText="1"/>
    </xf>
    <xf numFmtId="43" fontId="62" fillId="0" borderId="224" xfId="1" applyFont="1" applyBorder="1" applyAlignment="1">
      <alignment horizontal="center" vertical="top" wrapText="1"/>
    </xf>
    <xf numFmtId="0" fontId="62" fillId="0" borderId="201" xfId="0" applyFont="1" applyBorder="1" applyAlignment="1">
      <alignment vertical="top" wrapText="1"/>
    </xf>
    <xf numFmtId="43" fontId="62" fillId="0" borderId="201" xfId="1" applyFont="1" applyBorder="1" applyAlignment="1">
      <alignment vertical="top" wrapText="1"/>
    </xf>
    <xf numFmtId="43" fontId="0" fillId="0" borderId="201" xfId="1" applyFont="1" applyBorder="1" applyAlignment="1">
      <alignment vertical="top" wrapText="1"/>
    </xf>
    <xf numFmtId="43" fontId="62" fillId="0" borderId="224" xfId="1" applyFont="1" applyBorder="1" applyAlignment="1">
      <alignment vertical="top" wrapText="1"/>
    </xf>
    <xf numFmtId="43" fontId="0" fillId="0" borderId="0" xfId="1" applyFont="1" applyAlignment="1">
      <alignment vertical="top" wrapText="1"/>
    </xf>
    <xf numFmtId="43" fontId="62" fillId="0" borderId="224" xfId="1" applyFont="1" applyBorder="1" applyAlignment="1">
      <alignment horizontal="center" vertical="center"/>
    </xf>
    <xf numFmtId="43" fontId="62" fillId="0" borderId="224" xfId="1" applyFont="1" applyBorder="1" applyAlignment="1">
      <alignment horizontal="center" vertical="top"/>
    </xf>
    <xf numFmtId="0" fontId="0" fillId="0" borderId="199" xfId="0" applyBorder="1" applyAlignment="1">
      <alignment horizontal="left" vertical="top" wrapText="1"/>
    </xf>
    <xf numFmtId="43" fontId="17" fillId="0" borderId="201" xfId="1" applyFont="1" applyBorder="1" applyAlignment="1">
      <alignment vertical="center"/>
    </xf>
    <xf numFmtId="43" fontId="17" fillId="0" borderId="201" xfId="1" applyFont="1" applyBorder="1" applyAlignment="1">
      <alignment vertical="top"/>
    </xf>
    <xf numFmtId="0" fontId="0" fillId="0" borderId="0" xfId="0" applyFont="1" applyAlignment="1">
      <alignment vertical="center"/>
    </xf>
    <xf numFmtId="0" fontId="72" fillId="0" borderId="212" xfId="0" applyFont="1" applyBorder="1" applyAlignment="1">
      <alignment vertical="top" wrapText="1"/>
    </xf>
    <xf numFmtId="0" fontId="0" fillId="0" borderId="141" xfId="0" applyBorder="1" applyAlignment="1">
      <alignment vertical="top" wrapText="1"/>
    </xf>
    <xf numFmtId="43" fontId="62" fillId="0" borderId="141" xfId="1" applyFont="1" applyBorder="1" applyAlignment="1">
      <alignment horizontal="center" vertical="top" wrapText="1"/>
    </xf>
    <xf numFmtId="0" fontId="41" fillId="5" borderId="197" xfId="48" applyFont="1" applyFill="1" applyBorder="1" applyAlignment="1">
      <alignment horizontal="center" vertical="top"/>
    </xf>
    <xf numFmtId="0" fontId="41" fillId="5" borderId="197" xfId="48" applyFont="1" applyFill="1" applyBorder="1" applyAlignment="1">
      <alignment vertical="top"/>
    </xf>
    <xf numFmtId="0" fontId="46" fillId="5" borderId="197" xfId="48" applyFont="1" applyFill="1" applyBorder="1" applyAlignment="1">
      <alignment horizontal="left" vertical="top"/>
    </xf>
    <xf numFmtId="0" fontId="70" fillId="0" borderId="186" xfId="0" applyFont="1" applyBorder="1" applyAlignment="1">
      <alignment horizontal="center" vertical="top" wrapText="1"/>
    </xf>
    <xf numFmtId="0" fontId="0" fillId="0" borderId="68" xfId="0" applyBorder="1" applyAlignment="1">
      <alignment vertical="top" wrapText="1"/>
    </xf>
    <xf numFmtId="0" fontId="62" fillId="0" borderId="213" xfId="0" applyFont="1" applyBorder="1" applyAlignment="1">
      <alignment horizontal="center" vertical="center"/>
    </xf>
    <xf numFmtId="0" fontId="74" fillId="0" borderId="0" xfId="0" applyFont="1" applyAlignment="1">
      <alignment vertical="top"/>
    </xf>
    <xf numFmtId="0" fontId="74" fillId="0" borderId="0" xfId="0" applyFont="1" applyAlignment="1">
      <alignment horizontal="center" vertical="top"/>
    </xf>
    <xf numFmtId="0" fontId="73" fillId="0" borderId="0" xfId="0" applyFont="1" applyAlignment="1">
      <alignment vertical="top"/>
    </xf>
    <xf numFmtId="0" fontId="152" fillId="0" borderId="142" xfId="0" applyFont="1" applyBorder="1" applyAlignment="1">
      <alignment vertical="top" wrapText="1"/>
    </xf>
    <xf numFmtId="0" fontId="0" fillId="0" borderId="142" xfId="0" applyBorder="1" applyAlignment="1">
      <alignment horizontal="right" vertical="top" wrapText="1"/>
    </xf>
    <xf numFmtId="3" fontId="0" fillId="0" borderId="142" xfId="0" applyNumberFormat="1" applyBorder="1" applyAlignment="1">
      <alignment horizontal="right" vertical="top" wrapText="1"/>
    </xf>
    <xf numFmtId="0" fontId="154" fillId="0" borderId="142" xfId="0" applyFont="1" applyBorder="1" applyAlignment="1">
      <alignment horizontal="right" vertical="top" wrapText="1"/>
    </xf>
    <xf numFmtId="0" fontId="62" fillId="0" borderId="141" xfId="0" applyFont="1" applyBorder="1" applyAlignment="1">
      <alignment horizontal="right" vertical="top" wrapText="1" indent="1"/>
    </xf>
    <xf numFmtId="3" fontId="62" fillId="0" borderId="141" xfId="0" applyNumberFormat="1" applyFont="1" applyBorder="1" applyAlignment="1">
      <alignment horizontal="right" vertical="top" wrapText="1"/>
    </xf>
    <xf numFmtId="0" fontId="0" fillId="0" borderId="142" xfId="0" applyBorder="1" applyAlignment="1">
      <alignment vertical="top" wrapText="1"/>
    </xf>
    <xf numFmtId="0" fontId="0" fillId="0" borderId="142" xfId="0" applyBorder="1" applyAlignment="1">
      <alignment horizontal="left" vertical="top" wrapText="1"/>
    </xf>
    <xf numFmtId="168" fontId="67" fillId="0" borderId="0" xfId="0" applyNumberFormat="1" applyFont="1" applyAlignment="1">
      <alignment vertical="top" wrapText="1"/>
    </xf>
    <xf numFmtId="0" fontId="0" fillId="0" borderId="150" xfId="0" applyBorder="1" applyAlignment="1">
      <alignment vertical="top" wrapText="1"/>
    </xf>
    <xf numFmtId="3" fontId="0" fillId="0" borderId="137" xfId="0" applyNumberFormat="1" applyBorder="1" applyAlignment="1">
      <alignment horizontal="right" vertical="top" wrapText="1"/>
    </xf>
    <xf numFmtId="0" fontId="67" fillId="0" borderId="139" xfId="0" applyFont="1" applyBorder="1" applyAlignment="1">
      <alignment vertical="top"/>
    </xf>
    <xf numFmtId="0" fontId="0" fillId="0" borderId="0" xfId="0" applyBorder="1"/>
    <xf numFmtId="43" fontId="0" fillId="0" borderId="0" xfId="1" applyFont="1" applyBorder="1"/>
    <xf numFmtId="0" fontId="62" fillId="0" borderId="229" xfId="0" applyFont="1" applyBorder="1" applyAlignment="1">
      <alignment horizontal="center" vertical="center" wrapText="1"/>
    </xf>
    <xf numFmtId="0" fontId="62" fillId="0" borderId="0" xfId="0" applyFont="1"/>
    <xf numFmtId="0" fontId="37" fillId="0" borderId="212" xfId="74" applyFont="1" applyFill="1" applyBorder="1"/>
    <xf numFmtId="43" fontId="37" fillId="0" borderId="212" xfId="62" applyFont="1" applyFill="1" applyBorder="1"/>
    <xf numFmtId="0" fontId="41" fillId="0" borderId="0" xfId="74" applyFont="1" applyFill="1" applyAlignment="1">
      <alignment horizontal="center" vertical="center" shrinkToFit="1"/>
    </xf>
    <xf numFmtId="0" fontId="19" fillId="0" borderId="0" xfId="74" applyFont="1" applyFill="1"/>
    <xf numFmtId="0" fontId="21" fillId="0" borderId="0" xfId="74" applyFont="1" applyFill="1" applyAlignment="1"/>
    <xf numFmtId="0" fontId="34" fillId="0" borderId="203" xfId="74" applyFont="1" applyFill="1" applyBorder="1" applyAlignment="1">
      <alignment horizontal="center"/>
    </xf>
    <xf numFmtId="0" fontId="34" fillId="0" borderId="210" xfId="74" applyFont="1" applyFill="1" applyBorder="1" applyAlignment="1">
      <alignment horizontal="center"/>
    </xf>
    <xf numFmtId="0" fontId="26" fillId="0" borderId="0" xfId="74" applyFont="1" applyFill="1"/>
    <xf numFmtId="0" fontId="26" fillId="0" borderId="201" xfId="74" applyFont="1" applyFill="1" applyBorder="1" applyAlignment="1">
      <alignment vertical="top" wrapText="1"/>
    </xf>
    <xf numFmtId="0" fontId="34" fillId="0" borderId="201" xfId="74" applyFont="1" applyFill="1" applyBorder="1" applyAlignment="1">
      <alignment horizontal="center" vertical="top" wrapText="1"/>
    </xf>
    <xf numFmtId="0" fontId="34" fillId="0" borderId="212" xfId="74" applyFont="1" applyFill="1" applyBorder="1" applyAlignment="1">
      <alignment horizontal="center" vertical="top" wrapText="1"/>
    </xf>
    <xf numFmtId="0" fontId="26" fillId="0" borderId="0" xfId="74" applyFont="1" applyFill="1" applyAlignment="1">
      <alignment vertical="top" wrapText="1"/>
    </xf>
    <xf numFmtId="0" fontId="19" fillId="0" borderId="52" xfId="74" applyFont="1" applyFill="1" applyBorder="1"/>
    <xf numFmtId="0" fontId="19" fillId="0" borderId="35" xfId="74" applyFont="1" applyFill="1" applyBorder="1" applyAlignment="1">
      <alignment horizontal="center"/>
    </xf>
    <xf numFmtId="3" fontId="19" fillId="0" borderId="35" xfId="74" applyNumberFormat="1" applyFont="1" applyFill="1" applyBorder="1" applyAlignment="1">
      <alignment horizontal="center"/>
    </xf>
    <xf numFmtId="0" fontId="21" fillId="0" borderId="202" xfId="74" applyFont="1" applyFill="1" applyBorder="1"/>
    <xf numFmtId="43" fontId="19" fillId="0" borderId="201" xfId="5" applyNumberFormat="1" applyFont="1" applyFill="1" applyBorder="1" applyProtection="1"/>
    <xf numFmtId="43" fontId="19" fillId="0" borderId="201" xfId="5" applyFont="1" applyFill="1" applyBorder="1" applyProtection="1"/>
    <xf numFmtId="43" fontId="21" fillId="0" borderId="201" xfId="74" applyNumberFormat="1" applyFont="1" applyFill="1" applyBorder="1" applyProtection="1"/>
    <xf numFmtId="43" fontId="19" fillId="0" borderId="212" xfId="5" applyFont="1" applyFill="1" applyBorder="1" applyProtection="1"/>
    <xf numFmtId="0" fontId="19" fillId="0" borderId="201" xfId="74" applyFont="1" applyFill="1" applyBorder="1"/>
    <xf numFmtId="0" fontId="19" fillId="0" borderId="212" xfId="74" applyFont="1" applyFill="1" applyBorder="1"/>
    <xf numFmtId="0" fontId="21" fillId="0" borderId="201" xfId="74" applyFont="1" applyFill="1" applyBorder="1"/>
    <xf numFmtId="0" fontId="21" fillId="0" borderId="44" xfId="74" applyFont="1" applyFill="1" applyBorder="1" applyAlignment="1">
      <alignment horizontal="center"/>
    </xf>
    <xf numFmtId="39" fontId="21" fillId="0" borderId="45" xfId="74" applyNumberFormat="1" applyFont="1" applyFill="1" applyBorder="1" applyProtection="1"/>
    <xf numFmtId="0" fontId="21" fillId="0" borderId="202" xfId="74" applyFont="1" applyFill="1" applyBorder="1" applyAlignment="1">
      <alignment horizontal="center"/>
    </xf>
    <xf numFmtId="39" fontId="21" fillId="0" borderId="201" xfId="74" applyNumberFormat="1" applyFont="1" applyFill="1" applyBorder="1" applyProtection="1"/>
    <xf numFmtId="39" fontId="21" fillId="0" borderId="212" xfId="74" applyNumberFormat="1" applyFont="1" applyFill="1" applyBorder="1" applyProtection="1"/>
    <xf numFmtId="43" fontId="19" fillId="0" borderId="201" xfId="5" applyFont="1" applyFill="1" applyBorder="1" applyAlignment="1">
      <alignment horizontal="center"/>
    </xf>
    <xf numFmtId="43" fontId="19" fillId="0" borderId="201" xfId="5" applyFont="1" applyFill="1" applyBorder="1"/>
    <xf numFmtId="43" fontId="21" fillId="0" borderId="201" xfId="5" applyFont="1" applyFill="1" applyBorder="1" applyAlignment="1">
      <alignment horizontal="center"/>
    </xf>
    <xf numFmtId="43" fontId="19" fillId="0" borderId="212" xfId="5" applyFont="1" applyFill="1" applyBorder="1" applyAlignment="1">
      <alignment horizontal="center"/>
    </xf>
    <xf numFmtId="43" fontId="19" fillId="0" borderId="212" xfId="5" applyFont="1" applyFill="1" applyBorder="1"/>
    <xf numFmtId="43" fontId="21" fillId="0" borderId="212" xfId="5" applyFont="1" applyFill="1" applyBorder="1" applyAlignment="1">
      <alignment horizontal="center"/>
    </xf>
    <xf numFmtId="0" fontId="19" fillId="0" borderId="14" xfId="74" applyFont="1" applyFill="1" applyBorder="1"/>
    <xf numFmtId="0" fontId="19" fillId="0" borderId="16" xfId="74" applyFont="1" applyFill="1" applyBorder="1"/>
    <xf numFmtId="0" fontId="21" fillId="0" borderId="6" xfId="74" applyFont="1" applyFill="1" applyBorder="1" applyAlignment="1">
      <alignment horizontal="center"/>
    </xf>
    <xf numFmtId="39" fontId="21" fillId="0" borderId="124" xfId="74" applyNumberFormat="1" applyFont="1" applyFill="1" applyBorder="1" applyProtection="1"/>
    <xf numFmtId="39" fontId="21" fillId="0" borderId="87" xfId="74" applyNumberFormat="1" applyFont="1" applyFill="1" applyBorder="1" applyProtection="1"/>
    <xf numFmtId="43" fontId="19" fillId="0" borderId="0" xfId="93" applyFont="1" applyFill="1" applyAlignment="1">
      <alignment horizontal="center"/>
    </xf>
    <xf numFmtId="43" fontId="19" fillId="0" borderId="0" xfId="93" applyFont="1" applyFill="1"/>
    <xf numFmtId="4" fontId="21" fillId="0" borderId="237" xfId="2" applyNumberFormat="1" applyFont="1" applyBorder="1" applyProtection="1">
      <protection locked="0"/>
    </xf>
    <xf numFmtId="0" fontId="27" fillId="0" borderId="236" xfId="2" applyFont="1" applyBorder="1" applyProtection="1">
      <protection locked="0"/>
    </xf>
    <xf numFmtId="0" fontId="21" fillId="0" borderId="240" xfId="2" applyFont="1" applyBorder="1" applyProtection="1">
      <protection locked="0"/>
    </xf>
    <xf numFmtId="0" fontId="21" fillId="0" borderId="218" xfId="2" applyFont="1" applyBorder="1" applyAlignment="1" applyProtection="1">
      <alignment horizontal="right"/>
      <protection locked="0"/>
    </xf>
    <xf numFmtId="0" fontId="21" fillId="0" borderId="237" xfId="2" applyFont="1" applyBorder="1" applyAlignment="1" applyProtection="1">
      <alignment horizontal="right"/>
      <protection locked="0"/>
    </xf>
    <xf numFmtId="43" fontId="21" fillId="0" borderId="237" xfId="7" applyFont="1" applyBorder="1" applyProtection="1">
      <protection locked="0"/>
    </xf>
    <xf numFmtId="0" fontId="18" fillId="0" borderId="0" xfId="47" applyFont="1" applyAlignment="1">
      <alignment vertical="top"/>
    </xf>
    <xf numFmtId="0" fontId="18" fillId="0" borderId="0" xfId="47" applyAlignment="1">
      <alignment vertical="top"/>
    </xf>
    <xf numFmtId="0" fontId="19" fillId="0" borderId="0" xfId="47" applyFont="1" applyAlignment="1" applyProtection="1">
      <alignment vertical="top"/>
      <protection locked="0"/>
    </xf>
    <xf numFmtId="0" fontId="20" fillId="0" borderId="0" xfId="47" applyFont="1" applyAlignment="1" applyProtection="1">
      <alignment horizontal="centerContinuous" vertical="top"/>
      <protection locked="0"/>
    </xf>
    <xf numFmtId="0" fontId="19" fillId="0" borderId="0" xfId="47" applyFont="1" applyAlignment="1" applyProtection="1">
      <alignment horizontal="centerContinuous" vertical="top"/>
      <protection locked="0"/>
    </xf>
    <xf numFmtId="0" fontId="21" fillId="0" borderId="0" xfId="47" applyFont="1" applyAlignment="1" applyProtection="1">
      <alignment vertical="top"/>
      <protection locked="0"/>
    </xf>
    <xf numFmtId="0" fontId="19" fillId="0" borderId="0" xfId="47" applyFont="1" applyBorder="1" applyAlignment="1" applyProtection="1">
      <alignment vertical="top"/>
      <protection locked="0"/>
    </xf>
    <xf numFmtId="0" fontId="21" fillId="0" borderId="0" xfId="47" applyFont="1" applyBorder="1" applyAlignment="1" applyProtection="1">
      <alignment horizontal="center" vertical="top"/>
      <protection locked="0"/>
    </xf>
    <xf numFmtId="0" fontId="21" fillId="0" borderId="0" xfId="47" applyFont="1" applyBorder="1" applyAlignment="1" applyProtection="1">
      <alignment vertical="top"/>
      <protection locked="0"/>
    </xf>
    <xf numFmtId="0" fontId="19" fillId="0" borderId="0" xfId="47" applyFont="1" applyBorder="1" applyAlignment="1" applyProtection="1">
      <alignment horizontal="right" vertical="top"/>
      <protection locked="0"/>
    </xf>
    <xf numFmtId="4" fontId="19" fillId="0" borderId="0" xfId="47" applyNumberFormat="1" applyFont="1" applyBorder="1" applyAlignment="1" applyProtection="1">
      <alignment vertical="top"/>
      <protection locked="0"/>
    </xf>
    <xf numFmtId="0" fontId="19" fillId="0" borderId="0" xfId="47" applyFont="1" applyBorder="1" applyAlignment="1" applyProtection="1">
      <alignment horizontal="left" vertical="top"/>
      <protection locked="0"/>
    </xf>
    <xf numFmtId="0" fontId="34" fillId="0" borderId="229" xfId="74" applyFont="1" applyFill="1" applyBorder="1" applyAlignment="1">
      <alignment horizontal="center"/>
    </xf>
    <xf numFmtId="43" fontId="19" fillId="0" borderId="201" xfId="74" applyNumberFormat="1" applyFont="1" applyFill="1" applyBorder="1" applyProtection="1"/>
    <xf numFmtId="43" fontId="19" fillId="0" borderId="212" xfId="74" applyNumberFormat="1" applyFont="1" applyFill="1" applyBorder="1" applyProtection="1"/>
    <xf numFmtId="43" fontId="19" fillId="0" borderId="212" xfId="5" applyNumberFormat="1" applyFont="1" applyFill="1" applyBorder="1" applyProtection="1"/>
    <xf numFmtId="43" fontId="19" fillId="0" borderId="0" xfId="74" applyNumberFormat="1" applyFont="1" applyFill="1"/>
    <xf numFmtId="43" fontId="34" fillId="0" borderId="203" xfId="74" applyNumberFormat="1" applyFont="1" applyFill="1" applyBorder="1" applyAlignment="1">
      <alignment horizontal="center"/>
    </xf>
    <xf numFmtId="43" fontId="34" fillId="0" borderId="201" xfId="74" applyNumberFormat="1" applyFont="1" applyFill="1" applyBorder="1" applyAlignment="1">
      <alignment horizontal="center" vertical="top" wrapText="1"/>
    </xf>
    <xf numFmtId="43" fontId="19" fillId="0" borderId="35" xfId="74" applyNumberFormat="1" applyFont="1" applyFill="1" applyBorder="1" applyAlignment="1">
      <alignment horizontal="center"/>
    </xf>
    <xf numFmtId="43" fontId="19" fillId="0" borderId="201" xfId="74" applyNumberFormat="1" applyFont="1" applyFill="1" applyBorder="1"/>
    <xf numFmtId="43" fontId="19" fillId="0" borderId="201" xfId="5" applyNumberFormat="1" applyFont="1" applyFill="1" applyBorder="1"/>
    <xf numFmtId="43" fontId="19" fillId="0" borderId="201" xfId="5" applyNumberFormat="1" applyFont="1" applyFill="1" applyBorder="1" applyAlignment="1">
      <alignment horizontal="center"/>
    </xf>
    <xf numFmtId="0" fontId="19" fillId="0" borderId="35" xfId="74" applyNumberFormat="1" applyFont="1" applyFill="1" applyBorder="1" applyAlignment="1">
      <alignment horizontal="center"/>
    </xf>
    <xf numFmtId="43" fontId="34" fillId="0" borderId="200" xfId="74" applyNumberFormat="1" applyFont="1" applyFill="1" applyBorder="1" applyAlignment="1">
      <alignment horizontal="center"/>
    </xf>
    <xf numFmtId="43" fontId="34" fillId="0" borderId="203" xfId="93" applyNumberFormat="1" applyFont="1" applyFill="1" applyBorder="1" applyAlignment="1">
      <alignment horizontal="center"/>
    </xf>
    <xf numFmtId="43" fontId="19" fillId="0" borderId="52" xfId="74" applyNumberFormat="1" applyFont="1" applyFill="1" applyBorder="1" applyAlignment="1">
      <alignment horizontal="center"/>
    </xf>
    <xf numFmtId="43" fontId="19" fillId="0" borderId="35" xfId="93" applyNumberFormat="1" applyFont="1" applyFill="1" applyBorder="1" applyAlignment="1">
      <alignment horizontal="center"/>
    </xf>
    <xf numFmtId="43" fontId="19" fillId="0" borderId="202" xfId="93" applyNumberFormat="1" applyFont="1" applyFill="1" applyBorder="1" applyAlignment="1">
      <alignment horizontal="center"/>
    </xf>
    <xf numFmtId="43" fontId="19" fillId="0" borderId="201" xfId="93" applyNumberFormat="1" applyFont="1" applyFill="1" applyBorder="1" applyAlignment="1">
      <alignment horizontal="center"/>
    </xf>
    <xf numFmtId="43" fontId="34" fillId="0" borderId="201" xfId="74" applyNumberFormat="1" applyFont="1" applyFill="1" applyBorder="1" applyAlignment="1">
      <alignment horizontal="center" vertical="top"/>
    </xf>
    <xf numFmtId="43" fontId="19" fillId="0" borderId="212" xfId="74" applyNumberFormat="1" applyFont="1" applyFill="1" applyBorder="1"/>
    <xf numFmtId="43" fontId="19" fillId="0" borderId="211" xfId="93" applyNumberFormat="1" applyFont="1" applyFill="1" applyBorder="1" applyAlignment="1">
      <alignment horizontal="center"/>
    </xf>
    <xf numFmtId="43" fontId="34" fillId="0" borderId="202" xfId="74" applyNumberFormat="1" applyFont="1" applyFill="1" applyBorder="1" applyAlignment="1">
      <alignment horizontal="center" vertical="center" wrapText="1"/>
    </xf>
    <xf numFmtId="43" fontId="34" fillId="0" borderId="201" xfId="93" applyNumberFormat="1" applyFont="1" applyFill="1" applyBorder="1" applyAlignment="1">
      <alignment horizontal="center" vertical="center" wrapText="1"/>
    </xf>
    <xf numFmtId="43" fontId="21" fillId="0" borderId="202" xfId="74" applyNumberFormat="1" applyFont="1" applyFill="1" applyBorder="1"/>
    <xf numFmtId="43" fontId="21" fillId="0" borderId="211" xfId="74" applyNumberFormat="1" applyFont="1" applyFill="1" applyBorder="1"/>
    <xf numFmtId="43" fontId="19" fillId="0" borderId="212" xfId="93" applyNumberFormat="1" applyFont="1" applyFill="1" applyBorder="1" applyAlignment="1">
      <alignment horizontal="center"/>
    </xf>
    <xf numFmtId="39" fontId="21" fillId="0" borderId="247" xfId="74" applyNumberFormat="1" applyFont="1" applyFill="1" applyBorder="1" applyProtection="1"/>
    <xf numFmtId="0" fontId="17" fillId="0" borderId="0" xfId="94" applyFont="1" applyAlignment="1">
      <alignment vertical="top"/>
    </xf>
    <xf numFmtId="0" fontId="62" fillId="0" borderId="0" xfId="94" applyFont="1" applyAlignment="1">
      <alignment vertical="top"/>
    </xf>
    <xf numFmtId="0" fontId="17" fillId="0" borderId="10" xfId="94" applyFont="1" applyBorder="1" applyAlignment="1">
      <alignment horizontal="center" vertical="top"/>
    </xf>
    <xf numFmtId="3" fontId="17" fillId="0" borderId="10" xfId="94" applyNumberFormat="1" applyFont="1" applyBorder="1" applyAlignment="1">
      <alignment horizontal="center" vertical="top"/>
    </xf>
    <xf numFmtId="0" fontId="62" fillId="0" borderId="10" xfId="94" applyFont="1" applyBorder="1" applyAlignment="1">
      <alignment horizontal="center" vertical="top"/>
    </xf>
    <xf numFmtId="0" fontId="62" fillId="0" borderId="213" xfId="94" applyFont="1" applyBorder="1" applyAlignment="1">
      <alignment horizontal="center" vertical="top"/>
    </xf>
    <xf numFmtId="43" fontId="62" fillId="0" borderId="213" xfId="94" applyNumberFormat="1" applyFont="1" applyBorder="1" applyAlignment="1">
      <alignment vertical="top"/>
    </xf>
    <xf numFmtId="43" fontId="62" fillId="0" borderId="0" xfId="94" applyNumberFormat="1" applyFont="1" applyAlignment="1">
      <alignment vertical="top"/>
    </xf>
    <xf numFmtId="43" fontId="34" fillId="0" borderId="211" xfId="74" applyNumberFormat="1" applyFont="1" applyFill="1" applyBorder="1" applyAlignment="1">
      <alignment horizontal="center" vertical="center" wrapText="1"/>
    </xf>
    <xf numFmtId="0" fontId="41" fillId="0" borderId="211" xfId="74" applyFont="1" applyFill="1" applyBorder="1"/>
    <xf numFmtId="0" fontId="41" fillId="0" borderId="212" xfId="74" applyFont="1" applyFill="1" applyBorder="1" applyAlignment="1">
      <alignment horizontal="center"/>
    </xf>
    <xf numFmtId="0" fontId="48" fillId="0" borderId="212" xfId="74" applyFont="1" applyFill="1" applyBorder="1" applyAlignment="1">
      <alignment horizontal="center"/>
    </xf>
    <xf numFmtId="0" fontId="37" fillId="0" borderId="212" xfId="74" applyFont="1" applyFill="1" applyBorder="1" applyAlignment="1">
      <alignment horizontal="center"/>
    </xf>
    <xf numFmtId="0" fontId="41" fillId="0" borderId="229" xfId="74" applyFont="1" applyFill="1" applyBorder="1" applyAlignment="1">
      <alignment horizontal="center"/>
    </xf>
    <xf numFmtId="0" fontId="48" fillId="0" borderId="229" xfId="74" applyFont="1" applyFill="1" applyBorder="1" applyAlignment="1">
      <alignment horizontal="center"/>
    </xf>
    <xf numFmtId="0" fontId="41" fillId="0" borderId="246" xfId="74" applyFont="1" applyFill="1" applyBorder="1" applyAlignment="1">
      <alignment horizontal="center"/>
    </xf>
    <xf numFmtId="0" fontId="48" fillId="0" borderId="246" xfId="74" applyFont="1" applyFill="1" applyBorder="1" applyAlignment="1">
      <alignment horizontal="center"/>
    </xf>
    <xf numFmtId="0" fontId="46" fillId="0" borderId="212" xfId="74" applyFont="1" applyFill="1" applyBorder="1"/>
    <xf numFmtId="39" fontId="41" fillId="0" borderId="212" xfId="74" applyNumberFormat="1" applyFont="1" applyFill="1" applyBorder="1" applyProtection="1"/>
    <xf numFmtId="43" fontId="46" fillId="0" borderId="212" xfId="62" applyFont="1" applyFill="1" applyBorder="1"/>
    <xf numFmtId="0" fontId="18" fillId="0" borderId="0" xfId="47" applyBorder="1" applyAlignment="1">
      <alignment vertical="top"/>
    </xf>
    <xf numFmtId="0" fontId="18" fillId="0" borderId="211" xfId="2" applyFont="1" applyBorder="1" applyProtection="1">
      <protection locked="0"/>
    </xf>
    <xf numFmtId="0" fontId="18" fillId="0" borderId="211" xfId="2" applyBorder="1" applyProtection="1">
      <protection locked="0"/>
    </xf>
    <xf numFmtId="0" fontId="19" fillId="0" borderId="211" xfId="47" applyFont="1" applyBorder="1" applyProtection="1">
      <protection locked="0"/>
    </xf>
    <xf numFmtId="3" fontId="19" fillId="0" borderId="212" xfId="47" applyNumberFormat="1" applyFont="1" applyBorder="1" applyAlignment="1" applyProtection="1">
      <alignment horizontal="right"/>
      <protection locked="0"/>
    </xf>
    <xf numFmtId="0" fontId="18" fillId="0" borderId="212" xfId="30" applyBorder="1"/>
    <xf numFmtId="43" fontId="157" fillId="0" borderId="0" xfId="1" applyFont="1"/>
    <xf numFmtId="49" fontId="21" fillId="0" borderId="2" xfId="30" applyNumberFormat="1" applyFont="1" applyBorder="1" applyProtection="1">
      <protection locked="0"/>
    </xf>
    <xf numFmtId="0" fontId="21" fillId="0" borderId="5" xfId="30" applyFont="1" applyBorder="1" applyAlignment="1" applyProtection="1">
      <alignment horizontal="right"/>
      <protection locked="0"/>
    </xf>
    <xf numFmtId="49" fontId="19" fillId="0" borderId="12" xfId="30" applyNumberFormat="1" applyFont="1" applyBorder="1" applyAlignment="1" applyProtection="1">
      <alignment vertical="center"/>
      <protection locked="0"/>
    </xf>
    <xf numFmtId="0" fontId="19" fillId="0" borderId="13" xfId="30" applyFont="1" applyBorder="1" applyAlignment="1" applyProtection="1">
      <alignment vertical="center"/>
      <protection locked="0"/>
    </xf>
    <xf numFmtId="0" fontId="19" fillId="0" borderId="10" xfId="30" applyFont="1" applyBorder="1" applyAlignment="1" applyProtection="1">
      <alignment horizontal="right" vertical="center"/>
      <protection locked="0"/>
    </xf>
    <xf numFmtId="4" fontId="19" fillId="0" borderId="9" xfId="30" applyNumberFormat="1" applyFont="1" applyBorder="1" applyAlignment="1" applyProtection="1">
      <alignment vertical="center"/>
      <protection locked="0"/>
    </xf>
    <xf numFmtId="43" fontId="19" fillId="0" borderId="0" xfId="1" applyFont="1" applyAlignment="1">
      <alignment vertical="center"/>
    </xf>
    <xf numFmtId="0" fontId="27" fillId="0" borderId="0" xfId="47" applyFont="1" applyAlignment="1"/>
    <xf numFmtId="4" fontId="19" fillId="0" borderId="0" xfId="35" applyNumberFormat="1" applyFont="1" applyBorder="1" applyAlignment="1">
      <alignment horizontal="center"/>
    </xf>
    <xf numFmtId="0" fontId="19" fillId="0" borderId="246" xfId="35" applyFont="1" applyBorder="1" applyAlignment="1">
      <alignment horizontal="center"/>
    </xf>
    <xf numFmtId="0" fontId="29" fillId="0" borderId="0" xfId="58" applyFont="1" applyProtection="1">
      <protection locked="0"/>
    </xf>
    <xf numFmtId="0" fontId="29" fillId="0" borderId="0" xfId="58" applyFont="1"/>
    <xf numFmtId="0" fontId="84" fillId="0" borderId="0" xfId="58" applyFont="1"/>
    <xf numFmtId="0" fontId="0" fillId="0" borderId="142" xfId="0" applyBorder="1" applyAlignment="1">
      <alignment horizontal="center" vertical="top" wrapText="1"/>
    </xf>
    <xf numFmtId="0" fontId="0" fillId="0" borderId="254" xfId="0" applyBorder="1" applyAlignment="1">
      <alignment vertical="center"/>
    </xf>
    <xf numFmtId="43" fontId="0" fillId="0" borderId="254" xfId="1" applyFont="1" applyBorder="1" applyAlignment="1">
      <alignment vertical="center"/>
    </xf>
    <xf numFmtId="0" fontId="62" fillId="0" borderId="254" xfId="0" applyFont="1" applyBorder="1" applyAlignment="1">
      <alignment vertical="center"/>
    </xf>
    <xf numFmtId="43" fontId="62" fillId="0" borderId="254" xfId="1" applyFont="1" applyBorder="1" applyAlignment="1">
      <alignment vertical="center"/>
    </xf>
    <xf numFmtId="0" fontId="0" fillId="0" borderId="154" xfId="0" applyBorder="1" applyAlignment="1">
      <alignment vertical="top" wrapText="1"/>
    </xf>
    <xf numFmtId="0" fontId="62" fillId="0" borderId="137" xfId="0" applyFont="1" applyBorder="1" applyAlignment="1">
      <alignment vertical="top" wrapText="1"/>
    </xf>
    <xf numFmtId="0" fontId="68" fillId="0" borderId="0" xfId="0" applyFont="1" applyAlignment="1">
      <alignment vertical="top" wrapText="1"/>
    </xf>
    <xf numFmtId="168" fontId="68" fillId="0" borderId="0" xfId="0" applyNumberFormat="1" applyFont="1" applyAlignment="1">
      <alignment vertical="top" wrapText="1"/>
    </xf>
    <xf numFmtId="0" fontId="0" fillId="0" borderId="254" xfId="0" applyBorder="1"/>
    <xf numFmtId="43" fontId="0" fillId="0" borderId="254" xfId="1" applyFont="1" applyBorder="1"/>
    <xf numFmtId="0" fontId="0" fillId="0" borderId="248" xfId="0" applyBorder="1"/>
    <xf numFmtId="43" fontId="62" fillId="0" borderId="229" xfId="1" applyFont="1" applyBorder="1" applyAlignment="1">
      <alignment horizontal="center" vertical="center" wrapText="1"/>
    </xf>
    <xf numFmtId="43" fontId="0" fillId="0" borderId="0" xfId="1" applyFont="1"/>
    <xf numFmtId="43" fontId="0" fillId="0" borderId="213" xfId="1" applyFont="1" applyBorder="1"/>
    <xf numFmtId="43" fontId="62" fillId="0" borderId="254" xfId="1" applyFont="1" applyBorder="1" applyAlignment="1">
      <alignment horizontal="center" vertical="center" wrapText="1"/>
    </xf>
    <xf numFmtId="43" fontId="0" fillId="0" borderId="248" xfId="1" applyFont="1" applyBorder="1"/>
    <xf numFmtId="0" fontId="0" fillId="0" borderId="248" xfId="0" applyBorder="1" applyAlignment="1">
      <alignment vertical="center"/>
    </xf>
    <xf numFmtId="43" fontId="0" fillId="0" borderId="248" xfId="1" applyFont="1" applyBorder="1" applyAlignment="1">
      <alignment vertical="center"/>
    </xf>
    <xf numFmtId="0" fontId="62" fillId="0" borderId="254" xfId="0" applyFont="1" applyBorder="1" applyAlignment="1">
      <alignment horizontal="center" vertical="center"/>
    </xf>
    <xf numFmtId="43" fontId="62" fillId="0" borderId="254" xfId="1" applyFont="1" applyBorder="1" applyAlignment="1">
      <alignment horizontal="center" vertical="center"/>
    </xf>
    <xf numFmtId="0" fontId="81" fillId="0" borderId="0" xfId="0" applyFont="1"/>
    <xf numFmtId="0" fontId="19" fillId="0" borderId="111" xfId="81" applyFont="1" applyBorder="1" applyAlignment="1">
      <alignment vertical="top" wrapText="1"/>
    </xf>
    <xf numFmtId="0" fontId="19" fillId="0" borderId="5" xfId="65" applyFont="1" applyBorder="1" applyAlignment="1">
      <alignment horizontal="center" vertical="top" wrapText="1"/>
    </xf>
    <xf numFmtId="0" fontId="19" fillId="0" borderId="0" xfId="65" applyFont="1" applyAlignment="1">
      <alignment horizontal="center" vertical="top"/>
    </xf>
    <xf numFmtId="0" fontId="55" fillId="0" borderId="0" xfId="0" applyFont="1" applyAlignment="1">
      <alignment horizontal="justify" vertical="top"/>
    </xf>
    <xf numFmtId="0" fontId="31" fillId="0" borderId="0" xfId="65" applyFont="1" applyBorder="1" applyAlignment="1">
      <alignment horizontal="left" vertical="top"/>
    </xf>
    <xf numFmtId="0" fontId="32" fillId="0" borderId="0" xfId="65" applyFont="1" applyAlignment="1">
      <alignment horizontal="left" vertical="top"/>
    </xf>
    <xf numFmtId="0" fontId="19" fillId="0" borderId="239" xfId="65" applyFont="1" applyBorder="1" applyAlignment="1">
      <alignment horizontal="center" vertical="top"/>
    </xf>
    <xf numFmtId="0" fontId="21" fillId="0" borderId="239" xfId="65" applyFont="1" applyBorder="1" applyAlignment="1">
      <alignment horizontal="center" vertical="top"/>
    </xf>
    <xf numFmtId="0" fontId="19" fillId="0" borderId="239" xfId="65" applyFont="1" applyBorder="1" applyAlignment="1">
      <alignment vertical="top"/>
    </xf>
    <xf numFmtId="43" fontId="19" fillId="0" borderId="239" xfId="62" applyFont="1" applyBorder="1" applyAlignment="1">
      <alignment vertical="top"/>
    </xf>
    <xf numFmtId="0" fontId="19" fillId="0" borderId="239" xfId="65" applyFont="1" applyBorder="1" applyAlignment="1">
      <alignment vertical="top" wrapText="1"/>
    </xf>
    <xf numFmtId="17" fontId="19" fillId="0" borderId="239" xfId="65" applyNumberFormat="1" applyFont="1" applyBorder="1" applyAlignment="1">
      <alignment vertical="top"/>
    </xf>
    <xf numFmtId="0" fontId="19" fillId="0" borderId="239" xfId="65" applyFont="1" applyBorder="1" applyAlignment="1">
      <alignment horizontal="center" vertical="top" wrapText="1"/>
    </xf>
    <xf numFmtId="0" fontId="21" fillId="0" borderId="239" xfId="65" applyFont="1" applyBorder="1" applyAlignment="1">
      <alignment horizontal="center" vertical="top" wrapText="1"/>
    </xf>
    <xf numFmtId="43" fontId="19" fillId="0" borderId="239" xfId="62" applyFont="1" applyBorder="1" applyAlignment="1">
      <alignment vertical="top" wrapText="1"/>
    </xf>
    <xf numFmtId="0" fontId="19" fillId="0" borderId="254" xfId="58" applyFont="1" applyBorder="1" applyProtection="1">
      <protection locked="0"/>
    </xf>
    <xf numFmtId="0" fontId="62" fillId="0" borderId="264" xfId="0" applyFont="1" applyBorder="1" applyAlignment="1">
      <alignment vertical="center"/>
    </xf>
    <xf numFmtId="0" fontId="21" fillId="0" borderId="108" xfId="21" applyFont="1" applyBorder="1" applyAlignment="1">
      <alignment vertical="center"/>
    </xf>
    <xf numFmtId="43" fontId="21" fillId="0" borderId="108" xfId="21" applyNumberFormat="1" applyFont="1" applyBorder="1" applyAlignment="1">
      <alignment vertical="center"/>
    </xf>
    <xf numFmtId="0" fontId="19" fillId="0" borderId="0" xfId="21" applyAlignment="1">
      <alignment vertical="center"/>
    </xf>
    <xf numFmtId="0" fontId="55" fillId="0" borderId="0" xfId="0" applyFont="1" applyAlignment="1">
      <alignment horizontal="left" vertical="top"/>
    </xf>
    <xf numFmtId="0" fontId="0" fillId="0" borderId="254" xfId="0" applyBorder="1" applyAlignment="1">
      <alignment vertical="center" wrapText="1"/>
    </xf>
    <xf numFmtId="43" fontId="0" fillId="0" borderId="254" xfId="1" applyFont="1" applyBorder="1" applyAlignment="1">
      <alignment vertical="top"/>
    </xf>
    <xf numFmtId="0" fontId="21" fillId="0" borderId="0" xfId="21" applyFont="1" applyAlignment="1">
      <alignment vertical="center"/>
    </xf>
    <xf numFmtId="0" fontId="21" fillId="0" borderId="186" xfId="21" applyFont="1" applyBorder="1" applyAlignment="1">
      <alignment vertical="center"/>
    </xf>
    <xf numFmtId="0" fontId="21" fillId="0" borderId="107" xfId="21" applyFont="1" applyBorder="1" applyAlignment="1">
      <alignment horizontal="center" vertical="center"/>
    </xf>
    <xf numFmtId="0" fontId="19" fillId="0" borderId="108" xfId="21" applyBorder="1" applyAlignment="1">
      <alignment horizontal="center" vertical="center"/>
    </xf>
    <xf numFmtId="0" fontId="19" fillId="0" borderId="108" xfId="21" applyBorder="1" applyAlignment="1">
      <alignment vertical="center"/>
    </xf>
    <xf numFmtId="43" fontId="21" fillId="0" borderId="108" xfId="62" applyFont="1" applyBorder="1" applyAlignment="1">
      <alignment vertical="center"/>
    </xf>
    <xf numFmtId="0" fontId="19" fillId="0" borderId="212" xfId="98" applyFont="1" applyBorder="1" applyAlignment="1">
      <alignment vertical="top"/>
    </xf>
    <xf numFmtId="43" fontId="19" fillId="0" borderId="212" xfId="99" applyFont="1" applyBorder="1" applyAlignment="1">
      <alignment vertical="top"/>
    </xf>
    <xf numFmtId="3" fontId="19" fillId="0" borderId="212" xfId="1" applyNumberFormat="1" applyFont="1" applyBorder="1" applyAlignment="1">
      <alignment horizontal="center" vertical="top"/>
    </xf>
    <xf numFmtId="0" fontId="19" fillId="0" borderId="0" xfId="98" applyFont="1" applyAlignment="1">
      <alignment vertical="top"/>
    </xf>
    <xf numFmtId="0" fontId="62" fillId="0" borderId="254" xfId="0" applyFont="1" applyBorder="1" applyAlignment="1">
      <alignment vertical="top"/>
    </xf>
    <xf numFmtId="0" fontId="62" fillId="0" borderId="222" xfId="0" applyFont="1" applyBorder="1" applyAlignment="1">
      <alignment vertical="top"/>
    </xf>
    <xf numFmtId="0" fontId="62" fillId="0" borderId="256" xfId="0" applyFont="1" applyBorder="1" applyAlignment="1">
      <alignment horizontal="center" vertical="top"/>
    </xf>
    <xf numFmtId="0" fontId="62" fillId="0" borderId="211" xfId="0" applyFont="1" applyBorder="1" applyAlignment="1">
      <alignment vertical="top"/>
    </xf>
    <xf numFmtId="0" fontId="0" fillId="0" borderId="211" xfId="0" applyBorder="1" applyAlignment="1">
      <alignment horizontal="center" vertical="top"/>
    </xf>
    <xf numFmtId="0" fontId="0" fillId="0" borderId="256" xfId="0" applyBorder="1" applyAlignment="1">
      <alignment vertical="top"/>
    </xf>
    <xf numFmtId="0" fontId="62" fillId="0" borderId="256" xfId="0" applyFont="1" applyBorder="1" applyAlignment="1">
      <alignment vertical="top"/>
    </xf>
    <xf numFmtId="43" fontId="62" fillId="0" borderId="254" xfId="1" applyFont="1" applyBorder="1" applyAlignment="1">
      <alignment vertical="top"/>
    </xf>
    <xf numFmtId="0" fontId="19" fillId="0" borderId="0" xfId="43" applyFont="1" applyAlignment="1">
      <alignment horizontal="center" vertical="top"/>
    </xf>
    <xf numFmtId="0" fontId="18" fillId="0" borderId="0" xfId="43" applyFont="1" applyAlignment="1">
      <alignment horizontal="justify" vertical="top"/>
    </xf>
    <xf numFmtId="0" fontId="19" fillId="0" borderId="225" xfId="43" applyFont="1" applyBorder="1" applyAlignment="1">
      <alignment horizontal="justify" vertical="center"/>
    </xf>
    <xf numFmtId="43" fontId="21" fillId="0" borderId="225" xfId="18" applyFont="1" applyBorder="1" applyAlignment="1">
      <alignment horizontal="justify" vertical="center"/>
    </xf>
    <xf numFmtId="0" fontId="19" fillId="0" borderId="225" xfId="43" applyFont="1" applyBorder="1" applyAlignment="1">
      <alignment horizontal="left" vertical="center"/>
    </xf>
    <xf numFmtId="0" fontId="19" fillId="0" borderId="0" xfId="43" applyFont="1" applyAlignment="1">
      <alignment horizontal="justify" vertical="center"/>
    </xf>
    <xf numFmtId="0" fontId="20" fillId="0" borderId="225" xfId="43" applyFont="1" applyBorder="1" applyAlignment="1">
      <alignment horizontal="left" vertical="center"/>
    </xf>
    <xf numFmtId="0" fontId="34" fillId="0" borderId="104" xfId="26" applyFont="1" applyBorder="1" applyAlignment="1">
      <alignment horizontal="center" vertical="top"/>
    </xf>
    <xf numFmtId="0" fontId="0" fillId="0" borderId="259" xfId="0" applyBorder="1" applyAlignment="1">
      <alignment vertical="top"/>
    </xf>
    <xf numFmtId="43" fontId="27" fillId="0" borderId="254" xfId="1" applyFont="1" applyBorder="1" applyAlignment="1">
      <alignment vertical="top"/>
    </xf>
    <xf numFmtId="0" fontId="18" fillId="0" borderId="254" xfId="2" applyBorder="1" applyAlignment="1">
      <alignment vertical="top"/>
    </xf>
    <xf numFmtId="43" fontId="27" fillId="0" borderId="0" xfId="1" applyFont="1" applyBorder="1" applyAlignment="1">
      <alignment vertical="top" wrapText="1"/>
    </xf>
    <xf numFmtId="0" fontId="18" fillId="0" borderId="263" xfId="2" applyBorder="1" applyAlignment="1">
      <alignment vertical="top" wrapText="1"/>
    </xf>
    <xf numFmtId="0" fontId="18" fillId="0" borderId="263" xfId="2" applyBorder="1" applyAlignment="1">
      <alignment horizontal="left" vertical="top" wrapText="1"/>
    </xf>
    <xf numFmtId="43" fontId="27" fillId="0" borderId="263" xfId="1" applyFont="1" applyBorder="1" applyAlignment="1">
      <alignment vertical="top" wrapText="1"/>
    </xf>
    <xf numFmtId="49" fontId="18" fillId="0" borderId="263" xfId="2" applyNumberFormat="1" applyBorder="1" applyAlignment="1">
      <alignment vertical="top" wrapText="1"/>
    </xf>
    <xf numFmtId="0" fontId="18" fillId="0" borderId="195" xfId="2" applyBorder="1" applyAlignment="1">
      <alignment vertical="top" wrapText="1"/>
    </xf>
    <xf numFmtId="0" fontId="18" fillId="0" borderId="195" xfId="2" applyBorder="1" applyAlignment="1">
      <alignment horizontal="left" vertical="top" wrapText="1"/>
    </xf>
    <xf numFmtId="43" fontId="27" fillId="0" borderId="195" xfId="1" applyFont="1" applyBorder="1" applyAlignment="1">
      <alignment vertical="top" wrapText="1"/>
    </xf>
    <xf numFmtId="49" fontId="18" fillId="0" borderId="195" xfId="2" applyNumberFormat="1" applyBorder="1" applyAlignment="1">
      <alignment vertical="top" wrapText="1"/>
    </xf>
    <xf numFmtId="0" fontId="18" fillId="0" borderId="263" xfId="2" applyBorder="1" applyAlignment="1">
      <alignment vertical="top"/>
    </xf>
    <xf numFmtId="43" fontId="27" fillId="0" borderId="263" xfId="1" applyFont="1" applyBorder="1" applyAlignment="1">
      <alignment vertical="top"/>
    </xf>
    <xf numFmtId="49" fontId="19" fillId="0" borderId="263" xfId="2" applyNumberFormat="1" applyFont="1" applyBorder="1" applyAlignment="1">
      <alignment vertical="top"/>
    </xf>
    <xf numFmtId="43" fontId="27" fillId="0" borderId="0" xfId="1" applyFont="1" applyBorder="1" applyAlignment="1">
      <alignment vertical="top"/>
    </xf>
    <xf numFmtId="0" fontId="84" fillId="0" borderId="254" xfId="2" applyFont="1" applyBorder="1" applyAlignment="1">
      <alignment vertical="top"/>
    </xf>
    <xf numFmtId="49" fontId="18" fillId="0" borderId="254" xfId="2" applyNumberFormat="1" applyBorder="1" applyAlignment="1">
      <alignment vertical="top"/>
    </xf>
    <xf numFmtId="0" fontId="18" fillId="0" borderId="254" xfId="2" applyFont="1" applyBorder="1" applyAlignment="1">
      <alignment vertical="top" wrapText="1"/>
    </xf>
    <xf numFmtId="0" fontId="18" fillId="0" borderId="254" xfId="2" applyFont="1" applyFill="1" applyBorder="1" applyAlignment="1">
      <alignment vertical="top" wrapText="1"/>
    </xf>
    <xf numFmtId="0" fontId="18" fillId="0" borderId="263" xfId="2" applyFont="1" applyBorder="1" applyAlignment="1">
      <alignment vertical="top" wrapText="1"/>
    </xf>
    <xf numFmtId="49" fontId="18" fillId="0" borderId="263" xfId="2" applyNumberFormat="1" applyBorder="1" applyAlignment="1">
      <alignment vertical="top"/>
    </xf>
    <xf numFmtId="0" fontId="62" fillId="0" borderId="211" xfId="0" applyFont="1" applyBorder="1" applyAlignment="1">
      <alignment vertical="center"/>
    </xf>
    <xf numFmtId="0" fontId="62" fillId="0" borderId="267" xfId="0" applyFont="1" applyBorder="1" applyAlignment="1">
      <alignment vertical="top"/>
    </xf>
    <xf numFmtId="0" fontId="19" fillId="0" borderId="0" xfId="81" applyFont="1" applyBorder="1"/>
    <xf numFmtId="0" fontId="22" fillId="0" borderId="122" xfId="83" applyFont="1" applyBorder="1" applyAlignment="1">
      <alignment horizontal="center" vertical="top"/>
    </xf>
    <xf numFmtId="0" fontId="80" fillId="0" borderId="201" xfId="0" applyFont="1" applyBorder="1" applyAlignment="1">
      <alignment vertical="top" wrapText="1"/>
    </xf>
    <xf numFmtId="0" fontId="80" fillId="0" borderId="201" xfId="0" applyFont="1" applyBorder="1" applyAlignment="1">
      <alignment horizontal="center" vertical="top" wrapText="1"/>
    </xf>
    <xf numFmtId="0" fontId="92" fillId="0" borderId="224" xfId="0" applyFont="1" applyBorder="1" applyAlignment="1">
      <alignment vertical="top" wrapText="1"/>
    </xf>
    <xf numFmtId="0" fontId="92" fillId="0" borderId="210" xfId="0" applyFont="1" applyBorder="1" applyAlignment="1">
      <alignment vertical="top" wrapText="1"/>
    </xf>
    <xf numFmtId="43" fontId="0" fillId="0" borderId="210" xfId="1" applyFont="1" applyBorder="1" applyAlignment="1">
      <alignment vertical="top" wrapText="1"/>
    </xf>
    <xf numFmtId="0" fontId="0" fillId="0" borderId="199" xfId="0" applyFont="1" applyBorder="1" applyAlignment="1">
      <alignment vertical="top"/>
    </xf>
    <xf numFmtId="0" fontId="21" fillId="0" borderId="0" xfId="2" applyFont="1" applyAlignment="1" applyProtection="1">
      <alignment vertical="center"/>
      <protection locked="0"/>
    </xf>
    <xf numFmtId="0" fontId="21" fillId="0" borderId="0" xfId="24" applyFont="1" applyAlignment="1">
      <alignment horizontal="center"/>
    </xf>
    <xf numFmtId="0" fontId="28" fillId="0" borderId="0" xfId="100" applyFont="1" applyFill="1"/>
    <xf numFmtId="1" fontId="76" fillId="0" borderId="0" xfId="100" applyNumberFormat="1" applyFont="1" applyFill="1" applyAlignment="1">
      <alignment horizontal="center"/>
    </xf>
    <xf numFmtId="0" fontId="76" fillId="0" borderId="0" xfId="100" applyFont="1" applyFill="1"/>
    <xf numFmtId="177" fontId="76" fillId="0" borderId="0" xfId="100" applyNumberFormat="1" applyFont="1" applyFill="1"/>
    <xf numFmtId="0" fontId="18" fillId="0" borderId="0" xfId="100" applyFill="1"/>
    <xf numFmtId="0" fontId="28" fillId="0" borderId="0" xfId="100" applyFont="1" applyFill="1" applyAlignment="1">
      <alignment horizontal="center"/>
    </xf>
    <xf numFmtId="168" fontId="104" fillId="0" borderId="0" xfId="100" applyNumberFormat="1" applyFont="1" applyFill="1"/>
    <xf numFmtId="0" fontId="161" fillId="0" borderId="0" xfId="100" applyFont="1" applyFill="1"/>
    <xf numFmtId="0" fontId="48" fillId="0" borderId="280" xfId="100" applyFont="1" applyBorder="1" applyAlignment="1">
      <alignment horizontal="center"/>
    </xf>
    <xf numFmtId="0" fontId="162" fillId="0" borderId="280" xfId="100" applyFont="1" applyFill="1" applyBorder="1" applyAlignment="1">
      <alignment horizontal="center"/>
    </xf>
    <xf numFmtId="0" fontId="48" fillId="0" borderId="280" xfId="100" applyFont="1" applyFill="1" applyBorder="1" applyAlignment="1">
      <alignment horizontal="center"/>
    </xf>
    <xf numFmtId="177" fontId="48" fillId="0" borderId="0" xfId="100" applyNumberFormat="1" applyFont="1" applyBorder="1" applyAlignment="1">
      <alignment horizontal="center"/>
    </xf>
    <xf numFmtId="1" fontId="48" fillId="0" borderId="0" xfId="100" applyNumberFormat="1" applyFont="1" applyBorder="1" applyAlignment="1">
      <alignment horizontal="center"/>
    </xf>
    <xf numFmtId="0" fontId="49" fillId="0" borderId="0" xfId="100" applyFont="1" applyAlignment="1">
      <alignment horizontal="center"/>
    </xf>
    <xf numFmtId="0" fontId="22" fillId="0" borderId="0" xfId="100" applyFont="1" applyAlignment="1">
      <alignment horizontal="center"/>
    </xf>
    <xf numFmtId="0" fontId="48" fillId="0" borderId="248" xfId="100" applyFont="1" applyBorder="1" applyAlignment="1">
      <alignment horizontal="center"/>
    </xf>
    <xf numFmtId="0" fontId="162" fillId="0" borderId="248" xfId="100" applyFont="1" applyFill="1" applyBorder="1" applyAlignment="1">
      <alignment horizontal="center"/>
    </xf>
    <xf numFmtId="0" fontId="48" fillId="0" borderId="248" xfId="100" applyFont="1" applyFill="1" applyBorder="1" applyAlignment="1">
      <alignment horizontal="center"/>
    </xf>
    <xf numFmtId="0" fontId="49" fillId="0" borderId="0" xfId="100" applyFont="1" applyBorder="1" applyAlignment="1">
      <alignment horizontal="center"/>
    </xf>
    <xf numFmtId="0" fontId="22" fillId="0" borderId="0" xfId="100" applyFont="1" applyBorder="1" applyAlignment="1">
      <alignment horizontal="center"/>
    </xf>
    <xf numFmtId="0" fontId="46" fillId="0" borderId="212" xfId="100" applyFont="1" applyBorder="1"/>
    <xf numFmtId="0" fontId="46" fillId="0" borderId="212" xfId="100" applyFont="1" applyBorder="1" applyAlignment="1">
      <alignment horizontal="center"/>
    </xf>
    <xf numFmtId="168" fontId="102" fillId="0" borderId="212" xfId="100" applyNumberFormat="1" applyFont="1" applyFill="1" applyBorder="1" applyAlignment="1">
      <alignment horizontal="center"/>
    </xf>
    <xf numFmtId="0" fontId="163" fillId="0" borderId="212" xfId="100" applyFont="1" applyFill="1" applyBorder="1" applyAlignment="1">
      <alignment horizontal="center"/>
    </xf>
    <xf numFmtId="0" fontId="46" fillId="0" borderId="212" xfId="100" applyFont="1" applyFill="1" applyBorder="1" applyAlignment="1">
      <alignment horizontal="center"/>
    </xf>
    <xf numFmtId="1" fontId="41" fillId="0" borderId="212" xfId="100" applyNumberFormat="1" applyFont="1" applyFill="1" applyBorder="1" applyAlignment="1">
      <alignment horizontal="center"/>
    </xf>
    <xf numFmtId="0" fontId="41" fillId="0" borderId="212" xfId="100" applyFont="1" applyBorder="1" applyAlignment="1">
      <alignment horizontal="center"/>
    </xf>
    <xf numFmtId="177" fontId="41" fillId="0" borderId="0" xfId="100" applyNumberFormat="1" applyFont="1" applyBorder="1" applyAlignment="1">
      <alignment horizontal="center"/>
    </xf>
    <xf numFmtId="1" fontId="41" fillId="0" borderId="0" xfId="100" applyNumberFormat="1" applyFont="1" applyBorder="1" applyAlignment="1">
      <alignment horizontal="center"/>
    </xf>
    <xf numFmtId="0" fontId="49" fillId="0" borderId="0" xfId="100" applyFont="1"/>
    <xf numFmtId="0" fontId="18" fillId="0" borderId="0" xfId="100"/>
    <xf numFmtId="0" fontId="41" fillId="0" borderId="212" xfId="100" applyFont="1" applyBorder="1"/>
    <xf numFmtId="168" fontId="102" fillId="0" borderId="212" xfId="100" applyNumberFormat="1" applyFont="1" applyFill="1" applyBorder="1"/>
    <xf numFmtId="0" fontId="163" fillId="0" borderId="212" xfId="100" applyFont="1" applyFill="1" applyBorder="1"/>
    <xf numFmtId="0" fontId="46" fillId="0" borderId="212" xfId="100" applyFont="1" applyFill="1" applyBorder="1"/>
    <xf numFmtId="177" fontId="41" fillId="0" borderId="0" xfId="100" applyNumberFormat="1" applyFont="1" applyBorder="1"/>
    <xf numFmtId="0" fontId="41" fillId="0" borderId="45" xfId="100" applyFont="1" applyBorder="1" applyAlignment="1">
      <alignment horizontal="center"/>
    </xf>
    <xf numFmtId="0" fontId="41" fillId="0" borderId="45" xfId="100" applyNumberFormat="1" applyFont="1" applyBorder="1" applyAlignment="1" applyProtection="1">
      <alignment horizontal="center"/>
    </xf>
    <xf numFmtId="39" fontId="41" fillId="0" borderId="45" xfId="100" applyNumberFormat="1" applyFont="1" applyBorder="1" applyProtection="1"/>
    <xf numFmtId="168" fontId="102" fillId="0" borderId="45" xfId="100" applyNumberFormat="1" applyFont="1" applyFill="1" applyBorder="1" applyProtection="1"/>
    <xf numFmtId="39" fontId="163" fillId="0" borderId="45" xfId="100" applyNumberFormat="1" applyFont="1" applyFill="1" applyBorder="1" applyProtection="1"/>
    <xf numFmtId="39" fontId="41" fillId="0" borderId="45" xfId="100" applyNumberFormat="1" applyFont="1" applyFill="1" applyBorder="1" applyProtection="1"/>
    <xf numFmtId="1" fontId="41" fillId="0" borderId="45" xfId="100" applyNumberFormat="1" applyFont="1" applyFill="1" applyBorder="1" applyAlignment="1" applyProtection="1">
      <alignment horizontal="center"/>
    </xf>
    <xf numFmtId="177" fontId="41" fillId="0" borderId="0" xfId="100" applyNumberFormat="1" applyFont="1" applyBorder="1" applyProtection="1"/>
    <xf numFmtId="1" fontId="41" fillId="0" borderId="0" xfId="100" applyNumberFormat="1" applyFont="1" applyBorder="1" applyAlignment="1" applyProtection="1">
      <alignment horizontal="center"/>
    </xf>
    <xf numFmtId="39" fontId="49" fillId="0" borderId="0" xfId="100" applyNumberFormat="1" applyFont="1"/>
    <xf numFmtId="39" fontId="41" fillId="0" borderId="212" xfId="100" applyNumberFormat="1" applyFont="1" applyBorder="1" applyProtection="1"/>
    <xf numFmtId="168" fontId="102" fillId="0" borderId="212" xfId="100" applyNumberFormat="1" applyFont="1" applyFill="1" applyBorder="1" applyProtection="1"/>
    <xf numFmtId="39" fontId="163" fillId="0" borderId="212" xfId="100" applyNumberFormat="1" applyFont="1" applyFill="1" applyBorder="1" applyProtection="1"/>
    <xf numFmtId="39" fontId="41" fillId="0" borderId="212" xfId="100" applyNumberFormat="1" applyFont="1" applyFill="1" applyBorder="1" applyProtection="1"/>
    <xf numFmtId="1" fontId="41" fillId="0" borderId="212" xfId="100" applyNumberFormat="1" applyFont="1" applyFill="1" applyBorder="1" applyAlignment="1" applyProtection="1">
      <alignment horizontal="center"/>
    </xf>
    <xf numFmtId="168" fontId="102" fillId="0" borderId="212" xfId="5" applyNumberFormat="1" applyFont="1" applyFill="1" applyBorder="1" applyProtection="1"/>
    <xf numFmtId="43" fontId="163" fillId="0" borderId="212" xfId="5" applyNumberFormat="1" applyFont="1" applyFill="1" applyBorder="1" applyProtection="1"/>
    <xf numFmtId="43" fontId="46" fillId="0" borderId="212" xfId="5" applyFont="1" applyFill="1" applyBorder="1"/>
    <xf numFmtId="1" fontId="41" fillId="0" borderId="212" xfId="5" applyNumberFormat="1" applyFont="1" applyFill="1" applyBorder="1" applyAlignment="1">
      <alignment horizontal="center"/>
    </xf>
    <xf numFmtId="43" fontId="46" fillId="0" borderId="212" xfId="5" applyFont="1" applyFill="1" applyBorder="1" applyProtection="1"/>
    <xf numFmtId="1" fontId="41" fillId="0" borderId="212" xfId="5" applyNumberFormat="1" applyFont="1" applyFill="1" applyBorder="1" applyAlignment="1" applyProtection="1">
      <alignment horizontal="center"/>
    </xf>
    <xf numFmtId="168" fontId="102" fillId="0" borderId="212" xfId="5" applyNumberFormat="1" applyFont="1" applyFill="1" applyBorder="1"/>
    <xf numFmtId="43" fontId="163" fillId="0" borderId="212" xfId="5" applyFont="1" applyFill="1" applyBorder="1"/>
    <xf numFmtId="0" fontId="46" fillId="0" borderId="16" xfId="100" applyFont="1" applyBorder="1"/>
    <xf numFmtId="0" fontId="46" fillId="0" borderId="16" xfId="100" applyFont="1" applyBorder="1" applyAlignment="1">
      <alignment horizontal="center"/>
    </xf>
    <xf numFmtId="168" fontId="102" fillId="0" borderId="16" xfId="100" applyNumberFormat="1" applyFont="1" applyFill="1" applyBorder="1"/>
    <xf numFmtId="0" fontId="163" fillId="0" borderId="16" xfId="100" applyFont="1" applyFill="1" applyBorder="1"/>
    <xf numFmtId="0" fontId="46" fillId="0" borderId="16" xfId="100" applyFont="1" applyFill="1" applyBorder="1"/>
    <xf numFmtId="1" fontId="41" fillId="0" borderId="16" xfId="100" applyNumberFormat="1" applyFont="1" applyFill="1" applyBorder="1" applyAlignment="1">
      <alignment horizontal="center"/>
    </xf>
    <xf numFmtId="0" fontId="41" fillId="0" borderId="16" xfId="100" applyFont="1" applyBorder="1"/>
    <xf numFmtId="0" fontId="41" fillId="0" borderId="246" xfId="100" applyFont="1" applyBorder="1" applyAlignment="1">
      <alignment horizontal="center"/>
    </xf>
    <xf numFmtId="0" fontId="41" fillId="0" borderId="246" xfId="100" applyNumberFormat="1" applyFont="1" applyBorder="1" applyAlignment="1" applyProtection="1">
      <alignment horizontal="center"/>
    </xf>
    <xf numFmtId="39" fontId="41" fillId="0" borderId="246" xfId="100" applyNumberFormat="1" applyFont="1" applyBorder="1" applyProtection="1"/>
    <xf numFmtId="168" fontId="102" fillId="0" borderId="246" xfId="100" applyNumberFormat="1" applyFont="1" applyFill="1" applyBorder="1" applyProtection="1"/>
    <xf numFmtId="39" fontId="163" fillId="0" borderId="246" xfId="100" applyNumberFormat="1" applyFont="1" applyFill="1" applyBorder="1" applyProtection="1"/>
    <xf numFmtId="39" fontId="41" fillId="0" borderId="246" xfId="100" applyNumberFormat="1" applyFont="1" applyFill="1" applyBorder="1" applyProtection="1"/>
    <xf numFmtId="1" fontId="41" fillId="0" borderId="246" xfId="100" applyNumberFormat="1" applyFont="1" applyFill="1" applyBorder="1" applyAlignment="1" applyProtection="1">
      <alignment horizontal="center"/>
    </xf>
    <xf numFmtId="0" fontId="49" fillId="0" borderId="0" xfId="100" applyFont="1" applyFill="1"/>
    <xf numFmtId="168" fontId="105" fillId="0" borderId="0" xfId="100" applyNumberFormat="1" applyFont="1" applyFill="1"/>
    <xf numFmtId="0" fontId="164" fillId="0" borderId="0" xfId="100" applyFont="1" applyFill="1"/>
    <xf numFmtId="1" fontId="50" fillId="0" borderId="0" xfId="100" applyNumberFormat="1" applyFont="1" applyFill="1" applyAlignment="1">
      <alignment horizontal="center"/>
    </xf>
    <xf numFmtId="0" fontId="50" fillId="0" borderId="0" xfId="100" applyFont="1"/>
    <xf numFmtId="177" fontId="50" fillId="0" borderId="0" xfId="100" applyNumberFormat="1" applyFont="1"/>
    <xf numFmtId="1" fontId="50" fillId="0" borderId="0" xfId="100" applyNumberFormat="1" applyFont="1" applyAlignment="1">
      <alignment horizontal="center"/>
    </xf>
    <xf numFmtId="0" fontId="18" fillId="0" borderId="0" xfId="100" applyAlignment="1">
      <alignment horizontal="center"/>
    </xf>
    <xf numFmtId="0" fontId="41" fillId="0" borderId="212" xfId="100" applyFont="1" applyFill="1" applyBorder="1"/>
    <xf numFmtId="0" fontId="41" fillId="0" borderId="212" xfId="100" applyFont="1" applyFill="1" applyBorder="1" applyAlignment="1">
      <alignment horizontal="center"/>
    </xf>
    <xf numFmtId="43" fontId="46" fillId="0" borderId="212" xfId="5" applyNumberFormat="1" applyFont="1" applyFill="1" applyBorder="1" applyProtection="1"/>
    <xf numFmtId="39" fontId="46" fillId="0" borderId="212" xfId="100" applyNumberFormat="1" applyFont="1" applyFill="1" applyBorder="1" applyProtection="1"/>
    <xf numFmtId="43" fontId="41" fillId="0" borderId="212" xfId="5" applyNumberFormat="1" applyFont="1" applyFill="1" applyBorder="1" applyProtection="1"/>
    <xf numFmtId="177" fontId="41" fillId="0" borderId="0" xfId="5" applyNumberFormat="1" applyFont="1" applyFill="1" applyBorder="1" applyProtection="1"/>
    <xf numFmtId="1" fontId="41" fillId="0" borderId="0" xfId="5" applyNumberFormat="1" applyFont="1" applyFill="1" applyBorder="1" applyAlignment="1" applyProtection="1">
      <alignment horizontal="center"/>
    </xf>
    <xf numFmtId="43" fontId="41" fillId="0" borderId="212" xfId="5" applyFont="1" applyFill="1" applyBorder="1" applyProtection="1"/>
    <xf numFmtId="43" fontId="46" fillId="0" borderId="212" xfId="5" applyFont="1" applyFill="1" applyBorder="1" applyAlignment="1">
      <alignment horizontal="center"/>
    </xf>
    <xf numFmtId="43" fontId="41" fillId="0" borderId="212" xfId="5" applyFont="1" applyFill="1" applyBorder="1" applyAlignment="1">
      <alignment horizontal="center"/>
    </xf>
    <xf numFmtId="177" fontId="41" fillId="0" borderId="0" xfId="100" applyNumberFormat="1" applyFont="1" applyFill="1" applyBorder="1"/>
    <xf numFmtId="1" fontId="41" fillId="0" borderId="0" xfId="100" applyNumberFormat="1" applyFont="1" applyFill="1" applyBorder="1" applyAlignment="1">
      <alignment horizontal="center"/>
    </xf>
    <xf numFmtId="0" fontId="41" fillId="0" borderId="45" xfId="100" applyFont="1" applyFill="1" applyBorder="1" applyAlignment="1">
      <alignment horizontal="center"/>
    </xf>
    <xf numFmtId="0" fontId="41" fillId="0" borderId="45" xfId="100" applyNumberFormat="1" applyFont="1" applyFill="1" applyBorder="1" applyAlignment="1" applyProtection="1">
      <alignment horizontal="center"/>
    </xf>
    <xf numFmtId="177" fontId="41" fillId="0" borderId="0" xfId="100" applyNumberFormat="1" applyFont="1" applyFill="1" applyBorder="1" applyProtection="1"/>
    <xf numFmtId="1" fontId="41" fillId="0" borderId="0" xfId="100" applyNumberFormat="1" applyFont="1" applyFill="1" applyBorder="1" applyAlignment="1" applyProtection="1">
      <alignment horizontal="center"/>
    </xf>
    <xf numFmtId="43" fontId="41" fillId="0" borderId="212" xfId="5" applyFont="1" applyFill="1" applyBorder="1"/>
    <xf numFmtId="0" fontId="101" fillId="0" borderId="0" xfId="100" applyFont="1" applyFill="1"/>
    <xf numFmtId="177" fontId="41" fillId="0" borderId="0" xfId="5" applyNumberFormat="1" applyFont="1" applyFill="1" applyBorder="1"/>
    <xf numFmtId="1" fontId="41" fillId="0" borderId="0" xfId="5" applyNumberFormat="1" applyFont="1" applyFill="1" applyBorder="1" applyAlignment="1">
      <alignment horizontal="center"/>
    </xf>
    <xf numFmtId="0" fontId="165" fillId="0" borderId="0" xfId="100" applyFont="1" applyFill="1" applyAlignment="1"/>
    <xf numFmtId="0" fontId="165" fillId="0" borderId="0" xfId="100" applyFont="1" applyFill="1" applyAlignment="1">
      <alignment horizontal="center"/>
    </xf>
    <xf numFmtId="168" fontId="166" fillId="0" borderId="0" xfId="100" applyNumberFormat="1" applyFont="1" applyFill="1" applyAlignment="1"/>
    <xf numFmtId="0" fontId="167" fillId="0" borderId="0" xfId="100" applyFont="1" applyFill="1" applyAlignment="1"/>
    <xf numFmtId="0" fontId="169" fillId="0" borderId="0" xfId="100" applyFont="1" applyFill="1"/>
    <xf numFmtId="1" fontId="170" fillId="0" borderId="0" xfId="100" applyNumberFormat="1" applyFont="1" applyFill="1" applyAlignment="1">
      <alignment horizontal="center"/>
    </xf>
    <xf numFmtId="0" fontId="170" fillId="0" borderId="0" xfId="100" applyFont="1" applyFill="1"/>
    <xf numFmtId="177" fontId="170" fillId="0" borderId="0" xfId="100" applyNumberFormat="1" applyFont="1" applyFill="1"/>
    <xf numFmtId="0" fontId="108" fillId="0" borderId="0" xfId="100" applyFont="1" applyFill="1"/>
    <xf numFmtId="39" fontId="19" fillId="0" borderId="0" xfId="74" applyNumberFormat="1" applyFont="1" applyFill="1"/>
    <xf numFmtId="43" fontId="34" fillId="0" borderId="239" xfId="74" applyNumberFormat="1" applyFont="1" applyFill="1" applyBorder="1" applyAlignment="1">
      <alignment horizontal="center"/>
    </xf>
    <xf numFmtId="43" fontId="34" fillId="0" borderId="0" xfId="74" applyNumberFormat="1" applyFont="1" applyFill="1" applyBorder="1" applyAlignment="1">
      <alignment horizontal="center" vertical="center" wrapText="1"/>
    </xf>
    <xf numFmtId="43" fontId="19" fillId="0" borderId="34" xfId="74" applyNumberFormat="1" applyFont="1" applyFill="1" applyBorder="1" applyAlignment="1">
      <alignment horizontal="center"/>
    </xf>
    <xf numFmtId="43" fontId="19" fillId="0" borderId="0" xfId="93" applyNumberFormat="1" applyFont="1" applyFill="1" applyBorder="1" applyAlignment="1">
      <alignment horizontal="center"/>
    </xf>
    <xf numFmtId="39" fontId="21" fillId="0" borderId="46" xfId="74" applyNumberFormat="1" applyFont="1" applyFill="1" applyBorder="1" applyProtection="1"/>
    <xf numFmtId="0" fontId="19" fillId="0" borderId="17" xfId="74" applyFont="1" applyFill="1" applyBorder="1"/>
    <xf numFmtId="43" fontId="34" fillId="0" borderId="30" xfId="74" applyNumberFormat="1" applyFont="1" applyFill="1" applyBorder="1" applyAlignment="1">
      <alignment horizontal="center"/>
    </xf>
    <xf numFmtId="43" fontId="34" fillId="0" borderId="285" xfId="74" applyNumberFormat="1" applyFont="1" applyFill="1" applyBorder="1" applyAlignment="1">
      <alignment horizontal="center" vertical="center" wrapText="1"/>
    </xf>
    <xf numFmtId="43" fontId="19" fillId="0" borderId="36" xfId="74" applyNumberFormat="1" applyFont="1" applyFill="1" applyBorder="1" applyAlignment="1">
      <alignment horizontal="center"/>
    </xf>
    <xf numFmtId="43" fontId="19" fillId="0" borderId="285" xfId="93" applyNumberFormat="1" applyFont="1" applyFill="1" applyBorder="1" applyAlignment="1">
      <alignment horizontal="center"/>
    </xf>
    <xf numFmtId="39" fontId="21" fillId="0" borderId="286" xfId="74" applyNumberFormat="1" applyFont="1" applyFill="1" applyBorder="1" applyProtection="1"/>
    <xf numFmtId="0" fontId="19" fillId="0" borderId="260" xfId="74" applyFont="1" applyFill="1" applyBorder="1"/>
    <xf numFmtId="39" fontId="21" fillId="0" borderId="255" xfId="74" applyNumberFormat="1" applyFont="1" applyFill="1" applyBorder="1" applyProtection="1"/>
    <xf numFmtId="0" fontId="21" fillId="0" borderId="0" xfId="24" applyFont="1" applyAlignment="1">
      <alignment horizontal="center"/>
    </xf>
    <xf numFmtId="43" fontId="19" fillId="0" borderId="0" xfId="1" applyFont="1" applyAlignment="1">
      <alignment horizontal="center" vertical="top"/>
    </xf>
    <xf numFmtId="43" fontId="27" fillId="0" borderId="120" xfId="1" applyFont="1" applyBorder="1" applyAlignment="1">
      <alignment horizontal="center"/>
    </xf>
    <xf numFmtId="43" fontId="62" fillId="0" borderId="5" xfId="1" applyFont="1" applyBorder="1" applyAlignment="1">
      <alignment horizontal="center"/>
    </xf>
    <xf numFmtId="43" fontId="0" fillId="0" borderId="5" xfId="1" applyFont="1" applyBorder="1"/>
    <xf numFmtId="43" fontId="0" fillId="0" borderId="10" xfId="1" applyFont="1" applyBorder="1"/>
    <xf numFmtId="43" fontId="0" fillId="0" borderId="18" xfId="1" applyFont="1" applyBorder="1"/>
    <xf numFmtId="43" fontId="17" fillId="0" borderId="5" xfId="1" applyFont="1" applyBorder="1"/>
    <xf numFmtId="43" fontId="63" fillId="0" borderId="5" xfId="1" applyFont="1" applyBorder="1"/>
    <xf numFmtId="43" fontId="18" fillId="0" borderId="5" xfId="1" applyFont="1" applyBorder="1" applyAlignment="1">
      <alignment horizontal="center"/>
    </xf>
    <xf numFmtId="0" fontId="19" fillId="0" borderId="5" xfId="58" applyFont="1" applyBorder="1"/>
    <xf numFmtId="0" fontId="112" fillId="0" borderId="0" xfId="0" applyFont="1" applyAlignment="1"/>
    <xf numFmtId="0" fontId="74" fillId="0" borderId="0" xfId="0" applyFont="1" applyAlignment="1"/>
    <xf numFmtId="41" fontId="19" fillId="0" borderId="0" xfId="65" applyNumberFormat="1"/>
    <xf numFmtId="43" fontId="19" fillId="0" borderId="0" xfId="1" applyNumberFormat="1" applyFont="1"/>
    <xf numFmtId="43" fontId="21" fillId="0" borderId="120" xfId="1" applyNumberFormat="1" applyFont="1" applyBorder="1" applyAlignment="1">
      <alignment horizontal="center"/>
    </xf>
    <xf numFmtId="43" fontId="27" fillId="0" borderId="5" xfId="1" applyNumberFormat="1" applyFont="1" applyBorder="1" applyAlignment="1">
      <alignment horizontal="center"/>
    </xf>
    <xf numFmtId="43" fontId="18" fillId="0" borderId="18" xfId="1" applyNumberFormat="1" applyFont="1" applyBorder="1"/>
    <xf numFmtId="43" fontId="18" fillId="0" borderId="5" xfId="1" applyNumberFormat="1" applyFont="1" applyBorder="1"/>
    <xf numFmtId="43" fontId="18" fillId="0" borderId="10" xfId="1" applyNumberFormat="1" applyFont="1" applyBorder="1"/>
    <xf numFmtId="43" fontId="19" fillId="0" borderId="5" xfId="1" applyNumberFormat="1" applyFont="1" applyBorder="1"/>
    <xf numFmtId="0" fontId="17" fillId="0" borderId="0" xfId="92" applyAlignment="1">
      <alignment horizontal="left" vertical="top"/>
    </xf>
    <xf numFmtId="0" fontId="125" fillId="0" borderId="0" xfId="92" applyFont="1" applyAlignment="1"/>
    <xf numFmtId="0" fontId="17" fillId="0" borderId="0" xfId="92" applyAlignment="1"/>
    <xf numFmtId="0" fontId="0" fillId="0" borderId="242" xfId="0" applyBorder="1" applyAlignment="1">
      <alignment vertical="top" wrapText="1"/>
    </xf>
    <xf numFmtId="0" fontId="27" fillId="0" borderId="0" xfId="73" applyFont="1"/>
    <xf numFmtId="0" fontId="21" fillId="0" borderId="0" xfId="73" applyFont="1" applyAlignment="1">
      <alignment horizontal="left"/>
    </xf>
    <xf numFmtId="0" fontId="19" fillId="0" borderId="0" xfId="73" applyAlignment="1">
      <alignment horizontal="left"/>
    </xf>
    <xf numFmtId="0" fontId="21" fillId="0" borderId="0" xfId="73" applyFont="1" applyAlignment="1"/>
    <xf numFmtId="0" fontId="19" fillId="0" borderId="0" xfId="73" applyAlignment="1"/>
    <xf numFmtId="0" fontId="27" fillId="0" borderId="0" xfId="21" applyFont="1"/>
    <xf numFmtId="0" fontId="18" fillId="0" borderId="0" xfId="21" applyFont="1"/>
    <xf numFmtId="0" fontId="21" fillId="0" borderId="0" xfId="24" applyFont="1" applyAlignment="1"/>
    <xf numFmtId="43" fontId="18" fillId="0" borderId="0" xfId="1" applyFont="1" applyAlignment="1">
      <alignment vertical="top"/>
    </xf>
    <xf numFmtId="0" fontId="62" fillId="0" borderId="0" xfId="0" applyFont="1" applyAlignment="1">
      <alignment horizontal="center" vertical="top"/>
    </xf>
    <xf numFmtId="43" fontId="62" fillId="0" borderId="224" xfId="1" applyFont="1" applyBorder="1" applyAlignment="1">
      <alignment horizontal="center" vertical="top"/>
    </xf>
    <xf numFmtId="43" fontId="62" fillId="0" borderId="224" xfId="1" applyFont="1" applyBorder="1" applyAlignment="1">
      <alignment horizontal="center" vertical="top" wrapText="1"/>
    </xf>
    <xf numFmtId="39" fontId="161" fillId="0" borderId="0" xfId="100" applyNumberFormat="1" applyFont="1" applyFill="1"/>
    <xf numFmtId="0" fontId="62" fillId="0" borderId="279" xfId="0" applyFont="1" applyBorder="1" applyAlignment="1">
      <alignment horizontal="center" vertical="center"/>
    </xf>
    <xf numFmtId="43" fontId="62" fillId="0" borderId="279" xfId="1" applyFont="1" applyBorder="1" applyAlignment="1">
      <alignment horizontal="center" vertical="center"/>
    </xf>
    <xf numFmtId="0" fontId="0" fillId="0" borderId="254" xfId="0" applyFont="1" applyBorder="1" applyAlignment="1">
      <alignment vertical="center"/>
    </xf>
    <xf numFmtId="43" fontId="17" fillId="0" borderId="254" xfId="1" applyFont="1" applyBorder="1" applyAlignment="1">
      <alignment vertical="center"/>
    </xf>
    <xf numFmtId="0" fontId="0" fillId="0" borderId="280" xfId="0" applyBorder="1" applyAlignment="1">
      <alignment vertical="center"/>
    </xf>
    <xf numFmtId="43" fontId="0" fillId="0" borderId="280" xfId="1" applyFont="1" applyBorder="1" applyAlignment="1">
      <alignment vertical="center"/>
    </xf>
    <xf numFmtId="0" fontId="62" fillId="0" borderId="279" xfId="0" applyFont="1" applyBorder="1" applyAlignment="1">
      <alignment vertical="center"/>
    </xf>
    <xf numFmtId="43" fontId="0" fillId="0" borderId="279" xfId="1" applyFont="1" applyBorder="1" applyAlignment="1">
      <alignment vertical="center"/>
    </xf>
    <xf numFmtId="43" fontId="62" fillId="0" borderId="279" xfId="1" applyFont="1" applyBorder="1" applyAlignment="1">
      <alignment vertical="center"/>
    </xf>
    <xf numFmtId="0" fontId="0" fillId="0" borderId="254" xfId="0" applyFont="1" applyBorder="1"/>
    <xf numFmtId="43" fontId="62" fillId="0" borderId="279" xfId="1" applyFont="1" applyBorder="1" applyAlignment="1">
      <alignment horizontal="center" vertical="center" wrapText="1"/>
    </xf>
    <xf numFmtId="43" fontId="62" fillId="0" borderId="265" xfId="1" applyFont="1" applyBorder="1" applyAlignment="1">
      <alignment horizontal="center" vertical="center" wrapText="1"/>
    </xf>
    <xf numFmtId="0" fontId="62" fillId="0" borderId="280" xfId="0" applyFont="1" applyBorder="1" applyAlignment="1">
      <alignment horizontal="center" vertical="center" wrapText="1"/>
    </xf>
    <xf numFmtId="43" fontId="62" fillId="0" borderId="280" xfId="1" applyFont="1" applyBorder="1" applyAlignment="1">
      <alignment horizontal="center" vertical="center" wrapText="1"/>
    </xf>
    <xf numFmtId="0" fontId="0" fillId="0" borderId="275" xfId="0" applyFont="1" applyBorder="1" applyAlignment="1"/>
    <xf numFmtId="0" fontId="0" fillId="0" borderId="279" xfId="0" applyFont="1" applyBorder="1" applyAlignment="1">
      <alignment horizontal="center" vertical="center" wrapText="1"/>
    </xf>
    <xf numFmtId="43" fontId="17" fillId="0" borderId="279" xfId="1" applyFont="1" applyBorder="1" applyAlignment="1">
      <alignment horizontal="center" vertical="center" wrapText="1"/>
    </xf>
    <xf numFmtId="0" fontId="62" fillId="0" borderId="279" xfId="0" applyFont="1" applyBorder="1" applyAlignment="1">
      <alignment horizontal="center" vertical="center" wrapText="1"/>
    </xf>
    <xf numFmtId="0" fontId="0" fillId="0" borderId="281" xfId="0" applyBorder="1" applyAlignment="1">
      <alignment horizontal="center" vertical="center"/>
    </xf>
    <xf numFmtId="0" fontId="0" fillId="0" borderId="279" xfId="0" applyBorder="1" applyAlignment="1">
      <alignment vertical="top" wrapText="1"/>
    </xf>
    <xf numFmtId="43" fontId="0" fillId="0" borderId="279" xfId="1" applyFont="1" applyBorder="1" applyAlignment="1">
      <alignment vertical="top" wrapText="1"/>
    </xf>
    <xf numFmtId="43" fontId="0" fillId="0" borderId="279" xfId="1" applyFont="1" applyBorder="1" applyAlignment="1">
      <alignment vertical="top"/>
    </xf>
    <xf numFmtId="0" fontId="62" fillId="0" borderId="279" xfId="0" applyFont="1" applyBorder="1" applyAlignment="1">
      <alignment horizontal="center" vertical="top" wrapText="1"/>
    </xf>
    <xf numFmtId="43" fontId="62" fillId="0" borderId="248" xfId="1" applyFont="1" applyBorder="1" applyAlignment="1">
      <alignment horizontal="center" vertical="center" wrapText="1"/>
    </xf>
    <xf numFmtId="43" fontId="62" fillId="0" borderId="288" xfId="1" applyFont="1" applyBorder="1" applyAlignment="1">
      <alignment horizontal="center" vertical="center"/>
    </xf>
    <xf numFmtId="0" fontId="92" fillId="0" borderId="201" xfId="0" applyFont="1" applyBorder="1" applyAlignment="1">
      <alignment vertical="center"/>
    </xf>
    <xf numFmtId="43" fontId="92" fillId="0" borderId="201" xfId="1" applyFont="1" applyBorder="1" applyAlignment="1">
      <alignment vertical="center"/>
    </xf>
    <xf numFmtId="43" fontId="92" fillId="0" borderId="279" xfId="1" applyFont="1" applyBorder="1" applyAlignment="1">
      <alignment vertical="center"/>
    </xf>
    <xf numFmtId="0" fontId="92" fillId="0" borderId="0" xfId="0" applyFont="1" applyAlignment="1">
      <alignment vertical="center"/>
    </xf>
    <xf numFmtId="0" fontId="80" fillId="0" borderId="201" xfId="0" applyFont="1" applyBorder="1" applyAlignment="1">
      <alignment vertical="center"/>
    </xf>
    <xf numFmtId="43" fontId="80" fillId="0" borderId="201" xfId="1" applyFont="1" applyBorder="1" applyAlignment="1">
      <alignment vertical="center"/>
    </xf>
    <xf numFmtId="43" fontId="80" fillId="0" borderId="279" xfId="1" applyFont="1" applyBorder="1" applyAlignment="1">
      <alignment vertical="center"/>
    </xf>
    <xf numFmtId="0" fontId="80" fillId="0" borderId="0" xfId="0" applyFont="1" applyAlignment="1">
      <alignment vertical="center"/>
    </xf>
    <xf numFmtId="0" fontId="92" fillId="0" borderId="224" xfId="0" applyFont="1" applyBorder="1" applyAlignment="1">
      <alignment vertical="center"/>
    </xf>
    <xf numFmtId="43" fontId="92" fillId="0" borderId="224" xfId="1" applyFont="1" applyBorder="1" applyAlignment="1">
      <alignment vertical="center"/>
    </xf>
    <xf numFmtId="43" fontId="17" fillId="0" borderId="279" xfId="1" applyFont="1" applyBorder="1" applyAlignment="1">
      <alignment vertical="top"/>
    </xf>
    <xf numFmtId="0" fontId="62" fillId="0" borderId="275" xfId="0" applyFont="1" applyBorder="1" applyAlignment="1">
      <alignment horizontal="center" vertical="top"/>
    </xf>
    <xf numFmtId="43" fontId="62" fillId="0" borderId="279" xfId="1" applyFont="1" applyBorder="1" applyAlignment="1">
      <alignment horizontal="center" vertical="top"/>
    </xf>
    <xf numFmtId="0" fontId="62" fillId="0" borderId="256" xfId="0" applyFont="1" applyBorder="1" applyAlignment="1">
      <alignment horizontal="center" vertical="top" wrapText="1"/>
    </xf>
    <xf numFmtId="0" fontId="62" fillId="0" borderId="275" xfId="0" applyFont="1" applyBorder="1" applyAlignment="1">
      <alignment vertical="center"/>
    </xf>
    <xf numFmtId="43" fontId="62" fillId="0" borderId="279" xfId="1" applyFont="1" applyBorder="1" applyAlignment="1">
      <alignment horizontal="center" vertical="top" wrapText="1"/>
    </xf>
    <xf numFmtId="0" fontId="0" fillId="0" borderId="275" xfId="0" applyBorder="1" applyAlignment="1">
      <alignment vertical="top"/>
    </xf>
    <xf numFmtId="43" fontId="62" fillId="0" borderId="199" xfId="1" applyFont="1" applyBorder="1" applyAlignment="1">
      <alignment vertical="top"/>
    </xf>
    <xf numFmtId="0" fontId="27" fillId="0" borderId="0" xfId="30" applyFont="1" applyAlignment="1" applyProtection="1">
      <alignment vertical="top"/>
      <protection locked="0"/>
    </xf>
    <xf numFmtId="0" fontId="0" fillId="0" borderId="259" xfId="0" applyFont="1" applyBorder="1" applyAlignment="1">
      <alignment vertical="top"/>
    </xf>
    <xf numFmtId="0" fontId="0" fillId="0" borderId="259" xfId="0" applyFont="1" applyBorder="1" applyAlignment="1">
      <alignment horizontal="left" vertical="top"/>
    </xf>
    <xf numFmtId="0" fontId="19" fillId="0" borderId="199" xfId="58" applyFont="1" applyBorder="1" applyAlignment="1">
      <alignment vertical="top" wrapText="1"/>
    </xf>
    <xf numFmtId="0" fontId="19" fillId="0" borderId="199" xfId="58" applyFont="1" applyBorder="1" applyAlignment="1">
      <alignment horizontal="left" vertical="top" wrapText="1"/>
    </xf>
    <xf numFmtId="0" fontId="62" fillId="0" borderId="199" xfId="0" applyFont="1" applyBorder="1" applyAlignment="1">
      <alignment horizontal="center" vertical="top"/>
    </xf>
    <xf numFmtId="0" fontId="62" fillId="0" borderId="275" xfId="0" applyFont="1" applyBorder="1" applyAlignment="1">
      <alignment vertical="top"/>
    </xf>
    <xf numFmtId="0" fontId="0" fillId="0" borderId="275" xfId="0" applyFont="1" applyBorder="1" applyAlignment="1">
      <alignment vertical="top"/>
    </xf>
    <xf numFmtId="0" fontId="21" fillId="0" borderId="199" xfId="65" applyFont="1" applyBorder="1" applyAlignment="1">
      <alignment vertical="top" wrapText="1"/>
    </xf>
    <xf numFmtId="0" fontId="62" fillId="0" borderId="287" xfId="0" applyFont="1" applyBorder="1" applyAlignment="1">
      <alignment vertical="top"/>
    </xf>
    <xf numFmtId="43" fontId="62" fillId="0" borderId="280" xfId="1" applyFont="1" applyBorder="1" applyAlignment="1">
      <alignment vertical="top"/>
    </xf>
    <xf numFmtId="4" fontId="19" fillId="0" borderId="279" xfId="65" applyNumberFormat="1" applyFont="1" applyBorder="1" applyAlignment="1">
      <alignment vertical="top" wrapText="1"/>
    </xf>
    <xf numFmtId="0" fontId="111" fillId="0" borderId="265" xfId="87" applyFont="1" applyBorder="1"/>
    <xf numFmtId="4" fontId="115" fillId="0" borderId="265" xfId="87" applyNumberFormat="1" applyFont="1" applyBorder="1"/>
    <xf numFmtId="0" fontId="19" fillId="0" borderId="265" xfId="87" applyBorder="1"/>
    <xf numFmtId="4" fontId="21" fillId="0" borderId="265" xfId="87" applyNumberFormat="1" applyFont="1" applyBorder="1"/>
    <xf numFmtId="0" fontId="18" fillId="0" borderId="0" xfId="2" applyAlignment="1"/>
    <xf numFmtId="4" fontId="129" fillId="0" borderId="117" xfId="35" applyNumberFormat="1" applyFont="1" applyBorder="1"/>
    <xf numFmtId="0" fontId="21" fillId="0" borderId="291" xfId="21" applyFont="1" applyBorder="1"/>
    <xf numFmtId="0" fontId="72" fillId="0" borderId="0" xfId="0" applyFont="1" applyAlignment="1">
      <alignment horizontal="justify"/>
    </xf>
    <xf numFmtId="0" fontId="72" fillId="0" borderId="0" xfId="0" applyFont="1" applyAlignment="1">
      <alignment horizontal="left"/>
    </xf>
    <xf numFmtId="0" fontId="112" fillId="0" borderId="66" xfId="0" applyFont="1" applyBorder="1" applyAlignment="1">
      <alignment horizontal="center" vertical="top" wrapText="1"/>
    </xf>
    <xf numFmtId="0" fontId="18" fillId="0" borderId="0" xfId="43" applyFont="1" applyAlignment="1">
      <alignment horizontal="justify" vertical="top" wrapText="1"/>
    </xf>
    <xf numFmtId="0" fontId="88" fillId="0" borderId="128" xfId="33" quotePrefix="1" applyFont="1" applyBorder="1" applyAlignment="1">
      <alignment horizontal="center" vertical="top"/>
    </xf>
    <xf numFmtId="0" fontId="19" fillId="0" borderId="111" xfId="81" applyFont="1" applyBorder="1" applyAlignment="1">
      <alignment vertical="top" wrapText="1"/>
    </xf>
    <xf numFmtId="0" fontId="21" fillId="0" borderId="104" xfId="81" applyFont="1" applyBorder="1" applyAlignment="1">
      <alignment horizontal="center" vertical="top" wrapText="1"/>
    </xf>
    <xf numFmtId="0" fontId="21" fillId="0" borderId="111" xfId="81" applyFont="1" applyBorder="1" applyAlignment="1">
      <alignment horizontal="center" vertical="top" wrapText="1"/>
    </xf>
    <xf numFmtId="0" fontId="21" fillId="0" borderId="107" xfId="81" applyFont="1" applyBorder="1" applyAlignment="1">
      <alignment horizontal="center" vertical="top" wrapText="1"/>
    </xf>
    <xf numFmtId="0" fontId="22" fillId="0" borderId="0" xfId="73" applyFont="1" applyAlignment="1">
      <alignment horizontal="center" vertical="center"/>
    </xf>
    <xf numFmtId="0" fontId="72" fillId="0" borderId="0" xfId="0" applyFont="1" applyFill="1" applyAlignment="1">
      <alignment horizontal="left"/>
    </xf>
    <xf numFmtId="0" fontId="71" fillId="0" borderId="0" xfId="0" applyFont="1" applyFill="1" applyAlignment="1">
      <alignment horizontal="left"/>
    </xf>
    <xf numFmtId="43" fontId="19" fillId="0" borderId="0" xfId="1" applyFont="1" applyFill="1" applyAlignment="1">
      <alignment horizontal="left"/>
    </xf>
    <xf numFmtId="43" fontId="71" fillId="0" borderId="0" xfId="9" applyFont="1" applyFill="1" applyAlignment="1">
      <alignment horizontal="left"/>
    </xf>
    <xf numFmtId="0" fontId="71" fillId="0" borderId="0" xfId="0" applyFont="1" applyFill="1" applyAlignment="1">
      <alignment horizontal="center"/>
    </xf>
    <xf numFmtId="0" fontId="71" fillId="0" borderId="0" xfId="0" applyFont="1" applyFill="1"/>
    <xf numFmtId="0" fontId="67" fillId="0" borderId="0" xfId="0" applyFont="1" applyFill="1" applyAlignment="1">
      <alignment horizontal="left"/>
    </xf>
    <xf numFmtId="0" fontId="67" fillId="0" borderId="0" xfId="0" applyFont="1" applyFill="1"/>
    <xf numFmtId="43" fontId="31" fillId="0" borderId="0" xfId="1" applyFont="1" applyFill="1"/>
    <xf numFmtId="0" fontId="31" fillId="0" borderId="0" xfId="46" applyFont="1" applyFill="1"/>
    <xf numFmtId="0" fontId="32" fillId="0" borderId="0" xfId="46" applyFont="1" applyFill="1"/>
    <xf numFmtId="0" fontId="31" fillId="0" borderId="0" xfId="1" applyNumberFormat="1" applyFont="1" applyFill="1" applyAlignment="1">
      <alignment horizontal="left" vertical="top" wrapText="1"/>
    </xf>
    <xf numFmtId="43" fontId="67" fillId="0" borderId="0" xfId="9" applyFont="1" applyFill="1" applyAlignment="1">
      <alignment horizontal="left"/>
    </xf>
    <xf numFmtId="43" fontId="31" fillId="0" borderId="0" xfId="1" applyFont="1" applyFill="1" applyAlignment="1">
      <alignment horizontal="left" vertical="top"/>
    </xf>
    <xf numFmtId="0" fontId="72" fillId="0" borderId="0" xfId="0" applyFont="1" applyFill="1" applyAlignment="1">
      <alignment vertical="top" wrapText="1"/>
    </xf>
    <xf numFmtId="0" fontId="77" fillId="0" borderId="0" xfId="0" applyFont="1" applyFill="1"/>
    <xf numFmtId="0" fontId="72" fillId="0" borderId="0" xfId="0" applyFont="1" applyFill="1" applyAlignment="1">
      <alignment horizontal="left" vertical="top"/>
    </xf>
    <xf numFmtId="43" fontId="19" fillId="0" borderId="0" xfId="1" applyFont="1" applyFill="1" applyAlignment="1">
      <alignment horizontal="left" vertical="top"/>
    </xf>
    <xf numFmtId="43" fontId="72" fillId="0" borderId="0" xfId="9" applyFont="1" applyFill="1" applyAlignment="1">
      <alignment horizontal="left" vertical="top"/>
    </xf>
    <xf numFmtId="0" fontId="81" fillId="0" borderId="0" xfId="0" applyFont="1" applyFill="1" applyAlignment="1">
      <alignment vertical="top"/>
    </xf>
    <xf numFmtId="43" fontId="31" fillId="0" borderId="0" xfId="1" applyFont="1" applyFill="1" applyAlignment="1">
      <alignment vertical="top"/>
    </xf>
    <xf numFmtId="0" fontId="81" fillId="0" borderId="0" xfId="0" applyFont="1" applyFill="1"/>
    <xf numFmtId="0" fontId="0" fillId="0" borderId="139" xfId="0" applyFill="1" applyBorder="1" applyAlignment="1">
      <alignment vertical="top" wrapText="1"/>
    </xf>
    <xf numFmtId="0" fontId="71" fillId="0" borderId="0" xfId="0" applyFont="1" applyFill="1" applyBorder="1"/>
    <xf numFmtId="0" fontId="71" fillId="0" borderId="139" xfId="0" applyFont="1" applyFill="1" applyBorder="1"/>
    <xf numFmtId="43" fontId="71" fillId="0" borderId="0" xfId="9" applyFont="1" applyFill="1"/>
    <xf numFmtId="0" fontId="71" fillId="0" borderId="111" xfId="0" applyFont="1" applyBorder="1" applyAlignment="1">
      <alignment vertical="top" wrapText="1"/>
    </xf>
    <xf numFmtId="0" fontId="71" fillId="0" borderId="0" xfId="0" applyFont="1" applyAlignment="1">
      <alignment vertical="center" wrapText="1"/>
    </xf>
    <xf numFmtId="49" fontId="46" fillId="5" borderId="285" xfId="48" applyNumberFormat="1" applyFont="1" applyFill="1" applyBorder="1" applyAlignment="1">
      <alignment horizontal="center" vertical="top"/>
    </xf>
    <xf numFmtId="43" fontId="19" fillId="0" borderId="254" xfId="62" applyFont="1" applyBorder="1" applyAlignment="1">
      <alignment vertical="top" wrapText="1"/>
    </xf>
    <xf numFmtId="4" fontId="19" fillId="0" borderId="254" xfId="2" applyNumberFormat="1" applyFont="1" applyBorder="1" applyAlignment="1" applyProtection="1">
      <alignment vertical="top"/>
      <protection locked="0"/>
    </xf>
    <xf numFmtId="0" fontId="71" fillId="0" borderId="0" xfId="0" applyFont="1" applyBorder="1" applyAlignment="1"/>
    <xf numFmtId="0" fontId="71" fillId="0" borderId="0" xfId="0" applyFont="1" applyAlignment="1">
      <alignment vertical="center"/>
    </xf>
    <xf numFmtId="0" fontId="74" fillId="0" borderId="0" xfId="0" applyFont="1" applyBorder="1" applyAlignment="1">
      <alignment vertical="top" wrapText="1"/>
    </xf>
    <xf numFmtId="0" fontId="69" fillId="0" borderId="0" xfId="0" applyFont="1" applyBorder="1" applyAlignment="1">
      <alignment vertical="top" wrapText="1"/>
    </xf>
    <xf numFmtId="0" fontId="69" fillId="0" borderId="111" xfId="0" applyFont="1" applyBorder="1" applyAlignment="1">
      <alignment vertical="top" wrapText="1"/>
    </xf>
    <xf numFmtId="0" fontId="32" fillId="0" borderId="0" xfId="98" applyFont="1" applyAlignment="1">
      <alignment vertical="top"/>
    </xf>
    <xf numFmtId="3" fontId="32" fillId="0" borderId="0" xfId="1" applyNumberFormat="1" applyFont="1" applyAlignment="1">
      <alignment horizontal="center" vertical="top"/>
    </xf>
    <xf numFmtId="0" fontId="148" fillId="0" borderId="0" xfId="98" applyAlignment="1">
      <alignment vertical="top"/>
    </xf>
    <xf numFmtId="0" fontId="31" fillId="0" borderId="0" xfId="98" applyFont="1" applyAlignment="1">
      <alignment horizontal="left" vertical="top"/>
    </xf>
    <xf numFmtId="3" fontId="31" fillId="0" borderId="0" xfId="1" applyNumberFormat="1" applyFont="1" applyAlignment="1">
      <alignment horizontal="center" vertical="top"/>
    </xf>
    <xf numFmtId="0" fontId="31" fillId="0" borderId="0" xfId="98" applyFont="1" applyAlignment="1">
      <alignment vertical="top"/>
    </xf>
    <xf numFmtId="0" fontId="31" fillId="0" borderId="0" xfId="98" applyFont="1" applyAlignment="1">
      <alignment horizontal="center" vertical="top"/>
    </xf>
    <xf numFmtId="49" fontId="32" fillId="0" borderId="0" xfId="98" applyNumberFormat="1" applyFont="1" applyAlignment="1">
      <alignment horizontal="left" vertical="top"/>
    </xf>
    <xf numFmtId="49" fontId="31" fillId="0" borderId="0" xfId="98" applyNumberFormat="1" applyFont="1" applyAlignment="1">
      <alignment horizontal="left" vertical="top"/>
    </xf>
    <xf numFmtId="0" fontId="149" fillId="0" borderId="0" xfId="98" applyFont="1" applyAlignment="1">
      <alignment vertical="top"/>
    </xf>
    <xf numFmtId="0" fontId="39" fillId="0" borderId="0" xfId="98" applyFont="1" applyAlignment="1">
      <alignment vertical="top"/>
    </xf>
    <xf numFmtId="3" fontId="39" fillId="0" borderId="0" xfId="1" applyNumberFormat="1" applyFont="1" applyAlignment="1">
      <alignment horizontal="center" vertical="top"/>
    </xf>
    <xf numFmtId="0" fontId="21" fillId="0" borderId="229" xfId="98" applyFont="1" applyBorder="1" applyAlignment="1">
      <alignment vertical="top"/>
    </xf>
    <xf numFmtId="3" fontId="21" fillId="0" borderId="229" xfId="1" applyNumberFormat="1" applyFont="1" applyBorder="1" applyAlignment="1">
      <alignment horizontal="center" vertical="top"/>
    </xf>
    <xf numFmtId="0" fontId="21" fillId="0" borderId="0" xfId="98" applyFont="1" applyAlignment="1">
      <alignment vertical="top"/>
    </xf>
    <xf numFmtId="0" fontId="21" fillId="0" borderId="212" xfId="98" applyFont="1" applyBorder="1" applyAlignment="1">
      <alignment horizontal="center" vertical="top"/>
    </xf>
    <xf numFmtId="0" fontId="21" fillId="0" borderId="212" xfId="98" applyFont="1" applyBorder="1" applyAlignment="1">
      <alignment horizontal="left" vertical="top"/>
    </xf>
    <xf numFmtId="3" fontId="21" fillId="0" borderId="212" xfId="1" applyNumberFormat="1" applyFont="1" applyBorder="1" applyAlignment="1">
      <alignment horizontal="center" vertical="top"/>
    </xf>
    <xf numFmtId="0" fontId="21" fillId="0" borderId="229" xfId="98" applyFont="1" applyBorder="1" applyAlignment="1">
      <alignment horizontal="center" vertical="top"/>
    </xf>
    <xf numFmtId="0" fontId="21" fillId="0" borderId="235" xfId="98" applyFont="1" applyBorder="1" applyAlignment="1">
      <alignment horizontal="center" vertical="top"/>
    </xf>
    <xf numFmtId="49" fontId="21" fillId="0" borderId="10" xfId="98" applyNumberFormat="1" applyFont="1" applyBorder="1" applyAlignment="1">
      <alignment horizontal="center" vertical="top"/>
    </xf>
    <xf numFmtId="3" fontId="21" fillId="0" borderId="10" xfId="1" applyNumberFormat="1" applyFont="1" applyBorder="1" applyAlignment="1">
      <alignment horizontal="center" vertical="top"/>
    </xf>
    <xf numFmtId="0" fontId="21" fillId="0" borderId="12" xfId="98" applyFont="1" applyBorder="1" applyAlignment="1">
      <alignment horizontal="center" vertical="top"/>
    </xf>
    <xf numFmtId="0" fontId="21" fillId="0" borderId="10" xfId="98" applyFont="1" applyBorder="1" applyAlignment="1">
      <alignment horizontal="center" vertical="top"/>
    </xf>
    <xf numFmtId="49" fontId="19" fillId="0" borderId="212" xfId="98" applyNumberFormat="1" applyFont="1" applyBorder="1" applyAlignment="1">
      <alignment horizontal="center" vertical="top"/>
    </xf>
    <xf numFmtId="0" fontId="20" fillId="0" borderId="212" xfId="98" applyFont="1" applyBorder="1" applyAlignment="1">
      <alignment horizontal="left" vertical="top"/>
    </xf>
    <xf numFmtId="49" fontId="19" fillId="0" borderId="229" xfId="98" applyNumberFormat="1" applyFont="1" applyBorder="1" applyAlignment="1">
      <alignment horizontal="center" vertical="top"/>
    </xf>
    <xf numFmtId="3" fontId="19" fillId="0" borderId="229" xfId="1" applyNumberFormat="1" applyFont="1" applyBorder="1" applyAlignment="1">
      <alignment horizontal="center" vertical="top"/>
    </xf>
    <xf numFmtId="0" fontId="19" fillId="0" borderId="234" xfId="98" applyFont="1" applyBorder="1" applyAlignment="1">
      <alignment horizontal="center" vertical="top"/>
    </xf>
    <xf numFmtId="0" fontId="19" fillId="0" borderId="229" xfId="98" applyFont="1" applyBorder="1" applyAlignment="1">
      <alignment horizontal="center" vertical="top"/>
    </xf>
    <xf numFmtId="0" fontId="21" fillId="0" borderId="212" xfId="98" applyFont="1" applyBorder="1" applyAlignment="1">
      <alignment vertical="top"/>
    </xf>
    <xf numFmtId="0" fontId="91" fillId="0" borderId="212" xfId="98" applyFont="1" applyBorder="1" applyAlignment="1">
      <alignment vertical="top"/>
    </xf>
    <xf numFmtId="17" fontId="19" fillId="0" borderId="212" xfId="98" applyNumberFormat="1" applyFont="1" applyBorder="1" applyAlignment="1">
      <alignment horizontal="center" vertical="top"/>
    </xf>
    <xf numFmtId="0" fontId="153" fillId="0" borderId="212" xfId="98" applyFont="1" applyBorder="1" applyAlignment="1">
      <alignment vertical="top"/>
    </xf>
    <xf numFmtId="0" fontId="19" fillId="0" borderId="296" xfId="98" applyFont="1" applyBorder="1" applyAlignment="1">
      <alignment vertical="top"/>
    </xf>
    <xf numFmtId="43" fontId="19" fillId="0" borderId="296" xfId="99" applyFont="1" applyBorder="1" applyAlignment="1">
      <alignment vertical="top"/>
    </xf>
    <xf numFmtId="3" fontId="19" fillId="0" borderId="296" xfId="1" applyNumberFormat="1" applyFont="1" applyBorder="1" applyAlignment="1">
      <alignment horizontal="center" vertical="top"/>
    </xf>
    <xf numFmtId="0" fontId="19" fillId="0" borderId="0" xfId="98" applyFont="1" applyBorder="1" applyAlignment="1">
      <alignment vertical="top"/>
    </xf>
    <xf numFmtId="43" fontId="19" fillId="0" borderId="0" xfId="99" applyFont="1" applyBorder="1" applyAlignment="1">
      <alignment vertical="top"/>
    </xf>
    <xf numFmtId="3" fontId="19" fillId="0" borderId="0" xfId="1" applyNumberFormat="1" applyFont="1" applyBorder="1" applyAlignment="1">
      <alignment horizontal="center" vertical="top"/>
    </xf>
    <xf numFmtId="0" fontId="19" fillId="0" borderId="254" xfId="98" applyFont="1" applyBorder="1" applyAlignment="1">
      <alignment vertical="top"/>
    </xf>
    <xf numFmtId="43" fontId="19" fillId="0" borderId="254" xfId="99" applyFont="1" applyBorder="1" applyAlignment="1">
      <alignment vertical="top"/>
    </xf>
    <xf numFmtId="3" fontId="19" fillId="0" borderId="254" xfId="1" applyNumberFormat="1" applyFont="1" applyBorder="1" applyAlignment="1">
      <alignment horizontal="center" vertical="top"/>
    </xf>
    <xf numFmtId="0" fontId="19" fillId="0" borderId="295" xfId="98" applyFont="1" applyBorder="1" applyAlignment="1">
      <alignment vertical="top"/>
    </xf>
    <xf numFmtId="43" fontId="19" fillId="0" borderId="295" xfId="99" applyFont="1" applyBorder="1" applyAlignment="1">
      <alignment vertical="top"/>
    </xf>
    <xf numFmtId="3" fontId="19" fillId="0" borderId="295" xfId="1" applyNumberFormat="1" applyFont="1" applyBorder="1" applyAlignment="1">
      <alignment horizontal="center" vertical="top"/>
    </xf>
    <xf numFmtId="0" fontId="19" fillId="0" borderId="239" xfId="98" applyFont="1" applyBorder="1" applyAlignment="1">
      <alignment vertical="top"/>
    </xf>
    <xf numFmtId="3" fontId="19" fillId="0" borderId="239" xfId="1" applyNumberFormat="1" applyFont="1" applyBorder="1" applyAlignment="1">
      <alignment horizontal="center" vertical="top"/>
    </xf>
    <xf numFmtId="0" fontId="21" fillId="0" borderId="254" xfId="98" applyFont="1" applyBorder="1" applyAlignment="1">
      <alignment vertical="top"/>
    </xf>
    <xf numFmtId="0" fontId="19" fillId="0" borderId="212" xfId="98" applyNumberFormat="1" applyFont="1" applyBorder="1" applyAlignment="1">
      <alignment vertical="top"/>
    </xf>
    <xf numFmtId="0" fontId="20" fillId="0" borderId="212" xfId="98" applyFont="1" applyBorder="1" applyAlignment="1">
      <alignment vertical="top"/>
    </xf>
    <xf numFmtId="49" fontId="19" fillId="0" borderId="0" xfId="98" applyNumberFormat="1" applyFont="1" applyBorder="1" applyAlignment="1">
      <alignment vertical="top"/>
    </xf>
    <xf numFmtId="0" fontId="19" fillId="0" borderId="0" xfId="98" applyFont="1" applyFill="1" applyBorder="1" applyAlignment="1">
      <alignment vertical="top"/>
    </xf>
    <xf numFmtId="0" fontId="19" fillId="0" borderId="212" xfId="98" applyFont="1" applyBorder="1" applyAlignment="1">
      <alignment horizontal="left" vertical="top"/>
    </xf>
    <xf numFmtId="0" fontId="19" fillId="0" borderId="47" xfId="98" applyFont="1" applyBorder="1" applyAlignment="1">
      <alignment vertical="top"/>
    </xf>
    <xf numFmtId="0" fontId="19" fillId="0" borderId="98" xfId="98" applyFont="1" applyBorder="1" applyAlignment="1">
      <alignment vertical="top"/>
    </xf>
    <xf numFmtId="0" fontId="21" fillId="0" borderId="43" xfId="98" applyFont="1" applyBorder="1" applyAlignment="1">
      <alignment vertical="top"/>
    </xf>
    <xf numFmtId="3" fontId="21" fillId="0" borderId="43" xfId="1" applyNumberFormat="1" applyFont="1" applyBorder="1" applyAlignment="1">
      <alignment horizontal="center" vertical="top"/>
    </xf>
    <xf numFmtId="3" fontId="19" fillId="0" borderId="0" xfId="1" applyNumberFormat="1" applyFont="1" applyAlignment="1">
      <alignment horizontal="center" vertical="top"/>
    </xf>
    <xf numFmtId="3" fontId="148" fillId="0" borderId="0" xfId="1" applyNumberFormat="1" applyFont="1" applyAlignment="1">
      <alignment horizontal="center" vertical="top"/>
    </xf>
    <xf numFmtId="43" fontId="21" fillId="0" borderId="229" xfId="1" applyFont="1" applyBorder="1" applyAlignment="1">
      <alignment horizontal="center" vertical="top"/>
    </xf>
    <xf numFmtId="43" fontId="21" fillId="0" borderId="212" xfId="1" applyFont="1" applyBorder="1" applyAlignment="1">
      <alignment horizontal="center" vertical="top"/>
    </xf>
    <xf numFmtId="43" fontId="21" fillId="0" borderId="10" xfId="1" applyFont="1" applyBorder="1" applyAlignment="1">
      <alignment horizontal="center" vertical="top"/>
    </xf>
    <xf numFmtId="43" fontId="19" fillId="0" borderId="212" xfId="1" applyFont="1" applyBorder="1" applyAlignment="1">
      <alignment horizontal="center" vertical="top"/>
    </xf>
    <xf numFmtId="43" fontId="19" fillId="0" borderId="296" xfId="1" applyFont="1" applyBorder="1" applyAlignment="1">
      <alignment horizontal="center" vertical="top"/>
    </xf>
    <xf numFmtId="43" fontId="19" fillId="0" borderId="0" xfId="1" applyFont="1" applyBorder="1" applyAlignment="1">
      <alignment horizontal="center" vertical="top"/>
    </xf>
    <xf numFmtId="43" fontId="19" fillId="0" borderId="254" xfId="1" applyFont="1" applyBorder="1" applyAlignment="1">
      <alignment horizontal="center" vertical="top"/>
    </xf>
    <xf numFmtId="43" fontId="19" fillId="0" borderId="295" xfId="1" applyFont="1" applyBorder="1" applyAlignment="1">
      <alignment horizontal="center" vertical="top"/>
    </xf>
    <xf numFmtId="43" fontId="19" fillId="0" borderId="239" xfId="1" applyFont="1" applyBorder="1" applyAlignment="1">
      <alignment horizontal="center" vertical="top"/>
    </xf>
    <xf numFmtId="43" fontId="21" fillId="0" borderId="254" xfId="1" applyFont="1" applyBorder="1" applyAlignment="1">
      <alignment horizontal="center" vertical="top"/>
    </xf>
    <xf numFmtId="43" fontId="21" fillId="0" borderId="43" xfId="1" applyFont="1" applyBorder="1" applyAlignment="1">
      <alignment horizontal="center" vertical="top"/>
    </xf>
    <xf numFmtId="0" fontId="19" fillId="0" borderId="0" xfId="43" applyFont="1" applyBorder="1" applyAlignment="1">
      <alignment horizontal="left" vertical="top" wrapText="1"/>
    </xf>
    <xf numFmtId="43" fontId="21" fillId="0" borderId="0" xfId="18" applyFont="1" applyBorder="1" applyAlignment="1">
      <alignment horizontal="justify" vertical="top" wrapText="1"/>
    </xf>
    <xf numFmtId="0" fontId="19" fillId="0" borderId="0" xfId="43" applyFont="1" applyBorder="1" applyAlignment="1">
      <alignment horizontal="justify" vertical="top" wrapText="1"/>
    </xf>
    <xf numFmtId="0" fontId="21" fillId="0" borderId="295" xfId="26" applyFont="1" applyBorder="1" applyAlignment="1">
      <alignment horizontal="left" vertical="top" wrapText="1" shrinkToFit="1"/>
    </xf>
    <xf numFmtId="43" fontId="21" fillId="0" borderId="295" xfId="18" applyFont="1" applyBorder="1" applyAlignment="1">
      <alignment horizontal="justify" vertical="top" wrapText="1"/>
    </xf>
    <xf numFmtId="0" fontId="19" fillId="0" borderId="295" xfId="26" applyFont="1" applyBorder="1" applyAlignment="1">
      <alignment horizontal="left" vertical="top" wrapText="1"/>
    </xf>
    <xf numFmtId="0" fontId="19" fillId="0" borderId="295" xfId="26" applyFont="1" applyBorder="1" applyAlignment="1">
      <alignment horizontal="justify" vertical="top" wrapText="1"/>
    </xf>
    <xf numFmtId="0" fontId="21" fillId="0" borderId="295" xfId="26" applyFont="1" applyBorder="1" applyAlignment="1">
      <alignment horizontal="justify" vertical="top" wrapText="1"/>
    </xf>
    <xf numFmtId="0" fontId="21" fillId="0" borderId="285" xfId="26" applyFont="1" applyBorder="1" applyAlignment="1">
      <alignment horizontal="justify" vertical="top" wrapText="1"/>
    </xf>
    <xf numFmtId="0" fontId="19" fillId="0" borderId="111" xfId="43" applyFont="1" applyBorder="1" applyAlignment="1">
      <alignment horizontal="justify" vertical="top"/>
    </xf>
    <xf numFmtId="0" fontId="19" fillId="0" borderId="104" xfId="43" applyFont="1" applyBorder="1" applyAlignment="1">
      <alignment horizontal="justify" vertical="center"/>
    </xf>
    <xf numFmtId="0" fontId="19" fillId="0" borderId="107" xfId="43" applyFont="1" applyBorder="1" applyAlignment="1">
      <alignment horizontal="justify" vertical="top"/>
    </xf>
    <xf numFmtId="43" fontId="21" fillId="0" borderId="297" xfId="18" applyFont="1" applyBorder="1" applyAlignment="1">
      <alignment horizontal="justify" vertical="center" wrapText="1"/>
    </xf>
    <xf numFmtId="0" fontId="19" fillId="0" borderId="297" xfId="43" applyFont="1" applyBorder="1" applyAlignment="1">
      <alignment horizontal="left" vertical="center" wrapText="1"/>
    </xf>
    <xf numFmtId="0" fontId="19" fillId="0" borderId="297" xfId="43" applyFont="1" applyBorder="1" applyAlignment="1">
      <alignment horizontal="justify" vertical="center" wrapText="1"/>
    </xf>
    <xf numFmtId="0" fontId="19" fillId="0" borderId="297" xfId="43" applyFont="1" applyBorder="1" applyAlignment="1">
      <alignment horizontal="justify" vertical="center"/>
    </xf>
    <xf numFmtId="0" fontId="175" fillId="0" borderId="297" xfId="43" applyFont="1" applyBorder="1" applyAlignment="1">
      <alignment horizontal="left" vertical="center" wrapText="1"/>
    </xf>
    <xf numFmtId="0" fontId="83" fillId="0" borderId="291" xfId="26" applyFont="1" applyBorder="1" applyAlignment="1">
      <alignment horizontal="justify" vertical="top"/>
    </xf>
    <xf numFmtId="0" fontId="83" fillId="0" borderId="291" xfId="26" applyFont="1" applyBorder="1" applyAlignment="1">
      <alignment horizontal="left" vertical="top" wrapText="1" shrinkToFit="1"/>
    </xf>
    <xf numFmtId="43" fontId="83" fillId="0" borderId="291" xfId="18" applyFont="1" applyBorder="1" applyAlignment="1">
      <alignment horizontal="justify" vertical="top" wrapText="1"/>
    </xf>
    <xf numFmtId="0" fontId="84" fillId="0" borderId="291" xfId="26" applyFont="1" applyBorder="1" applyAlignment="1">
      <alignment horizontal="left" vertical="top" wrapText="1"/>
    </xf>
    <xf numFmtId="0" fontId="84" fillId="0" borderId="291" xfId="26" applyFont="1" applyBorder="1" applyAlignment="1">
      <alignment horizontal="justify" vertical="top" wrapText="1"/>
    </xf>
    <xf numFmtId="0" fontId="83" fillId="0" borderId="291" xfId="26" applyFont="1" applyBorder="1" applyAlignment="1">
      <alignment horizontal="justify" vertical="top" wrapText="1"/>
    </xf>
    <xf numFmtId="0" fontId="84" fillId="0" borderId="0" xfId="43" applyFont="1" applyAlignment="1">
      <alignment horizontal="justify" vertical="top" wrapText="1"/>
    </xf>
    <xf numFmtId="0" fontId="18" fillId="0" borderId="96" xfId="2" applyBorder="1" applyAlignment="1"/>
    <xf numFmtId="0" fontId="83" fillId="0" borderId="229" xfId="2" applyFont="1" applyFill="1" applyBorder="1" applyAlignment="1"/>
    <xf numFmtId="43" fontId="27" fillId="0" borderId="229" xfId="1" applyFont="1" applyBorder="1" applyAlignment="1"/>
    <xf numFmtId="0" fontId="18" fillId="0" borderId="229" xfId="2" applyBorder="1" applyAlignment="1"/>
    <xf numFmtId="49" fontId="18" fillId="0" borderId="229" xfId="2" applyNumberFormat="1" applyFont="1" applyBorder="1" applyAlignment="1">
      <alignment wrapText="1"/>
    </xf>
    <xf numFmtId="49" fontId="18" fillId="0" borderId="30" xfId="2" applyNumberFormat="1" applyFont="1" applyBorder="1" applyAlignment="1">
      <alignment wrapText="1"/>
    </xf>
    <xf numFmtId="0" fontId="72" fillId="0" borderId="280" xfId="33" applyFont="1" applyBorder="1" applyAlignment="1">
      <alignment vertical="top"/>
    </xf>
    <xf numFmtId="0" fontId="72" fillId="0" borderId="281" xfId="33" applyFont="1" applyBorder="1" applyAlignment="1">
      <alignment vertical="top"/>
    </xf>
    <xf numFmtId="0" fontId="72" fillId="0" borderId="296" xfId="33" applyFont="1" applyBorder="1" applyAlignment="1">
      <alignment vertical="top" wrapText="1"/>
    </xf>
    <xf numFmtId="0" fontId="72" fillId="0" borderId="280" xfId="33" applyFont="1" applyBorder="1" applyAlignment="1">
      <alignment vertical="top" wrapText="1"/>
    </xf>
    <xf numFmtId="0" fontId="72" fillId="0" borderId="296" xfId="33" applyFont="1" applyBorder="1" applyAlignment="1">
      <alignment vertical="top"/>
    </xf>
    <xf numFmtId="16" fontId="72" fillId="0" borderId="296" xfId="33" applyNumberFormat="1" applyFont="1" applyBorder="1" applyAlignment="1">
      <alignment horizontal="center" vertical="top"/>
    </xf>
    <xf numFmtId="0" fontId="72" fillId="0" borderId="0" xfId="33" applyFont="1" applyBorder="1" applyAlignment="1">
      <alignment vertical="top"/>
    </xf>
    <xf numFmtId="16" fontId="72" fillId="0" borderId="0" xfId="33" applyNumberFormat="1" applyFont="1" applyBorder="1" applyAlignment="1">
      <alignment horizontal="center" vertical="top"/>
    </xf>
    <xf numFmtId="0" fontId="72" fillId="0" borderId="257" xfId="33" applyFont="1" applyBorder="1" applyAlignment="1">
      <alignment vertical="top"/>
    </xf>
    <xf numFmtId="0" fontId="72" fillId="0" borderId="257" xfId="33" applyFont="1" applyBorder="1" applyAlignment="1">
      <alignment vertical="top" wrapText="1"/>
    </xf>
    <xf numFmtId="16" fontId="72" fillId="0" borderId="257" xfId="33" applyNumberFormat="1" applyFont="1" applyBorder="1" applyAlignment="1">
      <alignment horizontal="center" vertical="top"/>
    </xf>
    <xf numFmtId="0" fontId="72" fillId="0" borderId="298" xfId="33" applyFont="1" applyBorder="1" applyAlignment="1">
      <alignment vertical="top"/>
    </xf>
    <xf numFmtId="0" fontId="72" fillId="0" borderId="299" xfId="33" applyFont="1" applyBorder="1" applyAlignment="1">
      <alignment vertical="top"/>
    </xf>
    <xf numFmtId="0" fontId="72" fillId="0" borderId="298" xfId="33" applyFont="1" applyBorder="1" applyAlignment="1">
      <alignment vertical="top" wrapText="1"/>
    </xf>
    <xf numFmtId="0" fontId="72" fillId="0" borderId="298" xfId="33" applyFont="1" applyBorder="1" applyAlignment="1">
      <alignment horizontal="center" vertical="top"/>
    </xf>
    <xf numFmtId="0" fontId="72" fillId="0" borderId="296" xfId="33" applyFont="1" applyBorder="1" applyAlignment="1">
      <alignment horizontal="center" vertical="top"/>
    </xf>
    <xf numFmtId="0" fontId="72" fillId="0" borderId="0" xfId="33" applyFont="1" applyBorder="1" applyAlignment="1">
      <alignment horizontal="center" vertical="top"/>
    </xf>
    <xf numFmtId="0" fontId="72" fillId="0" borderId="280" xfId="33" applyFont="1" applyBorder="1" applyAlignment="1">
      <alignment horizontal="center" vertical="top"/>
    </xf>
    <xf numFmtId="0" fontId="72" fillId="0" borderId="295" xfId="33" applyFont="1" applyBorder="1" applyAlignment="1">
      <alignment vertical="top"/>
    </xf>
    <xf numFmtId="0" fontId="77" fillId="0" borderId="300" xfId="33" applyFont="1" applyBorder="1" applyAlignment="1">
      <alignment vertical="top"/>
    </xf>
    <xf numFmtId="0" fontId="72" fillId="0" borderId="295" xfId="33" applyFont="1" applyBorder="1" applyAlignment="1">
      <alignment vertical="top" wrapText="1"/>
    </xf>
    <xf numFmtId="0" fontId="72" fillId="0" borderId="295" xfId="33" applyFont="1" applyBorder="1" applyAlignment="1">
      <alignment horizontal="center" vertical="top"/>
    </xf>
    <xf numFmtId="0" fontId="72" fillId="0" borderId="18" xfId="33" applyFont="1" applyBorder="1" applyAlignment="1">
      <alignment vertical="center"/>
    </xf>
    <xf numFmtId="0" fontId="72" fillId="0" borderId="50" xfId="33" applyFont="1" applyBorder="1" applyAlignment="1">
      <alignment vertical="center"/>
    </xf>
    <xf numFmtId="0" fontId="87" fillId="0" borderId="49" xfId="33" applyFont="1" applyBorder="1" applyAlignment="1">
      <alignment vertical="center"/>
    </xf>
    <xf numFmtId="43" fontId="77" fillId="0" borderId="18" xfId="33" applyNumberFormat="1" applyFont="1" applyBorder="1" applyAlignment="1">
      <alignment vertical="center"/>
    </xf>
    <xf numFmtId="0" fontId="72" fillId="0" borderId="18" xfId="33" applyFont="1" applyBorder="1" applyAlignment="1">
      <alignment vertical="center" wrapText="1"/>
    </xf>
    <xf numFmtId="0" fontId="72" fillId="0" borderId="18" xfId="33" applyFont="1" applyBorder="1" applyAlignment="1">
      <alignment horizontal="center" vertical="center"/>
    </xf>
    <xf numFmtId="0" fontId="72" fillId="0" borderId="0" xfId="33" applyFont="1" applyAlignment="1">
      <alignment vertical="center"/>
    </xf>
    <xf numFmtId="16" fontId="72" fillId="0" borderId="199" xfId="33" applyNumberFormat="1" applyFont="1" applyBorder="1" applyAlignment="1">
      <alignment horizontal="center" vertical="top"/>
    </xf>
    <xf numFmtId="0" fontId="19" fillId="0" borderId="0" xfId="81" applyFont="1" applyBorder="1" applyAlignment="1">
      <alignment vertical="top" wrapText="1"/>
    </xf>
    <xf numFmtId="43" fontId="19" fillId="0" borderId="0" xfId="7" applyFont="1" applyBorder="1" applyAlignment="1">
      <alignment vertical="top" wrapText="1"/>
    </xf>
    <xf numFmtId="0" fontId="19" fillId="0" borderId="0" xfId="81" applyFont="1" applyBorder="1" applyAlignment="1">
      <alignment horizontal="left" vertical="top" wrapText="1"/>
    </xf>
    <xf numFmtId="0" fontId="19" fillId="0" borderId="0" xfId="81" applyFont="1" applyBorder="1" applyAlignment="1">
      <alignment horizontal="center" vertical="top" wrapText="1"/>
    </xf>
    <xf numFmtId="0" fontId="21" fillId="0" borderId="5" xfId="35" applyFont="1" applyBorder="1" applyAlignment="1">
      <alignment horizontal="center"/>
    </xf>
    <xf numFmtId="0" fontId="19" fillId="0" borderId="5" xfId="35" applyFont="1" applyBorder="1" applyAlignment="1">
      <alignment horizontal="center"/>
    </xf>
    <xf numFmtId="0" fontId="62" fillId="0" borderId="0" xfId="0" applyFont="1" applyAlignment="1">
      <alignment horizontal="left"/>
    </xf>
    <xf numFmtId="0" fontId="62" fillId="0" borderId="0" xfId="0" applyFont="1" applyFill="1" applyAlignment="1">
      <alignment horizontal="left"/>
    </xf>
    <xf numFmtId="43" fontId="62" fillId="0" borderId="279" xfId="1" applyFont="1" applyBorder="1" applyAlignment="1">
      <alignment vertical="top"/>
    </xf>
    <xf numFmtId="17" fontId="19" fillId="0" borderId="0" xfId="65" applyNumberFormat="1" applyFont="1" applyBorder="1" applyAlignment="1">
      <alignment vertical="top"/>
    </xf>
    <xf numFmtId="0" fontId="19" fillId="0" borderId="0" xfId="65" applyFont="1" applyBorder="1" applyAlignment="1">
      <alignment horizontal="center" vertical="top" wrapText="1"/>
    </xf>
    <xf numFmtId="43" fontId="19" fillId="0" borderId="0" xfId="62" applyFont="1" applyBorder="1" applyAlignment="1">
      <alignment vertical="top" wrapText="1"/>
    </xf>
    <xf numFmtId="43" fontId="19" fillId="0" borderId="0" xfId="65" applyNumberFormat="1" applyFont="1" applyBorder="1" applyAlignment="1">
      <alignment vertical="top"/>
    </xf>
    <xf numFmtId="0" fontId="31" fillId="0" borderId="195" xfId="34" applyFont="1" applyBorder="1"/>
    <xf numFmtId="0" fontId="21" fillId="0" borderId="0" xfId="58" applyFont="1" applyAlignment="1">
      <alignment vertical="center" wrapText="1"/>
    </xf>
    <xf numFmtId="49" fontId="46" fillId="5" borderId="300" xfId="48" applyNumberFormat="1" applyFont="1" applyFill="1" applyBorder="1" applyAlignment="1">
      <alignment horizontal="left" vertical="top"/>
    </xf>
    <xf numFmtId="49" fontId="46" fillId="5" borderId="300" xfId="48" applyNumberFormat="1" applyFont="1" applyFill="1" applyBorder="1" applyAlignment="1">
      <alignment horizontal="center" vertical="top"/>
    </xf>
    <xf numFmtId="49" fontId="46" fillId="5" borderId="295" xfId="48" applyNumberFormat="1" applyFont="1" applyFill="1" applyBorder="1" applyAlignment="1">
      <alignment horizontal="center" vertical="top"/>
    </xf>
    <xf numFmtId="0" fontId="19" fillId="0" borderId="241" xfId="21" applyBorder="1"/>
    <xf numFmtId="0" fontId="72" fillId="0" borderId="0" xfId="0" applyFont="1" applyAlignment="1">
      <alignment horizontal="left" vertical="top"/>
    </xf>
    <xf numFmtId="0" fontId="19" fillId="0" borderId="0" xfId="47" applyFont="1" applyBorder="1" applyAlignment="1" applyProtection="1">
      <alignment vertical="center"/>
      <protection locked="0"/>
    </xf>
    <xf numFmtId="0" fontId="18" fillId="0" borderId="0" xfId="47" applyAlignment="1">
      <alignment vertical="center"/>
    </xf>
    <xf numFmtId="0" fontId="31" fillId="0" borderId="0" xfId="24" applyFont="1" applyAlignment="1">
      <alignment vertical="center"/>
    </xf>
    <xf numFmtId="0" fontId="19" fillId="0" borderId="0" xfId="24" applyAlignment="1">
      <alignment vertical="center"/>
    </xf>
    <xf numFmtId="0" fontId="21" fillId="0" borderId="92" xfId="24" applyFont="1" applyBorder="1" applyAlignment="1">
      <alignment horizontal="center" vertical="center"/>
    </xf>
    <xf numFmtId="0" fontId="21" fillId="0" borderId="21" xfId="24" applyFont="1" applyBorder="1" applyAlignment="1">
      <alignment horizontal="center" vertical="center"/>
    </xf>
    <xf numFmtId="0" fontId="21" fillId="0" borderId="66" xfId="24" applyFont="1" applyBorder="1" applyAlignment="1">
      <alignment horizontal="center" vertical="center"/>
    </xf>
    <xf numFmtId="0" fontId="21" fillId="0" borderId="99" xfId="24" applyFont="1" applyBorder="1" applyAlignment="1">
      <alignment horizontal="center" vertical="center"/>
    </xf>
    <xf numFmtId="0" fontId="21" fillId="0" borderId="8" xfId="24" applyFont="1" applyBorder="1" applyAlignment="1">
      <alignment horizontal="center" vertical="center"/>
    </xf>
    <xf numFmtId="0" fontId="21" fillId="0" borderId="78" xfId="24" applyFont="1" applyBorder="1" applyAlignment="1">
      <alignment horizontal="center" vertical="center"/>
    </xf>
    <xf numFmtId="0" fontId="19" fillId="0" borderId="68" xfId="24" applyFont="1" applyBorder="1" applyAlignment="1">
      <alignment vertical="center"/>
    </xf>
    <xf numFmtId="43" fontId="19" fillId="0" borderId="68" xfId="20" applyFont="1" applyBorder="1" applyAlignment="1">
      <alignment vertical="center"/>
    </xf>
    <xf numFmtId="0" fontId="19" fillId="0" borderId="99" xfId="24" applyFont="1" applyBorder="1" applyAlignment="1">
      <alignment vertical="center"/>
    </xf>
    <xf numFmtId="43" fontId="19" fillId="0" borderId="0" xfId="24" applyNumberFormat="1" applyAlignment="1">
      <alignment vertical="center"/>
    </xf>
    <xf numFmtId="0" fontId="19" fillId="0" borderId="0" xfId="24" applyFont="1" applyBorder="1" applyAlignment="1">
      <alignment vertical="center"/>
    </xf>
    <xf numFmtId="0" fontId="21" fillId="0" borderId="0" xfId="24" applyFont="1" applyAlignment="1">
      <alignment horizontal="center" vertical="center"/>
    </xf>
    <xf numFmtId="0" fontId="27" fillId="0" borderId="0" xfId="24" applyFont="1" applyAlignment="1">
      <alignment vertical="center"/>
    </xf>
    <xf numFmtId="0" fontId="62" fillId="0" borderId="275" xfId="0" applyFont="1" applyBorder="1" applyAlignment="1">
      <alignment horizontal="center" vertical="center"/>
    </xf>
    <xf numFmtId="0" fontId="21" fillId="0" borderId="104" xfId="21" applyFont="1" applyBorder="1" applyAlignment="1">
      <alignment horizontal="center" vertical="center"/>
    </xf>
    <xf numFmtId="0" fontId="19" fillId="0" borderId="111" xfId="21" applyBorder="1" applyAlignment="1">
      <alignment horizontal="center" vertical="center"/>
    </xf>
    <xf numFmtId="0" fontId="19" fillId="0" borderId="111" xfId="21" applyBorder="1" applyAlignment="1">
      <alignment vertical="center"/>
    </xf>
    <xf numFmtId="0" fontId="21" fillId="0" borderId="111" xfId="21" applyFont="1" applyBorder="1" applyAlignment="1">
      <alignment vertical="center"/>
    </xf>
    <xf numFmtId="43" fontId="0" fillId="0" borderId="111" xfId="62" applyFont="1" applyBorder="1" applyAlignment="1">
      <alignment vertical="center"/>
    </xf>
    <xf numFmtId="0" fontId="19" fillId="0" borderId="186" xfId="21" applyBorder="1" applyAlignment="1">
      <alignment horizontal="center" vertical="center"/>
    </xf>
    <xf numFmtId="43" fontId="0" fillId="0" borderId="186" xfId="62" applyFont="1" applyBorder="1" applyAlignment="1">
      <alignment vertical="center"/>
    </xf>
    <xf numFmtId="0" fontId="19" fillId="0" borderId="186" xfId="21" applyBorder="1" applyAlignment="1">
      <alignment vertical="center"/>
    </xf>
    <xf numFmtId="0" fontId="21" fillId="0" borderId="111" xfId="21" applyFont="1" applyBorder="1" applyAlignment="1">
      <alignment horizontal="center" vertical="center"/>
    </xf>
    <xf numFmtId="0" fontId="21" fillId="0" borderId="186" xfId="21" applyFont="1" applyFill="1" applyBorder="1" applyAlignment="1">
      <alignment vertical="center"/>
    </xf>
    <xf numFmtId="0" fontId="19" fillId="0" borderId="107" xfId="21" applyBorder="1" applyAlignment="1">
      <alignment horizontal="center" vertical="center"/>
    </xf>
    <xf numFmtId="0" fontId="19" fillId="0" borderId="0" xfId="21" applyBorder="1" applyAlignment="1">
      <alignment vertical="center"/>
    </xf>
    <xf numFmtId="0" fontId="19" fillId="0" borderId="104" xfId="21" applyBorder="1" applyAlignment="1">
      <alignment vertical="center"/>
    </xf>
    <xf numFmtId="0" fontId="19" fillId="0" borderId="107" xfId="21" applyBorder="1" applyAlignment="1">
      <alignment vertical="center"/>
    </xf>
    <xf numFmtId="0" fontId="72" fillId="0" borderId="273" xfId="0" applyFont="1" applyBorder="1" applyAlignment="1">
      <alignment vertical="top" wrapText="1"/>
    </xf>
    <xf numFmtId="4" fontId="129" fillId="0" borderId="0" xfId="47" applyNumberFormat="1" applyFont="1" applyBorder="1" applyAlignment="1" applyProtection="1">
      <alignment vertical="top"/>
      <protection locked="0"/>
    </xf>
    <xf numFmtId="49" fontId="129" fillId="0" borderId="0" xfId="47" applyNumberFormat="1" applyFont="1" applyBorder="1" applyAlignment="1" applyProtection="1">
      <alignment horizontal="center" vertical="top"/>
      <protection locked="0"/>
    </xf>
    <xf numFmtId="43" fontId="19" fillId="0" borderId="295" xfId="1" applyFont="1" applyBorder="1" applyAlignment="1" applyProtection="1">
      <alignment vertical="top"/>
      <protection locked="0"/>
    </xf>
    <xf numFmtId="43" fontId="21" fillId="0" borderId="45" xfId="74" applyNumberFormat="1" applyFont="1" applyFill="1" applyBorder="1" applyProtection="1"/>
    <xf numFmtId="43" fontId="19" fillId="0" borderId="16" xfId="74" applyNumberFormat="1" applyFont="1" applyFill="1" applyBorder="1"/>
    <xf numFmtId="43" fontId="21" fillId="0" borderId="124" xfId="74" applyNumberFormat="1" applyFont="1" applyFill="1" applyBorder="1" applyProtection="1"/>
    <xf numFmtId="43" fontId="19" fillId="0" borderId="295" xfId="74" applyNumberFormat="1" applyFont="1" applyFill="1" applyBorder="1" applyProtection="1"/>
    <xf numFmtId="43" fontId="19" fillId="0" borderId="295" xfId="5" applyNumberFormat="1" applyFont="1" applyFill="1" applyBorder="1" applyProtection="1"/>
    <xf numFmtId="43" fontId="32" fillId="0" borderId="0" xfId="74" applyNumberFormat="1" applyFont="1"/>
    <xf numFmtId="43" fontId="31" fillId="0" borderId="0" xfId="74" applyNumberFormat="1" applyFont="1"/>
    <xf numFmtId="43" fontId="34" fillId="0" borderId="45" xfId="74" applyNumberFormat="1" applyFont="1" applyBorder="1" applyAlignment="1">
      <alignment horizontal="center" vertical="top" wrapText="1"/>
    </xf>
    <xf numFmtId="43" fontId="22" fillId="0" borderId="184" xfId="74" applyNumberFormat="1" applyFont="1" applyBorder="1"/>
    <xf numFmtId="43" fontId="22" fillId="0" borderId="184" xfId="74" applyNumberFormat="1" applyFont="1" applyBorder="1" applyAlignment="1">
      <alignment horizontal="center"/>
    </xf>
    <xf numFmtId="43" fontId="22" fillId="0" borderId="199" xfId="74" applyNumberFormat="1" applyFont="1" applyBorder="1" applyAlignment="1">
      <alignment horizontal="center"/>
    </xf>
    <xf numFmtId="43" fontId="33" fillId="0" borderId="199" xfId="74" applyNumberFormat="1" applyFont="1" applyBorder="1"/>
    <xf numFmtId="43" fontId="22" fillId="0" borderId="0" xfId="74" applyNumberFormat="1" applyFont="1"/>
    <xf numFmtId="43" fontId="33" fillId="0" borderId="201" xfId="74" applyNumberFormat="1" applyFont="1" applyBorder="1"/>
    <xf numFmtId="43" fontId="33" fillId="0" borderId="199" xfId="74" applyNumberFormat="1" applyFont="1" applyBorder="1" applyProtection="1"/>
    <xf numFmtId="43" fontId="22" fillId="0" borderId="201" xfId="93" applyNumberFormat="1" applyFont="1" applyBorder="1"/>
    <xf numFmtId="43" fontId="22" fillId="0" borderId="199" xfId="93" applyNumberFormat="1" applyFont="1" applyBorder="1"/>
    <xf numFmtId="43" fontId="33" fillId="0" borderId="45" xfId="74" applyNumberFormat="1" applyFont="1" applyBorder="1" applyAlignment="1">
      <alignment horizontal="center"/>
    </xf>
    <xf numFmtId="43" fontId="33" fillId="0" borderId="45" xfId="74" applyNumberFormat="1" applyFont="1" applyBorder="1" applyProtection="1"/>
    <xf numFmtId="43" fontId="33" fillId="0" borderId="46" xfId="74" applyNumberFormat="1" applyFont="1" applyBorder="1" applyProtection="1"/>
    <xf numFmtId="43" fontId="22" fillId="0" borderId="201" xfId="74" applyNumberFormat="1" applyFont="1" applyBorder="1"/>
    <xf numFmtId="43" fontId="22" fillId="0" borderId="199" xfId="74" applyNumberFormat="1" applyFont="1" applyBorder="1"/>
    <xf numFmtId="43" fontId="31" fillId="0" borderId="16" xfId="74" applyNumberFormat="1" applyFont="1" applyBorder="1"/>
    <xf numFmtId="43" fontId="33" fillId="0" borderId="16" xfId="74" applyNumberFormat="1" applyFont="1" applyBorder="1" applyProtection="1"/>
    <xf numFmtId="0" fontId="34" fillId="0" borderId="87" xfId="74" applyNumberFormat="1" applyFont="1" applyBorder="1" applyAlignment="1">
      <alignment horizontal="center"/>
    </xf>
    <xf numFmtId="0" fontId="34" fillId="0" borderId="87" xfId="74" applyNumberFormat="1" applyFont="1" applyBorder="1"/>
    <xf numFmtId="0" fontId="26" fillId="0" borderId="0" xfId="74" applyNumberFormat="1" applyFont="1"/>
    <xf numFmtId="49" fontId="19" fillId="0" borderId="300" xfId="47" applyNumberFormat="1" applyFont="1" applyBorder="1" applyAlignment="1" applyProtection="1">
      <alignment vertical="top"/>
      <protection locked="0"/>
    </xf>
    <xf numFmtId="0" fontId="19" fillId="0" borderId="295" xfId="47" applyFont="1" applyBorder="1" applyAlignment="1" applyProtection="1">
      <alignment vertical="top"/>
      <protection locked="0"/>
    </xf>
    <xf numFmtId="43" fontId="19" fillId="0" borderId="295" xfId="74" applyNumberFormat="1" applyFont="1" applyFill="1" applyBorder="1"/>
    <xf numFmtId="0" fontId="19" fillId="0" borderId="295" xfId="2" applyFont="1" applyBorder="1" applyAlignment="1" applyProtection="1">
      <alignment horizontal="right"/>
      <protection locked="0"/>
    </xf>
    <xf numFmtId="0" fontId="19" fillId="0" borderId="300" xfId="47" applyFont="1" applyBorder="1" applyAlignment="1" applyProtection="1">
      <alignment vertical="top"/>
      <protection locked="0"/>
    </xf>
    <xf numFmtId="0" fontId="19" fillId="0" borderId="295" xfId="47" applyFont="1" applyBorder="1" applyAlignment="1" applyProtection="1">
      <alignment horizontal="right" vertical="top"/>
      <protection locked="0"/>
    </xf>
    <xf numFmtId="0" fontId="178" fillId="0" borderId="0" xfId="47" applyFont="1" applyBorder="1" applyAlignment="1" applyProtection="1">
      <alignment vertical="top"/>
      <protection locked="0"/>
    </xf>
    <xf numFmtId="43" fontId="19" fillId="0" borderId="0" xfId="1" applyFont="1" applyBorder="1" applyAlignment="1" applyProtection="1">
      <alignment vertical="top"/>
      <protection locked="0"/>
    </xf>
    <xf numFmtId="43" fontId="21" fillId="0" borderId="0" xfId="1" applyFont="1" applyBorder="1" applyAlignment="1" applyProtection="1">
      <alignment vertical="top"/>
      <protection locked="0"/>
    </xf>
    <xf numFmtId="43" fontId="176" fillId="0" borderId="201" xfId="5" applyNumberFormat="1" applyFont="1" applyFill="1" applyBorder="1" applyProtection="1"/>
    <xf numFmtId="43" fontId="177" fillId="0" borderId="202" xfId="74" applyNumberFormat="1" applyFont="1" applyFill="1" applyBorder="1"/>
    <xf numFmtId="43" fontId="176" fillId="0" borderId="201" xfId="74" applyNumberFormat="1" applyFont="1" applyFill="1" applyBorder="1" applyProtection="1"/>
    <xf numFmtId="0" fontId="34" fillId="0" borderId="295" xfId="74" applyFont="1" applyFill="1" applyBorder="1" applyAlignment="1">
      <alignment horizontal="center" vertical="top" wrapText="1"/>
    </xf>
    <xf numFmtId="0" fontId="19" fillId="0" borderId="295" xfId="74" applyFont="1" applyFill="1" applyBorder="1"/>
    <xf numFmtId="43" fontId="19" fillId="0" borderId="295" xfId="5" applyFont="1" applyFill="1" applyBorder="1"/>
    <xf numFmtId="39" fontId="21" fillId="0" borderId="295" xfId="74" applyNumberFormat="1" applyFont="1" applyFill="1" applyBorder="1" applyProtection="1"/>
    <xf numFmtId="43" fontId="19" fillId="0" borderId="295" xfId="5" applyFont="1" applyFill="1" applyBorder="1" applyProtection="1"/>
    <xf numFmtId="0" fontId="180" fillId="0" borderId="0" xfId="101"/>
    <xf numFmtId="0" fontId="21" fillId="0" borderId="304" xfId="101" applyFont="1" applyBorder="1" applyAlignment="1">
      <alignment horizontal="center"/>
    </xf>
    <xf numFmtId="0" fontId="21" fillId="0" borderId="300" xfId="101" applyFont="1" applyBorder="1" applyAlignment="1">
      <alignment horizontal="center"/>
    </xf>
    <xf numFmtId="0" fontId="21" fillId="0" borderId="306" xfId="101" applyFont="1" applyBorder="1" applyAlignment="1">
      <alignment horizontal="center"/>
    </xf>
    <xf numFmtId="0" fontId="21" fillId="0" borderId="302" xfId="101" applyFont="1" applyBorder="1" applyAlignment="1">
      <alignment horizontal="center"/>
    </xf>
    <xf numFmtId="0" fontId="180" fillId="0" borderId="303" xfId="101" applyBorder="1"/>
    <xf numFmtId="0" fontId="180" fillId="0" borderId="0" xfId="101" applyBorder="1"/>
    <xf numFmtId="0" fontId="19" fillId="0" borderId="0" xfId="101" applyFont="1" applyBorder="1"/>
    <xf numFmtId="0" fontId="180" fillId="0" borderId="0" xfId="101" applyBorder="1" applyAlignment="1">
      <alignment horizontal="center"/>
    </xf>
    <xf numFmtId="0" fontId="19" fillId="0" borderId="0" xfId="101" applyFont="1" applyBorder="1" applyAlignment="1">
      <alignment horizontal="center"/>
    </xf>
    <xf numFmtId="0" fontId="21" fillId="0" borderId="0" xfId="101" applyFont="1" applyBorder="1"/>
    <xf numFmtId="4" fontId="180" fillId="0" borderId="0" xfId="101" applyNumberFormat="1" applyBorder="1"/>
    <xf numFmtId="17" fontId="180" fillId="0" borderId="0" xfId="101" applyNumberFormat="1" applyBorder="1" applyAlignment="1">
      <alignment horizontal="center"/>
    </xf>
    <xf numFmtId="0" fontId="29" fillId="0" borderId="0" xfId="101" applyFont="1" applyBorder="1"/>
    <xf numFmtId="0" fontId="21" fillId="0" borderId="0" xfId="101" applyFont="1" applyBorder="1" applyAlignment="1">
      <alignment horizontal="center"/>
    </xf>
    <xf numFmtId="43" fontId="182" fillId="0" borderId="0" xfId="102" applyNumberFormat="1" applyFont="1" applyBorder="1"/>
    <xf numFmtId="0" fontId="180" fillId="0" borderId="262" xfId="101" applyBorder="1"/>
    <xf numFmtId="0" fontId="21" fillId="0" borderId="111" xfId="101" applyFont="1" applyBorder="1" applyAlignment="1">
      <alignment horizontal="center"/>
    </xf>
    <xf numFmtId="0" fontId="21" fillId="0" borderId="68" xfId="101" applyFont="1" applyBorder="1" applyAlignment="1">
      <alignment horizontal="center"/>
    </xf>
    <xf numFmtId="0" fontId="21" fillId="0" borderId="107" xfId="101" applyFont="1" applyBorder="1" applyAlignment="1">
      <alignment horizontal="center"/>
    </xf>
    <xf numFmtId="0" fontId="21" fillId="0" borderId="242" xfId="101" applyFont="1" applyBorder="1"/>
    <xf numFmtId="0" fontId="180" fillId="0" borderId="312" xfId="101" applyBorder="1"/>
    <xf numFmtId="0" fontId="180" fillId="0" borderId="261" xfId="101" applyBorder="1"/>
    <xf numFmtId="0" fontId="21" fillId="0" borderId="111" xfId="101" applyFont="1" applyBorder="1"/>
    <xf numFmtId="4" fontId="21" fillId="0" borderId="68" xfId="101" applyNumberFormat="1" applyFont="1" applyBorder="1"/>
    <xf numFmtId="0" fontId="180" fillId="0" borderId="111" xfId="101" applyBorder="1"/>
    <xf numFmtId="0" fontId="19" fillId="0" borderId="111" xfId="101" applyFont="1" applyBorder="1"/>
    <xf numFmtId="4" fontId="19" fillId="0" borderId="111" xfId="101" applyNumberFormat="1" applyFont="1" applyBorder="1"/>
    <xf numFmtId="4" fontId="19" fillId="0" borderId="0" xfId="101" applyNumberFormat="1" applyFont="1" applyBorder="1"/>
    <xf numFmtId="2" fontId="19" fillId="0" borderId="111" xfId="101" applyNumberFormat="1" applyFont="1" applyBorder="1"/>
    <xf numFmtId="0" fontId="180" fillId="0" borderId="111" xfId="101" applyFill="1" applyBorder="1"/>
    <xf numFmtId="0" fontId="21" fillId="0" borderId="111" xfId="101" applyFont="1" applyFill="1" applyBorder="1"/>
    <xf numFmtId="4" fontId="21" fillId="0" borderId="112" xfId="101" applyNumberFormat="1" applyFont="1" applyBorder="1"/>
    <xf numFmtId="4" fontId="21" fillId="0" borderId="315" xfId="101" applyNumberFormat="1" applyFont="1" applyBorder="1"/>
    <xf numFmtId="0" fontId="21" fillId="0" borderId="112" xfId="101" applyFont="1" applyBorder="1"/>
    <xf numFmtId="0" fontId="21" fillId="0" borderId="111" xfId="101" applyFont="1" applyBorder="1" applyAlignment="1">
      <alignment horizontal="left" vertical="center" shrinkToFit="1"/>
    </xf>
    <xf numFmtId="0" fontId="180" fillId="0" borderId="111" xfId="101" applyBorder="1" applyAlignment="1">
      <alignment horizontal="left" vertical="center" shrinkToFit="1"/>
    </xf>
    <xf numFmtId="4" fontId="180" fillId="0" borderId="111" xfId="101" applyNumberFormat="1" applyBorder="1" applyAlignment="1">
      <alignment horizontal="right"/>
    </xf>
    <xf numFmtId="4" fontId="180" fillId="0" borderId="111" xfId="101" applyNumberFormat="1" applyBorder="1"/>
    <xf numFmtId="4" fontId="180" fillId="0" borderId="0" xfId="101" applyNumberFormat="1"/>
    <xf numFmtId="0" fontId="19" fillId="0" borderId="291" xfId="101" applyFont="1" applyBorder="1" applyAlignment="1">
      <alignment horizontal="center"/>
    </xf>
    <xf numFmtId="4" fontId="21" fillId="0" borderId="291" xfId="101" applyNumberFormat="1" applyFont="1" applyBorder="1"/>
    <xf numFmtId="4" fontId="21" fillId="0" borderId="294" xfId="101" applyNumberFormat="1" applyFont="1" applyBorder="1"/>
    <xf numFmtId="0" fontId="180" fillId="0" borderId="0" xfId="101" applyFill="1" applyBorder="1"/>
    <xf numFmtId="0" fontId="19" fillId="0" borderId="109" xfId="21" applyBorder="1" applyAlignment="1">
      <alignment horizontal="center"/>
    </xf>
    <xf numFmtId="0" fontId="0" fillId="0" borderId="139" xfId="0" applyBorder="1" applyAlignment="1">
      <alignment vertical="top" wrapText="1"/>
    </xf>
    <xf numFmtId="0" fontId="71" fillId="0" borderId="0" xfId="0" applyFont="1" applyAlignment="1">
      <alignment wrapText="1"/>
    </xf>
    <xf numFmtId="0" fontId="74" fillId="0" borderId="322" xfId="0" applyFont="1" applyBorder="1" applyAlignment="1">
      <alignment vertical="top" wrapText="1"/>
    </xf>
    <xf numFmtId="0" fontId="112" fillId="0" borderId="322" xfId="0" applyFont="1" applyBorder="1" applyAlignment="1">
      <alignment vertical="top" wrapText="1"/>
    </xf>
    <xf numFmtId="0" fontId="74" fillId="0" borderId="321" xfId="0" applyFont="1" applyBorder="1" applyAlignment="1">
      <alignment vertical="top" wrapText="1"/>
    </xf>
    <xf numFmtId="0" fontId="74" fillId="0" borderId="68" xfId="0" applyFont="1" applyBorder="1" applyAlignment="1">
      <alignment horizontal="right" vertical="top" wrapText="1"/>
    </xf>
    <xf numFmtId="4" fontId="74" fillId="0" borderId="68" xfId="0" applyNumberFormat="1" applyFont="1" applyBorder="1" applyAlignment="1">
      <alignment horizontal="right" vertical="top" wrapText="1"/>
    </xf>
    <xf numFmtId="0" fontId="74" fillId="0" borderId="171" xfId="0" applyFont="1" applyBorder="1" applyAlignment="1">
      <alignment horizontal="right" vertical="top" wrapText="1"/>
    </xf>
    <xf numFmtId="4" fontId="74" fillId="0" borderId="171" xfId="0" applyNumberFormat="1" applyFont="1" applyBorder="1" applyAlignment="1">
      <alignment horizontal="right" vertical="top" wrapText="1"/>
    </xf>
    <xf numFmtId="0" fontId="0" fillId="0" borderId="171" xfId="0" applyBorder="1" applyAlignment="1">
      <alignment vertical="top" wrapText="1"/>
    </xf>
    <xf numFmtId="0" fontId="0" fillId="0" borderId="323" xfId="0" applyBorder="1" applyAlignment="1">
      <alignment vertical="top" wrapText="1"/>
    </xf>
    <xf numFmtId="0" fontId="112" fillId="0" borderId="324" xfId="0" applyFont="1" applyBorder="1" applyAlignment="1">
      <alignment horizontal="center" vertical="top" wrapText="1"/>
    </xf>
    <xf numFmtId="4" fontId="112" fillId="0" borderId="325" xfId="0" applyNumberFormat="1" applyFont="1" applyBorder="1" applyAlignment="1">
      <alignment horizontal="right" vertical="top" wrapText="1"/>
    </xf>
    <xf numFmtId="4" fontId="112" fillId="0" borderId="173" xfId="0" applyNumberFormat="1" applyFont="1" applyBorder="1" applyAlignment="1">
      <alignment horizontal="right" vertical="top" wrapText="1"/>
    </xf>
    <xf numFmtId="0" fontId="112" fillId="0" borderId="318" xfId="0" applyFont="1" applyBorder="1" applyAlignment="1">
      <alignment horizontal="center" vertical="center" wrapText="1"/>
    </xf>
    <xf numFmtId="0" fontId="112" fillId="0" borderId="319" xfId="0" applyFont="1" applyBorder="1" applyAlignment="1">
      <alignment horizontal="center" vertical="center" wrapText="1"/>
    </xf>
    <xf numFmtId="0" fontId="112" fillId="0" borderId="320" xfId="0" applyFont="1" applyBorder="1" applyAlignment="1">
      <alignment horizontal="center" vertical="center" wrapText="1"/>
    </xf>
    <xf numFmtId="0" fontId="160" fillId="0" borderId="300" xfId="21" applyFont="1" applyFill="1" applyBorder="1"/>
    <xf numFmtId="0" fontId="160" fillId="0" borderId="295" xfId="21" applyFont="1" applyFill="1" applyBorder="1"/>
    <xf numFmtId="0" fontId="160" fillId="0" borderId="0" xfId="21" applyFont="1" applyFill="1" applyBorder="1"/>
    <xf numFmtId="0" fontId="160" fillId="0" borderId="306" xfId="21" applyFont="1" applyFill="1" applyBorder="1"/>
    <xf numFmtId="0" fontId="160" fillId="0" borderId="304" xfId="21" applyFont="1" applyFill="1" applyBorder="1"/>
    <xf numFmtId="0" fontId="160" fillId="0" borderId="301" xfId="21" applyFont="1" applyFill="1" applyBorder="1"/>
    <xf numFmtId="0" fontId="160" fillId="0" borderId="296" xfId="21" applyFont="1" applyFill="1" applyBorder="1"/>
    <xf numFmtId="0" fontId="160" fillId="0" borderId="303" xfId="21" applyFont="1" applyFill="1" applyBorder="1"/>
    <xf numFmtId="0" fontId="160" fillId="0" borderId="199" xfId="21" applyFont="1" applyFill="1" applyBorder="1"/>
    <xf numFmtId="0" fontId="160" fillId="0" borderId="316" xfId="21" applyFont="1" applyFill="1" applyBorder="1"/>
    <xf numFmtId="4" fontId="183" fillId="0" borderId="0" xfId="21" applyNumberFormat="1" applyFont="1" applyFill="1" applyBorder="1" applyAlignment="1">
      <alignment horizontal="center"/>
    </xf>
    <xf numFmtId="0" fontId="183" fillId="0" borderId="0" xfId="21" applyFont="1" applyFill="1" applyBorder="1" applyAlignment="1">
      <alignment horizontal="center"/>
    </xf>
    <xf numFmtId="0" fontId="41" fillId="5" borderId="0" xfId="48" applyFont="1" applyFill="1" applyBorder="1" applyAlignment="1">
      <alignment horizontal="center" vertical="top"/>
    </xf>
    <xf numFmtId="49" fontId="46" fillId="5" borderId="0" xfId="48" applyNumberFormat="1" applyFont="1" applyFill="1" applyBorder="1" applyAlignment="1">
      <alignment horizontal="left" vertical="top"/>
    </xf>
    <xf numFmtId="49" fontId="41" fillId="5" borderId="0" xfId="48" applyNumberFormat="1" applyFont="1" applyFill="1" applyBorder="1" applyAlignment="1">
      <alignment horizontal="center" vertical="top"/>
    </xf>
    <xf numFmtId="49" fontId="46" fillId="5" borderId="0" xfId="48" applyNumberFormat="1" applyFont="1" applyFill="1" applyBorder="1" applyAlignment="1">
      <alignment horizontal="center" vertical="top"/>
    </xf>
    <xf numFmtId="49" fontId="41" fillId="5" borderId="0" xfId="48" applyNumberFormat="1" applyFont="1" applyFill="1" applyBorder="1" applyAlignment="1">
      <alignment horizontal="left" vertical="top"/>
    </xf>
    <xf numFmtId="49" fontId="46" fillId="5" borderId="0" xfId="48" applyNumberFormat="1" applyFont="1" applyFill="1" applyBorder="1" applyAlignment="1">
      <alignment vertical="top"/>
    </xf>
    <xf numFmtId="0" fontId="18" fillId="0" borderId="295" xfId="2" applyBorder="1" applyAlignment="1">
      <alignment vertical="top"/>
    </xf>
    <xf numFmtId="0" fontId="19" fillId="0" borderId="315" xfId="21" applyBorder="1" applyAlignment="1">
      <alignment horizontal="center"/>
    </xf>
    <xf numFmtId="0" fontId="46" fillId="0" borderId="111" xfId="21" applyFont="1" applyBorder="1"/>
    <xf numFmtId="0" fontId="46" fillId="0" borderId="112" xfId="21" applyFont="1" applyBorder="1"/>
    <xf numFmtId="170" fontId="159" fillId="0" borderId="0" xfId="96" applyFont="1"/>
    <xf numFmtId="170" fontId="18" fillId="0" borderId="0" xfId="96" applyFont="1" applyBorder="1" applyAlignment="1"/>
    <xf numFmtId="170" fontId="18" fillId="0" borderId="0" xfId="96" applyFont="1" applyBorder="1"/>
    <xf numFmtId="49" fontId="18" fillId="0" borderId="0" xfId="96" applyNumberFormat="1" applyFont="1" applyBorder="1" applyAlignment="1">
      <alignment horizontal="left"/>
    </xf>
    <xf numFmtId="43" fontId="21" fillId="0" borderId="295" xfId="62" applyFont="1" applyBorder="1"/>
    <xf numFmtId="0" fontId="69" fillId="0" borderId="241" xfId="0" applyFont="1" applyBorder="1" applyAlignment="1">
      <alignment vertical="top" wrapText="1"/>
    </xf>
    <xf numFmtId="0" fontId="69" fillId="0" borderId="292" xfId="0" applyFont="1" applyBorder="1" applyAlignment="1">
      <alignment horizontal="center" vertical="top" wrapText="1"/>
    </xf>
    <xf numFmtId="0" fontId="69" fillId="0" borderId="0" xfId="0" applyFont="1" applyAlignment="1"/>
    <xf numFmtId="43" fontId="71" fillId="0" borderId="0" xfId="1" applyFont="1" applyAlignment="1"/>
    <xf numFmtId="0" fontId="71" fillId="0" borderId="312" xfId="0" applyFont="1" applyBorder="1" applyAlignment="1">
      <alignment vertical="top" wrapText="1"/>
    </xf>
    <xf numFmtId="43" fontId="71" fillId="0" borderId="312" xfId="1" applyFont="1" applyBorder="1" applyAlignment="1">
      <alignment vertical="top" wrapText="1"/>
    </xf>
    <xf numFmtId="43" fontId="71" fillId="0" borderId="111" xfId="1" applyFont="1" applyBorder="1" applyAlignment="1">
      <alignment vertical="top" wrapText="1"/>
    </xf>
    <xf numFmtId="43" fontId="71" fillId="0" borderId="241" xfId="1" applyFont="1" applyBorder="1" applyAlignment="1">
      <alignment vertical="top" wrapText="1"/>
    </xf>
    <xf numFmtId="43" fontId="69" fillId="0" borderId="292" xfId="1" applyFont="1" applyBorder="1" applyAlignment="1">
      <alignment horizontal="center" vertical="top" wrapText="1"/>
    </xf>
    <xf numFmtId="0" fontId="69" fillId="0" borderId="291" xfId="0" applyFont="1" applyBorder="1" applyAlignment="1">
      <alignment horizontal="center" vertical="top" wrapText="1"/>
    </xf>
    <xf numFmtId="0" fontId="73" fillId="0" borderId="111" xfId="0" applyFont="1" applyBorder="1" applyAlignment="1">
      <alignment vertical="top" wrapText="1"/>
    </xf>
    <xf numFmtId="0" fontId="71" fillId="0" borderId="111" xfId="0" applyFont="1" applyBorder="1" applyAlignment="1">
      <alignment vertical="top"/>
    </xf>
    <xf numFmtId="0" fontId="71" fillId="0" borderId="241" xfId="0" applyFont="1" applyBorder="1" applyAlignment="1">
      <alignment vertical="top" wrapText="1"/>
    </xf>
    <xf numFmtId="43" fontId="71" fillId="0" borderId="111" xfId="1" applyFont="1" applyBorder="1" applyAlignment="1">
      <alignment vertical="top"/>
    </xf>
    <xf numFmtId="0" fontId="92" fillId="0" borderId="135" xfId="0" applyFont="1" applyBorder="1" applyAlignment="1">
      <alignment horizontal="center" vertical="top" wrapText="1"/>
    </xf>
    <xf numFmtId="0" fontId="92" fillId="0" borderId="137" xfId="0" applyFont="1" applyBorder="1" applyAlignment="1">
      <alignment horizontal="center" vertical="top" wrapText="1"/>
    </xf>
    <xf numFmtId="0" fontId="92" fillId="0" borderId="139" xfId="0" applyFont="1" applyBorder="1" applyAlignment="1">
      <alignment horizontal="center" vertical="top" wrapText="1"/>
    </xf>
    <xf numFmtId="0" fontId="92" fillId="0" borderId="328" xfId="0" applyFont="1" applyBorder="1" applyAlignment="1">
      <alignment horizontal="center" vertical="top" wrapText="1"/>
    </xf>
    <xf numFmtId="0" fontId="0" fillId="0" borderId="147" xfId="0" applyBorder="1" applyAlignment="1">
      <alignment vertical="top" wrapText="1"/>
    </xf>
    <xf numFmtId="0" fontId="92" fillId="0" borderId="150" xfId="0" applyFont="1" applyBorder="1" applyAlignment="1">
      <alignment horizontal="center" vertical="top" wrapText="1"/>
    </xf>
    <xf numFmtId="0" fontId="92" fillId="0" borderId="142" xfId="0" applyFont="1" applyBorder="1" applyAlignment="1">
      <alignment horizontal="center" vertical="top" wrapText="1"/>
    </xf>
    <xf numFmtId="0" fontId="92" fillId="0" borderId="141" xfId="0" applyFont="1" applyBorder="1" applyAlignment="1">
      <alignment horizontal="center" vertical="top" wrapText="1"/>
    </xf>
    <xf numFmtId="0" fontId="62" fillId="0" borderId="139" xfId="0" applyFont="1" applyBorder="1" applyAlignment="1">
      <alignment horizontal="left" vertical="top" wrapText="1" indent="8"/>
    </xf>
    <xf numFmtId="4" fontId="0" fillId="0" borderId="141" xfId="0" applyNumberFormat="1" applyBorder="1" applyAlignment="1">
      <alignment vertical="top" wrapText="1"/>
    </xf>
    <xf numFmtId="4" fontId="0" fillId="0" borderId="147" xfId="0" applyNumberFormat="1" applyBorder="1" applyAlignment="1">
      <alignment vertical="top" wrapText="1"/>
    </xf>
    <xf numFmtId="0" fontId="152" fillId="0" borderId="137" xfId="0" applyFont="1" applyBorder="1" applyAlignment="1">
      <alignment horizontal="left" vertical="top" wrapText="1" indent="5"/>
    </xf>
    <xf numFmtId="0" fontId="62" fillId="0" borderId="139" xfId="0" applyFont="1" applyBorder="1" applyAlignment="1">
      <alignment horizontal="left" vertical="top" wrapText="1" indent="5"/>
    </xf>
    <xf numFmtId="4" fontId="62" fillId="0" borderId="147" xfId="0" applyNumberFormat="1" applyFont="1" applyBorder="1" applyAlignment="1">
      <alignment vertical="top" wrapText="1"/>
    </xf>
    <xf numFmtId="0" fontId="62" fillId="0" borderId="135" xfId="0" applyFont="1" applyBorder="1" applyAlignment="1">
      <alignment horizontal="left" vertical="top" wrapText="1" indent="8"/>
    </xf>
    <xf numFmtId="0" fontId="0" fillId="0" borderId="328" xfId="0" applyBorder="1" applyAlignment="1">
      <alignment vertical="top" wrapText="1"/>
    </xf>
    <xf numFmtId="4" fontId="0" fillId="0" borderId="68" xfId="0" applyNumberFormat="1" applyBorder="1" applyAlignment="1">
      <alignment vertical="top" wrapText="1"/>
    </xf>
    <xf numFmtId="4" fontId="0" fillId="0" borderId="142" xfId="0" applyNumberFormat="1" applyBorder="1" applyAlignment="1">
      <alignment vertical="top" wrapText="1"/>
    </xf>
    <xf numFmtId="43" fontId="62" fillId="0" borderId="224" xfId="1" applyFont="1" applyBorder="1" applyAlignment="1">
      <alignment horizontal="center" vertical="top"/>
    </xf>
    <xf numFmtId="0" fontId="74" fillId="0" borderId="241" xfId="0" applyFont="1" applyBorder="1" applyAlignment="1">
      <alignment vertical="top" wrapText="1"/>
    </xf>
    <xf numFmtId="4" fontId="0" fillId="0" borderId="0" xfId="0" applyNumberFormat="1"/>
    <xf numFmtId="0" fontId="74" fillId="0" borderId="68" xfId="0" applyFont="1" applyBorder="1" applyAlignment="1">
      <alignment horizontal="justify" vertical="top" wrapText="1"/>
    </xf>
    <xf numFmtId="0" fontId="80" fillId="0" borderId="0" xfId="0" applyFont="1"/>
    <xf numFmtId="0" fontId="80" fillId="0" borderId="0" xfId="0" applyFont="1" applyBorder="1"/>
    <xf numFmtId="0" fontId="80" fillId="0" borderId="120" xfId="0" applyFont="1" applyBorder="1"/>
    <xf numFmtId="0" fontId="80" fillId="0" borderId="222" xfId="0" applyFont="1" applyBorder="1"/>
    <xf numFmtId="0" fontId="80" fillId="0" borderId="215" xfId="0" applyFont="1" applyBorder="1"/>
    <xf numFmtId="0" fontId="80" fillId="0" borderId="221" xfId="0" applyFont="1" applyBorder="1"/>
    <xf numFmtId="0" fontId="80" fillId="0" borderId="295" xfId="0" applyFont="1" applyBorder="1"/>
    <xf numFmtId="0" fontId="80" fillId="0" borderId="300" xfId="0" applyFont="1" applyBorder="1"/>
    <xf numFmtId="0" fontId="80" fillId="0" borderId="326" xfId="0" applyFont="1" applyBorder="1"/>
    <xf numFmtId="0" fontId="0" fillId="0" borderId="295" xfId="0" applyBorder="1"/>
    <xf numFmtId="0" fontId="0" fillId="0" borderId="303" xfId="0" applyBorder="1"/>
    <xf numFmtId="0" fontId="0" fillId="0" borderId="306" xfId="0" applyBorder="1"/>
    <xf numFmtId="0" fontId="0" fillId="0" borderId="315" xfId="0" applyBorder="1"/>
    <xf numFmtId="0" fontId="0" fillId="0" borderId="316" xfId="0" applyBorder="1"/>
    <xf numFmtId="0" fontId="0" fillId="0" borderId="303" xfId="0" applyBorder="1" applyAlignment="1">
      <alignment horizontal="center"/>
    </xf>
    <xf numFmtId="0" fontId="80" fillId="0" borderId="300" xfId="0" applyFont="1" applyFill="1" applyBorder="1"/>
    <xf numFmtId="4" fontId="80" fillId="0" borderId="295" xfId="0" applyNumberFormat="1" applyFont="1" applyBorder="1"/>
    <xf numFmtId="4" fontId="92" fillId="0" borderId="295" xfId="0" applyNumberFormat="1" applyFont="1" applyBorder="1"/>
    <xf numFmtId="0" fontId="92" fillId="0" borderId="295" xfId="0" applyFont="1" applyBorder="1"/>
    <xf numFmtId="4" fontId="142" fillId="0" borderId="295" xfId="0" applyNumberFormat="1" applyFont="1" applyBorder="1"/>
    <xf numFmtId="0" fontId="142" fillId="0" borderId="295" xfId="0" applyFont="1" applyBorder="1"/>
    <xf numFmtId="0" fontId="80" fillId="0" borderId="303" xfId="0" applyFont="1" applyBorder="1"/>
    <xf numFmtId="0" fontId="80" fillId="0" borderId="315" xfId="0" applyFont="1" applyBorder="1"/>
    <xf numFmtId="0" fontId="80" fillId="0" borderId="316" xfId="0" applyFont="1" applyBorder="1"/>
    <xf numFmtId="0" fontId="0" fillId="0" borderId="302" xfId="0" applyBorder="1"/>
    <xf numFmtId="0" fontId="0" fillId="0" borderId="289" xfId="0" applyBorder="1"/>
    <xf numFmtId="0" fontId="0" fillId="0" borderId="290" xfId="0" applyBorder="1"/>
    <xf numFmtId="0" fontId="0" fillId="0" borderId="308" xfId="0" applyBorder="1"/>
    <xf numFmtId="4" fontId="0" fillId="0" borderId="302" xfId="0" applyNumberFormat="1" applyBorder="1"/>
    <xf numFmtId="0" fontId="0" fillId="0" borderId="0" xfId="0" applyFont="1"/>
    <xf numFmtId="0" fontId="92" fillId="0" borderId="120" xfId="0" applyFont="1" applyBorder="1"/>
    <xf numFmtId="0" fontId="92" fillId="0" borderId="222" xfId="0" applyFont="1" applyBorder="1"/>
    <xf numFmtId="0" fontId="92" fillId="0" borderId="215" xfId="0" applyFont="1" applyBorder="1"/>
    <xf numFmtId="0" fontId="92" fillId="0" borderId="221" xfId="0" applyFont="1" applyBorder="1"/>
    <xf numFmtId="0" fontId="92" fillId="0" borderId="120" xfId="0" applyFont="1" applyBorder="1" applyAlignment="1">
      <alignment horizontal="center"/>
    </xf>
    <xf numFmtId="0" fontId="92" fillId="0" borderId="300" xfId="0" applyFont="1" applyBorder="1"/>
    <xf numFmtId="0" fontId="92" fillId="0" borderId="0" xfId="0" applyFont="1" applyBorder="1"/>
    <xf numFmtId="0" fontId="92" fillId="0" borderId="326" xfId="0" applyFont="1" applyBorder="1"/>
    <xf numFmtId="0" fontId="62" fillId="0" borderId="295" xfId="0" applyFont="1" applyBorder="1"/>
    <xf numFmtId="0" fontId="92" fillId="0" borderId="295" xfId="0" applyFont="1" applyBorder="1" applyAlignment="1">
      <alignment horizontal="center"/>
    </xf>
    <xf numFmtId="0" fontId="62" fillId="0" borderId="303" xfId="0" applyFont="1" applyBorder="1"/>
    <xf numFmtId="0" fontId="62" fillId="0" borderId="306" xfId="0" applyFont="1" applyBorder="1"/>
    <xf numFmtId="0" fontId="62" fillId="0" borderId="315" xfId="0" applyFont="1" applyBorder="1"/>
    <xf numFmtId="0" fontId="62" fillId="0" borderId="316" xfId="0" applyFont="1" applyBorder="1"/>
    <xf numFmtId="0" fontId="62" fillId="0" borderId="303" xfId="0" applyFont="1" applyBorder="1" applyAlignment="1">
      <alignment horizontal="center"/>
    </xf>
    <xf numFmtId="0" fontId="119" fillId="0" borderId="0" xfId="0" applyFont="1" applyBorder="1"/>
    <xf numFmtId="0" fontId="0" fillId="0" borderId="300" xfId="0" applyBorder="1"/>
    <xf numFmtId="0" fontId="0" fillId="0" borderId="326" xfId="0" applyBorder="1"/>
    <xf numFmtId="4" fontId="0" fillId="0" borderId="295" xfId="0" applyNumberFormat="1" applyBorder="1"/>
    <xf numFmtId="0" fontId="136" fillId="0" borderId="0" xfId="0" applyFont="1" applyAlignment="1"/>
    <xf numFmtId="0" fontId="41" fillId="5" borderId="330" xfId="48" applyFont="1" applyFill="1" applyBorder="1" applyAlignment="1">
      <alignment horizontal="center" vertical="top"/>
    </xf>
    <xf numFmtId="0" fontId="41" fillId="5" borderId="311" xfId="48" applyFont="1" applyFill="1" applyBorder="1" applyAlignment="1">
      <alignment horizontal="center" vertical="top"/>
    </xf>
    <xf numFmtId="49" fontId="41" fillId="5" borderId="249" xfId="48" applyNumberFormat="1" applyFont="1" applyFill="1" applyBorder="1" applyAlignment="1">
      <alignment horizontal="center" vertical="top"/>
    </xf>
    <xf numFmtId="49" fontId="41" fillId="5" borderId="195" xfId="48" applyNumberFormat="1" applyFont="1" applyFill="1" applyBorder="1" applyAlignment="1">
      <alignment horizontal="center" vertical="top"/>
    </xf>
    <xf numFmtId="0" fontId="41" fillId="5" borderId="246" xfId="48" applyFont="1" applyFill="1" applyBorder="1" applyAlignment="1">
      <alignment horizontal="center" vertical="top"/>
    </xf>
    <xf numFmtId="0" fontId="41" fillId="5" borderId="242" xfId="48" applyFont="1" applyFill="1" applyBorder="1" applyAlignment="1">
      <alignment horizontal="center" vertical="top"/>
    </xf>
    <xf numFmtId="49" fontId="46" fillId="5" borderId="330" xfId="48" applyNumberFormat="1" applyFont="1" applyFill="1" applyBorder="1" applyAlignment="1">
      <alignment vertical="top"/>
    </xf>
    <xf numFmtId="49" fontId="46" fillId="5" borderId="311" xfId="48" applyNumberFormat="1" applyFont="1" applyFill="1" applyBorder="1" applyAlignment="1">
      <alignment horizontal="center" vertical="top"/>
    </xf>
    <xf numFmtId="49" fontId="46" fillId="5" borderId="313" xfId="48" applyNumberFormat="1" applyFont="1" applyFill="1" applyBorder="1" applyAlignment="1">
      <alignment vertical="top"/>
    </xf>
    <xf numFmtId="49" fontId="46" fillId="5" borderId="262" xfId="48" applyNumberFormat="1" applyFont="1" applyFill="1" applyBorder="1" applyAlignment="1">
      <alignment vertical="top"/>
    </xf>
    <xf numFmtId="49" fontId="46" fillId="5" borderId="295" xfId="48" applyNumberFormat="1" applyFont="1" applyFill="1" applyBorder="1" applyAlignment="1">
      <alignment vertical="top"/>
    </xf>
    <xf numFmtId="49" fontId="41" fillId="5" borderId="300" xfId="48" applyNumberFormat="1" applyFont="1" applyFill="1" applyBorder="1" applyAlignment="1">
      <alignment horizontal="center" vertical="top"/>
    </xf>
    <xf numFmtId="49" fontId="41" fillId="5" borderId="326" xfId="48" applyNumberFormat="1" applyFont="1" applyFill="1" applyBorder="1" applyAlignment="1">
      <alignment horizontal="center" vertical="top"/>
    </xf>
    <xf numFmtId="49" fontId="46" fillId="5" borderId="326" xfId="48" applyNumberFormat="1" applyFont="1" applyFill="1" applyBorder="1" applyAlignment="1">
      <alignment horizontal="center" vertical="top"/>
    </xf>
    <xf numFmtId="49" fontId="46" fillId="5" borderId="300" xfId="48" applyNumberFormat="1" applyFont="1" applyFill="1" applyBorder="1" applyAlignment="1">
      <alignment vertical="top"/>
    </xf>
    <xf numFmtId="49" fontId="46" fillId="5" borderId="326" xfId="48" applyNumberFormat="1" applyFont="1" applyFill="1" applyBorder="1" applyAlignment="1">
      <alignment vertical="top"/>
    </xf>
    <xf numFmtId="49" fontId="46" fillId="5" borderId="326" xfId="48" applyNumberFormat="1" applyFont="1" applyFill="1" applyBorder="1" applyAlignment="1">
      <alignment horizontal="left" vertical="top"/>
    </xf>
    <xf numFmtId="49" fontId="41" fillId="5" borderId="300" xfId="48" applyNumberFormat="1" applyFont="1" applyFill="1" applyBorder="1" applyAlignment="1">
      <alignment horizontal="left" vertical="top"/>
    </xf>
    <xf numFmtId="49" fontId="46" fillId="5" borderId="249" xfId="48" applyNumberFormat="1" applyFont="1" applyFill="1" applyBorder="1" applyAlignment="1">
      <alignment vertical="top"/>
    </xf>
    <xf numFmtId="49" fontId="46" fillId="5" borderId="258" xfId="48" applyNumberFormat="1" applyFont="1" applyFill="1" applyBorder="1" applyAlignment="1">
      <alignment horizontal="left" vertical="top"/>
    </xf>
    <xf numFmtId="49" fontId="46" fillId="5" borderId="195" xfId="48" applyNumberFormat="1" applyFont="1" applyFill="1" applyBorder="1" applyAlignment="1">
      <alignment horizontal="left" vertical="top"/>
    </xf>
    <xf numFmtId="49" fontId="46" fillId="5" borderId="247" xfId="48" applyNumberFormat="1" applyFont="1" applyFill="1" applyBorder="1" applyAlignment="1">
      <alignment horizontal="left" vertical="top"/>
    </xf>
    <xf numFmtId="49" fontId="46" fillId="5" borderId="195" xfId="48" applyNumberFormat="1" applyFont="1" applyFill="1" applyBorder="1" applyAlignment="1">
      <alignment horizontal="center" vertical="top"/>
    </xf>
    <xf numFmtId="49" fontId="46" fillId="5" borderId="246" xfId="48" applyNumberFormat="1" applyFont="1" applyFill="1" applyBorder="1" applyAlignment="1">
      <alignment horizontal="center" vertical="top"/>
    </xf>
    <xf numFmtId="49" fontId="46" fillId="5" borderId="242" xfId="48" applyNumberFormat="1" applyFont="1" applyFill="1" applyBorder="1" applyAlignment="1">
      <alignment horizontal="center" vertical="top"/>
    </xf>
    <xf numFmtId="49" fontId="46" fillId="5" borderId="311" xfId="48" applyNumberFormat="1" applyFont="1" applyFill="1" applyBorder="1" applyAlignment="1">
      <alignment vertical="top"/>
    </xf>
    <xf numFmtId="49" fontId="46" fillId="5" borderId="311" xfId="48" applyNumberFormat="1" applyFont="1" applyFill="1" applyBorder="1" applyAlignment="1">
      <alignment horizontal="left" vertical="top"/>
    </xf>
    <xf numFmtId="49" fontId="46" fillId="5" borderId="195" xfId="48" applyNumberFormat="1" applyFont="1" applyFill="1" applyBorder="1" applyAlignment="1">
      <alignment vertical="top"/>
    </xf>
    <xf numFmtId="49" fontId="46" fillId="5" borderId="313" xfId="48" applyNumberFormat="1" applyFont="1" applyFill="1" applyBorder="1" applyAlignment="1">
      <alignment horizontal="center" vertical="top"/>
    </xf>
    <xf numFmtId="49" fontId="46" fillId="5" borderId="262" xfId="48" applyNumberFormat="1" applyFont="1" applyFill="1" applyBorder="1" applyAlignment="1">
      <alignment horizontal="center" vertical="top"/>
    </xf>
    <xf numFmtId="0" fontId="41" fillId="5" borderId="300" xfId="48" applyFont="1" applyFill="1" applyBorder="1" applyAlignment="1">
      <alignment horizontal="center" vertical="top"/>
    </xf>
    <xf numFmtId="0" fontId="41" fillId="5" borderId="326" xfId="48" applyFont="1" applyFill="1" applyBorder="1" applyAlignment="1">
      <alignment horizontal="center" vertical="top"/>
    </xf>
    <xf numFmtId="0" fontId="41" fillId="5" borderId="295" xfId="48" applyFont="1" applyFill="1" applyBorder="1" applyAlignment="1">
      <alignment vertical="top"/>
    </xf>
    <xf numFmtId="49" fontId="46" fillId="5" borderId="258" xfId="48" applyNumberFormat="1" applyFont="1" applyFill="1" applyBorder="1" applyAlignment="1">
      <alignment horizontal="center" vertical="top"/>
    </xf>
    <xf numFmtId="49" fontId="46" fillId="5" borderId="247" xfId="48" applyNumberFormat="1" applyFont="1" applyFill="1" applyBorder="1" applyAlignment="1">
      <alignment horizontal="center" vertical="top"/>
    </xf>
    <xf numFmtId="0" fontId="46" fillId="5" borderId="300" xfId="48" applyFont="1" applyFill="1" applyBorder="1" applyAlignment="1">
      <alignment horizontal="left" vertical="top"/>
    </xf>
    <xf numFmtId="0" fontId="46" fillId="5" borderId="326" xfId="48" applyFont="1" applyFill="1" applyBorder="1" applyAlignment="1">
      <alignment horizontal="left" vertical="top"/>
    </xf>
    <xf numFmtId="0" fontId="46" fillId="5" borderId="295" xfId="48" applyFont="1" applyFill="1" applyBorder="1" applyAlignment="1">
      <alignment horizontal="left" vertical="top"/>
    </xf>
    <xf numFmtId="49" fontId="46" fillId="5" borderId="300" xfId="48" applyNumberFormat="1" applyFont="1" applyFill="1" applyBorder="1" applyAlignment="1">
      <alignment horizontal="left" vertical="top" wrapText="1"/>
    </xf>
    <xf numFmtId="49" fontId="46" fillId="5" borderId="0" xfId="48" applyNumberFormat="1" applyFont="1" applyFill="1" applyBorder="1" applyAlignment="1">
      <alignment horizontal="left" vertical="top" wrapText="1"/>
    </xf>
    <xf numFmtId="49" fontId="46" fillId="5" borderId="326" xfId="48" applyNumberFormat="1" applyFont="1" applyFill="1" applyBorder="1" applyAlignment="1">
      <alignment horizontal="left" vertical="top" wrapText="1"/>
    </xf>
    <xf numFmtId="49" fontId="46" fillId="5" borderId="300" xfId="48" applyNumberFormat="1" applyFont="1" applyFill="1" applyBorder="1" applyAlignment="1">
      <alignment horizontal="center" vertical="top" wrapText="1"/>
    </xf>
    <xf numFmtId="49" fontId="46" fillId="5" borderId="326" xfId="48" applyNumberFormat="1" applyFont="1" applyFill="1" applyBorder="1" applyAlignment="1">
      <alignment horizontal="center" vertical="top" wrapText="1"/>
    </xf>
    <xf numFmtId="49" fontId="46" fillId="5" borderId="0" xfId="48" applyNumberFormat="1" applyFont="1" applyFill="1" applyBorder="1" applyAlignment="1">
      <alignment horizontal="center" vertical="top" wrapText="1"/>
    </xf>
    <xf numFmtId="49" fontId="41" fillId="5" borderId="326" xfId="48" applyNumberFormat="1" applyFont="1" applyFill="1" applyBorder="1" applyAlignment="1">
      <alignment horizontal="left" vertical="top"/>
    </xf>
    <xf numFmtId="49" fontId="96" fillId="5" borderId="300" xfId="48" applyNumberFormat="1" applyFont="1" applyFill="1" applyBorder="1" applyAlignment="1">
      <alignment horizontal="center" vertical="top"/>
    </xf>
    <xf numFmtId="0" fontId="0" fillId="0" borderId="330" xfId="0" applyBorder="1"/>
    <xf numFmtId="0" fontId="0" fillId="0" borderId="269" xfId="0" applyBorder="1"/>
    <xf numFmtId="0" fontId="54" fillId="0" borderId="197" xfId="0" applyFont="1" applyBorder="1" applyAlignment="1">
      <alignment horizontal="center"/>
    </xf>
    <xf numFmtId="0" fontId="54" fillId="0" borderId="285" xfId="0" applyFont="1" applyBorder="1" applyAlignment="1">
      <alignment horizontal="center"/>
    </xf>
    <xf numFmtId="0" fontId="0" fillId="0" borderId="93" xfId="0" applyBorder="1"/>
    <xf numFmtId="0" fontId="0" fillId="0" borderId="32" xfId="0" applyBorder="1"/>
    <xf numFmtId="0" fontId="0" fillId="0" borderId="197" xfId="0" applyBorder="1"/>
    <xf numFmtId="0" fontId="0" fillId="0" borderId="285" xfId="0" applyBorder="1"/>
    <xf numFmtId="0" fontId="54" fillId="0" borderId="197" xfId="0" applyFont="1" applyBorder="1"/>
    <xf numFmtId="0" fontId="19" fillId="0" borderId="314" xfId="58" applyFont="1" applyBorder="1" applyAlignment="1" applyProtection="1">
      <alignment horizontal="center"/>
      <protection locked="0"/>
    </xf>
    <xf numFmtId="43" fontId="17" fillId="0" borderId="295" xfId="9" applyFont="1" applyBorder="1"/>
    <xf numFmtId="43" fontId="54" fillId="0" borderId="285" xfId="0" applyNumberFormat="1" applyFont="1" applyBorder="1"/>
    <xf numFmtId="0" fontId="19" fillId="0" borderId="314" xfId="58" applyFont="1" applyBorder="1" applyAlignment="1" applyProtection="1">
      <alignment horizontal="left"/>
      <protection locked="0"/>
    </xf>
    <xf numFmtId="43" fontId="54" fillId="0" borderId="285" xfId="9" applyFont="1" applyBorder="1"/>
    <xf numFmtId="43" fontId="0" fillId="0" borderId="285" xfId="0" applyNumberFormat="1" applyBorder="1"/>
    <xf numFmtId="0" fontId="0" fillId="0" borderId="260" xfId="0" applyBorder="1"/>
    <xf numFmtId="0" fontId="188" fillId="0" borderId="295" xfId="0" applyFont="1" applyBorder="1" applyAlignment="1">
      <alignment horizontal="right"/>
    </xf>
    <xf numFmtId="43" fontId="189" fillId="0" borderId="285" xfId="0" applyNumberFormat="1" applyFont="1" applyBorder="1"/>
    <xf numFmtId="0" fontId="0" fillId="0" borderId="285" xfId="0" applyBorder="1" applyAlignment="1">
      <alignment horizontal="center"/>
    </xf>
    <xf numFmtId="0" fontId="0" fillId="0" borderId="249" xfId="0" applyBorder="1"/>
    <xf numFmtId="0" fontId="0" fillId="0" borderId="246" xfId="0" applyBorder="1"/>
    <xf numFmtId="0" fontId="0" fillId="0" borderId="255" xfId="0" applyBorder="1"/>
    <xf numFmtId="0" fontId="18" fillId="0" borderId="0" xfId="104" applyFont="1"/>
    <xf numFmtId="0" fontId="27" fillId="0" borderId="0" xfId="104" applyFont="1"/>
    <xf numFmtId="0" fontId="31" fillId="0" borderId="0" xfId="104" applyFont="1"/>
    <xf numFmtId="0" fontId="0" fillId="0" borderId="300" xfId="0" applyBorder="1" applyAlignment="1">
      <alignment horizontal="center" vertical="top"/>
    </xf>
    <xf numFmtId="0" fontId="19" fillId="0" borderId="326" xfId="58" applyFont="1" applyBorder="1" applyAlignment="1">
      <alignment horizontal="left" vertical="top" wrapText="1"/>
    </xf>
    <xf numFmtId="43" fontId="0" fillId="0" borderId="295" xfId="1" applyFont="1" applyBorder="1" applyAlignment="1">
      <alignment vertical="top"/>
    </xf>
    <xf numFmtId="43" fontId="17" fillId="0" borderId="199" xfId="1" applyFont="1" applyBorder="1" applyAlignment="1">
      <alignment vertical="top"/>
    </xf>
    <xf numFmtId="43" fontId="17" fillId="0" borderId="326" xfId="1" applyFont="1" applyBorder="1" applyAlignment="1">
      <alignment vertical="top"/>
    </xf>
    <xf numFmtId="43" fontId="17" fillId="0" borderId="207" xfId="1" applyFont="1" applyBorder="1" applyAlignment="1">
      <alignment vertical="top"/>
    </xf>
    <xf numFmtId="43" fontId="17" fillId="0" borderId="254" xfId="1" applyFont="1" applyBorder="1" applyAlignment="1">
      <alignment vertical="top"/>
    </xf>
    <xf numFmtId="43" fontId="17" fillId="0" borderId="0" xfId="1" applyFont="1" applyAlignment="1">
      <alignment vertical="top"/>
    </xf>
    <xf numFmtId="0" fontId="27" fillId="0" borderId="0" xfId="58" applyFont="1"/>
    <xf numFmtId="0" fontId="18" fillId="0" borderId="0" xfId="58" applyAlignment="1">
      <alignment horizontal="center"/>
    </xf>
    <xf numFmtId="0" fontId="18" fillId="0" borderId="0" xfId="58"/>
    <xf numFmtId="0" fontId="19" fillId="0" borderId="300" xfId="65" applyFont="1" applyBorder="1" applyAlignment="1">
      <alignment vertical="top" wrapText="1"/>
    </xf>
    <xf numFmtId="0" fontId="19" fillId="0" borderId="295" xfId="65" applyFont="1" applyBorder="1" applyAlignment="1">
      <alignment vertical="top" wrapText="1"/>
    </xf>
    <xf numFmtId="0" fontId="191" fillId="0" borderId="295" xfId="0" applyFont="1" applyBorder="1" applyAlignment="1">
      <alignment horizontal="left" vertical="top" wrapText="1"/>
    </xf>
    <xf numFmtId="0" fontId="19" fillId="0" borderId="295" xfId="65" applyFont="1" applyBorder="1" applyAlignment="1">
      <alignment vertical="top"/>
    </xf>
    <xf numFmtId="0" fontId="19" fillId="0" borderId="303" xfId="65" applyFont="1" applyBorder="1" applyAlignment="1">
      <alignment vertical="top" wrapText="1"/>
    </xf>
    <xf numFmtId="0" fontId="19" fillId="0" borderId="295" xfId="65" applyFont="1" applyBorder="1" applyAlignment="1">
      <alignment horizontal="center" vertical="top"/>
    </xf>
    <xf numFmtId="0" fontId="21" fillId="0" borderId="300" xfId="65" applyFont="1" applyBorder="1" applyAlignment="1">
      <alignment horizontal="center" vertical="top"/>
    </xf>
    <xf numFmtId="43" fontId="19" fillId="0" borderId="300" xfId="62" applyFont="1" applyBorder="1" applyAlignment="1">
      <alignment vertical="top"/>
    </xf>
    <xf numFmtId="0" fontId="18" fillId="2" borderId="0" xfId="58" applyFill="1"/>
    <xf numFmtId="0" fontId="19" fillId="2" borderId="0" xfId="58" applyFont="1" applyFill="1"/>
    <xf numFmtId="0" fontId="27" fillId="2" borderId="0" xfId="58" applyFont="1" applyFill="1"/>
    <xf numFmtId="0" fontId="18" fillId="2" borderId="0" xfId="58" applyFill="1" applyBorder="1"/>
    <xf numFmtId="0" fontId="19" fillId="2" borderId="0" xfId="58" applyFont="1" applyFill="1" applyBorder="1"/>
    <xf numFmtId="0" fontId="18" fillId="2" borderId="0" xfId="58" applyFont="1" applyFill="1" applyBorder="1"/>
    <xf numFmtId="0" fontId="21" fillId="2" borderId="0" xfId="58" applyFont="1" applyFill="1" applyBorder="1"/>
    <xf numFmtId="0" fontId="36" fillId="2" borderId="0" xfId="58" applyFont="1" applyFill="1"/>
    <xf numFmtId="0" fontId="21" fillId="2" borderId="271" xfId="58" applyFont="1" applyFill="1" applyBorder="1" applyAlignment="1">
      <alignment horizontal="center" vertical="center" wrapText="1"/>
    </xf>
    <xf numFmtId="0" fontId="21" fillId="2" borderId="326" xfId="58" applyFont="1" applyFill="1" applyBorder="1" applyAlignment="1">
      <alignment horizontal="center" vertical="center" wrapText="1"/>
    </xf>
    <xf numFmtId="0" fontId="21" fillId="2" borderId="156" xfId="58" applyFont="1" applyFill="1" applyBorder="1" applyAlignment="1">
      <alignment horizontal="center" vertical="center" wrapText="1"/>
    </xf>
    <xf numFmtId="0" fontId="21" fillId="2" borderId="35" xfId="58" applyFont="1" applyFill="1" applyBorder="1" applyAlignment="1">
      <alignment horizontal="center"/>
    </xf>
    <xf numFmtId="0" fontId="21" fillId="2" borderId="295" xfId="58" applyFont="1" applyFill="1" applyBorder="1" applyAlignment="1">
      <alignment horizontal="center"/>
    </xf>
    <xf numFmtId="0" fontId="21" fillId="2" borderId="270" xfId="58" applyFont="1" applyFill="1" applyBorder="1" applyAlignment="1">
      <alignment horizontal="center" vertical="center" shrinkToFit="1"/>
    </xf>
    <xf numFmtId="0" fontId="21" fillId="2" borderId="313" xfId="58" applyFont="1" applyFill="1" applyBorder="1" applyAlignment="1">
      <alignment horizontal="center"/>
    </xf>
    <xf numFmtId="0" fontId="18" fillId="2" borderId="295" xfId="58" applyFill="1" applyBorder="1"/>
    <xf numFmtId="0" fontId="36" fillId="2" borderId="300" xfId="58" applyFont="1" applyFill="1" applyBorder="1"/>
    <xf numFmtId="0" fontId="19" fillId="2" borderId="0" xfId="58" applyFont="1" applyFill="1" applyBorder="1" applyAlignment="1">
      <alignment horizontal="left"/>
    </xf>
    <xf numFmtId="0" fontId="19" fillId="2" borderId="300" xfId="58" applyFont="1" applyFill="1" applyBorder="1"/>
    <xf numFmtId="3" fontId="91" fillId="2" borderId="0" xfId="58" applyNumberFormat="1" applyFont="1" applyFill="1" applyBorder="1" applyAlignment="1">
      <alignment horizontal="left"/>
    </xf>
    <xf numFmtId="0" fontId="19" fillId="2" borderId="300" xfId="58" applyFont="1" applyFill="1" applyBorder="1" applyAlignment="1"/>
    <xf numFmtId="9" fontId="19" fillId="2" borderId="0" xfId="58" applyNumberFormat="1" applyFont="1" applyFill="1" applyBorder="1" applyAlignment="1">
      <alignment horizontal="left"/>
    </xf>
    <xf numFmtId="0" fontId="21" fillId="2" borderId="300" xfId="58" applyFont="1" applyFill="1" applyBorder="1"/>
    <xf numFmtId="0" fontId="18" fillId="2" borderId="0" xfId="58" applyFill="1" applyBorder="1" applyAlignment="1">
      <alignment horizontal="center"/>
    </xf>
    <xf numFmtId="10" fontId="19" fillId="2" borderId="0" xfId="58" applyNumberFormat="1" applyFont="1" applyFill="1" applyBorder="1" applyAlignment="1">
      <alignment horizontal="left"/>
    </xf>
    <xf numFmtId="0" fontId="21" fillId="2" borderId="295" xfId="58" applyFont="1" applyFill="1" applyBorder="1"/>
    <xf numFmtId="0" fontId="19" fillId="2" borderId="0" xfId="58" applyFont="1" applyFill="1" applyAlignment="1">
      <alignment horizontal="left"/>
    </xf>
    <xf numFmtId="0" fontId="19" fillId="2" borderId="295" xfId="58" applyFont="1" applyFill="1" applyBorder="1" applyAlignment="1">
      <alignment wrapText="1"/>
    </xf>
    <xf numFmtId="0" fontId="19" fillId="2" borderId="295" xfId="58" applyFont="1" applyFill="1" applyBorder="1" applyAlignment="1">
      <alignment horizontal="left"/>
    </xf>
    <xf numFmtId="0" fontId="19" fillId="2" borderId="300" xfId="58" applyFont="1" applyFill="1" applyBorder="1" applyAlignment="1">
      <alignment wrapText="1"/>
    </xf>
    <xf numFmtId="3" fontId="19" fillId="2" borderId="0" xfId="58" applyNumberFormat="1" applyFont="1" applyFill="1" applyBorder="1" applyAlignment="1">
      <alignment horizontal="left"/>
    </xf>
    <xf numFmtId="0" fontId="19" fillId="2" borderId="295" xfId="58" applyFont="1" applyFill="1" applyBorder="1" applyAlignment="1">
      <alignment horizontal="center"/>
    </xf>
    <xf numFmtId="0" fontId="21" fillId="2" borderId="295" xfId="58" applyFont="1" applyFill="1" applyBorder="1" applyAlignment="1">
      <alignment vertical="top"/>
    </xf>
    <xf numFmtId="0" fontId="27" fillId="2" borderId="0" xfId="58" applyFont="1" applyFill="1" applyBorder="1"/>
    <xf numFmtId="0" fontId="19" fillId="2" borderId="0" xfId="58" applyFont="1" applyFill="1" applyBorder="1" applyAlignment="1">
      <alignment horizontal="center"/>
    </xf>
    <xf numFmtId="0" fontId="36" fillId="2" borderId="295" xfId="58" applyFont="1" applyFill="1" applyBorder="1" applyAlignment="1">
      <alignment vertical="top"/>
    </xf>
    <xf numFmtId="0" fontId="19" fillId="2" borderId="295" xfId="58" applyFont="1" applyFill="1" applyBorder="1"/>
    <xf numFmtId="4" fontId="19" fillId="2" borderId="295" xfId="58" applyNumberFormat="1" applyFont="1" applyFill="1" applyBorder="1" applyAlignment="1">
      <alignment horizontal="left"/>
    </xf>
    <xf numFmtId="3" fontId="19" fillId="2" borderId="326" xfId="58" applyNumberFormat="1" applyFont="1" applyFill="1" applyBorder="1" applyAlignment="1">
      <alignment horizontal="left"/>
    </xf>
    <xf numFmtId="0" fontId="18" fillId="2" borderId="316" xfId="58" applyFill="1" applyBorder="1"/>
    <xf numFmtId="0" fontId="91" fillId="2" borderId="300" xfId="58" applyFont="1" applyFill="1" applyBorder="1"/>
    <xf numFmtId="0" fontId="91" fillId="2" borderId="326" xfId="58" applyFont="1" applyFill="1" applyBorder="1" applyAlignment="1">
      <alignment horizontal="left"/>
    </xf>
    <xf numFmtId="3" fontId="91" fillId="2" borderId="326" xfId="58" applyNumberFormat="1" applyFont="1" applyFill="1" applyBorder="1" applyAlignment="1">
      <alignment horizontal="left"/>
    </xf>
    <xf numFmtId="0" fontId="77" fillId="2" borderId="0" xfId="58" applyFont="1" applyFill="1" applyBorder="1" applyAlignment="1">
      <alignment horizontal="left"/>
    </xf>
    <xf numFmtId="0" fontId="72" fillId="2" borderId="300" xfId="58" applyFont="1" applyFill="1" applyBorder="1"/>
    <xf numFmtId="0" fontId="91" fillId="2" borderId="0" xfId="58" applyFont="1" applyFill="1" applyBorder="1" applyAlignment="1">
      <alignment horizontal="left"/>
    </xf>
    <xf numFmtId="0" fontId="91" fillId="2" borderId="300" xfId="58" applyFont="1" applyFill="1" applyBorder="1" applyAlignment="1">
      <alignment wrapText="1"/>
    </xf>
    <xf numFmtId="0" fontId="19" fillId="2" borderId="0" xfId="58" applyFont="1" applyFill="1" applyBorder="1" applyAlignment="1"/>
    <xf numFmtId="0" fontId="72" fillId="2" borderId="295" xfId="58" applyFont="1" applyFill="1" applyBorder="1"/>
    <xf numFmtId="0" fontId="72" fillId="2" borderId="295" xfId="58" applyFont="1" applyFill="1" applyBorder="1" applyAlignment="1">
      <alignment horizontal="left"/>
    </xf>
    <xf numFmtId="0" fontId="72" fillId="2" borderId="300" xfId="58" applyFont="1" applyFill="1" applyBorder="1" applyAlignment="1">
      <alignment wrapText="1"/>
    </xf>
    <xf numFmtId="0" fontId="72" fillId="2" borderId="0" xfId="58" applyFont="1" applyFill="1" applyBorder="1" applyAlignment="1">
      <alignment horizontal="left"/>
    </xf>
    <xf numFmtId="0" fontId="72" fillId="2" borderId="300" xfId="58" applyFont="1" applyFill="1" applyBorder="1" applyAlignment="1">
      <alignment horizontal="left" wrapText="1"/>
    </xf>
    <xf numFmtId="0" fontId="29" fillId="2" borderId="0" xfId="58" applyFont="1" applyFill="1" applyBorder="1"/>
    <xf numFmtId="0" fontId="19" fillId="2" borderId="326" xfId="58" applyFont="1" applyFill="1" applyBorder="1"/>
    <xf numFmtId="0" fontId="27" fillId="2" borderId="301" xfId="58" applyFont="1" applyFill="1" applyBorder="1" applyAlignment="1">
      <alignment horizontal="center"/>
    </xf>
    <xf numFmtId="0" fontId="18" fillId="2" borderId="304" xfId="58" applyFill="1" applyBorder="1" applyAlignment="1">
      <alignment horizontal="center"/>
    </xf>
    <xf numFmtId="0" fontId="18" fillId="2" borderId="305" xfId="58" applyFill="1" applyBorder="1" applyAlignment="1">
      <alignment horizontal="center"/>
    </xf>
    <xf numFmtId="0" fontId="18" fillId="2" borderId="301" xfId="58" applyFill="1" applyBorder="1" applyAlignment="1">
      <alignment horizontal="center"/>
    </xf>
    <xf numFmtId="0" fontId="18" fillId="2" borderId="303" xfId="58" applyFill="1" applyBorder="1"/>
    <xf numFmtId="0" fontId="27" fillId="2" borderId="303" xfId="58" applyFont="1" applyFill="1" applyBorder="1" applyAlignment="1">
      <alignment horizontal="center"/>
    </xf>
    <xf numFmtId="0" fontId="18" fillId="2" borderId="306" xfId="58" applyFill="1" applyBorder="1"/>
    <xf numFmtId="0" fontId="18" fillId="2" borderId="0" xfId="58" applyFont="1" applyFill="1"/>
    <xf numFmtId="0" fontId="19" fillId="0" borderId="0" xfId="105"/>
    <xf numFmtId="0" fontId="21" fillId="0" borderId="305" xfId="105" applyFont="1" applyBorder="1"/>
    <xf numFmtId="0" fontId="19" fillId="0" borderId="0" xfId="105" applyFont="1" applyBorder="1" applyAlignment="1">
      <alignment horizontal="center"/>
    </xf>
    <xf numFmtId="0" fontId="21" fillId="0" borderId="326" xfId="105" applyFont="1" applyBorder="1" applyAlignment="1">
      <alignment horizontal="center"/>
    </xf>
    <xf numFmtId="0" fontId="21" fillId="0" borderId="303" xfId="105" applyFont="1" applyBorder="1" applyAlignment="1">
      <alignment horizontal="center"/>
    </xf>
    <xf numFmtId="0" fontId="33" fillId="0" borderId="306" xfId="105" applyFont="1" applyBorder="1" applyAlignment="1">
      <alignment horizontal="center"/>
    </xf>
    <xf numFmtId="0" fontId="21" fillId="0" borderId="316" xfId="105" applyFont="1" applyBorder="1" applyAlignment="1">
      <alignment horizontal="center"/>
    </xf>
    <xf numFmtId="0" fontId="19" fillId="0" borderId="0" xfId="105" applyBorder="1"/>
    <xf numFmtId="0" fontId="38" fillId="0" borderId="0" xfId="105" applyFont="1"/>
    <xf numFmtId="0" fontId="18" fillId="0" borderId="0" xfId="58" applyBorder="1"/>
    <xf numFmtId="0" fontId="27" fillId="0" borderId="0" xfId="58" applyFont="1" applyBorder="1" applyAlignment="1">
      <alignment horizontal="center"/>
    </xf>
    <xf numFmtId="0" fontId="27" fillId="0" borderId="0" xfId="0" applyFont="1"/>
    <xf numFmtId="0" fontId="18" fillId="0" borderId="0" xfId="0" applyFont="1"/>
    <xf numFmtId="0" fontId="18" fillId="0" borderId="303" xfId="0" applyFont="1" applyBorder="1" applyAlignment="1">
      <alignment horizontal="center" vertical="center" wrapText="1"/>
    </xf>
    <xf numFmtId="0" fontId="35" fillId="0" borderId="197" xfId="0" applyFont="1" applyBorder="1"/>
    <xf numFmtId="0" fontId="18" fillId="0" borderId="295" xfId="0" applyFont="1" applyBorder="1"/>
    <xf numFmtId="0" fontId="18" fillId="0" borderId="285" xfId="0" applyFont="1" applyBorder="1"/>
    <xf numFmtId="0" fontId="18" fillId="0" borderId="197" xfId="0" applyFont="1" applyBorder="1"/>
    <xf numFmtId="4" fontId="18" fillId="0" borderId="295" xfId="0" applyNumberFormat="1" applyFont="1" applyBorder="1"/>
    <xf numFmtId="4" fontId="18" fillId="0" borderId="285" xfId="0" applyNumberFormat="1" applyFont="1" applyBorder="1"/>
    <xf numFmtId="9" fontId="27" fillId="0" borderId="197" xfId="0" applyNumberFormat="1" applyFont="1" applyBorder="1" applyAlignment="1">
      <alignment horizontal="left" indent="1"/>
    </xf>
    <xf numFmtId="0" fontId="18" fillId="0" borderId="295" xfId="0" applyFont="1" applyBorder="1" applyAlignment="1">
      <alignment wrapText="1"/>
    </xf>
    <xf numFmtId="0" fontId="18" fillId="0" borderId="197" xfId="0" applyFont="1" applyBorder="1" applyAlignment="1">
      <alignment wrapText="1"/>
    </xf>
    <xf numFmtId="0" fontId="18" fillId="0" borderId="197" xfId="0" quotePrefix="1" applyFont="1" applyBorder="1"/>
    <xf numFmtId="0" fontId="18" fillId="0" borderId="197" xfId="0" quotePrefix="1" applyFont="1" applyBorder="1" applyAlignment="1">
      <alignment wrapText="1"/>
    </xf>
    <xf numFmtId="0" fontId="27" fillId="0" borderId="197" xfId="0" applyFont="1" applyBorder="1" applyAlignment="1">
      <alignment horizontal="left" indent="1"/>
    </xf>
    <xf numFmtId="0" fontId="18" fillId="0" borderId="0" xfId="0" quotePrefix="1" applyFont="1"/>
    <xf numFmtId="4" fontId="18" fillId="0" borderId="0" xfId="0" applyNumberFormat="1" applyFont="1"/>
    <xf numFmtId="43" fontId="27" fillId="0" borderId="285" xfId="1" applyFont="1" applyBorder="1"/>
    <xf numFmtId="0" fontId="71" fillId="0" borderId="0" xfId="0" applyFont="1" applyFill="1" applyAlignment="1">
      <alignment vertical="top"/>
    </xf>
    <xf numFmtId="168" fontId="71" fillId="0" borderId="0" xfId="0" applyNumberFormat="1" applyFont="1" applyFill="1"/>
    <xf numFmtId="0" fontId="71" fillId="0" borderId="137" xfId="0" applyFont="1" applyFill="1" applyBorder="1"/>
    <xf numFmtId="0" fontId="62" fillId="0" borderId="139" xfId="0" applyFont="1" applyFill="1" applyBorder="1" applyAlignment="1">
      <alignment vertical="top" wrapText="1"/>
    </xf>
    <xf numFmtId="0" fontId="0" fillId="0" borderId="137" xfId="0" applyFill="1" applyBorder="1" applyAlignment="1">
      <alignment vertical="top" wrapText="1"/>
    </xf>
    <xf numFmtId="0" fontId="147" fillId="0" borderId="137" xfId="0" applyFont="1" applyBorder="1" applyAlignment="1">
      <alignment vertical="top" wrapText="1"/>
    </xf>
    <xf numFmtId="0" fontId="194" fillId="0" borderId="137" xfId="0" applyFont="1" applyBorder="1" applyAlignment="1">
      <alignment wrapText="1"/>
    </xf>
    <xf numFmtId="0" fontId="21" fillId="0" borderId="301" xfId="58" applyFont="1" applyBorder="1" applyAlignment="1">
      <alignment horizontal="center" vertical="top" wrapText="1"/>
    </xf>
    <xf numFmtId="43" fontId="92" fillId="0" borderId="301" xfId="61" applyFont="1" applyBorder="1" applyAlignment="1">
      <alignment horizontal="center" vertical="top" wrapText="1"/>
    </xf>
    <xf numFmtId="168" fontId="21" fillId="0" borderId="303" xfId="58" applyNumberFormat="1" applyFont="1" applyBorder="1" applyAlignment="1">
      <alignment horizontal="center" vertical="top" wrapText="1"/>
    </xf>
    <xf numFmtId="168" fontId="92" fillId="0" borderId="303" xfId="61" applyNumberFormat="1" applyFont="1" applyBorder="1" applyAlignment="1">
      <alignment horizontal="center" vertical="top" wrapText="1"/>
    </xf>
    <xf numFmtId="0" fontId="21" fillId="0" borderId="295" xfId="58" applyFont="1" applyBorder="1" applyAlignment="1">
      <alignment vertical="top" wrapText="1"/>
    </xf>
    <xf numFmtId="43" fontId="21" fillId="0" borderId="295" xfId="61" applyFont="1" applyBorder="1" applyAlignment="1">
      <alignment vertical="top" wrapText="1"/>
    </xf>
    <xf numFmtId="0" fontId="19" fillId="0" borderId="295" xfId="58" applyFont="1" applyBorder="1" applyAlignment="1">
      <alignment vertical="top" wrapText="1"/>
    </xf>
    <xf numFmtId="43" fontId="71" fillId="0" borderId="295" xfId="61" applyFont="1" applyBorder="1" applyAlignment="1">
      <alignment horizontal="center" vertical="center" wrapText="1"/>
    </xf>
    <xf numFmtId="0" fontId="19" fillId="0" borderId="295" xfId="58" applyFont="1" applyBorder="1" applyAlignment="1">
      <alignment horizontal="center" vertical="center" wrapText="1"/>
    </xf>
    <xf numFmtId="43" fontId="71" fillId="0" borderId="295" xfId="61" applyFont="1" applyBorder="1" applyAlignment="1">
      <alignment vertical="center" wrapText="1"/>
    </xf>
    <xf numFmtId="43" fontId="71" fillId="0" borderId="300" xfId="61" applyFont="1" applyBorder="1" applyAlignment="1">
      <alignment vertical="center" wrapText="1"/>
    </xf>
    <xf numFmtId="0" fontId="71" fillId="0" borderId="295" xfId="0" applyFont="1" applyBorder="1" applyAlignment="1">
      <alignment vertical="center" wrapText="1"/>
    </xf>
    <xf numFmtId="0" fontId="19" fillId="0" borderId="342" xfId="58" applyFont="1" applyBorder="1" applyAlignment="1">
      <alignment horizontal="center" vertical="center" wrapText="1"/>
    </xf>
    <xf numFmtId="0" fontId="19" fillId="0" borderId="342" xfId="58" applyFont="1" applyBorder="1" applyAlignment="1">
      <alignment vertical="center" wrapText="1"/>
    </xf>
    <xf numFmtId="0" fontId="21" fillId="0" borderId="295" xfId="58" applyFont="1" applyBorder="1" applyAlignment="1">
      <alignment vertical="center" wrapText="1"/>
    </xf>
    <xf numFmtId="43" fontId="21" fillId="0" borderId="300" xfId="61" applyFont="1" applyBorder="1" applyAlignment="1">
      <alignment vertical="center" wrapText="1"/>
    </xf>
    <xf numFmtId="0" fontId="21" fillId="0" borderId="342" xfId="58" applyFont="1" applyBorder="1" applyAlignment="1">
      <alignment vertical="center" wrapText="1"/>
    </xf>
    <xf numFmtId="0" fontId="19" fillId="0" borderId="303" xfId="58" applyFont="1" applyBorder="1" applyAlignment="1">
      <alignment vertical="top" wrapText="1"/>
    </xf>
    <xf numFmtId="43" fontId="71" fillId="0" borderId="306" xfId="61" applyFont="1" applyBorder="1" applyAlignment="1">
      <alignment vertical="center" wrapText="1"/>
    </xf>
    <xf numFmtId="0" fontId="71" fillId="0" borderId="303" xfId="0" applyFont="1" applyBorder="1" applyAlignment="1">
      <alignment vertical="center" wrapText="1"/>
    </xf>
    <xf numFmtId="0" fontId="19" fillId="0" borderId="316" xfId="58" applyFont="1" applyBorder="1" applyAlignment="1">
      <alignment vertical="center" wrapText="1"/>
    </xf>
    <xf numFmtId="0" fontId="21" fillId="0" borderId="302" xfId="58" applyFont="1" applyBorder="1" applyAlignment="1">
      <alignment vertical="center" wrapText="1"/>
    </xf>
    <xf numFmtId="43" fontId="21" fillId="0" borderId="302" xfId="61" applyFont="1" applyBorder="1" applyAlignment="1">
      <alignment vertical="center" wrapText="1"/>
    </xf>
    <xf numFmtId="0" fontId="21" fillId="0" borderId="303" xfId="58" applyFont="1" applyBorder="1" applyAlignment="1">
      <alignment vertical="center" wrapText="1"/>
    </xf>
    <xf numFmtId="0" fontId="19" fillId="0" borderId="295" xfId="0" applyFont="1" applyBorder="1"/>
    <xf numFmtId="4" fontId="19" fillId="0" borderId="295" xfId="2" applyNumberFormat="1" applyFont="1" applyBorder="1" applyProtection="1">
      <protection locked="0"/>
    </xf>
    <xf numFmtId="0" fontId="21" fillId="0" borderId="0" xfId="21" applyNumberFormat="1" applyFont="1"/>
    <xf numFmtId="0" fontId="19" fillId="0" borderId="0" xfId="21" applyNumberFormat="1"/>
    <xf numFmtId="0" fontId="21" fillId="0" borderId="0" xfId="21" applyNumberFormat="1" applyFont="1" applyAlignment="1">
      <alignment horizontal="left"/>
    </xf>
    <xf numFmtId="0" fontId="21" fillId="0" borderId="0" xfId="21" applyNumberFormat="1" applyFont="1" applyAlignment="1">
      <alignment horizontal="center"/>
    </xf>
    <xf numFmtId="0" fontId="27" fillId="0" borderId="0" xfId="21" applyNumberFormat="1" applyFont="1" applyAlignment="1">
      <alignment horizontal="left"/>
    </xf>
    <xf numFmtId="0" fontId="19" fillId="0" borderId="0" xfId="21" applyNumberFormat="1" applyBorder="1"/>
    <xf numFmtId="0" fontId="19" fillId="0" borderId="0" xfId="21" applyNumberFormat="1" applyBorder="1" applyAlignment="1">
      <alignment horizontal="center"/>
    </xf>
    <xf numFmtId="0" fontId="19" fillId="0" borderId="0" xfId="21" applyNumberFormat="1" applyBorder="1" applyAlignment="1"/>
    <xf numFmtId="0" fontId="27" fillId="0" borderId="315" xfId="21" applyNumberFormat="1" applyFont="1" applyBorder="1" applyAlignment="1">
      <alignment horizontal="left"/>
    </xf>
    <xf numFmtId="0" fontId="26" fillId="0" borderId="0" xfId="21" applyNumberFormat="1" applyFont="1"/>
    <xf numFmtId="0" fontId="21" fillId="0" borderId="0" xfId="21" applyNumberFormat="1" applyFont="1" applyAlignment="1">
      <alignment wrapText="1"/>
    </xf>
    <xf numFmtId="0" fontId="19" fillId="0" borderId="0" xfId="21" applyNumberFormat="1" applyFont="1" applyAlignment="1">
      <alignment wrapText="1"/>
    </xf>
    <xf numFmtId="0" fontId="20" fillId="0" borderId="0" xfId="21" applyNumberFormat="1" applyFont="1" applyAlignment="1">
      <alignment horizontal="center" wrapText="1"/>
    </xf>
    <xf numFmtId="0" fontId="19" fillId="0" borderId="0" xfId="21" applyNumberFormat="1" applyFont="1" applyBorder="1" applyAlignment="1"/>
    <xf numFmtId="0" fontId="21" fillId="0" borderId="0" xfId="21" applyNumberFormat="1" applyFont="1" applyAlignment="1">
      <alignment horizontal="center" wrapText="1"/>
    </xf>
    <xf numFmtId="0" fontId="19" fillId="0" borderId="0" xfId="21" applyNumberFormat="1" applyFont="1" applyFill="1" applyBorder="1" applyAlignment="1"/>
    <xf numFmtId="0" fontId="19" fillId="0" borderId="0" xfId="21" applyNumberFormat="1" applyFont="1" applyAlignment="1">
      <alignment horizontal="right"/>
    </xf>
    <xf numFmtId="0" fontId="21" fillId="0" borderId="0" xfId="21" applyNumberFormat="1" applyFont="1" applyBorder="1" applyAlignment="1">
      <alignment horizontal="center"/>
    </xf>
    <xf numFmtId="0" fontId="21" fillId="0" borderId="0" xfId="21" applyNumberFormat="1" applyFont="1" applyFill="1" applyBorder="1" applyAlignment="1"/>
    <xf numFmtId="0" fontId="19" fillId="0" borderId="0" xfId="21" applyNumberFormat="1" applyFill="1" applyBorder="1" applyAlignment="1"/>
    <xf numFmtId="0" fontId="26" fillId="0" borderId="0" xfId="21" applyNumberFormat="1" applyFont="1" applyFill="1" applyBorder="1" applyAlignment="1"/>
    <xf numFmtId="0" fontId="19" fillId="0" borderId="0" xfId="21" applyNumberFormat="1" applyFill="1" applyBorder="1" applyAlignment="1">
      <alignment horizontal="center"/>
    </xf>
    <xf numFmtId="0" fontId="31" fillId="0" borderId="0" xfId="21" applyNumberFormat="1" applyFont="1" applyAlignment="1">
      <alignment horizontal="left"/>
    </xf>
    <xf numFmtId="0" fontId="21" fillId="11" borderId="302" xfId="21" applyNumberFormat="1" applyFont="1" applyFill="1" applyBorder="1" applyAlignment="1">
      <alignment horizontal="center" vertical="top" wrapText="1"/>
    </xf>
    <xf numFmtId="0" fontId="21" fillId="0" borderId="302" xfId="21" applyNumberFormat="1" applyFont="1" applyBorder="1"/>
    <xf numFmtId="0" fontId="19" fillId="0" borderId="302" xfId="21" applyNumberFormat="1" applyBorder="1"/>
    <xf numFmtId="0" fontId="19" fillId="0" borderId="302" xfId="21" applyNumberFormat="1" applyFont="1" applyBorder="1" applyAlignment="1">
      <alignment horizontal="center" vertical="top"/>
    </xf>
    <xf numFmtId="0" fontId="19" fillId="0" borderId="302" xfId="21" applyNumberFormat="1" applyFont="1" applyBorder="1" applyAlignment="1">
      <alignment vertical="top" wrapText="1"/>
    </xf>
    <xf numFmtId="43" fontId="19" fillId="0" borderId="302" xfId="62" applyFont="1" applyBorder="1" applyAlignment="1">
      <alignment vertical="top" wrapText="1"/>
    </xf>
    <xf numFmtId="0" fontId="19" fillId="0" borderId="0" xfId="21" applyNumberFormat="1" applyFont="1" applyBorder="1"/>
    <xf numFmtId="10" fontId="196" fillId="0" borderId="0" xfId="106" applyNumberFormat="1" applyFont="1" applyBorder="1" applyAlignment="1">
      <alignment horizontal="center" vertical="top"/>
    </xf>
    <xf numFmtId="49" fontId="19" fillId="0" borderId="302" xfId="21" applyNumberFormat="1" applyFont="1" applyBorder="1" applyAlignment="1">
      <alignment vertical="top" wrapText="1"/>
    </xf>
    <xf numFmtId="43" fontId="19" fillId="0" borderId="302" xfId="62" applyFont="1" applyBorder="1" applyAlignment="1">
      <alignment vertical="top"/>
    </xf>
    <xf numFmtId="0" fontId="19" fillId="0" borderId="302" xfId="21" applyNumberFormat="1" applyFont="1" applyBorder="1"/>
    <xf numFmtId="43" fontId="19" fillId="0" borderId="302" xfId="62" applyFont="1" applyBorder="1"/>
    <xf numFmtId="0" fontId="21" fillId="0" borderId="302" xfId="21" applyNumberFormat="1" applyFont="1" applyBorder="1" applyAlignment="1">
      <alignment vertical="top"/>
    </xf>
    <xf numFmtId="43" fontId="21" fillId="0" borderId="302" xfId="62" applyFont="1" applyBorder="1" applyAlignment="1">
      <alignment vertical="top"/>
    </xf>
    <xf numFmtId="10" fontId="34" fillId="0" borderId="0" xfId="62" applyNumberFormat="1" applyFont="1" applyBorder="1" applyAlignment="1">
      <alignment vertical="top"/>
    </xf>
    <xf numFmtId="43" fontId="34" fillId="0" borderId="0" xfId="62" applyFont="1" applyBorder="1" applyAlignment="1">
      <alignment vertical="top"/>
    </xf>
    <xf numFmtId="43" fontId="19" fillId="0" borderId="0" xfId="62" applyBorder="1" applyAlignment="1"/>
    <xf numFmtId="43" fontId="21" fillId="0" borderId="0" xfId="21" applyNumberFormat="1" applyFont="1" applyBorder="1" applyAlignment="1"/>
    <xf numFmtId="10" fontId="197" fillId="0" borderId="0" xfId="106" applyNumberFormat="1" applyFont="1" applyBorder="1" applyAlignment="1"/>
    <xf numFmtId="43" fontId="21" fillId="0" borderId="0" xfId="62" applyFont="1" applyBorder="1" applyAlignment="1"/>
    <xf numFmtId="0" fontId="20" fillId="0" borderId="0" xfId="21" applyNumberFormat="1" applyFont="1" applyAlignment="1">
      <alignment horizontal="center"/>
    </xf>
    <xf numFmtId="0" fontId="129" fillId="0" borderId="0" xfId="21" applyNumberFormat="1" applyFont="1" applyBorder="1" applyAlignment="1">
      <alignment horizontal="center"/>
    </xf>
    <xf numFmtId="43" fontId="129" fillId="0" borderId="0" xfId="21" applyNumberFormat="1" applyFont="1" applyBorder="1" applyAlignment="1"/>
    <xf numFmtId="0" fontId="19" fillId="0" borderId="302" xfId="0" applyFont="1" applyBorder="1" applyAlignment="1">
      <alignment horizontal="left" vertical="top" wrapText="1"/>
    </xf>
    <xf numFmtId="0" fontId="19" fillId="0" borderId="302" xfId="0" applyFont="1" applyBorder="1" applyAlignment="1">
      <alignment horizontal="center" vertical="top" wrapText="1"/>
    </xf>
    <xf numFmtId="0" fontId="21" fillId="0" borderId="302" xfId="0" applyFont="1" applyBorder="1" applyAlignment="1">
      <alignment vertical="top"/>
    </xf>
    <xf numFmtId="43" fontId="21" fillId="0" borderId="302" xfId="0" applyNumberFormat="1" applyFont="1" applyBorder="1" applyAlignment="1">
      <alignment vertical="top"/>
    </xf>
    <xf numFmtId="0" fontId="21" fillId="0" borderId="302" xfId="0" applyFont="1" applyBorder="1" applyAlignment="1">
      <alignment horizontal="left" vertical="top"/>
    </xf>
    <xf numFmtId="0" fontId="75" fillId="0" borderId="0" xfId="0" applyFont="1" applyAlignment="1">
      <alignment vertical="top"/>
    </xf>
    <xf numFmtId="43" fontId="75" fillId="0" borderId="0" xfId="9" applyFont="1" applyAlignment="1">
      <alignment vertical="top"/>
    </xf>
    <xf numFmtId="0" fontId="19" fillId="0" borderId="0" xfId="39" applyFont="1"/>
    <xf numFmtId="43" fontId="19" fillId="0" borderId="0" xfId="9" applyFont="1"/>
    <xf numFmtId="0" fontId="19" fillId="0" borderId="301" xfId="39" applyFont="1" applyBorder="1"/>
    <xf numFmtId="43" fontId="21" fillId="0" borderId="302" xfId="9" applyFont="1" applyBorder="1" applyAlignment="1">
      <alignment horizontal="left"/>
    </xf>
    <xf numFmtId="43" fontId="21" fillId="0" borderId="301" xfId="9" applyFont="1" applyBorder="1"/>
    <xf numFmtId="0" fontId="21" fillId="0" borderId="295" xfId="39" applyFont="1" applyBorder="1" applyAlignment="1">
      <alignment horizontal="center"/>
    </xf>
    <xf numFmtId="0" fontId="19" fillId="0" borderId="295" xfId="39" applyFont="1" applyBorder="1" applyAlignment="1">
      <alignment horizontal="center"/>
    </xf>
    <xf numFmtId="43" fontId="21" fillId="0" borderId="301" xfId="9" applyFont="1" applyBorder="1" applyAlignment="1">
      <alignment horizontal="center"/>
    </xf>
    <xf numFmtId="43" fontId="33" fillId="0" borderId="301" xfId="9" applyFont="1" applyBorder="1" applyAlignment="1">
      <alignment horizontal="center"/>
    </xf>
    <xf numFmtId="43" fontId="21" fillId="0" borderId="295" xfId="9" applyFont="1" applyBorder="1" applyAlignment="1">
      <alignment horizontal="center"/>
    </xf>
    <xf numFmtId="43" fontId="21" fillId="0" borderId="295" xfId="9" applyFont="1" applyFill="1" applyBorder="1" applyAlignment="1">
      <alignment horizontal="center"/>
    </xf>
    <xf numFmtId="0" fontId="19" fillId="0" borderId="303" xfId="39" applyFont="1" applyBorder="1" applyAlignment="1">
      <alignment horizontal="center"/>
    </xf>
    <xf numFmtId="43" fontId="21" fillId="0" borderId="303" xfId="9" applyFont="1" applyBorder="1" applyAlignment="1">
      <alignment horizontal="center"/>
    </xf>
    <xf numFmtId="43" fontId="33" fillId="0" borderId="303" xfId="9" applyFont="1" applyBorder="1" applyAlignment="1">
      <alignment horizontal="center"/>
    </xf>
    <xf numFmtId="0" fontId="19" fillId="0" borderId="295" xfId="39" applyFont="1" applyBorder="1"/>
    <xf numFmtId="43" fontId="19" fillId="0" borderId="295" xfId="9" applyFont="1" applyBorder="1"/>
    <xf numFmtId="0" fontId="21" fillId="0" borderId="295" xfId="39" applyFont="1" applyBorder="1"/>
    <xf numFmtId="0" fontId="18" fillId="0" borderId="295" xfId="36" applyFont="1" applyBorder="1" applyAlignment="1">
      <alignment vertical="top" wrapText="1"/>
    </xf>
    <xf numFmtId="0" fontId="19" fillId="0" borderId="295" xfId="39" applyFont="1" applyBorder="1" applyAlignment="1">
      <alignment vertical="top" wrapText="1"/>
    </xf>
    <xf numFmtId="43" fontId="18" fillId="0" borderId="295" xfId="9" applyFont="1" applyBorder="1" applyAlignment="1">
      <alignment vertical="top" wrapText="1"/>
    </xf>
    <xf numFmtId="0" fontId="19" fillId="0" borderId="0" xfId="39" applyFont="1" applyAlignment="1">
      <alignment vertical="top" wrapText="1"/>
    </xf>
    <xf numFmtId="0" fontId="18" fillId="0" borderId="295" xfId="36" applyFont="1" applyBorder="1"/>
    <xf numFmtId="43" fontId="18" fillId="0" borderId="295" xfId="9" applyFont="1" applyBorder="1"/>
    <xf numFmtId="43" fontId="19" fillId="0" borderId="295" xfId="9" applyFont="1" applyBorder="1" applyAlignment="1">
      <alignment vertical="top" wrapText="1"/>
    </xf>
    <xf numFmtId="0" fontId="18" fillId="0" borderId="295" xfId="39" applyFont="1" applyBorder="1"/>
    <xf numFmtId="0" fontId="18" fillId="0" borderId="0" xfId="39" applyFont="1"/>
    <xf numFmtId="0" fontId="19" fillId="0" borderId="303" xfId="39" applyFont="1" applyBorder="1"/>
    <xf numFmtId="43" fontId="19" fillId="0" borderId="303" xfId="9" applyFont="1" applyBorder="1"/>
    <xf numFmtId="43" fontId="21" fillId="0" borderId="295" xfId="9" applyFont="1" applyBorder="1"/>
    <xf numFmtId="0" fontId="19" fillId="0" borderId="304" xfId="39" applyFont="1" applyBorder="1"/>
    <xf numFmtId="0" fontId="27" fillId="0" borderId="300" xfId="39" applyFont="1" applyBorder="1"/>
    <xf numFmtId="0" fontId="21" fillId="0" borderId="300" xfId="39" applyFont="1" applyBorder="1"/>
    <xf numFmtId="0" fontId="21" fillId="0" borderId="306" xfId="39" applyFont="1" applyBorder="1" applyAlignment="1">
      <alignment horizontal="right"/>
    </xf>
    <xf numFmtId="0" fontId="129" fillId="0" borderId="0" xfId="39" applyFont="1"/>
    <xf numFmtId="43" fontId="129" fillId="0" borderId="0" xfId="9" applyFont="1"/>
    <xf numFmtId="0" fontId="19" fillId="0" borderId="104" xfId="65" applyFont="1" applyBorder="1" applyAlignment="1">
      <alignment horizontal="left" vertical="top" wrapText="1"/>
    </xf>
    <xf numFmtId="0" fontId="19" fillId="0" borderId="104" xfId="65" applyFont="1" applyBorder="1" applyAlignment="1">
      <alignment horizontal="center" vertical="top" wrapText="1"/>
    </xf>
    <xf numFmtId="0" fontId="19" fillId="0" borderId="186" xfId="65" applyFont="1" applyBorder="1" applyAlignment="1">
      <alignment horizontal="center" vertical="top" wrapText="1"/>
    </xf>
    <xf numFmtId="0" fontId="19" fillId="0" borderId="0" xfId="34"/>
    <xf numFmtId="0" fontId="19" fillId="0" borderId="195" xfId="34" applyBorder="1"/>
    <xf numFmtId="0" fontId="21" fillId="0" borderId="112" xfId="34" applyFont="1" applyBorder="1" applyAlignment="1">
      <alignment horizontal="left"/>
    </xf>
    <xf numFmtId="0" fontId="19" fillId="0" borderId="352" xfId="34" applyBorder="1"/>
    <xf numFmtId="0" fontId="19" fillId="0" borderId="352" xfId="34" applyBorder="1" applyAlignment="1">
      <alignment horizontal="center"/>
    </xf>
    <xf numFmtId="0" fontId="19" fillId="0" borderId="0" xfId="34" applyBorder="1"/>
    <xf numFmtId="16" fontId="19" fillId="0" borderId="0" xfId="34" applyNumberFormat="1" applyBorder="1" applyAlignment="1">
      <alignment horizontal="center"/>
    </xf>
    <xf numFmtId="16" fontId="19" fillId="0" borderId="0" xfId="34" applyNumberFormat="1" applyBorder="1" applyAlignment="1">
      <alignment horizontal="center" vertical="top"/>
    </xf>
    <xf numFmtId="0" fontId="19" fillId="0" borderId="0" xfId="34" applyBorder="1" applyAlignment="1">
      <alignment horizontal="center"/>
    </xf>
    <xf numFmtId="0" fontId="19" fillId="0" borderId="0" xfId="34" applyFont="1" applyBorder="1" applyAlignment="1">
      <alignment horizontal="center" vertical="top"/>
    </xf>
    <xf numFmtId="0" fontId="19" fillId="0" borderId="0" xfId="34" applyBorder="1" applyAlignment="1">
      <alignment horizontal="center" vertical="center" shrinkToFit="1"/>
    </xf>
    <xf numFmtId="0" fontId="19" fillId="0" borderId="0" xfId="34" applyFont="1" applyBorder="1" applyAlignment="1">
      <alignment horizontal="center" vertical="top" shrinkToFit="1"/>
    </xf>
    <xf numFmtId="4" fontId="19" fillId="0" borderId="0" xfId="34" applyNumberFormat="1" applyBorder="1"/>
    <xf numFmtId="0" fontId="21" fillId="0" borderId="0" xfId="34" applyFont="1" applyBorder="1"/>
    <xf numFmtId="43" fontId="0" fillId="0" borderId="295" xfId="1" applyFont="1" applyBorder="1"/>
    <xf numFmtId="43" fontId="0" fillId="0" borderId="295" xfId="1" applyFont="1" applyBorder="1" applyAlignment="1">
      <alignment vertical="center"/>
    </xf>
    <xf numFmtId="43" fontId="0" fillId="0" borderId="285" xfId="1" applyFont="1" applyBorder="1" applyAlignment="1">
      <alignment vertical="center"/>
    </xf>
    <xf numFmtId="43" fontId="62" fillId="0" borderId="224" xfId="1" applyFont="1" applyBorder="1" applyAlignment="1">
      <alignment horizontal="center" vertical="center"/>
    </xf>
    <xf numFmtId="0" fontId="0" fillId="0" borderId="0" xfId="0"/>
    <xf numFmtId="0" fontId="19" fillId="0" borderId="111" xfId="81" applyFont="1" applyBorder="1" applyAlignment="1">
      <alignment horizontal="center" vertical="top" wrapText="1"/>
    </xf>
    <xf numFmtId="0" fontId="19" fillId="0" borderId="186" xfId="81" applyFont="1" applyBorder="1" applyAlignment="1">
      <alignment horizontal="left" vertical="top" wrapText="1"/>
    </xf>
    <xf numFmtId="0" fontId="19" fillId="0" borderId="193" xfId="81" applyFont="1" applyBorder="1" applyAlignment="1">
      <alignment horizontal="left" vertical="top" wrapText="1"/>
    </xf>
    <xf numFmtId="0" fontId="19" fillId="0" borderId="111" xfId="81" applyFont="1" applyBorder="1" applyAlignment="1">
      <alignment horizontal="left" vertical="top" wrapText="1"/>
    </xf>
    <xf numFmtId="0" fontId="19" fillId="0" borderId="111" xfId="81" applyFont="1" applyBorder="1" applyAlignment="1">
      <alignment vertical="top" wrapText="1"/>
    </xf>
    <xf numFmtId="0" fontId="72" fillId="0" borderId="0" xfId="0" applyFont="1" applyAlignment="1">
      <alignment horizontal="left"/>
    </xf>
    <xf numFmtId="0" fontId="19" fillId="0" borderId="357" xfId="81" applyFont="1" applyBorder="1" applyAlignment="1">
      <alignment vertical="top" wrapText="1"/>
    </xf>
    <xf numFmtId="43" fontId="19" fillId="0" borderId="357" xfId="7" applyFont="1" applyBorder="1" applyAlignment="1">
      <alignment vertical="top" wrapText="1"/>
    </xf>
    <xf numFmtId="0" fontId="19" fillId="0" borderId="186" xfId="81" applyFont="1" applyBorder="1" applyAlignment="1">
      <alignment wrapText="1"/>
    </xf>
    <xf numFmtId="43" fontId="19" fillId="0" borderId="186" xfId="7" applyFont="1" applyBorder="1" applyAlignment="1">
      <alignment wrapText="1"/>
    </xf>
    <xf numFmtId="0" fontId="32" fillId="0" borderId="295" xfId="0" applyFont="1" applyBorder="1"/>
    <xf numFmtId="0" fontId="27" fillId="0" borderId="295" xfId="0" applyFont="1" applyBorder="1"/>
    <xf numFmtId="0" fontId="32" fillId="0" borderId="295" xfId="0" applyFont="1" applyBorder="1" applyAlignment="1">
      <alignment horizontal="left"/>
    </xf>
    <xf numFmtId="43" fontId="21" fillId="0" borderId="0" xfId="1" applyFont="1" applyAlignment="1">
      <alignment horizontal="center" vertical="top"/>
    </xf>
    <xf numFmtId="0" fontId="19" fillId="0" borderId="295" xfId="0" applyFont="1" applyBorder="1" applyAlignment="1">
      <alignment horizontal="left"/>
    </xf>
    <xf numFmtId="43" fontId="17" fillId="0" borderId="232" xfId="1" applyFont="1" applyBorder="1" applyAlignment="1">
      <alignment vertical="center"/>
    </xf>
    <xf numFmtId="43" fontId="17" fillId="0" borderId="199" xfId="1" applyFont="1" applyBorder="1" applyAlignment="1">
      <alignment vertical="center"/>
    </xf>
    <xf numFmtId="43" fontId="17" fillId="0" borderId="212" xfId="1" applyFont="1" applyBorder="1" applyAlignment="1">
      <alignment vertical="center"/>
    </xf>
    <xf numFmtId="43" fontId="17" fillId="0" borderId="0" xfId="1" applyFont="1" applyAlignment="1">
      <alignment vertical="center"/>
    </xf>
    <xf numFmtId="0" fontId="72" fillId="0" borderId="358" xfId="0" applyFont="1" applyBorder="1" applyAlignment="1">
      <alignment vertical="top" wrapText="1"/>
    </xf>
    <xf numFmtId="0" fontId="82" fillId="0" borderId="301" xfId="0" applyFont="1" applyBorder="1" applyAlignment="1">
      <alignment horizontal="center" vertical="top" wrapText="1"/>
    </xf>
    <xf numFmtId="168" fontId="93" fillId="0" borderId="301" xfId="0" applyNumberFormat="1" applyFont="1" applyBorder="1" applyAlignment="1">
      <alignment horizontal="center" vertical="top" wrapText="1"/>
    </xf>
    <xf numFmtId="0" fontId="82" fillId="0" borderId="303" xfId="0" applyFont="1" applyBorder="1" applyAlignment="1">
      <alignment horizontal="center" vertical="top" wrapText="1"/>
    </xf>
    <xf numFmtId="0" fontId="77" fillId="0" borderId="295" xfId="0" applyFont="1" applyBorder="1" applyAlignment="1">
      <alignment vertical="top" wrapText="1"/>
    </xf>
    <xf numFmtId="4" fontId="77" fillId="0" borderId="295" xfId="0" applyNumberFormat="1" applyFont="1" applyBorder="1" applyAlignment="1">
      <alignment vertical="top" wrapText="1"/>
    </xf>
    <xf numFmtId="0" fontId="99" fillId="0" borderId="295" xfId="0" applyFont="1" applyBorder="1" applyAlignment="1">
      <alignment vertical="top" wrapText="1"/>
    </xf>
    <xf numFmtId="0" fontId="99" fillId="0" borderId="300" xfId="0" applyFont="1" applyBorder="1" applyAlignment="1">
      <alignment horizontal="center" vertical="top" wrapText="1"/>
    </xf>
    <xf numFmtId="0" fontId="99" fillId="0" borderId="301" xfId="0" applyFont="1" applyBorder="1" applyAlignment="1">
      <alignment horizontal="center" vertical="top" wrapText="1"/>
    </xf>
    <xf numFmtId="0" fontId="99" fillId="0" borderId="295" xfId="0" applyFont="1" applyBorder="1" applyAlignment="1">
      <alignment horizontal="center" vertical="top" wrapText="1"/>
    </xf>
    <xf numFmtId="0" fontId="72" fillId="0" borderId="295" xfId="0" applyFont="1" applyBorder="1" applyAlignment="1">
      <alignment vertical="top" wrapText="1"/>
    </xf>
    <xf numFmtId="0" fontId="72" fillId="0" borderId="300" xfId="0" applyFont="1" applyBorder="1" applyAlignment="1">
      <alignment horizontal="center" vertical="top" wrapText="1"/>
    </xf>
    <xf numFmtId="0" fontId="72" fillId="0" borderId="295" xfId="0" applyFont="1" applyBorder="1" applyAlignment="1">
      <alignment horizontal="center" vertical="top" wrapText="1"/>
    </xf>
    <xf numFmtId="16" fontId="72" fillId="0" borderId="300" xfId="0" applyNumberFormat="1" applyFont="1" applyBorder="1" applyAlignment="1">
      <alignment horizontal="center" vertical="top" wrapText="1"/>
    </xf>
    <xf numFmtId="16" fontId="72" fillId="0" borderId="295" xfId="0" applyNumberFormat="1" applyFont="1" applyBorder="1" applyAlignment="1">
      <alignment horizontal="center" vertical="top" wrapText="1"/>
    </xf>
    <xf numFmtId="0" fontId="71" fillId="0" borderId="295" xfId="0" applyFont="1" applyBorder="1" applyAlignment="1">
      <alignment vertical="top" wrapText="1"/>
    </xf>
    <xf numFmtId="0" fontId="72" fillId="0" borderId="303" xfId="0" applyFont="1" applyBorder="1" applyAlignment="1">
      <alignment horizontal="center" vertical="top" wrapText="1"/>
    </xf>
    <xf numFmtId="4" fontId="77" fillId="0" borderId="301" xfId="0" applyNumberFormat="1" applyFont="1" applyBorder="1" applyAlignment="1">
      <alignment horizontal="center" vertical="top" wrapText="1"/>
    </xf>
    <xf numFmtId="0" fontId="71" fillId="0" borderId="301" xfId="0" applyFont="1" applyBorder="1" applyAlignment="1">
      <alignment vertical="top" wrapText="1"/>
    </xf>
    <xf numFmtId="0" fontId="72" fillId="0" borderId="301" xfId="0" applyFont="1" applyBorder="1" applyAlignment="1">
      <alignment vertical="top" wrapText="1"/>
    </xf>
    <xf numFmtId="0" fontId="72" fillId="0" borderId="301" xfId="0" applyFont="1" applyBorder="1" applyAlignment="1">
      <alignment horizontal="center" vertical="top" wrapText="1"/>
    </xf>
    <xf numFmtId="4" fontId="77" fillId="0" borderId="295" xfId="0" applyNumberFormat="1" applyFont="1" applyBorder="1" applyAlignment="1">
      <alignment horizontal="right" vertical="top" wrapText="1"/>
    </xf>
    <xf numFmtId="0" fontId="77" fillId="0" borderId="295" xfId="0" applyFont="1" applyBorder="1" applyAlignment="1">
      <alignment horizontal="center" vertical="top" wrapText="1"/>
    </xf>
    <xf numFmtId="0" fontId="72" fillId="0" borderId="304" xfId="0" applyFont="1" applyBorder="1" applyAlignment="1">
      <alignment vertical="top" wrapText="1"/>
    </xf>
    <xf numFmtId="0" fontId="72" fillId="0" borderId="300" xfId="0" applyFont="1" applyBorder="1" applyAlignment="1">
      <alignment vertical="top" wrapText="1"/>
    </xf>
    <xf numFmtId="4" fontId="71" fillId="0" borderId="295" xfId="0" applyNumberFormat="1" applyFont="1" applyBorder="1" applyAlignment="1">
      <alignment vertical="top" wrapText="1"/>
    </xf>
    <xf numFmtId="0" fontId="19" fillId="0" borderId="295" xfId="0" applyFont="1" applyBorder="1" applyAlignment="1">
      <alignment vertical="top" wrapText="1"/>
    </xf>
    <xf numFmtId="0" fontId="19" fillId="0" borderId="300" xfId="0" applyFont="1" applyBorder="1" applyAlignment="1">
      <alignment horizontal="center" vertical="top" wrapText="1"/>
    </xf>
    <xf numFmtId="0" fontId="19" fillId="0" borderId="295" xfId="0" applyFont="1" applyBorder="1" applyAlignment="1">
      <alignment horizontal="center" vertical="top" wrapText="1"/>
    </xf>
    <xf numFmtId="0" fontId="71" fillId="0" borderId="300" xfId="0" applyFont="1" applyBorder="1"/>
    <xf numFmtId="0" fontId="72" fillId="0" borderId="300" xfId="0" applyFont="1" applyBorder="1" applyAlignment="1">
      <alignment wrapText="1"/>
    </xf>
    <xf numFmtId="0" fontId="71" fillId="0" borderId="303" xfId="0" applyFont="1" applyBorder="1" applyAlignment="1">
      <alignment vertical="top" wrapText="1"/>
    </xf>
    <xf numFmtId="0" fontId="77" fillId="0" borderId="303" xfId="0" applyFont="1" applyBorder="1" applyAlignment="1">
      <alignment vertical="top" wrapText="1"/>
    </xf>
    <xf numFmtId="0" fontId="71" fillId="0" borderId="306" xfId="0" applyFont="1" applyBorder="1" applyAlignment="1">
      <alignment horizontal="center" vertical="top" wrapText="1"/>
    </xf>
    <xf numFmtId="0" fontId="72" fillId="0" borderId="303" xfId="0" applyFont="1" applyBorder="1" applyAlignment="1">
      <alignment horizontal="center" wrapText="1"/>
    </xf>
    <xf numFmtId="4" fontId="69" fillId="0" borderId="43" xfId="0" applyNumberFormat="1" applyFont="1" applyBorder="1"/>
    <xf numFmtId="0" fontId="71" fillId="0" borderId="43" xfId="0" applyFont="1" applyBorder="1"/>
    <xf numFmtId="0" fontId="71" fillId="0" borderId="43" xfId="0" applyFont="1" applyBorder="1" applyAlignment="1">
      <alignment horizontal="center"/>
    </xf>
    <xf numFmtId="0" fontId="71" fillId="0" borderId="119" xfId="0" applyFont="1" applyBorder="1" applyAlignment="1">
      <alignment horizontal="center"/>
    </xf>
    <xf numFmtId="0" fontId="77" fillId="0" borderId="362" xfId="0" applyFont="1" applyBorder="1" applyAlignment="1">
      <alignment vertical="top" wrapText="1"/>
    </xf>
    <xf numFmtId="0" fontId="77" fillId="0" borderId="362" xfId="0" applyFont="1" applyBorder="1" applyAlignment="1">
      <alignment vertical="top"/>
    </xf>
    <xf numFmtId="0" fontId="87" fillId="0" borderId="362" xfId="0" applyFont="1" applyBorder="1" applyAlignment="1">
      <alignment vertical="top" wrapText="1"/>
    </xf>
    <xf numFmtId="0" fontId="72" fillId="0" borderId="362" xfId="0" applyFont="1" applyBorder="1" applyAlignment="1">
      <alignment vertical="top" wrapText="1"/>
    </xf>
    <xf numFmtId="0" fontId="77" fillId="0" borderId="305" xfId="0" applyFont="1" applyBorder="1" applyAlignment="1">
      <alignment vertical="top" wrapText="1"/>
    </xf>
    <xf numFmtId="0" fontId="19" fillId="0" borderId="362" xfId="0" applyFont="1" applyBorder="1" applyAlignment="1">
      <alignment vertical="top" wrapText="1"/>
    </xf>
    <xf numFmtId="0" fontId="72" fillId="0" borderId="362" xfId="0" applyFont="1" applyBorder="1" applyAlignment="1">
      <alignment wrapText="1"/>
    </xf>
    <xf numFmtId="0" fontId="71" fillId="0" borderId="316" xfId="0" applyFont="1" applyBorder="1" applyAlignment="1">
      <alignment vertical="top" wrapText="1"/>
    </xf>
    <xf numFmtId="0" fontId="69" fillId="0" borderId="48" xfId="0" applyFont="1" applyBorder="1" applyAlignment="1"/>
    <xf numFmtId="0" fontId="72" fillId="0" borderId="273" xfId="0" applyFont="1" applyBorder="1" applyAlignment="1">
      <alignment horizontal="center"/>
    </xf>
    <xf numFmtId="0" fontId="72" fillId="0" borderId="273" xfId="0" applyFont="1" applyBorder="1" applyAlignment="1">
      <alignment horizontal="center" vertical="top" wrapText="1"/>
    </xf>
    <xf numFmtId="0" fontId="19" fillId="0" borderId="273" xfId="0" applyFont="1" applyBorder="1" applyAlignment="1">
      <alignment horizontal="center" vertical="top" wrapText="1"/>
    </xf>
    <xf numFmtId="0" fontId="71" fillId="0" borderId="273" xfId="0" applyFont="1" applyBorder="1" applyAlignment="1">
      <alignment vertical="top" wrapText="1"/>
    </xf>
    <xf numFmtId="0" fontId="71" fillId="0" borderId="359" xfId="0" applyFont="1" applyBorder="1" applyAlignment="1">
      <alignment vertical="top" wrapText="1"/>
    </xf>
    <xf numFmtId="0" fontId="69" fillId="0" borderId="361" xfId="0" applyFont="1" applyBorder="1" applyAlignment="1"/>
    <xf numFmtId="4" fontId="69" fillId="0" borderId="273" xfId="0" applyNumberFormat="1" applyFont="1" applyBorder="1" applyAlignment="1">
      <alignment wrapText="1"/>
    </xf>
    <xf numFmtId="0" fontId="71" fillId="0" borderId="273" xfId="0" applyFont="1" applyBorder="1" applyAlignment="1">
      <alignment horizontal="left"/>
    </xf>
    <xf numFmtId="0" fontId="71" fillId="0" borderId="360" xfId="0" applyFont="1" applyBorder="1"/>
    <xf numFmtId="0" fontId="71" fillId="0" borderId="363" xfId="0" applyFont="1" applyBorder="1" applyAlignment="1">
      <alignment horizontal="center"/>
    </xf>
    <xf numFmtId="0" fontId="71" fillId="0" borderId="364" xfId="0" applyFont="1" applyBorder="1" applyAlignment="1">
      <alignment horizontal="center"/>
    </xf>
    <xf numFmtId="0" fontId="69" fillId="0" borderId="365" xfId="0" applyFont="1" applyBorder="1" applyAlignment="1"/>
    <xf numFmtId="4" fontId="69" fillId="0" borderId="366" xfId="0" applyNumberFormat="1" applyFont="1" applyBorder="1" applyAlignment="1">
      <alignment wrapText="1"/>
    </xf>
    <xf numFmtId="0" fontId="71" fillId="0" borderId="366" xfId="0" applyFont="1" applyBorder="1" applyAlignment="1">
      <alignment horizontal="left"/>
    </xf>
    <xf numFmtId="0" fontId="71" fillId="0" borderId="366" xfId="0" applyFont="1" applyBorder="1"/>
    <xf numFmtId="0" fontId="71" fillId="0" borderId="366" xfId="0" applyFont="1" applyBorder="1" applyAlignment="1">
      <alignment horizontal="center"/>
    </xf>
    <xf numFmtId="0" fontId="71" fillId="0" borderId="367" xfId="0" applyFont="1" applyBorder="1" applyAlignment="1">
      <alignment horizontal="left" wrapText="1"/>
    </xf>
    <xf numFmtId="4" fontId="71" fillId="0" borderId="124" xfId="0" applyNumberFormat="1" applyFont="1" applyBorder="1" applyAlignment="1">
      <alignment vertical="top"/>
    </xf>
    <xf numFmtId="0" fontId="71" fillId="0" borderId="124" xfId="0" applyFont="1" applyBorder="1"/>
    <xf numFmtId="0" fontId="71" fillId="0" borderId="124" xfId="0" applyFont="1" applyBorder="1" applyAlignment="1">
      <alignment horizontal="center"/>
    </xf>
    <xf numFmtId="0" fontId="19" fillId="0" borderId="0" xfId="43" applyFont="1" applyAlignment="1">
      <alignment horizontal="justify" vertical="top" wrapText="1"/>
    </xf>
    <xf numFmtId="0" fontId="112" fillId="0" borderId="211" xfId="33" quotePrefix="1" applyFont="1" applyBorder="1" applyAlignment="1">
      <alignment horizontal="center" vertical="center"/>
    </xf>
    <xf numFmtId="0" fontId="112" fillId="0" borderId="211" xfId="33" applyFont="1" applyBorder="1" applyAlignment="1">
      <alignment horizontal="center" vertical="center"/>
    </xf>
    <xf numFmtId="0" fontId="112" fillId="0" borderId="0" xfId="33" applyFont="1" applyBorder="1" applyAlignment="1">
      <alignment horizontal="left" vertical="center"/>
    </xf>
    <xf numFmtId="0" fontId="112" fillId="0" borderId="295" xfId="33" quotePrefix="1" applyFont="1" applyBorder="1" applyAlignment="1">
      <alignment horizontal="center" vertical="center" wrapText="1"/>
    </xf>
    <xf numFmtId="0" fontId="112" fillId="0" borderId="295" xfId="33" applyFont="1" applyBorder="1" applyAlignment="1">
      <alignment horizontal="center" vertical="center"/>
    </xf>
    <xf numFmtId="0" fontId="112" fillId="0" borderId="0" xfId="33" applyFont="1" applyAlignment="1">
      <alignment horizontal="center" vertical="center"/>
    </xf>
    <xf numFmtId="43" fontId="112" fillId="0" borderId="211" xfId="1" quotePrefix="1" applyFont="1" applyBorder="1" applyAlignment="1">
      <alignment horizontal="center" vertical="center"/>
    </xf>
    <xf numFmtId="0" fontId="200" fillId="0" borderId="199" xfId="0" applyFont="1" applyBorder="1" applyAlignment="1">
      <alignment vertical="top"/>
    </xf>
    <xf numFmtId="0" fontId="0" fillId="0" borderId="362" xfId="0" applyBorder="1" applyAlignment="1">
      <alignment vertical="top"/>
    </xf>
    <xf numFmtId="0" fontId="200" fillId="0" borderId="362" xfId="0" applyFont="1" applyBorder="1" applyAlignment="1">
      <alignment vertical="top"/>
    </xf>
    <xf numFmtId="43" fontId="62" fillId="0" borderId="210" xfId="1" applyFont="1" applyBorder="1" applyAlignment="1">
      <alignment vertical="top"/>
    </xf>
    <xf numFmtId="0" fontId="21" fillId="0" borderId="353" xfId="26" applyFont="1" applyBorder="1" applyAlignment="1">
      <alignment horizontal="justify" vertical="top"/>
    </xf>
    <xf numFmtId="0" fontId="21" fillId="0" borderId="210" xfId="26" applyFont="1" applyBorder="1" applyAlignment="1">
      <alignment horizontal="left" vertical="top" wrapText="1" shrinkToFit="1"/>
    </xf>
    <xf numFmtId="43" fontId="21" fillId="0" borderId="210" xfId="18" applyFont="1" applyBorder="1" applyAlignment="1">
      <alignment horizontal="justify" vertical="top" wrapText="1"/>
    </xf>
    <xf numFmtId="0" fontId="19" fillId="0" borderId="210" xfId="26" applyFont="1" applyBorder="1" applyAlignment="1">
      <alignment horizontal="left" vertical="top" wrapText="1"/>
    </xf>
    <xf numFmtId="0" fontId="19" fillId="0" borderId="210" xfId="26" applyFont="1" applyBorder="1" applyAlignment="1">
      <alignment horizontal="justify" vertical="top" wrapText="1"/>
    </xf>
    <xf numFmtId="0" fontId="21" fillId="0" borderId="303" xfId="26" applyFont="1" applyBorder="1" applyAlignment="1">
      <alignment horizontal="left" vertical="top" wrapText="1" shrinkToFit="1"/>
    </xf>
    <xf numFmtId="43" fontId="21" fillId="0" borderId="303" xfId="18" applyFont="1" applyBorder="1" applyAlignment="1">
      <alignment horizontal="justify" vertical="top" wrapText="1"/>
    </xf>
    <xf numFmtId="0" fontId="19" fillId="0" borderId="303" xfId="26" applyFont="1" applyBorder="1" applyAlignment="1">
      <alignment horizontal="left" vertical="top" wrapText="1"/>
    </xf>
    <xf numFmtId="0" fontId="19" fillId="0" borderId="303" xfId="26" applyFont="1" applyBorder="1" applyAlignment="1">
      <alignment horizontal="justify" vertical="top" wrapText="1"/>
    </xf>
    <xf numFmtId="0" fontId="21" fillId="0" borderId="303" xfId="26" applyFont="1" applyBorder="1" applyAlignment="1">
      <alignment horizontal="justify" vertical="top" wrapText="1"/>
    </xf>
    <xf numFmtId="0" fontId="21" fillId="0" borderId="302" xfId="26" applyFont="1" applyBorder="1" applyAlignment="1">
      <alignment horizontal="left" vertical="top" wrapText="1" shrinkToFit="1"/>
    </xf>
    <xf numFmtId="43" fontId="21" fillId="0" borderId="302" xfId="18" applyFont="1" applyBorder="1" applyAlignment="1">
      <alignment horizontal="justify" vertical="top" wrapText="1"/>
    </xf>
    <xf numFmtId="0" fontId="19" fillId="0" borderId="302" xfId="26" applyFont="1" applyBorder="1" applyAlignment="1">
      <alignment horizontal="left" vertical="top" wrapText="1"/>
    </xf>
    <xf numFmtId="0" fontId="19" fillId="0" borderId="302" xfId="26" applyFont="1" applyBorder="1" applyAlignment="1">
      <alignment horizontal="justify" vertical="top" wrapText="1"/>
    </xf>
    <xf numFmtId="0" fontId="21" fillId="0" borderId="97" xfId="26" applyFont="1" applyBorder="1" applyAlignment="1">
      <alignment horizontal="justify" vertical="top"/>
    </xf>
    <xf numFmtId="0" fontId="21" fillId="0" borderId="35" xfId="26" applyFont="1" applyBorder="1" applyAlignment="1">
      <alignment horizontal="left" vertical="top" wrapText="1" shrinkToFit="1"/>
    </xf>
    <xf numFmtId="43" fontId="21" fillId="0" borderId="35" xfId="18" applyFont="1" applyBorder="1" applyAlignment="1">
      <alignment horizontal="justify" vertical="top" wrapText="1"/>
    </xf>
    <xf numFmtId="0" fontId="19" fillId="0" borderId="35" xfId="26" applyFont="1" applyBorder="1" applyAlignment="1">
      <alignment horizontal="left" vertical="top" wrapText="1"/>
    </xf>
    <xf numFmtId="0" fontId="19" fillId="0" borderId="35" xfId="26" applyFont="1" applyBorder="1" applyAlignment="1">
      <alignment horizontal="justify" vertical="top" wrapText="1"/>
    </xf>
    <xf numFmtId="0" fontId="19" fillId="0" borderId="357" xfId="43" applyFont="1" applyBorder="1" applyAlignment="1">
      <alignment horizontal="justify" vertical="top"/>
    </xf>
    <xf numFmtId="0" fontId="21" fillId="0" borderId="369" xfId="43" applyFont="1" applyBorder="1" applyAlignment="1">
      <alignment horizontal="justify" vertical="center"/>
    </xf>
    <xf numFmtId="0" fontId="21" fillId="0" borderId="370" xfId="43" applyFont="1" applyBorder="1" applyAlignment="1">
      <alignment horizontal="left" vertical="center" wrapText="1"/>
    </xf>
    <xf numFmtId="43" fontId="21" fillId="0" borderId="370" xfId="18" applyFont="1" applyBorder="1" applyAlignment="1">
      <alignment horizontal="justify" vertical="center" wrapText="1"/>
    </xf>
    <xf numFmtId="0" fontId="21" fillId="0" borderId="370" xfId="43" applyFont="1" applyBorder="1" applyAlignment="1">
      <alignment horizontal="justify" vertical="center" wrapText="1"/>
    </xf>
    <xf numFmtId="0" fontId="21" fillId="0" borderId="370" xfId="43" applyFont="1" applyBorder="1" applyAlignment="1">
      <alignment horizontal="justify" vertical="center"/>
    </xf>
    <xf numFmtId="0" fontId="21" fillId="0" borderId="371" xfId="43" applyFont="1" applyBorder="1" applyAlignment="1">
      <alignment horizontal="justify" vertical="center"/>
    </xf>
    <xf numFmtId="0" fontId="21" fillId="0" borderId="0" xfId="43" applyFont="1" applyAlignment="1">
      <alignment horizontal="justify" vertical="center"/>
    </xf>
    <xf numFmtId="0" fontId="19" fillId="0" borderId="372" xfId="43" applyFont="1" applyBorder="1" applyAlignment="1">
      <alignment horizontal="left" vertical="top" wrapText="1"/>
    </xf>
    <xf numFmtId="43" fontId="21" fillId="0" borderId="372" xfId="18" applyFont="1" applyBorder="1" applyAlignment="1">
      <alignment horizontal="justify" vertical="top" wrapText="1"/>
    </xf>
    <xf numFmtId="0" fontId="19" fillId="0" borderId="372" xfId="43" applyFont="1" applyBorder="1" applyAlignment="1">
      <alignment horizontal="justify" vertical="top" wrapText="1"/>
    </xf>
    <xf numFmtId="43" fontId="0" fillId="0" borderId="210" xfId="1" applyFont="1" applyBorder="1" applyAlignment="1">
      <alignment vertical="center"/>
    </xf>
    <xf numFmtId="43" fontId="0" fillId="0" borderId="210" xfId="1" applyFont="1" applyBorder="1" applyAlignment="1">
      <alignment vertical="top"/>
    </xf>
    <xf numFmtId="43" fontId="71" fillId="2" borderId="295" xfId="2" applyNumberFormat="1" applyFont="1" applyFill="1" applyBorder="1" applyAlignment="1" applyProtection="1">
      <alignment vertical="top"/>
      <protection locked="0"/>
    </xf>
    <xf numFmtId="0" fontId="0" fillId="0" borderId="295" xfId="0" applyBorder="1" applyAlignment="1">
      <alignment vertical="top"/>
    </xf>
    <xf numFmtId="0" fontId="62" fillId="0" borderId="373" xfId="0" applyFont="1" applyBorder="1" applyAlignment="1">
      <alignment vertical="center"/>
    </xf>
    <xf numFmtId="0" fontId="0" fillId="0" borderId="374" xfId="0" applyBorder="1" applyAlignment="1">
      <alignment vertical="top"/>
    </xf>
    <xf numFmtId="0" fontId="19" fillId="0" borderId="362" xfId="43" applyFont="1" applyBorder="1" applyAlignment="1">
      <alignment horizontal="left" vertical="top" wrapText="1"/>
    </xf>
    <xf numFmtId="43" fontId="17" fillId="0" borderId="295" xfId="1" applyFont="1" applyBorder="1" applyAlignment="1">
      <alignment vertical="center"/>
    </xf>
    <xf numFmtId="43" fontId="17" fillId="0" borderId="295" xfId="1" applyFont="1" applyBorder="1" applyAlignment="1">
      <alignment vertical="top"/>
    </xf>
    <xf numFmtId="0" fontId="62" fillId="0" borderId="376" xfId="0" applyFont="1" applyBorder="1" applyAlignment="1">
      <alignment vertical="top"/>
    </xf>
    <xf numFmtId="0" fontId="62" fillId="0" borderId="377" xfId="0" applyFont="1" applyBorder="1" applyAlignment="1">
      <alignment vertical="top"/>
    </xf>
    <xf numFmtId="43" fontId="62" fillId="0" borderId="375" xfId="1" applyFont="1" applyBorder="1" applyAlignment="1">
      <alignment vertical="center"/>
    </xf>
    <xf numFmtId="43" fontId="62" fillId="0" borderId="375" xfId="1" applyFont="1" applyBorder="1" applyAlignment="1">
      <alignment vertical="top"/>
    </xf>
    <xf numFmtId="0" fontId="62" fillId="0" borderId="376" xfId="0" applyFont="1" applyBorder="1" applyAlignment="1">
      <alignment vertical="center"/>
    </xf>
    <xf numFmtId="0" fontId="62" fillId="0" borderId="378" xfId="0" applyFont="1" applyBorder="1" applyAlignment="1">
      <alignment vertical="center"/>
    </xf>
    <xf numFmtId="0" fontId="19" fillId="0" borderId="357" xfId="21" applyBorder="1"/>
    <xf numFmtId="43" fontId="19" fillId="0" borderId="68" xfId="1" applyFont="1" applyBorder="1"/>
    <xf numFmtId="0" fontId="72" fillId="0" borderId="0" xfId="41" applyFont="1" applyAlignment="1">
      <alignment vertical="top"/>
    </xf>
    <xf numFmtId="0" fontId="18" fillId="0" borderId="0" xfId="2" applyFont="1" applyAlignment="1" applyProtection="1">
      <alignment vertical="top"/>
      <protection locked="0"/>
    </xf>
    <xf numFmtId="0" fontId="69" fillId="0" borderId="371" xfId="0" applyFont="1" applyBorder="1" applyAlignment="1">
      <alignment vertical="top" wrapText="1"/>
    </xf>
    <xf numFmtId="0" fontId="62" fillId="0" borderId="300" xfId="0" applyFont="1" applyBorder="1"/>
    <xf numFmtId="0" fontId="19" fillId="0" borderId="295" xfId="83" applyFont="1" applyBorder="1" applyAlignment="1">
      <alignment vertical="top" wrapText="1"/>
    </xf>
    <xf numFmtId="43" fontId="80" fillId="0" borderId="295" xfId="7" applyFont="1" applyBorder="1" applyAlignment="1">
      <alignment vertical="top" wrapText="1"/>
    </xf>
    <xf numFmtId="0" fontId="19" fillId="0" borderId="295" xfId="83" applyFont="1" applyBorder="1" applyAlignment="1">
      <alignment horizontal="center" vertical="top" wrapText="1"/>
    </xf>
    <xf numFmtId="0" fontId="0" fillId="0" borderId="300" xfId="0" applyBorder="1" applyAlignment="1">
      <alignment horizontal="center"/>
    </xf>
    <xf numFmtId="0" fontId="0" fillId="0" borderId="0" xfId="0"/>
    <xf numFmtId="43" fontId="19" fillId="0" borderId="388" xfId="7" applyFont="1" applyBorder="1" applyProtection="1">
      <protection locked="0"/>
    </xf>
    <xf numFmtId="0" fontId="19" fillId="0" borderId="300" xfId="47" applyFont="1" applyBorder="1" applyProtection="1">
      <protection locked="0"/>
    </xf>
    <xf numFmtId="3" fontId="19" fillId="0" borderId="295" xfId="47" applyNumberFormat="1" applyFont="1" applyBorder="1" applyAlignment="1" applyProtection="1">
      <alignment horizontal="right"/>
      <protection locked="0"/>
    </xf>
    <xf numFmtId="0" fontId="80" fillId="0" borderId="389" xfId="0" applyFont="1" applyBorder="1" applyAlignment="1">
      <alignment horizontal="center"/>
    </xf>
    <xf numFmtId="0" fontId="0" fillId="0" borderId="10" xfId="0" applyBorder="1" applyAlignment="1">
      <alignment horizontal="center"/>
    </xf>
    <xf numFmtId="0" fontId="0" fillId="0" borderId="389" xfId="0" applyBorder="1"/>
    <xf numFmtId="0" fontId="0" fillId="0" borderId="10" xfId="0" applyBorder="1"/>
    <xf numFmtId="0" fontId="211" fillId="0" borderId="0" xfId="0" applyFont="1"/>
    <xf numFmtId="0" fontId="16" fillId="0" borderId="0" xfId="0" applyFont="1" applyAlignment="1">
      <alignment vertical="center"/>
    </xf>
    <xf numFmtId="0" fontId="212" fillId="0" borderId="0" xfId="0" applyFont="1"/>
    <xf numFmtId="0" fontId="0" fillId="0" borderId="373" xfId="0" applyBorder="1" applyAlignment="1">
      <alignment horizontal="center"/>
    </xf>
    <xf numFmtId="0" fontId="0" fillId="0" borderId="390" xfId="0" applyBorder="1" applyAlignment="1">
      <alignment horizontal="left"/>
    </xf>
    <xf numFmtId="0" fontId="0" fillId="0" borderId="391" xfId="0" applyBorder="1" applyAlignment="1">
      <alignment horizontal="center"/>
    </xf>
    <xf numFmtId="0" fontId="0" fillId="0" borderId="204" xfId="0" applyBorder="1" applyAlignment="1">
      <alignment horizontal="center"/>
    </xf>
    <xf numFmtId="0" fontId="0" fillId="0" borderId="389" xfId="0" applyBorder="1" applyAlignment="1">
      <alignment horizontal="center"/>
    </xf>
    <xf numFmtId="0" fontId="0" fillId="0" borderId="295" xfId="0" applyFill="1" applyBorder="1" applyAlignment="1">
      <alignment horizontal="center"/>
    </xf>
    <xf numFmtId="0" fontId="0" fillId="0" borderId="12" xfId="0" applyBorder="1"/>
    <xf numFmtId="43" fontId="62" fillId="0" borderId="295" xfId="1" applyFont="1" applyBorder="1"/>
    <xf numFmtId="0" fontId="62" fillId="0" borderId="10" xfId="0" applyFont="1" applyBorder="1"/>
    <xf numFmtId="43" fontId="62" fillId="0" borderId="10" xfId="1" applyFont="1" applyBorder="1"/>
    <xf numFmtId="0" fontId="18" fillId="0" borderId="99" xfId="2" applyBorder="1" applyAlignment="1">
      <alignment vertical="top"/>
    </xf>
    <xf numFmtId="43" fontId="27" fillId="0" borderId="124" xfId="1" applyFont="1" applyBorder="1" applyAlignment="1">
      <alignment vertical="top"/>
    </xf>
    <xf numFmtId="0" fontId="18" fillId="0" borderId="195" xfId="2" applyBorder="1" applyAlignment="1">
      <alignment vertical="top"/>
    </xf>
    <xf numFmtId="0" fontId="18" fillId="0" borderId="124" xfId="2" applyBorder="1" applyAlignment="1">
      <alignment vertical="top"/>
    </xf>
    <xf numFmtId="49" fontId="18" fillId="0" borderId="195" xfId="2" applyNumberFormat="1" applyBorder="1" applyAlignment="1">
      <alignment vertical="top"/>
    </xf>
    <xf numFmtId="49" fontId="18" fillId="0" borderId="27" xfId="2" applyNumberFormat="1" applyBorder="1" applyAlignment="1">
      <alignment vertical="top"/>
    </xf>
    <xf numFmtId="0" fontId="18" fillId="0" borderId="387" xfId="2" applyBorder="1" applyAlignment="1">
      <alignment vertical="top"/>
    </xf>
    <xf numFmtId="43" fontId="27" fillId="0" borderId="295" xfId="1" applyFont="1" applyBorder="1" applyAlignment="1">
      <alignment vertical="top"/>
    </xf>
    <xf numFmtId="49" fontId="18" fillId="0" borderId="295" xfId="2" applyNumberFormat="1" applyBorder="1" applyAlignment="1">
      <alignment vertical="top"/>
    </xf>
    <xf numFmtId="49" fontId="18" fillId="0" borderId="285" xfId="2" applyNumberFormat="1" applyBorder="1" applyAlignment="1">
      <alignment vertical="top"/>
    </xf>
    <xf numFmtId="0" fontId="18" fillId="0" borderId="195" xfId="2" applyFont="1" applyFill="1" applyBorder="1" applyAlignment="1">
      <alignment vertical="top"/>
    </xf>
    <xf numFmtId="3" fontId="0" fillId="0" borderId="300" xfId="0" applyNumberFormat="1" applyBorder="1" applyAlignment="1">
      <alignment horizontal="center" vertical="top"/>
    </xf>
    <xf numFmtId="0" fontId="0" fillId="0" borderId="388" xfId="0" applyBorder="1" applyAlignment="1">
      <alignment horizontal="left" vertical="top" wrapText="1"/>
    </xf>
    <xf numFmtId="0" fontId="0" fillId="0" borderId="300" xfId="0" applyBorder="1" applyAlignment="1">
      <alignment vertical="top"/>
    </xf>
    <xf numFmtId="0" fontId="0" fillId="0" borderId="388" xfId="0" applyBorder="1" applyAlignment="1">
      <alignment vertical="top"/>
    </xf>
    <xf numFmtId="0" fontId="0" fillId="0" borderId="211" xfId="0" applyBorder="1" applyAlignment="1">
      <alignment vertical="center"/>
    </xf>
    <xf numFmtId="0" fontId="0" fillId="0" borderId="199" xfId="0" applyBorder="1" applyAlignment="1">
      <alignment vertical="center"/>
    </xf>
    <xf numFmtId="0" fontId="74" fillId="0" borderId="0" xfId="0" applyFont="1" applyAlignment="1">
      <alignment horizontal="justify"/>
    </xf>
    <xf numFmtId="0" fontId="69" fillId="0" borderId="158" xfId="0" applyFont="1" applyBorder="1" applyAlignment="1">
      <alignment horizontal="center" vertical="top" wrapText="1"/>
    </xf>
    <xf numFmtId="0" fontId="69" fillId="0" borderId="141" xfId="0" applyFont="1" applyBorder="1" applyAlignment="1">
      <alignment horizontal="center" vertical="top" wrapText="1"/>
    </xf>
    <xf numFmtId="0" fontId="69" fillId="0" borderId="141" xfId="0" applyFont="1" applyBorder="1" applyAlignment="1">
      <alignment vertical="top" wrapText="1"/>
    </xf>
    <xf numFmtId="0" fontId="71" fillId="0" borderId="142" xfId="0" applyFont="1" applyBorder="1" applyAlignment="1">
      <alignment horizontal="center" vertical="top" wrapText="1"/>
    </xf>
    <xf numFmtId="0" fontId="71" fillId="0" borderId="141" xfId="0" applyFont="1" applyBorder="1" applyAlignment="1">
      <alignment horizontal="left" vertical="top" wrapText="1" indent="3"/>
    </xf>
    <xf numFmtId="0" fontId="89" fillId="0" borderId="141" xfId="0" applyFont="1" applyBorder="1" applyAlignment="1">
      <alignment vertical="top" wrapText="1"/>
    </xf>
    <xf numFmtId="0" fontId="89" fillId="0" borderId="141" xfId="0" applyFont="1" applyBorder="1" applyAlignment="1">
      <alignment horizontal="center" vertical="top" wrapText="1"/>
    </xf>
    <xf numFmtId="0" fontId="71" fillId="0" borderId="142" xfId="0" applyFont="1" applyBorder="1" applyAlignment="1">
      <alignment horizontal="left" vertical="top" wrapText="1" indent="3"/>
    </xf>
    <xf numFmtId="0" fontId="71" fillId="0" borderId="142" xfId="0" applyFont="1" applyBorder="1" applyAlignment="1">
      <alignment horizontal="left" vertical="top" wrapText="1" indent="5"/>
    </xf>
    <xf numFmtId="0" fontId="89" fillId="0" borderId="142" xfId="0" applyFont="1" applyBorder="1" applyAlignment="1">
      <alignment horizontal="left" vertical="top" wrapText="1" indent="5"/>
    </xf>
    <xf numFmtId="0" fontId="89" fillId="0" borderId="141" xfId="0" applyFont="1" applyBorder="1" applyAlignment="1">
      <alignment horizontal="left" vertical="top" wrapText="1" indent="5"/>
    </xf>
    <xf numFmtId="0" fontId="71" fillId="0" borderId="142" xfId="0" applyFont="1" applyBorder="1" applyAlignment="1">
      <alignment vertical="top" wrapText="1"/>
    </xf>
    <xf numFmtId="0" fontId="89" fillId="0" borderId="142" xfId="0" applyFont="1" applyBorder="1" applyAlignment="1">
      <alignment vertical="top" wrapText="1"/>
    </xf>
    <xf numFmtId="0" fontId="89" fillId="0" borderId="142" xfId="0" applyFont="1" applyBorder="1" applyAlignment="1">
      <alignment horizontal="center" vertical="top" wrapText="1"/>
    </xf>
    <xf numFmtId="0" fontId="71" fillId="0" borderId="141" xfId="0" applyFont="1" applyBorder="1" applyAlignment="1">
      <alignment horizontal="center" vertical="top" wrapText="1"/>
    </xf>
    <xf numFmtId="0" fontId="89" fillId="0" borderId="0" xfId="0" applyFont="1" applyBorder="1" applyAlignment="1">
      <alignment vertical="top" wrapText="1"/>
    </xf>
    <xf numFmtId="0" fontId="89" fillId="0" borderId="150" xfId="0" applyFont="1" applyBorder="1" applyAlignment="1">
      <alignment vertical="top" wrapText="1"/>
    </xf>
    <xf numFmtId="0" fontId="89" fillId="0" borderId="150" xfId="0" applyFont="1" applyBorder="1" applyAlignment="1">
      <alignment horizontal="center" vertical="top" wrapText="1"/>
    </xf>
    <xf numFmtId="0" fontId="89" fillId="0" borderId="150" xfId="0" applyFont="1" applyBorder="1" applyAlignment="1">
      <alignment horizontal="left" vertical="top" wrapText="1" indent="5"/>
    </xf>
    <xf numFmtId="0" fontId="71" fillId="0" borderId="135" xfId="0" applyFont="1" applyBorder="1" applyAlignment="1">
      <alignment horizontal="left" vertical="top" wrapText="1" indent="3"/>
    </xf>
    <xf numFmtId="0" fontId="71" fillId="0" borderId="158" xfId="0" applyFont="1" applyBorder="1" applyAlignment="1">
      <alignment horizontal="left" vertical="top" wrapText="1" indent="3"/>
    </xf>
    <xf numFmtId="0" fontId="71" fillId="0" borderId="158" xfId="0" applyFont="1" applyBorder="1" applyAlignment="1">
      <alignment vertical="top" wrapText="1"/>
    </xf>
    <xf numFmtId="0" fontId="89" fillId="0" borderId="158" xfId="0" applyFont="1" applyBorder="1" applyAlignment="1">
      <alignment vertical="top" wrapText="1"/>
    </xf>
    <xf numFmtId="0" fontId="89" fillId="0" borderId="158" xfId="0" applyFont="1" applyBorder="1" applyAlignment="1">
      <alignment horizontal="center" vertical="top" wrapText="1"/>
    </xf>
    <xf numFmtId="0" fontId="71" fillId="0" borderId="137" xfId="0" applyFont="1" applyBorder="1" applyAlignment="1">
      <alignment horizontal="left" vertical="top" wrapText="1" indent="3"/>
    </xf>
    <xf numFmtId="0" fontId="71" fillId="0" borderId="137" xfId="0" applyFont="1" applyBorder="1" applyAlignment="1">
      <alignment horizontal="left" vertical="top" wrapText="1" indent="5"/>
    </xf>
    <xf numFmtId="0" fontId="71" fillId="0" borderId="139" xfId="0" applyFont="1" applyBorder="1" applyAlignment="1">
      <alignment horizontal="left" vertical="top" wrapText="1" indent="5"/>
    </xf>
    <xf numFmtId="0" fontId="71" fillId="0" borderId="150" xfId="0" applyFont="1" applyBorder="1" applyAlignment="1">
      <alignment vertical="top" wrapText="1"/>
    </xf>
    <xf numFmtId="0" fontId="71" fillId="0" borderId="150" xfId="0" applyFont="1" applyBorder="1" applyAlignment="1">
      <alignment horizontal="center" vertical="top" wrapText="1"/>
    </xf>
    <xf numFmtId="0" fontId="112" fillId="0" borderId="141" xfId="0" applyFont="1" applyBorder="1" applyAlignment="1">
      <alignment horizontal="center" vertical="top" wrapText="1"/>
    </xf>
    <xf numFmtId="0" fontId="112" fillId="0" borderId="137" xfId="0" applyFont="1" applyBorder="1" applyAlignment="1">
      <alignment vertical="top" wrapText="1"/>
    </xf>
    <xf numFmtId="0" fontId="112" fillId="0" borderId="139" xfId="0" applyFont="1" applyBorder="1" applyAlignment="1">
      <alignment vertical="top" wrapText="1"/>
    </xf>
    <xf numFmtId="0" fontId="152" fillId="0" borderId="137" xfId="0" applyFont="1" applyBorder="1" applyAlignment="1">
      <alignment vertical="top" wrapText="1"/>
    </xf>
    <xf numFmtId="4" fontId="74" fillId="0" borderId="137" xfId="0" applyNumberFormat="1" applyFont="1" applyBorder="1" applyAlignment="1">
      <alignment vertical="center" wrapText="1"/>
    </xf>
    <xf numFmtId="4" fontId="74" fillId="0" borderId="139" xfId="0" applyNumberFormat="1" applyFont="1" applyBorder="1" applyAlignment="1">
      <alignment vertical="center" wrapText="1"/>
    </xf>
    <xf numFmtId="0" fontId="0" fillId="0" borderId="135" xfId="0" applyBorder="1" applyAlignment="1">
      <alignment vertical="center"/>
    </xf>
    <xf numFmtId="0" fontId="0" fillId="0" borderId="137" xfId="0" applyBorder="1" applyAlignment="1">
      <alignment vertical="top" wrapText="1"/>
    </xf>
    <xf numFmtId="0" fontId="0" fillId="0" borderId="139" xfId="0" applyBorder="1" applyAlignment="1">
      <alignment vertical="top" wrapText="1"/>
    </xf>
    <xf numFmtId="0" fontId="0" fillId="0" borderId="139" xfId="0" applyBorder="1" applyAlignment="1">
      <alignment horizontal="justify" vertical="top" wrapText="1"/>
    </xf>
    <xf numFmtId="0" fontId="0" fillId="0" borderId="135" xfId="0" applyBorder="1" applyAlignment="1">
      <alignment horizontal="right" vertical="top" wrapText="1"/>
    </xf>
    <xf numFmtId="0" fontId="0" fillId="0" borderId="141" xfId="0" applyBorder="1" applyAlignment="1">
      <alignment horizontal="center" vertical="top" wrapText="1"/>
    </xf>
    <xf numFmtId="0" fontId="62" fillId="0" borderId="142" xfId="0" applyFont="1" applyBorder="1" applyAlignment="1">
      <alignment horizontal="left" vertical="top" wrapText="1" indent="1"/>
    </xf>
    <xf numFmtId="3" fontId="0" fillId="0" borderId="142" xfId="0" applyNumberFormat="1" applyBorder="1" applyAlignment="1">
      <alignment horizontal="center" vertical="top" wrapText="1"/>
    </xf>
    <xf numFmtId="0" fontId="0" fillId="0" borderId="142" xfId="0" applyBorder="1" applyAlignment="1">
      <alignment horizontal="left" vertical="top" wrapText="1" indent="5"/>
    </xf>
    <xf numFmtId="0" fontId="152" fillId="0" borderId="142" xfId="0" applyFont="1" applyBorder="1" applyAlignment="1">
      <alignment horizontal="left" vertical="top" wrapText="1" indent="1"/>
    </xf>
    <xf numFmtId="0" fontId="0" fillId="0" borderId="142" xfId="0" applyBorder="1" applyAlignment="1">
      <alignment horizontal="left" vertical="top" wrapText="1" indent="1"/>
    </xf>
    <xf numFmtId="0" fontId="0" fillId="0" borderId="142" xfId="0" applyBorder="1" applyAlignment="1">
      <alignment horizontal="justify" vertical="top" wrapText="1"/>
    </xf>
    <xf numFmtId="0" fontId="0" fillId="0" borderId="141" xfId="0" applyBorder="1" applyAlignment="1">
      <alignment horizontal="justify" vertical="top" wrapText="1"/>
    </xf>
    <xf numFmtId="0" fontId="62" fillId="0" borderId="142" xfId="0" applyFont="1" applyBorder="1" applyAlignment="1">
      <alignment horizontal="justify" vertical="top" wrapText="1"/>
    </xf>
    <xf numFmtId="0" fontId="136" fillId="0" borderId="142" xfId="0" applyFont="1" applyBorder="1" applyAlignment="1">
      <alignment vertical="top" wrapText="1"/>
    </xf>
    <xf numFmtId="0" fontId="0" fillId="0" borderId="141" xfId="0" applyBorder="1" applyAlignment="1">
      <alignment horizontal="left" vertical="top" wrapText="1" indent="1"/>
    </xf>
    <xf numFmtId="0" fontId="62" fillId="0" borderId="135" xfId="0" applyFont="1" applyBorder="1" applyAlignment="1">
      <alignment horizontal="justify" vertical="top" wrapText="1"/>
    </xf>
    <xf numFmtId="0" fontId="0" fillId="0" borderId="135" xfId="0" applyBorder="1" applyAlignment="1">
      <alignment horizontal="center" vertical="top" wrapText="1"/>
    </xf>
    <xf numFmtId="0" fontId="152" fillId="0" borderId="137" xfId="0" applyFont="1" applyBorder="1" applyAlignment="1">
      <alignment horizontal="justify" vertical="top" wrapText="1"/>
    </xf>
    <xf numFmtId="0" fontId="0" fillId="0" borderId="137" xfId="0" applyBorder="1" applyAlignment="1">
      <alignment horizontal="center" vertical="top" wrapText="1"/>
    </xf>
    <xf numFmtId="0" fontId="62" fillId="0" borderId="150" xfId="0" applyFont="1" applyBorder="1" applyAlignment="1">
      <alignment horizontal="justify" vertical="top" wrapText="1"/>
    </xf>
    <xf numFmtId="3" fontId="0" fillId="0" borderId="150" xfId="0" applyNumberFormat="1" applyBorder="1" applyAlignment="1">
      <alignment horizontal="center" vertical="top" wrapText="1"/>
    </xf>
    <xf numFmtId="0" fontId="0" fillId="0" borderId="150" xfId="0" applyBorder="1" applyAlignment="1">
      <alignment horizontal="left" vertical="top" wrapText="1" indent="2"/>
    </xf>
    <xf numFmtId="0" fontId="62" fillId="0" borderId="0" xfId="0" applyFont="1" applyBorder="1" applyAlignment="1">
      <alignment horizontal="center" vertical="top" wrapText="1"/>
    </xf>
    <xf numFmtId="0" fontId="41" fillId="0" borderId="300" xfId="74" applyFont="1" applyFill="1" applyBorder="1"/>
    <xf numFmtId="0" fontId="19" fillId="0" borderId="0" xfId="47" applyFont="1" applyAlignment="1" applyProtection="1">
      <alignment horizontal="left" vertical="top"/>
      <protection locked="0"/>
    </xf>
    <xf numFmtId="49" fontId="19" fillId="0" borderId="0" xfId="47" applyNumberFormat="1" applyFont="1" applyBorder="1" applyAlignment="1" applyProtection="1">
      <alignment horizontal="center" vertical="top"/>
      <protection locked="0"/>
    </xf>
    <xf numFmtId="43" fontId="29" fillId="0" borderId="0" xfId="1" applyFont="1" applyBorder="1" applyProtection="1">
      <protection locked="0"/>
    </xf>
    <xf numFmtId="43" fontId="19" fillId="0" borderId="398" xfId="1" applyFont="1" applyBorder="1"/>
    <xf numFmtId="0" fontId="21" fillId="0" borderId="0" xfId="47" applyFont="1" applyBorder="1" applyAlignment="1" applyProtection="1">
      <alignment vertical="center"/>
      <protection locked="0"/>
    </xf>
    <xf numFmtId="0" fontId="27" fillId="0" borderId="0" xfId="47" applyFont="1" applyAlignment="1">
      <alignment vertical="center"/>
    </xf>
    <xf numFmtId="0" fontId="19" fillId="0" borderId="401" xfId="47" applyFont="1" applyBorder="1" applyAlignment="1" applyProtection="1">
      <alignment vertical="center"/>
      <protection locked="0"/>
    </xf>
    <xf numFmtId="43" fontId="19" fillId="0" borderId="0" xfId="1" applyFont="1" applyBorder="1" applyAlignment="1" applyProtection="1">
      <alignment vertical="center"/>
      <protection locked="0"/>
    </xf>
    <xf numFmtId="43" fontId="21" fillId="0" borderId="0" xfId="1" applyFont="1" applyBorder="1" applyAlignment="1" applyProtection="1">
      <alignment vertical="center"/>
      <protection locked="0"/>
    </xf>
    <xf numFmtId="0" fontId="21" fillId="0" borderId="0" xfId="24" applyFont="1" applyAlignment="1">
      <alignment horizontal="center" vertical="center"/>
    </xf>
    <xf numFmtId="0" fontId="18" fillId="0" borderId="0" xfId="30" applyFont="1" applyFill="1"/>
    <xf numFmtId="0" fontId="27" fillId="0" borderId="0" xfId="2" applyFont="1" applyAlignment="1" applyProtection="1">
      <alignment vertical="center"/>
      <protection locked="0"/>
    </xf>
    <xf numFmtId="0" fontId="27" fillId="0" borderId="0" xfId="55" applyFont="1" applyAlignment="1" applyProtection="1">
      <alignment vertical="center"/>
      <protection locked="0"/>
    </xf>
    <xf numFmtId="43" fontId="41" fillId="0" borderId="0" xfId="1" applyFont="1" applyFill="1" applyBorder="1"/>
    <xf numFmtId="0" fontId="16" fillId="0" borderId="0" xfId="0" applyFont="1" applyBorder="1" applyAlignment="1">
      <alignment vertical="center"/>
    </xf>
    <xf numFmtId="43" fontId="217" fillId="0" borderId="0" xfId="0" applyNumberFormat="1" applyFont="1" applyBorder="1" applyAlignment="1">
      <alignment vertical="center"/>
    </xf>
    <xf numFmtId="0" fontId="16" fillId="0" borderId="410" xfId="0" applyFont="1" applyBorder="1" applyAlignment="1">
      <alignment vertical="center"/>
    </xf>
    <xf numFmtId="43" fontId="217" fillId="0" borderId="410" xfId="0" applyNumberFormat="1" applyFont="1" applyBorder="1" applyAlignment="1">
      <alignment vertical="center"/>
    </xf>
    <xf numFmtId="0" fontId="220" fillId="0" borderId="0" xfId="24" applyFont="1" applyAlignment="1"/>
    <xf numFmtId="0" fontId="220" fillId="0" borderId="0" xfId="24" applyFont="1"/>
    <xf numFmtId="0" fontId="221" fillId="0" borderId="0" xfId="24" applyFont="1" applyAlignment="1">
      <alignment horizontal="left"/>
    </xf>
    <xf numFmtId="0" fontId="221" fillId="0" borderId="0" xfId="24" applyFont="1"/>
    <xf numFmtId="0" fontId="221" fillId="0" borderId="0" xfId="58" applyFont="1" applyAlignment="1"/>
    <xf numFmtId="0" fontId="221" fillId="0" borderId="0" xfId="58" applyFont="1"/>
    <xf numFmtId="0" fontId="221" fillId="0" borderId="0" xfId="24" applyFont="1" applyAlignment="1">
      <alignment horizontal="center"/>
    </xf>
    <xf numFmtId="0" fontId="21" fillId="0" borderId="413" xfId="24" applyFont="1" applyBorder="1" applyAlignment="1">
      <alignment vertical="center"/>
    </xf>
    <xf numFmtId="0" fontId="19" fillId="0" borderId="414" xfId="24" applyFont="1" applyBorder="1" applyAlignment="1">
      <alignment vertical="center"/>
    </xf>
    <xf numFmtId="43" fontId="21" fillId="0" borderId="371" xfId="24" applyNumberFormat="1" applyFont="1" applyBorder="1" applyAlignment="1">
      <alignment vertical="center"/>
    </xf>
    <xf numFmtId="0" fontId="19" fillId="0" borderId="415" xfId="24" applyFont="1" applyBorder="1" applyAlignment="1">
      <alignment vertical="center"/>
    </xf>
    <xf numFmtId="0" fontId="21" fillId="0" borderId="271" xfId="24" applyFont="1" applyBorder="1" applyAlignment="1">
      <alignment horizontal="center" vertical="center"/>
    </xf>
    <xf numFmtId="0" fontId="36" fillId="0" borderId="387" xfId="24" applyFont="1" applyBorder="1" applyAlignment="1">
      <alignment vertical="center"/>
    </xf>
    <xf numFmtId="0" fontId="19" fillId="0" borderId="402" xfId="24" applyFont="1" applyBorder="1" applyAlignment="1">
      <alignment vertical="center"/>
    </xf>
    <xf numFmtId="0" fontId="19" fillId="0" borderId="387" xfId="24" applyFont="1" applyBorder="1" applyAlignment="1">
      <alignment vertical="center"/>
    </xf>
    <xf numFmtId="0" fontId="19" fillId="0" borderId="156" xfId="24" applyFont="1" applyBorder="1" applyAlignment="1">
      <alignment vertical="center"/>
    </xf>
    <xf numFmtId="43" fontId="19" fillId="0" borderId="398" xfId="20" applyFont="1" applyBorder="1" applyAlignment="1">
      <alignment vertical="center"/>
    </xf>
    <xf numFmtId="43" fontId="21" fillId="0" borderId="78" xfId="24" applyNumberFormat="1" applyFont="1" applyBorder="1" applyAlignment="1">
      <alignment vertical="center"/>
    </xf>
    <xf numFmtId="0" fontId="19" fillId="0" borderId="398" xfId="24" applyFont="1" applyBorder="1" applyAlignment="1">
      <alignment vertical="center"/>
    </xf>
    <xf numFmtId="43" fontId="21" fillId="0" borderId="345" xfId="24" applyNumberFormat="1" applyFont="1" applyBorder="1" applyAlignment="1">
      <alignment vertical="center"/>
    </xf>
    <xf numFmtId="0" fontId="41" fillId="0" borderId="416" xfId="74" applyFont="1" applyFill="1" applyBorder="1" applyAlignment="1">
      <alignment horizontal="center"/>
    </xf>
    <xf numFmtId="0" fontId="41" fillId="0" borderId="295" xfId="74" applyFont="1" applyFill="1" applyBorder="1" applyAlignment="1">
      <alignment horizontal="center"/>
    </xf>
    <xf numFmtId="0" fontId="41" fillId="0" borderId="397" xfId="74" applyFont="1" applyFill="1" applyBorder="1" applyAlignment="1">
      <alignment horizontal="center"/>
    </xf>
    <xf numFmtId="0" fontId="46" fillId="0" borderId="295" xfId="74" applyFont="1" applyFill="1" applyBorder="1"/>
    <xf numFmtId="39" fontId="41" fillId="0" borderId="295" xfId="74" applyNumberFormat="1" applyFont="1" applyFill="1" applyBorder="1" applyProtection="1"/>
    <xf numFmtId="43" fontId="46" fillId="0" borderId="295" xfId="62" applyFont="1" applyFill="1" applyBorder="1"/>
    <xf numFmtId="170" fontId="18" fillId="0" borderId="0" xfId="96" applyFont="1" applyBorder="1" applyAlignment="1">
      <alignment horizontal="center"/>
    </xf>
    <xf numFmtId="0" fontId="21" fillId="0" borderId="0" xfId="24" applyFont="1" applyAlignment="1">
      <alignment horizontal="center"/>
    </xf>
    <xf numFmtId="43" fontId="21" fillId="0" borderId="111" xfId="62" applyFont="1" applyBorder="1" applyAlignment="1">
      <alignment vertical="center"/>
    </xf>
    <xf numFmtId="0" fontId="21" fillId="0" borderId="110" xfId="21" applyFont="1" applyBorder="1" applyAlignment="1">
      <alignment horizontal="center" vertical="center"/>
    </xf>
    <xf numFmtId="0" fontId="46" fillId="0" borderId="0" xfId="0" applyFont="1" applyBorder="1"/>
    <xf numFmtId="43" fontId="46" fillId="0" borderId="0" xfId="1" applyFont="1" applyBorder="1"/>
    <xf numFmtId="0" fontId="46" fillId="0" borderId="0" xfId="0" applyFont="1"/>
    <xf numFmtId="0" fontId="41" fillId="0" borderId="0" xfId="0" applyFont="1" applyBorder="1"/>
    <xf numFmtId="0" fontId="46" fillId="0" borderId="0" xfId="0" applyFont="1" applyBorder="1" applyAlignment="1">
      <alignment horizontal="left"/>
    </xf>
    <xf numFmtId="0" fontId="46" fillId="0" borderId="157" xfId="0" applyFont="1" applyBorder="1"/>
    <xf numFmtId="43" fontId="46" fillId="0" borderId="157" xfId="1" applyFont="1" applyBorder="1"/>
    <xf numFmtId="0" fontId="41" fillId="0" borderId="117" xfId="0" applyFont="1" applyBorder="1" applyAlignment="1">
      <alignment horizontal="center"/>
    </xf>
    <xf numFmtId="43" fontId="41" fillId="0" borderId="0" xfId="1" applyFont="1" applyBorder="1" applyAlignment="1">
      <alignment horizontal="center"/>
    </xf>
    <xf numFmtId="0" fontId="41" fillId="0" borderId="0" xfId="0" applyFont="1"/>
    <xf numFmtId="0" fontId="41" fillId="0" borderId="126" xfId="0" applyFont="1" applyBorder="1" applyAlignment="1">
      <alignment horizontal="center"/>
    </xf>
    <xf numFmtId="0" fontId="41" fillId="0" borderId="120" xfId="0" applyFont="1" applyBorder="1" applyAlignment="1">
      <alignment horizontal="center"/>
    </xf>
    <xf numFmtId="1" fontId="41" fillId="0" borderId="102" xfId="1" applyNumberFormat="1" applyFont="1" applyBorder="1" applyAlignment="1">
      <alignment horizontal="center"/>
    </xf>
    <xf numFmtId="0" fontId="41" fillId="0" borderId="126" xfId="0" applyFont="1" applyBorder="1"/>
    <xf numFmtId="0" fontId="41" fillId="0" borderId="120" xfId="0" applyFont="1" applyBorder="1"/>
    <xf numFmtId="43" fontId="41" fillId="0" borderId="102" xfId="1" applyFont="1" applyBorder="1"/>
    <xf numFmtId="0" fontId="46" fillId="0" borderId="118" xfId="0" applyFont="1" applyBorder="1"/>
    <xf numFmtId="0" fontId="46" fillId="0" borderId="117" xfId="0" applyFont="1" applyBorder="1"/>
    <xf numFmtId="0" fontId="41" fillId="0" borderId="301" xfId="0" applyFont="1" applyBorder="1" applyAlignment="1">
      <alignment horizontal="center"/>
    </xf>
    <xf numFmtId="43" fontId="41" fillId="0" borderId="239" xfId="1" applyFont="1" applyBorder="1" applyAlignment="1">
      <alignment horizontal="center"/>
    </xf>
    <xf numFmtId="0" fontId="41" fillId="0" borderId="303" xfId="0" applyFont="1" applyBorder="1" applyAlignment="1">
      <alignment horizontal="center" vertical="center" wrapText="1"/>
    </xf>
    <xf numFmtId="43" fontId="41" fillId="0" borderId="310" xfId="1" applyFont="1" applyBorder="1" applyAlignment="1">
      <alignment horizontal="center" vertical="center" wrapText="1"/>
    </xf>
    <xf numFmtId="0" fontId="41" fillId="0" borderId="0" xfId="0" applyFont="1" applyAlignment="1">
      <alignment vertical="center" wrapText="1"/>
    </xf>
    <xf numFmtId="0" fontId="41" fillId="0" borderId="289" xfId="0" applyFont="1" applyBorder="1" applyAlignment="1">
      <alignment horizontal="center"/>
    </xf>
    <xf numFmtId="0" fontId="41" fillId="0" borderId="302" xfId="0" applyFont="1" applyBorder="1" applyAlignment="1">
      <alignment horizontal="center"/>
    </xf>
    <xf numFmtId="1" fontId="41" fillId="0" borderId="290" xfId="1" applyNumberFormat="1" applyFont="1" applyBorder="1" applyAlignment="1">
      <alignment horizontal="center"/>
    </xf>
    <xf numFmtId="0" fontId="46" fillId="0" borderId="211" xfId="0" applyFont="1" applyBorder="1"/>
    <xf numFmtId="0" fontId="46" fillId="0" borderId="212" xfId="0" applyFont="1" applyBorder="1"/>
    <xf numFmtId="0" fontId="46" fillId="0" borderId="202" xfId="0" applyFont="1" applyBorder="1"/>
    <xf numFmtId="0" fontId="46" fillId="0" borderId="201" xfId="0" applyFont="1" applyBorder="1"/>
    <xf numFmtId="0" fontId="41" fillId="0" borderId="118" xfId="0" applyFont="1" applyBorder="1"/>
    <xf numFmtId="0" fontId="41" fillId="0" borderId="117" xfId="0" applyFont="1" applyBorder="1"/>
    <xf numFmtId="43" fontId="41" fillId="0" borderId="0" xfId="1" applyFont="1" applyBorder="1"/>
    <xf numFmtId="0" fontId="46" fillId="0" borderId="211" xfId="0" applyFont="1" applyBorder="1" applyAlignment="1">
      <alignment vertical="top"/>
    </xf>
    <xf numFmtId="0" fontId="46" fillId="0" borderId="212" xfId="0" applyFont="1" applyBorder="1" applyAlignment="1">
      <alignment vertical="top" wrapText="1"/>
    </xf>
    <xf numFmtId="43" fontId="41" fillId="0" borderId="0" xfId="1" applyFont="1" applyBorder="1" applyAlignment="1">
      <alignment vertical="top"/>
    </xf>
    <xf numFmtId="0" fontId="46" fillId="0" borderId="0" xfId="0" applyFont="1" applyAlignment="1">
      <alignment vertical="top"/>
    </xf>
    <xf numFmtId="0" fontId="46" fillId="0" borderId="118" xfId="0" applyFont="1" applyBorder="1" applyAlignment="1">
      <alignment vertical="top" wrapText="1"/>
    </xf>
    <xf numFmtId="0" fontId="46" fillId="0" borderId="117" xfId="0" applyFont="1" applyBorder="1" applyAlignment="1">
      <alignment vertical="top" wrapText="1"/>
    </xf>
    <xf numFmtId="43" fontId="41" fillId="0" borderId="0" xfId="1" applyFont="1" applyBorder="1" applyAlignment="1">
      <alignment vertical="top" wrapText="1"/>
    </xf>
    <xf numFmtId="0" fontId="46" fillId="0" borderId="0" xfId="0" applyFont="1" applyAlignment="1">
      <alignment vertical="top" wrapText="1"/>
    </xf>
    <xf numFmtId="0" fontId="46" fillId="0" borderId="239" xfId="0" applyFont="1" applyBorder="1" applyAlignment="1">
      <alignment vertical="top" wrapText="1"/>
    </xf>
    <xf numFmtId="43" fontId="41" fillId="0" borderId="239" xfId="1" applyFont="1" applyBorder="1" applyAlignment="1">
      <alignment vertical="top" wrapText="1"/>
    </xf>
    <xf numFmtId="0" fontId="46" fillId="0" borderId="0" xfId="0" applyFont="1" applyBorder="1" applyAlignment="1">
      <alignment vertical="top" wrapText="1"/>
    </xf>
    <xf numFmtId="0" fontId="41" fillId="0" borderId="303" xfId="0" applyFont="1" applyBorder="1" applyAlignment="1">
      <alignment horizontal="center" vertical="center"/>
    </xf>
    <xf numFmtId="43" fontId="41" fillId="0" borderId="310" xfId="1" applyFont="1" applyBorder="1" applyAlignment="1">
      <alignment horizontal="center" vertical="center"/>
    </xf>
    <xf numFmtId="0" fontId="41" fillId="0" borderId="0" xfId="0" applyFont="1" applyAlignment="1">
      <alignment vertical="center"/>
    </xf>
    <xf numFmtId="0" fontId="46" fillId="0" borderId="118" xfId="0" applyFont="1" applyFill="1" applyBorder="1"/>
    <xf numFmtId="0" fontId="41" fillId="0" borderId="117" xfId="0" applyFont="1" applyFill="1" applyBorder="1"/>
    <xf numFmtId="0" fontId="46" fillId="0" borderId="0" xfId="0" applyFont="1" applyFill="1"/>
    <xf numFmtId="0" fontId="46" fillId="0" borderId="211" xfId="0" applyFont="1" applyFill="1" applyBorder="1" applyAlignment="1">
      <alignment vertical="top" wrapText="1"/>
    </xf>
    <xf numFmtId="0" fontId="46" fillId="0" borderId="212" xfId="0" applyFont="1" applyFill="1" applyBorder="1" applyAlignment="1">
      <alignment vertical="top" wrapText="1"/>
    </xf>
    <xf numFmtId="43" fontId="46" fillId="0" borderId="0" xfId="1" applyFont="1" applyFill="1" applyBorder="1" applyAlignment="1">
      <alignment vertical="top" wrapText="1"/>
    </xf>
    <xf numFmtId="0" fontId="46" fillId="0" borderId="0" xfId="0" applyFont="1" applyFill="1" applyAlignment="1">
      <alignment vertical="top" wrapText="1"/>
    </xf>
    <xf numFmtId="0" fontId="46" fillId="0" borderId="118" xfId="0" applyFont="1" applyBorder="1" applyAlignment="1">
      <alignment vertical="top"/>
    </xf>
    <xf numFmtId="0" fontId="46" fillId="0" borderId="117" xfId="0" applyFont="1" applyBorder="1" applyAlignment="1">
      <alignment vertical="top"/>
    </xf>
    <xf numFmtId="0" fontId="41" fillId="0" borderId="212" xfId="0" applyFont="1" applyBorder="1"/>
    <xf numFmtId="0" fontId="46" fillId="0" borderId="211" xfId="0" applyFont="1" applyBorder="1" applyAlignment="1">
      <alignment vertical="top" wrapText="1"/>
    </xf>
    <xf numFmtId="0" fontId="41" fillId="0" borderId="212" xfId="0" applyFont="1" applyBorder="1" applyAlignment="1">
      <alignment vertical="top" wrapText="1"/>
    </xf>
    <xf numFmtId="0" fontId="41" fillId="0" borderId="211" xfId="0" applyFont="1" applyBorder="1" applyAlignment="1">
      <alignment vertical="top" wrapText="1"/>
    </xf>
    <xf numFmtId="0" fontId="41" fillId="0" borderId="295" xfId="0" applyFont="1" applyBorder="1" applyAlignment="1">
      <alignment vertical="top" wrapText="1"/>
    </xf>
    <xf numFmtId="0" fontId="41" fillId="0" borderId="0" xfId="0" applyFont="1" applyBorder="1" applyAlignment="1">
      <alignment vertical="top" wrapText="1"/>
    </xf>
    <xf numFmtId="0" fontId="46" fillId="0" borderId="295" xfId="0" applyFont="1" applyBorder="1" applyAlignment="1">
      <alignment vertical="top" wrapText="1"/>
    </xf>
    <xf numFmtId="0" fontId="41" fillId="0" borderId="38" xfId="0" applyFont="1" applyBorder="1"/>
    <xf numFmtId="0" fontId="41" fillId="0" borderId="24" xfId="0" applyFont="1" applyBorder="1" applyAlignment="1">
      <alignment horizontal="center"/>
    </xf>
    <xf numFmtId="43" fontId="41" fillId="0" borderId="228" xfId="1" applyFont="1" applyBorder="1"/>
    <xf numFmtId="0" fontId="46" fillId="0" borderId="0" xfId="0" applyFont="1" applyAlignment="1">
      <alignment horizontal="center"/>
    </xf>
    <xf numFmtId="43" fontId="46" fillId="0" borderId="0" xfId="1" applyFont="1"/>
    <xf numFmtId="0" fontId="216" fillId="0" borderId="0" xfId="0" applyFont="1"/>
    <xf numFmtId="43" fontId="46" fillId="0" borderId="0" xfId="1" applyFont="1" applyAlignment="1">
      <alignment horizontal="center"/>
    </xf>
    <xf numFmtId="0" fontId="46" fillId="0" borderId="0" xfId="0" applyFont="1" applyBorder="1" applyAlignment="1">
      <alignment horizontal="center"/>
    </xf>
    <xf numFmtId="0" fontId="46" fillId="0" borderId="157" xfId="0" applyFont="1" applyBorder="1" applyAlignment="1">
      <alignment horizontal="center"/>
    </xf>
    <xf numFmtId="0" fontId="41" fillId="0" borderId="13" xfId="0" applyFont="1" applyBorder="1"/>
    <xf numFmtId="43" fontId="41" fillId="0" borderId="13" xfId="1" applyFont="1" applyBorder="1"/>
    <xf numFmtId="0" fontId="41" fillId="0" borderId="13" xfId="0" applyFont="1" applyBorder="1" applyAlignment="1">
      <alignment horizontal="center"/>
    </xf>
    <xf numFmtId="0" fontId="41" fillId="0" borderId="118" xfId="0" applyFont="1" applyBorder="1" applyAlignment="1">
      <alignment horizontal="center"/>
    </xf>
    <xf numFmtId="0" fontId="41" fillId="0" borderId="0" xfId="0" applyFont="1" applyBorder="1" applyAlignment="1">
      <alignment horizontal="center"/>
    </xf>
    <xf numFmtId="0" fontId="41" fillId="0" borderId="118" xfId="0" applyFont="1" applyBorder="1" applyAlignment="1">
      <alignment horizontal="center" wrapText="1"/>
    </xf>
    <xf numFmtId="0" fontId="41" fillId="0" borderId="102" xfId="0" applyFont="1" applyBorder="1" applyAlignment="1">
      <alignment horizontal="center"/>
    </xf>
    <xf numFmtId="3" fontId="41" fillId="0" borderId="102" xfId="0" applyNumberFormat="1" applyFont="1" applyBorder="1" applyAlignment="1">
      <alignment horizontal="center"/>
    </xf>
    <xf numFmtId="0" fontId="41" fillId="0" borderId="127" xfId="0" applyFont="1" applyBorder="1"/>
    <xf numFmtId="0" fontId="46" fillId="0" borderId="117" xfId="0" applyFont="1" applyBorder="1" applyAlignment="1">
      <alignment horizontal="center"/>
    </xf>
    <xf numFmtId="3" fontId="46" fillId="0" borderId="0" xfId="0" applyNumberFormat="1" applyFont="1" applyBorder="1" applyAlignment="1">
      <alignment horizontal="center"/>
    </xf>
    <xf numFmtId="0" fontId="46" fillId="0" borderId="91" xfId="0" applyFont="1" applyBorder="1"/>
    <xf numFmtId="3" fontId="46" fillId="0" borderId="157" xfId="0" applyNumberFormat="1" applyFont="1" applyBorder="1" applyAlignment="1">
      <alignment horizontal="center"/>
    </xf>
    <xf numFmtId="0" fontId="41" fillId="0" borderId="304" xfId="0" applyFont="1" applyBorder="1" applyAlignment="1">
      <alignment horizontal="center"/>
    </xf>
    <xf numFmtId="0" fontId="41" fillId="0" borderId="239" xfId="0" applyFont="1" applyBorder="1" applyAlignment="1">
      <alignment horizontal="center"/>
    </xf>
    <xf numFmtId="0" fontId="41" fillId="0" borderId="306" xfId="0" applyFont="1" applyBorder="1" applyAlignment="1">
      <alignment horizontal="center" vertical="center" wrapText="1"/>
    </xf>
    <xf numFmtId="0" fontId="41" fillId="0" borderId="310" xfId="0" applyFont="1" applyBorder="1" applyAlignment="1">
      <alignment horizontal="center" vertical="center" wrapText="1"/>
    </xf>
    <xf numFmtId="0" fontId="41" fillId="0" borderId="290" xfId="0" applyFont="1" applyBorder="1" applyAlignment="1">
      <alignment horizontal="center"/>
    </xf>
    <xf numFmtId="0" fontId="46" fillId="0" borderId="212" xfId="0" applyFont="1" applyBorder="1" applyAlignment="1">
      <alignment horizontal="center"/>
    </xf>
    <xf numFmtId="0" fontId="46" fillId="0" borderId="199" xfId="0" applyFont="1" applyBorder="1"/>
    <xf numFmtId="0" fontId="46" fillId="0" borderId="201" xfId="0" applyFont="1" applyBorder="1" applyAlignment="1">
      <alignment horizontal="center"/>
    </xf>
    <xf numFmtId="0" fontId="41" fillId="0" borderId="91" xfId="0" applyFont="1" applyBorder="1"/>
    <xf numFmtId="1" fontId="46" fillId="0" borderId="0" xfId="1" applyNumberFormat="1" applyFont="1" applyBorder="1" applyAlignment="1">
      <alignment horizontal="center"/>
    </xf>
    <xf numFmtId="0" fontId="46" fillId="0" borderId="212" xfId="0" applyFont="1" applyBorder="1" applyAlignment="1">
      <alignment horizontal="center" vertical="top" wrapText="1"/>
    </xf>
    <xf numFmtId="0" fontId="46" fillId="0" borderId="0" xfId="0" applyFont="1" applyBorder="1" applyAlignment="1">
      <alignment horizontal="center" vertical="top" wrapText="1"/>
    </xf>
    <xf numFmtId="0" fontId="46" fillId="0" borderId="91" xfId="0" applyFont="1" applyBorder="1" applyAlignment="1">
      <alignment vertical="top"/>
    </xf>
    <xf numFmtId="0" fontId="46" fillId="0" borderId="117" xfId="0" applyFont="1" applyBorder="1" applyAlignment="1">
      <alignment horizontal="center" vertical="top" wrapText="1"/>
    </xf>
    <xf numFmtId="0" fontId="46" fillId="0" borderId="239" xfId="0" applyFont="1" applyBorder="1" applyAlignment="1">
      <alignment horizontal="center" vertical="top" wrapText="1"/>
    </xf>
    <xf numFmtId="0" fontId="46" fillId="0" borderId="239" xfId="0" applyFont="1" applyBorder="1" applyAlignment="1">
      <alignment vertical="top"/>
    </xf>
    <xf numFmtId="0" fontId="46" fillId="0" borderId="0" xfId="0" applyFont="1" applyBorder="1" applyAlignment="1">
      <alignment vertical="top"/>
    </xf>
    <xf numFmtId="0" fontId="41" fillId="0" borderId="310" xfId="0" applyFont="1" applyBorder="1" applyAlignment="1">
      <alignment horizontal="center" vertical="center"/>
    </xf>
    <xf numFmtId="0" fontId="46" fillId="0" borderId="117" xfId="0" applyFont="1" applyFill="1" applyBorder="1" applyAlignment="1"/>
    <xf numFmtId="0" fontId="46" fillId="0" borderId="212" xfId="0" applyFont="1" applyFill="1" applyBorder="1" applyAlignment="1">
      <alignment horizontal="center" vertical="top" wrapText="1"/>
    </xf>
    <xf numFmtId="0" fontId="46" fillId="0" borderId="0" xfId="0" applyFont="1" applyBorder="1" applyAlignment="1">
      <alignment horizontal="center" vertical="top"/>
    </xf>
    <xf numFmtId="0" fontId="46" fillId="0" borderId="117" xfId="0" applyFont="1" applyBorder="1" applyAlignment="1">
      <alignment horizontal="center" vertical="top"/>
    </xf>
    <xf numFmtId="0" fontId="46" fillId="0" borderId="295" xfId="0" applyFont="1" applyBorder="1" applyAlignment="1">
      <alignment vertical="top"/>
    </xf>
    <xf numFmtId="0" fontId="41" fillId="0" borderId="295" xfId="0" applyFont="1" applyBorder="1" applyAlignment="1">
      <alignment horizontal="center" vertical="top" wrapText="1"/>
    </xf>
    <xf numFmtId="0" fontId="41" fillId="0" borderId="0" xfId="0" applyFont="1" applyBorder="1" applyAlignment="1">
      <alignment horizontal="center" vertical="top" wrapText="1"/>
    </xf>
    <xf numFmtId="0" fontId="41" fillId="0" borderId="295" xfId="0" applyFont="1" applyBorder="1" applyAlignment="1">
      <alignment vertical="top"/>
    </xf>
    <xf numFmtId="0" fontId="46" fillId="0" borderId="295" xfId="0" applyFont="1" applyBorder="1" applyAlignment="1">
      <alignment horizontal="center" vertical="top" wrapText="1"/>
    </xf>
    <xf numFmtId="0" fontId="46" fillId="0" borderId="295" xfId="0" applyFont="1" applyBorder="1"/>
    <xf numFmtId="0" fontId="46" fillId="0" borderId="303" xfId="0" applyFont="1" applyBorder="1" applyAlignment="1">
      <alignment vertical="top"/>
    </xf>
    <xf numFmtId="0" fontId="41" fillId="0" borderId="228" xfId="0" applyFont="1" applyBorder="1" applyAlignment="1">
      <alignment horizontal="center"/>
    </xf>
    <xf numFmtId="0" fontId="41" fillId="0" borderId="24" xfId="0" applyFont="1" applyBorder="1"/>
    <xf numFmtId="43" fontId="27" fillId="0" borderId="0" xfId="1" applyFont="1" applyProtection="1">
      <protection locked="0"/>
    </xf>
    <xf numFmtId="0" fontId="21" fillId="0" borderId="0" xfId="1" applyNumberFormat="1" applyFont="1" applyAlignment="1">
      <alignment horizontal="left"/>
    </xf>
    <xf numFmtId="170" fontId="27" fillId="0" borderId="0" xfId="96" applyFont="1" applyBorder="1"/>
    <xf numFmtId="170" fontId="160" fillId="0" borderId="0" xfId="96" applyFont="1"/>
    <xf numFmtId="170" fontId="160" fillId="0" borderId="0" xfId="96" applyFont="1" applyBorder="1" applyAlignment="1">
      <alignment horizontal="center"/>
    </xf>
    <xf numFmtId="170" fontId="160" fillId="0" borderId="0" xfId="96" applyFont="1" applyBorder="1" applyAlignment="1"/>
    <xf numFmtId="170" fontId="160" fillId="0" borderId="0" xfId="96" applyFont="1" applyBorder="1"/>
    <xf numFmtId="49" fontId="160" fillId="0" borderId="0" xfId="96" applyNumberFormat="1" applyFont="1" applyBorder="1" applyAlignment="1">
      <alignment horizontal="left"/>
    </xf>
    <xf numFmtId="170" fontId="18" fillId="0" borderId="0" xfId="96" applyFont="1"/>
    <xf numFmtId="170" fontId="183" fillId="0" borderId="0" xfId="96" applyFont="1" applyBorder="1"/>
    <xf numFmtId="170" fontId="183" fillId="0" borderId="0" xfId="96" applyFont="1" applyBorder="1" applyAlignment="1"/>
    <xf numFmtId="170" fontId="183" fillId="0" borderId="0" xfId="96" applyFont="1"/>
    <xf numFmtId="170" fontId="160" fillId="0" borderId="0" xfId="96" applyFont="1" applyBorder="1" applyAlignment="1">
      <alignment horizontal="left"/>
    </xf>
    <xf numFmtId="170" fontId="160" fillId="0" borderId="0" xfId="96" applyFont="1" applyBorder="1" applyAlignment="1">
      <alignment horizontal="left" vertical="top" wrapText="1"/>
    </xf>
    <xf numFmtId="170" fontId="160" fillId="0" borderId="300" xfId="96" applyFont="1" applyBorder="1"/>
    <xf numFmtId="170" fontId="160" fillId="0" borderId="326" xfId="96" applyFont="1" applyBorder="1"/>
    <xf numFmtId="170" fontId="160" fillId="0" borderId="301" xfId="96" applyFont="1" applyBorder="1" applyAlignment="1">
      <alignment horizontal="center"/>
    </xf>
    <xf numFmtId="170" fontId="160" fillId="0" borderId="301" xfId="96" applyFont="1" applyBorder="1"/>
    <xf numFmtId="170" fontId="160" fillId="0" borderId="301" xfId="96" applyFont="1" applyBorder="1" applyAlignment="1">
      <alignment horizontal="center" vertical="center"/>
    </xf>
    <xf numFmtId="170" fontId="160" fillId="0" borderId="295" xfId="96" applyFont="1" applyBorder="1" applyAlignment="1">
      <alignment horizontal="center"/>
    </xf>
    <xf numFmtId="170" fontId="160" fillId="0" borderId="295" xfId="96" applyFont="1" applyBorder="1" applyAlignment="1">
      <alignment horizontal="center" vertical="center"/>
    </xf>
    <xf numFmtId="170" fontId="160" fillId="0" borderId="302" xfId="96" applyFont="1" applyBorder="1" applyAlignment="1">
      <alignment horizontal="center"/>
    </xf>
    <xf numFmtId="49" fontId="160" fillId="0" borderId="303" xfId="96" applyNumberFormat="1" applyFont="1" applyBorder="1" applyAlignment="1">
      <alignment horizontal="center"/>
    </xf>
    <xf numFmtId="49" fontId="160" fillId="0" borderId="303" xfId="96" applyNumberFormat="1" applyFont="1" applyBorder="1" applyAlignment="1">
      <alignment horizontal="center" vertical="center"/>
    </xf>
    <xf numFmtId="49" fontId="160" fillId="0" borderId="300" xfId="96" applyNumberFormat="1" applyFont="1" applyBorder="1" applyAlignment="1">
      <alignment horizontal="center"/>
    </xf>
    <xf numFmtId="49" fontId="160" fillId="0" borderId="326" xfId="96" applyNumberFormat="1" applyFont="1" applyBorder="1" applyAlignment="1">
      <alignment horizontal="center"/>
    </xf>
    <xf numFmtId="49" fontId="160" fillId="0" borderId="295" xfId="96" applyNumberFormat="1" applyFont="1" applyBorder="1" applyAlignment="1">
      <alignment horizontal="center"/>
    </xf>
    <xf numFmtId="49" fontId="160" fillId="0" borderId="295" xfId="96" applyNumberFormat="1" applyFont="1" applyBorder="1" applyAlignment="1"/>
    <xf numFmtId="49" fontId="160" fillId="0" borderId="0" xfId="96" applyNumberFormat="1" applyFont="1" applyBorder="1" applyAlignment="1">
      <alignment horizontal="center"/>
    </xf>
    <xf numFmtId="170" fontId="183" fillId="9" borderId="301" xfId="96" applyFont="1" applyFill="1" applyBorder="1" applyAlignment="1">
      <alignment horizontal="left"/>
    </xf>
    <xf numFmtId="172" fontId="160" fillId="9" borderId="301" xfId="96" applyNumberFormat="1" applyFont="1" applyFill="1" applyBorder="1"/>
    <xf numFmtId="170" fontId="160" fillId="9" borderId="301" xfId="96" applyFont="1" applyFill="1" applyBorder="1" applyAlignment="1"/>
    <xf numFmtId="49" fontId="160" fillId="9" borderId="296" xfId="96" applyNumberFormat="1" applyFont="1" applyFill="1" applyBorder="1" applyAlignment="1">
      <alignment horizontal="center"/>
    </xf>
    <xf numFmtId="170" fontId="160" fillId="9" borderId="301" xfId="96" applyFont="1" applyFill="1" applyBorder="1" applyAlignment="1">
      <alignment horizontal="center"/>
    </xf>
    <xf numFmtId="170" fontId="160" fillId="9" borderId="305" xfId="96" applyFont="1" applyFill="1" applyBorder="1" applyAlignment="1">
      <alignment horizontal="center"/>
    </xf>
    <xf numFmtId="170" fontId="160" fillId="9" borderId="303" xfId="96" applyFont="1" applyFill="1" applyBorder="1" applyAlignment="1">
      <alignment horizontal="center"/>
    </xf>
    <xf numFmtId="172" fontId="160" fillId="9" borderId="303" xfId="96" applyNumberFormat="1" applyFont="1" applyFill="1" applyBorder="1"/>
    <xf numFmtId="170" fontId="160" fillId="9" borderId="303" xfId="96" applyFont="1" applyFill="1" applyBorder="1" applyAlignment="1"/>
    <xf numFmtId="49" fontId="160" fillId="9" borderId="315" xfId="96" applyNumberFormat="1" applyFont="1" applyFill="1" applyBorder="1" applyAlignment="1">
      <alignment horizontal="center"/>
    </xf>
    <xf numFmtId="170" fontId="160" fillId="9" borderId="316" xfId="96" applyFont="1" applyFill="1" applyBorder="1" applyAlignment="1">
      <alignment horizontal="center"/>
    </xf>
    <xf numFmtId="170" fontId="228" fillId="10" borderId="303" xfId="96" applyFont="1" applyFill="1" applyBorder="1" applyAlignment="1">
      <alignment horizontal="left" vertical="center"/>
    </xf>
    <xf numFmtId="172" fontId="160" fillId="10" borderId="295" xfId="96" applyNumberFormat="1" applyFont="1" applyFill="1" applyBorder="1"/>
    <xf numFmtId="170" fontId="160" fillId="10" borderId="295" xfId="96" applyFont="1" applyFill="1" applyBorder="1" applyAlignment="1"/>
    <xf numFmtId="49" fontId="160" fillId="10" borderId="0" xfId="96" applyNumberFormat="1" applyFont="1" applyFill="1" applyBorder="1" applyAlignment="1">
      <alignment horizontal="center"/>
    </xf>
    <xf numFmtId="170" fontId="160" fillId="10" borderId="303" xfId="96" applyFont="1" applyFill="1" applyBorder="1" applyAlignment="1">
      <alignment horizontal="center"/>
    </xf>
    <xf numFmtId="170" fontId="160" fillId="10" borderId="316" xfId="96" applyFont="1" applyFill="1" applyBorder="1" applyAlignment="1">
      <alignment horizontal="center"/>
    </xf>
    <xf numFmtId="0" fontId="229" fillId="0" borderId="301" xfId="97" applyNumberFormat="1" applyFont="1" applyBorder="1" applyAlignment="1">
      <alignment vertical="center" wrapText="1"/>
    </xf>
    <xf numFmtId="4" fontId="229" fillId="0" borderId="301" xfId="97" applyNumberFormat="1" applyFont="1" applyBorder="1" applyAlignment="1">
      <alignment vertical="center" wrapText="1"/>
    </xf>
    <xf numFmtId="0" fontId="229" fillId="0" borderId="305" xfId="97" applyNumberFormat="1" applyFont="1" applyBorder="1" applyAlignment="1">
      <alignment vertical="center" wrapText="1"/>
    </xf>
    <xf numFmtId="170" fontId="160" fillId="0" borderId="326" xfId="96" applyFont="1" applyBorder="1" applyAlignment="1">
      <alignment horizontal="center"/>
    </xf>
    <xf numFmtId="0" fontId="191" fillId="0" borderId="295" xfId="97" applyNumberFormat="1" applyFont="1" applyBorder="1" applyAlignment="1">
      <alignment vertical="top" wrapText="1"/>
    </xf>
    <xf numFmtId="43" fontId="229" fillId="0" borderId="295" xfId="62" applyFont="1" applyBorder="1" applyAlignment="1">
      <alignment horizontal="left" vertical="top"/>
    </xf>
    <xf numFmtId="0" fontId="213" fillId="0" borderId="295" xfId="97" applyNumberFormat="1" applyFont="1" applyBorder="1" applyAlignment="1">
      <alignment vertical="top" wrapText="1"/>
    </xf>
    <xf numFmtId="0" fontId="213" fillId="0" borderId="326" xfId="97" applyNumberFormat="1" applyFont="1" applyBorder="1" applyAlignment="1">
      <alignment horizontal="center" vertical="top" wrapText="1"/>
    </xf>
    <xf numFmtId="170" fontId="160" fillId="0" borderId="295" xfId="96" applyFont="1" applyBorder="1" applyAlignment="1">
      <alignment horizontal="center" vertical="top"/>
    </xf>
    <xf numFmtId="170" fontId="160" fillId="0" borderId="326" xfId="96" applyFont="1" applyBorder="1" applyAlignment="1">
      <alignment horizontal="center" vertical="top"/>
    </xf>
    <xf numFmtId="170" fontId="160" fillId="0" borderId="300" xfId="96" applyFont="1" applyBorder="1" applyAlignment="1">
      <alignment horizontal="center"/>
    </xf>
    <xf numFmtId="0" fontId="192" fillId="0" borderId="295" xfId="97" applyNumberFormat="1" applyFont="1" applyBorder="1" applyAlignment="1">
      <alignment vertical="center" wrapText="1"/>
    </xf>
    <xf numFmtId="0" fontId="213" fillId="0" borderId="295" xfId="97" applyNumberFormat="1" applyFont="1" applyBorder="1" applyAlignment="1">
      <alignment horizontal="left" vertical="top"/>
    </xf>
    <xf numFmtId="0" fontId="213" fillId="0" borderId="326" xfId="97" applyNumberFormat="1" applyFont="1" applyBorder="1" applyAlignment="1">
      <alignment horizontal="center" vertical="top"/>
    </xf>
    <xf numFmtId="0" fontId="191" fillId="0" borderId="295" xfId="97" applyNumberFormat="1" applyFont="1" applyBorder="1" applyAlignment="1">
      <alignment horizontal="center" vertical="top" wrapText="1"/>
    </xf>
    <xf numFmtId="43" fontId="229" fillId="0" borderId="303" xfId="62" applyFont="1" applyBorder="1" applyAlignment="1">
      <alignment horizontal="left" vertical="top"/>
    </xf>
    <xf numFmtId="0" fontId="191" fillId="0" borderId="303" xfId="97" applyNumberFormat="1" applyFont="1" applyBorder="1" applyAlignment="1">
      <alignment horizontal="center" vertical="top" wrapText="1"/>
    </xf>
    <xf numFmtId="170" fontId="160" fillId="0" borderId="306" xfId="96" applyFont="1" applyBorder="1" applyAlignment="1">
      <alignment horizontal="center"/>
    </xf>
    <xf numFmtId="170" fontId="160" fillId="0" borderId="296" xfId="96" applyFont="1" applyBorder="1"/>
    <xf numFmtId="170" fontId="160" fillId="0" borderId="296" xfId="96" applyFont="1" applyBorder="1" applyAlignment="1"/>
    <xf numFmtId="49" fontId="160" fillId="0" borderId="304" xfId="96" applyNumberFormat="1" applyFont="1" applyBorder="1" applyAlignment="1">
      <alignment horizontal="center"/>
    </xf>
    <xf numFmtId="49" fontId="160" fillId="0" borderId="305" xfId="96" applyNumberFormat="1" applyFont="1" applyBorder="1" applyAlignment="1">
      <alignment horizontal="center"/>
    </xf>
    <xf numFmtId="172" fontId="183" fillId="0" borderId="295" xfId="96" applyNumberFormat="1" applyFont="1" applyBorder="1"/>
    <xf numFmtId="49" fontId="160" fillId="0" borderId="301" xfId="96" applyNumberFormat="1" applyFont="1" applyBorder="1" applyAlignment="1">
      <alignment horizontal="center"/>
    </xf>
    <xf numFmtId="49" fontId="160" fillId="0" borderId="306" xfId="96" applyNumberFormat="1" applyFont="1" applyBorder="1" applyAlignment="1">
      <alignment horizontal="center"/>
    </xf>
    <xf numFmtId="49" fontId="160" fillId="0" borderId="316" xfId="96" applyNumberFormat="1" applyFont="1" applyBorder="1" applyAlignment="1">
      <alignment horizontal="center"/>
    </xf>
    <xf numFmtId="172" fontId="183" fillId="0" borderId="303" xfId="96" applyNumberFormat="1" applyFont="1" applyBorder="1"/>
    <xf numFmtId="49" fontId="160" fillId="0" borderId="315" xfId="96" applyNumberFormat="1" applyFont="1" applyBorder="1" applyAlignment="1">
      <alignment horizontal="center"/>
    </xf>
    <xf numFmtId="0" fontId="192" fillId="0" borderId="295" xfId="97" applyNumberFormat="1" applyFont="1" applyBorder="1" applyAlignment="1">
      <alignment vertical="top" wrapText="1"/>
    </xf>
    <xf numFmtId="0" fontId="191" fillId="0" borderId="295" xfId="97" applyNumberFormat="1" applyFont="1" applyBorder="1" applyAlignment="1">
      <alignment horizontal="center" vertical="center" wrapText="1"/>
    </xf>
    <xf numFmtId="0" fontId="191" fillId="0" borderId="303" xfId="97" applyNumberFormat="1" applyFont="1" applyBorder="1" applyAlignment="1">
      <alignment vertical="center" wrapText="1"/>
    </xf>
    <xf numFmtId="4" fontId="183" fillId="8" borderId="0" xfId="97" applyNumberFormat="1" applyFont="1" applyFill="1" applyBorder="1" applyAlignment="1">
      <alignment vertical="center" wrapText="1"/>
    </xf>
    <xf numFmtId="49" fontId="160" fillId="0" borderId="304" xfId="96" applyNumberFormat="1" applyFont="1" applyBorder="1" applyAlignment="1">
      <alignment horizontal="left"/>
    </xf>
    <xf numFmtId="49" fontId="160" fillId="0" borderId="305" xfId="96" applyNumberFormat="1" applyFont="1" applyBorder="1" applyAlignment="1">
      <alignment horizontal="left"/>
    </xf>
    <xf numFmtId="172" fontId="183" fillId="0" borderId="301" xfId="96" applyNumberFormat="1" applyFont="1" applyBorder="1" applyAlignment="1">
      <alignment horizontal="right"/>
    </xf>
    <xf numFmtId="49" fontId="160" fillId="0" borderId="296" xfId="96" applyNumberFormat="1" applyFont="1" applyBorder="1" applyAlignment="1">
      <alignment horizontal="left"/>
    </xf>
    <xf numFmtId="49" fontId="160" fillId="0" borderId="301" xfId="96" applyNumberFormat="1" applyFont="1" applyBorder="1" applyAlignment="1">
      <alignment horizontal="left"/>
    </xf>
    <xf numFmtId="49" fontId="160" fillId="0" borderId="300" xfId="96" applyNumberFormat="1" applyFont="1" applyBorder="1" applyAlignment="1">
      <alignment horizontal="left"/>
    </xf>
    <xf numFmtId="49" fontId="160" fillId="0" borderId="306" xfId="96" applyNumberFormat="1" applyFont="1" applyBorder="1" applyAlignment="1">
      <alignment horizontal="left"/>
    </xf>
    <xf numFmtId="172" fontId="183" fillId="0" borderId="303" xfId="96" applyNumberFormat="1" applyFont="1" applyBorder="1" applyAlignment="1">
      <alignment horizontal="right"/>
    </xf>
    <xf numFmtId="49" fontId="160" fillId="0" borderId="316" xfId="96" applyNumberFormat="1" applyFont="1" applyBorder="1" applyAlignment="1">
      <alignment horizontal="left"/>
    </xf>
    <xf numFmtId="49" fontId="160" fillId="0" borderId="315" xfId="96" applyNumberFormat="1" applyFont="1" applyBorder="1" applyAlignment="1">
      <alignment horizontal="left"/>
    </xf>
    <xf numFmtId="49" fontId="160" fillId="0" borderId="303" xfId="96" applyNumberFormat="1" applyFont="1" applyBorder="1" applyAlignment="1">
      <alignment horizontal="left"/>
    </xf>
    <xf numFmtId="170" fontId="160" fillId="10" borderId="302" xfId="96" applyFont="1" applyFill="1" applyBorder="1"/>
    <xf numFmtId="49" fontId="160" fillId="10" borderId="290" xfId="96" applyNumberFormat="1" applyFont="1" applyFill="1" applyBorder="1" applyAlignment="1">
      <alignment horizontal="center"/>
    </xf>
    <xf numFmtId="170" fontId="160" fillId="10" borderId="302" xfId="96" applyFont="1" applyFill="1" applyBorder="1" applyAlignment="1">
      <alignment horizontal="center"/>
    </xf>
    <xf numFmtId="170" fontId="160" fillId="10" borderId="308" xfId="96" applyFont="1" applyFill="1" applyBorder="1" applyAlignment="1">
      <alignment horizontal="center"/>
    </xf>
    <xf numFmtId="0" fontId="183" fillId="8" borderId="0" xfId="97" applyNumberFormat="1" applyFont="1" applyFill="1" applyBorder="1" applyAlignment="1">
      <alignment vertical="top" wrapText="1"/>
    </xf>
    <xf numFmtId="4" fontId="160" fillId="8" borderId="295" xfId="97" applyNumberFormat="1" applyFont="1" applyFill="1" applyBorder="1" applyAlignment="1">
      <alignment vertical="top" wrapText="1"/>
    </xf>
    <xf numFmtId="0" fontId="160" fillId="8" borderId="0" xfId="97" applyNumberFormat="1" applyFont="1" applyFill="1" applyBorder="1"/>
    <xf numFmtId="0" fontId="183" fillId="8" borderId="295" xfId="97" applyNumberFormat="1" applyFont="1" applyFill="1" applyBorder="1" applyAlignment="1">
      <alignment horizontal="center" vertical="top" wrapText="1"/>
    </xf>
    <xf numFmtId="0" fontId="160" fillId="0" borderId="0" xfId="97" applyNumberFormat="1" applyFont="1" applyBorder="1"/>
    <xf numFmtId="0" fontId="160" fillId="0" borderId="295" xfId="97" applyNumberFormat="1" applyFont="1" applyBorder="1"/>
    <xf numFmtId="4" fontId="160" fillId="8" borderId="295" xfId="97" applyNumberFormat="1" applyFont="1" applyFill="1" applyBorder="1" applyAlignment="1"/>
    <xf numFmtId="0" fontId="160" fillId="8" borderId="0" xfId="97" applyNumberFormat="1" applyFont="1" applyFill="1" applyBorder="1" applyAlignment="1">
      <alignment vertical="top" wrapText="1"/>
    </xf>
    <xf numFmtId="4" fontId="183" fillId="8" borderId="295" xfId="97" applyNumberFormat="1" applyFont="1" applyFill="1" applyBorder="1" applyAlignment="1">
      <alignment vertical="top" wrapText="1"/>
    </xf>
    <xf numFmtId="0" fontId="160" fillId="8" borderId="295" xfId="97" applyNumberFormat="1" applyFont="1" applyFill="1" applyBorder="1" applyAlignment="1">
      <alignment horizontal="center" vertical="top" wrapText="1"/>
    </xf>
    <xf numFmtId="0" fontId="160" fillId="0" borderId="0" xfId="97" applyNumberFormat="1" applyFont="1" applyBorder="1" applyAlignment="1">
      <alignment horizontal="center" vertical="top"/>
    </xf>
    <xf numFmtId="0" fontId="160" fillId="0" borderId="295" xfId="97" applyNumberFormat="1" applyFont="1" applyBorder="1" applyAlignment="1">
      <alignment horizontal="center" vertical="top"/>
    </xf>
    <xf numFmtId="0" fontId="183" fillId="8" borderId="0" xfId="97" applyNumberFormat="1" applyFont="1" applyFill="1" applyBorder="1" applyAlignment="1">
      <alignment horizontal="left" vertical="top" wrapText="1"/>
    </xf>
    <xf numFmtId="3" fontId="160" fillId="8" borderId="295" xfId="97" applyNumberFormat="1" applyFont="1" applyFill="1" applyBorder="1" applyAlignment="1">
      <alignment horizontal="center" vertical="top" wrapText="1"/>
    </xf>
    <xf numFmtId="0" fontId="160" fillId="8" borderId="295" xfId="97" applyNumberFormat="1" applyFont="1" applyFill="1" applyBorder="1" applyAlignment="1">
      <alignment vertical="top" wrapText="1"/>
    </xf>
    <xf numFmtId="3" fontId="160" fillId="8" borderId="295" xfId="97" applyNumberFormat="1" applyFont="1" applyFill="1" applyBorder="1" applyAlignment="1">
      <alignment horizontal="center" vertical="top"/>
    </xf>
    <xf numFmtId="0" fontId="183" fillId="8" borderId="295" xfId="97" applyNumberFormat="1" applyFont="1" applyFill="1" applyBorder="1" applyAlignment="1">
      <alignment vertical="top" wrapText="1"/>
    </xf>
    <xf numFmtId="3" fontId="160" fillId="8" borderId="295" xfId="97" applyNumberFormat="1" applyFont="1" applyFill="1" applyBorder="1" applyAlignment="1">
      <alignment horizontal="center" vertical="center" wrapText="1"/>
    </xf>
    <xf numFmtId="49" fontId="160" fillId="10" borderId="289" xfId="96" applyNumberFormat="1" applyFont="1" applyFill="1" applyBorder="1" applyAlignment="1">
      <alignment horizontal="left"/>
    </xf>
    <xf numFmtId="49" fontId="160" fillId="10" borderId="308" xfId="96" applyNumberFormat="1" applyFont="1" applyFill="1" applyBorder="1" applyAlignment="1">
      <alignment horizontal="left"/>
    </xf>
    <xf numFmtId="170" fontId="160" fillId="10" borderId="289" xfId="96" applyFont="1" applyFill="1" applyBorder="1"/>
    <xf numFmtId="49" fontId="160" fillId="10" borderId="289" xfId="96" applyNumberFormat="1" applyFont="1" applyFill="1" applyBorder="1" applyAlignment="1">
      <alignment horizontal="center"/>
    </xf>
    <xf numFmtId="170" fontId="160" fillId="10" borderId="289" xfId="96" applyFont="1" applyFill="1" applyBorder="1" applyAlignment="1">
      <alignment horizontal="center"/>
    </xf>
    <xf numFmtId="49" fontId="160" fillId="0" borderId="300" xfId="96" applyNumberFormat="1" applyFont="1" applyFill="1" applyBorder="1" applyAlignment="1">
      <alignment horizontal="left"/>
    </xf>
    <xf numFmtId="49" fontId="160" fillId="0" borderId="0" xfId="96" applyNumberFormat="1" applyFont="1" applyFill="1" applyBorder="1" applyAlignment="1">
      <alignment horizontal="left"/>
    </xf>
    <xf numFmtId="0" fontId="160" fillId="0" borderId="301" xfId="97" applyNumberFormat="1" applyFont="1" applyBorder="1" applyAlignment="1">
      <alignment vertical="top" wrapText="1"/>
    </xf>
    <xf numFmtId="43" fontId="183" fillId="0" borderId="301" xfId="62" applyFont="1" applyFill="1" applyBorder="1" applyAlignment="1">
      <alignment horizontal="right" vertical="top" wrapText="1"/>
    </xf>
    <xf numFmtId="170" fontId="160" fillId="0" borderId="300" xfId="96" applyFont="1" applyFill="1" applyBorder="1" applyAlignment="1">
      <alignment horizontal="left" vertical="top" wrapText="1"/>
    </xf>
    <xf numFmtId="0" fontId="160" fillId="0" borderId="301" xfId="97" applyNumberFormat="1" applyFont="1" applyBorder="1" applyAlignment="1">
      <alignment vertical="center" wrapText="1"/>
    </xf>
    <xf numFmtId="0" fontId="160" fillId="0" borderId="300" xfId="97" applyNumberFormat="1" applyFont="1" applyBorder="1" applyAlignment="1">
      <alignment vertical="top" wrapText="1"/>
    </xf>
    <xf numFmtId="43" fontId="183" fillId="0" borderId="295" xfId="62" applyFont="1" applyFill="1" applyBorder="1" applyAlignment="1">
      <alignment horizontal="right" vertical="top" wrapText="1"/>
    </xf>
    <xf numFmtId="0" fontId="160" fillId="0" borderId="295" xfId="97" applyNumberFormat="1" applyFont="1" applyBorder="1" applyAlignment="1">
      <alignment vertical="center" wrapText="1"/>
    </xf>
    <xf numFmtId="170" fontId="160" fillId="0" borderId="300" xfId="96" applyFont="1" applyFill="1" applyBorder="1" applyAlignment="1">
      <alignment vertical="top" wrapText="1"/>
    </xf>
    <xf numFmtId="0" fontId="160" fillId="0" borderId="295" xfId="97" applyNumberFormat="1" applyFont="1" applyBorder="1" applyAlignment="1">
      <alignment vertical="top" wrapText="1"/>
    </xf>
    <xf numFmtId="170" fontId="160" fillId="0" borderId="300" xfId="96" applyFont="1" applyFill="1" applyBorder="1" applyAlignment="1">
      <alignment vertical="top"/>
    </xf>
    <xf numFmtId="49" fontId="160" fillId="0" borderId="300" xfId="96" applyNumberFormat="1" applyFont="1" applyFill="1" applyBorder="1" applyAlignment="1">
      <alignment horizontal="center" vertical="top"/>
    </xf>
    <xf numFmtId="43" fontId="183" fillId="0" borderId="295" xfId="62" applyFont="1" applyFill="1" applyBorder="1" applyAlignment="1">
      <alignment horizontal="right" vertical="top"/>
    </xf>
    <xf numFmtId="49" fontId="160" fillId="0" borderId="300" xfId="96" applyNumberFormat="1" applyFont="1" applyFill="1" applyBorder="1" applyAlignment="1">
      <alignment horizontal="center" vertical="top" wrapText="1"/>
    </xf>
    <xf numFmtId="0" fontId="160" fillId="0" borderId="303" xfId="97" applyNumberFormat="1" applyFont="1" applyBorder="1" applyAlignment="1">
      <alignment vertical="top" wrapText="1"/>
    </xf>
    <xf numFmtId="43" fontId="183" fillId="0" borderId="303" xfId="62" applyFont="1" applyFill="1" applyBorder="1" applyAlignment="1">
      <alignment horizontal="left" vertical="top" wrapText="1"/>
    </xf>
    <xf numFmtId="170" fontId="160" fillId="0" borderId="303" xfId="96" applyFont="1" applyFill="1" applyBorder="1" applyAlignment="1">
      <alignment horizontal="left" vertical="top" wrapText="1"/>
    </xf>
    <xf numFmtId="0" fontId="160" fillId="0" borderId="303" xfId="97" applyNumberFormat="1" applyFont="1" applyBorder="1" applyAlignment="1">
      <alignment horizontal="center" vertical="top" wrapText="1"/>
    </xf>
    <xf numFmtId="170" fontId="160" fillId="0" borderId="0" xfId="96" applyFont="1" applyAlignment="1"/>
    <xf numFmtId="43" fontId="183" fillId="0" borderId="301" xfId="62" applyFont="1" applyFill="1" applyBorder="1" applyAlignment="1">
      <alignment horizontal="left" vertical="top" wrapText="1"/>
    </xf>
    <xf numFmtId="170" fontId="160" fillId="0" borderId="295" xfId="96" applyFont="1" applyFill="1" applyBorder="1" applyAlignment="1">
      <alignment horizontal="left" vertical="top" wrapText="1"/>
    </xf>
    <xf numFmtId="0" fontId="160" fillId="0" borderId="295" xfId="97" applyNumberFormat="1" applyFont="1" applyBorder="1" applyAlignment="1">
      <alignment horizontal="center" vertical="top" wrapText="1"/>
    </xf>
    <xf numFmtId="43" fontId="183" fillId="0" borderId="295" xfId="62" applyFont="1" applyFill="1" applyBorder="1" applyAlignment="1">
      <alignment horizontal="left" vertical="top" wrapText="1"/>
    </xf>
    <xf numFmtId="170" fontId="160" fillId="10" borderId="302" xfId="96" applyFont="1" applyFill="1" applyBorder="1" applyAlignment="1">
      <alignment horizontal="left"/>
    </xf>
    <xf numFmtId="49" fontId="160" fillId="10" borderId="302" xfId="96" applyNumberFormat="1" applyFont="1" applyFill="1" applyBorder="1" applyAlignment="1">
      <alignment horizontal="center"/>
    </xf>
    <xf numFmtId="0" fontId="192" fillId="0" borderId="295" xfId="97" applyNumberFormat="1" applyFont="1" applyBorder="1" applyAlignment="1">
      <alignment vertical="top"/>
    </xf>
    <xf numFmtId="0" fontId="160" fillId="0" borderId="295" xfId="97" applyNumberFormat="1" applyFont="1" applyBorder="1" applyAlignment="1">
      <alignment horizontal="right"/>
    </xf>
    <xf numFmtId="0" fontId="160" fillId="0" borderId="295" xfId="97" applyNumberFormat="1" applyFont="1" applyBorder="1" applyAlignment="1">
      <alignment horizontal="left"/>
    </xf>
    <xf numFmtId="0" fontId="160" fillId="0" borderId="301" xfId="97" applyNumberFormat="1" applyFont="1" applyBorder="1"/>
    <xf numFmtId="4" fontId="183" fillId="0" borderId="295" xfId="97" applyNumberFormat="1" applyFont="1" applyBorder="1" applyAlignment="1">
      <alignment horizontal="right" vertical="top" wrapText="1"/>
    </xf>
    <xf numFmtId="0" fontId="160" fillId="0" borderId="295" xfId="97" applyNumberFormat="1" applyFont="1" applyBorder="1" applyAlignment="1">
      <alignment horizontal="left" vertical="top" wrapText="1"/>
    </xf>
    <xf numFmtId="0" fontId="160" fillId="0" borderId="295" xfId="97" applyNumberFormat="1" applyFont="1" applyBorder="1" applyAlignment="1">
      <alignment vertical="top" wrapText="1" readingOrder="1"/>
    </xf>
    <xf numFmtId="0" fontId="192" fillId="0" borderId="295" xfId="97" applyNumberFormat="1" applyFont="1" applyBorder="1" applyAlignment="1">
      <alignment horizontal="left" vertical="top" wrapText="1"/>
    </xf>
    <xf numFmtId="0" fontId="183" fillId="0" borderId="295" xfId="97" applyNumberFormat="1" applyFont="1" applyBorder="1" applyAlignment="1">
      <alignment horizontal="right" vertical="top" wrapText="1"/>
    </xf>
    <xf numFmtId="0" fontId="160" fillId="0" borderId="295" xfId="97" applyNumberFormat="1" applyFont="1" applyBorder="1" applyAlignment="1">
      <alignment horizontal="left" vertical="top" wrapText="1" readingOrder="1"/>
    </xf>
    <xf numFmtId="171" fontId="160" fillId="0" borderId="295" xfId="97" applyFont="1" applyBorder="1" applyAlignment="1">
      <alignment vertical="top" wrapText="1"/>
    </xf>
    <xf numFmtId="170" fontId="228" fillId="10" borderId="306" xfId="96" applyFont="1" applyFill="1" applyBorder="1" applyAlignment="1">
      <alignment vertical="center"/>
    </xf>
    <xf numFmtId="172" fontId="160" fillId="10" borderId="303" xfId="96" applyNumberFormat="1" applyFont="1" applyFill="1" applyBorder="1"/>
    <xf numFmtId="170" fontId="160" fillId="10" borderId="306" xfId="96" applyFont="1" applyFill="1" applyBorder="1"/>
    <xf numFmtId="49" fontId="160" fillId="10" borderId="306" xfId="96" applyNumberFormat="1" applyFont="1" applyFill="1" applyBorder="1" applyAlignment="1">
      <alignment horizontal="center"/>
    </xf>
    <xf numFmtId="170" fontId="160" fillId="10" borderId="306" xfId="96" applyFont="1" applyFill="1" applyBorder="1" applyAlignment="1">
      <alignment horizontal="center"/>
    </xf>
    <xf numFmtId="170" fontId="160" fillId="0" borderId="300" xfId="96" applyFont="1" applyBorder="1" applyAlignment="1">
      <alignment horizontal="center" vertical="center" wrapText="1"/>
    </xf>
    <xf numFmtId="49" fontId="160" fillId="0" borderId="300" xfId="96" applyNumberFormat="1" applyFont="1" applyBorder="1" applyAlignment="1">
      <alignment horizontal="center" vertical="center"/>
    </xf>
    <xf numFmtId="170" fontId="160" fillId="0" borderId="300" xfId="96" applyFont="1" applyBorder="1" applyAlignment="1">
      <alignment horizontal="center" vertical="center"/>
    </xf>
    <xf numFmtId="171" fontId="160" fillId="0" borderId="295" xfId="97" applyFont="1" applyBorder="1" applyAlignment="1">
      <alignment horizontal="left" vertical="top" wrapText="1"/>
    </xf>
    <xf numFmtId="172" fontId="183" fillId="0" borderId="326" xfId="96" applyNumberFormat="1" applyFont="1" applyBorder="1" applyAlignment="1">
      <alignment vertical="top"/>
    </xf>
    <xf numFmtId="170" fontId="160" fillId="0" borderId="300" xfId="96" applyFont="1" applyBorder="1" applyAlignment="1">
      <alignment horizontal="left" vertical="top" wrapText="1"/>
    </xf>
    <xf numFmtId="49" fontId="160" fillId="0" borderId="300" xfId="96" applyNumberFormat="1" applyFont="1" applyBorder="1" applyAlignment="1">
      <alignment horizontal="center" vertical="top" wrapText="1"/>
    </xf>
    <xf numFmtId="49" fontId="160" fillId="0" borderId="300" xfId="96" applyNumberFormat="1" applyFont="1" applyBorder="1" applyAlignment="1">
      <alignment horizontal="center" vertical="top"/>
    </xf>
    <xf numFmtId="171" fontId="160" fillId="0" borderId="300" xfId="97" applyFont="1" applyBorder="1" applyAlignment="1">
      <alignment horizontal="left" vertical="top" wrapText="1"/>
    </xf>
    <xf numFmtId="171" fontId="183" fillId="0" borderId="295" xfId="97" applyFont="1" applyBorder="1" applyAlignment="1">
      <alignment vertical="top" wrapText="1"/>
    </xf>
    <xf numFmtId="172" fontId="183" fillId="0" borderId="295" xfId="96" applyNumberFormat="1" applyFont="1" applyBorder="1" applyAlignment="1">
      <alignment vertical="top"/>
    </xf>
    <xf numFmtId="170" fontId="160" fillId="0" borderId="300" xfId="96" applyFont="1" applyBorder="1" applyAlignment="1">
      <alignment horizontal="center" vertical="top"/>
    </xf>
    <xf numFmtId="171" fontId="160" fillId="0" borderId="306" xfId="97" applyFont="1" applyBorder="1" applyAlignment="1">
      <alignment horizontal="left" vertical="top" wrapText="1"/>
    </xf>
    <xf numFmtId="172" fontId="183" fillId="0" borderId="303" xfId="96" applyNumberFormat="1" applyFont="1" applyBorder="1" applyAlignment="1">
      <alignment vertical="top"/>
    </xf>
    <xf numFmtId="170" fontId="160" fillId="0" borderId="306" xfId="96" applyFont="1" applyBorder="1" applyAlignment="1">
      <alignment horizontal="left" vertical="top" wrapText="1"/>
    </xf>
    <xf numFmtId="49" fontId="160" fillId="0" borderId="306" xfId="96" applyNumberFormat="1" applyFont="1" applyBorder="1" applyAlignment="1">
      <alignment horizontal="center" vertical="top" wrapText="1"/>
    </xf>
    <xf numFmtId="170" fontId="160" fillId="10" borderId="303" xfId="96" applyFont="1" applyFill="1" applyBorder="1" applyAlignment="1">
      <alignment horizontal="center" vertical="center"/>
    </xf>
    <xf numFmtId="49" fontId="160" fillId="10" borderId="303" xfId="96" applyNumberFormat="1" applyFont="1" applyFill="1" applyBorder="1" applyAlignment="1">
      <alignment horizontal="center"/>
    </xf>
    <xf numFmtId="172" fontId="160" fillId="0" borderId="295" xfId="96" applyNumberFormat="1" applyFont="1" applyBorder="1" applyAlignment="1">
      <alignment vertical="center"/>
    </xf>
    <xf numFmtId="4" fontId="229" fillId="0" borderId="295" xfId="97" applyNumberFormat="1" applyFont="1" applyBorder="1" applyAlignment="1">
      <alignment horizontal="right" vertical="center"/>
    </xf>
    <xf numFmtId="0" fontId="213" fillId="0" borderId="295" xfId="97" applyNumberFormat="1" applyFont="1" applyBorder="1" applyAlignment="1">
      <alignment horizontal="left" vertical="center" wrapText="1"/>
    </xf>
    <xf numFmtId="0" fontId="213" fillId="0" borderId="295" xfId="97" applyNumberFormat="1" applyFont="1" applyBorder="1" applyAlignment="1">
      <alignment horizontal="center" vertical="center" wrapText="1"/>
    </xf>
    <xf numFmtId="43" fontId="229" fillId="0" borderId="326" xfId="62" applyNumberFormat="1" applyFont="1" applyBorder="1" applyAlignment="1">
      <alignment horizontal="right" vertical="center" wrapText="1"/>
    </xf>
    <xf numFmtId="0" fontId="229" fillId="0" borderId="326" xfId="97" applyNumberFormat="1" applyFont="1" applyBorder="1" applyAlignment="1">
      <alignment horizontal="left" vertical="center" wrapText="1"/>
    </xf>
    <xf numFmtId="0" fontId="213" fillId="0" borderId="326" xfId="97" applyNumberFormat="1" applyFont="1" applyBorder="1" applyAlignment="1">
      <alignment horizontal="center" vertical="center" wrapText="1"/>
    </xf>
    <xf numFmtId="170" fontId="160" fillId="0" borderId="0" xfId="96" applyFont="1" applyBorder="1" applyAlignment="1">
      <alignment horizontal="center" vertical="center"/>
    </xf>
    <xf numFmtId="43" fontId="229" fillId="0" borderId="326" xfId="62" applyFont="1" applyBorder="1" applyAlignment="1">
      <alignment horizontal="left" vertical="top" wrapText="1"/>
    </xf>
    <xf numFmtId="0" fontId="213" fillId="0" borderId="295" xfId="97" applyNumberFormat="1" applyFont="1" applyBorder="1" applyAlignment="1">
      <alignment horizontal="left" vertical="top" wrapText="1"/>
    </xf>
    <xf numFmtId="43" fontId="229" fillId="0" borderId="295" xfId="62" applyFont="1" applyBorder="1" applyAlignment="1">
      <alignment vertical="top" wrapText="1"/>
    </xf>
    <xf numFmtId="0" fontId="213" fillId="0" borderId="295" xfId="97" applyNumberFormat="1" applyFont="1" applyBorder="1" applyAlignment="1">
      <alignment horizontal="center" vertical="top" wrapText="1"/>
    </xf>
    <xf numFmtId="170" fontId="160" fillId="0" borderId="303" xfId="96" applyFont="1" applyBorder="1" applyAlignment="1">
      <alignment vertical="top" wrapText="1"/>
    </xf>
    <xf numFmtId="43" fontId="229" fillId="0" borderId="315" xfId="62" applyFont="1" applyBorder="1" applyAlignment="1">
      <alignment horizontal="right" vertical="top" wrapText="1"/>
    </xf>
    <xf numFmtId="170" fontId="160" fillId="0" borderId="303" xfId="96" applyFont="1" applyBorder="1" applyAlignment="1">
      <alignment horizontal="left" vertical="top" wrapText="1"/>
    </xf>
    <xf numFmtId="170" fontId="160" fillId="10" borderId="302" xfId="96" applyFont="1" applyFill="1" applyBorder="1" applyAlignment="1">
      <alignment horizontal="center" vertical="center"/>
    </xf>
    <xf numFmtId="170" fontId="160" fillId="0" borderId="301" xfId="96" applyFont="1" applyBorder="1" applyAlignment="1">
      <alignment vertical="top" wrapText="1"/>
    </xf>
    <xf numFmtId="43" fontId="183" fillId="0" borderId="301" xfId="62" applyFont="1" applyBorder="1" applyAlignment="1">
      <alignment vertical="top"/>
    </xf>
    <xf numFmtId="0" fontId="160" fillId="0" borderId="301" xfId="97" applyNumberFormat="1" applyFont="1" applyBorder="1" applyAlignment="1">
      <alignment horizontal="center" vertical="top" wrapText="1"/>
    </xf>
    <xf numFmtId="170" fontId="160" fillId="0" borderId="295" xfId="96" applyFont="1" applyBorder="1" applyAlignment="1">
      <alignment horizontal="left" vertical="top" wrapText="1"/>
    </xf>
    <xf numFmtId="43" fontId="183" fillId="0" borderId="295" xfId="62" applyFont="1" applyBorder="1" applyAlignment="1">
      <alignment vertical="top"/>
    </xf>
    <xf numFmtId="170" fontId="160" fillId="0" borderId="295" xfId="96" applyFont="1" applyBorder="1" applyAlignment="1">
      <alignment vertical="top" wrapText="1"/>
    </xf>
    <xf numFmtId="49" fontId="160" fillId="10" borderId="306" xfId="96" applyNumberFormat="1" applyFont="1" applyFill="1" applyBorder="1" applyAlignment="1">
      <alignment horizontal="left"/>
    </xf>
    <xf numFmtId="49" fontId="160" fillId="10" borderId="315" xfId="96" applyNumberFormat="1" applyFont="1" applyFill="1" applyBorder="1" applyAlignment="1">
      <alignment horizontal="left"/>
    </xf>
    <xf numFmtId="170" fontId="160" fillId="0" borderId="0" xfId="96" applyFont="1" applyBorder="1" applyAlignment="1">
      <alignment horizontal="right"/>
    </xf>
    <xf numFmtId="170" fontId="160" fillId="0" borderId="295" xfId="96" applyFont="1" applyBorder="1" applyAlignment="1">
      <alignment horizontal="left"/>
    </xf>
    <xf numFmtId="170" fontId="160" fillId="0" borderId="295" xfId="96" applyFont="1" applyBorder="1"/>
    <xf numFmtId="43" fontId="183" fillId="0" borderId="0" xfId="62" applyFont="1" applyBorder="1" applyAlignment="1">
      <alignment vertical="top"/>
    </xf>
    <xf numFmtId="170" fontId="160" fillId="0" borderId="0" xfId="96" applyFont="1" applyBorder="1" applyAlignment="1">
      <alignment vertical="top"/>
    </xf>
    <xf numFmtId="170" fontId="160" fillId="0" borderId="295" xfId="96" applyFont="1" applyBorder="1" applyAlignment="1">
      <alignment vertical="top"/>
    </xf>
    <xf numFmtId="180" fontId="183" fillId="0" borderId="315" xfId="62" applyNumberFormat="1" applyFont="1" applyBorder="1" applyAlignment="1">
      <alignment vertical="top"/>
    </xf>
    <xf numFmtId="49" fontId="160" fillId="0" borderId="295" xfId="96" applyNumberFormat="1" applyFont="1" applyBorder="1" applyAlignment="1">
      <alignment vertical="top"/>
    </xf>
    <xf numFmtId="172" fontId="160" fillId="0" borderId="0" xfId="96" applyNumberFormat="1" applyFont="1" applyBorder="1" applyAlignment="1">
      <alignment horizontal="right"/>
    </xf>
    <xf numFmtId="170" fontId="228" fillId="0" borderId="295" xfId="96" applyFont="1" applyBorder="1" applyAlignment="1">
      <alignment vertical="top"/>
    </xf>
    <xf numFmtId="172" fontId="183" fillId="0" borderId="326" xfId="96" applyNumberFormat="1" applyFont="1" applyBorder="1" applyAlignment="1">
      <alignment horizontal="left"/>
    </xf>
    <xf numFmtId="170" fontId="160" fillId="0" borderId="300" xfId="96" applyFont="1" applyBorder="1" applyAlignment="1">
      <alignment horizontal="left"/>
    </xf>
    <xf numFmtId="172" fontId="160" fillId="0" borderId="326" xfId="96" applyNumberFormat="1" applyFont="1" applyBorder="1" applyAlignment="1">
      <alignment vertical="top"/>
    </xf>
    <xf numFmtId="172" fontId="160" fillId="0" borderId="326" xfId="96" applyNumberFormat="1" applyFont="1" applyBorder="1" applyAlignment="1">
      <alignment horizontal="left" vertical="top"/>
    </xf>
    <xf numFmtId="170" fontId="160" fillId="0" borderId="0" xfId="96" applyFont="1" applyAlignment="1">
      <alignment horizontal="left" vertical="top" wrapText="1"/>
    </xf>
    <xf numFmtId="170" fontId="160" fillId="0" borderId="295" xfId="96" applyFont="1" applyBorder="1" applyAlignment="1">
      <alignment horizontal="left" vertical="top"/>
    </xf>
    <xf numFmtId="43" fontId="160" fillId="0" borderId="295" xfId="62" applyFont="1" applyBorder="1" applyAlignment="1">
      <alignment vertical="top"/>
    </xf>
    <xf numFmtId="43" fontId="160" fillId="0" borderId="295" xfId="62" applyNumberFormat="1" applyFont="1" applyBorder="1" applyAlignment="1">
      <alignment horizontal="left" vertical="top"/>
    </xf>
    <xf numFmtId="170" fontId="160" fillId="0" borderId="295" xfId="96" applyFont="1" applyBorder="1" applyAlignment="1"/>
    <xf numFmtId="170" fontId="160" fillId="0" borderId="295" xfId="96" applyFont="1" applyBorder="1" applyAlignment="1">
      <alignment horizontal="right" vertical="top"/>
    </xf>
    <xf numFmtId="43" fontId="183" fillId="0" borderId="0" xfId="62" applyNumberFormat="1" applyFont="1"/>
    <xf numFmtId="170" fontId="160" fillId="0" borderId="295" xfId="96" applyFont="1" applyBorder="1" applyAlignment="1">
      <alignment horizontal="left" vertical="center"/>
    </xf>
    <xf numFmtId="43" fontId="183" fillId="0" borderId="295" xfId="62" applyFont="1" applyBorder="1"/>
    <xf numFmtId="170" fontId="160" fillId="0" borderId="315" xfId="96" applyFont="1" applyBorder="1" applyAlignment="1">
      <alignment horizontal="center"/>
    </xf>
    <xf numFmtId="170" fontId="160" fillId="0" borderId="303" xfId="96" applyFont="1" applyBorder="1" applyAlignment="1">
      <alignment horizontal="left"/>
    </xf>
    <xf numFmtId="172" fontId="160" fillId="0" borderId="316" xfId="96" applyNumberFormat="1" applyFont="1" applyBorder="1"/>
    <xf numFmtId="170" fontId="160" fillId="0" borderId="306" xfId="96" applyFont="1" applyBorder="1" applyAlignment="1">
      <alignment horizontal="left"/>
    </xf>
    <xf numFmtId="170" fontId="160" fillId="0" borderId="303" xfId="96" applyFont="1" applyBorder="1" applyAlignment="1">
      <alignment horizontal="center"/>
    </xf>
    <xf numFmtId="172" fontId="160" fillId="0" borderId="0" xfId="96" applyNumberFormat="1" applyFont="1" applyBorder="1"/>
    <xf numFmtId="172" fontId="160" fillId="0" borderId="0" xfId="96" applyNumberFormat="1" applyFont="1" applyBorder="1" applyAlignment="1"/>
    <xf numFmtId="170" fontId="230" fillId="0" borderId="0" xfId="96" applyFont="1" applyBorder="1" applyAlignment="1">
      <alignment horizontal="left"/>
    </xf>
    <xf numFmtId="170" fontId="228" fillId="0" borderId="0" xfId="96" applyFont="1" applyBorder="1" applyAlignment="1">
      <alignment horizontal="center"/>
    </xf>
    <xf numFmtId="170" fontId="228" fillId="0" borderId="0" xfId="96" applyFont="1" applyBorder="1" applyAlignment="1">
      <alignment horizontal="left"/>
    </xf>
    <xf numFmtId="170" fontId="160" fillId="0" borderId="0" xfId="96" applyFont="1" applyBorder="1" applyAlignment="1">
      <alignment horizontal="left" indent="2"/>
    </xf>
    <xf numFmtId="170" fontId="183" fillId="0" borderId="410" xfId="96" applyFont="1" applyBorder="1"/>
    <xf numFmtId="170" fontId="160" fillId="0" borderId="410" xfId="96" applyFont="1" applyBorder="1"/>
    <xf numFmtId="170" fontId="160" fillId="0" borderId="410" xfId="96" applyFont="1" applyBorder="1" applyAlignment="1"/>
    <xf numFmtId="170" fontId="160" fillId="0" borderId="201" xfId="96" applyFont="1" applyBorder="1" applyAlignment="1">
      <alignment horizontal="center"/>
    </xf>
    <xf numFmtId="170" fontId="160" fillId="0" borderId="201" xfId="96" applyFont="1" applyBorder="1"/>
    <xf numFmtId="170" fontId="160" fillId="0" borderId="202" xfId="96" applyFont="1" applyBorder="1" applyAlignment="1">
      <alignment horizontal="center"/>
    </xf>
    <xf numFmtId="170" fontId="160" fillId="0" borderId="419" xfId="96" applyFont="1" applyBorder="1" applyAlignment="1">
      <alignment horizontal="center"/>
    </xf>
    <xf numFmtId="170" fontId="160" fillId="0" borderId="401" xfId="96" applyFont="1" applyBorder="1" applyAlignment="1">
      <alignment horizontal="center"/>
    </xf>
    <xf numFmtId="170" fontId="160" fillId="0" borderId="393" xfId="96" applyFont="1" applyBorder="1" applyAlignment="1">
      <alignment horizontal="center"/>
    </xf>
    <xf numFmtId="0" fontId="213" fillId="0" borderId="407" xfId="97" applyNumberFormat="1" applyFont="1" applyBorder="1" applyAlignment="1">
      <alignment horizontal="right" vertical="top" wrapText="1"/>
    </xf>
    <xf numFmtId="43" fontId="229" fillId="0" borderId="407" xfId="62" applyFont="1" applyBorder="1" applyAlignment="1">
      <alignment horizontal="left" vertical="top"/>
    </xf>
    <xf numFmtId="0" fontId="213" fillId="0" borderId="407" xfId="97" applyNumberFormat="1" applyFont="1" applyBorder="1" applyAlignment="1">
      <alignment vertical="top" wrapText="1"/>
    </xf>
    <xf numFmtId="0" fontId="213" fillId="0" borderId="393" xfId="97" applyNumberFormat="1" applyFont="1" applyBorder="1" applyAlignment="1">
      <alignment horizontal="center" vertical="top"/>
    </xf>
    <xf numFmtId="170" fontId="160" fillId="0" borderId="407" xfId="96" applyFont="1" applyBorder="1" applyAlignment="1">
      <alignment horizontal="center" vertical="top"/>
    </xf>
    <xf numFmtId="170" fontId="160" fillId="0" borderId="393" xfId="96" applyFont="1" applyBorder="1" applyAlignment="1">
      <alignment horizontal="center" vertical="top"/>
    </xf>
    <xf numFmtId="0" fontId="191" fillId="0" borderId="201" xfId="97" applyNumberFormat="1" applyFont="1" applyBorder="1" applyAlignment="1">
      <alignment vertical="top" wrapText="1"/>
    </xf>
    <xf numFmtId="43" fontId="229" fillId="0" borderId="201" xfId="62" applyFont="1" applyBorder="1" applyAlignment="1">
      <alignment horizontal="left" vertical="top"/>
    </xf>
    <xf numFmtId="0" fontId="191" fillId="0" borderId="201" xfId="97" applyNumberFormat="1" applyFont="1" applyBorder="1" applyAlignment="1">
      <alignment horizontal="center" vertical="top" wrapText="1"/>
    </xf>
    <xf numFmtId="170" fontId="160" fillId="0" borderId="201" xfId="96" applyFont="1" applyBorder="1" applyAlignment="1">
      <alignment horizontal="center" vertical="top"/>
    </xf>
    <xf numFmtId="170" fontId="160" fillId="0" borderId="419" xfId="96" applyFont="1" applyBorder="1" applyAlignment="1">
      <alignment horizontal="center" vertical="top"/>
    </xf>
    <xf numFmtId="49" fontId="160" fillId="0" borderId="202" xfId="96" applyNumberFormat="1" applyFont="1" applyBorder="1" applyAlignment="1">
      <alignment horizontal="center"/>
    </xf>
    <xf numFmtId="49" fontId="160" fillId="0" borderId="419" xfId="96" applyNumberFormat="1" applyFont="1" applyBorder="1" applyAlignment="1">
      <alignment horizontal="center"/>
    </xf>
    <xf numFmtId="0" fontId="213" fillId="0" borderId="201" xfId="97" applyNumberFormat="1" applyFont="1" applyBorder="1" applyAlignment="1">
      <alignment vertical="top" wrapText="1"/>
    </xf>
    <xf numFmtId="0" fontId="191" fillId="0" borderId="201" xfId="97" applyNumberFormat="1" applyFont="1" applyBorder="1" applyAlignment="1">
      <alignment horizontal="center" vertical="center" wrapText="1"/>
    </xf>
    <xf numFmtId="0" fontId="191" fillId="0" borderId="0" xfId="97" applyNumberFormat="1" applyFont="1" applyBorder="1" applyAlignment="1">
      <alignment vertical="top" wrapText="1"/>
    </xf>
    <xf numFmtId="43" fontId="229" fillId="0" borderId="0" xfId="62" applyFont="1" applyBorder="1" applyAlignment="1">
      <alignment horizontal="left" vertical="top"/>
    </xf>
    <xf numFmtId="0" fontId="213" fillId="0" borderId="0" xfId="97" applyNumberFormat="1" applyFont="1" applyBorder="1" applyAlignment="1">
      <alignment vertical="top" wrapText="1"/>
    </xf>
    <xf numFmtId="0" fontId="191" fillId="0" borderId="0" xfId="97" applyNumberFormat="1" applyFont="1" applyBorder="1" applyAlignment="1">
      <alignment horizontal="center" vertical="top" wrapText="1"/>
    </xf>
    <xf numFmtId="170" fontId="160" fillId="0" borderId="410" xfId="96" applyFont="1" applyBorder="1" applyAlignment="1">
      <alignment horizontal="center" vertical="top"/>
    </xf>
    <xf numFmtId="170" fontId="160" fillId="0" borderId="0" xfId="96" applyFont="1" applyBorder="1" applyAlignment="1">
      <alignment horizontal="center" vertical="top"/>
    </xf>
    <xf numFmtId="49" fontId="160" fillId="0" borderId="410" xfId="96" applyNumberFormat="1" applyFont="1" applyBorder="1" applyAlignment="1">
      <alignment horizontal="center"/>
    </xf>
    <xf numFmtId="0" fontId="191" fillId="0" borderId="410" xfId="97" applyNumberFormat="1" applyFont="1" applyBorder="1" applyAlignment="1">
      <alignment vertical="top" wrapText="1"/>
    </xf>
    <xf numFmtId="43" fontId="229" fillId="0" borderId="410" xfId="62" applyFont="1" applyBorder="1" applyAlignment="1">
      <alignment horizontal="left" vertical="top"/>
    </xf>
    <xf numFmtId="0" fontId="213" fillId="0" borderId="410" xfId="97" applyNumberFormat="1" applyFont="1" applyBorder="1" applyAlignment="1">
      <alignment vertical="top" wrapText="1"/>
    </xf>
    <xf numFmtId="0" fontId="191" fillId="0" borderId="410" xfId="97" applyNumberFormat="1" applyFont="1" applyBorder="1" applyAlignment="1">
      <alignment horizontal="center" vertical="top" wrapText="1"/>
    </xf>
    <xf numFmtId="0" fontId="228" fillId="10" borderId="401" xfId="97" applyNumberFormat="1" applyFont="1" applyFill="1" applyBorder="1" applyAlignment="1">
      <alignment vertical="center" wrapText="1"/>
    </xf>
    <xf numFmtId="0" fontId="228" fillId="10" borderId="393" xfId="97" applyNumberFormat="1" applyFont="1" applyFill="1" applyBorder="1" applyAlignment="1">
      <alignment vertical="center" wrapText="1"/>
    </xf>
    <xf numFmtId="170" fontId="160" fillId="0" borderId="424" xfId="96" applyFont="1" applyBorder="1" applyAlignment="1">
      <alignment horizontal="center"/>
    </xf>
    <xf numFmtId="0" fontId="160" fillId="8" borderId="424" xfId="97" applyNumberFormat="1" applyFont="1" applyFill="1" applyBorder="1" applyAlignment="1">
      <alignment vertical="top" wrapText="1"/>
    </xf>
    <xf numFmtId="4" fontId="183" fillId="8" borderId="424" xfId="97" applyNumberFormat="1" applyFont="1" applyFill="1" applyBorder="1" applyAlignment="1">
      <alignment vertical="center" wrapText="1"/>
    </xf>
    <xf numFmtId="0" fontId="160" fillId="8" borderId="424" xfId="97" applyNumberFormat="1" applyFont="1" applyFill="1" applyBorder="1" applyAlignment="1">
      <alignment wrapText="1"/>
    </xf>
    <xf numFmtId="3" fontId="160" fillId="8" borderId="424" xfId="97" applyNumberFormat="1" applyFont="1" applyFill="1" applyBorder="1" applyAlignment="1">
      <alignment horizontal="center"/>
    </xf>
    <xf numFmtId="0" fontId="160" fillId="0" borderId="424" xfId="97" applyNumberFormat="1" applyFont="1" applyBorder="1" applyAlignment="1">
      <alignment horizontal="center" vertical="top"/>
    </xf>
    <xf numFmtId="0" fontId="160" fillId="8" borderId="0" xfId="97" applyNumberFormat="1" applyFont="1" applyFill="1" applyBorder="1" applyAlignment="1">
      <alignment wrapText="1"/>
    </xf>
    <xf numFmtId="3" fontId="160" fillId="8" borderId="0" xfId="97" applyNumberFormat="1" applyFont="1" applyFill="1" applyBorder="1" applyAlignment="1">
      <alignment horizontal="center"/>
    </xf>
    <xf numFmtId="0" fontId="160" fillId="0" borderId="0" xfId="97" applyNumberFormat="1" applyFont="1" applyBorder="1" applyAlignment="1">
      <alignment vertical="top" wrapText="1"/>
    </xf>
    <xf numFmtId="43" fontId="183" fillId="0" borderId="0" xfId="62" applyFont="1" applyFill="1" applyBorder="1" applyAlignment="1">
      <alignment horizontal="right" vertical="top" wrapText="1"/>
    </xf>
    <xf numFmtId="170" fontId="160" fillId="0" borderId="0" xfId="96" applyFont="1" applyFill="1" applyBorder="1" applyAlignment="1">
      <alignment horizontal="left" vertical="top" wrapText="1"/>
    </xf>
    <xf numFmtId="0" fontId="160" fillId="0" borderId="0" xfId="97" applyNumberFormat="1" applyFont="1" applyBorder="1" applyAlignment="1">
      <alignment vertical="center" wrapText="1"/>
    </xf>
    <xf numFmtId="49" fontId="160" fillId="0" borderId="410" xfId="96" applyNumberFormat="1" applyFont="1" applyFill="1" applyBorder="1" applyAlignment="1">
      <alignment horizontal="left"/>
    </xf>
    <xf numFmtId="0" fontId="160" fillId="0" borderId="410" xfId="97" applyNumberFormat="1" applyFont="1" applyBorder="1" applyAlignment="1">
      <alignment vertical="top" wrapText="1"/>
    </xf>
    <xf numFmtId="43" fontId="183" fillId="0" borderId="410" xfId="62" applyFont="1" applyFill="1" applyBorder="1" applyAlignment="1">
      <alignment horizontal="right" vertical="top" wrapText="1"/>
    </xf>
    <xf numFmtId="170" fontId="160" fillId="0" borderId="410" xfId="96" applyFont="1" applyFill="1" applyBorder="1" applyAlignment="1">
      <alignment horizontal="left" vertical="top" wrapText="1"/>
    </xf>
    <xf numFmtId="0" fontId="160" fillId="0" borderId="410" xfId="97" applyNumberFormat="1" applyFont="1" applyBorder="1" applyAlignment="1">
      <alignment vertical="center" wrapText="1"/>
    </xf>
    <xf numFmtId="0" fontId="160" fillId="0" borderId="410" xfId="97" applyNumberFormat="1" applyFont="1" applyBorder="1" applyAlignment="1">
      <alignment horizontal="center" vertical="top"/>
    </xf>
    <xf numFmtId="4" fontId="183" fillId="8" borderId="407" xfId="97" applyNumberFormat="1" applyFont="1" applyFill="1" applyBorder="1" applyAlignment="1">
      <alignment vertical="top" wrapText="1"/>
    </xf>
    <xf numFmtId="0" fontId="160" fillId="8" borderId="409" xfId="97" applyNumberFormat="1" applyFont="1" applyFill="1" applyBorder="1" applyAlignment="1">
      <alignment wrapText="1"/>
    </xf>
    <xf numFmtId="3" fontId="160" fillId="8" borderId="407" xfId="97" applyNumberFormat="1" applyFont="1" applyFill="1" applyBorder="1" applyAlignment="1">
      <alignment horizontal="center"/>
    </xf>
    <xf numFmtId="0" fontId="160" fillId="0" borderId="393" xfId="97" applyNumberFormat="1" applyFont="1" applyBorder="1" applyAlignment="1">
      <alignment horizontal="center" vertical="top"/>
    </xf>
    <xf numFmtId="0" fontId="160" fillId="0" borderId="407" xfId="97" applyNumberFormat="1" applyFont="1" applyBorder="1" applyAlignment="1">
      <alignment horizontal="center" vertical="top"/>
    </xf>
    <xf numFmtId="49" fontId="160" fillId="0" borderId="401" xfId="96" applyNumberFormat="1" applyFont="1" applyBorder="1" applyAlignment="1">
      <alignment horizontal="left"/>
    </xf>
    <xf numFmtId="49" fontId="160" fillId="0" borderId="409" xfId="96" applyNumberFormat="1" applyFont="1" applyBorder="1" applyAlignment="1">
      <alignment horizontal="left"/>
    </xf>
    <xf numFmtId="172" fontId="183" fillId="0" borderId="407" xfId="96" applyNumberFormat="1" applyFont="1" applyBorder="1" applyAlignment="1">
      <alignment horizontal="right" vertical="top"/>
    </xf>
    <xf numFmtId="49" fontId="160" fillId="0" borderId="407" xfId="96" applyNumberFormat="1" applyFont="1" applyBorder="1" applyAlignment="1">
      <alignment horizontal="left"/>
    </xf>
    <xf numFmtId="49" fontId="160" fillId="0" borderId="202" xfId="96" applyNumberFormat="1" applyFont="1" applyBorder="1" applyAlignment="1">
      <alignment horizontal="left"/>
    </xf>
    <xf numFmtId="0" fontId="213" fillId="0" borderId="410" xfId="97" applyNumberFormat="1" applyFont="1" applyBorder="1" applyAlignment="1">
      <alignment horizontal="center" vertical="top" wrapText="1"/>
    </xf>
    <xf numFmtId="0" fontId="213" fillId="0" borderId="201" xfId="97" applyNumberFormat="1" applyFont="1" applyBorder="1" applyAlignment="1">
      <alignment horizontal="left" vertical="top" wrapText="1"/>
    </xf>
    <xf numFmtId="43" fontId="229" fillId="0" borderId="201" xfId="62" applyFont="1" applyBorder="1" applyAlignment="1">
      <alignment horizontal="right" vertical="top"/>
    </xf>
    <xf numFmtId="0" fontId="213" fillId="0" borderId="419" xfId="97" applyNumberFormat="1" applyFont="1" applyBorder="1" applyAlignment="1">
      <alignment horizontal="center" vertical="top" wrapText="1"/>
    </xf>
    <xf numFmtId="0" fontId="160" fillId="0" borderId="201" xfId="97" applyNumberFormat="1" applyFont="1" applyBorder="1" applyAlignment="1">
      <alignment horizontal="center" vertical="top" wrapText="1"/>
    </xf>
    <xf numFmtId="0" fontId="213" fillId="0" borderId="0" xfId="97" applyNumberFormat="1" applyFont="1" applyBorder="1" applyAlignment="1">
      <alignment horizontal="left" vertical="top" wrapText="1"/>
    </xf>
    <xf numFmtId="43" fontId="229" fillId="0" borderId="0" xfId="62" applyFont="1" applyBorder="1" applyAlignment="1">
      <alignment horizontal="right" vertical="top"/>
    </xf>
    <xf numFmtId="0" fontId="213" fillId="0" borderId="0" xfId="97" applyNumberFormat="1" applyFont="1" applyBorder="1" applyAlignment="1">
      <alignment horizontal="center" vertical="top" wrapText="1"/>
    </xf>
    <xf numFmtId="0" fontId="160" fillId="0" borderId="0" xfId="97" applyNumberFormat="1" applyFont="1" applyBorder="1" applyAlignment="1">
      <alignment horizontal="center" vertical="top" wrapText="1"/>
    </xf>
    <xf numFmtId="49" fontId="160" fillId="0" borderId="410" xfId="96" applyNumberFormat="1" applyFont="1" applyBorder="1" applyAlignment="1">
      <alignment horizontal="left"/>
    </xf>
    <xf numFmtId="0" fontId="213" fillId="0" borderId="410" xfId="97" applyNumberFormat="1" applyFont="1" applyBorder="1" applyAlignment="1">
      <alignment horizontal="left" vertical="top" wrapText="1"/>
    </xf>
    <xf numFmtId="43" fontId="229" fillId="0" borderId="410" xfId="62" applyFont="1" applyBorder="1" applyAlignment="1">
      <alignment horizontal="right" vertical="top"/>
    </xf>
    <xf numFmtId="0" fontId="160" fillId="0" borderId="410" xfId="97" applyNumberFormat="1" applyFont="1" applyBorder="1" applyAlignment="1">
      <alignment horizontal="center" vertical="top" wrapText="1"/>
    </xf>
    <xf numFmtId="0" fontId="160" fillId="0" borderId="201" xfId="97" applyNumberFormat="1" applyFont="1" applyBorder="1" applyAlignment="1">
      <alignment vertical="top" wrapText="1"/>
    </xf>
    <xf numFmtId="43" fontId="229" fillId="0" borderId="0" xfId="62" applyFont="1" applyBorder="1" applyAlignment="1">
      <alignment horizontal="left" vertical="top" wrapText="1"/>
    </xf>
    <xf numFmtId="49" fontId="160" fillId="0" borderId="419" xfId="96" applyNumberFormat="1" applyFont="1" applyBorder="1" applyAlignment="1">
      <alignment horizontal="left"/>
    </xf>
    <xf numFmtId="170" fontId="160" fillId="0" borderId="201" xfId="96" applyFont="1" applyBorder="1" applyAlignment="1">
      <alignment vertical="top" wrapText="1"/>
    </xf>
    <xf numFmtId="43" fontId="183" fillId="0" borderId="201" xfId="62" applyFont="1" applyBorder="1" applyAlignment="1">
      <alignment vertical="top"/>
    </xf>
    <xf numFmtId="170" fontId="160" fillId="0" borderId="201" xfId="96" applyFont="1" applyBorder="1" applyAlignment="1">
      <alignment horizontal="left" vertical="top" wrapText="1"/>
    </xf>
    <xf numFmtId="170" fontId="160" fillId="0" borderId="0" xfId="96" applyFont="1" applyBorder="1" applyAlignment="1">
      <alignment vertical="top" wrapText="1"/>
    </xf>
    <xf numFmtId="170" fontId="160" fillId="0" borderId="410" xfId="96" applyFont="1" applyBorder="1" applyAlignment="1">
      <alignment vertical="top" wrapText="1"/>
    </xf>
    <xf numFmtId="43" fontId="183" fillId="0" borderId="410" xfId="62" applyFont="1" applyBorder="1" applyAlignment="1">
      <alignment vertical="top"/>
    </xf>
    <xf numFmtId="170" fontId="160" fillId="0" borderId="410" xfId="96" applyFont="1" applyBorder="1" applyAlignment="1">
      <alignment horizontal="left" vertical="top" wrapText="1"/>
    </xf>
    <xf numFmtId="43" fontId="183" fillId="0" borderId="303" xfId="62" applyFont="1" applyBorder="1" applyAlignment="1"/>
    <xf numFmtId="170" fontId="160" fillId="0" borderId="363" xfId="96" applyFont="1" applyBorder="1" applyAlignment="1">
      <alignment horizontal="center"/>
    </xf>
    <xf numFmtId="170" fontId="183" fillId="0" borderId="416" xfId="96" applyFont="1" applyBorder="1" applyAlignment="1">
      <alignment horizontal="center"/>
    </xf>
    <xf numFmtId="172" fontId="183" fillId="0" borderId="416" xfId="96" applyNumberFormat="1" applyFont="1" applyBorder="1" applyAlignment="1"/>
    <xf numFmtId="170" fontId="160" fillId="0" borderId="416" xfId="96" applyFont="1" applyBorder="1" applyAlignment="1">
      <alignment horizontal="left" vertical="center"/>
    </xf>
    <xf numFmtId="49" fontId="160" fillId="0" borderId="363" xfId="96" applyNumberFormat="1" applyFont="1" applyBorder="1" applyAlignment="1">
      <alignment horizontal="center"/>
    </xf>
    <xf numFmtId="170" fontId="160" fillId="0" borderId="416" xfId="96" applyFont="1" applyBorder="1" applyAlignment="1">
      <alignment horizontal="center"/>
    </xf>
    <xf numFmtId="0" fontId="191" fillId="0" borderId="419" xfId="97" applyNumberFormat="1" applyFont="1" applyBorder="1" applyAlignment="1">
      <alignment horizontal="center" vertical="top" wrapText="1"/>
    </xf>
    <xf numFmtId="4" fontId="183" fillId="0" borderId="201" xfId="97" applyNumberFormat="1" applyFont="1" applyBorder="1" applyAlignment="1">
      <alignment horizontal="right" vertical="top" wrapText="1"/>
    </xf>
    <xf numFmtId="0" fontId="160" fillId="0" borderId="201" xfId="97" applyNumberFormat="1" applyFont="1" applyBorder="1" applyAlignment="1">
      <alignment horizontal="left" vertical="top" wrapText="1"/>
    </xf>
    <xf numFmtId="0" fontId="160" fillId="0" borderId="201" xfId="97" applyNumberFormat="1" applyFont="1" applyBorder="1" applyAlignment="1">
      <alignment vertical="top" wrapText="1" readingOrder="1"/>
    </xf>
    <xf numFmtId="43" fontId="229" fillId="0" borderId="419" xfId="62" applyNumberFormat="1" applyFont="1" applyBorder="1" applyAlignment="1">
      <alignment horizontal="right" vertical="center" wrapText="1"/>
    </xf>
    <xf numFmtId="0" fontId="213" fillId="0" borderId="201" xfId="97" applyNumberFormat="1" applyFont="1" applyBorder="1" applyAlignment="1">
      <alignment horizontal="left" vertical="center" wrapText="1"/>
    </xf>
    <xf numFmtId="0" fontId="213" fillId="0" borderId="201" xfId="97" applyNumberFormat="1" applyFont="1" applyBorder="1" applyAlignment="1">
      <alignment horizontal="center" vertical="center" wrapText="1"/>
    </xf>
    <xf numFmtId="49" fontId="160" fillId="0" borderId="300" xfId="96" applyNumberFormat="1" applyFont="1" applyBorder="1" applyAlignment="1">
      <alignment horizontal="left" vertical="center"/>
    </xf>
    <xf numFmtId="49" fontId="160" fillId="0" borderId="0" xfId="96" applyNumberFormat="1" applyFont="1" applyBorder="1" applyAlignment="1">
      <alignment horizontal="left" vertical="center"/>
    </xf>
    <xf numFmtId="0" fontId="192" fillId="0" borderId="295" xfId="97" applyNumberFormat="1" applyFont="1" applyBorder="1" applyAlignment="1">
      <alignment horizontal="left" vertical="center" wrapText="1"/>
    </xf>
    <xf numFmtId="170" fontId="160" fillId="0" borderId="0" xfId="96" applyFont="1" applyBorder="1" applyAlignment="1">
      <alignment vertical="center"/>
    </xf>
    <xf numFmtId="170" fontId="160" fillId="0" borderId="295" xfId="96" applyFont="1" applyBorder="1" applyAlignment="1">
      <alignment vertical="center"/>
    </xf>
    <xf numFmtId="170" fontId="160" fillId="0" borderId="0" xfId="96" applyFont="1" applyAlignment="1">
      <alignment vertical="center"/>
    </xf>
    <xf numFmtId="49" fontId="160" fillId="0" borderId="401" xfId="96" applyNumberFormat="1" applyFont="1" applyBorder="1" applyAlignment="1">
      <alignment horizontal="left" vertical="center"/>
    </xf>
    <xf numFmtId="49" fontId="160" fillId="0" borderId="393" xfId="96" applyNumberFormat="1" applyFont="1" applyBorder="1" applyAlignment="1">
      <alignment horizontal="left" vertical="center"/>
    </xf>
    <xf numFmtId="0" fontId="213" fillId="0" borderId="407" xfId="97" applyNumberFormat="1" applyFont="1" applyBorder="1" applyAlignment="1">
      <alignment horizontal="right" vertical="center" wrapText="1"/>
    </xf>
    <xf numFmtId="172" fontId="183" fillId="0" borderId="407" xfId="96" applyNumberFormat="1" applyFont="1" applyBorder="1" applyAlignment="1">
      <alignment horizontal="right" vertical="center"/>
    </xf>
    <xf numFmtId="49" fontId="160" fillId="0" borderId="407" xfId="96" applyNumberFormat="1" applyFont="1" applyBorder="1" applyAlignment="1">
      <alignment horizontal="left" vertical="center"/>
    </xf>
    <xf numFmtId="43" fontId="159" fillId="0" borderId="0" xfId="1" applyFont="1"/>
    <xf numFmtId="43" fontId="18" fillId="0" borderId="0" xfId="1" applyFont="1" applyBorder="1"/>
    <xf numFmtId="170" fontId="18" fillId="0" borderId="0" xfId="103" applyFont="1" applyAlignment="1">
      <alignment vertical="top"/>
    </xf>
    <xf numFmtId="43" fontId="18" fillId="0" borderId="0" xfId="62" applyFont="1" applyAlignment="1">
      <alignment vertical="top"/>
    </xf>
    <xf numFmtId="43" fontId="18" fillId="0" borderId="0" xfId="1" applyFont="1" applyBorder="1" applyAlignment="1">
      <alignment vertical="top"/>
    </xf>
    <xf numFmtId="170" fontId="18" fillId="0" borderId="0" xfId="103" applyFont="1" applyBorder="1" applyAlignment="1">
      <alignment vertical="top"/>
    </xf>
    <xf numFmtId="43" fontId="18" fillId="0" borderId="315" xfId="1" applyFont="1" applyBorder="1" applyAlignment="1">
      <alignment vertical="top"/>
    </xf>
    <xf numFmtId="170" fontId="18" fillId="0" borderId="315" xfId="103" applyFont="1" applyBorder="1" applyAlignment="1">
      <alignment vertical="top"/>
    </xf>
    <xf numFmtId="43" fontId="18" fillId="0" borderId="304" xfId="1" applyFont="1" applyBorder="1" applyAlignment="1">
      <alignment horizontal="center" vertical="top"/>
    </xf>
    <xf numFmtId="43" fontId="18" fillId="0" borderId="301" xfId="1" applyFont="1" applyBorder="1" applyAlignment="1">
      <alignment horizontal="center" vertical="top"/>
    </xf>
    <xf numFmtId="43" fontId="18" fillId="0" borderId="300" xfId="1" applyFont="1" applyBorder="1" applyAlignment="1">
      <alignment horizontal="center" vertical="top"/>
    </xf>
    <xf numFmtId="43" fontId="18" fillId="0" borderId="295" xfId="1" applyFont="1" applyBorder="1" applyAlignment="1">
      <alignment horizontal="center" vertical="top"/>
    </xf>
    <xf numFmtId="43" fontId="18" fillId="0" borderId="306" xfId="1" applyFont="1" applyBorder="1" applyAlignment="1">
      <alignment horizontal="center" vertical="top"/>
    </xf>
    <xf numFmtId="43" fontId="18" fillId="0" borderId="303" xfId="1" applyFont="1" applyBorder="1" applyAlignment="1">
      <alignment horizontal="center" vertical="top"/>
    </xf>
    <xf numFmtId="49" fontId="18" fillId="0" borderId="300" xfId="103" applyNumberFormat="1" applyFont="1" applyBorder="1" applyAlignment="1">
      <alignment horizontal="center" vertical="top"/>
    </xf>
    <xf numFmtId="49" fontId="18" fillId="0" borderId="295" xfId="103" applyNumberFormat="1" applyFont="1" applyBorder="1" applyAlignment="1">
      <alignment horizontal="center" vertical="top"/>
    </xf>
    <xf numFmtId="43" fontId="18" fillId="0" borderId="295" xfId="1" applyFont="1" applyBorder="1" applyAlignment="1">
      <alignment vertical="top"/>
    </xf>
    <xf numFmtId="43" fontId="27" fillId="0" borderId="295" xfId="62" applyFont="1" applyBorder="1" applyAlignment="1">
      <alignment vertical="top"/>
    </xf>
    <xf numFmtId="49" fontId="18" fillId="0" borderId="363" xfId="103" applyNumberFormat="1" applyFont="1" applyBorder="1" applyAlignment="1">
      <alignment horizontal="center" vertical="top"/>
    </xf>
    <xf numFmtId="43" fontId="18" fillId="0" borderId="363" xfId="1" applyFont="1" applyBorder="1" applyAlignment="1">
      <alignment horizontal="center" vertical="top"/>
    </xf>
    <xf numFmtId="49" fontId="18" fillId="0" borderId="416" xfId="103" applyNumberFormat="1" applyFont="1" applyBorder="1" applyAlignment="1">
      <alignment horizontal="center" vertical="top"/>
    </xf>
    <xf numFmtId="43" fontId="18" fillId="0" borderId="201" xfId="1" applyFont="1" applyBorder="1" applyAlignment="1">
      <alignment horizontal="center" vertical="top"/>
    </xf>
    <xf numFmtId="43" fontId="18" fillId="0" borderId="201" xfId="1" applyFont="1" applyBorder="1" applyAlignment="1">
      <alignment horizontal="right" vertical="top"/>
    </xf>
    <xf numFmtId="49" fontId="18" fillId="0" borderId="201" xfId="103" applyNumberFormat="1" applyFont="1" applyBorder="1" applyAlignment="1">
      <alignment horizontal="center" vertical="top"/>
    </xf>
    <xf numFmtId="43" fontId="27" fillId="0" borderId="201" xfId="62" applyFont="1" applyBorder="1" applyAlignment="1">
      <alignment horizontal="center" vertical="top"/>
    </xf>
    <xf numFmtId="172" fontId="18" fillId="0" borderId="201" xfId="103" applyNumberFormat="1" applyFont="1" applyBorder="1" applyAlignment="1">
      <alignment horizontal="center" vertical="top"/>
    </xf>
    <xf numFmtId="170" fontId="18" fillId="0" borderId="295" xfId="103" applyFont="1" applyBorder="1" applyAlignment="1">
      <alignment horizontal="left" vertical="top" wrapText="1"/>
    </xf>
    <xf numFmtId="43" fontId="18" fillId="0" borderId="326" xfId="1" applyFont="1" applyBorder="1" applyAlignment="1">
      <alignment horizontal="right" vertical="top"/>
    </xf>
    <xf numFmtId="43" fontId="18" fillId="0" borderId="300" xfId="1" applyFont="1" applyBorder="1" applyAlignment="1">
      <alignment vertical="top"/>
    </xf>
    <xf numFmtId="43" fontId="18" fillId="0" borderId="300" xfId="62" applyFont="1" applyBorder="1" applyAlignment="1">
      <alignment horizontal="center" vertical="top"/>
    </xf>
    <xf numFmtId="43" fontId="27" fillId="0" borderId="295" xfId="62" applyFont="1" applyBorder="1" applyAlignment="1">
      <alignment horizontal="center" vertical="top"/>
    </xf>
    <xf numFmtId="43" fontId="18" fillId="0" borderId="326" xfId="1" applyFont="1" applyBorder="1" applyAlignment="1">
      <alignment horizontal="center" vertical="top"/>
    </xf>
    <xf numFmtId="43" fontId="18" fillId="0" borderId="300" xfId="1" applyFont="1" applyBorder="1" applyAlignment="1">
      <alignment horizontal="right" vertical="top"/>
    </xf>
    <xf numFmtId="172" fontId="18" fillId="0" borderId="300" xfId="103" applyNumberFormat="1" applyFont="1" applyBorder="1" applyAlignment="1">
      <alignment horizontal="right" vertical="top"/>
    </xf>
    <xf numFmtId="43" fontId="18" fillId="0" borderId="326" xfId="1" applyFont="1" applyBorder="1" applyAlignment="1">
      <alignment vertical="top"/>
    </xf>
    <xf numFmtId="170" fontId="18" fillId="0" borderId="201" xfId="103" applyFont="1" applyBorder="1" applyAlignment="1">
      <alignment horizontal="left" vertical="top" wrapText="1"/>
    </xf>
    <xf numFmtId="43" fontId="18" fillId="0" borderId="419" xfId="1" applyFont="1" applyBorder="1" applyAlignment="1">
      <alignment vertical="top"/>
    </xf>
    <xf numFmtId="43" fontId="18" fillId="0" borderId="202" xfId="1" applyFont="1" applyBorder="1" applyAlignment="1">
      <alignment vertical="top"/>
    </xf>
    <xf numFmtId="49" fontId="18" fillId="0" borderId="202" xfId="103" applyNumberFormat="1" applyFont="1" applyBorder="1" applyAlignment="1">
      <alignment horizontal="center" vertical="top"/>
    </xf>
    <xf numFmtId="43" fontId="27" fillId="0" borderId="201" xfId="62" applyFont="1" applyBorder="1" applyAlignment="1">
      <alignment vertical="top"/>
    </xf>
    <xf numFmtId="43" fontId="27" fillId="0" borderId="393" xfId="1" applyFont="1" applyBorder="1" applyAlignment="1">
      <alignment vertical="top"/>
    </xf>
    <xf numFmtId="43" fontId="27" fillId="0" borderId="401" xfId="1" applyFont="1" applyBorder="1" applyAlignment="1">
      <alignment vertical="top"/>
    </xf>
    <xf numFmtId="43" fontId="27" fillId="0" borderId="401" xfId="1" applyFont="1" applyBorder="1" applyAlignment="1">
      <alignment horizontal="center" vertical="top"/>
    </xf>
    <xf numFmtId="43" fontId="27" fillId="0" borderId="407" xfId="1" applyFont="1" applyBorder="1" applyAlignment="1">
      <alignment horizontal="center" vertical="top"/>
    </xf>
    <xf numFmtId="170" fontId="18" fillId="0" borderId="295" xfId="103" applyFont="1" applyBorder="1" applyAlignment="1">
      <alignment horizontal="center" vertical="top"/>
    </xf>
    <xf numFmtId="43" fontId="27" fillId="0" borderId="44" xfId="1" applyFont="1" applyBorder="1" applyAlignment="1">
      <alignment vertical="top"/>
    </xf>
    <xf numFmtId="172" fontId="27" fillId="0" borderId="44" xfId="103" applyNumberFormat="1" applyFont="1" applyBorder="1" applyAlignment="1">
      <alignment vertical="top"/>
    </xf>
    <xf numFmtId="172" fontId="27" fillId="0" borderId="45" xfId="103" applyNumberFormat="1" applyFont="1" applyBorder="1" applyAlignment="1">
      <alignment vertical="top"/>
    </xf>
    <xf numFmtId="49" fontId="18" fillId="0" borderId="0" xfId="103" applyNumberFormat="1" applyFont="1" applyBorder="1" applyAlignment="1">
      <alignment horizontal="center" vertical="top"/>
    </xf>
    <xf numFmtId="170" fontId="18" fillId="0" borderId="326" xfId="103" applyFont="1" applyBorder="1" applyAlignment="1">
      <alignment horizontal="center" vertical="top"/>
    </xf>
    <xf numFmtId="43" fontId="18" fillId="0" borderId="0" xfId="1" applyFont="1" applyBorder="1" applyAlignment="1">
      <alignment horizontal="center" vertical="top"/>
    </xf>
    <xf numFmtId="43" fontId="61" fillId="0" borderId="0" xfId="1" applyFont="1" applyBorder="1" applyAlignment="1">
      <alignment horizontal="center" vertical="top"/>
    </xf>
    <xf numFmtId="49" fontId="18" fillId="0" borderId="315" xfId="103" applyNumberFormat="1" applyFont="1" applyBorder="1" applyAlignment="1">
      <alignment horizontal="center" vertical="top"/>
    </xf>
    <xf numFmtId="170" fontId="18" fillId="0" borderId="316" xfId="103" applyFont="1" applyBorder="1" applyAlignment="1">
      <alignment horizontal="center" vertical="top"/>
    </xf>
    <xf numFmtId="170" fontId="18" fillId="0" borderId="0" xfId="103" applyFont="1" applyBorder="1" applyAlignment="1">
      <alignment horizontal="center" vertical="top"/>
    </xf>
    <xf numFmtId="170" fontId="18" fillId="0" borderId="201" xfId="103" applyFont="1" applyBorder="1" applyAlignment="1">
      <alignment horizontal="center" vertical="top"/>
    </xf>
    <xf numFmtId="170" fontId="18" fillId="0" borderId="0" xfId="103" applyFont="1" applyAlignment="1">
      <alignment vertical="top" wrapText="1"/>
    </xf>
    <xf numFmtId="170" fontId="27" fillId="0" borderId="0" xfId="103" applyFont="1" applyBorder="1" applyAlignment="1">
      <alignment vertical="top" wrapText="1"/>
    </xf>
    <xf numFmtId="0" fontId="31" fillId="0" borderId="0" xfId="2" applyFont="1" applyAlignment="1">
      <alignment vertical="top" wrapText="1"/>
    </xf>
    <xf numFmtId="170" fontId="27" fillId="0" borderId="315" xfId="103" applyFont="1" applyBorder="1" applyAlignment="1">
      <alignment vertical="top" wrapText="1"/>
    </xf>
    <xf numFmtId="49" fontId="18" fillId="0" borderId="300" xfId="103" applyNumberFormat="1" applyFont="1" applyBorder="1" applyAlignment="1">
      <alignment horizontal="center" vertical="top" wrapText="1"/>
    </xf>
    <xf numFmtId="49" fontId="18" fillId="0" borderId="363" xfId="103" applyNumberFormat="1" applyFont="1" applyBorder="1" applyAlignment="1">
      <alignment horizontal="center" vertical="top" wrapText="1"/>
    </xf>
    <xf numFmtId="49" fontId="18" fillId="0" borderId="202" xfId="103" applyNumberFormat="1" applyFont="1" applyBorder="1" applyAlignment="1">
      <alignment horizontal="left" vertical="top" wrapText="1"/>
    </xf>
    <xf numFmtId="43" fontId="27" fillId="0" borderId="407" xfId="1" applyFont="1" applyBorder="1" applyAlignment="1">
      <alignment horizontal="left" vertical="top" wrapText="1"/>
    </xf>
    <xf numFmtId="170" fontId="27" fillId="0" borderId="45" xfId="103" applyFont="1" applyBorder="1" applyAlignment="1">
      <alignment horizontal="center" vertical="top" wrapText="1"/>
    </xf>
    <xf numFmtId="170" fontId="18" fillId="0" borderId="300" xfId="103" applyFont="1" applyBorder="1" applyAlignment="1">
      <alignment horizontal="left" vertical="top" wrapText="1"/>
    </xf>
    <xf numFmtId="170" fontId="18" fillId="0" borderId="300" xfId="103" applyFont="1" applyBorder="1" applyAlignment="1">
      <alignment horizontal="center" vertical="top" wrapText="1"/>
    </xf>
    <xf numFmtId="170" fontId="61" fillId="0" borderId="300" xfId="103" applyFont="1" applyBorder="1" applyAlignment="1">
      <alignment horizontal="center" vertical="top" wrapText="1"/>
    </xf>
    <xf numFmtId="170" fontId="27" fillId="0" borderId="300" xfId="103" applyFont="1" applyBorder="1" applyAlignment="1">
      <alignment vertical="top" wrapText="1"/>
    </xf>
    <xf numFmtId="170" fontId="18" fillId="0" borderId="300" xfId="103" applyFont="1" applyBorder="1" applyAlignment="1">
      <alignment vertical="top" wrapText="1"/>
    </xf>
    <xf numFmtId="170" fontId="18" fillId="0" borderId="306" xfId="103" applyFont="1" applyBorder="1" applyAlignment="1">
      <alignment vertical="top" wrapText="1"/>
    </xf>
    <xf numFmtId="170" fontId="18" fillId="0" borderId="0" xfId="103" applyFont="1" applyBorder="1" applyAlignment="1">
      <alignment vertical="top" wrapText="1"/>
    </xf>
    <xf numFmtId="0" fontId="152" fillId="0" borderId="0" xfId="0" applyFont="1" applyFill="1" applyAlignment="1">
      <alignment horizontal="center" vertical="top"/>
    </xf>
    <xf numFmtId="0" fontId="62" fillId="0" borderId="0" xfId="0" applyFont="1" applyFill="1" applyAlignment="1">
      <alignment horizontal="left" vertical="top"/>
    </xf>
    <xf numFmtId="0" fontId="62" fillId="0" borderId="0" xfId="0" applyFont="1" applyFill="1" applyAlignment="1">
      <alignment horizontal="left" vertical="top" wrapText="1"/>
    </xf>
    <xf numFmtId="0" fontId="92" fillId="0" borderId="135" xfId="0" applyFont="1" applyFill="1" applyBorder="1" applyAlignment="1">
      <alignment horizontal="center" vertical="top" wrapText="1"/>
    </xf>
    <xf numFmtId="0" fontId="92" fillId="0" borderId="150" xfId="0" applyFont="1" applyFill="1" applyBorder="1" applyAlignment="1">
      <alignment horizontal="center" vertical="top" wrapText="1"/>
    </xf>
    <xf numFmtId="0" fontId="92" fillId="0" borderId="137" xfId="0" applyFont="1" applyFill="1" applyBorder="1" applyAlignment="1">
      <alignment horizontal="center" vertical="top" wrapText="1"/>
    </xf>
    <xf numFmtId="0" fontId="92" fillId="0" borderId="142" xfId="0" applyFont="1" applyFill="1" applyBorder="1" applyAlignment="1">
      <alignment horizontal="center" vertical="top" wrapText="1"/>
    </xf>
    <xf numFmtId="168" fontId="92" fillId="0" borderId="137" xfId="0" applyNumberFormat="1" applyFont="1" applyFill="1" applyBorder="1" applyAlignment="1">
      <alignment horizontal="center" vertical="top" wrapText="1"/>
    </xf>
    <xf numFmtId="168" fontId="92" fillId="0" borderId="142" xfId="0" applyNumberFormat="1" applyFont="1" applyFill="1" applyBorder="1" applyAlignment="1">
      <alignment horizontal="center" vertical="top" wrapText="1"/>
    </xf>
    <xf numFmtId="0" fontId="92" fillId="0" borderId="141" xfId="0" applyFont="1" applyFill="1" applyBorder="1" applyAlignment="1">
      <alignment horizontal="center" vertical="top" wrapText="1"/>
    </xf>
    <xf numFmtId="0" fontId="0" fillId="0" borderId="141" xfId="0" applyFill="1" applyBorder="1" applyAlignment="1">
      <alignment vertical="top" wrapText="1"/>
    </xf>
    <xf numFmtId="0" fontId="92" fillId="0" borderId="147" xfId="0" applyFont="1" applyFill="1" applyBorder="1" applyAlignment="1">
      <alignment horizontal="center" vertical="top" wrapText="1"/>
    </xf>
    <xf numFmtId="0" fontId="92" fillId="0" borderId="139" xfId="0" applyFont="1" applyFill="1" applyBorder="1" applyAlignment="1">
      <alignment horizontal="center" vertical="top" wrapText="1"/>
    </xf>
    <xf numFmtId="0" fontId="92" fillId="0" borderId="141" xfId="0" applyFont="1" applyFill="1" applyBorder="1" applyAlignment="1">
      <alignment vertical="top" wrapText="1"/>
    </xf>
    <xf numFmtId="0" fontId="92" fillId="0" borderId="141" xfId="0" applyFont="1" applyFill="1" applyBorder="1" applyAlignment="1">
      <alignment horizontal="right" vertical="top" wrapText="1"/>
    </xf>
    <xf numFmtId="0" fontId="143" fillId="0" borderId="141" xfId="0" applyFont="1" applyFill="1" applyBorder="1" applyAlignment="1">
      <alignment vertical="top" wrapText="1"/>
    </xf>
    <xf numFmtId="0" fontId="144" fillId="0" borderId="142" xfId="0" applyFont="1" applyFill="1" applyBorder="1" applyAlignment="1">
      <alignment horizontal="left" vertical="top" wrapText="1" indent="2"/>
    </xf>
    <xf numFmtId="0" fontId="80" fillId="0" borderId="142" xfId="0" applyFont="1" applyFill="1" applyBorder="1" applyAlignment="1">
      <alignment vertical="top" wrapText="1"/>
    </xf>
    <xf numFmtId="0" fontId="0" fillId="0" borderId="142" xfId="0" applyFill="1" applyBorder="1" applyAlignment="1">
      <alignment vertical="top" wrapText="1"/>
    </xf>
    <xf numFmtId="0" fontId="144" fillId="0" borderId="141" xfId="0" applyFont="1" applyFill="1" applyBorder="1" applyAlignment="1">
      <alignment horizontal="left" vertical="top" wrapText="1" indent="2"/>
    </xf>
    <xf numFmtId="0" fontId="80" fillId="0" borderId="141" xfId="0" applyFont="1" applyFill="1" applyBorder="1" applyAlignment="1">
      <alignment horizontal="left" vertical="top" wrapText="1" indent="2"/>
    </xf>
    <xf numFmtId="0" fontId="143" fillId="0" borderId="141" xfId="0" applyFont="1" applyFill="1" applyBorder="1" applyAlignment="1">
      <alignment horizontal="right" vertical="top" wrapText="1"/>
    </xf>
    <xf numFmtId="0" fontId="80" fillId="0" borderId="147" xfId="0" applyFont="1" applyFill="1" applyBorder="1" applyAlignment="1">
      <alignment vertical="top" wrapText="1"/>
    </xf>
    <xf numFmtId="0" fontId="80" fillId="0" borderId="141" xfId="0" applyFont="1" applyFill="1" applyBorder="1" applyAlignment="1">
      <alignment vertical="top" wrapText="1"/>
    </xf>
    <xf numFmtId="0" fontId="80" fillId="0" borderId="147" xfId="0" applyFont="1" applyFill="1" applyBorder="1" applyAlignment="1">
      <alignment horizontal="center" vertical="top" wrapText="1"/>
    </xf>
    <xf numFmtId="0" fontId="80" fillId="0" borderId="141" xfId="0" applyFont="1" applyFill="1" applyBorder="1" applyAlignment="1">
      <alignment horizontal="center" vertical="top" wrapText="1"/>
    </xf>
    <xf numFmtId="0" fontId="80" fillId="0" borderId="141" xfId="0" applyFont="1" applyFill="1" applyBorder="1" applyAlignment="1">
      <alignment horizontal="justify" vertical="top" wrapText="1"/>
    </xf>
    <xf numFmtId="0" fontId="193" fillId="0" borderId="141" xfId="0" applyFont="1" applyFill="1" applyBorder="1" applyAlignment="1">
      <alignment horizontal="right" vertical="top" wrapText="1"/>
    </xf>
    <xf numFmtId="0" fontId="80" fillId="0" borderId="142" xfId="0" applyFont="1" applyFill="1" applyBorder="1" applyAlignment="1">
      <alignment horizontal="justify" vertical="top" wrapText="1"/>
    </xf>
    <xf numFmtId="0" fontId="80" fillId="0" borderId="68" xfId="0" applyFont="1" applyFill="1" applyBorder="1" applyAlignment="1">
      <alignment vertical="top" wrapText="1"/>
    </xf>
    <xf numFmtId="0" fontId="187" fillId="0" borderId="142" xfId="0" applyFont="1" applyFill="1" applyBorder="1" applyAlignment="1">
      <alignment horizontal="justify" vertical="top" wrapText="1"/>
    </xf>
    <xf numFmtId="0" fontId="80" fillId="0" borderId="150" xfId="0" applyFont="1" applyFill="1" applyBorder="1" applyAlignment="1">
      <alignment horizontal="justify" vertical="top" wrapText="1"/>
    </xf>
    <xf numFmtId="0" fontId="187" fillId="0" borderId="141" xfId="0" applyFont="1" applyFill="1" applyBorder="1" applyAlignment="1">
      <alignment horizontal="justify" vertical="top" wrapText="1"/>
    </xf>
    <xf numFmtId="0" fontId="138" fillId="0" borderId="141" xfId="0" applyFont="1" applyFill="1" applyBorder="1" applyAlignment="1">
      <alignment horizontal="justify" vertical="top" wrapText="1"/>
    </xf>
    <xf numFmtId="4" fontId="92" fillId="0" borderId="142" xfId="0" applyNumberFormat="1" applyFont="1" applyFill="1" applyBorder="1" applyAlignment="1">
      <alignment horizontal="right" vertical="top" wrapText="1"/>
    </xf>
    <xf numFmtId="0" fontId="141" fillId="0" borderId="141" xfId="0" applyFont="1" applyFill="1" applyBorder="1" applyAlignment="1">
      <alignment vertical="top" wrapText="1"/>
    </xf>
    <xf numFmtId="0" fontId="145" fillId="0" borderId="142" xfId="0" applyFont="1" applyFill="1" applyBorder="1" applyAlignment="1">
      <alignment vertical="top" wrapText="1"/>
    </xf>
    <xf numFmtId="0" fontId="92" fillId="0" borderId="142" xfId="0" applyFont="1" applyFill="1" applyBorder="1" applyAlignment="1">
      <alignment horizontal="right" vertical="top" wrapText="1"/>
    </xf>
    <xf numFmtId="0" fontId="80" fillId="0" borderId="68" xfId="0" applyFont="1" applyFill="1" applyBorder="1" applyAlignment="1">
      <alignment horizontal="center" vertical="top" wrapText="1"/>
    </xf>
    <xf numFmtId="0" fontId="80" fillId="0" borderId="142" xfId="0" applyFont="1" applyFill="1" applyBorder="1" applyAlignment="1">
      <alignment horizontal="center" vertical="top" wrapText="1"/>
    </xf>
    <xf numFmtId="0" fontId="0" fillId="0" borderId="68" xfId="0" applyFill="1" applyBorder="1" applyAlignment="1">
      <alignment vertical="top" wrapText="1"/>
    </xf>
    <xf numFmtId="0" fontId="0" fillId="0" borderId="147" xfId="0" applyFill="1" applyBorder="1" applyAlignment="1">
      <alignment vertical="top" wrapText="1"/>
    </xf>
    <xf numFmtId="0" fontId="145" fillId="0" borderId="135" xfId="0" applyFont="1" applyFill="1" applyBorder="1" applyAlignment="1">
      <alignment vertical="top" wrapText="1"/>
    </xf>
    <xf numFmtId="0" fontId="92" fillId="0" borderId="135" xfId="0" applyFont="1" applyFill="1" applyBorder="1" applyAlignment="1">
      <alignment horizontal="right" vertical="top" wrapText="1"/>
    </xf>
    <xf numFmtId="0" fontId="80" fillId="0" borderId="135" xfId="0" applyFont="1" applyFill="1" applyBorder="1" applyAlignment="1">
      <alignment vertical="top" wrapText="1"/>
    </xf>
    <xf numFmtId="0" fontId="80" fillId="0" borderId="135" xfId="0" applyFont="1" applyFill="1" applyBorder="1" applyAlignment="1">
      <alignment horizontal="center" vertical="top" wrapText="1"/>
    </xf>
    <xf numFmtId="0" fontId="80" fillId="0" borderId="137" xfId="0" applyFont="1" applyFill="1" applyBorder="1" applyAlignment="1">
      <alignment vertical="top" wrapText="1"/>
    </xf>
    <xf numFmtId="0" fontId="92" fillId="0" borderId="137" xfId="0" applyFont="1" applyFill="1" applyBorder="1" applyAlignment="1">
      <alignment horizontal="right" vertical="top" wrapText="1"/>
    </xf>
    <xf numFmtId="0" fontId="80" fillId="0" borderId="137" xfId="0" applyFont="1" applyFill="1" applyBorder="1" applyAlignment="1">
      <alignment horizontal="center" vertical="top" wrapText="1"/>
    </xf>
    <xf numFmtId="4" fontId="92" fillId="0" borderId="137" xfId="0" applyNumberFormat="1" applyFont="1" applyFill="1" applyBorder="1" applyAlignment="1">
      <alignment horizontal="right" vertical="top" wrapText="1"/>
    </xf>
    <xf numFmtId="0" fontId="92" fillId="0" borderId="137" xfId="0" applyFont="1" applyFill="1" applyBorder="1" applyAlignment="1">
      <alignment vertical="top" wrapText="1"/>
    </xf>
    <xf numFmtId="0" fontId="80" fillId="0" borderId="139" xfId="0" applyFont="1" applyFill="1" applyBorder="1" applyAlignment="1">
      <alignment vertical="top" wrapText="1"/>
    </xf>
    <xf numFmtId="0" fontId="145" fillId="0" borderId="150" xfId="0" applyFont="1" applyFill="1" applyBorder="1" applyAlignment="1">
      <alignment vertical="top" wrapText="1"/>
    </xf>
    <xf numFmtId="0" fontId="92" fillId="0" borderId="150" xfId="0" applyFont="1" applyFill="1" applyBorder="1" applyAlignment="1">
      <alignment horizontal="right" vertical="top" wrapText="1"/>
    </xf>
    <xf numFmtId="0" fontId="80" fillId="0" borderId="150" xfId="0" applyFont="1" applyFill="1" applyBorder="1" applyAlignment="1">
      <alignment vertical="top" wrapText="1"/>
    </xf>
    <xf numFmtId="0" fontId="80" fillId="0" borderId="328" xfId="0" applyFont="1" applyFill="1" applyBorder="1" applyAlignment="1">
      <alignment horizontal="center" vertical="top" wrapText="1"/>
    </xf>
    <xf numFmtId="0" fontId="80" fillId="0" borderId="150" xfId="0" applyFont="1" applyFill="1" applyBorder="1" applyAlignment="1">
      <alignment horizontal="center" vertical="top" wrapText="1"/>
    </xf>
    <xf numFmtId="0" fontId="80" fillId="0" borderId="142" xfId="0" applyFont="1" applyFill="1" applyBorder="1" applyAlignment="1">
      <alignment horizontal="left" vertical="top" wrapText="1" indent="5"/>
    </xf>
    <xf numFmtId="0" fontId="92" fillId="0" borderId="142" xfId="0" applyFont="1" applyFill="1" applyBorder="1" applyAlignment="1">
      <alignment vertical="top" wrapText="1"/>
    </xf>
    <xf numFmtId="0" fontId="80" fillId="0" borderId="142" xfId="0" applyFont="1" applyFill="1" applyBorder="1" applyAlignment="1">
      <alignment horizontal="right" vertical="top" wrapText="1"/>
    </xf>
    <xf numFmtId="0" fontId="80" fillId="0" borderId="0" xfId="0" applyFont="1" applyFill="1" applyBorder="1" applyAlignment="1">
      <alignment vertical="top" wrapText="1"/>
    </xf>
    <xf numFmtId="0" fontId="0" fillId="0" borderId="0" xfId="0" applyFill="1" applyBorder="1" applyAlignment="1">
      <alignment vertical="top" wrapText="1"/>
    </xf>
    <xf numFmtId="0" fontId="92" fillId="0" borderId="158" xfId="0" applyFont="1" applyFill="1" applyBorder="1" applyAlignment="1">
      <alignment horizontal="center" vertical="top" wrapText="1"/>
    </xf>
    <xf numFmtId="0" fontId="92" fillId="0" borderId="140" xfId="0" applyFont="1" applyFill="1" applyBorder="1" applyAlignment="1">
      <alignment vertical="top" wrapText="1"/>
    </xf>
    <xf numFmtId="4" fontId="92" fillId="0" borderId="140" xfId="0" applyNumberFormat="1" applyFont="1" applyFill="1" applyBorder="1" applyAlignment="1">
      <alignment horizontal="right" vertical="top" wrapText="1"/>
    </xf>
    <xf numFmtId="0" fontId="80" fillId="0" borderId="343" xfId="0" applyFont="1" applyFill="1" applyBorder="1" applyAlignment="1">
      <alignment horizontal="center" vertical="top" wrapText="1"/>
    </xf>
    <xf numFmtId="0" fontId="80" fillId="0" borderId="140" xfId="0" applyFont="1" applyFill="1" applyBorder="1" applyAlignment="1">
      <alignment horizontal="center" vertical="top" wrapText="1"/>
    </xf>
    <xf numFmtId="0" fontId="92" fillId="0" borderId="245" xfId="0" applyFont="1" applyFill="1" applyBorder="1" applyAlignment="1">
      <alignment horizontal="center" vertical="top" wrapText="1"/>
    </xf>
    <xf numFmtId="0" fontId="80" fillId="0" borderId="245" xfId="0" applyFont="1" applyFill="1" applyBorder="1" applyAlignment="1">
      <alignment horizontal="left" vertical="top" wrapText="1" indent="2"/>
    </xf>
    <xf numFmtId="4" fontId="143" fillId="0" borderId="245" xfId="0" applyNumberFormat="1" applyFont="1" applyFill="1" applyBorder="1" applyAlignment="1">
      <alignment horizontal="right" vertical="top" wrapText="1"/>
    </xf>
    <xf numFmtId="0" fontId="144" fillId="0" borderId="245" xfId="0" applyFont="1" applyFill="1" applyBorder="1" applyAlignment="1">
      <alignment horizontal="left" vertical="top" wrapText="1" indent="2"/>
    </xf>
    <xf numFmtId="0" fontId="80" fillId="0" borderId="245" xfId="0" applyFont="1" applyFill="1" applyBorder="1" applyAlignment="1">
      <alignment vertical="top" wrapText="1"/>
    </xf>
    <xf numFmtId="0" fontId="92" fillId="0" borderId="0" xfId="0" applyFont="1" applyFill="1" applyBorder="1" applyAlignment="1">
      <alignment horizontal="center" vertical="top" wrapText="1"/>
    </xf>
    <xf numFmtId="0" fontId="80" fillId="0" borderId="0" xfId="0" applyFont="1" applyFill="1" applyBorder="1" applyAlignment="1">
      <alignment horizontal="left" vertical="top" wrapText="1" indent="2"/>
    </xf>
    <xf numFmtId="4" fontId="143" fillId="0" borderId="0" xfId="0" applyNumberFormat="1" applyFont="1" applyFill="1" applyBorder="1" applyAlignment="1">
      <alignment horizontal="right" vertical="top" wrapText="1"/>
    </xf>
    <xf numFmtId="0" fontId="144" fillId="0" borderId="0" xfId="0" applyFont="1" applyFill="1" applyBorder="1" applyAlignment="1">
      <alignment horizontal="left" vertical="top" wrapText="1" indent="2"/>
    </xf>
    <xf numFmtId="0" fontId="80" fillId="0" borderId="0" xfId="0" applyFont="1" applyFill="1" applyBorder="1" applyAlignment="1">
      <alignment horizontal="justify" vertical="top" wrapText="1"/>
    </xf>
    <xf numFmtId="0" fontId="193" fillId="0" borderId="0" xfId="0" applyFont="1" applyFill="1" applyBorder="1" applyAlignment="1">
      <alignment horizontal="right" vertical="top" wrapText="1"/>
    </xf>
    <xf numFmtId="0" fontId="138" fillId="0" borderId="0" xfId="0" applyFont="1" applyFill="1" applyBorder="1" applyAlignment="1">
      <alignment horizontal="justify" vertical="top" wrapText="1"/>
    </xf>
    <xf numFmtId="0" fontId="92" fillId="0" borderId="245" xfId="0" applyFont="1" applyFill="1" applyBorder="1" applyAlignment="1">
      <alignment vertical="top" wrapText="1"/>
    </xf>
    <xf numFmtId="0" fontId="0" fillId="0" borderId="245" xfId="0" applyFill="1" applyBorder="1" applyAlignment="1">
      <alignment vertical="top" wrapText="1"/>
    </xf>
    <xf numFmtId="0" fontId="80" fillId="0" borderId="245" xfId="0" applyFont="1" applyFill="1" applyBorder="1" applyAlignment="1">
      <alignment horizontal="center" vertical="top" wrapText="1"/>
    </xf>
    <xf numFmtId="0" fontId="92" fillId="0" borderId="0" xfId="0" applyFont="1" applyFill="1" applyBorder="1" applyAlignment="1">
      <alignment vertical="top" wrapText="1"/>
    </xf>
    <xf numFmtId="0" fontId="80" fillId="0" borderId="0" xfId="0" applyFont="1" applyFill="1" applyBorder="1" applyAlignment="1">
      <alignment horizontal="center" vertical="top" wrapText="1"/>
    </xf>
    <xf numFmtId="0" fontId="92" fillId="0" borderId="154" xfId="0" applyFont="1" applyFill="1" applyBorder="1" applyAlignment="1">
      <alignment horizontal="center" vertical="top" wrapText="1"/>
    </xf>
    <xf numFmtId="0" fontId="92" fillId="0" borderId="154" xfId="0" applyFont="1" applyFill="1" applyBorder="1" applyAlignment="1">
      <alignment vertical="top" wrapText="1"/>
    </xf>
    <xf numFmtId="0" fontId="0" fillId="0" borderId="154" xfId="0" applyFill="1" applyBorder="1" applyAlignment="1">
      <alignment vertical="top" wrapText="1"/>
    </xf>
    <xf numFmtId="0" fontId="80" fillId="0" borderId="154" xfId="0" applyFont="1" applyFill="1" applyBorder="1" applyAlignment="1">
      <alignment vertical="top" wrapText="1"/>
    </xf>
    <xf numFmtId="0" fontId="80" fillId="0" borderId="154" xfId="0" applyFont="1" applyFill="1" applyBorder="1" applyAlignment="1">
      <alignment horizontal="center" vertical="top" wrapText="1"/>
    </xf>
    <xf numFmtId="4" fontId="92" fillId="0" borderId="141" xfId="0" applyNumberFormat="1" applyFont="1" applyFill="1" applyBorder="1" applyAlignment="1">
      <alignment horizontal="right" vertical="top" wrapText="1"/>
    </xf>
    <xf numFmtId="49" fontId="109" fillId="0" borderId="141" xfId="0" applyNumberFormat="1" applyFont="1" applyFill="1" applyBorder="1" applyAlignment="1">
      <alignment horizontal="right" vertical="top" wrapText="1"/>
    </xf>
    <xf numFmtId="4" fontId="143" fillId="0" borderId="137" xfId="0" applyNumberFormat="1" applyFont="1" applyFill="1" applyBorder="1" applyAlignment="1">
      <alignment vertical="top" wrapText="1"/>
    </xf>
    <xf numFmtId="4" fontId="143" fillId="0" borderId="139" xfId="0" applyNumberFormat="1" applyFont="1" applyFill="1" applyBorder="1" applyAlignment="1">
      <alignment vertical="top" wrapText="1"/>
    </xf>
    <xf numFmtId="4" fontId="110" fillId="0" borderId="135" xfId="0" applyNumberFormat="1" applyFont="1" applyFill="1" applyBorder="1" applyAlignment="1">
      <alignment horizontal="right" vertical="top" wrapText="1"/>
    </xf>
    <xf numFmtId="0" fontId="17" fillId="0" borderId="0" xfId="0" applyFont="1" applyAlignment="1">
      <alignment horizontal="left"/>
    </xf>
    <xf numFmtId="43" fontId="17" fillId="0" borderId="0" xfId="1" applyFont="1" applyAlignment="1">
      <alignment horizontal="left"/>
    </xf>
    <xf numFmtId="0" fontId="17" fillId="0" borderId="0" xfId="0" applyFont="1" applyAlignment="1">
      <alignment horizontal="center"/>
    </xf>
    <xf numFmtId="0" fontId="17" fillId="0" borderId="0" xfId="0" applyFont="1" applyFill="1" applyAlignment="1">
      <alignment horizontal="left"/>
    </xf>
    <xf numFmtId="0" fontId="17" fillId="0" borderId="135" xfId="0" applyFont="1" applyFill="1" applyBorder="1" applyAlignment="1">
      <alignment vertical="top" wrapText="1"/>
    </xf>
    <xf numFmtId="0" fontId="17" fillId="0" borderId="137" xfId="0" applyFont="1" applyFill="1" applyBorder="1" applyAlignment="1">
      <alignment vertical="top" wrapText="1"/>
    </xf>
    <xf numFmtId="0" fontId="17" fillId="0" borderId="139" xfId="0" applyFont="1" applyFill="1" applyBorder="1" applyAlignment="1">
      <alignment vertical="top" wrapText="1"/>
    </xf>
    <xf numFmtId="0" fontId="17" fillId="0" borderId="135" xfId="0" applyFont="1" applyBorder="1" applyAlignment="1">
      <alignment vertical="top" wrapText="1"/>
    </xf>
    <xf numFmtId="0" fontId="17" fillId="0" borderId="137" xfId="0" applyFont="1" applyBorder="1" applyAlignment="1">
      <alignment vertical="top" wrapText="1"/>
    </xf>
    <xf numFmtId="0" fontId="17" fillId="0" borderId="139" xfId="0" applyFont="1" applyBorder="1" applyAlignment="1">
      <alignment vertical="top" wrapText="1"/>
    </xf>
    <xf numFmtId="43" fontId="62" fillId="0" borderId="139" xfId="1" applyFont="1" applyBorder="1" applyAlignment="1">
      <alignment vertical="top" wrapText="1"/>
    </xf>
    <xf numFmtId="43" fontId="62" fillId="0" borderId="141" xfId="1" applyFont="1" applyBorder="1" applyAlignment="1">
      <alignment horizontal="right" vertical="top" wrapText="1"/>
    </xf>
    <xf numFmtId="43" fontId="62" fillId="0" borderId="141" xfId="1" applyFont="1" applyFill="1" applyBorder="1" applyAlignment="1">
      <alignment horizontal="center" vertical="top" wrapText="1"/>
    </xf>
    <xf numFmtId="43" fontId="62" fillId="0" borderId="141" xfId="1" applyFont="1" applyFill="1" applyBorder="1" applyAlignment="1">
      <alignment horizontal="right" vertical="top" wrapText="1"/>
    </xf>
    <xf numFmtId="43" fontId="17" fillId="0" borderId="150" xfId="1" applyFont="1" applyFill="1" applyBorder="1" applyAlignment="1">
      <alignment horizontal="right" vertical="top" wrapText="1"/>
    </xf>
    <xf numFmtId="43" fontId="17" fillId="0" borderId="142" xfId="1" applyFont="1" applyFill="1" applyBorder="1" applyAlignment="1">
      <alignment horizontal="right" vertical="top" wrapText="1"/>
    </xf>
    <xf numFmtId="43" fontId="17" fillId="0" borderId="141" xfId="1" applyFont="1" applyFill="1" applyBorder="1" applyAlignment="1">
      <alignment horizontal="right" vertical="top" wrapText="1"/>
    </xf>
    <xf numFmtId="43" fontId="17" fillId="0" borderId="135" xfId="1" applyFont="1" applyBorder="1" applyAlignment="1">
      <alignment horizontal="right" vertical="top" wrapText="1"/>
    </xf>
    <xf numFmtId="43" fontId="17" fillId="0" borderId="142" xfId="1" applyFont="1" applyBorder="1" applyAlignment="1">
      <alignment horizontal="right" vertical="top" wrapText="1"/>
    </xf>
    <xf numFmtId="43" fontId="136" fillId="0" borderId="142" xfId="1" applyFont="1" applyBorder="1" applyAlignment="1">
      <alignment horizontal="right" vertical="top" wrapText="1"/>
    </xf>
    <xf numFmtId="43" fontId="17" fillId="0" borderId="141" xfId="1" applyFont="1" applyBorder="1" applyAlignment="1">
      <alignment horizontal="right" vertical="top" wrapText="1"/>
    </xf>
    <xf numFmtId="43" fontId="17" fillId="0" borderId="135" xfId="1" applyFont="1" applyBorder="1" applyAlignment="1">
      <alignment vertical="top" wrapText="1"/>
    </xf>
    <xf numFmtId="43" fontId="17" fillId="0" borderId="137" xfId="1" applyFont="1" applyBorder="1" applyAlignment="1">
      <alignment vertical="top" wrapText="1"/>
    </xf>
    <xf numFmtId="43" fontId="17" fillId="0" borderId="137" xfId="1" applyFont="1" applyBorder="1" applyAlignment="1">
      <alignment horizontal="right" vertical="top" wrapText="1"/>
    </xf>
    <xf numFmtId="43" fontId="17" fillId="0" borderId="139" xfId="1" applyFont="1" applyBorder="1" applyAlignment="1">
      <alignment vertical="top" wrapText="1"/>
    </xf>
    <xf numFmtId="43" fontId="17" fillId="0" borderId="139" xfId="1" applyFont="1" applyBorder="1" applyAlignment="1">
      <alignment horizontal="left"/>
    </xf>
    <xf numFmtId="43" fontId="17" fillId="0" borderId="135" xfId="1" applyFont="1" applyFill="1" applyBorder="1" applyAlignment="1">
      <alignment horizontal="right" vertical="top" wrapText="1"/>
    </xf>
    <xf numFmtId="43" fontId="17" fillId="0" borderId="137" xfId="1" applyFont="1" applyFill="1" applyBorder="1" applyAlignment="1">
      <alignment horizontal="right" vertical="top" wrapText="1"/>
    </xf>
    <xf numFmtId="43" fontId="17" fillId="0" borderId="158" xfId="1" applyFont="1" applyFill="1" applyBorder="1" applyAlignment="1">
      <alignment horizontal="right" vertical="top" wrapText="1"/>
    </xf>
    <xf numFmtId="0" fontId="27" fillId="0" borderId="0" xfId="2" applyFont="1" applyAlignment="1" applyProtection="1">
      <alignment vertical="top"/>
      <protection locked="0"/>
    </xf>
    <xf numFmtId="0" fontId="75" fillId="0" borderId="0" xfId="0" applyFont="1" applyBorder="1" applyAlignment="1">
      <alignment vertical="top"/>
    </xf>
    <xf numFmtId="0" fontId="74" fillId="0" borderId="0" xfId="0" applyFont="1" applyAlignment="1">
      <alignment horizontal="left" vertical="top"/>
    </xf>
    <xf numFmtId="0" fontId="74" fillId="0" borderId="0" xfId="0" applyFont="1" applyAlignment="1">
      <alignment horizontal="center" vertical="top" wrapText="1"/>
    </xf>
    <xf numFmtId="0" fontId="93" fillId="0" borderId="0" xfId="0" applyFont="1" applyAlignment="1">
      <alignment vertical="top"/>
    </xf>
    <xf numFmtId="0" fontId="82" fillId="0" borderId="0" xfId="0" applyFont="1" applyAlignment="1">
      <alignment vertical="top"/>
    </xf>
    <xf numFmtId="0" fontId="93" fillId="0" borderId="0" xfId="0" applyFont="1" applyAlignment="1">
      <alignment horizontal="center" vertical="top" wrapText="1"/>
    </xf>
    <xf numFmtId="0" fontId="89" fillId="0" borderId="0" xfId="0" applyFont="1" applyAlignment="1">
      <alignment horizontal="center" vertical="top"/>
    </xf>
    <xf numFmtId="0" fontId="70" fillId="0" borderId="107" xfId="0" applyFont="1" applyBorder="1" applyAlignment="1">
      <alignment horizontal="center" vertical="top"/>
    </xf>
    <xf numFmtId="0" fontId="70" fillId="0" borderId="425" xfId="0" applyFont="1" applyBorder="1" applyAlignment="1">
      <alignment horizontal="center" vertical="top"/>
    </xf>
    <xf numFmtId="0" fontId="70" fillId="0" borderId="421" xfId="0" applyFont="1" applyBorder="1" applyAlignment="1">
      <alignment vertical="top"/>
    </xf>
    <xf numFmtId="0" fontId="70" fillId="0" borderId="104" xfId="0" applyFont="1" applyBorder="1" applyAlignment="1">
      <alignment horizontal="center" vertical="top"/>
    </xf>
    <xf numFmtId="0" fontId="70" fillId="0" borderId="66" xfId="0" applyFont="1" applyBorder="1" applyAlignment="1">
      <alignment horizontal="center" vertical="top"/>
    </xf>
    <xf numFmtId="0" fontId="70" fillId="0" borderId="0" xfId="0" applyFont="1" applyAlignment="1">
      <alignment horizontal="center" vertical="top"/>
    </xf>
    <xf numFmtId="0" fontId="70" fillId="0" borderId="242" xfId="0" applyFont="1" applyBorder="1" applyAlignment="1">
      <alignment vertical="top"/>
    </xf>
    <xf numFmtId="0" fontId="70" fillId="0" borderId="78" xfId="0" applyFont="1" applyBorder="1" applyAlignment="1">
      <alignment horizontal="center" vertical="top"/>
    </xf>
    <xf numFmtId="0" fontId="19" fillId="0" borderId="300" xfId="47" applyFont="1" applyBorder="1" applyAlignment="1" applyProtection="1">
      <alignment vertical="center"/>
      <protection locked="0"/>
    </xf>
    <xf numFmtId="4" fontId="19" fillId="0" borderId="295" xfId="47" applyNumberFormat="1" applyFont="1" applyBorder="1" applyAlignment="1" applyProtection="1">
      <alignment vertical="center"/>
      <protection locked="0"/>
    </xf>
    <xf numFmtId="4" fontId="21" fillId="0" borderId="407" xfId="47" applyNumberFormat="1" applyFont="1" applyBorder="1" applyAlignment="1" applyProtection="1">
      <alignment vertical="center"/>
      <protection locked="0"/>
    </xf>
    <xf numFmtId="0" fontId="221" fillId="0" borderId="0" xfId="24" applyFont="1" applyAlignment="1">
      <alignment horizontal="left" vertical="center"/>
    </xf>
    <xf numFmtId="0" fontId="221" fillId="0" borderId="0" xfId="24" applyFont="1" applyAlignment="1">
      <alignment horizontal="center" vertical="center"/>
    </xf>
    <xf numFmtId="0" fontId="220" fillId="0" borderId="0" xfId="24" applyFont="1" applyAlignment="1">
      <alignment vertical="center"/>
    </xf>
    <xf numFmtId="0" fontId="221" fillId="0" borderId="0" xfId="24" applyFont="1" applyFill="1" applyAlignment="1">
      <alignment horizontal="left"/>
    </xf>
    <xf numFmtId="0" fontId="220" fillId="0" borderId="0" xfId="24" applyFont="1" applyFill="1" applyAlignment="1">
      <alignment horizontal="left"/>
    </xf>
    <xf numFmtId="0" fontId="75" fillId="0" borderId="0" xfId="0" applyFont="1" applyAlignment="1">
      <alignment horizontal="center" vertical="top"/>
    </xf>
    <xf numFmtId="0" fontId="70" fillId="0" borderId="23" xfId="0" applyFont="1" applyBorder="1" applyAlignment="1">
      <alignment horizontal="center" vertical="top"/>
    </xf>
    <xf numFmtId="0" fontId="70" fillId="0" borderId="242" xfId="0" applyFont="1" applyBorder="1" applyAlignment="1">
      <alignment horizontal="center" vertical="top"/>
    </xf>
    <xf numFmtId="0" fontId="68" fillId="0" borderId="0" xfId="0" applyFont="1" applyAlignment="1">
      <alignment horizontal="center" vertical="top"/>
    </xf>
    <xf numFmtId="0" fontId="0" fillId="0" borderId="0" xfId="0" applyBorder="1" applyAlignment="1">
      <alignment horizontal="justify" vertical="top" wrapText="1"/>
    </xf>
    <xf numFmtId="0" fontId="0" fillId="0" borderId="142" xfId="0" applyBorder="1" applyAlignment="1">
      <alignment horizontal="justify" vertical="top" wrapText="1"/>
    </xf>
    <xf numFmtId="0" fontId="0" fillId="0" borderId="245" xfId="0" applyBorder="1" applyAlignment="1">
      <alignment horizontal="justify" vertical="top" wrapText="1"/>
    </xf>
    <xf numFmtId="0" fontId="0" fillId="0" borderId="154" xfId="0" applyBorder="1" applyAlignment="1">
      <alignment horizontal="justify" vertical="top" wrapText="1"/>
    </xf>
    <xf numFmtId="0" fontId="0" fillId="0" borderId="141" xfId="0" applyBorder="1" applyAlignment="1">
      <alignment horizontal="justify" vertical="top" wrapText="1"/>
    </xf>
    <xf numFmtId="0" fontId="0" fillId="0" borderId="135" xfId="0" applyBorder="1" applyAlignment="1">
      <alignment horizontal="justify" vertical="top" wrapText="1"/>
    </xf>
    <xf numFmtId="0" fontId="0" fillId="0" borderId="137" xfId="0" applyBorder="1" applyAlignment="1">
      <alignment horizontal="justify" vertical="top" wrapText="1"/>
    </xf>
    <xf numFmtId="0" fontId="0" fillId="0" borderId="139" xfId="0" applyBorder="1" applyAlignment="1">
      <alignment horizontal="justify" vertical="top" wrapText="1"/>
    </xf>
    <xf numFmtId="3" fontId="0" fillId="0" borderId="137" xfId="0" applyNumberFormat="1" applyBorder="1" applyAlignment="1">
      <alignment horizontal="center" vertical="top" wrapText="1"/>
    </xf>
    <xf numFmtId="3" fontId="0" fillId="0" borderId="139" xfId="0" applyNumberFormat="1" applyBorder="1" applyAlignment="1">
      <alignment horizontal="center" vertical="top" wrapText="1"/>
    </xf>
    <xf numFmtId="9" fontId="0" fillId="0" borderId="137" xfId="0" applyNumberFormat="1" applyBorder="1" applyAlignment="1">
      <alignment horizontal="center" vertical="top" wrapText="1"/>
    </xf>
    <xf numFmtId="9" fontId="0" fillId="0" borderId="139" xfId="0" applyNumberFormat="1" applyBorder="1" applyAlignment="1">
      <alignment horizontal="center" vertical="top" wrapText="1"/>
    </xf>
    <xf numFmtId="0" fontId="0" fillId="0" borderId="137" xfId="0" applyBorder="1" applyAlignment="1">
      <alignment horizontal="center" vertical="top" wrapText="1"/>
    </xf>
    <xf numFmtId="0" fontId="0" fillId="0" borderId="139" xfId="0" applyBorder="1" applyAlignment="1">
      <alignment horizontal="center" vertical="top" wrapText="1"/>
    </xf>
    <xf numFmtId="9" fontId="0" fillId="0" borderId="135" xfId="0" applyNumberFormat="1" applyBorder="1" applyAlignment="1">
      <alignment horizontal="center" vertical="top" wrapText="1"/>
    </xf>
    <xf numFmtId="0" fontId="0" fillId="0" borderId="154" xfId="0" applyBorder="1" applyAlignment="1">
      <alignment horizontal="center" vertical="top" wrapText="1"/>
    </xf>
    <xf numFmtId="0" fontId="0" fillId="0" borderId="150" xfId="0" applyBorder="1" applyAlignment="1">
      <alignment horizontal="center" vertical="top" wrapText="1"/>
    </xf>
    <xf numFmtId="0" fontId="0" fillId="0" borderId="0" xfId="0" applyBorder="1" applyAlignment="1">
      <alignment horizontal="center" vertical="top" wrapText="1"/>
    </xf>
    <xf numFmtId="0" fontId="0" fillId="0" borderId="142" xfId="0" applyBorder="1" applyAlignment="1">
      <alignment horizontal="center" vertical="top" wrapText="1"/>
    </xf>
    <xf numFmtId="0" fontId="0" fillId="0" borderId="0" xfId="0" applyBorder="1" applyAlignment="1">
      <alignment vertical="top" wrapText="1"/>
    </xf>
    <xf numFmtId="0" fontId="0" fillId="0" borderId="142" xfId="0" applyBorder="1" applyAlignment="1">
      <alignment vertical="top" wrapText="1"/>
    </xf>
    <xf numFmtId="0" fontId="0" fillId="0" borderId="245" xfId="0" applyBorder="1" applyAlignment="1">
      <alignment vertical="top" wrapText="1"/>
    </xf>
    <xf numFmtId="0" fontId="71" fillId="0" borderId="135" xfId="0" applyFont="1" applyBorder="1" applyAlignment="1">
      <alignment vertical="top" wrapText="1"/>
    </xf>
    <xf numFmtId="0" fontId="71" fillId="0" borderId="137" xfId="0" applyFont="1" applyBorder="1" applyAlignment="1">
      <alignment vertical="top" wrapText="1"/>
    </xf>
    <xf numFmtId="0" fontId="71" fillId="0" borderId="139" xfId="0" applyFont="1" applyBorder="1" applyAlignment="1">
      <alignment vertical="top" wrapText="1"/>
    </xf>
    <xf numFmtId="0" fontId="89" fillId="0" borderId="135" xfId="0" applyFont="1" applyBorder="1" applyAlignment="1">
      <alignment vertical="top" wrapText="1"/>
    </xf>
    <xf numFmtId="0" fontId="89" fillId="0" borderId="137" xfId="0" applyFont="1" applyBorder="1" applyAlignment="1">
      <alignment vertical="top" wrapText="1"/>
    </xf>
    <xf numFmtId="0" fontId="89" fillId="0" borderId="139" xfId="0" applyFont="1" applyBorder="1" applyAlignment="1">
      <alignment vertical="top" wrapText="1"/>
    </xf>
    <xf numFmtId="0" fontId="89" fillId="0" borderId="137" xfId="0" applyFont="1" applyBorder="1" applyAlignment="1">
      <alignment horizontal="center" vertical="top" wrapText="1"/>
    </xf>
    <xf numFmtId="0" fontId="69" fillId="0" borderId="150" xfId="0" applyFont="1" applyBorder="1" applyAlignment="1">
      <alignment vertical="top" wrapText="1"/>
    </xf>
    <xf numFmtId="0" fontId="69" fillId="0" borderId="142" xfId="0" applyFont="1" applyBorder="1" applyAlignment="1">
      <alignment vertical="top" wrapText="1"/>
    </xf>
    <xf numFmtId="0" fontId="71" fillId="0" borderId="154" xfId="0" applyFont="1" applyBorder="1" applyAlignment="1">
      <alignment vertical="top" wrapText="1"/>
    </xf>
    <xf numFmtId="0" fontId="71" fillId="0" borderId="141" xfId="0" applyFont="1" applyBorder="1" applyAlignment="1">
      <alignment vertical="top" wrapText="1"/>
    </xf>
    <xf numFmtId="0" fontId="74" fillId="0" borderId="0" xfId="0" applyFont="1" applyAlignment="1">
      <alignment horizontal="left" vertical="top" wrapText="1"/>
    </xf>
    <xf numFmtId="0" fontId="69" fillId="0" borderId="140" xfId="0" applyFont="1" applyBorder="1" applyAlignment="1">
      <alignment horizontal="center" vertical="top" wrapText="1"/>
    </xf>
    <xf numFmtId="0" fontId="69" fillId="0" borderId="139" xfId="0" applyFont="1" applyBorder="1" applyAlignment="1">
      <alignment horizontal="center" vertical="top" wrapText="1"/>
    </xf>
    <xf numFmtId="0" fontId="112" fillId="0" borderId="135" xfId="0" applyFont="1" applyBorder="1" applyAlignment="1">
      <alignment vertical="top" wrapText="1"/>
    </xf>
    <xf numFmtId="0" fontId="112" fillId="0" borderId="139" xfId="0" applyFont="1" applyBorder="1" applyAlignment="1">
      <alignment vertical="top" wrapText="1"/>
    </xf>
    <xf numFmtId="0" fontId="112" fillId="0" borderId="137" xfId="0" applyFont="1" applyBorder="1" applyAlignment="1">
      <alignment vertical="top" wrapText="1"/>
    </xf>
    <xf numFmtId="0" fontId="74" fillId="0" borderId="137" xfId="0" applyFont="1" applyBorder="1" applyAlignment="1">
      <alignment vertical="top" wrapText="1"/>
    </xf>
    <xf numFmtId="0" fontId="21" fillId="0" borderId="0" xfId="65" applyFont="1" applyAlignment="1">
      <alignment horizontal="center" vertical="top"/>
    </xf>
    <xf numFmtId="49" fontId="46" fillId="5" borderId="0" xfId="48" applyNumberFormat="1" applyFont="1" applyFill="1" applyBorder="1" applyAlignment="1">
      <alignment horizontal="left" vertical="top"/>
    </xf>
    <xf numFmtId="49" fontId="46" fillId="5" borderId="0" xfId="48" applyNumberFormat="1" applyFont="1" applyFill="1" applyBorder="1" applyAlignment="1">
      <alignment horizontal="center" vertical="top"/>
    </xf>
    <xf numFmtId="49" fontId="46" fillId="5" borderId="0" xfId="48" applyNumberFormat="1" applyFont="1" applyFill="1" applyBorder="1" applyAlignment="1">
      <alignment vertical="top"/>
    </xf>
    <xf numFmtId="0" fontId="0" fillId="0" borderId="0" xfId="0"/>
    <xf numFmtId="0" fontId="19" fillId="0" borderId="0" xfId="65" applyFont="1" applyBorder="1" applyAlignment="1">
      <alignment horizontal="center" vertical="top"/>
    </xf>
    <xf numFmtId="0" fontId="31" fillId="0" borderId="0" xfId="65" applyFont="1" applyAlignment="1">
      <alignment horizontal="center" vertical="top"/>
    </xf>
    <xf numFmtId="0" fontId="21" fillId="0" borderId="25" xfId="65" applyFont="1" applyBorder="1" applyAlignment="1">
      <alignment horizontal="center" vertical="top" wrapText="1"/>
    </xf>
    <xf numFmtId="0" fontId="21" fillId="0" borderId="0" xfId="65" applyFont="1" applyBorder="1" applyAlignment="1">
      <alignment horizontal="center" vertical="top"/>
    </xf>
    <xf numFmtId="0" fontId="19" fillId="0" borderId="212" xfId="65" applyFont="1" applyBorder="1" applyAlignment="1">
      <alignment horizontal="center" vertical="top" wrapText="1"/>
    </xf>
    <xf numFmtId="0" fontId="69" fillId="0" borderId="371" xfId="0" applyFont="1" applyBorder="1" applyAlignment="1">
      <alignment horizontal="center" vertical="top" wrapText="1"/>
    </xf>
    <xf numFmtId="0" fontId="55" fillId="0" borderId="0" xfId="0" applyFont="1" applyAlignment="1">
      <alignment horizontal="justify" vertical="top"/>
    </xf>
    <xf numFmtId="0" fontId="0" fillId="0" borderId="137" xfId="0" applyBorder="1" applyAlignment="1">
      <alignment vertical="top" wrapText="1"/>
    </xf>
    <xf numFmtId="0" fontId="0" fillId="0" borderId="139" xfId="0" applyBorder="1" applyAlignment="1">
      <alignment vertical="top" wrapText="1"/>
    </xf>
    <xf numFmtId="0" fontId="0" fillId="0" borderId="135" xfId="0" applyBorder="1" applyAlignment="1">
      <alignment vertical="top" wrapText="1"/>
    </xf>
    <xf numFmtId="0" fontId="19" fillId="0" borderId="91" xfId="65" applyFont="1" applyBorder="1" applyAlignment="1">
      <alignment vertical="top" wrapText="1"/>
    </xf>
    <xf numFmtId="0" fontId="18" fillId="0" borderId="0" xfId="2" applyFont="1" applyAlignment="1">
      <alignment horizontal="center" vertical="top"/>
    </xf>
    <xf numFmtId="0" fontId="89" fillId="0" borderId="0" xfId="0" applyFont="1" applyAlignment="1">
      <alignment vertical="top"/>
    </xf>
    <xf numFmtId="0" fontId="82" fillId="0" borderId="0" xfId="0" applyFont="1" applyBorder="1" applyAlignment="1">
      <alignment vertical="top"/>
    </xf>
    <xf numFmtId="0" fontId="89" fillId="0" borderId="0" xfId="0" applyFont="1" applyBorder="1" applyAlignment="1">
      <alignment vertical="top"/>
    </xf>
    <xf numFmtId="43" fontId="89" fillId="0" borderId="0" xfId="1" applyFont="1" applyAlignment="1">
      <alignment horizontal="right" vertical="top"/>
    </xf>
    <xf numFmtId="0" fontId="89" fillId="0" borderId="0" xfId="0" applyFont="1" applyAlignment="1">
      <alignment horizontal="left" vertical="top"/>
    </xf>
    <xf numFmtId="0" fontId="89" fillId="0" borderId="0" xfId="0" applyFont="1" applyAlignment="1">
      <alignment horizontal="justify" vertical="top" wrapText="1"/>
    </xf>
    <xf numFmtId="0" fontId="89" fillId="0" borderId="0" xfId="0" applyFont="1" applyAlignment="1">
      <alignment horizontal="center" vertical="top" wrapText="1"/>
    </xf>
    <xf numFmtId="0" fontId="89" fillId="0" borderId="0" xfId="0" applyFont="1" applyAlignment="1">
      <alignment horizontal="left" vertical="top" wrapText="1"/>
    </xf>
    <xf numFmtId="43" fontId="82" fillId="0" borderId="0" xfId="1" applyFont="1" applyBorder="1" applyAlignment="1">
      <alignment horizontal="right" vertical="top"/>
    </xf>
    <xf numFmtId="0" fontId="82" fillId="0" borderId="0" xfId="0" applyFont="1" applyBorder="1" applyAlignment="1">
      <alignment horizontal="left" vertical="top"/>
    </xf>
    <xf numFmtId="0" fontId="82" fillId="0" borderId="0" xfId="0" applyFont="1" applyBorder="1" applyAlignment="1">
      <alignment horizontal="center" vertical="top"/>
    </xf>
    <xf numFmtId="0" fontId="70" fillId="0" borderId="369" xfId="0" applyFont="1" applyBorder="1" applyAlignment="1">
      <alignment horizontal="center" vertical="top"/>
    </xf>
    <xf numFmtId="0" fontId="70" fillId="0" borderId="425" xfId="0" applyFont="1" applyBorder="1" applyAlignment="1">
      <alignment horizontal="left" vertical="top"/>
    </xf>
    <xf numFmtId="0" fontId="89" fillId="0" borderId="421" xfId="0" applyFont="1" applyBorder="1" applyAlignment="1">
      <alignment vertical="top"/>
    </xf>
    <xf numFmtId="0" fontId="89" fillId="0" borderId="312" xfId="0" applyFont="1" applyBorder="1" applyAlignment="1">
      <alignment horizontal="center" vertical="top"/>
    </xf>
    <xf numFmtId="0" fontId="89" fillId="0" borderId="312" xfId="0" applyFont="1" applyBorder="1" applyAlignment="1">
      <alignment vertical="top"/>
    </xf>
    <xf numFmtId="0" fontId="89" fillId="0" borderId="368" xfId="0" applyFont="1" applyBorder="1" applyAlignment="1">
      <alignment vertical="top"/>
    </xf>
    <xf numFmtId="0" fontId="89" fillId="0" borderId="186" xfId="0" applyFont="1" applyBorder="1" applyAlignment="1">
      <alignment horizontal="center" vertical="top"/>
    </xf>
    <xf numFmtId="0" fontId="89" fillId="0" borderId="186" xfId="0" applyFont="1" applyBorder="1" applyAlignment="1">
      <alignment horizontal="left" vertical="top" wrapText="1"/>
    </xf>
    <xf numFmtId="0" fontId="89" fillId="0" borderId="186" xfId="0" applyFont="1" applyBorder="1" applyAlignment="1">
      <alignment vertical="top"/>
    </xf>
    <xf numFmtId="0" fontId="89" fillId="0" borderId="186" xfId="0" applyFont="1" applyBorder="1" applyAlignment="1">
      <alignment vertical="center"/>
    </xf>
    <xf numFmtId="0" fontId="70" fillId="0" borderId="368" xfId="0" applyFont="1" applyBorder="1" applyAlignment="1">
      <alignment horizontal="left" vertical="center"/>
    </xf>
    <xf numFmtId="0" fontId="90" fillId="0" borderId="68" xfId="0" applyFont="1" applyBorder="1" applyAlignment="1">
      <alignment vertical="center" wrapText="1"/>
    </xf>
    <xf numFmtId="0" fontId="89" fillId="0" borderId="186" xfId="0" applyFont="1" applyBorder="1" applyAlignment="1">
      <alignment horizontal="center" vertical="center" wrapText="1"/>
    </xf>
    <xf numFmtId="0" fontId="89" fillId="0" borderId="186" xfId="0" applyFont="1" applyBorder="1" applyAlignment="1">
      <alignment horizontal="left" vertical="center" wrapText="1"/>
    </xf>
    <xf numFmtId="43" fontId="89" fillId="0" borderId="0" xfId="1" applyFont="1" applyBorder="1" applyAlignment="1">
      <alignment horizontal="right" vertical="center"/>
    </xf>
    <xf numFmtId="43" fontId="89" fillId="0" borderId="368" xfId="1" applyFont="1" applyBorder="1" applyAlignment="1">
      <alignment horizontal="right" vertical="top"/>
    </xf>
    <xf numFmtId="0" fontId="70" fillId="0" borderId="68" xfId="0" applyFont="1" applyBorder="1" applyAlignment="1">
      <alignment horizontal="left" vertical="top" wrapText="1"/>
    </xf>
    <xf numFmtId="0" fontId="89" fillId="0" borderId="186" xfId="0" applyFont="1" applyBorder="1" applyAlignment="1">
      <alignment horizontal="center" vertical="top" wrapText="1"/>
    </xf>
    <xf numFmtId="0" fontId="89" fillId="0" borderId="186" xfId="0" applyFont="1" applyBorder="1" applyAlignment="1">
      <alignment vertical="top" wrapText="1"/>
    </xf>
    <xf numFmtId="0" fontId="89" fillId="0" borderId="68" xfId="0" applyFont="1" applyBorder="1" applyAlignment="1">
      <alignment horizontal="left" vertical="top" wrapText="1"/>
    </xf>
    <xf numFmtId="0" fontId="89" fillId="0" borderId="368" xfId="0" applyFont="1" applyBorder="1" applyAlignment="1">
      <alignment horizontal="center" vertical="top"/>
    </xf>
    <xf numFmtId="0" fontId="89" fillId="0" borderId="68" xfId="0" applyFont="1" applyBorder="1" applyAlignment="1">
      <alignment vertical="top" wrapText="1"/>
    </xf>
    <xf numFmtId="0" fontId="89" fillId="0" borderId="241" xfId="0" applyFont="1" applyBorder="1" applyAlignment="1">
      <alignment vertical="top"/>
    </xf>
    <xf numFmtId="0" fontId="89" fillId="0" borderId="23" xfId="0" applyFont="1" applyBorder="1" applyAlignment="1">
      <alignment vertical="top"/>
    </xf>
    <xf numFmtId="0" fontId="89" fillId="0" borderId="242" xfId="0" applyFont="1" applyBorder="1" applyAlignment="1">
      <alignment vertical="top" wrapText="1"/>
    </xf>
    <xf numFmtId="0" fontId="89" fillId="0" borderId="241" xfId="0" applyFont="1" applyBorder="1" applyAlignment="1">
      <alignment vertical="top" wrapText="1"/>
    </xf>
    <xf numFmtId="0" fontId="89" fillId="0" borderId="241" xfId="0" applyFont="1" applyBorder="1" applyAlignment="1">
      <alignment horizontal="center" vertical="top" wrapText="1"/>
    </xf>
    <xf numFmtId="0" fontId="89" fillId="0" borderId="0" xfId="0" applyFont="1" applyBorder="1" applyAlignment="1">
      <alignment horizontal="left" vertical="top" wrapText="1"/>
    </xf>
    <xf numFmtId="0" fontId="89" fillId="0" borderId="0" xfId="0" applyFont="1" applyBorder="1" applyAlignment="1">
      <alignment horizontal="center" vertical="top"/>
    </xf>
    <xf numFmtId="0" fontId="89" fillId="0" borderId="425" xfId="0" applyFont="1" applyBorder="1" applyAlignment="1">
      <alignment vertical="top"/>
    </xf>
    <xf numFmtId="0" fontId="70" fillId="0" borderId="421" xfId="0" applyFont="1" applyBorder="1" applyAlignment="1">
      <alignment vertical="top" wrapText="1"/>
    </xf>
    <xf numFmtId="0" fontId="89" fillId="0" borderId="312" xfId="0" applyFont="1" applyBorder="1" applyAlignment="1">
      <alignment vertical="top" wrapText="1"/>
    </xf>
    <xf numFmtId="0" fontId="89" fillId="0" borderId="312" xfId="0" applyFont="1" applyBorder="1" applyAlignment="1">
      <alignment horizontal="center" vertical="top" wrapText="1"/>
    </xf>
    <xf numFmtId="0" fontId="90" fillId="0" borderId="68" xfId="0" applyFont="1" applyBorder="1" applyAlignment="1">
      <alignment vertical="top" wrapText="1"/>
    </xf>
    <xf numFmtId="0" fontId="70" fillId="0" borderId="368" xfId="0" applyFont="1" applyBorder="1" applyAlignment="1">
      <alignment vertical="top" wrapText="1"/>
    </xf>
    <xf numFmtId="0" fontId="70" fillId="0" borderId="68" xfId="0" applyFont="1" applyBorder="1" applyAlignment="1">
      <alignment vertical="top" wrapText="1"/>
    </xf>
    <xf numFmtId="0" fontId="89" fillId="0" borderId="68" xfId="0" applyFont="1" applyBorder="1" applyAlignment="1">
      <alignment vertical="top"/>
    </xf>
    <xf numFmtId="0" fontId="70" fillId="0" borderId="368" xfId="0" applyFont="1" applyBorder="1" applyAlignment="1">
      <alignment horizontal="left" vertical="top"/>
    </xf>
    <xf numFmtId="0" fontId="89" fillId="0" borderId="368" xfId="0" applyFont="1" applyBorder="1" applyAlignment="1">
      <alignment horizontal="center" vertical="top" wrapText="1"/>
    </xf>
    <xf numFmtId="0" fontId="89" fillId="0" borderId="0" xfId="0" applyFont="1" applyAlignment="1">
      <alignment vertical="top" wrapText="1"/>
    </xf>
    <xf numFmtId="0" fontId="70" fillId="0" borderId="186" xfId="0" applyFont="1" applyBorder="1" applyAlignment="1">
      <alignment vertical="top" wrapText="1"/>
    </xf>
    <xf numFmtId="0" fontId="89" fillId="0" borderId="0" xfId="0" applyFont="1" applyBorder="1" applyAlignment="1">
      <alignment horizontal="center" vertical="top" wrapText="1"/>
    </xf>
    <xf numFmtId="0" fontId="89" fillId="0" borderId="368" xfId="0" applyFont="1" applyBorder="1" applyAlignment="1">
      <alignment vertical="top" wrapText="1"/>
    </xf>
    <xf numFmtId="0" fontId="70" fillId="0" borderId="0" xfId="0" applyFont="1" applyAlignment="1">
      <alignment vertical="top" wrapText="1"/>
    </xf>
    <xf numFmtId="9" fontId="89" fillId="0" borderId="186" xfId="0" applyNumberFormat="1" applyFont="1" applyBorder="1" applyAlignment="1">
      <alignment horizontal="center" vertical="top" wrapText="1"/>
    </xf>
    <xf numFmtId="0" fontId="89" fillId="0" borderId="241" xfId="0" applyFont="1" applyBorder="1" applyAlignment="1">
      <alignment horizontal="center" vertical="top"/>
    </xf>
    <xf numFmtId="0" fontId="89" fillId="0" borderId="23" xfId="0" applyFont="1" applyBorder="1" applyAlignment="1">
      <alignment horizontal="center" vertical="top"/>
    </xf>
    <xf numFmtId="0" fontId="70" fillId="0" borderId="242" xfId="0" applyFont="1" applyBorder="1" applyAlignment="1">
      <alignment vertical="top" wrapText="1"/>
    </xf>
    <xf numFmtId="0" fontId="89" fillId="0" borderId="0" xfId="0" applyFont="1"/>
    <xf numFmtId="0" fontId="89" fillId="0" borderId="0" xfId="0" applyFont="1" applyBorder="1"/>
    <xf numFmtId="0" fontId="70" fillId="0" borderId="357" xfId="0" applyFont="1" applyBorder="1" applyAlignment="1">
      <alignment horizontal="center" vertical="top"/>
    </xf>
    <xf numFmtId="0" fontId="89" fillId="0" borderId="436" xfId="0" applyFont="1" applyBorder="1" applyAlignment="1">
      <alignment vertical="top"/>
    </xf>
    <xf numFmtId="0" fontId="89" fillId="0" borderId="436" xfId="0" applyFont="1" applyBorder="1" applyAlignment="1">
      <alignment vertical="top" wrapText="1"/>
    </xf>
    <xf numFmtId="0" fontId="89" fillId="0" borderId="436" xfId="0" applyFont="1" applyBorder="1" applyAlignment="1">
      <alignment horizontal="left" vertical="top" wrapText="1"/>
    </xf>
    <xf numFmtId="0" fontId="89" fillId="0" borderId="436" xfId="0" applyFont="1" applyBorder="1" applyAlignment="1">
      <alignment horizontal="center" vertical="top"/>
    </xf>
    <xf numFmtId="0" fontId="89" fillId="0" borderId="398" xfId="0" applyFont="1" applyBorder="1" applyAlignment="1">
      <alignment vertical="top" wrapText="1"/>
    </xf>
    <xf numFmtId="0" fontId="89" fillId="0" borderId="357" xfId="0" applyFont="1" applyBorder="1" applyAlignment="1">
      <alignment vertical="top" wrapText="1"/>
    </xf>
    <xf numFmtId="0" fontId="70" fillId="0" borderId="0" xfId="0" applyFont="1" applyBorder="1" applyAlignment="1">
      <alignment vertical="top" wrapText="1"/>
    </xf>
    <xf numFmtId="0" fontId="89" fillId="0" borderId="357" xfId="0" applyFont="1" applyBorder="1" applyAlignment="1">
      <alignment vertical="top"/>
    </xf>
    <xf numFmtId="0" fontId="89" fillId="0" borderId="357" xfId="0" applyFont="1" applyBorder="1" applyAlignment="1">
      <alignment horizontal="center" vertical="top" wrapText="1"/>
    </xf>
    <xf numFmtId="0" fontId="70" fillId="0" borderId="398" xfId="0" applyFont="1" applyBorder="1" applyAlignment="1">
      <alignment vertical="top" wrapText="1"/>
    </xf>
    <xf numFmtId="0" fontId="89" fillId="0" borderId="357" xfId="0" applyFont="1" applyBorder="1" applyAlignment="1">
      <alignment horizontal="center" vertical="top"/>
    </xf>
    <xf numFmtId="0" fontId="89" fillId="0" borderId="437" xfId="0" applyFont="1" applyBorder="1" applyAlignment="1">
      <alignment vertical="top" wrapText="1"/>
    </xf>
    <xf numFmtId="0" fontId="89" fillId="0" borderId="398" xfId="0" applyFont="1" applyBorder="1" applyAlignment="1">
      <alignment vertical="top"/>
    </xf>
    <xf numFmtId="0" fontId="89" fillId="0" borderId="243" xfId="0" applyFont="1" applyBorder="1" applyAlignment="1">
      <alignment horizontal="center" vertical="top"/>
    </xf>
    <xf numFmtId="0" fontId="89" fillId="0" borderId="437" xfId="0" applyFont="1" applyBorder="1" applyAlignment="1">
      <alignment vertical="top"/>
    </xf>
    <xf numFmtId="0" fontId="70" fillId="0" borderId="368" xfId="0" applyFont="1" applyBorder="1" applyAlignment="1">
      <alignment horizontal="center" vertical="top"/>
    </xf>
    <xf numFmtId="0" fontId="90" fillId="0" borderId="398" xfId="0" applyFont="1" applyBorder="1" applyAlignment="1">
      <alignment vertical="top" wrapText="1"/>
    </xf>
    <xf numFmtId="0" fontId="70" fillId="0" borderId="357" xfId="0" applyFont="1" applyBorder="1" applyAlignment="1">
      <alignment vertical="top" wrapText="1"/>
    </xf>
    <xf numFmtId="0" fontId="89" fillId="0" borderId="243" xfId="0" applyFont="1" applyBorder="1" applyAlignment="1">
      <alignment vertical="top" wrapText="1"/>
    </xf>
    <xf numFmtId="0" fontId="89" fillId="0" borderId="436" xfId="0" applyFont="1" applyBorder="1" applyAlignment="1">
      <alignment horizontal="center" vertical="top" wrapText="1"/>
    </xf>
    <xf numFmtId="0" fontId="70" fillId="0" borderId="436" xfId="0" applyFont="1" applyBorder="1" applyAlignment="1">
      <alignment vertical="top" wrapText="1"/>
    </xf>
    <xf numFmtId="0" fontId="89" fillId="0" borderId="433" xfId="0" applyFont="1" applyBorder="1" applyAlignment="1">
      <alignment horizontal="center" vertical="top"/>
    </xf>
    <xf numFmtId="0" fontId="89" fillId="0" borderId="433" xfId="0" applyFont="1" applyBorder="1" applyAlignment="1">
      <alignment vertical="top" wrapText="1"/>
    </xf>
    <xf numFmtId="0" fontId="89" fillId="0" borderId="433" xfId="0" applyFont="1" applyBorder="1" applyAlignment="1">
      <alignment horizontal="center" vertical="top" wrapText="1"/>
    </xf>
    <xf numFmtId="0" fontId="70" fillId="0" borderId="433" xfId="0" applyFont="1" applyBorder="1" applyAlignment="1">
      <alignment vertical="top" wrapText="1"/>
    </xf>
    <xf numFmtId="43" fontId="75" fillId="0" borderId="0" xfId="1" applyFont="1" applyAlignment="1">
      <alignment horizontal="center" vertical="top"/>
    </xf>
    <xf numFmtId="43" fontId="89" fillId="0" borderId="0" xfId="1" applyFont="1" applyAlignment="1">
      <alignment horizontal="justify" vertical="top" wrapText="1"/>
    </xf>
    <xf numFmtId="43" fontId="89" fillId="0" borderId="0" xfId="1" applyFont="1" applyAlignment="1">
      <alignment horizontal="left" vertical="top" wrapText="1"/>
    </xf>
    <xf numFmtId="43" fontId="70" fillId="0" borderId="104" xfId="1" applyFont="1" applyBorder="1" applyAlignment="1">
      <alignment horizontal="center" vertical="top"/>
    </xf>
    <xf numFmtId="43" fontId="70" fillId="0" borderId="107" xfId="1" applyFont="1" applyBorder="1" applyAlignment="1">
      <alignment horizontal="center" vertical="top"/>
    </xf>
    <xf numFmtId="43" fontId="89" fillId="0" borderId="312" xfId="1" applyFont="1" applyBorder="1" applyAlignment="1">
      <alignment horizontal="center" vertical="top"/>
    </xf>
    <xf numFmtId="43" fontId="89" fillId="0" borderId="186" xfId="1" applyFont="1" applyBorder="1" applyAlignment="1">
      <alignment horizontal="center" vertical="top"/>
    </xf>
    <xf numFmtId="43" fontId="89" fillId="0" borderId="186" xfId="1" applyFont="1" applyBorder="1" applyAlignment="1">
      <alignment horizontal="center" vertical="center" wrapText="1"/>
    </xf>
    <xf numFmtId="43" fontId="89" fillId="0" borderId="186" xfId="1" applyFont="1" applyBorder="1" applyAlignment="1">
      <alignment horizontal="center" vertical="top" wrapText="1"/>
    </xf>
    <xf numFmtId="43" fontId="89" fillId="0" borderId="186" xfId="1" applyFont="1" applyBorder="1" applyAlignment="1">
      <alignment horizontal="right" vertical="top" wrapText="1"/>
    </xf>
    <xf numFmtId="43" fontId="89" fillId="0" borderId="436" xfId="1" applyFont="1" applyBorder="1" applyAlignment="1">
      <alignment vertical="top"/>
    </xf>
    <xf numFmtId="43" fontId="89" fillId="0" borderId="0" xfId="1" applyFont="1" applyBorder="1" applyAlignment="1">
      <alignment vertical="top"/>
    </xf>
    <xf numFmtId="43" fontId="89" fillId="0" borderId="241" xfId="1" applyFont="1" applyBorder="1" applyAlignment="1">
      <alignment horizontal="center" vertical="top" wrapText="1"/>
    </xf>
    <xf numFmtId="43" fontId="89" fillId="0" borderId="186" xfId="1" applyFont="1" applyBorder="1" applyAlignment="1">
      <alignment vertical="top" wrapText="1"/>
    </xf>
    <xf numFmtId="43" fontId="89" fillId="0" borderId="357" xfId="1" applyFont="1" applyBorder="1" applyAlignment="1">
      <alignment vertical="top" wrapText="1"/>
    </xf>
    <xf numFmtId="43" fontId="89" fillId="0" borderId="357" xfId="1" applyFont="1" applyBorder="1" applyAlignment="1">
      <alignment vertical="top"/>
    </xf>
    <xf numFmtId="43" fontId="89" fillId="0" borderId="241" xfId="1" applyFont="1" applyBorder="1" applyAlignment="1">
      <alignment horizontal="center" vertical="top"/>
    </xf>
    <xf numFmtId="43" fontId="89" fillId="0" borderId="0" xfId="1" applyFont="1" applyBorder="1" applyAlignment="1">
      <alignment horizontal="center" vertical="top"/>
    </xf>
    <xf numFmtId="43" fontId="89" fillId="0" borderId="357" xfId="1" applyFont="1" applyBorder="1" applyAlignment="1">
      <alignment horizontal="right" vertical="top" wrapText="1"/>
    </xf>
    <xf numFmtId="43" fontId="89" fillId="0" borderId="357" xfId="1" applyFont="1" applyBorder="1" applyAlignment="1">
      <alignment horizontal="center" vertical="top" wrapText="1"/>
    </xf>
    <xf numFmtId="43" fontId="89" fillId="0" borderId="241" xfId="1" applyFont="1" applyBorder="1" applyAlignment="1">
      <alignment vertical="top" wrapText="1"/>
    </xf>
    <xf numFmtId="43" fontId="89" fillId="0" borderId="0" xfId="1" applyFont="1" applyBorder="1" applyAlignment="1">
      <alignment vertical="top" wrapText="1"/>
    </xf>
    <xf numFmtId="43" fontId="70" fillId="0" borderId="186" xfId="1" applyFont="1" applyBorder="1" applyAlignment="1">
      <alignment vertical="top" wrapText="1"/>
    </xf>
    <xf numFmtId="43" fontId="89" fillId="0" borderId="186" xfId="1" applyFont="1" applyBorder="1" applyAlignment="1">
      <alignment vertical="top"/>
    </xf>
    <xf numFmtId="43" fontId="89" fillId="0" borderId="436" xfId="1" applyFont="1" applyBorder="1" applyAlignment="1">
      <alignment horizontal="right" vertical="top" wrapText="1"/>
    </xf>
    <xf numFmtId="43" fontId="89" fillId="0" borderId="0" xfId="1" applyFont="1" applyBorder="1" applyAlignment="1">
      <alignment horizontal="right" vertical="top" wrapText="1"/>
    </xf>
    <xf numFmtId="43" fontId="89" fillId="0" borderId="433" xfId="1" applyFont="1" applyBorder="1" applyAlignment="1">
      <alignment horizontal="right" vertical="top" wrapText="1"/>
    </xf>
    <xf numFmtId="43" fontId="70" fillId="0" borderId="241" xfId="1" applyFont="1" applyBorder="1" applyAlignment="1">
      <alignment horizontal="center" vertical="top" wrapText="1"/>
    </xf>
    <xf numFmtId="43" fontId="89" fillId="0" borderId="0" xfId="1" applyFont="1" applyAlignment="1">
      <alignment vertical="top"/>
    </xf>
    <xf numFmtId="43" fontId="89" fillId="0" borderId="0" xfId="1" applyFont="1"/>
    <xf numFmtId="0" fontId="70" fillId="0" borderId="78" xfId="1" applyNumberFormat="1" applyFont="1" applyBorder="1" applyAlignment="1">
      <alignment horizontal="center" vertical="top"/>
    </xf>
    <xf numFmtId="0" fontId="119" fillId="0" borderId="0" xfId="0" applyFont="1" applyAlignment="1">
      <alignment vertical="top"/>
    </xf>
    <xf numFmtId="0" fontId="0" fillId="0" borderId="0" xfId="0" applyBorder="1" applyAlignment="1">
      <alignment vertical="top"/>
    </xf>
    <xf numFmtId="0" fontId="192" fillId="0" borderId="295" xfId="0" applyFont="1" applyBorder="1" applyAlignment="1">
      <alignment vertical="top"/>
    </xf>
    <xf numFmtId="43" fontId="0" fillId="0" borderId="295" xfId="0" applyNumberFormat="1" applyBorder="1" applyAlignment="1">
      <alignment vertical="top"/>
    </xf>
    <xf numFmtId="0" fontId="192" fillId="0" borderId="295" xfId="0" applyFont="1" applyFill="1" applyBorder="1" applyAlignment="1">
      <alignment horizontal="left" vertical="top" wrapText="1"/>
    </xf>
    <xf numFmtId="0" fontId="213" fillId="0" borderId="295" xfId="0" applyFont="1" applyBorder="1" applyAlignment="1">
      <alignment horizontal="left" vertical="top" wrapText="1"/>
    </xf>
    <xf numFmtId="0" fontId="191" fillId="0" borderId="295" xfId="0" applyFont="1" applyBorder="1" applyAlignment="1">
      <alignment vertical="top"/>
    </xf>
    <xf numFmtId="0" fontId="191" fillId="0" borderId="295" xfId="0" applyFont="1" applyBorder="1" applyAlignment="1">
      <alignment horizontal="left" vertical="top"/>
    </xf>
    <xf numFmtId="0" fontId="191" fillId="0" borderId="295" xfId="0" applyFont="1" applyBorder="1" applyAlignment="1">
      <alignment vertical="top" wrapText="1"/>
    </xf>
    <xf numFmtId="0" fontId="213" fillId="0" borderId="295" xfId="0" applyFont="1" applyBorder="1" applyAlignment="1">
      <alignment horizontal="left" vertical="top"/>
    </xf>
    <xf numFmtId="0" fontId="213" fillId="0" borderId="295" xfId="0" applyFont="1" applyBorder="1" applyAlignment="1">
      <alignment vertical="top"/>
    </xf>
    <xf numFmtId="0" fontId="62" fillId="0" borderId="392" xfId="0" applyFont="1" applyBorder="1" applyAlignment="1">
      <alignment vertical="top"/>
    </xf>
    <xf numFmtId="43" fontId="62" fillId="0" borderId="10" xfId="0" applyNumberFormat="1" applyFont="1" applyBorder="1" applyAlignment="1">
      <alignment vertical="top"/>
    </xf>
    <xf numFmtId="43" fontId="62" fillId="0" borderId="392" xfId="0" applyNumberFormat="1" applyFont="1" applyBorder="1" applyAlignment="1">
      <alignment vertical="top"/>
    </xf>
    <xf numFmtId="43" fontId="0" fillId="0" borderId="389" xfId="0" applyNumberFormat="1" applyBorder="1" applyAlignment="1">
      <alignment vertical="top"/>
    </xf>
    <xf numFmtId="0" fontId="191" fillId="0" borderId="303" xfId="0" applyFont="1" applyBorder="1" applyAlignment="1">
      <alignment horizontal="left" vertical="top" wrapText="1"/>
    </xf>
    <xf numFmtId="43" fontId="0" fillId="0" borderId="303" xfId="0" applyNumberFormat="1" applyBorder="1" applyAlignment="1">
      <alignment vertical="top"/>
    </xf>
    <xf numFmtId="43" fontId="62" fillId="0" borderId="389" xfId="0" applyNumberFormat="1" applyFont="1" applyBorder="1" applyAlignment="1">
      <alignment vertical="top"/>
    </xf>
    <xf numFmtId="0" fontId="85" fillId="0" borderId="0" xfId="0" applyFont="1" applyBorder="1" applyAlignment="1">
      <alignment vertical="top"/>
    </xf>
    <xf numFmtId="0" fontId="0" fillId="0" borderId="0" xfId="0" applyFont="1" applyBorder="1" applyAlignment="1">
      <alignment vertical="top"/>
    </xf>
    <xf numFmtId="0" fontId="62" fillId="0" borderId="389" xfId="0" applyFont="1" applyBorder="1" applyAlignment="1">
      <alignment horizontal="center" vertical="top"/>
    </xf>
    <xf numFmtId="0" fontId="62" fillId="0" borderId="392" xfId="0" applyFont="1" applyBorder="1" applyAlignment="1">
      <alignment horizontal="center" vertical="top" wrapText="1"/>
    </xf>
    <xf numFmtId="0" fontId="62" fillId="0" borderId="392" xfId="0" applyFont="1" applyBorder="1" applyAlignment="1">
      <alignment horizontal="center" vertical="top"/>
    </xf>
    <xf numFmtId="0" fontId="62" fillId="0" borderId="295" xfId="0" applyFont="1" applyBorder="1" applyAlignment="1">
      <alignment vertical="top"/>
    </xf>
    <xf numFmtId="0" fontId="62" fillId="0" borderId="392" xfId="0" applyFont="1" applyBorder="1" applyAlignment="1">
      <alignment vertical="top" wrapText="1"/>
    </xf>
    <xf numFmtId="0" fontId="62" fillId="0" borderId="407" xfId="0" applyFont="1" applyBorder="1" applyAlignment="1">
      <alignment vertical="top"/>
    </xf>
    <xf numFmtId="0" fontId="62" fillId="0" borderId="0" xfId="0" applyFont="1" applyBorder="1" applyAlignment="1">
      <alignment vertical="top"/>
    </xf>
    <xf numFmtId="43" fontId="62" fillId="0" borderId="295" xfId="0" applyNumberFormat="1" applyFont="1" applyBorder="1" applyAlignment="1">
      <alignment vertical="top"/>
    </xf>
    <xf numFmtId="43" fontId="62" fillId="0" borderId="303" xfId="0" applyNumberFormat="1" applyFont="1" applyBorder="1" applyAlignment="1">
      <alignment vertical="top"/>
    </xf>
    <xf numFmtId="0" fontId="191" fillId="0" borderId="303" xfId="0" applyFont="1" applyBorder="1" applyAlignment="1">
      <alignment vertical="top" wrapText="1"/>
    </xf>
    <xf numFmtId="0" fontId="80" fillId="0" borderId="137" xfId="0" applyFont="1" applyBorder="1" applyAlignment="1">
      <alignment horizontal="justify" vertical="top" wrapText="1"/>
    </xf>
    <xf numFmtId="168" fontId="71" fillId="0" borderId="0" xfId="0" applyNumberFormat="1" applyFont="1" applyAlignment="1">
      <alignment vertical="top" wrapText="1"/>
    </xf>
    <xf numFmtId="0" fontId="80" fillId="0" borderId="137" xfId="0" applyFont="1" applyBorder="1" applyAlignment="1">
      <alignment vertical="top" wrapText="1"/>
    </xf>
    <xf numFmtId="0" fontId="80" fillId="0" borderId="140" xfId="0" applyFont="1" applyBorder="1" applyAlignment="1">
      <alignment horizontal="center" vertical="top" wrapText="1"/>
    </xf>
    <xf numFmtId="0" fontId="0" fillId="0" borderId="0" xfId="0" applyBorder="1" applyAlignment="1">
      <alignment horizontal="left" vertical="top" wrapText="1" indent="5"/>
    </xf>
    <xf numFmtId="0" fontId="67" fillId="0" borderId="0" xfId="0" applyFont="1" applyBorder="1" applyAlignment="1">
      <alignment vertical="top" wrapText="1"/>
    </xf>
    <xf numFmtId="0" fontId="67" fillId="0" borderId="0" xfId="0" applyFont="1" applyBorder="1" applyAlignment="1">
      <alignment vertical="top"/>
    </xf>
    <xf numFmtId="3" fontId="0" fillId="0" borderId="0" xfId="0" applyNumberFormat="1" applyBorder="1" applyAlignment="1">
      <alignment horizontal="center" vertical="top" wrapText="1"/>
    </xf>
    <xf numFmtId="9" fontId="0" fillId="0" borderId="0" xfId="0" applyNumberFormat="1" applyBorder="1" applyAlignment="1">
      <alignment horizontal="center" vertical="top" wrapText="1"/>
    </xf>
    <xf numFmtId="3" fontId="0" fillId="0" borderId="154" xfId="0" applyNumberFormat="1" applyBorder="1" applyAlignment="1">
      <alignment horizontal="center" vertical="top" wrapText="1"/>
    </xf>
    <xf numFmtId="9" fontId="0" fillId="0" borderId="154" xfId="0" applyNumberFormat="1" applyBorder="1" applyAlignment="1">
      <alignment horizontal="center" vertical="top" wrapText="1"/>
    </xf>
    <xf numFmtId="0" fontId="152" fillId="0" borderId="245" xfId="0" applyFont="1" applyBorder="1" applyAlignment="1">
      <alignment horizontal="left" vertical="top" wrapText="1" indent="1"/>
    </xf>
    <xf numFmtId="9" fontId="0" fillId="0" borderId="245" xfId="0" applyNumberFormat="1" applyBorder="1" applyAlignment="1">
      <alignment horizontal="center" vertical="top" wrapText="1"/>
    </xf>
    <xf numFmtId="0" fontId="0" fillId="0" borderId="245" xfId="0" applyBorder="1" applyAlignment="1">
      <alignment horizontal="center" vertical="top" wrapText="1"/>
    </xf>
    <xf numFmtId="0" fontId="152" fillId="0" borderId="0" xfId="0" applyFont="1" applyBorder="1" applyAlignment="1">
      <alignment horizontal="left" vertical="top" wrapText="1" indent="1"/>
    </xf>
    <xf numFmtId="0" fontId="0" fillId="0" borderId="141" xfId="0" applyBorder="1" applyAlignment="1">
      <alignment horizontal="left" vertical="top" wrapText="1" indent="5"/>
    </xf>
    <xf numFmtId="0" fontId="80" fillId="0" borderId="135" xfId="0" applyFont="1" applyBorder="1" applyAlignment="1">
      <alignment horizontal="justify" vertical="top" wrapText="1"/>
    </xf>
    <xf numFmtId="0" fontId="80" fillId="0" borderId="139" xfId="0" applyFont="1" applyBorder="1" applyAlignment="1">
      <alignment vertical="top" wrapText="1"/>
    </xf>
    <xf numFmtId="3" fontId="0" fillId="0" borderId="141" xfId="0" applyNumberFormat="1" applyBorder="1" applyAlignment="1">
      <alignment horizontal="center" vertical="top" wrapText="1"/>
    </xf>
    <xf numFmtId="0" fontId="0" fillId="0" borderId="295" xfId="0" applyFont="1" applyBorder="1"/>
    <xf numFmtId="43" fontId="62" fillId="0" borderId="265" xfId="1" applyFont="1" applyBorder="1" applyAlignment="1">
      <alignment horizontal="center" vertical="center"/>
    </xf>
    <xf numFmtId="43" fontId="62" fillId="0" borderId="295" xfId="1" applyFont="1" applyBorder="1" applyAlignment="1">
      <alignment horizontal="center" vertical="center" wrapText="1"/>
    </xf>
    <xf numFmtId="0" fontId="112" fillId="0" borderId="0" xfId="0" applyFont="1" applyAlignment="1">
      <alignment vertical="top"/>
    </xf>
    <xf numFmtId="0" fontId="112" fillId="0" borderId="0" xfId="0" applyFont="1" applyAlignment="1">
      <alignment horizontal="center" vertical="top"/>
    </xf>
    <xf numFmtId="0" fontId="74" fillId="0" borderId="0" xfId="0" applyFont="1" applyAlignment="1">
      <alignment vertical="center"/>
    </xf>
    <xf numFmtId="0" fontId="112" fillId="0" borderId="0" xfId="0" applyFont="1" applyAlignment="1">
      <alignment vertical="center"/>
    </xf>
    <xf numFmtId="0" fontId="74" fillId="0" borderId="0" xfId="0" applyFont="1" applyAlignment="1">
      <alignment vertical="top" wrapText="1"/>
    </xf>
    <xf numFmtId="0" fontId="112" fillId="0" borderId="0" xfId="0" applyFont="1" applyAlignment="1">
      <alignment vertical="center" wrapText="1"/>
    </xf>
    <xf numFmtId="0" fontId="74" fillId="0" borderId="142" xfId="0" applyFont="1" applyBorder="1" applyAlignment="1">
      <alignment vertical="top" wrapText="1"/>
    </xf>
    <xf numFmtId="0" fontId="74" fillId="0" borderId="141" xfId="0" applyFont="1" applyBorder="1" applyAlignment="1">
      <alignment vertical="top" wrapText="1"/>
    </xf>
    <xf numFmtId="0" fontId="215" fillId="0" borderId="0" xfId="0" applyFont="1" applyAlignment="1">
      <alignment vertical="top" wrapText="1"/>
    </xf>
    <xf numFmtId="0" fontId="71" fillId="0" borderId="141" xfId="0" applyFont="1" applyBorder="1" applyAlignment="1">
      <alignment horizontal="left" vertical="top" wrapText="1" indent="5"/>
    </xf>
    <xf numFmtId="0" fontId="74" fillId="0" borderId="154" xfId="0" applyFont="1" applyBorder="1" applyAlignment="1">
      <alignment vertical="top" wrapText="1"/>
    </xf>
    <xf numFmtId="0" fontId="71" fillId="0" borderId="245" xfId="0" applyFont="1" applyBorder="1" applyAlignment="1">
      <alignment vertical="top" wrapText="1"/>
    </xf>
    <xf numFmtId="0" fontId="89" fillId="0" borderId="245" xfId="0" applyFont="1" applyBorder="1" applyAlignment="1">
      <alignment horizontal="left" vertical="top" wrapText="1" indent="5"/>
    </xf>
    <xf numFmtId="0" fontId="89" fillId="0" borderId="245" xfId="0" applyFont="1" applyBorder="1" applyAlignment="1">
      <alignment vertical="top" wrapText="1"/>
    </xf>
    <xf numFmtId="0" fontId="89" fillId="0" borderId="245" xfId="0" applyFont="1" applyBorder="1" applyAlignment="1">
      <alignment horizontal="center" vertical="top" wrapText="1"/>
    </xf>
    <xf numFmtId="0" fontId="89" fillId="0" borderId="0" xfId="0" applyFont="1" applyBorder="1" applyAlignment="1">
      <alignment horizontal="left" vertical="top" wrapText="1" indent="5"/>
    </xf>
    <xf numFmtId="0" fontId="89" fillId="0" borderId="154" xfId="0" applyFont="1" applyBorder="1" applyAlignment="1">
      <alignment horizontal="left" vertical="top" wrapText="1" indent="5"/>
    </xf>
    <xf numFmtId="0" fontId="89" fillId="0" borderId="154" xfId="0" applyFont="1" applyBorder="1" applyAlignment="1">
      <alignment vertical="top" wrapText="1"/>
    </xf>
    <xf numFmtId="0" fontId="89" fillId="0" borderId="154" xfId="0" applyFont="1" applyBorder="1" applyAlignment="1">
      <alignment horizontal="center" vertical="top" wrapText="1"/>
    </xf>
    <xf numFmtId="0" fontId="71" fillId="0" borderId="245" xfId="0" applyFont="1" applyBorder="1" applyAlignment="1">
      <alignment horizontal="left" vertical="top" wrapText="1" indent="5"/>
    </xf>
    <xf numFmtId="0" fontId="74" fillId="0" borderId="245" xfId="0" applyFont="1" applyBorder="1" applyAlignment="1">
      <alignment vertical="top" wrapText="1"/>
    </xf>
    <xf numFmtId="0" fontId="71" fillId="0" borderId="0" xfId="0" applyFont="1" applyBorder="1" applyAlignment="1">
      <alignment horizontal="left" vertical="top" wrapText="1" indent="5"/>
    </xf>
    <xf numFmtId="0" fontId="71" fillId="0" borderId="154" xfId="0" applyFont="1" applyBorder="1" applyAlignment="1">
      <alignment horizontal="left" vertical="top" wrapText="1" indent="5"/>
    </xf>
    <xf numFmtId="0" fontId="152" fillId="0" borderId="137" xfId="0" applyFont="1" applyBorder="1" applyAlignment="1">
      <alignment vertical="center" wrapText="1"/>
    </xf>
    <xf numFmtId="43" fontId="74" fillId="0" borderId="137" xfId="0" applyNumberFormat="1" applyFont="1" applyBorder="1" applyAlignment="1">
      <alignment vertical="center" wrapText="1"/>
    </xf>
    <xf numFmtId="0" fontId="19" fillId="0" borderId="436" xfId="65" applyFont="1" applyBorder="1" applyAlignment="1">
      <alignment vertical="top" wrapText="1"/>
    </xf>
    <xf numFmtId="0" fontId="21" fillId="0" borderId="436" xfId="65" applyFont="1" applyBorder="1" applyAlignment="1">
      <alignment horizontal="left" vertical="top" wrapText="1"/>
    </xf>
    <xf numFmtId="43" fontId="21" fillId="0" borderId="436" xfId="5" applyFont="1" applyBorder="1" applyAlignment="1">
      <alignment horizontal="center" vertical="top"/>
    </xf>
    <xf numFmtId="0" fontId="19" fillId="0" borderId="436" xfId="65" applyFont="1" applyBorder="1" applyAlignment="1">
      <alignment horizontal="left" vertical="top" wrapText="1"/>
    </xf>
    <xf numFmtId="0" fontId="19" fillId="0" borderId="436" xfId="65" applyFont="1" applyBorder="1" applyAlignment="1">
      <alignment horizontal="center" vertical="top" wrapText="1"/>
    </xf>
    <xf numFmtId="0" fontId="21" fillId="0" borderId="0" xfId="65" applyFont="1" applyBorder="1" applyAlignment="1">
      <alignment horizontal="left" vertical="top" wrapText="1"/>
    </xf>
    <xf numFmtId="43" fontId="21" fillId="0" borderId="0" xfId="5" applyFont="1" applyBorder="1" applyAlignment="1">
      <alignment horizontal="center" vertical="top"/>
    </xf>
    <xf numFmtId="0" fontId="19" fillId="0" borderId="0" xfId="65" applyFont="1" applyBorder="1" applyAlignment="1">
      <alignment horizontal="left" vertical="top" wrapText="1"/>
    </xf>
    <xf numFmtId="0" fontId="62" fillId="0" borderId="295" xfId="0" applyFont="1" applyBorder="1" applyAlignment="1">
      <alignment vertical="center"/>
    </xf>
    <xf numFmtId="0" fontId="75" fillId="0" borderId="0" xfId="0" applyFont="1" applyAlignment="1">
      <alignment horizontal="justify" vertical="top"/>
    </xf>
    <xf numFmtId="0" fontId="46" fillId="5" borderId="0" xfId="48" applyFont="1" applyFill="1" applyBorder="1" applyAlignment="1">
      <alignment vertical="top"/>
    </xf>
    <xf numFmtId="0" fontId="0" fillId="0" borderId="406" xfId="0" applyBorder="1" applyAlignment="1">
      <alignment horizontal="center"/>
    </xf>
    <xf numFmtId="0" fontId="54" fillId="0" borderId="406" xfId="0" applyFont="1" applyBorder="1" applyAlignment="1">
      <alignment horizontal="center"/>
    </xf>
    <xf numFmtId="43" fontId="71" fillId="0" borderId="0" xfId="62" applyFont="1" applyAlignment="1">
      <alignment vertical="top"/>
    </xf>
    <xf numFmtId="43" fontId="71" fillId="0" borderId="0" xfId="62" applyFont="1" applyAlignment="1">
      <alignment vertical="top" wrapText="1"/>
    </xf>
    <xf numFmtId="0" fontId="74" fillId="0" borderId="295" xfId="0" applyFont="1" applyBorder="1" applyAlignment="1">
      <alignment horizontal="left" vertical="top" wrapText="1"/>
    </xf>
    <xf numFmtId="0" fontId="0" fillId="0" borderId="295" xfId="0" applyBorder="1" applyAlignment="1">
      <alignment vertical="center"/>
    </xf>
    <xf numFmtId="0" fontId="27" fillId="0" borderId="0" xfId="65" applyFont="1" applyAlignment="1">
      <alignment vertical="top"/>
    </xf>
    <xf numFmtId="0" fontId="55" fillId="0" borderId="0" xfId="41" applyFont="1" applyAlignment="1">
      <alignment vertical="top"/>
    </xf>
    <xf numFmtId="0" fontId="75" fillId="0" borderId="0" xfId="41" applyFont="1" applyAlignment="1">
      <alignment vertical="top"/>
    </xf>
    <xf numFmtId="0" fontId="55" fillId="0" borderId="0" xfId="41" applyFont="1" applyAlignment="1">
      <alignment horizontal="center" vertical="top"/>
    </xf>
    <xf numFmtId="0" fontId="55" fillId="0" borderId="0" xfId="41" applyFont="1" applyAlignment="1">
      <alignment horizontal="left" vertical="top"/>
    </xf>
    <xf numFmtId="0" fontId="112" fillId="0" borderId="371" xfId="0" applyFont="1" applyBorder="1" applyAlignment="1">
      <alignment vertical="top" wrapText="1"/>
    </xf>
    <xf numFmtId="0" fontId="74" fillId="0" borderId="107" xfId="0" applyFont="1" applyBorder="1" applyAlignment="1">
      <alignment horizontal="center" vertical="top" wrapText="1"/>
    </xf>
    <xf numFmtId="0" fontId="112" fillId="0" borderId="78" xfId="0" applyFont="1" applyBorder="1" applyAlignment="1">
      <alignment horizontal="center" vertical="top" wrapText="1"/>
    </xf>
    <xf numFmtId="0" fontId="74" fillId="0" borderId="78" xfId="0" applyFont="1" applyBorder="1" applyAlignment="1">
      <alignment vertical="top" wrapText="1"/>
    </xf>
    <xf numFmtId="0" fontId="74" fillId="0" borderId="78" xfId="0" applyFont="1" applyBorder="1" applyAlignment="1">
      <alignment horizontal="center" vertical="top" wrapText="1"/>
    </xf>
    <xf numFmtId="0" fontId="112" fillId="0" borderId="78" xfId="0" applyFont="1" applyBorder="1" applyAlignment="1">
      <alignment vertical="top" wrapText="1"/>
    </xf>
    <xf numFmtId="0" fontId="74" fillId="0" borderId="68" xfId="0" applyFont="1" applyBorder="1" applyAlignment="1">
      <alignment vertical="top" wrapText="1"/>
    </xf>
    <xf numFmtId="0" fontId="74" fillId="0" borderId="78" xfId="0" applyFont="1" applyBorder="1" applyAlignment="1">
      <alignment horizontal="right" vertical="top" wrapText="1"/>
    </xf>
    <xf numFmtId="0" fontId="234" fillId="0" borderId="78" xfId="0" applyFont="1" applyBorder="1" applyAlignment="1">
      <alignment vertical="top" wrapText="1"/>
    </xf>
    <xf numFmtId="0" fontId="234" fillId="0" borderId="68" xfId="0" applyFont="1" applyBorder="1" applyAlignment="1">
      <alignment vertical="top" wrapText="1"/>
    </xf>
    <xf numFmtId="17" fontId="74" fillId="0" borderId="68" xfId="0" applyNumberFormat="1" applyFont="1" applyBorder="1" applyAlignment="1">
      <alignment horizontal="center" vertical="top" wrapText="1"/>
    </xf>
    <xf numFmtId="4" fontId="74" fillId="0" borderId="78" xfId="0" applyNumberFormat="1" applyFont="1" applyBorder="1" applyAlignment="1">
      <alignment horizontal="right" vertical="top" wrapText="1"/>
    </xf>
    <xf numFmtId="17" fontId="74" fillId="0" borderId="78" xfId="0" applyNumberFormat="1" applyFont="1" applyBorder="1" applyAlignment="1">
      <alignment horizontal="center" vertical="top" wrapText="1"/>
    </xf>
    <xf numFmtId="0" fontId="75" fillId="0" borderId="0" xfId="41" applyFont="1" applyAlignment="1">
      <alignment horizontal="center" vertical="top"/>
    </xf>
    <xf numFmtId="0" fontId="234" fillId="0" borderId="78" xfId="0" applyFont="1" applyBorder="1" applyAlignment="1">
      <alignment horizontal="right" vertical="top" wrapText="1"/>
    </xf>
    <xf numFmtId="0" fontId="55" fillId="0" borderId="0" xfId="41" applyFont="1" applyBorder="1" applyAlignment="1">
      <alignment vertical="top"/>
    </xf>
    <xf numFmtId="0" fontId="234" fillId="0" borderId="68" xfId="0" applyFont="1" applyBorder="1" applyAlignment="1">
      <alignment horizontal="left" vertical="top" wrapText="1"/>
    </xf>
    <xf numFmtId="0" fontId="74" fillId="0" borderId="379" xfId="0" applyFont="1" applyBorder="1" applyAlignment="1">
      <alignment horizontal="center" vertical="top" wrapText="1"/>
    </xf>
    <xf numFmtId="0" fontId="74" fillId="0" borderId="379" xfId="0" applyFont="1" applyBorder="1" applyAlignment="1">
      <alignment vertical="top" wrapText="1"/>
    </xf>
    <xf numFmtId="4" fontId="74" fillId="0" borderId="379" xfId="0" applyNumberFormat="1" applyFont="1" applyBorder="1" applyAlignment="1">
      <alignment horizontal="right" vertical="top" wrapText="1"/>
    </xf>
    <xf numFmtId="0" fontId="234" fillId="0" borderId="379" xfId="0" applyFont="1" applyBorder="1" applyAlignment="1">
      <alignment vertical="top" wrapText="1"/>
    </xf>
    <xf numFmtId="17" fontId="74" fillId="0" borderId="379" xfId="0" applyNumberFormat="1" applyFont="1" applyBorder="1" applyAlignment="1">
      <alignment horizontal="center" vertical="top" wrapText="1"/>
    </xf>
    <xf numFmtId="0" fontId="234" fillId="0" borderId="382" xfId="0" applyFont="1" applyBorder="1" applyAlignment="1">
      <alignment vertical="top" wrapText="1"/>
    </xf>
    <xf numFmtId="0" fontId="18" fillId="0" borderId="78" xfId="0" applyFont="1" applyBorder="1" applyAlignment="1">
      <alignment vertical="top" wrapText="1"/>
    </xf>
    <xf numFmtId="0" fontId="74" fillId="0" borderId="78" xfId="0" applyFont="1" applyBorder="1" applyAlignment="1">
      <alignment horizontal="justify" vertical="top" wrapText="1"/>
    </xf>
    <xf numFmtId="0" fontId="112" fillId="0" borderId="78" xfId="0" applyFont="1" applyBorder="1" applyAlignment="1">
      <alignment horizontal="right" vertical="top" wrapText="1"/>
    </xf>
    <xf numFmtId="0" fontId="235" fillId="0" borderId="379" xfId="0" applyFont="1" applyBorder="1" applyAlignment="1">
      <alignment vertical="top" wrapText="1"/>
    </xf>
    <xf numFmtId="0" fontId="74" fillId="0" borderId="379" xfId="0" applyFont="1" applyBorder="1" applyAlignment="1">
      <alignment horizontal="right" vertical="top" wrapText="1"/>
    </xf>
    <xf numFmtId="0" fontId="74" fillId="0" borderId="380" xfId="0" applyFont="1" applyBorder="1" applyAlignment="1">
      <alignment horizontal="center" vertical="top" wrapText="1"/>
    </xf>
    <xf numFmtId="0" fontId="74" fillId="0" borderId="371" xfId="0" applyFont="1" applyBorder="1" applyAlignment="1">
      <alignment vertical="top" wrapText="1"/>
    </xf>
    <xf numFmtId="0" fontId="74" fillId="0" borderId="371" xfId="0" applyFont="1" applyBorder="1" applyAlignment="1">
      <alignment horizontal="center" vertical="top" wrapText="1"/>
    </xf>
    <xf numFmtId="17" fontId="74" fillId="0" borderId="371" xfId="0" applyNumberFormat="1" applyFont="1" applyBorder="1" applyAlignment="1">
      <alignment horizontal="center" vertical="top" wrapText="1"/>
    </xf>
    <xf numFmtId="0" fontId="235" fillId="0" borderId="68" xfId="0" applyFont="1" applyBorder="1" applyAlignment="1">
      <alignment vertical="top" wrapText="1"/>
    </xf>
    <xf numFmtId="0" fontId="74" fillId="0" borderId="68" xfId="0" applyFont="1" applyBorder="1" applyAlignment="1">
      <alignment horizontal="center" vertical="top" wrapText="1"/>
    </xf>
    <xf numFmtId="0" fontId="74" fillId="0" borderId="371" xfId="0" applyFont="1" applyBorder="1" applyAlignment="1">
      <alignment horizontal="right" vertical="top" wrapText="1"/>
    </xf>
    <xf numFmtId="0" fontId="234" fillId="0" borderId="371" xfId="0" applyFont="1" applyBorder="1" applyAlignment="1">
      <alignment vertical="top" wrapText="1"/>
    </xf>
    <xf numFmtId="4" fontId="74" fillId="0" borderId="371" xfId="0" applyNumberFormat="1" applyFont="1" applyBorder="1" applyAlignment="1">
      <alignment horizontal="right" vertical="top" wrapText="1"/>
    </xf>
    <xf numFmtId="0" fontId="235" fillId="0" borderId="380" xfId="0" applyFont="1" applyBorder="1" applyAlignment="1">
      <alignment vertical="top" wrapText="1"/>
    </xf>
    <xf numFmtId="0" fontId="74" fillId="0" borderId="380" xfId="0" applyFont="1" applyBorder="1" applyAlignment="1">
      <alignment horizontal="right" vertical="top" wrapText="1"/>
    </xf>
    <xf numFmtId="0" fontId="234" fillId="0" borderId="380" xfId="0" applyFont="1" applyBorder="1" applyAlignment="1">
      <alignment vertical="top" wrapText="1"/>
    </xf>
    <xf numFmtId="0" fontId="112" fillId="0" borderId="68" xfId="0" applyFont="1" applyBorder="1" applyAlignment="1">
      <alignment vertical="top" wrapText="1"/>
    </xf>
    <xf numFmtId="0" fontId="112" fillId="0" borderId="380" xfId="0" applyFont="1" applyBorder="1" applyAlignment="1">
      <alignment vertical="top" wrapText="1"/>
    </xf>
    <xf numFmtId="0" fontId="74" fillId="0" borderId="380" xfId="0" applyFont="1" applyBorder="1" applyAlignment="1">
      <alignment horizontal="justify" vertical="top" wrapText="1"/>
    </xf>
    <xf numFmtId="0" fontId="74" fillId="0" borderId="379" xfId="0" applyFont="1" applyBorder="1" applyAlignment="1">
      <alignment horizontal="center" vertical="center" wrapText="1"/>
    </xf>
    <xf numFmtId="0" fontId="235" fillId="0" borderId="379" xfId="0" applyFont="1" applyBorder="1" applyAlignment="1">
      <alignment vertical="center" wrapText="1"/>
    </xf>
    <xf numFmtId="0" fontId="234" fillId="0" borderId="379" xfId="0" applyFont="1" applyBorder="1" applyAlignment="1">
      <alignment vertical="center" wrapText="1"/>
    </xf>
    <xf numFmtId="0" fontId="55" fillId="0" borderId="0" xfId="41" applyFont="1" applyAlignment="1">
      <alignment vertical="center"/>
    </xf>
    <xf numFmtId="43" fontId="112" fillId="0" borderId="78" xfId="1" applyFont="1" applyBorder="1" applyAlignment="1">
      <alignment horizontal="right" vertical="top" wrapText="1"/>
    </xf>
    <xf numFmtId="0" fontId="234" fillId="0" borderId="312" xfId="0" applyFont="1" applyBorder="1" applyAlignment="1">
      <alignment vertical="top" wrapText="1"/>
    </xf>
    <xf numFmtId="0" fontId="234" fillId="0" borderId="241" xfId="0" applyFont="1" applyBorder="1" applyAlignment="1">
      <alignment vertical="top" wrapText="1"/>
    </xf>
    <xf numFmtId="43" fontId="55" fillId="0" borderId="0" xfId="41" applyNumberFormat="1" applyFont="1" applyAlignment="1">
      <alignment vertical="top"/>
    </xf>
    <xf numFmtId="0" fontId="69" fillId="0" borderId="312" xfId="0" applyFont="1" applyBorder="1" applyAlignment="1">
      <alignment vertical="top" wrapText="1"/>
    </xf>
    <xf numFmtId="0" fontId="74" fillId="0" borderId="357" xfId="0" applyFont="1" applyBorder="1" applyAlignment="1">
      <alignment vertical="top" wrapText="1"/>
    </xf>
    <xf numFmtId="0" fontId="74" fillId="0" borderId="438" xfId="0" applyFont="1" applyBorder="1" applyAlignment="1">
      <alignment horizontal="center" vertical="top" wrapText="1"/>
    </xf>
    <xf numFmtId="0" fontId="74" fillId="0" borderId="438" xfId="0" applyFont="1" applyBorder="1" applyAlignment="1">
      <alignment vertical="top" wrapText="1"/>
    </xf>
    <xf numFmtId="4" fontId="74" fillId="0" borderId="438" xfId="0" applyNumberFormat="1" applyFont="1" applyBorder="1" applyAlignment="1">
      <alignment horizontal="right" vertical="top" wrapText="1"/>
    </xf>
    <xf numFmtId="17" fontId="74" fillId="0" borderId="438" xfId="0" applyNumberFormat="1" applyFont="1" applyBorder="1" applyAlignment="1">
      <alignment horizontal="center" vertical="top" wrapText="1"/>
    </xf>
    <xf numFmtId="0" fontId="74" fillId="0" borderId="0" xfId="0" applyFont="1" applyBorder="1" applyAlignment="1">
      <alignment horizontal="center" vertical="top" wrapText="1"/>
    </xf>
    <xf numFmtId="4" fontId="74" fillId="0" borderId="0" xfId="0" applyNumberFormat="1" applyFont="1" applyBorder="1" applyAlignment="1">
      <alignment horizontal="right" vertical="top" wrapText="1"/>
    </xf>
    <xf numFmtId="17" fontId="74" fillId="0" borderId="0" xfId="0" applyNumberFormat="1" applyFont="1" applyBorder="1" applyAlignment="1">
      <alignment horizontal="center" vertical="top" wrapText="1"/>
    </xf>
    <xf numFmtId="0" fontId="74" fillId="0" borderId="433" xfId="0" applyFont="1" applyBorder="1" applyAlignment="1">
      <alignment vertical="top" wrapText="1"/>
    </xf>
    <xf numFmtId="4" fontId="74" fillId="0" borderId="433" xfId="0" applyNumberFormat="1" applyFont="1" applyBorder="1" applyAlignment="1">
      <alignment horizontal="right" vertical="top" wrapText="1"/>
    </xf>
    <xf numFmtId="17" fontId="74" fillId="0" borderId="433" xfId="0" applyNumberFormat="1" applyFont="1" applyBorder="1" applyAlignment="1">
      <alignment horizontal="center" vertical="top" wrapText="1"/>
    </xf>
    <xf numFmtId="0" fontId="234" fillId="0" borderId="438" xfId="0" applyFont="1" applyBorder="1" applyAlignment="1">
      <alignment horizontal="left" vertical="top" wrapText="1"/>
    </xf>
    <xf numFmtId="0" fontId="234" fillId="0" borderId="0" xfId="0" applyFont="1" applyBorder="1" applyAlignment="1">
      <alignment horizontal="left" vertical="top" wrapText="1"/>
    </xf>
    <xf numFmtId="0" fontId="74" fillId="0" borderId="433" xfId="0" applyFont="1" applyBorder="1" applyAlignment="1">
      <alignment horizontal="center" vertical="top" wrapText="1"/>
    </xf>
    <xf numFmtId="0" fontId="234" fillId="0" borderId="433" xfId="0" applyFont="1" applyBorder="1" applyAlignment="1">
      <alignment horizontal="left" vertical="top" wrapText="1"/>
    </xf>
    <xf numFmtId="0" fontId="234" fillId="0" borderId="438" xfId="0" applyFont="1" applyBorder="1" applyAlignment="1">
      <alignment vertical="top" wrapText="1"/>
    </xf>
    <xf numFmtId="0" fontId="234" fillId="0" borderId="0" xfId="0" applyFont="1" applyBorder="1" applyAlignment="1">
      <alignment vertical="top" wrapText="1"/>
    </xf>
    <xf numFmtId="0" fontId="234" fillId="0" borderId="433" xfId="0" applyFont="1" applyBorder="1" applyAlignment="1">
      <alignment vertical="top" wrapText="1"/>
    </xf>
    <xf numFmtId="0" fontId="112" fillId="0" borderId="438" xfId="0" applyFont="1" applyBorder="1" applyAlignment="1">
      <alignment vertical="top" wrapText="1"/>
    </xf>
    <xf numFmtId="0" fontId="112" fillId="0" borderId="438" xfId="0" applyFont="1" applyBorder="1" applyAlignment="1">
      <alignment horizontal="right" vertical="top" wrapText="1"/>
    </xf>
    <xf numFmtId="0" fontId="112" fillId="0" borderId="0" xfId="0" applyFont="1" applyBorder="1" applyAlignment="1">
      <alignment vertical="top" wrapText="1"/>
    </xf>
    <xf numFmtId="0" fontId="112" fillId="0" borderId="0" xfId="0" applyFont="1" applyBorder="1" applyAlignment="1">
      <alignment horizontal="right" vertical="top" wrapText="1"/>
    </xf>
    <xf numFmtId="0" fontId="112" fillId="0" borderId="433" xfId="0" applyFont="1" applyBorder="1" applyAlignment="1">
      <alignment vertical="top" wrapText="1"/>
    </xf>
    <xf numFmtId="0" fontId="112" fillId="0" borderId="433" xfId="0" applyFont="1" applyBorder="1" applyAlignment="1">
      <alignment horizontal="right" vertical="top" wrapText="1"/>
    </xf>
    <xf numFmtId="0" fontId="234" fillId="0" borderId="357" xfId="0" applyFont="1" applyBorder="1" applyAlignment="1">
      <alignment vertical="top" wrapText="1"/>
    </xf>
    <xf numFmtId="0" fontId="235" fillId="0" borderId="438" xfId="0" applyFont="1" applyBorder="1" applyAlignment="1">
      <alignment vertical="top" wrapText="1"/>
    </xf>
    <xf numFmtId="0" fontId="74" fillId="0" borderId="438" xfId="0" applyFont="1" applyBorder="1" applyAlignment="1">
      <alignment horizontal="right" vertical="top" wrapText="1"/>
    </xf>
    <xf numFmtId="0" fontId="235" fillId="0" borderId="0" xfId="0" applyFont="1" applyBorder="1" applyAlignment="1">
      <alignment vertical="top" wrapText="1"/>
    </xf>
    <xf numFmtId="0" fontId="74" fillId="0" borderId="0" xfId="0" applyFont="1" applyBorder="1" applyAlignment="1">
      <alignment horizontal="right" vertical="top" wrapText="1"/>
    </xf>
    <xf numFmtId="0" fontId="235" fillId="0" borderId="433" xfId="0" applyFont="1" applyBorder="1" applyAlignment="1">
      <alignment vertical="top" wrapText="1"/>
    </xf>
    <xf numFmtId="0" fontId="74" fillId="0" borderId="433" xfId="0" applyFont="1" applyBorder="1" applyAlignment="1">
      <alignment horizontal="right" vertical="top" wrapText="1"/>
    </xf>
    <xf numFmtId="4" fontId="80" fillId="0" borderId="0" xfId="0" applyNumberFormat="1" applyFont="1" applyAlignment="1">
      <alignment vertical="center"/>
    </xf>
    <xf numFmtId="43" fontId="46" fillId="0" borderId="0" xfId="62" applyNumberFormat="1" applyFont="1" applyFill="1" applyBorder="1" applyAlignment="1">
      <alignment vertical="top"/>
    </xf>
    <xf numFmtId="0" fontId="46" fillId="0" borderId="0" xfId="62" applyNumberFormat="1" applyFont="1" applyFill="1" applyBorder="1" applyAlignment="1">
      <alignment vertical="top"/>
    </xf>
    <xf numFmtId="0" fontId="46" fillId="0" borderId="0" xfId="21" applyNumberFormat="1" applyFont="1" applyFill="1" applyBorder="1" applyAlignment="1">
      <alignment vertical="top"/>
    </xf>
    <xf numFmtId="0" fontId="41" fillId="0" borderId="0" xfId="21" applyNumberFormat="1" applyFont="1" applyFill="1" applyBorder="1" applyAlignment="1">
      <alignment vertical="top"/>
    </xf>
    <xf numFmtId="43" fontId="131" fillId="0" borderId="0" xfId="62" applyFont="1" applyFill="1" applyBorder="1" applyAlignment="1">
      <alignment vertical="top"/>
    </xf>
    <xf numFmtId="43" fontId="46" fillId="0" borderId="0" xfId="21" applyNumberFormat="1" applyFont="1" applyFill="1" applyBorder="1" applyAlignment="1">
      <alignment vertical="top"/>
    </xf>
    <xf numFmtId="0" fontId="46" fillId="0" borderId="0" xfId="21" applyNumberFormat="1" applyFont="1" applyFill="1" applyBorder="1" applyAlignment="1">
      <alignment horizontal="center" vertical="top"/>
    </xf>
    <xf numFmtId="43" fontId="102" fillId="0" borderId="0" xfId="21" applyNumberFormat="1" applyFont="1" applyFill="1" applyBorder="1" applyAlignment="1">
      <alignment vertical="top"/>
    </xf>
    <xf numFmtId="43" fontId="46" fillId="0" borderId="0" xfId="62" applyFont="1" applyFill="1" applyBorder="1" applyAlignment="1">
      <alignment vertical="top"/>
    </xf>
    <xf numFmtId="0" fontId="102" fillId="0" borderId="0" xfId="21" applyNumberFormat="1" applyFont="1" applyFill="1" applyBorder="1" applyAlignment="1">
      <alignment horizontal="center" vertical="top"/>
    </xf>
    <xf numFmtId="0" fontId="102" fillId="0" borderId="0" xfId="21" applyNumberFormat="1" applyFont="1" applyFill="1" applyBorder="1" applyAlignment="1">
      <alignment vertical="top"/>
    </xf>
    <xf numFmtId="0" fontId="112" fillId="0" borderId="66" xfId="0" applyFont="1" applyBorder="1" applyAlignment="1">
      <alignment horizontal="center" vertical="center" wrapText="1"/>
    </xf>
    <xf numFmtId="39" fontId="55" fillId="0" borderId="398" xfId="71" applyNumberFormat="1" applyFont="1" applyBorder="1"/>
    <xf numFmtId="0" fontId="15" fillId="0" borderId="0" xfId="92" applyFont="1" applyAlignment="1">
      <alignment horizontal="left" vertical="top"/>
    </xf>
    <xf numFmtId="0" fontId="15" fillId="0" borderId="0" xfId="92" applyFont="1" applyAlignment="1">
      <alignment vertical="top"/>
    </xf>
    <xf numFmtId="0" fontId="15" fillId="0" borderId="0" xfId="92" applyFont="1" applyAlignment="1">
      <alignment horizontal="right" vertical="top"/>
    </xf>
    <xf numFmtId="0" fontId="211" fillId="0" borderId="0" xfId="92" applyFont="1" applyAlignment="1">
      <alignment vertical="top"/>
    </xf>
    <xf numFmtId="0" fontId="15" fillId="0" borderId="0" xfId="92" applyFont="1" applyAlignment="1">
      <alignment horizontal="center" vertical="top"/>
    </xf>
    <xf numFmtId="0" fontId="15" fillId="0" borderId="0" xfId="0" applyFont="1" applyAlignment="1">
      <alignment vertical="top"/>
    </xf>
    <xf numFmtId="0" fontId="211" fillId="0" borderId="0" xfId="0" applyFont="1" applyAlignment="1">
      <alignment vertical="top"/>
    </xf>
    <xf numFmtId="0" fontId="15" fillId="0" borderId="0" xfId="0" applyFont="1" applyAlignment="1">
      <alignment horizontal="left" vertical="top"/>
    </xf>
    <xf numFmtId="0" fontId="15" fillId="0" borderId="295" xfId="92" applyFont="1" applyBorder="1" applyAlignment="1">
      <alignment vertical="top"/>
    </xf>
    <xf numFmtId="0" fontId="15" fillId="0" borderId="300" xfId="92" applyFont="1" applyBorder="1" applyAlignment="1">
      <alignment vertical="top"/>
    </xf>
    <xf numFmtId="0" fontId="15" fillId="0" borderId="419" xfId="92" applyFont="1" applyBorder="1" applyAlignment="1">
      <alignment vertical="top"/>
    </xf>
    <xf numFmtId="0" fontId="211" fillId="0" borderId="407" xfId="92" applyFont="1" applyBorder="1" applyAlignment="1">
      <alignment vertical="top"/>
    </xf>
    <xf numFmtId="0" fontId="211" fillId="0" borderId="401" xfId="92" applyFont="1" applyBorder="1" applyAlignment="1">
      <alignment vertical="top"/>
    </xf>
    <xf numFmtId="0" fontId="211" fillId="0" borderId="393" xfId="92" applyFont="1" applyBorder="1" applyAlignment="1">
      <alignment vertical="top"/>
    </xf>
    <xf numFmtId="0" fontId="15" fillId="0" borderId="295" xfId="0" applyFont="1" applyBorder="1" applyAlignment="1">
      <alignment horizontal="left" vertical="top" wrapText="1"/>
    </xf>
    <xf numFmtId="0" fontId="220" fillId="0" borderId="0" xfId="65" applyFont="1" applyBorder="1" applyAlignment="1">
      <alignment horizontal="left" vertical="top"/>
    </xf>
    <xf numFmtId="0" fontId="220" fillId="0" borderId="0" xfId="65" applyFont="1" applyBorder="1" applyAlignment="1">
      <alignment horizontal="center" vertical="top"/>
    </xf>
    <xf numFmtId="0" fontId="220" fillId="0" borderId="0" xfId="65" applyFont="1" applyBorder="1" applyAlignment="1">
      <alignment vertical="top"/>
    </xf>
    <xf numFmtId="43" fontId="220" fillId="0" borderId="0" xfId="62" applyFont="1" applyBorder="1" applyAlignment="1">
      <alignment vertical="top"/>
    </xf>
    <xf numFmtId="0" fontId="221" fillId="0" borderId="0" xfId="65" applyFont="1" applyBorder="1" applyAlignment="1">
      <alignment vertical="top"/>
    </xf>
    <xf numFmtId="0" fontId="221" fillId="0" borderId="0" xfId="65" applyFont="1" applyBorder="1" applyAlignment="1">
      <alignment horizontal="center" vertical="top"/>
    </xf>
    <xf numFmtId="43" fontId="221" fillId="0" borderId="0" xfId="62" applyFont="1" applyBorder="1" applyAlignment="1">
      <alignment vertical="top"/>
    </xf>
    <xf numFmtId="0" fontId="220" fillId="0" borderId="50" xfId="65" applyFont="1" applyFill="1" applyBorder="1" applyAlignment="1">
      <alignment horizontal="center" vertical="top" wrapText="1"/>
    </xf>
    <xf numFmtId="0" fontId="220" fillId="0" borderId="25" xfId="65" applyFont="1" applyBorder="1" applyAlignment="1">
      <alignment horizontal="center" vertical="top" wrapText="1"/>
    </xf>
    <xf numFmtId="43" fontId="220" fillId="0" borderId="18" xfId="62" applyFont="1" applyBorder="1" applyAlignment="1">
      <alignment horizontal="center" vertical="top" wrapText="1"/>
    </xf>
    <xf numFmtId="0" fontId="220" fillId="0" borderId="18" xfId="65" applyFont="1" applyBorder="1" applyAlignment="1">
      <alignment horizontal="center" vertical="top" wrapText="1"/>
    </xf>
    <xf numFmtId="0" fontId="220" fillId="0" borderId="128" xfId="65" applyFont="1" applyFill="1" applyBorder="1" applyAlignment="1">
      <alignment horizontal="center" vertical="top" wrapText="1"/>
    </xf>
    <xf numFmtId="0" fontId="220" fillId="0" borderId="9" xfId="65" applyFont="1" applyBorder="1" applyAlignment="1">
      <alignment horizontal="center" vertical="top" wrapText="1"/>
    </xf>
    <xf numFmtId="43" fontId="220" fillId="0" borderId="121" xfId="62" applyFont="1" applyBorder="1" applyAlignment="1">
      <alignment horizontal="center" vertical="top" wrapText="1"/>
    </xf>
    <xf numFmtId="0" fontId="220" fillId="0" borderId="121" xfId="65" applyFont="1" applyBorder="1" applyAlignment="1">
      <alignment horizontal="center" vertical="top" wrapText="1"/>
    </xf>
    <xf numFmtId="0" fontId="220" fillId="0" borderId="121" xfId="65" applyFont="1" applyBorder="1" applyAlignment="1">
      <alignment horizontal="center" vertical="top"/>
    </xf>
    <xf numFmtId="0" fontId="221" fillId="0" borderId="406" xfId="65" applyFont="1" applyBorder="1" applyAlignment="1">
      <alignment horizontal="center" vertical="top"/>
    </xf>
    <xf numFmtId="0" fontId="220" fillId="0" borderId="373" xfId="65" applyFont="1" applyBorder="1" applyAlignment="1">
      <alignment horizontal="center" vertical="top"/>
    </xf>
    <xf numFmtId="0" fontId="220" fillId="0" borderId="394" xfId="65" applyFont="1" applyBorder="1" applyAlignment="1">
      <alignment vertical="top"/>
    </xf>
    <xf numFmtId="43" fontId="221" fillId="0" borderId="406" xfId="62" applyFont="1" applyBorder="1" applyAlignment="1">
      <alignment vertical="top"/>
    </xf>
    <xf numFmtId="0" fontId="221" fillId="0" borderId="406" xfId="65" applyFont="1" applyBorder="1" applyAlignment="1">
      <alignment vertical="top"/>
    </xf>
    <xf numFmtId="0" fontId="221" fillId="0" borderId="295" xfId="65" applyFont="1" applyBorder="1" applyAlignment="1">
      <alignment horizontal="center" vertical="top"/>
    </xf>
    <xf numFmtId="0" fontId="220" fillId="0" borderId="300" xfId="65" applyFont="1" applyBorder="1" applyAlignment="1">
      <alignment horizontal="center" vertical="top"/>
    </xf>
    <xf numFmtId="0" fontId="220" fillId="0" borderId="419" xfId="65" applyFont="1" applyBorder="1" applyAlignment="1">
      <alignment vertical="top"/>
    </xf>
    <xf numFmtId="43" fontId="221" fillId="0" borderId="295" xfId="62" applyFont="1" applyBorder="1" applyAlignment="1">
      <alignment vertical="top"/>
    </xf>
    <xf numFmtId="0" fontId="221" fillId="0" borderId="295" xfId="65" applyFont="1" applyBorder="1" applyAlignment="1">
      <alignment vertical="top"/>
    </xf>
    <xf numFmtId="0" fontId="221" fillId="0" borderId="300" xfId="65" applyFont="1" applyBorder="1" applyAlignment="1">
      <alignment horizontal="left" vertical="top"/>
    </xf>
    <xf numFmtId="0" fontId="220" fillId="0" borderId="419" xfId="65" applyFont="1" applyBorder="1" applyAlignment="1">
      <alignment horizontal="center" vertical="top"/>
    </xf>
    <xf numFmtId="0" fontId="221" fillId="0" borderId="295" xfId="65" applyFont="1" applyBorder="1" applyAlignment="1">
      <alignment horizontal="center" vertical="top" wrapText="1"/>
    </xf>
    <xf numFmtId="0" fontId="220" fillId="0" borderId="300" xfId="65" applyFont="1" applyBorder="1" applyAlignment="1">
      <alignment horizontal="center" vertical="top" wrapText="1"/>
    </xf>
    <xf numFmtId="0" fontId="221" fillId="0" borderId="419" xfId="65" applyFont="1" applyBorder="1" applyAlignment="1">
      <alignment vertical="top" wrapText="1"/>
    </xf>
    <xf numFmtId="43" fontId="221" fillId="0" borderId="295" xfId="62" applyFont="1" applyBorder="1" applyAlignment="1">
      <alignment vertical="top" wrapText="1"/>
    </xf>
    <xf numFmtId="0" fontId="221" fillId="0" borderId="295" xfId="65" applyFont="1" applyBorder="1" applyAlignment="1">
      <alignment vertical="top" wrapText="1"/>
    </xf>
    <xf numFmtId="17" fontId="221" fillId="0" borderId="295" xfId="65" applyNumberFormat="1" applyFont="1" applyBorder="1" applyAlignment="1">
      <alignment vertical="top"/>
    </xf>
    <xf numFmtId="0" fontId="221" fillId="0" borderId="419" xfId="65" applyFont="1" applyBorder="1" applyAlignment="1">
      <alignment vertical="top"/>
    </xf>
    <xf numFmtId="43" fontId="211" fillId="0" borderId="407" xfId="1" applyFont="1" applyBorder="1" applyAlignment="1">
      <alignment vertical="top"/>
    </xf>
    <xf numFmtId="0" fontId="240" fillId="0" borderId="0" xfId="92" applyFont="1" applyAlignment="1">
      <alignment horizontal="right" vertical="top"/>
    </xf>
    <xf numFmtId="0" fontId="0" fillId="0" borderId="142" xfId="0" applyBorder="1" applyAlignment="1">
      <alignment vertical="top" wrapText="1"/>
    </xf>
    <xf numFmtId="0" fontId="0" fillId="0" borderId="0" xfId="0"/>
    <xf numFmtId="0" fontId="71" fillId="0" borderId="312" xfId="0" applyFont="1" applyBorder="1" applyAlignment="1">
      <alignment vertical="top" wrapText="1"/>
    </xf>
    <xf numFmtId="0" fontId="71" fillId="0" borderId="111" xfId="0" applyFont="1" applyBorder="1" applyAlignment="1">
      <alignment vertical="top" wrapText="1"/>
    </xf>
    <xf numFmtId="0" fontId="71" fillId="0" borderId="241" xfId="0" applyFont="1" applyBorder="1" applyAlignment="1">
      <alignment vertical="top" wrapText="1"/>
    </xf>
    <xf numFmtId="0" fontId="0" fillId="0" borderId="137" xfId="0" applyBorder="1" applyAlignment="1">
      <alignment vertical="top" wrapText="1"/>
    </xf>
    <xf numFmtId="0" fontId="0" fillId="0" borderId="139" xfId="0" applyBorder="1" applyAlignment="1">
      <alignment vertical="top" wrapText="1"/>
    </xf>
    <xf numFmtId="0" fontId="0" fillId="0" borderId="0" xfId="0"/>
    <xf numFmtId="0" fontId="18" fillId="0" borderId="0" xfId="43" applyFont="1" applyAlignment="1">
      <alignment horizontal="justify" vertical="top" wrapText="1"/>
    </xf>
    <xf numFmtId="0" fontId="82" fillId="0" borderId="295" xfId="0" applyFont="1" applyBorder="1" applyAlignment="1">
      <alignment horizontal="center" vertical="top" wrapText="1"/>
    </xf>
    <xf numFmtId="168" fontId="93" fillId="0" borderId="295" xfId="0" applyNumberFormat="1" applyFont="1" applyBorder="1" applyAlignment="1">
      <alignment horizontal="center" vertical="top" wrapText="1"/>
    </xf>
    <xf numFmtId="0" fontId="72" fillId="0" borderId="404" xfId="0" applyFont="1" applyBorder="1" applyAlignment="1">
      <alignment vertical="top" wrapText="1"/>
    </xf>
    <xf numFmtId="0" fontId="77" fillId="0" borderId="404" xfId="0" applyFont="1" applyBorder="1" applyAlignment="1">
      <alignment horizontal="center" vertical="top" wrapText="1"/>
    </xf>
    <xf numFmtId="0" fontId="72" fillId="0" borderId="404" xfId="0" applyFont="1" applyBorder="1" applyAlignment="1">
      <alignment horizontal="center" vertical="top" wrapText="1"/>
    </xf>
    <xf numFmtId="0" fontId="72" fillId="0" borderId="0" xfId="0" applyFont="1" applyBorder="1" applyAlignment="1">
      <alignment vertical="top" wrapText="1"/>
    </xf>
    <xf numFmtId="0" fontId="77" fillId="0" borderId="0" xfId="0" applyFont="1" applyBorder="1" applyAlignment="1">
      <alignment horizontal="center" vertical="top" wrapText="1"/>
    </xf>
    <xf numFmtId="0" fontId="72" fillId="0" borderId="0" xfId="0" applyFont="1" applyBorder="1" applyAlignment="1">
      <alignment horizontal="center" vertical="top" wrapText="1"/>
    </xf>
    <xf numFmtId="0" fontId="72" fillId="0" borderId="426" xfId="0" applyFont="1" applyBorder="1" applyAlignment="1">
      <alignment vertical="top" wrapText="1"/>
    </xf>
    <xf numFmtId="0" fontId="77" fillId="0" borderId="426" xfId="0" applyFont="1" applyBorder="1" applyAlignment="1">
      <alignment horizontal="center" vertical="top" wrapText="1"/>
    </xf>
    <xf numFmtId="0" fontId="72" fillId="0" borderId="426" xfId="0" applyFont="1" applyBorder="1" applyAlignment="1">
      <alignment horizontal="center" vertical="top" wrapText="1"/>
    </xf>
    <xf numFmtId="0" fontId="69" fillId="0" borderId="440" xfId="0" applyFont="1" applyBorder="1" applyAlignment="1">
      <alignment vertical="top" wrapText="1"/>
    </xf>
    <xf numFmtId="0" fontId="71" fillId="0" borderId="440" xfId="0" applyFont="1" applyBorder="1" applyAlignment="1">
      <alignment vertical="top"/>
    </xf>
    <xf numFmtId="0" fontId="71" fillId="0" borderId="440" xfId="0" applyFont="1" applyBorder="1" applyAlignment="1">
      <alignment vertical="top" wrapText="1"/>
    </xf>
    <xf numFmtId="0" fontId="131" fillId="0" borderId="0" xfId="0" applyFont="1" applyAlignment="1">
      <alignment vertical="top"/>
    </xf>
    <xf numFmtId="0" fontId="131" fillId="0" borderId="0" xfId="0" applyFont="1" applyAlignment="1">
      <alignment horizontal="left" vertical="top"/>
    </xf>
    <xf numFmtId="0" fontId="241" fillId="0" borderId="0" xfId="0" applyFont="1" applyAlignment="1">
      <alignment vertical="top"/>
    </xf>
    <xf numFmtId="0" fontId="242" fillId="0" borderId="0" xfId="0" applyFont="1" applyAlignment="1">
      <alignment vertical="top"/>
    </xf>
    <xf numFmtId="0" fontId="243" fillId="0" borderId="0" xfId="0" applyFont="1" applyAlignment="1">
      <alignment vertical="top"/>
    </xf>
    <xf numFmtId="0" fontId="243" fillId="0" borderId="0" xfId="0" applyFont="1" applyAlignment="1">
      <alignment vertical="top" wrapText="1"/>
    </xf>
    <xf numFmtId="0" fontId="242" fillId="0" borderId="0" xfId="0" applyFont="1" applyAlignment="1">
      <alignment vertical="top" wrapText="1"/>
    </xf>
    <xf numFmtId="0" fontId="131" fillId="0" borderId="0" xfId="0" applyFont="1" applyAlignment="1">
      <alignment horizontal="center" vertical="top"/>
    </xf>
    <xf numFmtId="0" fontId="131" fillId="0" borderId="0" xfId="0" applyFont="1" applyAlignment="1">
      <alignment horizontal="right" vertical="top"/>
    </xf>
    <xf numFmtId="0" fontId="131" fillId="0" borderId="0" xfId="0" applyFont="1" applyAlignment="1">
      <alignment horizontal="center" vertical="top" wrapText="1"/>
    </xf>
    <xf numFmtId="0" fontId="243" fillId="0" borderId="0" xfId="0" applyFont="1" applyAlignment="1">
      <alignment horizontal="left" vertical="top" wrapText="1"/>
    </xf>
    <xf numFmtId="0" fontId="131" fillId="0" borderId="0" xfId="0" applyFont="1" applyAlignment="1">
      <alignment horizontal="right" vertical="top" wrapText="1"/>
    </xf>
    <xf numFmtId="0" fontId="243" fillId="0" borderId="0" xfId="0" applyFont="1" applyAlignment="1">
      <alignment horizontal="center" vertical="top" wrapText="1"/>
    </xf>
    <xf numFmtId="0" fontId="244" fillId="0" borderId="0" xfId="0" applyFont="1" applyAlignment="1">
      <alignment horizontal="left" vertical="top" wrapText="1"/>
    </xf>
    <xf numFmtId="0" fontId="241" fillId="0" borderId="104" xfId="0" applyFont="1" applyBorder="1" applyAlignment="1">
      <alignment horizontal="center" vertical="top" wrapText="1"/>
    </xf>
    <xf numFmtId="0" fontId="131" fillId="0" borderId="20" xfId="0" applyFont="1" applyBorder="1" applyAlignment="1">
      <alignment vertical="top"/>
    </xf>
    <xf numFmtId="0" fontId="241" fillId="0" borderId="66" xfId="0" applyFont="1" applyBorder="1" applyAlignment="1">
      <alignment horizontal="left" vertical="top" wrapText="1"/>
    </xf>
    <xf numFmtId="0" fontId="241" fillId="0" borderId="66" xfId="0" applyFont="1" applyBorder="1" applyAlignment="1">
      <alignment horizontal="center" vertical="top" wrapText="1"/>
    </xf>
    <xf numFmtId="0" fontId="241" fillId="0" borderId="186" xfId="0" applyFont="1" applyBorder="1" applyAlignment="1">
      <alignment horizontal="center" vertical="top" wrapText="1"/>
    </xf>
    <xf numFmtId="0" fontId="131" fillId="0" borderId="0" xfId="0" applyFont="1" applyBorder="1" applyAlignment="1">
      <alignment vertical="top"/>
    </xf>
    <xf numFmtId="0" fontId="241" fillId="0" borderId="68" xfId="0" applyFont="1" applyBorder="1" applyAlignment="1">
      <alignment horizontal="left" vertical="top" wrapText="1"/>
    </xf>
    <xf numFmtId="0" fontId="241" fillId="0" borderId="68" xfId="0" applyFont="1" applyBorder="1" applyAlignment="1">
      <alignment horizontal="center" vertical="top" wrapText="1"/>
    </xf>
    <xf numFmtId="168" fontId="241" fillId="0" borderId="186" xfId="0" applyNumberFormat="1" applyFont="1" applyBorder="1" applyAlignment="1">
      <alignment horizontal="center" vertical="top" wrapText="1"/>
    </xf>
    <xf numFmtId="168" fontId="131" fillId="0" borderId="0" xfId="0" applyNumberFormat="1" applyFont="1" applyBorder="1" applyAlignment="1">
      <alignment vertical="top"/>
    </xf>
    <xf numFmtId="168" fontId="241" fillId="0" borderId="68" xfId="0" applyNumberFormat="1" applyFont="1" applyBorder="1" applyAlignment="1">
      <alignment horizontal="left" vertical="top" wrapText="1"/>
    </xf>
    <xf numFmtId="168" fontId="241" fillId="0" borderId="68" xfId="0" applyNumberFormat="1" applyFont="1" applyBorder="1" applyAlignment="1">
      <alignment horizontal="center" vertical="top" wrapText="1"/>
    </xf>
    <xf numFmtId="0" fontId="131" fillId="0" borderId="104" xfId="0" applyFont="1" applyBorder="1" applyAlignment="1">
      <alignment vertical="top" wrapText="1"/>
    </xf>
    <xf numFmtId="0" fontId="245" fillId="0" borderId="66" xfId="0" applyFont="1" applyBorder="1" applyAlignment="1">
      <alignment horizontal="left" vertical="top" wrapText="1"/>
    </xf>
    <xf numFmtId="0" fontId="241" fillId="0" borderId="66" xfId="0" applyFont="1" applyBorder="1" applyAlignment="1">
      <alignment vertical="top" wrapText="1"/>
    </xf>
    <xf numFmtId="0" fontId="241" fillId="0" borderId="66" xfId="0" applyFont="1" applyBorder="1" applyAlignment="1">
      <alignment horizontal="justify" vertical="top" wrapText="1"/>
    </xf>
    <xf numFmtId="0" fontId="131" fillId="0" borderId="186" xfId="0" applyFont="1" applyBorder="1" applyAlignment="1">
      <alignment vertical="top" wrapText="1"/>
    </xf>
    <xf numFmtId="4" fontId="247" fillId="0" borderId="68" xfId="0" applyNumberFormat="1" applyFont="1" applyBorder="1" applyAlignment="1">
      <alignment vertical="top" wrapText="1"/>
    </xf>
    <xf numFmtId="0" fontId="241" fillId="0" borderId="68" xfId="0" applyFont="1" applyBorder="1" applyAlignment="1">
      <alignment vertical="top" wrapText="1"/>
    </xf>
    <xf numFmtId="0" fontId="241" fillId="0" borderId="68" xfId="0" applyFont="1" applyBorder="1" applyAlignment="1">
      <alignment horizontal="justify" vertical="top" wrapText="1"/>
    </xf>
    <xf numFmtId="17" fontId="241" fillId="0" borderId="68" xfId="0" applyNumberFormat="1" applyFont="1" applyBorder="1" applyAlignment="1">
      <alignment horizontal="left" vertical="top" wrapText="1"/>
    </xf>
    <xf numFmtId="17" fontId="241" fillId="0" borderId="68" xfId="0" applyNumberFormat="1" applyFont="1" applyBorder="1" applyAlignment="1">
      <alignment horizontal="justify" vertical="top" wrapText="1"/>
    </xf>
    <xf numFmtId="0" fontId="131" fillId="0" borderId="0" xfId="0" applyFont="1" applyBorder="1" applyAlignment="1">
      <alignment horizontal="center" vertical="top"/>
    </xf>
    <xf numFmtId="0" fontId="131" fillId="0" borderId="68" xfId="0" applyFont="1" applyBorder="1" applyAlignment="1">
      <alignment horizontal="left" vertical="top" wrapText="1"/>
    </xf>
    <xf numFmtId="0" fontId="131" fillId="0" borderId="68" xfId="0" applyFont="1" applyBorder="1" applyAlignment="1">
      <alignment horizontal="left" vertical="top" wrapText="1" indent="1"/>
    </xf>
    <xf numFmtId="0" fontId="131" fillId="0" borderId="68" xfId="0" applyFont="1" applyBorder="1" applyAlignment="1">
      <alignment vertical="top" wrapText="1"/>
    </xf>
    <xf numFmtId="0" fontId="241" fillId="0" borderId="0" xfId="0" applyFont="1" applyBorder="1" applyAlignment="1">
      <alignment horizontal="justify" vertical="top" wrapText="1"/>
    </xf>
    <xf numFmtId="0" fontId="241" fillId="0" borderId="186" xfId="0" applyFont="1" applyBorder="1" applyAlignment="1">
      <alignment horizontal="justify" vertical="top" wrapText="1"/>
    </xf>
    <xf numFmtId="0" fontId="131" fillId="0" borderId="0" xfId="0" applyFont="1" applyBorder="1" applyAlignment="1">
      <alignment vertical="top" wrapText="1"/>
    </xf>
    <xf numFmtId="0" fontId="131" fillId="0" borderId="186" xfId="0" applyFont="1" applyBorder="1" applyAlignment="1">
      <alignment horizontal="center" vertical="top" wrapText="1"/>
    </xf>
    <xf numFmtId="0" fontId="131" fillId="0" borderId="311" xfId="0" applyFont="1" applyBorder="1" applyAlignment="1">
      <alignment vertical="top" wrapText="1"/>
    </xf>
    <xf numFmtId="0" fontId="131" fillId="0" borderId="311" xfId="0" applyFont="1" applyBorder="1" applyAlignment="1">
      <alignment horizontal="center" vertical="top"/>
    </xf>
    <xf numFmtId="0" fontId="131" fillId="0" borderId="311" xfId="0" applyFont="1" applyBorder="1" applyAlignment="1">
      <alignment horizontal="left" vertical="top" wrapText="1"/>
    </xf>
    <xf numFmtId="0" fontId="241" fillId="0" borderId="311" xfId="0" applyFont="1" applyBorder="1" applyAlignment="1">
      <alignment vertical="top" wrapText="1"/>
    </xf>
    <xf numFmtId="0" fontId="131" fillId="0" borderId="311" xfId="0" applyFont="1" applyBorder="1" applyAlignment="1">
      <alignment vertical="top"/>
    </xf>
    <xf numFmtId="0" fontId="241" fillId="0" borderId="311" xfId="0" applyFont="1" applyBorder="1" applyAlignment="1">
      <alignment horizontal="center" vertical="top" wrapText="1"/>
    </xf>
    <xf numFmtId="0" fontId="241" fillId="0" borderId="311" xfId="0" applyFont="1" applyBorder="1" applyAlignment="1">
      <alignment horizontal="justify" vertical="top" wrapText="1"/>
    </xf>
    <xf numFmtId="0" fontId="131" fillId="0" borderId="0" xfId="0" applyFont="1" applyBorder="1" applyAlignment="1">
      <alignment horizontal="left" vertical="top" wrapText="1"/>
    </xf>
    <xf numFmtId="0" fontId="241" fillId="0" borderId="0" xfId="0" applyFont="1" applyBorder="1" applyAlignment="1">
      <alignment vertical="top" wrapText="1"/>
    </xf>
    <xf numFmtId="0" fontId="241" fillId="0" borderId="0" xfId="0" applyFont="1" applyBorder="1" applyAlignment="1">
      <alignment horizontal="center" vertical="top" wrapText="1"/>
    </xf>
    <xf numFmtId="0" fontId="241" fillId="0" borderId="111" xfId="0" applyFont="1" applyBorder="1" applyAlignment="1">
      <alignment horizontal="center" vertical="top" wrapText="1"/>
    </xf>
    <xf numFmtId="168" fontId="241" fillId="0" borderId="241" xfId="0" applyNumberFormat="1" applyFont="1" applyBorder="1" applyAlignment="1">
      <alignment horizontal="center" vertical="top" wrapText="1"/>
    </xf>
    <xf numFmtId="168" fontId="131" fillId="0" borderId="195" xfId="0" applyNumberFormat="1" applyFont="1" applyBorder="1" applyAlignment="1">
      <alignment vertical="top"/>
    </xf>
    <xf numFmtId="168" fontId="241" fillId="0" borderId="242" xfId="0" applyNumberFormat="1" applyFont="1" applyBorder="1" applyAlignment="1">
      <alignment horizontal="left" vertical="top" wrapText="1"/>
    </xf>
    <xf numFmtId="168" fontId="241" fillId="0" borderId="242" xfId="0" applyNumberFormat="1" applyFont="1" applyBorder="1" applyAlignment="1">
      <alignment horizontal="center" vertical="top" wrapText="1"/>
    </xf>
    <xf numFmtId="0" fontId="241" fillId="0" borderId="291" xfId="0" applyFont="1" applyBorder="1" applyAlignment="1">
      <alignment horizontal="center" vertical="top" wrapText="1"/>
    </xf>
    <xf numFmtId="0" fontId="131" fillId="0" borderId="186" xfId="0" applyFont="1" applyBorder="1" applyAlignment="1">
      <alignment vertical="top"/>
    </xf>
    <xf numFmtId="0" fontId="247" fillId="0" borderId="68" xfId="0" applyFont="1" applyBorder="1" applyAlignment="1">
      <alignment vertical="top" wrapText="1"/>
    </xf>
    <xf numFmtId="17" fontId="241" fillId="0" borderId="186" xfId="0" applyNumberFormat="1" applyFont="1" applyBorder="1" applyAlignment="1">
      <alignment horizontal="left" vertical="top" wrapText="1"/>
    </xf>
    <xf numFmtId="17" fontId="241" fillId="0" borderId="186" xfId="0" applyNumberFormat="1" applyFont="1" applyBorder="1" applyAlignment="1">
      <alignment horizontal="justify" vertical="top" wrapText="1"/>
    </xf>
    <xf numFmtId="0" fontId="241" fillId="0" borderId="111" xfId="0" applyFont="1" applyBorder="1" applyAlignment="1">
      <alignment vertical="top" wrapText="1"/>
    </xf>
    <xf numFmtId="0" fontId="131" fillId="0" borderId="0" xfId="0" applyFont="1" applyAlignment="1">
      <alignment horizontal="left" vertical="top" wrapText="1"/>
    </xf>
    <xf numFmtId="0" fontId="131" fillId="0" borderId="68" xfId="0" applyFont="1" applyBorder="1" applyAlignment="1">
      <alignment horizontal="center" vertical="top" wrapText="1"/>
    </xf>
    <xf numFmtId="0" fontId="131" fillId="0" borderId="111" xfId="0" applyFont="1" applyBorder="1" applyAlignment="1">
      <alignment vertical="top" wrapText="1"/>
    </xf>
    <xf numFmtId="0" fontId="241" fillId="0" borderId="111" xfId="0" applyFont="1" applyBorder="1" applyAlignment="1">
      <alignment horizontal="justify" vertical="top" wrapText="1"/>
    </xf>
    <xf numFmtId="0" fontId="131" fillId="0" borderId="276" xfId="0" applyFont="1" applyBorder="1" applyAlignment="1">
      <alignment vertical="top" wrapText="1"/>
    </xf>
    <xf numFmtId="0" fontId="131" fillId="0" borderId="276" xfId="0" applyFont="1" applyBorder="1" applyAlignment="1">
      <alignment horizontal="center" vertical="top"/>
    </xf>
    <xf numFmtId="0" fontId="131" fillId="0" borderId="276" xfId="0" applyFont="1" applyBorder="1" applyAlignment="1">
      <alignment horizontal="left" vertical="top" wrapText="1"/>
    </xf>
    <xf numFmtId="0" fontId="241" fillId="0" borderId="276" xfId="0" applyFont="1" applyBorder="1" applyAlignment="1">
      <alignment vertical="top" wrapText="1"/>
    </xf>
    <xf numFmtId="0" fontId="131" fillId="0" borderId="276" xfId="0" applyFont="1" applyBorder="1" applyAlignment="1">
      <alignment vertical="top"/>
    </xf>
    <xf numFmtId="0" fontId="131" fillId="0" borderId="276" xfId="0" applyFont="1" applyBorder="1" applyAlignment="1">
      <alignment horizontal="center" vertical="top" wrapText="1"/>
    </xf>
    <xf numFmtId="0" fontId="241" fillId="0" borderId="276" xfId="0" applyFont="1" applyBorder="1" applyAlignment="1">
      <alignment horizontal="justify" vertical="top" wrapText="1"/>
    </xf>
    <xf numFmtId="0" fontId="131" fillId="0" borderId="0" xfId="0" applyFont="1" applyBorder="1" applyAlignment="1">
      <alignment horizontal="center" vertical="top" wrapText="1"/>
    </xf>
    <xf numFmtId="0" fontId="241" fillId="0" borderId="241" xfId="0" applyFont="1" applyBorder="1" applyAlignment="1">
      <alignment horizontal="center" vertical="top" wrapText="1"/>
    </xf>
    <xf numFmtId="0" fontId="131" fillId="0" borderId="195" xfId="0" applyFont="1" applyBorder="1" applyAlignment="1">
      <alignment vertical="top"/>
    </xf>
    <xf numFmtId="0" fontId="241" fillId="0" borderId="242" xfId="0" applyFont="1" applyBorder="1" applyAlignment="1">
      <alignment horizontal="left" vertical="top" wrapText="1"/>
    </xf>
    <xf numFmtId="0" fontId="241" fillId="0" borderId="242" xfId="0" applyFont="1" applyBorder="1" applyAlignment="1">
      <alignment horizontal="center" vertical="top" wrapText="1"/>
    </xf>
    <xf numFmtId="0" fontId="131" fillId="0" borderId="262" xfId="0" applyFont="1" applyBorder="1" applyAlignment="1">
      <alignment horizontal="left" vertical="top" wrapText="1"/>
    </xf>
    <xf numFmtId="0" fontId="131" fillId="0" borderId="312" xfId="0" applyFont="1" applyBorder="1" applyAlignment="1">
      <alignment horizontal="center" vertical="top" wrapText="1"/>
    </xf>
    <xf numFmtId="0" fontId="131" fillId="0" borderId="68" xfId="0" applyFont="1" applyBorder="1" applyAlignment="1">
      <alignment horizontal="justify" vertical="top"/>
    </xf>
    <xf numFmtId="0" fontId="131" fillId="0" borderId="111" xfId="0" applyFont="1" applyBorder="1" applyAlignment="1">
      <alignment horizontal="center" vertical="top" wrapText="1"/>
    </xf>
    <xf numFmtId="0" fontId="131" fillId="0" borderId="314" xfId="0" applyFont="1" applyBorder="1" applyAlignment="1">
      <alignment vertical="top"/>
    </xf>
    <xf numFmtId="0" fontId="131" fillId="0" borderId="440" xfId="0" applyFont="1" applyBorder="1" applyAlignment="1">
      <alignment vertical="top" wrapText="1"/>
    </xf>
    <xf numFmtId="0" fontId="131" fillId="0" borderId="440" xfId="0" applyFont="1" applyBorder="1" applyAlignment="1">
      <alignment horizontal="center" vertical="top"/>
    </xf>
    <xf numFmtId="0" fontId="131" fillId="0" borderId="440" xfId="0" applyFont="1" applyBorder="1" applyAlignment="1">
      <alignment horizontal="justify" vertical="top"/>
    </xf>
    <xf numFmtId="0" fontId="241" fillId="0" borderId="440" xfId="0" applyFont="1" applyBorder="1" applyAlignment="1">
      <alignment vertical="top" wrapText="1"/>
    </xf>
    <xf numFmtId="0" fontId="131" fillId="0" borderId="440" xfId="0" applyFont="1" applyBorder="1" applyAlignment="1">
      <alignment vertical="top"/>
    </xf>
    <xf numFmtId="0" fontId="131" fillId="0" borderId="440" xfId="0" applyFont="1" applyBorder="1" applyAlignment="1">
      <alignment horizontal="left" vertical="top" wrapText="1"/>
    </xf>
    <xf numFmtId="0" fontId="131" fillId="0" borderId="440" xfId="0" applyFont="1" applyBorder="1" applyAlignment="1">
      <alignment horizontal="center" vertical="top" wrapText="1"/>
    </xf>
    <xf numFmtId="0" fontId="241" fillId="0" borderId="440" xfId="0" applyFont="1" applyBorder="1" applyAlignment="1">
      <alignment horizontal="justify" vertical="top" wrapText="1"/>
    </xf>
    <xf numFmtId="0" fontId="131" fillId="0" borderId="0" xfId="0" applyFont="1" applyBorder="1" applyAlignment="1">
      <alignment horizontal="justify" vertical="top"/>
    </xf>
    <xf numFmtId="0" fontId="131" fillId="0" borderId="433" xfId="0" applyFont="1" applyBorder="1" applyAlignment="1">
      <alignment vertical="top" wrapText="1"/>
    </xf>
    <xf numFmtId="0" fontId="131" fillId="0" borderId="433" xfId="0" applyFont="1" applyBorder="1" applyAlignment="1">
      <alignment horizontal="center" vertical="top"/>
    </xf>
    <xf numFmtId="0" fontId="131" fillId="0" borderId="433" xfId="0" applyFont="1" applyBorder="1" applyAlignment="1">
      <alignment horizontal="justify" vertical="top"/>
    </xf>
    <xf numFmtId="0" fontId="241" fillId="0" borderId="433" xfId="0" applyFont="1" applyBorder="1" applyAlignment="1">
      <alignment vertical="top" wrapText="1"/>
    </xf>
    <xf numFmtId="0" fontId="131" fillId="0" borderId="433" xfId="0" applyFont="1" applyBorder="1" applyAlignment="1">
      <alignment vertical="top"/>
    </xf>
    <xf numFmtId="0" fontId="131" fillId="0" borderId="433" xfId="0" applyFont="1" applyBorder="1" applyAlignment="1">
      <alignment horizontal="left" vertical="top" wrapText="1"/>
    </xf>
    <xf numFmtId="0" fontId="131" fillId="0" borderId="433" xfId="0" applyFont="1" applyBorder="1" applyAlignment="1">
      <alignment horizontal="center" vertical="top" wrapText="1"/>
    </xf>
    <xf numFmtId="0" fontId="241" fillId="0" borderId="433" xfId="0" applyFont="1" applyBorder="1" applyAlignment="1">
      <alignment horizontal="justify" vertical="top" wrapText="1"/>
    </xf>
    <xf numFmtId="0" fontId="131" fillId="0" borderId="186" xfId="0" applyFont="1" applyBorder="1" applyAlignment="1">
      <alignment vertical="center" wrapText="1"/>
    </xf>
    <xf numFmtId="0" fontId="241" fillId="0" borderId="68" xfId="0" applyFont="1" applyBorder="1" applyAlignment="1">
      <alignment vertical="center" wrapText="1"/>
    </xf>
    <xf numFmtId="0" fontId="131" fillId="0" borderId="0" xfId="0" applyFont="1" applyBorder="1" applyAlignment="1">
      <alignment vertical="center"/>
    </xf>
    <xf numFmtId="0" fontId="131" fillId="0" borderId="68" xfId="0" applyFont="1" applyBorder="1" applyAlignment="1">
      <alignment vertical="center" wrapText="1"/>
    </xf>
    <xf numFmtId="0" fontId="131" fillId="0" borderId="186" xfId="0" applyFont="1" applyBorder="1" applyAlignment="1">
      <alignment vertical="center"/>
    </xf>
    <xf numFmtId="0" fontId="131" fillId="0" borderId="0" xfId="0" applyFont="1" applyAlignment="1">
      <alignment vertical="center"/>
    </xf>
    <xf numFmtId="0" fontId="241" fillId="0" borderId="186" xfId="0" applyFont="1" applyBorder="1" applyAlignment="1">
      <alignment vertical="top"/>
    </xf>
    <xf numFmtId="0" fontId="241" fillId="0" borderId="186" xfId="0" applyFont="1" applyBorder="1" applyAlignment="1">
      <alignment vertical="center" wrapText="1"/>
    </xf>
    <xf numFmtId="0" fontId="241" fillId="0" borderId="186" xfId="0" applyFont="1" applyBorder="1" applyAlignment="1">
      <alignment vertical="center"/>
    </xf>
    <xf numFmtId="0" fontId="131" fillId="0" borderId="111" xfId="0" applyFont="1" applyBorder="1" applyAlignment="1">
      <alignment vertical="top"/>
    </xf>
    <xf numFmtId="0" fontId="131" fillId="0" borderId="0" xfId="0" applyFont="1" applyAlignment="1">
      <alignment horizontal="left" vertical="top" wrapText="1" indent="1"/>
    </xf>
    <xf numFmtId="0" fontId="131" fillId="0" borderId="241" xfId="0" applyFont="1" applyBorder="1" applyAlignment="1">
      <alignment vertical="top" wrapText="1"/>
    </xf>
    <xf numFmtId="0" fontId="131" fillId="0" borderId="195" xfId="0" applyFont="1" applyBorder="1" applyAlignment="1">
      <alignment horizontal="center" vertical="top"/>
    </xf>
    <xf numFmtId="0" fontId="131" fillId="0" borderId="242" xfId="0" applyFont="1" applyBorder="1" applyAlignment="1">
      <alignment horizontal="left" vertical="top" wrapText="1"/>
    </xf>
    <xf numFmtId="0" fontId="131" fillId="0" borderId="241" xfId="0" applyFont="1" applyBorder="1" applyAlignment="1">
      <alignment vertical="top"/>
    </xf>
    <xf numFmtId="0" fontId="131" fillId="0" borderId="242" xfId="0" applyFont="1" applyBorder="1" applyAlignment="1">
      <alignment vertical="top" wrapText="1"/>
    </xf>
    <xf numFmtId="0" fontId="131" fillId="0" borderId="242" xfId="0" applyFont="1" applyBorder="1" applyAlignment="1">
      <alignment horizontal="center" vertical="top" wrapText="1"/>
    </xf>
    <xf numFmtId="0" fontId="241" fillId="0" borderId="241" xfId="0" applyFont="1" applyBorder="1" applyAlignment="1">
      <alignment horizontal="justify" vertical="top" wrapText="1"/>
    </xf>
    <xf numFmtId="0" fontId="241" fillId="0" borderId="312" xfId="0" applyFont="1" applyBorder="1" applyAlignment="1"/>
    <xf numFmtId="0" fontId="131" fillId="0" borderId="261" xfId="0" applyFont="1" applyBorder="1" applyAlignment="1">
      <alignment vertical="top"/>
    </xf>
    <xf numFmtId="0" fontId="131" fillId="0" borderId="262" xfId="0" applyFont="1" applyBorder="1" applyAlignment="1">
      <alignment horizontal="left" vertical="top"/>
    </xf>
    <xf numFmtId="43" fontId="131" fillId="0" borderId="312" xfId="1" applyFont="1" applyBorder="1" applyAlignment="1">
      <alignment vertical="top"/>
    </xf>
    <xf numFmtId="0" fontId="131" fillId="0" borderId="262" xfId="0" applyFont="1" applyBorder="1" applyAlignment="1">
      <alignment vertical="top"/>
    </xf>
    <xf numFmtId="0" fontId="131" fillId="0" borderId="312" xfId="0" applyFont="1" applyBorder="1" applyAlignment="1">
      <alignment vertical="top"/>
    </xf>
    <xf numFmtId="0" fontId="241" fillId="0" borderId="312" xfId="0" applyFont="1" applyBorder="1" applyAlignment="1">
      <alignment vertical="top"/>
    </xf>
    <xf numFmtId="0" fontId="241" fillId="0" borderId="241" xfId="0" applyFont="1" applyBorder="1"/>
    <xf numFmtId="0" fontId="241" fillId="0" borderId="243" xfId="0" applyFont="1" applyBorder="1"/>
    <xf numFmtId="0" fontId="131" fillId="0" borderId="242" xfId="0" applyFont="1" applyBorder="1" applyAlignment="1">
      <alignment horizontal="left" vertical="top"/>
    </xf>
    <xf numFmtId="43" fontId="131" fillId="0" borderId="241" xfId="1" applyFont="1" applyBorder="1" applyAlignment="1">
      <alignment vertical="top"/>
    </xf>
    <xf numFmtId="0" fontId="131" fillId="0" borderId="243" xfId="0" applyFont="1" applyBorder="1" applyAlignment="1">
      <alignment vertical="top"/>
    </xf>
    <xf numFmtId="0" fontId="131" fillId="0" borderId="242" xfId="0" applyFont="1" applyBorder="1" applyAlignment="1">
      <alignment vertical="top"/>
    </xf>
    <xf numFmtId="0" fontId="241" fillId="0" borderId="241" xfId="0" applyFont="1" applyBorder="1" applyAlignment="1">
      <alignment vertical="top"/>
    </xf>
    <xf numFmtId="43" fontId="131" fillId="0" borderId="186" xfId="1" applyFont="1" applyBorder="1" applyAlignment="1">
      <alignment vertical="top"/>
    </xf>
    <xf numFmtId="174" fontId="131" fillId="0" borderId="186" xfId="0" applyNumberFormat="1" applyFont="1" applyBorder="1" applyAlignment="1">
      <alignment horizontal="center" vertical="top" wrapText="1"/>
    </xf>
    <xf numFmtId="0" fontId="131" fillId="0" borderId="68" xfId="0" applyFont="1" applyBorder="1" applyAlignment="1">
      <alignment vertical="top"/>
    </xf>
    <xf numFmtId="174" fontId="131" fillId="0" borderId="186" xfId="0" applyNumberFormat="1" applyFont="1" applyBorder="1" applyAlignment="1">
      <alignment vertical="top" wrapText="1"/>
    </xf>
    <xf numFmtId="0" fontId="241" fillId="0" borderId="291" xfId="0" applyFont="1" applyBorder="1"/>
    <xf numFmtId="0" fontId="131" fillId="0" borderId="291" xfId="0" applyFont="1" applyBorder="1" applyAlignment="1">
      <alignment vertical="top"/>
    </xf>
    <xf numFmtId="0" fontId="131" fillId="0" borderId="291" xfId="0" applyFont="1" applyBorder="1" applyAlignment="1">
      <alignment horizontal="left" vertical="top"/>
    </xf>
    <xf numFmtId="43" fontId="131" fillId="0" borderId="291" xfId="1" applyFont="1" applyBorder="1" applyAlignment="1">
      <alignment vertical="top"/>
    </xf>
    <xf numFmtId="0" fontId="131" fillId="0" borderId="293" xfId="0" applyFont="1" applyBorder="1" applyAlignment="1">
      <alignment vertical="top"/>
    </xf>
    <xf numFmtId="0" fontId="131" fillId="0" borderId="292" xfId="0" applyFont="1" applyBorder="1" applyAlignment="1">
      <alignment vertical="top"/>
    </xf>
    <xf numFmtId="0" fontId="131" fillId="0" borderId="0" xfId="0" applyFont="1" applyAlignment="1">
      <alignment vertical="top" wrapText="1"/>
    </xf>
    <xf numFmtId="17" fontId="131" fillId="0" borderId="186" xfId="0" applyNumberFormat="1" applyFont="1" applyBorder="1" applyAlignment="1">
      <alignment vertical="top"/>
    </xf>
    <xf numFmtId="0" fontId="241" fillId="0" borderId="186" xfId="0" applyFont="1" applyBorder="1"/>
    <xf numFmtId="0" fontId="131" fillId="0" borderId="186" xfId="0" applyFont="1" applyBorder="1" applyAlignment="1">
      <alignment horizontal="left" vertical="top"/>
    </xf>
    <xf numFmtId="43" fontId="131" fillId="0" borderId="186" xfId="1" applyFont="1" applyBorder="1" applyAlignment="1">
      <alignment horizontal="left" vertical="top"/>
    </xf>
    <xf numFmtId="0" fontId="131" fillId="0" borderId="314" xfId="0" applyFont="1" applyBorder="1" applyAlignment="1">
      <alignment horizontal="left" vertical="top"/>
    </xf>
    <xf numFmtId="17" fontId="131" fillId="0" borderId="186" xfId="0" applyNumberFormat="1" applyFont="1" applyBorder="1" applyAlignment="1">
      <alignment horizontal="right" vertical="top"/>
    </xf>
    <xf numFmtId="0" fontId="241" fillId="0" borderId="186" xfId="0" applyFont="1" applyBorder="1" applyAlignment="1">
      <alignment horizontal="left" vertical="top"/>
    </xf>
    <xf numFmtId="0" fontId="241" fillId="0" borderId="291" xfId="0" applyFont="1" applyBorder="1" applyAlignment="1">
      <alignment vertical="top"/>
    </xf>
    <xf numFmtId="17" fontId="131" fillId="0" borderId="241" xfId="0" applyNumberFormat="1" applyFont="1" applyBorder="1" applyAlignment="1">
      <alignment vertical="top"/>
    </xf>
    <xf numFmtId="0" fontId="62" fillId="0" borderId="0" xfId="0" applyFont="1" applyFill="1" applyAlignment="1">
      <alignment vertical="center"/>
    </xf>
    <xf numFmtId="43" fontId="62" fillId="0" borderId="0" xfId="1" applyFont="1" applyFill="1" applyAlignment="1">
      <alignment vertical="center"/>
    </xf>
    <xf numFmtId="0" fontId="21" fillId="0" borderId="0" xfId="30" applyFont="1" applyFill="1" applyProtection="1">
      <protection locked="0"/>
    </xf>
    <xf numFmtId="0" fontId="0" fillId="0" borderId="0" xfId="0" applyFill="1" applyAlignment="1">
      <alignment vertical="center"/>
    </xf>
    <xf numFmtId="43" fontId="0" fillId="0" borderId="0" xfId="1" applyFont="1" applyFill="1" applyAlignment="1">
      <alignment vertical="center"/>
    </xf>
    <xf numFmtId="0" fontId="112" fillId="0" borderId="312" xfId="0" applyFont="1" applyFill="1" applyBorder="1" applyAlignment="1">
      <alignment horizontal="center" vertical="top" wrapText="1"/>
    </xf>
    <xf numFmtId="0" fontId="71" fillId="0" borderId="262" xfId="0" applyFont="1" applyFill="1" applyBorder="1" applyAlignment="1">
      <alignment horizontal="center" vertical="top" wrapText="1"/>
    </xf>
    <xf numFmtId="0" fontId="74" fillId="0" borderId="262" xfId="0" applyFont="1" applyFill="1" applyBorder="1" applyAlignment="1">
      <alignment horizontal="justify" vertical="top" wrapText="1"/>
    </xf>
    <xf numFmtId="0" fontId="112" fillId="0" borderId="186" xfId="0" applyFont="1" applyFill="1" applyBorder="1" applyAlignment="1">
      <alignment horizontal="center" vertical="top" wrapText="1"/>
    </xf>
    <xf numFmtId="0" fontId="71" fillId="0" borderId="68" xfId="0" applyFont="1" applyFill="1" applyBorder="1" applyAlignment="1">
      <alignment horizontal="center" vertical="top" wrapText="1"/>
    </xf>
    <xf numFmtId="0" fontId="74" fillId="0" borderId="68" xfId="0" applyFont="1" applyFill="1" applyBorder="1" applyAlignment="1">
      <alignment horizontal="justify" vertical="top" wrapText="1"/>
    </xf>
    <xf numFmtId="0" fontId="0" fillId="0" borderId="186" xfId="0" applyFill="1" applyBorder="1" applyAlignment="1">
      <alignment vertical="top" wrapText="1"/>
    </xf>
    <xf numFmtId="0" fontId="0" fillId="0" borderId="241" xfId="0" applyFill="1" applyBorder="1" applyAlignment="1">
      <alignment vertical="top" wrapText="1"/>
    </xf>
    <xf numFmtId="0" fontId="71" fillId="0" borderId="242" xfId="0" applyFont="1" applyFill="1" applyBorder="1" applyAlignment="1">
      <alignment horizontal="center" vertical="top" wrapText="1"/>
    </xf>
    <xf numFmtId="0" fontId="0" fillId="0" borderId="242" xfId="0" applyFill="1" applyBorder="1" applyAlignment="1">
      <alignment vertical="top" wrapText="1"/>
    </xf>
    <xf numFmtId="0" fontId="112" fillId="0" borderId="241" xfId="0" applyFont="1" applyFill="1" applyBorder="1" applyAlignment="1">
      <alignment horizontal="left" vertical="top" wrapText="1" indent="2"/>
    </xf>
    <xf numFmtId="0" fontId="112" fillId="0" borderId="242" xfId="0" applyFont="1" applyFill="1" applyBorder="1" applyAlignment="1">
      <alignment horizontal="right" vertical="top" wrapText="1"/>
    </xf>
    <xf numFmtId="0" fontId="69" fillId="0" borderId="242" xfId="0" applyFont="1" applyFill="1" applyBorder="1" applyAlignment="1">
      <alignment horizontal="right" vertical="top" wrapText="1"/>
    </xf>
    <xf numFmtId="0" fontId="71" fillId="0" borderId="186" xfId="0" applyFont="1" applyFill="1" applyBorder="1" applyAlignment="1">
      <alignment vertical="top" wrapText="1"/>
    </xf>
    <xf numFmtId="4" fontId="69" fillId="0" borderId="441" xfId="0" applyNumberFormat="1" applyFont="1" applyFill="1" applyBorder="1" applyAlignment="1">
      <alignment vertical="top"/>
    </xf>
    <xf numFmtId="4" fontId="69" fillId="0" borderId="441" xfId="0" applyNumberFormat="1" applyFont="1" applyFill="1" applyBorder="1" applyAlignment="1">
      <alignment vertical="top" wrapText="1"/>
    </xf>
    <xf numFmtId="0" fontId="71" fillId="0" borderId="68" xfId="0" applyFont="1" applyFill="1" applyBorder="1" applyAlignment="1">
      <alignment horizontal="right" vertical="top" wrapText="1"/>
    </xf>
    <xf numFmtId="0" fontId="69" fillId="0" borderId="357" xfId="0" applyFont="1" applyFill="1" applyBorder="1" applyAlignment="1">
      <alignment vertical="top"/>
    </xf>
    <xf numFmtId="0" fontId="69" fillId="0" borderId="357" xfId="0" applyFont="1" applyFill="1" applyBorder="1" applyAlignment="1">
      <alignment vertical="top" wrapText="1"/>
    </xf>
    <xf numFmtId="0" fontId="144" fillId="0" borderId="186" xfId="0" applyFont="1" applyFill="1" applyBorder="1" applyAlignment="1">
      <alignment horizontal="left" vertical="top" wrapText="1" indent="2"/>
    </xf>
    <xf numFmtId="4" fontId="71" fillId="0" borderId="68" xfId="0" applyNumberFormat="1" applyFont="1" applyFill="1" applyBorder="1" applyAlignment="1">
      <alignment horizontal="right" vertical="top" wrapText="1"/>
    </xf>
    <xf numFmtId="0" fontId="71" fillId="0" borderId="186" xfId="0" applyFont="1" applyFill="1" applyBorder="1" applyAlignment="1">
      <alignment horizontal="left" vertical="top" wrapText="1" indent="2"/>
    </xf>
    <xf numFmtId="0" fontId="69" fillId="0" borderId="241" xfId="0" applyFont="1" applyFill="1" applyBorder="1" applyAlignment="1">
      <alignment vertical="top"/>
    </xf>
    <xf numFmtId="0" fontId="69" fillId="0" borderId="241" xfId="0" applyFont="1" applyFill="1" applyBorder="1" applyAlignment="1">
      <alignment vertical="top" wrapText="1"/>
    </xf>
    <xf numFmtId="0" fontId="71" fillId="0" borderId="242" xfId="0" applyFont="1" applyFill="1" applyBorder="1" applyAlignment="1">
      <alignment horizontal="right" vertical="top" wrapText="1"/>
    </xf>
    <xf numFmtId="0" fontId="71" fillId="0" borderId="186" xfId="0" applyFont="1" applyFill="1" applyBorder="1" applyAlignment="1">
      <alignment horizontal="left" vertical="top" wrapText="1" indent="3"/>
    </xf>
    <xf numFmtId="0" fontId="71" fillId="0" borderId="241" xfId="0" applyFont="1" applyFill="1" applyBorder="1" applyAlignment="1">
      <alignment vertical="top" wrapText="1"/>
    </xf>
    <xf numFmtId="4" fontId="69" fillId="0" borderId="242" xfId="0" applyNumberFormat="1" applyFont="1" applyFill="1" applyBorder="1" applyAlignment="1">
      <alignment horizontal="right" vertical="top" wrapText="1"/>
    </xf>
    <xf numFmtId="43" fontId="18" fillId="0" borderId="295" xfId="0" applyNumberFormat="1" applyFont="1" applyBorder="1"/>
    <xf numFmtId="0" fontId="68" fillId="0" borderId="0" xfId="0" applyFont="1" applyAlignment="1"/>
    <xf numFmtId="0" fontId="67" fillId="0" borderId="0" xfId="0" applyFont="1" applyAlignment="1"/>
    <xf numFmtId="43" fontId="67" fillId="0" borderId="0" xfId="1" applyFont="1" applyAlignment="1"/>
    <xf numFmtId="43" fontId="68" fillId="0" borderId="0" xfId="1" applyFont="1" applyAlignment="1"/>
    <xf numFmtId="0" fontId="69" fillId="0" borderId="292" xfId="0" applyFont="1" applyBorder="1" applyAlignment="1">
      <alignment vertical="top" wrapText="1"/>
    </xf>
    <xf numFmtId="0" fontId="69" fillId="0" borderId="291" xfId="0" applyFont="1" applyBorder="1" applyAlignment="1">
      <alignment vertical="top" wrapText="1"/>
    </xf>
    <xf numFmtId="0" fontId="71" fillId="0" borderId="357" xfId="0" applyFont="1" applyBorder="1" applyAlignment="1">
      <alignment vertical="top" wrapText="1"/>
    </xf>
    <xf numFmtId="0" fontId="71" fillId="0" borderId="441" xfId="0" applyFont="1" applyBorder="1" applyAlignment="1">
      <alignment vertical="top" wrapText="1"/>
    </xf>
    <xf numFmtId="43" fontId="71" fillId="0" borderId="440" xfId="1" applyFont="1" applyBorder="1" applyAlignment="1">
      <alignment vertical="top" wrapText="1"/>
    </xf>
    <xf numFmtId="43" fontId="71" fillId="0" borderId="0" xfId="1" applyFont="1" applyBorder="1" applyAlignment="1">
      <alignment vertical="top" wrapText="1"/>
    </xf>
    <xf numFmtId="4" fontId="0" fillId="0" borderId="0" xfId="0" applyNumberFormat="1" applyAlignment="1">
      <alignment vertical="center"/>
    </xf>
    <xf numFmtId="0" fontId="92" fillId="0" borderId="245" xfId="0" applyFont="1" applyBorder="1" applyAlignment="1">
      <alignment horizontal="center" vertical="top" wrapText="1"/>
    </xf>
    <xf numFmtId="4" fontId="62" fillId="0" borderId="442" xfId="0" applyNumberFormat="1" applyFont="1" applyBorder="1" applyAlignment="1">
      <alignment vertical="top" wrapText="1"/>
    </xf>
    <xf numFmtId="0" fontId="0" fillId="0" borderId="146" xfId="0" applyBorder="1" applyAlignment="1">
      <alignment vertical="top" wrapText="1"/>
    </xf>
    <xf numFmtId="0" fontId="0" fillId="0" borderId="443" xfId="0" applyBorder="1" applyAlignment="1">
      <alignment vertical="top" wrapText="1"/>
    </xf>
    <xf numFmtId="0" fontId="0" fillId="0" borderId="357" xfId="0" applyBorder="1" applyAlignment="1">
      <alignment vertical="top" wrapText="1"/>
    </xf>
    <xf numFmtId="4" fontId="0" fillId="0" borderId="357" xfId="0" applyNumberFormat="1" applyBorder="1" applyAlignment="1">
      <alignment vertical="top" wrapText="1"/>
    </xf>
    <xf numFmtId="4" fontId="0" fillId="0" borderId="146" xfId="0" applyNumberFormat="1" applyBorder="1" applyAlignment="1">
      <alignment vertical="top" wrapText="1"/>
    </xf>
    <xf numFmtId="4" fontId="0" fillId="0" borderId="398" xfId="0" applyNumberFormat="1" applyBorder="1" applyAlignment="1">
      <alignment vertical="top" wrapText="1"/>
    </xf>
    <xf numFmtId="0" fontId="0" fillId="0" borderId="398" xfId="0" applyBorder="1" applyAlignment="1">
      <alignment vertical="top" wrapText="1"/>
    </xf>
    <xf numFmtId="0" fontId="211" fillId="0" borderId="0" xfId="0" applyFont="1" applyAlignment="1">
      <alignment vertical="center"/>
    </xf>
    <xf numFmtId="0" fontId="72" fillId="0" borderId="0" xfId="0" applyFont="1" applyAlignment="1">
      <alignment horizontal="left" vertical="top"/>
    </xf>
    <xf numFmtId="0" fontId="27" fillId="0" borderId="0" xfId="21" applyFont="1" applyAlignment="1">
      <alignment horizontal="center"/>
    </xf>
    <xf numFmtId="0" fontId="19" fillId="2" borderId="295" xfId="58" applyFont="1" applyFill="1" applyBorder="1" applyAlignment="1">
      <alignment horizontal="left" vertical="top" wrapText="1"/>
    </xf>
    <xf numFmtId="0" fontId="19" fillId="2" borderId="300" xfId="58" applyFont="1" applyFill="1" applyBorder="1" applyAlignment="1">
      <alignment horizontal="left"/>
    </xf>
    <xf numFmtId="0" fontId="19" fillId="2" borderId="326" xfId="58" applyFont="1" applyFill="1" applyBorder="1" applyAlignment="1">
      <alignment horizontal="left"/>
    </xf>
    <xf numFmtId="0" fontId="91" fillId="2" borderId="300" xfId="58" applyFont="1" applyFill="1" applyBorder="1" applyAlignment="1">
      <alignment horizontal="left" wrapText="1"/>
    </xf>
    <xf numFmtId="0" fontId="21" fillId="2" borderId="0" xfId="58" applyFont="1" applyFill="1" applyBorder="1" applyAlignment="1">
      <alignment horizontal="center" vertical="center" shrinkToFit="1"/>
    </xf>
    <xf numFmtId="0" fontId="21" fillId="2" borderId="0" xfId="58" applyFont="1" applyFill="1" applyBorder="1" applyAlignment="1">
      <alignment horizontal="center" vertical="center" wrapText="1"/>
    </xf>
    <xf numFmtId="0" fontId="21" fillId="2" borderId="300" xfId="58" applyFont="1" applyFill="1" applyBorder="1" applyAlignment="1">
      <alignment horizontal="center" vertical="center" wrapText="1"/>
    </xf>
    <xf numFmtId="0" fontId="21" fillId="0" borderId="302" xfId="0" applyFont="1" applyBorder="1" applyAlignment="1">
      <alignment horizontal="center" vertical="top" wrapText="1"/>
    </xf>
    <xf numFmtId="0" fontId="21" fillId="0" borderId="346" xfId="0" applyFont="1" applyBorder="1" applyAlignment="1">
      <alignment horizontal="center" vertical="top" wrapText="1"/>
    </xf>
    <xf numFmtId="0" fontId="21" fillId="0" borderId="349" xfId="0" applyFont="1" applyBorder="1" applyAlignment="1">
      <alignment horizontal="center" vertical="top" wrapText="1"/>
    </xf>
    <xf numFmtId="0" fontId="80" fillId="0" borderId="296" xfId="0" applyFont="1" applyBorder="1"/>
    <xf numFmtId="0" fontId="92" fillId="0" borderId="296" xfId="0" applyFont="1" applyBorder="1"/>
    <xf numFmtId="0" fontId="0" fillId="0" borderId="444" xfId="0" applyBorder="1"/>
    <xf numFmtId="0" fontId="19" fillId="0" borderId="444" xfId="43" applyFont="1" applyBorder="1" applyAlignment="1">
      <alignment horizontal="left" vertical="top" wrapText="1"/>
    </xf>
    <xf numFmtId="0" fontId="19" fillId="0" borderId="0" xfId="83" applyFont="1" applyAlignment="1">
      <alignment horizontal="justify" vertical="top" wrapText="1"/>
    </xf>
    <xf numFmtId="0" fontId="32" fillId="0" borderId="0" xfId="21" applyFont="1"/>
    <xf numFmtId="0" fontId="18" fillId="0" borderId="302" xfId="21" applyFont="1" applyBorder="1"/>
    <xf numFmtId="0" fontId="18" fillId="0" borderId="302" xfId="21" applyFont="1" applyBorder="1" applyAlignment="1">
      <alignment vertical="center" wrapText="1"/>
    </xf>
    <xf numFmtId="0" fontId="27" fillId="0" borderId="302" xfId="21" applyFont="1" applyBorder="1" applyAlignment="1">
      <alignment vertical="center" wrapText="1"/>
    </xf>
    <xf numFmtId="43" fontId="27" fillId="0" borderId="302" xfId="21" applyNumberFormat="1" applyFont="1" applyBorder="1" applyAlignment="1">
      <alignment vertical="center"/>
    </xf>
    <xf numFmtId="0" fontId="31" fillId="0" borderId="0" xfId="21" applyFont="1"/>
    <xf numFmtId="0" fontId="18" fillId="0" borderId="416" xfId="21" applyFont="1" applyBorder="1"/>
    <xf numFmtId="0" fontId="18" fillId="0" borderId="201" xfId="21" applyFont="1" applyBorder="1" applyAlignment="1">
      <alignment horizontal="left" vertical="center" wrapText="1"/>
    </xf>
    <xf numFmtId="43" fontId="18" fillId="0" borderId="201" xfId="21" applyNumberFormat="1" applyFont="1" applyBorder="1"/>
    <xf numFmtId="0" fontId="18" fillId="0" borderId="201" xfId="21" applyFont="1" applyBorder="1"/>
    <xf numFmtId="0" fontId="18" fillId="0" borderId="448" xfId="21" applyFont="1" applyBorder="1"/>
    <xf numFmtId="0" fontId="27" fillId="0" borderId="0" xfId="21" applyFont="1" applyAlignment="1">
      <alignment wrapText="1"/>
    </xf>
    <xf numFmtId="0" fontId="27" fillId="0" borderId="301" xfId="21" applyFont="1" applyBorder="1" applyAlignment="1">
      <alignment horizontal="center" wrapText="1"/>
    </xf>
    <xf numFmtId="0" fontId="27" fillId="0" borderId="303" xfId="21" applyFont="1" applyBorder="1" applyAlignment="1">
      <alignment wrapText="1"/>
    </xf>
    <xf numFmtId="0" fontId="27" fillId="0" borderId="303" xfId="21" applyFont="1" applyBorder="1" applyAlignment="1">
      <alignment horizontal="center" wrapText="1"/>
    </xf>
    <xf numFmtId="0" fontId="27" fillId="0" borderId="302" xfId="21" applyFont="1" applyBorder="1" applyAlignment="1">
      <alignment horizontal="center" vertical="center" wrapText="1"/>
    </xf>
    <xf numFmtId="0" fontId="18" fillId="0" borderId="302" xfId="21" applyFont="1" applyBorder="1" applyAlignment="1">
      <alignment vertical="center"/>
    </xf>
    <xf numFmtId="0" fontId="18" fillId="0" borderId="0" xfId="21" applyFont="1" applyAlignment="1">
      <alignment horizontal="center"/>
    </xf>
    <xf numFmtId="0" fontId="18" fillId="0" borderId="0" xfId="21" applyFont="1" applyAlignment="1">
      <alignment vertical="top"/>
    </xf>
    <xf numFmtId="0" fontId="32" fillId="0" borderId="0" xfId="21" applyFont="1" applyAlignment="1">
      <alignment vertical="top"/>
    </xf>
    <xf numFmtId="0" fontId="249" fillId="0" borderId="0" xfId="21" applyFont="1" applyAlignment="1">
      <alignment vertical="top"/>
    </xf>
    <xf numFmtId="0" fontId="84" fillId="0" borderId="0" xfId="21" applyFont="1" applyAlignment="1">
      <alignment vertical="top"/>
    </xf>
    <xf numFmtId="0" fontId="27" fillId="0" borderId="0" xfId="21" applyFont="1" applyAlignment="1">
      <alignment vertical="top"/>
    </xf>
    <xf numFmtId="0" fontId="18" fillId="0" borderId="0" xfId="21" applyFont="1" applyAlignment="1">
      <alignment vertical="top" wrapText="1"/>
    </xf>
    <xf numFmtId="0" fontId="27" fillId="0" borderId="302" xfId="21" applyFont="1" applyBorder="1" applyAlignment="1">
      <alignment horizontal="center" vertical="top" wrapText="1"/>
    </xf>
    <xf numFmtId="0" fontId="27" fillId="0" borderId="302" xfId="21" applyFont="1" applyBorder="1" applyAlignment="1">
      <alignment vertical="top"/>
    </xf>
    <xf numFmtId="0" fontId="18" fillId="0" borderId="302" xfId="21" applyFont="1" applyBorder="1" applyAlignment="1">
      <alignment vertical="top"/>
    </xf>
    <xf numFmtId="0" fontId="18" fillId="0" borderId="302" xfId="21" applyFont="1" applyBorder="1" applyAlignment="1">
      <alignment vertical="top" wrapText="1"/>
    </xf>
    <xf numFmtId="0" fontId="18" fillId="0" borderId="303" xfId="21" applyFont="1" applyBorder="1" applyAlignment="1">
      <alignment vertical="top" wrapText="1"/>
    </xf>
    <xf numFmtId="0" fontId="18" fillId="0" borderId="303" xfId="21" applyFont="1" applyBorder="1" applyAlignment="1">
      <alignment horizontal="center" vertical="top" wrapText="1"/>
    </xf>
    <xf numFmtId="0" fontId="18" fillId="0" borderId="301" xfId="21" applyFont="1" applyBorder="1" applyAlignment="1">
      <alignment vertical="top"/>
    </xf>
    <xf numFmtId="0" fontId="18" fillId="0" borderId="301" xfId="21" applyFont="1" applyBorder="1" applyAlignment="1">
      <alignment vertical="top" wrapText="1"/>
    </xf>
    <xf numFmtId="0" fontId="27" fillId="0" borderId="289" xfId="21" applyFont="1" applyBorder="1" applyAlignment="1">
      <alignment vertical="top"/>
    </xf>
    <xf numFmtId="0" fontId="18" fillId="0" borderId="290" xfId="21" applyFont="1" applyBorder="1" applyAlignment="1">
      <alignment vertical="top"/>
    </xf>
    <xf numFmtId="0" fontId="18" fillId="0" borderId="290" xfId="21" applyFont="1" applyBorder="1" applyAlignment="1">
      <alignment vertical="top" wrapText="1"/>
    </xf>
    <xf numFmtId="0" fontId="18" fillId="0" borderId="308" xfId="21" applyFont="1" applyBorder="1" applyAlignment="1">
      <alignment vertical="top" wrapText="1"/>
    </xf>
    <xf numFmtId="0" fontId="18" fillId="0" borderId="303" xfId="21" applyFont="1" applyBorder="1" applyAlignment="1">
      <alignment vertical="top"/>
    </xf>
    <xf numFmtId="0" fontId="18" fillId="0" borderId="302" xfId="21" applyFont="1" applyBorder="1" applyAlignment="1">
      <alignment horizontal="left" vertical="top" wrapText="1"/>
    </xf>
    <xf numFmtId="0" fontId="18" fillId="0" borderId="302" xfId="21" applyFont="1" applyBorder="1" applyAlignment="1">
      <alignment horizontal="center" vertical="top" wrapText="1"/>
    </xf>
    <xf numFmtId="0" fontId="18" fillId="0" borderId="295" xfId="21" applyFont="1" applyBorder="1" applyAlignment="1">
      <alignment vertical="top"/>
    </xf>
    <xf numFmtId="2" fontId="18" fillId="0" borderId="302" xfId="21" applyNumberFormat="1" applyFont="1" applyBorder="1" applyAlignment="1">
      <alignment horizontal="center" vertical="top" wrapText="1"/>
    </xf>
    <xf numFmtId="0" fontId="18" fillId="0" borderId="0" xfId="21" applyFont="1" applyBorder="1" applyAlignment="1">
      <alignment vertical="top"/>
    </xf>
    <xf numFmtId="0" fontId="18" fillId="0" borderId="0" xfId="21" applyFont="1" applyBorder="1" applyAlignment="1">
      <alignment vertical="top" wrapText="1"/>
    </xf>
    <xf numFmtId="0" fontId="18" fillId="0" borderId="0" xfId="21" applyFont="1" applyBorder="1" applyAlignment="1">
      <alignment horizontal="center" vertical="top" wrapText="1"/>
    </xf>
    <xf numFmtId="49" fontId="18" fillId="0" borderId="302" xfId="21" applyNumberFormat="1" applyFont="1" applyBorder="1" applyAlignment="1">
      <alignment horizontal="center" vertical="top" wrapText="1"/>
    </xf>
    <xf numFmtId="49" fontId="18" fillId="0" borderId="302" xfId="21" applyNumberFormat="1" applyFont="1" applyBorder="1" applyAlignment="1">
      <alignment horizontal="center" vertical="top"/>
    </xf>
    <xf numFmtId="49" fontId="18" fillId="0" borderId="302" xfId="21" applyNumberFormat="1" applyFont="1" applyBorder="1" applyAlignment="1">
      <alignment vertical="top" wrapText="1"/>
    </xf>
    <xf numFmtId="0" fontId="27" fillId="0" borderId="302" xfId="21" applyFont="1" applyBorder="1" applyAlignment="1">
      <alignment horizontal="center" vertical="top"/>
    </xf>
    <xf numFmtId="0" fontId="27" fillId="0" borderId="0" xfId="21" applyFont="1" applyAlignment="1">
      <alignment horizontal="center" vertical="top"/>
    </xf>
    <xf numFmtId="0" fontId="18" fillId="0" borderId="0" xfId="21" applyFont="1" applyAlignment="1">
      <alignment horizontal="center" vertical="top"/>
    </xf>
    <xf numFmtId="43" fontId="31" fillId="0" borderId="0" xfId="1" applyFont="1" applyAlignment="1">
      <alignment vertical="top"/>
    </xf>
    <xf numFmtId="43" fontId="18" fillId="0" borderId="302" xfId="1" applyFont="1" applyBorder="1" applyAlignment="1">
      <alignment vertical="top"/>
    </xf>
    <xf numFmtId="43" fontId="18" fillId="0" borderId="302" xfId="1" applyFont="1" applyBorder="1" applyAlignment="1">
      <alignment horizontal="center" vertical="top"/>
    </xf>
    <xf numFmtId="43" fontId="18" fillId="0" borderId="289" xfId="1" applyFont="1" applyBorder="1" applyAlignment="1">
      <alignment vertical="top"/>
    </xf>
    <xf numFmtId="43" fontId="18" fillId="0" borderId="303" xfId="1" applyFont="1" applyBorder="1" applyAlignment="1">
      <alignment vertical="top"/>
    </xf>
    <xf numFmtId="43" fontId="18" fillId="0" borderId="302" xfId="1" applyFont="1" applyBorder="1" applyAlignment="1">
      <alignment horizontal="center" vertical="top" wrapText="1"/>
    </xf>
    <xf numFmtId="43" fontId="18" fillId="0" borderId="0" xfId="1" applyFont="1" applyBorder="1" applyAlignment="1">
      <alignment horizontal="center" vertical="top" wrapText="1"/>
    </xf>
    <xf numFmtId="43" fontId="83" fillId="0" borderId="302" xfId="1" applyFont="1" applyBorder="1" applyAlignment="1">
      <alignment horizontal="center" vertical="top"/>
    </xf>
    <xf numFmtId="0" fontId="19" fillId="0" borderId="0" xfId="21" applyFont="1" applyAlignment="1">
      <alignment vertical="top"/>
    </xf>
    <xf numFmtId="0" fontId="21" fillId="0" borderId="302" xfId="21" applyFont="1" applyBorder="1" applyAlignment="1">
      <alignment horizontal="center" vertical="top" wrapText="1"/>
    </xf>
    <xf numFmtId="0" fontId="18" fillId="0" borderId="157" xfId="21" applyFont="1" applyBorder="1" applyAlignment="1">
      <alignment vertical="top"/>
    </xf>
    <xf numFmtId="0" fontId="18" fillId="0" borderId="157" xfId="21" applyFont="1" applyBorder="1" applyAlignment="1">
      <alignment vertical="top" wrapText="1"/>
    </xf>
    <xf numFmtId="43" fontId="18" fillId="0" borderId="157" xfId="1" applyFont="1" applyBorder="1" applyAlignment="1">
      <alignment horizontal="center" vertical="top" wrapText="1"/>
    </xf>
    <xf numFmtId="0" fontId="18" fillId="0" borderId="157" xfId="21" applyFont="1" applyBorder="1" applyAlignment="1">
      <alignment horizontal="center" vertical="top" wrapText="1"/>
    </xf>
    <xf numFmtId="0" fontId="18" fillId="0" borderId="449" xfId="21" applyFont="1" applyBorder="1" applyAlignment="1">
      <alignment vertical="top" wrapText="1"/>
    </xf>
    <xf numFmtId="43" fontId="18" fillId="0" borderId="449" xfId="1" applyFont="1" applyBorder="1" applyAlignment="1">
      <alignment horizontal="center" vertical="top" wrapText="1"/>
    </xf>
    <xf numFmtId="0" fontId="18" fillId="0" borderId="449" xfId="21" applyFont="1" applyBorder="1" applyAlignment="1">
      <alignment vertical="top"/>
    </xf>
    <xf numFmtId="0" fontId="18" fillId="0" borderId="449" xfId="21" applyFont="1" applyBorder="1" applyAlignment="1">
      <alignment horizontal="center" vertical="top" wrapText="1"/>
    </xf>
    <xf numFmtId="0" fontId="18" fillId="0" borderId="42" xfId="21" applyFont="1" applyBorder="1" applyAlignment="1">
      <alignment vertical="top"/>
    </xf>
    <xf numFmtId="0" fontId="18" fillId="0" borderId="393" xfId="21" applyFont="1" applyBorder="1" applyAlignment="1">
      <alignment vertical="top"/>
    </xf>
    <xf numFmtId="4" fontId="18" fillId="0" borderId="401" xfId="21" applyNumberFormat="1" applyFont="1" applyBorder="1" applyAlignment="1">
      <alignment vertical="top"/>
    </xf>
    <xf numFmtId="43" fontId="32" fillId="0" borderId="0" xfId="1" applyFont="1"/>
    <xf numFmtId="43" fontId="18" fillId="0" borderId="302" xfId="1" applyFont="1" applyBorder="1"/>
    <xf numFmtId="4" fontId="18" fillId="0" borderId="302" xfId="21" applyNumberFormat="1" applyFont="1" applyBorder="1" applyAlignment="1">
      <alignment vertical="center"/>
    </xf>
    <xf numFmtId="43" fontId="18" fillId="0" borderId="302" xfId="1" applyFont="1" applyBorder="1" applyAlignment="1">
      <alignment horizontal="center" vertical="center" wrapText="1"/>
    </xf>
    <xf numFmtId="0" fontId="18" fillId="0" borderId="302" xfId="21" applyFont="1" applyFill="1" applyBorder="1" applyAlignment="1">
      <alignment vertical="center" wrapText="1"/>
    </xf>
    <xf numFmtId="43" fontId="18" fillId="0" borderId="302" xfId="21" applyNumberFormat="1" applyFont="1" applyBorder="1" applyAlignment="1">
      <alignment vertical="center" wrapText="1"/>
    </xf>
    <xf numFmtId="43" fontId="18" fillId="0" borderId="302" xfId="1" applyFont="1" applyBorder="1" applyAlignment="1">
      <alignment vertical="center" wrapText="1"/>
    </xf>
    <xf numFmtId="43" fontId="18" fillId="0" borderId="302" xfId="21" applyNumberFormat="1" applyFont="1" applyBorder="1" applyAlignment="1">
      <alignment horizontal="right" vertical="center"/>
    </xf>
    <xf numFmtId="43" fontId="27" fillId="0" borderId="0" xfId="1" applyFont="1"/>
    <xf numFmtId="0" fontId="31" fillId="0" borderId="0" xfId="21" applyFont="1" applyAlignment="1">
      <alignment horizontal="left"/>
    </xf>
    <xf numFmtId="43" fontId="27" fillId="0" borderId="302" xfId="1" applyFont="1" applyBorder="1" applyAlignment="1">
      <alignment vertical="center"/>
    </xf>
    <xf numFmtId="0" fontId="18" fillId="0" borderId="0" xfId="21" applyFont="1" applyAlignment="1">
      <alignment vertical="center"/>
    </xf>
    <xf numFmtId="43" fontId="71" fillId="0" borderId="0" xfId="33" applyNumberFormat="1" applyFont="1" applyAlignment="1">
      <alignment vertical="top"/>
    </xf>
    <xf numFmtId="0" fontId="21" fillId="2" borderId="124" xfId="58" applyFont="1" applyFill="1" applyBorder="1" applyAlignment="1">
      <alignment horizontal="center"/>
    </xf>
    <xf numFmtId="0" fontId="19" fillId="2" borderId="0" xfId="58" applyFont="1" applyFill="1" applyBorder="1" applyAlignment="1">
      <alignment horizontal="right"/>
    </xf>
    <xf numFmtId="17" fontId="19" fillId="2" borderId="295" xfId="58" applyNumberFormat="1" applyFont="1" applyFill="1" applyBorder="1" applyAlignment="1">
      <alignment horizontal="center"/>
    </xf>
    <xf numFmtId="16" fontId="19" fillId="2" borderId="295" xfId="58" applyNumberFormat="1" applyFont="1" applyFill="1" applyBorder="1" applyAlignment="1">
      <alignment horizontal="center"/>
    </xf>
    <xf numFmtId="0" fontId="19" fillId="2" borderId="300" xfId="58" applyFont="1" applyFill="1" applyBorder="1" applyAlignment="1">
      <alignment horizontal="center"/>
    </xf>
    <xf numFmtId="0" fontId="19" fillId="2" borderId="326" xfId="58" applyFont="1" applyFill="1" applyBorder="1" applyAlignment="1">
      <alignment horizontal="center"/>
    </xf>
    <xf numFmtId="0" fontId="21" fillId="2" borderId="0" xfId="58" applyFont="1" applyFill="1" applyAlignment="1">
      <alignment horizontal="right"/>
    </xf>
    <xf numFmtId="0" fontId="19" fillId="2" borderId="315" xfId="58" applyFont="1" applyFill="1" applyBorder="1"/>
    <xf numFmtId="0" fontId="19" fillId="2" borderId="316" xfId="58" applyFont="1" applyFill="1" applyBorder="1"/>
    <xf numFmtId="0" fontId="250" fillId="2" borderId="300" xfId="58" applyFont="1" applyFill="1" applyBorder="1" applyAlignment="1">
      <alignment wrapText="1"/>
    </xf>
    <xf numFmtId="0" fontId="91" fillId="2" borderId="0" xfId="58" applyFont="1" applyFill="1" applyBorder="1" applyAlignment="1">
      <alignment wrapText="1"/>
    </xf>
    <xf numFmtId="0" fontId="30" fillId="2" borderId="300" xfId="58" applyFont="1" applyFill="1" applyBorder="1"/>
    <xf numFmtId="0" fontId="38" fillId="2" borderId="0" xfId="58" applyFont="1" applyFill="1"/>
    <xf numFmtId="9" fontId="19" fillId="2" borderId="326" xfId="58" applyNumberFormat="1" applyFont="1" applyFill="1" applyBorder="1" applyAlignment="1">
      <alignment horizontal="left"/>
    </xf>
    <xf numFmtId="0" fontId="19" fillId="2" borderId="316" xfId="58" applyFont="1" applyFill="1" applyBorder="1" applyAlignment="1">
      <alignment horizontal="center"/>
    </xf>
    <xf numFmtId="0" fontId="19" fillId="2" borderId="157" xfId="58" applyFont="1" applyFill="1" applyBorder="1"/>
    <xf numFmtId="0" fontId="19" fillId="2" borderId="157" xfId="58" applyFont="1" applyFill="1" applyBorder="1" applyAlignment="1">
      <alignment horizontal="left"/>
    </xf>
    <xf numFmtId="0" fontId="91" fillId="2" borderId="157" xfId="58" applyFont="1" applyFill="1" applyBorder="1" applyAlignment="1">
      <alignment horizontal="left" vertical="top" wrapText="1"/>
    </xf>
    <xf numFmtId="0" fontId="91" fillId="2" borderId="157" xfId="58" applyFont="1" applyFill="1" applyBorder="1" applyAlignment="1">
      <alignment horizontal="left"/>
    </xf>
    <xf numFmtId="0" fontId="19" fillId="2" borderId="157" xfId="58" applyFont="1" applyFill="1" applyBorder="1" applyAlignment="1">
      <alignment horizontal="center"/>
    </xf>
    <xf numFmtId="0" fontId="91" fillId="2" borderId="0" xfId="58" applyFont="1" applyFill="1" applyBorder="1" applyAlignment="1">
      <alignment horizontal="left" vertical="top" wrapText="1"/>
    </xf>
    <xf numFmtId="0" fontId="19" fillId="2" borderId="449" xfId="58" applyFont="1" applyFill="1" applyBorder="1"/>
    <xf numFmtId="0" fontId="19" fillId="2" borderId="449" xfId="58" applyFont="1" applyFill="1" applyBorder="1" applyAlignment="1">
      <alignment horizontal="left"/>
    </xf>
    <xf numFmtId="0" fontId="91" fillId="2" borderId="449" xfId="58" applyFont="1" applyFill="1" applyBorder="1" applyAlignment="1">
      <alignment horizontal="left" vertical="top" wrapText="1"/>
    </xf>
    <xf numFmtId="0" fontId="91" fillId="2" borderId="449" xfId="58" applyFont="1" applyFill="1" applyBorder="1" applyAlignment="1">
      <alignment horizontal="left"/>
    </xf>
    <xf numFmtId="0" fontId="19" fillId="2" borderId="449" xfId="58" applyFont="1" applyFill="1" applyBorder="1" applyAlignment="1">
      <alignment horizontal="center"/>
    </xf>
    <xf numFmtId="0" fontId="21" fillId="2" borderId="157" xfId="58" applyFont="1" applyFill="1" applyBorder="1"/>
    <xf numFmtId="0" fontId="72" fillId="2" borderId="157" xfId="58" applyFont="1" applyFill="1" applyBorder="1" applyAlignment="1">
      <alignment wrapText="1"/>
    </xf>
    <xf numFmtId="0" fontId="72" fillId="2" borderId="157" xfId="58" applyFont="1" applyFill="1" applyBorder="1" applyAlignment="1">
      <alignment horizontal="left"/>
    </xf>
    <xf numFmtId="0" fontId="72" fillId="2" borderId="0" xfId="58" applyFont="1" applyFill="1" applyBorder="1" applyAlignment="1">
      <alignment wrapText="1"/>
    </xf>
    <xf numFmtId="0" fontId="21" fillId="2" borderId="449" xfId="58" applyFont="1" applyFill="1" applyBorder="1"/>
    <xf numFmtId="0" fontId="72" fillId="2" borderId="449" xfId="58" applyFont="1" applyFill="1" applyBorder="1" applyAlignment="1">
      <alignment wrapText="1"/>
    </xf>
    <xf numFmtId="0" fontId="72" fillId="2" borderId="449" xfId="58" applyFont="1" applyFill="1" applyBorder="1" applyAlignment="1">
      <alignment horizontal="left"/>
    </xf>
    <xf numFmtId="43" fontId="18" fillId="2" borderId="0" xfId="1" applyFont="1" applyFill="1"/>
    <xf numFmtId="43" fontId="18" fillId="2" borderId="0" xfId="58" applyNumberFormat="1" applyFill="1"/>
    <xf numFmtId="43" fontId="19" fillId="2" borderId="0" xfId="1" applyFont="1" applyFill="1"/>
    <xf numFmtId="43" fontId="19" fillId="2" borderId="0" xfId="1" applyFont="1" applyFill="1" applyBorder="1"/>
    <xf numFmtId="43" fontId="21" fillId="2" borderId="313" xfId="1" applyFont="1" applyFill="1" applyBorder="1" applyAlignment="1">
      <alignment horizontal="center" vertical="center" wrapText="1"/>
    </xf>
    <xf numFmtId="43" fontId="19" fillId="2" borderId="295" xfId="1" applyFont="1" applyFill="1" applyBorder="1"/>
    <xf numFmtId="43" fontId="19" fillId="2" borderId="295" xfId="1" applyFont="1" applyFill="1" applyBorder="1" applyAlignment="1">
      <alignment horizontal="right"/>
    </xf>
    <xf numFmtId="43" fontId="19" fillId="2" borderId="295" xfId="1" applyFont="1" applyFill="1" applyBorder="1" applyAlignment="1">
      <alignment horizontal="right" vertical="center"/>
    </xf>
    <xf numFmtId="43" fontId="19" fillId="2" borderId="300" xfId="1" applyFont="1" applyFill="1" applyBorder="1" applyAlignment="1">
      <alignment horizontal="right"/>
    </xf>
    <xf numFmtId="43" fontId="19" fillId="2" borderId="157" xfId="1" applyFont="1" applyFill="1" applyBorder="1" applyAlignment="1">
      <alignment horizontal="right"/>
    </xf>
    <xf numFmtId="43" fontId="19" fillId="2" borderId="0" xfId="1" applyFont="1" applyFill="1" applyBorder="1" applyAlignment="1">
      <alignment horizontal="right"/>
    </xf>
    <xf numFmtId="43" fontId="19" fillId="2" borderId="449" xfId="1" applyFont="1" applyFill="1" applyBorder="1" applyAlignment="1">
      <alignment horizontal="right"/>
    </xf>
    <xf numFmtId="43" fontId="21" fillId="2" borderId="295" xfId="1" applyFont="1" applyFill="1" applyBorder="1" applyAlignment="1">
      <alignment horizontal="right"/>
    </xf>
    <xf numFmtId="43" fontId="18" fillId="2" borderId="0" xfId="1" applyFont="1" applyFill="1" applyBorder="1" applyAlignment="1">
      <alignment horizontal="right"/>
    </xf>
    <xf numFmtId="43" fontId="21" fillId="2" borderId="455" xfId="1" applyFont="1" applyFill="1" applyBorder="1" applyAlignment="1">
      <alignment vertical="center" wrapText="1"/>
    </xf>
    <xf numFmtId="43" fontId="21" fillId="2" borderId="201" xfId="1" applyFont="1" applyFill="1" applyBorder="1" applyAlignment="1">
      <alignment vertical="center" wrapText="1"/>
    </xf>
    <xf numFmtId="43" fontId="21" fillId="2" borderId="246" xfId="1" applyFont="1" applyFill="1" applyBorder="1" applyAlignment="1">
      <alignment vertical="center" wrapText="1"/>
    </xf>
    <xf numFmtId="0" fontId="251" fillId="2" borderId="295" xfId="58" applyFont="1" applyFill="1" applyBorder="1"/>
    <xf numFmtId="0" fontId="29" fillId="2" borderId="295" xfId="58" applyFont="1" applyFill="1" applyBorder="1"/>
    <xf numFmtId="43" fontId="18" fillId="0" borderId="0" xfId="58" applyNumberFormat="1" applyBorder="1"/>
    <xf numFmtId="0" fontId="19" fillId="0" borderId="187" xfId="105" applyFont="1" applyBorder="1"/>
    <xf numFmtId="0" fontId="21" fillId="0" borderId="202" xfId="105" applyFont="1" applyBorder="1" applyAlignment="1">
      <alignment horizontal="center"/>
    </xf>
    <xf numFmtId="0" fontId="19" fillId="0" borderId="451" xfId="105" applyFont="1" applyBorder="1" applyAlignment="1">
      <alignment horizontal="center"/>
    </xf>
    <xf numFmtId="0" fontId="19" fillId="0" borderId="187" xfId="105" applyBorder="1"/>
    <xf numFmtId="0" fontId="21" fillId="0" borderId="202" xfId="105" applyFont="1" applyBorder="1"/>
    <xf numFmtId="0" fontId="19" fillId="0" borderId="202" xfId="105" applyFont="1" applyBorder="1"/>
    <xf numFmtId="0" fontId="19" fillId="0" borderId="202" xfId="105" applyBorder="1"/>
    <xf numFmtId="0" fontId="19" fillId="0" borderId="401" xfId="105" applyBorder="1"/>
    <xf numFmtId="0" fontId="19" fillId="0" borderId="401" xfId="105" applyFont="1" applyBorder="1"/>
    <xf numFmtId="0" fontId="19" fillId="0" borderId="451" xfId="105" applyBorder="1"/>
    <xf numFmtId="0" fontId="19" fillId="0" borderId="157" xfId="105" applyFont="1" applyBorder="1"/>
    <xf numFmtId="0" fontId="19" fillId="0" borderId="449" xfId="105" applyFont="1" applyBorder="1" applyAlignment="1">
      <alignment horizontal="center"/>
    </xf>
    <xf numFmtId="0" fontId="19" fillId="0" borderId="393" xfId="105" applyBorder="1"/>
    <xf numFmtId="0" fontId="19" fillId="0" borderId="42" xfId="105" applyBorder="1"/>
    <xf numFmtId="0" fontId="19" fillId="0" borderId="449" xfId="105" applyBorder="1"/>
    <xf numFmtId="0" fontId="19" fillId="0" borderId="450" xfId="105" applyBorder="1"/>
    <xf numFmtId="0" fontId="19" fillId="0" borderId="201" xfId="105" applyBorder="1"/>
    <xf numFmtId="4" fontId="19" fillId="0" borderId="448" xfId="105" applyNumberFormat="1" applyBorder="1"/>
    <xf numFmtId="4" fontId="19" fillId="0" borderId="407" xfId="105" applyNumberFormat="1" applyBorder="1"/>
    <xf numFmtId="4" fontId="19" fillId="0" borderId="448" xfId="61" applyNumberFormat="1" applyFont="1" applyBorder="1"/>
    <xf numFmtId="4" fontId="21" fillId="0" borderId="407" xfId="105" applyNumberFormat="1" applyFont="1" applyBorder="1"/>
    <xf numFmtId="43" fontId="19" fillId="0" borderId="448" xfId="61" applyFont="1" applyBorder="1"/>
    <xf numFmtId="43" fontId="21" fillId="0" borderId="407" xfId="61" applyFont="1" applyBorder="1"/>
    <xf numFmtId="43" fontId="21" fillId="0" borderId="407" xfId="105" applyNumberFormat="1" applyFont="1" applyBorder="1"/>
    <xf numFmtId="43" fontId="19" fillId="0" borderId="201" xfId="61" applyFont="1" applyBorder="1"/>
    <xf numFmtId="43" fontId="19" fillId="0" borderId="407" xfId="61" applyFont="1" applyBorder="1"/>
    <xf numFmtId="43" fontId="19" fillId="0" borderId="407" xfId="105" applyNumberFormat="1" applyBorder="1"/>
    <xf numFmtId="43" fontId="21" fillId="0" borderId="201" xfId="105" applyNumberFormat="1" applyFont="1" applyBorder="1"/>
    <xf numFmtId="0" fontId="19" fillId="0" borderId="448" xfId="105" applyBorder="1"/>
    <xf numFmtId="43" fontId="18" fillId="0" borderId="0" xfId="58" applyNumberFormat="1"/>
    <xf numFmtId="0" fontId="27" fillId="0" borderId="0" xfId="105" applyFont="1"/>
    <xf numFmtId="0" fontId="18" fillId="0" borderId="0" xfId="105" applyFont="1" applyBorder="1"/>
    <xf numFmtId="0" fontId="18" fillId="0" borderId="0" xfId="105" applyFont="1"/>
    <xf numFmtId="0" fontId="21" fillId="0" borderId="187" xfId="105" applyFont="1" applyBorder="1" applyAlignment="1">
      <alignment horizontal="left"/>
    </xf>
    <xf numFmtId="0" fontId="21" fillId="0" borderId="157" xfId="105" applyFont="1" applyBorder="1" applyAlignment="1">
      <alignment horizontal="left"/>
    </xf>
    <xf numFmtId="0" fontId="21" fillId="0" borderId="450" xfId="105" applyFont="1" applyBorder="1"/>
    <xf numFmtId="0" fontId="21" fillId="0" borderId="450" xfId="105" applyFont="1" applyBorder="1" applyAlignment="1">
      <alignment horizontal="center"/>
    </xf>
    <xf numFmtId="0" fontId="33" fillId="0" borderId="187" xfId="105" applyFont="1" applyBorder="1" applyAlignment="1">
      <alignment horizontal="center"/>
    </xf>
    <xf numFmtId="0" fontId="253" fillId="0" borderId="0" xfId="0" applyFont="1"/>
    <xf numFmtId="0" fontId="253" fillId="0" borderId="0" xfId="0" applyFont="1" applyAlignment="1">
      <alignment vertical="center"/>
    </xf>
    <xf numFmtId="0" fontId="253" fillId="0" borderId="389" xfId="0" applyFont="1" applyBorder="1" applyAlignment="1">
      <alignment horizontal="center"/>
    </xf>
    <xf numFmtId="0" fontId="253" fillId="0" borderId="373" xfId="0" applyFont="1" applyBorder="1" applyAlignment="1">
      <alignment horizontal="center"/>
    </xf>
    <xf numFmtId="0" fontId="253" fillId="0" borderId="373" xfId="0" applyFont="1" applyBorder="1" applyAlignment="1">
      <alignment horizontal="left"/>
    </xf>
    <xf numFmtId="0" fontId="253" fillId="0" borderId="374" xfId="0" applyFont="1" applyBorder="1" applyAlignment="1">
      <alignment horizontal="center"/>
    </xf>
    <xf numFmtId="0" fontId="253" fillId="0" borderId="295" xfId="0" applyFont="1" applyBorder="1" applyAlignment="1">
      <alignment horizontal="center"/>
    </xf>
    <xf numFmtId="0" fontId="253" fillId="0" borderId="300" xfId="0" applyFont="1" applyBorder="1" applyAlignment="1">
      <alignment horizontal="center"/>
    </xf>
    <xf numFmtId="0" fontId="253" fillId="0" borderId="12" xfId="0" applyFont="1" applyBorder="1" applyAlignment="1">
      <alignment horizontal="center"/>
    </xf>
    <xf numFmtId="0" fontId="253" fillId="0" borderId="383" xfId="0" applyFont="1" applyBorder="1" applyAlignment="1">
      <alignment horizontal="center"/>
    </xf>
    <xf numFmtId="0" fontId="253" fillId="0" borderId="10" xfId="0" applyFont="1" applyBorder="1" applyAlignment="1">
      <alignment horizontal="center"/>
    </xf>
    <xf numFmtId="0" fontId="253" fillId="0" borderId="389" xfId="0" applyFont="1" applyBorder="1"/>
    <xf numFmtId="0" fontId="252" fillId="0" borderId="389" xfId="0" applyFont="1" applyBorder="1"/>
    <xf numFmtId="0" fontId="253" fillId="0" borderId="295" xfId="0" applyFont="1" applyBorder="1"/>
    <xf numFmtId="0" fontId="252" fillId="0" borderId="295" xfId="0" applyFont="1" applyBorder="1"/>
    <xf numFmtId="4" fontId="253" fillId="0" borderId="295" xfId="0" applyNumberFormat="1" applyFont="1" applyBorder="1"/>
    <xf numFmtId="0" fontId="253" fillId="0" borderId="295" xfId="0" applyFont="1" applyFill="1" applyBorder="1"/>
    <xf numFmtId="0" fontId="253" fillId="0" borderId="0" xfId="0" applyFont="1" applyBorder="1"/>
    <xf numFmtId="0" fontId="253" fillId="0" borderId="300" xfId="0" applyFont="1" applyFill="1" applyBorder="1"/>
    <xf numFmtId="0" fontId="253" fillId="0" borderId="0" xfId="0" applyFont="1" applyFill="1" applyBorder="1"/>
    <xf numFmtId="0" fontId="254" fillId="0" borderId="0" xfId="0" applyFont="1"/>
    <xf numFmtId="0" fontId="253" fillId="0" borderId="201" xfId="0" applyFont="1" applyBorder="1"/>
    <xf numFmtId="0" fontId="253" fillId="0" borderId="201" xfId="0" applyFont="1" applyFill="1" applyBorder="1"/>
    <xf numFmtId="0" fontId="253" fillId="0" borderId="407" xfId="0" applyFont="1" applyBorder="1" applyAlignment="1">
      <alignment vertical="center"/>
    </xf>
    <xf numFmtId="0" fontId="252" fillId="0" borderId="42" xfId="0" applyFont="1" applyBorder="1" applyAlignment="1">
      <alignment horizontal="center" vertical="center"/>
    </xf>
    <xf numFmtId="43" fontId="252" fillId="0" borderId="407" xfId="1" applyFont="1" applyBorder="1" applyAlignment="1">
      <alignment vertical="center"/>
    </xf>
    <xf numFmtId="0" fontId="253" fillId="0" borderId="42" xfId="0" applyFont="1" applyBorder="1" applyAlignment="1">
      <alignment vertical="center"/>
    </xf>
    <xf numFmtId="43" fontId="253" fillId="0" borderId="0" xfId="1" applyFont="1"/>
    <xf numFmtId="43" fontId="253" fillId="0" borderId="0" xfId="0" applyNumberFormat="1" applyFont="1"/>
    <xf numFmtId="0" fontId="21" fillId="0" borderId="456" xfId="81" applyFont="1" applyBorder="1" applyAlignment="1">
      <alignment vertical="top" wrapText="1"/>
    </xf>
    <xf numFmtId="0" fontId="19" fillId="0" borderId="456" xfId="81" applyFont="1" applyBorder="1" applyAlignment="1">
      <alignment vertical="top" wrapText="1"/>
    </xf>
    <xf numFmtId="43" fontId="21" fillId="0" borderId="456" xfId="7" applyFont="1" applyBorder="1" applyAlignment="1">
      <alignment vertical="top" wrapText="1"/>
    </xf>
    <xf numFmtId="0" fontId="19" fillId="0" borderId="456" xfId="81" applyFont="1" applyBorder="1" applyAlignment="1">
      <alignment horizontal="left" vertical="top" wrapText="1"/>
    </xf>
    <xf numFmtId="0" fontId="21" fillId="0" borderId="0" xfId="81" applyFont="1" applyBorder="1" applyAlignment="1">
      <alignment vertical="top" wrapText="1"/>
    </xf>
    <xf numFmtId="43" fontId="21" fillId="0" borderId="0" xfId="7" applyFont="1" applyBorder="1" applyAlignment="1">
      <alignment vertical="top" wrapText="1"/>
    </xf>
    <xf numFmtId="0" fontId="21" fillId="0" borderId="433" xfId="81" applyFont="1" applyBorder="1" applyAlignment="1">
      <alignment vertical="top" wrapText="1"/>
    </xf>
    <xf numFmtId="0" fontId="19" fillId="0" borderId="433" xfId="81" applyFont="1" applyBorder="1" applyAlignment="1">
      <alignment vertical="top" wrapText="1"/>
    </xf>
    <xf numFmtId="43" fontId="21" fillId="0" borderId="433" xfId="7" applyFont="1" applyBorder="1" applyAlignment="1">
      <alignment vertical="top" wrapText="1"/>
    </xf>
    <xf numFmtId="0" fontId="19" fillId="0" borderId="433" xfId="81" applyFont="1" applyBorder="1" applyAlignment="1">
      <alignment horizontal="left" vertical="top" wrapText="1"/>
    </xf>
    <xf numFmtId="0" fontId="19" fillId="0" borderId="357" xfId="81" applyFont="1" applyBorder="1"/>
    <xf numFmtId="43" fontId="180" fillId="0" borderId="0" xfId="1" applyFont="1" applyBorder="1"/>
    <xf numFmtId="43" fontId="180" fillId="0" borderId="0" xfId="101" applyNumberFormat="1" applyBorder="1"/>
    <xf numFmtId="0" fontId="180" fillId="0" borderId="450" xfId="101" applyBorder="1"/>
    <xf numFmtId="0" fontId="180" fillId="0" borderId="446" xfId="101" applyBorder="1" applyAlignment="1">
      <alignment vertical="center"/>
    </xf>
    <xf numFmtId="0" fontId="21" fillId="0" borderId="446" xfId="101" applyFont="1" applyBorder="1" applyAlignment="1">
      <alignment horizontal="center" vertical="center"/>
    </xf>
    <xf numFmtId="4" fontId="33" fillId="0" borderId="446" xfId="101" applyNumberFormat="1" applyFont="1" applyBorder="1" applyAlignment="1">
      <alignment vertical="center"/>
    </xf>
    <xf numFmtId="0" fontId="19" fillId="0" borderId="446" xfId="101" applyFont="1" applyBorder="1" applyAlignment="1">
      <alignment vertical="center"/>
    </xf>
    <xf numFmtId="0" fontId="19" fillId="0" borderId="446" xfId="101" applyFont="1" applyBorder="1" applyAlignment="1">
      <alignment horizontal="center" vertical="center"/>
    </xf>
    <xf numFmtId="0" fontId="18" fillId="0" borderId="0" xfId="101" applyFont="1"/>
    <xf numFmtId="0" fontId="27" fillId="0" borderId="0" xfId="101" applyFont="1"/>
    <xf numFmtId="0" fontId="21" fillId="0" borderId="450" xfId="101" applyFont="1" applyBorder="1" applyAlignment="1">
      <alignment horizontal="center" vertical="center" shrinkToFit="1"/>
    </xf>
    <xf numFmtId="0" fontId="180" fillId="0" borderId="201" xfId="101" applyBorder="1"/>
    <xf numFmtId="0" fontId="34" fillId="0" borderId="201" xfId="101" applyFont="1" applyBorder="1" applyAlignment="1">
      <alignment horizontal="center"/>
    </xf>
    <xf numFmtId="4" fontId="180" fillId="0" borderId="201" xfId="101" applyNumberFormat="1" applyBorder="1"/>
    <xf numFmtId="0" fontId="180" fillId="0" borderId="201" xfId="101" applyBorder="1" applyAlignment="1">
      <alignment horizontal="center"/>
    </xf>
    <xf numFmtId="17" fontId="180" fillId="0" borderId="201" xfId="101" applyNumberFormat="1" applyBorder="1"/>
    <xf numFmtId="4" fontId="21" fillId="0" borderId="201" xfId="101" applyNumberFormat="1" applyFont="1" applyBorder="1"/>
    <xf numFmtId="173" fontId="180" fillId="0" borderId="201" xfId="101" applyNumberFormat="1" applyBorder="1" applyAlignment="1">
      <alignment horizontal="center"/>
    </xf>
    <xf numFmtId="0" fontId="19" fillId="0" borderId="201" xfId="101" applyFont="1" applyBorder="1"/>
    <xf numFmtId="0" fontId="180" fillId="0" borderId="201" xfId="101" applyBorder="1" applyAlignment="1">
      <alignment horizontal="left"/>
    </xf>
    <xf numFmtId="16" fontId="180" fillId="0" borderId="201" xfId="101" applyNumberFormat="1" applyBorder="1" applyAlignment="1">
      <alignment horizontal="center"/>
    </xf>
    <xf numFmtId="0" fontId="180" fillId="0" borderId="202" xfId="101" applyBorder="1" applyAlignment="1">
      <alignment horizontal="center"/>
    </xf>
    <xf numFmtId="0" fontId="180" fillId="0" borderId="202" xfId="101" applyBorder="1" applyAlignment="1">
      <alignment horizontal="left"/>
    </xf>
    <xf numFmtId="4" fontId="19" fillId="0" borderId="201" xfId="101" applyNumberFormat="1" applyFont="1" applyBorder="1"/>
    <xf numFmtId="17" fontId="180" fillId="0" borderId="201" xfId="101" applyNumberFormat="1" applyBorder="1" applyAlignment="1">
      <alignment horizontal="center"/>
    </xf>
    <xf numFmtId="0" fontId="180" fillId="0" borderId="201" xfId="101" applyBorder="1" applyAlignment="1">
      <alignment horizontal="center" vertical="center" shrinkToFit="1"/>
    </xf>
    <xf numFmtId="3" fontId="180" fillId="0" borderId="201" xfId="101" applyNumberFormat="1" applyBorder="1" applyAlignment="1">
      <alignment horizontal="center"/>
    </xf>
    <xf numFmtId="0" fontId="180" fillId="0" borderId="201" xfId="101" applyBorder="1" applyAlignment="1">
      <alignment horizontal="left" vertical="center" shrinkToFit="1"/>
    </xf>
    <xf numFmtId="0" fontId="19" fillId="0" borderId="201" xfId="101" applyFont="1" applyBorder="1" applyAlignment="1">
      <alignment horizontal="center"/>
    </xf>
    <xf numFmtId="17" fontId="19" fillId="0" borderId="201" xfId="101" applyNumberFormat="1" applyFont="1" applyBorder="1" applyAlignment="1">
      <alignment horizontal="center"/>
    </xf>
    <xf numFmtId="0" fontId="181" fillId="0" borderId="201" xfId="101" applyFont="1" applyBorder="1"/>
    <xf numFmtId="0" fontId="180" fillId="0" borderId="246" xfId="101" applyBorder="1"/>
    <xf numFmtId="0" fontId="180" fillId="0" borderId="246" xfId="101" applyBorder="1" applyAlignment="1">
      <alignment horizontal="left" vertical="center" shrinkToFit="1"/>
    </xf>
    <xf numFmtId="0" fontId="19" fillId="0" borderId="246" xfId="101" applyFont="1" applyBorder="1"/>
    <xf numFmtId="0" fontId="19" fillId="0" borderId="246" xfId="101" applyFont="1" applyBorder="1" applyAlignment="1">
      <alignment horizontal="center"/>
    </xf>
    <xf numFmtId="0" fontId="27" fillId="0" borderId="0" xfId="101" applyFont="1" applyBorder="1"/>
    <xf numFmtId="0" fontId="18" fillId="0" borderId="0" xfId="101" applyFont="1" applyBorder="1"/>
    <xf numFmtId="0" fontId="180" fillId="0" borderId="457" xfId="101" applyBorder="1"/>
    <xf numFmtId="4" fontId="21" fillId="0" borderId="357" xfId="101" applyNumberFormat="1" applyFont="1" applyBorder="1"/>
    <xf numFmtId="0" fontId="19" fillId="0" borderId="357" xfId="101" applyFont="1" applyBorder="1"/>
    <xf numFmtId="4" fontId="19" fillId="0" borderId="357" xfId="101" applyNumberFormat="1" applyFont="1" applyBorder="1"/>
    <xf numFmtId="0" fontId="19" fillId="0" borderId="111" xfId="101" applyFont="1" applyFill="1" applyBorder="1"/>
    <xf numFmtId="0" fontId="18" fillId="0" borderId="0" xfId="0" applyFont="1" applyAlignment="1">
      <alignment vertical="top"/>
    </xf>
    <xf numFmtId="0" fontId="19" fillId="0" borderId="0" xfId="0" applyFont="1" applyAlignment="1">
      <alignment vertical="top"/>
    </xf>
    <xf numFmtId="0" fontId="18" fillId="0" borderId="0" xfId="0" applyFont="1" applyAlignment="1">
      <alignment horizontal="center" vertical="top"/>
    </xf>
    <xf numFmtId="0" fontId="27" fillId="0" borderId="0" xfId="0" applyFont="1" applyAlignment="1">
      <alignment vertical="top"/>
    </xf>
    <xf numFmtId="0" fontId="21" fillId="0" borderId="0" xfId="0" applyFont="1" applyAlignment="1">
      <alignment vertical="top"/>
    </xf>
    <xf numFmtId="0" fontId="19" fillId="0" borderId="302" xfId="0" applyFont="1" applyBorder="1" applyAlignment="1">
      <alignment vertical="top" wrapText="1"/>
    </xf>
    <xf numFmtId="0" fontId="19" fillId="0" borderId="302" xfId="0" applyFont="1" applyBorder="1" applyAlignment="1">
      <alignment vertical="top"/>
    </xf>
    <xf numFmtId="0" fontId="19" fillId="0" borderId="302" xfId="0" applyFont="1" applyBorder="1" applyAlignment="1">
      <alignment horizontal="left" vertical="top"/>
    </xf>
    <xf numFmtId="0" fontId="19" fillId="0" borderId="0" xfId="0" applyFont="1" applyAlignment="1">
      <alignment horizontal="left" vertical="top"/>
    </xf>
    <xf numFmtId="0" fontId="19" fillId="0" borderId="450" xfId="0" applyFont="1" applyBorder="1" applyAlignment="1">
      <alignment horizontal="left" vertical="top" wrapText="1"/>
    </xf>
    <xf numFmtId="0" fontId="19" fillId="0" borderId="201" xfId="0" applyFont="1" applyBorder="1" applyAlignment="1">
      <alignment horizontal="left" vertical="top" wrapText="1"/>
    </xf>
    <xf numFmtId="0" fontId="19" fillId="0" borderId="448" xfId="0" applyFont="1" applyBorder="1" applyAlignment="1">
      <alignment wrapText="1"/>
    </xf>
    <xf numFmtId="0" fontId="19" fillId="0" borderId="448" xfId="0" applyFont="1" applyBorder="1" applyAlignment="1">
      <alignment horizontal="left" vertical="top" wrapText="1"/>
    </xf>
    <xf numFmtId="0" fontId="19" fillId="0" borderId="201" xfId="0" applyFont="1" applyBorder="1" applyAlignment="1">
      <alignment vertical="top" wrapText="1"/>
    </xf>
    <xf numFmtId="0" fontId="21" fillId="0" borderId="201" xfId="36" applyFont="1" applyBorder="1" applyAlignment="1">
      <alignment vertical="top" wrapText="1"/>
    </xf>
    <xf numFmtId="4" fontId="21" fillId="0" borderId="201" xfId="0" applyNumberFormat="1" applyFont="1" applyFill="1" applyBorder="1" applyAlignment="1">
      <alignment horizontal="right" vertical="top" wrapText="1"/>
    </xf>
    <xf numFmtId="0" fontId="19" fillId="0" borderId="201" xfId="0" applyFont="1" applyBorder="1" applyAlignment="1">
      <alignment horizontal="center" vertical="top" wrapText="1"/>
    </xf>
    <xf numFmtId="0" fontId="21" fillId="0" borderId="201" xfId="0" applyFont="1" applyBorder="1" applyAlignment="1">
      <alignment vertical="top" wrapText="1"/>
    </xf>
    <xf numFmtId="0" fontId="19" fillId="0" borderId="201" xfId="0" applyFont="1" applyFill="1" applyBorder="1" applyAlignment="1">
      <alignment vertical="top" wrapText="1"/>
    </xf>
    <xf numFmtId="0" fontId="19" fillId="0" borderId="201" xfId="0" applyFont="1" applyBorder="1" applyAlignment="1">
      <alignment vertical="top"/>
    </xf>
    <xf numFmtId="0" fontId="19" fillId="0" borderId="201" xfId="0" applyFont="1" applyBorder="1" applyAlignment="1">
      <alignment horizontal="left" vertical="top"/>
    </xf>
    <xf numFmtId="43" fontId="21" fillId="0" borderId="201" xfId="9" applyFont="1" applyBorder="1" applyAlignment="1">
      <alignment vertical="top" wrapText="1"/>
    </xf>
    <xf numFmtId="0" fontId="21" fillId="0" borderId="201" xfId="36" applyFont="1" applyBorder="1" applyAlignment="1">
      <alignment vertical="top"/>
    </xf>
    <xf numFmtId="43" fontId="21" fillId="0" borderId="201" xfId="9" applyFont="1" applyBorder="1" applyAlignment="1">
      <alignment vertical="top"/>
    </xf>
    <xf numFmtId="0" fontId="21" fillId="0" borderId="201" xfId="0" applyFont="1" applyBorder="1" applyAlignment="1">
      <alignment horizontal="left" vertical="top"/>
    </xf>
    <xf numFmtId="0" fontId="19" fillId="0" borderId="201" xfId="0" applyFont="1" applyFill="1" applyBorder="1" applyAlignment="1">
      <alignment horizontal="center" vertical="top" wrapText="1"/>
    </xf>
    <xf numFmtId="0" fontId="21" fillId="0" borderId="201" xfId="36" applyFont="1" applyBorder="1" applyAlignment="1">
      <alignment horizontal="left" vertical="top" wrapText="1"/>
    </xf>
    <xf numFmtId="0" fontId="27" fillId="0" borderId="407" xfId="0" applyFont="1" applyBorder="1" applyAlignment="1">
      <alignment vertical="top"/>
    </xf>
    <xf numFmtId="0" fontId="27" fillId="0" borderId="407" xfId="0" applyFont="1" applyBorder="1" applyAlignment="1">
      <alignment horizontal="center" vertical="top"/>
    </xf>
    <xf numFmtId="0" fontId="19" fillId="0" borderId="0" xfId="0" applyFont="1" applyAlignment="1">
      <alignment horizontal="center" vertical="top"/>
    </xf>
    <xf numFmtId="0" fontId="19" fillId="0" borderId="0" xfId="0" applyFont="1" applyAlignment="1">
      <alignment horizontal="left" vertical="top" wrapText="1"/>
    </xf>
    <xf numFmtId="0" fontId="21" fillId="0" borderId="0" xfId="0" applyFont="1" applyAlignment="1">
      <alignment horizontal="center" vertical="top"/>
    </xf>
    <xf numFmtId="0" fontId="77" fillId="0" borderId="0" xfId="0" applyFont="1" applyAlignment="1">
      <alignment vertical="top"/>
    </xf>
    <xf numFmtId="43" fontId="71" fillId="0" borderId="0" xfId="9" applyFont="1" applyAlignment="1">
      <alignment vertical="top"/>
    </xf>
    <xf numFmtId="43" fontId="71" fillId="0" borderId="0" xfId="0" applyNumberFormat="1" applyFont="1" applyAlignment="1">
      <alignment vertical="top"/>
    </xf>
    <xf numFmtId="43" fontId="19" fillId="0" borderId="201" xfId="0" applyNumberFormat="1" applyFont="1" applyBorder="1" applyAlignment="1">
      <alignment vertical="top"/>
    </xf>
    <xf numFmtId="0" fontId="19" fillId="0" borderId="201" xfId="0" applyFont="1" applyFill="1" applyBorder="1" applyAlignment="1">
      <alignment horizontal="center" vertical="top"/>
    </xf>
    <xf numFmtId="0" fontId="19" fillId="0" borderId="201" xfId="0" applyFont="1" applyBorder="1" applyAlignment="1">
      <alignment horizontal="center" vertical="top"/>
    </xf>
    <xf numFmtId="43" fontId="19" fillId="0" borderId="201" xfId="0" applyNumberFormat="1" applyFont="1" applyFill="1" applyBorder="1" applyAlignment="1">
      <alignment vertical="top"/>
    </xf>
    <xf numFmtId="0" fontId="21" fillId="0" borderId="201" xfId="0" applyFont="1" applyBorder="1" applyAlignment="1">
      <alignment vertical="top"/>
    </xf>
    <xf numFmtId="0" fontId="21" fillId="0" borderId="201" xfId="0" applyFont="1" applyBorder="1" applyAlignment="1">
      <alignment horizontal="center" vertical="top"/>
    </xf>
    <xf numFmtId="43" fontId="77" fillId="0" borderId="0" xfId="9" applyFont="1" applyAlignment="1">
      <alignment vertical="top"/>
    </xf>
    <xf numFmtId="43" fontId="77" fillId="0" borderId="0" xfId="0" applyNumberFormat="1" applyFont="1" applyAlignment="1">
      <alignment vertical="top"/>
    </xf>
    <xf numFmtId="0" fontId="21" fillId="0" borderId="450" xfId="0" applyFont="1" applyBorder="1" applyAlignment="1">
      <alignment vertical="top" wrapText="1"/>
    </xf>
    <xf numFmtId="43" fontId="21" fillId="0" borderId="450" xfId="9" applyFont="1" applyBorder="1" applyAlignment="1">
      <alignment vertical="top"/>
    </xf>
    <xf numFmtId="0" fontId="19" fillId="0" borderId="450" xfId="0" applyFont="1" applyBorder="1" applyAlignment="1">
      <alignment horizontal="center" vertical="top"/>
    </xf>
    <xf numFmtId="43" fontId="19" fillId="0" borderId="201" xfId="9" applyFont="1" applyBorder="1" applyAlignment="1">
      <alignment vertical="top"/>
    </xf>
    <xf numFmtId="0" fontId="19" fillId="0" borderId="448" xfId="0" applyFont="1" applyBorder="1" applyAlignment="1">
      <alignment vertical="top"/>
    </xf>
    <xf numFmtId="43" fontId="19" fillId="0" borderId="448" xfId="9" applyFont="1" applyBorder="1" applyAlignment="1">
      <alignment vertical="top"/>
    </xf>
    <xf numFmtId="0" fontId="19" fillId="0" borderId="448" xfId="0" applyFont="1" applyBorder="1" applyAlignment="1">
      <alignment horizontal="center" vertical="top"/>
    </xf>
    <xf numFmtId="0" fontId="19" fillId="0" borderId="302" xfId="0" applyFont="1" applyBorder="1" applyAlignment="1">
      <alignment horizontal="center" vertical="top"/>
    </xf>
    <xf numFmtId="0" fontId="21" fillId="0" borderId="302" xfId="0" applyFont="1" applyBorder="1" applyAlignment="1">
      <alignment horizontal="center" vertical="top"/>
    </xf>
    <xf numFmtId="43" fontId="27" fillId="0" borderId="407" xfId="0" applyNumberFormat="1" applyFont="1" applyBorder="1" applyAlignment="1">
      <alignment vertical="top"/>
    </xf>
    <xf numFmtId="0" fontId="27" fillId="0" borderId="407" xfId="0" applyFont="1" applyBorder="1" applyAlignment="1">
      <alignment horizontal="left" vertical="top"/>
    </xf>
    <xf numFmtId="0" fontId="18" fillId="0" borderId="407" xfId="0" applyFont="1" applyBorder="1" applyAlignment="1">
      <alignment horizontal="left" vertical="top" wrapText="1"/>
    </xf>
    <xf numFmtId="0" fontId="19" fillId="0" borderId="450" xfId="39" applyFont="1" applyBorder="1"/>
    <xf numFmtId="43" fontId="19" fillId="0" borderId="450" xfId="9" applyFont="1" applyBorder="1"/>
    <xf numFmtId="0" fontId="19" fillId="0" borderId="201" xfId="39" applyFont="1" applyBorder="1"/>
    <xf numFmtId="43" fontId="19" fillId="0" borderId="201" xfId="9" applyFont="1" applyBorder="1"/>
    <xf numFmtId="0" fontId="21" fillId="0" borderId="201" xfId="39" applyFont="1" applyBorder="1"/>
    <xf numFmtId="43" fontId="21" fillId="0" borderId="201" xfId="9" applyFont="1" applyBorder="1"/>
    <xf numFmtId="43" fontId="198" fillId="0" borderId="201" xfId="9" applyFont="1" applyBorder="1"/>
    <xf numFmtId="0" fontId="21" fillId="0" borderId="448" xfId="39" applyFont="1" applyBorder="1"/>
    <xf numFmtId="43" fontId="19" fillId="0" borderId="448" xfId="9" applyFont="1" applyBorder="1"/>
    <xf numFmtId="43" fontId="21" fillId="0" borderId="448" xfId="9" applyFont="1" applyBorder="1"/>
    <xf numFmtId="0" fontId="27" fillId="0" borderId="0" xfId="39" applyFont="1"/>
    <xf numFmtId="0" fontId="62" fillId="0" borderId="295" xfId="0" applyFont="1" applyBorder="1" applyAlignment="1">
      <alignment horizontal="center" vertical="center"/>
    </xf>
    <xf numFmtId="0" fontId="62" fillId="0" borderId="285" xfId="0" applyFont="1" applyBorder="1" applyAlignment="1">
      <alignment horizontal="center" vertical="center"/>
    </xf>
    <xf numFmtId="0" fontId="18" fillId="0" borderId="0" xfId="104" applyFont="1" applyAlignment="1">
      <alignment horizontal="justify"/>
    </xf>
    <xf numFmtId="0" fontId="27" fillId="0" borderId="0" xfId="104" applyFont="1" applyAlignment="1"/>
    <xf numFmtId="0" fontId="18" fillId="0" borderId="0" xfId="104" applyFont="1" applyAlignment="1"/>
    <xf numFmtId="0" fontId="27" fillId="0" borderId="0" xfId="104" applyFont="1" applyAlignment="1">
      <alignment horizontal="left"/>
    </xf>
    <xf numFmtId="0" fontId="18" fillId="0" borderId="0" xfId="104" applyFont="1" applyAlignment="1">
      <alignment horizontal="left"/>
    </xf>
    <xf numFmtId="0" fontId="32" fillId="0" borderId="0" xfId="104" applyFont="1"/>
    <xf numFmtId="0" fontId="21" fillId="0" borderId="148" xfId="104" applyFont="1" applyFill="1" applyBorder="1" applyAlignment="1">
      <alignment horizontal="center" vertical="center" wrapText="1"/>
    </xf>
    <xf numFmtId="0" fontId="21" fillId="0" borderId="150" xfId="104" applyFont="1" applyFill="1" applyBorder="1" applyAlignment="1">
      <alignment horizontal="center" vertical="center" wrapText="1"/>
    </xf>
    <xf numFmtId="0" fontId="21" fillId="0" borderId="135" xfId="104" applyFont="1" applyFill="1" applyBorder="1" applyAlignment="1">
      <alignment horizontal="center" vertical="center" wrapText="1"/>
    </xf>
    <xf numFmtId="0" fontId="19" fillId="0" borderId="0" xfId="104" applyFont="1" applyAlignment="1">
      <alignment vertical="center"/>
    </xf>
    <xf numFmtId="0" fontId="19" fillId="0" borderId="244" xfId="104" applyFont="1" applyFill="1" applyBorder="1"/>
    <xf numFmtId="0" fontId="21" fillId="0" borderId="176" xfId="104" applyFont="1" applyFill="1" applyBorder="1"/>
    <xf numFmtId="0" fontId="19" fillId="0" borderId="176" xfId="104" applyFont="1" applyFill="1" applyBorder="1"/>
    <xf numFmtId="0" fontId="21" fillId="0" borderId="135" xfId="104" applyFont="1" applyFill="1" applyBorder="1" applyAlignment="1">
      <alignment horizontal="center" wrapText="1"/>
    </xf>
    <xf numFmtId="0" fontId="19" fillId="0" borderId="0" xfId="104" applyFont="1"/>
    <xf numFmtId="168" fontId="21" fillId="0" borderId="244" xfId="104" applyNumberFormat="1" applyFont="1" applyFill="1" applyBorder="1" applyAlignment="1">
      <alignment horizontal="center" wrapText="1"/>
    </xf>
    <xf numFmtId="168" fontId="21" fillId="0" borderId="137" xfId="104" applyNumberFormat="1" applyFont="1" applyFill="1" applyBorder="1" applyAlignment="1">
      <alignment horizontal="center" wrapText="1"/>
    </xf>
    <xf numFmtId="168" fontId="21" fillId="0" borderId="139" xfId="104" applyNumberFormat="1" applyFont="1" applyFill="1" applyBorder="1" applyAlignment="1">
      <alignment horizontal="center" wrapText="1"/>
    </xf>
    <xf numFmtId="168" fontId="19" fillId="0" borderId="0" xfId="104" applyNumberFormat="1" applyFont="1"/>
    <xf numFmtId="0" fontId="19" fillId="0" borderId="291" xfId="104" applyFont="1" applyBorder="1" applyAlignment="1">
      <alignment horizontal="center" vertical="top" wrapText="1"/>
    </xf>
    <xf numFmtId="0" fontId="20" fillId="0" borderId="291" xfId="104" applyFont="1" applyBorder="1" applyAlignment="1">
      <alignment vertical="top" wrapText="1"/>
    </xf>
    <xf numFmtId="4" fontId="21" fillId="0" borderId="331" xfId="104" applyNumberFormat="1" applyFont="1" applyBorder="1" applyAlignment="1">
      <alignment horizontal="right" vertical="center" wrapText="1"/>
    </xf>
    <xf numFmtId="0" fontId="19" fillId="0" borderId="141" xfId="104" applyFont="1" applyBorder="1" applyAlignment="1">
      <alignment horizontal="center" vertical="top" wrapText="1"/>
    </xf>
    <xf numFmtId="0" fontId="19" fillId="0" borderId="314" xfId="104" applyFont="1" applyBorder="1" applyAlignment="1">
      <alignment vertical="top" wrapText="1"/>
    </xf>
    <xf numFmtId="0" fontId="19" fillId="0" borderId="291" xfId="104" applyFont="1" applyBorder="1" applyAlignment="1">
      <alignment vertical="top" wrapText="1"/>
    </xf>
    <xf numFmtId="4" fontId="20" fillId="0" borderId="332" xfId="104" applyNumberFormat="1" applyFont="1" applyBorder="1" applyAlignment="1">
      <alignment vertical="top" wrapText="1"/>
    </xf>
    <xf numFmtId="0" fontId="19" fillId="0" borderId="333" xfId="104" applyFont="1" applyBorder="1" applyAlignment="1">
      <alignment vertical="top" wrapText="1"/>
    </xf>
    <xf numFmtId="0" fontId="19" fillId="0" borderId="333" xfId="104" applyFont="1" applyBorder="1" applyAlignment="1">
      <alignment horizontal="center" vertical="top" wrapText="1"/>
    </xf>
    <xf numFmtId="0" fontId="19" fillId="0" borderId="334" xfId="104" applyFont="1" applyBorder="1" applyAlignment="1">
      <alignment horizontal="center" vertical="top" wrapText="1"/>
    </xf>
    <xf numFmtId="0" fontId="19" fillId="0" borderId="111" xfId="104" applyFont="1" applyBorder="1" applyAlignment="1">
      <alignment vertical="top" wrapText="1"/>
    </xf>
    <xf numFmtId="0" fontId="19" fillId="0" borderId="335" xfId="104" applyFont="1" applyBorder="1" applyAlignment="1">
      <alignment vertical="top" wrapText="1"/>
    </xf>
    <xf numFmtId="4" fontId="21" fillId="0" borderId="336" xfId="104" applyNumberFormat="1" applyFont="1" applyBorder="1" applyAlignment="1">
      <alignment vertical="top" wrapText="1"/>
    </xf>
    <xf numFmtId="0" fontId="19" fillId="0" borderId="336" xfId="104" applyFont="1" applyBorder="1" applyAlignment="1">
      <alignment vertical="top" wrapText="1"/>
    </xf>
    <xf numFmtId="17" fontId="19" fillId="0" borderId="458" xfId="104" applyNumberFormat="1" applyFont="1" applyBorder="1" applyAlignment="1">
      <alignment horizontal="center" vertical="top" wrapText="1"/>
    </xf>
    <xf numFmtId="0" fontId="19" fillId="0" borderId="337" xfId="104" applyFont="1" applyBorder="1" applyAlignment="1">
      <alignment horizontal="center" vertical="top" wrapText="1"/>
    </xf>
    <xf numFmtId="0" fontId="19" fillId="0" borderId="380" xfId="104" applyFont="1" applyFill="1" applyBorder="1" applyAlignment="1">
      <alignment vertical="top" wrapText="1"/>
    </xf>
    <xf numFmtId="0" fontId="19" fillId="0" borderId="380" xfId="104" applyFont="1" applyBorder="1" applyAlignment="1">
      <alignment vertical="top" wrapText="1"/>
    </xf>
    <xf numFmtId="0" fontId="19" fillId="0" borderId="380" xfId="104" applyFont="1" applyBorder="1" applyAlignment="1">
      <alignment horizontal="center" vertical="top"/>
    </xf>
    <xf numFmtId="17" fontId="19" fillId="0" borderId="380" xfId="104" applyNumberFormat="1" applyFont="1" applyBorder="1" applyAlignment="1">
      <alignment horizontal="center" vertical="top" wrapText="1"/>
    </xf>
    <xf numFmtId="0" fontId="19" fillId="0" borderId="0" xfId="104" applyFont="1" applyBorder="1" applyAlignment="1">
      <alignment vertical="top" wrapText="1"/>
    </xf>
    <xf numFmtId="4" fontId="21" fillId="0" borderId="0" xfId="104" applyNumberFormat="1" applyFont="1" applyBorder="1" applyAlignment="1">
      <alignment vertical="top" wrapText="1"/>
    </xf>
    <xf numFmtId="0" fontId="19" fillId="0" borderId="0" xfId="104" applyFont="1" applyBorder="1" applyAlignment="1">
      <alignment horizontal="center" vertical="top" wrapText="1"/>
    </xf>
    <xf numFmtId="0" fontId="19" fillId="0" borderId="398" xfId="104" applyFont="1" applyBorder="1" applyAlignment="1">
      <alignment horizontal="center" vertical="top" wrapText="1"/>
    </xf>
    <xf numFmtId="0" fontId="19" fillId="0" borderId="312" xfId="104" applyFont="1" applyBorder="1" applyAlignment="1">
      <alignment vertical="top" wrapText="1"/>
    </xf>
    <xf numFmtId="17" fontId="19" fillId="0" borderId="398" xfId="104" applyNumberFormat="1" applyFont="1" applyBorder="1" applyAlignment="1">
      <alignment horizontal="center" vertical="top" wrapText="1"/>
    </xf>
    <xf numFmtId="17" fontId="19" fillId="0" borderId="142" xfId="104" applyNumberFormat="1" applyFont="1" applyBorder="1" applyAlignment="1">
      <alignment horizontal="center" vertical="top" wrapText="1"/>
    </xf>
    <xf numFmtId="0" fontId="19" fillId="0" borderId="142" xfId="104" applyFont="1" applyBorder="1" applyAlignment="1">
      <alignment horizontal="center" vertical="top" wrapText="1"/>
    </xf>
    <xf numFmtId="0" fontId="19" fillId="0" borderId="137" xfId="104" applyFont="1" applyBorder="1" applyAlignment="1">
      <alignment vertical="top" wrapText="1"/>
    </xf>
    <xf numFmtId="0" fontId="19" fillId="0" borderId="458" xfId="104" applyFont="1" applyBorder="1" applyAlignment="1">
      <alignment horizontal="left" vertical="top" wrapText="1"/>
    </xf>
    <xf numFmtId="17" fontId="19" fillId="0" borderId="459" xfId="104" applyNumberFormat="1" applyFont="1" applyBorder="1" applyAlignment="1">
      <alignment horizontal="center" vertical="top" wrapText="1"/>
    </xf>
    <xf numFmtId="0" fontId="19" fillId="0" borderId="107" xfId="104" applyFont="1" applyBorder="1" applyAlignment="1">
      <alignment vertical="top" wrapText="1"/>
    </xf>
    <xf numFmtId="0" fontId="19" fillId="0" borderId="144" xfId="104" applyFont="1" applyBorder="1" applyAlignment="1">
      <alignment vertical="top" wrapText="1"/>
    </xf>
    <xf numFmtId="0" fontId="19" fillId="0" borderId="144" xfId="104" applyFont="1" applyBorder="1" applyAlignment="1">
      <alignment horizontal="center" vertical="top" wrapText="1"/>
    </xf>
    <xf numFmtId="0" fontId="19" fillId="0" borderId="145" xfId="104" applyFont="1" applyBorder="1" applyAlignment="1">
      <alignment horizontal="center" vertical="top" wrapText="1"/>
    </xf>
    <xf numFmtId="0" fontId="19" fillId="0" borderId="458" xfId="104" applyFont="1" applyBorder="1" applyAlignment="1">
      <alignment vertical="top" wrapText="1"/>
    </xf>
    <xf numFmtId="174" fontId="19" fillId="0" borderId="460" xfId="104" applyNumberFormat="1" applyFont="1" applyBorder="1" applyAlignment="1">
      <alignment horizontal="center" vertical="top" wrapText="1"/>
    </xf>
    <xf numFmtId="0" fontId="19" fillId="0" borderId="327" xfId="104" applyFont="1" applyBorder="1" applyAlignment="1">
      <alignment vertical="top" wrapText="1"/>
    </xf>
    <xf numFmtId="4" fontId="21" fillId="0" borderId="144" xfId="104" applyNumberFormat="1" applyFont="1" applyBorder="1" applyAlignment="1">
      <alignment vertical="top" wrapText="1"/>
    </xf>
    <xf numFmtId="0" fontId="19" fillId="0" borderId="327" xfId="104" applyFont="1" applyBorder="1" applyAlignment="1">
      <alignment horizontal="center" vertical="top" wrapText="1"/>
    </xf>
    <xf numFmtId="0" fontId="19" fillId="0" borderId="437" xfId="104" applyFont="1" applyBorder="1" applyAlignment="1">
      <alignment horizontal="center" vertical="top" wrapText="1"/>
    </xf>
    <xf numFmtId="0" fontId="19" fillId="0" borderId="111" xfId="104" applyFont="1" applyBorder="1" applyAlignment="1">
      <alignment horizontal="center" vertical="top" wrapText="1"/>
    </xf>
    <xf numFmtId="0" fontId="20" fillId="0" borderId="68" xfId="104" applyFont="1" applyBorder="1" applyAlignment="1">
      <alignment horizontal="left" vertical="top" wrapText="1"/>
    </xf>
    <xf numFmtId="4" fontId="21" fillId="0" borderId="142" xfId="104" applyNumberFormat="1" applyFont="1" applyBorder="1" applyAlignment="1">
      <alignment horizontal="right" vertical="center" wrapText="1"/>
    </xf>
    <xf numFmtId="4" fontId="19" fillId="0" borderId="0" xfId="104" applyNumberFormat="1" applyFont="1"/>
    <xf numFmtId="0" fontId="19" fillId="0" borderId="292" xfId="104" applyFont="1" applyBorder="1" applyAlignment="1">
      <alignment horizontal="left" vertical="top" wrapText="1"/>
    </xf>
    <xf numFmtId="4" fontId="21" fillId="0" borderId="291" xfId="104" applyNumberFormat="1" applyFont="1" applyBorder="1" applyAlignment="1">
      <alignment vertical="top" wrapText="1"/>
    </xf>
    <xf numFmtId="0" fontId="19" fillId="0" borderId="371" xfId="104" applyFont="1" applyBorder="1" applyAlignment="1">
      <alignment horizontal="center" vertical="top" wrapText="1"/>
    </xf>
    <xf numFmtId="0" fontId="19" fillId="0" borderId="380" xfId="104" applyFont="1" applyBorder="1" applyAlignment="1">
      <alignment horizontal="center" vertical="top" wrapText="1"/>
    </xf>
    <xf numFmtId="0" fontId="21" fillId="0" borderId="292" xfId="104" applyFont="1" applyBorder="1" applyAlignment="1">
      <alignment vertical="top" wrapText="1"/>
    </xf>
    <xf numFmtId="0" fontId="21" fillId="0" borderId="292" xfId="104" applyFont="1" applyFill="1" applyBorder="1" applyAlignment="1">
      <alignment vertical="top" wrapText="1"/>
    </xf>
    <xf numFmtId="4" fontId="21" fillId="0" borderId="291" xfId="104" applyNumberFormat="1" applyFont="1" applyFill="1" applyBorder="1" applyAlignment="1">
      <alignment vertical="top" wrapText="1"/>
    </xf>
    <xf numFmtId="0" fontId="19" fillId="0" borderId="291" xfId="104" applyFont="1" applyFill="1" applyBorder="1" applyAlignment="1">
      <alignment vertical="top" wrapText="1"/>
    </xf>
    <xf numFmtId="0" fontId="19" fillId="0" borderId="292" xfId="104" applyFont="1" applyFill="1" applyBorder="1" applyAlignment="1">
      <alignment vertical="top" wrapText="1"/>
    </xf>
    <xf numFmtId="0" fontId="19" fillId="0" borderId="292" xfId="104" applyFont="1" applyFill="1" applyBorder="1" applyAlignment="1">
      <alignment horizontal="center" vertical="top" wrapText="1"/>
    </xf>
    <xf numFmtId="17" fontId="19" fillId="0" borderId="291" xfId="104" applyNumberFormat="1" applyFont="1" applyBorder="1" applyAlignment="1">
      <alignment horizontal="center" vertical="top" wrapText="1"/>
    </xf>
    <xf numFmtId="0" fontId="20" fillId="0" borderId="292" xfId="104" applyFont="1" applyBorder="1" applyAlignment="1">
      <alignment vertical="top" wrapText="1"/>
    </xf>
    <xf numFmtId="0" fontId="19" fillId="0" borderId="292" xfId="104" applyFont="1" applyBorder="1" applyAlignment="1">
      <alignment vertical="top" wrapText="1"/>
    </xf>
    <xf numFmtId="0" fontId="20" fillId="0" borderId="292" xfId="104" applyFont="1" applyBorder="1" applyAlignment="1">
      <alignment horizontal="left" vertical="center" wrapText="1"/>
    </xf>
    <xf numFmtId="4" fontId="21" fillId="0" borderId="291" xfId="104" applyNumberFormat="1" applyFont="1" applyBorder="1" applyAlignment="1">
      <alignment horizontal="right" vertical="center" wrapText="1"/>
    </xf>
    <xf numFmtId="0" fontId="19" fillId="0" borderId="292" xfId="104" applyFont="1" applyBorder="1" applyAlignment="1">
      <alignment horizontal="center" vertical="top" wrapText="1"/>
    </xf>
    <xf numFmtId="0" fontId="19" fillId="0" borderId="109" xfId="104" applyFont="1" applyBorder="1" applyAlignment="1">
      <alignment horizontal="center" vertical="top" wrapText="1"/>
    </xf>
    <xf numFmtId="14" fontId="19" fillId="0" borderId="109" xfId="104" applyNumberFormat="1" applyFont="1" applyBorder="1" applyAlignment="1">
      <alignment horizontal="center" vertical="top" wrapText="1"/>
    </xf>
    <xf numFmtId="0" fontId="19" fillId="0" borderId="242" xfId="104" applyFont="1" applyBorder="1" applyAlignment="1">
      <alignment vertical="top" wrapText="1"/>
    </xf>
    <xf numFmtId="0" fontId="19" fillId="0" borderId="107" xfId="104" applyFont="1" applyBorder="1" applyAlignment="1">
      <alignment horizontal="center" vertical="top" wrapText="1"/>
    </xf>
    <xf numFmtId="0" fontId="20" fillId="0" borderId="292" xfId="104" applyFont="1" applyBorder="1" applyAlignment="1">
      <alignment horizontal="left" vertical="top" wrapText="1"/>
    </xf>
    <xf numFmtId="0" fontId="20" fillId="0" borderId="291" xfId="104" applyFont="1" applyBorder="1" applyAlignment="1">
      <alignment horizontal="left" vertical="top" wrapText="1"/>
    </xf>
    <xf numFmtId="0" fontId="21" fillId="0" borderId="0" xfId="104" applyFont="1"/>
    <xf numFmtId="0" fontId="19" fillId="0" borderId="312" xfId="104" applyFont="1" applyBorder="1" applyAlignment="1">
      <alignment horizontal="center" vertical="top" wrapText="1"/>
    </xf>
    <xf numFmtId="0" fontId="19" fillId="0" borderId="68" xfId="104" applyFont="1" applyBorder="1" applyAlignment="1">
      <alignment horizontal="left" vertical="top" wrapText="1"/>
    </xf>
    <xf numFmtId="4" fontId="21" fillId="0" borderId="312" xfId="104" applyNumberFormat="1" applyFont="1" applyBorder="1" applyAlignment="1">
      <alignment horizontal="right" vertical="top" wrapText="1"/>
    </xf>
    <xf numFmtId="0" fontId="20" fillId="0" borderId="312" xfId="104" applyFont="1" applyBorder="1" applyAlignment="1">
      <alignment horizontal="left" vertical="top" wrapText="1"/>
    </xf>
    <xf numFmtId="0" fontId="19" fillId="0" borderId="292" xfId="104" applyFont="1" applyBorder="1" applyAlignment="1">
      <alignment horizontal="left" vertical="top"/>
    </xf>
    <xf numFmtId="4" fontId="21" fillId="0" borderId="291" xfId="104" applyNumberFormat="1" applyFont="1" applyBorder="1" applyAlignment="1">
      <alignment horizontal="right" vertical="top" wrapText="1"/>
    </xf>
    <xf numFmtId="0" fontId="19" fillId="0" borderId="309" xfId="104" applyFont="1" applyBorder="1" applyAlignment="1">
      <alignment vertical="top" wrapText="1"/>
    </xf>
    <xf numFmtId="4" fontId="21" fillId="0" borderId="112" xfId="104" applyNumberFormat="1" applyFont="1" applyBorder="1" applyAlignment="1">
      <alignment vertical="top" wrapText="1"/>
    </xf>
    <xf numFmtId="0" fontId="19" fillId="0" borderId="112" xfId="104" applyFont="1" applyBorder="1" applyAlignment="1">
      <alignment vertical="top" wrapText="1"/>
    </xf>
    <xf numFmtId="0" fontId="19" fillId="0" borderId="68" xfId="104" applyFont="1" applyBorder="1" applyAlignment="1">
      <alignment vertical="top" wrapText="1"/>
    </xf>
    <xf numFmtId="4" fontId="21" fillId="0" borderId="111" xfId="104" applyNumberFormat="1" applyFont="1" applyBorder="1" applyAlignment="1">
      <alignment vertical="top" wrapText="1"/>
    </xf>
    <xf numFmtId="0" fontId="19" fillId="0" borderId="110" xfId="104" applyFont="1" applyBorder="1" applyAlignment="1">
      <alignment horizontal="center" vertical="top" wrapText="1"/>
    </xf>
    <xf numFmtId="4" fontId="21" fillId="0" borderId="153" xfId="104" applyNumberFormat="1" applyFont="1" applyBorder="1" applyAlignment="1">
      <alignment vertical="top" wrapText="1"/>
    </xf>
    <xf numFmtId="4" fontId="21" fillId="0" borderId="292" xfId="104" applyNumberFormat="1" applyFont="1" applyBorder="1" applyAlignment="1">
      <alignment horizontal="right" vertical="center" wrapText="1"/>
    </xf>
    <xf numFmtId="4" fontId="21" fillId="0" borderId="292" xfId="104" applyNumberFormat="1" applyFont="1" applyBorder="1" applyAlignment="1">
      <alignment horizontal="right" vertical="top"/>
    </xf>
    <xf numFmtId="0" fontId="19" fillId="0" borderId="291" xfId="104" applyFont="1" applyBorder="1" applyAlignment="1">
      <alignment horizontal="left" vertical="top" wrapText="1"/>
    </xf>
    <xf numFmtId="17" fontId="19" fillId="0" borderId="292" xfId="104" applyNumberFormat="1" applyFont="1" applyBorder="1" applyAlignment="1">
      <alignment horizontal="center" vertical="top" wrapText="1"/>
    </xf>
    <xf numFmtId="0" fontId="19" fillId="0" borderId="146" xfId="104" applyFont="1" applyBorder="1" applyAlignment="1">
      <alignment horizontal="center" vertical="top" wrapText="1"/>
    </xf>
    <xf numFmtId="4" fontId="21" fillId="0" borderId="327" xfId="104" applyNumberFormat="1" applyFont="1" applyBorder="1" applyAlignment="1">
      <alignment horizontal="right" vertical="top" wrapText="1"/>
    </xf>
    <xf numFmtId="0" fontId="19" fillId="0" borderId="145" xfId="104" applyFont="1" applyBorder="1" applyAlignment="1">
      <alignment vertical="top" wrapText="1"/>
    </xf>
    <xf numFmtId="0" fontId="19" fillId="0" borderId="143" xfId="104" applyFont="1" applyBorder="1" applyAlignment="1">
      <alignment horizontal="center" vertical="top" wrapText="1"/>
    </xf>
    <xf numFmtId="0" fontId="19" fillId="0" borderId="312" xfId="104" applyFont="1" applyBorder="1" applyAlignment="1">
      <alignment horizontal="left" vertical="top" wrapText="1" indent="4"/>
    </xf>
    <xf numFmtId="0" fontId="21" fillId="0" borderId="142" xfId="104" applyFont="1" applyBorder="1" applyAlignment="1">
      <alignment horizontal="right" vertical="top" wrapText="1"/>
    </xf>
    <xf numFmtId="0" fontId="19" fillId="0" borderId="137" xfId="104" applyFont="1" applyBorder="1" applyAlignment="1">
      <alignment horizontal="center" vertical="top" wrapText="1"/>
    </xf>
    <xf numFmtId="0" fontId="19" fillId="0" borderId="68" xfId="104" applyFont="1" applyBorder="1" applyAlignment="1">
      <alignment horizontal="left" vertical="top" wrapText="1" indent="4"/>
    </xf>
    <xf numFmtId="0" fontId="21" fillId="0" borderId="142" xfId="104" applyFont="1" applyBorder="1"/>
    <xf numFmtId="0" fontId="19" fillId="0" borderId="336" xfId="104" applyFont="1" applyBorder="1" applyAlignment="1">
      <alignment horizontal="center" vertical="top" wrapText="1"/>
    </xf>
    <xf numFmtId="0" fontId="19" fillId="0" borderId="68" xfId="104" applyFont="1" applyBorder="1" applyAlignment="1">
      <alignment vertical="top"/>
    </xf>
    <xf numFmtId="4" fontId="21" fillId="0" borderId="68" xfId="104" applyNumberFormat="1" applyFont="1" applyBorder="1" applyAlignment="1">
      <alignment vertical="top" wrapText="1"/>
    </xf>
    <xf numFmtId="0" fontId="19" fillId="0" borderId="68" xfId="104" applyFont="1" applyBorder="1" applyAlignment="1">
      <alignment horizontal="center" vertical="top" wrapText="1"/>
    </xf>
    <xf numFmtId="4" fontId="21" fillId="0" borderId="292" xfId="104" applyNumberFormat="1" applyFont="1" applyBorder="1" applyAlignment="1">
      <alignment vertical="top" wrapText="1"/>
    </xf>
    <xf numFmtId="0" fontId="19" fillId="0" borderId="153" xfId="104" applyFont="1" applyBorder="1" applyAlignment="1">
      <alignment horizontal="center" vertical="top" wrapText="1"/>
    </xf>
    <xf numFmtId="0" fontId="19" fillId="0" borderId="242" xfId="104" applyFont="1" applyBorder="1" applyAlignment="1">
      <alignment horizontal="left" vertical="top" wrapText="1"/>
    </xf>
    <xf numFmtId="0" fontId="19" fillId="0" borderId="338" xfId="104" applyFont="1" applyBorder="1" applyAlignment="1">
      <alignment vertical="top" wrapText="1"/>
    </xf>
    <xf numFmtId="4" fontId="21" fillId="0" borderId="153" xfId="104" applyNumberFormat="1" applyFont="1" applyBorder="1" applyAlignment="1">
      <alignment horizontal="right" vertical="top" wrapText="1"/>
    </xf>
    <xf numFmtId="0" fontId="19" fillId="0" borderId="153" xfId="104" applyFont="1" applyBorder="1" applyAlignment="1">
      <alignment vertical="top" wrapText="1"/>
    </xf>
    <xf numFmtId="0" fontId="19" fillId="0" borderId="337" xfId="104" applyFont="1" applyBorder="1" applyAlignment="1">
      <alignment vertical="top" wrapText="1"/>
    </xf>
    <xf numFmtId="0" fontId="19" fillId="0" borderId="148" xfId="104" applyFont="1" applyBorder="1" applyAlignment="1">
      <alignment vertical="top" wrapText="1"/>
    </xf>
    <xf numFmtId="0" fontId="20" fillId="0" borderId="242" xfId="104" applyFont="1" applyBorder="1" applyAlignment="1">
      <alignment vertical="top" wrapText="1"/>
    </xf>
    <xf numFmtId="0" fontId="19" fillId="0" borderId="327" xfId="104" applyFont="1" applyBorder="1" applyAlignment="1">
      <alignment vertical="center" wrapText="1"/>
    </xf>
    <xf numFmtId="17" fontId="19" fillId="0" borderId="144" xfId="104" applyNumberFormat="1" applyFont="1" applyBorder="1" applyAlignment="1">
      <alignment horizontal="center" vertical="center" wrapText="1"/>
    </xf>
    <xf numFmtId="17" fontId="19" fillId="0" borderId="145" xfId="104" applyNumberFormat="1" applyFont="1" applyBorder="1" applyAlignment="1">
      <alignment horizontal="center" vertical="center" wrapText="1"/>
    </xf>
    <xf numFmtId="0" fontId="19" fillId="0" borderId="146" xfId="104" applyFont="1" applyBorder="1" applyAlignment="1">
      <alignment vertical="top" wrapText="1"/>
    </xf>
    <xf numFmtId="0" fontId="20" fillId="0" borderId="242" xfId="104" applyFont="1" applyBorder="1" applyAlignment="1">
      <alignment horizontal="left" vertical="center" wrapText="1"/>
    </xf>
    <xf numFmtId="4" fontId="21" fillId="0" borderId="335" xfId="104" applyNumberFormat="1" applyFont="1" applyBorder="1" applyAlignment="1">
      <alignment horizontal="right" vertical="center" wrapText="1"/>
    </xf>
    <xf numFmtId="0" fontId="19" fillId="0" borderId="327" xfId="104" applyFont="1" applyBorder="1" applyAlignment="1">
      <alignment horizontal="center" vertical="center" wrapText="1"/>
    </xf>
    <xf numFmtId="0" fontId="19" fillId="0" borderId="339" xfId="104" applyFont="1" applyBorder="1" applyAlignment="1">
      <alignment horizontal="center" vertical="top" wrapText="1"/>
    </xf>
    <xf numFmtId="0" fontId="19" fillId="0" borderId="101" xfId="104" applyFont="1" applyBorder="1" applyAlignment="1">
      <alignment horizontal="left" vertical="top" wrapText="1"/>
    </xf>
    <xf numFmtId="0" fontId="21" fillId="0" borderId="309" xfId="104" applyFont="1" applyBorder="1"/>
    <xf numFmtId="0" fontId="19" fillId="0" borderId="340" xfId="104" applyFont="1" applyBorder="1" applyAlignment="1">
      <alignment horizontal="left" vertical="center" wrapText="1"/>
    </xf>
    <xf numFmtId="0" fontId="19" fillId="0" borderId="340" xfId="104" applyFont="1" applyBorder="1" applyAlignment="1">
      <alignment vertical="center" wrapText="1"/>
    </xf>
    <xf numFmtId="0" fontId="19" fillId="0" borderId="340" xfId="104" applyFont="1" applyBorder="1" applyAlignment="1">
      <alignment horizontal="center" vertical="center" wrapText="1"/>
    </xf>
    <xf numFmtId="4" fontId="21" fillId="0" borderId="242" xfId="104" applyNumberFormat="1" applyFont="1" applyBorder="1" applyAlignment="1">
      <alignment vertical="center"/>
    </xf>
    <xf numFmtId="0" fontId="19" fillId="0" borderId="242" xfId="104" applyFont="1" applyBorder="1" applyAlignment="1">
      <alignment horizontal="center" vertical="center" wrapText="1"/>
    </xf>
    <xf numFmtId="0" fontId="20" fillId="0" borderId="147" xfId="104" applyFont="1" applyBorder="1" applyAlignment="1">
      <alignment horizontal="left" vertical="top" wrapText="1"/>
    </xf>
    <xf numFmtId="0" fontId="19" fillId="0" borderId="148" xfId="104" applyFont="1" applyBorder="1" applyAlignment="1">
      <alignment horizontal="center" vertical="top" wrapText="1"/>
    </xf>
    <xf numFmtId="0" fontId="19" fillId="0" borderId="341" xfId="104" applyFont="1" applyBorder="1" applyAlignment="1">
      <alignment horizontal="left" vertical="top" wrapText="1"/>
    </xf>
    <xf numFmtId="0" fontId="21" fillId="0" borderId="242" xfId="104" applyFont="1" applyBorder="1"/>
    <xf numFmtId="0" fontId="19" fillId="0" borderId="142" xfId="104" applyFont="1" applyBorder="1" applyAlignment="1">
      <alignment vertical="top" wrapText="1"/>
    </xf>
    <xf numFmtId="0" fontId="19" fillId="0" borderId="153" xfId="104" applyFont="1" applyBorder="1" applyAlignment="1">
      <alignment horizontal="center" vertical="center" wrapText="1"/>
    </xf>
    <xf numFmtId="0" fontId="21" fillId="0" borderId="292" xfId="104" applyFont="1" applyBorder="1" applyAlignment="1">
      <alignment horizontal="center" vertical="center" wrapText="1"/>
    </xf>
    <xf numFmtId="0" fontId="19" fillId="0" borderId="140" xfId="104" applyFont="1" applyBorder="1" applyAlignment="1">
      <alignment vertical="top" wrapText="1"/>
    </xf>
    <xf numFmtId="0" fontId="19" fillId="0" borderId="368" xfId="104" applyFont="1" applyBorder="1" applyAlignment="1">
      <alignment vertical="top" wrapText="1"/>
    </xf>
    <xf numFmtId="0" fontId="19" fillId="0" borderId="241" xfId="104" applyFont="1" applyBorder="1" applyAlignment="1">
      <alignment vertical="top" wrapText="1"/>
    </xf>
    <xf numFmtId="4" fontId="21" fillId="0" borderId="143" xfId="104" applyNumberFormat="1" applyFont="1" applyBorder="1" applyAlignment="1">
      <alignment vertical="top" wrapText="1"/>
    </xf>
    <xf numFmtId="17" fontId="19" fillId="0" borderId="145" xfId="104" applyNumberFormat="1" applyFont="1" applyBorder="1" applyAlignment="1">
      <alignment horizontal="center" vertical="top" wrapText="1"/>
    </xf>
    <xf numFmtId="17" fontId="19" fillId="0" borderId="241" xfId="104" applyNumberFormat="1" applyFont="1" applyBorder="1" applyAlignment="1">
      <alignment horizontal="center" vertical="top" wrapText="1"/>
    </xf>
    <xf numFmtId="0" fontId="21" fillId="0" borderId="369" xfId="104" applyFont="1" applyBorder="1" applyAlignment="1">
      <alignment vertical="top" wrapText="1"/>
    </xf>
    <xf numFmtId="4" fontId="21" fillId="0" borderId="380" xfId="104" applyNumberFormat="1" applyFont="1" applyBorder="1" applyAlignment="1">
      <alignment vertical="top" wrapText="1"/>
    </xf>
    <xf numFmtId="43" fontId="31" fillId="0" borderId="0" xfId="104" applyNumberFormat="1" applyFont="1"/>
    <xf numFmtId="43" fontId="112" fillId="0" borderId="0" xfId="1" applyFont="1" applyAlignment="1">
      <alignment vertical="top"/>
    </xf>
    <xf numFmtId="0" fontId="201" fillId="0" borderId="0" xfId="84" applyFont="1" applyFill="1" applyAlignment="1">
      <alignment horizontal="left" vertical="top"/>
    </xf>
    <xf numFmtId="0" fontId="201" fillId="0" borderId="0" xfId="84" applyFont="1" applyFill="1" applyAlignment="1">
      <alignment horizontal="center" vertical="top"/>
    </xf>
    <xf numFmtId="0" fontId="201" fillId="0" borderId="0" xfId="84" applyFont="1" applyFill="1" applyAlignment="1">
      <alignment horizontal="left" vertical="top" wrapText="1"/>
    </xf>
    <xf numFmtId="0" fontId="202" fillId="0" borderId="161" xfId="0" applyFont="1" applyFill="1" applyBorder="1" applyAlignment="1">
      <alignment horizontal="left" vertical="top" wrapText="1"/>
    </xf>
    <xf numFmtId="0" fontId="202" fillId="0" borderId="0" xfId="0" applyFont="1" applyFill="1" applyBorder="1" applyAlignment="1">
      <alignment horizontal="center" vertical="top" wrapText="1"/>
    </xf>
    <xf numFmtId="0" fontId="203" fillId="0" borderId="142" xfId="0" applyFont="1" applyFill="1" applyBorder="1" applyAlignment="1">
      <alignment horizontal="left" vertical="top" wrapText="1"/>
    </xf>
    <xf numFmtId="0" fontId="203" fillId="0" borderId="142" xfId="0" applyFont="1" applyFill="1" applyBorder="1" applyAlignment="1">
      <alignment horizontal="center" vertical="top" wrapText="1"/>
    </xf>
    <xf numFmtId="0" fontId="202" fillId="0" borderId="141" xfId="0" applyFont="1" applyFill="1" applyBorder="1" applyAlignment="1">
      <alignment horizontal="left" vertical="top" wrapText="1"/>
    </xf>
    <xf numFmtId="0" fontId="202" fillId="0" borderId="135" xfId="0" applyFont="1" applyFill="1" applyBorder="1" applyAlignment="1">
      <alignment horizontal="left" vertical="top" wrapText="1"/>
    </xf>
    <xf numFmtId="0" fontId="202" fillId="0" borderId="137" xfId="0" applyFont="1" applyFill="1" applyBorder="1" applyAlignment="1">
      <alignment horizontal="left" vertical="top" wrapText="1"/>
    </xf>
    <xf numFmtId="0" fontId="202" fillId="0" borderId="137" xfId="0" applyFont="1" applyFill="1" applyBorder="1" applyAlignment="1">
      <alignment horizontal="center" vertical="top" wrapText="1"/>
    </xf>
    <xf numFmtId="0" fontId="202" fillId="0" borderId="139" xfId="0" applyFont="1" applyFill="1" applyBorder="1" applyAlignment="1">
      <alignment horizontal="left" vertical="top" wrapText="1"/>
    </xf>
    <xf numFmtId="0" fontId="202" fillId="0" borderId="160" xfId="0" applyFont="1" applyFill="1" applyBorder="1" applyAlignment="1">
      <alignment vertical="top" wrapText="1"/>
    </xf>
    <xf numFmtId="0" fontId="204" fillId="0" borderId="135" xfId="0" applyFont="1" applyFill="1" applyBorder="1" applyAlignment="1">
      <alignment horizontal="center" vertical="top" wrapText="1"/>
    </xf>
    <xf numFmtId="0" fontId="202" fillId="0" borderId="161" xfId="0" applyFont="1" applyFill="1" applyBorder="1" applyAlignment="1">
      <alignment vertical="top" wrapText="1"/>
    </xf>
    <xf numFmtId="0" fontId="204" fillId="0" borderId="137" xfId="0" applyFont="1" applyFill="1" applyBorder="1" applyAlignment="1">
      <alignment horizontal="center" vertical="top" wrapText="1"/>
    </xf>
    <xf numFmtId="0" fontId="202" fillId="0" borderId="162" xfId="0" applyFont="1" applyFill="1" applyBorder="1" applyAlignment="1">
      <alignment vertical="top" wrapText="1"/>
    </xf>
    <xf numFmtId="0" fontId="204" fillId="0" borderId="139" xfId="0" applyFont="1" applyFill="1" applyBorder="1" applyAlignment="1">
      <alignment horizontal="center" vertical="top" wrapText="1"/>
    </xf>
    <xf numFmtId="0" fontId="202" fillId="0" borderId="139" xfId="0" applyFont="1" applyFill="1" applyBorder="1" applyAlignment="1">
      <alignment horizontal="center" vertical="top" wrapText="1"/>
    </xf>
    <xf numFmtId="0" fontId="202" fillId="0" borderId="162" xfId="0" applyFont="1" applyFill="1" applyBorder="1" applyAlignment="1">
      <alignment horizontal="left" vertical="top" wrapText="1"/>
    </xf>
    <xf numFmtId="0" fontId="204" fillId="0" borderId="162" xfId="0" applyFont="1" applyFill="1" applyBorder="1" applyAlignment="1">
      <alignment horizontal="center" vertical="top" wrapText="1"/>
    </xf>
    <xf numFmtId="0" fontId="203" fillId="0" borderId="159" xfId="0" applyFont="1" applyFill="1" applyBorder="1" applyAlignment="1">
      <alignment vertical="top" wrapText="1"/>
    </xf>
    <xf numFmtId="0" fontId="203" fillId="0" borderId="159" xfId="0" applyFont="1" applyFill="1" applyBorder="1" applyAlignment="1">
      <alignment horizontal="left" vertical="top" wrapText="1"/>
    </xf>
    <xf numFmtId="0" fontId="202" fillId="0" borderId="159" xfId="0" applyFont="1" applyFill="1" applyBorder="1" applyAlignment="1">
      <alignment horizontal="center" vertical="top" wrapText="1"/>
    </xf>
    <xf numFmtId="168" fontId="201" fillId="0" borderId="0" xfId="84" applyNumberFormat="1" applyFont="1" applyFill="1" applyAlignment="1">
      <alignment horizontal="left" vertical="top"/>
    </xf>
    <xf numFmtId="0" fontId="202" fillId="0" borderId="159" xfId="0" applyFont="1" applyFill="1" applyBorder="1" applyAlignment="1">
      <alignment vertical="top" wrapText="1"/>
    </xf>
    <xf numFmtId="0" fontId="202" fillId="0" borderId="140" xfId="0" applyFont="1" applyFill="1" applyBorder="1" applyAlignment="1">
      <alignment horizontal="center" vertical="top" wrapText="1"/>
    </xf>
    <xf numFmtId="0" fontId="202" fillId="0" borderId="158" xfId="0" applyFont="1" applyFill="1" applyBorder="1" applyAlignment="1">
      <alignment horizontal="center" vertical="top" wrapText="1"/>
    </xf>
    <xf numFmtId="0" fontId="204" fillId="0" borderId="142" xfId="0" applyFont="1" applyFill="1" applyBorder="1" applyAlignment="1">
      <alignment horizontal="center" vertical="top" wrapText="1"/>
    </xf>
    <xf numFmtId="0" fontId="202" fillId="0" borderId="160" xfId="0" applyFont="1" applyFill="1" applyBorder="1" applyAlignment="1">
      <alignment horizontal="left" vertical="top" wrapText="1"/>
    </xf>
    <xf numFmtId="0" fontId="202" fillId="0" borderId="135" xfId="0" applyFont="1" applyFill="1" applyBorder="1" applyAlignment="1">
      <alignment horizontal="center" vertical="top" wrapText="1"/>
    </xf>
    <xf numFmtId="0" fontId="202" fillId="0" borderId="141" xfId="0" applyFont="1" applyFill="1" applyBorder="1" applyAlignment="1">
      <alignment horizontal="center" vertical="top" wrapText="1"/>
    </xf>
    <xf numFmtId="0" fontId="202" fillId="0" borderId="142" xfId="0" applyFont="1" applyFill="1" applyBorder="1" applyAlignment="1">
      <alignment horizontal="center" vertical="top" wrapText="1"/>
    </xf>
    <xf numFmtId="0" fontId="203" fillId="0" borderId="160" xfId="0" applyFont="1" applyFill="1" applyBorder="1" applyAlignment="1">
      <alignment horizontal="left" vertical="top" wrapText="1"/>
    </xf>
    <xf numFmtId="0" fontId="203" fillId="0" borderId="162" xfId="0" applyFont="1" applyFill="1" applyBorder="1" applyAlignment="1">
      <alignment horizontal="left" vertical="top" wrapText="1"/>
    </xf>
    <xf numFmtId="0" fontId="202" fillId="0" borderId="158" xfId="0" applyFont="1" applyFill="1" applyBorder="1" applyAlignment="1">
      <alignment vertical="top" wrapText="1"/>
    </xf>
    <xf numFmtId="0" fontId="202" fillId="0" borderId="158" xfId="0" applyFont="1" applyFill="1" applyBorder="1" applyAlignment="1">
      <alignment horizontal="left" vertical="top" wrapText="1"/>
    </xf>
    <xf numFmtId="0" fontId="204" fillId="0" borderId="158" xfId="0" applyFont="1" applyFill="1" applyBorder="1" applyAlignment="1">
      <alignment horizontal="left" vertical="top" wrapText="1"/>
    </xf>
    <xf numFmtId="0" fontId="202" fillId="0" borderId="150" xfId="0" applyFont="1" applyFill="1" applyBorder="1" applyAlignment="1">
      <alignment horizontal="center" vertical="top" wrapText="1"/>
    </xf>
    <xf numFmtId="0" fontId="204" fillId="0" borderId="158" xfId="0" applyFont="1" applyFill="1" applyBorder="1" applyAlignment="1">
      <alignment horizontal="center" vertical="top" wrapText="1"/>
    </xf>
    <xf numFmtId="0" fontId="203" fillId="0" borderId="135" xfId="0" applyFont="1" applyFill="1" applyBorder="1" applyAlignment="1">
      <alignment horizontal="left" vertical="top" wrapText="1"/>
    </xf>
    <xf numFmtId="0" fontId="203" fillId="0" borderId="139" xfId="0" applyFont="1" applyFill="1" applyBorder="1" applyAlignment="1">
      <alignment horizontal="left" vertical="top" wrapText="1"/>
    </xf>
    <xf numFmtId="0" fontId="204" fillId="0" borderId="135" xfId="0" applyFont="1" applyFill="1" applyBorder="1" applyAlignment="1">
      <alignment horizontal="left" vertical="top" wrapText="1"/>
    </xf>
    <xf numFmtId="0" fontId="204" fillId="0" borderId="139" xfId="0" applyFont="1" applyFill="1" applyBorder="1" applyAlignment="1">
      <alignment horizontal="left" vertical="top" wrapText="1"/>
    </xf>
    <xf numFmtId="0" fontId="203" fillId="0" borderId="158" xfId="0" applyFont="1" applyFill="1" applyBorder="1" applyAlignment="1">
      <alignment horizontal="left" vertical="top" wrapText="1"/>
    </xf>
    <xf numFmtId="0" fontId="203" fillId="0" borderId="137" xfId="0" applyFont="1" applyFill="1" applyBorder="1" applyAlignment="1">
      <alignment horizontal="left" vertical="top"/>
    </xf>
    <xf numFmtId="0" fontId="202" fillId="0" borderId="137" xfId="0" applyFont="1" applyFill="1" applyBorder="1" applyAlignment="1">
      <alignment horizontal="center" vertical="top"/>
    </xf>
    <xf numFmtId="0" fontId="202" fillId="0" borderId="135" xfId="0" applyFont="1" applyFill="1" applyBorder="1" applyAlignment="1">
      <alignment horizontal="left" vertical="top"/>
    </xf>
    <xf numFmtId="0" fontId="202" fillId="0" borderId="135" xfId="0" applyFont="1" applyFill="1" applyBorder="1" applyAlignment="1">
      <alignment horizontal="center" vertical="top"/>
    </xf>
    <xf numFmtId="0" fontId="202" fillId="0" borderId="137" xfId="0" applyFont="1" applyFill="1" applyBorder="1" applyAlignment="1">
      <alignment horizontal="left" vertical="top"/>
    </xf>
    <xf numFmtId="0" fontId="202" fillId="0" borderId="139" xfId="0" applyFont="1" applyFill="1" applyBorder="1" applyAlignment="1">
      <alignment horizontal="left" vertical="top"/>
    </xf>
    <xf numFmtId="0" fontId="202" fillId="0" borderId="139" xfId="0" applyFont="1" applyFill="1" applyBorder="1" applyAlignment="1">
      <alignment horizontal="center" vertical="top"/>
    </xf>
    <xf numFmtId="0" fontId="203" fillId="0" borderId="139" xfId="0" applyFont="1" applyFill="1" applyBorder="1" applyAlignment="1">
      <alignment horizontal="left" vertical="top"/>
    </xf>
    <xf numFmtId="0" fontId="201" fillId="0" borderId="139" xfId="84" applyFont="1" applyFill="1" applyBorder="1" applyAlignment="1">
      <alignment horizontal="left" vertical="top"/>
    </xf>
    <xf numFmtId="0" fontId="202" fillId="0" borderId="135" xfId="0" applyFont="1" applyFill="1" applyBorder="1" applyAlignment="1">
      <alignment vertical="top" wrapText="1"/>
    </xf>
    <xf numFmtId="0" fontId="202" fillId="0" borderId="139" xfId="0" applyFont="1" applyFill="1" applyBorder="1" applyAlignment="1">
      <alignment vertical="top" wrapText="1"/>
    </xf>
    <xf numFmtId="0" fontId="203" fillId="0" borderId="135" xfId="0" applyFont="1" applyFill="1" applyBorder="1" applyAlignment="1">
      <alignment vertical="top" wrapText="1"/>
    </xf>
    <xf numFmtId="0" fontId="203" fillId="0" borderId="137" xfId="0" applyFont="1" applyFill="1" applyBorder="1" applyAlignment="1">
      <alignment vertical="top" wrapText="1"/>
    </xf>
    <xf numFmtId="0" fontId="203" fillId="0" borderId="139" xfId="0" applyFont="1" applyFill="1" applyBorder="1" applyAlignment="1">
      <alignment horizontal="center" vertical="top" wrapText="1"/>
    </xf>
    <xf numFmtId="3" fontId="202" fillId="0" borderId="139" xfId="0" applyNumberFormat="1" applyFont="1" applyFill="1" applyBorder="1" applyAlignment="1">
      <alignment horizontal="center" vertical="top" wrapText="1"/>
    </xf>
    <xf numFmtId="0" fontId="203" fillId="0" borderId="137" xfId="0" applyFont="1" applyFill="1" applyBorder="1" applyAlignment="1">
      <alignment horizontal="left" vertical="top" wrapText="1"/>
    </xf>
    <xf numFmtId="0" fontId="202" fillId="0" borderId="137" xfId="0" applyFont="1" applyFill="1" applyBorder="1" applyAlignment="1">
      <alignment vertical="top" wrapText="1"/>
    </xf>
    <xf numFmtId="0" fontId="203" fillId="0" borderId="158" xfId="0" applyFont="1" applyFill="1" applyBorder="1" applyAlignment="1">
      <alignment horizontal="center" vertical="top" wrapText="1"/>
    </xf>
    <xf numFmtId="0" fontId="201" fillId="0" borderId="0" xfId="84" applyFont="1" applyFill="1" applyBorder="1" applyAlignment="1">
      <alignment horizontal="left" vertical="top"/>
    </xf>
    <xf numFmtId="3" fontId="202" fillId="0" borderId="135" xfId="0" applyNumberFormat="1" applyFont="1" applyFill="1" applyBorder="1" applyAlignment="1">
      <alignment horizontal="center" vertical="top" wrapText="1"/>
    </xf>
    <xf numFmtId="0" fontId="207" fillId="0" borderId="135" xfId="0" applyFont="1" applyFill="1" applyBorder="1" applyAlignment="1">
      <alignment horizontal="left" vertical="top" wrapText="1"/>
    </xf>
    <xf numFmtId="0" fontId="207" fillId="0" borderId="139" xfId="0" applyFont="1" applyFill="1" applyBorder="1" applyAlignment="1">
      <alignment horizontal="left" vertical="top" wrapText="1"/>
    </xf>
    <xf numFmtId="0" fontId="205" fillId="0" borderId="135" xfId="0" applyFont="1" applyFill="1" applyBorder="1" applyAlignment="1">
      <alignment horizontal="left" vertical="top" wrapText="1"/>
    </xf>
    <xf numFmtId="0" fontId="205" fillId="0" borderId="137" xfId="0" applyFont="1" applyFill="1" applyBorder="1" applyAlignment="1">
      <alignment horizontal="left" vertical="top" wrapText="1"/>
    </xf>
    <xf numFmtId="0" fontId="203" fillId="0" borderId="135" xfId="0" applyFont="1" applyFill="1" applyBorder="1" applyAlignment="1">
      <alignment horizontal="center" vertical="top" wrapText="1"/>
    </xf>
    <xf numFmtId="0" fontId="205" fillId="0" borderId="139" xfId="0" applyFont="1" applyFill="1" applyBorder="1" applyAlignment="1">
      <alignment horizontal="left" vertical="top" wrapText="1"/>
    </xf>
    <xf numFmtId="0" fontId="203" fillId="0" borderId="137" xfId="0" applyFont="1" applyFill="1" applyBorder="1" applyAlignment="1">
      <alignment horizontal="center" vertical="top" wrapText="1"/>
    </xf>
    <xf numFmtId="0" fontId="204" fillId="0" borderId="160" xfId="0" applyFont="1" applyFill="1" applyBorder="1" applyAlignment="1">
      <alignment vertical="top" wrapText="1"/>
    </xf>
    <xf numFmtId="0" fontId="204" fillId="0" borderId="162" xfId="0" applyFont="1" applyFill="1" applyBorder="1" applyAlignment="1">
      <alignment vertical="top" wrapText="1"/>
    </xf>
    <xf numFmtId="0" fontId="203" fillId="0" borderId="160" xfId="0" applyFont="1" applyFill="1" applyBorder="1" applyAlignment="1">
      <alignment vertical="top" wrapText="1"/>
    </xf>
    <xf numFmtId="0" fontId="203" fillId="0" borderId="162" xfId="0" applyFont="1" applyFill="1" applyBorder="1" applyAlignment="1">
      <alignment vertical="top" wrapText="1"/>
    </xf>
    <xf numFmtId="0" fontId="202" fillId="0" borderId="159" xfId="0" applyFont="1" applyFill="1" applyBorder="1" applyAlignment="1">
      <alignment horizontal="left" vertical="top" wrapText="1"/>
    </xf>
    <xf numFmtId="0" fontId="204" fillId="0" borderId="160" xfId="0" applyFont="1" applyFill="1" applyBorder="1" applyAlignment="1">
      <alignment horizontal="center" vertical="top" wrapText="1"/>
    </xf>
    <xf numFmtId="0" fontId="204" fillId="0" borderId="161" xfId="0" applyFont="1" applyFill="1" applyBorder="1" applyAlignment="1">
      <alignment horizontal="left" vertical="top" wrapText="1"/>
    </xf>
    <xf numFmtId="0" fontId="204" fillId="0" borderId="161" xfId="0" applyFont="1" applyFill="1" applyBorder="1" applyAlignment="1">
      <alignment vertical="top" wrapText="1"/>
    </xf>
    <xf numFmtId="0" fontId="204" fillId="0" borderId="161" xfId="0" applyFont="1" applyFill="1" applyBorder="1" applyAlignment="1">
      <alignment horizontal="center" vertical="top" wrapText="1"/>
    </xf>
    <xf numFmtId="0" fontId="204" fillId="0" borderId="160" xfId="0" applyFont="1" applyFill="1" applyBorder="1" applyAlignment="1">
      <alignment horizontal="left" vertical="top" wrapText="1"/>
    </xf>
    <xf numFmtId="0" fontId="204" fillId="0" borderId="162" xfId="0" applyFont="1" applyFill="1" applyBorder="1" applyAlignment="1">
      <alignment horizontal="left" vertical="top" wrapText="1"/>
    </xf>
    <xf numFmtId="0" fontId="204" fillId="0" borderId="141" xfId="0" applyFont="1" applyFill="1" applyBorder="1" applyAlignment="1">
      <alignment horizontal="center" vertical="top" wrapText="1"/>
    </xf>
    <xf numFmtId="0" fontId="208" fillId="0" borderId="141" xfId="0" applyFont="1" applyFill="1" applyBorder="1" applyAlignment="1">
      <alignment vertical="top" wrapText="1"/>
    </xf>
    <xf numFmtId="0" fontId="202" fillId="0" borderId="141" xfId="0" applyFont="1" applyFill="1" applyBorder="1" applyAlignment="1">
      <alignment vertical="top" wrapText="1"/>
    </xf>
    <xf numFmtId="0" fontId="204" fillId="0" borderId="142" xfId="0" applyFont="1" applyFill="1" applyBorder="1" applyAlignment="1">
      <alignment vertical="top" wrapText="1"/>
    </xf>
    <xf numFmtId="0" fontId="202" fillId="0" borderId="142" xfId="0" applyFont="1" applyFill="1" applyBorder="1" applyAlignment="1">
      <alignment vertical="top" wrapText="1"/>
    </xf>
    <xf numFmtId="0" fontId="204" fillId="0" borderId="141" xfId="0" applyFont="1" applyFill="1" applyBorder="1" applyAlignment="1">
      <alignment vertical="top" wrapText="1"/>
    </xf>
    <xf numFmtId="0" fontId="203" fillId="0" borderId="142" xfId="0" applyFont="1" applyFill="1" applyBorder="1" applyAlignment="1">
      <alignment vertical="top" wrapText="1"/>
    </xf>
    <xf numFmtId="0" fontId="209" fillId="0" borderId="140" xfId="0" applyFont="1" applyFill="1" applyBorder="1" applyAlignment="1">
      <alignment vertical="top" wrapText="1"/>
    </xf>
    <xf numFmtId="0" fontId="201" fillId="0" borderId="158" xfId="84" applyFont="1" applyFill="1" applyBorder="1" applyAlignment="1">
      <alignment horizontal="left" vertical="top"/>
    </xf>
    <xf numFmtId="0" fontId="202" fillId="0" borderId="0" xfId="0" applyFont="1" applyFill="1" applyBorder="1" applyAlignment="1">
      <alignment horizontal="left" vertical="top" wrapText="1"/>
    </xf>
    <xf numFmtId="0" fontId="202" fillId="0" borderId="157" xfId="0" applyFont="1" applyFill="1" applyBorder="1" applyAlignment="1">
      <alignment horizontal="left" vertical="top" wrapText="1"/>
    </xf>
    <xf numFmtId="0" fontId="202" fillId="0" borderId="464" xfId="0" applyFont="1" applyFill="1" applyBorder="1" applyAlignment="1">
      <alignment horizontal="center" vertical="top" wrapText="1"/>
    </xf>
    <xf numFmtId="0" fontId="256" fillId="0" borderId="0" xfId="84" applyFont="1" applyFill="1" applyAlignment="1">
      <alignment horizontal="left" vertical="top"/>
    </xf>
    <xf numFmtId="0" fontId="255" fillId="0" borderId="0" xfId="84" applyFont="1" applyFill="1" applyAlignment="1">
      <alignment horizontal="left" vertical="top"/>
    </xf>
    <xf numFmtId="0" fontId="256" fillId="0" borderId="0" xfId="84" applyFont="1" applyFill="1" applyAlignment="1">
      <alignment horizontal="center" vertical="top"/>
    </xf>
    <xf numFmtId="0" fontId="257" fillId="0" borderId="0" xfId="0" applyFont="1" applyFill="1" applyBorder="1" applyAlignment="1">
      <alignment horizontal="left" vertical="top" wrapText="1"/>
    </xf>
    <xf numFmtId="0" fontId="202" fillId="0" borderId="157" xfId="0" applyFont="1" applyFill="1" applyBorder="1" applyAlignment="1">
      <alignment horizontal="center" vertical="top" wrapText="1"/>
    </xf>
    <xf numFmtId="0" fontId="202" fillId="0" borderId="449" xfId="0" applyFont="1" applyFill="1" applyBorder="1" applyAlignment="1">
      <alignment horizontal="left" vertical="top" wrapText="1"/>
    </xf>
    <xf numFmtId="0" fontId="202" fillId="0" borderId="449" xfId="0" applyFont="1" applyFill="1" applyBorder="1" applyAlignment="1">
      <alignment horizontal="center" vertical="top" wrapText="1"/>
    </xf>
    <xf numFmtId="0" fontId="202" fillId="0" borderId="0" xfId="0" applyFont="1" applyFill="1" applyBorder="1" applyAlignment="1">
      <alignment vertical="top" wrapText="1"/>
    </xf>
    <xf numFmtId="0" fontId="202" fillId="0" borderId="154" xfId="0" applyFont="1" applyFill="1" applyBorder="1" applyAlignment="1">
      <alignment horizontal="center" vertical="top" wrapText="1"/>
    </xf>
    <xf numFmtId="0" fontId="202" fillId="0" borderId="160" xfId="0" applyFont="1" applyFill="1" applyBorder="1" applyAlignment="1">
      <alignment horizontal="center" vertical="top" wrapText="1"/>
    </xf>
    <xf numFmtId="0" fontId="202" fillId="0" borderId="161" xfId="0" applyFont="1" applyFill="1" applyBorder="1" applyAlignment="1">
      <alignment horizontal="center" vertical="top" wrapText="1"/>
    </xf>
    <xf numFmtId="0" fontId="202" fillId="0" borderId="162" xfId="0" applyFont="1" applyFill="1" applyBorder="1" applyAlignment="1">
      <alignment horizontal="center" vertical="top" wrapText="1"/>
    </xf>
    <xf numFmtId="0" fontId="202" fillId="0" borderId="245" xfId="0" applyFont="1" applyFill="1" applyBorder="1" applyAlignment="1">
      <alignment vertical="top" wrapText="1"/>
    </xf>
    <xf numFmtId="0" fontId="202" fillId="0" borderId="245" xfId="0" applyFont="1" applyFill="1" applyBorder="1" applyAlignment="1">
      <alignment horizontal="left" vertical="top" wrapText="1"/>
    </xf>
    <xf numFmtId="0" fontId="202" fillId="0" borderId="245" xfId="0" applyFont="1" applyFill="1" applyBorder="1" applyAlignment="1">
      <alignment horizontal="center" vertical="top" wrapText="1"/>
    </xf>
    <xf numFmtId="0" fontId="204" fillId="0" borderId="0" xfId="0" applyFont="1" applyFill="1" applyBorder="1" applyAlignment="1">
      <alignment horizontal="center" vertical="top" wrapText="1"/>
    </xf>
    <xf numFmtId="0" fontId="202" fillId="0" borderId="154" xfId="0" applyFont="1" applyFill="1" applyBorder="1" applyAlignment="1">
      <alignment vertical="top" wrapText="1"/>
    </xf>
    <xf numFmtId="0" fontId="202" fillId="0" borderId="154" xfId="0" applyFont="1" applyFill="1" applyBorder="1" applyAlignment="1">
      <alignment horizontal="left" vertical="top" wrapText="1"/>
    </xf>
    <xf numFmtId="0" fontId="204" fillId="0" borderId="154" xfId="0" applyFont="1" applyFill="1" applyBorder="1" applyAlignment="1">
      <alignment horizontal="center" vertical="top" wrapText="1"/>
    </xf>
    <xf numFmtId="0" fontId="202" fillId="0" borderId="245" xfId="0" applyFont="1" applyFill="1" applyBorder="1" applyAlignment="1">
      <alignment horizontal="center" vertical="top"/>
    </xf>
    <xf numFmtId="0" fontId="202" fillId="0" borderId="0" xfId="0" applyFont="1" applyFill="1" applyBorder="1" applyAlignment="1">
      <alignment horizontal="center" vertical="top"/>
    </xf>
    <xf numFmtId="0" fontId="202" fillId="0" borderId="154" xfId="0" applyFont="1" applyFill="1" applyBorder="1" applyAlignment="1">
      <alignment horizontal="center" vertical="top"/>
    </xf>
    <xf numFmtId="0" fontId="203" fillId="0" borderId="135" xfId="0" applyFont="1" applyFill="1" applyBorder="1" applyAlignment="1">
      <alignment horizontal="left" vertical="top"/>
    </xf>
    <xf numFmtId="0" fontId="203" fillId="0" borderId="465" xfId="0" applyFont="1" applyFill="1" applyBorder="1" applyAlignment="1">
      <alignment horizontal="left" vertical="top" wrapText="1"/>
    </xf>
    <xf numFmtId="0" fontId="203" fillId="0" borderId="465" xfId="0" applyFont="1" applyFill="1" applyBorder="1" applyAlignment="1">
      <alignment horizontal="center" vertical="top" wrapText="1"/>
    </xf>
    <xf numFmtId="0" fontId="202" fillId="0" borderId="467" xfId="0" applyFont="1" applyFill="1" applyBorder="1" applyAlignment="1">
      <alignment horizontal="center" vertical="top" wrapText="1"/>
    </xf>
    <xf numFmtId="0" fontId="203" fillId="0" borderId="467" xfId="0" applyFont="1" applyFill="1" applyBorder="1" applyAlignment="1">
      <alignment horizontal="center" vertical="top" wrapText="1"/>
    </xf>
    <xf numFmtId="0" fontId="203" fillId="0" borderId="467" xfId="0" applyFont="1" applyFill="1" applyBorder="1" applyAlignment="1">
      <alignment horizontal="left" vertical="top" wrapText="1"/>
    </xf>
    <xf numFmtId="0" fontId="205" fillId="0" borderId="467" xfId="0" applyFont="1" applyFill="1" applyBorder="1" applyAlignment="1">
      <alignment horizontal="left" vertical="top" wrapText="1"/>
    </xf>
    <xf numFmtId="9" fontId="202" fillId="0" borderId="467" xfId="0" applyNumberFormat="1" applyFont="1" applyFill="1" applyBorder="1" applyAlignment="1">
      <alignment horizontal="center" vertical="top" wrapText="1"/>
    </xf>
    <xf numFmtId="0" fontId="202" fillId="0" borderId="469" xfId="0" applyFont="1" applyFill="1" applyBorder="1" applyAlignment="1">
      <alignment horizontal="center" vertical="top" wrapText="1"/>
    </xf>
    <xf numFmtId="0" fontId="202" fillId="0" borderId="467" xfId="0" applyFont="1" applyFill="1" applyBorder="1" applyAlignment="1">
      <alignment horizontal="left" vertical="top" wrapText="1"/>
    </xf>
    <xf numFmtId="0" fontId="204" fillId="0" borderId="467" xfId="0" applyFont="1" applyFill="1" applyBorder="1" applyAlignment="1">
      <alignment horizontal="center" vertical="top" wrapText="1"/>
    </xf>
    <xf numFmtId="0" fontId="202" fillId="0" borderId="468" xfId="0" applyFont="1" applyFill="1" applyBorder="1" applyAlignment="1">
      <alignment vertical="top" wrapText="1"/>
    </xf>
    <xf numFmtId="0" fontId="204" fillId="0" borderId="468" xfId="0" applyFont="1" applyFill="1" applyBorder="1" applyAlignment="1">
      <alignment horizontal="center" vertical="top" wrapText="1"/>
    </xf>
    <xf numFmtId="0" fontId="202" fillId="0" borderId="468" xfId="0" applyFont="1" applyFill="1" applyBorder="1" applyAlignment="1">
      <alignment horizontal="center" vertical="top" wrapText="1"/>
    </xf>
    <xf numFmtId="0" fontId="202" fillId="0" borderId="469" xfId="0" applyFont="1" applyFill="1" applyBorder="1" applyAlignment="1">
      <alignment vertical="top" wrapText="1"/>
    </xf>
    <xf numFmtId="0" fontId="204" fillId="0" borderId="469" xfId="0" applyFont="1" applyFill="1" applyBorder="1" applyAlignment="1">
      <alignment horizontal="center" vertical="top" wrapText="1"/>
    </xf>
    <xf numFmtId="0" fontId="202" fillId="0" borderId="470" xfId="0" applyFont="1" applyFill="1" applyBorder="1" applyAlignment="1">
      <alignment vertical="top" wrapText="1"/>
    </xf>
    <xf numFmtId="0" fontId="202" fillId="0" borderId="470" xfId="0" applyFont="1" applyFill="1" applyBorder="1" applyAlignment="1">
      <alignment horizontal="center" vertical="top" wrapText="1"/>
    </xf>
    <xf numFmtId="3" fontId="202" fillId="0" borderId="245" xfId="0" applyNumberFormat="1" applyFont="1" applyFill="1" applyBorder="1" applyAlignment="1">
      <alignment horizontal="center" vertical="top" wrapText="1"/>
    </xf>
    <xf numFmtId="3" fontId="202" fillId="0" borderId="0" xfId="0" applyNumberFormat="1" applyFont="1" applyFill="1" applyBorder="1" applyAlignment="1">
      <alignment horizontal="center" vertical="top" wrapText="1"/>
    </xf>
    <xf numFmtId="3" fontId="202" fillId="0" borderId="154" xfId="0" applyNumberFormat="1" applyFont="1" applyFill="1" applyBorder="1" applyAlignment="1">
      <alignment horizontal="center" vertical="top" wrapText="1"/>
    </xf>
    <xf numFmtId="43" fontId="256" fillId="0" borderId="0" xfId="1" applyFont="1" applyFill="1" applyAlignment="1">
      <alignment horizontal="center" vertical="top"/>
    </xf>
    <xf numFmtId="43" fontId="202" fillId="0" borderId="0" xfId="1" applyFont="1" applyFill="1" applyBorder="1" applyAlignment="1">
      <alignment horizontal="center" vertical="top" wrapText="1"/>
    </xf>
    <xf numFmtId="43" fontId="202" fillId="0" borderId="202" xfId="1" applyFont="1" applyFill="1" applyBorder="1" applyAlignment="1">
      <alignment horizontal="center" vertical="top" wrapText="1"/>
    </xf>
    <xf numFmtId="43" fontId="202" fillId="0" borderId="157" xfId="1" applyFont="1" applyFill="1" applyBorder="1" applyAlignment="1">
      <alignment horizontal="center" vertical="top" wrapText="1"/>
    </xf>
    <xf numFmtId="43" fontId="202" fillId="0" borderId="449" xfId="1" applyFont="1" applyFill="1" applyBorder="1" applyAlignment="1">
      <alignment horizontal="center" vertical="top" wrapText="1"/>
    </xf>
    <xf numFmtId="43" fontId="202" fillId="0" borderId="467" xfId="1" applyFont="1" applyFill="1" applyBorder="1" applyAlignment="1">
      <alignment horizontal="center" vertical="top" wrapText="1"/>
    </xf>
    <xf numFmtId="43" fontId="202" fillId="0" borderId="141" xfId="1" applyFont="1" applyFill="1" applyBorder="1" applyAlignment="1">
      <alignment horizontal="center" vertical="top" wrapText="1"/>
    </xf>
    <xf numFmtId="43" fontId="202" fillId="0" borderId="245" xfId="1" applyFont="1" applyFill="1" applyBorder="1" applyAlignment="1">
      <alignment horizontal="center" vertical="top" wrapText="1"/>
    </xf>
    <xf numFmtId="43" fontId="202" fillId="0" borderId="154" xfId="1" applyFont="1" applyFill="1" applyBorder="1" applyAlignment="1">
      <alignment horizontal="center" vertical="top" wrapText="1"/>
    </xf>
    <xf numFmtId="43" fontId="202" fillId="0" borderId="158" xfId="1" applyFont="1" applyFill="1" applyBorder="1" applyAlignment="1">
      <alignment horizontal="center" vertical="top" wrapText="1"/>
    </xf>
    <xf numFmtId="43" fontId="202" fillId="0" borderId="139" xfId="1" applyFont="1" applyFill="1" applyBorder="1" applyAlignment="1">
      <alignment horizontal="center" vertical="top" wrapText="1"/>
    </xf>
    <xf numFmtId="43" fontId="202" fillId="0" borderId="135" xfId="1" applyFont="1" applyFill="1" applyBorder="1" applyAlignment="1">
      <alignment horizontal="center" vertical="top" wrapText="1"/>
    </xf>
    <xf numFmtId="43" fontId="202" fillId="0" borderId="137" xfId="1" applyFont="1" applyFill="1" applyBorder="1" applyAlignment="1">
      <alignment horizontal="center" vertical="top" wrapText="1"/>
    </xf>
    <xf numFmtId="43" fontId="204" fillId="0" borderId="135" xfId="1" applyFont="1" applyFill="1" applyBorder="1" applyAlignment="1">
      <alignment horizontal="center" vertical="top" wrapText="1"/>
    </xf>
    <xf numFmtId="43" fontId="204" fillId="0" borderId="137" xfId="1" applyFont="1" applyFill="1" applyBorder="1" applyAlignment="1">
      <alignment horizontal="center" vertical="top" wrapText="1"/>
    </xf>
    <xf numFmtId="43" fontId="204" fillId="0" borderId="139" xfId="1" applyFont="1" applyFill="1" applyBorder="1" applyAlignment="1">
      <alignment horizontal="center" vertical="top" wrapText="1"/>
    </xf>
    <xf numFmtId="43" fontId="202" fillId="0" borderId="160" xfId="1" applyFont="1" applyFill="1" applyBorder="1" applyAlignment="1">
      <alignment horizontal="center" vertical="top" wrapText="1"/>
    </xf>
    <xf numFmtId="43" fontId="202" fillId="0" borderId="162" xfId="1" applyFont="1" applyFill="1" applyBorder="1" applyAlignment="1">
      <alignment horizontal="center" vertical="top" wrapText="1"/>
    </xf>
    <xf numFmtId="43" fontId="202" fillId="0" borderId="159" xfId="1" applyFont="1" applyFill="1" applyBorder="1" applyAlignment="1">
      <alignment horizontal="center" vertical="top" wrapText="1"/>
    </xf>
    <xf numFmtId="43" fontId="202" fillId="0" borderId="161" xfId="1" applyFont="1" applyFill="1" applyBorder="1" applyAlignment="1">
      <alignment horizontal="center" vertical="top" wrapText="1"/>
    </xf>
    <xf numFmtId="43" fontId="202" fillId="0" borderId="142" xfId="1" applyFont="1" applyFill="1" applyBorder="1" applyAlignment="1">
      <alignment horizontal="center" vertical="top" wrapText="1"/>
    </xf>
    <xf numFmtId="43" fontId="204" fillId="0" borderId="142" xfId="1" applyFont="1" applyFill="1" applyBorder="1" applyAlignment="1">
      <alignment horizontal="center" vertical="top" wrapText="1"/>
    </xf>
    <xf numFmtId="43" fontId="204" fillId="0" borderId="141" xfId="1" applyFont="1" applyFill="1" applyBorder="1" applyAlignment="1">
      <alignment horizontal="center" vertical="top" wrapText="1"/>
    </xf>
    <xf numFmtId="43" fontId="204" fillId="0" borderId="154" xfId="1" applyFont="1" applyFill="1" applyBorder="1" applyAlignment="1">
      <alignment horizontal="center" vertical="top" wrapText="1"/>
    </xf>
    <xf numFmtId="43" fontId="204" fillId="0" borderId="160" xfId="1" applyFont="1" applyFill="1" applyBorder="1" applyAlignment="1">
      <alignment horizontal="center" vertical="top" wrapText="1"/>
    </xf>
    <xf numFmtId="43" fontId="204" fillId="0" borderId="162" xfId="1" applyFont="1" applyFill="1" applyBorder="1" applyAlignment="1">
      <alignment horizontal="center" vertical="top" wrapText="1"/>
    </xf>
    <xf numFmtId="43" fontId="204" fillId="0" borderId="161" xfId="1" applyFont="1" applyFill="1" applyBorder="1" applyAlignment="1">
      <alignment horizontal="center" vertical="top" wrapText="1"/>
    </xf>
    <xf numFmtId="43" fontId="201" fillId="0" borderId="0" xfId="1" applyFont="1" applyFill="1" applyAlignment="1">
      <alignment horizontal="center" vertical="top"/>
    </xf>
    <xf numFmtId="43" fontId="259" fillId="0" borderId="0" xfId="1" applyFont="1" applyFill="1" applyBorder="1" applyAlignment="1">
      <alignment horizontal="center" vertical="top" wrapText="1"/>
    </xf>
    <xf numFmtId="43" fontId="202" fillId="0" borderId="465" xfId="1" applyFont="1" applyFill="1" applyBorder="1" applyAlignment="1">
      <alignment horizontal="center" vertical="top" wrapText="1"/>
    </xf>
    <xf numFmtId="43" fontId="202" fillId="0" borderId="468" xfId="1" applyFont="1" applyFill="1" applyBorder="1" applyAlignment="1">
      <alignment horizontal="center" vertical="top" wrapText="1"/>
    </xf>
    <xf numFmtId="43" fontId="202" fillId="0" borderId="469" xfId="1" applyFont="1" applyFill="1" applyBorder="1" applyAlignment="1">
      <alignment horizontal="center" vertical="top" wrapText="1"/>
    </xf>
    <xf numFmtId="43" fontId="202" fillId="0" borderId="135" xfId="1" applyFont="1" applyFill="1" applyBorder="1" applyAlignment="1">
      <alignment vertical="top" wrapText="1"/>
    </xf>
    <xf numFmtId="0" fontId="203" fillId="0" borderId="141" xfId="0" applyFont="1" applyFill="1" applyBorder="1" applyAlignment="1">
      <alignment horizontal="center" vertical="top" wrapText="1"/>
    </xf>
    <xf numFmtId="43" fontId="202" fillId="0" borderId="245" xfId="1" applyFont="1" applyFill="1" applyBorder="1" applyAlignment="1">
      <alignment vertical="top" wrapText="1"/>
    </xf>
    <xf numFmtId="43" fontId="207" fillId="0" borderId="135" xfId="1" applyFont="1" applyFill="1" applyBorder="1" applyAlignment="1">
      <alignment horizontal="center" vertical="top" wrapText="1"/>
    </xf>
    <xf numFmtId="43" fontId="204" fillId="0" borderId="0" xfId="1" applyFont="1" applyFill="1" applyBorder="1" applyAlignment="1">
      <alignment horizontal="center" vertical="top" wrapText="1"/>
    </xf>
    <xf numFmtId="43" fontId="204" fillId="0" borderId="245" xfId="1" applyFont="1" applyFill="1" applyBorder="1" applyAlignment="1">
      <alignment horizontal="center" vertical="top" wrapText="1"/>
    </xf>
    <xf numFmtId="0" fontId="201" fillId="0" borderId="154" xfId="84" applyFont="1" applyFill="1" applyBorder="1" applyAlignment="1">
      <alignment horizontal="left" vertical="top"/>
    </xf>
    <xf numFmtId="0" fontId="202" fillId="0" borderId="150" xfId="0" applyFont="1" applyFill="1" applyBorder="1" applyAlignment="1">
      <alignment vertical="top" wrapText="1"/>
    </xf>
    <xf numFmtId="0" fontId="204" fillId="0" borderId="135" xfId="0" applyFont="1" applyFill="1" applyBorder="1" applyAlignment="1">
      <alignment vertical="top" wrapText="1"/>
    </xf>
    <xf numFmtId="0" fontId="204" fillId="0" borderId="139" xfId="0" applyFont="1" applyFill="1" applyBorder="1" applyAlignment="1">
      <alignment vertical="top" wrapText="1"/>
    </xf>
    <xf numFmtId="0" fontId="204" fillId="0" borderId="245" xfId="0" applyFont="1" applyFill="1" applyBorder="1" applyAlignment="1">
      <alignment horizontal="center" vertical="top" wrapText="1"/>
    </xf>
    <xf numFmtId="0" fontId="203" fillId="0" borderId="0" xfId="0" applyFont="1" applyFill="1" applyBorder="1" applyAlignment="1">
      <alignment horizontal="center" vertical="top" wrapText="1"/>
    </xf>
    <xf numFmtId="0" fontId="204" fillId="0" borderId="140" xfId="0" applyFont="1" applyFill="1" applyBorder="1" applyAlignment="1">
      <alignment vertical="top" wrapText="1"/>
    </xf>
    <xf numFmtId="43" fontId="202" fillId="0" borderId="140" xfId="1" applyFont="1" applyFill="1" applyBorder="1" applyAlignment="1">
      <alignment horizontal="center" vertical="top" wrapText="1"/>
    </xf>
    <xf numFmtId="0" fontId="204" fillId="0" borderId="140" xfId="0" applyFont="1" applyFill="1" applyBorder="1" applyAlignment="1">
      <alignment horizontal="center" vertical="top" wrapText="1"/>
    </xf>
    <xf numFmtId="0" fontId="204" fillId="0" borderId="245" xfId="0" applyFont="1" applyFill="1" applyBorder="1" applyAlignment="1">
      <alignment vertical="top" wrapText="1"/>
    </xf>
    <xf numFmtId="0" fontId="204" fillId="0" borderId="0" xfId="0" applyFont="1" applyFill="1" applyBorder="1" applyAlignment="1">
      <alignment vertical="top" wrapText="1"/>
    </xf>
    <xf numFmtId="0" fontId="204" fillId="0" borderId="154" xfId="0" applyFont="1" applyFill="1" applyBorder="1" applyAlignment="1">
      <alignment vertical="top" wrapText="1"/>
    </xf>
    <xf numFmtId="0" fontId="74" fillId="0" borderId="437" xfId="0" applyFont="1" applyBorder="1" applyAlignment="1">
      <alignment vertical="top" wrapText="1"/>
    </xf>
    <xf numFmtId="43" fontId="74" fillId="0" borderId="68" xfId="1" applyFont="1" applyBorder="1" applyAlignment="1">
      <alignment vertical="top" wrapText="1"/>
    </xf>
    <xf numFmtId="43" fontId="74" fillId="0" borderId="171" xfId="0" applyNumberFormat="1" applyFont="1" applyBorder="1" applyAlignment="1">
      <alignment horizontal="right" vertical="top" wrapText="1"/>
    </xf>
    <xf numFmtId="43" fontId="112" fillId="0" borderId="325" xfId="0" applyNumberFormat="1" applyFont="1" applyBorder="1" applyAlignment="1">
      <alignment horizontal="center" vertical="top" wrapText="1"/>
    </xf>
    <xf numFmtId="43" fontId="0" fillId="0" borderId="0" xfId="0" applyNumberFormat="1" applyAlignment="1">
      <alignment vertical="top"/>
    </xf>
    <xf numFmtId="0" fontId="160" fillId="0" borderId="0" xfId="21" applyFont="1" applyFill="1"/>
    <xf numFmtId="0" fontId="41" fillId="0" borderId="301" xfId="21" applyFont="1" applyFill="1" applyBorder="1" applyAlignment="1">
      <alignment horizontal="center"/>
    </xf>
    <xf numFmtId="0" fontId="41" fillId="0" borderId="304" xfId="21" applyFont="1" applyFill="1" applyBorder="1" applyAlignment="1">
      <alignment horizontal="center"/>
    </xf>
    <xf numFmtId="0" fontId="41" fillId="0" borderId="301" xfId="21" applyFont="1" applyFill="1" applyBorder="1"/>
    <xf numFmtId="0" fontId="46" fillId="0" borderId="0" xfId="21" applyFont="1" applyFill="1"/>
    <xf numFmtId="0" fontId="41" fillId="0" borderId="295" xfId="21" applyFont="1" applyFill="1" applyBorder="1" applyAlignment="1">
      <alignment horizontal="center"/>
    </xf>
    <xf numFmtId="0" fontId="41" fillId="0" borderId="300" xfId="21" applyFont="1" applyFill="1" applyBorder="1" applyAlignment="1">
      <alignment horizontal="center"/>
    </xf>
    <xf numFmtId="0" fontId="41" fillId="0" borderId="0" xfId="21" applyFont="1" applyFill="1" applyBorder="1" applyAlignment="1">
      <alignment horizontal="center"/>
    </xf>
    <xf numFmtId="0" fontId="41" fillId="0" borderId="303" xfId="21" applyFont="1" applyFill="1" applyBorder="1" applyAlignment="1">
      <alignment horizontal="center"/>
    </xf>
    <xf numFmtId="0" fontId="41" fillId="0" borderId="306" xfId="21" applyFont="1" applyFill="1" applyBorder="1" applyAlignment="1">
      <alignment horizontal="center"/>
    </xf>
    <xf numFmtId="0" fontId="41" fillId="0" borderId="315" xfId="21" applyFont="1" applyFill="1" applyBorder="1" applyAlignment="1">
      <alignment horizontal="center"/>
    </xf>
    <xf numFmtId="0" fontId="41" fillId="0" borderId="316" xfId="21" applyFont="1" applyFill="1" applyBorder="1" applyAlignment="1">
      <alignment horizontal="center"/>
    </xf>
    <xf numFmtId="0" fontId="184" fillId="0" borderId="295" xfId="21" applyFont="1" applyFill="1" applyBorder="1"/>
    <xf numFmtId="4" fontId="183" fillId="0" borderId="295" xfId="21" applyNumberFormat="1" applyFont="1" applyFill="1" applyBorder="1"/>
    <xf numFmtId="4" fontId="183" fillId="0" borderId="300" xfId="21" applyNumberFormat="1" applyFont="1" applyFill="1" applyBorder="1"/>
    <xf numFmtId="0" fontId="183" fillId="0" borderId="295" xfId="21" applyFont="1" applyFill="1" applyBorder="1"/>
    <xf numFmtId="4" fontId="183" fillId="0" borderId="295" xfId="21" applyNumberFormat="1" applyFont="1" applyFill="1" applyBorder="1" applyAlignment="1">
      <alignment horizontal="center"/>
    </xf>
    <xf numFmtId="4" fontId="183" fillId="0" borderId="300" xfId="21" applyNumberFormat="1" applyFont="1" applyFill="1" applyBorder="1" applyAlignment="1">
      <alignment horizontal="center"/>
    </xf>
    <xf numFmtId="0" fontId="183" fillId="0" borderId="0" xfId="21" applyFont="1" applyFill="1" applyBorder="1"/>
    <xf numFmtId="3" fontId="160" fillId="0" borderId="295" xfId="21" applyNumberFormat="1" applyFont="1" applyFill="1" applyBorder="1"/>
    <xf numFmtId="0" fontId="184" fillId="0" borderId="301" xfId="21" applyFont="1" applyFill="1" applyBorder="1"/>
    <xf numFmtId="4" fontId="183" fillId="0" borderId="296" xfId="21" applyNumberFormat="1" applyFont="1" applyFill="1" applyBorder="1" applyAlignment="1">
      <alignment horizontal="center"/>
    </xf>
    <xf numFmtId="0" fontId="183" fillId="0" borderId="300" xfId="21" applyFont="1" applyFill="1" applyBorder="1"/>
    <xf numFmtId="0" fontId="160" fillId="0" borderId="295" xfId="21" applyFont="1" applyFill="1" applyBorder="1" applyAlignment="1">
      <alignment horizontal="right"/>
    </xf>
    <xf numFmtId="0" fontId="160" fillId="0" borderId="315" xfId="21" applyFont="1" applyFill="1" applyBorder="1"/>
    <xf numFmtId="3" fontId="160" fillId="0" borderId="300" xfId="21" applyNumberFormat="1" applyFont="1" applyFill="1" applyBorder="1"/>
    <xf numFmtId="4" fontId="160" fillId="0" borderId="0" xfId="21" applyNumberFormat="1" applyFont="1" applyFill="1" applyBorder="1" applyAlignment="1">
      <alignment horizontal="center"/>
    </xf>
    <xf numFmtId="0" fontId="160" fillId="0" borderId="0" xfId="21" applyFont="1" applyFill="1" applyBorder="1" applyAlignment="1">
      <alignment horizontal="right"/>
    </xf>
    <xf numFmtId="0" fontId="160" fillId="0" borderId="0" xfId="21" applyFont="1" applyFill="1" applyBorder="1" applyAlignment="1">
      <alignment horizontal="center"/>
    </xf>
    <xf numFmtId="0" fontId="185" fillId="0" borderId="295" xfId="21" applyFont="1" applyFill="1" applyBorder="1"/>
    <xf numFmtId="3" fontId="160" fillId="0" borderId="303" xfId="21" applyNumberFormat="1" applyFont="1" applyFill="1" applyBorder="1"/>
    <xf numFmtId="0" fontId="184" fillId="0" borderId="300" xfId="21" applyFont="1" applyFill="1" applyBorder="1"/>
    <xf numFmtId="0" fontId="160" fillId="0" borderId="315" xfId="21" applyFont="1" applyFill="1" applyBorder="1" applyAlignment="1">
      <alignment horizontal="center"/>
    </xf>
    <xf numFmtId="0" fontId="160" fillId="0" borderId="296" xfId="21" applyFont="1" applyFill="1" applyBorder="1" applyAlignment="1">
      <alignment horizontal="center"/>
    </xf>
    <xf numFmtId="3" fontId="160" fillId="0" borderId="301" xfId="21" applyNumberFormat="1" applyFont="1" applyFill="1" applyBorder="1"/>
    <xf numFmtId="0" fontId="183" fillId="0" borderId="301" xfId="21" applyFont="1" applyFill="1" applyBorder="1"/>
    <xf numFmtId="0" fontId="160" fillId="0" borderId="295" xfId="21" applyFont="1" applyFill="1" applyBorder="1" applyAlignment="1">
      <alignment horizontal="center"/>
    </xf>
    <xf numFmtId="0" fontId="160" fillId="0" borderId="300" xfId="21" applyFont="1" applyFill="1" applyBorder="1" applyAlignment="1">
      <alignment horizontal="center"/>
    </xf>
    <xf numFmtId="0" fontId="160" fillId="0" borderId="302" xfId="21" applyFont="1" applyFill="1" applyBorder="1"/>
    <xf numFmtId="0" fontId="183" fillId="0" borderId="302" xfId="21" applyFont="1" applyFill="1" applyBorder="1" applyAlignment="1">
      <alignment horizontal="center"/>
    </xf>
    <xf numFmtId="4" fontId="183" fillId="0" borderId="302" xfId="21" applyNumberFormat="1" applyFont="1" applyFill="1" applyBorder="1" applyAlignment="1">
      <alignment horizontal="center"/>
    </xf>
    <xf numFmtId="4" fontId="160" fillId="0" borderId="0" xfId="21" applyNumberFormat="1" applyFont="1" applyFill="1"/>
    <xf numFmtId="0" fontId="160" fillId="0" borderId="0" xfId="21" applyFont="1" applyFill="1" applyAlignment="1">
      <alignment horizontal="left"/>
    </xf>
    <xf numFmtId="0" fontId="183" fillId="0" borderId="0" xfId="21" applyFont="1" applyFill="1" applyAlignment="1">
      <alignment horizontal="center"/>
    </xf>
    <xf numFmtId="0" fontId="160" fillId="0" borderId="0" xfId="21" applyFont="1" applyFill="1" applyAlignment="1">
      <alignment horizontal="center"/>
    </xf>
    <xf numFmtId="0" fontId="62" fillId="0" borderId="300" xfId="0" applyFont="1" applyBorder="1" applyAlignment="1">
      <alignment vertical="top"/>
    </xf>
    <xf numFmtId="0" fontId="0" fillId="0" borderId="464" xfId="0" applyBorder="1" applyAlignment="1">
      <alignment vertical="top"/>
    </xf>
    <xf numFmtId="0" fontId="0" fillId="0" borderId="300" xfId="0" applyFont="1" applyBorder="1" applyAlignment="1">
      <alignment vertical="top"/>
    </xf>
    <xf numFmtId="0" fontId="21" fillId="0" borderId="464" xfId="65" applyFont="1" applyBorder="1" applyAlignment="1">
      <alignment vertical="top" wrapText="1"/>
    </xf>
    <xf numFmtId="4" fontId="19" fillId="0" borderId="295" xfId="65" applyNumberFormat="1" applyFont="1" applyBorder="1" applyAlignment="1">
      <alignment vertical="top" wrapText="1"/>
    </xf>
    <xf numFmtId="0" fontId="0" fillId="0" borderId="275" xfId="0" applyFont="1" applyBorder="1" applyAlignment="1">
      <alignment vertical="center"/>
    </xf>
    <xf numFmtId="0" fontId="21" fillId="0" borderId="199" xfId="65" applyFont="1" applyBorder="1" applyAlignment="1">
      <alignment vertical="center" wrapText="1"/>
    </xf>
    <xf numFmtId="4" fontId="19" fillId="0" borderId="279" xfId="65" applyNumberFormat="1" applyFont="1" applyBorder="1" applyAlignment="1">
      <alignment vertical="center" wrapText="1"/>
    </xf>
    <xf numFmtId="43" fontId="17" fillId="0" borderId="279" xfId="1" applyFont="1" applyBorder="1" applyAlignment="1">
      <alignment vertical="center"/>
    </xf>
    <xf numFmtId="0" fontId="21" fillId="0" borderId="471" xfId="34" applyFont="1" applyBorder="1" applyAlignment="1">
      <alignment horizontal="center"/>
    </xf>
    <xf numFmtId="0" fontId="19" fillId="0" borderId="471" xfId="34" applyBorder="1"/>
    <xf numFmtId="0" fontId="21" fillId="0" borderId="471" xfId="34" applyFont="1" applyBorder="1" applyAlignment="1">
      <alignment vertical="center" wrapText="1"/>
    </xf>
    <xf numFmtId="0" fontId="21" fillId="0" borderId="471" xfId="34" applyFont="1" applyBorder="1" applyAlignment="1">
      <alignment horizontal="center" vertical="center" wrapText="1"/>
    </xf>
    <xf numFmtId="0" fontId="19" fillId="0" borderId="472" xfId="34" applyBorder="1" applyAlignment="1">
      <alignment horizontal="center"/>
    </xf>
    <xf numFmtId="0" fontId="19" fillId="0" borderId="473" xfId="34" applyBorder="1" applyAlignment="1">
      <alignment horizontal="center"/>
    </xf>
    <xf numFmtId="0" fontId="21" fillId="0" borderId="357" xfId="34" applyFont="1" applyBorder="1" applyAlignment="1">
      <alignment horizontal="center"/>
    </xf>
    <xf numFmtId="0" fontId="21" fillId="0" borderId="357" xfId="34" applyFont="1" applyBorder="1" applyAlignment="1">
      <alignment horizontal="center" vertical="center" shrinkToFit="1"/>
    </xf>
    <xf numFmtId="0" fontId="21" fillId="0" borderId="357" xfId="34" applyFont="1" applyBorder="1" applyAlignment="1">
      <alignment horizontal="center" vertical="center" wrapText="1"/>
    </xf>
    <xf numFmtId="0" fontId="19" fillId="0" borderId="357" xfId="34" applyBorder="1"/>
    <xf numFmtId="0" fontId="21" fillId="0" borderId="357" xfId="34" applyFont="1" applyBorder="1" applyAlignment="1">
      <alignment horizontal="left" vertical="center" shrinkToFit="1"/>
    </xf>
    <xf numFmtId="0" fontId="19" fillId="0" borderId="368" xfId="34" applyBorder="1"/>
    <xf numFmtId="0" fontId="21" fillId="0" borderId="368" xfId="34" applyFont="1" applyBorder="1"/>
    <xf numFmtId="4" fontId="19" fillId="0" borderId="357" xfId="34" applyNumberFormat="1" applyBorder="1"/>
    <xf numFmtId="0" fontId="19" fillId="0" borderId="357" xfId="34" applyBorder="1" applyAlignment="1">
      <alignment horizontal="left"/>
    </xf>
    <xf numFmtId="0" fontId="19" fillId="0" borderId="357" xfId="34" applyBorder="1" applyAlignment="1">
      <alignment horizontal="center"/>
    </xf>
    <xf numFmtId="16" fontId="19" fillId="0" borderId="357" xfId="34" applyNumberFormat="1" applyBorder="1" applyAlignment="1">
      <alignment horizontal="center"/>
    </xf>
    <xf numFmtId="0" fontId="22" fillId="0" borderId="357" xfId="34" applyFont="1" applyBorder="1" applyAlignment="1">
      <alignment horizontal="center" vertical="top" wrapText="1"/>
    </xf>
    <xf numFmtId="0" fontId="19" fillId="0" borderId="357" xfId="34" applyFont="1" applyBorder="1" applyAlignment="1">
      <alignment vertical="top" wrapText="1"/>
    </xf>
    <xf numFmtId="4" fontId="19" fillId="0" borderId="357" xfId="34" applyNumberFormat="1" applyBorder="1" applyAlignment="1">
      <alignment vertical="top"/>
    </xf>
    <xf numFmtId="0" fontId="19" fillId="0" borderId="0" xfId="34" applyFont="1" applyBorder="1" applyAlignment="1">
      <alignment horizontal="center" vertical="top" wrapText="1"/>
    </xf>
    <xf numFmtId="0" fontId="19" fillId="0" borderId="357" xfId="34" applyFont="1" applyBorder="1" applyAlignment="1">
      <alignment horizontal="center" vertical="top" wrapText="1"/>
    </xf>
    <xf numFmtId="16" fontId="19" fillId="0" borderId="357" xfId="34" applyNumberFormat="1" applyBorder="1" applyAlignment="1">
      <alignment horizontal="center" vertical="top"/>
    </xf>
    <xf numFmtId="0" fontId="19" fillId="0" borderId="357" xfId="34" applyFont="1" applyBorder="1" applyAlignment="1">
      <alignment horizontal="center"/>
    </xf>
    <xf numFmtId="0" fontId="19" fillId="0" borderId="357" xfId="34" applyFont="1" applyBorder="1" applyAlignment="1">
      <alignment horizontal="center" vertical="top"/>
    </xf>
    <xf numFmtId="0" fontId="19" fillId="0" borderId="357" xfId="34" applyFont="1" applyBorder="1" applyAlignment="1">
      <alignment vertical="top"/>
    </xf>
    <xf numFmtId="0" fontId="19" fillId="0" borderId="0" xfId="34" applyFont="1" applyBorder="1" applyAlignment="1">
      <alignment horizontal="center" wrapText="1"/>
    </xf>
    <xf numFmtId="0" fontId="19" fillId="0" borderId="241" xfId="34" applyFont="1" applyBorder="1" applyAlignment="1">
      <alignment vertical="top"/>
    </xf>
    <xf numFmtId="0" fontId="19" fillId="0" borderId="241" xfId="34" applyFont="1" applyBorder="1" applyAlignment="1">
      <alignment vertical="top" wrapText="1"/>
    </xf>
    <xf numFmtId="4" fontId="19" fillId="0" borderId="241" xfId="34" applyNumberFormat="1" applyBorder="1" applyAlignment="1">
      <alignment vertical="top"/>
    </xf>
    <xf numFmtId="0" fontId="19" fillId="0" borderId="433" xfId="34" applyFont="1" applyBorder="1" applyAlignment="1">
      <alignment horizontal="center" wrapText="1"/>
    </xf>
    <xf numFmtId="0" fontId="22" fillId="0" borderId="241" xfId="34" applyFont="1" applyBorder="1" applyAlignment="1">
      <alignment horizontal="left" vertical="top" wrapText="1"/>
    </xf>
    <xf numFmtId="0" fontId="19" fillId="0" borderId="433" xfId="34" applyFont="1" applyBorder="1" applyAlignment="1">
      <alignment horizontal="center" vertical="top"/>
    </xf>
    <xf numFmtId="0" fontId="19" fillId="0" borderId="241" xfId="34" applyFont="1" applyBorder="1" applyAlignment="1">
      <alignment horizontal="center" vertical="top"/>
    </xf>
    <xf numFmtId="0" fontId="19" fillId="0" borderId="357" xfId="34" applyFont="1" applyBorder="1" applyAlignment="1">
      <alignment horizontal="left" vertical="top" wrapText="1"/>
    </xf>
    <xf numFmtId="0" fontId="19" fillId="0" borderId="357" xfId="34" applyFont="1" applyBorder="1" applyAlignment="1">
      <alignment horizontal="left" wrapText="1"/>
    </xf>
    <xf numFmtId="0" fontId="19" fillId="0" borderId="357" xfId="34" applyFont="1" applyBorder="1" applyAlignment="1">
      <alignment wrapText="1"/>
    </xf>
    <xf numFmtId="0" fontId="22" fillId="0" borderId="357" xfId="34" applyFont="1" applyBorder="1" applyAlignment="1">
      <alignment horizontal="center" vertical="top"/>
    </xf>
    <xf numFmtId="0" fontId="19" fillId="0" borderId="0" xfId="34" applyFont="1" applyBorder="1" applyAlignment="1">
      <alignment horizontal="left" vertical="top" wrapText="1"/>
    </xf>
    <xf numFmtId="0" fontId="19" fillId="0" borderId="0" xfId="34" applyFont="1" applyBorder="1" applyAlignment="1">
      <alignment horizontal="left" wrapText="1"/>
    </xf>
    <xf numFmtId="0" fontId="19" fillId="0" borderId="357" xfId="34" applyFont="1" applyBorder="1"/>
    <xf numFmtId="0" fontId="22" fillId="0" borderId="357" xfId="34" applyFont="1" applyBorder="1" applyAlignment="1">
      <alignment horizontal="center"/>
    </xf>
    <xf numFmtId="0" fontId="19" fillId="0" borderId="357" xfId="34" applyFont="1" applyBorder="1" applyAlignment="1">
      <alignment horizontal="left"/>
    </xf>
    <xf numFmtId="3" fontId="19" fillId="0" borderId="357" xfId="34" applyNumberFormat="1" applyBorder="1" applyAlignment="1">
      <alignment horizontal="center"/>
    </xf>
    <xf numFmtId="0" fontId="21" fillId="0" borderId="357" xfId="34" applyFont="1" applyBorder="1" applyAlignment="1">
      <alignment horizontal="right"/>
    </xf>
    <xf numFmtId="4" fontId="21" fillId="0" borderId="357" xfId="34" applyNumberFormat="1" applyFont="1" applyBorder="1"/>
    <xf numFmtId="4" fontId="19" fillId="0" borderId="474" xfId="34" applyNumberFormat="1" applyBorder="1"/>
    <xf numFmtId="0" fontId="19" fillId="0" borderId="241" xfId="34" applyBorder="1"/>
    <xf numFmtId="0" fontId="19" fillId="0" borderId="433" xfId="34" applyBorder="1" applyAlignment="1">
      <alignment horizontal="center"/>
    </xf>
    <xf numFmtId="0" fontId="19" fillId="0" borderId="241" xfId="34" applyBorder="1" applyAlignment="1">
      <alignment horizontal="left"/>
    </xf>
    <xf numFmtId="0" fontId="19" fillId="0" borderId="241" xfId="34" applyBorder="1" applyAlignment="1">
      <alignment horizontal="center"/>
    </xf>
    <xf numFmtId="0" fontId="160" fillId="0" borderId="0" xfId="34" applyFont="1"/>
    <xf numFmtId="43" fontId="19" fillId="0" borderId="0" xfId="1" applyFont="1" applyBorder="1"/>
    <xf numFmtId="0" fontId="19" fillId="0" borderId="475" xfId="34" applyFont="1" applyBorder="1" applyAlignment="1">
      <alignment vertical="top"/>
    </xf>
    <xf numFmtId="0" fontId="19" fillId="0" borderId="475" xfId="34" applyFont="1" applyBorder="1" applyAlignment="1">
      <alignment vertical="top" wrapText="1"/>
    </xf>
    <xf numFmtId="4" fontId="19" fillId="0" borderId="475" xfId="34" applyNumberFormat="1" applyBorder="1" applyAlignment="1">
      <alignment vertical="top"/>
    </xf>
    <xf numFmtId="0" fontId="19" fillId="0" borderId="475" xfId="34" applyFont="1" applyBorder="1" applyAlignment="1">
      <alignment horizontal="center" wrapText="1"/>
    </xf>
    <xf numFmtId="0" fontId="22" fillId="0" borderId="475" xfId="34" applyFont="1" applyBorder="1" applyAlignment="1">
      <alignment horizontal="left" vertical="top" wrapText="1"/>
    </xf>
    <xf numFmtId="0" fontId="19" fillId="0" borderId="475" xfId="34" applyFont="1" applyBorder="1" applyAlignment="1">
      <alignment horizontal="center" vertical="top"/>
    </xf>
    <xf numFmtId="0" fontId="19" fillId="0" borderId="0" xfId="34" applyFont="1" applyBorder="1" applyAlignment="1">
      <alignment vertical="top"/>
    </xf>
    <xf numFmtId="0" fontId="19" fillId="0" borderId="0" xfId="34" applyFont="1" applyBorder="1" applyAlignment="1">
      <alignment vertical="top" wrapText="1"/>
    </xf>
    <xf numFmtId="4" fontId="19" fillId="0" borderId="0" xfId="34" applyNumberFormat="1" applyBorder="1" applyAlignment="1">
      <alignment vertical="top"/>
    </xf>
    <xf numFmtId="0" fontId="22" fillId="0" borderId="0" xfId="34" applyFont="1" applyBorder="1" applyAlignment="1">
      <alignment horizontal="left" vertical="top" wrapText="1"/>
    </xf>
    <xf numFmtId="0" fontId="19" fillId="0" borderId="433" xfId="34" applyFont="1" applyBorder="1" applyAlignment="1">
      <alignment vertical="top"/>
    </xf>
    <xf numFmtId="0" fontId="19" fillId="0" borderId="433" xfId="34" applyFont="1" applyBorder="1" applyAlignment="1">
      <alignment vertical="top" wrapText="1"/>
    </xf>
    <xf numFmtId="4" fontId="19" fillId="0" borderId="433" xfId="34" applyNumberFormat="1" applyBorder="1" applyAlignment="1">
      <alignment vertical="top"/>
    </xf>
    <xf numFmtId="0" fontId="22" fillId="0" borderId="433" xfId="34" applyFont="1" applyBorder="1" applyAlignment="1">
      <alignment horizontal="left" vertical="top" wrapText="1"/>
    </xf>
    <xf numFmtId="0" fontId="62" fillId="0" borderId="387" xfId="0" applyFont="1" applyBorder="1" applyAlignment="1">
      <alignment horizontal="center" vertical="center"/>
    </xf>
    <xf numFmtId="0" fontId="62" fillId="0" borderId="295" xfId="0" applyFont="1" applyBorder="1" applyAlignment="1">
      <alignment horizontal="center" vertical="center" wrapText="1"/>
    </xf>
    <xf numFmtId="0" fontId="62" fillId="0" borderId="0" xfId="0" applyFont="1" applyAlignment="1">
      <alignment horizontal="left" vertical="center"/>
    </xf>
    <xf numFmtId="0" fontId="0" fillId="0" borderId="0" xfId="0" applyAlignment="1">
      <alignment horizontal="center" vertical="center"/>
    </xf>
    <xf numFmtId="0" fontId="0" fillId="0" borderId="0" xfId="0" applyBorder="1" applyAlignment="1">
      <alignment vertical="center"/>
    </xf>
    <xf numFmtId="0" fontId="62" fillId="0" borderId="387" xfId="0" applyFont="1" applyBorder="1" applyAlignment="1">
      <alignment vertical="center"/>
    </xf>
    <xf numFmtId="0" fontId="0" fillId="0" borderId="387" xfId="0" applyBorder="1" applyAlignment="1">
      <alignment vertical="center"/>
    </xf>
    <xf numFmtId="0" fontId="0" fillId="0" borderId="197" xfId="0" applyBorder="1" applyAlignment="1">
      <alignment vertical="center"/>
    </xf>
    <xf numFmtId="0" fontId="0" fillId="0" borderId="93" xfId="0" applyBorder="1" applyAlignment="1">
      <alignment vertical="center"/>
    </xf>
    <xf numFmtId="43" fontId="0" fillId="0" borderId="32" xfId="1" applyFont="1" applyBorder="1" applyAlignment="1">
      <alignment vertical="center"/>
    </xf>
    <xf numFmtId="0" fontId="62" fillId="0" borderId="354" xfId="0" applyFont="1" applyBorder="1" applyAlignment="1">
      <alignment vertical="center"/>
    </xf>
    <xf numFmtId="0" fontId="62" fillId="0" borderId="355" xfId="0" applyFont="1" applyBorder="1" applyAlignment="1">
      <alignment vertical="center"/>
    </xf>
    <xf numFmtId="43" fontId="62" fillId="0" borderId="356" xfId="1" applyFont="1" applyBorder="1" applyAlignment="1">
      <alignment vertical="center"/>
    </xf>
    <xf numFmtId="43" fontId="0" fillId="0" borderId="448" xfId="1" applyFont="1" applyBorder="1" applyAlignment="1">
      <alignment vertical="center"/>
    </xf>
    <xf numFmtId="0" fontId="62" fillId="0" borderId="476" xfId="0" applyFont="1" applyBorder="1" applyAlignment="1">
      <alignment vertical="center"/>
    </xf>
    <xf numFmtId="43" fontId="0" fillId="0" borderId="450" xfId="1" applyFont="1" applyBorder="1" applyAlignment="1">
      <alignment vertical="center"/>
    </xf>
    <xf numFmtId="43" fontId="0" fillId="0" borderId="206" xfId="1" applyFont="1" applyBorder="1" applyAlignment="1">
      <alignment vertical="center"/>
    </xf>
    <xf numFmtId="0" fontId="0" fillId="0" borderId="387" xfId="0" applyBorder="1" applyAlignment="1">
      <alignment vertical="center" wrapText="1"/>
    </xf>
    <xf numFmtId="43" fontId="20" fillId="0" borderId="0" xfId="1" applyFont="1" applyBorder="1" applyAlignment="1" applyProtection="1">
      <alignment horizontal="centerContinuous" vertical="top"/>
      <protection locked="0"/>
    </xf>
    <xf numFmtId="0" fontId="19" fillId="0" borderId="433" xfId="47" applyFont="1" applyBorder="1" applyAlignment="1" applyProtection="1">
      <alignment vertical="top"/>
      <protection locked="0"/>
    </xf>
    <xf numFmtId="43" fontId="19" fillId="0" borderId="433" xfId="1" applyFont="1" applyBorder="1" applyAlignment="1" applyProtection="1">
      <alignment vertical="top"/>
      <protection locked="0"/>
    </xf>
    <xf numFmtId="43" fontId="21" fillId="0" borderId="0" xfId="1" applyFont="1" applyBorder="1" applyAlignment="1" applyProtection="1">
      <alignment horizontal="center" vertical="top"/>
      <protection locked="0"/>
    </xf>
    <xf numFmtId="0" fontId="21" fillId="0" borderId="295" xfId="47" applyFont="1" applyBorder="1" applyAlignment="1" applyProtection="1">
      <alignment horizontal="center" vertical="top"/>
      <protection locked="0"/>
    </xf>
    <xf numFmtId="0" fontId="21" fillId="0" borderId="464" xfId="47" applyFont="1" applyBorder="1" applyAlignment="1" applyProtection="1">
      <alignment horizontal="center" vertical="top"/>
      <protection locked="0"/>
    </xf>
    <xf numFmtId="0" fontId="19" fillId="0" borderId="412" xfId="47" applyFont="1" applyBorder="1" applyAlignment="1" applyProtection="1">
      <alignment vertical="top"/>
      <protection locked="0"/>
    </xf>
    <xf numFmtId="0" fontId="21" fillId="0" borderId="433" xfId="47" applyFont="1" applyBorder="1" applyAlignment="1" applyProtection="1">
      <alignment horizontal="center" vertical="top"/>
      <protection locked="0"/>
    </xf>
    <xf numFmtId="43" fontId="21" fillId="0" borderId="433" xfId="1" applyFont="1" applyBorder="1" applyAlignment="1" applyProtection="1">
      <alignment horizontal="center" vertical="top"/>
      <protection locked="0"/>
    </xf>
    <xf numFmtId="0" fontId="21" fillId="0" borderId="434" xfId="47" applyFont="1" applyBorder="1" applyAlignment="1" applyProtection="1">
      <alignment horizontal="center" vertical="top"/>
      <protection locked="0"/>
    </xf>
    <xf numFmtId="0" fontId="19" fillId="0" borderId="464" xfId="47" applyFont="1" applyBorder="1" applyAlignment="1" applyProtection="1">
      <alignment vertical="top"/>
      <protection locked="0"/>
    </xf>
    <xf numFmtId="4" fontId="19" fillId="0" borderId="464" xfId="47" applyNumberFormat="1" applyFont="1" applyBorder="1" applyAlignment="1" applyProtection="1">
      <alignment vertical="top"/>
      <protection hidden="1"/>
    </xf>
    <xf numFmtId="4" fontId="19" fillId="0" borderId="464" xfId="47" applyNumberFormat="1" applyFont="1" applyBorder="1" applyAlignment="1" applyProtection="1">
      <alignment vertical="top"/>
      <protection locked="0"/>
    </xf>
    <xf numFmtId="43" fontId="178" fillId="0" borderId="0" xfId="1" applyFont="1" applyBorder="1" applyAlignment="1" applyProtection="1">
      <alignment vertical="top"/>
      <protection locked="0"/>
    </xf>
    <xf numFmtId="4" fontId="19" fillId="0" borderId="452" xfId="47" applyNumberFormat="1" applyFont="1" applyBorder="1" applyAlignment="1" applyProtection="1">
      <alignment vertical="top"/>
      <protection locked="0"/>
    </xf>
    <xf numFmtId="0" fontId="19" fillId="0" borderId="464" xfId="47" applyFont="1" applyBorder="1" applyAlignment="1" applyProtection="1">
      <alignment horizontal="right" vertical="top"/>
      <protection locked="0"/>
    </xf>
    <xf numFmtId="4" fontId="19" fillId="0" borderId="450" xfId="47" applyNumberFormat="1" applyFont="1" applyBorder="1" applyAlignment="1" applyProtection="1">
      <alignment vertical="top"/>
      <protection locked="0"/>
    </xf>
    <xf numFmtId="4" fontId="21" fillId="0" borderId="464" xfId="47" applyNumberFormat="1" applyFont="1" applyBorder="1" applyAlignment="1" applyProtection="1">
      <alignment vertical="top"/>
      <protection locked="0"/>
    </xf>
    <xf numFmtId="4" fontId="21" fillId="0" borderId="295" xfId="47" applyNumberFormat="1" applyFont="1" applyBorder="1" applyAlignment="1" applyProtection="1">
      <alignment vertical="top"/>
      <protection locked="0"/>
    </xf>
    <xf numFmtId="0" fontId="19" fillId="0" borderId="448" xfId="47" applyFont="1" applyBorder="1" applyAlignment="1" applyProtection="1">
      <alignment horizontal="right" vertical="top"/>
      <protection locked="0"/>
    </xf>
    <xf numFmtId="4" fontId="21" fillId="0" borderId="448" xfId="47" applyNumberFormat="1" applyFont="1" applyBorder="1" applyAlignment="1" applyProtection="1">
      <alignment vertical="top"/>
      <protection locked="0"/>
    </xf>
    <xf numFmtId="4" fontId="19" fillId="0" borderId="295" xfId="47" applyNumberFormat="1" applyFont="1" applyBorder="1" applyAlignment="1" applyProtection="1">
      <alignment vertical="top"/>
      <protection locked="0"/>
    </xf>
    <xf numFmtId="4" fontId="129" fillId="0" borderId="295" xfId="47" applyNumberFormat="1" applyFont="1" applyBorder="1" applyAlignment="1" applyProtection="1">
      <alignment vertical="top"/>
      <protection locked="0"/>
    </xf>
    <xf numFmtId="43" fontId="19" fillId="0" borderId="464" xfId="1" applyFont="1" applyBorder="1" applyAlignment="1" applyProtection="1">
      <alignment vertical="top"/>
      <protection locked="0"/>
    </xf>
    <xf numFmtId="3" fontId="19" fillId="0" borderId="295" xfId="47" applyNumberFormat="1" applyFont="1" applyBorder="1" applyAlignment="1" applyProtection="1">
      <alignment horizontal="right" vertical="top"/>
      <protection locked="0"/>
    </xf>
    <xf numFmtId="0" fontId="19" fillId="0" borderId="246" xfId="47" applyFont="1" applyBorder="1" applyAlignment="1" applyProtection="1">
      <alignment horizontal="right" vertical="top"/>
      <protection locked="0"/>
    </xf>
    <xf numFmtId="0" fontId="19" fillId="0" borderId="434" xfId="47" applyFont="1" applyBorder="1" applyAlignment="1" applyProtection="1">
      <alignment horizontal="right" vertical="top"/>
      <protection locked="0"/>
    </xf>
    <xf numFmtId="4" fontId="19" fillId="0" borderId="434" xfId="47" applyNumberFormat="1" applyFont="1" applyBorder="1" applyAlignment="1" applyProtection="1">
      <alignment vertical="top"/>
      <protection locked="0"/>
    </xf>
    <xf numFmtId="4" fontId="19" fillId="0" borderId="246" xfId="47" applyNumberFormat="1" applyFont="1" applyBorder="1" applyAlignment="1" applyProtection="1">
      <alignment vertical="top"/>
      <protection locked="0"/>
    </xf>
    <xf numFmtId="4" fontId="129" fillId="0" borderId="246" xfId="47" applyNumberFormat="1" applyFont="1" applyBorder="1" applyAlignment="1" applyProtection="1">
      <alignment vertical="top"/>
      <protection locked="0"/>
    </xf>
    <xf numFmtId="0" fontId="19" fillId="0" borderId="477" xfId="47" applyFont="1" applyBorder="1" applyAlignment="1" applyProtection="1">
      <alignment vertical="top"/>
      <protection locked="0"/>
    </xf>
    <xf numFmtId="0" fontId="21" fillId="0" borderId="475" xfId="47" applyFont="1" applyBorder="1" applyAlignment="1" applyProtection="1">
      <alignment horizontal="center" vertical="top"/>
      <protection locked="0"/>
    </xf>
    <xf numFmtId="43" fontId="21" fillId="0" borderId="475" xfId="1" applyFont="1" applyBorder="1" applyAlignment="1" applyProtection="1">
      <alignment horizontal="center" vertical="top"/>
      <protection locked="0"/>
    </xf>
    <xf numFmtId="0" fontId="21" fillId="0" borderId="478" xfId="47" applyFont="1" applyBorder="1" applyAlignment="1" applyProtection="1">
      <alignment horizontal="center" vertical="top"/>
      <protection locked="0"/>
    </xf>
    <xf numFmtId="0" fontId="21" fillId="0" borderId="479" xfId="47" applyFont="1" applyBorder="1" applyAlignment="1" applyProtection="1">
      <alignment horizontal="center" vertical="top"/>
      <protection locked="0"/>
    </xf>
    <xf numFmtId="0" fontId="58" fillId="0" borderId="479" xfId="47" applyFont="1" applyBorder="1" applyAlignment="1" applyProtection="1">
      <alignment horizontal="center" vertical="top"/>
      <protection locked="0"/>
    </xf>
    <xf numFmtId="0" fontId="58" fillId="0" borderId="464" xfId="47" applyFont="1" applyBorder="1" applyAlignment="1" applyProtection="1">
      <alignment horizontal="center" vertical="top"/>
      <protection locked="0"/>
    </xf>
    <xf numFmtId="0" fontId="58" fillId="0" borderId="434" xfId="47" applyFont="1" applyBorder="1" applyAlignment="1" applyProtection="1">
      <alignment horizontal="center" vertical="top"/>
      <protection locked="0"/>
    </xf>
    <xf numFmtId="43" fontId="19" fillId="0" borderId="0" xfId="1" applyFont="1" applyBorder="1" applyAlignment="1" applyProtection="1">
      <alignment horizontal="left" vertical="top"/>
      <protection locked="0"/>
    </xf>
    <xf numFmtId="4" fontId="129" fillId="0" borderId="464" xfId="47" applyNumberFormat="1" applyFont="1" applyBorder="1" applyAlignment="1" applyProtection="1">
      <alignment vertical="top"/>
      <protection locked="0"/>
    </xf>
    <xf numFmtId="0" fontId="129" fillId="0" borderId="300" xfId="47" applyFont="1" applyBorder="1" applyAlignment="1" applyProtection="1">
      <alignment vertical="top"/>
      <protection locked="0"/>
    </xf>
    <xf numFmtId="0" fontId="46" fillId="0" borderId="0" xfId="47" applyFont="1" applyBorder="1" applyAlignment="1" applyProtection="1">
      <alignment horizontal="left" vertical="top"/>
      <protection locked="0"/>
    </xf>
    <xf numFmtId="43" fontId="129" fillId="0" borderId="0" xfId="1" applyFont="1" applyBorder="1" applyAlignment="1" applyProtection="1">
      <alignment horizontal="left" vertical="top"/>
      <protection locked="0"/>
    </xf>
    <xf numFmtId="0" fontId="129" fillId="0" borderId="295" xfId="47" applyFont="1" applyBorder="1" applyAlignment="1" applyProtection="1">
      <alignment horizontal="right" vertical="top"/>
      <protection locked="0"/>
    </xf>
    <xf numFmtId="0" fontId="156" fillId="0" borderId="0" xfId="47" applyFont="1" applyAlignment="1">
      <alignment vertical="top"/>
    </xf>
    <xf numFmtId="4" fontId="129" fillId="0" borderId="452" xfId="47" applyNumberFormat="1" applyFont="1" applyBorder="1" applyAlignment="1" applyProtection="1">
      <alignment vertical="top"/>
      <protection locked="0"/>
    </xf>
    <xf numFmtId="0" fontId="19" fillId="0" borderId="448" xfId="47" applyFont="1" applyBorder="1" applyAlignment="1" applyProtection="1">
      <alignment vertical="top"/>
      <protection locked="0"/>
    </xf>
    <xf numFmtId="43" fontId="19" fillId="0" borderId="464" xfId="47" applyNumberFormat="1" applyFont="1" applyBorder="1" applyAlignment="1" applyProtection="1">
      <alignment vertical="top"/>
      <protection locked="0"/>
    </xf>
    <xf numFmtId="0" fontId="19" fillId="0" borderId="464" xfId="0" applyFont="1" applyFill="1" applyBorder="1"/>
    <xf numFmtId="0" fontId="18" fillId="0" borderId="464" xfId="47" applyBorder="1" applyAlignment="1">
      <alignment vertical="top"/>
    </xf>
    <xf numFmtId="43" fontId="19" fillId="0" borderId="464" xfId="1" applyFont="1" applyFill="1" applyBorder="1"/>
    <xf numFmtId="49" fontId="19" fillId="0" borderId="300" xfId="47" applyNumberFormat="1" applyFont="1" applyBorder="1" applyAlignment="1" applyProtection="1">
      <alignment vertical="center"/>
      <protection locked="0"/>
    </xf>
    <xf numFmtId="0" fontId="19" fillId="0" borderId="295" xfId="47" applyFont="1" applyBorder="1" applyAlignment="1" applyProtection="1">
      <alignment vertical="center"/>
      <protection locked="0"/>
    </xf>
    <xf numFmtId="4" fontId="21" fillId="0" borderId="463" xfId="47" applyNumberFormat="1" applyFont="1" applyBorder="1" applyAlignment="1" applyProtection="1">
      <alignment vertical="center"/>
      <protection locked="0"/>
    </xf>
    <xf numFmtId="4" fontId="21" fillId="0" borderId="450" xfId="47" applyNumberFormat="1" applyFont="1" applyBorder="1" applyAlignment="1" applyProtection="1">
      <alignment vertical="center"/>
      <protection locked="0"/>
    </xf>
    <xf numFmtId="4" fontId="21" fillId="0" borderId="305" xfId="47" applyNumberFormat="1" applyFont="1" applyBorder="1" applyAlignment="1" applyProtection="1">
      <alignment vertical="center"/>
      <protection locked="0"/>
    </xf>
    <xf numFmtId="0" fontId="19" fillId="0" borderId="424" xfId="47" applyFont="1" applyBorder="1" applyAlignment="1" applyProtection="1">
      <alignment vertical="top"/>
      <protection locked="0"/>
    </xf>
    <xf numFmtId="43" fontId="19" fillId="0" borderId="424" xfId="1" applyFont="1" applyBorder="1" applyAlignment="1" applyProtection="1">
      <alignment vertical="top"/>
      <protection locked="0"/>
    </xf>
    <xf numFmtId="4" fontId="19" fillId="0" borderId="424" xfId="47" applyNumberFormat="1" applyFont="1" applyBorder="1" applyAlignment="1" applyProtection="1">
      <alignment vertical="top"/>
      <protection locked="0"/>
    </xf>
    <xf numFmtId="0" fontId="21" fillId="0" borderId="478" xfId="47" applyFont="1" applyBorder="1" applyAlignment="1" applyProtection="1">
      <alignment horizontal="center" vertical="top" wrapText="1"/>
      <protection locked="0"/>
    </xf>
    <xf numFmtId="0" fontId="58" fillId="0" borderId="0" xfId="47" applyFont="1" applyBorder="1" applyAlignment="1" applyProtection="1">
      <alignment horizontal="center" vertical="top"/>
      <protection locked="0"/>
    </xf>
    <xf numFmtId="181" fontId="19" fillId="0" borderId="300" xfId="47" applyNumberFormat="1" applyFont="1" applyBorder="1" applyAlignment="1" applyProtection="1">
      <alignment vertical="top"/>
      <protection locked="0"/>
    </xf>
    <xf numFmtId="4" fontId="19" fillId="0" borderId="448" xfId="47" applyNumberFormat="1" applyFont="1" applyBorder="1" applyAlignment="1" applyProtection="1">
      <alignment vertical="top"/>
      <protection locked="0"/>
    </xf>
    <xf numFmtId="0" fontId="21" fillId="0" borderId="300" xfId="47" applyFont="1" applyBorder="1" applyAlignment="1" applyProtection="1">
      <alignment vertical="center"/>
      <protection locked="0"/>
    </xf>
    <xf numFmtId="4" fontId="21" fillId="0" borderId="448" xfId="47" applyNumberFormat="1" applyFont="1" applyBorder="1" applyAlignment="1" applyProtection="1">
      <alignment vertical="center"/>
      <protection locked="0"/>
    </xf>
    <xf numFmtId="0" fontId="21" fillId="0" borderId="462" xfId="47" applyFont="1" applyBorder="1" applyAlignment="1" applyProtection="1">
      <alignment vertical="center"/>
      <protection locked="0"/>
    </xf>
    <xf numFmtId="43" fontId="21" fillId="0" borderId="462" xfId="1" applyFont="1" applyBorder="1" applyAlignment="1" applyProtection="1">
      <alignment vertical="center"/>
      <protection locked="0"/>
    </xf>
    <xf numFmtId="0" fontId="122" fillId="0" borderId="0" xfId="92" applyFont="1" applyAlignment="1">
      <alignment horizontal="left" vertical="top" wrapText="1"/>
    </xf>
    <xf numFmtId="0" fontId="122" fillId="0" borderId="0" xfId="92" applyFont="1" applyAlignment="1">
      <alignment vertical="top"/>
    </xf>
    <xf numFmtId="0" fontId="92" fillId="0" borderId="471" xfId="22" applyFont="1" applyBorder="1" applyAlignment="1">
      <alignment vertical="top" wrapText="1"/>
    </xf>
    <xf numFmtId="0" fontId="92" fillId="0" borderId="473" xfId="22" applyFont="1" applyBorder="1" applyAlignment="1">
      <alignment horizontal="center" vertical="top" wrapText="1"/>
    </xf>
    <xf numFmtId="0" fontId="62" fillId="0" borderId="471" xfId="22" applyFont="1" applyBorder="1" applyAlignment="1">
      <alignment vertical="top" wrapText="1"/>
    </xf>
    <xf numFmtId="0" fontId="92" fillId="0" borderId="241" xfId="22" applyFont="1" applyBorder="1" applyAlignment="1">
      <alignment vertical="top" wrapText="1"/>
    </xf>
    <xf numFmtId="0" fontId="92" fillId="0" borderId="437" xfId="22" applyFont="1" applyBorder="1" applyAlignment="1">
      <alignment horizontal="center" vertical="top" wrapText="1"/>
    </xf>
    <xf numFmtId="0" fontId="62" fillId="0" borderId="241" xfId="22" applyFont="1" applyBorder="1" applyAlignment="1">
      <alignment vertical="top" wrapText="1"/>
    </xf>
    <xf numFmtId="0" fontId="154" fillId="0" borderId="241" xfId="22" applyFont="1" applyBorder="1" applyAlignment="1">
      <alignment horizontal="center" vertical="top" wrapText="1"/>
    </xf>
    <xf numFmtId="0" fontId="154" fillId="0" borderId="437" xfId="22" applyFont="1" applyBorder="1" applyAlignment="1">
      <alignment horizontal="center" vertical="top" wrapText="1"/>
    </xf>
    <xf numFmtId="0" fontId="62" fillId="0" borderId="437" xfId="22" applyFont="1" applyBorder="1" applyAlignment="1">
      <alignment horizontal="center" vertical="top" wrapText="1"/>
    </xf>
    <xf numFmtId="0" fontId="173" fillId="0" borderId="471" xfId="22" applyFont="1" applyBorder="1" applyAlignment="1">
      <alignment vertical="top" wrapText="1"/>
    </xf>
    <xf numFmtId="0" fontId="173" fillId="0" borderId="68" xfId="22" applyFont="1" applyBorder="1" applyAlignment="1">
      <alignment horizontal="center" vertical="top" wrapText="1"/>
    </xf>
    <xf numFmtId="0" fontId="173" fillId="0" borderId="241" xfId="22" applyFont="1" applyBorder="1" applyAlignment="1">
      <alignment vertical="top" wrapText="1"/>
    </xf>
    <xf numFmtId="177" fontId="116" fillId="0" borderId="437" xfId="22" applyNumberFormat="1" applyFont="1" applyBorder="1" applyAlignment="1">
      <alignment horizontal="center" vertical="top" wrapText="1"/>
    </xf>
    <xf numFmtId="0" fontId="17" fillId="0" borderId="471" xfId="22" applyBorder="1" applyAlignment="1">
      <alignment vertical="top" wrapText="1"/>
    </xf>
    <xf numFmtId="0" fontId="62" fillId="0" borderId="68" xfId="22" applyFont="1" applyBorder="1" applyAlignment="1">
      <alignment vertical="top"/>
    </xf>
    <xf numFmtId="3" fontId="62" fillId="0" borderId="471" xfId="22" applyNumberFormat="1" applyFont="1" applyBorder="1" applyAlignment="1">
      <alignment vertical="top" wrapText="1"/>
    </xf>
    <xf numFmtId="0" fontId="17" fillId="0" borderId="241" xfId="22" applyBorder="1" applyAlignment="1">
      <alignment vertical="top" wrapText="1"/>
    </xf>
    <xf numFmtId="0" fontId="174" fillId="0" borderId="437" xfId="22" applyFont="1" applyBorder="1" applyAlignment="1">
      <alignment vertical="top" wrapText="1"/>
    </xf>
    <xf numFmtId="3" fontId="62" fillId="0" borderId="241" xfId="22" applyNumberFormat="1" applyFont="1" applyBorder="1" applyAlignment="1">
      <alignment vertical="top" wrapText="1"/>
    </xf>
    <xf numFmtId="0" fontId="17" fillId="0" borderId="437" xfId="22" applyBorder="1" applyAlignment="1">
      <alignment vertical="top" wrapText="1"/>
    </xf>
    <xf numFmtId="0" fontId="62" fillId="0" borderId="437" xfId="22" applyFont="1" applyBorder="1" applyAlignment="1">
      <alignment vertical="top" wrapText="1"/>
    </xf>
    <xf numFmtId="0" fontId="17" fillId="0" borderId="437" xfId="22" applyBorder="1" applyAlignment="1">
      <alignment horizontal="left" vertical="top" wrapText="1"/>
    </xf>
    <xf numFmtId="0" fontId="17" fillId="0" borderId="68" xfId="22" applyBorder="1" applyAlignment="1">
      <alignment horizontal="left" vertical="top" wrapText="1"/>
    </xf>
    <xf numFmtId="0" fontId="17" fillId="0" borderId="357" xfId="22" applyBorder="1" applyAlignment="1">
      <alignment vertical="top" wrapText="1"/>
    </xf>
    <xf numFmtId="0" fontId="62" fillId="0" borderId="357" xfId="22" applyFont="1" applyBorder="1" applyAlignment="1">
      <alignment vertical="top" wrapText="1"/>
    </xf>
    <xf numFmtId="0" fontId="17" fillId="0" borderId="475" xfId="22" applyBorder="1" applyAlignment="1">
      <alignment vertical="top" wrapText="1"/>
    </xf>
    <xf numFmtId="0" fontId="62" fillId="0" borderId="475" xfId="22" applyFont="1" applyBorder="1" applyAlignment="1">
      <alignment vertical="top" wrapText="1"/>
    </xf>
    <xf numFmtId="0" fontId="17" fillId="0" borderId="475" xfId="22" applyBorder="1" applyAlignment="1">
      <alignment horizontal="left" vertical="top" wrapText="1"/>
    </xf>
    <xf numFmtId="0" fontId="17" fillId="0" borderId="0" xfId="22" applyBorder="1" applyAlignment="1">
      <alignment vertical="top" wrapText="1"/>
    </xf>
    <xf numFmtId="0" fontId="62" fillId="0" borderId="0" xfId="22" applyFont="1" applyBorder="1" applyAlignment="1">
      <alignment vertical="top" wrapText="1"/>
    </xf>
    <xf numFmtId="0" fontId="17" fillId="0" borderId="0" xfId="22" applyBorder="1" applyAlignment="1">
      <alignment horizontal="left" vertical="top" wrapText="1"/>
    </xf>
    <xf numFmtId="0" fontId="17" fillId="0" borderId="433" xfId="22" applyBorder="1" applyAlignment="1">
      <alignment vertical="top" wrapText="1"/>
    </xf>
    <xf numFmtId="0" fontId="62" fillId="0" borderId="433" xfId="22" applyFont="1" applyBorder="1" applyAlignment="1">
      <alignment vertical="top" wrapText="1"/>
    </xf>
    <xf numFmtId="0" fontId="17" fillId="0" borderId="433" xfId="22" applyBorder="1" applyAlignment="1">
      <alignment horizontal="left" vertical="top" wrapText="1"/>
    </xf>
    <xf numFmtId="0" fontId="154" fillId="0" borderId="241" xfId="22" applyFont="1" applyBorder="1" applyAlignment="1">
      <alignment horizontal="center" vertical="center" wrapText="1"/>
    </xf>
    <xf numFmtId="0" fontId="154" fillId="0" borderId="437" xfId="22" applyFont="1" applyBorder="1" applyAlignment="1">
      <alignment horizontal="center" vertical="center" wrapText="1"/>
    </xf>
    <xf numFmtId="0" fontId="63" fillId="0" borderId="437" xfId="22" applyFont="1" applyBorder="1" applyAlignment="1">
      <alignment vertical="top" wrapText="1"/>
    </xf>
    <xf numFmtId="0" fontId="174" fillId="0" borderId="68" xfId="22" applyFont="1" applyBorder="1" applyAlignment="1">
      <alignment vertical="top" wrapText="1"/>
    </xf>
    <xf numFmtId="0" fontId="17" fillId="0" borderId="68" xfId="22" applyBorder="1" applyAlignment="1">
      <alignment vertical="top" wrapText="1"/>
    </xf>
    <xf numFmtId="0" fontId="152" fillId="0" borderId="68" xfId="22" applyFont="1" applyBorder="1" applyAlignment="1">
      <alignment horizontal="left" vertical="top" wrapText="1" indent="5"/>
    </xf>
    <xf numFmtId="0" fontId="152" fillId="0" borderId="68" xfId="22" applyFont="1" applyBorder="1" applyAlignment="1">
      <alignment vertical="top" wrapText="1"/>
    </xf>
    <xf numFmtId="0" fontId="152" fillId="0" borderId="68" xfId="22" applyFont="1" applyBorder="1" applyAlignment="1">
      <alignment horizontal="left" vertical="top" wrapText="1"/>
    </xf>
    <xf numFmtId="0" fontId="174" fillId="0" borderId="471" xfId="22" applyFont="1" applyBorder="1" applyAlignment="1">
      <alignment vertical="top" wrapText="1"/>
    </xf>
    <xf numFmtId="0" fontId="17" fillId="0" borderId="471" xfId="22" applyBorder="1" applyAlignment="1">
      <alignment horizontal="left" vertical="top" wrapText="1"/>
    </xf>
    <xf numFmtId="0" fontId="106" fillId="0" borderId="357" xfId="22" applyFont="1" applyBorder="1" applyAlignment="1">
      <alignment vertical="top" wrapText="1"/>
    </xf>
    <xf numFmtId="0" fontId="17" fillId="0" borderId="357" xfId="22" applyBorder="1" applyAlignment="1">
      <alignment horizontal="left" vertical="top" wrapText="1"/>
    </xf>
    <xf numFmtId="0" fontId="17" fillId="0" borderId="357" xfId="22" applyFont="1" applyBorder="1" applyAlignment="1">
      <alignment vertical="top" wrapText="1"/>
    </xf>
    <xf numFmtId="0" fontId="19" fillId="0" borderId="357" xfId="73" applyBorder="1"/>
    <xf numFmtId="0" fontId="152" fillId="0" borderId="357" xfId="22" applyFont="1" applyBorder="1" applyAlignment="1">
      <alignment horizontal="left" vertical="top" wrapText="1" indent="5"/>
    </xf>
    <xf numFmtId="0" fontId="17" fillId="0" borderId="357" xfId="22" applyBorder="1" applyAlignment="1">
      <alignment horizontal="left" vertical="top" wrapText="1" indent="5"/>
    </xf>
    <xf numFmtId="0" fontId="63" fillId="0" borderId="357" xfId="22" applyFont="1" applyBorder="1" applyAlignment="1">
      <alignment vertical="top" wrapText="1"/>
    </xf>
    <xf numFmtId="0" fontId="17" fillId="0" borderId="241" xfId="22" applyBorder="1" applyAlignment="1">
      <alignment horizontal="left" vertical="top" wrapText="1"/>
    </xf>
    <xf numFmtId="0" fontId="62" fillId="0" borderId="68" xfId="22" applyFont="1" applyBorder="1" applyAlignment="1">
      <alignment vertical="top" wrapText="1"/>
    </xf>
    <xf numFmtId="0" fontId="17" fillId="0" borderId="68" xfId="22" applyFont="1" applyBorder="1" applyAlignment="1">
      <alignment vertical="top" wrapText="1"/>
    </xf>
    <xf numFmtId="0" fontId="19" fillId="0" borderId="241" xfId="73" applyBorder="1"/>
    <xf numFmtId="0" fontId="19" fillId="0" borderId="0" xfId="73" applyAlignment="1">
      <alignment horizontal="center"/>
    </xf>
    <xf numFmtId="43" fontId="62" fillId="0" borderId="407" xfId="1" applyFont="1" applyBorder="1" applyAlignment="1">
      <alignment horizontal="center" vertical="center" wrapText="1"/>
    </xf>
    <xf numFmtId="43" fontId="62" fillId="0" borderId="295" xfId="1" applyFont="1" applyBorder="1" applyAlignment="1">
      <alignment horizontal="center" vertical="center"/>
    </xf>
    <xf numFmtId="43" fontId="62" fillId="0" borderId="295" xfId="1" applyFont="1" applyBorder="1" applyAlignment="1">
      <alignment vertical="center"/>
    </xf>
    <xf numFmtId="0" fontId="0" fillId="0" borderId="450" xfId="0" applyBorder="1" applyAlignment="1">
      <alignment vertical="center"/>
    </xf>
    <xf numFmtId="0" fontId="0" fillId="0" borderId="295" xfId="0" applyBorder="1" applyAlignment="1">
      <alignment horizontal="left" vertical="center"/>
    </xf>
    <xf numFmtId="4" fontId="0" fillId="0" borderId="295" xfId="0" applyNumberFormat="1" applyBorder="1" applyAlignment="1">
      <alignment vertical="center"/>
    </xf>
    <xf numFmtId="0" fontId="62" fillId="0" borderId="407" xfId="0" applyFont="1" applyBorder="1" applyAlignment="1">
      <alignment vertical="center"/>
    </xf>
    <xf numFmtId="43" fontId="62" fillId="0" borderId="407" xfId="1" applyFont="1" applyBorder="1" applyAlignment="1">
      <alignment vertical="center"/>
    </xf>
    <xf numFmtId="39" fontId="41" fillId="0" borderId="397" xfId="74" applyNumberFormat="1" applyFont="1" applyFill="1" applyBorder="1" applyProtection="1"/>
    <xf numFmtId="0" fontId="74" fillId="0" borderId="0" xfId="0" applyFont="1" applyAlignment="1">
      <alignment horizontal="left"/>
    </xf>
    <xf numFmtId="0" fontId="191" fillId="0" borderId="0" xfId="0" applyFont="1"/>
    <xf numFmtId="0" fontId="191" fillId="0" borderId="0" xfId="0" applyFont="1" applyBorder="1"/>
    <xf numFmtId="4" fontId="191" fillId="0" borderId="0" xfId="0" applyNumberFormat="1" applyFont="1" applyBorder="1"/>
    <xf numFmtId="0" fontId="191" fillId="0" borderId="0" xfId="0" applyFont="1" applyFill="1" applyBorder="1"/>
    <xf numFmtId="0" fontId="192" fillId="0" borderId="0" xfId="0" applyFont="1" applyBorder="1"/>
    <xf numFmtId="0" fontId="131" fillId="0" borderId="0" xfId="0" applyFont="1" applyBorder="1"/>
    <xf numFmtId="4" fontId="131" fillId="0" borderId="0" xfId="0" applyNumberFormat="1" applyFont="1" applyBorder="1"/>
    <xf numFmtId="0" fontId="131" fillId="0" borderId="0" xfId="0" applyFont="1"/>
    <xf numFmtId="0" fontId="241" fillId="0" borderId="295" xfId="0" applyFont="1" applyBorder="1" applyAlignment="1">
      <alignment horizontal="center"/>
    </xf>
    <xf numFmtId="0" fontId="131" fillId="0" borderId="482" xfId="0" applyFont="1" applyBorder="1"/>
    <xf numFmtId="0" fontId="131" fillId="0" borderId="295" xfId="0" applyFont="1" applyBorder="1"/>
    <xf numFmtId="0" fontId="131" fillId="0" borderId="449" xfId="0" applyFont="1" applyBorder="1"/>
    <xf numFmtId="49" fontId="241" fillId="0" borderId="449" xfId="0" applyNumberFormat="1" applyFont="1" applyBorder="1" applyAlignment="1">
      <alignment horizontal="center"/>
    </xf>
    <xf numFmtId="0" fontId="131" fillId="0" borderId="452" xfId="0" applyFont="1" applyBorder="1"/>
    <xf numFmtId="49" fontId="241" fillId="0" borderId="451" xfId="0" applyNumberFormat="1" applyFont="1" applyBorder="1" applyAlignment="1">
      <alignment horizontal="center"/>
    </xf>
    <xf numFmtId="49" fontId="241" fillId="0" borderId="448" xfId="0" applyNumberFormat="1" applyFont="1" applyBorder="1" applyAlignment="1">
      <alignment horizontal="center"/>
    </xf>
    <xf numFmtId="0" fontId="131" fillId="0" borderId="462" xfId="0" applyFont="1" applyBorder="1"/>
    <xf numFmtId="0" fontId="131" fillId="0" borderId="463" xfId="0" applyFont="1" applyBorder="1"/>
    <xf numFmtId="0" fontId="260" fillId="0" borderId="462" xfId="0" applyFont="1" applyBorder="1"/>
    <xf numFmtId="0" fontId="260" fillId="0" borderId="463" xfId="0" applyFont="1" applyBorder="1"/>
    <xf numFmtId="0" fontId="241" fillId="0" borderId="462" xfId="0" applyFont="1" applyBorder="1"/>
    <xf numFmtId="0" fontId="241" fillId="0" borderId="463" xfId="0" applyFont="1" applyBorder="1"/>
    <xf numFmtId="0" fontId="241" fillId="0" borderId="355" xfId="0" applyFont="1" applyBorder="1"/>
    <xf numFmtId="0" fontId="131" fillId="0" borderId="475" xfId="0" applyFont="1" applyBorder="1"/>
    <xf numFmtId="0" fontId="131" fillId="0" borderId="0" xfId="0" applyFont="1" applyFill="1" applyBorder="1"/>
    <xf numFmtId="0" fontId="241" fillId="0" borderId="0" xfId="0" applyFont="1" applyBorder="1"/>
    <xf numFmtId="0" fontId="131" fillId="0" borderId="0" xfId="0" applyFont="1" applyBorder="1" applyAlignment="1">
      <alignment horizontal="center"/>
    </xf>
    <xf numFmtId="0" fontId="131" fillId="0" borderId="300" xfId="0" applyFont="1" applyBorder="1"/>
    <xf numFmtId="0" fontId="81" fillId="0" borderId="0" xfId="0" applyFont="1" applyAlignment="1">
      <alignment horizontal="center" vertical="top"/>
    </xf>
    <xf numFmtId="0" fontId="241" fillId="0" borderId="187" xfId="0" applyFont="1" applyBorder="1"/>
    <xf numFmtId="2" fontId="241" fillId="0" borderId="300" xfId="0" applyNumberFormat="1" applyFont="1" applyBorder="1" applyAlignment="1">
      <alignment horizontal="center"/>
    </xf>
    <xf numFmtId="0" fontId="131" fillId="0" borderId="461" xfId="0" applyFont="1" applyBorder="1"/>
    <xf numFmtId="0" fontId="131" fillId="0" borderId="484" xfId="0" applyFont="1" applyBorder="1"/>
    <xf numFmtId="0" fontId="241" fillId="0" borderId="450" xfId="0" applyFont="1" applyBorder="1" applyAlignment="1">
      <alignment horizontal="center"/>
    </xf>
    <xf numFmtId="4" fontId="131" fillId="0" borderId="295" xfId="0" applyNumberFormat="1" applyFont="1" applyBorder="1"/>
    <xf numFmtId="4" fontId="241" fillId="0" borderId="448" xfId="0" applyNumberFormat="1" applyFont="1" applyBorder="1" applyAlignment="1">
      <alignment horizontal="center"/>
    </xf>
    <xf numFmtId="4" fontId="241" fillId="0" borderId="486" xfId="0" applyNumberFormat="1" applyFont="1" applyBorder="1"/>
    <xf numFmtId="0" fontId="131" fillId="0" borderId="486" xfId="0" applyFont="1" applyBorder="1"/>
    <xf numFmtId="0" fontId="46" fillId="0" borderId="486" xfId="0" applyFont="1" applyBorder="1"/>
    <xf numFmtId="0" fontId="131" fillId="0" borderId="486" xfId="0" applyFont="1" applyBorder="1" applyAlignment="1">
      <alignment horizontal="center"/>
    </xf>
    <xf numFmtId="4" fontId="131" fillId="0" borderId="486" xfId="0" applyNumberFormat="1" applyFont="1" applyBorder="1"/>
    <xf numFmtId="0" fontId="46" fillId="0" borderId="486" xfId="0" applyFont="1" applyFill="1" applyBorder="1"/>
    <xf numFmtId="43" fontId="131" fillId="0" borderId="486" xfId="1" applyFont="1" applyBorder="1"/>
    <xf numFmtId="49" fontId="46" fillId="0" borderId="486" xfId="0" applyNumberFormat="1" applyFont="1" applyBorder="1" applyAlignment="1">
      <alignment horizontal="center"/>
    </xf>
    <xf numFmtId="43" fontId="241" fillId="0" borderId="486" xfId="1" applyFont="1" applyBorder="1"/>
    <xf numFmtId="0" fontId="241" fillId="0" borderId="486" xfId="0" applyFont="1" applyBorder="1"/>
    <xf numFmtId="43" fontId="131" fillId="0" borderId="486" xfId="0" applyNumberFormat="1" applyFont="1" applyBorder="1"/>
    <xf numFmtId="4" fontId="241" fillId="0" borderId="483" xfId="0" applyNumberFormat="1" applyFont="1" applyBorder="1"/>
    <xf numFmtId="0" fontId="131" fillId="0" borderId="483" xfId="0" applyFont="1" applyBorder="1"/>
    <xf numFmtId="0" fontId="46" fillId="0" borderId="461" xfId="0" applyFont="1" applyBorder="1"/>
    <xf numFmtId="0" fontId="46" fillId="0" borderId="461" xfId="0" applyFont="1" applyFill="1" applyBorder="1"/>
    <xf numFmtId="0" fontId="241" fillId="0" borderId="485" xfId="0" applyFont="1" applyBorder="1" applyAlignment="1">
      <alignment horizontal="right"/>
    </xf>
    <xf numFmtId="0" fontId="131" fillId="0" borderId="451" xfId="0" applyFont="1" applyBorder="1"/>
    <xf numFmtId="0" fontId="41" fillId="0" borderId="461" xfId="0" applyFont="1" applyBorder="1"/>
    <xf numFmtId="0" fontId="46" fillId="0" borderId="461" xfId="0" applyFont="1" applyBorder="1" applyAlignment="1">
      <alignment horizontal="left"/>
    </xf>
    <xf numFmtId="0" fontId="131" fillId="0" borderId="484" xfId="0" applyFont="1" applyBorder="1" applyAlignment="1">
      <alignment horizontal="center"/>
    </xf>
    <xf numFmtId="0" fontId="192" fillId="0" borderId="449" xfId="0" applyFont="1" applyBorder="1"/>
    <xf numFmtId="4" fontId="192" fillId="0" borderId="449" xfId="0" applyNumberFormat="1" applyFont="1" applyBorder="1"/>
    <xf numFmtId="0" fontId="191" fillId="0" borderId="449" xfId="0" applyFont="1" applyBorder="1"/>
    <xf numFmtId="0" fontId="131" fillId="0" borderId="157" xfId="0" applyFont="1" applyBorder="1"/>
    <xf numFmtId="4" fontId="131" fillId="0" borderId="157" xfId="0" applyNumberFormat="1" applyFont="1" applyBorder="1"/>
    <xf numFmtId="0" fontId="46" fillId="0" borderId="449" xfId="0" applyFont="1" applyBorder="1"/>
    <xf numFmtId="4" fontId="131" fillId="0" borderId="449" xfId="0" applyNumberFormat="1" applyFont="1" applyBorder="1"/>
    <xf numFmtId="0" fontId="261" fillId="0" borderId="0" xfId="0" applyFont="1" applyBorder="1"/>
    <xf numFmtId="0" fontId="261" fillId="0" borderId="0" xfId="0" applyFont="1" applyFill="1" applyBorder="1"/>
    <xf numFmtId="0" fontId="263" fillId="0" borderId="0" xfId="71" applyFont="1"/>
    <xf numFmtId="0" fontId="74" fillId="0" borderId="241" xfId="0" applyFont="1" applyBorder="1"/>
    <xf numFmtId="0" fontId="74" fillId="0" borderId="243" xfId="0" applyFont="1" applyBorder="1"/>
    <xf numFmtId="43" fontId="74" fillId="0" borderId="437" xfId="1" applyFont="1" applyBorder="1"/>
    <xf numFmtId="43" fontId="74" fillId="0" borderId="433" xfId="1" applyFont="1" applyBorder="1"/>
    <xf numFmtId="43" fontId="112" fillId="0" borderId="437" xfId="1" applyFont="1" applyBorder="1"/>
    <xf numFmtId="0" fontId="74" fillId="0" borderId="368" xfId="0" applyFont="1" applyBorder="1"/>
    <xf numFmtId="0" fontId="81" fillId="0" borderId="0" xfId="0" applyFont="1" applyAlignment="1">
      <alignment vertical="top"/>
    </xf>
    <xf numFmtId="0" fontId="78" fillId="0" borderId="0" xfId="0" applyFont="1" applyAlignment="1">
      <alignment vertical="top"/>
    </xf>
    <xf numFmtId="0" fontId="67" fillId="0" borderId="0" xfId="0" applyFont="1" applyAlignment="1">
      <alignment horizontal="left" vertical="top"/>
    </xf>
    <xf numFmtId="0" fontId="79" fillId="0" borderId="0" xfId="0" applyFont="1" applyAlignment="1">
      <alignment vertical="top"/>
    </xf>
    <xf numFmtId="0" fontId="31" fillId="2" borderId="0" xfId="58" applyFont="1" applyFill="1"/>
    <xf numFmtId="0" fontId="160" fillId="0" borderId="305" xfId="21" applyFont="1" applyFill="1" applyBorder="1" applyAlignment="1">
      <alignment horizontal="center"/>
    </xf>
    <xf numFmtId="0" fontId="160" fillId="0" borderId="301" xfId="21" applyFont="1" applyFill="1" applyBorder="1" applyAlignment="1">
      <alignment horizontal="center"/>
    </xf>
    <xf numFmtId="0" fontId="32" fillId="0" borderId="0" xfId="21" applyFont="1" applyFill="1"/>
    <xf numFmtId="0" fontId="31" fillId="0" borderId="0" xfId="21" applyFont="1" applyFill="1"/>
    <xf numFmtId="0" fontId="27" fillId="0" borderId="0" xfId="21" applyFont="1" applyAlignment="1">
      <alignment horizontal="left"/>
    </xf>
    <xf numFmtId="0" fontId="266" fillId="0" borderId="111" xfId="21" applyFont="1" applyBorder="1"/>
    <xf numFmtId="0" fontId="19" fillId="0" borderId="357" xfId="21" applyBorder="1" applyAlignment="1">
      <alignment wrapText="1"/>
    </xf>
    <xf numFmtId="4" fontId="19" fillId="0" borderId="0" xfId="21" applyNumberFormat="1" applyBorder="1"/>
    <xf numFmtId="4" fontId="19" fillId="0" borderId="357" xfId="21" applyNumberFormat="1" applyBorder="1"/>
    <xf numFmtId="43" fontId="27" fillId="0" borderId="0" xfId="1" applyFont="1" applyAlignment="1">
      <alignment horizontal="left"/>
    </xf>
    <xf numFmtId="43" fontId="19" fillId="0" borderId="262" xfId="1" applyFont="1" applyBorder="1"/>
    <xf numFmtId="43" fontId="19" fillId="0" borderId="309" xfId="1" applyFont="1" applyBorder="1" applyAlignment="1">
      <alignment horizontal="center"/>
    </xf>
    <xf numFmtId="43" fontId="21" fillId="0" borderId="292" xfId="1" applyFont="1" applyBorder="1"/>
    <xf numFmtId="0" fontId="55" fillId="0" borderId="0" xfId="0" applyFont="1" applyAlignment="1">
      <alignment horizontal="justify" vertical="top" wrapText="1"/>
    </xf>
    <xf numFmtId="0" fontId="33" fillId="0" borderId="171" xfId="43" applyFont="1" applyBorder="1" applyAlignment="1">
      <alignment horizontal="center" vertical="top"/>
    </xf>
    <xf numFmtId="0" fontId="254" fillId="0" borderId="0" xfId="91" applyFont="1"/>
    <xf numFmtId="0" fontId="267" fillId="0" borderId="0" xfId="91" applyFont="1"/>
    <xf numFmtId="49" fontId="254" fillId="0" borderId="0" xfId="91" applyNumberFormat="1" applyFont="1" applyAlignment="1">
      <alignment horizontal="center"/>
    </xf>
    <xf numFmtId="0" fontId="18" fillId="0" borderId="170" xfId="43" applyFont="1" applyBorder="1" applyAlignment="1">
      <alignment horizontal="center" vertical="top"/>
    </xf>
    <xf numFmtId="0" fontId="18" fillId="0" borderId="117" xfId="43" applyFont="1" applyBorder="1" applyAlignment="1">
      <alignment vertical="top" wrapText="1"/>
    </xf>
    <xf numFmtId="43" fontId="18" fillId="0" borderId="117" xfId="1" applyFont="1" applyBorder="1" applyAlignment="1">
      <alignment vertical="top"/>
    </xf>
    <xf numFmtId="0" fontId="18" fillId="0" borderId="117" xfId="43" applyFont="1" applyBorder="1" applyAlignment="1">
      <alignment horizontal="center" vertical="top" wrapText="1"/>
    </xf>
    <xf numFmtId="0" fontId="18" fillId="0" borderId="117" xfId="43" applyFont="1" applyBorder="1" applyAlignment="1">
      <alignment horizontal="center" vertical="top"/>
    </xf>
    <xf numFmtId="0" fontId="18" fillId="0" borderId="91" xfId="43" applyFont="1" applyBorder="1" applyAlignment="1">
      <alignment horizontal="center" vertical="top"/>
    </xf>
    <xf numFmtId="0" fontId="18" fillId="0" borderId="171" xfId="43" applyFont="1" applyBorder="1" applyAlignment="1">
      <alignment horizontal="center" vertical="top"/>
    </xf>
    <xf numFmtId="0" fontId="18" fillId="0" borderId="170" xfId="43" applyFont="1" applyBorder="1" applyAlignment="1">
      <alignment horizontal="center" vertical="top" wrapText="1"/>
    </xf>
    <xf numFmtId="43" fontId="18" fillId="0" borderId="117" xfId="1" applyFont="1" applyBorder="1" applyAlignment="1">
      <alignment vertical="top" wrapText="1"/>
    </xf>
    <xf numFmtId="0" fontId="18" fillId="0" borderId="91" xfId="43" applyFont="1" applyBorder="1" applyAlignment="1">
      <alignment horizontal="center" vertical="top" wrapText="1"/>
    </xf>
    <xf numFmtId="0" fontId="18" fillId="0" borderId="171" xfId="43" applyFont="1" applyBorder="1" applyAlignment="1">
      <alignment horizontal="center" vertical="top" wrapText="1"/>
    </xf>
    <xf numFmtId="0" fontId="18" fillId="0" borderId="91" xfId="43" applyFont="1" applyBorder="1" applyAlignment="1">
      <alignment vertical="top" wrapText="1"/>
    </xf>
    <xf numFmtId="0" fontId="27" fillId="0" borderId="179" xfId="43" applyFont="1" applyBorder="1" applyAlignment="1">
      <alignment horizontal="center" vertical="top"/>
    </xf>
    <xf numFmtId="0" fontId="27" fillId="0" borderId="45" xfId="43" applyFont="1" applyBorder="1" applyAlignment="1">
      <alignment horizontal="center" vertical="top"/>
    </xf>
    <xf numFmtId="43" fontId="27" fillId="0" borderId="45" xfId="1" applyFont="1" applyBorder="1" applyAlignment="1">
      <alignment horizontal="center" vertical="top"/>
    </xf>
    <xf numFmtId="0" fontId="27" fillId="0" borderId="180" xfId="43" applyFont="1" applyBorder="1" applyAlignment="1">
      <alignment horizontal="center" vertical="top"/>
    </xf>
    <xf numFmtId="0" fontId="18" fillId="0" borderId="201" xfId="43" applyFont="1" applyBorder="1" applyAlignment="1">
      <alignment vertical="top" wrapText="1"/>
    </xf>
    <xf numFmtId="43" fontId="18" fillId="0" borderId="201" xfId="1" applyFont="1" applyBorder="1" applyAlignment="1">
      <alignment vertical="top" wrapText="1"/>
    </xf>
    <xf numFmtId="0" fontId="18" fillId="0" borderId="201" xfId="43" applyFont="1" applyBorder="1" applyAlignment="1">
      <alignment horizontal="center" vertical="top"/>
    </xf>
    <xf numFmtId="0" fontId="18" fillId="0" borderId="0" xfId="43" applyFont="1" applyBorder="1" applyAlignment="1">
      <alignment horizontal="center" vertical="top" wrapText="1"/>
    </xf>
    <xf numFmtId="0" fontId="18" fillId="0" borderId="487" xfId="43" applyFont="1" applyBorder="1" applyAlignment="1">
      <alignment horizontal="center" vertical="top"/>
    </xf>
    <xf numFmtId="0" fontId="18" fillId="0" borderId="168" xfId="43" applyFont="1" applyBorder="1" applyAlignment="1">
      <alignment horizontal="center" vertical="top" wrapText="1"/>
    </xf>
    <xf numFmtId="0" fontId="18" fillId="0" borderId="168" xfId="43" applyFont="1" applyBorder="1" applyAlignment="1">
      <alignment vertical="top" wrapText="1"/>
    </xf>
    <xf numFmtId="43" fontId="18" fillId="0" borderId="168" xfId="1" applyFont="1" applyBorder="1" applyAlignment="1">
      <alignment vertical="top" wrapText="1"/>
    </xf>
    <xf numFmtId="0" fontId="18" fillId="0" borderId="168" xfId="43" applyFont="1" applyBorder="1" applyAlignment="1">
      <alignment horizontal="center" vertical="top"/>
    </xf>
    <xf numFmtId="0" fontId="18" fillId="0" borderId="0" xfId="43" applyFont="1" applyBorder="1" applyAlignment="1">
      <alignment vertical="top" wrapText="1"/>
    </xf>
    <xf numFmtId="43" fontId="18" fillId="0" borderId="0" xfId="1" applyFont="1" applyBorder="1" applyAlignment="1">
      <alignment vertical="top" wrapText="1"/>
    </xf>
    <xf numFmtId="0" fontId="18" fillId="0" borderId="0" xfId="43" applyFont="1" applyBorder="1" applyAlignment="1">
      <alignment horizontal="center" vertical="top"/>
    </xf>
    <xf numFmtId="0" fontId="18" fillId="0" borderId="15" xfId="43" applyFont="1" applyBorder="1" applyAlignment="1">
      <alignment horizontal="center" vertical="top" wrapText="1"/>
    </xf>
    <xf numFmtId="0" fontId="18" fillId="0" borderId="15" xfId="43" applyFont="1" applyBorder="1" applyAlignment="1">
      <alignment vertical="top" wrapText="1"/>
    </xf>
    <xf numFmtId="43" fontId="18" fillId="0" borderId="15" xfId="1" applyFont="1" applyBorder="1" applyAlignment="1">
      <alignment vertical="top" wrapText="1"/>
    </xf>
    <xf numFmtId="0" fontId="18" fillId="0" borderId="15" xfId="43" applyFont="1" applyBorder="1" applyAlignment="1">
      <alignment horizontal="center" vertical="top"/>
    </xf>
    <xf numFmtId="177" fontId="111" fillId="0" borderId="0" xfId="100" applyNumberFormat="1" applyFont="1"/>
    <xf numFmtId="0" fontId="21" fillId="0" borderId="108" xfId="21" applyFont="1" applyBorder="1" applyAlignment="1">
      <alignment horizontal="center" vertical="center"/>
    </xf>
    <xf numFmtId="43" fontId="220" fillId="0" borderId="0" xfId="61" applyFont="1" applyAlignment="1">
      <alignment vertical="center"/>
    </xf>
    <xf numFmtId="3" fontId="220" fillId="0" borderId="0" xfId="23" applyFont="1" applyAlignment="1">
      <alignment vertical="center"/>
    </xf>
    <xf numFmtId="43" fontId="221" fillId="0" borderId="0" xfId="61" applyFont="1" applyAlignment="1">
      <alignment vertical="center"/>
    </xf>
    <xf numFmtId="3" fontId="221" fillId="0" borderId="0" xfId="23" applyFont="1" applyAlignment="1">
      <alignment vertical="center"/>
    </xf>
    <xf numFmtId="3" fontId="223" fillId="0" borderId="193" xfId="23" applyFont="1" applyFill="1" applyBorder="1" applyAlignment="1" applyProtection="1">
      <alignment horizontal="centerContinuous" vertical="center"/>
      <protection hidden="1"/>
    </xf>
    <xf numFmtId="3" fontId="223" fillId="0" borderId="277" xfId="23" applyFont="1" applyFill="1" applyBorder="1" applyAlignment="1" applyProtection="1">
      <alignment horizontal="centerContinuous" vertical="center"/>
      <protection hidden="1"/>
    </xf>
    <xf numFmtId="3" fontId="223" fillId="0" borderId="274" xfId="23" applyFont="1" applyFill="1" applyBorder="1" applyAlignment="1" applyProtection="1">
      <alignment horizontal="center" vertical="center"/>
      <protection locked="0"/>
    </xf>
    <xf numFmtId="3" fontId="223" fillId="0" borderId="0" xfId="23" applyFont="1" applyFill="1" applyBorder="1" applyAlignment="1" applyProtection="1">
      <alignment horizontal="center" vertical="center"/>
      <protection locked="0"/>
    </xf>
    <xf numFmtId="49" fontId="223" fillId="0" borderId="274" xfId="23" applyNumberFormat="1" applyFont="1" applyFill="1" applyBorder="1" applyAlignment="1" applyProtection="1">
      <alignment horizontal="center" vertical="center"/>
      <protection locked="0" hidden="1"/>
    </xf>
    <xf numFmtId="39" fontId="223" fillId="0" borderId="278" xfId="23" applyNumberFormat="1" applyFont="1" applyFill="1" applyBorder="1" applyAlignment="1" applyProtection="1">
      <alignment horizontal="center" vertical="center"/>
      <protection locked="0"/>
    </xf>
    <xf numFmtId="3" fontId="223" fillId="0" borderId="0" xfId="23" applyFont="1" applyFill="1" applyAlignment="1">
      <alignment vertical="center"/>
    </xf>
    <xf numFmtId="43" fontId="223" fillId="0" borderId="0" xfId="61" applyFont="1" applyFill="1" applyAlignment="1">
      <alignment vertical="center"/>
    </xf>
    <xf numFmtId="3" fontId="222" fillId="0" borderId="276" xfId="23" applyFont="1" applyFill="1" applyBorder="1" applyAlignment="1" applyProtection="1">
      <alignment vertical="center"/>
      <protection locked="0"/>
    </xf>
    <xf numFmtId="3" fontId="222" fillId="0" borderId="276" xfId="23" applyFont="1" applyFill="1" applyBorder="1" applyAlignment="1" applyProtection="1">
      <alignment horizontal="center" vertical="center"/>
      <protection locked="0"/>
    </xf>
    <xf numFmtId="3" fontId="224" fillId="0" borderId="276" xfId="23" applyFont="1" applyFill="1" applyBorder="1" applyAlignment="1" applyProtection="1">
      <alignment horizontal="center" vertical="center"/>
      <protection hidden="1"/>
    </xf>
    <xf numFmtId="39" fontId="224" fillId="0" borderId="276" xfId="23" applyNumberFormat="1" applyFont="1" applyFill="1" applyBorder="1" applyAlignment="1" applyProtection="1">
      <alignment horizontal="right" vertical="center"/>
      <protection hidden="1"/>
    </xf>
    <xf numFmtId="39" fontId="224" fillId="0" borderId="276" xfId="23" applyNumberFormat="1" applyFont="1" applyFill="1" applyBorder="1" applyAlignment="1" applyProtection="1">
      <alignment horizontal="center" vertical="center"/>
      <protection locked="0"/>
    </xf>
    <xf numFmtId="3" fontId="222" fillId="0" borderId="0" xfId="23" applyFont="1" applyFill="1" applyBorder="1" applyAlignment="1" applyProtection="1">
      <alignment vertical="center"/>
      <protection locked="0"/>
    </xf>
    <xf numFmtId="3" fontId="222" fillId="0" borderId="0" xfId="23" applyFont="1" applyFill="1" applyBorder="1" applyAlignment="1" applyProtection="1">
      <alignment horizontal="center" vertical="center"/>
      <protection locked="0"/>
    </xf>
    <xf numFmtId="3" fontId="224" fillId="0" borderId="0" xfId="23" applyFont="1" applyFill="1" applyBorder="1" applyAlignment="1" applyProtection="1">
      <alignment horizontal="center" vertical="center"/>
      <protection hidden="1"/>
    </xf>
    <xf numFmtId="39" fontId="224" fillId="0" borderId="0" xfId="23" applyNumberFormat="1" applyFont="1" applyFill="1" applyBorder="1" applyAlignment="1" applyProtection="1">
      <alignment horizontal="right" vertical="center"/>
      <protection hidden="1"/>
    </xf>
    <xf numFmtId="39" fontId="224" fillId="0" borderId="0" xfId="23" applyNumberFormat="1" applyFont="1" applyFill="1" applyBorder="1" applyAlignment="1" applyProtection="1">
      <alignment horizontal="center" vertical="center"/>
      <protection locked="0"/>
    </xf>
    <xf numFmtId="3" fontId="222" fillId="0" borderId="195" xfId="23" applyFont="1" applyFill="1" applyBorder="1" applyAlignment="1" applyProtection="1">
      <alignment vertical="center"/>
      <protection locked="0"/>
    </xf>
    <xf numFmtId="3" fontId="222" fillId="0" borderId="195" xfId="23" applyFont="1" applyFill="1" applyBorder="1" applyAlignment="1" applyProtection="1">
      <alignment horizontal="center" vertical="center"/>
      <protection locked="0"/>
    </xf>
    <xf numFmtId="3" fontId="224" fillId="0" borderId="195" xfId="23" applyFont="1" applyFill="1" applyBorder="1" applyAlignment="1" applyProtection="1">
      <alignment horizontal="center" vertical="center"/>
      <protection hidden="1"/>
    </xf>
    <xf numFmtId="39" fontId="224" fillId="0" borderId="195" xfId="23" applyNumberFormat="1" applyFont="1" applyFill="1" applyBorder="1" applyAlignment="1" applyProtection="1">
      <alignment horizontal="right" vertical="center"/>
      <protection hidden="1"/>
    </xf>
    <xf numFmtId="39" fontId="224" fillId="0" borderId="195" xfId="23" applyNumberFormat="1" applyFont="1" applyFill="1" applyBorder="1" applyAlignment="1" applyProtection="1">
      <alignment horizontal="center" vertical="center"/>
      <protection locked="0"/>
    </xf>
    <xf numFmtId="3" fontId="221" fillId="0" borderId="0" xfId="23" applyFont="1" applyAlignment="1" applyProtection="1">
      <alignment horizontal="left" vertical="center"/>
      <protection locked="0"/>
    </xf>
    <xf numFmtId="39" fontId="223" fillId="0" borderId="0" xfId="23" applyNumberFormat="1" applyFont="1" applyFill="1" applyAlignment="1" applyProtection="1">
      <alignment vertical="center"/>
      <protection locked="0"/>
    </xf>
    <xf numFmtId="3" fontId="220" fillId="0" borderId="0" xfId="23" applyFont="1" applyAlignment="1" applyProtection="1">
      <alignment vertical="center"/>
      <protection locked="0"/>
    </xf>
    <xf numFmtId="39" fontId="220" fillId="0" borderId="0" xfId="23" applyNumberFormat="1" applyFont="1" applyFill="1" applyAlignment="1" applyProtection="1">
      <alignment vertical="center"/>
      <protection locked="0"/>
    </xf>
    <xf numFmtId="3" fontId="221" fillId="0" borderId="0" xfId="32" applyFont="1" applyAlignment="1">
      <alignment vertical="center"/>
    </xf>
    <xf numFmtId="3" fontId="221" fillId="0" borderId="0" xfId="23" applyFont="1" applyAlignment="1" applyProtection="1">
      <alignment vertical="center"/>
      <protection locked="0"/>
    </xf>
    <xf numFmtId="3" fontId="220" fillId="0" borderId="0" xfId="32" applyFont="1" applyAlignment="1">
      <alignment vertical="center"/>
    </xf>
    <xf numFmtId="39" fontId="221" fillId="0" borderId="0" xfId="23" applyNumberFormat="1" applyFont="1" applyFill="1" applyAlignment="1" applyProtection="1">
      <alignment horizontal="center" vertical="center"/>
      <protection locked="0"/>
    </xf>
    <xf numFmtId="3" fontId="220" fillId="0" borderId="0" xfId="23" applyFont="1" applyAlignment="1" applyProtection="1">
      <alignment horizontal="left" vertical="center"/>
      <protection locked="0"/>
    </xf>
    <xf numFmtId="3" fontId="221" fillId="0" borderId="0" xfId="23" applyFont="1" applyFill="1" applyAlignment="1">
      <alignment vertical="center"/>
    </xf>
    <xf numFmtId="3" fontId="223" fillId="0" borderId="368" xfId="23" applyFont="1" applyFill="1" applyBorder="1" applyAlignment="1" applyProtection="1">
      <alignment horizontal="centerContinuous" vertical="center"/>
      <protection hidden="1"/>
    </xf>
    <xf numFmtId="3" fontId="223" fillId="0" borderId="526" xfId="23" applyFont="1" applyFill="1" applyBorder="1" applyAlignment="1" applyProtection="1">
      <alignment horizontal="centerContinuous" vertical="center"/>
      <protection hidden="1"/>
    </xf>
    <xf numFmtId="49" fontId="268" fillId="0" borderId="0" xfId="23" applyNumberFormat="1" applyFont="1" applyFill="1" applyBorder="1" applyAlignment="1" applyProtection="1">
      <alignment horizontal="center" vertical="center"/>
      <protection hidden="1"/>
    </xf>
    <xf numFmtId="3" fontId="268" fillId="0" borderId="273" xfId="23" applyFont="1" applyFill="1" applyBorder="1" applyAlignment="1" applyProtection="1">
      <alignment horizontal="centerContinuous" vertical="center"/>
      <protection hidden="1"/>
    </xf>
    <xf numFmtId="49" fontId="223" fillId="0" borderId="360" xfId="23" applyNumberFormat="1" applyFont="1" applyFill="1" applyBorder="1" applyAlignment="1" applyProtection="1">
      <alignment horizontal="center" vertical="center"/>
      <protection locked="0" hidden="1"/>
    </xf>
    <xf numFmtId="43" fontId="0" fillId="0" borderId="107" xfId="62" applyFont="1" applyBorder="1" applyAlignment="1">
      <alignment vertical="center"/>
    </xf>
    <xf numFmtId="170" fontId="27" fillId="0" borderId="0" xfId="96" applyFont="1" applyBorder="1" applyAlignment="1">
      <alignment vertical="center"/>
    </xf>
    <xf numFmtId="170" fontId="18" fillId="0" borderId="0" xfId="96" applyFont="1" applyBorder="1" applyAlignment="1">
      <alignment vertical="center"/>
    </xf>
    <xf numFmtId="170" fontId="159" fillId="0" borderId="0" xfId="96" applyFont="1" applyAlignment="1">
      <alignment vertical="center"/>
    </xf>
    <xf numFmtId="0" fontId="0" fillId="0" borderId="0" xfId="0" applyAlignment="1">
      <alignment horizontal="left" vertical="center"/>
    </xf>
    <xf numFmtId="43" fontId="0" fillId="0" borderId="0" xfId="1" applyFont="1" applyAlignment="1">
      <alignment horizontal="left" vertical="center"/>
    </xf>
    <xf numFmtId="43" fontId="62" fillId="0" borderId="141" xfId="1" applyFont="1" applyBorder="1" applyAlignment="1">
      <alignment horizontal="center" vertical="center" wrapText="1"/>
    </xf>
    <xf numFmtId="0" fontId="62" fillId="0" borderId="135" xfId="0" applyFont="1" applyBorder="1" applyAlignment="1">
      <alignment horizontal="left" vertical="center" wrapText="1"/>
    </xf>
    <xf numFmtId="43" fontId="62" fillId="0" borderId="142" xfId="1" applyFont="1" applyBorder="1" applyAlignment="1">
      <alignment horizontal="center" vertical="center" wrapText="1"/>
    </xf>
    <xf numFmtId="0" fontId="41" fillId="0" borderId="137" xfId="0" applyFont="1" applyBorder="1" applyAlignment="1">
      <alignment vertical="center"/>
    </xf>
    <xf numFmtId="43" fontId="17" fillId="0" borderId="142" xfId="1" applyFont="1" applyBorder="1" applyAlignment="1">
      <alignment horizontal="center" vertical="center" wrapText="1"/>
    </xf>
    <xf numFmtId="43" fontId="0" fillId="0" borderId="142" xfId="1" applyFont="1" applyFill="1" applyBorder="1" applyAlignment="1">
      <alignment horizontal="left" vertical="center" wrapText="1"/>
    </xf>
    <xf numFmtId="0" fontId="0" fillId="0" borderId="0" xfId="0" applyFont="1" applyAlignment="1">
      <alignment horizontal="center" vertical="center"/>
    </xf>
    <xf numFmtId="0" fontId="0" fillId="0" borderId="0" xfId="0" applyFill="1" applyAlignment="1">
      <alignment horizontal="left" vertical="center"/>
    </xf>
    <xf numFmtId="43" fontId="0" fillId="0" borderId="142" xfId="1" applyFont="1" applyBorder="1" applyAlignment="1">
      <alignment horizontal="left" vertical="center" wrapText="1"/>
    </xf>
    <xf numFmtId="43" fontId="0" fillId="0" borderId="137" xfId="1" applyFont="1" applyBorder="1" applyAlignment="1">
      <alignment horizontal="left" vertical="center" wrapText="1"/>
    </xf>
    <xf numFmtId="0" fontId="0" fillId="0" borderId="137" xfId="0" applyBorder="1" applyAlignment="1">
      <alignment horizontal="left" vertical="center" wrapText="1"/>
    </xf>
    <xf numFmtId="0" fontId="147" fillId="0" borderId="137" xfId="0" applyFont="1" applyBorder="1" applyAlignment="1">
      <alignment horizontal="left" vertical="center" wrapText="1"/>
    </xf>
    <xf numFmtId="0" fontId="0" fillId="0" borderId="139" xfId="0" applyBorder="1" applyAlignment="1">
      <alignment horizontal="left" vertical="center" wrapText="1"/>
    </xf>
    <xf numFmtId="43" fontId="0" fillId="0" borderId="141" xfId="1" applyFont="1" applyBorder="1" applyAlignment="1">
      <alignment horizontal="left" vertical="center" wrapText="1"/>
    </xf>
    <xf numFmtId="0" fontId="62" fillId="0" borderId="139" xfId="0" applyFont="1" applyBorder="1" applyAlignment="1">
      <alignment horizontal="left" vertical="center" wrapText="1"/>
    </xf>
    <xf numFmtId="43" fontId="62" fillId="0" borderId="141" xfId="1" applyFont="1" applyBorder="1" applyAlignment="1">
      <alignment horizontal="left" vertical="center" wrapText="1"/>
    </xf>
    <xf numFmtId="0" fontId="0" fillId="0" borderId="0" xfId="0" applyFont="1" applyAlignment="1">
      <alignment horizontal="left" vertical="center"/>
    </xf>
    <xf numFmtId="0" fontId="19" fillId="0" borderId="122" xfId="65" applyFont="1" applyBorder="1" applyAlignment="1">
      <alignment horizontal="center" vertical="center"/>
    </xf>
    <xf numFmtId="43" fontId="21" fillId="0" borderId="122" xfId="62" applyFont="1" applyBorder="1" applyAlignment="1">
      <alignment vertical="center"/>
    </xf>
    <xf numFmtId="0" fontId="19" fillId="0" borderId="122" xfId="65" applyFont="1" applyBorder="1" applyAlignment="1">
      <alignment vertical="center"/>
    </xf>
    <xf numFmtId="0" fontId="19" fillId="0" borderId="0" xfId="65" applyFont="1" applyAlignment="1">
      <alignment vertical="center"/>
    </xf>
    <xf numFmtId="0" fontId="19" fillId="0" borderId="186" xfId="21" applyFill="1" applyBorder="1" applyAlignment="1">
      <alignment vertical="center"/>
    </xf>
    <xf numFmtId="0" fontId="19" fillId="0" borderId="113" xfId="21" applyBorder="1" applyAlignment="1">
      <alignment vertical="center"/>
    </xf>
    <xf numFmtId="0" fontId="92" fillId="0" borderId="300" xfId="0" applyFont="1" applyBorder="1" applyAlignment="1">
      <alignment vertical="center"/>
    </xf>
    <xf numFmtId="43" fontId="92" fillId="0" borderId="295" xfId="1" applyFont="1" applyBorder="1" applyAlignment="1">
      <alignment vertical="center"/>
    </xf>
    <xf numFmtId="43" fontId="92" fillId="0" borderId="0" xfId="1" applyFont="1" applyBorder="1" applyAlignment="1">
      <alignment vertical="center"/>
    </xf>
    <xf numFmtId="0" fontId="39" fillId="0" borderId="0" xfId="21" applyNumberFormat="1" applyFont="1" applyFill="1" applyAlignment="1">
      <alignment vertical="top"/>
    </xf>
    <xf numFmtId="0" fontId="39" fillId="0" borderId="0" xfId="21" applyNumberFormat="1" applyFont="1" applyFill="1" applyBorder="1" applyAlignment="1">
      <alignment vertical="top"/>
    </xf>
    <xf numFmtId="0" fontId="39" fillId="0" borderId="0" xfId="21" applyNumberFormat="1" applyFont="1" applyFill="1" applyBorder="1" applyAlignment="1">
      <alignment horizontal="center" vertical="top"/>
    </xf>
    <xf numFmtId="43" fontId="265" fillId="0" borderId="0" xfId="62" applyFont="1" applyFill="1" applyBorder="1" applyAlignment="1">
      <alignment vertical="top"/>
    </xf>
    <xf numFmtId="0" fontId="149" fillId="0" borderId="0" xfId="21" applyNumberFormat="1" applyFont="1" applyFill="1" applyAlignment="1">
      <alignment horizontal="left" vertical="top"/>
    </xf>
    <xf numFmtId="0" fontId="149" fillId="0" borderId="0" xfId="21" applyNumberFormat="1" applyFont="1" applyFill="1" applyAlignment="1">
      <alignment horizontal="center" vertical="top"/>
    </xf>
    <xf numFmtId="0" fontId="39" fillId="0" borderId="0" xfId="62" applyNumberFormat="1" applyFont="1" applyFill="1" applyAlignment="1">
      <alignment horizontal="center" vertical="top"/>
    </xf>
    <xf numFmtId="0" fontId="183" fillId="0" borderId="0" xfId="21" applyNumberFormat="1" applyFont="1" applyFill="1" applyAlignment="1">
      <alignment horizontal="left" vertical="top"/>
    </xf>
    <xf numFmtId="0" fontId="183" fillId="0" borderId="0" xfId="21" applyNumberFormat="1" applyFont="1" applyFill="1" applyAlignment="1">
      <alignment horizontal="center" vertical="top"/>
    </xf>
    <xf numFmtId="0" fontId="160" fillId="0" borderId="0" xfId="62" applyNumberFormat="1" applyFont="1" applyFill="1" applyAlignment="1">
      <alignment horizontal="center" vertical="top"/>
    </xf>
    <xf numFmtId="0" fontId="160" fillId="0" borderId="0" xfId="21" applyNumberFormat="1" applyFont="1" applyFill="1" applyAlignment="1">
      <alignment vertical="top"/>
    </xf>
    <xf numFmtId="0" fontId="160" fillId="0" borderId="0" xfId="21" applyNumberFormat="1" applyFont="1" applyFill="1" applyBorder="1" applyAlignment="1">
      <alignment vertical="top"/>
    </xf>
    <xf numFmtId="0" fontId="160" fillId="0" borderId="0" xfId="21" applyNumberFormat="1" applyFont="1" applyFill="1" applyBorder="1" applyAlignment="1">
      <alignment horizontal="center" vertical="top"/>
    </xf>
    <xf numFmtId="43" fontId="191" fillId="0" borderId="0" xfId="62" applyFont="1" applyFill="1" applyBorder="1" applyAlignment="1">
      <alignment vertical="top"/>
    </xf>
    <xf numFmtId="0" fontId="41" fillId="0" borderId="315" xfId="21" applyNumberFormat="1" applyFont="1" applyFill="1" applyBorder="1" applyAlignment="1">
      <alignment horizontal="left" vertical="top"/>
    </xf>
    <xf numFmtId="0" fontId="46" fillId="0" borderId="0" xfId="21" applyNumberFormat="1" applyFont="1" applyFill="1" applyAlignment="1">
      <alignment vertical="top"/>
    </xf>
    <xf numFmtId="0" fontId="46" fillId="0" borderId="0" xfId="62" applyNumberFormat="1" applyFont="1" applyFill="1" applyAlignment="1">
      <alignment vertical="top"/>
    </xf>
    <xf numFmtId="0" fontId="46" fillId="0" borderId="0" xfId="21" applyNumberFormat="1" applyFont="1" applyFill="1" applyAlignment="1">
      <alignment vertical="top" wrapText="1"/>
    </xf>
    <xf numFmtId="0" fontId="41" fillId="0" borderId="0" xfId="21" applyNumberFormat="1" applyFont="1" applyFill="1" applyBorder="1" applyAlignment="1">
      <alignment horizontal="center" vertical="top"/>
    </xf>
    <xf numFmtId="43" fontId="41" fillId="0" borderId="0" xfId="62" applyFont="1" applyFill="1" applyBorder="1" applyAlignment="1">
      <alignment horizontal="center" vertical="top"/>
    </xf>
    <xf numFmtId="0" fontId="46" fillId="0" borderId="308" xfId="21" applyNumberFormat="1" applyFont="1" applyFill="1" applyBorder="1" applyAlignment="1">
      <alignment horizontal="center" vertical="top" wrapText="1"/>
    </xf>
    <xf numFmtId="0" fontId="46" fillId="0" borderId="302" xfId="21" applyNumberFormat="1" applyFont="1" applyFill="1" applyBorder="1" applyAlignment="1">
      <alignment horizontal="center" vertical="top" wrapText="1"/>
    </xf>
    <xf numFmtId="0" fontId="41" fillId="0" borderId="301" xfId="21" applyNumberFormat="1" applyFont="1" applyFill="1" applyBorder="1" applyAlignment="1">
      <alignment vertical="top"/>
    </xf>
    <xf numFmtId="0" fontId="46" fillId="0" borderId="304" xfId="21" applyNumberFormat="1" applyFont="1" applyFill="1" applyBorder="1" applyAlignment="1">
      <alignment vertical="top"/>
    </xf>
    <xf numFmtId="0" fontId="46" fillId="0" borderId="304" xfId="62" applyNumberFormat="1" applyFont="1" applyFill="1" applyBorder="1" applyAlignment="1">
      <alignment vertical="top"/>
    </xf>
    <xf numFmtId="0" fontId="46" fillId="0" borderId="301" xfId="21" applyNumberFormat="1" applyFont="1" applyFill="1" applyBorder="1" applyAlignment="1">
      <alignment vertical="top" wrapText="1"/>
    </xf>
    <xf numFmtId="0" fontId="46" fillId="0" borderId="305" xfId="21" applyNumberFormat="1" applyFont="1" applyFill="1" applyBorder="1" applyAlignment="1">
      <alignment vertical="top" wrapText="1"/>
    </xf>
    <xf numFmtId="0" fontId="46" fillId="0" borderId="305" xfId="21" applyNumberFormat="1" applyFont="1" applyFill="1" applyBorder="1" applyAlignment="1">
      <alignment vertical="top"/>
    </xf>
    <xf numFmtId="0" fontId="41" fillId="0" borderId="163" xfId="21" applyNumberFormat="1" applyFont="1" applyFill="1" applyBorder="1" applyAlignment="1">
      <alignment horizontal="center" vertical="top"/>
    </xf>
    <xf numFmtId="0" fontId="41" fillId="0" borderId="163" xfId="21" applyNumberFormat="1" applyFont="1" applyFill="1" applyBorder="1" applyAlignment="1">
      <alignment vertical="top" wrapText="1"/>
    </xf>
    <xf numFmtId="43" fontId="46" fillId="0" borderId="163" xfId="62" applyNumberFormat="1" applyFont="1" applyFill="1" applyBorder="1" applyAlignment="1">
      <alignment vertical="top"/>
    </xf>
    <xf numFmtId="0" fontId="46" fillId="0" borderId="163" xfId="21" applyNumberFormat="1" applyFont="1" applyFill="1" applyBorder="1" applyAlignment="1">
      <alignment vertical="top" wrapText="1"/>
    </xf>
    <xf numFmtId="0" fontId="46" fillId="0" borderId="163" xfId="21" applyNumberFormat="1" applyFont="1" applyFill="1" applyBorder="1" applyAlignment="1">
      <alignment horizontal="center" vertical="top"/>
    </xf>
    <xf numFmtId="10" fontId="237" fillId="0" borderId="0" xfId="106" applyNumberFormat="1" applyFont="1" applyFill="1" applyBorder="1" applyAlignment="1">
      <alignment horizontal="center" vertical="top"/>
    </xf>
    <xf numFmtId="43" fontId="237" fillId="0" borderId="0" xfId="62" applyFont="1" applyFill="1" applyBorder="1" applyAlignment="1">
      <alignment horizontal="center" vertical="top"/>
    </xf>
    <xf numFmtId="0" fontId="41" fillId="0" borderId="164" xfId="21" applyNumberFormat="1" applyFont="1" applyFill="1" applyBorder="1" applyAlignment="1">
      <alignment horizontal="center" vertical="top"/>
    </xf>
    <xf numFmtId="0" fontId="46" fillId="0" borderId="164" xfId="21" applyNumberFormat="1" applyFont="1" applyFill="1" applyBorder="1" applyAlignment="1">
      <alignment vertical="top" wrapText="1"/>
    </xf>
    <xf numFmtId="43" fontId="46" fillId="0" borderId="164" xfId="62" applyNumberFormat="1" applyFont="1" applyFill="1" applyBorder="1" applyAlignment="1">
      <alignment vertical="top"/>
    </xf>
    <xf numFmtId="0" fontId="46" fillId="0" borderId="164" xfId="21" applyNumberFormat="1" applyFont="1" applyFill="1" applyBorder="1" applyAlignment="1">
      <alignment horizontal="center" vertical="top"/>
    </xf>
    <xf numFmtId="0" fontId="41" fillId="0" borderId="166" xfId="21" applyNumberFormat="1" applyFont="1" applyFill="1" applyBorder="1" applyAlignment="1">
      <alignment horizontal="center" vertical="top"/>
    </xf>
    <xf numFmtId="49" fontId="41" fillId="0" borderId="166" xfId="21" applyNumberFormat="1" applyFont="1" applyFill="1" applyBorder="1" applyAlignment="1">
      <alignment vertical="top" wrapText="1"/>
    </xf>
    <xf numFmtId="43" fontId="46" fillId="0" borderId="166" xfId="62" applyNumberFormat="1" applyFont="1" applyFill="1" applyBorder="1" applyAlignment="1">
      <alignment vertical="top"/>
    </xf>
    <xf numFmtId="0" fontId="46" fillId="0" borderId="166" xfId="21" applyNumberFormat="1" applyFont="1" applyFill="1" applyBorder="1" applyAlignment="1">
      <alignment vertical="top" wrapText="1"/>
    </xf>
    <xf numFmtId="49" fontId="46" fillId="0" borderId="166" xfId="21" applyNumberFormat="1" applyFont="1" applyFill="1" applyBorder="1" applyAlignment="1">
      <alignment horizontal="center" vertical="top"/>
    </xf>
    <xf numFmtId="0" fontId="41" fillId="0" borderId="165" xfId="21" applyNumberFormat="1" applyFont="1" applyFill="1" applyBorder="1" applyAlignment="1">
      <alignment horizontal="center" vertical="top"/>
    </xf>
    <xf numFmtId="49" fontId="41" fillId="0" borderId="165" xfId="21" applyNumberFormat="1" applyFont="1" applyFill="1" applyBorder="1" applyAlignment="1">
      <alignment vertical="top" wrapText="1"/>
    </xf>
    <xf numFmtId="43" fontId="46" fillId="0" borderId="165" xfId="62" applyNumberFormat="1" applyFont="1" applyFill="1" applyBorder="1" applyAlignment="1">
      <alignment vertical="top"/>
    </xf>
    <xf numFmtId="0" fontId="46" fillId="0" borderId="165" xfId="21" applyNumberFormat="1" applyFont="1" applyFill="1" applyBorder="1" applyAlignment="1">
      <alignment vertical="top" wrapText="1"/>
    </xf>
    <xf numFmtId="49" fontId="46" fillId="0" borderId="165" xfId="21" applyNumberFormat="1" applyFont="1" applyFill="1" applyBorder="1" applyAlignment="1">
      <alignment horizontal="center" vertical="top"/>
    </xf>
    <xf numFmtId="0" fontId="238" fillId="0" borderId="0" xfId="21" applyNumberFormat="1" applyFont="1" applyFill="1" applyBorder="1" applyAlignment="1">
      <alignment vertical="top" wrapText="1"/>
    </xf>
    <xf numFmtId="0" fontId="41" fillId="0" borderId="296" xfId="21" applyNumberFormat="1" applyFont="1" applyFill="1" applyBorder="1" applyAlignment="1">
      <alignment horizontal="center" vertical="top"/>
    </xf>
    <xf numFmtId="49" fontId="41" fillId="0" borderId="296" xfId="21" applyNumberFormat="1" applyFont="1" applyFill="1" applyBorder="1" applyAlignment="1">
      <alignment vertical="top" wrapText="1"/>
    </xf>
    <xf numFmtId="43" fontId="46" fillId="0" borderId="296" xfId="62" applyNumberFormat="1" applyFont="1" applyFill="1" applyBorder="1" applyAlignment="1">
      <alignment vertical="top"/>
    </xf>
    <xf numFmtId="0" fontId="46" fillId="0" borderId="296" xfId="21" applyNumberFormat="1" applyFont="1" applyFill="1" applyBorder="1" applyAlignment="1">
      <alignment vertical="top" wrapText="1"/>
    </xf>
    <xf numFmtId="49" fontId="46" fillId="0" borderId="296" xfId="21" applyNumberFormat="1" applyFont="1" applyFill="1" applyBorder="1" applyAlignment="1">
      <alignment horizontal="center" vertical="top"/>
    </xf>
    <xf numFmtId="49" fontId="41" fillId="0" borderId="0" xfId="21" applyNumberFormat="1" applyFont="1" applyFill="1" applyBorder="1" applyAlignment="1">
      <alignment vertical="top" wrapText="1"/>
    </xf>
    <xf numFmtId="0" fontId="46" fillId="0" borderId="0" xfId="21" applyNumberFormat="1" applyFont="1" applyFill="1" applyBorder="1" applyAlignment="1">
      <alignment vertical="top" wrapText="1"/>
    </xf>
    <xf numFmtId="49" fontId="46" fillId="0" borderId="0" xfId="21" applyNumberFormat="1" applyFont="1" applyFill="1" applyBorder="1" applyAlignment="1">
      <alignment horizontal="center" vertical="top"/>
    </xf>
    <xf numFmtId="0" fontId="46" fillId="0" borderId="163" xfId="21" applyNumberFormat="1" applyFont="1" applyFill="1" applyBorder="1" applyAlignment="1">
      <alignment vertical="top"/>
    </xf>
    <xf numFmtId="49" fontId="46" fillId="0" borderId="163" xfId="21" applyNumberFormat="1" applyFont="1" applyFill="1" applyBorder="1" applyAlignment="1">
      <alignment horizontal="center" vertical="top"/>
    </xf>
    <xf numFmtId="0" fontId="46" fillId="0" borderId="163" xfId="21" applyNumberFormat="1" applyFont="1" applyFill="1" applyBorder="1" applyAlignment="1">
      <alignment horizontal="center" vertical="top" wrapText="1"/>
    </xf>
    <xf numFmtId="49" fontId="41" fillId="0" borderId="163" xfId="21" applyNumberFormat="1" applyFont="1" applyFill="1" applyBorder="1" applyAlignment="1">
      <alignment vertical="top" wrapText="1"/>
    </xf>
    <xf numFmtId="49" fontId="46" fillId="0" borderId="163" xfId="21" applyNumberFormat="1" applyFont="1" applyFill="1" applyBorder="1" applyAlignment="1">
      <alignment vertical="top" wrapText="1"/>
    </xf>
    <xf numFmtId="0" fontId="46" fillId="0" borderId="0" xfId="21" applyNumberFormat="1" applyFont="1" applyFill="1" applyBorder="1" applyAlignment="1">
      <alignment horizontal="left" vertical="top"/>
    </xf>
    <xf numFmtId="10" fontId="239" fillId="0" borderId="0" xfId="106" applyNumberFormat="1" applyFont="1" applyFill="1" applyBorder="1" applyAlignment="1">
      <alignment horizontal="left" vertical="top" wrapText="1"/>
    </xf>
    <xf numFmtId="49" fontId="46" fillId="0" borderId="165" xfId="21" applyNumberFormat="1" applyFont="1" applyFill="1" applyBorder="1" applyAlignment="1">
      <alignment vertical="top" wrapText="1"/>
    </xf>
    <xf numFmtId="10" fontId="46" fillId="0" borderId="0" xfId="106" applyNumberFormat="1" applyFont="1" applyFill="1" applyBorder="1" applyAlignment="1">
      <alignment horizontal="left" vertical="top" wrapText="1"/>
    </xf>
    <xf numFmtId="49" fontId="46" fillId="0" borderId="163" xfId="21" applyNumberFormat="1" applyFont="1" applyFill="1" applyBorder="1" applyAlignment="1">
      <alignment horizontal="center" vertical="top" wrapText="1"/>
    </xf>
    <xf numFmtId="49" fontId="46" fillId="0" borderId="296" xfId="21" applyNumberFormat="1" applyFont="1" applyFill="1" applyBorder="1" applyAlignment="1">
      <alignment vertical="top" wrapText="1"/>
    </xf>
    <xf numFmtId="49" fontId="46" fillId="0" borderId="0" xfId="21" applyNumberFormat="1" applyFont="1" applyFill="1" applyBorder="1" applyAlignment="1">
      <alignment vertical="top" wrapText="1"/>
    </xf>
    <xf numFmtId="0" fontId="41" fillId="0" borderId="410" xfId="21" applyNumberFormat="1" applyFont="1" applyFill="1" applyBorder="1" applyAlignment="1">
      <alignment horizontal="center" vertical="top"/>
    </xf>
    <xf numFmtId="49" fontId="41" fillId="0" borderId="410" xfId="21" applyNumberFormat="1" applyFont="1" applyFill="1" applyBorder="1" applyAlignment="1">
      <alignment vertical="top" wrapText="1"/>
    </xf>
    <xf numFmtId="43" fontId="46" fillId="0" borderId="410" xfId="62" applyNumberFormat="1" applyFont="1" applyFill="1" applyBorder="1" applyAlignment="1">
      <alignment vertical="top"/>
    </xf>
    <xf numFmtId="49" fontId="46" fillId="0" borderId="410" xfId="21" applyNumberFormat="1" applyFont="1" applyFill="1" applyBorder="1" applyAlignment="1">
      <alignment vertical="top" wrapText="1"/>
    </xf>
    <xf numFmtId="49" fontId="46" fillId="0" borderId="410" xfId="21" applyNumberFormat="1" applyFont="1" applyFill="1" applyBorder="1" applyAlignment="1">
      <alignment horizontal="center" vertical="top"/>
    </xf>
    <xf numFmtId="0" fontId="41" fillId="0" borderId="166" xfId="21" applyNumberFormat="1" applyFont="1" applyFill="1" applyBorder="1" applyAlignment="1">
      <alignment vertical="top"/>
    </xf>
    <xf numFmtId="0" fontId="46" fillId="0" borderId="166" xfId="21" applyNumberFormat="1" applyFont="1" applyFill="1" applyBorder="1" applyAlignment="1">
      <alignment horizontal="center" vertical="top"/>
    </xf>
    <xf numFmtId="0" fontId="41" fillId="0" borderId="163" xfId="21" applyNumberFormat="1" applyFont="1" applyFill="1" applyBorder="1" applyAlignment="1">
      <alignment vertical="top"/>
    </xf>
    <xf numFmtId="0" fontId="46" fillId="0" borderId="410" xfId="21" applyNumberFormat="1" applyFont="1" applyFill="1" applyBorder="1" applyAlignment="1">
      <alignment vertical="top" wrapText="1"/>
    </xf>
    <xf numFmtId="49" fontId="46" fillId="0" borderId="166" xfId="21" applyNumberFormat="1" applyFont="1" applyFill="1" applyBorder="1" applyAlignment="1">
      <alignment vertical="top" wrapText="1"/>
    </xf>
    <xf numFmtId="10" fontId="46" fillId="0" borderId="0" xfId="106" applyNumberFormat="1" applyFont="1" applyFill="1" applyBorder="1" applyAlignment="1">
      <alignment horizontal="left" vertical="top"/>
    </xf>
    <xf numFmtId="0" fontId="46" fillId="0" borderId="163" xfId="21" applyFont="1" applyFill="1" applyBorder="1" applyAlignment="1">
      <alignment vertical="top" wrapText="1"/>
    </xf>
    <xf numFmtId="0" fontId="41" fillId="0" borderId="295" xfId="21" applyNumberFormat="1" applyFont="1" applyFill="1" applyBorder="1" applyAlignment="1">
      <alignment horizontal="center" vertical="top"/>
    </xf>
    <xf numFmtId="49" fontId="46" fillId="0" borderId="295" xfId="21" applyNumberFormat="1" applyFont="1" applyFill="1" applyBorder="1" applyAlignment="1">
      <alignment vertical="top" wrapText="1"/>
    </xf>
    <xf numFmtId="43" fontId="46" fillId="0" borderId="295" xfId="62" applyNumberFormat="1" applyFont="1" applyFill="1" applyBorder="1" applyAlignment="1">
      <alignment vertical="top"/>
    </xf>
    <xf numFmtId="0" fontId="22" fillId="0" borderId="295" xfId="21" applyNumberFormat="1" applyFont="1" applyFill="1" applyBorder="1" applyAlignment="1">
      <alignment vertical="top" wrapText="1"/>
    </xf>
    <xf numFmtId="0" fontId="46" fillId="0" borderId="295" xfId="21" applyNumberFormat="1" applyFont="1" applyFill="1" applyBorder="1" applyAlignment="1">
      <alignment vertical="top" wrapText="1"/>
    </xf>
    <xf numFmtId="49" fontId="46" fillId="0" borderId="295" xfId="21" applyNumberFormat="1" applyFont="1" applyFill="1" applyBorder="1" applyAlignment="1">
      <alignment horizontal="center" vertical="top"/>
    </xf>
    <xf numFmtId="0" fontId="46" fillId="0" borderId="166" xfId="21" applyNumberFormat="1" applyFont="1" applyFill="1" applyBorder="1" applyAlignment="1">
      <alignment vertical="top"/>
    </xf>
    <xf numFmtId="0" fontId="22" fillId="0" borderId="166" xfId="21" applyNumberFormat="1" applyFont="1" applyFill="1" applyBorder="1" applyAlignment="1">
      <alignment vertical="top" wrapText="1"/>
    </xf>
    <xf numFmtId="0" fontId="46" fillId="0" borderId="344" xfId="21" applyNumberFormat="1" applyFont="1" applyFill="1" applyBorder="1" applyAlignment="1">
      <alignment vertical="top"/>
    </xf>
    <xf numFmtId="43" fontId="238" fillId="0" borderId="166" xfId="62" applyNumberFormat="1" applyFont="1" applyFill="1" applyBorder="1" applyAlignment="1">
      <alignment vertical="top"/>
    </xf>
    <xf numFmtId="49" fontId="46" fillId="0" borderId="164" xfId="21" applyNumberFormat="1" applyFont="1" applyFill="1" applyBorder="1" applyAlignment="1">
      <alignment horizontal="center" vertical="top"/>
    </xf>
    <xf numFmtId="0" fontId="41" fillId="0" borderId="166" xfId="21" applyNumberFormat="1" applyFont="1" applyFill="1" applyBorder="1" applyAlignment="1">
      <alignment vertical="top" wrapText="1"/>
    </xf>
    <xf numFmtId="0" fontId="46" fillId="0" borderId="165" xfId="21" applyNumberFormat="1" applyFont="1" applyFill="1" applyBorder="1" applyAlignment="1">
      <alignment horizontal="center" vertical="top"/>
    </xf>
    <xf numFmtId="0" fontId="46" fillId="0" borderId="296" xfId="21" applyNumberFormat="1" applyFont="1" applyFill="1" applyBorder="1" applyAlignment="1">
      <alignment horizontal="center" vertical="top"/>
    </xf>
    <xf numFmtId="0" fontId="46" fillId="0" borderId="410" xfId="21" applyNumberFormat="1" applyFont="1" applyFill="1" applyBorder="1" applyAlignment="1">
      <alignment horizontal="center" vertical="top"/>
    </xf>
    <xf numFmtId="0" fontId="46" fillId="0" borderId="163" xfId="62" applyNumberFormat="1" applyFont="1" applyFill="1" applyBorder="1" applyAlignment="1">
      <alignment vertical="top"/>
    </xf>
    <xf numFmtId="0" fontId="41" fillId="0" borderId="0" xfId="21" applyNumberFormat="1" applyFont="1" applyFill="1" applyAlignment="1">
      <alignment vertical="top"/>
    </xf>
    <xf numFmtId="43" fontId="46" fillId="0" borderId="0" xfId="62" applyNumberFormat="1" applyFont="1" applyFill="1" applyAlignment="1">
      <alignment vertical="top"/>
    </xf>
    <xf numFmtId="43" fontId="46" fillId="0" borderId="0" xfId="62" applyFont="1" applyFill="1" applyAlignment="1">
      <alignment vertical="top" wrapText="1"/>
    </xf>
    <xf numFmtId="0" fontId="41" fillId="0" borderId="0" xfId="21" applyNumberFormat="1" applyFont="1" applyFill="1" applyAlignment="1">
      <alignment vertical="top" wrapText="1"/>
    </xf>
    <xf numFmtId="0" fontId="41" fillId="0" borderId="0" xfId="62" applyNumberFormat="1" applyFont="1" applyFill="1" applyAlignment="1">
      <alignment vertical="top"/>
    </xf>
    <xf numFmtId="43" fontId="46" fillId="0" borderId="0" xfId="21" applyNumberFormat="1" applyFont="1" applyFill="1" applyAlignment="1">
      <alignment vertical="top"/>
    </xf>
    <xf numFmtId="43" fontId="41" fillId="0" borderId="0" xfId="62" applyNumberFormat="1" applyFont="1" applyFill="1" applyAlignment="1">
      <alignment vertical="top"/>
    </xf>
    <xf numFmtId="0" fontId="236" fillId="0" borderId="0" xfId="21" applyNumberFormat="1" applyFont="1" applyFill="1" applyAlignment="1">
      <alignment horizontal="center" vertical="top" wrapText="1"/>
    </xf>
    <xf numFmtId="10" fontId="41" fillId="0" borderId="0" xfId="106" applyNumberFormat="1" applyFont="1" applyFill="1" applyBorder="1" applyAlignment="1">
      <alignment vertical="top"/>
    </xf>
    <xf numFmtId="43" fontId="41" fillId="0" borderId="0" xfId="62" applyFont="1" applyFill="1" applyBorder="1" applyAlignment="1">
      <alignment vertical="top"/>
    </xf>
    <xf numFmtId="0" fontId="41" fillId="0" borderId="0" xfId="21" applyNumberFormat="1" applyFont="1" applyFill="1" applyBorder="1" applyAlignment="1">
      <alignment horizontal="left" vertical="top"/>
    </xf>
    <xf numFmtId="0" fontId="41" fillId="0" borderId="0" xfId="21" applyNumberFormat="1" applyFont="1" applyFill="1" applyAlignment="1">
      <alignment horizontal="center" vertical="top" wrapText="1"/>
    </xf>
    <xf numFmtId="0" fontId="46" fillId="0" borderId="0" xfId="21" applyNumberFormat="1" applyFont="1" applyFill="1" applyAlignment="1">
      <alignment horizontal="right" vertical="top"/>
    </xf>
    <xf numFmtId="43" fontId="41" fillId="0" borderId="0" xfId="21" applyNumberFormat="1" applyFont="1" applyFill="1" applyBorder="1" applyAlignment="1">
      <alignment vertical="top"/>
    </xf>
    <xf numFmtId="0" fontId="41" fillId="0" borderId="303" xfId="21" applyNumberFormat="1" applyFont="1" applyFill="1" applyBorder="1" applyAlignment="1">
      <alignment vertical="center"/>
    </xf>
    <xf numFmtId="0" fontId="41" fillId="0" borderId="306" xfId="21" applyNumberFormat="1" applyFont="1" applyFill="1" applyBorder="1" applyAlignment="1">
      <alignment vertical="center"/>
    </xf>
    <xf numFmtId="43" fontId="41" fillId="0" borderId="306" xfId="62" applyFont="1" applyFill="1" applyBorder="1" applyAlignment="1">
      <alignment vertical="center"/>
    </xf>
    <xf numFmtId="0" fontId="46" fillId="0" borderId="303" xfId="21" applyNumberFormat="1" applyFont="1" applyFill="1" applyBorder="1" applyAlignment="1">
      <alignment vertical="center" wrapText="1"/>
    </xf>
    <xf numFmtId="0" fontId="46" fillId="0" borderId="316" xfId="21" applyNumberFormat="1" applyFont="1" applyFill="1" applyBorder="1" applyAlignment="1">
      <alignment vertical="center" wrapText="1"/>
    </xf>
    <xf numFmtId="0" fontId="46" fillId="0" borderId="316" xfId="21" applyNumberFormat="1" applyFont="1" applyFill="1" applyBorder="1" applyAlignment="1">
      <alignment vertical="center"/>
    </xf>
    <xf numFmtId="0" fontId="46" fillId="0" borderId="0" xfId="21" applyNumberFormat="1" applyFont="1" applyFill="1" applyAlignment="1">
      <alignment vertical="center"/>
    </xf>
    <xf numFmtId="0" fontId="46" fillId="0" borderId="0" xfId="21" applyNumberFormat="1" applyFont="1" applyFill="1" applyBorder="1" applyAlignment="1">
      <alignment vertical="center"/>
    </xf>
    <xf numFmtId="0" fontId="46" fillId="0" borderId="0" xfId="21" applyNumberFormat="1" applyFont="1" applyFill="1" applyBorder="1" applyAlignment="1">
      <alignment horizontal="center" vertical="center"/>
    </xf>
    <xf numFmtId="43" fontId="131" fillId="0" borderId="0" xfId="62" applyFont="1" applyFill="1" applyBorder="1" applyAlignment="1">
      <alignment vertical="center"/>
    </xf>
    <xf numFmtId="43" fontId="27" fillId="0" borderId="295" xfId="1" applyFont="1" applyBorder="1"/>
    <xf numFmtId="0" fontId="18" fillId="0" borderId="415" xfId="0" quotePrefix="1" applyFont="1" applyBorder="1" applyAlignment="1">
      <alignment wrapText="1"/>
    </xf>
    <xf numFmtId="0" fontId="18" fillId="0" borderId="455" xfId="0" applyFont="1" applyBorder="1"/>
    <xf numFmtId="4" fontId="18" fillId="0" borderId="536" xfId="0" applyNumberFormat="1" applyFont="1" applyBorder="1"/>
    <xf numFmtId="0" fontId="27" fillId="0" borderId="387" xfId="0" applyFont="1" applyBorder="1" applyAlignment="1">
      <alignment wrapText="1"/>
    </xf>
    <xf numFmtId="0" fontId="18" fillId="0" borderId="249" xfId="0" applyFont="1" applyBorder="1" applyAlignment="1">
      <alignment wrapText="1"/>
    </xf>
    <xf numFmtId="0" fontId="18" fillId="0" borderId="246" xfId="0" applyFont="1" applyBorder="1"/>
    <xf numFmtId="4" fontId="18" fillId="0" borderId="255" xfId="0" applyNumberFormat="1" applyFont="1" applyBorder="1"/>
    <xf numFmtId="0" fontId="62" fillId="0" borderId="0" xfId="0" applyFont="1" applyAlignment="1">
      <alignment horizontal="center"/>
    </xf>
    <xf numFmtId="0" fontId="0" fillId="0" borderId="137" xfId="0" applyBorder="1" applyAlignment="1">
      <alignment horizontal="left" vertical="center" wrapText="1" indent="5"/>
    </xf>
    <xf numFmtId="0" fontId="19" fillId="0" borderId="295" xfId="58" applyFont="1" applyBorder="1" applyProtection="1">
      <protection locked="0"/>
    </xf>
    <xf numFmtId="0" fontId="0" fillId="0" borderId="493" xfId="0" applyBorder="1"/>
    <xf numFmtId="0" fontId="0" fillId="0" borderId="537" xfId="0" applyBorder="1"/>
    <xf numFmtId="0" fontId="0" fillId="0" borderId="537" xfId="0" applyBorder="1" applyAlignment="1">
      <alignment horizontal="center"/>
    </xf>
    <xf numFmtId="0" fontId="62" fillId="0" borderId="222" xfId="0" applyFont="1" applyBorder="1"/>
    <xf numFmtId="0" fontId="62" fillId="0" borderId="215" xfId="0" applyFont="1" applyBorder="1"/>
    <xf numFmtId="0" fontId="62" fillId="0" borderId="221" xfId="0" applyFont="1" applyBorder="1"/>
    <xf numFmtId="0" fontId="62" fillId="0" borderId="120" xfId="0" applyFont="1" applyBorder="1" applyAlignment="1">
      <alignment horizontal="center"/>
    </xf>
    <xf numFmtId="0" fontId="62" fillId="0" borderId="302" xfId="0" applyFont="1" applyBorder="1" applyAlignment="1">
      <alignment horizontal="center"/>
    </xf>
    <xf numFmtId="0" fontId="62" fillId="0" borderId="306" xfId="0" applyFont="1" applyBorder="1" applyAlignment="1">
      <alignment horizontal="center"/>
    </xf>
    <xf numFmtId="0" fontId="62" fillId="0" borderId="315" xfId="0" applyFont="1" applyBorder="1" applyAlignment="1">
      <alignment horizontal="center"/>
    </xf>
    <xf numFmtId="0" fontId="62" fillId="0" borderId="316" xfId="0" applyFont="1" applyBorder="1" applyAlignment="1">
      <alignment horizontal="center"/>
    </xf>
    <xf numFmtId="0" fontId="62" fillId="0" borderId="289" xfId="0" applyFont="1" applyBorder="1" applyAlignment="1">
      <alignment vertical="center"/>
    </xf>
    <xf numFmtId="0" fontId="62" fillId="0" borderId="290" xfId="0" applyFont="1" applyBorder="1" applyAlignment="1">
      <alignment vertical="center"/>
    </xf>
    <xf numFmtId="0" fontId="62" fillId="0" borderId="308" xfId="0" applyFont="1" applyBorder="1" applyAlignment="1">
      <alignment vertical="center"/>
    </xf>
    <xf numFmtId="4" fontId="62" fillId="0" borderId="302" xfId="0" applyNumberFormat="1" applyFont="1" applyBorder="1" applyAlignment="1">
      <alignment vertical="center"/>
    </xf>
    <xf numFmtId="43" fontId="62" fillId="0" borderId="302" xfId="1" applyFont="1" applyBorder="1" applyAlignment="1">
      <alignment vertical="center"/>
    </xf>
    <xf numFmtId="3" fontId="62" fillId="0" borderId="0" xfId="0" applyNumberFormat="1" applyFont="1" applyAlignment="1">
      <alignment vertical="center"/>
    </xf>
    <xf numFmtId="0" fontId="18" fillId="0" borderId="0" xfId="21" applyFont="1" applyBorder="1"/>
    <xf numFmtId="0" fontId="18" fillId="0" borderId="537" xfId="21" applyFont="1" applyBorder="1"/>
    <xf numFmtId="0" fontId="18" fillId="0" borderId="295" xfId="21" applyFont="1" applyBorder="1"/>
    <xf numFmtId="0" fontId="27" fillId="0" borderId="445" xfId="21" applyFont="1" applyBorder="1" applyAlignment="1">
      <alignment vertical="center"/>
    </xf>
    <xf numFmtId="43" fontId="27" fillId="0" borderId="446" xfId="21" applyNumberFormat="1" applyFont="1" applyBorder="1" applyAlignment="1">
      <alignment vertical="center"/>
    </xf>
    <xf numFmtId="43" fontId="27" fillId="0" borderId="447" xfId="21" applyNumberFormat="1" applyFont="1" applyBorder="1" applyAlignment="1">
      <alignment vertical="center"/>
    </xf>
    <xf numFmtId="0" fontId="27" fillId="0" borderId="302" xfId="21" applyFont="1" applyBorder="1" applyAlignment="1">
      <alignment vertical="center"/>
    </xf>
    <xf numFmtId="0" fontId="62" fillId="0" borderId="267" xfId="0" applyFont="1" applyBorder="1" applyAlignment="1">
      <alignment vertical="center"/>
    </xf>
    <xf numFmtId="43" fontId="19" fillId="0" borderId="295" xfId="61" applyFont="1" applyBorder="1"/>
    <xf numFmtId="43" fontId="19" fillId="0" borderId="295" xfId="61" applyFont="1" applyBorder="1" applyAlignment="1">
      <alignment horizontal="right"/>
    </xf>
    <xf numFmtId="0" fontId="19" fillId="0" borderId="295" xfId="105" applyBorder="1"/>
    <xf numFmtId="4" fontId="21" fillId="0" borderId="380" xfId="21" applyNumberFormat="1" applyFont="1" applyBorder="1"/>
    <xf numFmtId="0" fontId="136" fillId="0" borderId="0" xfId="0" applyFont="1" applyAlignment="1">
      <alignment vertical="center"/>
    </xf>
    <xf numFmtId="43" fontId="136" fillId="0" borderId="486" xfId="1" applyFont="1" applyBorder="1" applyAlignment="1">
      <alignment vertical="center"/>
    </xf>
    <xf numFmtId="43" fontId="136" fillId="0" borderId="486" xfId="0" applyNumberFormat="1" applyFont="1" applyBorder="1" applyAlignment="1">
      <alignment vertical="center"/>
    </xf>
    <xf numFmtId="0" fontId="269" fillId="0" borderId="0" xfId="0" applyFont="1" applyAlignment="1">
      <alignment vertical="center"/>
    </xf>
    <xf numFmtId="43" fontId="27" fillId="0" borderId="539" xfId="74" applyNumberFormat="1" applyFont="1" applyFill="1" applyBorder="1" applyAlignment="1">
      <alignment horizontal="center" vertical="center"/>
    </xf>
    <xf numFmtId="43" fontId="62" fillId="0" borderId="539" xfId="1" applyFont="1" applyBorder="1" applyAlignment="1">
      <alignment horizontal="center" vertical="center"/>
    </xf>
    <xf numFmtId="43" fontId="62" fillId="0" borderId="539" xfId="1" applyFont="1" applyBorder="1" applyAlignment="1">
      <alignment horizontal="center" vertical="center" wrapText="1"/>
    </xf>
    <xf numFmtId="0" fontId="62" fillId="0" borderId="539" xfId="0" applyFont="1" applyBorder="1" applyAlignment="1">
      <alignment horizontal="center" vertical="center"/>
    </xf>
    <xf numFmtId="43" fontId="27" fillId="0" borderId="540" xfId="74" applyNumberFormat="1" applyFont="1" applyFill="1" applyBorder="1" applyAlignment="1">
      <alignment vertical="center"/>
    </xf>
    <xf numFmtId="43" fontId="17" fillId="0" borderId="540" xfId="1" applyFont="1" applyBorder="1" applyAlignment="1">
      <alignment vertical="center"/>
    </xf>
    <xf numFmtId="0" fontId="17" fillId="0" borderId="540" xfId="0" applyFont="1" applyBorder="1" applyAlignment="1">
      <alignment vertical="center"/>
    </xf>
    <xf numFmtId="0" fontId="17" fillId="0" borderId="0" xfId="0" applyFont="1" applyAlignment="1">
      <alignment vertical="center"/>
    </xf>
    <xf numFmtId="43" fontId="17" fillId="0" borderId="540" xfId="0" applyNumberFormat="1" applyFont="1" applyBorder="1" applyAlignment="1">
      <alignment vertical="center"/>
    </xf>
    <xf numFmtId="43" fontId="27" fillId="0" borderId="541" xfId="74" applyNumberFormat="1" applyFont="1" applyFill="1" applyBorder="1" applyAlignment="1">
      <alignment horizontal="center" vertical="center"/>
    </xf>
    <xf numFmtId="43" fontId="17" fillId="0" borderId="541" xfId="1" applyFont="1" applyBorder="1" applyAlignment="1">
      <alignment vertical="center"/>
    </xf>
    <xf numFmtId="43" fontId="17" fillId="0" borderId="541" xfId="0" applyNumberFormat="1" applyFont="1" applyBorder="1" applyAlignment="1">
      <alignment vertical="center"/>
    </xf>
    <xf numFmtId="43" fontId="105" fillId="0" borderId="486" xfId="74" applyNumberFormat="1" applyFont="1" applyFill="1" applyBorder="1" applyAlignment="1">
      <alignment horizontal="center" vertical="center"/>
    </xf>
    <xf numFmtId="43" fontId="17" fillId="0" borderId="542" xfId="1" applyFont="1" applyBorder="1" applyAlignment="1">
      <alignment vertical="center"/>
    </xf>
    <xf numFmtId="43" fontId="17" fillId="0" borderId="542" xfId="0" applyNumberFormat="1" applyFont="1" applyBorder="1" applyAlignment="1">
      <alignment vertical="center"/>
    </xf>
    <xf numFmtId="43" fontId="27" fillId="0" borderId="541" xfId="74" applyNumberFormat="1" applyFont="1" applyFill="1" applyBorder="1" applyAlignment="1">
      <alignment vertical="center"/>
    </xf>
    <xf numFmtId="43" fontId="27" fillId="0" borderId="542" xfId="74" applyNumberFormat="1" applyFont="1" applyFill="1" applyBorder="1" applyAlignment="1">
      <alignment horizontal="center" vertical="center"/>
    </xf>
    <xf numFmtId="43" fontId="27" fillId="0" borderId="540" xfId="74" applyNumberFormat="1" applyFont="1" applyFill="1" applyBorder="1" applyAlignment="1">
      <alignment horizontal="center" vertical="center"/>
    </xf>
    <xf numFmtId="43" fontId="17" fillId="0" borderId="541" xfId="1" applyFont="1" applyFill="1" applyBorder="1" applyAlignment="1">
      <alignment vertical="center"/>
    </xf>
    <xf numFmtId="0" fontId="17" fillId="0" borderId="541" xfId="0" applyFont="1" applyBorder="1" applyAlignment="1">
      <alignment vertical="center"/>
    </xf>
    <xf numFmtId="43" fontId="27" fillId="0" borderId="295" xfId="74" applyNumberFormat="1" applyFont="1" applyFill="1" applyBorder="1" applyAlignment="1">
      <alignment horizontal="center" vertical="center"/>
    </xf>
    <xf numFmtId="43" fontId="17" fillId="0" borderId="295" xfId="0" applyNumberFormat="1" applyFont="1" applyBorder="1" applyAlignment="1">
      <alignment vertical="center"/>
    </xf>
    <xf numFmtId="43" fontId="270" fillId="0" borderId="486" xfId="74" applyNumberFormat="1" applyFont="1" applyFill="1" applyBorder="1" applyAlignment="1">
      <alignment vertical="center"/>
    </xf>
    <xf numFmtId="43" fontId="269" fillId="0" borderId="486" xfId="1" applyFont="1" applyBorder="1" applyAlignment="1">
      <alignment vertical="center"/>
    </xf>
    <xf numFmtId="43" fontId="269" fillId="0" borderId="486" xfId="0" applyNumberFormat="1" applyFont="1" applyBorder="1" applyAlignment="1">
      <alignment vertical="center"/>
    </xf>
    <xf numFmtId="43" fontId="27" fillId="0" borderId="0" xfId="74" applyNumberFormat="1" applyFont="1" applyFill="1" applyAlignment="1">
      <alignment vertical="center"/>
    </xf>
    <xf numFmtId="43" fontId="271" fillId="0" borderId="540" xfId="74" applyNumberFormat="1" applyFont="1" applyFill="1" applyBorder="1" applyAlignment="1">
      <alignment vertical="center"/>
    </xf>
    <xf numFmtId="43" fontId="271" fillId="0" borderId="542" xfId="74" applyNumberFormat="1" applyFont="1" applyFill="1" applyBorder="1" applyAlignment="1">
      <alignment horizontal="left" vertical="center"/>
    </xf>
    <xf numFmtId="43" fontId="271" fillId="0" borderId="542" xfId="74" applyNumberFormat="1" applyFont="1" applyFill="1" applyBorder="1" applyAlignment="1">
      <alignment vertical="center"/>
    </xf>
    <xf numFmtId="43" fontId="271" fillId="0" borderId="540" xfId="74" applyNumberFormat="1" applyFont="1" applyFill="1" applyBorder="1" applyAlignment="1">
      <alignment horizontal="center" vertical="center"/>
    </xf>
    <xf numFmtId="43" fontId="17" fillId="0" borderId="0" xfId="0" applyNumberFormat="1" applyFont="1" applyAlignment="1">
      <alignment vertical="center"/>
    </xf>
    <xf numFmtId="43" fontId="27" fillId="0" borderId="544" xfId="74" applyNumberFormat="1" applyFont="1" applyFill="1" applyBorder="1" applyAlignment="1">
      <alignment vertical="center"/>
    </xf>
    <xf numFmtId="43" fontId="27" fillId="0" borderId="202" xfId="74" applyNumberFormat="1" applyFont="1" applyFill="1" applyBorder="1" applyAlignment="1">
      <alignment vertical="center"/>
    </xf>
    <xf numFmtId="43" fontId="0" fillId="0" borderId="0" xfId="1" applyFont="1" applyBorder="1" applyAlignment="1">
      <alignment vertical="center"/>
    </xf>
    <xf numFmtId="0" fontId="17" fillId="0" borderId="545" xfId="0" applyFont="1" applyBorder="1" applyAlignment="1">
      <alignment vertical="center"/>
    </xf>
    <xf numFmtId="43" fontId="27" fillId="0" borderId="202" xfId="74" applyNumberFormat="1" applyFont="1" applyFill="1" applyBorder="1" applyAlignment="1">
      <alignment horizontal="left" vertical="center"/>
    </xf>
    <xf numFmtId="43" fontId="17" fillId="0" borderId="0" xfId="1" applyFont="1" applyBorder="1" applyAlignment="1">
      <alignment vertical="center"/>
    </xf>
    <xf numFmtId="9" fontId="62" fillId="0" borderId="545" xfId="88" applyFont="1" applyBorder="1" applyAlignment="1">
      <alignment horizontal="center" vertical="center"/>
    </xf>
    <xf numFmtId="43" fontId="27" fillId="0" borderId="546" xfId="74" applyNumberFormat="1" applyFont="1" applyFill="1" applyBorder="1" applyAlignment="1">
      <alignment horizontal="left" vertical="center"/>
    </xf>
    <xf numFmtId="43" fontId="17" fillId="0" borderId="547" xfId="1" applyFont="1" applyBorder="1" applyAlignment="1">
      <alignment vertical="center"/>
    </xf>
    <xf numFmtId="9" fontId="62" fillId="0" borderId="548" xfId="88" applyFont="1" applyBorder="1" applyAlignment="1">
      <alignment horizontal="center" vertical="center"/>
    </xf>
    <xf numFmtId="43" fontId="17" fillId="0" borderId="538" xfId="1" applyFont="1" applyBorder="1" applyAlignment="1">
      <alignment vertical="center"/>
    </xf>
    <xf numFmtId="43" fontId="17" fillId="0" borderId="202" xfId="1" applyFont="1" applyBorder="1" applyAlignment="1">
      <alignment vertical="center"/>
    </xf>
    <xf numFmtId="43" fontId="17" fillId="0" borderId="545" xfId="1" applyFont="1" applyBorder="1" applyAlignment="1">
      <alignment vertical="center"/>
    </xf>
    <xf numFmtId="43" fontId="273" fillId="0" borderId="545" xfId="1" applyFont="1" applyBorder="1" applyAlignment="1">
      <alignment vertical="center"/>
    </xf>
    <xf numFmtId="43" fontId="62" fillId="0" borderId="546" xfId="1" applyFont="1" applyBorder="1" applyAlignment="1">
      <alignment vertical="center"/>
    </xf>
    <xf numFmtId="43" fontId="62" fillId="0" borderId="548" xfId="1" applyFont="1" applyBorder="1" applyAlignment="1">
      <alignment vertical="center"/>
    </xf>
    <xf numFmtId="43" fontId="129" fillId="0" borderId="212" xfId="5" applyNumberFormat="1" applyFont="1" applyFill="1" applyBorder="1" applyProtection="1"/>
    <xf numFmtId="43" fontId="223" fillId="0" borderId="549" xfId="1" applyFont="1" applyFill="1" applyBorder="1" applyAlignment="1" applyProtection="1">
      <alignment horizontal="left" vertical="center"/>
    </xf>
    <xf numFmtId="43" fontId="223" fillId="0" borderId="549" xfId="1" applyFont="1" applyFill="1" applyBorder="1" applyAlignment="1" applyProtection="1"/>
    <xf numFmtId="43" fontId="262" fillId="0" borderId="549" xfId="1" applyFont="1" applyFill="1" applyBorder="1" applyAlignment="1" applyProtection="1"/>
    <xf numFmtId="43" fontId="262" fillId="0" borderId="551" xfId="1" applyFont="1" applyFill="1" applyBorder="1" applyAlignment="1" applyProtection="1"/>
    <xf numFmtId="43" fontId="110" fillId="0" borderId="0" xfId="74" applyNumberFormat="1" applyFont="1" applyFill="1"/>
    <xf numFmtId="43" fontId="109" fillId="0" borderId="0" xfId="74" applyNumberFormat="1" applyFont="1" applyFill="1"/>
    <xf numFmtId="43" fontId="109" fillId="0" borderId="45" xfId="74" applyNumberFormat="1" applyFont="1" applyFill="1" applyBorder="1" applyAlignment="1">
      <alignment horizontal="center"/>
    </xf>
    <xf numFmtId="0" fontId="110" fillId="0" borderId="87" xfId="74" applyNumberFormat="1" applyFont="1" applyFill="1" applyBorder="1" applyAlignment="1">
      <alignment vertical="center" wrapText="1"/>
    </xf>
    <xf numFmtId="0" fontId="109" fillId="0" borderId="87" xfId="74" applyNumberFormat="1" applyFont="1" applyFill="1" applyBorder="1" applyAlignment="1">
      <alignment horizontal="center" vertical="center" wrapText="1"/>
    </xf>
    <xf numFmtId="0" fontId="109" fillId="0" borderId="87" xfId="74" applyNumberFormat="1" applyFont="1" applyFill="1" applyBorder="1" applyAlignment="1">
      <alignment vertical="center" wrapText="1"/>
    </xf>
    <xf numFmtId="0" fontId="110" fillId="0" borderId="0" xfId="74" applyNumberFormat="1" applyFont="1" applyFill="1" applyAlignment="1">
      <alignment vertical="center" wrapText="1"/>
    </xf>
    <xf numFmtId="43" fontId="110" fillId="0" borderId="184" xfId="74" applyNumberFormat="1" applyFont="1" applyFill="1" applyBorder="1"/>
    <xf numFmtId="43" fontId="110" fillId="0" borderId="184" xfId="74" applyNumberFormat="1" applyFont="1" applyFill="1" applyBorder="1" applyAlignment="1">
      <alignment horizontal="center"/>
    </xf>
    <xf numFmtId="43" fontId="110" fillId="0" borderId="199" xfId="74" applyNumberFormat="1" applyFont="1" applyFill="1" applyBorder="1" applyAlignment="1">
      <alignment horizontal="center"/>
    </xf>
    <xf numFmtId="43" fontId="109" fillId="0" borderId="199" xfId="74" applyNumberFormat="1" applyFont="1" applyFill="1" applyBorder="1"/>
    <xf numFmtId="43" fontId="109" fillId="0" borderId="201" xfId="74" applyNumberFormat="1" applyFont="1" applyFill="1" applyBorder="1"/>
    <xf numFmtId="43" fontId="109" fillId="0" borderId="199" xfId="74" applyNumberFormat="1" applyFont="1" applyFill="1" applyBorder="1" applyProtection="1"/>
    <xf numFmtId="43" fontId="109" fillId="0" borderId="295" xfId="74" applyNumberFormat="1" applyFont="1" applyFill="1" applyBorder="1"/>
    <xf numFmtId="43" fontId="110" fillId="0" borderId="295" xfId="93" applyNumberFormat="1" applyFont="1" applyFill="1" applyBorder="1" applyProtection="1"/>
    <xf numFmtId="43" fontId="110" fillId="0" borderId="295" xfId="93" applyNumberFormat="1" applyFont="1" applyFill="1" applyBorder="1"/>
    <xf numFmtId="43" fontId="110" fillId="0" borderId="199" xfId="93" applyNumberFormat="1" applyFont="1" applyFill="1" applyBorder="1" applyProtection="1"/>
    <xf numFmtId="43" fontId="275" fillId="0" borderId="549" xfId="1" applyFont="1" applyFill="1" applyBorder="1" applyAlignment="1" applyProtection="1"/>
    <xf numFmtId="43" fontId="109" fillId="0" borderId="16" xfId="74" applyNumberFormat="1" applyFont="1" applyFill="1" applyBorder="1" applyAlignment="1">
      <alignment horizontal="center"/>
    </xf>
    <xf numFmtId="43" fontId="110" fillId="0" borderId="201" xfId="93" applyNumberFormat="1" applyFont="1" applyFill="1" applyBorder="1"/>
    <xf numFmtId="43" fontId="110" fillId="0" borderId="212" xfId="93" applyNumberFormat="1" applyFont="1" applyFill="1" applyBorder="1"/>
    <xf numFmtId="43" fontId="110" fillId="0" borderId="199" xfId="93" applyNumberFormat="1" applyFont="1" applyFill="1" applyBorder="1"/>
    <xf numFmtId="43" fontId="109" fillId="0" borderId="45" xfId="74" applyNumberFormat="1" applyFont="1" applyFill="1" applyBorder="1" applyProtection="1"/>
    <xf numFmtId="43" fontId="110" fillId="0" borderId="201" xfId="74" applyNumberFormat="1" applyFont="1" applyFill="1" applyBorder="1"/>
    <xf numFmtId="43" fontId="110" fillId="0" borderId="212" xfId="74" applyNumberFormat="1" applyFont="1" applyFill="1" applyBorder="1"/>
    <xf numFmtId="43" fontId="110" fillId="0" borderId="199" xfId="74" applyNumberFormat="1" applyFont="1" applyFill="1" applyBorder="1"/>
    <xf numFmtId="43" fontId="275" fillId="0" borderId="551" xfId="1" applyFont="1" applyFill="1" applyBorder="1" applyAlignment="1" applyProtection="1"/>
    <xf numFmtId="43" fontId="110" fillId="0" borderId="16" xfId="74" applyNumberFormat="1" applyFont="1" applyFill="1" applyBorder="1"/>
    <xf numFmtId="43" fontId="110" fillId="0" borderId="17" xfId="74" applyNumberFormat="1" applyFont="1" applyFill="1" applyBorder="1"/>
    <xf numFmtId="43" fontId="109" fillId="0" borderId="17" xfId="74" applyNumberFormat="1" applyFont="1" applyFill="1" applyBorder="1" applyProtection="1"/>
    <xf numFmtId="43" fontId="109" fillId="0" borderId="88" xfId="74" applyNumberFormat="1" applyFont="1" applyFill="1" applyBorder="1"/>
    <xf numFmtId="43" fontId="109" fillId="0" borderId="88" xfId="74" applyNumberFormat="1" applyFont="1" applyFill="1" applyBorder="1" applyProtection="1"/>
    <xf numFmtId="43" fontId="62" fillId="0" borderId="0" xfId="1" applyFont="1"/>
    <xf numFmtId="0" fontId="19" fillId="0" borderId="483" xfId="74" applyFont="1" applyFill="1" applyBorder="1" applyAlignment="1">
      <alignment horizontal="center"/>
    </xf>
    <xf numFmtId="43" fontId="19" fillId="0" borderId="295" xfId="5" applyFont="1" applyFill="1" applyBorder="1" applyAlignment="1">
      <alignment horizontal="center"/>
    </xf>
    <xf numFmtId="43" fontId="21" fillId="0" borderId="295" xfId="5" applyFont="1" applyFill="1" applyBorder="1" applyAlignment="1">
      <alignment horizontal="center"/>
    </xf>
    <xf numFmtId="43" fontId="129" fillId="0" borderId="295" xfId="5" applyFont="1" applyFill="1" applyBorder="1" applyProtection="1"/>
    <xf numFmtId="0" fontId="18" fillId="0" borderId="295" xfId="30" applyFont="1" applyBorder="1" applyAlignment="1" applyProtection="1">
      <alignment horizontal="right"/>
      <protection locked="0"/>
    </xf>
    <xf numFmtId="0" fontId="276" fillId="0" borderId="0" xfId="30" applyFont="1"/>
    <xf numFmtId="0" fontId="21" fillId="13" borderId="554" xfId="2" applyFont="1" applyFill="1" applyBorder="1" applyAlignment="1">
      <alignment horizontal="center" vertical="center"/>
    </xf>
    <xf numFmtId="0" fontId="21" fillId="13" borderId="434" xfId="2" applyFont="1" applyFill="1" applyBorder="1" applyAlignment="1" applyProtection="1">
      <alignment horizontal="center" vertical="center"/>
      <protection locked="0"/>
    </xf>
    <xf numFmtId="0" fontId="35" fillId="0" borderId="0" xfId="30" applyFont="1" applyAlignment="1" applyProtection="1">
      <alignment horizontal="centerContinuous"/>
      <protection locked="0"/>
    </xf>
    <xf numFmtId="0" fontId="18" fillId="0" borderId="0" xfId="30" applyFont="1" applyAlignment="1" applyProtection="1">
      <alignment horizontal="centerContinuous"/>
      <protection locked="0"/>
    </xf>
    <xf numFmtId="0" fontId="18" fillId="0" borderId="0" xfId="30" applyFont="1" applyBorder="1" applyProtection="1">
      <protection locked="0"/>
    </xf>
    <xf numFmtId="0" fontId="27" fillId="0" borderId="0" xfId="30" applyFont="1" applyBorder="1" applyAlignment="1" applyProtection="1">
      <alignment horizontal="center"/>
      <protection locked="0"/>
    </xf>
    <xf numFmtId="0" fontId="27" fillId="0" borderId="5" xfId="30" applyFont="1" applyBorder="1" applyAlignment="1" applyProtection="1">
      <alignment horizontal="center"/>
      <protection locked="0"/>
    </xf>
    <xf numFmtId="0" fontId="27" fillId="0" borderId="4" xfId="30" applyFont="1" applyBorder="1" applyAlignment="1" applyProtection="1">
      <alignment horizontal="center"/>
      <protection locked="0"/>
    </xf>
    <xf numFmtId="0" fontId="27" fillId="0" borderId="1" xfId="30" applyFont="1" applyBorder="1" applyAlignment="1" applyProtection="1">
      <alignment horizontal="center"/>
      <protection locked="0"/>
    </xf>
    <xf numFmtId="0" fontId="27" fillId="0" borderId="7" xfId="30" applyFont="1" applyBorder="1" applyAlignment="1" applyProtection="1">
      <alignment horizontal="center"/>
      <protection locked="0"/>
    </xf>
    <xf numFmtId="0" fontId="27" fillId="0" borderId="8" xfId="30" applyFont="1" applyBorder="1" applyAlignment="1" applyProtection="1">
      <alignment horizontal="center"/>
      <protection locked="0"/>
    </xf>
    <xf numFmtId="0" fontId="18" fillId="0" borderId="5" xfId="30" applyFont="1" applyBorder="1" applyProtection="1">
      <protection locked="0"/>
    </xf>
    <xf numFmtId="0" fontId="18" fillId="0" borderId="4" xfId="30" applyFont="1" applyBorder="1" applyProtection="1">
      <protection locked="0"/>
    </xf>
    <xf numFmtId="0" fontId="18" fillId="0" borderId="558" xfId="30" applyFont="1" applyBorder="1" applyProtection="1">
      <protection locked="0"/>
    </xf>
    <xf numFmtId="0" fontId="18" fillId="0" borderId="5" xfId="30" applyFont="1" applyBorder="1" applyAlignment="1" applyProtection="1">
      <alignment horizontal="right"/>
      <protection locked="0"/>
    </xf>
    <xf numFmtId="0" fontId="18" fillId="0" borderId="300" xfId="30" applyFont="1" applyBorder="1" applyProtection="1">
      <protection locked="0"/>
    </xf>
    <xf numFmtId="4" fontId="18" fillId="0" borderId="4" xfId="30" applyNumberFormat="1" applyFont="1" applyBorder="1" applyProtection="1"/>
    <xf numFmtId="0" fontId="27" fillId="0" borderId="0" xfId="30" applyFont="1" applyBorder="1" applyProtection="1">
      <protection locked="0"/>
    </xf>
    <xf numFmtId="4" fontId="18" fillId="0" borderId="4" xfId="30" applyNumberFormat="1" applyFont="1" applyBorder="1" applyProtection="1">
      <protection locked="0"/>
    </xf>
    <xf numFmtId="0" fontId="18" fillId="0" borderId="2" xfId="30" applyFont="1" applyBorder="1" applyProtection="1">
      <protection locked="0"/>
    </xf>
    <xf numFmtId="4" fontId="18" fillId="0" borderId="558" xfId="30" applyNumberFormat="1" applyFont="1" applyBorder="1" applyProtection="1">
      <protection locked="0"/>
    </xf>
    <xf numFmtId="49" fontId="18" fillId="0" borderId="2" xfId="30" applyNumberFormat="1" applyFont="1" applyBorder="1" applyProtection="1">
      <protection locked="0"/>
    </xf>
    <xf numFmtId="49" fontId="18" fillId="0" borderId="300" xfId="30" applyNumberFormat="1" applyFont="1" applyBorder="1" applyProtection="1">
      <protection locked="0"/>
    </xf>
    <xf numFmtId="49" fontId="18" fillId="0" borderId="2" xfId="30" applyNumberFormat="1" applyFont="1" applyFill="1" applyBorder="1" applyProtection="1">
      <protection locked="0"/>
    </xf>
    <xf numFmtId="0" fontId="18" fillId="0" borderId="0" xfId="30" applyFont="1" applyFill="1" applyBorder="1" applyProtection="1">
      <protection locked="0"/>
    </xf>
    <xf numFmtId="0" fontId="18" fillId="0" borderId="5" xfId="30" applyFont="1" applyFill="1" applyBorder="1" applyAlignment="1" applyProtection="1">
      <alignment horizontal="right"/>
      <protection locked="0"/>
    </xf>
    <xf numFmtId="4" fontId="18" fillId="0" borderId="0" xfId="30" applyNumberFormat="1" applyFont="1" applyProtection="1">
      <protection locked="0"/>
    </xf>
    <xf numFmtId="10" fontId="19" fillId="13" borderId="558" xfId="88" applyNumberFormat="1" applyFont="1" applyFill="1" applyBorder="1" applyProtection="1">
      <protection locked="0"/>
    </xf>
    <xf numFmtId="0" fontId="18" fillId="0" borderId="1" xfId="30" applyFont="1" applyBorder="1" applyProtection="1">
      <protection locked="0"/>
    </xf>
    <xf numFmtId="0" fontId="18" fillId="0" borderId="433" xfId="30" applyFont="1" applyBorder="1" applyProtection="1">
      <protection locked="0"/>
    </xf>
    <xf numFmtId="0" fontId="27" fillId="0" borderId="558" xfId="30" applyFont="1" applyBorder="1" applyAlignment="1" applyProtection="1">
      <alignment horizontal="center"/>
      <protection locked="0"/>
    </xf>
    <xf numFmtId="0" fontId="18" fillId="0" borderId="6" xfId="30" applyFont="1" applyBorder="1" applyProtection="1">
      <protection locked="0"/>
    </xf>
    <xf numFmtId="0" fontId="27" fillId="0" borderId="434" xfId="30" applyFont="1" applyBorder="1" applyAlignment="1" applyProtection="1">
      <alignment horizontal="center"/>
      <protection locked="0"/>
    </xf>
    <xf numFmtId="4" fontId="18" fillId="0" borderId="4" xfId="30" applyNumberFormat="1" applyFont="1" applyBorder="1" applyProtection="1">
      <protection hidden="1"/>
    </xf>
    <xf numFmtId="4" fontId="18" fillId="0" borderId="558" xfId="30" applyNumberFormat="1" applyFont="1" applyBorder="1" applyProtection="1">
      <protection hidden="1"/>
    </xf>
    <xf numFmtId="4" fontId="18" fillId="0" borderId="558" xfId="30" applyNumberFormat="1" applyFont="1" applyBorder="1" applyProtection="1"/>
    <xf numFmtId="4" fontId="27" fillId="0" borderId="11" xfId="30" applyNumberFormat="1" applyFont="1" applyBorder="1" applyProtection="1">
      <protection locked="0"/>
    </xf>
    <xf numFmtId="4" fontId="27" fillId="0" borderId="510" xfId="30" applyNumberFormat="1" applyFont="1" applyBorder="1" applyProtection="1">
      <protection locked="0"/>
    </xf>
    <xf numFmtId="4" fontId="18" fillId="15" borderId="558" xfId="30" applyNumberFormat="1" applyFont="1" applyFill="1" applyBorder="1" applyProtection="1">
      <protection locked="0"/>
    </xf>
    <xf numFmtId="10" fontId="18" fillId="15" borderId="558" xfId="88" applyNumberFormat="1" applyFont="1" applyFill="1" applyBorder="1" applyProtection="1">
      <protection locked="0"/>
    </xf>
    <xf numFmtId="4" fontId="18" fillId="0" borderId="4" xfId="30" applyNumberFormat="1" applyFont="1" applyFill="1" applyBorder="1" applyProtection="1">
      <protection locked="0"/>
    </xf>
    <xf numFmtId="4" fontId="18" fillId="0" borderId="9" xfId="30" applyNumberFormat="1" applyFont="1" applyFill="1" applyBorder="1" applyProtection="1">
      <protection locked="0"/>
    </xf>
    <xf numFmtId="4" fontId="18" fillId="0" borderId="548" xfId="30" applyNumberFormat="1" applyFont="1" applyFill="1" applyBorder="1" applyProtection="1">
      <protection locked="0"/>
    </xf>
    <xf numFmtId="0" fontId="27" fillId="0" borderId="0" xfId="30" applyFont="1" applyFill="1" applyBorder="1" applyProtection="1">
      <protection locked="0"/>
    </xf>
    <xf numFmtId="4" fontId="27" fillId="0" borderId="11" xfId="30" applyNumberFormat="1" applyFont="1" applyFill="1" applyBorder="1" applyProtection="1">
      <protection locked="0"/>
    </xf>
    <xf numFmtId="4" fontId="27" fillId="0" borderId="510" xfId="30" applyNumberFormat="1" applyFont="1" applyFill="1" applyBorder="1" applyProtection="1">
      <protection locked="0"/>
    </xf>
    <xf numFmtId="49" fontId="18" fillId="0" borderId="12" xfId="30" applyNumberFormat="1" applyFont="1" applyBorder="1" applyProtection="1">
      <protection locked="0"/>
    </xf>
    <xf numFmtId="0" fontId="18" fillId="0" borderId="13" xfId="30" applyFont="1" applyBorder="1" applyProtection="1">
      <protection locked="0"/>
    </xf>
    <xf numFmtId="0" fontId="18" fillId="0" borderId="10" xfId="30" applyFont="1" applyBorder="1" applyAlignment="1" applyProtection="1">
      <alignment horizontal="right"/>
      <protection locked="0"/>
    </xf>
    <xf numFmtId="4" fontId="18" fillId="0" borderId="9" xfId="30" applyNumberFormat="1" applyFont="1" applyBorder="1" applyProtection="1">
      <protection locked="0"/>
    </xf>
    <xf numFmtId="4" fontId="18" fillId="0" borderId="548" xfId="30" applyNumberFormat="1" applyFont="1" applyBorder="1" applyProtection="1">
      <protection locked="0"/>
    </xf>
    <xf numFmtId="0" fontId="276" fillId="0" borderId="129" xfId="30" applyFont="1" applyBorder="1" applyProtection="1">
      <protection locked="0"/>
    </xf>
    <xf numFmtId="0" fontId="277" fillId="0" borderId="125" xfId="30" applyFont="1" applyBorder="1" applyProtection="1">
      <protection locked="0"/>
    </xf>
    <xf numFmtId="0" fontId="276" fillId="0" borderId="122" xfId="30" applyFont="1" applyBorder="1" applyAlignment="1" applyProtection="1">
      <alignment horizontal="right"/>
      <protection locked="0"/>
    </xf>
    <xf numFmtId="4" fontId="277" fillId="0" borderId="123" xfId="30" applyNumberFormat="1" applyFont="1" applyBorder="1" applyProtection="1">
      <protection locked="0"/>
    </xf>
    <xf numFmtId="4" fontId="277" fillId="0" borderId="510" xfId="30" applyNumberFormat="1" applyFont="1" applyBorder="1" applyProtection="1">
      <protection locked="0"/>
    </xf>
    <xf numFmtId="0" fontId="19" fillId="0" borderId="433" xfId="2" applyFont="1" applyBorder="1" applyProtection="1">
      <protection locked="0"/>
    </xf>
    <xf numFmtId="0" fontId="21" fillId="0" borderId="558" xfId="2" applyFont="1" applyBorder="1" applyAlignment="1" applyProtection="1">
      <alignment horizontal="center"/>
      <protection locked="0"/>
    </xf>
    <xf numFmtId="0" fontId="19" fillId="0" borderId="558" xfId="2" applyFont="1" applyBorder="1" applyProtection="1">
      <protection locked="0"/>
    </xf>
    <xf numFmtId="43" fontId="19" fillId="0" borderId="558" xfId="1" applyFont="1" applyBorder="1" applyProtection="1">
      <protection locked="0"/>
    </xf>
    <xf numFmtId="4" fontId="19" fillId="0" borderId="558" xfId="46" applyNumberFormat="1" applyFont="1" applyBorder="1" applyProtection="1">
      <protection locked="0"/>
    </xf>
    <xf numFmtId="43" fontId="21" fillId="0" borderId="510" xfId="2" applyNumberFormat="1" applyFont="1" applyBorder="1" applyProtection="1">
      <protection locked="0"/>
    </xf>
    <xf numFmtId="43" fontId="19" fillId="0" borderId="558" xfId="7" applyFont="1" applyBorder="1" applyProtection="1">
      <protection locked="0"/>
    </xf>
    <xf numFmtId="4" fontId="19" fillId="0" borderId="558" xfId="2" applyNumberFormat="1" applyFont="1" applyBorder="1" applyProtection="1">
      <protection locked="0"/>
    </xf>
    <xf numFmtId="4" fontId="19" fillId="0" borderId="548" xfId="2" applyNumberFormat="1" applyFont="1" applyBorder="1" applyProtection="1">
      <protection locked="0"/>
    </xf>
    <xf numFmtId="2" fontId="19" fillId="0" borderId="548" xfId="2" applyNumberFormat="1" applyFont="1" applyBorder="1" applyProtection="1">
      <protection locked="0"/>
    </xf>
    <xf numFmtId="2" fontId="19" fillId="0" borderId="9" xfId="7" applyNumberFormat="1" applyFont="1" applyBorder="1" applyProtection="1">
      <protection locked="0"/>
    </xf>
    <xf numFmtId="2" fontId="21" fillId="0" borderId="548" xfId="2" applyNumberFormat="1" applyFont="1" applyBorder="1" applyProtection="1">
      <protection locked="0"/>
    </xf>
    <xf numFmtId="2" fontId="21" fillId="0" borderId="237" xfId="7" applyNumberFormat="1" applyFont="1" applyBorder="1" applyProtection="1">
      <protection locked="0"/>
    </xf>
    <xf numFmtId="4" fontId="19" fillId="0" borderId="556" xfId="2" applyNumberFormat="1" applyFont="1" applyBorder="1" applyProtection="1">
      <protection locked="0"/>
    </xf>
    <xf numFmtId="39" fontId="19" fillId="13" borderId="558" xfId="1" applyNumberFormat="1" applyFont="1" applyFill="1" applyBorder="1" applyProtection="1">
      <protection locked="0"/>
    </xf>
    <xf numFmtId="39" fontId="19" fillId="13" borderId="295" xfId="1" applyNumberFormat="1" applyFont="1" applyFill="1" applyBorder="1" applyProtection="1">
      <protection locked="0"/>
    </xf>
    <xf numFmtId="43" fontId="19" fillId="13" borderId="558" xfId="7" applyFont="1" applyFill="1" applyBorder="1" applyProtection="1">
      <protection locked="0"/>
    </xf>
    <xf numFmtId="43" fontId="19" fillId="13" borderId="548" xfId="7" applyFont="1" applyFill="1" applyBorder="1" applyProtection="1">
      <protection locked="0"/>
    </xf>
    <xf numFmtId="4" fontId="18" fillId="16" borderId="558" xfId="30" applyNumberFormat="1" applyFont="1" applyFill="1" applyBorder="1" applyProtection="1">
      <protection locked="0"/>
    </xf>
    <xf numFmtId="10" fontId="18" fillId="16" borderId="558" xfId="88" applyNumberFormat="1" applyFont="1" applyFill="1" applyBorder="1" applyProtection="1">
      <protection locked="0"/>
    </xf>
    <xf numFmtId="4" fontId="18" fillId="17" borderId="558" xfId="30" applyNumberFormat="1" applyFont="1" applyFill="1" applyBorder="1" applyProtection="1">
      <protection locked="0"/>
    </xf>
    <xf numFmtId="10" fontId="18" fillId="17" borderId="558" xfId="88" applyNumberFormat="1" applyFont="1" applyFill="1" applyBorder="1" applyProtection="1">
      <protection locked="0"/>
    </xf>
    <xf numFmtId="43" fontId="18" fillId="0" borderId="295" xfId="1" applyFont="1" applyBorder="1" applyProtection="1">
      <protection locked="0"/>
    </xf>
    <xf numFmtId="0" fontId="35" fillId="0" borderId="0" xfId="2" applyFont="1" applyAlignment="1" applyProtection="1">
      <alignment horizontal="centerContinuous"/>
      <protection locked="0"/>
    </xf>
    <xf numFmtId="0" fontId="18" fillId="0" borderId="0" xfId="2" applyFont="1" applyAlignment="1" applyProtection="1">
      <alignment horizontal="centerContinuous"/>
      <protection locked="0"/>
    </xf>
    <xf numFmtId="0" fontId="27" fillId="0" borderId="0" xfId="2" applyFont="1" applyProtection="1">
      <protection locked="0"/>
    </xf>
    <xf numFmtId="0" fontId="18" fillId="0" borderId="0" xfId="2" applyFont="1" applyBorder="1" applyProtection="1">
      <protection locked="0"/>
    </xf>
    <xf numFmtId="0" fontId="18" fillId="0" borderId="1" xfId="2" applyFont="1" applyBorder="1" applyProtection="1">
      <protection locked="0"/>
    </xf>
    <xf numFmtId="0" fontId="27" fillId="0" borderId="0" xfId="2" applyFont="1" applyBorder="1" applyAlignment="1" applyProtection="1">
      <alignment horizontal="center"/>
      <protection locked="0"/>
    </xf>
    <xf numFmtId="0" fontId="27" fillId="0" borderId="5" xfId="2" applyFont="1" applyBorder="1" applyAlignment="1" applyProtection="1">
      <alignment horizontal="center"/>
      <protection locked="0"/>
    </xf>
    <xf numFmtId="43" fontId="27" fillId="0" borderId="556" xfId="1" applyFont="1" applyBorder="1"/>
    <xf numFmtId="43" fontId="112" fillId="0" borderId="295" xfId="1" applyFont="1" applyBorder="1" applyAlignment="1" applyProtection="1">
      <alignment horizontal="center"/>
      <protection locked="0"/>
    </xf>
    <xf numFmtId="0" fontId="18" fillId="0" borderId="6" xfId="2" applyFont="1" applyBorder="1" applyProtection="1">
      <protection locked="0"/>
    </xf>
    <xf numFmtId="0" fontId="27" fillId="0" borderId="1" xfId="2" applyFont="1" applyBorder="1" applyAlignment="1" applyProtection="1">
      <alignment horizontal="center"/>
      <protection locked="0"/>
    </xf>
    <xf numFmtId="0" fontId="27" fillId="0" borderId="7" xfId="2" applyFont="1" applyBorder="1" applyAlignment="1" applyProtection="1">
      <alignment horizontal="center"/>
      <protection locked="0"/>
    </xf>
    <xf numFmtId="43" fontId="18" fillId="0" borderId="295" xfId="1" applyFont="1" applyBorder="1"/>
    <xf numFmtId="0" fontId="18" fillId="0" borderId="5" xfId="2" applyFont="1" applyBorder="1" applyProtection="1">
      <protection locked="0"/>
    </xf>
    <xf numFmtId="0" fontId="18" fillId="0" borderId="0" xfId="45" applyFont="1" applyBorder="1" applyProtection="1">
      <protection locked="0"/>
    </xf>
    <xf numFmtId="0" fontId="18" fillId="0" borderId="2" xfId="46" applyFont="1" applyBorder="1" applyProtection="1">
      <protection locked="0"/>
    </xf>
    <xf numFmtId="0" fontId="18" fillId="0" borderId="0" xfId="46" applyFont="1" applyBorder="1" applyProtection="1">
      <protection locked="0"/>
    </xf>
    <xf numFmtId="0" fontId="18" fillId="0" borderId="5" xfId="46" applyFont="1" applyBorder="1" applyAlignment="1" applyProtection="1">
      <alignment horizontal="right"/>
      <protection locked="0"/>
    </xf>
    <xf numFmtId="0" fontId="18" fillId="0" borderId="5" xfId="2" applyFont="1" applyBorder="1" applyAlignment="1" applyProtection="1">
      <alignment horizontal="right"/>
      <protection locked="0"/>
    </xf>
    <xf numFmtId="0" fontId="27" fillId="0" borderId="5" xfId="2" applyFont="1" applyBorder="1" applyProtection="1">
      <protection locked="0"/>
    </xf>
    <xf numFmtId="43" fontId="112" fillId="0" borderId="11" xfId="7" applyFont="1" applyBorder="1" applyProtection="1">
      <protection locked="0"/>
    </xf>
    <xf numFmtId="0" fontId="18" fillId="0" borderId="0" xfId="2" applyFont="1" applyFill="1" applyBorder="1" applyProtection="1">
      <protection locked="0"/>
    </xf>
    <xf numFmtId="0" fontId="18" fillId="0" borderId="212" xfId="2" applyFont="1" applyBorder="1" applyAlignment="1" applyProtection="1">
      <alignment horizontal="right"/>
      <protection locked="0"/>
    </xf>
    <xf numFmtId="0" fontId="18" fillId="0" borderId="2" xfId="47" applyFont="1" applyBorder="1" applyProtection="1">
      <protection locked="0"/>
    </xf>
    <xf numFmtId="0" fontId="18" fillId="0" borderId="0" xfId="47" applyFont="1" applyBorder="1" applyProtection="1">
      <protection locked="0"/>
    </xf>
    <xf numFmtId="3" fontId="18" fillId="0" borderId="5" xfId="47" applyNumberFormat="1" applyFont="1" applyBorder="1" applyAlignment="1" applyProtection="1">
      <alignment horizontal="right"/>
      <protection locked="0"/>
    </xf>
    <xf numFmtId="0" fontId="18" fillId="0" borderId="0" xfId="47" applyFont="1"/>
    <xf numFmtId="0" fontId="18" fillId="0" borderId="211" xfId="47" applyFont="1" applyBorder="1" applyProtection="1">
      <protection locked="0"/>
    </xf>
    <xf numFmtId="3" fontId="18" fillId="0" borderId="212" xfId="47" applyNumberFormat="1" applyFont="1" applyBorder="1" applyAlignment="1" applyProtection="1">
      <alignment horizontal="right"/>
      <protection locked="0"/>
    </xf>
    <xf numFmtId="0" fontId="27" fillId="0" borderId="0" xfId="2" applyFont="1" applyBorder="1" applyProtection="1">
      <protection locked="0"/>
    </xf>
    <xf numFmtId="4" fontId="18" fillId="0" borderId="0" xfId="2" applyNumberFormat="1" applyFont="1"/>
    <xf numFmtId="0" fontId="18" fillId="0" borderId="14" xfId="2" applyFont="1" applyBorder="1" applyProtection="1">
      <protection locked="0"/>
    </xf>
    <xf numFmtId="0" fontId="18" fillId="0" borderId="15" xfId="2" applyFont="1" applyBorder="1" applyProtection="1">
      <protection locked="0"/>
    </xf>
    <xf numFmtId="0" fontId="18" fillId="0" borderId="16" xfId="2" applyFont="1" applyBorder="1" applyAlignment="1" applyProtection="1">
      <alignment horizontal="right"/>
      <protection locked="0"/>
    </xf>
    <xf numFmtId="43" fontId="18" fillId="0" borderId="16" xfId="1" applyFont="1" applyBorder="1"/>
    <xf numFmtId="0" fontId="18" fillId="0" borderId="0" xfId="2" applyFont="1" applyAlignment="1" applyProtection="1">
      <protection locked="0"/>
    </xf>
    <xf numFmtId="0" fontId="18" fillId="0" borderId="300" xfId="2" applyFont="1" applyBorder="1" applyProtection="1">
      <protection locked="0"/>
    </xf>
    <xf numFmtId="0" fontId="18" fillId="0" borderId="295" xfId="2" applyFont="1" applyBorder="1" applyAlignment="1" applyProtection="1">
      <alignment horizontal="right"/>
      <protection locked="0"/>
    </xf>
    <xf numFmtId="0" fontId="18" fillId="0" borderId="477" xfId="30" applyFont="1" applyBorder="1" applyProtection="1">
      <protection locked="0"/>
    </xf>
    <xf numFmtId="0" fontId="27" fillId="0" borderId="559" xfId="30" applyFont="1" applyBorder="1" applyAlignment="1" applyProtection="1">
      <alignment horizontal="center"/>
      <protection locked="0"/>
    </xf>
    <xf numFmtId="0" fontId="27" fillId="0" borderId="478" xfId="30" applyFont="1" applyBorder="1" applyAlignment="1" applyProtection="1">
      <alignment horizontal="center"/>
      <protection locked="0"/>
    </xf>
    <xf numFmtId="0" fontId="27" fillId="0" borderId="479" xfId="30" applyFont="1" applyBorder="1" applyAlignment="1" applyProtection="1">
      <alignment horizontal="center"/>
      <protection locked="0"/>
    </xf>
    <xf numFmtId="0" fontId="27" fillId="0" borderId="295" xfId="30" applyFont="1" applyBorder="1" applyAlignment="1" applyProtection="1">
      <alignment horizontal="center"/>
      <protection locked="0"/>
    </xf>
    <xf numFmtId="0" fontId="27" fillId="0" borderId="560" xfId="30" applyFont="1" applyBorder="1" applyAlignment="1" applyProtection="1">
      <alignment horizontal="center"/>
      <protection locked="0"/>
    </xf>
    <xf numFmtId="0" fontId="18" fillId="0" borderId="258" xfId="30" applyFont="1" applyBorder="1" applyProtection="1">
      <protection locked="0"/>
    </xf>
    <xf numFmtId="0" fontId="27" fillId="0" borderId="433" xfId="30" applyFont="1" applyBorder="1" applyAlignment="1" applyProtection="1">
      <alignment horizontal="center"/>
      <protection locked="0"/>
    </xf>
    <xf numFmtId="0" fontId="27" fillId="0" borderId="246" xfId="30" applyFont="1" applyBorder="1" applyAlignment="1" applyProtection="1">
      <alignment horizontal="center"/>
      <protection locked="0"/>
    </xf>
    <xf numFmtId="4" fontId="18" fillId="18" borderId="558" xfId="30" applyNumberFormat="1" applyFont="1" applyFill="1" applyBorder="1" applyProtection="1">
      <protection locked="0"/>
    </xf>
    <xf numFmtId="10" fontId="18" fillId="18" borderId="558" xfId="88" applyNumberFormat="1" applyFont="1" applyFill="1" applyBorder="1" applyProtection="1">
      <protection locked="0"/>
    </xf>
    <xf numFmtId="2" fontId="19" fillId="13" borderId="558" xfId="7" applyNumberFormat="1" applyFont="1" applyFill="1" applyBorder="1" applyProtection="1">
      <protection locked="0"/>
    </xf>
    <xf numFmtId="9" fontId="19" fillId="13" borderId="558" xfId="88" applyNumberFormat="1" applyFont="1" applyFill="1" applyBorder="1" applyProtection="1">
      <protection locked="0"/>
    </xf>
    <xf numFmtId="4" fontId="18" fillId="0" borderId="560" xfId="30" applyNumberFormat="1" applyFont="1" applyBorder="1" applyProtection="1">
      <protection locked="0"/>
    </xf>
    <xf numFmtId="4" fontId="18" fillId="21" borderId="558" xfId="30" applyNumberFormat="1" applyFont="1" applyFill="1" applyBorder="1" applyProtection="1">
      <protection locked="0"/>
    </xf>
    <xf numFmtId="10" fontId="18" fillId="21" borderId="558" xfId="88" applyNumberFormat="1" applyFont="1" applyFill="1" applyBorder="1" applyProtection="1">
      <protection locked="0"/>
    </xf>
    <xf numFmtId="4" fontId="18" fillId="21" borderId="560" xfId="30" applyNumberFormat="1" applyFont="1" applyFill="1" applyBorder="1" applyProtection="1">
      <protection locked="0"/>
    </xf>
    <xf numFmtId="4" fontId="18" fillId="22" borderId="558" xfId="30" applyNumberFormat="1" applyFont="1" applyFill="1" applyBorder="1" applyProtection="1">
      <protection locked="0"/>
    </xf>
    <xf numFmtId="10" fontId="18" fillId="22" borderId="558" xfId="88" applyNumberFormat="1" applyFont="1" applyFill="1" applyBorder="1" applyProtection="1">
      <protection locked="0"/>
    </xf>
    <xf numFmtId="4" fontId="18" fillId="22" borderId="560" xfId="30" applyNumberFormat="1" applyFont="1" applyFill="1" applyBorder="1" applyProtection="1">
      <protection locked="0"/>
    </xf>
    <xf numFmtId="4" fontId="18" fillId="14" borderId="558" xfId="30" applyNumberFormat="1" applyFont="1" applyFill="1" applyBorder="1" applyProtection="1">
      <protection locked="0"/>
    </xf>
    <xf numFmtId="10" fontId="18" fillId="14" borderId="558" xfId="88" applyNumberFormat="1" applyFont="1" applyFill="1" applyBorder="1" applyProtection="1">
      <protection locked="0"/>
    </xf>
    <xf numFmtId="4" fontId="18" fillId="14" borderId="560" xfId="30" applyNumberFormat="1" applyFont="1" applyFill="1" applyBorder="1" applyProtection="1">
      <protection locked="0"/>
    </xf>
    <xf numFmtId="4" fontId="18" fillId="24" borderId="558" xfId="30" applyNumberFormat="1" applyFont="1" applyFill="1" applyBorder="1" applyProtection="1">
      <protection locked="0"/>
    </xf>
    <xf numFmtId="10" fontId="18" fillId="24" borderId="558" xfId="88" applyNumberFormat="1" applyFont="1" applyFill="1" applyBorder="1" applyProtection="1">
      <protection locked="0"/>
    </xf>
    <xf numFmtId="4" fontId="18" fillId="24" borderId="560" xfId="30" applyNumberFormat="1" applyFont="1" applyFill="1" applyBorder="1" applyProtection="1">
      <protection locked="0"/>
    </xf>
    <xf numFmtId="4" fontId="18" fillId="25" borderId="558" xfId="30" applyNumberFormat="1" applyFont="1" applyFill="1" applyBorder="1" applyProtection="1">
      <protection locked="0"/>
    </xf>
    <xf numFmtId="10" fontId="18" fillId="25" borderId="558" xfId="88" applyNumberFormat="1" applyFont="1" applyFill="1" applyBorder="1" applyProtection="1">
      <protection locked="0"/>
    </xf>
    <xf numFmtId="4" fontId="18" fillId="25" borderId="560" xfId="30" applyNumberFormat="1" applyFont="1" applyFill="1" applyBorder="1" applyProtection="1">
      <protection locked="0"/>
    </xf>
    <xf numFmtId="4" fontId="18" fillId="26" borderId="558" xfId="30" applyNumberFormat="1" applyFont="1" applyFill="1" applyBorder="1" applyProtection="1">
      <protection locked="0"/>
    </xf>
    <xf numFmtId="10" fontId="18" fillId="26" borderId="558" xfId="88" applyNumberFormat="1" applyFont="1" applyFill="1" applyBorder="1" applyProtection="1">
      <protection locked="0"/>
    </xf>
    <xf numFmtId="4" fontId="18" fillId="26" borderId="560" xfId="30" applyNumberFormat="1" applyFont="1" applyFill="1" applyBorder="1" applyProtection="1">
      <protection locked="0"/>
    </xf>
    <xf numFmtId="4" fontId="18" fillId="27" borderId="558" xfId="30" applyNumberFormat="1" applyFont="1" applyFill="1" applyBorder="1" applyProtection="1">
      <protection locked="0"/>
    </xf>
    <xf numFmtId="10" fontId="18" fillId="27" borderId="558" xfId="88" applyNumberFormat="1" applyFont="1" applyFill="1" applyBorder="1" applyProtection="1">
      <protection locked="0"/>
    </xf>
    <xf numFmtId="4" fontId="18" fillId="27" borderId="560" xfId="30" applyNumberFormat="1" applyFont="1" applyFill="1" applyBorder="1" applyProtection="1">
      <protection locked="0"/>
    </xf>
    <xf numFmtId="4" fontId="18" fillId="28" borderId="558" xfId="30" applyNumberFormat="1" applyFont="1" applyFill="1" applyBorder="1" applyProtection="1">
      <protection locked="0"/>
    </xf>
    <xf numFmtId="10" fontId="18" fillId="28" borderId="558" xfId="88" applyNumberFormat="1" applyFont="1" applyFill="1" applyBorder="1" applyProtection="1">
      <protection locked="0"/>
    </xf>
    <xf numFmtId="4" fontId="18" fillId="28" borderId="560" xfId="30" applyNumberFormat="1" applyFont="1" applyFill="1" applyBorder="1" applyProtection="1">
      <protection locked="0"/>
    </xf>
    <xf numFmtId="4" fontId="18" fillId="20" borderId="558" xfId="30" applyNumberFormat="1" applyFont="1" applyFill="1" applyBorder="1" applyProtection="1">
      <protection locked="0"/>
    </xf>
    <xf numFmtId="10" fontId="18" fillId="20" borderId="558" xfId="88" applyNumberFormat="1" applyFont="1" applyFill="1" applyBorder="1" applyProtection="1">
      <protection locked="0"/>
    </xf>
    <xf numFmtId="4" fontId="18" fillId="20" borderId="560" xfId="30" applyNumberFormat="1" applyFont="1" applyFill="1" applyBorder="1" applyProtection="1">
      <protection locked="0"/>
    </xf>
    <xf numFmtId="43" fontId="18" fillId="0" borderId="478" xfId="1" applyFont="1" applyBorder="1"/>
    <xf numFmtId="0" fontId="18" fillId="0" borderId="478" xfId="2" applyFont="1" applyBorder="1"/>
    <xf numFmtId="4" fontId="112" fillId="0" borderId="509" xfId="2" applyNumberFormat="1" applyFont="1" applyBorder="1" applyProtection="1">
      <protection locked="0"/>
    </xf>
    <xf numFmtId="49" fontId="18" fillId="0" borderId="300" xfId="2" applyNumberFormat="1" applyFont="1" applyBorder="1" applyProtection="1">
      <protection locked="0"/>
    </xf>
    <xf numFmtId="43" fontId="74" fillId="0" borderId="560" xfId="7" applyFont="1" applyBorder="1" applyProtection="1">
      <protection locked="0"/>
    </xf>
    <xf numFmtId="4" fontId="112" fillId="0" borderId="510" xfId="2" applyNumberFormat="1" applyFont="1" applyBorder="1" applyProtection="1">
      <protection locked="0"/>
    </xf>
    <xf numFmtId="0" fontId="18" fillId="0" borderId="509" xfId="2" applyFont="1" applyBorder="1"/>
    <xf numFmtId="0" fontId="18" fillId="0" borderId="556" xfId="30" applyFont="1" applyBorder="1"/>
    <xf numFmtId="4" fontId="277" fillId="0" borderId="509" xfId="30" applyNumberFormat="1" applyFont="1" applyBorder="1" applyProtection="1">
      <protection locked="0"/>
    </xf>
    <xf numFmtId="0" fontId="18" fillId="0" borderId="546" xfId="30" applyFont="1" applyBorder="1"/>
    <xf numFmtId="0" fontId="18" fillId="0" borderId="547" xfId="30" applyFont="1" applyBorder="1"/>
    <xf numFmtId="0" fontId="18" fillId="0" borderId="548" xfId="30" applyFont="1" applyBorder="1"/>
    <xf numFmtId="0" fontId="276" fillId="0" borderId="461" xfId="30" applyFont="1" applyBorder="1" applyProtection="1">
      <protection locked="0"/>
    </xf>
    <xf numFmtId="0" fontId="277" fillId="0" borderId="508" xfId="30" applyFont="1" applyBorder="1" applyProtection="1">
      <protection locked="0"/>
    </xf>
    <xf numFmtId="0" fontId="276" fillId="0" borderId="510" xfId="30" applyFont="1" applyBorder="1" applyAlignment="1" applyProtection="1">
      <alignment horizontal="right"/>
      <protection locked="0"/>
    </xf>
    <xf numFmtId="10" fontId="18" fillId="23" borderId="295" xfId="88" applyNumberFormat="1" applyFont="1" applyFill="1" applyBorder="1"/>
    <xf numFmtId="43" fontId="18" fillId="23" borderId="295" xfId="1" applyFont="1" applyFill="1" applyBorder="1"/>
    <xf numFmtId="4" fontId="18" fillId="0" borderId="558" xfId="30" applyNumberFormat="1" applyFont="1" applyFill="1" applyBorder="1" applyProtection="1">
      <protection locked="0"/>
    </xf>
    <xf numFmtId="10" fontId="18" fillId="0" borderId="558" xfId="88" applyNumberFormat="1" applyFont="1" applyFill="1" applyBorder="1" applyProtection="1">
      <protection locked="0"/>
    </xf>
    <xf numFmtId="4" fontId="18" fillId="0" borderId="0" xfId="30" applyNumberFormat="1" applyFont="1"/>
    <xf numFmtId="43" fontId="19" fillId="0" borderId="0" xfId="2" applyNumberFormat="1" applyFont="1" applyProtection="1">
      <protection locked="0"/>
    </xf>
    <xf numFmtId="9" fontId="19" fillId="0" borderId="0" xfId="88" applyFont="1"/>
    <xf numFmtId="39" fontId="220" fillId="0" borderId="0" xfId="23" applyNumberFormat="1" applyFont="1" applyAlignment="1" applyProtection="1">
      <alignment vertical="center"/>
      <protection locked="0"/>
    </xf>
    <xf numFmtId="39" fontId="221" fillId="0" borderId="0" xfId="23" applyNumberFormat="1" applyFont="1" applyAlignment="1" applyProtection="1">
      <alignment vertical="center"/>
      <protection locked="0"/>
    </xf>
    <xf numFmtId="0" fontId="220" fillId="0" borderId="0" xfId="24" applyFont="1" applyAlignment="1">
      <alignment horizontal="center"/>
    </xf>
    <xf numFmtId="0" fontId="221" fillId="0" borderId="0" xfId="58" applyFont="1" applyAlignment="1">
      <alignment horizontal="center"/>
    </xf>
    <xf numFmtId="0" fontId="220" fillId="0" borderId="0" xfId="24" applyFont="1" applyAlignment="1">
      <alignment horizontal="center" vertical="center"/>
    </xf>
    <xf numFmtId="0" fontId="211" fillId="0" borderId="0" xfId="0" applyFont="1" applyAlignment="1">
      <alignment vertical="center" wrapText="1"/>
    </xf>
    <xf numFmtId="43" fontId="218" fillId="0" borderId="0" xfId="0" applyNumberFormat="1" applyFont="1" applyAlignment="1">
      <alignment vertical="center" wrapText="1"/>
    </xf>
    <xf numFmtId="43" fontId="211" fillId="0" borderId="0" xfId="0" applyNumberFormat="1" applyFont="1" applyAlignment="1">
      <alignment vertical="center" wrapText="1"/>
    </xf>
    <xf numFmtId="43" fontId="16" fillId="0" borderId="0" xfId="0" applyNumberFormat="1" applyFont="1" applyAlignment="1">
      <alignment vertical="center"/>
    </xf>
    <xf numFmtId="43" fontId="217" fillId="0" borderId="0" xfId="0" applyNumberFormat="1" applyFont="1" applyAlignment="1">
      <alignment vertical="center"/>
    </xf>
    <xf numFmtId="0" fontId="15" fillId="0" borderId="0" xfId="0" applyFont="1" applyAlignment="1">
      <alignment vertical="center"/>
    </xf>
    <xf numFmtId="0" fontId="221" fillId="0" borderId="0" xfId="24" applyFont="1" applyAlignment="1">
      <alignment vertical="center"/>
    </xf>
    <xf numFmtId="0" fontId="221" fillId="0" borderId="0" xfId="58" applyFont="1" applyAlignment="1">
      <alignment vertical="center"/>
    </xf>
    <xf numFmtId="0" fontId="211" fillId="0" borderId="0" xfId="0" applyFont="1" applyAlignment="1">
      <alignment horizontal="center" vertical="center"/>
    </xf>
    <xf numFmtId="0" fontId="16" fillId="0" borderId="0" xfId="0" applyFont="1" applyAlignment="1">
      <alignment horizontal="center" vertical="center"/>
    </xf>
    <xf numFmtId="0" fontId="220" fillId="0" borderId="0" xfId="46" applyFont="1" applyAlignment="1" applyProtection="1">
      <alignment horizontal="left" vertical="center"/>
      <protection locked="0"/>
    </xf>
    <xf numFmtId="0" fontId="221" fillId="0" borderId="0" xfId="46" applyFont="1" applyAlignment="1" applyProtection="1">
      <alignment horizontal="left" vertical="center"/>
      <protection locked="0"/>
    </xf>
    <xf numFmtId="0" fontId="220" fillId="0" borderId="0" xfId="58" applyFont="1"/>
    <xf numFmtId="0" fontId="18" fillId="0" borderId="0" xfId="65" applyFont="1" applyAlignment="1">
      <alignment vertical="center"/>
    </xf>
    <xf numFmtId="0" fontId="18" fillId="0" borderId="0" xfId="65" applyFont="1" applyAlignment="1">
      <alignment horizontal="center" vertical="center"/>
    </xf>
    <xf numFmtId="39" fontId="223" fillId="0" borderId="564" xfId="23" applyNumberFormat="1" applyFont="1" applyFill="1" applyBorder="1" applyAlignment="1" applyProtection="1">
      <alignment horizontal="center" vertical="center"/>
      <protection locked="0"/>
    </xf>
    <xf numFmtId="0" fontId="279" fillId="0" borderId="0" xfId="0" applyFont="1" applyAlignment="1">
      <alignment horizontal="center"/>
    </xf>
    <xf numFmtId="43" fontId="136" fillId="0" borderId="111" xfId="62" applyFont="1" applyBorder="1" applyAlignment="1">
      <alignment horizontal="right" vertical="center"/>
    </xf>
    <xf numFmtId="43" fontId="110" fillId="0" borderId="295" xfId="74" applyNumberFormat="1" applyFont="1" applyFill="1" applyBorder="1"/>
    <xf numFmtId="43" fontId="110" fillId="0" borderId="573" xfId="74" applyNumberFormat="1" applyFont="1" applyFill="1" applyBorder="1" applyAlignment="1">
      <alignment horizontal="center"/>
    </xf>
    <xf numFmtId="43" fontId="110" fillId="0" borderId="549" xfId="74" applyNumberFormat="1" applyFont="1" applyFill="1" applyBorder="1"/>
    <xf numFmtId="43" fontId="110" fillId="0" borderId="549" xfId="93" applyNumberFormat="1" applyFont="1" applyFill="1" applyBorder="1" applyProtection="1"/>
    <xf numFmtId="43" fontId="109" fillId="0" borderId="201" xfId="1" applyFont="1" applyFill="1" applyBorder="1"/>
    <xf numFmtId="43" fontId="110" fillId="0" borderId="0" xfId="1" applyFont="1" applyFill="1"/>
    <xf numFmtId="43" fontId="262" fillId="0" borderId="549" xfId="1" applyFont="1" applyFill="1" applyBorder="1" applyAlignment="1">
      <alignment horizontal="right" vertical="center"/>
    </xf>
    <xf numFmtId="43" fontId="275" fillId="0" borderId="549" xfId="1" applyFont="1" applyFill="1" applyBorder="1" applyAlignment="1">
      <alignment horizontal="right" vertical="center"/>
    </xf>
    <xf numFmtId="43" fontId="109" fillId="0" borderId="199" xfId="1" applyFont="1" applyFill="1" applyBorder="1" applyProtection="1"/>
    <xf numFmtId="43" fontId="223" fillId="0" borderId="549" xfId="1" applyFont="1" applyFill="1" applyBorder="1" applyAlignment="1">
      <alignment horizontal="right" vertical="center"/>
    </xf>
    <xf numFmtId="43" fontId="262" fillId="0" borderId="574" xfId="1" applyFont="1" applyFill="1" applyBorder="1" applyAlignment="1" applyProtection="1"/>
    <xf numFmtId="43" fontId="262" fillId="0" borderId="574" xfId="1" applyFont="1" applyFill="1" applyBorder="1" applyAlignment="1">
      <alignment horizontal="right" vertical="center"/>
    </xf>
    <xf numFmtId="43" fontId="223" fillId="0" borderId="201" xfId="1" applyFont="1" applyFill="1" applyBorder="1" applyAlignment="1" applyProtection="1"/>
    <xf numFmtId="43" fontId="262" fillId="0" borderId="201" xfId="1" applyFont="1" applyFill="1" applyBorder="1" applyAlignment="1">
      <alignment horizontal="right" vertical="center"/>
    </xf>
    <xf numFmtId="43" fontId="110" fillId="0" borderId="549" xfId="1" applyFont="1" applyFill="1" applyBorder="1"/>
    <xf numFmtId="43" fontId="275" fillId="0" borderId="575" xfId="1" applyFont="1" applyFill="1" applyBorder="1" applyAlignment="1">
      <alignment horizontal="right" vertical="center"/>
    </xf>
    <xf numFmtId="43" fontId="110" fillId="0" borderId="549" xfId="93" applyNumberFormat="1" applyFont="1" applyFill="1" applyBorder="1"/>
    <xf numFmtId="43" fontId="110" fillId="0" borderId="575" xfId="93" applyNumberFormat="1" applyFont="1" applyFill="1" applyBorder="1" applyProtection="1"/>
    <xf numFmtId="43" fontId="110" fillId="0" borderId="478" xfId="74" applyNumberFormat="1" applyFont="1" applyFill="1" applyBorder="1" applyAlignment="1">
      <alignment horizontal="center"/>
    </xf>
    <xf numFmtId="43" fontId="223" fillId="0" borderId="295" xfId="1" applyFont="1" applyFill="1" applyBorder="1" applyAlignment="1" applyProtection="1"/>
    <xf numFmtId="43" fontId="262" fillId="0" borderId="576" xfId="1" applyFont="1" applyFill="1" applyBorder="1" applyAlignment="1" applyProtection="1"/>
    <xf numFmtId="39" fontId="21" fillId="0" borderId="246" xfId="74" applyNumberFormat="1" applyFont="1" applyFill="1" applyBorder="1" applyProtection="1"/>
    <xf numFmtId="43" fontId="19" fillId="0" borderId="484" xfId="74" applyNumberFormat="1" applyFont="1" applyFill="1" applyBorder="1" applyAlignment="1">
      <alignment horizontal="center"/>
    </xf>
    <xf numFmtId="43" fontId="17" fillId="0" borderId="0" xfId="94" applyNumberFormat="1" applyFont="1" applyAlignment="1">
      <alignment vertical="top"/>
    </xf>
    <xf numFmtId="43" fontId="176" fillId="0" borderId="212" xfId="74" applyNumberFormat="1" applyFont="1" applyFill="1" applyBorder="1" applyProtection="1"/>
    <xf numFmtId="43" fontId="129" fillId="0" borderId="201" xfId="5" applyFont="1" applyFill="1" applyBorder="1" applyProtection="1"/>
    <xf numFmtId="43" fontId="222" fillId="0" borderId="202" xfId="74" applyNumberFormat="1" applyFont="1" applyFill="1" applyBorder="1"/>
    <xf numFmtId="43" fontId="223" fillId="0" borderId="201" xfId="5" applyNumberFormat="1" applyFont="1" applyFill="1" applyBorder="1" applyProtection="1"/>
    <xf numFmtId="43" fontId="223" fillId="0" borderId="549" xfId="5" applyNumberFormat="1" applyFont="1" applyFill="1" applyBorder="1" applyProtection="1"/>
    <xf numFmtId="43" fontId="283" fillId="0" borderId="201" xfId="5" applyNumberFormat="1" applyFont="1" applyFill="1" applyBorder="1" applyProtection="1"/>
    <xf numFmtId="43" fontId="223" fillId="0" borderId="201" xfId="74" applyNumberFormat="1" applyFont="1" applyFill="1" applyBorder="1" applyProtection="1"/>
    <xf numFmtId="43" fontId="223" fillId="0" borderId="295" xfId="74" applyNumberFormat="1" applyFont="1" applyFill="1" applyBorder="1" applyProtection="1"/>
    <xf numFmtId="43" fontId="223" fillId="0" borderId="212" xfId="5" applyNumberFormat="1" applyFont="1" applyFill="1" applyBorder="1" applyProtection="1"/>
    <xf numFmtId="43" fontId="223" fillId="0" borderId="295" xfId="5" applyNumberFormat="1" applyFont="1" applyFill="1" applyBorder="1" applyProtection="1"/>
    <xf numFmtId="43" fontId="223" fillId="0" borderId="212" xfId="74" applyNumberFormat="1" applyFont="1" applyFill="1" applyBorder="1" applyProtection="1"/>
    <xf numFmtId="43" fontId="222" fillId="0" borderId="201" xfId="74" applyNumberFormat="1" applyFont="1" applyFill="1" applyBorder="1" applyProtection="1"/>
    <xf numFmtId="43" fontId="223" fillId="0" borderId="0" xfId="74" applyNumberFormat="1" applyFont="1" applyFill="1"/>
    <xf numFmtId="43" fontId="283" fillId="0" borderId="201" xfId="74" applyNumberFormat="1" applyFont="1" applyFill="1" applyBorder="1" applyProtection="1"/>
    <xf numFmtId="43" fontId="283" fillId="0" borderId="212" xfId="5" applyNumberFormat="1" applyFont="1" applyFill="1" applyBorder="1" applyProtection="1"/>
    <xf numFmtId="43" fontId="222" fillId="0" borderId="0" xfId="74" applyNumberFormat="1" applyFont="1" applyFill="1" applyAlignment="1"/>
    <xf numFmtId="43" fontId="222" fillId="0" borderId="0" xfId="74" applyNumberFormat="1" applyFont="1" applyFill="1" applyAlignment="1">
      <alignment horizontal="left"/>
    </xf>
    <xf numFmtId="43" fontId="284" fillId="0" borderId="203" xfId="74" applyNumberFormat="1" applyFont="1" applyFill="1" applyBorder="1" applyAlignment="1">
      <alignment horizontal="center"/>
    </xf>
    <xf numFmtId="43" fontId="284" fillId="0" borderId="210" xfId="74" applyNumberFormat="1" applyFont="1" applyFill="1" applyBorder="1" applyAlignment="1">
      <alignment horizontal="center"/>
    </xf>
    <xf numFmtId="43" fontId="285" fillId="0" borderId="406" xfId="74" applyNumberFormat="1" applyFont="1" applyFill="1" applyBorder="1"/>
    <xf numFmtId="43" fontId="284" fillId="0" borderId="200" xfId="74" applyNumberFormat="1" applyFont="1" applyFill="1" applyBorder="1" applyAlignment="1">
      <alignment horizontal="center"/>
    </xf>
    <xf numFmtId="43" fontId="284" fillId="0" borderId="203" xfId="93" applyNumberFormat="1" applyFont="1" applyFill="1" applyBorder="1" applyAlignment="1">
      <alignment horizontal="center"/>
    </xf>
    <xf numFmtId="43" fontId="285" fillId="0" borderId="0" xfId="74" applyNumberFormat="1" applyFont="1" applyFill="1"/>
    <xf numFmtId="43" fontId="285" fillId="0" borderId="201" xfId="74" applyNumberFormat="1" applyFont="1" applyFill="1" applyBorder="1" applyAlignment="1">
      <alignment vertical="top" wrapText="1"/>
    </xf>
    <xf numFmtId="43" fontId="284" fillId="0" borderId="201" xfId="74" applyNumberFormat="1" applyFont="1" applyFill="1" applyBorder="1" applyAlignment="1">
      <alignment horizontal="center" vertical="top" wrapText="1"/>
    </xf>
    <xf numFmtId="43" fontId="284" fillId="0" borderId="295" xfId="74" applyNumberFormat="1" applyFont="1" applyFill="1" applyBorder="1" applyAlignment="1">
      <alignment horizontal="center" vertical="top" wrapText="1"/>
    </xf>
    <xf numFmtId="43" fontId="284" fillId="0" borderId="212" xfId="74" applyNumberFormat="1" applyFont="1" applyFill="1" applyBorder="1" applyAlignment="1">
      <alignment horizontal="center" vertical="top" wrapText="1"/>
    </xf>
    <xf numFmtId="43" fontId="284" fillId="0" borderId="300" xfId="74" applyNumberFormat="1" applyFont="1" applyFill="1" applyBorder="1" applyAlignment="1">
      <alignment horizontal="center" vertical="top" wrapText="1"/>
    </xf>
    <xf numFmtId="43" fontId="284" fillId="0" borderId="202" xfId="74" applyNumberFormat="1" applyFont="1" applyFill="1" applyBorder="1" applyAlignment="1">
      <alignment horizontal="center" vertical="top" wrapText="1"/>
    </xf>
    <xf numFmtId="43" fontId="284" fillId="0" borderId="201" xfId="93" applyNumberFormat="1" applyFont="1" applyFill="1" applyBorder="1" applyAlignment="1">
      <alignment horizontal="center" vertical="top" wrapText="1"/>
    </xf>
    <xf numFmtId="43" fontId="285" fillId="0" borderId="0" xfId="74" applyNumberFormat="1" applyFont="1" applyFill="1" applyAlignment="1">
      <alignment vertical="top" wrapText="1"/>
    </xf>
    <xf numFmtId="0" fontId="223" fillId="0" borderId="52" xfId="74" applyNumberFormat="1" applyFont="1" applyFill="1" applyBorder="1"/>
    <xf numFmtId="0" fontId="223" fillId="0" borderId="35" xfId="74" applyNumberFormat="1" applyFont="1" applyFill="1" applyBorder="1" applyAlignment="1">
      <alignment horizontal="center"/>
    </xf>
    <xf numFmtId="0" fontId="223" fillId="0" borderId="483" xfId="74" applyNumberFormat="1" applyFont="1" applyFill="1" applyBorder="1" applyAlignment="1">
      <alignment horizontal="center"/>
    </xf>
    <xf numFmtId="0" fontId="223" fillId="0" borderId="52" xfId="74" applyNumberFormat="1" applyFont="1" applyFill="1" applyBorder="1" applyAlignment="1">
      <alignment horizontal="center"/>
    </xf>
    <xf numFmtId="0" fontId="223" fillId="0" borderId="484" xfId="74" applyNumberFormat="1" applyFont="1" applyFill="1" applyBorder="1" applyAlignment="1">
      <alignment horizontal="center"/>
    </xf>
    <xf numFmtId="0" fontId="223" fillId="0" borderId="0" xfId="74" applyNumberFormat="1" applyFont="1" applyFill="1"/>
    <xf numFmtId="43" fontId="222" fillId="0" borderId="202" xfId="1" applyFont="1" applyFill="1" applyBorder="1"/>
    <xf numFmtId="43" fontId="222" fillId="0" borderId="201" xfId="1" applyFont="1" applyFill="1" applyBorder="1" applyProtection="1"/>
    <xf numFmtId="43" fontId="223" fillId="0" borderId="0" xfId="1" applyFont="1" applyFill="1"/>
    <xf numFmtId="43" fontId="222" fillId="0" borderId="300" xfId="74" applyNumberFormat="1" applyFont="1" applyFill="1" applyBorder="1"/>
    <xf numFmtId="43" fontId="222" fillId="0" borderId="300" xfId="1" applyFont="1" applyFill="1" applyBorder="1"/>
    <xf numFmtId="43" fontId="223" fillId="0" borderId="201" xfId="74" applyNumberFormat="1" applyFont="1" applyFill="1" applyBorder="1"/>
    <xf numFmtId="43" fontId="223" fillId="0" borderId="295" xfId="74" applyNumberFormat="1" applyFont="1" applyFill="1" applyBorder="1"/>
    <xf numFmtId="43" fontId="223" fillId="0" borderId="212" xfId="74" applyNumberFormat="1" applyFont="1" applyFill="1" applyBorder="1"/>
    <xf numFmtId="43" fontId="223" fillId="0" borderId="300" xfId="74" applyNumberFormat="1" applyFont="1" applyFill="1" applyBorder="1"/>
    <xf numFmtId="43" fontId="223" fillId="0" borderId="202" xfId="93" applyNumberFormat="1" applyFont="1" applyFill="1" applyBorder="1" applyAlignment="1">
      <alignment horizontal="center"/>
    </xf>
    <xf numFmtId="43" fontId="223" fillId="0" borderId="300" xfId="93" applyNumberFormat="1" applyFont="1" applyFill="1" applyBorder="1" applyAlignment="1">
      <alignment horizontal="center"/>
    </xf>
    <xf numFmtId="43" fontId="223" fillId="0" borderId="201" xfId="93" applyNumberFormat="1" applyFont="1" applyFill="1" applyBorder="1" applyAlignment="1">
      <alignment horizontal="center"/>
    </xf>
    <xf numFmtId="43" fontId="222" fillId="0" borderId="201" xfId="74" applyNumberFormat="1" applyFont="1" applyFill="1" applyBorder="1"/>
    <xf numFmtId="43" fontId="222" fillId="0" borderId="44" xfId="74" applyNumberFormat="1" applyFont="1" applyFill="1" applyBorder="1" applyAlignment="1">
      <alignment horizontal="center"/>
    </xf>
    <xf numFmtId="43" fontId="222" fillId="0" borderId="45" xfId="74" applyNumberFormat="1" applyFont="1" applyFill="1" applyBorder="1" applyProtection="1"/>
    <xf numFmtId="43" fontId="222" fillId="0" borderId="202" xfId="74" applyNumberFormat="1" applyFont="1" applyFill="1" applyBorder="1" applyAlignment="1">
      <alignment horizontal="center"/>
    </xf>
    <xf numFmtId="43" fontId="222" fillId="0" borderId="295" xfId="74" applyNumberFormat="1" applyFont="1" applyFill="1" applyBorder="1" applyProtection="1"/>
    <xf numFmtId="43" fontId="222" fillId="0" borderId="212" xfId="74" applyNumberFormat="1" applyFont="1" applyFill="1" applyBorder="1" applyProtection="1"/>
    <xf numFmtId="43" fontId="223" fillId="0" borderId="201" xfId="5" applyNumberFormat="1" applyFont="1" applyFill="1" applyBorder="1"/>
    <xf numFmtId="43" fontId="223" fillId="0" borderId="212" xfId="5" applyNumberFormat="1" applyFont="1" applyFill="1" applyBorder="1"/>
    <xf numFmtId="43" fontId="223" fillId="0" borderId="300" xfId="5" applyNumberFormat="1" applyFont="1" applyFill="1" applyBorder="1"/>
    <xf numFmtId="43" fontId="222" fillId="0" borderId="300" xfId="74" applyNumberFormat="1" applyFont="1" applyFill="1" applyBorder="1" applyProtection="1"/>
    <xf numFmtId="43" fontId="223" fillId="0" borderId="295" xfId="5" applyNumberFormat="1" applyFont="1" applyFill="1" applyBorder="1"/>
    <xf numFmtId="43" fontId="223" fillId="0" borderId="14" xfId="74" applyNumberFormat="1" applyFont="1" applyFill="1" applyBorder="1"/>
    <xf numFmtId="43" fontId="223" fillId="0" borderId="16" xfId="74" applyNumberFormat="1" applyFont="1" applyFill="1" applyBorder="1"/>
    <xf numFmtId="43" fontId="222" fillId="0" borderId="6" xfId="74" applyNumberFormat="1" applyFont="1" applyFill="1" applyBorder="1" applyAlignment="1">
      <alignment horizontal="center"/>
    </xf>
    <xf numFmtId="43" fontId="222" fillId="0" borderId="124" xfId="74" applyNumberFormat="1" applyFont="1" applyFill="1" applyBorder="1" applyProtection="1"/>
    <xf numFmtId="43" fontId="222" fillId="0" borderId="87" xfId="74" applyNumberFormat="1" applyFont="1" applyFill="1" applyBorder="1" applyProtection="1"/>
    <xf numFmtId="43" fontId="223" fillId="0" borderId="0" xfId="93" applyNumberFormat="1" applyFont="1" applyFill="1" applyAlignment="1">
      <alignment horizontal="center"/>
    </xf>
    <xf numFmtId="43" fontId="223" fillId="0" borderId="0" xfId="93" applyNumberFormat="1" applyFont="1" applyFill="1"/>
    <xf numFmtId="43" fontId="19" fillId="0" borderId="199" xfId="1" applyFont="1" applyBorder="1" applyProtection="1">
      <protection locked="0"/>
    </xf>
    <xf numFmtId="43" fontId="19" fillId="0" borderId="388" xfId="1" applyFont="1" applyBorder="1" applyProtection="1">
      <protection locked="0"/>
    </xf>
    <xf numFmtId="0" fontId="14" fillId="0" borderId="0" xfId="0" applyFont="1" applyAlignment="1">
      <alignment vertical="center"/>
    </xf>
    <xf numFmtId="4" fontId="21" fillId="3" borderId="4" xfId="2" applyNumberFormat="1" applyFont="1" applyFill="1" applyBorder="1" applyProtection="1">
      <protection locked="0"/>
    </xf>
    <xf numFmtId="49" fontId="18" fillId="0" borderId="211" xfId="2" applyNumberFormat="1" applyFont="1" applyBorder="1" applyProtection="1">
      <protection locked="0"/>
    </xf>
    <xf numFmtId="43" fontId="21" fillId="3" borderId="24" xfId="7" applyFont="1" applyFill="1" applyBorder="1" applyAlignment="1" applyProtection="1">
      <alignment horizontal="right"/>
      <protection locked="0"/>
    </xf>
    <xf numFmtId="2" fontId="21" fillId="0" borderId="510" xfId="7" applyNumberFormat="1" applyFont="1" applyBorder="1" applyProtection="1">
      <protection locked="0"/>
    </xf>
    <xf numFmtId="43" fontId="21" fillId="0" borderId="558" xfId="7" applyFont="1" applyBorder="1" applyProtection="1">
      <protection locked="0"/>
    </xf>
    <xf numFmtId="43" fontId="21" fillId="3" borderId="11" xfId="1" applyFont="1" applyFill="1" applyBorder="1" applyProtection="1">
      <protection locked="0"/>
    </xf>
    <xf numFmtId="4" fontId="18" fillId="0" borderId="582" xfId="30" applyNumberFormat="1" applyFont="1" applyBorder="1" applyProtection="1">
      <protection locked="0"/>
    </xf>
    <xf numFmtId="10" fontId="19" fillId="0" borderId="0" xfId="60" applyNumberFormat="1" applyFont="1" applyFill="1" applyBorder="1" applyAlignment="1">
      <alignment horizontal="center"/>
    </xf>
    <xf numFmtId="0" fontId="19" fillId="0" borderId="0" xfId="59" applyFont="1" applyFill="1"/>
    <xf numFmtId="43" fontId="19" fillId="0" borderId="0" xfId="7" applyFont="1" applyFill="1"/>
    <xf numFmtId="43" fontId="66" fillId="0" borderId="0" xfId="7" applyFont="1" applyFill="1"/>
    <xf numFmtId="43" fontId="21" fillId="0" borderId="0" xfId="59" applyNumberFormat="1" applyFont="1" applyFill="1" applyBorder="1"/>
    <xf numFmtId="43" fontId="21" fillId="0" borderId="0" xfId="59" applyNumberFormat="1" applyFont="1" applyFill="1"/>
    <xf numFmtId="40" fontId="21" fillId="0" borderId="0" xfId="59" applyNumberFormat="1" applyFont="1" applyFill="1"/>
    <xf numFmtId="0" fontId="19" fillId="0" borderId="0" xfId="59" applyFont="1" applyFill="1" applyAlignment="1"/>
    <xf numFmtId="0" fontId="21" fillId="0" borderId="0" xfId="59" applyFont="1" applyFill="1"/>
    <xf numFmtId="10" fontId="19" fillId="0" borderId="0" xfId="60" applyNumberFormat="1" applyFont="1" applyFill="1" applyAlignment="1">
      <alignment horizontal="center"/>
    </xf>
    <xf numFmtId="43" fontId="19" fillId="0" borderId="0" xfId="7" applyFont="1" applyFill="1" applyBorder="1"/>
    <xf numFmtId="10" fontId="19" fillId="0" borderId="0" xfId="88" applyNumberFormat="1" applyFont="1" applyFill="1" applyAlignment="1">
      <alignment horizontal="center"/>
    </xf>
    <xf numFmtId="43" fontId="66" fillId="0" borderId="0" xfId="7" applyFont="1" applyFill="1" applyBorder="1"/>
    <xf numFmtId="0" fontId="29" fillId="0" borderId="0" xfId="59" applyFont="1" applyFill="1"/>
    <xf numFmtId="43" fontId="19" fillId="0" borderId="0" xfId="59" applyNumberFormat="1" applyFont="1" applyFill="1"/>
    <xf numFmtId="9" fontId="19" fillId="0" borderId="0" xfId="59" applyNumberFormat="1" applyFont="1" applyFill="1"/>
    <xf numFmtId="43" fontId="19" fillId="0" borderId="0" xfId="54" applyNumberFormat="1" applyFont="1" applyFill="1"/>
    <xf numFmtId="0" fontId="19" fillId="0" borderId="0" xfId="54" applyFont="1" applyFill="1"/>
    <xf numFmtId="0" fontId="13" fillId="0" borderId="0" xfId="0" applyFont="1" applyAlignment="1">
      <alignment vertical="center"/>
    </xf>
    <xf numFmtId="43" fontId="221" fillId="0" borderId="0" xfId="1" applyFont="1" applyFill="1" applyAlignment="1">
      <alignment vertical="top"/>
    </xf>
    <xf numFmtId="0" fontId="221" fillId="0" borderId="0" xfId="47" applyFont="1" applyFill="1" applyBorder="1" applyAlignment="1" applyProtection="1">
      <alignment vertical="top"/>
      <protection locked="0"/>
    </xf>
    <xf numFmtId="43" fontId="221" fillId="0" borderId="0" xfId="1" applyFont="1" applyFill="1" applyBorder="1" applyAlignment="1">
      <alignment vertical="top"/>
    </xf>
    <xf numFmtId="43" fontId="221" fillId="0" borderId="0" xfId="1" applyFont="1" applyFill="1" applyAlignment="1">
      <alignment vertical="center"/>
    </xf>
    <xf numFmtId="43" fontId="220" fillId="0" borderId="0" xfId="1" applyFont="1" applyFill="1" applyAlignment="1">
      <alignment vertical="center"/>
    </xf>
    <xf numFmtId="0" fontId="286" fillId="0" borderId="0" xfId="58" applyFont="1" applyFill="1" applyProtection="1">
      <protection locked="0"/>
    </xf>
    <xf numFmtId="0" fontId="286" fillId="0" borderId="0" xfId="58" applyFont="1" applyFill="1"/>
    <xf numFmtId="43" fontId="286" fillId="0" borderId="0" xfId="1" applyFont="1" applyFill="1"/>
    <xf numFmtId="43" fontId="220" fillId="0" borderId="0" xfId="1" applyFont="1" applyFill="1" applyAlignment="1"/>
    <xf numFmtId="0" fontId="220" fillId="0" borderId="0" xfId="47" applyFont="1" applyFill="1" applyAlignment="1"/>
    <xf numFmtId="0" fontId="290" fillId="0" borderId="0" xfId="58" applyFont="1" applyFill="1" applyProtection="1">
      <protection locked="0"/>
    </xf>
    <xf numFmtId="0" fontId="221" fillId="0" borderId="0" xfId="46" applyFont="1" applyFill="1" applyBorder="1" applyAlignment="1">
      <alignment vertical="center"/>
    </xf>
    <xf numFmtId="0" fontId="220" fillId="0" borderId="0" xfId="2" applyFont="1" applyFill="1" applyAlignment="1">
      <alignment vertical="center"/>
    </xf>
    <xf numFmtId="43" fontId="220" fillId="0" borderId="0" xfId="2" applyNumberFormat="1" applyFont="1" applyFill="1" applyAlignment="1">
      <alignment vertical="center"/>
    </xf>
    <xf numFmtId="0" fontId="221" fillId="0" borderId="0" xfId="2" applyFont="1" applyFill="1" applyAlignment="1">
      <alignment vertical="center"/>
    </xf>
    <xf numFmtId="0" fontId="221" fillId="0" borderId="0" xfId="2" applyFont="1" applyFill="1" applyBorder="1" applyAlignment="1" applyProtection="1">
      <alignment vertical="center"/>
      <protection locked="0"/>
    </xf>
    <xf numFmtId="0" fontId="221" fillId="0" borderId="2" xfId="2" applyFont="1" applyFill="1" applyBorder="1" applyAlignment="1" applyProtection="1">
      <alignment vertical="center"/>
      <protection locked="0"/>
    </xf>
    <xf numFmtId="49" fontId="221" fillId="0" borderId="211" xfId="2" applyNumberFormat="1" applyFont="1" applyFill="1" applyBorder="1" applyAlignment="1" applyProtection="1">
      <alignment vertical="center"/>
      <protection locked="0"/>
    </xf>
    <xf numFmtId="0" fontId="221" fillId="0" borderId="0" xfId="46" applyFont="1" applyFill="1" applyAlignment="1" applyProtection="1">
      <alignment vertical="center"/>
      <protection locked="0"/>
    </xf>
    <xf numFmtId="0" fontId="289" fillId="0" borderId="0" xfId="2" applyFont="1" applyFill="1" applyBorder="1" applyAlignment="1" applyProtection="1">
      <alignment vertical="center"/>
      <protection locked="0"/>
    </xf>
    <xf numFmtId="0" fontId="171" fillId="0" borderId="0" xfId="2" applyFont="1" applyFill="1" applyBorder="1" applyAlignment="1" applyProtection="1">
      <alignment vertical="center"/>
      <protection locked="0"/>
    </xf>
    <xf numFmtId="0" fontId="289" fillId="0" borderId="0" xfId="46" applyFont="1" applyFill="1" applyAlignment="1" applyProtection="1">
      <alignment vertical="center"/>
      <protection locked="0"/>
    </xf>
    <xf numFmtId="0" fontId="220" fillId="0" borderId="0" xfId="2" applyFont="1" applyFill="1" applyBorder="1" applyAlignment="1">
      <alignment vertical="center"/>
    </xf>
    <xf numFmtId="43" fontId="221" fillId="0" borderId="0" xfId="1" applyFont="1" applyFill="1"/>
    <xf numFmtId="10" fontId="221" fillId="0" borderId="0" xfId="88" applyNumberFormat="1" applyFont="1" applyFill="1"/>
    <xf numFmtId="0" fontId="221" fillId="0" borderId="0" xfId="2" applyFont="1" applyFill="1"/>
    <xf numFmtId="0" fontId="221" fillId="0" borderId="0" xfId="2" applyFont="1" applyFill="1" applyAlignment="1">
      <alignment vertical="top"/>
    </xf>
    <xf numFmtId="43" fontId="220" fillId="0" borderId="0" xfId="1" applyFont="1" applyFill="1"/>
    <xf numFmtId="0" fontId="289" fillId="0" borderId="0" xfId="2" applyFont="1" applyFill="1"/>
    <xf numFmtId="43" fontId="221" fillId="0" borderId="0" xfId="2" applyNumberFormat="1" applyFont="1" applyFill="1" applyAlignment="1">
      <alignment vertical="center"/>
    </xf>
    <xf numFmtId="0" fontId="220" fillId="0" borderId="295" xfId="2" applyFont="1" applyFill="1" applyBorder="1" applyAlignment="1" applyProtection="1">
      <alignment horizontal="center" vertical="center"/>
      <protection locked="0"/>
    </xf>
    <xf numFmtId="0" fontId="221" fillId="0" borderId="0" xfId="58" applyFont="1" applyFill="1" applyAlignment="1">
      <alignment vertical="center"/>
    </xf>
    <xf numFmtId="0" fontId="221" fillId="0" borderId="0" xfId="58" applyFont="1" applyFill="1"/>
    <xf numFmtId="43" fontId="221" fillId="0" borderId="4" xfId="1" applyNumberFormat="1" applyFont="1" applyFill="1" applyBorder="1" applyProtection="1">
      <protection hidden="1"/>
    </xf>
    <xf numFmtId="43" fontId="221" fillId="0" borderId="4" xfId="1" applyNumberFormat="1" applyFont="1" applyFill="1" applyBorder="1" applyProtection="1">
      <protection locked="0"/>
    </xf>
    <xf numFmtId="43" fontId="221" fillId="0" borderId="199" xfId="1" applyNumberFormat="1" applyFont="1" applyFill="1" applyBorder="1" applyProtection="1">
      <protection locked="0"/>
    </xf>
    <xf numFmtId="43" fontId="221" fillId="0" borderId="577" xfId="1" applyNumberFormat="1" applyFont="1" applyFill="1" applyBorder="1" applyProtection="1">
      <protection locked="0"/>
    </xf>
    <xf numFmtId="43" fontId="221" fillId="0" borderId="4" xfId="1" applyNumberFormat="1" applyFont="1" applyFill="1" applyBorder="1" applyProtection="1"/>
    <xf numFmtId="0" fontId="221" fillId="0" borderId="0" xfId="2" applyFont="1" applyFill="1" applyBorder="1" applyProtection="1">
      <protection locked="0"/>
    </xf>
    <xf numFmtId="0" fontId="221" fillId="0" borderId="0" xfId="2" applyFont="1" applyFill="1" applyProtection="1">
      <protection locked="0"/>
    </xf>
    <xf numFmtId="0" fontId="288" fillId="0" borderId="0" xfId="2" applyFont="1" applyFill="1" applyAlignment="1" applyProtection="1">
      <alignment horizontal="centerContinuous"/>
      <protection locked="0"/>
    </xf>
    <xf numFmtId="0" fontId="289" fillId="0" borderId="0" xfId="2" applyFont="1" applyFill="1" applyProtection="1">
      <protection locked="0"/>
    </xf>
    <xf numFmtId="0" fontId="171" fillId="0" borderId="0" xfId="2" applyFont="1" applyFill="1" applyProtection="1">
      <protection locked="0"/>
    </xf>
    <xf numFmtId="0" fontId="221" fillId="0" borderId="1" xfId="2" applyFont="1" applyFill="1" applyBorder="1" applyProtection="1">
      <protection locked="0"/>
    </xf>
    <xf numFmtId="0" fontId="289" fillId="0" borderId="1" xfId="2" applyFont="1" applyFill="1" applyBorder="1" applyProtection="1">
      <protection locked="0"/>
    </xf>
    <xf numFmtId="0" fontId="289" fillId="0" borderId="0" xfId="2" applyFont="1" applyFill="1" applyBorder="1" applyProtection="1">
      <protection locked="0"/>
    </xf>
    <xf numFmtId="0" fontId="221" fillId="0" borderId="2" xfId="2" applyFont="1" applyFill="1" applyBorder="1" applyProtection="1">
      <protection locked="0"/>
    </xf>
    <xf numFmtId="0" fontId="171" fillId="0" borderId="0" xfId="2" applyFont="1" applyFill="1" applyBorder="1" applyAlignment="1" applyProtection="1">
      <alignment horizontal="center"/>
      <protection locked="0"/>
    </xf>
    <xf numFmtId="0" fontId="220" fillId="0" borderId="5" xfId="2" applyFont="1" applyFill="1" applyBorder="1" applyAlignment="1" applyProtection="1">
      <alignment horizontal="center"/>
      <protection locked="0"/>
    </xf>
    <xf numFmtId="0" fontId="221" fillId="0" borderId="6" xfId="2" applyFont="1" applyFill="1" applyBorder="1" applyProtection="1">
      <protection locked="0"/>
    </xf>
    <xf numFmtId="0" fontId="171" fillId="0" borderId="1" xfId="2" applyFont="1" applyFill="1" applyBorder="1" applyAlignment="1" applyProtection="1">
      <alignment horizontal="center"/>
      <protection locked="0"/>
    </xf>
    <xf numFmtId="0" fontId="220" fillId="0" borderId="7" xfId="2" applyFont="1" applyFill="1" applyBorder="1" applyAlignment="1" applyProtection="1">
      <alignment horizontal="center"/>
      <protection locked="0"/>
    </xf>
    <xf numFmtId="0" fontId="220" fillId="0" borderId="8" xfId="1" applyNumberFormat="1" applyFont="1" applyFill="1" applyBorder="1" applyAlignment="1" applyProtection="1">
      <alignment horizontal="center"/>
      <protection locked="0"/>
    </xf>
    <xf numFmtId="49" fontId="221" fillId="0" borderId="2" xfId="2" applyNumberFormat="1" applyFont="1" applyFill="1" applyBorder="1" applyProtection="1">
      <protection locked="0"/>
    </xf>
    <xf numFmtId="0" fontId="221" fillId="0" borderId="211" xfId="2" applyFont="1" applyFill="1" applyBorder="1" applyProtection="1">
      <protection locked="0"/>
    </xf>
    <xf numFmtId="0" fontId="289" fillId="0" borderId="0" xfId="58" applyFont="1" applyFill="1" applyBorder="1" applyProtection="1">
      <protection locked="0"/>
    </xf>
    <xf numFmtId="0" fontId="221" fillId="0" borderId="300" xfId="2" applyFont="1" applyFill="1" applyBorder="1" applyProtection="1">
      <protection locked="0"/>
    </xf>
    <xf numFmtId="0" fontId="171" fillId="0" borderId="0" xfId="2" applyFont="1" applyFill="1" applyBorder="1" applyProtection="1">
      <protection locked="0"/>
    </xf>
    <xf numFmtId="0" fontId="221" fillId="0" borderId="405" xfId="2" applyFont="1" applyFill="1" applyBorder="1" applyProtection="1">
      <protection locked="0"/>
    </xf>
    <xf numFmtId="0" fontId="171" fillId="0" borderId="405" xfId="2" applyFont="1" applyFill="1" applyBorder="1" applyProtection="1">
      <protection locked="0"/>
    </xf>
    <xf numFmtId="0" fontId="221" fillId="0" borderId="410" xfId="2" applyFont="1" applyFill="1" applyBorder="1" applyProtection="1">
      <protection locked="0"/>
    </xf>
    <xf numFmtId="0" fontId="171" fillId="0" borderId="410" xfId="2" applyFont="1" applyFill="1" applyBorder="1" applyProtection="1">
      <protection locked="0"/>
    </xf>
    <xf numFmtId="0" fontId="220" fillId="0" borderId="434" xfId="1" applyNumberFormat="1" applyFont="1" applyFill="1" applyBorder="1" applyAlignment="1" applyProtection="1">
      <alignment horizontal="center"/>
      <protection locked="0"/>
    </xf>
    <xf numFmtId="0" fontId="221" fillId="0" borderId="0" xfId="1" applyNumberFormat="1" applyFont="1" applyFill="1"/>
    <xf numFmtId="0" fontId="220" fillId="0" borderId="295" xfId="2" applyFont="1" applyFill="1" applyBorder="1" applyAlignment="1" applyProtection="1">
      <alignment horizontal="center"/>
      <protection locked="0"/>
    </xf>
    <xf numFmtId="49" fontId="221" fillId="0" borderId="211" xfId="2" applyNumberFormat="1" applyFont="1" applyFill="1" applyBorder="1" applyProtection="1">
      <protection locked="0"/>
    </xf>
    <xf numFmtId="49" fontId="221" fillId="0" borderId="300" xfId="2" applyNumberFormat="1" applyFont="1" applyFill="1" applyBorder="1" applyProtection="1">
      <protection locked="0"/>
    </xf>
    <xf numFmtId="49" fontId="221" fillId="0" borderId="300" xfId="2" applyNumberFormat="1" applyFont="1" applyFill="1" applyBorder="1" applyAlignment="1" applyProtection="1">
      <alignment vertical="top"/>
      <protection locked="0"/>
    </xf>
    <xf numFmtId="0" fontId="289" fillId="0" borderId="0" xfId="2" applyFont="1" applyFill="1" applyBorder="1" applyAlignment="1" applyProtection="1">
      <alignment vertical="top" wrapText="1"/>
      <protection locked="0"/>
    </xf>
    <xf numFmtId="0" fontId="221" fillId="0" borderId="126" xfId="2" applyFont="1" applyFill="1" applyBorder="1" applyAlignment="1" applyProtection="1">
      <alignment vertical="center"/>
      <protection locked="0"/>
    </xf>
    <xf numFmtId="0" fontId="171" fillId="0" borderId="157" xfId="2" applyFont="1" applyFill="1" applyBorder="1" applyAlignment="1" applyProtection="1">
      <alignment vertical="center"/>
      <protection locked="0"/>
    </xf>
    <xf numFmtId="0" fontId="221" fillId="0" borderId="14" xfId="2" applyFont="1" applyFill="1" applyBorder="1" applyProtection="1">
      <protection locked="0"/>
    </xf>
    <xf numFmtId="0" fontId="289" fillId="0" borderId="15" xfId="2" applyFont="1" applyFill="1" applyBorder="1" applyProtection="1">
      <protection locked="0"/>
    </xf>
    <xf numFmtId="0" fontId="220" fillId="0" borderId="0" xfId="58" applyFont="1" applyFill="1"/>
    <xf numFmtId="43" fontId="221" fillId="0" borderId="0" xfId="1" applyFont="1" applyFill="1" applyBorder="1" applyAlignment="1" applyProtection="1">
      <alignment vertical="center"/>
      <protection locked="0"/>
    </xf>
    <xf numFmtId="9" fontId="221" fillId="0" borderId="0" xfId="88" applyFont="1" applyFill="1"/>
    <xf numFmtId="0" fontId="220" fillId="0" borderId="0" xfId="30" applyFont="1" applyFill="1" applyAlignment="1" applyProtection="1">
      <alignment vertical="center"/>
      <protection locked="0"/>
    </xf>
    <xf numFmtId="43" fontId="220" fillId="0" borderId="553" xfId="2" applyNumberFormat="1" applyFont="1" applyFill="1" applyBorder="1" applyAlignment="1" applyProtection="1">
      <alignment vertical="center"/>
      <protection locked="0"/>
    </xf>
    <xf numFmtId="0" fontId="221" fillId="0" borderId="0" xfId="30" applyFont="1" applyFill="1" applyBorder="1" applyAlignment="1" applyProtection="1">
      <alignment vertical="center"/>
      <protection locked="0"/>
    </xf>
    <xf numFmtId="0" fontId="21" fillId="0" borderId="107" xfId="21" applyFont="1" applyBorder="1" applyAlignment="1">
      <alignment horizontal="center" vertical="center"/>
    </xf>
    <xf numFmtId="0" fontId="19" fillId="0" borderId="0" xfId="46" applyFont="1" applyAlignment="1" applyProtection="1">
      <alignment horizontal="center" vertical="center"/>
      <protection locked="0"/>
    </xf>
    <xf numFmtId="0" fontId="220" fillId="0" borderId="0" xfId="2" applyFont="1" applyFill="1" applyBorder="1" applyAlignment="1" applyProtection="1">
      <alignment horizontal="center" vertical="center"/>
      <protection locked="0"/>
    </xf>
    <xf numFmtId="0" fontId="220" fillId="0" borderId="434" xfId="2" applyNumberFormat="1" applyFont="1" applyFill="1" applyBorder="1" applyAlignment="1" applyProtection="1">
      <alignment horizontal="center" vertical="center"/>
      <protection locked="0"/>
    </xf>
    <xf numFmtId="0" fontId="221" fillId="0" borderId="0" xfId="42" applyFont="1" applyFill="1" applyBorder="1" applyAlignment="1" applyProtection="1">
      <alignment vertical="center"/>
      <protection locked="0"/>
    </xf>
    <xf numFmtId="49" fontId="220" fillId="0" borderId="368" xfId="2" applyNumberFormat="1" applyFont="1" applyFill="1" applyBorder="1" applyAlignment="1" applyProtection="1">
      <alignment vertical="center"/>
      <protection locked="0"/>
    </xf>
    <xf numFmtId="0" fontId="220" fillId="0" borderId="368" xfId="2" applyFont="1" applyFill="1" applyBorder="1" applyAlignment="1" applyProtection="1">
      <alignment vertical="center"/>
      <protection locked="0"/>
    </xf>
    <xf numFmtId="0" fontId="220" fillId="0" borderId="199" xfId="2" applyFont="1" applyFill="1" applyBorder="1" applyAlignment="1" applyProtection="1">
      <alignment horizontal="center" vertical="center"/>
      <protection locked="0"/>
    </xf>
    <xf numFmtId="43" fontId="220" fillId="0" borderId="486" xfId="2" applyNumberFormat="1" applyFont="1" applyFill="1" applyBorder="1" applyAlignment="1" applyProtection="1">
      <alignment vertical="center"/>
      <protection locked="0"/>
    </xf>
    <xf numFmtId="0" fontId="221" fillId="0" borderId="0" xfId="2" applyFont="1" applyFill="1" applyBorder="1" applyAlignment="1" applyProtection="1">
      <alignment horizontal="center" vertical="center"/>
      <protection locked="0"/>
    </xf>
    <xf numFmtId="0" fontId="221" fillId="0" borderId="5" xfId="2" applyFont="1" applyFill="1" applyBorder="1" applyAlignment="1" applyProtection="1">
      <alignment horizontal="center" vertical="center"/>
      <protection locked="0"/>
    </xf>
    <xf numFmtId="0" fontId="221" fillId="0" borderId="295" xfId="2" applyFont="1" applyFill="1" applyBorder="1" applyAlignment="1" applyProtection="1">
      <alignment horizontal="center" vertical="center"/>
      <protection locked="0"/>
    </xf>
    <xf numFmtId="0" fontId="221" fillId="0" borderId="212" xfId="2" applyFont="1" applyFill="1" applyBorder="1" applyAlignment="1" applyProtection="1">
      <alignment horizontal="center" vertical="center"/>
      <protection locked="0"/>
    </xf>
    <xf numFmtId="0" fontId="221" fillId="0" borderId="295" xfId="0" applyFont="1" applyFill="1" applyBorder="1" applyAlignment="1" applyProtection="1">
      <alignment horizontal="center" vertical="center"/>
      <protection locked="0"/>
    </xf>
    <xf numFmtId="0" fontId="221" fillId="0" borderId="0" xfId="46" applyFont="1" applyFill="1" applyAlignment="1" applyProtection="1">
      <alignment horizontal="left" vertical="center"/>
      <protection locked="0"/>
    </xf>
    <xf numFmtId="0" fontId="0" fillId="0" borderId="0" xfId="0"/>
    <xf numFmtId="0" fontId="0" fillId="0" borderId="0" xfId="0" applyAlignment="1">
      <alignment horizontal="center"/>
    </xf>
    <xf numFmtId="0" fontId="220" fillId="0" borderId="0" xfId="2" applyFont="1" applyFill="1" applyAlignment="1" applyProtection="1">
      <alignment vertical="top"/>
      <protection locked="0"/>
    </xf>
    <xf numFmtId="0" fontId="221" fillId="0" borderId="0" xfId="2" applyFont="1" applyFill="1" applyBorder="1" applyAlignment="1" applyProtection="1">
      <alignment vertical="top"/>
      <protection locked="0"/>
    </xf>
    <xf numFmtId="0" fontId="220" fillId="0" borderId="199" xfId="2" applyFont="1" applyFill="1" applyBorder="1" applyAlignment="1" applyProtection="1">
      <alignment horizontal="center" vertical="top"/>
      <protection locked="0"/>
    </xf>
    <xf numFmtId="43" fontId="220" fillId="0" borderId="486" xfId="2" applyNumberFormat="1" applyFont="1" applyFill="1" applyBorder="1" applyAlignment="1" applyProtection="1">
      <alignment vertical="top"/>
      <protection locked="0"/>
    </xf>
    <xf numFmtId="43" fontId="220" fillId="0" borderId="556" xfId="2" applyNumberFormat="1" applyFont="1" applyFill="1" applyBorder="1" applyAlignment="1" applyProtection="1">
      <alignment vertical="top"/>
      <protection locked="0"/>
    </xf>
    <xf numFmtId="43" fontId="220" fillId="0" borderId="0" xfId="1" applyFont="1" applyFill="1" applyAlignment="1">
      <alignment vertical="top"/>
    </xf>
    <xf numFmtId="9" fontId="220" fillId="0" borderId="0" xfId="88" applyFont="1" applyFill="1" applyAlignment="1">
      <alignment vertical="top"/>
    </xf>
    <xf numFmtId="0" fontId="220" fillId="0" borderId="0" xfId="2" applyFont="1" applyFill="1" applyAlignment="1">
      <alignment vertical="top"/>
    </xf>
    <xf numFmtId="43" fontId="220" fillId="0" borderId="287" xfId="2" applyNumberFormat="1" applyFont="1" applyFill="1" applyBorder="1" applyAlignment="1" applyProtection="1">
      <alignment vertical="top"/>
      <protection locked="0"/>
    </xf>
    <xf numFmtId="43" fontId="220" fillId="0" borderId="397" xfId="2" applyNumberFormat="1" applyFont="1" applyFill="1" applyBorder="1" applyAlignment="1" applyProtection="1">
      <alignment vertical="top"/>
      <protection locked="0"/>
    </xf>
    <xf numFmtId="43" fontId="220" fillId="0" borderId="446" xfId="2" applyNumberFormat="1" applyFont="1" applyFill="1" applyBorder="1" applyAlignment="1">
      <alignment vertical="center"/>
    </xf>
    <xf numFmtId="9" fontId="220" fillId="0" borderId="0" xfId="88" applyFont="1" applyFill="1" applyAlignment="1"/>
    <xf numFmtId="0" fontId="220" fillId="0" borderId="0" xfId="47" applyFont="1" applyFill="1" applyAlignment="1">
      <alignment vertical="top"/>
    </xf>
    <xf numFmtId="0" fontId="220" fillId="0" borderId="0" xfId="2" applyFont="1" applyFill="1" applyAlignment="1" applyProtection="1">
      <alignment horizontal="center" vertical="top"/>
      <protection locked="0"/>
    </xf>
    <xf numFmtId="0" fontId="220" fillId="0" borderId="0" xfId="2" applyFont="1" applyFill="1" applyBorder="1" applyAlignment="1" applyProtection="1">
      <alignment horizontal="center" vertical="top"/>
      <protection locked="0"/>
    </xf>
    <xf numFmtId="49" fontId="292" fillId="0" borderId="202" xfId="2" applyNumberFormat="1" applyFont="1" applyFill="1" applyBorder="1" applyAlignment="1" applyProtection="1">
      <alignment vertical="top"/>
      <protection locked="0"/>
    </xf>
    <xf numFmtId="0" fontId="292" fillId="0" borderId="0" xfId="2" applyFont="1" applyFill="1" applyBorder="1" applyAlignment="1" applyProtection="1">
      <alignment vertical="top"/>
      <protection locked="0"/>
    </xf>
    <xf numFmtId="0" fontId="221" fillId="0" borderId="295" xfId="2" applyFont="1" applyFill="1" applyBorder="1" applyAlignment="1" applyProtection="1">
      <alignment horizontal="center" vertical="top"/>
      <protection locked="0"/>
    </xf>
    <xf numFmtId="49" fontId="220" fillId="0" borderId="202" xfId="2" applyNumberFormat="1" applyFont="1" applyFill="1" applyBorder="1" applyAlignment="1" applyProtection="1">
      <alignment vertical="top"/>
      <protection locked="0"/>
    </xf>
    <xf numFmtId="0" fontId="220" fillId="0" borderId="0" xfId="2" applyFont="1" applyFill="1" applyBorder="1" applyAlignment="1" applyProtection="1">
      <alignment vertical="top"/>
      <protection locked="0"/>
    </xf>
    <xf numFmtId="0" fontId="221" fillId="0" borderId="199" xfId="2" applyFont="1" applyFill="1" applyBorder="1" applyAlignment="1" applyProtection="1">
      <alignment vertical="top"/>
      <protection locked="0"/>
    </xf>
    <xf numFmtId="0" fontId="221" fillId="0" borderId="560" xfId="2" applyFont="1" applyFill="1" applyBorder="1" applyAlignment="1" applyProtection="1">
      <alignment vertical="top"/>
      <protection locked="0"/>
    </xf>
    <xf numFmtId="0" fontId="221" fillId="0" borderId="560" xfId="0" applyNumberFormat="1" applyFont="1" applyFill="1" applyBorder="1" applyAlignment="1">
      <alignment horizontal="left" vertical="top" wrapText="1"/>
    </xf>
    <xf numFmtId="0" fontId="292" fillId="0" borderId="199" xfId="2" applyFont="1" applyFill="1" applyBorder="1" applyAlignment="1" applyProtection="1">
      <alignment vertical="top"/>
      <protection locked="0"/>
    </xf>
    <xf numFmtId="0" fontId="221" fillId="0" borderId="199" xfId="0" applyFont="1" applyFill="1" applyBorder="1" applyAlignment="1" applyProtection="1">
      <alignment vertical="top"/>
      <protection locked="0"/>
    </xf>
    <xf numFmtId="0" fontId="221" fillId="0" borderId="550" xfId="0" applyFont="1" applyFill="1" applyBorder="1" applyAlignment="1" applyProtection="1">
      <alignment vertical="top"/>
      <protection locked="0"/>
    </xf>
    <xf numFmtId="0" fontId="221" fillId="0" borderId="583" xfId="0" applyFont="1" applyFill="1" applyBorder="1" applyAlignment="1" applyProtection="1">
      <alignment vertical="top"/>
      <protection locked="0"/>
    </xf>
    <xf numFmtId="0" fontId="221" fillId="0" borderId="550" xfId="2" applyFont="1" applyFill="1" applyBorder="1" applyAlignment="1" applyProtection="1">
      <alignment vertical="top"/>
      <protection locked="0"/>
    </xf>
    <xf numFmtId="0" fontId="292" fillId="0" borderId="199" xfId="2" applyFont="1" applyFill="1" applyBorder="1" applyAlignment="1" applyProtection="1">
      <alignment horizontal="left" vertical="top"/>
      <protection locked="0"/>
    </xf>
    <xf numFmtId="0" fontId="292" fillId="0" borderId="563" xfId="2" applyFont="1" applyFill="1" applyBorder="1" applyAlignment="1" applyProtection="1">
      <alignment horizontal="left" vertical="top"/>
      <protection locked="0"/>
    </xf>
    <xf numFmtId="0" fontId="221" fillId="0" borderId="563" xfId="2" applyFont="1" applyFill="1" applyBorder="1" applyAlignment="1" applyProtection="1">
      <alignment vertical="top"/>
      <protection locked="0"/>
    </xf>
    <xf numFmtId="0" fontId="220" fillId="0" borderId="202" xfId="2" applyFont="1" applyFill="1" applyBorder="1" applyAlignment="1" applyProtection="1">
      <alignment vertical="top"/>
      <protection locked="0"/>
    </xf>
    <xf numFmtId="0" fontId="221" fillId="0" borderId="0" xfId="0" applyFont="1" applyFill="1" applyBorder="1" applyAlignment="1" applyProtection="1">
      <alignment vertical="top"/>
      <protection locked="0"/>
    </xf>
    <xf numFmtId="0" fontId="220" fillId="0" borderId="433" xfId="2" applyFont="1" applyFill="1" applyBorder="1" applyAlignment="1" applyProtection="1">
      <alignment horizontal="center" vertical="top"/>
      <protection locked="0"/>
    </xf>
    <xf numFmtId="0" fontId="220" fillId="0" borderId="370" xfId="2" applyFont="1" applyFill="1" applyBorder="1" applyAlignment="1" applyProtection="1">
      <alignment horizontal="center" vertical="center"/>
      <protection locked="0"/>
    </xf>
    <xf numFmtId="0" fontId="220" fillId="0" borderId="446" xfId="2" applyFont="1" applyFill="1" applyBorder="1" applyAlignment="1" applyProtection="1">
      <alignment horizontal="center" vertical="center"/>
      <protection locked="0"/>
    </xf>
    <xf numFmtId="0" fontId="220" fillId="0" borderId="0" xfId="47" applyFont="1" applyFill="1" applyAlignment="1" applyProtection="1">
      <protection locked="0"/>
    </xf>
    <xf numFmtId="0" fontId="220" fillId="0" borderId="0" xfId="47" applyFont="1" applyFill="1" applyAlignment="1" applyProtection="1">
      <alignment horizontal="left" vertical="top"/>
      <protection locked="0"/>
    </xf>
    <xf numFmtId="3" fontId="221" fillId="0" borderId="0" xfId="32" applyFont="1" applyFill="1"/>
    <xf numFmtId="3" fontId="221" fillId="0" borderId="410" xfId="32" applyFont="1" applyFill="1" applyBorder="1" applyAlignment="1" applyProtection="1">
      <protection hidden="1"/>
    </xf>
    <xf numFmtId="39" fontId="221" fillId="0" borderId="82" xfId="32" applyNumberFormat="1" applyFont="1" applyFill="1" applyBorder="1" applyProtection="1">
      <protection locked="0"/>
    </xf>
    <xf numFmtId="3" fontId="221" fillId="0" borderId="360" xfId="32" applyFont="1" applyFill="1" applyBorder="1" applyAlignment="1" applyProtection="1">
      <alignment horizontal="left"/>
      <protection hidden="1"/>
    </xf>
    <xf numFmtId="39" fontId="221" fillId="0" borderId="487" xfId="68" applyNumberFormat="1" applyFont="1" applyFill="1" applyBorder="1" applyProtection="1">
      <protection locked="0"/>
    </xf>
    <xf numFmtId="3" fontId="221" fillId="0" borderId="300" xfId="32" applyFont="1" applyFill="1" applyBorder="1" applyAlignment="1" applyProtection="1">
      <alignment horizontal="left"/>
      <protection locked="0"/>
    </xf>
    <xf numFmtId="3" fontId="221" fillId="0" borderId="0" xfId="32" applyFont="1" applyFill="1" applyBorder="1" applyAlignment="1" applyProtection="1">
      <alignment horizontal="right"/>
      <protection locked="0"/>
    </xf>
    <xf numFmtId="3" fontId="293" fillId="0" borderId="488" xfId="32" applyFont="1" applyFill="1" applyBorder="1" applyAlignment="1" applyProtection="1">
      <alignment horizontal="left" vertical="center"/>
      <protection hidden="1"/>
    </xf>
    <xf numFmtId="39" fontId="220" fillId="0" borderId="489" xfId="32" applyNumberFormat="1" applyFont="1" applyFill="1" applyBorder="1" applyAlignment="1" applyProtection="1">
      <alignment vertical="center"/>
      <protection locked="0"/>
    </xf>
    <xf numFmtId="39" fontId="293" fillId="0" borderId="488" xfId="32" applyNumberFormat="1" applyFont="1" applyFill="1" applyBorder="1" applyAlignment="1" applyProtection="1">
      <alignment horizontal="left" vertical="center"/>
      <protection hidden="1"/>
    </xf>
    <xf numFmtId="39" fontId="293" fillId="0" borderId="490" xfId="32" applyNumberFormat="1" applyFont="1" applyFill="1" applyBorder="1" applyAlignment="1" applyProtection="1">
      <alignment horizontal="left" vertical="center"/>
      <protection locked="0"/>
    </xf>
    <xf numFmtId="39" fontId="220" fillId="0" borderId="491" xfId="32" applyNumberFormat="1" applyFont="1" applyFill="1" applyBorder="1" applyAlignment="1" applyProtection="1">
      <alignment horizontal="right" vertical="center"/>
      <protection locked="0"/>
    </xf>
    <xf numFmtId="3" fontId="221" fillId="0" borderId="487" xfId="32" applyFont="1" applyFill="1" applyBorder="1" applyProtection="1">
      <protection locked="0"/>
    </xf>
    <xf numFmtId="3" fontId="221" fillId="0" borderId="0" xfId="32" applyFont="1" applyFill="1" applyBorder="1" applyAlignment="1" applyProtection="1">
      <alignment horizontal="left"/>
      <protection locked="0"/>
    </xf>
    <xf numFmtId="3" fontId="221" fillId="0" borderId="54" xfId="32" applyFont="1" applyFill="1" applyBorder="1" applyAlignment="1" applyProtection="1">
      <alignment horizontal="left"/>
      <protection hidden="1"/>
    </xf>
    <xf numFmtId="39" fontId="221" fillId="0" borderId="54" xfId="32" applyNumberFormat="1" applyFont="1" applyFill="1" applyBorder="1" applyAlignment="1" applyProtection="1">
      <alignment horizontal="left"/>
      <protection hidden="1"/>
    </xf>
    <xf numFmtId="39" fontId="221" fillId="0" borderId="2" xfId="32" applyNumberFormat="1" applyFont="1" applyFill="1" applyBorder="1" applyAlignment="1" applyProtection="1">
      <alignment horizontal="left"/>
      <protection locked="0"/>
    </xf>
    <xf numFmtId="39" fontId="221" fillId="0" borderId="0" xfId="32" applyNumberFormat="1" applyFont="1" applyFill="1" applyBorder="1" applyAlignment="1" applyProtection="1">
      <alignment horizontal="left"/>
      <protection locked="0"/>
    </xf>
    <xf numFmtId="3" fontId="294" fillId="0" borderId="54" xfId="32" applyFont="1" applyFill="1" applyBorder="1" applyAlignment="1" applyProtection="1">
      <alignment horizontal="left"/>
      <protection hidden="1"/>
    </xf>
    <xf numFmtId="3" fontId="294" fillId="0" borderId="2" xfId="32" applyFont="1" applyFill="1" applyBorder="1" applyAlignment="1" applyProtection="1">
      <alignment horizontal="left"/>
      <protection locked="0"/>
    </xf>
    <xf numFmtId="39" fontId="221" fillId="0" borderId="0" xfId="32" applyNumberFormat="1" applyFont="1" applyFill="1" applyBorder="1" applyAlignment="1" applyProtection="1">
      <alignment horizontal="right"/>
      <protection locked="0"/>
    </xf>
    <xf numFmtId="3" fontId="221" fillId="0" borderId="0" xfId="32" applyFont="1" applyFill="1" applyAlignment="1">
      <alignment horizontal="left"/>
    </xf>
    <xf numFmtId="3" fontId="221" fillId="0" borderId="0" xfId="68" applyNumberFormat="1" applyFont="1" applyFill="1" applyBorder="1" applyAlignment="1" applyProtection="1">
      <alignment horizontal="center"/>
      <protection locked="0"/>
    </xf>
    <xf numFmtId="3" fontId="221" fillId="0" borderId="54" xfId="68" applyNumberFormat="1" applyFont="1" applyFill="1" applyBorder="1" applyProtection="1">
      <protection hidden="1"/>
    </xf>
    <xf numFmtId="39" fontId="221" fillId="0" borderId="2" xfId="68" applyNumberFormat="1" applyFont="1" applyFill="1" applyBorder="1" applyProtection="1">
      <protection hidden="1"/>
    </xf>
    <xf numFmtId="39" fontId="221" fillId="0" borderId="2" xfId="68" applyNumberFormat="1" applyFont="1" applyFill="1" applyBorder="1" applyProtection="1">
      <protection locked="0"/>
    </xf>
    <xf numFmtId="39" fontId="221" fillId="0" borderId="0" xfId="68" applyNumberFormat="1" applyFont="1" applyFill="1" applyBorder="1" applyAlignment="1" applyProtection="1">
      <alignment horizontal="right"/>
      <protection locked="0"/>
    </xf>
    <xf numFmtId="3" fontId="294" fillId="0" borderId="208" xfId="32" applyFont="1" applyFill="1" applyBorder="1" applyAlignment="1" applyProtection="1">
      <alignment horizontal="left"/>
      <protection hidden="1"/>
    </xf>
    <xf numFmtId="3" fontId="294" fillId="0" borderId="202" xfId="32" applyFont="1" applyFill="1" applyBorder="1" applyAlignment="1" applyProtection="1">
      <alignment horizontal="left"/>
      <protection locked="0"/>
    </xf>
    <xf numFmtId="3" fontId="294" fillId="0" borderId="360" xfId="32" applyFont="1" applyFill="1" applyBorder="1" applyAlignment="1" applyProtection="1">
      <alignment horizontal="left"/>
      <protection hidden="1"/>
    </xf>
    <xf numFmtId="3" fontId="294" fillId="0" borderId="300" xfId="32" applyFont="1" applyFill="1" applyBorder="1" applyAlignment="1" applyProtection="1">
      <alignment horizontal="left"/>
      <protection locked="0"/>
    </xf>
    <xf numFmtId="3" fontId="221" fillId="0" borderId="72" xfId="32" applyFont="1" applyFill="1" applyBorder="1" applyAlignment="1" applyProtection="1">
      <alignment horizontal="left" vertical="center"/>
      <protection hidden="1"/>
    </xf>
    <xf numFmtId="3" fontId="221" fillId="0" borderId="56" xfId="32" applyFont="1" applyFill="1" applyBorder="1" applyAlignment="1" applyProtection="1">
      <alignment vertical="center"/>
      <protection locked="0"/>
    </xf>
    <xf numFmtId="3" fontId="221" fillId="0" borderId="57" xfId="32" applyFont="1" applyFill="1" applyBorder="1" applyAlignment="1" applyProtection="1">
      <alignment horizontal="left" vertical="center"/>
      <protection locked="0"/>
    </xf>
    <xf numFmtId="3" fontId="221" fillId="0" borderId="216" xfId="32" applyFont="1" applyFill="1" applyBorder="1" applyAlignment="1" applyProtection="1">
      <alignment horizontal="right" vertical="center"/>
      <protection locked="0"/>
    </xf>
    <xf numFmtId="3" fontId="293" fillId="0" borderId="58" xfId="32" applyFont="1" applyFill="1" applyBorder="1" applyAlignment="1" applyProtection="1">
      <alignment horizontal="left" vertical="center"/>
      <protection hidden="1"/>
    </xf>
    <xf numFmtId="39" fontId="220" fillId="0" borderId="56" xfId="32" applyNumberFormat="1" applyFont="1" applyFill="1" applyBorder="1" applyAlignment="1" applyProtection="1">
      <alignment vertical="center"/>
      <protection locked="0"/>
    </xf>
    <xf numFmtId="39" fontId="293" fillId="0" borderId="72" xfId="32" applyNumberFormat="1" applyFont="1" applyFill="1" applyBorder="1" applyAlignment="1" applyProtection="1">
      <alignment horizontal="left" vertical="center"/>
      <protection hidden="1"/>
    </xf>
    <xf numFmtId="39" fontId="293" fillId="0" borderId="57" xfId="32" applyNumberFormat="1" applyFont="1" applyFill="1" applyBorder="1" applyAlignment="1" applyProtection="1">
      <alignment horizontal="left" vertical="center"/>
      <protection locked="0"/>
    </xf>
    <xf numFmtId="39" fontId="220" fillId="0" borderId="216" xfId="32" applyNumberFormat="1" applyFont="1" applyFill="1" applyBorder="1" applyAlignment="1" applyProtection="1">
      <alignment horizontal="right" vertical="center"/>
      <protection locked="0"/>
    </xf>
    <xf numFmtId="3" fontId="221" fillId="0" borderId="2" xfId="32" applyFont="1" applyFill="1" applyBorder="1" applyProtection="1">
      <protection locked="0"/>
    </xf>
    <xf numFmtId="3" fontId="293" fillId="0" borderId="0" xfId="32" applyFont="1" applyFill="1" applyBorder="1" applyAlignment="1" applyProtection="1">
      <alignment horizontal="left"/>
      <protection hidden="1"/>
    </xf>
    <xf numFmtId="39" fontId="220" fillId="0" borderId="0" xfId="32" applyNumberFormat="1" applyFont="1" applyFill="1" applyBorder="1" applyProtection="1">
      <protection locked="0"/>
    </xf>
    <xf numFmtId="39" fontId="293" fillId="0" borderId="54" xfId="32" applyNumberFormat="1" applyFont="1" applyFill="1" applyBorder="1" applyAlignment="1" applyProtection="1">
      <alignment horizontal="left"/>
      <protection hidden="1"/>
    </xf>
    <xf numFmtId="39" fontId="220" fillId="0" borderId="199" xfId="32" applyNumberFormat="1" applyFont="1" applyFill="1" applyBorder="1" applyProtection="1">
      <protection locked="0"/>
    </xf>
    <xf numFmtId="39" fontId="293" fillId="0" borderId="2" xfId="32" applyNumberFormat="1" applyFont="1" applyFill="1" applyBorder="1" applyAlignment="1" applyProtection="1">
      <alignment horizontal="left"/>
      <protection locked="0"/>
    </xf>
    <xf numFmtId="39" fontId="293" fillId="0" borderId="0" xfId="32" applyNumberFormat="1" applyFont="1" applyFill="1" applyBorder="1" applyAlignment="1" applyProtection="1">
      <alignment horizontal="left"/>
      <protection locked="0"/>
    </xf>
    <xf numFmtId="3" fontId="221" fillId="0" borderId="82" xfId="32" applyFont="1" applyFill="1" applyBorder="1" applyProtection="1">
      <protection locked="0"/>
    </xf>
    <xf numFmtId="3" fontId="221" fillId="0" borderId="2" xfId="32" applyFont="1" applyFill="1" applyBorder="1" applyAlignment="1" applyProtection="1">
      <alignment horizontal="left"/>
      <protection locked="0"/>
    </xf>
    <xf numFmtId="3" fontId="221" fillId="0" borderId="208" xfId="32" applyFont="1" applyFill="1" applyBorder="1" applyAlignment="1" applyProtection="1">
      <alignment horizontal="left"/>
      <protection hidden="1"/>
    </xf>
    <xf numFmtId="39" fontId="221" fillId="0" borderId="208" xfId="32" applyNumberFormat="1" applyFont="1" applyFill="1" applyBorder="1" applyAlignment="1" applyProtection="1">
      <alignment horizontal="left"/>
      <protection hidden="1"/>
    </xf>
    <xf numFmtId="39" fontId="221" fillId="0" borderId="202" xfId="32" applyNumberFormat="1" applyFont="1" applyFill="1" applyBorder="1" applyAlignment="1" applyProtection="1">
      <alignment horizontal="left"/>
      <protection locked="0"/>
    </xf>
    <xf numFmtId="39" fontId="221" fillId="0" borderId="360" xfId="32" applyNumberFormat="1" applyFont="1" applyFill="1" applyBorder="1" applyAlignment="1" applyProtection="1">
      <alignment horizontal="left"/>
      <protection hidden="1"/>
    </xf>
    <xf numFmtId="39" fontId="221" fillId="0" borderId="300" xfId="32" applyNumberFormat="1" applyFont="1" applyFill="1" applyBorder="1" applyAlignment="1" applyProtection="1">
      <alignment horizontal="left"/>
      <protection locked="0"/>
    </xf>
    <xf numFmtId="43" fontId="221" fillId="0" borderId="0" xfId="1" applyFont="1" applyFill="1" applyBorder="1" applyAlignment="1" applyProtection="1">
      <alignment horizontal="right"/>
      <protection locked="0"/>
    </xf>
    <xf numFmtId="3" fontId="221" fillId="0" borderId="360" xfId="32" applyFont="1" applyFill="1" applyBorder="1" applyProtection="1">
      <protection hidden="1"/>
    </xf>
    <xf numFmtId="3" fontId="221" fillId="0" borderId="300" xfId="32" applyFont="1" applyFill="1" applyBorder="1" applyProtection="1">
      <protection locked="0"/>
    </xf>
    <xf numFmtId="3" fontId="221" fillId="0" borderId="300" xfId="32" applyFont="1" applyFill="1" applyBorder="1"/>
    <xf numFmtId="43" fontId="221" fillId="0" borderId="0" xfId="1" applyFont="1" applyFill="1" applyBorder="1" applyAlignment="1">
      <alignment horizontal="right"/>
    </xf>
    <xf numFmtId="3" fontId="221" fillId="0" borderId="0" xfId="32" applyFont="1" applyFill="1" applyBorder="1" applyAlignment="1" applyProtection="1">
      <alignment horizontal="left"/>
      <protection hidden="1"/>
    </xf>
    <xf numFmtId="39" fontId="293" fillId="0" borderId="451" xfId="32" applyNumberFormat="1" applyFont="1" applyFill="1" applyBorder="1" applyAlignment="1" applyProtection="1">
      <alignment horizontal="left"/>
      <protection hidden="1"/>
    </xf>
    <xf numFmtId="39" fontId="220" fillId="0" borderId="452" xfId="32" applyNumberFormat="1" applyFont="1" applyFill="1" applyBorder="1" applyProtection="1">
      <protection locked="0"/>
    </xf>
    <xf numFmtId="39" fontId="293" fillId="0" borderId="451" xfId="32" applyNumberFormat="1" applyFont="1" applyFill="1" applyBorder="1" applyAlignment="1" applyProtection="1">
      <alignment horizontal="left"/>
      <protection locked="0"/>
    </xf>
    <xf numFmtId="39" fontId="220" fillId="0" borderId="449" xfId="32" applyNumberFormat="1" applyFont="1" applyFill="1" applyBorder="1" applyAlignment="1" applyProtection="1">
      <alignment horizontal="right"/>
      <protection locked="0"/>
    </xf>
    <xf numFmtId="3" fontId="293" fillId="0" borderId="157" xfId="32" applyFont="1" applyFill="1" applyBorder="1" applyAlignment="1" applyProtection="1">
      <alignment horizontal="left"/>
      <protection hidden="1"/>
    </xf>
    <xf numFmtId="39" fontId="220" fillId="0" borderId="157" xfId="32" applyNumberFormat="1" applyFont="1" applyFill="1" applyBorder="1" applyProtection="1">
      <protection locked="0"/>
    </xf>
    <xf numFmtId="39" fontId="293" fillId="0" borderId="157" xfId="32" applyNumberFormat="1" applyFont="1" applyFill="1" applyBorder="1" applyAlignment="1" applyProtection="1">
      <alignment horizontal="left"/>
      <protection hidden="1"/>
    </xf>
    <xf numFmtId="39" fontId="293" fillId="0" borderId="157" xfId="32" applyNumberFormat="1" applyFont="1" applyFill="1" applyBorder="1" applyAlignment="1" applyProtection="1">
      <alignment horizontal="left"/>
      <protection locked="0"/>
    </xf>
    <xf numFmtId="39" fontId="293" fillId="0" borderId="405" xfId="32" applyNumberFormat="1" applyFont="1" applyFill="1" applyBorder="1" applyAlignment="1" applyProtection="1">
      <alignment horizontal="left"/>
      <protection locked="0"/>
    </xf>
    <xf numFmtId="39" fontId="293" fillId="0" borderId="0" xfId="32" applyNumberFormat="1" applyFont="1" applyFill="1" applyBorder="1" applyAlignment="1" applyProtection="1">
      <alignment horizontal="left"/>
      <protection hidden="1"/>
    </xf>
    <xf numFmtId="3" fontId="293" fillId="0" borderId="13" xfId="32" applyFont="1" applyFill="1" applyBorder="1" applyAlignment="1" applyProtection="1">
      <alignment horizontal="left"/>
      <protection hidden="1"/>
    </xf>
    <xf numFmtId="39" fontId="220" fillId="0" borderId="13" xfId="32" applyNumberFormat="1" applyFont="1" applyFill="1" applyBorder="1" applyProtection="1">
      <protection locked="0"/>
    </xf>
    <xf numFmtId="39" fontId="293" fillId="0" borderId="13" xfId="32" applyNumberFormat="1" applyFont="1" applyFill="1" applyBorder="1" applyAlignment="1" applyProtection="1">
      <alignment horizontal="left"/>
      <protection hidden="1"/>
    </xf>
    <xf numFmtId="39" fontId="293" fillId="0" borderId="13" xfId="32" applyNumberFormat="1" applyFont="1" applyFill="1" applyBorder="1" applyAlignment="1" applyProtection="1">
      <alignment horizontal="left"/>
      <protection locked="0"/>
    </xf>
    <xf numFmtId="39" fontId="293" fillId="0" borderId="315" xfId="32" applyNumberFormat="1" applyFont="1" applyFill="1" applyBorder="1" applyAlignment="1" applyProtection="1">
      <alignment horizontal="left"/>
      <protection locked="0"/>
    </xf>
    <xf numFmtId="3" fontId="286" fillId="0" borderId="0" xfId="32" applyFont="1" applyFill="1" applyBorder="1" applyAlignment="1" applyProtection="1">
      <alignment horizontal="left"/>
      <protection hidden="1"/>
    </xf>
    <xf numFmtId="3" fontId="286" fillId="0" borderId="2" xfId="32" applyFont="1" applyFill="1" applyBorder="1" applyAlignment="1" applyProtection="1">
      <alignment horizontal="left"/>
      <protection locked="0"/>
    </xf>
    <xf numFmtId="3" fontId="286" fillId="0" borderId="82" xfId="32" applyFont="1" applyFill="1" applyBorder="1" applyProtection="1">
      <protection locked="0"/>
    </xf>
    <xf numFmtId="3" fontId="286" fillId="0" borderId="0" xfId="32" applyFont="1" applyFill="1" applyBorder="1" applyAlignment="1" applyProtection="1">
      <alignment horizontal="left"/>
      <protection locked="0"/>
    </xf>
    <xf numFmtId="39" fontId="220" fillId="0" borderId="489" xfId="32" applyNumberFormat="1" applyFont="1" applyFill="1" applyBorder="1" applyAlignment="1" applyProtection="1">
      <alignment vertical="center"/>
      <protection hidden="1"/>
    </xf>
    <xf numFmtId="3" fontId="293" fillId="0" borderId="490" xfId="32" applyFont="1" applyFill="1" applyBorder="1" applyAlignment="1" applyProtection="1">
      <alignment horizontal="left" vertical="center"/>
      <protection hidden="1"/>
    </xf>
    <xf numFmtId="3" fontId="220" fillId="0" borderId="491" xfId="32" applyFont="1" applyFill="1" applyBorder="1" applyAlignment="1" applyProtection="1">
      <alignment horizontal="right" vertical="center"/>
      <protection hidden="1"/>
    </xf>
    <xf numFmtId="3" fontId="293" fillId="0" borderId="360" xfId="32" applyFont="1" applyFill="1" applyBorder="1" applyAlignment="1" applyProtection="1">
      <alignment horizontal="left"/>
      <protection hidden="1"/>
    </xf>
    <xf numFmtId="39" fontId="220" fillId="0" borderId="487" xfId="32" applyNumberFormat="1" applyFont="1" applyFill="1" applyBorder="1" applyProtection="1">
      <protection hidden="1"/>
    </xf>
    <xf numFmtId="3" fontId="293" fillId="0" borderId="300" xfId="32" applyFont="1" applyFill="1" applyBorder="1" applyAlignment="1" applyProtection="1">
      <alignment horizontal="left"/>
      <protection hidden="1"/>
    </xf>
    <xf numFmtId="3" fontId="220" fillId="0" borderId="0" xfId="32" applyFont="1" applyFill="1" applyBorder="1" applyAlignment="1" applyProtection="1">
      <alignment horizontal="right"/>
      <protection hidden="1"/>
    </xf>
    <xf numFmtId="39" fontId="286" fillId="0" borderId="54" xfId="32" applyNumberFormat="1" applyFont="1" applyFill="1" applyBorder="1" applyAlignment="1" applyProtection="1">
      <alignment horizontal="left"/>
      <protection hidden="1"/>
    </xf>
    <xf numFmtId="39" fontId="286" fillId="0" borderId="82" xfId="32" applyNumberFormat="1" applyFont="1" applyFill="1" applyBorder="1" applyProtection="1">
      <protection locked="0"/>
    </xf>
    <xf numFmtId="39" fontId="286" fillId="0" borderId="2" xfId="32" applyNumberFormat="1" applyFont="1" applyFill="1" applyBorder="1" applyAlignment="1" applyProtection="1">
      <alignment horizontal="left"/>
      <protection locked="0"/>
    </xf>
    <xf numFmtId="39" fontId="286" fillId="0" borderId="0" xfId="32" applyNumberFormat="1" applyFont="1" applyFill="1" applyBorder="1" applyAlignment="1" applyProtection="1">
      <alignment horizontal="left"/>
      <protection locked="0"/>
    </xf>
    <xf numFmtId="3" fontId="221" fillId="0" borderId="494" xfId="32" applyFont="1" applyFill="1" applyBorder="1" applyAlignment="1" applyProtection="1">
      <alignment horizontal="left"/>
      <protection hidden="1"/>
    </xf>
    <xf numFmtId="39" fontId="221" fillId="0" borderId="495" xfId="68" applyNumberFormat="1" applyFont="1" applyFill="1" applyBorder="1" applyProtection="1">
      <protection locked="0"/>
    </xf>
    <xf numFmtId="39" fontId="221" fillId="0" borderId="494" xfId="32" applyNumberFormat="1" applyFont="1" applyFill="1" applyBorder="1" applyAlignment="1" applyProtection="1">
      <alignment horizontal="left"/>
      <protection hidden="1"/>
    </xf>
    <xf numFmtId="39" fontId="221" fillId="0" borderId="496" xfId="32" applyNumberFormat="1" applyFont="1" applyFill="1" applyBorder="1" applyAlignment="1" applyProtection="1">
      <alignment horizontal="left"/>
      <protection locked="0"/>
    </xf>
    <xf numFmtId="39" fontId="221" fillId="0" borderId="497" xfId="32" applyNumberFormat="1" applyFont="1" applyFill="1" applyBorder="1" applyAlignment="1" applyProtection="1">
      <alignment horizontal="right"/>
      <protection locked="0"/>
    </xf>
    <xf numFmtId="3" fontId="293" fillId="0" borderId="488" xfId="32" applyFont="1" applyFill="1" applyBorder="1" applyAlignment="1" applyProtection="1">
      <alignment horizontal="left"/>
      <protection hidden="1"/>
    </xf>
    <xf numFmtId="39" fontId="220" fillId="0" borderId="489" xfId="32" applyNumberFormat="1" applyFont="1" applyFill="1" applyBorder="1" applyProtection="1">
      <protection locked="0"/>
    </xf>
    <xf numFmtId="39" fontId="293" fillId="0" borderId="488" xfId="32" applyNumberFormat="1" applyFont="1" applyFill="1" applyBorder="1" applyAlignment="1" applyProtection="1">
      <alignment horizontal="left"/>
      <protection hidden="1"/>
    </xf>
    <xf numFmtId="39" fontId="293" fillId="0" borderId="490" xfId="32" applyNumberFormat="1" applyFont="1" applyFill="1" applyBorder="1" applyAlignment="1" applyProtection="1">
      <alignment horizontal="left"/>
      <protection locked="0"/>
    </xf>
    <xf numFmtId="39" fontId="220" fillId="0" borderId="491" xfId="32" applyNumberFormat="1" applyFont="1" applyFill="1" applyBorder="1" applyAlignment="1" applyProtection="1">
      <alignment horizontal="right"/>
      <protection locked="0"/>
    </xf>
    <xf numFmtId="39" fontId="220" fillId="0" borderId="493" xfId="32" applyNumberFormat="1" applyFont="1" applyFill="1" applyBorder="1" applyProtection="1">
      <protection locked="0"/>
    </xf>
    <xf numFmtId="39" fontId="293" fillId="0" borderId="360" xfId="32" applyNumberFormat="1" applyFont="1" applyFill="1" applyBorder="1" applyAlignment="1" applyProtection="1">
      <alignment horizontal="left"/>
      <protection hidden="1"/>
    </xf>
    <xf numFmtId="39" fontId="293" fillId="0" borderId="300" xfId="32" applyNumberFormat="1" applyFont="1" applyFill="1" applyBorder="1" applyAlignment="1" applyProtection="1">
      <alignment horizontal="left"/>
      <protection locked="0"/>
    </xf>
    <xf numFmtId="39" fontId="220" fillId="0" borderId="0" xfId="32" applyNumberFormat="1" applyFont="1" applyFill="1" applyBorder="1" applyAlignment="1" applyProtection="1">
      <alignment horizontal="right"/>
      <protection locked="0"/>
    </xf>
    <xf numFmtId="3" fontId="220" fillId="0" borderId="2" xfId="32" applyFont="1" applyFill="1" applyBorder="1" applyAlignment="1" applyProtection="1">
      <alignment horizontal="right"/>
      <protection locked="0"/>
    </xf>
    <xf numFmtId="3" fontId="293" fillId="0" borderId="83" xfId="32" applyFont="1" applyFill="1" applyBorder="1" applyAlignment="1" applyProtection="1">
      <alignment horizontal="left"/>
      <protection hidden="1"/>
    </xf>
    <xf numFmtId="39" fontId="220" fillId="0" borderId="86" xfId="32" applyNumberFormat="1" applyFont="1" applyFill="1" applyBorder="1" applyProtection="1">
      <protection locked="0"/>
    </xf>
    <xf numFmtId="39" fontId="293" fillId="0" borderId="83" xfId="32" applyNumberFormat="1" applyFont="1" applyFill="1" applyBorder="1" applyAlignment="1" applyProtection="1">
      <alignment horizontal="left"/>
      <protection hidden="1"/>
    </xf>
    <xf numFmtId="39" fontId="293" fillId="0" borderId="85" xfId="32" applyNumberFormat="1" applyFont="1" applyFill="1" applyBorder="1" applyAlignment="1" applyProtection="1">
      <alignment horizontal="left"/>
      <protection locked="0"/>
    </xf>
    <xf numFmtId="39" fontId="220" fillId="0" borderId="408" xfId="32" applyNumberFormat="1" applyFont="1" applyFill="1" applyBorder="1" applyAlignment="1" applyProtection="1">
      <alignment horizontal="right"/>
      <protection locked="0"/>
    </xf>
    <xf numFmtId="3" fontId="220" fillId="0" borderId="300" xfId="32" applyFont="1" applyFill="1" applyBorder="1" applyAlignment="1" applyProtection="1">
      <alignment horizontal="right"/>
      <protection locked="0"/>
    </xf>
    <xf numFmtId="39" fontId="220" fillId="0" borderId="82" xfId="32" applyNumberFormat="1" applyFont="1" applyFill="1" applyBorder="1" applyProtection="1">
      <protection locked="0"/>
    </xf>
    <xf numFmtId="3" fontId="221" fillId="0" borderId="211" xfId="32" applyFont="1" applyFill="1" applyBorder="1" applyAlignment="1" applyProtection="1">
      <alignment horizontal="left"/>
      <protection locked="0"/>
    </xf>
    <xf numFmtId="39" fontId="220" fillId="0" borderId="487" xfId="32" applyNumberFormat="1" applyFont="1" applyFill="1" applyBorder="1" applyProtection="1">
      <protection locked="0"/>
    </xf>
    <xf numFmtId="3" fontId="293" fillId="0" borderId="54" xfId="32" applyFont="1" applyFill="1" applyBorder="1" applyAlignment="1" applyProtection="1">
      <alignment horizontal="left"/>
      <protection hidden="1"/>
    </xf>
    <xf numFmtId="3" fontId="220" fillId="0" borderId="0" xfId="32" applyFont="1" applyFill="1" applyBorder="1" applyAlignment="1" applyProtection="1">
      <alignment horizontal="left"/>
      <protection hidden="1"/>
    </xf>
    <xf numFmtId="3" fontId="220" fillId="0" borderId="54" xfId="32" applyFont="1" applyFill="1" applyBorder="1" applyAlignment="1" applyProtection="1">
      <alignment horizontal="left"/>
      <protection hidden="1"/>
    </xf>
    <xf numFmtId="3" fontId="220" fillId="0" borderId="2" xfId="32" applyFont="1" applyFill="1" applyBorder="1" applyAlignment="1" applyProtection="1">
      <alignment horizontal="left"/>
      <protection locked="0"/>
    </xf>
    <xf numFmtId="43" fontId="220" fillId="0" borderId="0" xfId="1" applyFont="1" applyFill="1" applyBorder="1" applyAlignment="1" applyProtection="1">
      <alignment horizontal="left"/>
      <protection locked="0"/>
    </xf>
    <xf numFmtId="3" fontId="220" fillId="0" borderId="360" xfId="32" applyFont="1" applyFill="1" applyBorder="1" applyAlignment="1" applyProtection="1">
      <alignment horizontal="left"/>
      <protection hidden="1"/>
    </xf>
    <xf numFmtId="39" fontId="221" fillId="0" borderId="381" xfId="32" applyNumberFormat="1" applyFont="1" applyFill="1" applyBorder="1" applyProtection="1">
      <protection locked="0"/>
    </xf>
    <xf numFmtId="3" fontId="220" fillId="0" borderId="211" xfId="32" applyFont="1" applyFill="1" applyBorder="1" applyAlignment="1" applyProtection="1">
      <alignment horizontal="left"/>
      <protection locked="0"/>
    </xf>
    <xf numFmtId="43" fontId="220" fillId="0" borderId="491" xfId="1" applyFont="1" applyFill="1" applyBorder="1" applyAlignment="1" applyProtection="1">
      <alignment horizontal="left" vertical="center"/>
      <protection hidden="1"/>
    </xf>
    <xf numFmtId="3" fontId="293" fillId="0" borderId="498" xfId="32" applyFont="1" applyFill="1" applyBorder="1" applyAlignment="1" applyProtection="1">
      <alignment horizontal="left"/>
      <protection hidden="1"/>
    </xf>
    <xf numFmtId="39" fontId="220" fillId="0" borderId="500" xfId="32" applyNumberFormat="1" applyFont="1" applyFill="1" applyBorder="1" applyProtection="1">
      <protection hidden="1"/>
    </xf>
    <xf numFmtId="3" fontId="293" fillId="0" borderId="501" xfId="32" applyFont="1" applyFill="1" applyBorder="1" applyAlignment="1" applyProtection="1">
      <alignment horizontal="left"/>
      <protection hidden="1"/>
    </xf>
    <xf numFmtId="43" fontId="220" fillId="0" borderId="499" xfId="1" applyFont="1" applyFill="1" applyBorder="1" applyAlignment="1" applyProtection="1">
      <alignment horizontal="left"/>
      <protection hidden="1"/>
    </xf>
    <xf numFmtId="3" fontId="293" fillId="0" borderId="360" xfId="32" applyFont="1" applyFill="1" applyBorder="1" applyAlignment="1" applyProtection="1">
      <alignment horizontal="left" vertical="center"/>
      <protection hidden="1"/>
    </xf>
    <xf numFmtId="3" fontId="294" fillId="0" borderId="360" xfId="32" applyFont="1" applyFill="1" applyBorder="1" applyAlignment="1" applyProtection="1">
      <alignment horizontal="left" vertical="center"/>
      <protection hidden="1"/>
    </xf>
    <xf numFmtId="39" fontId="221" fillId="0" borderId="487" xfId="32" applyNumberFormat="1" applyFont="1" applyFill="1" applyBorder="1" applyAlignment="1" applyProtection="1">
      <alignment vertical="center"/>
      <protection hidden="1"/>
    </xf>
    <xf numFmtId="3" fontId="294" fillId="0" borderId="300" xfId="32" applyFont="1" applyFill="1" applyBorder="1" applyAlignment="1" applyProtection="1">
      <alignment horizontal="left" vertical="center"/>
      <protection hidden="1"/>
    </xf>
    <xf numFmtId="43" fontId="221" fillId="0" borderId="0" xfId="1" applyFont="1" applyFill="1" applyBorder="1" applyAlignment="1" applyProtection="1">
      <alignment horizontal="left" vertical="center"/>
      <protection hidden="1"/>
    </xf>
    <xf numFmtId="43" fontId="220" fillId="0" borderId="0" xfId="1" applyFont="1" applyFill="1" applyBorder="1"/>
    <xf numFmtId="3" fontId="221" fillId="0" borderId="0" xfId="32" applyFont="1" applyFill="1" applyBorder="1"/>
    <xf numFmtId="3" fontId="293" fillId="0" borderId="494" xfId="32" applyFont="1" applyFill="1" applyBorder="1" applyAlignment="1" applyProtection="1">
      <alignment horizontal="left" vertical="center"/>
      <protection hidden="1"/>
    </xf>
    <xf numFmtId="3" fontId="294" fillId="0" borderId="494" xfId="32" applyFont="1" applyFill="1" applyBorder="1" applyAlignment="1" applyProtection="1">
      <alignment horizontal="left" vertical="center"/>
      <protection hidden="1"/>
    </xf>
    <xf numFmtId="39" fontId="221" fillId="0" borderId="495" xfId="32" applyNumberFormat="1" applyFont="1" applyFill="1" applyBorder="1" applyAlignment="1" applyProtection="1">
      <alignment vertical="center"/>
      <protection hidden="1"/>
    </xf>
    <xf numFmtId="3" fontId="294" fillId="0" borderId="496" xfId="32" applyFont="1" applyFill="1" applyBorder="1" applyAlignment="1" applyProtection="1">
      <alignment horizontal="left" vertical="center"/>
      <protection hidden="1"/>
    </xf>
    <xf numFmtId="43" fontId="221" fillId="0" borderId="497" xfId="1" applyFont="1" applyFill="1" applyBorder="1" applyAlignment="1" applyProtection="1">
      <alignment horizontal="left" vertical="center"/>
      <protection hidden="1"/>
    </xf>
    <xf numFmtId="43" fontId="220" fillId="0" borderId="491" xfId="1" applyFont="1" applyFill="1" applyBorder="1" applyAlignment="1" applyProtection="1">
      <alignment horizontal="left"/>
      <protection locked="0"/>
    </xf>
    <xf numFmtId="43" fontId="220" fillId="0" borderId="0" xfId="1" applyFont="1" applyAlignment="1">
      <alignment vertical="top"/>
    </xf>
    <xf numFmtId="3" fontId="221" fillId="0" borderId="54" xfId="32" applyFont="1" applyFill="1" applyBorder="1" applyProtection="1">
      <protection locked="0"/>
    </xf>
    <xf numFmtId="43" fontId="220" fillId="0" borderId="0" xfId="1" applyFont="1" applyFill="1" applyBorder="1" applyAlignment="1" applyProtection="1">
      <alignment horizontal="left"/>
      <protection hidden="1"/>
    </xf>
    <xf numFmtId="3" fontId="293" fillId="0" borderId="506" xfId="32" applyFont="1" applyFill="1" applyBorder="1" applyAlignment="1" applyProtection="1">
      <alignment horizontal="left" vertical="center"/>
      <protection hidden="1"/>
    </xf>
    <xf numFmtId="3" fontId="293" fillId="0" borderId="432" xfId="32" applyFont="1" applyFill="1" applyBorder="1" applyAlignment="1" applyProtection="1">
      <alignment horizontal="left" vertical="center"/>
      <protection hidden="1"/>
    </xf>
    <xf numFmtId="39" fontId="220" fillId="0" borderId="384" xfId="32" applyNumberFormat="1" applyFont="1" applyFill="1" applyBorder="1" applyAlignment="1" applyProtection="1">
      <alignment vertical="center"/>
      <protection hidden="1"/>
    </xf>
    <xf numFmtId="3" fontId="293" fillId="0" borderId="251" xfId="32" applyFont="1" applyFill="1" applyBorder="1" applyAlignment="1" applyProtection="1">
      <alignment horizontal="left" vertical="center"/>
      <protection hidden="1"/>
    </xf>
    <xf numFmtId="43" fontId="220" fillId="0" borderId="408" xfId="1" applyFont="1" applyFill="1" applyBorder="1" applyAlignment="1" applyProtection="1">
      <alignment horizontal="left" vertical="center"/>
      <protection hidden="1"/>
    </xf>
    <xf numFmtId="3" fontId="293" fillId="0" borderId="0" xfId="32" applyFont="1" applyFill="1" applyBorder="1" applyAlignment="1" applyProtection="1">
      <alignment horizontal="left" vertical="top"/>
      <protection hidden="1"/>
    </xf>
    <xf numFmtId="3" fontId="293" fillId="0" borderId="360" xfId="32" applyFont="1" applyFill="1" applyBorder="1" applyAlignment="1" applyProtection="1">
      <alignment horizontal="left" vertical="top"/>
      <protection hidden="1"/>
    </xf>
    <xf numFmtId="39" fontId="220" fillId="0" borderId="417" xfId="32" applyNumberFormat="1" applyFont="1" applyFill="1" applyBorder="1" applyAlignment="1" applyProtection="1">
      <alignment vertical="top"/>
      <protection hidden="1"/>
    </xf>
    <xf numFmtId="3" fontId="293" fillId="0" borderId="300" xfId="32" applyFont="1" applyFill="1" applyBorder="1" applyAlignment="1" applyProtection="1">
      <alignment horizontal="left" vertical="top"/>
      <protection hidden="1"/>
    </xf>
    <xf numFmtId="43" fontId="220" fillId="0" borderId="0" xfId="1" applyFont="1" applyFill="1" applyBorder="1" applyAlignment="1" applyProtection="1">
      <alignment horizontal="left" vertical="top"/>
      <protection hidden="1"/>
    </xf>
    <xf numFmtId="39" fontId="220" fillId="0" borderId="487" xfId="32" applyNumberFormat="1" applyFont="1" applyFill="1" applyBorder="1" applyAlignment="1" applyProtection="1">
      <alignment vertical="top"/>
      <protection hidden="1"/>
    </xf>
    <xf numFmtId="3" fontId="293" fillId="0" borderId="502" xfId="32" applyFont="1" applyFill="1" applyBorder="1" applyAlignment="1" applyProtection="1">
      <alignment horizontal="left" vertical="top"/>
      <protection hidden="1"/>
    </xf>
    <xf numFmtId="3" fontId="293" fillId="0" borderId="503" xfId="32" applyFont="1" applyFill="1" applyBorder="1" applyAlignment="1" applyProtection="1">
      <alignment horizontal="left" vertical="top"/>
      <protection hidden="1"/>
    </xf>
    <xf numFmtId="39" fontId="220" fillId="0" borderId="505" xfId="32" applyNumberFormat="1" applyFont="1" applyFill="1" applyBorder="1" applyAlignment="1" applyProtection="1">
      <alignment vertical="top"/>
      <protection hidden="1"/>
    </xf>
    <xf numFmtId="3" fontId="293" fillId="0" borderId="504" xfId="32" applyFont="1" applyFill="1" applyBorder="1" applyAlignment="1" applyProtection="1">
      <alignment horizontal="left" vertical="top"/>
      <protection hidden="1"/>
    </xf>
    <xf numFmtId="43" fontId="220" fillId="0" borderId="502" xfId="1" applyFont="1" applyFill="1" applyBorder="1" applyAlignment="1" applyProtection="1">
      <alignment horizontal="left" vertical="top"/>
      <protection hidden="1"/>
    </xf>
    <xf numFmtId="3" fontId="293" fillId="0" borderId="85" xfId="32" applyFont="1" applyFill="1" applyBorder="1" applyAlignment="1" applyProtection="1">
      <alignment horizontal="left" vertical="center"/>
      <protection hidden="1"/>
    </xf>
    <xf numFmtId="3" fontId="293" fillId="0" borderId="83" xfId="32" applyFont="1" applyFill="1" applyBorder="1" applyAlignment="1" applyProtection="1">
      <alignment horizontal="left" vertical="center"/>
      <protection hidden="1"/>
    </xf>
    <xf numFmtId="3" fontId="293" fillId="0" borderId="85" xfId="32" applyFont="1" applyFill="1" applyBorder="1" applyAlignment="1" applyProtection="1">
      <alignment horizontal="left" vertical="center"/>
      <protection locked="0"/>
    </xf>
    <xf numFmtId="3" fontId="293" fillId="0" borderId="251" xfId="32" applyFont="1" applyFill="1" applyBorder="1" applyAlignment="1" applyProtection="1">
      <alignment horizontal="left" vertical="center"/>
      <protection locked="0"/>
    </xf>
    <xf numFmtId="43" fontId="220" fillId="0" borderId="408" xfId="1" applyFont="1" applyFill="1" applyBorder="1" applyAlignment="1" applyProtection="1">
      <alignment horizontal="left" vertical="center"/>
      <protection locked="0"/>
    </xf>
    <xf numFmtId="3" fontId="221" fillId="0" borderId="61" xfId="32" applyFont="1" applyFill="1" applyBorder="1" applyAlignment="1" applyProtection="1">
      <alignment horizontal="left"/>
      <protection hidden="1"/>
    </xf>
    <xf numFmtId="39" fontId="221" fillId="0" borderId="61" xfId="32" applyNumberFormat="1" applyFont="1" applyFill="1" applyBorder="1" applyAlignment="1" applyProtection="1">
      <alignment horizontal="left"/>
      <protection hidden="1"/>
    </xf>
    <xf numFmtId="39" fontId="221" fillId="0" borderId="61" xfId="32" applyNumberFormat="1" applyFont="1" applyFill="1" applyBorder="1" applyAlignment="1" applyProtection="1">
      <alignment horizontal="left"/>
      <protection locked="0"/>
    </xf>
    <xf numFmtId="39" fontId="221" fillId="0" borderId="61" xfId="32" applyNumberFormat="1" applyFont="1" applyFill="1" applyBorder="1" applyProtection="1">
      <protection locked="0"/>
    </xf>
    <xf numFmtId="39" fontId="221" fillId="0" borderId="404" xfId="32" applyNumberFormat="1" applyFont="1" applyFill="1" applyBorder="1" applyAlignment="1" applyProtection="1">
      <alignment horizontal="left"/>
      <protection locked="0"/>
    </xf>
    <xf numFmtId="39" fontId="221" fillId="0" borderId="0" xfId="23" applyNumberFormat="1" applyFont="1" applyFill="1" applyProtection="1">
      <protection locked="0"/>
    </xf>
    <xf numFmtId="39" fontId="220" fillId="0" borderId="0" xfId="23" applyNumberFormat="1" applyFont="1" applyFill="1" applyProtection="1">
      <protection locked="0"/>
    </xf>
    <xf numFmtId="3" fontId="221" fillId="0" borderId="0" xfId="23" applyFont="1" applyAlignment="1" applyProtection="1">
      <alignment horizontal="center"/>
      <protection locked="0"/>
    </xf>
    <xf numFmtId="39" fontId="221" fillId="0" borderId="0" xfId="23" applyNumberFormat="1" applyFont="1" applyFill="1" applyAlignment="1" applyProtection="1">
      <alignment horizontal="center"/>
      <protection locked="0"/>
    </xf>
    <xf numFmtId="3" fontId="220" fillId="0" borderId="0" xfId="23" applyFont="1" applyFill="1"/>
    <xf numFmtId="3" fontId="221" fillId="0" borderId="0" xfId="23" applyFont="1" applyFill="1"/>
    <xf numFmtId="0" fontId="220" fillId="0" borderId="0" xfId="23" applyNumberFormat="1" applyFont="1" applyFill="1" applyAlignment="1">
      <alignment horizontal="center"/>
    </xf>
    <xf numFmtId="39" fontId="221" fillId="0" borderId="0" xfId="32" applyNumberFormat="1" applyFont="1" applyFill="1" applyBorder="1" applyAlignment="1" applyProtection="1">
      <alignment vertical="center"/>
      <protection hidden="1"/>
    </xf>
    <xf numFmtId="0" fontId="221" fillId="0" borderId="0" xfId="24" applyFont="1" applyFill="1" applyAlignment="1">
      <alignment horizontal="left" vertical="center"/>
    </xf>
    <xf numFmtId="0" fontId="220" fillId="0" borderId="0" xfId="24" applyFont="1" applyFill="1" applyAlignment="1">
      <alignment vertical="center"/>
    </xf>
    <xf numFmtId="0" fontId="220" fillId="0" borderId="0" xfId="46" applyFont="1" applyFill="1" applyAlignment="1" applyProtection="1">
      <alignment horizontal="left" vertical="center"/>
      <protection locked="0"/>
    </xf>
    <xf numFmtId="0" fontId="221" fillId="0" borderId="0" xfId="24" applyFont="1" applyFill="1" applyAlignment="1">
      <alignment vertical="center"/>
    </xf>
    <xf numFmtId="0" fontId="220" fillId="0" borderId="0" xfId="24" applyFont="1" applyFill="1" applyAlignment="1">
      <alignment horizontal="center" vertical="center"/>
    </xf>
    <xf numFmtId="0" fontId="220" fillId="0" borderId="0" xfId="65" applyFont="1" applyFill="1" applyAlignment="1">
      <alignment vertical="center"/>
    </xf>
    <xf numFmtId="0" fontId="221" fillId="0" borderId="0" xfId="65" applyFont="1" applyFill="1" applyAlignment="1">
      <alignment vertical="center"/>
    </xf>
    <xf numFmtId="0" fontId="220" fillId="0" borderId="0" xfId="65" applyFont="1" applyFill="1" applyAlignment="1">
      <alignment horizontal="center" vertical="center"/>
    </xf>
    <xf numFmtId="0" fontId="221" fillId="0" borderId="0" xfId="65" applyFont="1" applyFill="1" applyAlignment="1">
      <alignment horizontal="center" vertical="center"/>
    </xf>
    <xf numFmtId="0" fontId="220" fillId="0" borderId="0" xfId="65" applyFont="1" applyFill="1" applyBorder="1" applyAlignment="1">
      <alignment vertical="center"/>
    </xf>
    <xf numFmtId="0" fontId="220" fillId="0" borderId="195" xfId="65" applyFont="1" applyFill="1" applyBorder="1" applyAlignment="1">
      <alignment vertical="center"/>
    </xf>
    <xf numFmtId="0" fontId="221" fillId="0" borderId="195" xfId="65" applyFont="1" applyFill="1" applyBorder="1" applyAlignment="1">
      <alignment vertical="center"/>
    </xf>
    <xf numFmtId="0" fontId="221" fillId="0" borderId="195" xfId="65" applyFont="1" applyFill="1" applyBorder="1" applyAlignment="1">
      <alignment horizontal="center" vertical="center"/>
    </xf>
    <xf numFmtId="43" fontId="221" fillId="0" borderId="195" xfId="1" applyFont="1" applyFill="1" applyBorder="1" applyAlignment="1">
      <alignment vertical="center"/>
    </xf>
    <xf numFmtId="0" fontId="220" fillId="0" borderId="272" xfId="65" applyFont="1" applyFill="1" applyBorder="1" applyAlignment="1">
      <alignment vertical="center"/>
    </xf>
    <xf numFmtId="0" fontId="220" fillId="0" borderId="48" xfId="65" applyFont="1" applyFill="1" applyBorder="1" applyAlignment="1">
      <alignment horizontal="center" vertical="center"/>
    </xf>
    <xf numFmtId="43" fontId="220" fillId="0" borderId="41" xfId="1" applyFont="1" applyFill="1" applyBorder="1" applyAlignment="1">
      <alignment horizontal="center" vertical="center"/>
    </xf>
    <xf numFmtId="0" fontId="220" fillId="0" borderId="261" xfId="65" applyFont="1" applyFill="1" applyBorder="1" applyAlignment="1">
      <alignment vertical="center"/>
    </xf>
    <xf numFmtId="0" fontId="221" fillId="0" borderId="0" xfId="65" applyFont="1" applyFill="1" applyBorder="1" applyAlignment="1">
      <alignment vertical="center"/>
    </xf>
    <xf numFmtId="0" fontId="221" fillId="0" borderId="268" xfId="65" applyFont="1" applyFill="1" applyBorder="1" applyAlignment="1">
      <alignment horizontal="center" vertical="center"/>
    </xf>
    <xf numFmtId="43" fontId="221" fillId="0" borderId="68" xfId="1" applyFont="1" applyFill="1" applyBorder="1" applyAlignment="1">
      <alignment vertical="center"/>
    </xf>
    <xf numFmtId="0" fontId="220" fillId="0" borderId="279" xfId="65" applyFont="1" applyFill="1" applyBorder="1" applyAlignment="1">
      <alignment horizontal="center" vertical="center"/>
    </xf>
    <xf numFmtId="0" fontId="292" fillId="0" borderId="193" xfId="65" applyFont="1" applyFill="1" applyBorder="1" applyAlignment="1">
      <alignment vertical="center"/>
    </xf>
    <xf numFmtId="0" fontId="221" fillId="0" borderId="279" xfId="65" applyFont="1" applyFill="1" applyBorder="1" applyAlignment="1">
      <alignment horizontal="center" vertical="center"/>
    </xf>
    <xf numFmtId="0" fontId="220" fillId="0" borderId="193" xfId="65" applyFont="1" applyFill="1" applyBorder="1" applyAlignment="1">
      <alignment vertical="center"/>
    </xf>
    <xf numFmtId="0" fontId="220" fillId="0" borderId="193" xfId="2" applyFont="1" applyFill="1" applyBorder="1" applyAlignment="1" applyProtection="1">
      <alignment vertical="center"/>
      <protection locked="0"/>
    </xf>
    <xf numFmtId="43" fontId="296" fillId="0" borderId="68" xfId="1" applyFont="1" applyFill="1" applyBorder="1" applyAlignment="1">
      <alignment vertical="center"/>
    </xf>
    <xf numFmtId="0" fontId="220" fillId="0" borderId="368" xfId="65" applyFont="1" applyFill="1" applyBorder="1" applyAlignment="1">
      <alignment vertical="center"/>
    </xf>
    <xf numFmtId="0" fontId="220" fillId="0" borderId="0" xfId="65" applyFont="1" applyFill="1" applyBorder="1" applyAlignment="1">
      <alignment horizontal="center" vertical="center"/>
    </xf>
    <xf numFmtId="0" fontId="221" fillId="0" borderId="295" xfId="65" applyFont="1" applyFill="1" applyBorder="1" applyAlignment="1">
      <alignment horizontal="center" vertical="center"/>
    </xf>
    <xf numFmtId="43" fontId="220" fillId="0" borderId="398" xfId="1" applyFont="1" applyFill="1" applyBorder="1" applyAlignment="1">
      <alignment vertical="center"/>
    </xf>
    <xf numFmtId="43" fontId="221" fillId="0" borderId="0" xfId="65" applyNumberFormat="1" applyFont="1" applyFill="1" applyAlignment="1">
      <alignment vertical="center"/>
    </xf>
    <xf numFmtId="0" fontId="220" fillId="0" borderId="243" xfId="65" applyFont="1" applyFill="1" applyBorder="1" applyAlignment="1">
      <alignment vertical="center"/>
    </xf>
    <xf numFmtId="0" fontId="220" fillId="0" borderId="195" xfId="65" applyFont="1" applyFill="1" applyBorder="1" applyAlignment="1">
      <alignment horizontal="center" vertical="center"/>
    </xf>
    <xf numFmtId="0" fontId="221" fillId="0" borderId="397" xfId="65" applyFont="1" applyFill="1" applyBorder="1" applyAlignment="1">
      <alignment horizontal="center" vertical="center"/>
    </xf>
    <xf numFmtId="43" fontId="220" fillId="0" borderId="437" xfId="1" applyFont="1" applyFill="1" applyBorder="1" applyAlignment="1">
      <alignment vertical="center"/>
    </xf>
    <xf numFmtId="43" fontId="221" fillId="0" borderId="398" xfId="1" applyFont="1" applyFill="1" applyBorder="1" applyAlignment="1">
      <alignment vertical="center"/>
    </xf>
    <xf numFmtId="0" fontId="221" fillId="0" borderId="0" xfId="65" applyFont="1" applyFill="1" applyBorder="1" applyAlignment="1">
      <alignment horizontal="left" vertical="center"/>
    </xf>
    <xf numFmtId="0" fontId="220" fillId="0" borderId="193" xfId="65" applyFont="1" applyFill="1" applyBorder="1" applyAlignment="1"/>
    <xf numFmtId="0" fontId="287" fillId="0" borderId="0" xfId="65" applyFont="1" applyFill="1" applyBorder="1" applyAlignment="1"/>
    <xf numFmtId="0" fontId="287" fillId="0" borderId="279" xfId="65" applyFont="1" applyFill="1" applyBorder="1" applyAlignment="1">
      <alignment horizontal="center"/>
    </xf>
    <xf numFmtId="43" fontId="287" fillId="0" borderId="68" xfId="1" applyFont="1" applyFill="1" applyBorder="1" applyAlignment="1"/>
    <xf numFmtId="0" fontId="287" fillId="0" borderId="0" xfId="65" applyFont="1" applyFill="1" applyAlignment="1"/>
    <xf numFmtId="0" fontId="220" fillId="0" borderId="193" xfId="2" applyFont="1" applyFill="1" applyBorder="1" applyAlignment="1">
      <alignment vertical="center"/>
    </xf>
    <xf numFmtId="0" fontId="221" fillId="0" borderId="279" xfId="2" applyFont="1" applyFill="1" applyBorder="1" applyAlignment="1">
      <alignment horizontal="center" vertical="center"/>
    </xf>
    <xf numFmtId="43" fontId="221" fillId="0" borderId="68" xfId="1" applyFont="1" applyFill="1" applyBorder="1" applyAlignment="1" applyProtection="1">
      <alignment vertical="center"/>
      <protection locked="0"/>
    </xf>
    <xf numFmtId="0" fontId="221" fillId="0" borderId="279" xfId="2" applyFont="1" applyFill="1" applyBorder="1" applyAlignment="1" applyProtection="1">
      <alignment horizontal="center" vertical="center"/>
      <protection locked="0"/>
    </xf>
    <xf numFmtId="43" fontId="221" fillId="0" borderId="285" xfId="1" applyFont="1" applyFill="1" applyBorder="1" applyAlignment="1">
      <alignment vertical="center"/>
    </xf>
    <xf numFmtId="0" fontId="221" fillId="0" borderId="0" xfId="2" applyFont="1" applyFill="1" applyBorder="1" applyAlignment="1" applyProtection="1">
      <alignment vertical="center" wrapText="1"/>
      <protection locked="0"/>
    </xf>
    <xf numFmtId="0" fontId="220" fillId="0" borderId="368" xfId="2" applyFont="1" applyFill="1" applyBorder="1" applyAlignment="1">
      <alignment vertical="center"/>
    </xf>
    <xf numFmtId="0" fontId="221" fillId="0" borderId="295" xfId="2" applyFont="1" applyFill="1" applyBorder="1" applyAlignment="1">
      <alignment horizontal="center" vertical="center"/>
    </xf>
    <xf numFmtId="43" fontId="221" fillId="0" borderId="32" xfId="1" applyFont="1" applyFill="1" applyBorder="1" applyAlignment="1" applyProtection="1">
      <alignment vertical="center"/>
      <protection locked="0"/>
    </xf>
    <xf numFmtId="0" fontId="220" fillId="0" borderId="279" xfId="2" applyFont="1" applyFill="1" applyBorder="1" applyAlignment="1">
      <alignment horizontal="center" vertical="center"/>
    </xf>
    <xf numFmtId="43" fontId="220" fillId="0" borderId="285" xfId="1" applyFont="1" applyFill="1" applyBorder="1" applyAlignment="1" applyProtection="1">
      <alignment vertical="center"/>
      <protection locked="0"/>
    </xf>
    <xf numFmtId="0" fontId="287" fillId="0" borderId="0" xfId="65" applyFont="1" applyFill="1" applyBorder="1" applyAlignment="1">
      <alignment vertical="center"/>
    </xf>
    <xf numFmtId="0" fontId="287" fillId="0" borderId="279" xfId="65" applyFont="1" applyFill="1" applyBorder="1" applyAlignment="1">
      <alignment horizontal="center" vertical="center"/>
    </xf>
    <xf numFmtId="43" fontId="287" fillId="0" borderId="285" xfId="1" applyFont="1" applyFill="1" applyBorder="1" applyAlignment="1">
      <alignment vertical="center"/>
    </xf>
    <xf numFmtId="0" fontId="287" fillId="0" borderId="0" xfId="65" applyFont="1" applyFill="1" applyAlignment="1">
      <alignment vertical="center"/>
    </xf>
    <xf numFmtId="49" fontId="292" fillId="0" borderId="193" xfId="2" applyNumberFormat="1" applyFont="1" applyFill="1" applyBorder="1" applyAlignment="1" applyProtection="1">
      <alignment vertical="center"/>
      <protection locked="0"/>
    </xf>
    <xf numFmtId="49" fontId="220" fillId="0" borderId="193" xfId="2" applyNumberFormat="1" applyFont="1" applyFill="1" applyBorder="1" applyAlignment="1" applyProtection="1">
      <alignment vertical="center"/>
      <protection locked="0"/>
    </xf>
    <xf numFmtId="43" fontId="221" fillId="0" borderId="398" xfId="1" applyFont="1" applyFill="1" applyBorder="1" applyAlignment="1" applyProtection="1">
      <alignment vertical="center"/>
      <protection locked="0"/>
    </xf>
    <xf numFmtId="0" fontId="286" fillId="0" borderId="0" xfId="2" applyFont="1" applyFill="1" applyBorder="1" applyAlignment="1" applyProtection="1">
      <alignment vertical="center"/>
      <protection locked="0"/>
    </xf>
    <xf numFmtId="49" fontId="220" fillId="0" borderId="276" xfId="2" applyNumberFormat="1" applyFont="1" applyFill="1" applyBorder="1" applyAlignment="1" applyProtection="1">
      <alignment vertical="center"/>
      <protection locked="0"/>
    </xf>
    <xf numFmtId="0" fontId="286" fillId="0" borderId="276" xfId="2" applyFont="1" applyFill="1" applyBorder="1" applyAlignment="1" applyProtection="1">
      <alignment vertical="center"/>
      <protection locked="0"/>
    </xf>
    <xf numFmtId="0" fontId="221" fillId="0" borderId="276" xfId="2" applyFont="1" applyFill="1" applyBorder="1" applyAlignment="1" applyProtection="1">
      <alignment horizontal="center" vertical="center"/>
      <protection locked="0"/>
    </xf>
    <xf numFmtId="43" fontId="221" fillId="0" borderId="276" xfId="1" applyFont="1" applyFill="1" applyBorder="1" applyAlignment="1" applyProtection="1">
      <alignment vertical="center"/>
      <protection locked="0"/>
    </xf>
    <xf numFmtId="49" fontId="220" fillId="0" borderId="0" xfId="2" applyNumberFormat="1" applyFont="1" applyFill="1" applyBorder="1" applyAlignment="1" applyProtection="1">
      <alignment vertical="center"/>
      <protection locked="0"/>
    </xf>
    <xf numFmtId="49" fontId="286" fillId="0" borderId="195" xfId="2" applyNumberFormat="1" applyFont="1" applyFill="1" applyBorder="1" applyAlignment="1" applyProtection="1">
      <alignment vertical="center"/>
      <protection locked="0"/>
    </xf>
    <xf numFmtId="0" fontId="286" fillId="0" borderId="195" xfId="2" applyFont="1" applyFill="1" applyBorder="1" applyAlignment="1" applyProtection="1">
      <alignment vertical="center"/>
      <protection locked="0"/>
    </xf>
    <xf numFmtId="0" fontId="286" fillId="0" borderId="195" xfId="2" applyFont="1" applyFill="1" applyBorder="1" applyAlignment="1" applyProtection="1">
      <alignment horizontal="center" vertical="center"/>
      <protection locked="0"/>
    </xf>
    <xf numFmtId="43" fontId="286" fillId="0" borderId="195" xfId="1" applyFont="1" applyFill="1" applyBorder="1" applyAlignment="1" applyProtection="1">
      <alignment vertical="center"/>
      <protection locked="0"/>
    </xf>
    <xf numFmtId="0" fontId="286" fillId="0" borderId="0" xfId="2" applyFont="1" applyFill="1" applyAlignment="1">
      <alignment vertical="center"/>
    </xf>
    <xf numFmtId="0" fontId="220" fillId="0" borderId="271" xfId="65" applyFont="1" applyFill="1" applyBorder="1" applyAlignment="1">
      <alignment horizontal="center" vertical="center"/>
    </xf>
    <xf numFmtId="0" fontId="220" fillId="0" borderId="199" xfId="65" applyFont="1" applyFill="1" applyBorder="1" applyAlignment="1">
      <alignment horizontal="center" vertical="center"/>
    </xf>
    <xf numFmtId="43" fontId="220" fillId="0" borderId="68" xfId="1" applyFont="1" applyFill="1" applyBorder="1" applyAlignment="1">
      <alignment horizontal="center" vertical="center"/>
    </xf>
    <xf numFmtId="0" fontId="221" fillId="0" borderId="0" xfId="0" applyFont="1" applyFill="1" applyBorder="1" applyAlignment="1" applyProtection="1">
      <alignment vertical="center"/>
      <protection locked="0"/>
    </xf>
    <xf numFmtId="0" fontId="221" fillId="0" borderId="279" xfId="0" applyFont="1" applyFill="1" applyBorder="1" applyAlignment="1" applyProtection="1">
      <alignment horizontal="center" vertical="center"/>
      <protection locked="0"/>
    </xf>
    <xf numFmtId="43" fontId="221" fillId="0" borderId="32" xfId="1" applyFont="1" applyFill="1" applyBorder="1" applyAlignment="1">
      <alignment vertical="center"/>
    </xf>
    <xf numFmtId="0" fontId="220" fillId="0" borderId="279" xfId="2" applyFont="1" applyFill="1" applyBorder="1" applyAlignment="1" applyProtection="1">
      <alignment horizontal="center" vertical="center"/>
      <protection locked="0"/>
    </xf>
    <xf numFmtId="43" fontId="220" fillId="0" borderId="68" xfId="1" applyFont="1" applyFill="1" applyBorder="1" applyAlignment="1">
      <alignment vertical="center"/>
    </xf>
    <xf numFmtId="43" fontId="287" fillId="0" borderId="68" xfId="1" applyFont="1" applyFill="1" applyBorder="1" applyAlignment="1">
      <alignment vertical="center"/>
    </xf>
    <xf numFmtId="0" fontId="221" fillId="0" borderId="0" xfId="0" applyFont="1" applyFill="1" applyBorder="1" applyAlignment="1" applyProtection="1">
      <alignment vertical="center" wrapText="1"/>
      <protection locked="0"/>
    </xf>
    <xf numFmtId="0" fontId="220" fillId="0" borderId="193" xfId="65" applyFont="1" applyFill="1" applyBorder="1" applyAlignment="1">
      <alignment vertical="top"/>
    </xf>
    <xf numFmtId="0" fontId="221" fillId="0" borderId="0" xfId="0" applyFont="1" applyFill="1" applyBorder="1" applyAlignment="1" applyProtection="1">
      <alignment vertical="top" wrapText="1"/>
      <protection locked="0"/>
    </xf>
    <xf numFmtId="0" fontId="221" fillId="0" borderId="295" xfId="65" applyFont="1" applyFill="1" applyBorder="1" applyAlignment="1">
      <alignment horizontal="center" vertical="top"/>
    </xf>
    <xf numFmtId="0" fontId="221" fillId="0" borderId="0" xfId="65" applyFont="1" applyFill="1" applyAlignment="1">
      <alignment vertical="top"/>
    </xf>
    <xf numFmtId="0" fontId="221" fillId="0" borderId="563" xfId="2" applyFont="1" applyFill="1" applyBorder="1" applyAlignment="1" applyProtection="1">
      <alignment vertical="top" wrapText="1"/>
      <protection locked="0"/>
    </xf>
    <xf numFmtId="4" fontId="221" fillId="0" borderId="398" xfId="2" applyNumberFormat="1" applyFont="1" applyFill="1" applyBorder="1" applyAlignment="1" applyProtection="1">
      <alignment vertical="top" wrapText="1"/>
      <protection locked="0"/>
    </xf>
    <xf numFmtId="0" fontId="220" fillId="0" borderId="314" xfId="2" applyFont="1" applyFill="1" applyBorder="1" applyAlignment="1">
      <alignment vertical="center"/>
    </xf>
    <xf numFmtId="0" fontId="221" fillId="0" borderId="563" xfId="0" applyFont="1" applyFill="1" applyBorder="1" applyAlignment="1" applyProtection="1">
      <alignment vertical="top"/>
      <protection locked="0"/>
    </xf>
    <xf numFmtId="0" fontId="221" fillId="0" borderId="563" xfId="0" applyNumberFormat="1" applyFont="1" applyFill="1" applyBorder="1" applyAlignment="1">
      <alignment horizontal="left" vertical="top" wrapText="1"/>
    </xf>
    <xf numFmtId="4" fontId="221" fillId="0" borderId="32" xfId="2" applyNumberFormat="1" applyFont="1" applyFill="1" applyBorder="1" applyAlignment="1" applyProtection="1">
      <alignment vertical="top" wrapText="1"/>
      <protection locked="0"/>
    </xf>
    <xf numFmtId="0" fontId="220" fillId="0" borderId="295" xfId="0" applyFont="1" applyFill="1" applyBorder="1" applyAlignment="1" applyProtection="1">
      <alignment horizontal="center" vertical="center"/>
      <protection locked="0"/>
    </xf>
    <xf numFmtId="43" fontId="220" fillId="0" borderId="398" xfId="1" applyFont="1" applyFill="1" applyBorder="1" applyAlignment="1" applyProtection="1">
      <alignment vertical="center"/>
      <protection locked="0"/>
    </xf>
    <xf numFmtId="0" fontId="220" fillId="0" borderId="559" xfId="2" applyFont="1" applyFill="1" applyBorder="1" applyAlignment="1">
      <alignment vertical="center"/>
    </xf>
    <xf numFmtId="0" fontId="221" fillId="0" borderId="559" xfId="0" applyNumberFormat="1" applyFont="1" applyFill="1" applyBorder="1" applyAlignment="1">
      <alignment horizontal="left" vertical="top" wrapText="1"/>
    </xf>
    <xf numFmtId="0" fontId="221" fillId="0" borderId="559" xfId="2" applyFont="1" applyFill="1" applyBorder="1" applyAlignment="1" applyProtection="1">
      <alignment horizontal="center" vertical="center"/>
      <protection locked="0"/>
    </xf>
    <xf numFmtId="43" fontId="221" fillId="0" borderId="559" xfId="1" applyFont="1" applyFill="1" applyBorder="1" applyAlignment="1">
      <alignment vertical="top"/>
    </xf>
    <xf numFmtId="0" fontId="221" fillId="0" borderId="0" xfId="0" applyNumberFormat="1" applyFont="1" applyFill="1" applyBorder="1" applyAlignment="1">
      <alignment horizontal="left" vertical="top" wrapText="1"/>
    </xf>
    <xf numFmtId="0" fontId="220" fillId="0" borderId="368" xfId="65" applyFont="1" applyFill="1" applyBorder="1" applyAlignment="1">
      <alignment horizontal="left" vertical="center"/>
    </xf>
    <xf numFmtId="0" fontId="221" fillId="0" borderId="563" xfId="2" applyFont="1" applyFill="1" applyBorder="1" applyAlignment="1" applyProtection="1">
      <alignment vertical="center"/>
      <protection locked="0"/>
    </xf>
    <xf numFmtId="0" fontId="221" fillId="0" borderId="563" xfId="46" applyFont="1" applyFill="1" applyBorder="1" applyAlignment="1" applyProtection="1">
      <alignment vertical="center"/>
      <protection locked="0"/>
    </xf>
    <xf numFmtId="0" fontId="221" fillId="0" borderId="199" xfId="46" applyFont="1" applyFill="1" applyBorder="1" applyAlignment="1" applyProtection="1">
      <alignment vertical="center"/>
      <protection locked="0"/>
    </xf>
    <xf numFmtId="0" fontId="221" fillId="0" borderId="199" xfId="46" applyFont="1" applyFill="1" applyBorder="1" applyAlignment="1">
      <alignment vertical="center"/>
    </xf>
    <xf numFmtId="0" fontId="221" fillId="0" borderId="563" xfId="2" applyFont="1" applyFill="1" applyBorder="1" applyAlignment="1">
      <alignment vertical="center"/>
    </xf>
    <xf numFmtId="0" fontId="221" fillId="0" borderId="0" xfId="46" applyFont="1" applyFill="1" applyBorder="1" applyAlignment="1" applyProtection="1">
      <alignment vertical="center"/>
      <protection locked="0"/>
    </xf>
    <xf numFmtId="43" fontId="221" fillId="0" borderId="68" xfId="1" applyFont="1" applyFill="1" applyBorder="1" applyAlignment="1" applyProtection="1">
      <alignment horizontal="right" vertical="center"/>
      <protection locked="0"/>
    </xf>
    <xf numFmtId="43" fontId="221" fillId="0" borderId="398" xfId="1" applyFont="1" applyFill="1" applyBorder="1" applyAlignment="1" applyProtection="1">
      <alignment horizontal="right" vertical="center"/>
      <protection locked="0"/>
    </xf>
    <xf numFmtId="0" fontId="221" fillId="0" borderId="0" xfId="44" applyFont="1" applyFill="1" applyBorder="1" applyAlignment="1" applyProtection="1">
      <alignment vertical="center"/>
      <protection locked="0"/>
    </xf>
    <xf numFmtId="0" fontId="221" fillId="0" borderId="563" xfId="65" applyFont="1" applyFill="1" applyBorder="1" applyAlignment="1">
      <alignment horizontal="center" vertical="center"/>
    </xf>
    <xf numFmtId="0" fontId="221" fillId="0" borderId="584" xfId="2" applyFont="1" applyFill="1" applyBorder="1" applyAlignment="1" applyProtection="1">
      <alignment vertical="center"/>
      <protection locked="0"/>
    </xf>
    <xf numFmtId="0" fontId="221" fillId="0" borderId="584" xfId="65" applyFont="1" applyFill="1" applyBorder="1" applyAlignment="1">
      <alignment horizontal="center" vertical="center"/>
    </xf>
    <xf numFmtId="0" fontId="221" fillId="0" borderId="584" xfId="0" applyFont="1" applyFill="1" applyBorder="1" applyAlignment="1" applyProtection="1">
      <alignment vertical="center"/>
      <protection locked="0"/>
    </xf>
    <xf numFmtId="0" fontId="220" fillId="0" borderId="193" xfId="65" applyFont="1" applyFill="1" applyBorder="1" applyAlignment="1">
      <alignment horizontal="center" vertical="top"/>
    </xf>
    <xf numFmtId="0" fontId="220" fillId="0" borderId="0" xfId="65" applyFont="1" applyFill="1" applyBorder="1" applyAlignment="1">
      <alignment horizontal="center" vertical="top"/>
    </xf>
    <xf numFmtId="0" fontId="221" fillId="0" borderId="279" xfId="65" applyFont="1" applyFill="1" applyBorder="1" applyAlignment="1">
      <alignment horizontal="center" vertical="top"/>
    </xf>
    <xf numFmtId="43" fontId="220" fillId="0" borderId="68" xfId="1" applyFont="1" applyFill="1" applyBorder="1" applyAlignment="1">
      <alignment horizontal="center" vertical="top"/>
    </xf>
    <xf numFmtId="0" fontId="221" fillId="0" borderId="0" xfId="65" applyFont="1" applyFill="1" applyAlignment="1">
      <alignment horizontal="center" vertical="top"/>
    </xf>
    <xf numFmtId="43" fontId="221" fillId="0" borderId="0" xfId="65" applyNumberFormat="1" applyFont="1" applyFill="1" applyAlignment="1">
      <alignment horizontal="center" vertical="top"/>
    </xf>
    <xf numFmtId="43" fontId="221" fillId="0" borderId="0" xfId="65" applyNumberFormat="1" applyFont="1" applyFill="1" applyAlignment="1">
      <alignment horizontal="left" vertical="top"/>
    </xf>
    <xf numFmtId="0" fontId="221" fillId="0" borderId="40" xfId="65" applyFont="1" applyFill="1" applyBorder="1" applyAlignment="1">
      <alignment vertical="center"/>
    </xf>
    <xf numFmtId="0" fontId="221" fillId="0" borderId="43" xfId="65" applyFont="1" applyFill="1" applyBorder="1" applyAlignment="1">
      <alignment horizontal="center" vertical="center"/>
    </xf>
    <xf numFmtId="43" fontId="220" fillId="0" borderId="41" xfId="1" applyFont="1" applyFill="1" applyBorder="1" applyAlignment="1">
      <alignment vertical="center"/>
    </xf>
    <xf numFmtId="0" fontId="221" fillId="0" borderId="584" xfId="0" applyFont="1" applyFill="1" applyBorder="1" applyAlignment="1" applyProtection="1">
      <alignment vertical="center" wrapText="1"/>
      <protection locked="0"/>
    </xf>
    <xf numFmtId="0" fontId="221" fillId="0" borderId="0" xfId="58" applyFont="1" applyAlignment="1">
      <alignment horizontal="centerContinuous"/>
    </xf>
    <xf numFmtId="49" fontId="221" fillId="0" borderId="0" xfId="58" applyNumberFormat="1" applyFont="1" applyAlignment="1">
      <alignment horizontal="center"/>
    </xf>
    <xf numFmtId="0" fontId="221" fillId="0" borderId="103" xfId="58" applyFont="1" applyBorder="1"/>
    <xf numFmtId="0" fontId="221" fillId="0" borderId="103" xfId="58" applyFont="1" applyBorder="1" applyAlignment="1">
      <alignment horizontal="center"/>
    </xf>
    <xf numFmtId="43" fontId="12" fillId="0" borderId="103" xfId="61" applyFont="1" applyBorder="1" applyAlignment="1">
      <alignment horizontal="center"/>
    </xf>
    <xf numFmtId="49" fontId="221" fillId="0" borderId="0" xfId="58" applyNumberFormat="1" applyFont="1"/>
    <xf numFmtId="0" fontId="221" fillId="0" borderId="0" xfId="58" applyFont="1" applyBorder="1" applyAlignment="1">
      <alignment horizontal="center"/>
    </xf>
    <xf numFmtId="0" fontId="220" fillId="0" borderId="0" xfId="21" applyFont="1"/>
    <xf numFmtId="0" fontId="221" fillId="0" borderId="0" xfId="21" applyFont="1"/>
    <xf numFmtId="0" fontId="221" fillId="0" borderId="0" xfId="21" applyFont="1" applyBorder="1"/>
    <xf numFmtId="0" fontId="220" fillId="0" borderId="0" xfId="46" applyFont="1" applyAlignment="1" applyProtection="1">
      <alignment horizontal="center" vertical="center"/>
      <protection locked="0"/>
    </xf>
    <xf numFmtId="0" fontId="220" fillId="0" borderId="387" xfId="21" applyFont="1" applyFill="1" applyBorder="1"/>
    <xf numFmtId="0" fontId="221" fillId="0" borderId="0" xfId="21" applyFont="1" applyFill="1" applyBorder="1" applyAlignment="1">
      <alignment horizontal="center"/>
    </xf>
    <xf numFmtId="0" fontId="221" fillId="0" borderId="111" xfId="21" applyFont="1" applyFill="1" applyBorder="1" applyAlignment="1">
      <alignment horizontal="center"/>
    </xf>
    <xf numFmtId="0" fontId="220" fillId="0" borderId="0" xfId="2" applyFont="1" applyFill="1" applyAlignment="1" applyProtection="1">
      <alignment horizontal="left" vertical="center"/>
      <protection locked="0"/>
    </xf>
    <xf numFmtId="43" fontId="221" fillId="0" borderId="0" xfId="62" applyFont="1" applyFill="1" applyBorder="1" applyAlignment="1">
      <alignment vertical="center"/>
    </xf>
    <xf numFmtId="43" fontId="221" fillId="0" borderId="0" xfId="62" applyFont="1" applyFill="1" applyBorder="1"/>
    <xf numFmtId="43" fontId="221" fillId="0" borderId="285" xfId="1" applyFont="1" applyFill="1" applyBorder="1" applyAlignment="1" applyProtection="1">
      <alignment vertical="center"/>
      <protection locked="0"/>
    </xf>
    <xf numFmtId="0" fontId="221" fillId="0" borderId="0" xfId="21" applyFont="1" applyAlignment="1">
      <alignment horizontal="center"/>
    </xf>
    <xf numFmtId="0" fontId="221" fillId="0" borderId="0" xfId="85" applyFont="1" applyAlignment="1">
      <alignment vertical="top"/>
    </xf>
    <xf numFmtId="0" fontId="220" fillId="0" borderId="0" xfId="85" applyFont="1" applyAlignment="1">
      <alignment vertical="top"/>
    </xf>
    <xf numFmtId="0" fontId="221" fillId="0" borderId="0" xfId="85" applyFont="1" applyAlignment="1">
      <alignment vertical="top" wrapText="1"/>
    </xf>
    <xf numFmtId="173" fontId="221" fillId="0" borderId="0" xfId="85" applyNumberFormat="1" applyFont="1" applyAlignment="1">
      <alignment vertical="top"/>
    </xf>
    <xf numFmtId="0" fontId="220" fillId="0" borderId="0" xfId="85" applyFont="1" applyAlignment="1">
      <alignment horizontal="centerContinuous" vertical="top"/>
    </xf>
    <xf numFmtId="0" fontId="220" fillId="0" borderId="0" xfId="85" applyFont="1" applyAlignment="1">
      <alignment horizontal="centerContinuous" vertical="top" wrapText="1"/>
    </xf>
    <xf numFmtId="173" fontId="221" fillId="0" borderId="0" xfId="85" applyNumberFormat="1" applyFont="1" applyAlignment="1">
      <alignment horizontal="centerContinuous" vertical="top"/>
    </xf>
    <xf numFmtId="168" fontId="220" fillId="0" borderId="0" xfId="85" applyNumberFormat="1" applyFont="1" applyAlignment="1">
      <alignment horizontal="left" vertical="top"/>
    </xf>
    <xf numFmtId="179" fontId="221" fillId="0" borderId="0" xfId="85" applyNumberFormat="1" applyFont="1" applyAlignment="1">
      <alignment vertical="top" wrapText="1"/>
    </xf>
    <xf numFmtId="173" fontId="221" fillId="0" borderId="0" xfId="85" applyNumberFormat="1" applyFont="1" applyAlignment="1">
      <alignment horizontal="right" vertical="top"/>
    </xf>
    <xf numFmtId="0" fontId="221" fillId="0" borderId="0" xfId="85" applyFont="1" applyBorder="1" applyAlignment="1">
      <alignment vertical="top"/>
    </xf>
    <xf numFmtId="0" fontId="220" fillId="0" borderId="0" xfId="85" applyFont="1" applyBorder="1" applyAlignment="1">
      <alignment vertical="top"/>
    </xf>
    <xf numFmtId="0" fontId="221" fillId="0" borderId="0" xfId="85" applyFont="1" applyBorder="1" applyAlignment="1">
      <alignment vertical="top" wrapText="1"/>
    </xf>
    <xf numFmtId="173" fontId="221" fillId="0" borderId="0" xfId="85" applyNumberFormat="1" applyFont="1" applyBorder="1" applyAlignment="1">
      <alignment vertical="top"/>
    </xf>
    <xf numFmtId="0" fontId="220" fillId="0" borderId="130" xfId="85" applyFont="1" applyBorder="1" applyAlignment="1">
      <alignment horizontal="center" vertical="top"/>
    </xf>
    <xf numFmtId="0" fontId="220" fillId="0" borderId="130" xfId="85" applyFont="1" applyBorder="1" applyAlignment="1">
      <alignment horizontal="center" vertical="top" wrapText="1"/>
    </xf>
    <xf numFmtId="0" fontId="220" fillId="0" borderId="5" xfId="85" applyFont="1" applyBorder="1" applyAlignment="1">
      <alignment vertical="top"/>
    </xf>
    <xf numFmtId="0" fontId="220" fillId="0" borderId="5" xfId="85" applyFont="1" applyBorder="1" applyAlignment="1">
      <alignment vertical="top" wrapText="1"/>
    </xf>
    <xf numFmtId="0" fontId="220" fillId="0" borderId="122" xfId="85" quotePrefix="1" applyFont="1" applyBorder="1" applyAlignment="1">
      <alignment horizontal="center" vertical="top"/>
    </xf>
    <xf numFmtId="0" fontId="221" fillId="0" borderId="122" xfId="85" quotePrefix="1" applyFont="1" applyBorder="1" applyAlignment="1">
      <alignment horizontal="center" vertical="top" wrapText="1"/>
    </xf>
    <xf numFmtId="173" fontId="221" fillId="0" borderId="121" xfId="85" applyNumberFormat="1" applyFont="1" applyBorder="1" applyAlignment="1">
      <alignment horizontal="center" vertical="top"/>
    </xf>
    <xf numFmtId="43" fontId="220" fillId="0" borderId="5" xfId="5" applyFont="1" applyBorder="1" applyAlignment="1">
      <alignment vertical="top" shrinkToFit="1"/>
    </xf>
    <xf numFmtId="175" fontId="221" fillId="0" borderId="5" xfId="85" applyNumberFormat="1" applyFont="1" applyBorder="1" applyAlignment="1">
      <alignment horizontal="left" vertical="top" wrapText="1" shrinkToFit="1"/>
    </xf>
    <xf numFmtId="173" fontId="221" fillId="0" borderId="5" xfId="85" applyNumberFormat="1" applyFont="1" applyBorder="1" applyAlignment="1">
      <alignment horizontal="center" vertical="top" wrapText="1"/>
    </xf>
    <xf numFmtId="0" fontId="221" fillId="0" borderId="2" xfId="85" applyFont="1" applyBorder="1" applyAlignment="1">
      <alignment horizontal="right" vertical="top" wrapText="1"/>
    </xf>
    <xf numFmtId="0" fontId="221" fillId="0" borderId="91" xfId="65" applyFont="1" applyBorder="1" applyAlignment="1">
      <alignment horizontal="right" vertical="top" wrapText="1"/>
    </xf>
    <xf numFmtId="175" fontId="221" fillId="0" borderId="5" xfId="85" applyNumberFormat="1" applyFont="1" applyBorder="1" applyAlignment="1">
      <alignment horizontal="right" vertical="top" wrapText="1" shrinkToFit="1"/>
    </xf>
    <xf numFmtId="0" fontId="221" fillId="0" borderId="2" xfId="85" applyFont="1" applyBorder="1" applyAlignment="1">
      <alignment vertical="top" wrapText="1"/>
    </xf>
    <xf numFmtId="0" fontId="221" fillId="0" borderId="91" xfId="65" applyFont="1" applyBorder="1" applyAlignment="1">
      <alignment vertical="top" wrapText="1"/>
    </xf>
    <xf numFmtId="0" fontId="221" fillId="0" borderId="5" xfId="85" applyFont="1" applyBorder="1" applyAlignment="1">
      <alignment horizontal="left" vertical="top" wrapText="1"/>
    </xf>
    <xf numFmtId="0" fontId="221" fillId="0" borderId="5" xfId="85" applyFont="1" applyBorder="1" applyAlignment="1">
      <alignment horizontal="left" vertical="top" wrapText="1" shrinkToFit="1"/>
    </xf>
    <xf numFmtId="0" fontId="221" fillId="0" borderId="0" xfId="65" applyFont="1" applyBorder="1" applyAlignment="1">
      <alignment vertical="top" wrapText="1"/>
    </xf>
    <xf numFmtId="0" fontId="220" fillId="0" borderId="0" xfId="65" applyFont="1" applyBorder="1" applyAlignment="1">
      <alignment vertical="top" wrapText="1"/>
    </xf>
    <xf numFmtId="43" fontId="220" fillId="0" borderId="0" xfId="5" applyFont="1" applyBorder="1" applyAlignment="1">
      <alignment vertical="top" shrinkToFit="1"/>
    </xf>
    <xf numFmtId="0" fontId="221" fillId="0" borderId="0" xfId="85" applyFont="1" applyBorder="1" applyAlignment="1">
      <alignment horizontal="left" vertical="top" wrapText="1"/>
    </xf>
    <xf numFmtId="0" fontId="221" fillId="0" borderId="0" xfId="85" applyFont="1" applyBorder="1" applyAlignment="1">
      <alignment horizontal="left" vertical="top" wrapText="1" shrinkToFit="1"/>
    </xf>
    <xf numFmtId="173" fontId="221" fillId="0" borderId="0" xfId="85" applyNumberFormat="1" applyFont="1" applyBorder="1" applyAlignment="1">
      <alignment horizontal="center" vertical="top"/>
    </xf>
    <xf numFmtId="0" fontId="221" fillId="0" borderId="15" xfId="85" applyFont="1" applyBorder="1" applyAlignment="1">
      <alignment vertical="top" wrapText="1"/>
    </xf>
    <xf numFmtId="0" fontId="221" fillId="0" borderId="15" xfId="65" applyFont="1" applyBorder="1" applyAlignment="1">
      <alignment vertical="top" wrapText="1"/>
    </xf>
    <xf numFmtId="0" fontId="220" fillId="0" borderId="15" xfId="65" applyFont="1" applyBorder="1" applyAlignment="1">
      <alignment vertical="top" wrapText="1"/>
    </xf>
    <xf numFmtId="43" fontId="220" fillId="0" borderId="15" xfId="5" applyFont="1" applyBorder="1" applyAlignment="1">
      <alignment vertical="top" shrinkToFit="1"/>
    </xf>
    <xf numFmtId="0" fontId="221" fillId="0" borderId="15" xfId="85" applyFont="1" applyBorder="1" applyAlignment="1">
      <alignment horizontal="left" vertical="top" wrapText="1"/>
    </xf>
    <xf numFmtId="0" fontId="221" fillId="0" borderId="15" xfId="85" applyFont="1" applyBorder="1" applyAlignment="1">
      <alignment horizontal="left" vertical="top" wrapText="1" shrinkToFit="1"/>
    </xf>
    <xf numFmtId="173" fontId="221" fillId="0" borderId="15" xfId="85" applyNumberFormat="1" applyFont="1" applyBorder="1" applyAlignment="1">
      <alignment horizontal="center" vertical="top"/>
    </xf>
    <xf numFmtId="0" fontId="221" fillId="0" borderId="2" xfId="65" applyFont="1" applyBorder="1" applyAlignment="1">
      <alignment vertical="top" wrapText="1"/>
    </xf>
    <xf numFmtId="0" fontId="220" fillId="0" borderId="91" xfId="65" applyFont="1" applyBorder="1" applyAlignment="1">
      <alignment vertical="top" wrapText="1"/>
    </xf>
    <xf numFmtId="0" fontId="221" fillId="0" borderId="0" xfId="65" applyFont="1" applyFill="1" applyBorder="1" applyAlignment="1">
      <alignment vertical="top"/>
    </xf>
    <xf numFmtId="0" fontId="221" fillId="0" borderId="91" xfId="85" applyFont="1" applyBorder="1" applyAlignment="1">
      <alignment horizontal="center" vertical="top"/>
    </xf>
    <xf numFmtId="176" fontId="221" fillId="0" borderId="5" xfId="85" applyNumberFormat="1" applyFont="1" applyBorder="1" applyAlignment="1">
      <alignment horizontal="left" vertical="top" wrapText="1"/>
    </xf>
    <xf numFmtId="0" fontId="221" fillId="0" borderId="263" xfId="85" applyFont="1" applyBorder="1" applyAlignment="1">
      <alignment vertical="top" wrapText="1"/>
    </xf>
    <xf numFmtId="0" fontId="221" fillId="0" borderId="263" xfId="65" applyFont="1" applyBorder="1" applyAlignment="1">
      <alignment vertical="top" wrapText="1"/>
    </xf>
    <xf numFmtId="0" fontId="221" fillId="0" borderId="263" xfId="65" applyFont="1" applyFill="1" applyBorder="1" applyAlignment="1">
      <alignment horizontal="left" vertical="top" wrapText="1"/>
    </xf>
    <xf numFmtId="43" fontId="220" fillId="0" borderId="263" xfId="5" applyFont="1" applyBorder="1" applyAlignment="1">
      <alignment vertical="top" shrinkToFit="1"/>
    </xf>
    <xf numFmtId="175" fontId="221" fillId="0" borderId="263" xfId="85" applyNumberFormat="1" applyFont="1" applyBorder="1" applyAlignment="1">
      <alignment horizontal="left" vertical="top" wrapText="1" shrinkToFit="1"/>
    </xf>
    <xf numFmtId="173" fontId="221" fillId="0" borderId="263" xfId="85" applyNumberFormat="1" applyFont="1" applyBorder="1" applyAlignment="1">
      <alignment horizontal="center" vertical="top"/>
    </xf>
    <xf numFmtId="0" fontId="221" fillId="0" borderId="0" xfId="65" applyFont="1" applyFill="1" applyBorder="1" applyAlignment="1">
      <alignment horizontal="left" vertical="top" wrapText="1"/>
    </xf>
    <xf numFmtId="175" fontId="221" fillId="0" borderId="0" xfId="85" applyNumberFormat="1" applyFont="1" applyBorder="1" applyAlignment="1">
      <alignment horizontal="left" vertical="top" wrapText="1" shrinkToFit="1"/>
    </xf>
    <xf numFmtId="0" fontId="221" fillId="0" borderId="15" xfId="65" applyFont="1" applyFill="1" applyBorder="1" applyAlignment="1">
      <alignment horizontal="left" vertical="top" wrapText="1"/>
    </xf>
    <xf numFmtId="175" fontId="221" fillId="0" borderId="15" xfId="85" applyNumberFormat="1" applyFont="1" applyBorder="1" applyAlignment="1">
      <alignment horizontal="left" vertical="top" wrapText="1" shrinkToFit="1"/>
    </xf>
    <xf numFmtId="0" fontId="221" fillId="0" borderId="300" xfId="85" applyFont="1" applyBorder="1" applyAlignment="1">
      <alignment vertical="top" wrapText="1"/>
    </xf>
    <xf numFmtId="0" fontId="221" fillId="0" borderId="381" xfId="65" applyFont="1" applyBorder="1" applyAlignment="1">
      <alignment vertical="top" wrapText="1"/>
    </xf>
    <xf numFmtId="43" fontId="220" fillId="0" borderId="295" xfId="5" applyFont="1" applyBorder="1" applyAlignment="1">
      <alignment vertical="top" shrinkToFit="1"/>
    </xf>
    <xf numFmtId="175" fontId="221" fillId="0" borderId="295" xfId="85" applyNumberFormat="1" applyFont="1" applyBorder="1" applyAlignment="1">
      <alignment horizontal="left" vertical="top" wrapText="1" shrinkToFit="1"/>
    </xf>
    <xf numFmtId="0" fontId="221" fillId="0" borderId="300" xfId="65" applyFont="1" applyFill="1" applyBorder="1" applyAlignment="1">
      <alignment horizontal="left" vertical="top" wrapText="1"/>
    </xf>
    <xf numFmtId="0" fontId="221" fillId="0" borderId="381" xfId="65" applyFont="1" applyFill="1" applyBorder="1" applyAlignment="1">
      <alignment horizontal="left" vertical="top" wrapText="1"/>
    </xf>
    <xf numFmtId="0" fontId="221" fillId="0" borderId="199" xfId="65" applyFont="1" applyBorder="1" applyAlignment="1">
      <alignment vertical="top" wrapText="1"/>
    </xf>
    <xf numFmtId="173" fontId="221" fillId="0" borderId="5" xfId="85" applyNumberFormat="1" applyFont="1" applyBorder="1" applyAlignment="1">
      <alignment horizontal="center" vertical="top"/>
    </xf>
    <xf numFmtId="0" fontId="220" fillId="0" borderId="381" xfId="65" applyFont="1" applyFill="1" applyBorder="1" applyAlignment="1">
      <alignment horizontal="left" vertical="top" wrapText="1"/>
    </xf>
    <xf numFmtId="0" fontId="221" fillId="0" borderId="177" xfId="85" applyFont="1" applyBorder="1" applyAlignment="1">
      <alignment vertical="center"/>
    </xf>
    <xf numFmtId="0" fontId="221" fillId="0" borderId="178" xfId="85" applyFont="1" applyBorder="1" applyAlignment="1">
      <alignment vertical="center"/>
    </xf>
    <xf numFmtId="0" fontId="221" fillId="0" borderId="177" xfId="85" applyFont="1" applyBorder="1" applyAlignment="1">
      <alignment horizontal="center" vertical="center"/>
    </xf>
    <xf numFmtId="0" fontId="221" fillId="0" borderId="178" xfId="85" applyFont="1" applyBorder="1" applyAlignment="1">
      <alignment horizontal="center" vertical="center"/>
    </xf>
    <xf numFmtId="43" fontId="220" fillId="0" borderId="89" xfId="85" applyNumberFormat="1" applyFont="1" applyBorder="1" applyAlignment="1">
      <alignment vertical="center"/>
    </xf>
    <xf numFmtId="0" fontId="221" fillId="0" borderId="89" xfId="85" applyFont="1" applyBorder="1" applyAlignment="1">
      <alignment horizontal="right" vertical="center" wrapText="1"/>
    </xf>
    <xf numFmtId="0" fontId="221" fillId="0" borderId="89" xfId="85" applyFont="1" applyBorder="1" applyAlignment="1">
      <alignment horizontal="left" vertical="center" wrapText="1"/>
    </xf>
    <xf numFmtId="173" fontId="221" fillId="0" borderId="89" xfId="85" applyNumberFormat="1" applyFont="1" applyBorder="1" applyAlignment="1">
      <alignment horizontal="center" vertical="center"/>
    </xf>
    <xf numFmtId="0" fontId="221" fillId="0" borderId="0" xfId="85" applyFont="1" applyAlignment="1">
      <alignment vertical="center"/>
    </xf>
    <xf numFmtId="43" fontId="220" fillId="0" borderId="0" xfId="85" applyNumberFormat="1" applyFont="1" applyAlignment="1">
      <alignment vertical="top" shrinkToFit="1"/>
    </xf>
    <xf numFmtId="0" fontId="221" fillId="0" borderId="0" xfId="85" applyFont="1" applyAlignment="1">
      <alignment horizontal="center" vertical="top" wrapText="1"/>
    </xf>
    <xf numFmtId="173" fontId="221" fillId="0" borderId="0" xfId="85" applyNumberFormat="1" applyFont="1" applyAlignment="1">
      <alignment horizontal="center" vertical="top"/>
    </xf>
    <xf numFmtId="0" fontId="221" fillId="0" borderId="306" xfId="85" applyFont="1" applyBorder="1" applyAlignment="1">
      <alignment vertical="top" wrapText="1"/>
    </xf>
    <xf numFmtId="0" fontId="221" fillId="0" borderId="316" xfId="65" applyFont="1" applyBorder="1" applyAlignment="1">
      <alignment vertical="top" wrapText="1"/>
    </xf>
    <xf numFmtId="0" fontId="221" fillId="0" borderId="306" xfId="65" applyFont="1" applyBorder="1" applyAlignment="1">
      <alignment vertical="top" wrapText="1"/>
    </xf>
    <xf numFmtId="0" fontId="220" fillId="0" borderId="316" xfId="65" applyFont="1" applyBorder="1" applyAlignment="1">
      <alignment vertical="top" wrapText="1"/>
    </xf>
    <xf numFmtId="43" fontId="220" fillId="0" borderId="303" xfId="5" applyFont="1" applyBorder="1" applyAlignment="1">
      <alignment vertical="top" shrinkToFit="1"/>
    </xf>
    <xf numFmtId="0" fontId="221" fillId="0" borderId="303" xfId="85" applyFont="1" applyBorder="1" applyAlignment="1">
      <alignment horizontal="left" vertical="top" wrapText="1"/>
    </xf>
    <xf numFmtId="0" fontId="221" fillId="0" borderId="303" xfId="85" applyFont="1" applyBorder="1" applyAlignment="1">
      <alignment horizontal="left" vertical="top" wrapText="1" shrinkToFit="1"/>
    </xf>
    <xf numFmtId="173" fontId="221" fillId="0" borderId="303" xfId="85" applyNumberFormat="1" applyFont="1" applyBorder="1" applyAlignment="1">
      <alignment horizontal="center" vertical="top" wrapText="1"/>
    </xf>
    <xf numFmtId="0" fontId="221" fillId="0" borderId="592" xfId="65" applyFont="1" applyBorder="1" applyAlignment="1">
      <alignment vertical="top" wrapText="1"/>
    </xf>
    <xf numFmtId="173" fontId="221" fillId="0" borderId="295" xfId="85" applyNumberFormat="1" applyFont="1" applyBorder="1" applyAlignment="1">
      <alignment horizontal="center" vertical="top" wrapText="1"/>
    </xf>
    <xf numFmtId="175" fontId="221" fillId="0" borderId="303" xfId="85" applyNumberFormat="1" applyFont="1" applyBorder="1" applyAlignment="1">
      <alignment horizontal="left" vertical="top" wrapText="1" shrinkToFit="1"/>
    </xf>
    <xf numFmtId="0" fontId="221" fillId="0" borderId="0" xfId="21" quotePrefix="1" applyFont="1"/>
    <xf numFmtId="0" fontId="221" fillId="0" borderId="0" xfId="21" applyFont="1" applyFill="1" applyBorder="1"/>
    <xf numFmtId="0" fontId="221" fillId="0" borderId="0" xfId="21" quotePrefix="1" applyFont="1" applyAlignment="1">
      <alignment horizontal="left"/>
    </xf>
    <xf numFmtId="0" fontId="221" fillId="0" borderId="0" xfId="21" quotePrefix="1" applyFont="1" applyAlignment="1">
      <alignment horizontal="left" vertical="top"/>
    </xf>
    <xf numFmtId="0" fontId="220" fillId="0" borderId="313" xfId="21" applyFont="1" applyBorder="1" applyAlignment="1">
      <alignment horizontal="center" vertical="center" wrapText="1"/>
    </xf>
    <xf numFmtId="0" fontId="221" fillId="0" borderId="124" xfId="21" applyFont="1" applyBorder="1" applyAlignment="1">
      <alignment horizontal="center"/>
    </xf>
    <xf numFmtId="0" fontId="221" fillId="0" borderId="35" xfId="21" applyFont="1" applyBorder="1" applyAlignment="1">
      <alignment horizontal="center"/>
    </xf>
    <xf numFmtId="0" fontId="221" fillId="0" borderId="36" xfId="21" applyFont="1" applyBorder="1" applyAlignment="1">
      <alignment horizontal="center"/>
    </xf>
    <xf numFmtId="4" fontId="221" fillId="0" borderId="100" xfId="5" applyNumberFormat="1" applyFont="1" applyBorder="1" applyAlignment="1">
      <alignment horizontal="right" vertical="top"/>
    </xf>
    <xf numFmtId="0" fontId="221" fillId="0" borderId="100" xfId="21" applyFont="1" applyBorder="1" applyAlignment="1">
      <alignment horizontal="center" vertical="top" wrapText="1"/>
    </xf>
    <xf numFmtId="0" fontId="221" fillId="0" borderId="175" xfId="21" applyFont="1" applyBorder="1" applyAlignment="1">
      <alignment horizontal="center" vertical="top" wrapText="1"/>
    </xf>
    <xf numFmtId="4" fontId="221" fillId="0" borderId="302" xfId="5" applyNumberFormat="1" applyFont="1" applyBorder="1" applyAlignment="1">
      <alignment horizontal="right" vertical="top"/>
    </xf>
    <xf numFmtId="0" fontId="221" fillId="0" borderId="302" xfId="21" applyFont="1" applyBorder="1" applyAlignment="1">
      <alignment horizontal="center" vertical="top" wrapText="1"/>
    </xf>
    <xf numFmtId="0" fontId="221" fillId="0" borderId="345" xfId="21" applyFont="1" applyBorder="1" applyAlignment="1">
      <alignment horizontal="center" vertical="top" wrapText="1"/>
    </xf>
    <xf numFmtId="4" fontId="221" fillId="0" borderId="302" xfId="5" applyNumberFormat="1" applyFont="1" applyBorder="1" applyAlignment="1">
      <alignment vertical="top"/>
    </xf>
    <xf numFmtId="3" fontId="221" fillId="0" borderId="302" xfId="21" applyNumberFormat="1" applyFont="1" applyBorder="1" applyAlignment="1">
      <alignment horizontal="center" vertical="top" wrapText="1"/>
    </xf>
    <xf numFmtId="0" fontId="221" fillId="0" borderId="115" xfId="21" applyFont="1" applyBorder="1" applyAlignment="1">
      <alignment horizontal="center"/>
    </xf>
    <xf numFmtId="0" fontId="221" fillId="0" borderId="308" xfId="21" applyFont="1" applyBorder="1" applyAlignment="1">
      <alignment horizontal="center"/>
    </xf>
    <xf numFmtId="0" fontId="221" fillId="0" borderId="33" xfId="21" applyFont="1" applyBorder="1" applyAlignment="1">
      <alignment horizontal="center"/>
    </xf>
    <xf numFmtId="0" fontId="221" fillId="0" borderId="34" xfId="21" applyFont="1" applyBorder="1" applyAlignment="1">
      <alignment horizontal="center"/>
    </xf>
    <xf numFmtId="4" fontId="220" fillId="0" borderId="34" xfId="5" applyNumberFormat="1" applyFont="1" applyBorder="1" applyAlignment="1">
      <alignment vertical="top"/>
    </xf>
    <xf numFmtId="0" fontId="221" fillId="0" borderId="34" xfId="21" applyFont="1" applyBorder="1" applyAlignment="1">
      <alignment horizontal="center" vertical="top" wrapText="1"/>
    </xf>
    <xf numFmtId="0" fontId="221" fillId="0" borderId="116" xfId="21" applyFont="1" applyBorder="1" applyAlignment="1">
      <alignment horizontal="center" vertical="top" wrapText="1"/>
    </xf>
    <xf numFmtId="0" fontId="221" fillId="0" borderId="0" xfId="21" applyNumberFormat="1" applyFont="1"/>
    <xf numFmtId="0" fontId="287" fillId="0" borderId="0" xfId="21" applyFont="1"/>
    <xf numFmtId="0" fontId="298" fillId="0" borderId="0" xfId="21" applyFont="1" applyAlignment="1">
      <alignment horizontal="left"/>
    </xf>
    <xf numFmtId="4" fontId="221" fillId="0" borderId="0" xfId="5" applyNumberFormat="1" applyFont="1" applyFill="1" applyBorder="1" applyAlignment="1">
      <alignment vertical="top"/>
    </xf>
    <xf numFmtId="4" fontId="221" fillId="0" borderId="0" xfId="21" applyNumberFormat="1" applyFont="1"/>
    <xf numFmtId="0" fontId="220" fillId="0" borderId="0" xfId="24" applyFont="1" applyFill="1" applyAlignment="1">
      <alignment horizontal="center"/>
    </xf>
    <xf numFmtId="0" fontId="19" fillId="0" borderId="596" xfId="24" applyFont="1" applyBorder="1" applyAlignment="1">
      <alignment vertical="center"/>
    </xf>
    <xf numFmtId="3" fontId="221" fillId="0" borderId="0" xfId="66" applyFont="1" applyAlignment="1">
      <alignment vertical="center"/>
    </xf>
    <xf numFmtId="3" fontId="221" fillId="0" borderId="0" xfId="66" applyFont="1" applyAlignment="1">
      <alignment horizontal="center" vertical="center"/>
    </xf>
    <xf numFmtId="3" fontId="221" fillId="0" borderId="0" xfId="66" applyFont="1" applyAlignment="1">
      <alignment horizontal="left" vertical="center"/>
    </xf>
    <xf numFmtId="3" fontId="220" fillId="6" borderId="50" xfId="66" applyFont="1" applyFill="1" applyBorder="1" applyAlignment="1">
      <alignment vertical="center"/>
    </xf>
    <xf numFmtId="3" fontId="220" fillId="6" borderId="25" xfId="66" applyFont="1" applyFill="1" applyBorder="1" applyAlignment="1">
      <alignment horizontal="center" vertical="center"/>
    </xf>
    <xf numFmtId="3" fontId="220" fillId="6" borderId="18" xfId="66" applyFont="1" applyFill="1" applyBorder="1" applyAlignment="1">
      <alignment horizontal="left" vertical="center"/>
    </xf>
    <xf numFmtId="3" fontId="220" fillId="0" borderId="0" xfId="66" applyFont="1" applyFill="1" applyAlignment="1">
      <alignment vertical="center"/>
    </xf>
    <xf numFmtId="3" fontId="220" fillId="6" borderId="5" xfId="66" applyFont="1" applyFill="1" applyBorder="1" applyAlignment="1">
      <alignment horizontal="center" vertical="center"/>
    </xf>
    <xf numFmtId="3" fontId="220" fillId="6" borderId="12" xfId="66" applyFont="1" applyFill="1" applyBorder="1" applyAlignment="1">
      <alignment vertical="center"/>
    </xf>
    <xf numFmtId="3" fontId="220" fillId="6" borderId="9" xfId="66" applyFont="1" applyFill="1" applyBorder="1" applyAlignment="1">
      <alignment horizontal="center" vertical="center"/>
    </xf>
    <xf numFmtId="3" fontId="220" fillId="6" borderId="10" xfId="66" applyFont="1" applyFill="1" applyBorder="1" applyAlignment="1">
      <alignment horizontal="center" vertical="center"/>
    </xf>
    <xf numFmtId="3" fontId="221" fillId="0" borderId="2" xfId="66" applyFont="1" applyBorder="1" applyAlignment="1">
      <alignment vertical="center"/>
    </xf>
    <xf numFmtId="3" fontId="221" fillId="0" borderId="4" xfId="66" applyFont="1" applyBorder="1" applyAlignment="1">
      <alignment vertical="center"/>
    </xf>
    <xf numFmtId="3" fontId="221" fillId="6" borderId="5" xfId="66" applyFont="1" applyFill="1" applyBorder="1" applyAlignment="1">
      <alignment horizontal="left" vertical="center"/>
    </xf>
    <xf numFmtId="3" fontId="221" fillId="0" borderId="0" xfId="66" applyFont="1" applyBorder="1" applyAlignment="1">
      <alignment vertical="center"/>
    </xf>
    <xf numFmtId="49" fontId="221" fillId="0" borderId="2" xfId="66" applyNumberFormat="1" applyFont="1" applyBorder="1" applyAlignment="1">
      <alignment vertical="center"/>
    </xf>
    <xf numFmtId="3" fontId="220" fillId="0" borderId="4" xfId="66" applyFont="1" applyBorder="1" applyAlignment="1">
      <alignment vertical="center"/>
    </xf>
    <xf numFmtId="3" fontId="293" fillId="0" borderId="2" xfId="66" applyFont="1" applyBorder="1" applyAlignment="1">
      <alignment vertical="center"/>
    </xf>
    <xf numFmtId="49" fontId="292" fillId="0" borderId="2" xfId="66" applyNumberFormat="1" applyFont="1" applyBorder="1" applyAlignment="1">
      <alignment vertical="center"/>
    </xf>
    <xf numFmtId="3" fontId="292" fillId="0" borderId="4" xfId="66" applyFont="1" applyBorder="1" applyAlignment="1">
      <alignment vertical="center"/>
    </xf>
    <xf numFmtId="3" fontId="292" fillId="6" borderId="5" xfId="66" applyFont="1" applyFill="1" applyBorder="1" applyAlignment="1">
      <alignment horizontal="left" vertical="center"/>
    </xf>
    <xf numFmtId="3" fontId="292" fillId="0" borderId="2" xfId="66" applyFont="1" applyBorder="1" applyAlignment="1">
      <alignment vertical="center"/>
    </xf>
    <xf numFmtId="3" fontId="292" fillId="0" borderId="0" xfId="66" applyFont="1" applyAlignment="1">
      <alignment vertical="center"/>
    </xf>
    <xf numFmtId="3" fontId="291" fillId="0" borderId="4" xfId="66" applyFont="1" applyBorder="1" applyAlignment="1">
      <alignment vertical="center"/>
    </xf>
    <xf numFmtId="3" fontId="221" fillId="0" borderId="300" xfId="66" applyFont="1" applyBorder="1" applyAlignment="1">
      <alignment vertical="center"/>
    </xf>
    <xf numFmtId="3" fontId="221" fillId="0" borderId="344" xfId="66" applyFont="1" applyBorder="1" applyAlignment="1">
      <alignment vertical="center"/>
    </xf>
    <xf numFmtId="3" fontId="220" fillId="0" borderId="4" xfId="66" applyFont="1" applyBorder="1" applyAlignment="1">
      <alignment horizontal="center" vertical="center"/>
    </xf>
    <xf numFmtId="3" fontId="293" fillId="0" borderId="527" xfId="66" applyFont="1" applyBorder="1" applyAlignment="1">
      <alignment vertical="center"/>
    </xf>
    <xf numFmtId="3" fontId="221" fillId="0" borderId="511" xfId="66" applyFont="1" applyBorder="1" applyAlignment="1">
      <alignment vertical="center"/>
    </xf>
    <xf numFmtId="49" fontId="221" fillId="0" borderId="300" xfId="66" applyNumberFormat="1" applyFont="1" applyBorder="1" applyAlignment="1">
      <alignment vertical="center"/>
    </xf>
    <xf numFmtId="3" fontId="221" fillId="0" borderId="563" xfId="66" applyFont="1" applyBorder="1" applyAlignment="1">
      <alignment vertical="center"/>
    </xf>
    <xf numFmtId="3" fontId="221" fillId="6" borderId="295" xfId="66" applyFont="1" applyFill="1" applyBorder="1" applyAlignment="1">
      <alignment horizontal="left" vertical="center"/>
    </xf>
    <xf numFmtId="3" fontId="221" fillId="0" borderId="419" xfId="66" applyFont="1" applyBorder="1" applyAlignment="1">
      <alignment vertical="center"/>
    </xf>
    <xf numFmtId="3" fontId="221" fillId="0" borderId="57" xfId="66" applyFont="1" applyBorder="1" applyAlignment="1">
      <alignment vertical="center"/>
    </xf>
    <xf numFmtId="3" fontId="220" fillId="0" borderId="4" xfId="66" applyFont="1" applyBorder="1" applyAlignment="1">
      <alignment horizontal="left" vertical="center"/>
    </xf>
    <xf numFmtId="3" fontId="221" fillId="0" borderId="6" xfId="66" applyFont="1" applyBorder="1" applyAlignment="1">
      <alignment vertical="center"/>
    </xf>
    <xf numFmtId="3" fontId="221" fillId="6" borderId="4" xfId="66" applyFont="1" applyFill="1" applyBorder="1" applyAlignment="1">
      <alignment horizontal="left" vertical="center"/>
    </xf>
    <xf numFmtId="3" fontId="221" fillId="0" borderId="91" xfId="66" applyFont="1" applyBorder="1" applyAlignment="1">
      <alignment vertical="center"/>
    </xf>
    <xf numFmtId="49" fontId="221" fillId="0" borderId="2" xfId="66" applyNumberFormat="1" applyFont="1" applyBorder="1" applyAlignment="1">
      <alignment horizontal="right" vertical="center"/>
    </xf>
    <xf numFmtId="3" fontId="294" fillId="0" borderId="528" xfId="66" applyFont="1" applyBorder="1" applyAlignment="1">
      <alignment horizontal="right" vertical="center"/>
    </xf>
    <xf numFmtId="3" fontId="221" fillId="0" borderId="0" xfId="66" applyFont="1" applyAlignment="1">
      <alignment horizontal="right" vertical="center"/>
    </xf>
    <xf numFmtId="43" fontId="221" fillId="0" borderId="2" xfId="9" applyFont="1" applyBorder="1" applyAlignment="1">
      <alignment vertical="center"/>
    </xf>
    <xf numFmtId="43" fontId="220" fillId="0" borderId="4" xfId="9" applyFont="1" applyBorder="1" applyAlignment="1">
      <alignment horizontal="center" vertical="center"/>
    </xf>
    <xf numFmtId="43" fontId="221" fillId="6" borderId="5" xfId="9" applyFont="1" applyFill="1" applyBorder="1" applyAlignment="1">
      <alignment horizontal="left" vertical="center"/>
    </xf>
    <xf numFmtId="3" fontId="294" fillId="0" borderId="527" xfId="66" applyFont="1" applyBorder="1" applyAlignment="1">
      <alignment vertical="center"/>
    </xf>
    <xf numFmtId="43" fontId="221" fillId="0" borderId="0" xfId="9" applyFont="1" applyAlignment="1">
      <alignment vertical="center"/>
    </xf>
    <xf numFmtId="3" fontId="291" fillId="0" borderId="2" xfId="66" applyFont="1" applyBorder="1" applyAlignment="1">
      <alignment vertical="center"/>
    </xf>
    <xf numFmtId="3" fontId="291" fillId="0" borderId="2" xfId="66" applyFont="1" applyBorder="1" applyAlignment="1">
      <alignment horizontal="right" vertical="center"/>
    </xf>
    <xf numFmtId="3" fontId="294" fillId="0" borderId="530" xfId="66" applyFont="1" applyBorder="1" applyAlignment="1">
      <alignment horizontal="right" vertical="center"/>
    </xf>
    <xf numFmtId="4" fontId="293" fillId="0" borderId="54" xfId="67" applyFont="1" applyBorder="1" applyAlignment="1">
      <alignment vertical="center"/>
    </xf>
    <xf numFmtId="3" fontId="286" fillId="0" borderId="2" xfId="66" applyFont="1" applyBorder="1" applyAlignment="1">
      <alignment vertical="center"/>
    </xf>
    <xf numFmtId="3" fontId="286" fillId="6" borderId="5" xfId="66" applyFont="1" applyFill="1" applyBorder="1" applyAlignment="1">
      <alignment horizontal="left" vertical="center"/>
    </xf>
    <xf numFmtId="4" fontId="286" fillId="0" borderId="50" xfId="67" applyFont="1" applyBorder="1" applyAlignment="1">
      <alignment vertical="center"/>
    </xf>
    <xf numFmtId="3" fontId="286" fillId="0" borderId="0" xfId="66" applyFont="1" applyAlignment="1">
      <alignment vertical="center"/>
    </xf>
    <xf numFmtId="4" fontId="221" fillId="0" borderId="2" xfId="67" applyFont="1" applyBorder="1" applyAlignment="1">
      <alignment vertical="center"/>
    </xf>
    <xf numFmtId="4" fontId="221" fillId="0" borderId="300" xfId="67" applyFont="1" applyBorder="1" applyAlignment="1">
      <alignment vertical="center"/>
    </xf>
    <xf numFmtId="3" fontId="221" fillId="0" borderId="402" xfId="66" applyFont="1" applyBorder="1" applyAlignment="1">
      <alignment vertical="center"/>
    </xf>
    <xf numFmtId="49" fontId="220" fillId="0" borderId="2" xfId="66" applyNumberFormat="1" applyFont="1" applyBorder="1" applyAlignment="1">
      <alignment vertical="center"/>
    </xf>
    <xf numFmtId="3" fontId="220" fillId="6" borderId="5" xfId="66" applyFont="1" applyFill="1" applyBorder="1" applyAlignment="1">
      <alignment horizontal="left" vertical="center"/>
    </xf>
    <xf numFmtId="3" fontId="220" fillId="0" borderId="300" xfId="66" applyFont="1" applyBorder="1" applyAlignment="1">
      <alignment vertical="center"/>
    </xf>
    <xf numFmtId="3" fontId="220" fillId="0" borderId="0" xfId="66" applyFont="1" applyBorder="1" applyAlignment="1">
      <alignment vertical="center"/>
    </xf>
    <xf numFmtId="3" fontId="220" fillId="0" borderId="0" xfId="66" applyFont="1" applyAlignment="1">
      <alignment vertical="center"/>
    </xf>
    <xf numFmtId="3" fontId="220" fillId="0" borderId="402" xfId="66" applyFont="1" applyBorder="1" applyAlignment="1">
      <alignment vertical="center"/>
    </xf>
    <xf numFmtId="3" fontId="293" fillId="0" borderId="300" xfId="66" applyFont="1" applyBorder="1" applyAlignment="1">
      <alignment vertical="center"/>
    </xf>
    <xf numFmtId="43" fontId="220" fillId="0" borderId="402" xfId="9" applyFont="1" applyBorder="1" applyAlignment="1">
      <alignment horizontal="center" vertical="center"/>
    </xf>
    <xf numFmtId="4" fontId="221" fillId="0" borderId="533" xfId="67" applyFont="1" applyBorder="1" applyAlignment="1">
      <alignment vertical="center"/>
    </xf>
    <xf numFmtId="4" fontId="293" fillId="0" borderId="47" xfId="67" applyFont="1" applyBorder="1" applyAlignment="1">
      <alignment vertical="center"/>
    </xf>
    <xf numFmtId="4" fontId="293" fillId="0" borderId="453" xfId="67" applyFont="1" applyBorder="1" applyAlignment="1">
      <alignment vertical="center"/>
    </xf>
    <xf numFmtId="43" fontId="221" fillId="0" borderId="402" xfId="61" applyFont="1" applyBorder="1" applyAlignment="1">
      <alignment vertical="center"/>
    </xf>
    <xf numFmtId="49" fontId="221" fillId="0" borderId="6" xfId="66" applyNumberFormat="1" applyFont="1" applyBorder="1" applyAlignment="1">
      <alignment vertical="center"/>
    </xf>
    <xf numFmtId="3" fontId="221" fillId="6" borderId="400" xfId="66" applyFont="1" applyFill="1" applyBorder="1" applyAlignment="1">
      <alignment horizontal="left" vertical="center"/>
    </xf>
    <xf numFmtId="49" fontId="221" fillId="0" borderId="0" xfId="66" applyNumberFormat="1" applyFont="1" applyFill="1" applyBorder="1" applyAlignment="1">
      <alignment vertical="center"/>
    </xf>
    <xf numFmtId="3" fontId="221" fillId="0" borderId="0" xfId="66" applyFont="1" applyFill="1" applyBorder="1" applyAlignment="1">
      <alignment vertical="center"/>
    </xf>
    <xf numFmtId="3" fontId="221" fillId="0" borderId="0" xfId="66" applyFont="1" applyFill="1" applyBorder="1" applyAlignment="1">
      <alignment horizontal="left" vertical="center"/>
    </xf>
    <xf numFmtId="4" fontId="221" fillId="0" borderId="0" xfId="67" applyFont="1" applyFill="1" applyBorder="1" applyAlignment="1">
      <alignment vertical="center"/>
    </xf>
    <xf numFmtId="3" fontId="221" fillId="6" borderId="201" xfId="66" applyFont="1" applyFill="1" applyBorder="1" applyAlignment="1">
      <alignment horizontal="left" vertical="center"/>
    </xf>
    <xf numFmtId="4" fontId="221" fillId="0" borderId="2" xfId="67" applyFont="1" applyFill="1" applyBorder="1" applyAlignment="1">
      <alignment vertical="center"/>
    </xf>
    <xf numFmtId="3" fontId="294" fillId="0" borderId="2" xfId="66" applyFont="1" applyBorder="1" applyAlignment="1">
      <alignment vertical="center"/>
    </xf>
    <xf numFmtId="4" fontId="221" fillId="0" borderId="412" xfId="67" applyFont="1" applyBorder="1" applyAlignment="1">
      <alignment vertical="center"/>
    </xf>
    <xf numFmtId="4" fontId="293" fillId="0" borderId="2" xfId="67" applyFont="1" applyBorder="1" applyAlignment="1">
      <alignment vertical="center"/>
    </xf>
    <xf numFmtId="4" fontId="293" fillId="0" borderId="6" xfId="67" applyFont="1" applyBorder="1" applyAlignment="1">
      <alignment vertical="center"/>
    </xf>
    <xf numFmtId="3" fontId="220" fillId="0" borderId="202" xfId="66" applyFont="1" applyBorder="1" applyAlignment="1">
      <alignment vertical="center"/>
    </xf>
    <xf numFmtId="4" fontId="293" fillId="0" borderId="202" xfId="67" applyFont="1" applyBorder="1" applyAlignment="1">
      <alignment vertical="center"/>
    </xf>
    <xf numFmtId="3" fontId="221" fillId="0" borderId="202" xfId="66" applyFont="1" applyBorder="1" applyAlignment="1">
      <alignment vertical="center"/>
    </xf>
    <xf numFmtId="4" fontId="293" fillId="0" borderId="300" xfId="67" applyFont="1" applyBorder="1" applyAlignment="1">
      <alignment vertical="center"/>
    </xf>
    <xf numFmtId="3" fontId="220" fillId="0" borderId="0" xfId="66" applyFont="1" applyBorder="1" applyAlignment="1">
      <alignment horizontal="center" vertical="center"/>
    </xf>
    <xf numFmtId="3" fontId="220" fillId="6" borderId="201" xfId="66" applyFont="1" applyFill="1" applyBorder="1" applyAlignment="1">
      <alignment horizontal="left" vertical="center"/>
    </xf>
    <xf numFmtId="4" fontId="293" fillId="0" borderId="527" xfId="67" applyFont="1" applyBorder="1" applyAlignment="1">
      <alignment vertical="center"/>
    </xf>
    <xf numFmtId="3" fontId="221" fillId="0" borderId="37" xfId="66" applyFont="1" applyBorder="1" applyAlignment="1">
      <alignment vertical="center"/>
    </xf>
    <xf numFmtId="3" fontId="220" fillId="0" borderId="20" xfId="66" applyFont="1" applyBorder="1" applyAlignment="1">
      <alignment vertical="center"/>
    </xf>
    <xf numFmtId="3" fontId="221" fillId="0" borderId="3" xfId="66" applyFont="1" applyBorder="1" applyAlignment="1">
      <alignment horizontal="left" vertical="center"/>
    </xf>
    <xf numFmtId="4" fontId="293" fillId="0" borderId="37" xfId="67" applyFont="1" applyBorder="1" applyAlignment="1">
      <alignment vertical="center"/>
    </xf>
    <xf numFmtId="165" fontId="221" fillId="0" borderId="2" xfId="66" applyNumberFormat="1" applyFont="1" applyBorder="1" applyAlignment="1">
      <alignment vertical="center"/>
    </xf>
    <xf numFmtId="3" fontId="221" fillId="0" borderId="5" xfId="66" applyFont="1" applyBorder="1" applyAlignment="1">
      <alignment horizontal="left" vertical="center"/>
    </xf>
    <xf numFmtId="3" fontId="221" fillId="0" borderId="14" xfId="66" applyFont="1" applyBorder="1" applyAlignment="1">
      <alignment vertical="center"/>
    </xf>
    <xf numFmtId="3" fontId="221" fillId="0" borderId="15" xfId="66" applyFont="1" applyBorder="1" applyAlignment="1">
      <alignment vertical="center"/>
    </xf>
    <xf numFmtId="3" fontId="221" fillId="0" borderId="16" xfId="66" applyFont="1" applyBorder="1" applyAlignment="1">
      <alignment horizontal="left" vertical="center"/>
    </xf>
    <xf numFmtId="4" fontId="221" fillId="0" borderId="14" xfId="67" applyFont="1" applyBorder="1" applyAlignment="1">
      <alignment vertical="center"/>
    </xf>
    <xf numFmtId="3" fontId="221" fillId="0" borderId="0" xfId="23" applyFont="1" applyAlignment="1">
      <alignment horizontal="right" vertical="center"/>
    </xf>
    <xf numFmtId="0" fontId="211" fillId="0" borderId="0" xfId="0" applyFont="1" applyFill="1"/>
    <xf numFmtId="0" fontId="211" fillId="0" borderId="0" xfId="0" applyFont="1" applyFill="1" applyAlignment="1">
      <alignment horizontal="right"/>
    </xf>
    <xf numFmtId="0" fontId="11" fillId="0" borderId="0" xfId="0" applyFont="1" applyFill="1"/>
    <xf numFmtId="0" fontId="211" fillId="0" borderId="187" xfId="0" applyFont="1" applyFill="1" applyBorder="1"/>
    <xf numFmtId="0" fontId="211" fillId="0" borderId="102" xfId="0" applyFont="1" applyFill="1" applyBorder="1"/>
    <xf numFmtId="0" fontId="211" fillId="0" borderId="187" xfId="0" applyFont="1" applyFill="1" applyBorder="1" applyAlignment="1">
      <alignment horizontal="right"/>
    </xf>
    <xf numFmtId="0" fontId="211" fillId="0" borderId="188" xfId="0" applyFont="1" applyFill="1" applyBorder="1"/>
    <xf numFmtId="0" fontId="211" fillId="0" borderId="2" xfId="0" applyFont="1" applyFill="1" applyBorder="1"/>
    <xf numFmtId="0" fontId="211" fillId="0" borderId="0" xfId="0" applyFont="1" applyFill="1" applyBorder="1"/>
    <xf numFmtId="0" fontId="211" fillId="0" borderId="2" xfId="0" applyFont="1" applyFill="1" applyBorder="1" applyAlignment="1">
      <alignment horizontal="right"/>
    </xf>
    <xf numFmtId="0" fontId="211" fillId="0" borderId="91" xfId="0" applyFont="1" applyFill="1" applyBorder="1"/>
    <xf numFmtId="0" fontId="11" fillId="0" borderId="2" xfId="0" applyFont="1" applyFill="1" applyBorder="1"/>
    <xf numFmtId="0" fontId="299" fillId="0" borderId="2" xfId="0" applyFont="1" applyFill="1" applyBorder="1" applyAlignment="1">
      <alignment horizontal="right"/>
    </xf>
    <xf numFmtId="43" fontId="11" fillId="0" borderId="91" xfId="0" applyNumberFormat="1" applyFont="1" applyFill="1" applyBorder="1"/>
    <xf numFmtId="0" fontId="11" fillId="0" borderId="300" xfId="0" applyFont="1" applyFill="1" applyBorder="1"/>
    <xf numFmtId="0" fontId="11" fillId="0" borderId="419" xfId="0" applyFont="1" applyFill="1" applyBorder="1"/>
    <xf numFmtId="0" fontId="11" fillId="0" borderId="2" xfId="0" applyFont="1" applyFill="1" applyBorder="1" applyAlignment="1">
      <alignment horizontal="right"/>
    </xf>
    <xf numFmtId="0" fontId="11" fillId="0" borderId="275" xfId="0" applyFont="1" applyFill="1" applyBorder="1" applyAlignment="1">
      <alignment horizontal="right"/>
    </xf>
    <xf numFmtId="43" fontId="11" fillId="0" borderId="199" xfId="0" applyNumberFormat="1" applyFont="1" applyFill="1" applyBorder="1"/>
    <xf numFmtId="0" fontId="11" fillId="0" borderId="300" xfId="0" applyFont="1" applyFill="1" applyBorder="1" applyAlignment="1">
      <alignment horizontal="right"/>
    </xf>
    <xf numFmtId="43" fontId="11" fillId="0" borderId="419" xfId="0" applyNumberFormat="1" applyFont="1" applyFill="1" applyBorder="1"/>
    <xf numFmtId="43" fontId="11" fillId="0" borderId="596" xfId="0" applyNumberFormat="1" applyFont="1" applyFill="1" applyBorder="1"/>
    <xf numFmtId="0" fontId="11" fillId="0" borderId="419" xfId="0" applyFont="1" applyFill="1" applyBorder="1" applyAlignment="1">
      <alignment horizontal="center"/>
    </xf>
    <xf numFmtId="43" fontId="211" fillId="0" borderId="190" xfId="0" applyNumberFormat="1" applyFont="1" applyFill="1" applyBorder="1" applyAlignment="1">
      <alignment vertical="center"/>
    </xf>
    <xf numFmtId="0" fontId="300" fillId="0" borderId="189" xfId="0" applyFont="1" applyFill="1" applyBorder="1" applyAlignment="1">
      <alignment horizontal="right" vertical="center"/>
    </xf>
    <xf numFmtId="43" fontId="211" fillId="0" borderId="288" xfId="0" applyNumberFormat="1" applyFont="1" applyFill="1" applyBorder="1" applyAlignment="1">
      <alignment vertical="center"/>
    </xf>
    <xf numFmtId="0" fontId="211" fillId="0" borderId="0" xfId="0" applyFont="1" applyFill="1" applyAlignment="1">
      <alignment vertical="center"/>
    </xf>
    <xf numFmtId="0" fontId="211" fillId="0" borderId="300" xfId="0" applyFont="1" applyFill="1" applyBorder="1" applyAlignment="1">
      <alignment horizontal="center" vertical="center"/>
    </xf>
    <xf numFmtId="0" fontId="211" fillId="0" borderId="419" xfId="0" applyFont="1" applyFill="1" applyBorder="1" applyAlignment="1">
      <alignment horizontal="center" vertical="center"/>
    </xf>
    <xf numFmtId="0" fontId="300" fillId="0" borderId="2" xfId="0" applyFont="1" applyFill="1" applyBorder="1" applyAlignment="1">
      <alignment horizontal="right" vertical="center"/>
    </xf>
    <xf numFmtId="43" fontId="211" fillId="0" borderId="91" xfId="0" applyNumberFormat="1" applyFont="1" applyFill="1" applyBorder="1" applyAlignment="1">
      <alignment vertical="center"/>
    </xf>
    <xf numFmtId="0" fontId="211" fillId="0" borderId="300" xfId="0" applyFont="1" applyFill="1" applyBorder="1"/>
    <xf numFmtId="0" fontId="211" fillId="0" borderId="419" xfId="0" applyFont="1" applyFill="1" applyBorder="1"/>
    <xf numFmtId="43" fontId="11" fillId="0" borderId="91" xfId="1" applyFont="1" applyFill="1" applyBorder="1"/>
    <xf numFmtId="0" fontId="11" fillId="0" borderId="91" xfId="0" applyFont="1" applyFill="1" applyBorder="1"/>
    <xf numFmtId="43" fontId="211" fillId="0" borderId="190" xfId="1" applyFont="1" applyFill="1" applyBorder="1" applyAlignment="1">
      <alignment vertical="center"/>
    </xf>
    <xf numFmtId="43" fontId="211" fillId="0" borderId="0" xfId="0" applyNumberFormat="1" applyFont="1" applyFill="1" applyAlignment="1">
      <alignment vertical="center"/>
    </xf>
    <xf numFmtId="0" fontId="211" fillId="0" borderId="12" xfId="0" applyFont="1" applyFill="1" applyBorder="1" applyAlignment="1">
      <alignment horizontal="center" vertical="center"/>
    </xf>
    <xf numFmtId="0" fontId="211" fillId="0" borderId="316" xfId="0" applyFont="1" applyFill="1" applyBorder="1" applyAlignment="1">
      <alignment horizontal="center" vertical="center"/>
    </xf>
    <xf numFmtId="0" fontId="300" fillId="0" borderId="401" xfId="0" applyFont="1" applyFill="1" applyBorder="1" applyAlignment="1">
      <alignment horizontal="right" vertical="center"/>
    </xf>
    <xf numFmtId="43" fontId="211" fillId="0" borderId="393" xfId="1" applyFont="1" applyFill="1" applyBorder="1" applyAlignment="1">
      <alignment vertical="center"/>
    </xf>
    <xf numFmtId="0" fontId="11" fillId="0" borderId="0" xfId="0" applyFont="1" applyFill="1" applyAlignment="1">
      <alignment horizontal="right"/>
    </xf>
    <xf numFmtId="0" fontId="11" fillId="0" borderId="0" xfId="0" applyFont="1" applyFill="1" applyAlignment="1">
      <alignment horizontal="center"/>
    </xf>
    <xf numFmtId="0" fontId="11" fillId="0" borderId="0" xfId="0" applyFont="1" applyFill="1" applyAlignment="1">
      <alignment horizontal="left"/>
    </xf>
    <xf numFmtId="0" fontId="221" fillId="0" borderId="0" xfId="24" applyFont="1" applyFill="1" applyAlignment="1">
      <alignment horizontal="center"/>
    </xf>
    <xf numFmtId="43" fontId="221" fillId="0" borderId="0" xfId="1" applyNumberFormat="1" applyFont="1" applyFill="1" applyAlignment="1">
      <alignment horizontal="center"/>
    </xf>
    <xf numFmtId="0" fontId="220" fillId="0" borderId="0" xfId="24" applyFont="1" applyAlignment="1">
      <alignment horizontal="center"/>
    </xf>
    <xf numFmtId="0" fontId="221" fillId="0" borderId="0" xfId="24" applyFont="1" applyAlignment="1">
      <alignment horizontal="left"/>
    </xf>
    <xf numFmtId="0" fontId="221" fillId="0" borderId="0" xfId="46" applyFont="1" applyAlignment="1" applyProtection="1">
      <alignment horizontal="center" vertical="center"/>
      <protection locked="0"/>
    </xf>
    <xf numFmtId="0" fontId="10" fillId="0" borderId="0" xfId="71" applyFont="1"/>
    <xf numFmtId="0" fontId="10" fillId="7" borderId="92" xfId="71" applyFont="1" applyFill="1" applyBorder="1" applyAlignment="1">
      <alignment horizontal="center" vertical="center" wrapText="1"/>
    </xf>
    <xf numFmtId="0" fontId="10" fillId="7" borderId="3" xfId="71" applyFont="1" applyFill="1" applyBorder="1" applyAlignment="1">
      <alignment horizontal="center" vertical="center" wrapText="1"/>
    </xf>
    <xf numFmtId="0" fontId="10" fillId="7" borderId="28" xfId="71" applyFont="1" applyFill="1" applyBorder="1" applyAlignment="1">
      <alignment horizontal="center" vertical="center" wrapText="1"/>
    </xf>
    <xf numFmtId="0" fontId="10" fillId="0" borderId="0" xfId="71" applyFont="1" applyAlignment="1">
      <alignment horizontal="center" vertical="center" wrapText="1"/>
    </xf>
    <xf numFmtId="0" fontId="10" fillId="0" borderId="94" xfId="71" applyFont="1" applyBorder="1"/>
    <xf numFmtId="0" fontId="10" fillId="0" borderId="5" xfId="71" applyFont="1" applyBorder="1"/>
    <xf numFmtId="0" fontId="10" fillId="0" borderId="29" xfId="71" applyFont="1" applyBorder="1"/>
    <xf numFmtId="43" fontId="10" fillId="0" borderId="29" xfId="9" applyFont="1" applyBorder="1"/>
    <xf numFmtId="0" fontId="10" fillId="0" borderId="387" xfId="71" applyFont="1" applyBorder="1"/>
    <xf numFmtId="0" fontId="10" fillId="0" borderId="295" xfId="71" applyFont="1" applyBorder="1"/>
    <xf numFmtId="43" fontId="10" fillId="0" borderId="285" xfId="9" applyFont="1" applyBorder="1"/>
    <xf numFmtId="0" fontId="10" fillId="0" borderId="201" xfId="71" applyFont="1" applyBorder="1"/>
    <xf numFmtId="0" fontId="10" fillId="0" borderId="117" xfId="71" applyFont="1" applyBorder="1"/>
    <xf numFmtId="0" fontId="263" fillId="0" borderId="387" xfId="71" applyFont="1" applyBorder="1" applyAlignment="1">
      <alignment horizontal="center"/>
    </xf>
    <xf numFmtId="0" fontId="263" fillId="0" borderId="295" xfId="71" applyFont="1" applyBorder="1"/>
    <xf numFmtId="43" fontId="263" fillId="0" borderId="26" xfId="71" applyNumberFormat="1" applyFont="1" applyBorder="1"/>
    <xf numFmtId="43" fontId="263" fillId="0" borderId="26" xfId="9" applyFont="1" applyBorder="1"/>
    <xf numFmtId="0" fontId="264" fillId="0" borderId="93" xfId="71" applyFont="1" applyBorder="1"/>
    <xf numFmtId="0" fontId="264" fillId="0" borderId="10" xfId="71" applyFont="1" applyBorder="1"/>
    <xf numFmtId="43" fontId="264" fillId="0" borderId="30" xfId="9" applyFont="1" applyBorder="1"/>
    <xf numFmtId="0" fontId="264" fillId="0" borderId="0" xfId="71" applyFont="1"/>
    <xf numFmtId="0" fontId="263" fillId="0" borderId="97" xfId="71" applyFont="1" applyBorder="1" applyAlignment="1">
      <alignment horizontal="center"/>
    </xf>
    <xf numFmtId="0" fontId="263" fillId="0" borderId="35" xfId="71" applyFont="1" applyBorder="1"/>
    <xf numFmtId="43" fontId="263" fillId="0" borderId="36" xfId="71" applyNumberFormat="1" applyFont="1" applyBorder="1"/>
    <xf numFmtId="0" fontId="10" fillId="0" borderId="0" xfId="71" applyFont="1" applyAlignment="1">
      <alignment horizontal="right"/>
    </xf>
    <xf numFmtId="0" fontId="10" fillId="0" borderId="0" xfId="71" applyFont="1" applyAlignment="1"/>
    <xf numFmtId="0" fontId="264" fillId="7" borderId="93" xfId="71" applyFont="1" applyFill="1" applyBorder="1" applyAlignment="1">
      <alignment horizontal="center"/>
    </xf>
    <xf numFmtId="0" fontId="264" fillId="7" borderId="10" xfId="71" applyFont="1" applyFill="1" applyBorder="1" applyAlignment="1">
      <alignment horizontal="center"/>
    </xf>
    <xf numFmtId="0" fontId="264" fillId="7" borderId="32" xfId="71" applyFont="1" applyFill="1" applyBorder="1" applyAlignment="1">
      <alignment horizontal="center"/>
    </xf>
    <xf numFmtId="0" fontId="264" fillId="0" borderId="0" xfId="71" applyFont="1" applyAlignment="1">
      <alignment horizontal="center"/>
    </xf>
    <xf numFmtId="0" fontId="221" fillId="0" borderId="0" xfId="71" applyFont="1"/>
    <xf numFmtId="0" fontId="10" fillId="7" borderId="92" xfId="71" applyFont="1" applyFill="1" applyBorder="1" applyAlignment="1">
      <alignment horizontal="center" wrapText="1"/>
    </xf>
    <xf numFmtId="0" fontId="221" fillId="7" borderId="3" xfId="71" applyFont="1" applyFill="1" applyBorder="1" applyAlignment="1">
      <alignment horizontal="center" wrapText="1"/>
    </xf>
    <xf numFmtId="0" fontId="10" fillId="7" borderId="28" xfId="71" applyFont="1" applyFill="1" applyBorder="1" applyAlignment="1">
      <alignment horizontal="center" wrapText="1"/>
    </xf>
    <xf numFmtId="0" fontId="10" fillId="0" borderId="0" xfId="71" applyFont="1" applyAlignment="1">
      <alignment horizontal="center" wrapText="1"/>
    </xf>
    <xf numFmtId="43" fontId="221" fillId="0" borderId="5" xfId="9" applyFont="1" applyBorder="1"/>
    <xf numFmtId="43" fontId="221" fillId="0" borderId="2" xfId="9" applyFont="1" applyBorder="1"/>
    <xf numFmtId="43" fontId="10" fillId="0" borderId="30" xfId="9" applyFont="1" applyBorder="1"/>
    <xf numFmtId="0" fontId="301" fillId="0" borderId="94" xfId="71" applyFont="1" applyBorder="1" applyAlignment="1">
      <alignment horizontal="left"/>
    </xf>
    <xf numFmtId="0" fontId="264" fillId="0" borderId="94" xfId="71" applyFont="1" applyBorder="1" applyAlignment="1">
      <alignment horizontal="left"/>
    </xf>
    <xf numFmtId="43" fontId="221" fillId="0" borderId="2" xfId="9" applyFont="1" applyBorder="1" applyAlignment="1">
      <alignment horizontal="center"/>
    </xf>
    <xf numFmtId="43" fontId="10" fillId="0" borderId="29" xfId="9" applyFont="1" applyBorder="1" applyAlignment="1">
      <alignment horizontal="center"/>
    </xf>
    <xf numFmtId="0" fontId="10" fillId="0" borderId="0" xfId="71" applyFont="1" applyAlignment="1">
      <alignment horizontal="center"/>
    </xf>
    <xf numFmtId="43" fontId="221" fillId="0" borderId="6" xfId="9" applyFont="1" applyFill="1" applyBorder="1"/>
    <xf numFmtId="43" fontId="10" fillId="0" borderId="27" xfId="9" applyFont="1" applyFill="1" applyBorder="1"/>
    <xf numFmtId="43" fontId="220" fillId="0" borderId="7" xfId="71" applyNumberFormat="1" applyFont="1" applyBorder="1" applyAlignment="1">
      <alignment vertical="center"/>
    </xf>
    <xf numFmtId="43" fontId="220" fillId="0" borderId="6" xfId="71" applyNumberFormat="1" applyFont="1" applyBorder="1" applyAlignment="1">
      <alignment vertical="center"/>
    </xf>
    <xf numFmtId="43" fontId="263" fillId="0" borderId="27" xfId="71" applyNumberFormat="1" applyFont="1" applyBorder="1" applyAlignment="1">
      <alignment vertical="center"/>
    </xf>
    <xf numFmtId="0" fontId="263" fillId="0" borderId="0" xfId="71" applyFont="1" applyAlignment="1">
      <alignment vertical="center"/>
    </xf>
    <xf numFmtId="0" fontId="221" fillId="7" borderId="10" xfId="71" applyFont="1" applyFill="1" applyBorder="1" applyAlignment="1">
      <alignment horizontal="center"/>
    </xf>
    <xf numFmtId="3" fontId="221" fillId="0" borderId="94" xfId="76" applyFont="1" applyBorder="1"/>
    <xf numFmtId="3" fontId="221" fillId="0" borderId="94" xfId="76" applyFont="1" applyFill="1" applyBorder="1"/>
    <xf numFmtId="3" fontId="220" fillId="0" borderId="98" xfId="76" applyFont="1" applyFill="1" applyBorder="1" applyAlignment="1">
      <alignment vertical="center"/>
    </xf>
    <xf numFmtId="0" fontId="10" fillId="0" borderId="0" xfId="71" applyFont="1" applyAlignment="1">
      <alignment vertical="center"/>
    </xf>
    <xf numFmtId="0" fontId="264" fillId="0" borderId="0" xfId="71" applyFont="1" applyAlignment="1">
      <alignment vertical="center"/>
    </xf>
    <xf numFmtId="168" fontId="10" fillId="0" borderId="0" xfId="71" applyNumberFormat="1" applyFont="1" applyAlignment="1">
      <alignment vertical="center"/>
    </xf>
    <xf numFmtId="0" fontId="10" fillId="0" borderId="0" xfId="71" applyFont="1" applyAlignment="1">
      <alignment vertical="top"/>
    </xf>
    <xf numFmtId="0" fontId="263" fillId="6" borderId="18" xfId="71" applyFont="1" applyFill="1" applyBorder="1" applyAlignment="1">
      <alignment horizontal="center" vertical="center" wrapText="1"/>
    </xf>
    <xf numFmtId="43" fontId="263" fillId="6" borderId="18" xfId="9" applyFont="1" applyFill="1" applyBorder="1" applyAlignment="1">
      <alignment horizontal="center" vertical="center" wrapText="1"/>
    </xf>
    <xf numFmtId="168" fontId="263" fillId="6" borderId="18" xfId="9" applyNumberFormat="1" applyFont="1" applyFill="1" applyBorder="1" applyAlignment="1">
      <alignment horizontal="center" vertical="center" wrapText="1"/>
    </xf>
    <xf numFmtId="43" fontId="263" fillId="6" borderId="30" xfId="9" applyFont="1" applyFill="1" applyBorder="1" applyAlignment="1">
      <alignment horizontal="center" vertical="center" wrapText="1"/>
    </xf>
    <xf numFmtId="0" fontId="264" fillId="0" borderId="0" xfId="71" applyFont="1" applyFill="1" applyAlignment="1">
      <alignment horizontal="center" vertical="center" wrapText="1"/>
    </xf>
    <xf numFmtId="0" fontId="10" fillId="7" borderId="92" xfId="71" applyFont="1" applyFill="1" applyBorder="1" applyAlignment="1">
      <alignment horizontal="center" vertical="top" wrapText="1"/>
    </xf>
    <xf numFmtId="0" fontId="10" fillId="7" borderId="3" xfId="71" applyFont="1" applyFill="1" applyBorder="1" applyAlignment="1">
      <alignment horizontal="center" vertical="top" wrapText="1"/>
    </xf>
    <xf numFmtId="0" fontId="10" fillId="7" borderId="28" xfId="71" applyFont="1" applyFill="1" applyBorder="1" applyAlignment="1">
      <alignment horizontal="center" vertical="top" wrapText="1"/>
    </xf>
    <xf numFmtId="0" fontId="10" fillId="0" borderId="0" xfId="71" applyFont="1" applyAlignment="1">
      <alignment horizontal="center" vertical="top" wrapText="1"/>
    </xf>
    <xf numFmtId="0" fontId="211" fillId="0" borderId="94" xfId="71" applyFont="1" applyBorder="1" applyAlignment="1">
      <alignment horizontal="left" vertical="center"/>
    </xf>
    <xf numFmtId="0" fontId="10" fillId="0" borderId="5" xfId="71" applyFont="1" applyBorder="1" applyAlignment="1">
      <alignment horizontal="left" vertical="center"/>
    </xf>
    <xf numFmtId="0" fontId="10" fillId="0" borderId="29" xfId="71" applyFont="1" applyBorder="1" applyAlignment="1">
      <alignment horizontal="left" vertical="center"/>
    </xf>
    <xf numFmtId="0" fontId="10" fillId="0" borderId="0" xfId="71" applyFont="1" applyAlignment="1">
      <alignment horizontal="left" vertical="center"/>
    </xf>
    <xf numFmtId="0" fontId="10" fillId="0" borderId="94" xfId="71" applyFont="1" applyBorder="1" applyAlignment="1">
      <alignment vertical="top"/>
    </xf>
    <xf numFmtId="0" fontId="264" fillId="0" borderId="5" xfId="71" applyFont="1" applyBorder="1" applyAlignment="1">
      <alignment vertical="top"/>
    </xf>
    <xf numFmtId="43" fontId="10" fillId="0" borderId="29" xfId="9" applyFont="1" applyBorder="1" applyAlignment="1">
      <alignment vertical="top"/>
    </xf>
    <xf numFmtId="0" fontId="10" fillId="0" borderId="5" xfId="71" applyFont="1" applyBorder="1" applyAlignment="1">
      <alignment vertical="top"/>
    </xf>
    <xf numFmtId="0" fontId="10" fillId="0" borderId="94" xfId="71" applyFont="1" applyBorder="1" applyAlignment="1"/>
    <xf numFmtId="0" fontId="264" fillId="0" borderId="2" xfId="71" applyFont="1" applyBorder="1" applyAlignment="1">
      <alignment horizontal="left" wrapText="1"/>
    </xf>
    <xf numFmtId="43" fontId="10" fillId="0" borderId="29" xfId="71" applyNumberFormat="1" applyFont="1" applyBorder="1" applyAlignment="1"/>
    <xf numFmtId="43" fontId="220" fillId="0" borderId="2" xfId="9" applyFont="1" applyBorder="1" applyAlignment="1">
      <alignment vertical="top"/>
    </xf>
    <xf numFmtId="43" fontId="10" fillId="0" borderId="32" xfId="9" applyFont="1" applyBorder="1" applyAlignment="1">
      <alignment vertical="top"/>
    </xf>
    <xf numFmtId="0" fontId="211" fillId="0" borderId="96" xfId="71" applyFont="1" applyBorder="1" applyAlignment="1">
      <alignment vertical="center"/>
    </xf>
    <xf numFmtId="0" fontId="10" fillId="0" borderId="18" xfId="71" applyFont="1" applyBorder="1" applyAlignment="1">
      <alignment vertical="center"/>
    </xf>
    <xf numFmtId="43" fontId="10" fillId="0" borderId="30" xfId="9" applyFont="1" applyBorder="1" applyAlignment="1">
      <alignment vertical="center"/>
    </xf>
    <xf numFmtId="0" fontId="264" fillId="0" borderId="5" xfId="71" applyFont="1" applyBorder="1" applyAlignment="1">
      <alignment vertical="top" wrapText="1"/>
    </xf>
    <xf numFmtId="0" fontId="10" fillId="0" borderId="197" xfId="71" applyFont="1" applyBorder="1" applyAlignment="1">
      <alignment vertical="top"/>
    </xf>
    <xf numFmtId="39" fontId="263" fillId="0" borderId="279" xfId="71" applyNumberFormat="1" applyFont="1" applyBorder="1" applyAlignment="1">
      <alignment vertical="top" wrapText="1"/>
    </xf>
    <xf numFmtId="43" fontId="10" fillId="0" borderId="285" xfId="9" applyFont="1" applyBorder="1" applyAlignment="1">
      <alignment vertical="top"/>
    </xf>
    <xf numFmtId="0" fontId="264" fillId="0" borderId="5" xfId="71" applyFont="1" applyBorder="1" applyAlignment="1">
      <alignment wrapText="1"/>
    </xf>
    <xf numFmtId="43" fontId="10" fillId="0" borderId="29" xfId="9" applyFont="1" applyBorder="1" applyAlignment="1"/>
    <xf numFmtId="43" fontId="263" fillId="0" borderId="5" xfId="71" applyNumberFormat="1" applyFont="1" applyBorder="1" applyAlignment="1">
      <alignment vertical="top" wrapText="1"/>
    </xf>
    <xf numFmtId="0" fontId="10" fillId="0" borderId="93" xfId="71" applyFont="1" applyBorder="1" applyAlignment="1">
      <alignment vertical="top"/>
    </xf>
    <xf numFmtId="0" fontId="10" fillId="0" borderId="10" xfId="71" applyFont="1" applyBorder="1" applyAlignment="1">
      <alignment vertical="top"/>
    </xf>
    <xf numFmtId="0" fontId="263" fillId="0" borderId="99" xfId="71" applyFont="1" applyBorder="1" applyAlignment="1">
      <alignment horizontal="center" vertical="center"/>
    </xf>
    <xf numFmtId="0" fontId="263" fillId="0" borderId="7" xfId="71" applyFont="1" applyBorder="1" applyAlignment="1">
      <alignment vertical="center"/>
    </xf>
    <xf numFmtId="43" fontId="263" fillId="0" borderId="27" xfId="9" applyFont="1" applyBorder="1" applyAlignment="1">
      <alignment vertical="center"/>
    </xf>
    <xf numFmtId="0" fontId="10" fillId="0" borderId="0" xfId="71" applyFont="1" applyAlignment="1">
      <alignment horizontal="center" vertical="top"/>
    </xf>
    <xf numFmtId="0" fontId="264" fillId="7" borderId="93" xfId="71" applyFont="1" applyFill="1" applyBorder="1" applyAlignment="1">
      <alignment horizontal="center" vertical="top"/>
    </xf>
    <xf numFmtId="0" fontId="264" fillId="7" borderId="10" xfId="71" applyFont="1" applyFill="1" applyBorder="1" applyAlignment="1">
      <alignment horizontal="center" vertical="top"/>
    </xf>
    <xf numFmtId="0" fontId="264" fillId="7" borderId="32" xfId="71" applyFont="1" applyFill="1" applyBorder="1" applyAlignment="1">
      <alignment horizontal="center" vertical="top"/>
    </xf>
    <xf numFmtId="0" fontId="264" fillId="0" borderId="0" xfId="71" applyFont="1" applyAlignment="1">
      <alignment horizontal="center" vertical="top"/>
    </xf>
    <xf numFmtId="3" fontId="220" fillId="0" borderId="0" xfId="23" applyFont="1" applyAlignment="1" applyProtection="1">
      <alignment horizontal="center"/>
      <protection locked="0"/>
    </xf>
    <xf numFmtId="3" fontId="220" fillId="0" borderId="0" xfId="23" applyFont="1" applyAlignment="1"/>
    <xf numFmtId="3" fontId="221" fillId="0" borderId="0" xfId="23" applyFont="1" applyAlignment="1"/>
    <xf numFmtId="39" fontId="74" fillId="0" borderId="68" xfId="1" applyNumberFormat="1" applyFont="1" applyBorder="1"/>
    <xf numFmtId="39" fontId="113" fillId="0" borderId="22" xfId="0" applyNumberFormat="1" applyFont="1" applyBorder="1"/>
    <xf numFmtId="39" fontId="74" fillId="0" borderId="0" xfId="1" applyNumberFormat="1" applyFont="1" applyBorder="1"/>
    <xf numFmtId="39" fontId="112" fillId="0" borderId="68" xfId="1" applyNumberFormat="1" applyFont="1" applyBorder="1"/>
    <xf numFmtId="49" fontId="17" fillId="0" borderId="0" xfId="91" applyNumberFormat="1" applyAlignment="1">
      <alignment horizontal="center"/>
    </xf>
    <xf numFmtId="0" fontId="303" fillId="0" borderId="0" xfId="91" applyFont="1"/>
    <xf numFmtId="0" fontId="221" fillId="0" borderId="201" xfId="0" applyFont="1" applyFill="1" applyBorder="1" applyAlignment="1" applyProtection="1">
      <alignment horizontal="center" vertical="center"/>
      <protection locked="0"/>
    </xf>
    <xf numFmtId="43" fontId="223" fillId="0" borderId="202" xfId="74" applyNumberFormat="1" applyFont="1" applyFill="1" applyBorder="1"/>
    <xf numFmtId="43" fontId="223" fillId="0" borderId="202" xfId="5" applyNumberFormat="1" applyFont="1" applyFill="1" applyBorder="1"/>
    <xf numFmtId="43" fontId="222" fillId="0" borderId="202" xfId="74" applyNumberFormat="1" applyFont="1" applyFill="1" applyBorder="1" applyProtection="1"/>
    <xf numFmtId="43" fontId="284" fillId="0" borderId="570" xfId="74" applyNumberFormat="1" applyFont="1" applyFill="1" applyBorder="1" applyAlignment="1">
      <alignment horizontal="center"/>
    </xf>
    <xf numFmtId="0" fontId="286" fillId="0" borderId="0" xfId="58" applyFont="1" applyFill="1" applyAlignment="1" applyProtection="1">
      <alignment horizontal="center"/>
      <protection locked="0"/>
    </xf>
    <xf numFmtId="4" fontId="221" fillId="0" borderId="560" xfId="1" applyNumberFormat="1" applyFont="1" applyFill="1" applyBorder="1" applyAlignment="1" applyProtection="1">
      <alignment vertical="top"/>
      <protection locked="0"/>
    </xf>
    <xf numFmtId="4" fontId="286" fillId="0" borderId="0" xfId="1" applyNumberFormat="1" applyFont="1" applyFill="1" applyProtection="1">
      <protection locked="0"/>
    </xf>
    <xf numFmtId="4" fontId="286" fillId="0" borderId="0" xfId="1" applyNumberFormat="1" applyFont="1" applyFill="1"/>
    <xf numFmtId="4" fontId="220" fillId="0" borderId="554" xfId="2" applyNumberFormat="1" applyFont="1" applyFill="1" applyBorder="1" applyAlignment="1">
      <alignment horizontal="center" vertical="center"/>
    </xf>
    <xf numFmtId="4" fontId="221" fillId="0" borderId="0" xfId="46" applyNumberFormat="1" applyFont="1" applyFill="1" applyAlignment="1" applyProtection="1">
      <alignment vertical="center"/>
      <protection locked="0"/>
    </xf>
    <xf numFmtId="4" fontId="220" fillId="0" borderId="0" xfId="46" applyNumberFormat="1" applyFont="1" applyFill="1" applyAlignment="1" applyProtection="1">
      <protection locked="0"/>
    </xf>
    <xf numFmtId="4" fontId="220" fillId="0" borderId="557" xfId="1" applyNumberFormat="1" applyFont="1" applyFill="1" applyBorder="1" applyAlignment="1" applyProtection="1">
      <alignment vertical="center"/>
      <protection locked="0"/>
    </xf>
    <xf numFmtId="4" fontId="220" fillId="0" borderId="510" xfId="1" applyNumberFormat="1" applyFont="1" applyFill="1" applyBorder="1" applyAlignment="1" applyProtection="1">
      <alignment vertical="center"/>
      <protection locked="0"/>
    </xf>
    <xf numFmtId="4" fontId="221" fillId="0" borderId="0" xfId="58" applyNumberFormat="1" applyFont="1" applyFill="1" applyAlignment="1">
      <alignment vertical="center"/>
    </xf>
    <xf numFmtId="4" fontId="220" fillId="0" borderId="0" xfId="58" applyNumberFormat="1" applyFont="1" applyFill="1" applyAlignment="1">
      <alignment vertical="center"/>
    </xf>
    <xf numFmtId="0" fontId="221" fillId="0" borderId="295" xfId="58" applyFont="1" applyFill="1" applyBorder="1" applyAlignment="1" applyProtection="1">
      <alignment horizontal="center"/>
      <protection locked="0"/>
    </xf>
    <xf numFmtId="0" fontId="221" fillId="0" borderId="0" xfId="46" applyFont="1" applyFill="1" applyAlignment="1" applyProtection="1">
      <alignment horizontal="center" vertical="center"/>
      <protection locked="0"/>
    </xf>
    <xf numFmtId="0" fontId="220" fillId="0" borderId="0" xfId="46" applyFont="1" applyFill="1" applyAlignment="1" applyProtection="1">
      <alignment horizontal="center"/>
      <protection locked="0"/>
    </xf>
    <xf numFmtId="4" fontId="221" fillId="0" borderId="0" xfId="1" applyNumberFormat="1" applyFont="1" applyFill="1" applyAlignment="1" applyProtection="1">
      <alignment horizontal="centerContinuous"/>
      <protection locked="0"/>
    </xf>
    <xf numFmtId="4" fontId="221" fillId="0" borderId="0" xfId="1" applyNumberFormat="1" applyFont="1" applyFill="1" applyProtection="1">
      <protection locked="0"/>
    </xf>
    <xf numFmtId="4" fontId="220" fillId="0" borderId="0" xfId="1" applyNumberFormat="1" applyFont="1" applyFill="1" applyProtection="1">
      <protection locked="0"/>
    </xf>
    <xf numFmtId="4" fontId="221" fillId="0" borderId="1" xfId="1" applyNumberFormat="1" applyFont="1" applyFill="1" applyBorder="1" applyProtection="1">
      <protection locked="0"/>
    </xf>
    <xf numFmtId="4" fontId="221" fillId="0" borderId="433" xfId="1" applyNumberFormat="1" applyFont="1" applyFill="1" applyBorder="1" applyProtection="1">
      <protection locked="0"/>
    </xf>
    <xf numFmtId="4" fontId="221" fillId="0" borderId="0" xfId="1" applyNumberFormat="1" applyFont="1" applyFill="1" applyBorder="1" applyProtection="1">
      <protection locked="0"/>
    </xf>
    <xf numFmtId="4" fontId="221" fillId="0" borderId="3" xfId="1" applyNumberFormat="1" applyFont="1" applyFill="1" applyBorder="1" applyProtection="1">
      <protection locked="0"/>
    </xf>
    <xf numFmtId="4" fontId="221" fillId="0" borderId="478" xfId="1" applyNumberFormat="1" applyFont="1" applyFill="1" applyBorder="1" applyProtection="1">
      <protection locked="0"/>
    </xf>
    <xf numFmtId="4" fontId="220" fillId="0" borderId="4" xfId="1" applyNumberFormat="1" applyFont="1" applyFill="1" applyBorder="1" applyAlignment="1" applyProtection="1">
      <alignment horizontal="center"/>
      <protection locked="0"/>
    </xf>
    <xf numFmtId="4" fontId="221" fillId="0" borderId="4" xfId="1" applyNumberFormat="1" applyFont="1" applyFill="1" applyBorder="1" applyProtection="1">
      <protection locked="0"/>
    </xf>
    <xf numFmtId="4" fontId="221" fillId="0" borderId="560" xfId="1" applyNumberFormat="1" applyFont="1" applyFill="1" applyBorder="1" applyProtection="1">
      <protection locked="0"/>
    </xf>
    <xf numFmtId="4" fontId="221" fillId="0" borderId="4" xfId="1" applyNumberFormat="1" applyFont="1" applyFill="1" applyBorder="1" applyProtection="1">
      <protection hidden="1"/>
    </xf>
    <xf numFmtId="4" fontId="221" fillId="0" borderId="560" xfId="1" applyNumberFormat="1" applyFont="1" applyFill="1" applyBorder="1" applyProtection="1">
      <protection hidden="1"/>
    </xf>
    <xf numFmtId="4" fontId="221" fillId="0" borderId="199" xfId="1" applyNumberFormat="1" applyFont="1" applyFill="1" applyBorder="1" applyProtection="1">
      <protection locked="0"/>
    </xf>
    <xf numFmtId="4" fontId="221" fillId="0" borderId="577" xfId="1" applyNumberFormat="1" applyFont="1" applyFill="1" applyBorder="1" applyProtection="1">
      <protection locked="0"/>
    </xf>
    <xf numFmtId="4" fontId="221" fillId="0" borderId="4" xfId="1" applyNumberFormat="1" applyFont="1" applyFill="1" applyBorder="1" applyProtection="1"/>
    <xf numFmtId="4" fontId="221" fillId="0" borderId="560" xfId="1" applyNumberFormat="1" applyFont="1" applyFill="1" applyBorder="1" applyProtection="1"/>
    <xf numFmtId="4" fontId="221" fillId="0" borderId="9" xfId="1" applyNumberFormat="1" applyFont="1" applyFill="1" applyBorder="1" applyProtection="1">
      <protection locked="0"/>
    </xf>
    <xf numFmtId="4" fontId="221" fillId="0" borderId="452" xfId="1" applyNumberFormat="1" applyFont="1" applyFill="1" applyBorder="1" applyProtection="1">
      <protection locked="0"/>
    </xf>
    <xf numFmtId="4" fontId="220" fillId="3" borderId="4" xfId="1" applyNumberFormat="1" applyFont="1" applyFill="1" applyBorder="1" applyProtection="1">
      <protection locked="0"/>
    </xf>
    <xf numFmtId="4" fontId="220" fillId="0" borderId="4" xfId="1" applyNumberFormat="1" applyFont="1" applyFill="1" applyBorder="1" applyProtection="1">
      <protection locked="0"/>
    </xf>
    <xf numFmtId="4" fontId="220" fillId="0" borderId="560" xfId="1" applyNumberFormat="1" applyFont="1" applyFill="1" applyBorder="1" applyProtection="1">
      <protection locked="0"/>
    </xf>
    <xf numFmtId="4" fontId="220" fillId="0" borderId="9" xfId="1" applyNumberFormat="1" applyFont="1" applyFill="1" applyBorder="1" applyProtection="1">
      <protection locked="0"/>
    </xf>
    <xf numFmtId="4" fontId="220" fillId="0" borderId="452" xfId="1" applyNumberFormat="1" applyFont="1" applyFill="1" applyBorder="1" applyProtection="1">
      <protection locked="0"/>
    </xf>
    <xf numFmtId="4" fontId="221" fillId="0" borderId="560" xfId="88" applyNumberFormat="1" applyFont="1" applyFill="1" applyBorder="1" applyProtection="1">
      <protection locked="0"/>
    </xf>
    <xf numFmtId="4" fontId="220" fillId="3" borderId="213" xfId="1" applyNumberFormat="1" applyFont="1" applyFill="1" applyBorder="1" applyAlignment="1" applyProtection="1">
      <alignment vertical="center"/>
      <protection locked="0"/>
    </xf>
    <xf numFmtId="4" fontId="220" fillId="0" borderId="220" xfId="1" applyNumberFormat="1" applyFont="1" applyFill="1" applyBorder="1" applyAlignment="1" applyProtection="1">
      <alignment vertical="center"/>
      <protection locked="0"/>
    </xf>
    <xf numFmtId="4" fontId="220" fillId="0" borderId="402" xfId="1" applyNumberFormat="1" applyFont="1" applyFill="1" applyBorder="1" applyProtection="1">
      <protection locked="0"/>
    </xf>
    <xf numFmtId="4" fontId="220" fillId="0" borderId="405" xfId="1" applyNumberFormat="1" applyFont="1" applyFill="1" applyBorder="1" applyProtection="1">
      <protection locked="0"/>
    </xf>
    <xf numFmtId="4" fontId="220" fillId="0" borderId="555" xfId="1" applyNumberFormat="1" applyFont="1" applyFill="1" applyBorder="1" applyProtection="1">
      <protection locked="0"/>
    </xf>
    <xf numFmtId="4" fontId="220" fillId="0" borderId="0" xfId="1" applyNumberFormat="1" applyFont="1" applyFill="1" applyBorder="1" applyProtection="1">
      <protection locked="0"/>
    </xf>
    <xf numFmtId="4" fontId="220" fillId="0" borderId="410" xfId="1" applyNumberFormat="1" applyFont="1" applyFill="1" applyBorder="1" applyProtection="1">
      <protection locked="0"/>
    </xf>
    <xf numFmtId="4" fontId="220" fillId="0" borderId="449" xfId="1" applyNumberFormat="1" applyFont="1" applyFill="1" applyBorder="1" applyProtection="1">
      <protection locked="0"/>
    </xf>
    <xf numFmtId="4" fontId="220" fillId="0" borderId="560" xfId="1" applyNumberFormat="1" applyFont="1" applyFill="1" applyBorder="1" applyAlignment="1" applyProtection="1">
      <alignment horizontal="center"/>
      <protection locked="0"/>
    </xf>
    <xf numFmtId="4" fontId="220" fillId="0" borderId="493" xfId="1" applyNumberFormat="1" applyFont="1" applyFill="1" applyBorder="1" applyAlignment="1" applyProtection="1">
      <alignment horizontal="center"/>
      <protection locked="0"/>
    </xf>
    <xf numFmtId="4" fontId="221" fillId="0" borderId="4" xfId="1" applyNumberFormat="1" applyFont="1" applyFill="1" applyBorder="1" applyAlignment="1" applyProtection="1">
      <alignment horizontal="right"/>
      <protection locked="0"/>
    </xf>
    <xf numFmtId="4" fontId="221" fillId="0" borderId="199" xfId="1" applyNumberFormat="1" applyFont="1" applyFill="1" applyBorder="1" applyAlignment="1" applyProtection="1">
      <alignment horizontal="right"/>
      <protection locked="0"/>
    </xf>
    <xf numFmtId="4" fontId="221" fillId="0" borderId="550" xfId="1" applyNumberFormat="1" applyFont="1" applyFill="1" applyBorder="1" applyAlignment="1" applyProtection="1">
      <alignment horizontal="right"/>
      <protection locked="0"/>
    </xf>
    <xf numFmtId="4" fontId="221" fillId="0" borderId="550" xfId="1" applyNumberFormat="1" applyFont="1" applyFill="1" applyBorder="1" applyProtection="1">
      <protection locked="0"/>
    </xf>
    <xf numFmtId="4" fontId="221" fillId="0" borderId="326" xfId="1" applyNumberFormat="1" applyFont="1" applyFill="1" applyBorder="1" applyAlignment="1" applyProtection="1">
      <alignment horizontal="right" vertical="top"/>
      <protection locked="0"/>
    </xf>
    <xf numFmtId="4" fontId="221" fillId="0" borderId="326" xfId="1" applyNumberFormat="1" applyFont="1" applyFill="1" applyBorder="1" applyAlignment="1" applyProtection="1">
      <alignment vertical="top"/>
      <protection locked="0"/>
    </xf>
    <xf numFmtId="4" fontId="221" fillId="0" borderId="560" xfId="88" applyNumberFormat="1" applyFont="1" applyFill="1" applyBorder="1" applyAlignment="1" applyProtection="1">
      <alignment vertical="top"/>
      <protection locked="0"/>
    </xf>
    <xf numFmtId="4" fontId="221" fillId="0" borderId="326" xfId="1" applyNumberFormat="1" applyFont="1" applyFill="1" applyBorder="1" applyAlignment="1" applyProtection="1">
      <alignment horizontal="right"/>
      <protection locked="0"/>
    </xf>
    <xf numFmtId="4" fontId="221" fillId="0" borderId="326" xfId="1" applyNumberFormat="1" applyFont="1" applyFill="1" applyBorder="1" applyProtection="1">
      <protection locked="0"/>
    </xf>
    <xf numFmtId="4" fontId="221" fillId="0" borderId="493" xfId="1" applyNumberFormat="1" applyFont="1" applyFill="1" applyBorder="1" applyAlignment="1" applyProtection="1">
      <alignment horizontal="right"/>
      <protection locked="0"/>
    </xf>
    <xf numFmtId="4" fontId="221" fillId="0" borderId="493" xfId="1" applyNumberFormat="1" applyFont="1" applyFill="1" applyBorder="1" applyProtection="1">
      <protection locked="0"/>
    </xf>
    <xf numFmtId="4" fontId="220" fillId="3" borderId="213" xfId="1" applyNumberFormat="1" applyFont="1" applyFill="1" applyBorder="1" applyAlignment="1" applyProtection="1">
      <alignment horizontal="right" vertical="center"/>
      <protection locked="0"/>
    </xf>
    <xf numFmtId="4" fontId="221" fillId="0" borderId="419" xfId="1" applyNumberFormat="1" applyFont="1" applyFill="1" applyBorder="1" applyAlignment="1" applyProtection="1">
      <alignment horizontal="right"/>
      <protection locked="0"/>
    </xf>
    <xf numFmtId="4" fontId="220" fillId="0" borderId="419" xfId="1" applyNumberFormat="1" applyFont="1" applyFill="1" applyBorder="1" applyProtection="1">
      <protection locked="0"/>
    </xf>
    <xf numFmtId="4" fontId="221" fillId="0" borderId="419" xfId="1" applyNumberFormat="1" applyFont="1" applyFill="1" applyBorder="1" applyProtection="1">
      <protection locked="0"/>
    </xf>
    <xf numFmtId="4" fontId="221" fillId="0" borderId="213" xfId="1" applyNumberFormat="1" applyFont="1" applyFill="1" applyBorder="1" applyAlignment="1" applyProtection="1">
      <alignment horizontal="right"/>
      <protection locked="0"/>
    </xf>
    <xf numFmtId="4" fontId="221" fillId="0" borderId="220" xfId="1" applyNumberFormat="1" applyFont="1" applyFill="1" applyBorder="1" applyProtection="1">
      <protection locked="0"/>
    </xf>
    <xf numFmtId="4" fontId="221" fillId="0" borderId="510" xfId="1" applyNumberFormat="1" applyFont="1" applyFill="1" applyBorder="1" applyProtection="1">
      <protection locked="0"/>
    </xf>
    <xf numFmtId="4" fontId="221" fillId="0" borderId="305" xfId="1" applyNumberFormat="1" applyFont="1" applyFill="1" applyBorder="1" applyAlignment="1" applyProtection="1">
      <alignment horizontal="right"/>
      <protection locked="0"/>
    </xf>
    <xf numFmtId="4" fontId="221" fillId="0" borderId="305" xfId="1" applyNumberFormat="1" applyFont="1" applyFill="1" applyBorder="1" applyProtection="1">
      <protection locked="0"/>
    </xf>
    <xf numFmtId="4" fontId="221" fillId="0" borderId="557" xfId="1" applyNumberFormat="1" applyFont="1" applyFill="1" applyBorder="1" applyProtection="1">
      <protection locked="0"/>
    </xf>
    <xf numFmtId="4" fontId="220" fillId="0" borderId="127" xfId="1" applyNumberFormat="1" applyFont="1" applyFill="1" applyBorder="1" applyAlignment="1" applyProtection="1">
      <alignment vertical="center"/>
      <protection locked="0"/>
    </xf>
    <xf numFmtId="4" fontId="221" fillId="0" borderId="17" xfId="1" applyNumberFormat="1" applyFont="1" applyFill="1" applyBorder="1" applyAlignment="1" applyProtection="1">
      <alignment horizontal="right"/>
      <protection locked="0"/>
    </xf>
    <xf numFmtId="4" fontId="221" fillId="0" borderId="17" xfId="1" applyNumberFormat="1" applyFont="1" applyFill="1" applyBorder="1" applyProtection="1">
      <protection locked="0"/>
    </xf>
    <xf numFmtId="4" fontId="221" fillId="0" borderId="0" xfId="1" applyNumberFormat="1" applyFont="1" applyFill="1"/>
    <xf numFmtId="4" fontId="221" fillId="0" borderId="0" xfId="88" applyNumberFormat="1" applyFont="1" applyFill="1" applyProtection="1">
      <protection locked="0"/>
    </xf>
    <xf numFmtId="0" fontId="221" fillId="0" borderId="0" xfId="2" applyFont="1" applyFill="1" applyAlignment="1" applyProtection="1">
      <alignment horizontal="center"/>
      <protection locked="0"/>
    </xf>
    <xf numFmtId="0" fontId="220" fillId="0" borderId="0" xfId="2" applyFont="1" applyFill="1" applyAlignment="1" applyProtection="1">
      <alignment horizontal="center"/>
      <protection locked="0"/>
    </xf>
    <xf numFmtId="0" fontId="221" fillId="0" borderId="1" xfId="2" applyFont="1" applyFill="1" applyBorder="1" applyAlignment="1" applyProtection="1">
      <alignment horizontal="center"/>
      <protection locked="0"/>
    </xf>
    <xf numFmtId="0" fontId="221" fillId="0" borderId="3" xfId="2" applyFont="1" applyFill="1" applyBorder="1" applyAlignment="1" applyProtection="1">
      <alignment horizontal="center"/>
      <protection locked="0"/>
    </xf>
    <xf numFmtId="0" fontId="221" fillId="0" borderId="5" xfId="2" applyFont="1" applyFill="1" applyBorder="1" applyAlignment="1" applyProtection="1">
      <alignment horizontal="center"/>
      <protection locked="0"/>
    </xf>
    <xf numFmtId="0" fontId="221" fillId="0" borderId="5" xfId="58" applyFont="1" applyFill="1" applyBorder="1" applyAlignment="1" applyProtection="1">
      <alignment horizontal="center"/>
      <protection locked="0"/>
    </xf>
    <xf numFmtId="0" fontId="221" fillId="0" borderId="295" xfId="2" applyFont="1" applyFill="1" applyBorder="1" applyAlignment="1" applyProtection="1">
      <alignment horizontal="center"/>
      <protection locked="0"/>
    </xf>
    <xf numFmtId="0" fontId="221" fillId="0" borderId="405" xfId="2" applyFont="1" applyFill="1" applyBorder="1" applyAlignment="1" applyProtection="1">
      <alignment horizontal="center"/>
      <protection locked="0"/>
    </xf>
    <xf numFmtId="0" fontId="221" fillId="0" borderId="0" xfId="2" applyFont="1" applyFill="1" applyBorder="1" applyAlignment="1" applyProtection="1">
      <alignment horizontal="center"/>
      <protection locked="0"/>
    </xf>
    <xf numFmtId="0" fontId="221" fillId="0" borderId="410" xfId="2" applyFont="1" applyFill="1" applyBorder="1" applyAlignment="1" applyProtection="1">
      <alignment horizontal="center"/>
      <protection locked="0"/>
    </xf>
    <xf numFmtId="0" fontId="221" fillId="0" borderId="212" xfId="2" applyFont="1" applyFill="1" applyBorder="1" applyAlignment="1" applyProtection="1">
      <alignment horizontal="center"/>
      <protection locked="0"/>
    </xf>
    <xf numFmtId="0" fontId="221" fillId="0" borderId="120" xfId="2" applyFont="1" applyFill="1" applyBorder="1" applyAlignment="1" applyProtection="1">
      <alignment horizontal="center" vertical="center"/>
      <protection locked="0"/>
    </xf>
    <xf numFmtId="0" fontId="221" fillId="0" borderId="16" xfId="2" applyFont="1" applyFill="1" applyBorder="1" applyAlignment="1" applyProtection="1">
      <alignment horizontal="center"/>
      <protection locked="0"/>
    </xf>
    <xf numFmtId="0" fontId="221" fillId="0" borderId="0" xfId="2" applyFont="1" applyFill="1" applyAlignment="1">
      <alignment horizontal="center"/>
    </xf>
    <xf numFmtId="3" fontId="304" fillId="0" borderId="0" xfId="23" applyFont="1" applyAlignment="1" applyProtection="1">
      <alignment vertical="center"/>
      <protection locked="0"/>
    </xf>
    <xf numFmtId="3" fontId="282" fillId="0" borderId="0" xfId="23" applyFont="1" applyAlignment="1" applyProtection="1">
      <alignment vertical="center"/>
      <protection locked="0"/>
    </xf>
    <xf numFmtId="39" fontId="304" fillId="0" borderId="0" xfId="23" applyNumberFormat="1" applyFont="1" applyAlignment="1" applyProtection="1">
      <alignment vertical="center"/>
      <protection locked="0"/>
    </xf>
    <xf numFmtId="3" fontId="282" fillId="0" borderId="0" xfId="32" applyFont="1" applyAlignment="1">
      <alignment vertical="center"/>
    </xf>
    <xf numFmtId="39" fontId="282" fillId="0" borderId="0" xfId="23" applyNumberFormat="1" applyFont="1" applyAlignment="1" applyProtection="1">
      <alignment vertical="center"/>
      <protection locked="0"/>
    </xf>
    <xf numFmtId="3" fontId="304" fillId="0" borderId="0" xfId="23" applyFont="1" applyAlignment="1"/>
    <xf numFmtId="3" fontId="282" fillId="0" borderId="0" xfId="23" applyFont="1" applyAlignment="1"/>
    <xf numFmtId="3" fontId="282" fillId="0" borderId="0" xfId="23" applyFont="1" applyAlignment="1">
      <alignment vertical="center"/>
    </xf>
    <xf numFmtId="3" fontId="223" fillId="0" borderId="603" xfId="23" applyFont="1" applyFill="1" applyBorder="1" applyAlignment="1">
      <alignment vertical="center"/>
    </xf>
    <xf numFmtId="43" fontId="223" fillId="0" borderId="0" xfId="61" applyFont="1" applyFill="1" applyBorder="1" applyAlignment="1">
      <alignment vertical="center"/>
    </xf>
    <xf numFmtId="3" fontId="282" fillId="0" borderId="0" xfId="66" applyFont="1" applyAlignment="1">
      <alignment horizontal="center" vertical="center"/>
    </xf>
    <xf numFmtId="3" fontId="304" fillId="6" borderId="49" xfId="66" applyFont="1" applyFill="1" applyBorder="1" applyAlignment="1">
      <alignment horizontal="center" vertical="center"/>
    </xf>
    <xf numFmtId="3" fontId="304" fillId="6" borderId="0" xfId="66" applyFont="1" applyFill="1" applyBorder="1" applyAlignment="1">
      <alignment horizontal="center" vertical="center"/>
    </xf>
    <xf numFmtId="49" fontId="304" fillId="6" borderId="0" xfId="66" applyNumberFormat="1" applyFont="1" applyFill="1" applyBorder="1" applyAlignment="1">
      <alignment horizontal="center" vertical="center"/>
    </xf>
    <xf numFmtId="3" fontId="304" fillId="6" borderId="13" xfId="66" applyFont="1" applyFill="1" applyBorder="1" applyAlignment="1">
      <alignment horizontal="center" vertical="center"/>
    </xf>
    <xf numFmtId="3" fontId="282" fillId="0" borderId="0" xfId="66" applyFont="1" applyBorder="1" applyAlignment="1">
      <alignment vertical="center"/>
    </xf>
    <xf numFmtId="3" fontId="306" fillId="0" borderId="0" xfId="66" applyFont="1" applyBorder="1" applyAlignment="1">
      <alignment vertical="center"/>
    </xf>
    <xf numFmtId="4" fontId="282" fillId="0" borderId="4" xfId="67" applyFont="1" applyBorder="1" applyAlignment="1">
      <alignment vertical="center"/>
    </xf>
    <xf numFmtId="4" fontId="282" fillId="0" borderId="0" xfId="67" applyFont="1" applyBorder="1" applyAlignment="1">
      <alignment vertical="center"/>
    </xf>
    <xf numFmtId="3" fontId="307" fillId="0" borderId="0" xfId="66" applyFont="1" applyBorder="1" applyAlignment="1">
      <alignment vertical="center"/>
    </xf>
    <xf numFmtId="4" fontId="307" fillId="0" borderId="0" xfId="67" applyFont="1" applyBorder="1" applyAlignment="1">
      <alignment vertical="center"/>
    </xf>
    <xf numFmtId="3" fontId="282" fillId="0" borderId="300" xfId="66" applyFont="1" applyBorder="1" applyAlignment="1">
      <alignment vertical="center"/>
    </xf>
    <xf numFmtId="3" fontId="282" fillId="0" borderId="344" xfId="66" applyFont="1" applyBorder="1" applyAlignment="1">
      <alignment vertical="center"/>
    </xf>
    <xf numFmtId="4" fontId="282" fillId="0" borderId="517" xfId="67" applyFont="1" applyBorder="1" applyAlignment="1">
      <alignment vertical="center"/>
    </xf>
    <xf numFmtId="3" fontId="306" fillId="0" borderId="527" xfId="66" applyFont="1" applyBorder="1" applyAlignment="1">
      <alignment vertical="center"/>
    </xf>
    <xf numFmtId="4" fontId="282" fillId="0" borderId="528" xfId="67" applyFont="1" applyBorder="1" applyAlignment="1">
      <alignment vertical="center"/>
    </xf>
    <xf numFmtId="3" fontId="282" fillId="0" borderId="511" xfId="66" applyFont="1" applyBorder="1" applyAlignment="1">
      <alignment vertical="center"/>
    </xf>
    <xf numFmtId="4" fontId="282" fillId="0" borderId="513" xfId="67" applyFont="1" applyBorder="1" applyAlignment="1">
      <alignment vertical="center"/>
    </xf>
    <xf numFmtId="3" fontId="282" fillId="0" borderId="12" xfId="66" applyFont="1" applyBorder="1" applyAlignment="1">
      <alignment vertical="center"/>
    </xf>
    <xf numFmtId="4" fontId="282" fillId="0" borderId="58" xfId="67" applyFont="1" applyBorder="1" applyAlignment="1">
      <alignment vertical="center"/>
    </xf>
    <xf numFmtId="4" fontId="304" fillId="0" borderId="0" xfId="67" applyFont="1" applyBorder="1" applyAlignment="1">
      <alignment vertical="center"/>
    </xf>
    <xf numFmtId="3" fontId="282" fillId="0" borderId="6" xfId="66" applyFont="1" applyBorder="1" applyAlignment="1">
      <alignment vertical="center"/>
    </xf>
    <xf numFmtId="4" fontId="282" fillId="0" borderId="1" xfId="67" applyFont="1" applyBorder="1" applyAlignment="1">
      <alignment vertical="center"/>
    </xf>
    <xf numFmtId="3" fontId="282" fillId="0" borderId="2" xfId="66" applyFont="1" applyBorder="1" applyAlignment="1">
      <alignment vertical="center"/>
    </xf>
    <xf numFmtId="3" fontId="308" fillId="0" borderId="527" xfId="66" applyFont="1" applyBorder="1" applyAlignment="1">
      <alignment horizontal="right" vertical="center"/>
    </xf>
    <xf numFmtId="4" fontId="282" fillId="0" borderId="529" xfId="67" applyFont="1" applyBorder="1" applyAlignment="1">
      <alignment horizontal="right" vertical="center"/>
    </xf>
    <xf numFmtId="3" fontId="308" fillId="0" borderId="527" xfId="66" applyFont="1" applyBorder="1" applyAlignment="1">
      <alignment vertical="center"/>
    </xf>
    <xf numFmtId="39" fontId="282" fillId="0" borderId="528" xfId="9" applyNumberFormat="1" applyFont="1" applyBorder="1" applyAlignment="1">
      <alignment vertical="center"/>
    </xf>
    <xf numFmtId="3" fontId="308" fillId="0" borderId="530" xfId="66" applyFont="1" applyBorder="1" applyAlignment="1">
      <alignment horizontal="right" vertical="center"/>
    </xf>
    <xf numFmtId="4" fontId="282" fillId="0" borderId="531" xfId="67" applyFont="1" applyBorder="1" applyAlignment="1">
      <alignment horizontal="right" vertical="center"/>
    </xf>
    <xf numFmtId="4" fontId="304" fillId="0" borderId="53" xfId="67" applyFont="1" applyBorder="1" applyAlignment="1">
      <alignment vertical="center"/>
    </xf>
    <xf numFmtId="3" fontId="305" fillId="0" borderId="50" xfId="66" applyFont="1" applyBorder="1" applyAlignment="1">
      <alignment vertical="center"/>
    </xf>
    <xf numFmtId="4" fontId="305" fillId="0" borderId="49" xfId="67" applyFont="1" applyBorder="1" applyAlignment="1">
      <alignment vertical="center"/>
    </xf>
    <xf numFmtId="3" fontId="304" fillId="0" borderId="300" xfId="66" applyFont="1" applyBorder="1" applyAlignment="1">
      <alignment vertical="center"/>
    </xf>
    <xf numFmtId="43" fontId="282" fillId="0" borderId="528" xfId="9" applyFont="1" applyBorder="1" applyAlignment="1">
      <alignment vertical="center"/>
    </xf>
    <xf numFmtId="3" fontId="306" fillId="0" borderId="300" xfId="66" applyFont="1" applyBorder="1" applyAlignment="1">
      <alignment vertical="center"/>
    </xf>
    <xf numFmtId="3" fontId="282" fillId="0" borderId="533" xfId="66" applyFont="1" applyBorder="1" applyAlignment="1">
      <alignment vertical="center"/>
    </xf>
    <xf numFmtId="4" fontId="282" fillId="0" borderId="534" xfId="67" applyFont="1" applyBorder="1" applyAlignment="1">
      <alignment vertical="center"/>
    </xf>
    <xf numFmtId="3" fontId="306" fillId="0" borderId="47" xfId="66" applyFont="1" applyBorder="1" applyAlignment="1">
      <alignment vertical="center"/>
    </xf>
    <xf numFmtId="4" fontId="304" fillId="0" borderId="40" xfId="67" applyFont="1" applyBorder="1" applyAlignment="1">
      <alignment vertical="center"/>
    </xf>
    <xf numFmtId="3" fontId="306" fillId="0" borderId="453" xfId="66" applyFont="1" applyBorder="1" applyAlignment="1">
      <alignment vertical="center"/>
    </xf>
    <xf numFmtId="4" fontId="304" fillId="0" borderId="475" xfId="67" applyFont="1" applyBorder="1" applyAlignment="1">
      <alignment vertical="center"/>
    </xf>
    <xf numFmtId="4" fontId="282" fillId="0" borderId="402" xfId="67" applyFont="1" applyBorder="1" applyAlignment="1">
      <alignment vertical="center"/>
    </xf>
    <xf numFmtId="3" fontId="282" fillId="0" borderId="0" xfId="66" applyFont="1" applyFill="1" applyBorder="1" applyAlignment="1">
      <alignment vertical="center"/>
    </xf>
    <xf numFmtId="4" fontId="282" fillId="0" borderId="0" xfId="67" applyFont="1" applyFill="1" applyBorder="1" applyAlignment="1">
      <alignment vertical="center"/>
    </xf>
    <xf numFmtId="3" fontId="308" fillId="0" borderId="2" xfId="66" applyFont="1" applyBorder="1" applyAlignment="1">
      <alignment vertical="center"/>
    </xf>
    <xf numFmtId="4" fontId="282" fillId="0" borderId="493" xfId="67" applyFont="1" applyBorder="1" applyAlignment="1">
      <alignment vertical="center"/>
    </xf>
    <xf numFmtId="3" fontId="282" fillId="0" borderId="412" xfId="66" applyFont="1" applyBorder="1" applyAlignment="1">
      <alignment vertical="center"/>
    </xf>
    <xf numFmtId="4" fontId="282" fillId="0" borderId="434" xfId="67" applyFont="1" applyBorder="1" applyAlignment="1">
      <alignment vertical="center"/>
    </xf>
    <xf numFmtId="3" fontId="306" fillId="0" borderId="2" xfId="66" applyFont="1" applyBorder="1" applyAlignment="1">
      <alignment vertical="center"/>
    </xf>
    <xf numFmtId="4" fontId="304" fillId="0" borderId="4" xfId="67" applyFont="1" applyBorder="1" applyAlignment="1">
      <alignment vertical="center"/>
    </xf>
    <xf numFmtId="3" fontId="306" fillId="0" borderId="6" xfId="66" applyFont="1" applyBorder="1" applyAlignment="1">
      <alignment vertical="center"/>
    </xf>
    <xf numFmtId="4" fontId="282" fillId="0" borderId="8" xfId="67" applyFont="1" applyBorder="1" applyAlignment="1">
      <alignment vertical="center"/>
    </xf>
    <xf numFmtId="3" fontId="306" fillId="0" borderId="202" xfId="66" applyFont="1" applyBorder="1" applyAlignment="1">
      <alignment vertical="center"/>
    </xf>
    <xf numFmtId="4" fontId="282" fillId="0" borderId="419" xfId="67" applyFont="1" applyBorder="1" applyAlignment="1">
      <alignment vertical="center"/>
    </xf>
    <xf numFmtId="4" fontId="304" fillId="0" borderId="529" xfId="67" applyFont="1" applyBorder="1" applyAlignment="1">
      <alignment vertical="center"/>
    </xf>
    <xf numFmtId="3" fontId="306" fillId="0" borderId="37" xfId="66" applyFont="1" applyBorder="1" applyAlignment="1">
      <alignment vertical="center"/>
    </xf>
    <xf numFmtId="4" fontId="282" fillId="0" borderId="21" xfId="67" applyFont="1" applyBorder="1" applyAlignment="1">
      <alignment vertical="center"/>
    </xf>
    <xf numFmtId="3" fontId="282" fillId="0" borderId="14" xfId="66" applyFont="1" applyBorder="1" applyAlignment="1">
      <alignment vertical="center"/>
    </xf>
    <xf numFmtId="4" fontId="282" fillId="0" borderId="17" xfId="67" applyFont="1" applyBorder="1" applyAlignment="1">
      <alignment vertical="center"/>
    </xf>
    <xf numFmtId="3" fontId="282" fillId="0" borderId="0" xfId="66" applyFont="1" applyAlignment="1">
      <alignment vertical="center"/>
    </xf>
    <xf numFmtId="3" fontId="304" fillId="0" borderId="0" xfId="32" applyFont="1" applyAlignment="1">
      <alignment vertical="center"/>
    </xf>
    <xf numFmtId="3" fontId="304" fillId="0" borderId="0" xfId="23" applyFont="1" applyAlignment="1">
      <alignment vertical="center"/>
    </xf>
    <xf numFmtId="0" fontId="34" fillId="0" borderId="570" xfId="74" applyFont="1" applyFill="1" applyBorder="1" applyAlignment="1">
      <alignment horizontal="center"/>
    </xf>
    <xf numFmtId="0" fontId="34" fillId="0" borderId="254" xfId="74" applyFont="1" applyFill="1" applyBorder="1" applyAlignment="1">
      <alignment horizontal="center" vertical="top" wrapText="1"/>
    </xf>
    <xf numFmtId="43" fontId="19" fillId="0" borderId="254" xfId="5" applyNumberFormat="1" applyFont="1" applyFill="1" applyBorder="1" applyProtection="1"/>
    <xf numFmtId="0" fontId="19" fillId="0" borderId="254" xfId="74" applyFont="1" applyFill="1" applyBorder="1"/>
    <xf numFmtId="39" fontId="21" fillId="0" borderId="254" xfId="74" applyNumberFormat="1" applyFont="1" applyFill="1" applyBorder="1" applyProtection="1"/>
    <xf numFmtId="43" fontId="19" fillId="0" borderId="254" xfId="5" applyFont="1" applyFill="1" applyBorder="1" applyAlignment="1">
      <alignment horizontal="center"/>
    </xf>
    <xf numFmtId="43" fontId="19" fillId="0" borderId="254" xfId="5" applyFont="1" applyFill="1" applyBorder="1" applyProtection="1"/>
    <xf numFmtId="43" fontId="19" fillId="0" borderId="254" xfId="5" applyFont="1" applyFill="1" applyBorder="1"/>
    <xf numFmtId="0" fontId="221" fillId="0" borderId="0" xfId="74" applyFont="1" applyFill="1"/>
    <xf numFmtId="0" fontId="222" fillId="0" borderId="416" xfId="74" applyFont="1" applyFill="1" applyBorder="1" applyAlignment="1">
      <alignment horizontal="center" vertical="top" wrapText="1"/>
    </xf>
    <xf numFmtId="0" fontId="220" fillId="0" borderId="397" xfId="74" applyFont="1" applyFill="1" applyBorder="1"/>
    <xf numFmtId="0" fontId="220" fillId="0" borderId="82" xfId="74" applyFont="1" applyFill="1" applyBorder="1"/>
    <xf numFmtId="39" fontId="220" fillId="0" borderId="46" xfId="74" applyNumberFormat="1" applyFont="1" applyFill="1" applyBorder="1" applyProtection="1"/>
    <xf numFmtId="39" fontId="220" fillId="0" borderId="45" xfId="74" applyNumberFormat="1" applyFont="1" applyFill="1" applyBorder="1" applyProtection="1"/>
    <xf numFmtId="39" fontId="220" fillId="0" borderId="17" xfId="74" applyNumberFormat="1" applyFont="1" applyFill="1" applyBorder="1" applyProtection="1"/>
    <xf numFmtId="39" fontId="220" fillId="0" borderId="89" xfId="74" applyNumberFormat="1" applyFont="1" applyFill="1" applyBorder="1" applyProtection="1"/>
    <xf numFmtId="39" fontId="221" fillId="0" borderId="0" xfId="74" applyNumberFormat="1" applyFont="1" applyFill="1"/>
    <xf numFmtId="43" fontId="21" fillId="12" borderId="201" xfId="74" applyNumberFormat="1" applyFont="1" applyFill="1" applyBorder="1" applyProtection="1"/>
    <xf numFmtId="43" fontId="21" fillId="3" borderId="201" xfId="74" applyNumberFormat="1" applyFont="1" applyFill="1" applyBorder="1" applyProtection="1"/>
    <xf numFmtId="43" fontId="19" fillId="0" borderId="238" xfId="93" applyNumberFormat="1" applyFont="1" applyFill="1" applyBorder="1" applyAlignment="1">
      <alignment horizontal="center"/>
    </xf>
    <xf numFmtId="0" fontId="17" fillId="0" borderId="303" xfId="94" applyFont="1" applyBorder="1" applyAlignment="1">
      <alignment horizontal="center" vertical="top"/>
    </xf>
    <xf numFmtId="3" fontId="17" fillId="0" borderId="303" xfId="94" applyNumberFormat="1" applyFont="1" applyBorder="1" applyAlignment="1">
      <alignment horizontal="center" vertical="top"/>
    </xf>
    <xf numFmtId="43" fontId="129" fillId="0" borderId="201" xfId="5" applyNumberFormat="1" applyFont="1" applyFill="1" applyBorder="1" applyProtection="1"/>
    <xf numFmtId="43" fontId="129" fillId="0" borderId="201" xfId="74" applyNumberFormat="1" applyFont="1" applyFill="1" applyBorder="1" applyProtection="1"/>
    <xf numFmtId="0" fontId="17" fillId="0" borderId="218" xfId="94" applyFont="1" applyBorder="1" applyAlignment="1">
      <alignment horizontal="center" vertical="top"/>
    </xf>
    <xf numFmtId="0" fontId="17" fillId="0" borderId="610" xfId="94" applyFont="1" applyBorder="1" applyAlignment="1">
      <alignment horizontal="center" vertical="top"/>
    </xf>
    <xf numFmtId="43" fontId="63" fillId="0" borderId="610" xfId="95" applyNumberFormat="1" applyFont="1" applyBorder="1" applyAlignment="1">
      <alignment vertical="top"/>
    </xf>
    <xf numFmtId="43" fontId="62" fillId="0" borderId="610" xfId="94" applyNumberFormat="1" applyFont="1" applyBorder="1" applyAlignment="1">
      <alignment vertical="top"/>
    </xf>
    <xf numFmtId="0" fontId="17" fillId="0" borderId="611" xfId="94" applyFont="1" applyBorder="1" applyAlignment="1">
      <alignment horizontal="center" vertical="top"/>
    </xf>
    <xf numFmtId="43" fontId="63" fillId="0" borderId="611" xfId="95" applyNumberFormat="1" applyFont="1" applyBorder="1" applyAlignment="1">
      <alignment vertical="top"/>
    </xf>
    <xf numFmtId="43" fontId="62" fillId="0" borderId="611" xfId="94" applyNumberFormat="1" applyFont="1" applyBorder="1" applyAlignment="1">
      <alignment vertical="top"/>
    </xf>
    <xf numFmtId="0" fontId="17" fillId="0" borderId="612" xfId="94" applyFont="1" applyBorder="1" applyAlignment="1">
      <alignment horizontal="center" vertical="top"/>
    </xf>
    <xf numFmtId="43" fontId="63" fillId="0" borderId="612" xfId="95" applyNumberFormat="1" applyFont="1" applyBorder="1" applyAlignment="1">
      <alignment vertical="top"/>
    </xf>
    <xf numFmtId="43" fontId="62" fillId="0" borderId="612" xfId="94" applyNumberFormat="1" applyFont="1" applyBorder="1" applyAlignment="1">
      <alignment vertical="top"/>
    </xf>
    <xf numFmtId="0" fontId="17" fillId="0" borderId="613" xfId="94" applyFont="1" applyBorder="1" applyAlignment="1">
      <alignment horizontal="center" vertical="top"/>
    </xf>
    <xf numFmtId="43" fontId="63" fillId="0" borderId="613" xfId="95" applyNumberFormat="1" applyFont="1" applyBorder="1" applyAlignment="1">
      <alignment vertical="top"/>
    </xf>
    <xf numFmtId="43" fontId="17" fillId="0" borderId="613" xfId="94" applyNumberFormat="1" applyFont="1" applyBorder="1" applyAlignment="1">
      <alignment vertical="top"/>
    </xf>
    <xf numFmtId="43" fontId="62" fillId="0" borderId="613" xfId="94" applyNumberFormat="1" applyFont="1" applyBorder="1" applyAlignment="1">
      <alignment vertical="top"/>
    </xf>
    <xf numFmtId="0" fontId="17" fillId="0" borderId="614" xfId="94" applyFont="1" applyBorder="1" applyAlignment="1">
      <alignment horizontal="center" vertical="top"/>
    </xf>
    <xf numFmtId="43" fontId="63" fillId="0" borderId="614" xfId="95" applyNumberFormat="1" applyFont="1" applyBorder="1" applyAlignment="1">
      <alignment vertical="top"/>
    </xf>
    <xf numFmtId="43" fontId="62" fillId="0" borderId="614" xfId="94" applyNumberFormat="1" applyFont="1" applyBorder="1" applyAlignment="1">
      <alignment vertical="top"/>
    </xf>
    <xf numFmtId="0" fontId="17" fillId="0" borderId="615" xfId="94" applyFont="1" applyBorder="1" applyAlignment="1">
      <alignment horizontal="center" vertical="top"/>
    </xf>
    <xf numFmtId="43" fontId="17" fillId="0" borderId="615" xfId="62" applyNumberFormat="1" applyFont="1" applyBorder="1" applyAlignment="1">
      <alignment vertical="top"/>
    </xf>
    <xf numFmtId="43" fontId="17" fillId="0" borderId="615" xfId="94" applyNumberFormat="1" applyFont="1" applyBorder="1" applyAlignment="1">
      <alignment vertical="top"/>
    </xf>
    <xf numFmtId="43" fontId="62" fillId="0" borderId="615" xfId="94" applyNumberFormat="1" applyFont="1" applyBorder="1" applyAlignment="1">
      <alignment vertical="top"/>
    </xf>
    <xf numFmtId="0" fontId="222" fillId="0" borderId="0" xfId="79" applyFont="1" applyAlignment="1">
      <alignment vertical="center"/>
    </xf>
    <xf numFmtId="0" fontId="221" fillId="0" borderId="0" xfId="79" applyFont="1" applyAlignment="1">
      <alignment vertical="center"/>
    </xf>
    <xf numFmtId="0" fontId="221" fillId="0" borderId="0" xfId="79" applyFont="1" applyFill="1" applyAlignment="1">
      <alignment vertical="center"/>
    </xf>
    <xf numFmtId="0" fontId="311" fillId="0" borderId="45" xfId="79" applyFont="1" applyBorder="1" applyAlignment="1">
      <alignment horizontal="center"/>
    </xf>
    <xf numFmtId="0" fontId="311" fillId="0" borderId="45" xfId="79" applyFont="1" applyFill="1" applyBorder="1" applyAlignment="1">
      <alignment horizontal="center"/>
    </xf>
    <xf numFmtId="0" fontId="268" fillId="0" borderId="0" xfId="79" applyFont="1"/>
    <xf numFmtId="0" fontId="221" fillId="0" borderId="0" xfId="79" applyFont="1"/>
    <xf numFmtId="0" fontId="311" fillId="0" borderId="87" xfId="79" applyFont="1" applyBorder="1" applyAlignment="1">
      <alignment horizontal="center"/>
    </xf>
    <xf numFmtId="0" fontId="311" fillId="0" borderId="87" xfId="79" applyFont="1" applyFill="1" applyBorder="1"/>
    <xf numFmtId="0" fontId="268" fillId="0" borderId="3" xfId="79" applyFont="1" applyBorder="1" applyAlignment="1">
      <alignment horizontal="center"/>
    </xf>
    <xf numFmtId="0" fontId="268" fillId="0" borderId="597" xfId="79" applyFont="1" applyBorder="1" applyAlignment="1">
      <alignment horizontal="center"/>
    </xf>
    <xf numFmtId="0" fontId="311" fillId="0" borderId="91" xfId="79" applyFont="1" applyFill="1" applyBorder="1"/>
    <xf numFmtId="0" fontId="311" fillId="0" borderId="117" xfId="79" applyFont="1" applyBorder="1"/>
    <xf numFmtId="43" fontId="268" fillId="0" borderId="117" xfId="20" applyFont="1" applyBorder="1" applyProtection="1"/>
    <xf numFmtId="43" fontId="268" fillId="0" borderId="254" xfId="20" applyFont="1" applyBorder="1" applyProtection="1"/>
    <xf numFmtId="43" fontId="268" fillId="0" borderId="117" xfId="20" applyFont="1" applyBorder="1"/>
    <xf numFmtId="39" fontId="311" fillId="12" borderId="91" xfId="79" applyNumberFormat="1" applyFont="1" applyFill="1" applyBorder="1" applyProtection="1"/>
    <xf numFmtId="0" fontId="311" fillId="0" borderId="201" xfId="79" applyFont="1" applyBorder="1"/>
    <xf numFmtId="43" fontId="268" fillId="0" borderId="201" xfId="20" applyFont="1" applyBorder="1" applyProtection="1"/>
    <xf numFmtId="43" fontId="268" fillId="0" borderId="201" xfId="20" applyFont="1" applyBorder="1"/>
    <xf numFmtId="39" fontId="311" fillId="3" borderId="91" xfId="79" applyNumberFormat="1" applyFont="1" applyFill="1" applyBorder="1" applyProtection="1"/>
    <xf numFmtId="43" fontId="268" fillId="0" borderId="117" xfId="20" applyNumberFormat="1" applyFont="1" applyBorder="1" applyProtection="1"/>
    <xf numFmtId="43" fontId="268" fillId="0" borderId="254" xfId="20" applyNumberFormat="1" applyFont="1" applyBorder="1" applyProtection="1"/>
    <xf numFmtId="43" fontId="268" fillId="0" borderId="117" xfId="20" applyNumberFormat="1" applyFont="1" applyBorder="1"/>
    <xf numFmtId="43" fontId="311" fillId="3" borderId="91" xfId="79" applyNumberFormat="1" applyFont="1" applyFill="1" applyBorder="1" applyProtection="1"/>
    <xf numFmtId="43" fontId="221" fillId="0" borderId="0" xfId="79" applyNumberFormat="1" applyFont="1"/>
    <xf numFmtId="43" fontId="268" fillId="0" borderId="201" xfId="20" applyNumberFormat="1" applyFont="1" applyBorder="1" applyProtection="1"/>
    <xf numFmtId="43" fontId="268" fillId="0" borderId="201" xfId="20" applyNumberFormat="1" applyFont="1" applyBorder="1"/>
    <xf numFmtId="39" fontId="311" fillId="0" borderId="91" xfId="79" applyNumberFormat="1" applyFont="1" applyFill="1" applyBorder="1" applyProtection="1"/>
    <xf numFmtId="39" fontId="311" fillId="0" borderId="122" xfId="79" applyNumberFormat="1" applyFont="1" applyBorder="1" applyProtection="1"/>
    <xf numFmtId="39" fontId="311" fillId="0" borderId="123" xfId="79" applyNumberFormat="1" applyFont="1" applyFill="1" applyBorder="1" applyProtection="1"/>
    <xf numFmtId="0" fontId="268" fillId="0" borderId="117" xfId="79" applyFont="1" applyBorder="1"/>
    <xf numFmtId="0" fontId="268" fillId="0" borderId="254" xfId="79" applyFont="1" applyBorder="1"/>
    <xf numFmtId="43" fontId="268" fillId="0" borderId="117" xfId="79" applyNumberFormat="1" applyFont="1" applyBorder="1" applyProtection="1"/>
    <xf numFmtId="43" fontId="268" fillId="0" borderId="254" xfId="79" applyNumberFormat="1" applyFont="1" applyBorder="1" applyProtection="1"/>
    <xf numFmtId="43" fontId="311" fillId="0" borderId="91" xfId="79" applyNumberFormat="1" applyFont="1" applyFill="1" applyBorder="1" applyProtection="1"/>
    <xf numFmtId="43" fontId="268" fillId="0" borderId="254" xfId="20" applyNumberFormat="1" applyFont="1" applyBorder="1"/>
    <xf numFmtId="43" fontId="311" fillId="12" borderId="91" xfId="79" applyNumberFormat="1" applyFont="1" applyFill="1" applyBorder="1" applyProtection="1"/>
    <xf numFmtId="39" fontId="311" fillId="0" borderId="120" xfId="79" applyNumberFormat="1" applyFont="1" applyBorder="1" applyProtection="1"/>
    <xf numFmtId="39" fontId="311" fillId="0" borderId="122" xfId="79" applyNumberFormat="1" applyFont="1" applyFill="1" applyBorder="1" applyProtection="1"/>
    <xf numFmtId="0" fontId="268" fillId="0" borderId="120" xfId="79" applyFont="1" applyBorder="1"/>
    <xf numFmtId="39" fontId="311" fillId="0" borderId="120" xfId="79" applyNumberFormat="1" applyFont="1" applyFill="1" applyBorder="1" applyProtection="1"/>
    <xf numFmtId="43" fontId="311" fillId="0" borderId="117" xfId="1" applyFont="1" applyBorder="1"/>
    <xf numFmtId="39" fontId="311" fillId="0" borderId="117" xfId="79" applyNumberFormat="1" applyFont="1" applyFill="1" applyBorder="1" applyProtection="1"/>
    <xf numFmtId="0" fontId="220" fillId="0" borderId="0" xfId="79" applyFont="1"/>
    <xf numFmtId="43" fontId="311" fillId="0" borderId="201" xfId="1" applyFont="1" applyBorder="1"/>
    <xf numFmtId="39" fontId="311" fillId="0" borderId="201" xfId="79" applyNumberFormat="1" applyFont="1" applyFill="1" applyBorder="1" applyProtection="1"/>
    <xf numFmtId="39" fontId="315" fillId="0" borderId="45" xfId="79" applyNumberFormat="1" applyFont="1" applyBorder="1" applyProtection="1"/>
    <xf numFmtId="39" fontId="316" fillId="0" borderId="45" xfId="79" applyNumberFormat="1" applyFont="1" applyFill="1" applyBorder="1" applyProtection="1"/>
    <xf numFmtId="0" fontId="268" fillId="0" borderId="0" xfId="79" applyFont="1" applyFill="1"/>
    <xf numFmtId="0" fontId="221" fillId="0" borderId="0" xfId="79" applyFont="1" applyFill="1"/>
    <xf numFmtId="0" fontId="309" fillId="0" borderId="0" xfId="79" applyFont="1" applyAlignment="1">
      <alignment horizontal="left" vertical="center"/>
    </xf>
    <xf numFmtId="0" fontId="310" fillId="0" borderId="45" xfId="79" applyFont="1" applyBorder="1" applyAlignment="1">
      <alignment horizontal="left"/>
    </xf>
    <xf numFmtId="0" fontId="312" fillId="0" borderId="87" xfId="79" applyFont="1" applyBorder="1" applyAlignment="1">
      <alignment horizontal="left"/>
    </xf>
    <xf numFmtId="0" fontId="310" fillId="0" borderId="3" xfId="79" applyFont="1" applyBorder="1" applyAlignment="1">
      <alignment horizontal="left"/>
    </xf>
    <xf numFmtId="0" fontId="311" fillId="0" borderId="117" xfId="79" applyFont="1" applyBorder="1" applyAlignment="1">
      <alignment horizontal="left"/>
    </xf>
    <xf numFmtId="0" fontId="311" fillId="0" borderId="201" xfId="79" applyFont="1" applyBorder="1" applyAlignment="1">
      <alignment horizontal="left"/>
    </xf>
    <xf numFmtId="43" fontId="311" fillId="0" borderId="117" xfId="79" applyNumberFormat="1" applyFont="1" applyBorder="1" applyAlignment="1">
      <alignment horizontal="left"/>
    </xf>
    <xf numFmtId="43" fontId="311" fillId="0" borderId="201" xfId="79" applyNumberFormat="1" applyFont="1" applyBorder="1" applyAlignment="1">
      <alignment horizontal="left"/>
    </xf>
    <xf numFmtId="0" fontId="310" fillId="0" borderId="117" xfId="79" applyFont="1" applyBorder="1" applyAlignment="1">
      <alignment horizontal="left"/>
    </xf>
    <xf numFmtId="0" fontId="310" fillId="0" borderId="122" xfId="79" applyFont="1" applyBorder="1" applyAlignment="1">
      <alignment horizontal="left"/>
    </xf>
    <xf numFmtId="43" fontId="310" fillId="0" borderId="117" xfId="79" applyNumberFormat="1" applyFont="1" applyBorder="1" applyAlignment="1">
      <alignment horizontal="left"/>
    </xf>
    <xf numFmtId="0" fontId="310" fillId="0" borderId="121" xfId="79" applyFont="1" applyBorder="1" applyAlignment="1">
      <alignment horizontal="left"/>
    </xf>
    <xf numFmtId="43" fontId="310" fillId="0" borderId="201" xfId="79" applyNumberFormat="1" applyFont="1" applyBorder="1" applyAlignment="1">
      <alignment horizontal="left"/>
    </xf>
    <xf numFmtId="0" fontId="310" fillId="0" borderId="120" xfId="79" applyFont="1" applyBorder="1" applyAlignment="1">
      <alignment horizontal="left"/>
    </xf>
    <xf numFmtId="0" fontId="312" fillId="0" borderId="120" xfId="79" applyFont="1" applyBorder="1" applyAlignment="1">
      <alignment horizontal="left"/>
    </xf>
    <xf numFmtId="0" fontId="313" fillId="0" borderId="117" xfId="79" applyFont="1" applyBorder="1" applyAlignment="1">
      <alignment horizontal="left"/>
    </xf>
    <xf numFmtId="0" fontId="313" fillId="0" borderId="201" xfId="79" applyFont="1" applyBorder="1" applyAlignment="1">
      <alignment horizontal="left"/>
    </xf>
    <xf numFmtId="0" fontId="314" fillId="0" borderId="45" xfId="79" applyFont="1" applyBorder="1" applyAlignment="1">
      <alignment horizontal="left"/>
    </xf>
    <xf numFmtId="0" fontId="309" fillId="0" borderId="0" xfId="79" applyFont="1" applyAlignment="1">
      <alignment horizontal="left"/>
    </xf>
    <xf numFmtId="0" fontId="0" fillId="0" borderId="0" xfId="0"/>
    <xf numFmtId="0" fontId="18" fillId="0" borderId="202" xfId="2" applyFont="1" applyBorder="1" applyProtection="1">
      <protection locked="0"/>
    </xf>
    <xf numFmtId="0" fontId="18" fillId="0" borderId="201" xfId="2" applyFont="1" applyBorder="1" applyAlignment="1" applyProtection="1">
      <alignment horizontal="right"/>
      <protection locked="0"/>
    </xf>
    <xf numFmtId="43" fontId="74" fillId="0" borderId="621" xfId="7" applyFont="1" applyBorder="1" applyProtection="1">
      <protection locked="0"/>
    </xf>
    <xf numFmtId="4" fontId="112" fillId="0" borderId="593" xfId="2" applyNumberFormat="1" applyFont="1" applyBorder="1" applyProtection="1">
      <protection locked="0"/>
    </xf>
    <xf numFmtId="43" fontId="74" fillId="0" borderId="303" xfId="7" applyFont="1" applyBorder="1" applyProtection="1">
      <protection locked="0"/>
    </xf>
    <xf numFmtId="43" fontId="74" fillId="0" borderId="316" xfId="7" applyFont="1" applyBorder="1" applyProtection="1">
      <protection locked="0"/>
    </xf>
    <xf numFmtId="0" fontId="27" fillId="0" borderId="246" xfId="1" applyNumberFormat="1" applyFont="1" applyBorder="1" applyAlignment="1">
      <alignment horizontal="center"/>
    </xf>
    <xf numFmtId="43" fontId="18" fillId="0" borderId="588" xfId="1" applyFont="1" applyBorder="1"/>
    <xf numFmtId="43" fontId="18" fillId="0" borderId="597" xfId="1" applyFont="1" applyBorder="1"/>
    <xf numFmtId="0" fontId="27" fillId="0" borderId="202" xfId="2" applyFont="1" applyBorder="1" applyProtection="1">
      <protection locked="0"/>
    </xf>
    <xf numFmtId="0" fontId="27" fillId="0" borderId="201" xfId="2" applyFont="1" applyBorder="1" applyAlignment="1" applyProtection="1">
      <alignment horizontal="right"/>
      <protection locked="0"/>
    </xf>
    <xf numFmtId="43" fontId="112" fillId="0" borderId="621" xfId="7" applyFont="1" applyBorder="1" applyProtection="1">
      <protection locked="0"/>
    </xf>
    <xf numFmtId="43" fontId="74" fillId="0" borderId="201" xfId="7" applyFont="1" applyBorder="1" applyProtection="1">
      <protection locked="0"/>
    </xf>
    <xf numFmtId="43" fontId="112" fillId="0" borderId="509" xfId="7" applyFont="1" applyBorder="1" applyProtection="1">
      <protection locked="0"/>
    </xf>
    <xf numFmtId="43" fontId="112" fillId="0" borderId="593" xfId="7" applyFont="1" applyBorder="1" applyProtection="1">
      <protection locked="0"/>
    </xf>
    <xf numFmtId="43" fontId="27" fillId="3" borderId="295" xfId="1" applyFont="1" applyFill="1" applyBorder="1"/>
    <xf numFmtId="0" fontId="18" fillId="0" borderId="0" xfId="30" applyFont="1" applyFill="1" applyAlignment="1" applyProtection="1">
      <alignment horizontal="centerContinuous"/>
      <protection locked="0"/>
    </xf>
    <xf numFmtId="0" fontId="18" fillId="0" borderId="0" xfId="30" applyFont="1" applyFill="1" applyProtection="1">
      <protection locked="0"/>
    </xf>
    <xf numFmtId="0" fontId="27" fillId="0" borderId="0" xfId="30" applyFont="1" applyFill="1" applyProtection="1">
      <protection locked="0"/>
    </xf>
    <xf numFmtId="0" fontId="18" fillId="0" borderId="1" xfId="30" applyFont="1" applyFill="1" applyBorder="1" applyProtection="1">
      <protection locked="0"/>
    </xf>
    <xf numFmtId="0" fontId="27" fillId="0" borderId="4" xfId="30" applyFont="1" applyFill="1" applyBorder="1" applyAlignment="1" applyProtection="1">
      <alignment horizontal="center"/>
      <protection locked="0"/>
    </xf>
    <xf numFmtId="0" fontId="27" fillId="0" borderId="8" xfId="30" applyFont="1" applyFill="1" applyBorder="1" applyAlignment="1" applyProtection="1">
      <alignment horizontal="center"/>
      <protection locked="0"/>
    </xf>
    <xf numFmtId="0" fontId="18" fillId="0" borderId="4" xfId="30" applyFont="1" applyFill="1" applyBorder="1" applyProtection="1">
      <protection locked="0"/>
    </xf>
    <xf numFmtId="4" fontId="18" fillId="0" borderId="4" xfId="30" applyNumberFormat="1" applyFont="1" applyFill="1" applyBorder="1" applyProtection="1">
      <protection hidden="1"/>
    </xf>
    <xf numFmtId="4" fontId="18" fillId="0" borderId="4" xfId="30" applyNumberFormat="1" applyFont="1" applyFill="1" applyBorder="1" applyProtection="1"/>
    <xf numFmtId="4" fontId="277" fillId="0" borderId="123" xfId="30" applyNumberFormat="1" applyFont="1" applyFill="1" applyBorder="1" applyProtection="1">
      <protection locked="0"/>
    </xf>
    <xf numFmtId="10" fontId="18" fillId="0" borderId="0" xfId="88" applyNumberFormat="1" applyFont="1" applyFill="1"/>
    <xf numFmtId="0" fontId="27" fillId="0" borderId="560" xfId="30" applyFont="1" applyFill="1" applyBorder="1" applyAlignment="1" applyProtection="1">
      <alignment horizontal="center"/>
      <protection locked="0"/>
    </xf>
    <xf numFmtId="0" fontId="27" fillId="0" borderId="434" xfId="30" applyFont="1" applyFill="1" applyBorder="1" applyAlignment="1" applyProtection="1">
      <alignment horizontal="center"/>
      <protection locked="0"/>
    </xf>
    <xf numFmtId="4" fontId="18" fillId="0" borderId="582" xfId="30" applyNumberFormat="1" applyFont="1" applyFill="1" applyBorder="1" applyProtection="1">
      <protection locked="0"/>
    </xf>
    <xf numFmtId="183" fontId="18" fillId="0" borderId="0" xfId="88" applyNumberFormat="1" applyFont="1" applyFill="1"/>
    <xf numFmtId="4" fontId="18" fillId="0" borderId="560" xfId="30" applyNumberFormat="1" applyFont="1" applyFill="1" applyBorder="1" applyProtection="1">
      <protection locked="0"/>
    </xf>
    <xf numFmtId="0" fontId="18" fillId="0" borderId="478" xfId="2" applyFont="1" applyFill="1" applyBorder="1"/>
    <xf numFmtId="0" fontId="18" fillId="0" borderId="556" xfId="30" applyFont="1" applyFill="1" applyBorder="1"/>
    <xf numFmtId="4" fontId="277" fillId="0" borderId="509" xfId="30" applyNumberFormat="1" applyFont="1" applyFill="1" applyBorder="1" applyProtection="1">
      <protection locked="0"/>
    </xf>
    <xf numFmtId="4" fontId="277" fillId="12" borderId="123" xfId="30" applyNumberFormat="1" applyFont="1" applyFill="1" applyBorder="1" applyProtection="1">
      <protection locked="0"/>
    </xf>
    <xf numFmtId="43" fontId="273" fillId="0" borderId="0" xfId="1" applyFont="1"/>
    <xf numFmtId="3" fontId="282" fillId="0" borderId="4" xfId="66" applyFont="1" applyBorder="1" applyAlignment="1">
      <alignment vertical="center"/>
    </xf>
    <xf numFmtId="39" fontId="304" fillId="0" borderId="4" xfId="32" applyNumberFormat="1" applyFont="1" applyBorder="1" applyAlignment="1" applyProtection="1">
      <alignment vertical="center"/>
      <protection locked="0"/>
    </xf>
    <xf numFmtId="3" fontId="282" fillId="0" borderId="4" xfId="66" applyFont="1" applyBorder="1" applyAlignment="1">
      <alignment horizontal="center" vertical="center"/>
    </xf>
    <xf numFmtId="3" fontId="307" fillId="0" borderId="2" xfId="66" applyFont="1" applyBorder="1" applyAlignment="1">
      <alignment vertical="center"/>
    </xf>
    <xf numFmtId="4" fontId="307" fillId="0" borderId="4" xfId="67" applyFont="1" applyBorder="1" applyAlignment="1">
      <alignment vertical="center"/>
    </xf>
    <xf numFmtId="3" fontId="307" fillId="0" borderId="4" xfId="66" applyFont="1" applyBorder="1" applyAlignment="1">
      <alignment horizontal="center" vertical="center"/>
    </xf>
    <xf numFmtId="39" fontId="282" fillId="0" borderId="4" xfId="32" applyNumberFormat="1" applyFont="1" applyBorder="1" applyAlignment="1" applyProtection="1">
      <alignment vertical="center"/>
      <protection locked="0"/>
    </xf>
    <xf numFmtId="39" fontId="282" fillId="0" borderId="493" xfId="32" applyNumberFormat="1" applyFont="1" applyBorder="1" applyAlignment="1" applyProtection="1">
      <alignment vertical="center"/>
      <protection locked="0"/>
    </xf>
    <xf numFmtId="4" fontId="282" fillId="0" borderId="516" xfId="67" applyFont="1" applyBorder="1" applyAlignment="1">
      <alignment vertical="center"/>
    </xf>
    <xf numFmtId="4" fontId="282" fillId="0" borderId="529" xfId="67" applyFont="1" applyBorder="1" applyAlignment="1">
      <alignment vertical="center"/>
    </xf>
    <xf numFmtId="4" fontId="282" fillId="0" borderId="512" xfId="67" applyFont="1" applyBorder="1" applyAlignment="1">
      <alignment vertical="center"/>
    </xf>
    <xf numFmtId="39" fontId="282" fillId="0" borderId="563" xfId="32" applyNumberFormat="1" applyFont="1" applyBorder="1" applyAlignment="1" applyProtection="1">
      <alignment vertical="center"/>
      <protection locked="0"/>
    </xf>
    <xf numFmtId="39" fontId="282" fillId="0" borderId="419" xfId="32" applyNumberFormat="1" applyFont="1" applyBorder="1" applyAlignment="1" applyProtection="1">
      <alignment vertical="center"/>
      <protection locked="0"/>
    </xf>
    <xf numFmtId="3" fontId="282" fillId="0" borderId="57" xfId="66" applyFont="1" applyBorder="1" applyAlignment="1">
      <alignment vertical="center"/>
    </xf>
    <xf numFmtId="4" fontId="282" fillId="0" borderId="56" xfId="67" applyFont="1" applyBorder="1" applyAlignment="1">
      <alignment vertical="center"/>
    </xf>
    <xf numFmtId="4" fontId="282" fillId="0" borderId="55" xfId="67" applyFont="1" applyBorder="1" applyAlignment="1">
      <alignment vertical="center"/>
    </xf>
    <xf numFmtId="39" fontId="282" fillId="0" borderId="91" xfId="32" applyNumberFormat="1" applyFont="1" applyBorder="1" applyAlignment="1" applyProtection="1">
      <alignment vertical="center"/>
      <protection locked="0"/>
    </xf>
    <xf numFmtId="39" fontId="282" fillId="0" borderId="493" xfId="32" applyNumberFormat="1" applyFont="1" applyBorder="1" applyAlignment="1" applyProtection="1">
      <alignment vertical="center"/>
      <protection hidden="1"/>
    </xf>
    <xf numFmtId="39" fontId="282" fillId="0" borderId="4" xfId="32" applyNumberFormat="1" applyFont="1" applyBorder="1" applyAlignment="1" applyProtection="1">
      <alignment vertical="center"/>
      <protection hidden="1"/>
    </xf>
    <xf numFmtId="3" fontId="308" fillId="0" borderId="528" xfId="66" applyFont="1" applyBorder="1" applyAlignment="1">
      <alignment horizontal="right" vertical="center"/>
    </xf>
    <xf numFmtId="39" fontId="282" fillId="0" borderId="529" xfId="9" applyNumberFormat="1" applyFont="1" applyBorder="1" applyAlignment="1">
      <alignment vertical="center"/>
    </xf>
    <xf numFmtId="3" fontId="308" fillId="0" borderId="528" xfId="66" applyFont="1" applyBorder="1" applyAlignment="1">
      <alignment vertical="center"/>
    </xf>
    <xf numFmtId="39" fontId="282" fillId="0" borderId="4" xfId="9" applyNumberFormat="1" applyFont="1" applyBorder="1" applyAlignment="1">
      <alignment vertical="center"/>
    </xf>
    <xf numFmtId="39" fontId="282" fillId="0" borderId="493" xfId="9" applyNumberFormat="1" applyFont="1" applyBorder="1" applyAlignment="1">
      <alignment vertical="center"/>
    </xf>
    <xf numFmtId="3" fontId="308" fillId="0" borderId="532" xfId="66" applyFont="1" applyBorder="1" applyAlignment="1">
      <alignment horizontal="right" vertical="center"/>
    </xf>
    <xf numFmtId="4" fontId="306" fillId="0" borderId="54" xfId="67" applyFont="1" applyBorder="1" applyAlignment="1">
      <alignment vertical="center"/>
    </xf>
    <xf numFmtId="4" fontId="305" fillId="0" borderId="50" xfId="67" applyFont="1" applyBorder="1" applyAlignment="1">
      <alignment vertical="center"/>
    </xf>
    <xf numFmtId="4" fontId="305" fillId="0" borderId="25" xfId="67" applyFont="1" applyBorder="1" applyAlignment="1">
      <alignment vertical="center"/>
    </xf>
    <xf numFmtId="4" fontId="282" fillId="0" borderId="300" xfId="67" applyFont="1" applyBorder="1" applyAlignment="1">
      <alignment vertical="center"/>
    </xf>
    <xf numFmtId="39" fontId="282" fillId="0" borderId="53" xfId="32" applyNumberFormat="1" applyFont="1" applyBorder="1" applyAlignment="1" applyProtection="1">
      <alignment vertical="center"/>
      <protection hidden="1"/>
    </xf>
    <xf numFmtId="39" fontId="282" fillId="0" borderId="53" xfId="32" applyNumberFormat="1" applyFont="1" applyBorder="1" applyAlignment="1" applyProtection="1">
      <alignment vertical="center"/>
      <protection locked="0"/>
    </xf>
    <xf numFmtId="3" fontId="306" fillId="0" borderId="528" xfId="66" applyFont="1" applyBorder="1" applyAlignment="1">
      <alignment vertical="center"/>
    </xf>
    <xf numFmtId="4" fontId="304" fillId="0" borderId="493" xfId="67" applyFont="1" applyBorder="1" applyAlignment="1">
      <alignment vertical="center"/>
    </xf>
    <xf numFmtId="3" fontId="304" fillId="0" borderId="0" xfId="66" applyFont="1" applyBorder="1" applyAlignment="1">
      <alignment vertical="center"/>
    </xf>
    <xf numFmtId="43" fontId="282" fillId="0" borderId="529" xfId="9" applyFont="1" applyBorder="1" applyAlignment="1">
      <alignment vertical="center"/>
    </xf>
    <xf numFmtId="4" fontId="282" fillId="0" borderId="533" xfId="67" applyFont="1" applyBorder="1" applyAlignment="1">
      <alignment vertical="center"/>
    </xf>
    <xf numFmtId="4" fontId="282" fillId="0" borderId="535" xfId="67" applyFont="1" applyBorder="1" applyAlignment="1">
      <alignment vertical="center"/>
    </xf>
    <xf numFmtId="4" fontId="306" fillId="0" borderId="47" xfId="67" applyFont="1" applyBorder="1" applyAlignment="1">
      <alignment vertical="center"/>
    </xf>
    <xf numFmtId="4" fontId="304" fillId="0" borderId="48" xfId="67" applyFont="1" applyBorder="1" applyAlignment="1">
      <alignment vertical="center"/>
    </xf>
    <xf numFmtId="4" fontId="306" fillId="0" borderId="453" xfId="67" applyFont="1" applyBorder="1" applyAlignment="1">
      <alignment vertical="center"/>
    </xf>
    <xf numFmtId="4" fontId="304" fillId="0" borderId="454" xfId="67" applyFont="1" applyBorder="1" applyAlignment="1">
      <alignment vertical="center"/>
    </xf>
    <xf numFmtId="4" fontId="282" fillId="0" borderId="199" xfId="67" applyFont="1" applyFill="1" applyBorder="1" applyAlignment="1">
      <alignment vertical="center"/>
    </xf>
    <xf numFmtId="4" fontId="282" fillId="0" borderId="2" xfId="67" applyFont="1" applyFill="1" applyBorder="1" applyAlignment="1">
      <alignment vertical="center"/>
    </xf>
    <xf numFmtId="4" fontId="282" fillId="0" borderId="2" xfId="67" applyFont="1" applyBorder="1" applyAlignment="1">
      <alignment vertical="center"/>
    </xf>
    <xf numFmtId="3" fontId="282" fillId="0" borderId="82" xfId="66" applyFont="1" applyBorder="1" applyAlignment="1">
      <alignment vertical="center"/>
    </xf>
    <xf numFmtId="4" fontId="282" fillId="0" borderId="412" xfId="67" applyFont="1" applyBorder="1" applyAlignment="1">
      <alignment vertical="center"/>
    </xf>
    <xf numFmtId="4" fontId="306" fillId="0" borderId="2" xfId="67" applyFont="1" applyBorder="1" applyAlignment="1">
      <alignment vertical="center"/>
    </xf>
    <xf numFmtId="4" fontId="306" fillId="0" borderId="6" xfId="67" applyFont="1" applyBorder="1" applyAlignment="1">
      <alignment vertical="center"/>
    </xf>
    <xf numFmtId="4" fontId="306" fillId="0" borderId="202" xfId="67" applyFont="1" applyBorder="1" applyAlignment="1">
      <alignment vertical="center"/>
    </xf>
    <xf numFmtId="4" fontId="306" fillId="0" borderId="300" xfId="67" applyFont="1" applyBorder="1" applyAlignment="1">
      <alignment vertical="center"/>
    </xf>
    <xf numFmtId="4" fontId="306" fillId="0" borderId="527" xfId="67" applyFont="1" applyBorder="1" applyAlignment="1">
      <alignment vertical="center"/>
    </xf>
    <xf numFmtId="4" fontId="306" fillId="0" borderId="37" xfId="67" applyFont="1" applyBorder="1" applyAlignment="1">
      <alignment vertical="center"/>
    </xf>
    <xf numFmtId="4" fontId="282" fillId="0" borderId="14" xfId="67" applyFont="1" applyBorder="1" applyAlignment="1">
      <alignment vertical="center"/>
    </xf>
    <xf numFmtId="39" fontId="282" fillId="0" borderId="0" xfId="23" applyNumberFormat="1" applyFont="1" applyFill="1" applyAlignment="1" applyProtection="1">
      <alignment vertical="center"/>
      <protection locked="0"/>
    </xf>
    <xf numFmtId="39" fontId="304" fillId="0" borderId="0" xfId="23" applyNumberFormat="1" applyFont="1" applyAlignment="1" applyProtection="1">
      <alignment horizontal="left" vertical="center"/>
      <protection locked="0"/>
    </xf>
    <xf numFmtId="39" fontId="304" fillId="0" borderId="0" xfId="23" applyNumberFormat="1" applyFont="1" applyFill="1" applyAlignment="1" applyProtection="1">
      <alignment vertical="center"/>
      <protection locked="0"/>
    </xf>
    <xf numFmtId="39" fontId="282" fillId="0" borderId="0" xfId="23" applyNumberFormat="1" applyFont="1" applyAlignment="1" applyProtection="1">
      <alignment horizontal="left" vertical="center"/>
      <protection locked="0"/>
    </xf>
    <xf numFmtId="39" fontId="282" fillId="0" borderId="0" xfId="23" applyNumberFormat="1" applyFont="1" applyFill="1" applyAlignment="1" applyProtection="1">
      <alignment horizontal="center" vertical="center"/>
      <protection locked="0"/>
    </xf>
    <xf numFmtId="39" fontId="282" fillId="0" borderId="0" xfId="23" applyNumberFormat="1" applyFont="1" applyAlignment="1" applyProtection="1">
      <alignment horizontal="center" vertical="center"/>
      <protection locked="0"/>
    </xf>
    <xf numFmtId="3" fontId="282" fillId="0" borderId="0" xfId="23" applyFont="1" applyAlignment="1" applyProtection="1">
      <alignment horizontal="center" vertical="center"/>
      <protection locked="0"/>
    </xf>
    <xf numFmtId="3" fontId="304" fillId="0" borderId="0" xfId="23" applyFont="1" applyFill="1" applyAlignment="1">
      <alignment vertical="center"/>
    </xf>
    <xf numFmtId="3" fontId="282" fillId="0" borderId="0" xfId="32" applyFont="1" applyAlignment="1"/>
    <xf numFmtId="3" fontId="282" fillId="0" borderId="0" xfId="23" applyFont="1" applyFill="1" applyAlignment="1">
      <alignment vertical="center"/>
    </xf>
    <xf numFmtId="3" fontId="282" fillId="0" borderId="0" xfId="23" applyFont="1" applyAlignment="1">
      <alignment horizontal="center" vertical="center"/>
    </xf>
    <xf numFmtId="43" fontId="282" fillId="0" borderId="0" xfId="61" applyFont="1" applyAlignment="1">
      <alignment vertical="center"/>
    </xf>
    <xf numFmtId="0" fontId="221" fillId="0" borderId="0" xfId="21" applyFont="1" applyFill="1"/>
    <xf numFmtId="43" fontId="221" fillId="0" borderId="398" xfId="62" applyFont="1" applyFill="1" applyBorder="1"/>
    <xf numFmtId="10" fontId="19" fillId="0" borderId="0" xfId="88" applyNumberFormat="1" applyFont="1" applyFill="1"/>
    <xf numFmtId="10" fontId="220" fillId="0" borderId="553" xfId="88" applyNumberFormat="1" applyFont="1" applyFill="1" applyBorder="1" applyAlignment="1" applyProtection="1">
      <alignment vertical="center"/>
      <protection locked="0"/>
    </xf>
    <xf numFmtId="10" fontId="220" fillId="0" borderId="486" xfId="88" applyNumberFormat="1" applyFont="1" applyFill="1" applyBorder="1" applyAlignment="1" applyProtection="1">
      <alignment vertical="center"/>
      <protection locked="0"/>
    </xf>
    <xf numFmtId="39" fontId="221" fillId="0" borderId="4" xfId="68" applyNumberFormat="1" applyFont="1" applyFill="1" applyBorder="1" applyProtection="1">
      <protection locked="0"/>
    </xf>
    <xf numFmtId="39" fontId="221" fillId="0" borderId="82" xfId="68" applyNumberFormat="1" applyFont="1" applyFill="1" applyBorder="1" applyProtection="1">
      <protection locked="0"/>
    </xf>
    <xf numFmtId="39" fontId="221" fillId="0" borderId="199" xfId="68" applyNumberFormat="1" applyFont="1" applyFill="1" applyBorder="1" applyProtection="1">
      <protection locked="0"/>
    </xf>
    <xf numFmtId="39" fontId="221" fillId="0" borderId="196" xfId="32" applyNumberFormat="1" applyFont="1" applyFill="1" applyBorder="1" applyProtection="1">
      <protection locked="0"/>
    </xf>
    <xf numFmtId="39" fontId="221" fillId="0" borderId="196" xfId="68" applyNumberFormat="1" applyFont="1" applyFill="1" applyBorder="1" applyProtection="1">
      <protection locked="0"/>
    </xf>
    <xf numFmtId="39" fontId="221" fillId="0" borderId="417" xfId="68" applyNumberFormat="1" applyFont="1" applyFill="1" applyBorder="1" applyProtection="1">
      <protection locked="0"/>
    </xf>
    <xf numFmtId="39" fontId="221" fillId="0" borderId="417" xfId="68" applyNumberFormat="1" applyFont="1" applyFill="1" applyBorder="1" applyProtection="1">
      <protection hidden="1"/>
    </xf>
    <xf numFmtId="39" fontId="221" fillId="0" borderId="579" xfId="68" applyNumberFormat="1" applyFont="1" applyFill="1" applyBorder="1" applyProtection="1">
      <protection locked="0"/>
    </xf>
    <xf numFmtId="39" fontId="221" fillId="0" borderId="493" xfId="68" applyNumberFormat="1" applyFont="1" applyFill="1" applyBorder="1" applyProtection="1">
      <protection locked="0"/>
    </xf>
    <xf numFmtId="39" fontId="221" fillId="0" borderId="82" xfId="68" applyNumberFormat="1" applyFont="1" applyFill="1" applyBorder="1" applyProtection="1">
      <protection hidden="1"/>
    </xf>
    <xf numFmtId="39" fontId="221" fillId="0" borderId="381" xfId="68" applyNumberFormat="1" applyFont="1" applyFill="1" applyBorder="1" applyProtection="1">
      <protection hidden="1"/>
    </xf>
    <xf numFmtId="183" fontId="221" fillId="0" borderId="0" xfId="88" applyNumberFormat="1" applyFont="1" applyFill="1"/>
    <xf numFmtId="0" fontId="18" fillId="0" borderId="2" xfId="30" applyFont="1" applyBorder="1" applyAlignment="1" applyProtection="1">
      <alignment vertical="center"/>
      <protection locked="0"/>
    </xf>
    <xf numFmtId="0" fontId="18" fillId="0" borderId="0" xfId="30" applyFont="1" applyBorder="1" applyAlignment="1" applyProtection="1">
      <alignment vertical="center"/>
      <protection locked="0"/>
    </xf>
    <xf numFmtId="0" fontId="18" fillId="0" borderId="5" xfId="30" applyFont="1" applyBorder="1" applyAlignment="1" applyProtection="1">
      <alignment horizontal="right" vertical="center"/>
      <protection locked="0"/>
    </xf>
    <xf numFmtId="4" fontId="18" fillId="0" borderId="4" xfId="30" applyNumberFormat="1" applyFont="1" applyBorder="1" applyAlignment="1" applyProtection="1">
      <alignment vertical="center"/>
      <protection locked="0"/>
    </xf>
    <xf numFmtId="4" fontId="18" fillId="28" borderId="558" xfId="30" applyNumberFormat="1" applyFont="1" applyFill="1" applyBorder="1" applyAlignment="1" applyProtection="1">
      <alignment vertical="center"/>
      <protection locked="0"/>
    </xf>
    <xf numFmtId="10" fontId="18" fillId="28" borderId="558" xfId="88" applyNumberFormat="1" applyFont="1" applyFill="1" applyBorder="1" applyAlignment="1" applyProtection="1">
      <alignment vertical="center"/>
      <protection locked="0"/>
    </xf>
    <xf numFmtId="4" fontId="18" fillId="0" borderId="4" xfId="30" applyNumberFormat="1" applyFont="1" applyFill="1" applyBorder="1" applyAlignment="1" applyProtection="1">
      <alignment vertical="center"/>
      <protection locked="0"/>
    </xf>
    <xf numFmtId="0" fontId="18" fillId="0" borderId="0" xfId="30" applyFont="1" applyAlignment="1">
      <alignment vertical="center"/>
    </xf>
    <xf numFmtId="4" fontId="18" fillId="25" borderId="558" xfId="30" applyNumberFormat="1" applyFont="1" applyFill="1" applyBorder="1" applyAlignment="1" applyProtection="1">
      <alignment vertical="center"/>
      <protection locked="0"/>
    </xf>
    <xf numFmtId="10" fontId="18" fillId="25" borderId="558" xfId="88" applyNumberFormat="1" applyFont="1" applyFill="1" applyBorder="1" applyAlignment="1" applyProtection="1">
      <alignment vertical="center"/>
      <protection locked="0"/>
    </xf>
    <xf numFmtId="4" fontId="18" fillId="24" borderId="558" xfId="30" applyNumberFormat="1" applyFont="1" applyFill="1" applyBorder="1" applyAlignment="1" applyProtection="1">
      <alignment vertical="center"/>
      <protection locked="0"/>
    </xf>
    <xf numFmtId="10" fontId="18" fillId="24" borderId="558" xfId="88" applyNumberFormat="1" applyFont="1" applyFill="1" applyBorder="1" applyAlignment="1" applyProtection="1">
      <alignment vertical="center"/>
      <protection locked="0"/>
    </xf>
    <xf numFmtId="4" fontId="18" fillId="22" borderId="558" xfId="30" applyNumberFormat="1" applyFont="1" applyFill="1" applyBorder="1" applyAlignment="1" applyProtection="1">
      <alignment vertical="center"/>
      <protection locked="0"/>
    </xf>
    <xf numFmtId="10" fontId="18" fillId="22" borderId="558" xfId="88" applyNumberFormat="1" applyFont="1" applyFill="1" applyBorder="1" applyAlignment="1" applyProtection="1">
      <alignment vertical="center"/>
      <protection locked="0"/>
    </xf>
    <xf numFmtId="4" fontId="18" fillId="11" borderId="558" xfId="30" applyNumberFormat="1" applyFont="1" applyFill="1" applyBorder="1" applyAlignment="1" applyProtection="1">
      <alignment vertical="center"/>
      <protection locked="0"/>
    </xf>
    <xf numFmtId="10" fontId="18" fillId="11" borderId="558" xfId="88" applyNumberFormat="1" applyFont="1" applyFill="1" applyBorder="1" applyAlignment="1" applyProtection="1">
      <alignment vertical="center"/>
      <protection locked="0"/>
    </xf>
    <xf numFmtId="4" fontId="18" fillId="19" borderId="558" xfId="30" applyNumberFormat="1" applyFont="1" applyFill="1" applyBorder="1" applyAlignment="1" applyProtection="1">
      <alignment vertical="center"/>
      <protection locked="0"/>
    </xf>
    <xf numFmtId="10" fontId="18" fillId="19" borderId="558" xfId="88" applyNumberFormat="1" applyFont="1" applyFill="1" applyBorder="1" applyAlignment="1" applyProtection="1">
      <alignment vertical="center"/>
      <protection locked="0"/>
    </xf>
    <xf numFmtId="4" fontId="18" fillId="20" borderId="558" xfId="30" applyNumberFormat="1" applyFont="1" applyFill="1" applyBorder="1" applyAlignment="1" applyProtection="1">
      <alignment vertical="center"/>
      <protection locked="0"/>
    </xf>
    <xf numFmtId="10" fontId="18" fillId="20" borderId="558" xfId="88" applyNumberFormat="1" applyFont="1" applyFill="1" applyBorder="1" applyAlignment="1" applyProtection="1">
      <alignment vertical="center"/>
      <protection locked="0"/>
    </xf>
    <xf numFmtId="4" fontId="18" fillId="17" borderId="558" xfId="30" applyNumberFormat="1" applyFont="1" applyFill="1" applyBorder="1" applyAlignment="1" applyProtection="1">
      <alignment vertical="center"/>
      <protection locked="0"/>
    </xf>
    <xf numFmtId="10" fontId="18" fillId="17" borderId="558" xfId="88" applyNumberFormat="1" applyFont="1" applyFill="1" applyBorder="1" applyAlignment="1" applyProtection="1">
      <alignment vertical="center"/>
      <protection locked="0"/>
    </xf>
    <xf numFmtId="43" fontId="220" fillId="0" borderId="0" xfId="2" applyNumberFormat="1" applyFont="1" applyFill="1" applyAlignment="1" applyProtection="1">
      <alignment vertical="top"/>
      <protection locked="0"/>
    </xf>
    <xf numFmtId="43" fontId="220" fillId="0" borderId="24" xfId="1" applyNumberFormat="1" applyFont="1" applyFill="1" applyBorder="1" applyAlignment="1" applyProtection="1">
      <alignment vertical="center"/>
      <protection locked="0"/>
    </xf>
    <xf numFmtId="43" fontId="220" fillId="0" borderId="557" xfId="2" applyNumberFormat="1" applyFont="1" applyFill="1" applyBorder="1" applyAlignment="1" applyProtection="1">
      <alignment vertical="top"/>
      <protection locked="0"/>
    </xf>
    <xf numFmtId="43" fontId="220" fillId="0" borderId="558" xfId="1" applyNumberFormat="1" applyFont="1" applyFill="1" applyBorder="1" applyAlignment="1">
      <alignment vertical="top"/>
    </xf>
    <xf numFmtId="10" fontId="220" fillId="0" borderId="0" xfId="88" applyNumberFormat="1" applyFont="1" applyFill="1" applyAlignment="1" applyProtection="1">
      <alignment vertical="top"/>
      <protection locked="0"/>
    </xf>
    <xf numFmtId="10" fontId="220" fillId="0" borderId="486" xfId="88" applyNumberFormat="1" applyFont="1" applyFill="1" applyBorder="1" applyAlignment="1" applyProtection="1">
      <alignment vertical="top"/>
      <protection locked="0"/>
    </xf>
    <xf numFmtId="10" fontId="220" fillId="0" borderId="556" xfId="88" applyNumberFormat="1" applyFont="1" applyFill="1" applyBorder="1" applyAlignment="1" applyProtection="1">
      <alignment vertical="top"/>
      <protection locked="0"/>
    </xf>
    <xf numFmtId="10" fontId="220" fillId="0" borderId="24" xfId="88" applyNumberFormat="1" applyFont="1" applyFill="1" applyBorder="1" applyAlignment="1" applyProtection="1">
      <alignment vertical="center"/>
      <protection locked="0"/>
    </xf>
    <xf numFmtId="10" fontId="220" fillId="0" borderId="557" xfId="88" applyNumberFormat="1" applyFont="1" applyFill="1" applyBorder="1" applyAlignment="1" applyProtection="1">
      <alignment vertical="top"/>
      <protection locked="0"/>
    </xf>
    <xf numFmtId="10" fontId="220" fillId="0" borderId="558" xfId="88" applyNumberFormat="1" applyFont="1" applyFill="1" applyBorder="1" applyAlignment="1">
      <alignment vertical="top"/>
    </xf>
    <xf numFmtId="10" fontId="220" fillId="0" borderId="397" xfId="88" applyNumberFormat="1" applyFont="1" applyFill="1" applyBorder="1" applyAlignment="1" applyProtection="1">
      <alignment vertical="top"/>
      <protection locked="0"/>
    </xf>
    <xf numFmtId="10" fontId="220" fillId="0" borderId="446" xfId="88" applyNumberFormat="1" applyFont="1" applyFill="1" applyBorder="1" applyAlignment="1">
      <alignment vertical="center"/>
    </xf>
    <xf numFmtId="10" fontId="27" fillId="16" borderId="558" xfId="88" applyNumberFormat="1" applyFont="1" applyFill="1" applyBorder="1" applyProtection="1">
      <protection locked="0"/>
    </xf>
    <xf numFmtId="183" fontId="21" fillId="0" borderId="558" xfId="88" applyNumberFormat="1" applyFont="1" applyBorder="1" applyProtection="1">
      <protection locked="0"/>
    </xf>
    <xf numFmtId="0" fontId="41" fillId="0" borderId="652" xfId="74" applyFont="1" applyFill="1" applyBorder="1"/>
    <xf numFmtId="0" fontId="46" fillId="0" borderId="653" xfId="74" applyFont="1" applyFill="1" applyBorder="1"/>
    <xf numFmtId="39" fontId="48" fillId="0" borderId="653" xfId="74" applyNumberFormat="1" applyFont="1" applyFill="1" applyBorder="1" applyProtection="1"/>
    <xf numFmtId="0" fontId="41" fillId="0" borderId="654" xfId="74" applyFont="1" applyFill="1" applyBorder="1"/>
    <xf numFmtId="43" fontId="46" fillId="0" borderId="647" xfId="62" applyFont="1" applyFill="1" applyBorder="1"/>
    <xf numFmtId="43" fontId="46" fillId="0" borderId="647" xfId="62" applyNumberFormat="1" applyFont="1" applyFill="1" applyBorder="1"/>
    <xf numFmtId="43" fontId="37" fillId="0" borderId="647" xfId="62" applyFont="1" applyFill="1" applyBorder="1"/>
    <xf numFmtId="43" fontId="48" fillId="0" borderId="647" xfId="74" applyNumberFormat="1" applyFont="1" applyFill="1" applyBorder="1" applyProtection="1"/>
    <xf numFmtId="43" fontId="46" fillId="0" borderId="648" xfId="74" applyNumberFormat="1" applyFont="1" applyFill="1" applyBorder="1"/>
    <xf numFmtId="43" fontId="46" fillId="0" borderId="647" xfId="62" applyFont="1" applyFill="1" applyBorder="1" applyProtection="1"/>
    <xf numFmtId="43" fontId="46" fillId="0" borderId="647" xfId="62" applyNumberFormat="1" applyFont="1" applyFill="1" applyBorder="1" applyProtection="1"/>
    <xf numFmtId="43" fontId="37" fillId="0" borderId="647" xfId="62" applyFont="1" applyFill="1" applyBorder="1" applyProtection="1"/>
    <xf numFmtId="0" fontId="41" fillId="0" borderId="655" xfId="74" applyFont="1" applyFill="1" applyBorder="1"/>
    <xf numFmtId="43" fontId="46" fillId="0" borderId="656" xfId="62" applyFont="1" applyFill="1" applyBorder="1" applyProtection="1"/>
    <xf numFmtId="43" fontId="46" fillId="0" borderId="656" xfId="62" applyNumberFormat="1" applyFont="1" applyFill="1" applyBorder="1" applyProtection="1"/>
    <xf numFmtId="43" fontId="37" fillId="0" borderId="656" xfId="62" applyFont="1" applyFill="1" applyBorder="1" applyProtection="1"/>
    <xf numFmtId="0" fontId="41" fillId="0" borderId="344" xfId="74" applyFont="1" applyFill="1" applyBorder="1"/>
    <xf numFmtId="43" fontId="46" fillId="0" borderId="166" xfId="62" applyFont="1" applyFill="1" applyBorder="1" applyAlignment="1">
      <alignment horizontal="center"/>
    </xf>
    <xf numFmtId="43" fontId="37" fillId="0" borderId="166" xfId="62" applyFont="1" applyFill="1" applyBorder="1"/>
    <xf numFmtId="43" fontId="41" fillId="0" borderId="166" xfId="62" applyFont="1" applyFill="1" applyBorder="1" applyAlignment="1">
      <alignment horizontal="center"/>
    </xf>
    <xf numFmtId="43" fontId="46" fillId="0" borderId="647" xfId="62" applyFont="1" applyFill="1" applyBorder="1" applyAlignment="1">
      <alignment horizontal="center"/>
    </xf>
    <xf numFmtId="43" fontId="41" fillId="0" borderId="647" xfId="62" applyFont="1" applyFill="1" applyBorder="1" applyAlignment="1">
      <alignment horizontal="center"/>
    </xf>
    <xf numFmtId="0" fontId="37" fillId="0" borderId="647" xfId="74" applyFont="1" applyFill="1" applyBorder="1"/>
    <xf numFmtId="39" fontId="37" fillId="0" borderId="647" xfId="74" applyNumberFormat="1" applyFont="1" applyFill="1" applyBorder="1" applyProtection="1"/>
    <xf numFmtId="39" fontId="37" fillId="0" borderId="656" xfId="74" applyNumberFormat="1" applyFont="1" applyFill="1" applyBorder="1" applyProtection="1"/>
    <xf numFmtId="43" fontId="46" fillId="0" borderId="166" xfId="62" applyNumberFormat="1" applyFont="1" applyFill="1" applyBorder="1" applyProtection="1"/>
    <xf numFmtId="43" fontId="46" fillId="0" borderId="166" xfId="62" applyFont="1" applyFill="1" applyBorder="1" applyProtection="1"/>
    <xf numFmtId="39" fontId="46" fillId="0" borderId="166" xfId="74" applyNumberFormat="1" applyFont="1" applyFill="1" applyBorder="1" applyProtection="1"/>
    <xf numFmtId="39" fontId="37" fillId="0" borderId="166" xfId="74" applyNumberFormat="1" applyFont="1" applyFill="1" applyBorder="1" applyProtection="1"/>
    <xf numFmtId="39" fontId="46" fillId="0" borderId="647" xfId="74" applyNumberFormat="1" applyFont="1" applyFill="1" applyBorder="1" applyProtection="1"/>
    <xf numFmtId="43" fontId="37" fillId="0" borderId="647" xfId="62" applyNumberFormat="1" applyFont="1" applyFill="1" applyBorder="1" applyProtection="1"/>
    <xf numFmtId="43" fontId="33" fillId="0" borderId="166" xfId="74" applyNumberFormat="1" applyFont="1" applyBorder="1"/>
    <xf numFmtId="43" fontId="22" fillId="0" borderId="166" xfId="93" applyNumberFormat="1" applyFont="1" applyBorder="1"/>
    <xf numFmtId="43" fontId="22" fillId="0" borderId="651" xfId="93" applyNumberFormat="1" applyFont="1" applyBorder="1"/>
    <xf numFmtId="43" fontId="33" fillId="0" borderId="651" xfId="74" applyNumberFormat="1" applyFont="1" applyBorder="1" applyProtection="1"/>
    <xf numFmtId="43" fontId="33" fillId="0" borderId="647" xfId="74" applyNumberFormat="1" applyFont="1" applyBorder="1"/>
    <xf numFmtId="43" fontId="22" fillId="0" borderId="647" xfId="93" applyNumberFormat="1" applyFont="1" applyBorder="1"/>
    <xf numFmtId="43" fontId="22" fillId="0" borderId="648" xfId="93" applyNumberFormat="1" applyFont="1" applyBorder="1"/>
    <xf numFmtId="43" fontId="33" fillId="0" borderId="648" xfId="74" applyNumberFormat="1" applyFont="1" applyBorder="1" applyProtection="1"/>
    <xf numFmtId="43" fontId="22" fillId="0" borderId="647" xfId="93" applyNumberFormat="1" applyFont="1" applyBorder="1" applyProtection="1"/>
    <xf numFmtId="43" fontId="22" fillId="0" borderId="648" xfId="93" applyNumberFormat="1" applyFont="1" applyBorder="1" applyProtection="1"/>
    <xf numFmtId="43" fontId="33" fillId="0" borderId="656" xfId="74" applyNumberFormat="1" applyFont="1" applyBorder="1"/>
    <xf numFmtId="43" fontId="22" fillId="0" borderId="656" xfId="93" applyNumberFormat="1" applyFont="1" applyBorder="1" applyProtection="1"/>
    <xf numFmtId="43" fontId="22" fillId="0" borderId="658" xfId="93" applyNumberFormat="1" applyFont="1" applyBorder="1" applyProtection="1"/>
    <xf numFmtId="43" fontId="33" fillId="0" borderId="658" xfId="74" applyNumberFormat="1" applyFont="1" applyBorder="1" applyProtection="1"/>
    <xf numFmtId="43" fontId="22" fillId="0" borderId="166" xfId="74" applyNumberFormat="1" applyFont="1" applyBorder="1" applyProtection="1"/>
    <xf numFmtId="43" fontId="22" fillId="0" borderId="651" xfId="74" applyNumberFormat="1" applyFont="1" applyBorder="1" applyProtection="1"/>
    <xf numFmtId="43" fontId="22" fillId="0" borderId="647" xfId="74" applyNumberFormat="1" applyFont="1" applyBorder="1" applyProtection="1"/>
    <xf numFmtId="43" fontId="22" fillId="0" borderId="648" xfId="74" applyNumberFormat="1" applyFont="1" applyBorder="1" applyProtection="1"/>
    <xf numFmtId="43" fontId="22" fillId="0" borderId="656" xfId="74" applyNumberFormat="1" applyFont="1" applyBorder="1" applyProtection="1"/>
    <xf numFmtId="43" fontId="22" fillId="0" borderId="658" xfId="74" applyNumberFormat="1" applyFont="1" applyBorder="1" applyProtection="1"/>
    <xf numFmtId="43" fontId="22" fillId="0" borderId="166" xfId="93" applyNumberFormat="1" applyFont="1" applyBorder="1" applyProtection="1"/>
    <xf numFmtId="43" fontId="22" fillId="0" borderId="651" xfId="93" applyNumberFormat="1" applyFont="1" applyBorder="1" applyProtection="1"/>
    <xf numFmtId="0" fontId="220" fillId="0" borderId="0" xfId="74" applyFont="1" applyFill="1"/>
    <xf numFmtId="0" fontId="221" fillId="0" borderId="0" xfId="74" applyFont="1" applyFill="1" applyAlignment="1">
      <alignment horizontal="center"/>
    </xf>
    <xf numFmtId="0" fontId="223" fillId="0" borderId="0" xfId="74" applyFont="1" applyFill="1" applyAlignment="1">
      <alignment vertical="top" wrapText="1"/>
    </xf>
    <xf numFmtId="0" fontId="220" fillId="0" borderId="397" xfId="74" applyFont="1" applyFill="1" applyBorder="1" applyAlignment="1">
      <alignment horizontal="center"/>
    </xf>
    <xf numFmtId="0" fontId="220" fillId="0" borderId="397" xfId="74" applyFont="1" applyFill="1" applyBorder="1" applyAlignment="1">
      <alignment horizontal="center" wrapText="1"/>
    </xf>
    <xf numFmtId="0" fontId="221" fillId="0" borderId="3" xfId="74" applyFont="1" applyFill="1" applyBorder="1"/>
    <xf numFmtId="0" fontId="221" fillId="0" borderId="3" xfId="74" applyFont="1" applyFill="1" applyBorder="1" applyAlignment="1">
      <alignment horizontal="center"/>
    </xf>
    <xf numFmtId="0" fontId="220" fillId="0" borderId="295" xfId="74" applyFont="1" applyFill="1" applyBorder="1" applyAlignment="1">
      <alignment horizontal="center"/>
    </xf>
    <xf numFmtId="43" fontId="220" fillId="0" borderId="45" xfId="74" applyNumberFormat="1" applyFont="1" applyFill="1" applyBorder="1" applyAlignment="1">
      <alignment horizontal="center"/>
    </xf>
    <xf numFmtId="0" fontId="221" fillId="0" borderId="14" xfId="74" applyFont="1" applyFill="1" applyBorder="1"/>
    <xf numFmtId="0" fontId="221" fillId="0" borderId="5" xfId="74" applyFont="1" applyFill="1" applyBorder="1" applyAlignment="1">
      <alignment horizontal="center"/>
    </xf>
    <xf numFmtId="0" fontId="221" fillId="0" borderId="16" xfId="74" applyFont="1" applyFill="1" applyBorder="1"/>
    <xf numFmtId="0" fontId="220" fillId="0" borderId="89" xfId="74" applyFont="1" applyFill="1" applyBorder="1"/>
    <xf numFmtId="0" fontId="220" fillId="0" borderId="166" xfId="74" applyFont="1" applyFill="1" applyBorder="1"/>
    <xf numFmtId="43" fontId="220" fillId="0" borderId="166" xfId="75" applyFont="1" applyFill="1" applyBorder="1" applyAlignment="1">
      <alignment horizontal="center"/>
    </xf>
    <xf numFmtId="43" fontId="220" fillId="0" borderId="166" xfId="75" applyFont="1" applyFill="1" applyBorder="1" applyProtection="1"/>
    <xf numFmtId="43" fontId="220" fillId="0" borderId="166" xfId="75" applyFont="1" applyFill="1" applyBorder="1"/>
    <xf numFmtId="39" fontId="220" fillId="0" borderId="651" xfId="74" applyNumberFormat="1" applyFont="1" applyFill="1" applyBorder="1" applyProtection="1"/>
    <xf numFmtId="0" fontId="220" fillId="0" borderId="647" xfId="74" applyFont="1" applyFill="1" applyBorder="1"/>
    <xf numFmtId="43" fontId="220" fillId="0" borderId="647" xfId="75" applyFont="1" applyFill="1" applyBorder="1" applyAlignment="1">
      <alignment horizontal="center"/>
    </xf>
    <xf numFmtId="43" fontId="220" fillId="0" borderId="647" xfId="75" applyFont="1" applyFill="1" applyBorder="1" applyProtection="1"/>
    <xf numFmtId="43" fontId="220" fillId="0" borderId="647" xfId="75" applyFont="1" applyFill="1" applyBorder="1"/>
    <xf numFmtId="39" fontId="220" fillId="0" borderId="648" xfId="74" applyNumberFormat="1" applyFont="1" applyFill="1" applyBorder="1" applyProtection="1"/>
    <xf numFmtId="0" fontId="220" fillId="0" borderId="656" xfId="74" applyFont="1" applyFill="1" applyBorder="1"/>
    <xf numFmtId="43" fontId="220" fillId="0" borderId="656" xfId="75" applyFont="1" applyFill="1" applyBorder="1" applyAlignment="1">
      <alignment horizontal="center"/>
    </xf>
    <xf numFmtId="43" fontId="220" fillId="0" borderId="656" xfId="75" applyFont="1" applyFill="1" applyBorder="1" applyProtection="1"/>
    <xf numFmtId="43" fontId="220" fillId="0" borderId="656" xfId="75" applyFont="1" applyFill="1" applyBorder="1"/>
    <xf numFmtId="39" fontId="220" fillId="0" borderId="658" xfId="74" applyNumberFormat="1" applyFont="1" applyFill="1" applyBorder="1" applyProtection="1"/>
    <xf numFmtId="43" fontId="220" fillId="0" borderId="166" xfId="74" applyNumberFormat="1" applyFont="1" applyFill="1" applyBorder="1" applyAlignment="1">
      <alignment horizontal="center"/>
    </xf>
    <xf numFmtId="43" fontId="221" fillId="0" borderId="166" xfId="74" applyNumberFormat="1" applyFont="1" applyFill="1" applyBorder="1" applyProtection="1"/>
    <xf numFmtId="43" fontId="221" fillId="0" borderId="166" xfId="75" applyNumberFormat="1" applyFont="1" applyFill="1" applyBorder="1"/>
    <xf numFmtId="43" fontId="220" fillId="0" borderId="647" xfId="74" applyNumberFormat="1" applyFont="1" applyFill="1" applyBorder="1" applyAlignment="1">
      <alignment horizontal="center"/>
    </xf>
    <xf numFmtId="43" fontId="221" fillId="0" borderId="647" xfId="74" applyNumberFormat="1" applyFont="1" applyFill="1" applyBorder="1" applyProtection="1"/>
    <xf numFmtId="43" fontId="221" fillId="0" borderId="647" xfId="75" applyNumberFormat="1" applyFont="1" applyFill="1" applyBorder="1" applyProtection="1"/>
    <xf numFmtId="39" fontId="221" fillId="0" borderId="647" xfId="74" applyNumberFormat="1" applyFont="1" applyFill="1" applyBorder="1" applyProtection="1"/>
    <xf numFmtId="43" fontId="221" fillId="0" borderId="647" xfId="75" applyFont="1" applyFill="1" applyBorder="1"/>
    <xf numFmtId="43" fontId="220" fillId="0" borderId="656" xfId="74" applyNumberFormat="1" applyFont="1" applyFill="1" applyBorder="1" applyAlignment="1">
      <alignment horizontal="center"/>
    </xf>
    <xf numFmtId="43" fontId="221" fillId="0" borderId="656" xfId="74" applyNumberFormat="1" applyFont="1" applyFill="1" applyBorder="1" applyProtection="1"/>
    <xf numFmtId="39" fontId="221" fillId="0" borderId="656" xfId="74" applyNumberFormat="1" applyFont="1" applyFill="1" applyBorder="1" applyProtection="1"/>
    <xf numFmtId="43" fontId="221" fillId="0" borderId="656" xfId="75" applyFont="1" applyFill="1" applyBorder="1"/>
    <xf numFmtId="43" fontId="221" fillId="0" borderId="166" xfId="75" applyFont="1" applyFill="1" applyBorder="1"/>
    <xf numFmtId="43" fontId="46" fillId="0" borderId="646" xfId="1" applyFont="1" applyFill="1" applyBorder="1"/>
    <xf numFmtId="43" fontId="37" fillId="0" borderId="646" xfId="1" applyFont="1" applyFill="1" applyBorder="1"/>
    <xf numFmtId="43" fontId="41" fillId="0" borderId="2" xfId="1" applyFont="1" applyFill="1" applyBorder="1"/>
    <xf numFmtId="0" fontId="41" fillId="0" borderId="657" xfId="1" applyNumberFormat="1" applyFont="1" applyFill="1" applyBorder="1"/>
    <xf numFmtId="0" fontId="48" fillId="0" borderId="570" xfId="74" applyFont="1" applyFill="1" applyBorder="1" applyAlignment="1">
      <alignment horizontal="center"/>
    </xf>
    <xf numFmtId="0" fontId="48" fillId="0" borderId="295" xfId="74" applyFont="1" applyFill="1" applyBorder="1" applyAlignment="1">
      <alignment horizontal="center"/>
    </xf>
    <xf numFmtId="0" fontId="37" fillId="0" borderId="295" xfId="74" applyFont="1" applyFill="1" applyBorder="1" applyAlignment="1">
      <alignment horizontal="center"/>
    </xf>
    <xf numFmtId="39" fontId="37" fillId="0" borderId="650" xfId="74" applyNumberFormat="1" applyFont="1" applyFill="1" applyBorder="1" applyProtection="1"/>
    <xf numFmtId="0" fontId="37" fillId="0" borderId="295" xfId="74" applyFont="1" applyFill="1" applyBorder="1"/>
    <xf numFmtId="43" fontId="37" fillId="0" borderId="650" xfId="62" applyFont="1" applyFill="1" applyBorder="1"/>
    <xf numFmtId="0" fontId="19" fillId="0" borderId="387" xfId="24" applyFont="1" applyBorder="1" applyAlignment="1"/>
    <xf numFmtId="0" fontId="19" fillId="0" borderId="246" xfId="24" applyFont="1" applyBorder="1" applyAlignment="1"/>
    <xf numFmtId="0" fontId="19" fillId="0" borderId="295" xfId="24" applyFont="1" applyBorder="1" applyAlignment="1"/>
    <xf numFmtId="0" fontId="19" fillId="0" borderId="0" xfId="24" applyBorder="1"/>
    <xf numFmtId="0" fontId="220" fillId="0" borderId="0" xfId="21" applyFont="1" applyFill="1"/>
    <xf numFmtId="0" fontId="220" fillId="0" borderId="0" xfId="21" applyFont="1" applyFill="1" applyAlignment="1">
      <alignment vertical="center"/>
    </xf>
    <xf numFmtId="43" fontId="221" fillId="0" borderId="0" xfId="21" applyNumberFormat="1" applyFont="1" applyFill="1"/>
    <xf numFmtId="0" fontId="221" fillId="0" borderId="0" xfId="21" applyFont="1" applyFill="1" applyAlignment="1">
      <alignment vertical="center"/>
    </xf>
    <xf numFmtId="0" fontId="221" fillId="0" borderId="0" xfId="21" applyFont="1" applyFill="1" applyAlignment="1">
      <alignment horizontal="center"/>
    </xf>
    <xf numFmtId="0" fontId="220" fillId="0" borderId="387" xfId="21" applyFont="1" applyFill="1" applyBorder="1" applyAlignment="1">
      <alignment horizontal="center"/>
    </xf>
    <xf numFmtId="0" fontId="220" fillId="0" borderId="295" xfId="21" applyFont="1" applyFill="1" applyBorder="1" applyAlignment="1">
      <alignment horizontal="center"/>
    </xf>
    <xf numFmtId="0" fontId="220" fillId="0" borderId="570" xfId="21" applyFont="1" applyFill="1" applyBorder="1" applyAlignment="1">
      <alignment horizontal="center"/>
    </xf>
    <xf numFmtId="0" fontId="221" fillId="0" borderId="415" xfId="21" applyFont="1" applyFill="1" applyBorder="1" applyAlignment="1">
      <alignment horizontal="center"/>
    </xf>
    <xf numFmtId="43" fontId="221" fillId="0" borderId="536" xfId="1" applyFont="1" applyFill="1" applyBorder="1" applyAlignment="1">
      <alignment horizontal="center"/>
    </xf>
    <xf numFmtId="0" fontId="221" fillId="0" borderId="295" xfId="21" applyFont="1" applyFill="1" applyBorder="1" applyAlignment="1">
      <alignment horizontal="center"/>
    </xf>
    <xf numFmtId="43" fontId="221" fillId="0" borderId="285" xfId="1" applyFont="1" applyFill="1" applyBorder="1" applyAlignment="1">
      <alignment horizontal="center"/>
    </xf>
    <xf numFmtId="0" fontId="221" fillId="0" borderId="295" xfId="21" applyFont="1" applyFill="1" applyBorder="1"/>
    <xf numFmtId="43" fontId="221" fillId="0" borderId="285" xfId="1" applyFont="1" applyFill="1" applyBorder="1"/>
    <xf numFmtId="43" fontId="221" fillId="0" borderId="295" xfId="1" applyFont="1" applyFill="1" applyBorder="1"/>
    <xf numFmtId="43" fontId="221" fillId="0" borderId="295" xfId="62" applyFont="1" applyFill="1" applyBorder="1"/>
    <xf numFmtId="43" fontId="221" fillId="0" borderId="295" xfId="62" applyFont="1" applyFill="1" applyBorder="1" applyAlignment="1">
      <alignment horizontal="right"/>
    </xf>
    <xf numFmtId="43" fontId="221" fillId="0" borderId="285" xfId="1" applyFont="1" applyFill="1" applyBorder="1" applyAlignment="1">
      <alignment horizontal="right"/>
    </xf>
    <xf numFmtId="0" fontId="221" fillId="0" borderId="246" xfId="21" applyFont="1" applyFill="1" applyBorder="1" applyAlignment="1">
      <alignment horizontal="center"/>
    </xf>
    <xf numFmtId="43" fontId="221" fillId="0" borderId="246" xfId="62" applyFont="1" applyFill="1" applyBorder="1"/>
    <xf numFmtId="0" fontId="220" fillId="0" borderId="246" xfId="21" applyFont="1" applyFill="1" applyBorder="1" applyAlignment="1">
      <alignment horizontal="center"/>
    </xf>
    <xf numFmtId="43" fontId="221" fillId="0" borderId="633" xfId="1" applyFont="1" applyFill="1" applyBorder="1" applyAlignment="1">
      <alignment horizontal="center"/>
    </xf>
    <xf numFmtId="43" fontId="221" fillId="0" borderId="634" xfId="1" applyFont="1" applyFill="1" applyBorder="1" applyAlignment="1">
      <alignment horizontal="center"/>
    </xf>
    <xf numFmtId="0" fontId="221" fillId="0" borderId="588" xfId="21" applyFont="1" applyFill="1" applyBorder="1"/>
    <xf numFmtId="43" fontId="221" fillId="0" borderId="295" xfId="21" applyNumberFormat="1" applyFont="1" applyFill="1" applyBorder="1"/>
    <xf numFmtId="43" fontId="220" fillId="0" borderId="295" xfId="21" applyNumberFormat="1" applyFont="1" applyFill="1" applyBorder="1"/>
    <xf numFmtId="43" fontId="220" fillId="0" borderId="285" xfId="1" applyFont="1" applyFill="1" applyBorder="1"/>
    <xf numFmtId="0" fontId="221" fillId="0" borderId="553" xfId="21" applyFont="1" applyFill="1" applyBorder="1"/>
    <xf numFmtId="43" fontId="221" fillId="0" borderId="642" xfId="21" applyNumberFormat="1" applyFont="1" applyFill="1" applyBorder="1"/>
    <xf numFmtId="43" fontId="221" fillId="0" borderId="632" xfId="1" applyFont="1" applyFill="1" applyBorder="1"/>
    <xf numFmtId="0" fontId="221" fillId="0" borderId="246" xfId="21" applyFont="1" applyFill="1" applyBorder="1"/>
    <xf numFmtId="0" fontId="220" fillId="0" borderId="0" xfId="46" applyFont="1" applyFill="1" applyAlignment="1" applyProtection="1">
      <alignment horizontal="center" vertical="center"/>
      <protection locked="0"/>
    </xf>
    <xf numFmtId="43" fontId="19" fillId="0" borderId="0" xfId="1" applyFont="1" applyFill="1"/>
    <xf numFmtId="0" fontId="221" fillId="0" borderId="0" xfId="21" applyFont="1" applyFill="1" applyAlignment="1">
      <alignment horizontal="center" vertical="center"/>
    </xf>
    <xf numFmtId="0" fontId="221" fillId="0" borderId="0" xfId="21" applyNumberFormat="1" applyFont="1" applyFill="1" applyAlignment="1">
      <alignment horizontal="center" vertical="center"/>
    </xf>
    <xf numFmtId="0" fontId="220" fillId="0" borderId="0" xfId="21" applyNumberFormat="1" applyFont="1" applyFill="1" applyAlignment="1">
      <alignment horizontal="center" vertical="center"/>
    </xf>
    <xf numFmtId="43" fontId="221" fillId="0" borderId="0" xfId="21" applyNumberFormat="1" applyFont="1" applyFill="1" applyAlignment="1">
      <alignment vertical="center"/>
    </xf>
    <xf numFmtId="0" fontId="221" fillId="0" borderId="0" xfId="21" applyFont="1" applyFill="1" applyBorder="1" applyAlignment="1">
      <alignment vertical="center"/>
    </xf>
    <xf numFmtId="0" fontId="221" fillId="0" borderId="0" xfId="21" applyFont="1" applyFill="1" applyBorder="1" applyAlignment="1">
      <alignment horizontal="center" vertical="center"/>
    </xf>
    <xf numFmtId="0" fontId="220" fillId="0" borderId="0" xfId="21" applyFont="1" applyFill="1" applyBorder="1" applyAlignment="1">
      <alignment vertical="center"/>
    </xf>
    <xf numFmtId="0" fontId="220" fillId="0" borderId="93" xfId="21" applyFont="1" applyFill="1" applyBorder="1" applyAlignment="1">
      <alignment horizontal="center" vertical="center"/>
    </xf>
    <xf numFmtId="43" fontId="220" fillId="0" borderId="632" xfId="1" applyFont="1" applyFill="1" applyBorder="1" applyAlignment="1">
      <alignment horizontal="center" vertical="center"/>
    </xf>
    <xf numFmtId="43" fontId="221" fillId="0" borderId="285" xfId="1" applyFont="1" applyFill="1" applyBorder="1" applyAlignment="1">
      <alignment horizontal="center" vertical="center"/>
    </xf>
    <xf numFmtId="0" fontId="221" fillId="0" borderId="295" xfId="21" applyFont="1" applyFill="1" applyBorder="1" applyAlignment="1">
      <alignment vertical="center"/>
    </xf>
    <xf numFmtId="0" fontId="221" fillId="0" borderId="295" xfId="21" applyFont="1" applyFill="1" applyBorder="1" applyAlignment="1">
      <alignment horizontal="center" vertical="center"/>
    </xf>
    <xf numFmtId="0" fontId="221" fillId="0" borderId="387" xfId="21" applyFont="1" applyFill="1" applyBorder="1" applyAlignment="1">
      <alignment vertical="center"/>
    </xf>
    <xf numFmtId="43" fontId="221" fillId="0" borderId="295" xfId="62" applyFont="1" applyFill="1" applyBorder="1" applyAlignment="1">
      <alignment vertical="center"/>
    </xf>
    <xf numFmtId="0" fontId="220" fillId="0" borderId="387" xfId="21" applyFont="1" applyFill="1" applyBorder="1" applyAlignment="1">
      <alignment vertical="center"/>
    </xf>
    <xf numFmtId="0" fontId="221" fillId="0" borderId="588" xfId="21" applyFont="1" applyFill="1" applyBorder="1" applyAlignment="1">
      <alignment vertical="center"/>
    </xf>
    <xf numFmtId="43" fontId="221" fillId="0" borderId="0" xfId="21" applyNumberFormat="1" applyFont="1" applyFill="1" applyAlignment="1">
      <alignment horizontal="center" vertical="center"/>
    </xf>
    <xf numFmtId="43" fontId="221" fillId="0" borderId="295" xfId="21" applyNumberFormat="1" applyFont="1" applyFill="1" applyBorder="1" applyAlignment="1">
      <alignment vertical="center"/>
    </xf>
    <xf numFmtId="0" fontId="220" fillId="0" borderId="632" xfId="21" applyFont="1" applyFill="1" applyBorder="1" applyAlignment="1">
      <alignment horizontal="center" vertical="center"/>
    </xf>
    <xf numFmtId="0" fontId="221" fillId="0" borderId="285" xfId="21" applyFont="1" applyFill="1" applyBorder="1" applyAlignment="1">
      <alignment horizontal="center" vertical="center"/>
    </xf>
    <xf numFmtId="0" fontId="221" fillId="0" borderId="285" xfId="21" applyFont="1" applyFill="1" applyBorder="1" applyAlignment="1">
      <alignment vertical="center"/>
    </xf>
    <xf numFmtId="43" fontId="221" fillId="0" borderId="285" xfId="62" applyFont="1" applyFill="1" applyBorder="1" applyAlignment="1">
      <alignment vertical="center"/>
    </xf>
    <xf numFmtId="0" fontId="221" fillId="0" borderId="0" xfId="62" applyNumberFormat="1" applyFont="1" applyFill="1" applyBorder="1" applyAlignment="1">
      <alignment horizontal="center" vertical="center"/>
    </xf>
    <xf numFmtId="0" fontId="221" fillId="0" borderId="0" xfId="21" applyNumberFormat="1" applyFont="1" applyFill="1" applyBorder="1" applyAlignment="1">
      <alignment horizontal="center" vertical="center"/>
    </xf>
    <xf numFmtId="0" fontId="221" fillId="0" borderId="0" xfId="1" applyNumberFormat="1" applyFont="1" applyFill="1" applyBorder="1" applyAlignment="1">
      <alignment horizontal="center" vertical="center"/>
    </xf>
    <xf numFmtId="43" fontId="221" fillId="0" borderId="285" xfId="62" applyFont="1" applyFill="1" applyBorder="1" applyAlignment="1">
      <alignment horizontal="center" vertical="center"/>
    </xf>
    <xf numFmtId="43" fontId="220" fillId="0" borderId="632" xfId="62" applyFont="1" applyFill="1" applyBorder="1" applyAlignment="1">
      <alignment vertical="center"/>
    </xf>
    <xf numFmtId="0" fontId="221" fillId="0" borderId="0" xfId="21" applyNumberFormat="1" applyFont="1" applyFill="1" applyAlignment="1">
      <alignment horizontal="center"/>
    </xf>
    <xf numFmtId="0" fontId="221" fillId="0" borderId="0" xfId="21" applyFont="1" applyFill="1" applyAlignment="1"/>
    <xf numFmtId="43" fontId="220" fillId="0" borderId="633" xfId="62" applyFont="1" applyFill="1" applyBorder="1" applyAlignment="1">
      <alignment vertical="center"/>
    </xf>
    <xf numFmtId="43" fontId="220" fillId="0" borderId="634" xfId="62" applyFont="1" applyFill="1" applyBorder="1" applyAlignment="1">
      <alignment vertical="center"/>
    </xf>
    <xf numFmtId="43" fontId="220" fillId="0" borderId="588" xfId="21" applyNumberFormat="1" applyFont="1" applyFill="1" applyBorder="1" applyAlignment="1">
      <alignment vertical="center"/>
    </xf>
    <xf numFmtId="0" fontId="220" fillId="0" borderId="0" xfId="21" applyFont="1" applyFill="1" applyAlignment="1">
      <alignment horizontal="center" vertical="center"/>
    </xf>
    <xf numFmtId="43" fontId="220" fillId="0" borderId="0" xfId="21" applyNumberFormat="1" applyFont="1" applyFill="1" applyAlignment="1">
      <alignment vertical="center"/>
    </xf>
    <xf numFmtId="0" fontId="220" fillId="0" borderId="95" xfId="21" applyFont="1" applyFill="1" applyBorder="1" applyAlignment="1">
      <alignment vertical="center"/>
    </xf>
    <xf numFmtId="0" fontId="220" fillId="0" borderId="93" xfId="21" applyFont="1" applyFill="1" applyBorder="1" applyAlignment="1">
      <alignment horizontal="center"/>
    </xf>
    <xf numFmtId="0" fontId="221" fillId="0" borderId="387" xfId="21" applyFont="1" applyFill="1" applyBorder="1"/>
    <xf numFmtId="0" fontId="221" fillId="0" borderId="398" xfId="21" applyFont="1" applyFill="1" applyBorder="1"/>
    <xf numFmtId="43" fontId="221" fillId="0" borderId="398" xfId="1" applyFont="1" applyFill="1" applyBorder="1"/>
    <xf numFmtId="43" fontId="221" fillId="0" borderId="398" xfId="1" applyFont="1" applyFill="1" applyBorder="1" applyAlignment="1">
      <alignment horizontal="center"/>
    </xf>
    <xf numFmtId="0" fontId="221" fillId="0" borderId="249" xfId="21" applyFont="1" applyFill="1" applyBorder="1"/>
    <xf numFmtId="43" fontId="220" fillId="0" borderId="398" xfId="21" applyNumberFormat="1" applyFont="1" applyFill="1" applyBorder="1"/>
    <xf numFmtId="43" fontId="221" fillId="0" borderId="398" xfId="21" applyNumberFormat="1" applyFont="1" applyFill="1" applyBorder="1"/>
    <xf numFmtId="0" fontId="220" fillId="0" borderId="95" xfId="21" applyFont="1" applyFill="1" applyBorder="1"/>
    <xf numFmtId="43" fontId="221" fillId="0" borderId="398" xfId="62" applyFont="1" applyFill="1" applyBorder="1" applyAlignment="1">
      <alignment horizontal="right"/>
    </xf>
    <xf numFmtId="0" fontId="221" fillId="0" borderId="536" xfId="21" applyFont="1" applyFill="1" applyBorder="1" applyAlignment="1">
      <alignment horizontal="center"/>
    </xf>
    <xf numFmtId="0" fontId="221" fillId="0" borderId="285" xfId="21" applyFont="1" applyFill="1" applyBorder="1" applyAlignment="1">
      <alignment horizontal="center"/>
    </xf>
    <xf numFmtId="0" fontId="221" fillId="0" borderId="285" xfId="21" applyFont="1" applyFill="1" applyBorder="1"/>
    <xf numFmtId="43" fontId="220" fillId="0" borderId="285" xfId="21" applyNumberFormat="1" applyFont="1" applyFill="1" applyBorder="1"/>
    <xf numFmtId="43" fontId="221" fillId="0" borderId="285" xfId="21" applyNumberFormat="1" applyFont="1" applyFill="1" applyBorder="1"/>
    <xf numFmtId="43" fontId="221" fillId="0" borderId="285" xfId="62" applyFont="1" applyFill="1" applyBorder="1"/>
    <xf numFmtId="43" fontId="221" fillId="0" borderId="285" xfId="62" applyFont="1" applyFill="1" applyBorder="1" applyAlignment="1">
      <alignment horizontal="right"/>
    </xf>
    <xf numFmtId="43" fontId="221" fillId="0" borderId="255" xfId="62" applyFont="1" applyFill="1" applyBorder="1"/>
    <xf numFmtId="0" fontId="221" fillId="0" borderId="415" xfId="21" applyFont="1" applyFill="1" applyBorder="1"/>
    <xf numFmtId="43" fontId="220" fillId="0" borderId="570" xfId="62" applyFont="1" applyFill="1" applyBorder="1"/>
    <xf numFmtId="43" fontId="220" fillId="0" borderId="570" xfId="1" applyFont="1" applyFill="1" applyBorder="1"/>
    <xf numFmtId="0" fontId="220" fillId="0" borderId="445" xfId="21" applyFont="1" applyFill="1" applyBorder="1"/>
    <xf numFmtId="0" fontId="221" fillId="0" borderId="0" xfId="21" applyFont="1" applyFill="1" applyAlignment="1">
      <alignment vertical="top"/>
    </xf>
    <xf numFmtId="0" fontId="221" fillId="0" borderId="559" xfId="21" applyFont="1" applyFill="1" applyBorder="1"/>
    <xf numFmtId="0" fontId="220" fillId="0" borderId="0" xfId="21" applyFont="1" applyFill="1" applyBorder="1"/>
    <xf numFmtId="0" fontId="220" fillId="0" borderId="0" xfId="21" applyFont="1" applyFill="1" applyBorder="1" applyAlignment="1">
      <alignment horizontal="center"/>
    </xf>
    <xf numFmtId="43" fontId="220" fillId="0" borderId="0" xfId="21" applyNumberFormat="1" applyFont="1" applyFill="1" applyBorder="1"/>
    <xf numFmtId="0" fontId="221" fillId="0" borderId="663" xfId="21" applyFont="1" applyFill="1" applyBorder="1"/>
    <xf numFmtId="0" fontId="220" fillId="0" borderId="0" xfId="21" applyFont="1" applyFill="1" applyAlignment="1">
      <alignment vertical="top"/>
    </xf>
    <xf numFmtId="0" fontId="220" fillId="0" borderId="20" xfId="21" applyFont="1" applyFill="1" applyBorder="1"/>
    <xf numFmtId="0" fontId="221" fillId="0" borderId="20" xfId="21" applyFont="1" applyFill="1" applyBorder="1"/>
    <xf numFmtId="43" fontId="220" fillId="0" borderId="20" xfId="21" applyNumberFormat="1" applyFont="1" applyFill="1" applyBorder="1"/>
    <xf numFmtId="43" fontId="221" fillId="0" borderId="0" xfId="21" applyNumberFormat="1" applyFont="1" applyFill="1" applyBorder="1"/>
    <xf numFmtId="43" fontId="221" fillId="0" borderId="0" xfId="21" applyNumberFormat="1" applyFont="1" applyFill="1" applyBorder="1" applyAlignment="1">
      <alignment vertical="center"/>
    </xf>
    <xf numFmtId="0" fontId="220" fillId="0" borderId="559" xfId="21" applyFont="1" applyFill="1" applyBorder="1"/>
    <xf numFmtId="0" fontId="220" fillId="0" borderId="559" xfId="21" applyFont="1" applyFill="1" applyBorder="1" applyAlignment="1">
      <alignment horizontal="center"/>
    </xf>
    <xf numFmtId="43" fontId="220" fillId="0" borderId="559" xfId="21" applyNumberFormat="1" applyFont="1" applyFill="1" applyBorder="1"/>
    <xf numFmtId="43" fontId="221" fillId="0" borderId="0" xfId="62" applyFont="1" applyFill="1"/>
    <xf numFmtId="0" fontId="220" fillId="0" borderId="20" xfId="21" applyFont="1" applyFill="1" applyBorder="1" applyAlignment="1">
      <alignment horizontal="center"/>
    </xf>
    <xf numFmtId="0" fontId="19" fillId="0" borderId="0" xfId="0" applyFont="1" applyFill="1" applyBorder="1" applyAlignment="1">
      <alignment horizontal="left"/>
    </xf>
    <xf numFmtId="43" fontId="221" fillId="0" borderId="0" xfId="62" applyFont="1" applyFill="1" applyAlignment="1">
      <alignment vertical="center"/>
    </xf>
    <xf numFmtId="0" fontId="221" fillId="0" borderId="0" xfId="21" applyFont="1" applyFill="1" applyAlignment="1">
      <alignment horizontal="right"/>
    </xf>
    <xf numFmtId="43" fontId="19" fillId="0" borderId="0" xfId="7" applyFont="1" applyFill="1" applyAlignment="1">
      <alignment horizontal="right"/>
    </xf>
    <xf numFmtId="0" fontId="220" fillId="0" borderId="0" xfId="21" applyFont="1" applyFill="1" applyAlignment="1">
      <alignment horizontal="center"/>
    </xf>
    <xf numFmtId="0" fontId="221" fillId="0" borderId="0" xfId="21" applyFont="1" applyFill="1" applyAlignment="1">
      <alignment horizontal="center" vertical="top"/>
    </xf>
    <xf numFmtId="0" fontId="320" fillId="0" borderId="0" xfId="30" applyFont="1" applyFill="1" applyAlignment="1">
      <alignment vertical="center"/>
    </xf>
    <xf numFmtId="0" fontId="320" fillId="0" borderId="0" xfId="30" applyFont="1" applyFill="1" applyAlignment="1" applyProtection="1">
      <alignment vertical="center"/>
      <protection locked="0"/>
    </xf>
    <xf numFmtId="0" fontId="319" fillId="0" borderId="0" xfId="30" applyFont="1" applyFill="1" applyAlignment="1" applyProtection="1">
      <alignment horizontal="centerContinuous" vertical="center"/>
      <protection locked="0"/>
    </xf>
    <xf numFmtId="0" fontId="320" fillId="0" borderId="0" xfId="30" applyFont="1" applyFill="1" applyAlignment="1" applyProtection="1">
      <alignment horizontal="center" vertical="center"/>
      <protection locked="0"/>
    </xf>
    <xf numFmtId="4" fontId="320" fillId="0" borderId="0" xfId="30" applyNumberFormat="1" applyFont="1" applyFill="1" applyAlignment="1" applyProtection="1">
      <alignment horizontal="centerContinuous" vertical="center"/>
      <protection locked="0"/>
    </xf>
    <xf numFmtId="10" fontId="320" fillId="0" borderId="0" xfId="88" applyNumberFormat="1" applyFont="1" applyFill="1" applyAlignment="1" applyProtection="1">
      <alignment horizontal="centerContinuous" vertical="center"/>
      <protection locked="0"/>
    </xf>
    <xf numFmtId="0" fontId="278" fillId="0" borderId="0" xfId="30" applyFont="1" applyFill="1" applyAlignment="1" applyProtection="1">
      <alignment vertical="center"/>
      <protection locked="0"/>
    </xf>
    <xf numFmtId="0" fontId="278" fillId="0" borderId="0" xfId="30" applyFont="1" applyFill="1" applyAlignment="1" applyProtection="1">
      <alignment horizontal="center" vertical="center"/>
      <protection locked="0"/>
    </xf>
    <xf numFmtId="4" fontId="278" fillId="0" borderId="0" xfId="30" applyNumberFormat="1" applyFont="1" applyFill="1" applyAlignment="1" applyProtection="1">
      <alignment vertical="center"/>
      <protection locked="0"/>
    </xf>
    <xf numFmtId="10" fontId="278" fillId="0" borderId="0" xfId="88" applyNumberFormat="1" applyFont="1" applyFill="1" applyAlignment="1" applyProtection="1">
      <alignment vertical="center"/>
      <protection locked="0"/>
    </xf>
    <xf numFmtId="4" fontId="320" fillId="0" borderId="0" xfId="30" applyNumberFormat="1" applyFont="1" applyFill="1" applyAlignment="1" applyProtection="1">
      <alignment vertical="center"/>
      <protection locked="0"/>
    </xf>
    <xf numFmtId="10" fontId="320" fillId="0" borderId="0" xfId="88" applyNumberFormat="1" applyFont="1" applyFill="1" applyAlignment="1" applyProtection="1">
      <alignment vertical="center"/>
      <protection locked="0"/>
    </xf>
    <xf numFmtId="0" fontId="320" fillId="0" borderId="0" xfId="30" applyFont="1" applyFill="1" applyBorder="1" applyAlignment="1" applyProtection="1">
      <alignment vertical="center"/>
      <protection locked="0"/>
    </xf>
    <xf numFmtId="0" fontId="320" fillId="0" borderId="0" xfId="30" applyFont="1" applyFill="1" applyBorder="1" applyAlignment="1" applyProtection="1">
      <alignment horizontal="center" vertical="center"/>
      <protection locked="0"/>
    </xf>
    <xf numFmtId="4" fontId="320" fillId="0" borderId="0" xfId="30" applyNumberFormat="1" applyFont="1" applyFill="1" applyBorder="1" applyAlignment="1" applyProtection="1">
      <alignment vertical="center"/>
      <protection locked="0"/>
    </xf>
    <xf numFmtId="10" fontId="320" fillId="0" borderId="0" xfId="88" applyNumberFormat="1" applyFont="1" applyFill="1" applyBorder="1" applyAlignment="1" applyProtection="1">
      <alignment vertical="center"/>
      <protection locked="0"/>
    </xf>
    <xf numFmtId="0" fontId="320" fillId="0" borderId="433" xfId="30" applyFont="1" applyFill="1" applyBorder="1" applyAlignment="1" applyProtection="1">
      <alignment vertical="center"/>
      <protection locked="0"/>
    </xf>
    <xf numFmtId="0" fontId="320" fillId="0" borderId="433" xfId="30" applyFont="1" applyFill="1" applyBorder="1" applyAlignment="1" applyProtection="1">
      <alignment horizontal="center" vertical="center"/>
      <protection locked="0"/>
    </xf>
    <xf numFmtId="4" fontId="320" fillId="0" borderId="433" xfId="30" applyNumberFormat="1" applyFont="1" applyFill="1" applyBorder="1" applyAlignment="1" applyProtection="1">
      <alignment vertical="center"/>
      <protection locked="0"/>
    </xf>
    <xf numFmtId="10" fontId="320" fillId="0" borderId="433" xfId="88" applyNumberFormat="1" applyFont="1" applyFill="1" applyBorder="1" applyAlignment="1" applyProtection="1">
      <alignment vertical="center"/>
      <protection locked="0"/>
    </xf>
    <xf numFmtId="0" fontId="278" fillId="0" borderId="0" xfId="30" applyFont="1" applyFill="1" applyBorder="1" applyAlignment="1" applyProtection="1">
      <alignment horizontal="center" vertical="center"/>
      <protection locked="0"/>
    </xf>
    <xf numFmtId="4" fontId="278" fillId="0" borderId="4" xfId="30" applyNumberFormat="1" applyFont="1" applyFill="1" applyBorder="1" applyAlignment="1" applyProtection="1">
      <alignment horizontal="center" vertical="center"/>
      <protection locked="0"/>
    </xf>
    <xf numFmtId="4" fontId="278" fillId="0" borderId="554" xfId="2" applyNumberFormat="1" applyFont="1" applyFill="1" applyBorder="1" applyAlignment="1">
      <alignment horizontal="center" vertical="center"/>
    </xf>
    <xf numFmtId="10" fontId="278" fillId="0" borderId="554" xfId="88" applyNumberFormat="1" applyFont="1" applyFill="1" applyBorder="1" applyAlignment="1">
      <alignment horizontal="center" vertical="center"/>
    </xf>
    <xf numFmtId="4" fontId="278" fillId="0" borderId="571" xfId="30" applyNumberFormat="1" applyFont="1" applyFill="1" applyBorder="1" applyAlignment="1" applyProtection="1">
      <alignment horizontal="center" vertical="center"/>
      <protection locked="0"/>
    </xf>
    <xf numFmtId="0" fontId="278" fillId="0" borderId="1" xfId="30" applyFont="1" applyFill="1" applyBorder="1" applyAlignment="1" applyProtection="1">
      <alignment horizontal="center" vertical="center"/>
      <protection locked="0"/>
    </xf>
    <xf numFmtId="0" fontId="278" fillId="0" borderId="8" xfId="30" applyNumberFormat="1" applyFont="1" applyFill="1" applyBorder="1" applyAlignment="1" applyProtection="1">
      <alignment horizontal="center" vertical="center"/>
      <protection locked="0"/>
    </xf>
    <xf numFmtId="0" fontId="278" fillId="0" borderId="434" xfId="2" applyNumberFormat="1" applyFont="1" applyFill="1" applyBorder="1" applyAlignment="1" applyProtection="1">
      <alignment horizontal="center" vertical="center"/>
      <protection locked="0"/>
    </xf>
    <xf numFmtId="0" fontId="278" fillId="0" borderId="434" xfId="88" applyNumberFormat="1" applyFont="1" applyFill="1" applyBorder="1" applyAlignment="1" applyProtection="1">
      <alignment horizontal="center" vertical="center"/>
      <protection locked="0"/>
    </xf>
    <xf numFmtId="0" fontId="320" fillId="0" borderId="5" xfId="30" applyFont="1" applyFill="1" applyBorder="1" applyAlignment="1" applyProtection="1">
      <alignment horizontal="center" vertical="center"/>
      <protection locked="0"/>
    </xf>
    <xf numFmtId="4" fontId="320" fillId="0" borderId="4" xfId="30" applyNumberFormat="1" applyFont="1" applyFill="1" applyBorder="1" applyAlignment="1" applyProtection="1">
      <alignment vertical="center"/>
      <protection locked="0"/>
    </xf>
    <xf numFmtId="4" fontId="320" fillId="0" borderId="558" xfId="30" applyNumberFormat="1" applyFont="1" applyFill="1" applyBorder="1" applyAlignment="1" applyProtection="1">
      <alignment vertical="center"/>
      <protection locked="0"/>
    </xf>
    <xf numFmtId="10" fontId="320" fillId="0" borderId="558" xfId="88" applyNumberFormat="1" applyFont="1" applyFill="1" applyBorder="1" applyAlignment="1" applyProtection="1">
      <alignment vertical="center"/>
      <protection locked="0"/>
    </xf>
    <xf numFmtId="0" fontId="320" fillId="0" borderId="300" xfId="30" applyFont="1" applyFill="1" applyBorder="1" applyAlignment="1" applyProtection="1">
      <alignment vertical="center"/>
      <protection locked="0"/>
    </xf>
    <xf numFmtId="0" fontId="320" fillId="0" borderId="0" xfId="47" applyFont="1" applyFill="1" applyBorder="1" applyAlignment="1" applyProtection="1">
      <alignment vertical="center"/>
      <protection locked="0"/>
    </xf>
    <xf numFmtId="43" fontId="320" fillId="0" borderId="0" xfId="1" applyFont="1" applyFill="1" applyAlignment="1">
      <alignment vertical="center"/>
    </xf>
    <xf numFmtId="0" fontId="320" fillId="0" borderId="0" xfId="54" applyFont="1" applyFill="1" applyBorder="1" applyAlignment="1">
      <alignment vertical="center"/>
    </xf>
    <xf numFmtId="4" fontId="320" fillId="0" borderId="452" xfId="30" applyNumberFormat="1" applyFont="1" applyFill="1" applyBorder="1" applyAlignment="1" applyProtection="1">
      <alignment vertical="center"/>
      <protection locked="0"/>
    </xf>
    <xf numFmtId="10" fontId="320" fillId="0" borderId="452" xfId="88" applyNumberFormat="1" applyFont="1" applyFill="1" applyBorder="1" applyAlignment="1" applyProtection="1">
      <alignment vertical="center"/>
      <protection locked="0"/>
    </xf>
    <xf numFmtId="0" fontId="320" fillId="0" borderId="0" xfId="30" applyFont="1" applyFill="1" applyBorder="1" applyAlignment="1">
      <alignment vertical="center"/>
    </xf>
    <xf numFmtId="0" fontId="278" fillId="0" borderId="0" xfId="30" applyFont="1" applyFill="1" applyBorder="1" applyAlignment="1" applyProtection="1">
      <alignment vertical="center"/>
      <protection locked="0"/>
    </xf>
    <xf numFmtId="4" fontId="278" fillId="0" borderId="570" xfId="30" applyNumberFormat="1" applyFont="1" applyFill="1" applyBorder="1" applyAlignment="1" applyProtection="1">
      <alignment vertical="center"/>
      <protection locked="0"/>
    </xf>
    <xf numFmtId="0" fontId="320" fillId="0" borderId="663" xfId="30" applyFont="1" applyFill="1" applyBorder="1" applyAlignment="1" applyProtection="1">
      <alignment vertical="center"/>
      <protection locked="0"/>
    </xf>
    <xf numFmtId="0" fontId="278" fillId="0" borderId="663" xfId="30" applyFont="1" applyFill="1" applyBorder="1" applyAlignment="1" applyProtection="1">
      <alignment vertical="center"/>
      <protection locked="0"/>
    </xf>
    <xf numFmtId="0" fontId="320" fillId="0" borderId="663" xfId="30" applyFont="1" applyFill="1" applyBorder="1" applyAlignment="1" applyProtection="1">
      <alignment horizontal="center" vertical="center"/>
      <protection locked="0"/>
    </xf>
    <xf numFmtId="4" fontId="278" fillId="0" borderId="663" xfId="30" applyNumberFormat="1" applyFont="1" applyFill="1" applyBorder="1" applyAlignment="1" applyProtection="1">
      <alignment vertical="center"/>
      <protection locked="0"/>
    </xf>
    <xf numFmtId="10" fontId="278" fillId="0" borderId="663" xfId="88" applyNumberFormat="1" applyFont="1" applyFill="1" applyBorder="1" applyAlignment="1" applyProtection="1">
      <alignment vertical="center"/>
      <protection locked="0"/>
    </xf>
    <xf numFmtId="10" fontId="278" fillId="0" borderId="434" xfId="88" applyNumberFormat="1" applyFont="1" applyFill="1" applyBorder="1" applyAlignment="1" applyProtection="1">
      <alignment horizontal="center" vertical="center"/>
      <protection locked="0"/>
    </xf>
    <xf numFmtId="10" fontId="278" fillId="0" borderId="510" xfId="88" applyNumberFormat="1" applyFont="1" applyFill="1" applyBorder="1" applyAlignment="1" applyProtection="1">
      <alignment vertical="center"/>
      <protection locked="0"/>
    </xf>
    <xf numFmtId="10" fontId="278" fillId="0" borderId="509" xfId="88" applyNumberFormat="1" applyFont="1" applyFill="1" applyBorder="1" applyAlignment="1" applyProtection="1">
      <alignment vertical="center"/>
      <protection locked="0"/>
    </xf>
    <xf numFmtId="10" fontId="278" fillId="0" borderId="557" xfId="88" applyNumberFormat="1" applyFont="1" applyFill="1" applyBorder="1" applyAlignment="1" applyProtection="1">
      <alignment vertical="center"/>
      <protection locked="0"/>
    </xf>
    <xf numFmtId="4" fontId="278" fillId="0" borderId="485" xfId="30" applyNumberFormat="1" applyFont="1" applyFill="1" applyBorder="1" applyAlignment="1" applyProtection="1">
      <alignment vertical="center"/>
      <protection locked="0"/>
    </xf>
    <xf numFmtId="10" fontId="278" fillId="0" borderId="485" xfId="88" applyNumberFormat="1" applyFont="1" applyFill="1" applyBorder="1" applyAlignment="1" applyProtection="1">
      <alignment vertical="center"/>
      <protection locked="0"/>
    </xf>
    <xf numFmtId="0" fontId="321" fillId="0" borderId="168" xfId="58" applyFont="1" applyFill="1" applyBorder="1" applyAlignment="1" applyProtection="1">
      <alignment vertical="center"/>
      <protection locked="0"/>
    </xf>
    <xf numFmtId="0" fontId="321" fillId="0" borderId="168" xfId="58" applyFont="1" applyFill="1" applyBorder="1" applyAlignment="1" applyProtection="1">
      <alignment horizontal="center" vertical="center"/>
      <protection locked="0"/>
    </xf>
    <xf numFmtId="4" fontId="321" fillId="0" borderId="168" xfId="58" applyNumberFormat="1" applyFont="1" applyFill="1" applyBorder="1" applyAlignment="1" applyProtection="1">
      <alignment vertical="center"/>
      <protection locked="0"/>
    </xf>
    <xf numFmtId="4" fontId="321" fillId="0" borderId="168" xfId="58" applyNumberFormat="1" applyFont="1" applyFill="1" applyBorder="1" applyAlignment="1">
      <alignment vertical="center"/>
    </xf>
    <xf numFmtId="10" fontId="321" fillId="0" borderId="168" xfId="88" applyNumberFormat="1" applyFont="1" applyFill="1" applyBorder="1" applyAlignment="1" applyProtection="1">
      <alignment vertical="center"/>
      <protection locked="0"/>
    </xf>
    <xf numFmtId="0" fontId="321" fillId="0" borderId="0" xfId="58" applyFont="1" applyFill="1" applyAlignment="1">
      <alignment vertical="center"/>
    </xf>
    <xf numFmtId="4" fontId="320" fillId="0" borderId="0" xfId="88" applyNumberFormat="1" applyFont="1" applyFill="1" applyAlignment="1">
      <alignment vertical="center"/>
    </xf>
    <xf numFmtId="0" fontId="320" fillId="0" borderId="0" xfId="2" applyFont="1" applyFill="1" applyAlignment="1" applyProtection="1">
      <alignment vertical="center"/>
      <protection locked="0"/>
    </xf>
    <xf numFmtId="4" fontId="320" fillId="0" borderId="0" xfId="2" applyNumberFormat="1" applyFont="1" applyFill="1" applyAlignment="1" applyProtection="1">
      <alignment vertical="center"/>
      <protection locked="0"/>
    </xf>
    <xf numFmtId="4" fontId="320" fillId="0" borderId="0" xfId="1" applyNumberFormat="1" applyFont="1" applyFill="1" applyAlignment="1" applyProtection="1">
      <alignment vertical="top"/>
      <protection locked="0"/>
    </xf>
    <xf numFmtId="4" fontId="320" fillId="0" borderId="0" xfId="2" applyNumberFormat="1" applyFont="1" applyFill="1" applyAlignment="1">
      <alignment vertical="center"/>
    </xf>
    <xf numFmtId="4" fontId="320" fillId="0" borderId="0" xfId="1" applyNumberFormat="1" applyFont="1" applyFill="1" applyAlignment="1">
      <alignment vertical="center"/>
    </xf>
    <xf numFmtId="0" fontId="278" fillId="0" borderId="0" xfId="30" applyFont="1" applyFill="1" applyAlignment="1">
      <alignment vertical="center"/>
    </xf>
    <xf numFmtId="0" fontId="278" fillId="0" borderId="0" xfId="2" applyFont="1" applyFill="1" applyAlignment="1" applyProtection="1">
      <alignment vertical="center"/>
      <protection locked="0"/>
    </xf>
    <xf numFmtId="4" fontId="278" fillId="0" borderId="0" xfId="1" applyNumberFormat="1" applyFont="1" applyFill="1" applyAlignment="1" applyProtection="1">
      <alignment horizontal="left"/>
      <protection locked="0"/>
    </xf>
    <xf numFmtId="4" fontId="278" fillId="0" borderId="0" xfId="2" applyNumberFormat="1" applyFont="1" applyFill="1" applyAlignment="1">
      <alignment vertical="center"/>
    </xf>
    <xf numFmtId="4" fontId="320" fillId="0" borderId="0" xfId="46" applyNumberFormat="1" applyFont="1" applyFill="1" applyAlignment="1" applyProtection="1">
      <alignment horizontal="left" vertical="center"/>
      <protection locked="0"/>
    </xf>
    <xf numFmtId="4" fontId="320" fillId="0" borderId="0" xfId="88" applyNumberFormat="1" applyFont="1" applyFill="1" applyAlignment="1" applyProtection="1">
      <alignment vertical="center"/>
      <protection locked="0"/>
    </xf>
    <xf numFmtId="0" fontId="320" fillId="0" borderId="0" xfId="30" applyFont="1" applyFill="1" applyAlignment="1">
      <alignment horizontal="center" vertical="center"/>
    </xf>
    <xf numFmtId="4" fontId="320" fillId="0" borderId="0" xfId="30" applyNumberFormat="1" applyFont="1" applyFill="1" applyAlignment="1">
      <alignment vertical="center"/>
    </xf>
    <xf numFmtId="10" fontId="320" fillId="0" borderId="0" xfId="88" applyNumberFormat="1" applyFont="1" applyFill="1" applyAlignment="1">
      <alignment vertical="center"/>
    </xf>
    <xf numFmtId="4" fontId="278" fillId="0" borderId="0" xfId="30" applyNumberFormat="1" applyFont="1" applyFill="1" applyBorder="1" applyAlignment="1" applyProtection="1">
      <alignment vertical="center"/>
      <protection locked="0"/>
    </xf>
    <xf numFmtId="10" fontId="278" fillId="0" borderId="0" xfId="88" applyNumberFormat="1" applyFont="1" applyFill="1" applyBorder="1" applyAlignment="1" applyProtection="1">
      <alignment vertical="center"/>
      <protection locked="0"/>
    </xf>
    <xf numFmtId="0" fontId="320" fillId="0" borderId="0" xfId="2" applyFont="1" applyFill="1" applyAlignment="1">
      <alignment vertical="center"/>
    </xf>
    <xf numFmtId="0" fontId="320" fillId="0" borderId="0" xfId="2" applyFont="1" applyFill="1" applyBorder="1" applyAlignment="1" applyProtection="1">
      <alignment vertical="center"/>
      <protection locked="0"/>
    </xf>
    <xf numFmtId="0" fontId="320" fillId="0" borderId="0" xfId="2" applyFont="1" applyFill="1" applyBorder="1" applyAlignment="1" applyProtection="1">
      <alignment horizontal="center" vertical="center"/>
      <protection locked="0"/>
    </xf>
    <xf numFmtId="4" fontId="320" fillId="0" borderId="0" xfId="2" applyNumberFormat="1" applyFont="1" applyFill="1" applyBorder="1" applyAlignment="1" applyProtection="1">
      <alignment vertical="center"/>
      <protection locked="0"/>
    </xf>
    <xf numFmtId="0" fontId="320" fillId="0" borderId="0" xfId="2" applyFont="1" applyFill="1" applyBorder="1" applyAlignment="1">
      <alignment vertical="center"/>
    </xf>
    <xf numFmtId="0" fontId="278" fillId="0" borderId="0" xfId="2" applyFont="1" applyFill="1" applyBorder="1" applyAlignment="1" applyProtection="1">
      <alignment horizontal="center" vertical="center"/>
      <protection locked="0"/>
    </xf>
    <xf numFmtId="0" fontId="278" fillId="0" borderId="195" xfId="2" applyFont="1" applyFill="1" applyBorder="1" applyAlignment="1" applyProtection="1">
      <alignment horizontal="center" vertical="center"/>
      <protection locked="0"/>
    </xf>
    <xf numFmtId="10" fontId="320" fillId="0" borderId="295" xfId="88" applyNumberFormat="1" applyFont="1" applyFill="1" applyBorder="1" applyAlignment="1" applyProtection="1">
      <alignment vertical="center"/>
      <protection locked="0"/>
    </xf>
    <xf numFmtId="10" fontId="320" fillId="0" borderId="295" xfId="88" applyNumberFormat="1" applyFont="1" applyFill="1" applyBorder="1" applyAlignment="1" applyProtection="1">
      <alignment vertical="center"/>
      <protection hidden="1"/>
    </xf>
    <xf numFmtId="10" fontId="320" fillId="0" borderId="295" xfId="88" applyNumberFormat="1" applyFont="1" applyFill="1" applyBorder="1" applyAlignment="1" applyProtection="1">
      <alignment vertical="center"/>
    </xf>
    <xf numFmtId="0" fontId="278" fillId="0" borderId="0" xfId="2" applyFont="1" applyFill="1" applyBorder="1" applyAlignment="1" applyProtection="1">
      <alignment vertical="center"/>
      <protection locked="0"/>
    </xf>
    <xf numFmtId="4" fontId="278" fillId="0" borderId="448" xfId="2" applyNumberFormat="1" applyFont="1" applyFill="1" applyBorder="1" applyAlignment="1" applyProtection="1">
      <alignment vertical="center"/>
      <protection locked="0"/>
    </xf>
    <xf numFmtId="4" fontId="278" fillId="0" borderId="569" xfId="2" applyNumberFormat="1" applyFont="1" applyFill="1" applyBorder="1" applyAlignment="1" applyProtection="1">
      <alignment vertical="center"/>
      <protection locked="0"/>
    </xf>
    <xf numFmtId="4" fontId="278" fillId="0" borderId="0" xfId="2" applyNumberFormat="1" applyFont="1" applyFill="1" applyBorder="1" applyAlignment="1" applyProtection="1">
      <alignment vertical="center"/>
      <protection locked="0"/>
    </xf>
    <xf numFmtId="10" fontId="278" fillId="0" borderId="558" xfId="88" applyNumberFormat="1" applyFont="1" applyFill="1" applyBorder="1" applyAlignment="1" applyProtection="1">
      <alignment horizontal="center" vertical="center"/>
      <protection locked="0"/>
    </xf>
    <xf numFmtId="0" fontId="320" fillId="0" borderId="402" xfId="2" applyFont="1" applyFill="1" applyBorder="1" applyAlignment="1" applyProtection="1">
      <alignment vertical="center"/>
      <protection locked="0"/>
    </xf>
    <xf numFmtId="10" fontId="278" fillId="0" borderId="295" xfId="88" applyNumberFormat="1" applyFont="1" applyFill="1" applyBorder="1" applyAlignment="1" applyProtection="1">
      <alignment vertical="center"/>
      <protection locked="0"/>
    </xf>
    <xf numFmtId="4" fontId="320" fillId="0" borderId="295" xfId="1" applyNumberFormat="1" applyFont="1" applyFill="1" applyBorder="1" applyAlignment="1" applyProtection="1">
      <alignment vertical="center"/>
      <protection locked="0"/>
    </xf>
    <xf numFmtId="4" fontId="320" fillId="0" borderId="254" xfId="1" applyNumberFormat="1" applyFont="1" applyFill="1" applyBorder="1" applyAlignment="1" applyProtection="1">
      <alignment vertical="center"/>
      <protection locked="0"/>
    </xf>
    <xf numFmtId="4" fontId="320" fillId="0" borderId="643" xfId="1" applyNumberFormat="1" applyFont="1" applyFill="1" applyBorder="1" applyAlignment="1" applyProtection="1">
      <alignment vertical="center"/>
      <protection locked="0"/>
    </xf>
    <xf numFmtId="43" fontId="320" fillId="0" borderId="0" xfId="2" applyNumberFormat="1" applyFont="1" applyFill="1" applyAlignment="1">
      <alignment vertical="center"/>
    </xf>
    <xf numFmtId="4" fontId="320" fillId="0" borderId="448" xfId="1" applyNumberFormat="1" applyFont="1" applyFill="1" applyBorder="1" applyAlignment="1" applyProtection="1">
      <alignment vertical="center"/>
      <protection locked="0"/>
    </xf>
    <xf numFmtId="10" fontId="320" fillId="0" borderId="448" xfId="88" applyNumberFormat="1" applyFont="1" applyFill="1" applyBorder="1" applyAlignment="1" applyProtection="1">
      <alignment vertical="center"/>
      <protection locked="0"/>
    </xf>
    <xf numFmtId="0" fontId="278" fillId="0" borderId="0" xfId="2" applyFont="1" applyFill="1" applyAlignment="1">
      <alignment vertical="center"/>
    </xf>
    <xf numFmtId="43" fontId="321" fillId="0" borderId="0" xfId="7" applyFont="1" applyFill="1" applyAlignment="1">
      <alignment vertical="center"/>
    </xf>
    <xf numFmtId="181" fontId="320" fillId="0" borderId="0" xfId="0" applyNumberFormat="1" applyFont="1" applyFill="1" applyAlignment="1">
      <alignment vertical="center"/>
    </xf>
    <xf numFmtId="0" fontId="320" fillId="0" borderId="0" xfId="0" applyFont="1" applyFill="1" applyAlignment="1">
      <alignment horizontal="center" vertical="center"/>
    </xf>
    <xf numFmtId="4" fontId="320" fillId="0" borderId="0" xfId="0" applyNumberFormat="1" applyFont="1" applyFill="1" applyAlignment="1">
      <alignment vertical="center"/>
    </xf>
    <xf numFmtId="181" fontId="278" fillId="0" borderId="0" xfId="0" applyNumberFormat="1" applyFont="1" applyFill="1" applyAlignment="1">
      <alignment vertical="center"/>
    </xf>
    <xf numFmtId="4" fontId="278" fillId="0" borderId="0" xfId="0" applyNumberFormat="1" applyFont="1" applyFill="1" applyAlignment="1">
      <alignment vertical="center"/>
    </xf>
    <xf numFmtId="10" fontId="278" fillId="0" borderId="0" xfId="88" applyNumberFormat="1" applyFont="1" applyFill="1" applyAlignment="1">
      <alignment vertical="center"/>
    </xf>
    <xf numFmtId="0" fontId="320" fillId="0" borderId="0" xfId="0" applyFont="1" applyFill="1" applyAlignment="1">
      <alignment vertical="center"/>
    </xf>
    <xf numFmtId="0" fontId="320" fillId="0" borderId="0" xfId="2" applyFont="1" applyFill="1" applyAlignment="1">
      <alignment horizontal="center" vertical="center"/>
    </xf>
    <xf numFmtId="10" fontId="278" fillId="0" borderId="570" xfId="88" applyNumberFormat="1" applyFont="1" applyFill="1" applyBorder="1" applyAlignment="1" applyProtection="1">
      <alignment vertical="center"/>
      <protection locked="0"/>
    </xf>
    <xf numFmtId="0" fontId="320" fillId="0" borderId="667" xfId="2" applyFont="1" applyFill="1" applyBorder="1" applyAlignment="1" applyProtection="1">
      <alignment vertical="center"/>
      <protection locked="0"/>
    </xf>
    <xf numFmtId="0" fontId="278" fillId="0" borderId="667" xfId="2" applyFont="1" applyFill="1" applyBorder="1" applyAlignment="1" applyProtection="1">
      <alignment vertical="center"/>
      <protection locked="0"/>
    </xf>
    <xf numFmtId="0" fontId="320" fillId="0" borderId="667" xfId="2" applyFont="1" applyFill="1" applyBorder="1" applyAlignment="1" applyProtection="1">
      <alignment horizontal="center" vertical="center"/>
      <protection locked="0"/>
    </xf>
    <xf numFmtId="4" fontId="278" fillId="0" borderId="667" xfId="2" applyNumberFormat="1" applyFont="1" applyFill="1" applyBorder="1" applyAlignment="1" applyProtection="1">
      <alignment vertical="center"/>
      <protection locked="0"/>
    </xf>
    <xf numFmtId="10" fontId="278" fillId="0" borderId="667" xfId="88" applyNumberFormat="1" applyFont="1" applyFill="1" applyBorder="1" applyAlignment="1" applyProtection="1">
      <alignment vertical="center"/>
      <protection locked="0"/>
    </xf>
    <xf numFmtId="0" fontId="320" fillId="0" borderId="433" xfId="2" applyFont="1" applyFill="1" applyBorder="1" applyAlignment="1" applyProtection="1">
      <alignment vertical="center"/>
      <protection locked="0"/>
    </xf>
    <xf numFmtId="0" fontId="278" fillId="0" borderId="433" xfId="2" applyFont="1" applyFill="1" applyBorder="1" applyAlignment="1" applyProtection="1">
      <alignment vertical="center"/>
      <protection locked="0"/>
    </xf>
    <xf numFmtId="0" fontId="320" fillId="0" borderId="433" xfId="2" applyFont="1" applyFill="1" applyBorder="1" applyAlignment="1" applyProtection="1">
      <alignment horizontal="center" vertical="center"/>
      <protection locked="0"/>
    </xf>
    <xf numFmtId="4" fontId="278" fillId="0" borderId="433" xfId="2" applyNumberFormat="1" applyFont="1" applyFill="1" applyBorder="1" applyAlignment="1" applyProtection="1">
      <alignment vertical="center"/>
      <protection locked="0"/>
    </xf>
    <xf numFmtId="10" fontId="278" fillId="0" borderId="433" xfId="88" applyNumberFormat="1" applyFont="1" applyFill="1" applyBorder="1" applyAlignment="1" applyProtection="1">
      <alignment vertical="center"/>
      <protection locked="0"/>
    </xf>
    <xf numFmtId="10" fontId="278" fillId="0" borderId="665" xfId="88" applyNumberFormat="1" applyFont="1" applyFill="1" applyBorder="1" applyAlignment="1" applyProtection="1">
      <alignment horizontal="center" vertical="center"/>
      <protection locked="0"/>
    </xf>
    <xf numFmtId="10" fontId="320" fillId="0" borderId="643" xfId="88" applyNumberFormat="1" applyFont="1" applyFill="1" applyBorder="1" applyAlignment="1" applyProtection="1">
      <alignment vertical="center"/>
      <protection locked="0"/>
    </xf>
    <xf numFmtId="0" fontId="320" fillId="0" borderId="195" xfId="30" applyFont="1" applyFill="1" applyBorder="1" applyAlignment="1" applyProtection="1">
      <alignment vertical="center"/>
      <protection locked="0"/>
    </xf>
    <xf numFmtId="0" fontId="320" fillId="0" borderId="195" xfId="30" applyFont="1" applyFill="1" applyBorder="1" applyAlignment="1" applyProtection="1">
      <alignment horizontal="center" vertical="center"/>
      <protection locked="0"/>
    </xf>
    <xf numFmtId="4" fontId="320" fillId="0" borderId="195" xfId="30" applyNumberFormat="1" applyFont="1" applyFill="1" applyBorder="1" applyAlignment="1" applyProtection="1">
      <alignment vertical="center"/>
      <protection locked="0"/>
    </xf>
    <xf numFmtId="49" fontId="320" fillId="0" borderId="2" xfId="36" applyNumberFormat="1" applyFont="1" applyFill="1" applyBorder="1" applyAlignment="1" applyProtection="1">
      <alignment vertical="center"/>
      <protection locked="0"/>
    </xf>
    <xf numFmtId="0" fontId="320" fillId="0" borderId="0" xfId="36" applyFont="1" applyFill="1" applyBorder="1" applyAlignment="1" applyProtection="1">
      <alignment vertical="center"/>
      <protection locked="0"/>
    </xf>
    <xf numFmtId="0" fontId="320" fillId="0" borderId="5" xfId="36" applyFont="1" applyFill="1" applyBorder="1" applyAlignment="1" applyProtection="1">
      <alignment horizontal="center" vertical="center"/>
      <protection locked="0"/>
    </xf>
    <xf numFmtId="4" fontId="320" fillId="0" borderId="4" xfId="36" applyNumberFormat="1" applyFont="1" applyFill="1" applyBorder="1" applyAlignment="1" applyProtection="1">
      <alignment vertical="center"/>
      <protection locked="0"/>
    </xf>
    <xf numFmtId="4" fontId="320" fillId="0" borderId="558" xfId="36" applyNumberFormat="1" applyFont="1" applyFill="1" applyBorder="1" applyAlignment="1" applyProtection="1">
      <alignment vertical="center"/>
      <protection locked="0"/>
    </xf>
    <xf numFmtId="0" fontId="320" fillId="0" borderId="295" xfId="36" applyFont="1" applyFill="1" applyBorder="1" applyAlignment="1" applyProtection="1">
      <alignment horizontal="center" vertical="center"/>
      <protection locked="0"/>
    </xf>
    <xf numFmtId="0" fontId="278" fillId="0" borderId="0" xfId="36" applyFont="1" applyFill="1" applyBorder="1" applyAlignment="1" applyProtection="1">
      <alignment vertical="center"/>
      <protection locked="0"/>
    </xf>
    <xf numFmtId="0" fontId="320" fillId="0" borderId="0" xfId="36" applyFont="1" applyFill="1" applyBorder="1" applyAlignment="1" applyProtection="1">
      <alignment horizontal="center" vertical="center"/>
      <protection locked="0"/>
    </xf>
    <xf numFmtId="4" fontId="278" fillId="0" borderId="0" xfId="36" applyNumberFormat="1" applyFont="1" applyFill="1" applyBorder="1" applyAlignment="1" applyProtection="1">
      <alignment vertical="center"/>
      <protection locked="0"/>
    </xf>
    <xf numFmtId="0" fontId="320" fillId="0" borderId="270" xfId="30" applyFont="1" applyFill="1" applyBorder="1" applyAlignment="1" applyProtection="1">
      <alignment vertical="center"/>
      <protection locked="0"/>
    </xf>
    <xf numFmtId="0" fontId="278" fillId="0" borderId="396" xfId="30" applyFont="1" applyFill="1" applyBorder="1" applyAlignment="1" applyProtection="1">
      <alignment horizontal="center" vertical="center"/>
      <protection locked="0"/>
    </xf>
    <xf numFmtId="0" fontId="278" fillId="0" borderId="313" xfId="30" applyFont="1" applyFill="1" applyBorder="1" applyAlignment="1" applyProtection="1">
      <alignment horizontal="center" vertical="center"/>
      <protection locked="0"/>
    </xf>
    <xf numFmtId="4" fontId="278" fillId="0" borderId="271" xfId="30" applyNumberFormat="1" applyFont="1" applyFill="1" applyBorder="1" applyAlignment="1" applyProtection="1">
      <alignment horizontal="center" vertical="center"/>
      <protection locked="0"/>
    </xf>
    <xf numFmtId="4" fontId="278" fillId="0" borderId="402" xfId="30" applyNumberFormat="1" applyFont="1" applyFill="1" applyBorder="1" applyAlignment="1" applyProtection="1">
      <alignment horizontal="center" vertical="center"/>
      <protection locked="0"/>
    </xf>
    <xf numFmtId="0" fontId="320" fillId="0" borderId="412" xfId="30" applyFont="1" applyFill="1" applyBorder="1" applyAlignment="1" applyProtection="1">
      <alignment vertical="center"/>
      <protection locked="0"/>
    </xf>
    <xf numFmtId="0" fontId="278" fillId="0" borderId="195" xfId="30" applyFont="1" applyFill="1" applyBorder="1" applyAlignment="1" applyProtection="1">
      <alignment horizontal="center" vertical="center"/>
      <protection locked="0"/>
    </xf>
    <xf numFmtId="0" fontId="278" fillId="0" borderId="493" xfId="30" applyNumberFormat="1" applyFont="1" applyFill="1" applyBorder="1" applyAlignment="1" applyProtection="1">
      <alignment horizontal="center" vertical="center"/>
      <protection locked="0"/>
    </xf>
    <xf numFmtId="0" fontId="278" fillId="0" borderId="665" xfId="30" applyNumberFormat="1" applyFont="1" applyFill="1" applyBorder="1" applyAlignment="1" applyProtection="1">
      <alignment horizontal="center" vertical="center"/>
      <protection locked="0"/>
    </xf>
    <xf numFmtId="4" fontId="320" fillId="0" borderId="295" xfId="30" applyNumberFormat="1" applyFont="1" applyFill="1" applyBorder="1" applyAlignment="1">
      <alignment vertical="center"/>
    </xf>
    <xf numFmtId="4" fontId="320" fillId="0" borderId="643" xfId="30" applyNumberFormat="1" applyFont="1" applyFill="1" applyBorder="1" applyAlignment="1">
      <alignment vertical="center"/>
    </xf>
    <xf numFmtId="4" fontId="320" fillId="0" borderId="295" xfId="1" applyNumberFormat="1" applyFont="1" applyFill="1" applyBorder="1" applyAlignment="1">
      <alignment vertical="center"/>
    </xf>
    <xf numFmtId="49" fontId="320" fillId="0" borderId="118" xfId="36" applyNumberFormat="1" applyFont="1" applyFill="1" applyBorder="1" applyAlignment="1" applyProtection="1">
      <alignment vertical="center"/>
      <protection locked="0"/>
    </xf>
    <xf numFmtId="0" fontId="278" fillId="0" borderId="5" xfId="36" applyFont="1" applyFill="1" applyBorder="1" applyAlignment="1" applyProtection="1">
      <alignment horizontal="center" vertical="center"/>
      <protection locked="0"/>
    </xf>
    <xf numFmtId="4" fontId="278" fillId="0" borderId="24" xfId="1" applyNumberFormat="1" applyFont="1" applyFill="1" applyBorder="1" applyAlignment="1" applyProtection="1">
      <alignment vertical="center"/>
      <protection locked="0"/>
    </xf>
    <xf numFmtId="0" fontId="278" fillId="0" borderId="117" xfId="36" applyFont="1" applyFill="1" applyBorder="1" applyAlignment="1" applyProtection="1">
      <alignment horizontal="center" vertical="center"/>
      <protection locked="0"/>
    </xf>
    <xf numFmtId="4" fontId="278" fillId="0" borderId="91" xfId="1" applyNumberFormat="1" applyFont="1" applyFill="1" applyBorder="1" applyAlignment="1" applyProtection="1">
      <alignment vertical="center"/>
      <protection locked="0"/>
    </xf>
    <xf numFmtId="4" fontId="278" fillId="0" borderId="558" xfId="1" applyNumberFormat="1" applyFont="1" applyFill="1" applyBorder="1" applyAlignment="1" applyProtection="1">
      <alignment vertical="center"/>
      <protection locked="0"/>
    </xf>
    <xf numFmtId="10" fontId="278" fillId="0" borderId="558" xfId="88" applyNumberFormat="1" applyFont="1" applyFill="1" applyBorder="1" applyAlignment="1" applyProtection="1">
      <alignment vertical="center"/>
      <protection locked="0"/>
    </xf>
    <xf numFmtId="49" fontId="320" fillId="0" borderId="2" xfId="36" applyNumberFormat="1" applyFont="1" applyFill="1" applyBorder="1" applyAlignment="1" applyProtection="1">
      <alignment vertical="top"/>
      <protection locked="0"/>
    </xf>
    <xf numFmtId="0" fontId="320" fillId="0" borderId="0" xfId="36" applyFont="1" applyFill="1" applyBorder="1" applyAlignment="1" applyProtection="1">
      <alignment vertical="top"/>
      <protection locked="0"/>
    </xf>
    <xf numFmtId="0" fontId="320" fillId="0" borderId="5" xfId="36" applyFont="1" applyFill="1" applyBorder="1" applyAlignment="1" applyProtection="1">
      <alignment horizontal="center" vertical="top"/>
      <protection locked="0"/>
    </xf>
    <xf numFmtId="4" fontId="320" fillId="0" borderId="4" xfId="1" applyNumberFormat="1" applyFont="1" applyFill="1" applyBorder="1" applyAlignment="1" applyProtection="1">
      <alignment vertical="top"/>
      <protection locked="0"/>
    </xf>
    <xf numFmtId="4" fontId="320" fillId="0" borderId="599" xfId="1" applyNumberFormat="1" applyFont="1" applyFill="1" applyBorder="1" applyAlignment="1" applyProtection="1">
      <alignment vertical="top"/>
      <protection locked="0"/>
    </xf>
    <xf numFmtId="4" fontId="320" fillId="0" borderId="665" xfId="1" applyNumberFormat="1" applyFont="1" applyFill="1" applyBorder="1" applyAlignment="1" applyProtection="1">
      <alignment vertical="top"/>
      <protection locked="0"/>
    </xf>
    <xf numFmtId="4" fontId="320" fillId="0" borderId="558" xfId="1" applyNumberFormat="1" applyFont="1" applyFill="1" applyBorder="1" applyAlignment="1" applyProtection="1">
      <alignment vertical="top"/>
      <protection locked="0"/>
    </xf>
    <xf numFmtId="10" fontId="320" fillId="0" borderId="558" xfId="88" applyNumberFormat="1" applyFont="1" applyFill="1" applyBorder="1" applyAlignment="1" applyProtection="1">
      <alignment vertical="top"/>
      <protection locked="0"/>
    </xf>
    <xf numFmtId="0" fontId="320" fillId="0" borderId="0" xfId="30" applyFont="1" applyFill="1" applyAlignment="1">
      <alignment vertical="top"/>
    </xf>
    <xf numFmtId="49" fontId="278" fillId="0" borderId="211" xfId="36" applyNumberFormat="1" applyFont="1" applyFill="1" applyBorder="1" applyAlignment="1" applyProtection="1">
      <alignment vertical="center"/>
      <protection locked="0"/>
    </xf>
    <xf numFmtId="0" fontId="278" fillId="0" borderId="212" xfId="36" applyFont="1" applyFill="1" applyBorder="1" applyAlignment="1" applyProtection="1">
      <alignment horizontal="center" vertical="center"/>
      <protection locked="0"/>
    </xf>
    <xf numFmtId="4" fontId="278" fillId="0" borderId="220" xfId="1" applyNumberFormat="1" applyFont="1" applyFill="1" applyBorder="1" applyAlignment="1" applyProtection="1">
      <alignment vertical="center"/>
      <protection locked="0"/>
    </xf>
    <xf numFmtId="4" fontId="278" fillId="0" borderId="510" xfId="1" applyNumberFormat="1" applyFont="1" applyFill="1" applyBorder="1" applyAlignment="1" applyProtection="1">
      <alignment vertical="center"/>
      <protection locked="0"/>
    </xf>
    <xf numFmtId="49" fontId="278" fillId="0" borderId="300" xfId="36" applyNumberFormat="1" applyFont="1" applyFill="1" applyBorder="1" applyAlignment="1" applyProtection="1">
      <alignment vertical="center"/>
      <protection locked="0"/>
    </xf>
    <xf numFmtId="0" fontId="278" fillId="0" borderId="295" xfId="36" applyFont="1" applyFill="1" applyBorder="1" applyAlignment="1" applyProtection="1">
      <alignment horizontal="center" vertical="center"/>
      <protection locked="0"/>
    </xf>
    <xf numFmtId="4" fontId="278" fillId="0" borderId="538" xfId="1" applyNumberFormat="1" applyFont="1" applyFill="1" applyBorder="1" applyAlignment="1" applyProtection="1">
      <alignment vertical="center"/>
      <protection locked="0"/>
    </xf>
    <xf numFmtId="4" fontId="278" fillId="0" borderId="557" xfId="1" applyNumberFormat="1" applyFont="1" applyFill="1" applyBorder="1" applyAlignment="1" applyProtection="1">
      <alignment vertical="center"/>
      <protection locked="0"/>
    </xf>
    <xf numFmtId="4" fontId="278" fillId="0" borderId="452" xfId="1" applyNumberFormat="1" applyFont="1" applyFill="1" applyBorder="1" applyAlignment="1" applyProtection="1">
      <alignment vertical="center"/>
      <protection locked="0"/>
    </xf>
    <xf numFmtId="10" fontId="278" fillId="0" borderId="452" xfId="88" applyNumberFormat="1" applyFont="1" applyFill="1" applyBorder="1" applyAlignment="1" applyProtection="1">
      <alignment vertical="center"/>
      <protection locked="0"/>
    </xf>
    <xf numFmtId="0" fontId="278" fillId="0" borderId="0" xfId="30" applyFont="1" applyFill="1" applyBorder="1" applyAlignment="1">
      <alignment vertical="center"/>
    </xf>
    <xf numFmtId="0" fontId="278" fillId="0" borderId="38" xfId="54" applyFont="1" applyFill="1" applyBorder="1" applyAlignment="1">
      <alignment vertical="center"/>
    </xf>
    <xf numFmtId="0" fontId="278" fillId="0" borderId="11" xfId="54" applyFont="1" applyFill="1" applyBorder="1" applyAlignment="1">
      <alignment vertical="center"/>
    </xf>
    <xf numFmtId="0" fontId="278" fillId="0" borderId="24" xfId="54" applyFont="1" applyFill="1" applyBorder="1" applyAlignment="1">
      <alignment horizontal="center" vertical="center"/>
    </xf>
    <xf numFmtId="4" fontId="278" fillId="0" borderId="24" xfId="1" applyNumberFormat="1" applyFont="1" applyFill="1" applyBorder="1" applyAlignment="1">
      <alignment vertical="center"/>
    </xf>
    <xf numFmtId="0" fontId="320" fillId="0" borderId="643" xfId="36" applyFont="1" applyFill="1" applyBorder="1" applyAlignment="1" applyProtection="1">
      <alignment horizontal="center" vertical="center"/>
      <protection locked="0"/>
    </xf>
    <xf numFmtId="0" fontId="320" fillId="0" borderId="644" xfId="30" applyFont="1" applyFill="1" applyBorder="1" applyAlignment="1" applyProtection="1">
      <alignment vertical="center"/>
      <protection locked="0"/>
    </xf>
    <xf numFmtId="0" fontId="278" fillId="0" borderId="643" xfId="30" applyFont="1" applyFill="1" applyBorder="1" applyAlignment="1" applyProtection="1">
      <alignment horizontal="center" vertical="center"/>
      <protection locked="0"/>
    </xf>
    <xf numFmtId="0" fontId="320" fillId="0" borderId="667" xfId="36" applyFont="1" applyFill="1" applyBorder="1" applyAlignment="1" applyProtection="1">
      <alignment vertical="center"/>
      <protection locked="0"/>
    </xf>
    <xf numFmtId="0" fontId="278" fillId="0" borderId="667" xfId="36" applyFont="1" applyFill="1" applyBorder="1" applyAlignment="1" applyProtection="1">
      <alignment vertical="center"/>
      <protection locked="0"/>
    </xf>
    <xf numFmtId="0" fontId="320" fillId="0" borderId="667" xfId="36" applyFont="1" applyFill="1" applyBorder="1" applyAlignment="1" applyProtection="1">
      <alignment horizontal="center" vertical="center"/>
      <protection locked="0"/>
    </xf>
    <xf numFmtId="4" fontId="278" fillId="0" borderId="667" xfId="36" applyNumberFormat="1" applyFont="1" applyFill="1" applyBorder="1" applyAlignment="1" applyProtection="1">
      <alignment vertical="center"/>
      <protection locked="0"/>
    </xf>
    <xf numFmtId="0" fontId="320" fillId="0" borderId="433" xfId="36" applyFont="1" applyFill="1" applyBorder="1" applyAlignment="1" applyProtection="1">
      <alignment vertical="center"/>
      <protection locked="0"/>
    </xf>
    <xf numFmtId="0" fontId="320" fillId="0" borderId="433" xfId="30" applyFont="1" applyFill="1" applyBorder="1" applyAlignment="1">
      <alignment vertical="center"/>
    </xf>
    <xf numFmtId="0" fontId="320" fillId="0" borderId="433" xfId="36" applyFont="1" applyFill="1" applyBorder="1" applyAlignment="1" applyProtection="1">
      <alignment horizontal="center" vertical="center"/>
      <protection locked="0"/>
    </xf>
    <xf numFmtId="4" fontId="278" fillId="0" borderId="433" xfId="36" applyNumberFormat="1" applyFont="1" applyFill="1" applyBorder="1" applyAlignment="1" applyProtection="1">
      <alignment vertical="center"/>
      <protection locked="0"/>
    </xf>
    <xf numFmtId="49" fontId="320" fillId="0" borderId="644" xfId="36" applyNumberFormat="1" applyFont="1" applyFill="1" applyBorder="1" applyAlignment="1" applyProtection="1">
      <alignment vertical="center"/>
      <protection locked="0"/>
    </xf>
    <xf numFmtId="49" fontId="320" fillId="0" borderId="644" xfId="36" applyNumberFormat="1" applyFont="1" applyFill="1" applyBorder="1" applyAlignment="1" applyProtection="1">
      <alignment vertical="top"/>
      <protection locked="0"/>
    </xf>
    <xf numFmtId="0" fontId="320" fillId="0" borderId="643" xfId="36" applyFont="1" applyFill="1" applyBorder="1" applyAlignment="1" applyProtection="1">
      <alignment horizontal="center" vertical="top"/>
      <protection locked="0"/>
    </xf>
    <xf numFmtId="10" fontId="320" fillId="0" borderId="665" xfId="88" applyNumberFormat="1" applyFont="1" applyFill="1" applyBorder="1" applyAlignment="1" applyProtection="1">
      <alignment vertical="top"/>
      <protection locked="0"/>
    </xf>
    <xf numFmtId="0" fontId="320" fillId="0" borderId="0" xfId="36" applyFont="1" applyFill="1" applyAlignment="1">
      <alignment vertical="center"/>
    </xf>
    <xf numFmtId="0" fontId="320" fillId="0" borderId="0" xfId="36" applyFont="1" applyFill="1" applyAlignment="1" applyProtection="1">
      <alignment vertical="center"/>
      <protection locked="0"/>
    </xf>
    <xf numFmtId="4" fontId="320" fillId="0" borderId="0" xfId="36" applyNumberFormat="1" applyFont="1" applyFill="1" applyAlignment="1" applyProtection="1">
      <alignment vertical="center"/>
      <protection locked="0"/>
    </xf>
    <xf numFmtId="0" fontId="278" fillId="0" borderId="0" xfId="36" applyFont="1" applyFill="1" applyAlignment="1" applyProtection="1">
      <alignment vertical="center"/>
      <protection locked="0"/>
    </xf>
    <xf numFmtId="4" fontId="278" fillId="0" borderId="0" xfId="36" applyNumberFormat="1" applyFont="1" applyFill="1" applyAlignment="1" applyProtection="1">
      <alignment vertical="center"/>
      <protection locked="0"/>
    </xf>
    <xf numFmtId="0" fontId="320" fillId="0" borderId="1" xfId="36" applyFont="1" applyFill="1" applyBorder="1" applyAlignment="1" applyProtection="1">
      <alignment vertical="center"/>
      <protection locked="0"/>
    </xf>
    <xf numFmtId="4" fontId="320" fillId="0" borderId="1" xfId="36" applyNumberFormat="1" applyFont="1" applyFill="1" applyBorder="1" applyAlignment="1" applyProtection="1">
      <alignment vertical="center"/>
      <protection locked="0"/>
    </xf>
    <xf numFmtId="4" fontId="320" fillId="0" borderId="433" xfId="36" applyNumberFormat="1" applyFont="1" applyFill="1" applyBorder="1" applyAlignment="1" applyProtection="1">
      <alignment vertical="center"/>
      <protection locked="0"/>
    </xf>
    <xf numFmtId="0" fontId="278" fillId="0" borderId="0" xfId="36" applyFont="1" applyFill="1" applyBorder="1" applyAlignment="1" applyProtection="1">
      <alignment horizontal="center" vertical="center"/>
      <protection locked="0"/>
    </xf>
    <xf numFmtId="0" fontId="278" fillId="0" borderId="0" xfId="36" applyFont="1" applyFill="1" applyAlignment="1">
      <alignment vertical="center"/>
    </xf>
    <xf numFmtId="4" fontId="320" fillId="0" borderId="548" xfId="36" applyNumberFormat="1" applyFont="1" applyFill="1" applyBorder="1" applyAlignment="1" applyProtection="1">
      <alignment vertical="center"/>
      <protection locked="0"/>
    </xf>
    <xf numFmtId="10" fontId="320" fillId="0" borderId="548" xfId="88" applyNumberFormat="1" applyFont="1" applyFill="1" applyBorder="1" applyAlignment="1" applyProtection="1">
      <alignment vertical="center"/>
      <protection locked="0"/>
    </xf>
    <xf numFmtId="4" fontId="320" fillId="0" borderId="0" xfId="36" applyNumberFormat="1" applyFont="1" applyFill="1" applyAlignment="1">
      <alignment vertical="center"/>
    </xf>
    <xf numFmtId="10" fontId="278" fillId="0" borderId="547" xfId="88" applyNumberFormat="1" applyFont="1" applyFill="1" applyBorder="1" applyAlignment="1" applyProtection="1">
      <alignment vertical="center"/>
      <protection locked="0"/>
    </xf>
    <xf numFmtId="0" fontId="278" fillId="0" borderId="433" xfId="36" applyFont="1" applyFill="1" applyBorder="1" applyAlignment="1" applyProtection="1">
      <alignment vertical="center"/>
      <protection locked="0"/>
    </xf>
    <xf numFmtId="10" fontId="320" fillId="0" borderId="643" xfId="88" applyNumberFormat="1" applyFont="1" applyFill="1" applyBorder="1" applyAlignment="1">
      <alignment vertical="center"/>
    </xf>
    <xf numFmtId="43" fontId="320" fillId="0" borderId="0" xfId="1" applyFont="1" applyFill="1" applyBorder="1" applyAlignment="1">
      <alignment vertical="center"/>
    </xf>
    <xf numFmtId="4" fontId="278" fillId="0" borderId="664" xfId="2" applyNumberFormat="1" applyFont="1" applyFill="1" applyBorder="1" applyAlignment="1" applyProtection="1">
      <alignment horizontal="center" vertical="center"/>
      <protection locked="0"/>
    </xf>
    <xf numFmtId="4" fontId="278" fillId="0" borderId="665" xfId="2" applyNumberFormat="1" applyFont="1" applyFill="1" applyBorder="1" applyAlignment="1" applyProtection="1">
      <alignment horizontal="center" vertical="center"/>
      <protection locked="0"/>
    </xf>
    <xf numFmtId="0" fontId="278" fillId="0" borderId="608" xfId="2" applyNumberFormat="1" applyFont="1" applyFill="1" applyBorder="1" applyAlignment="1" applyProtection="1">
      <alignment horizontal="center" vertical="center"/>
      <protection locked="0"/>
    </xf>
    <xf numFmtId="4" fontId="320" fillId="0" borderId="4" xfId="2" applyNumberFormat="1" applyFont="1" applyFill="1" applyBorder="1" applyAlignment="1" applyProtection="1">
      <alignment vertical="center"/>
      <protection locked="0"/>
    </xf>
    <xf numFmtId="0" fontId="320" fillId="0" borderId="0" xfId="47" applyFont="1" applyFill="1" applyBorder="1" applyAlignment="1" applyProtection="1">
      <alignment vertical="top"/>
      <protection locked="0"/>
    </xf>
    <xf numFmtId="0" fontId="320" fillId="0" borderId="103" xfId="2" applyFont="1" applyFill="1" applyBorder="1" applyAlignment="1" applyProtection="1">
      <alignment vertical="center"/>
      <protection locked="0"/>
    </xf>
    <xf numFmtId="0" fontId="278" fillId="0" borderId="103" xfId="2" applyFont="1" applyFill="1" applyBorder="1" applyAlignment="1" applyProtection="1">
      <alignment vertical="center"/>
      <protection locked="0"/>
    </xf>
    <xf numFmtId="0" fontId="320" fillId="0" borderId="103" xfId="2" applyFont="1" applyFill="1" applyBorder="1" applyAlignment="1" applyProtection="1">
      <alignment horizontal="center" vertical="center"/>
      <protection locked="0"/>
    </xf>
    <xf numFmtId="4" fontId="278" fillId="0" borderId="103" xfId="2" applyNumberFormat="1" applyFont="1" applyFill="1" applyBorder="1" applyAlignment="1" applyProtection="1">
      <alignment vertical="center"/>
      <protection locked="0"/>
    </xf>
    <xf numFmtId="4" fontId="278" fillId="0" borderId="547" xfId="2" applyNumberFormat="1" applyFont="1" applyFill="1" applyBorder="1" applyAlignment="1" applyProtection="1">
      <alignment vertical="center"/>
      <protection locked="0"/>
    </xf>
    <xf numFmtId="10" fontId="278" fillId="0" borderId="478" xfId="88" applyNumberFormat="1" applyFont="1" applyFill="1" applyBorder="1" applyAlignment="1" applyProtection="1">
      <alignment horizontal="center" vertical="center"/>
      <protection locked="0"/>
    </xf>
    <xf numFmtId="10" fontId="278" fillId="0" borderId="295" xfId="88" applyNumberFormat="1" applyFont="1" applyFill="1" applyBorder="1" applyAlignment="1" applyProtection="1">
      <alignment horizontal="center" vertical="center"/>
      <protection locked="0"/>
    </xf>
    <xf numFmtId="0" fontId="278" fillId="0" borderId="397" xfId="2" applyNumberFormat="1" applyFont="1" applyFill="1" applyBorder="1" applyAlignment="1" applyProtection="1">
      <alignment horizontal="center" vertical="center"/>
      <protection locked="0"/>
    </xf>
    <xf numFmtId="10" fontId="278" fillId="0" borderId="397" xfId="88" applyNumberFormat="1" applyFont="1" applyFill="1" applyBorder="1" applyAlignment="1" applyProtection="1">
      <alignment horizontal="center" vertical="center"/>
      <protection locked="0"/>
    </xf>
    <xf numFmtId="0" fontId="320" fillId="0" borderId="0" xfId="2" applyFont="1" applyFill="1" applyBorder="1" applyAlignment="1" applyProtection="1">
      <alignment horizontal="left" vertical="center"/>
      <protection locked="0"/>
    </xf>
    <xf numFmtId="4" fontId="320" fillId="0" borderId="254" xfId="1" applyNumberFormat="1" applyFont="1" applyFill="1" applyBorder="1" applyAlignment="1">
      <alignment vertical="center"/>
    </xf>
    <xf numFmtId="4" fontId="320" fillId="0" borderId="643" xfId="1" applyNumberFormat="1" applyFont="1" applyFill="1" applyBorder="1" applyAlignment="1">
      <alignment vertical="center"/>
    </xf>
    <xf numFmtId="0" fontId="320" fillId="0" borderId="0" xfId="2" applyFont="1" applyFill="1" applyBorder="1" applyAlignment="1" applyProtection="1">
      <alignment vertical="center" wrapText="1"/>
      <protection locked="0"/>
    </xf>
    <xf numFmtId="43" fontId="278" fillId="0" borderId="0" xfId="1" applyFont="1" applyFill="1" applyAlignment="1">
      <alignment vertical="center"/>
    </xf>
    <xf numFmtId="43" fontId="278" fillId="0" borderId="0" xfId="1" applyFont="1" applyFill="1" applyBorder="1" applyAlignment="1">
      <alignment vertical="center"/>
    </xf>
    <xf numFmtId="0" fontId="278" fillId="0" borderId="0" xfId="2" applyFont="1" applyFill="1" applyBorder="1" applyAlignment="1">
      <alignment vertical="center"/>
    </xf>
    <xf numFmtId="43" fontId="321" fillId="0" borderId="0" xfId="1" applyFont="1" applyFill="1" applyAlignment="1">
      <alignment vertical="center"/>
    </xf>
    <xf numFmtId="4" fontId="278" fillId="0" borderId="668" xfId="2" applyNumberFormat="1" applyFont="1" applyFill="1" applyBorder="1" applyAlignment="1" applyProtection="1">
      <alignment vertical="center"/>
      <protection locked="0"/>
    </xf>
    <xf numFmtId="10" fontId="278" fillId="0" borderId="668" xfId="88" applyNumberFormat="1" applyFont="1" applyFill="1" applyBorder="1" applyAlignment="1" applyProtection="1">
      <alignment vertical="center"/>
      <protection locked="0"/>
    </xf>
    <xf numFmtId="0" fontId="320" fillId="0" borderId="0" xfId="42" applyFont="1" applyFill="1" applyAlignment="1">
      <alignment vertical="center"/>
    </xf>
    <xf numFmtId="0" fontId="320" fillId="0" borderId="0" xfId="42" applyFont="1" applyFill="1" applyAlignment="1" applyProtection="1">
      <alignment vertical="center"/>
      <protection locked="0"/>
    </xf>
    <xf numFmtId="0" fontId="319" fillId="0" borderId="0" xfId="42" applyFont="1" applyFill="1" applyAlignment="1" applyProtection="1">
      <alignment horizontal="centerContinuous" vertical="center"/>
      <protection locked="0"/>
    </xf>
    <xf numFmtId="0" fontId="320" fillId="0" borderId="0" xfId="42" applyFont="1" applyFill="1" applyAlignment="1" applyProtection="1">
      <alignment horizontal="center" vertical="center"/>
      <protection locked="0"/>
    </xf>
    <xf numFmtId="4" fontId="320" fillId="0" borderId="0" xfId="42" applyNumberFormat="1" applyFont="1" applyFill="1" applyAlignment="1" applyProtection="1">
      <alignment horizontal="centerContinuous" vertical="center"/>
      <protection locked="0"/>
    </xf>
    <xf numFmtId="0" fontId="278" fillId="0" borderId="0" xfId="42" applyFont="1" applyFill="1" applyAlignment="1" applyProtection="1">
      <alignment vertical="center"/>
      <protection locked="0"/>
    </xf>
    <xf numFmtId="0" fontId="278" fillId="0" borderId="0" xfId="42" applyFont="1" applyFill="1" applyAlignment="1" applyProtection="1">
      <alignment horizontal="center" vertical="center"/>
      <protection locked="0"/>
    </xf>
    <xf numFmtId="4" fontId="278" fillId="0" borderId="0" xfId="42" applyNumberFormat="1" applyFont="1" applyFill="1" applyAlignment="1" applyProtection="1">
      <alignment vertical="center"/>
      <protection locked="0"/>
    </xf>
    <xf numFmtId="4" fontId="320" fillId="0" borderId="0" xfId="42" applyNumberFormat="1" applyFont="1" applyFill="1" applyAlignment="1" applyProtection="1">
      <alignment vertical="center"/>
      <protection locked="0"/>
    </xf>
    <xf numFmtId="0" fontId="320" fillId="0" borderId="1" xfId="42" applyFont="1" applyFill="1" applyBorder="1" applyAlignment="1" applyProtection="1">
      <alignment vertical="center"/>
      <protection locked="0"/>
    </xf>
    <xf numFmtId="0" fontId="320" fillId="0" borderId="1" xfId="42" applyFont="1" applyFill="1" applyBorder="1" applyAlignment="1" applyProtection="1">
      <alignment horizontal="center" vertical="center"/>
      <protection locked="0"/>
    </xf>
    <xf numFmtId="4" fontId="320" fillId="0" borderId="1" xfId="42" applyNumberFormat="1" applyFont="1" applyFill="1" applyBorder="1" applyAlignment="1" applyProtection="1">
      <alignment vertical="center"/>
      <protection locked="0"/>
    </xf>
    <xf numFmtId="4" fontId="320" fillId="0" borderId="433" xfId="42" applyNumberFormat="1" applyFont="1" applyFill="1" applyBorder="1" applyAlignment="1" applyProtection="1">
      <alignment vertical="center"/>
      <protection locked="0"/>
    </xf>
    <xf numFmtId="0" fontId="320" fillId="0" borderId="19" xfId="42" applyFont="1" applyFill="1" applyBorder="1" applyAlignment="1" applyProtection="1">
      <alignment vertical="center"/>
      <protection locked="0"/>
    </xf>
    <xf numFmtId="0" fontId="278" fillId="0" borderId="20" xfId="42" applyFont="1" applyFill="1" applyBorder="1" applyAlignment="1" applyProtection="1">
      <alignment horizontal="center" vertical="center"/>
      <protection locked="0"/>
    </xf>
    <xf numFmtId="0" fontId="278" fillId="0" borderId="3" xfId="42" applyFont="1" applyFill="1" applyBorder="1" applyAlignment="1" applyProtection="1">
      <alignment horizontal="center" vertical="center"/>
      <protection locked="0"/>
    </xf>
    <xf numFmtId="4" fontId="278" fillId="0" borderId="3" xfId="42" applyNumberFormat="1" applyFont="1" applyFill="1" applyBorder="1" applyAlignment="1" applyProtection="1">
      <alignment horizontal="center" vertical="center"/>
      <protection locked="0"/>
    </xf>
    <xf numFmtId="0" fontId="320" fillId="0" borderId="22" xfId="42" applyFont="1" applyFill="1" applyBorder="1" applyAlignment="1" applyProtection="1">
      <alignment vertical="center"/>
      <protection locked="0"/>
    </xf>
    <xf numFmtId="0" fontId="278" fillId="0" borderId="0" xfId="42" applyFont="1" applyFill="1" applyBorder="1" applyAlignment="1" applyProtection="1">
      <alignment horizontal="center" vertical="center"/>
      <protection locked="0"/>
    </xf>
    <xf numFmtId="4" fontId="278" fillId="0" borderId="4" xfId="42" applyNumberFormat="1" applyFont="1" applyFill="1" applyBorder="1" applyAlignment="1" applyProtection="1">
      <alignment horizontal="center" vertical="center"/>
      <protection locked="0"/>
    </xf>
    <xf numFmtId="0" fontId="278" fillId="0" borderId="640" xfId="2" applyNumberFormat="1" applyFont="1" applyFill="1" applyBorder="1" applyAlignment="1" applyProtection="1">
      <alignment horizontal="center" vertical="center"/>
      <protection locked="0"/>
    </xf>
    <xf numFmtId="4" fontId="278" fillId="0" borderId="5" xfId="42" applyNumberFormat="1" applyFont="1" applyFill="1" applyBorder="1" applyAlignment="1" applyProtection="1">
      <alignment horizontal="center" vertical="center"/>
      <protection locked="0"/>
    </xf>
    <xf numFmtId="0" fontId="320" fillId="0" borderId="23" xfId="42" applyFont="1" applyFill="1" applyBorder="1" applyAlignment="1" applyProtection="1">
      <alignment vertical="center"/>
      <protection locked="0"/>
    </xf>
    <xf numFmtId="0" fontId="278" fillId="0" borderId="1" xfId="42" applyFont="1" applyFill="1" applyBorder="1" applyAlignment="1" applyProtection="1">
      <alignment horizontal="center" vertical="center"/>
      <protection locked="0"/>
    </xf>
    <xf numFmtId="0" fontId="278" fillId="0" borderId="8" xfId="42" applyNumberFormat="1" applyFont="1" applyFill="1" applyBorder="1" applyAlignment="1" applyProtection="1">
      <alignment horizontal="center" vertical="center"/>
      <protection locked="0"/>
    </xf>
    <xf numFmtId="0" fontId="278" fillId="0" borderId="246" xfId="30" applyNumberFormat="1" applyFont="1" applyFill="1" applyBorder="1" applyAlignment="1">
      <alignment horizontal="center" vertical="center"/>
    </xf>
    <xf numFmtId="0" fontId="278" fillId="0" borderId="7" xfId="42" applyNumberFormat="1" applyFont="1" applyFill="1" applyBorder="1" applyAlignment="1" applyProtection="1">
      <alignment horizontal="center" vertical="center"/>
      <protection locked="0"/>
    </xf>
    <xf numFmtId="49" fontId="320" fillId="0" borderId="22" xfId="42" applyNumberFormat="1" applyFont="1" applyFill="1" applyBorder="1" applyAlignment="1" applyProtection="1">
      <alignment vertical="center"/>
      <protection locked="0"/>
    </xf>
    <xf numFmtId="0" fontId="320" fillId="0" borderId="0" xfId="42" applyFont="1" applyFill="1" applyBorder="1" applyAlignment="1" applyProtection="1">
      <alignment vertical="center"/>
      <protection locked="0"/>
    </xf>
    <xf numFmtId="0" fontId="320" fillId="0" borderId="5" xfId="42" applyFont="1" applyFill="1" applyBorder="1" applyAlignment="1" applyProtection="1">
      <alignment horizontal="center" vertical="center"/>
      <protection locked="0"/>
    </xf>
    <xf numFmtId="4" fontId="320" fillId="0" borderId="4" xfId="42" applyNumberFormat="1" applyFont="1" applyFill="1" applyBorder="1" applyAlignment="1" applyProtection="1">
      <alignment vertical="center"/>
      <protection locked="0"/>
    </xf>
    <xf numFmtId="4" fontId="320" fillId="0" borderId="665" xfId="42" applyNumberFormat="1" applyFont="1" applyFill="1" applyBorder="1" applyAlignment="1" applyProtection="1">
      <alignment vertical="center"/>
      <protection locked="0"/>
    </xf>
    <xf numFmtId="4" fontId="320" fillId="0" borderId="5" xfId="42" applyNumberFormat="1" applyFont="1" applyFill="1" applyBorder="1" applyAlignment="1" applyProtection="1">
      <alignment vertical="center"/>
      <protection locked="0"/>
    </xf>
    <xf numFmtId="4" fontId="320" fillId="0" borderId="558" xfId="42" applyNumberFormat="1" applyFont="1" applyFill="1" applyBorder="1" applyAlignment="1" applyProtection="1">
      <alignment vertical="center"/>
      <protection locked="0"/>
    </xf>
    <xf numFmtId="4" fontId="320" fillId="0" borderId="5" xfId="42" applyNumberFormat="1" applyFont="1" applyFill="1" applyBorder="1" applyAlignment="1" applyProtection="1">
      <alignment vertical="center"/>
      <protection hidden="1"/>
    </xf>
    <xf numFmtId="4" fontId="320" fillId="0" borderId="295" xfId="42" applyNumberFormat="1" applyFont="1" applyFill="1" applyBorder="1" applyAlignment="1" applyProtection="1">
      <alignment vertical="center"/>
      <protection hidden="1"/>
    </xf>
    <xf numFmtId="4" fontId="320" fillId="0" borderId="254" xfId="42" applyNumberFormat="1" applyFont="1" applyFill="1" applyBorder="1" applyAlignment="1" applyProtection="1">
      <alignment vertical="center"/>
      <protection locked="0"/>
    </xf>
    <xf numFmtId="4" fontId="320" fillId="0" borderId="295" xfId="42" applyNumberFormat="1" applyFont="1" applyFill="1" applyBorder="1" applyAlignment="1" applyProtection="1">
      <alignment vertical="center"/>
      <protection locked="0"/>
    </xf>
    <xf numFmtId="0" fontId="320" fillId="0" borderId="314" xfId="42" applyFont="1" applyFill="1" applyBorder="1" applyAlignment="1" applyProtection="1">
      <alignment vertical="center"/>
      <protection locked="0"/>
    </xf>
    <xf numFmtId="0" fontId="320" fillId="0" borderId="295" xfId="42" applyFont="1" applyFill="1" applyBorder="1" applyAlignment="1" applyProtection="1">
      <alignment horizontal="center" vertical="center"/>
      <protection locked="0"/>
    </xf>
    <xf numFmtId="0" fontId="320" fillId="0" borderId="368" xfId="42" applyFont="1" applyFill="1" applyBorder="1" applyAlignment="1" applyProtection="1">
      <alignment vertical="center"/>
      <protection locked="0"/>
    </xf>
    <xf numFmtId="4" fontId="320" fillId="0" borderId="10" xfId="42" applyNumberFormat="1" applyFont="1" applyFill="1" applyBorder="1" applyAlignment="1" applyProtection="1">
      <alignment vertical="center"/>
      <protection locked="0"/>
    </xf>
    <xf numFmtId="4" fontId="320" fillId="0" borderId="303" xfId="42" applyNumberFormat="1" applyFont="1" applyFill="1" applyBorder="1" applyAlignment="1" applyProtection="1">
      <alignment vertical="center"/>
      <protection locked="0"/>
    </xf>
    <xf numFmtId="4" fontId="320" fillId="0" borderId="448" xfId="42" applyNumberFormat="1" applyFont="1" applyFill="1" applyBorder="1" applyAlignment="1" applyProtection="1">
      <alignment vertical="center"/>
      <protection locked="0"/>
    </xf>
    <xf numFmtId="0" fontId="278" fillId="0" borderId="0" xfId="42" applyFont="1" applyFill="1" applyBorder="1" applyAlignment="1" applyProtection="1">
      <alignment vertical="center"/>
      <protection locked="0"/>
    </xf>
    <xf numFmtId="0" fontId="320" fillId="0" borderId="643" xfId="42" applyFont="1" applyFill="1" applyBorder="1" applyAlignment="1" applyProtection="1">
      <alignment horizontal="center" vertical="center"/>
      <protection locked="0"/>
    </xf>
    <xf numFmtId="4" fontId="278" fillId="0" borderId="570" xfId="42" applyNumberFormat="1" applyFont="1" applyFill="1" applyBorder="1" applyAlignment="1" applyProtection="1">
      <alignment vertical="center"/>
      <protection locked="0"/>
    </xf>
    <xf numFmtId="0" fontId="320" fillId="0" borderId="667" xfId="42" applyFont="1" applyFill="1" applyBorder="1" applyAlignment="1" applyProtection="1">
      <alignment vertical="center"/>
      <protection locked="0"/>
    </xf>
    <xf numFmtId="0" fontId="278" fillId="0" borderId="667" xfId="42" applyFont="1" applyFill="1" applyBorder="1" applyAlignment="1" applyProtection="1">
      <alignment vertical="center"/>
      <protection locked="0"/>
    </xf>
    <xf numFmtId="0" fontId="320" fillId="0" borderId="667" xfId="42" applyFont="1" applyFill="1" applyBorder="1" applyAlignment="1" applyProtection="1">
      <alignment horizontal="center" vertical="center"/>
      <protection locked="0"/>
    </xf>
    <xf numFmtId="4" fontId="278" fillId="0" borderId="667" xfId="42" applyNumberFormat="1" applyFont="1" applyFill="1" applyBorder="1" applyAlignment="1" applyProtection="1">
      <alignment vertical="center"/>
      <protection locked="0"/>
    </xf>
    <xf numFmtId="0" fontId="320" fillId="0" borderId="0" xfId="42" applyFont="1" applyFill="1" applyBorder="1" applyAlignment="1" applyProtection="1">
      <alignment horizontal="center" vertical="center"/>
      <protection locked="0"/>
    </xf>
    <xf numFmtId="4" fontId="278" fillId="0" borderId="0" xfId="42" applyNumberFormat="1" applyFont="1" applyFill="1" applyBorder="1" applyAlignment="1" applyProtection="1">
      <alignment vertical="center"/>
      <protection locked="0"/>
    </xf>
    <xf numFmtId="0" fontId="320" fillId="0" borderId="433" xfId="42" applyFont="1" applyFill="1" applyBorder="1" applyAlignment="1" applyProtection="1">
      <alignment vertical="center"/>
      <protection locked="0"/>
    </xf>
    <xf numFmtId="0" fontId="320" fillId="0" borderId="433" xfId="42" applyFont="1" applyFill="1" applyBorder="1" applyAlignment="1" applyProtection="1">
      <alignment horizontal="center" vertical="center"/>
      <protection locked="0"/>
    </xf>
    <xf numFmtId="4" fontId="278" fillId="0" borderId="478" xfId="42" applyNumberFormat="1" applyFont="1" applyFill="1" applyBorder="1" applyAlignment="1" applyProtection="1">
      <alignment horizontal="center" vertical="center"/>
      <protection locked="0"/>
    </xf>
    <xf numFmtId="4" fontId="278" fillId="0" borderId="295" xfId="42" applyNumberFormat="1" applyFont="1" applyFill="1" applyBorder="1" applyAlignment="1" applyProtection="1">
      <alignment horizontal="center" vertical="center"/>
      <protection locked="0"/>
    </xf>
    <xf numFmtId="0" fontId="278" fillId="0" borderId="7" xfId="42" applyNumberFormat="1" applyFont="1" applyFill="1" applyBorder="1" applyAlignment="1" applyProtection="1">
      <alignment horizontal="center" vertical="center" wrapText="1"/>
      <protection locked="0"/>
    </xf>
    <xf numFmtId="0" fontId="278" fillId="0" borderId="397" xfId="42" applyNumberFormat="1" applyFont="1" applyFill="1" applyBorder="1" applyAlignment="1" applyProtection="1">
      <alignment horizontal="center" vertical="center" wrapText="1"/>
      <protection locked="0"/>
    </xf>
    <xf numFmtId="10" fontId="278" fillId="0" borderId="397" xfId="88" applyNumberFormat="1" applyFont="1" applyFill="1" applyBorder="1" applyAlignment="1" applyProtection="1">
      <alignment horizontal="center" vertical="center" wrapText="1"/>
      <protection locked="0"/>
    </xf>
    <xf numFmtId="4" fontId="320" fillId="0" borderId="643" xfId="42" applyNumberFormat="1" applyFont="1" applyFill="1" applyBorder="1" applyAlignment="1" applyProtection="1">
      <alignment vertical="center"/>
      <protection locked="0"/>
    </xf>
    <xf numFmtId="4" fontId="320" fillId="0" borderId="295" xfId="42" applyNumberFormat="1" applyFont="1" applyFill="1" applyBorder="1" applyAlignment="1">
      <alignment vertical="center"/>
    </xf>
    <xf numFmtId="0" fontId="320" fillId="0" borderId="7" xfId="42" applyFont="1" applyFill="1" applyBorder="1" applyAlignment="1" applyProtection="1">
      <alignment horizontal="center" vertical="center"/>
      <protection locked="0"/>
    </xf>
    <xf numFmtId="4" fontId="320" fillId="0" borderId="7" xfId="42" applyNumberFormat="1" applyFont="1" applyFill="1" applyBorder="1" applyAlignment="1" applyProtection="1">
      <alignment vertical="center"/>
      <protection locked="0"/>
    </xf>
    <xf numFmtId="4" fontId="320" fillId="0" borderId="397" xfId="42" applyNumberFormat="1" applyFont="1" applyFill="1" applyBorder="1" applyAlignment="1" applyProtection="1">
      <alignment vertical="center"/>
      <protection locked="0"/>
    </xf>
    <xf numFmtId="10" fontId="320" fillId="0" borderId="397" xfId="88" applyNumberFormat="1" applyFont="1" applyFill="1" applyBorder="1" applyAlignment="1" applyProtection="1">
      <alignment vertical="center"/>
      <protection locked="0"/>
    </xf>
    <xf numFmtId="4" fontId="320" fillId="0" borderId="0" xfId="42" applyNumberFormat="1" applyFont="1" applyFill="1" applyBorder="1" applyAlignment="1" applyProtection="1">
      <alignment vertical="center"/>
      <protection locked="0"/>
    </xf>
    <xf numFmtId="0" fontId="320" fillId="0" borderId="435" xfId="42" applyFont="1" applyFill="1" applyBorder="1" applyAlignment="1" applyProtection="1">
      <alignment vertical="center"/>
      <protection locked="0"/>
    </xf>
    <xf numFmtId="0" fontId="278" fillId="0" borderId="5" xfId="42" applyFont="1" applyFill="1" applyBorder="1" applyAlignment="1" applyProtection="1">
      <alignment horizontal="center" vertical="center"/>
      <protection locked="0"/>
    </xf>
    <xf numFmtId="0" fontId="320" fillId="0" borderId="300" xfId="42" applyFont="1" applyFill="1" applyBorder="1" applyAlignment="1" applyProtection="1">
      <alignment vertical="center"/>
      <protection locked="0"/>
    </xf>
    <xf numFmtId="0" fontId="320" fillId="0" borderId="117" xfId="42" applyFont="1" applyFill="1" applyBorder="1" applyAlignment="1" applyProtection="1">
      <alignment horizontal="center" vertical="center"/>
      <protection locked="0"/>
    </xf>
    <xf numFmtId="4" fontId="320" fillId="0" borderId="553" xfId="42" applyNumberFormat="1" applyFont="1" applyFill="1" applyBorder="1" applyAlignment="1" applyProtection="1">
      <alignment vertical="center"/>
      <protection locked="0"/>
    </xf>
    <xf numFmtId="4" fontId="278" fillId="0" borderId="642" xfId="42" applyNumberFormat="1" applyFont="1" applyFill="1" applyBorder="1" applyAlignment="1" applyProtection="1">
      <alignment vertical="center"/>
      <protection locked="0"/>
    </xf>
    <xf numFmtId="4" fontId="278" fillId="0" borderId="509" xfId="42" applyNumberFormat="1" applyFont="1" applyFill="1" applyBorder="1" applyAlignment="1" applyProtection="1">
      <alignment vertical="center"/>
      <protection locked="0"/>
    </xf>
    <xf numFmtId="49" fontId="320" fillId="0" borderId="300" xfId="42" applyNumberFormat="1" applyFont="1" applyFill="1" applyBorder="1" applyAlignment="1" applyProtection="1">
      <alignment vertical="center"/>
      <protection locked="0"/>
    </xf>
    <xf numFmtId="0" fontId="320" fillId="0" borderId="0" xfId="42" applyFont="1" applyFill="1" applyBorder="1" applyAlignment="1" applyProtection="1">
      <alignment vertical="center" wrapText="1"/>
      <protection locked="0"/>
    </xf>
    <xf numFmtId="0" fontId="320" fillId="0" borderId="199" xfId="42" applyFont="1" applyFill="1" applyBorder="1" applyAlignment="1">
      <alignment vertical="center" wrapText="1"/>
    </xf>
    <xf numFmtId="0" fontId="320" fillId="0" borderId="212" xfId="42" applyFont="1" applyFill="1" applyBorder="1" applyAlignment="1">
      <alignment horizontal="center" vertical="center"/>
    </xf>
    <xf numFmtId="49" fontId="278" fillId="0" borderId="300" xfId="42" applyNumberFormat="1" applyFont="1" applyFill="1" applyBorder="1" applyAlignment="1" applyProtection="1">
      <alignment vertical="center"/>
      <protection locked="0"/>
    </xf>
    <xf numFmtId="0" fontId="278" fillId="0" borderId="117" xfId="42" applyFont="1" applyFill="1" applyBorder="1" applyAlignment="1" applyProtection="1">
      <alignment horizontal="center" vertical="center"/>
      <protection locked="0"/>
    </xf>
    <xf numFmtId="0" fontId="278" fillId="0" borderId="0" xfId="42" applyFont="1" applyFill="1" applyAlignment="1">
      <alignment vertical="center"/>
    </xf>
    <xf numFmtId="0" fontId="278" fillId="0" borderId="212" xfId="42" applyFont="1" applyFill="1" applyBorder="1" applyAlignment="1" applyProtection="1">
      <alignment horizontal="center" vertical="center"/>
      <protection locked="0"/>
    </xf>
    <xf numFmtId="4" fontId="278" fillId="0" borderId="303" xfId="42" applyNumberFormat="1" applyFont="1" applyFill="1" applyBorder="1" applyAlignment="1" applyProtection="1">
      <alignment vertical="center"/>
      <protection locked="0"/>
    </xf>
    <xf numFmtId="4" fontId="278" fillId="0" borderId="553" xfId="42" applyNumberFormat="1" applyFont="1" applyFill="1" applyBorder="1" applyAlignment="1" applyProtection="1">
      <alignment vertical="center"/>
      <protection locked="0"/>
    </xf>
    <xf numFmtId="10" fontId="278" fillId="0" borderId="303" xfId="88" applyNumberFormat="1" applyFont="1" applyFill="1" applyBorder="1" applyAlignment="1" applyProtection="1">
      <alignment vertical="center"/>
      <protection locked="0"/>
    </xf>
    <xf numFmtId="0" fontId="320" fillId="0" borderId="12" xfId="42" applyFont="1" applyFill="1" applyBorder="1" applyAlignment="1" applyProtection="1">
      <alignment vertical="center"/>
      <protection locked="0"/>
    </xf>
    <xf numFmtId="0" fontId="320" fillId="0" borderId="315" xfId="42" applyFont="1" applyFill="1" applyBorder="1" applyAlignment="1" applyProtection="1">
      <alignment vertical="center"/>
      <protection locked="0"/>
    </xf>
    <xf numFmtId="0" fontId="320" fillId="0" borderId="10" xfId="42" applyFont="1" applyFill="1" applyBorder="1" applyAlignment="1" applyProtection="1">
      <alignment horizontal="center" vertical="center"/>
      <protection locked="0"/>
    </xf>
    <xf numFmtId="4" fontId="278" fillId="0" borderId="295" xfId="42" applyNumberFormat="1" applyFont="1" applyFill="1" applyBorder="1" applyAlignment="1" applyProtection="1">
      <alignment vertical="center"/>
      <protection locked="0"/>
    </xf>
    <xf numFmtId="4" fontId="278" fillId="0" borderId="0" xfId="88" applyNumberFormat="1" applyFont="1" applyFill="1" applyAlignment="1">
      <alignment vertical="center"/>
    </xf>
    <xf numFmtId="4" fontId="320" fillId="0" borderId="0" xfId="42" applyNumberFormat="1" applyFont="1" applyFill="1" applyAlignment="1" applyProtection="1">
      <alignment horizontal="center" vertical="center"/>
      <protection locked="0"/>
    </xf>
    <xf numFmtId="4" fontId="320" fillId="0" borderId="0" xfId="42" applyNumberFormat="1" applyFont="1" applyFill="1" applyAlignment="1">
      <alignment vertical="center"/>
    </xf>
    <xf numFmtId="0" fontId="320" fillId="0" borderId="0" xfId="42" applyFont="1" applyFill="1" applyAlignment="1">
      <alignment horizontal="center" vertical="center"/>
    </xf>
    <xf numFmtId="10" fontId="278" fillId="0" borderId="642" xfId="88" applyNumberFormat="1" applyFont="1" applyFill="1" applyBorder="1" applyAlignment="1" applyProtection="1">
      <alignment vertical="center"/>
      <protection locked="0"/>
    </xf>
    <xf numFmtId="0" fontId="278" fillId="0" borderId="643" xfId="42" applyFont="1" applyFill="1" applyBorder="1" applyAlignment="1" applyProtection="1">
      <alignment horizontal="center" vertical="center" wrapText="1"/>
      <protection locked="0"/>
    </xf>
    <xf numFmtId="0" fontId="278" fillId="0" borderId="643" xfId="42" applyNumberFormat="1" applyFont="1" applyFill="1" applyBorder="1" applyAlignment="1" applyProtection="1">
      <alignment horizontal="center" vertical="center" wrapText="1"/>
      <protection locked="0"/>
    </xf>
    <xf numFmtId="10" fontId="278" fillId="0" borderId="643" xfId="88" applyNumberFormat="1" applyFont="1" applyFill="1" applyBorder="1" applyAlignment="1" applyProtection="1">
      <alignment horizontal="center" vertical="center" wrapText="1"/>
      <protection locked="0"/>
    </xf>
    <xf numFmtId="10" fontId="320" fillId="0" borderId="303" xfId="88" applyNumberFormat="1" applyFont="1" applyFill="1" applyBorder="1" applyAlignment="1" applyProtection="1">
      <alignment vertical="center"/>
      <protection locked="0"/>
    </xf>
    <xf numFmtId="0" fontId="320" fillId="0" borderId="0" xfId="55" applyFont="1" applyFill="1" applyAlignment="1">
      <alignment vertical="center"/>
    </xf>
    <xf numFmtId="0" fontId="320" fillId="0" borderId="0" xfId="55" applyFont="1" applyFill="1" applyAlignment="1" applyProtection="1">
      <alignment vertical="center"/>
      <protection locked="0"/>
    </xf>
    <xf numFmtId="0" fontId="319" fillId="0" borderId="0" xfId="55" applyFont="1" applyFill="1" applyAlignment="1" applyProtection="1">
      <alignment horizontal="centerContinuous" vertical="center"/>
      <protection locked="0"/>
    </xf>
    <xf numFmtId="0" fontId="320" fillId="0" borderId="0" xfId="55" applyFont="1" applyFill="1" applyAlignment="1" applyProtection="1">
      <alignment horizontal="center" vertical="center"/>
      <protection locked="0"/>
    </xf>
    <xf numFmtId="4" fontId="320" fillId="0" borderId="0" xfId="55" applyNumberFormat="1" applyFont="1" applyFill="1" applyAlignment="1" applyProtection="1">
      <alignment horizontal="centerContinuous" vertical="center"/>
      <protection locked="0"/>
    </xf>
    <xf numFmtId="0" fontId="278" fillId="0" borderId="0" xfId="55" applyFont="1" applyFill="1" applyAlignment="1" applyProtection="1">
      <alignment vertical="center"/>
      <protection locked="0"/>
    </xf>
    <xf numFmtId="0" fontId="278" fillId="0" borderId="0" xfId="55" applyFont="1" applyFill="1" applyAlignment="1" applyProtection="1">
      <alignment horizontal="center" vertical="center"/>
      <protection locked="0"/>
    </xf>
    <xf numFmtId="4" fontId="278" fillId="0" borderId="0" xfId="55" applyNumberFormat="1" applyFont="1" applyFill="1" applyAlignment="1" applyProtection="1">
      <alignment vertical="center"/>
      <protection locked="0"/>
    </xf>
    <xf numFmtId="4" fontId="320" fillId="0" borderId="0" xfId="55" applyNumberFormat="1" applyFont="1" applyFill="1" applyAlignment="1" applyProtection="1">
      <alignment vertical="center"/>
      <protection locked="0"/>
    </xf>
    <xf numFmtId="0" fontId="320" fillId="0" borderId="0" xfId="55" applyFont="1" applyFill="1" applyBorder="1" applyAlignment="1" applyProtection="1">
      <alignment vertical="center"/>
      <protection locked="0"/>
    </xf>
    <xf numFmtId="0" fontId="320" fillId="0" borderId="0" xfId="55" applyFont="1" applyFill="1" applyBorder="1" applyAlignment="1" applyProtection="1">
      <alignment horizontal="center" vertical="center"/>
      <protection locked="0"/>
    </xf>
    <xf numFmtId="4" fontId="320" fillId="0" borderId="0" xfId="55" applyNumberFormat="1" applyFont="1" applyFill="1" applyBorder="1" applyAlignment="1" applyProtection="1">
      <alignment vertical="center"/>
      <protection locked="0"/>
    </xf>
    <xf numFmtId="0" fontId="320" fillId="0" borderId="0" xfId="55" applyFont="1" applyFill="1" applyBorder="1" applyAlignment="1">
      <alignment vertical="center"/>
    </xf>
    <xf numFmtId="0" fontId="278" fillId="0" borderId="0" xfId="55" applyFont="1" applyFill="1" applyBorder="1" applyAlignment="1" applyProtection="1">
      <alignment horizontal="center" vertical="center"/>
      <protection locked="0"/>
    </xf>
    <xf numFmtId="0" fontId="320" fillId="0" borderId="368" xfId="55" applyFont="1" applyFill="1" applyBorder="1" applyAlignment="1" applyProtection="1">
      <alignment vertical="center"/>
      <protection locked="0"/>
    </xf>
    <xf numFmtId="0" fontId="320" fillId="0" borderId="0" xfId="2" applyFont="1" applyFill="1" applyAlignment="1">
      <alignment horizontal="left" vertical="center"/>
    </xf>
    <xf numFmtId="0" fontId="278" fillId="0" borderId="0" xfId="55" applyFont="1" applyFill="1" applyBorder="1" applyAlignment="1" applyProtection="1">
      <alignment vertical="center"/>
      <protection locked="0"/>
    </xf>
    <xf numFmtId="10" fontId="320" fillId="0" borderId="559" xfId="88" applyNumberFormat="1" applyFont="1" applyFill="1" applyBorder="1" applyAlignment="1" applyProtection="1">
      <alignment vertical="center"/>
      <protection locked="0"/>
    </xf>
    <xf numFmtId="49" fontId="320" fillId="0" borderId="368" xfId="55" applyNumberFormat="1" applyFont="1" applyFill="1" applyBorder="1" applyAlignment="1" applyProtection="1">
      <alignment vertical="center"/>
      <protection locked="0"/>
    </xf>
    <xf numFmtId="49" fontId="278" fillId="0" borderId="31" xfId="55" applyNumberFormat="1" applyFont="1" applyFill="1" applyBorder="1" applyAlignment="1" applyProtection="1">
      <alignment vertical="center"/>
      <protection locked="0"/>
    </xf>
    <xf numFmtId="0" fontId="278" fillId="0" borderId="0" xfId="55" applyFont="1" applyFill="1" applyAlignment="1">
      <alignment vertical="center"/>
    </xf>
    <xf numFmtId="4" fontId="320" fillId="0" borderId="0" xfId="55" applyNumberFormat="1" applyFont="1" applyFill="1" applyAlignment="1">
      <alignment vertical="center"/>
    </xf>
    <xf numFmtId="4" fontId="320" fillId="0" borderId="0" xfId="55" applyNumberFormat="1" applyFont="1" applyFill="1" applyAlignment="1" applyProtection="1">
      <alignment horizontal="center" vertical="center"/>
      <protection locked="0"/>
    </xf>
    <xf numFmtId="0" fontId="320" fillId="0" borderId="0" xfId="55" applyFont="1" applyFill="1" applyAlignment="1">
      <alignment horizontal="center" vertical="center"/>
    </xf>
    <xf numFmtId="0" fontId="320" fillId="0" borderId="667" xfId="55" applyFont="1" applyFill="1" applyBorder="1" applyAlignment="1" applyProtection="1">
      <alignment vertical="center"/>
      <protection locked="0"/>
    </xf>
    <xf numFmtId="0" fontId="278" fillId="0" borderId="667" xfId="55" applyFont="1" applyFill="1" applyBorder="1" applyAlignment="1" applyProtection="1">
      <alignment vertical="center"/>
      <protection locked="0"/>
    </xf>
    <xf numFmtId="0" fontId="320" fillId="0" borderId="667" xfId="55" applyFont="1" applyFill="1" applyBorder="1" applyAlignment="1" applyProtection="1">
      <alignment horizontal="center" vertical="center"/>
      <protection locked="0"/>
    </xf>
    <xf numFmtId="4" fontId="278" fillId="0" borderId="667" xfId="55" applyNumberFormat="1" applyFont="1" applyFill="1" applyBorder="1" applyAlignment="1" applyProtection="1">
      <alignment vertical="center"/>
      <protection locked="0"/>
    </xf>
    <xf numFmtId="0" fontId="320" fillId="0" borderId="433" xfId="55" applyFont="1" applyFill="1" applyBorder="1" applyAlignment="1" applyProtection="1">
      <alignment vertical="center"/>
      <protection locked="0"/>
    </xf>
    <xf numFmtId="0" fontId="320" fillId="0" borderId="433" xfId="55" applyFont="1" applyFill="1" applyBorder="1" applyAlignment="1" applyProtection="1">
      <alignment horizontal="center" vertical="center"/>
      <protection locked="0"/>
    </xf>
    <xf numFmtId="4" fontId="320" fillId="0" borderId="433" xfId="55" applyNumberFormat="1" applyFont="1" applyFill="1" applyBorder="1" applyAlignment="1" applyProtection="1">
      <alignment vertical="center"/>
      <protection locked="0"/>
    </xf>
    <xf numFmtId="4" fontId="278" fillId="0" borderId="0" xfId="55" applyNumberFormat="1" applyFont="1" applyFill="1" applyBorder="1" applyAlignment="1" applyProtection="1">
      <alignment vertical="center"/>
      <protection locked="0"/>
    </xf>
    <xf numFmtId="49" fontId="278" fillId="0" borderId="368" xfId="55" applyNumberFormat="1" applyFont="1" applyFill="1" applyBorder="1" applyAlignment="1" applyProtection="1">
      <alignment vertical="center"/>
      <protection locked="0"/>
    </xf>
    <xf numFmtId="0" fontId="320" fillId="0" borderId="1" xfId="30" applyFont="1" applyFill="1" applyBorder="1" applyAlignment="1" applyProtection="1">
      <alignment vertical="center"/>
      <protection locked="0"/>
    </xf>
    <xf numFmtId="0" fontId="320" fillId="0" borderId="1" xfId="30" applyFont="1" applyFill="1" applyBorder="1" applyAlignment="1" applyProtection="1">
      <alignment horizontal="center" vertical="center"/>
      <protection locked="0"/>
    </xf>
    <xf numFmtId="4" fontId="320" fillId="0" borderId="1" xfId="30" applyNumberFormat="1" applyFont="1" applyFill="1" applyBorder="1" applyAlignment="1" applyProtection="1">
      <alignment vertical="center"/>
      <protection locked="0"/>
    </xf>
    <xf numFmtId="10" fontId="278" fillId="0" borderId="554" xfId="88" applyNumberFormat="1" applyFont="1" applyFill="1" applyBorder="1" applyAlignment="1" applyProtection="1">
      <alignment horizontal="center" vertical="center"/>
      <protection locked="0"/>
    </xf>
    <xf numFmtId="0" fontId="320" fillId="0" borderId="22" xfId="30" applyFont="1" applyFill="1" applyBorder="1" applyAlignment="1" applyProtection="1">
      <alignment vertical="center"/>
      <protection locked="0"/>
    </xf>
    <xf numFmtId="4" fontId="278" fillId="0" borderId="5" xfId="30" applyNumberFormat="1" applyFont="1" applyFill="1" applyBorder="1" applyAlignment="1" applyProtection="1">
      <alignment horizontal="center" vertical="center"/>
      <protection locked="0"/>
    </xf>
    <xf numFmtId="0" fontId="320" fillId="0" borderId="23" xfId="30" applyFont="1" applyFill="1" applyBorder="1" applyAlignment="1" applyProtection="1">
      <alignment vertical="center"/>
      <protection locked="0"/>
    </xf>
    <xf numFmtId="0" fontId="278" fillId="0" borderId="7" xfId="30" applyNumberFormat="1" applyFont="1" applyFill="1" applyBorder="1" applyAlignment="1" applyProtection="1">
      <alignment horizontal="center" vertical="center"/>
      <protection locked="0"/>
    </xf>
    <xf numFmtId="49" fontId="320" fillId="0" borderId="22" xfId="30" applyNumberFormat="1" applyFont="1" applyFill="1" applyBorder="1" applyAlignment="1" applyProtection="1">
      <alignment vertical="center"/>
      <protection locked="0"/>
    </xf>
    <xf numFmtId="4" fontId="320" fillId="0" borderId="665" xfId="30" applyNumberFormat="1" applyFont="1" applyFill="1" applyBorder="1" applyAlignment="1" applyProtection="1">
      <alignment vertical="center"/>
      <protection locked="0"/>
    </xf>
    <xf numFmtId="4" fontId="320" fillId="0" borderId="5" xfId="30" applyNumberFormat="1" applyFont="1" applyFill="1" applyBorder="1" applyAlignment="1" applyProtection="1">
      <alignment vertical="center"/>
      <protection locked="0"/>
    </xf>
    <xf numFmtId="4" fontId="320" fillId="0" borderId="5" xfId="30" applyNumberFormat="1" applyFont="1" applyFill="1" applyBorder="1" applyAlignment="1" applyProtection="1">
      <alignment vertical="center"/>
      <protection hidden="1"/>
    </xf>
    <xf numFmtId="4" fontId="320" fillId="0" borderId="643" xfId="30" applyNumberFormat="1" applyFont="1" applyFill="1" applyBorder="1" applyAlignment="1" applyProtection="1">
      <alignment vertical="center"/>
      <protection hidden="1"/>
    </xf>
    <xf numFmtId="4" fontId="320" fillId="0" borderId="295" xfId="30" applyNumberFormat="1" applyFont="1" applyFill="1" applyBorder="1" applyAlignment="1" applyProtection="1">
      <alignment vertical="center"/>
      <protection hidden="1"/>
    </xf>
    <xf numFmtId="4" fontId="320" fillId="0" borderId="254" xfId="30" applyNumberFormat="1" applyFont="1" applyFill="1" applyBorder="1" applyAlignment="1" applyProtection="1">
      <alignment vertical="center"/>
      <protection locked="0"/>
    </xf>
    <xf numFmtId="4" fontId="320" fillId="0" borderId="643" xfId="30" applyNumberFormat="1" applyFont="1" applyFill="1" applyBorder="1" applyAlignment="1" applyProtection="1">
      <alignment vertical="center"/>
      <protection locked="0"/>
    </xf>
    <xf numFmtId="4" fontId="320" fillId="0" borderId="295" xfId="30" applyNumberFormat="1" applyFont="1" applyFill="1" applyBorder="1" applyAlignment="1" applyProtection="1">
      <alignment vertical="center"/>
      <protection locked="0"/>
    </xf>
    <xf numFmtId="0" fontId="320" fillId="0" borderId="314" xfId="30" applyFont="1" applyFill="1" applyBorder="1" applyAlignment="1" applyProtection="1">
      <alignment vertical="center"/>
      <protection locked="0"/>
    </xf>
    <xf numFmtId="0" fontId="320" fillId="0" borderId="368" xfId="30" applyFont="1" applyFill="1" applyBorder="1" applyAlignment="1" applyProtection="1">
      <alignment vertical="center"/>
      <protection locked="0"/>
    </xf>
    <xf numFmtId="4" fontId="320" fillId="0" borderId="5" xfId="30" applyNumberFormat="1" applyFont="1" applyFill="1" applyBorder="1" applyAlignment="1" applyProtection="1">
      <alignment vertical="center"/>
    </xf>
    <xf numFmtId="4" fontId="320" fillId="0" borderId="295" xfId="30" applyNumberFormat="1" applyFont="1" applyFill="1" applyBorder="1" applyAlignment="1" applyProtection="1">
      <alignment vertical="center"/>
    </xf>
    <xf numFmtId="4" fontId="320" fillId="0" borderId="448" xfId="30" applyNumberFormat="1" applyFont="1" applyFill="1" applyBorder="1" applyAlignment="1" applyProtection="1">
      <alignment vertical="center"/>
      <protection locked="0"/>
    </xf>
    <xf numFmtId="4" fontId="320" fillId="0" borderId="303" xfId="30" applyNumberFormat="1" applyFont="1" applyFill="1" applyBorder="1" applyAlignment="1" applyProtection="1">
      <alignment vertical="center"/>
      <protection locked="0"/>
    </xf>
    <xf numFmtId="4" fontId="320" fillId="0" borderId="553" xfId="30" applyNumberFormat="1" applyFont="1" applyFill="1" applyBorder="1" applyAlignment="1" applyProtection="1">
      <alignment vertical="center"/>
      <protection locked="0"/>
    </xf>
    <xf numFmtId="10" fontId="320" fillId="0" borderId="553" xfId="88" applyNumberFormat="1" applyFont="1" applyFill="1" applyBorder="1" applyAlignment="1" applyProtection="1">
      <alignment vertical="center"/>
      <protection locked="0"/>
    </xf>
    <xf numFmtId="4" fontId="278" fillId="0" borderId="642" xfId="30" applyNumberFormat="1" applyFont="1" applyFill="1" applyBorder="1" applyAlignment="1" applyProtection="1">
      <alignment vertical="center"/>
      <protection locked="0"/>
    </xf>
    <xf numFmtId="0" fontId="320" fillId="0" borderId="258" xfId="30" applyFont="1" applyFill="1" applyBorder="1" applyAlignment="1" applyProtection="1">
      <alignment vertical="center"/>
      <protection locked="0"/>
    </xf>
    <xf numFmtId="0" fontId="320" fillId="0" borderId="246" xfId="30" applyFont="1" applyFill="1" applyBorder="1" applyAlignment="1" applyProtection="1">
      <alignment horizontal="center" vertical="center"/>
      <protection locked="0"/>
    </xf>
    <xf numFmtId="4" fontId="320" fillId="0" borderId="246" xfId="30" applyNumberFormat="1" applyFont="1" applyFill="1" applyBorder="1" applyAlignment="1" applyProtection="1">
      <alignment vertical="center"/>
      <protection locked="0"/>
    </xf>
    <xf numFmtId="10" fontId="320" fillId="0" borderId="246" xfId="88" applyNumberFormat="1" applyFont="1" applyFill="1" applyBorder="1" applyAlignment="1" applyProtection="1">
      <alignment vertical="center"/>
      <protection locked="0"/>
    </xf>
    <xf numFmtId="4" fontId="320" fillId="0" borderId="0" xfId="30" applyNumberFormat="1" applyFont="1" applyFill="1" applyBorder="1" applyAlignment="1" applyProtection="1">
      <alignment horizontal="right" vertical="center"/>
      <protection locked="0"/>
    </xf>
    <xf numFmtId="49" fontId="320" fillId="0" borderId="0" xfId="30" applyNumberFormat="1" applyFont="1" applyFill="1" applyBorder="1" applyAlignment="1" applyProtection="1">
      <alignment vertical="center"/>
      <protection locked="0"/>
    </xf>
    <xf numFmtId="0" fontId="278" fillId="0" borderId="659" xfId="30" applyFont="1" applyFill="1" applyBorder="1" applyAlignment="1" applyProtection="1">
      <alignment horizontal="center" vertical="center"/>
      <protection locked="0"/>
    </xf>
    <xf numFmtId="4" fontId="278" fillId="0" borderId="584" xfId="30" applyNumberFormat="1" applyFont="1" applyFill="1" applyBorder="1" applyAlignment="1" applyProtection="1">
      <alignment horizontal="center" vertical="center"/>
      <protection locked="0"/>
    </xf>
    <xf numFmtId="4" fontId="278" fillId="0" borderId="584" xfId="2" applyNumberFormat="1" applyFont="1" applyFill="1" applyBorder="1" applyAlignment="1" applyProtection="1">
      <alignment horizontal="center" vertical="center"/>
      <protection locked="0"/>
    </xf>
    <xf numFmtId="10" fontId="278" fillId="0" borderId="584" xfId="88" applyNumberFormat="1" applyFont="1" applyFill="1" applyBorder="1" applyAlignment="1" applyProtection="1">
      <alignment horizontal="center" vertical="center"/>
      <protection locked="0"/>
    </xf>
    <xf numFmtId="4" fontId="278" fillId="0" borderId="295" xfId="30" applyNumberFormat="1" applyFont="1" applyFill="1" applyBorder="1" applyAlignment="1" applyProtection="1">
      <alignment horizontal="center" vertical="center"/>
      <protection locked="0"/>
    </xf>
    <xf numFmtId="0" fontId="278" fillId="0" borderId="608" xfId="30" applyFont="1" applyFill="1" applyBorder="1" applyAlignment="1" applyProtection="1">
      <alignment horizontal="center" vertical="center"/>
      <protection locked="0"/>
    </xf>
    <xf numFmtId="0" fontId="278" fillId="0" borderId="397" xfId="30" applyNumberFormat="1" applyFont="1" applyFill="1" applyBorder="1" applyAlignment="1" applyProtection="1">
      <alignment horizontal="center" vertical="center"/>
      <protection locked="0"/>
    </xf>
    <xf numFmtId="0" fontId="278" fillId="0" borderId="303" xfId="30" applyFont="1" applyFill="1" applyBorder="1" applyAlignment="1" applyProtection="1">
      <alignment horizontal="center" vertical="center"/>
      <protection locked="0"/>
    </xf>
    <xf numFmtId="0" fontId="320" fillId="0" borderId="14" xfId="30" applyFont="1" applyFill="1" applyBorder="1" applyAlignment="1" applyProtection="1">
      <alignment vertical="center"/>
      <protection locked="0"/>
    </xf>
    <xf numFmtId="0" fontId="278" fillId="0" borderId="17" xfId="30" applyFont="1" applyFill="1" applyBorder="1" applyAlignment="1" applyProtection="1">
      <alignment vertical="center"/>
      <protection locked="0"/>
    </xf>
    <xf numFmtId="0" fontId="320" fillId="0" borderId="16" xfId="30" applyFont="1" applyFill="1" applyBorder="1" applyAlignment="1" applyProtection="1">
      <alignment horizontal="center" vertical="center"/>
      <protection locked="0"/>
    </xf>
    <xf numFmtId="4" fontId="278" fillId="0" borderId="16" xfId="30" applyNumberFormat="1" applyFont="1" applyFill="1" applyBorder="1" applyAlignment="1" applyProtection="1">
      <alignment vertical="center"/>
      <protection locked="0"/>
    </xf>
    <xf numFmtId="10" fontId="278" fillId="0" borderId="16" xfId="88" applyNumberFormat="1" applyFont="1" applyFill="1" applyBorder="1" applyAlignment="1" applyProtection="1">
      <alignment vertical="center"/>
      <protection locked="0"/>
    </xf>
    <xf numFmtId="4" fontId="320" fillId="0" borderId="0" xfId="1" applyNumberFormat="1" applyFont="1" applyFill="1" applyAlignment="1" applyProtection="1">
      <alignment vertical="center"/>
      <protection locked="0"/>
    </xf>
    <xf numFmtId="4" fontId="320" fillId="0" borderId="0" xfId="30" applyNumberFormat="1" applyFont="1" applyFill="1" applyAlignment="1" applyProtection="1">
      <alignment horizontal="center" vertical="center"/>
      <protection locked="0"/>
    </xf>
    <xf numFmtId="0" fontId="320" fillId="0" borderId="643" xfId="30" applyFont="1" applyFill="1" applyBorder="1" applyAlignment="1" applyProtection="1">
      <alignment horizontal="center" vertical="center"/>
      <protection locked="0"/>
    </xf>
    <xf numFmtId="0" fontId="278" fillId="0" borderId="665" xfId="30" applyFont="1" applyFill="1" applyBorder="1" applyAlignment="1" applyProtection="1">
      <alignment horizontal="center" vertical="center"/>
      <protection locked="0"/>
    </xf>
    <xf numFmtId="0" fontId="320" fillId="0" borderId="667" xfId="30" applyFont="1" applyFill="1" applyBorder="1" applyAlignment="1" applyProtection="1">
      <alignment vertical="center"/>
      <protection locked="0"/>
    </xf>
    <xf numFmtId="0" fontId="278" fillId="0" borderId="667" xfId="30" applyFont="1" applyFill="1" applyBorder="1" applyAlignment="1" applyProtection="1">
      <alignment vertical="center"/>
      <protection locked="0"/>
    </xf>
    <xf numFmtId="0" fontId="320" fillId="0" borderId="667" xfId="30" applyFont="1" applyFill="1" applyBorder="1" applyAlignment="1" applyProtection="1">
      <alignment horizontal="center" vertical="center"/>
      <protection locked="0"/>
    </xf>
    <xf numFmtId="4" fontId="278" fillId="0" borderId="667" xfId="30" applyNumberFormat="1" applyFont="1" applyFill="1" applyBorder="1" applyAlignment="1" applyProtection="1">
      <alignment vertical="center"/>
      <protection locked="0"/>
    </xf>
    <xf numFmtId="49" fontId="320" fillId="0" borderId="433" xfId="30" applyNumberFormat="1" applyFont="1" applyFill="1" applyBorder="1" applyAlignment="1" applyProtection="1">
      <alignment vertical="center"/>
      <protection locked="0"/>
    </xf>
    <xf numFmtId="4" fontId="320" fillId="0" borderId="433" xfId="30" applyNumberFormat="1" applyFont="1" applyFill="1" applyBorder="1" applyAlignment="1" applyProtection="1">
      <alignment horizontal="right" vertical="center"/>
      <protection locked="0"/>
    </xf>
    <xf numFmtId="0" fontId="320" fillId="0" borderId="626" xfId="30" applyFont="1" applyFill="1" applyBorder="1" applyAlignment="1" applyProtection="1">
      <alignment vertical="center"/>
      <protection locked="0"/>
    </xf>
    <xf numFmtId="0" fontId="278" fillId="0" borderId="664" xfId="30" applyFont="1" applyFill="1" applyBorder="1" applyAlignment="1" applyProtection="1">
      <alignment horizontal="center" vertical="center"/>
      <protection locked="0"/>
    </xf>
    <xf numFmtId="0" fontId="278" fillId="0" borderId="666" xfId="30" applyFont="1" applyFill="1" applyBorder="1" applyAlignment="1" applyProtection="1">
      <alignment horizontal="center" vertical="center"/>
      <protection locked="0"/>
    </xf>
    <xf numFmtId="10" fontId="278" fillId="0" borderId="664" xfId="88" applyNumberFormat="1" applyFont="1" applyFill="1" applyBorder="1" applyAlignment="1" applyProtection="1">
      <alignment horizontal="center" vertical="center"/>
      <protection locked="0"/>
    </xf>
    <xf numFmtId="4" fontId="278" fillId="0" borderId="666" xfId="30" applyNumberFormat="1" applyFont="1" applyFill="1" applyBorder="1" applyAlignment="1" applyProtection="1">
      <alignment horizontal="center" vertical="center"/>
      <protection locked="0"/>
    </xf>
    <xf numFmtId="0" fontId="320" fillId="0" borderId="243" xfId="30" applyFont="1" applyFill="1" applyBorder="1" applyAlignment="1" applyProtection="1">
      <alignment vertical="center"/>
      <protection locked="0"/>
    </xf>
    <xf numFmtId="10" fontId="278" fillId="0" borderId="608" xfId="88" applyNumberFormat="1" applyFont="1" applyFill="1" applyBorder="1" applyAlignment="1" applyProtection="1">
      <alignment horizontal="center" vertical="center"/>
      <protection locked="0"/>
    </xf>
    <xf numFmtId="0" fontId="278" fillId="0" borderId="246" xfId="30" applyNumberFormat="1" applyFont="1" applyFill="1" applyBorder="1" applyAlignment="1" applyProtection="1">
      <alignment horizontal="center" vertical="center"/>
      <protection locked="0"/>
    </xf>
    <xf numFmtId="0" fontId="320" fillId="0" borderId="608" xfId="30" applyFont="1" applyFill="1" applyBorder="1" applyAlignment="1" applyProtection="1">
      <alignment vertical="center"/>
      <protection locked="0"/>
    </xf>
    <xf numFmtId="49" fontId="320" fillId="0" borderId="669" xfId="30" applyNumberFormat="1" applyFont="1" applyFill="1" applyBorder="1" applyAlignment="1" applyProtection="1">
      <alignment vertical="center"/>
      <protection locked="0"/>
    </xf>
    <xf numFmtId="0" fontId="320" fillId="0" borderId="666" xfId="30" applyFont="1" applyFill="1" applyBorder="1" applyAlignment="1" applyProtection="1">
      <alignment horizontal="center" vertical="center"/>
      <protection locked="0"/>
    </xf>
    <xf numFmtId="4" fontId="320" fillId="0" borderId="666" xfId="30" applyNumberFormat="1" applyFont="1" applyFill="1" applyBorder="1" applyAlignment="1" applyProtection="1">
      <alignment vertical="center"/>
      <protection locked="0"/>
    </xf>
    <xf numFmtId="10" fontId="320" fillId="0" borderId="666" xfId="88" applyNumberFormat="1" applyFont="1" applyFill="1" applyBorder="1" applyAlignment="1" applyProtection="1">
      <alignment vertical="center"/>
      <protection locked="0"/>
    </xf>
    <xf numFmtId="0" fontId="320" fillId="0" borderId="669" xfId="30" applyFont="1" applyFill="1" applyBorder="1" applyAlignment="1" applyProtection="1">
      <alignment vertical="center"/>
      <protection locked="0"/>
    </xf>
    <xf numFmtId="0" fontId="278" fillId="0" borderId="666" xfId="30" applyFont="1" applyFill="1" applyBorder="1" applyAlignment="1" applyProtection="1">
      <alignment horizontal="center" vertical="center" wrapText="1"/>
      <protection locked="0"/>
    </xf>
    <xf numFmtId="10" fontId="278" fillId="0" borderId="666" xfId="88" applyNumberFormat="1" applyFont="1" applyFill="1" applyBorder="1" applyAlignment="1" applyProtection="1">
      <alignment horizontal="center" vertical="center"/>
      <protection locked="0"/>
    </xf>
    <xf numFmtId="0" fontId="320" fillId="0" borderId="665" xfId="30" applyFont="1" applyFill="1" applyBorder="1" applyAlignment="1" applyProtection="1">
      <alignment vertical="center"/>
      <protection locked="0"/>
    </xf>
    <xf numFmtId="0" fontId="278" fillId="0" borderId="665" xfId="30" applyFont="1" applyFill="1" applyBorder="1" applyAlignment="1" applyProtection="1">
      <alignment vertical="center"/>
      <protection locked="0"/>
    </xf>
    <xf numFmtId="49" fontId="320" fillId="0" borderId="644" xfId="30" applyNumberFormat="1" applyFont="1" applyFill="1" applyBorder="1" applyAlignment="1" applyProtection="1">
      <alignment vertical="center"/>
      <protection locked="0"/>
    </xf>
    <xf numFmtId="0" fontId="320" fillId="0" borderId="643" xfId="30" applyFont="1" applyFill="1" applyBorder="1" applyAlignment="1">
      <alignment horizontal="center" vertical="center"/>
    </xf>
    <xf numFmtId="0" fontId="278" fillId="0" borderId="644" xfId="30" applyFont="1" applyFill="1" applyBorder="1" applyAlignment="1" applyProtection="1">
      <alignment vertical="center"/>
      <protection locked="0"/>
    </xf>
    <xf numFmtId="0" fontId="278" fillId="0" borderId="306" xfId="30" applyFont="1" applyFill="1" applyBorder="1" applyAlignment="1" applyProtection="1">
      <alignment vertical="center"/>
      <protection locked="0"/>
    </xf>
    <xf numFmtId="0" fontId="278" fillId="0" borderId="316" xfId="30" applyFont="1" applyFill="1" applyBorder="1" applyAlignment="1" applyProtection="1">
      <alignment vertical="center"/>
      <protection locked="0"/>
    </xf>
    <xf numFmtId="4" fontId="320" fillId="0" borderId="0" xfId="30" applyNumberFormat="1" applyFont="1" applyFill="1" applyBorder="1" applyAlignment="1">
      <alignment vertical="center"/>
    </xf>
    <xf numFmtId="0" fontId="321" fillId="0" borderId="0" xfId="30" applyFont="1" applyFill="1" applyBorder="1" applyAlignment="1" applyProtection="1">
      <alignment vertical="center"/>
      <protection locked="0"/>
    </xf>
    <xf numFmtId="0" fontId="319" fillId="0" borderId="0" xfId="2" applyFont="1" applyFill="1" applyAlignment="1" applyProtection="1">
      <alignment horizontal="centerContinuous" vertical="center"/>
      <protection locked="0"/>
    </xf>
    <xf numFmtId="4" fontId="320" fillId="0" borderId="0" xfId="2" applyNumberFormat="1" applyFont="1" applyFill="1" applyAlignment="1" applyProtection="1">
      <alignment horizontal="centerContinuous" vertical="center"/>
      <protection locked="0"/>
    </xf>
    <xf numFmtId="0" fontId="320" fillId="0" borderId="1" xfId="2" applyFont="1" applyFill="1" applyBorder="1" applyAlignment="1" applyProtection="1">
      <alignment vertical="center"/>
      <protection locked="0"/>
    </xf>
    <xf numFmtId="0" fontId="320" fillId="0" borderId="1" xfId="2" applyFont="1" applyFill="1" applyBorder="1" applyAlignment="1" applyProtection="1">
      <alignment horizontal="center" vertical="center"/>
      <protection locked="0"/>
    </xf>
    <xf numFmtId="4" fontId="320" fillId="0" borderId="1" xfId="2" applyNumberFormat="1" applyFont="1" applyFill="1" applyBorder="1" applyAlignment="1" applyProtection="1">
      <alignment vertical="center"/>
      <protection locked="0"/>
    </xf>
    <xf numFmtId="4" fontId="320" fillId="0" borderId="433" xfId="2" applyNumberFormat="1" applyFont="1" applyFill="1" applyBorder="1" applyAlignment="1" applyProtection="1">
      <alignment vertical="center"/>
      <protection locked="0"/>
    </xf>
    <xf numFmtId="4" fontId="320" fillId="0" borderId="452" xfId="2" applyNumberFormat="1" applyFont="1" applyFill="1" applyBorder="1" applyAlignment="1" applyProtection="1">
      <alignment vertical="center"/>
      <protection locked="0"/>
    </xf>
    <xf numFmtId="4" fontId="278" fillId="0" borderId="452" xfId="2" applyNumberFormat="1" applyFont="1" applyFill="1" applyBorder="1" applyAlignment="1" applyProtection="1">
      <alignment vertical="center"/>
      <protection locked="0"/>
    </xf>
    <xf numFmtId="4" fontId="320" fillId="0" borderId="434" xfId="2" applyNumberFormat="1" applyFont="1" applyFill="1" applyBorder="1" applyAlignment="1" applyProtection="1">
      <alignment vertical="center"/>
      <protection locked="0"/>
    </xf>
    <xf numFmtId="10" fontId="320" fillId="0" borderId="434" xfId="88" applyNumberFormat="1" applyFont="1" applyFill="1" applyBorder="1" applyAlignment="1" applyProtection="1">
      <alignment vertical="center"/>
      <protection locked="0"/>
    </xf>
    <xf numFmtId="4" fontId="320" fillId="0" borderId="0" xfId="2" applyNumberFormat="1" applyFont="1" applyFill="1" applyBorder="1" applyAlignment="1" applyProtection="1">
      <alignment horizontal="right" vertical="center"/>
      <protection locked="0"/>
    </xf>
    <xf numFmtId="0" fontId="320" fillId="0" borderId="0" xfId="2" applyFont="1" applyFill="1" applyBorder="1" applyAlignment="1" applyProtection="1">
      <alignment vertical="top"/>
      <protection locked="0"/>
    </xf>
    <xf numFmtId="0" fontId="320" fillId="0" borderId="0" xfId="2" applyFont="1" applyFill="1" applyBorder="1" applyAlignment="1">
      <alignment vertical="top"/>
    </xf>
    <xf numFmtId="0" fontId="320" fillId="0" borderId="0" xfId="2" applyFont="1" applyFill="1" applyAlignment="1">
      <alignment vertical="top"/>
    </xf>
    <xf numFmtId="43" fontId="320" fillId="0" borderId="0" xfId="1" applyFont="1" applyFill="1" applyBorder="1" applyAlignment="1">
      <alignment vertical="top"/>
    </xf>
    <xf numFmtId="0" fontId="278" fillId="0" borderId="434" xfId="2" applyFont="1" applyFill="1" applyBorder="1" applyAlignment="1" applyProtection="1">
      <alignment vertical="center"/>
      <protection locked="0"/>
    </xf>
    <xf numFmtId="0" fontId="278" fillId="0" borderId="397" xfId="2" applyFont="1" applyFill="1" applyBorder="1" applyAlignment="1" applyProtection="1">
      <alignment horizontal="center" vertical="center"/>
      <protection locked="0"/>
    </xf>
    <xf numFmtId="4" fontId="278" fillId="0" borderId="397" xfId="2" applyNumberFormat="1" applyFont="1" applyFill="1" applyBorder="1" applyAlignment="1" applyProtection="1">
      <alignment vertical="center"/>
      <protection locked="0"/>
    </xf>
    <xf numFmtId="10" fontId="278" fillId="0" borderId="397" xfId="88" applyNumberFormat="1" applyFont="1" applyFill="1" applyBorder="1" applyAlignment="1" applyProtection="1">
      <alignment vertical="center"/>
      <protection locked="0"/>
    </xf>
    <xf numFmtId="0" fontId="321" fillId="0" borderId="0" xfId="58" applyFont="1" applyFill="1" applyBorder="1" applyAlignment="1" applyProtection="1">
      <alignment vertical="center"/>
      <protection locked="0"/>
    </xf>
    <xf numFmtId="0" fontId="321" fillId="0" borderId="0" xfId="58" applyFont="1" applyFill="1" applyBorder="1" applyAlignment="1" applyProtection="1">
      <alignment horizontal="center" vertical="center"/>
      <protection locked="0"/>
    </xf>
    <xf numFmtId="4" fontId="321" fillId="0" borderId="0" xfId="58" applyNumberFormat="1" applyFont="1" applyFill="1" applyBorder="1" applyAlignment="1" applyProtection="1">
      <alignment vertical="center"/>
      <protection locked="0"/>
    </xf>
    <xf numFmtId="4" fontId="321" fillId="0" borderId="0" xfId="58" applyNumberFormat="1" applyFont="1" applyFill="1" applyBorder="1" applyAlignment="1">
      <alignment vertical="center"/>
    </xf>
    <xf numFmtId="10" fontId="321" fillId="0" borderId="0" xfId="88" applyNumberFormat="1" applyFont="1" applyFill="1" applyBorder="1" applyAlignment="1" applyProtection="1">
      <alignment vertical="center"/>
      <protection locked="0"/>
    </xf>
    <xf numFmtId="0" fontId="323" fillId="0" borderId="0" xfId="58" applyFont="1" applyFill="1" applyBorder="1" applyAlignment="1" applyProtection="1">
      <alignment vertical="center"/>
      <protection locked="0"/>
    </xf>
    <xf numFmtId="0" fontId="323" fillId="0" borderId="0" xfId="58" applyFont="1" applyFill="1" applyBorder="1" applyAlignment="1" applyProtection="1">
      <alignment horizontal="center" vertical="center"/>
      <protection locked="0"/>
    </xf>
    <xf numFmtId="4" fontId="323" fillId="0" borderId="0" xfId="58" applyNumberFormat="1" applyFont="1" applyFill="1" applyBorder="1" applyAlignment="1" applyProtection="1">
      <alignment vertical="center"/>
      <protection locked="0"/>
    </xf>
    <xf numFmtId="4" fontId="323" fillId="0" borderId="0" xfId="88" applyNumberFormat="1" applyFont="1" applyFill="1" applyBorder="1" applyAlignment="1">
      <alignment vertical="center"/>
    </xf>
    <xf numFmtId="10" fontId="323" fillId="0" borderId="0" xfId="88" applyNumberFormat="1" applyFont="1" applyFill="1" applyBorder="1" applyAlignment="1" applyProtection="1">
      <alignment vertical="center"/>
      <protection locked="0"/>
    </xf>
    <xf numFmtId="0" fontId="323" fillId="0" borderId="0" xfId="58" applyFont="1" applyFill="1" applyAlignment="1">
      <alignment vertical="center"/>
    </xf>
    <xf numFmtId="43" fontId="320" fillId="0" borderId="0" xfId="1" applyFont="1" applyFill="1" applyAlignment="1">
      <alignment horizontal="center" vertical="center"/>
    </xf>
    <xf numFmtId="4" fontId="320" fillId="0" borderId="433" xfId="2" applyNumberFormat="1" applyFont="1" applyFill="1" applyBorder="1" applyAlignment="1" applyProtection="1">
      <alignment horizontal="right" vertical="center"/>
      <protection locked="0"/>
    </xf>
    <xf numFmtId="0" fontId="320" fillId="0" borderId="0" xfId="0" applyFont="1" applyFill="1" applyBorder="1"/>
    <xf numFmtId="0" fontId="278" fillId="0" borderId="433" xfId="2" applyFont="1" applyFill="1" applyBorder="1" applyAlignment="1" applyProtection="1">
      <alignment horizontal="center" vertical="center"/>
      <protection locked="0"/>
    </xf>
    <xf numFmtId="10" fontId="320" fillId="0" borderId="433" xfId="88" applyNumberFormat="1" applyFont="1" applyFill="1" applyBorder="1" applyAlignment="1" applyProtection="1">
      <alignment horizontal="right" vertical="center"/>
      <protection locked="0"/>
    </xf>
    <xf numFmtId="0" fontId="320" fillId="0" borderId="20" xfId="2" applyFont="1" applyFill="1" applyBorder="1" applyAlignment="1" applyProtection="1">
      <alignment vertical="center"/>
      <protection locked="0"/>
    </xf>
    <xf numFmtId="4" fontId="320" fillId="0" borderId="20" xfId="2" applyNumberFormat="1" applyFont="1" applyFill="1" applyBorder="1" applyAlignment="1" applyProtection="1">
      <alignment vertical="center"/>
      <protection locked="0"/>
    </xf>
    <xf numFmtId="4" fontId="320" fillId="0" borderId="559" xfId="2" applyNumberFormat="1" applyFont="1" applyFill="1" applyBorder="1" applyAlignment="1" applyProtection="1">
      <alignment vertical="center"/>
      <protection locked="0"/>
    </xf>
    <xf numFmtId="10" fontId="320" fillId="0" borderId="0" xfId="88" applyNumberFormat="1" applyFont="1" applyFill="1" applyBorder="1" applyAlignment="1" applyProtection="1">
      <alignment horizontal="right" vertical="center"/>
      <protection locked="0"/>
    </xf>
    <xf numFmtId="43" fontId="320" fillId="0" borderId="295" xfId="1" applyFont="1" applyFill="1" applyBorder="1" applyAlignment="1" applyProtection="1">
      <alignment vertical="center"/>
      <protection locked="0"/>
    </xf>
    <xf numFmtId="4" fontId="320" fillId="0" borderId="295" xfId="2" applyNumberFormat="1" applyFont="1" applyFill="1" applyBorder="1" applyAlignment="1" applyProtection="1">
      <alignment vertical="top"/>
      <protection locked="0"/>
    </xf>
    <xf numFmtId="43" fontId="320" fillId="0" borderId="0" xfId="1" applyFont="1" applyFill="1" applyAlignment="1">
      <alignment vertical="top"/>
    </xf>
    <xf numFmtId="0" fontId="320" fillId="0" borderId="0" xfId="46" applyFont="1" applyFill="1" applyAlignment="1" applyProtection="1">
      <alignment vertical="center"/>
      <protection locked="0"/>
    </xf>
    <xf numFmtId="4" fontId="320" fillId="0" borderId="0" xfId="58" applyNumberFormat="1" applyFont="1" applyFill="1" applyAlignment="1">
      <alignment vertical="center"/>
    </xf>
    <xf numFmtId="4" fontId="320" fillId="0" borderId="0" xfId="46" applyNumberFormat="1" applyFont="1" applyFill="1" applyAlignment="1" applyProtection="1">
      <alignment vertical="center"/>
      <protection locked="0"/>
    </xf>
    <xf numFmtId="4" fontId="278" fillId="0" borderId="0" xfId="58" applyNumberFormat="1" applyFont="1" applyFill="1" applyAlignment="1">
      <alignment vertical="center"/>
    </xf>
    <xf numFmtId="0" fontId="278" fillId="0" borderId="0" xfId="46" applyFont="1" applyFill="1" applyAlignment="1" applyProtection="1">
      <alignment vertical="center"/>
      <protection locked="0"/>
    </xf>
    <xf numFmtId="4" fontId="278" fillId="0" borderId="0" xfId="46" applyNumberFormat="1" applyFont="1" applyFill="1" applyAlignment="1" applyProtection="1">
      <alignment vertical="center"/>
      <protection locked="0"/>
    </xf>
    <xf numFmtId="0" fontId="320" fillId="0" borderId="0" xfId="45" applyFont="1" applyFill="1" applyAlignment="1" applyProtection="1">
      <alignment vertical="center"/>
      <protection locked="0"/>
    </xf>
    <xf numFmtId="0" fontId="278" fillId="0" borderId="20" xfId="2" applyFont="1" applyFill="1" applyBorder="1" applyAlignment="1" applyProtection="1">
      <alignment vertical="center"/>
      <protection locked="0"/>
    </xf>
    <xf numFmtId="4" fontId="278" fillId="0" borderId="20" xfId="2" applyNumberFormat="1" applyFont="1" applyFill="1" applyBorder="1" applyAlignment="1" applyProtection="1">
      <alignment vertical="center"/>
      <protection locked="0"/>
    </xf>
    <xf numFmtId="4" fontId="278" fillId="0" borderId="559" xfId="2" applyNumberFormat="1" applyFont="1" applyFill="1" applyBorder="1" applyAlignment="1" applyProtection="1">
      <alignment vertical="center"/>
      <protection locked="0"/>
    </xf>
    <xf numFmtId="10" fontId="278" fillId="0" borderId="559" xfId="88" applyNumberFormat="1" applyFont="1" applyFill="1" applyBorder="1" applyAlignment="1" applyProtection="1">
      <alignment vertical="center"/>
      <protection locked="0"/>
    </xf>
    <xf numFmtId="43" fontId="320" fillId="0" borderId="0" xfId="2" applyNumberFormat="1" applyFont="1" applyFill="1" applyBorder="1" applyAlignment="1" applyProtection="1">
      <alignment vertical="center"/>
      <protection locked="0"/>
    </xf>
    <xf numFmtId="0" fontId="320" fillId="0" borderId="0" xfId="1" applyNumberFormat="1" applyFont="1" applyFill="1" applyAlignment="1" applyProtection="1">
      <alignment horizontal="center" vertical="center"/>
      <protection locked="0"/>
    </xf>
    <xf numFmtId="0" fontId="278" fillId="0" borderId="0" xfId="1" applyNumberFormat="1" applyFont="1" applyFill="1" applyAlignment="1" applyProtection="1">
      <alignment horizontal="center" vertical="center"/>
      <protection locked="0"/>
    </xf>
    <xf numFmtId="0" fontId="320" fillId="0" borderId="1" xfId="1" applyNumberFormat="1" applyFont="1" applyFill="1" applyBorder="1" applyAlignment="1" applyProtection="1">
      <alignment horizontal="center" vertical="center"/>
      <protection locked="0"/>
    </xf>
    <xf numFmtId="0" fontId="320" fillId="0" borderId="0" xfId="42" applyNumberFormat="1" applyFont="1" applyFill="1" applyAlignment="1">
      <alignment vertical="center"/>
    </xf>
    <xf numFmtId="0" fontId="320" fillId="0" borderId="667" xfId="1" applyNumberFormat="1" applyFont="1" applyFill="1" applyBorder="1" applyAlignment="1" applyProtection="1">
      <alignment horizontal="center" vertical="center"/>
      <protection locked="0"/>
    </xf>
    <xf numFmtId="0" fontId="320" fillId="0" borderId="0" xfId="1" applyNumberFormat="1" applyFont="1" applyFill="1" applyBorder="1" applyAlignment="1" applyProtection="1">
      <alignment horizontal="center" vertical="center"/>
      <protection locked="0"/>
    </xf>
    <xf numFmtId="0" fontId="320" fillId="0" borderId="433" xfId="1" applyNumberFormat="1" applyFont="1" applyFill="1" applyBorder="1" applyAlignment="1" applyProtection="1">
      <alignment horizontal="center" vertical="center"/>
      <protection locked="0"/>
    </xf>
    <xf numFmtId="0" fontId="320" fillId="0" borderId="0" xfId="1" applyNumberFormat="1" applyFont="1" applyFill="1" applyAlignment="1">
      <alignment horizontal="center" vertical="center"/>
    </xf>
    <xf numFmtId="0" fontId="278" fillId="0" borderId="433" xfId="30" applyFont="1" applyFill="1" applyBorder="1" applyAlignment="1" applyProtection="1">
      <alignment vertical="center"/>
      <protection locked="0"/>
    </xf>
    <xf numFmtId="0" fontId="278" fillId="0" borderId="547" xfId="30" applyFont="1" applyFill="1" applyBorder="1" applyAlignment="1" applyProtection="1">
      <alignment vertical="center"/>
      <protection locked="0"/>
    </xf>
    <xf numFmtId="4" fontId="320" fillId="0" borderId="578" xfId="30" applyNumberFormat="1" applyFont="1" applyFill="1" applyBorder="1" applyAlignment="1" applyProtection="1">
      <alignment vertical="center"/>
      <protection locked="0"/>
    </xf>
    <xf numFmtId="0" fontId="320" fillId="0" borderId="0" xfId="30" applyFont="1" applyFill="1" applyBorder="1" applyAlignment="1" applyProtection="1">
      <alignment vertical="center" wrapText="1"/>
      <protection locked="0"/>
    </xf>
    <xf numFmtId="4" fontId="320" fillId="0" borderId="667" xfId="30" applyNumberFormat="1" applyFont="1" applyFill="1" applyBorder="1" applyAlignment="1" applyProtection="1">
      <alignment horizontal="right" vertical="center"/>
      <protection locked="0"/>
    </xf>
    <xf numFmtId="10" fontId="320" fillId="0" borderId="667" xfId="88" applyNumberFormat="1" applyFont="1" applyFill="1" applyBorder="1" applyAlignment="1" applyProtection="1">
      <alignment horizontal="right" vertical="center"/>
      <protection locked="0"/>
    </xf>
    <xf numFmtId="49" fontId="320" fillId="0" borderId="311" xfId="30" applyNumberFormat="1" applyFont="1" applyFill="1" applyBorder="1" applyAlignment="1" applyProtection="1">
      <alignment vertical="center"/>
      <protection locked="0"/>
    </xf>
    <xf numFmtId="0" fontId="278" fillId="0" borderId="311" xfId="30" applyFont="1" applyFill="1" applyBorder="1" applyAlignment="1" applyProtection="1">
      <alignment vertical="center"/>
      <protection locked="0"/>
    </xf>
    <xf numFmtId="4" fontId="278" fillId="0" borderId="311" xfId="30" applyNumberFormat="1" applyFont="1" applyFill="1" applyBorder="1" applyAlignment="1" applyProtection="1">
      <alignment vertical="center"/>
      <protection locked="0"/>
    </xf>
    <xf numFmtId="4" fontId="278" fillId="0" borderId="559" xfId="30" applyNumberFormat="1" applyFont="1" applyFill="1" applyBorder="1" applyAlignment="1" applyProtection="1">
      <alignment vertical="center"/>
      <protection locked="0"/>
    </xf>
    <xf numFmtId="49" fontId="320" fillId="0" borderId="195" xfId="30" applyNumberFormat="1" applyFont="1" applyFill="1" applyBorder="1" applyAlignment="1" applyProtection="1">
      <alignment vertical="center"/>
      <protection locked="0"/>
    </xf>
    <xf numFmtId="0" fontId="278" fillId="0" borderId="195" xfId="30" applyFont="1" applyFill="1" applyBorder="1" applyAlignment="1" applyProtection="1">
      <alignment vertical="center"/>
      <protection locked="0"/>
    </xf>
    <xf numFmtId="4" fontId="278" fillId="0" borderId="195" xfId="30" applyNumberFormat="1" applyFont="1" applyFill="1" applyBorder="1" applyAlignment="1" applyProtection="1">
      <alignment vertical="center"/>
      <protection locked="0"/>
    </xf>
    <xf numFmtId="4" fontId="278" fillId="0" borderId="433" xfId="30" applyNumberFormat="1" applyFont="1" applyFill="1" applyBorder="1" applyAlignment="1" applyProtection="1">
      <alignment vertical="center"/>
      <protection locked="0"/>
    </xf>
    <xf numFmtId="49" fontId="320" fillId="0" borderId="667" xfId="30" applyNumberFormat="1" applyFont="1" applyFill="1" applyBorder="1" applyAlignment="1" applyProtection="1">
      <alignment vertical="center"/>
      <protection locked="0"/>
    </xf>
    <xf numFmtId="4" fontId="320" fillId="0" borderId="667" xfId="30" applyNumberFormat="1" applyFont="1" applyFill="1" applyBorder="1" applyAlignment="1" applyProtection="1">
      <alignment vertical="center"/>
      <protection locked="0"/>
    </xf>
    <xf numFmtId="4" fontId="320" fillId="0" borderId="667" xfId="2" applyNumberFormat="1" applyFont="1" applyFill="1" applyBorder="1" applyAlignment="1" applyProtection="1">
      <alignment vertical="center"/>
      <protection locked="0"/>
    </xf>
    <xf numFmtId="10" fontId="320" fillId="0" borderId="667" xfId="88" applyNumberFormat="1" applyFont="1" applyFill="1" applyBorder="1" applyAlignment="1" applyProtection="1">
      <alignment vertical="center"/>
      <protection locked="0"/>
    </xf>
    <xf numFmtId="0" fontId="320" fillId="0" borderId="0" xfId="45" applyFont="1" applyFill="1" applyAlignment="1">
      <alignment vertical="center"/>
    </xf>
    <xf numFmtId="4" fontId="320" fillId="0" borderId="0" xfId="45" applyNumberFormat="1" applyFont="1" applyFill="1" applyAlignment="1" applyProtection="1">
      <alignment vertical="center"/>
      <protection locked="0"/>
    </xf>
    <xf numFmtId="0" fontId="278" fillId="0" borderId="0" xfId="45" applyFont="1" applyFill="1" applyAlignment="1" applyProtection="1">
      <alignment vertical="center"/>
      <protection locked="0"/>
    </xf>
    <xf numFmtId="4" fontId="278" fillId="0" borderId="0" xfId="45" applyNumberFormat="1" applyFont="1" applyFill="1" applyAlignment="1" applyProtection="1">
      <alignment vertical="center"/>
      <protection locked="0"/>
    </xf>
    <xf numFmtId="0" fontId="320" fillId="0" borderId="0" xfId="45" applyFont="1" applyFill="1" applyBorder="1" applyAlignment="1" applyProtection="1">
      <alignment vertical="center"/>
      <protection locked="0"/>
    </xf>
    <xf numFmtId="0" fontId="320" fillId="0" borderId="0" xfId="45" applyFont="1" applyFill="1" applyBorder="1" applyAlignment="1" applyProtection="1">
      <alignment horizontal="center" vertical="center"/>
      <protection locked="0"/>
    </xf>
    <xf numFmtId="0" fontId="320" fillId="0" borderId="433" xfId="45" applyFont="1" applyFill="1" applyBorder="1" applyAlignment="1" applyProtection="1">
      <alignment vertical="center"/>
      <protection locked="0"/>
    </xf>
    <xf numFmtId="0" fontId="320" fillId="0" borderId="433" xfId="45" applyFont="1" applyFill="1" applyBorder="1" applyAlignment="1" applyProtection="1">
      <alignment horizontal="center" vertical="center"/>
      <protection locked="0"/>
    </xf>
    <xf numFmtId="4" fontId="320" fillId="0" borderId="433" xfId="45" applyNumberFormat="1" applyFont="1" applyFill="1" applyBorder="1" applyAlignment="1" applyProtection="1">
      <alignment vertical="center"/>
      <protection locked="0"/>
    </xf>
    <xf numFmtId="0" fontId="278" fillId="0" borderId="0" xfId="45" applyFont="1" applyFill="1" applyBorder="1" applyAlignment="1" applyProtection="1">
      <alignment horizontal="center" vertical="center"/>
      <protection locked="0"/>
    </xf>
    <xf numFmtId="0" fontId="278" fillId="0" borderId="0" xfId="45" applyFont="1" applyFill="1" applyBorder="1" applyAlignment="1" applyProtection="1">
      <alignment vertical="center"/>
      <protection locked="0"/>
    </xf>
    <xf numFmtId="0" fontId="320" fillId="0" borderId="0" xfId="45" applyFont="1" applyFill="1" applyBorder="1" applyAlignment="1">
      <alignment vertical="center"/>
    </xf>
    <xf numFmtId="0" fontId="278" fillId="0" borderId="0" xfId="45" applyFont="1" applyFill="1" applyAlignment="1">
      <alignment vertical="center"/>
    </xf>
    <xf numFmtId="0" fontId="321" fillId="0" borderId="0" xfId="58" applyFont="1" applyFill="1" applyAlignment="1" applyProtection="1">
      <alignment vertical="center"/>
      <protection locked="0"/>
    </xf>
    <xf numFmtId="0" fontId="321" fillId="0" borderId="0" xfId="58" applyFont="1" applyFill="1" applyAlignment="1" applyProtection="1">
      <alignment horizontal="center" vertical="center"/>
      <protection locked="0"/>
    </xf>
    <xf numFmtId="4" fontId="321" fillId="0" borderId="0" xfId="58" applyNumberFormat="1" applyFont="1" applyFill="1" applyAlignment="1" applyProtection="1">
      <alignment vertical="center"/>
      <protection locked="0"/>
    </xf>
    <xf numFmtId="4" fontId="321" fillId="0" borderId="0" xfId="58" applyNumberFormat="1" applyFont="1" applyFill="1" applyAlignment="1">
      <alignment vertical="center"/>
    </xf>
    <xf numFmtId="10" fontId="321" fillId="0" borderId="0" xfId="88" applyNumberFormat="1" applyFont="1" applyFill="1" applyAlignment="1">
      <alignment vertical="center"/>
    </xf>
    <xf numFmtId="0" fontId="320" fillId="0" borderId="0" xfId="47" applyFont="1" applyFill="1" applyAlignment="1" applyProtection="1">
      <alignment vertical="center"/>
      <protection locked="0"/>
    </xf>
    <xf numFmtId="0" fontId="320" fillId="0" borderId="0" xfId="47" applyFont="1" applyFill="1" applyAlignment="1">
      <alignment vertical="center"/>
    </xf>
    <xf numFmtId="0" fontId="278" fillId="0" borderId="0" xfId="47" applyFont="1" applyFill="1" applyAlignment="1" applyProtection="1">
      <alignment vertical="center"/>
      <protection locked="0"/>
    </xf>
    <xf numFmtId="0" fontId="278" fillId="0" borderId="0" xfId="47" applyFont="1" applyFill="1" applyAlignment="1">
      <alignment vertical="center"/>
    </xf>
    <xf numFmtId="0" fontId="320" fillId="0" borderId="0" xfId="46" applyFont="1" applyFill="1" applyAlignment="1" applyProtection="1">
      <alignment horizontal="left" vertical="center"/>
      <protection locked="0"/>
    </xf>
    <xf numFmtId="4" fontId="278" fillId="0" borderId="0" xfId="1" applyNumberFormat="1" applyFont="1" applyFill="1" applyAlignment="1">
      <alignment vertical="center"/>
    </xf>
    <xf numFmtId="4" fontId="320" fillId="0" borderId="0" xfId="45" applyNumberFormat="1" applyFont="1" applyFill="1" applyAlignment="1">
      <alignment vertical="center"/>
    </xf>
    <xf numFmtId="4" fontId="278" fillId="0" borderId="0" xfId="45" applyNumberFormat="1" applyFont="1" applyFill="1" applyBorder="1" applyAlignment="1" applyProtection="1">
      <alignment vertical="center"/>
      <protection locked="0"/>
    </xf>
    <xf numFmtId="0" fontId="278" fillId="0" borderId="433" xfId="45" applyFont="1" applyFill="1" applyBorder="1" applyAlignment="1" applyProtection="1">
      <alignment vertical="center"/>
      <protection locked="0"/>
    </xf>
    <xf numFmtId="4" fontId="278" fillId="0" borderId="433" xfId="45" applyNumberFormat="1" applyFont="1" applyFill="1" applyBorder="1" applyAlignment="1" applyProtection="1">
      <alignment vertical="center"/>
      <protection locked="0"/>
    </xf>
    <xf numFmtId="0" fontId="278" fillId="0" borderId="433" xfId="45" applyFont="1" applyFill="1" applyBorder="1" applyAlignment="1" applyProtection="1">
      <alignment horizontal="center" vertical="center"/>
      <protection locked="0"/>
    </xf>
    <xf numFmtId="0" fontId="278" fillId="0" borderId="0" xfId="45" applyFont="1" applyFill="1" applyBorder="1" applyAlignment="1">
      <alignment vertical="center"/>
    </xf>
    <xf numFmtId="4" fontId="320" fillId="0" borderId="548" xfId="30" applyNumberFormat="1" applyFont="1" applyFill="1" applyBorder="1" applyAlignment="1" applyProtection="1">
      <alignment vertical="center"/>
      <protection locked="0"/>
    </xf>
    <xf numFmtId="4" fontId="320" fillId="0" borderId="0" xfId="7" applyNumberFormat="1" applyFont="1" applyFill="1" applyAlignment="1" applyProtection="1">
      <alignment vertical="center"/>
      <protection locked="0"/>
    </xf>
    <xf numFmtId="4" fontId="320" fillId="0" borderId="1" xfId="7" applyNumberFormat="1" applyFont="1" applyFill="1" applyBorder="1" applyAlignment="1" applyProtection="1">
      <alignment vertical="center"/>
      <protection locked="0"/>
    </xf>
    <xf numFmtId="4" fontId="320" fillId="0" borderId="195" xfId="2" applyNumberFormat="1" applyFont="1" applyFill="1" applyBorder="1" applyAlignment="1" applyProtection="1">
      <alignment vertical="center"/>
      <protection locked="0"/>
    </xf>
    <xf numFmtId="0" fontId="320" fillId="0" borderId="0" xfId="2" applyNumberFormat="1" applyFont="1" applyFill="1" applyAlignment="1">
      <alignment vertical="center"/>
    </xf>
    <xf numFmtId="0" fontId="320" fillId="0" borderId="0" xfId="2" applyNumberFormat="1" applyFont="1" applyFill="1" applyAlignment="1">
      <alignment horizontal="center" vertical="center"/>
    </xf>
    <xf numFmtId="0" fontId="320" fillId="0" borderId="0" xfId="46" applyFont="1" applyFill="1" applyBorder="1" applyAlignment="1" applyProtection="1">
      <alignment vertical="center"/>
      <protection locked="0"/>
    </xf>
    <xf numFmtId="4" fontId="320" fillId="0" borderId="0" xfId="46" applyNumberFormat="1" applyFont="1" applyFill="1" applyAlignment="1">
      <alignment vertical="center"/>
    </xf>
    <xf numFmtId="0" fontId="320" fillId="0" borderId="0" xfId="46" applyFont="1" applyFill="1" applyAlignment="1">
      <alignment vertical="center"/>
    </xf>
    <xf numFmtId="0" fontId="320" fillId="0" borderId="0" xfId="46" applyFont="1" applyFill="1" applyAlignment="1">
      <alignment horizontal="center" vertical="center"/>
    </xf>
    <xf numFmtId="0" fontId="278" fillId="0" borderId="0" xfId="2" applyFont="1" applyFill="1" applyAlignment="1">
      <alignment horizontal="center" vertical="center"/>
    </xf>
    <xf numFmtId="4" fontId="320" fillId="0" borderId="0" xfId="47" applyNumberFormat="1" applyFont="1" applyFill="1" applyBorder="1" applyAlignment="1" applyProtection="1">
      <alignment vertical="center"/>
      <protection locked="0"/>
    </xf>
    <xf numFmtId="0" fontId="320" fillId="0" borderId="0" xfId="47" applyFont="1" applyFill="1" applyAlignment="1">
      <alignment horizontal="center" vertical="center"/>
    </xf>
    <xf numFmtId="0" fontId="321" fillId="0" borderId="0" xfId="58" applyFont="1" applyFill="1" applyAlignment="1">
      <alignment horizontal="center" vertical="center"/>
    </xf>
    <xf numFmtId="4" fontId="320" fillId="0" borderId="0" xfId="7" applyNumberFormat="1" applyFont="1" applyFill="1" applyAlignment="1">
      <alignment vertical="center"/>
    </xf>
    <xf numFmtId="49" fontId="320" fillId="0" borderId="667" xfId="2" applyNumberFormat="1" applyFont="1" applyFill="1" applyBorder="1" applyAlignment="1" applyProtection="1">
      <alignment vertical="center"/>
      <protection locked="0"/>
    </xf>
    <xf numFmtId="4" fontId="320" fillId="0" borderId="667" xfId="7" applyNumberFormat="1" applyFont="1" applyFill="1" applyBorder="1" applyAlignment="1" applyProtection="1">
      <alignment vertical="center"/>
      <protection locked="0"/>
    </xf>
    <xf numFmtId="4" fontId="320" fillId="0" borderId="433" xfId="7" applyNumberFormat="1" applyFont="1" applyFill="1" applyBorder="1" applyAlignment="1" applyProtection="1">
      <alignment vertical="center"/>
      <protection locked="0"/>
    </xf>
    <xf numFmtId="49" fontId="320" fillId="0" borderId="0" xfId="2" applyNumberFormat="1" applyFont="1" applyFill="1" applyBorder="1" applyAlignment="1" applyProtection="1">
      <alignment vertical="center"/>
      <protection locked="0"/>
    </xf>
    <xf numFmtId="4" fontId="320" fillId="0" borderId="0" xfId="7" applyNumberFormat="1" applyFont="1" applyFill="1" applyBorder="1" applyAlignment="1" applyProtection="1">
      <alignment vertical="center"/>
      <protection locked="0"/>
    </xf>
    <xf numFmtId="10" fontId="320" fillId="0" borderId="195" xfId="88" applyNumberFormat="1" applyFont="1" applyFill="1" applyBorder="1" applyAlignment="1" applyProtection="1">
      <alignment vertical="center"/>
      <protection locked="0"/>
    </xf>
    <xf numFmtId="0" fontId="278" fillId="0" borderId="433" xfId="42" applyFont="1" applyFill="1" applyBorder="1" applyAlignment="1" applyProtection="1">
      <alignment vertical="center"/>
      <protection locked="0"/>
    </xf>
    <xf numFmtId="4" fontId="278" fillId="0" borderId="433" xfId="42" applyNumberFormat="1" applyFont="1" applyFill="1" applyBorder="1" applyAlignment="1" applyProtection="1">
      <alignment vertical="center"/>
      <protection locked="0"/>
    </xf>
    <xf numFmtId="0" fontId="278" fillId="0" borderId="434" xfId="42" applyNumberFormat="1" applyFont="1" applyFill="1" applyBorder="1" applyAlignment="1" applyProtection="1">
      <alignment horizontal="center" vertical="center"/>
      <protection locked="0"/>
    </xf>
    <xf numFmtId="0" fontId="320" fillId="0" borderId="0" xfId="1" applyNumberFormat="1" applyFont="1" applyFill="1" applyAlignment="1">
      <alignment vertical="center"/>
    </xf>
    <xf numFmtId="0" fontId="320" fillId="0" borderId="0" xfId="42" applyNumberFormat="1" applyFont="1" applyFill="1" applyAlignment="1">
      <alignment horizontal="center" vertical="center"/>
    </xf>
    <xf numFmtId="0" fontId="278" fillId="0" borderId="0" xfId="42" applyNumberFormat="1" applyFont="1" applyFill="1" applyBorder="1" applyAlignment="1" applyProtection="1">
      <alignment horizontal="center" vertical="center"/>
      <protection locked="0"/>
    </xf>
    <xf numFmtId="43" fontId="278" fillId="0" borderId="0" xfId="1" applyFont="1" applyFill="1" applyAlignment="1">
      <alignment horizontal="center" vertical="center"/>
    </xf>
    <xf numFmtId="0" fontId="278" fillId="0" borderId="449" xfId="42" applyFont="1" applyFill="1" applyBorder="1" applyAlignment="1" applyProtection="1">
      <alignment vertical="center"/>
      <protection locked="0"/>
    </xf>
    <xf numFmtId="43" fontId="321" fillId="0" borderId="0" xfId="1" applyFont="1" applyFill="1" applyAlignment="1">
      <alignment horizontal="center" vertical="center"/>
    </xf>
    <xf numFmtId="4" fontId="278" fillId="0" borderId="1" xfId="30" applyNumberFormat="1" applyFont="1" applyFill="1" applyBorder="1" applyAlignment="1" applyProtection="1">
      <alignment vertical="center"/>
      <protection locked="0"/>
    </xf>
    <xf numFmtId="43" fontId="320" fillId="0" borderId="0" xfId="1" applyFont="1" applyFill="1" applyBorder="1" applyAlignment="1" applyProtection="1">
      <alignment vertical="center"/>
      <protection locked="0"/>
    </xf>
    <xf numFmtId="0" fontId="320" fillId="0" borderId="0" xfId="1" applyNumberFormat="1" applyFont="1" applyFill="1" applyBorder="1" applyAlignment="1">
      <alignment horizontal="center" vertical="center"/>
    </xf>
    <xf numFmtId="4" fontId="278" fillId="0" borderId="0" xfId="30" applyNumberFormat="1" applyFont="1" applyFill="1" applyBorder="1" applyAlignment="1">
      <alignment vertical="center"/>
    </xf>
    <xf numFmtId="0" fontId="278" fillId="0" borderId="0" xfId="1" applyNumberFormat="1" applyFont="1" applyFill="1" applyBorder="1" applyAlignment="1">
      <alignment horizontal="center" vertical="center"/>
    </xf>
    <xf numFmtId="0" fontId="320" fillId="0" borderId="0" xfId="30" applyFont="1" applyFill="1" applyBorder="1" applyAlignment="1" applyProtection="1">
      <protection locked="0"/>
    </xf>
    <xf numFmtId="43" fontId="320" fillId="0" borderId="0" xfId="1" applyFont="1" applyFill="1" applyAlignment="1"/>
    <xf numFmtId="4" fontId="320" fillId="0" borderId="0" xfId="30" applyNumberFormat="1" applyFont="1" applyFill="1" applyAlignment="1"/>
    <xf numFmtId="0" fontId="320" fillId="0" borderId="0" xfId="1" applyNumberFormat="1" applyFont="1" applyFill="1" applyAlignment="1">
      <alignment horizontal="center"/>
    </xf>
    <xf numFmtId="0" fontId="320" fillId="0" borderId="0" xfId="30" applyFont="1" applyFill="1" applyAlignment="1"/>
    <xf numFmtId="0" fontId="321" fillId="0" borderId="0" xfId="1" applyNumberFormat="1" applyFont="1" applyFill="1" applyAlignment="1">
      <alignment horizontal="center" vertical="center"/>
    </xf>
    <xf numFmtId="0" fontId="278" fillId="0" borderId="0" xfId="1" applyNumberFormat="1" applyFont="1" applyFill="1" applyAlignment="1">
      <alignment horizontal="center" vertical="center"/>
    </xf>
    <xf numFmtId="0" fontId="320" fillId="0" borderId="0" xfId="44" applyFont="1" applyFill="1" applyAlignment="1">
      <alignment vertical="center"/>
    </xf>
    <xf numFmtId="0" fontId="320" fillId="0" borderId="0" xfId="44" applyFont="1" applyFill="1" applyAlignment="1" applyProtection="1">
      <alignment vertical="center"/>
      <protection locked="0"/>
    </xf>
    <xf numFmtId="4" fontId="320" fillId="0" borderId="0" xfId="44" applyNumberFormat="1" applyFont="1" applyFill="1" applyAlignment="1" applyProtection="1">
      <alignment vertical="center"/>
      <protection locked="0"/>
    </xf>
    <xf numFmtId="0" fontId="278" fillId="0" borderId="0" xfId="44" applyFont="1" applyFill="1" applyAlignment="1" applyProtection="1">
      <alignment vertical="center"/>
      <protection locked="0"/>
    </xf>
    <xf numFmtId="4" fontId="278" fillId="0" borderId="0" xfId="44" applyNumberFormat="1" applyFont="1" applyFill="1" applyAlignment="1" applyProtection="1">
      <alignment vertical="center"/>
      <protection locked="0"/>
    </xf>
    <xf numFmtId="0" fontId="320" fillId="0" borderId="1" xfId="44" applyFont="1" applyFill="1" applyBorder="1" applyAlignment="1" applyProtection="1">
      <alignment vertical="center"/>
      <protection locked="0"/>
    </xf>
    <xf numFmtId="4" fontId="278" fillId="0" borderId="433" xfId="44" applyNumberFormat="1" applyFont="1" applyFill="1" applyBorder="1" applyAlignment="1" applyProtection="1">
      <alignment vertical="center"/>
      <protection locked="0"/>
    </xf>
    <xf numFmtId="4" fontId="320" fillId="0" borderId="1" xfId="44" applyNumberFormat="1" applyFont="1" applyFill="1" applyBorder="1" applyAlignment="1" applyProtection="1">
      <alignment vertical="center"/>
      <protection locked="0"/>
    </xf>
    <xf numFmtId="4" fontId="320" fillId="0" borderId="433" xfId="44" applyNumberFormat="1" applyFont="1" applyFill="1" applyBorder="1" applyAlignment="1" applyProtection="1">
      <alignment vertical="center"/>
      <protection locked="0"/>
    </xf>
    <xf numFmtId="0" fontId="278" fillId="0" borderId="0" xfId="44" applyFont="1" applyFill="1" applyBorder="1" applyAlignment="1" applyProtection="1">
      <alignment horizontal="center" vertical="center"/>
      <protection locked="0"/>
    </xf>
    <xf numFmtId="0" fontId="320" fillId="0" borderId="0" xfId="44" applyFont="1" applyFill="1" applyBorder="1" applyAlignment="1" applyProtection="1">
      <alignment vertical="center"/>
      <protection locked="0"/>
    </xf>
    <xf numFmtId="4" fontId="320" fillId="0" borderId="4" xfId="44" applyNumberFormat="1" applyFont="1" applyFill="1" applyBorder="1" applyAlignment="1" applyProtection="1">
      <alignment vertical="center"/>
      <protection locked="0"/>
    </xf>
    <xf numFmtId="0" fontId="278" fillId="0" borderId="0" xfId="44" applyFont="1" applyFill="1" applyBorder="1" applyAlignment="1" applyProtection="1">
      <alignment vertical="center"/>
      <protection locked="0"/>
    </xf>
    <xf numFmtId="4" fontId="278" fillId="0" borderId="0" xfId="44" applyNumberFormat="1" applyFont="1" applyFill="1" applyBorder="1" applyAlignment="1" applyProtection="1">
      <alignment vertical="center"/>
      <protection locked="0"/>
    </xf>
    <xf numFmtId="9" fontId="320" fillId="0" borderId="0" xfId="88" applyFont="1" applyFill="1" applyBorder="1" applyAlignment="1">
      <alignment vertical="center"/>
    </xf>
    <xf numFmtId="0" fontId="320" fillId="0" borderId="0" xfId="44" applyFont="1" applyFill="1" applyBorder="1" applyAlignment="1">
      <alignment vertical="center"/>
    </xf>
    <xf numFmtId="0" fontId="278" fillId="0" borderId="0" xfId="44" applyFont="1" applyFill="1" applyAlignment="1">
      <alignment vertical="center"/>
    </xf>
    <xf numFmtId="4" fontId="320" fillId="0" borderId="548" xfId="44" applyNumberFormat="1" applyFont="1" applyFill="1" applyBorder="1" applyAlignment="1" applyProtection="1">
      <alignment vertical="center"/>
      <protection locked="0"/>
    </xf>
    <xf numFmtId="4" fontId="278" fillId="0" borderId="548" xfId="44" applyNumberFormat="1" applyFont="1" applyFill="1" applyBorder="1" applyAlignment="1" applyProtection="1">
      <alignment vertical="center"/>
      <protection locked="0"/>
    </xf>
    <xf numFmtId="4" fontId="320" fillId="0" borderId="0" xfId="44" applyNumberFormat="1" applyFont="1" applyFill="1" applyAlignment="1">
      <alignment vertical="center"/>
    </xf>
    <xf numFmtId="0" fontId="320" fillId="0" borderId="667" xfId="44" applyFont="1" applyFill="1" applyBorder="1" applyAlignment="1" applyProtection="1">
      <alignment vertical="center"/>
      <protection locked="0"/>
    </xf>
    <xf numFmtId="0" fontId="278" fillId="0" borderId="667" xfId="44" applyFont="1" applyFill="1" applyBorder="1" applyAlignment="1" applyProtection="1">
      <alignment vertical="center"/>
      <protection locked="0"/>
    </xf>
    <xf numFmtId="4" fontId="278" fillId="0" borderId="667" xfId="44" applyNumberFormat="1" applyFont="1" applyFill="1" applyBorder="1" applyAlignment="1" applyProtection="1">
      <alignment vertical="center"/>
      <protection locked="0"/>
    </xf>
    <xf numFmtId="0" fontId="320" fillId="0" borderId="433" xfId="44" applyFont="1" applyFill="1" applyBorder="1" applyAlignment="1" applyProtection="1">
      <alignment vertical="center"/>
      <protection locked="0"/>
    </xf>
    <xf numFmtId="0" fontId="278" fillId="0" borderId="433" xfId="44" applyFont="1" applyFill="1" applyBorder="1" applyAlignment="1" applyProtection="1">
      <alignment vertical="center"/>
      <protection locked="0"/>
    </xf>
    <xf numFmtId="4" fontId="278" fillId="0" borderId="0" xfId="30" applyNumberFormat="1" applyFont="1" applyFill="1" applyAlignment="1" applyProtection="1">
      <alignment vertical="center" wrapText="1"/>
      <protection locked="0"/>
    </xf>
    <xf numFmtId="0" fontId="278" fillId="0" borderId="433" xfId="30" applyFont="1" applyFill="1" applyBorder="1" applyAlignment="1" applyProtection="1">
      <alignment horizontal="center" vertical="center"/>
      <protection locked="0"/>
    </xf>
    <xf numFmtId="0" fontId="320" fillId="0" borderId="0" xfId="30" applyFont="1" applyFill="1" applyBorder="1" applyAlignment="1">
      <alignment horizontal="center" vertical="center"/>
    </xf>
    <xf numFmtId="9" fontId="320" fillId="0" borderId="0" xfId="88" applyFont="1" applyFill="1" applyAlignment="1">
      <alignment vertical="center"/>
    </xf>
    <xf numFmtId="0" fontId="320" fillId="0" borderId="0" xfId="46" applyFont="1" applyFill="1"/>
    <xf numFmtId="0" fontId="320" fillId="0" borderId="0" xfId="46" applyFont="1" applyFill="1" applyProtection="1">
      <protection locked="0"/>
    </xf>
    <xf numFmtId="0" fontId="319" fillId="0" borderId="0" xfId="46" applyFont="1" applyFill="1" applyAlignment="1" applyProtection="1">
      <alignment horizontal="centerContinuous"/>
      <protection locked="0"/>
    </xf>
    <xf numFmtId="4" fontId="320" fillId="0" borderId="0" xfId="46" applyNumberFormat="1" applyFont="1" applyFill="1" applyAlignment="1" applyProtection="1">
      <alignment horizontal="centerContinuous"/>
      <protection locked="0"/>
    </xf>
    <xf numFmtId="0" fontId="278" fillId="0" borderId="0" xfId="46" applyFont="1" applyFill="1" applyProtection="1">
      <protection locked="0"/>
    </xf>
    <xf numFmtId="4" fontId="278" fillId="0" borderId="0" xfId="46" applyNumberFormat="1" applyFont="1" applyFill="1" applyProtection="1">
      <protection locked="0"/>
    </xf>
    <xf numFmtId="4" fontId="320" fillId="0" borderId="0" xfId="46" applyNumberFormat="1" applyFont="1" applyFill="1" applyProtection="1">
      <protection locked="0"/>
    </xf>
    <xf numFmtId="0" fontId="320" fillId="0" borderId="1" xfId="46" applyFont="1" applyFill="1" applyBorder="1" applyProtection="1">
      <protection locked="0"/>
    </xf>
    <xf numFmtId="4" fontId="320" fillId="0" borderId="1" xfId="46" applyNumberFormat="1" applyFont="1" applyFill="1" applyBorder="1" applyProtection="1">
      <protection locked="0"/>
    </xf>
    <xf numFmtId="4" fontId="320" fillId="0" borderId="433" xfId="46" applyNumberFormat="1" applyFont="1" applyFill="1" applyBorder="1" applyProtection="1">
      <protection locked="0"/>
    </xf>
    <xf numFmtId="0" fontId="278" fillId="0" borderId="0" xfId="46" applyFont="1" applyFill="1" applyBorder="1" applyAlignment="1" applyProtection="1">
      <alignment horizontal="center"/>
      <protection locked="0"/>
    </xf>
    <xf numFmtId="0" fontId="278" fillId="0" borderId="0" xfId="46" applyFont="1" applyFill="1" applyBorder="1" applyProtection="1">
      <protection locked="0"/>
    </xf>
    <xf numFmtId="0" fontId="278" fillId="0" borderId="0" xfId="46" applyFont="1" applyFill="1"/>
    <xf numFmtId="0" fontId="320" fillId="0" borderId="0" xfId="46" applyFont="1" applyFill="1" applyBorder="1" applyProtection="1">
      <protection locked="0"/>
    </xf>
    <xf numFmtId="4" fontId="320" fillId="0" borderId="0" xfId="46" applyNumberFormat="1" applyFont="1" applyFill="1"/>
    <xf numFmtId="43" fontId="320" fillId="0" borderId="0" xfId="1" applyFont="1" applyFill="1"/>
    <xf numFmtId="4" fontId="320" fillId="0" borderId="433" xfId="46" applyNumberFormat="1" applyFont="1" applyFill="1" applyBorder="1" applyAlignment="1" applyProtection="1">
      <alignment vertical="center"/>
      <protection locked="0"/>
    </xf>
    <xf numFmtId="0" fontId="278" fillId="0" borderId="434" xfId="46" applyNumberFormat="1" applyFont="1" applyFill="1" applyBorder="1" applyAlignment="1" applyProtection="1">
      <alignment horizontal="center"/>
      <protection locked="0"/>
    </xf>
    <xf numFmtId="10" fontId="278" fillId="0" borderId="434" xfId="88" applyNumberFormat="1" applyFont="1" applyFill="1" applyBorder="1" applyAlignment="1" applyProtection="1">
      <alignment horizontal="center"/>
      <protection locked="0"/>
    </xf>
    <xf numFmtId="0" fontId="320" fillId="0" borderId="0" xfId="46" applyFont="1" applyFill="1" applyBorder="1" applyAlignment="1" applyProtection="1">
      <alignment horizontal="left"/>
      <protection locked="0"/>
    </xf>
    <xf numFmtId="0" fontId="278" fillId="0" borderId="0" xfId="46" applyFont="1" applyFill="1" applyBorder="1" applyAlignment="1" applyProtection="1">
      <alignment vertical="center"/>
      <protection locked="0"/>
    </xf>
    <xf numFmtId="0" fontId="323" fillId="0" borderId="0" xfId="46" applyFont="1" applyFill="1" applyBorder="1" applyProtection="1">
      <protection locked="0"/>
    </xf>
    <xf numFmtId="0" fontId="320" fillId="0" borderId="0" xfId="46" applyFont="1" applyFill="1" applyBorder="1"/>
    <xf numFmtId="0" fontId="278" fillId="0" borderId="0" xfId="46" applyFont="1" applyFill="1" applyBorder="1" applyAlignment="1" applyProtection="1">
      <alignment horizontal="center" vertical="center"/>
      <protection locked="0"/>
    </xf>
    <xf numFmtId="0" fontId="278" fillId="0" borderId="0" xfId="46" applyFont="1" applyFill="1" applyAlignment="1">
      <alignment vertical="center"/>
    </xf>
    <xf numFmtId="0" fontId="321" fillId="0" borderId="0" xfId="58" applyFont="1" applyFill="1"/>
    <xf numFmtId="0" fontId="321" fillId="0" borderId="0" xfId="58" applyFont="1" applyFill="1" applyBorder="1" applyProtection="1">
      <protection locked="0"/>
    </xf>
    <xf numFmtId="0" fontId="321" fillId="0" borderId="0" xfId="58" applyFont="1" applyFill="1" applyBorder="1" applyAlignment="1" applyProtection="1">
      <alignment horizontal="center"/>
      <protection locked="0"/>
    </xf>
    <xf numFmtId="4" fontId="321" fillId="0" borderId="0" xfId="58" applyNumberFormat="1" applyFont="1" applyFill="1" applyBorder="1" applyProtection="1">
      <protection locked="0"/>
    </xf>
    <xf numFmtId="4" fontId="321" fillId="0" borderId="0" xfId="58" applyNumberFormat="1" applyFont="1" applyFill="1" applyBorder="1"/>
    <xf numFmtId="10" fontId="321" fillId="0" borderId="0" xfId="88" applyNumberFormat="1" applyFont="1" applyFill="1" applyBorder="1" applyProtection="1">
      <protection locked="0"/>
    </xf>
    <xf numFmtId="0" fontId="278" fillId="0" borderId="0" xfId="46" applyFont="1" applyFill="1" applyAlignment="1" applyProtection="1">
      <protection locked="0"/>
    </xf>
    <xf numFmtId="0" fontId="320" fillId="0" borderId="0" xfId="46" applyFont="1" applyFill="1" applyAlignment="1">
      <alignment horizontal="center"/>
    </xf>
    <xf numFmtId="4" fontId="278" fillId="0" borderId="0" xfId="46" applyNumberFormat="1" applyFont="1" applyFill="1" applyAlignment="1" applyProtection="1">
      <protection locked="0"/>
    </xf>
    <xf numFmtId="10" fontId="278" fillId="0" borderId="0" xfId="88" applyNumberFormat="1" applyFont="1" applyFill="1" applyAlignment="1" applyProtection="1">
      <protection locked="0"/>
    </xf>
    <xf numFmtId="10" fontId="320" fillId="0" borderId="0" xfId="88" applyNumberFormat="1" applyFont="1" applyFill="1"/>
    <xf numFmtId="4" fontId="320" fillId="0" borderId="0" xfId="88" applyNumberFormat="1" applyFont="1" applyFill="1"/>
    <xf numFmtId="4" fontId="278" fillId="0" borderId="0" xfId="46" applyNumberFormat="1" applyFont="1" applyFill="1" applyBorder="1" applyProtection="1">
      <protection locked="0"/>
    </xf>
    <xf numFmtId="0" fontId="320" fillId="0" borderId="667" xfId="46" applyFont="1" applyFill="1" applyBorder="1" applyProtection="1">
      <protection locked="0"/>
    </xf>
    <xf numFmtId="0" fontId="278" fillId="0" borderId="667" xfId="46" applyFont="1" applyFill="1" applyBorder="1" applyProtection="1">
      <protection locked="0"/>
    </xf>
    <xf numFmtId="4" fontId="278" fillId="0" borderId="667" xfId="46" applyNumberFormat="1" applyFont="1" applyFill="1" applyBorder="1" applyProtection="1">
      <protection locked="0"/>
    </xf>
    <xf numFmtId="0" fontId="320" fillId="0" borderId="433" xfId="46" applyFont="1" applyFill="1" applyBorder="1" applyAlignment="1" applyProtection="1">
      <alignment vertical="center"/>
      <protection locked="0"/>
    </xf>
    <xf numFmtId="0" fontId="320" fillId="0" borderId="0" xfId="2" applyFont="1" applyFill="1"/>
    <xf numFmtId="0" fontId="320" fillId="0" borderId="0" xfId="2" applyFont="1" applyFill="1" applyProtection="1">
      <protection locked="0"/>
    </xf>
    <xf numFmtId="4" fontId="320" fillId="0" borderId="0" xfId="2" applyNumberFormat="1" applyFont="1" applyFill="1" applyProtection="1">
      <protection locked="0"/>
    </xf>
    <xf numFmtId="0" fontId="278" fillId="0" borderId="0" xfId="2" applyFont="1" applyFill="1" applyProtection="1">
      <protection locked="0"/>
    </xf>
    <xf numFmtId="4" fontId="278" fillId="0" borderId="0" xfId="2" applyNumberFormat="1" applyFont="1" applyFill="1" applyProtection="1">
      <protection locked="0"/>
    </xf>
    <xf numFmtId="4" fontId="320" fillId="0" borderId="433" xfId="2" applyNumberFormat="1" applyFont="1" applyFill="1" applyBorder="1" applyAlignment="1" applyProtection="1">
      <alignment vertical="top"/>
      <protection locked="0"/>
    </xf>
    <xf numFmtId="10" fontId="320" fillId="0" borderId="433" xfId="88" applyNumberFormat="1" applyFont="1" applyFill="1" applyBorder="1" applyAlignment="1" applyProtection="1">
      <alignment vertical="top"/>
      <protection locked="0"/>
    </xf>
    <xf numFmtId="0" fontId="278" fillId="0" borderId="0" xfId="2" applyFont="1" applyFill="1" applyBorder="1" applyAlignment="1" applyProtection="1">
      <alignment horizontal="center"/>
      <protection locked="0"/>
    </xf>
    <xf numFmtId="0" fontId="278" fillId="0" borderId="434" xfId="88" applyNumberFormat="1" applyFont="1" applyFill="1" applyBorder="1" applyAlignment="1" applyProtection="1">
      <alignment horizontal="center"/>
      <protection locked="0"/>
    </xf>
    <xf numFmtId="0" fontId="320" fillId="0" borderId="0" xfId="2" applyFont="1" applyFill="1" applyBorder="1" applyProtection="1">
      <protection locked="0"/>
    </xf>
    <xf numFmtId="4" fontId="320" fillId="0" borderId="0" xfId="2" applyNumberFormat="1" applyFont="1" applyFill="1"/>
    <xf numFmtId="0" fontId="278" fillId="0" borderId="547" xfId="2" applyFont="1" applyFill="1" applyBorder="1" applyAlignment="1" applyProtection="1">
      <alignment vertical="center"/>
      <protection locked="0"/>
    </xf>
    <xf numFmtId="0" fontId="320" fillId="0" borderId="0" xfId="2" applyFont="1" applyFill="1" applyBorder="1"/>
    <xf numFmtId="0" fontId="320" fillId="0" borderId="0" xfId="2" applyFont="1" applyFill="1" applyBorder="1" applyAlignment="1" applyProtection="1">
      <alignment vertical="top" wrapText="1"/>
      <protection locked="0"/>
    </xf>
    <xf numFmtId="4" fontId="320" fillId="0" borderId="548" xfId="2" applyNumberFormat="1" applyFont="1" applyFill="1" applyBorder="1" applyAlignment="1" applyProtection="1">
      <alignment vertical="center"/>
      <protection locked="0"/>
    </xf>
    <xf numFmtId="0" fontId="278" fillId="0" borderId="0" xfId="2" applyFont="1" applyFill="1"/>
    <xf numFmtId="0" fontId="320" fillId="0" borderId="670" xfId="2" applyFont="1" applyFill="1" applyBorder="1" applyAlignment="1" applyProtection="1">
      <alignment vertical="center"/>
      <protection locked="0"/>
    </xf>
    <xf numFmtId="0" fontId="278" fillId="0" borderId="670" xfId="2" applyFont="1" applyFill="1" applyBorder="1" applyAlignment="1" applyProtection="1">
      <alignment vertical="center"/>
      <protection locked="0"/>
    </xf>
    <xf numFmtId="0" fontId="320" fillId="0" borderId="670" xfId="2" applyFont="1" applyFill="1" applyBorder="1" applyAlignment="1" applyProtection="1">
      <alignment horizontal="center" vertical="center"/>
      <protection locked="0"/>
    </xf>
    <xf numFmtId="4" fontId="278" fillId="0" borderId="670" xfId="2" applyNumberFormat="1" applyFont="1" applyFill="1" applyBorder="1" applyAlignment="1" applyProtection="1">
      <alignment vertical="center"/>
      <protection locked="0"/>
    </xf>
    <xf numFmtId="10" fontId="278" fillId="0" borderId="670" xfId="88" applyNumberFormat="1" applyFont="1" applyFill="1" applyBorder="1" applyAlignment="1" applyProtection="1">
      <alignment vertical="center"/>
      <protection locked="0"/>
    </xf>
    <xf numFmtId="4" fontId="278" fillId="0" borderId="673" xfId="2" applyNumberFormat="1" applyFont="1" applyFill="1" applyBorder="1" applyAlignment="1" applyProtection="1">
      <alignment horizontal="center"/>
      <protection locked="0"/>
    </xf>
    <xf numFmtId="10" fontId="278" fillId="0" borderId="673" xfId="88" applyNumberFormat="1" applyFont="1" applyFill="1" applyBorder="1" applyAlignment="1" applyProtection="1">
      <alignment horizontal="center"/>
      <protection locked="0"/>
    </xf>
    <xf numFmtId="0" fontId="320" fillId="0" borderId="0" xfId="47" applyFont="1" applyFill="1" applyAlignment="1" applyProtection="1">
      <alignment horizontal="center" vertical="center"/>
      <protection locked="0"/>
    </xf>
    <xf numFmtId="0" fontId="320" fillId="0" borderId="0" xfId="47" applyFont="1" applyFill="1" applyAlignment="1" applyProtection="1">
      <alignment horizontal="centerContinuous" vertical="center"/>
      <protection locked="0"/>
    </xf>
    <xf numFmtId="43" fontId="320" fillId="0" borderId="0" xfId="1" applyFont="1" applyFill="1" applyAlignment="1" applyProtection="1">
      <alignment horizontal="centerContinuous" vertical="center"/>
      <protection locked="0"/>
    </xf>
    <xf numFmtId="0" fontId="278" fillId="0" borderId="0" xfId="47" applyFont="1" applyFill="1" applyAlignment="1" applyProtection="1">
      <alignment horizontal="left" vertical="center"/>
      <protection locked="0"/>
    </xf>
    <xf numFmtId="43" fontId="278" fillId="0" borderId="0" xfId="1" applyFont="1" applyFill="1" applyAlignment="1" applyProtection="1">
      <alignment vertical="center"/>
      <protection locked="0"/>
    </xf>
    <xf numFmtId="0" fontId="320" fillId="0" borderId="1" xfId="47" applyFont="1" applyFill="1" applyBorder="1" applyAlignment="1" applyProtection="1">
      <alignment vertical="center"/>
      <protection locked="0"/>
    </xf>
    <xf numFmtId="0" fontId="320" fillId="0" borderId="1" xfId="47" applyFont="1" applyFill="1" applyBorder="1" applyAlignment="1" applyProtection="1">
      <alignment horizontal="center" vertical="center"/>
      <protection locked="0"/>
    </xf>
    <xf numFmtId="43" fontId="320" fillId="0" borderId="433" xfId="1" applyFont="1" applyFill="1" applyBorder="1" applyAlignment="1" applyProtection="1">
      <alignment vertical="center"/>
      <protection locked="0"/>
    </xf>
    <xf numFmtId="0" fontId="320" fillId="0" borderId="433" xfId="47" applyFont="1" applyFill="1" applyBorder="1" applyAlignment="1" applyProtection="1">
      <alignment vertical="center"/>
      <protection locked="0"/>
    </xf>
    <xf numFmtId="0" fontId="278" fillId="0" borderId="434" xfId="1" applyNumberFormat="1" applyFont="1" applyFill="1" applyBorder="1" applyAlignment="1" applyProtection="1">
      <alignment horizontal="center" vertical="center"/>
      <protection locked="0"/>
    </xf>
    <xf numFmtId="0" fontId="278" fillId="0" borderId="434" xfId="2" applyFont="1" applyFill="1" applyBorder="1" applyAlignment="1" applyProtection="1">
      <alignment horizontal="center" vertical="center"/>
      <protection locked="0"/>
    </xf>
    <xf numFmtId="0" fontId="324" fillId="0" borderId="0" xfId="47" applyFont="1" applyFill="1" applyAlignment="1">
      <alignment horizontal="center" vertical="center"/>
    </xf>
    <xf numFmtId="0" fontId="320" fillId="0" borderId="295" xfId="47" applyFont="1" applyFill="1" applyBorder="1" applyAlignment="1" applyProtection="1">
      <alignment horizontal="center" vertical="center"/>
      <protection locked="0"/>
    </xf>
    <xf numFmtId="4" fontId="320" fillId="0" borderId="295" xfId="47" applyNumberFormat="1" applyFont="1" applyFill="1" applyBorder="1" applyAlignment="1" applyProtection="1">
      <alignment vertical="center"/>
      <protection locked="0"/>
    </xf>
    <xf numFmtId="0" fontId="320" fillId="0" borderId="295" xfId="47" applyFont="1" applyFill="1" applyBorder="1" applyAlignment="1" applyProtection="1">
      <alignment vertical="center"/>
      <protection locked="0"/>
    </xf>
    <xf numFmtId="0" fontId="320" fillId="0" borderId="0" xfId="47" applyFont="1" applyFill="1" applyBorder="1" applyAlignment="1">
      <alignment horizontal="center" vertical="center"/>
    </xf>
    <xf numFmtId="0" fontId="320" fillId="0" borderId="0" xfId="47" applyFont="1" applyFill="1" applyBorder="1" applyAlignment="1">
      <alignment vertical="center"/>
    </xf>
    <xf numFmtId="0" fontId="320" fillId="0" borderId="0" xfId="47" applyFont="1" applyFill="1" applyBorder="1" applyAlignment="1" applyProtection="1">
      <alignment horizontal="center" vertical="center"/>
      <protection locked="0"/>
    </xf>
    <xf numFmtId="43" fontId="278" fillId="0" borderId="434" xfId="1" applyFont="1" applyFill="1" applyBorder="1" applyAlignment="1" applyProtection="1">
      <alignment horizontal="center" vertical="center"/>
      <protection locked="0"/>
    </xf>
    <xf numFmtId="0" fontId="278" fillId="0" borderId="434" xfId="47" applyFont="1" applyFill="1" applyBorder="1" applyAlignment="1" applyProtection="1">
      <alignment horizontal="center" vertical="center"/>
      <protection locked="0"/>
    </xf>
    <xf numFmtId="43" fontId="320" fillId="0" borderId="548" xfId="1" applyFont="1" applyFill="1" applyBorder="1" applyAlignment="1" applyProtection="1">
      <alignment vertical="center"/>
      <protection locked="0"/>
    </xf>
    <xf numFmtId="4" fontId="320" fillId="0" borderId="548" xfId="47" applyNumberFormat="1" applyFont="1" applyFill="1" applyBorder="1" applyAlignment="1" applyProtection="1">
      <alignment vertical="center"/>
      <protection locked="0"/>
    </xf>
    <xf numFmtId="4" fontId="278" fillId="0" borderId="553" xfId="47" applyNumberFormat="1" applyFont="1" applyFill="1" applyBorder="1" applyAlignment="1" applyProtection="1">
      <alignment vertical="center"/>
      <protection locked="0"/>
    </xf>
    <xf numFmtId="0" fontId="278" fillId="0" borderId="0" xfId="47" applyFont="1" applyFill="1" applyAlignment="1">
      <alignment horizontal="center" vertical="center"/>
    </xf>
    <xf numFmtId="43" fontId="321" fillId="0" borderId="0" xfId="1" applyFont="1" applyFill="1" applyAlignment="1" applyProtection="1">
      <alignment vertical="center"/>
      <protection locked="0"/>
    </xf>
    <xf numFmtId="43" fontId="320" fillId="0" borderId="0" xfId="1" applyFont="1" applyFill="1" applyAlignment="1" applyProtection="1">
      <alignment vertical="center"/>
      <protection locked="0"/>
    </xf>
    <xf numFmtId="183" fontId="320" fillId="0" borderId="0" xfId="88" applyNumberFormat="1" applyFont="1" applyFill="1" applyAlignment="1">
      <alignment vertical="center"/>
    </xf>
    <xf numFmtId="4" fontId="320" fillId="0" borderId="0" xfId="47" applyNumberFormat="1" applyFont="1" applyFill="1" applyAlignment="1">
      <alignment vertical="center"/>
    </xf>
    <xf numFmtId="0" fontId="320" fillId="0" borderId="670" xfId="47" applyFont="1" applyFill="1" applyBorder="1" applyAlignment="1" applyProtection="1">
      <alignment vertical="center"/>
      <protection locked="0"/>
    </xf>
    <xf numFmtId="0" fontId="320" fillId="0" borderId="670" xfId="47" applyFont="1" applyFill="1" applyBorder="1" applyAlignment="1" applyProtection="1">
      <alignment horizontal="center" vertical="center"/>
      <protection locked="0"/>
    </xf>
    <xf numFmtId="4" fontId="278" fillId="0" borderId="670" xfId="47" applyNumberFormat="1" applyFont="1" applyFill="1" applyBorder="1" applyAlignment="1" applyProtection="1">
      <alignment vertical="center"/>
      <protection locked="0"/>
    </xf>
    <xf numFmtId="43" fontId="278" fillId="0" borderId="670" xfId="1" applyFont="1" applyFill="1" applyBorder="1" applyAlignment="1" applyProtection="1">
      <alignment vertical="center"/>
      <protection locked="0"/>
    </xf>
    <xf numFmtId="4" fontId="278" fillId="0" borderId="0" xfId="47" applyNumberFormat="1" applyFont="1" applyFill="1" applyBorder="1" applyAlignment="1" applyProtection="1">
      <alignment vertical="center"/>
      <protection locked="0"/>
    </xf>
    <xf numFmtId="43" fontId="278" fillId="0" borderId="0" xfId="1" applyFont="1" applyFill="1" applyBorder="1" applyAlignment="1" applyProtection="1">
      <alignment vertical="center"/>
      <protection locked="0"/>
    </xf>
    <xf numFmtId="0" fontId="320" fillId="0" borderId="433" xfId="47" applyFont="1" applyFill="1" applyBorder="1" applyAlignment="1" applyProtection="1">
      <alignment horizontal="center" vertical="center"/>
      <protection locked="0"/>
    </xf>
    <xf numFmtId="4" fontId="278" fillId="0" borderId="433" xfId="47" applyNumberFormat="1" applyFont="1" applyFill="1" applyBorder="1" applyAlignment="1" applyProtection="1">
      <alignment vertical="center"/>
      <protection locked="0"/>
    </xf>
    <xf numFmtId="43" fontId="278" fillId="0" borderId="433" xfId="1" applyFont="1" applyFill="1" applyBorder="1" applyAlignment="1" applyProtection="1">
      <alignment vertical="center"/>
      <protection locked="0"/>
    </xf>
    <xf numFmtId="4" fontId="320" fillId="0" borderId="0" xfId="2" applyNumberFormat="1" applyFont="1" applyFill="1" applyBorder="1" applyAlignment="1" applyProtection="1">
      <alignment vertical="top"/>
      <protection locked="0"/>
    </xf>
    <xf numFmtId="10" fontId="320" fillId="0" borderId="0" xfId="88" applyNumberFormat="1" applyFont="1" applyFill="1" applyBorder="1" applyAlignment="1" applyProtection="1">
      <alignment vertical="top"/>
      <protection locked="0"/>
    </xf>
    <xf numFmtId="0" fontId="320" fillId="0" borderId="433" xfId="2" applyFont="1" applyFill="1" applyBorder="1" applyAlignment="1" applyProtection="1">
      <alignment vertical="top"/>
      <protection locked="0"/>
    </xf>
    <xf numFmtId="0" fontId="319" fillId="0" borderId="0" xfId="47" applyFont="1" applyFill="1" applyAlignment="1" applyProtection="1">
      <alignment horizontal="centerContinuous" vertical="center"/>
      <protection locked="0"/>
    </xf>
    <xf numFmtId="0" fontId="320" fillId="0" borderId="195" xfId="47" applyFont="1" applyFill="1" applyBorder="1" applyAlignment="1" applyProtection="1">
      <alignment vertical="center"/>
      <protection locked="0"/>
    </xf>
    <xf numFmtId="0" fontId="278" fillId="0" borderId="0" xfId="47" applyFont="1" applyFill="1" applyBorder="1" applyAlignment="1" applyProtection="1">
      <alignment horizontal="center" vertical="center"/>
      <protection locked="0"/>
    </xf>
    <xf numFmtId="0" fontId="278" fillId="0" borderId="195" xfId="47" applyFont="1" applyFill="1" applyBorder="1" applyAlignment="1" applyProtection="1">
      <alignment horizontal="center" vertical="center"/>
      <protection locked="0"/>
    </xf>
    <xf numFmtId="0" fontId="278" fillId="0" borderId="0" xfId="47" applyFont="1" applyFill="1" applyBorder="1" applyAlignment="1" applyProtection="1">
      <alignment vertical="center"/>
      <protection locked="0"/>
    </xf>
    <xf numFmtId="0" fontId="278" fillId="0" borderId="670" xfId="47" applyFont="1" applyFill="1" applyBorder="1" applyAlignment="1" applyProtection="1">
      <alignment vertical="center"/>
      <protection locked="0"/>
    </xf>
    <xf numFmtId="0" fontId="278" fillId="0" borderId="433" xfId="47" applyFont="1" applyFill="1" applyBorder="1" applyAlignment="1" applyProtection="1">
      <alignment vertical="center"/>
      <protection locked="0"/>
    </xf>
    <xf numFmtId="0" fontId="320" fillId="0" borderId="0" xfId="47" applyFont="1" applyFill="1" applyBorder="1" applyAlignment="1" applyProtection="1">
      <alignment horizontal="left" vertical="center"/>
      <protection locked="0"/>
    </xf>
    <xf numFmtId="10" fontId="320" fillId="0" borderId="670" xfId="88" applyNumberFormat="1" applyFont="1" applyFill="1" applyBorder="1" applyAlignment="1" applyProtection="1">
      <alignment vertical="center"/>
      <protection locked="0"/>
    </xf>
    <xf numFmtId="4" fontId="278" fillId="0" borderId="0" xfId="1" applyNumberFormat="1" applyFont="1" applyFill="1" applyAlignment="1" applyProtection="1">
      <alignment vertical="center"/>
      <protection locked="0"/>
    </xf>
    <xf numFmtId="4" fontId="320" fillId="0" borderId="0" xfId="1" applyNumberFormat="1" applyFont="1" applyFill="1" applyBorder="1" applyAlignment="1" applyProtection="1">
      <alignment vertical="center"/>
      <protection locked="0"/>
    </xf>
    <xf numFmtId="4" fontId="320" fillId="0" borderId="433" xfId="1" applyNumberFormat="1" applyFont="1" applyFill="1" applyBorder="1" applyAlignment="1" applyProtection="1">
      <alignment vertical="center"/>
      <protection locked="0"/>
    </xf>
    <xf numFmtId="4" fontId="278" fillId="0" borderId="670" xfId="1" applyNumberFormat="1" applyFont="1" applyFill="1" applyBorder="1" applyAlignment="1" applyProtection="1">
      <alignment vertical="center"/>
      <protection locked="0"/>
    </xf>
    <xf numFmtId="4" fontId="278" fillId="0" borderId="0" xfId="1" applyNumberFormat="1" applyFont="1" applyFill="1" applyBorder="1" applyAlignment="1" applyProtection="1">
      <alignment vertical="center"/>
      <protection locked="0"/>
    </xf>
    <xf numFmtId="0" fontId="320" fillId="0" borderId="0" xfId="58" applyFont="1" applyFill="1" applyAlignment="1">
      <alignment vertical="center"/>
    </xf>
    <xf numFmtId="0" fontId="320" fillId="0" borderId="0" xfId="58" applyFont="1" applyFill="1" applyAlignment="1" applyProtection="1">
      <alignment vertical="center"/>
      <protection locked="0"/>
    </xf>
    <xf numFmtId="0" fontId="320" fillId="0" borderId="0" xfId="58" applyFont="1" applyFill="1" applyBorder="1" applyAlignment="1" applyProtection="1">
      <alignment vertical="center"/>
      <protection locked="0"/>
    </xf>
    <xf numFmtId="4" fontId="320" fillId="0" borderId="0" xfId="58" applyNumberFormat="1" applyFont="1" applyFill="1" applyAlignment="1" applyProtection="1">
      <alignment vertical="center"/>
      <protection locked="0"/>
    </xf>
    <xf numFmtId="0" fontId="278" fillId="0" borderId="0" xfId="58" applyFont="1" applyFill="1" applyAlignment="1" applyProtection="1">
      <alignment vertical="center"/>
      <protection locked="0"/>
    </xf>
    <xf numFmtId="0" fontId="320" fillId="0" borderId="1" xfId="58" applyFont="1" applyFill="1" applyBorder="1" applyAlignment="1" applyProtection="1">
      <alignment vertical="center"/>
      <protection locked="0"/>
    </xf>
    <xf numFmtId="0" fontId="320" fillId="0" borderId="195" xfId="58" applyFont="1" applyFill="1" applyBorder="1" applyAlignment="1" applyProtection="1">
      <alignment vertical="center"/>
      <protection locked="0"/>
    </xf>
    <xf numFmtId="4" fontId="320" fillId="0" borderId="1" xfId="58" applyNumberFormat="1" applyFont="1" applyFill="1" applyBorder="1" applyAlignment="1" applyProtection="1">
      <alignment vertical="center"/>
      <protection locked="0"/>
    </xf>
    <xf numFmtId="4" fontId="320" fillId="0" borderId="433" xfId="58" applyNumberFormat="1" applyFont="1" applyFill="1" applyBorder="1" applyAlignment="1" applyProtection="1">
      <alignment vertical="center"/>
      <protection locked="0"/>
    </xf>
    <xf numFmtId="0" fontId="278" fillId="0" borderId="0" xfId="58" applyFont="1" applyFill="1" applyBorder="1" applyAlignment="1" applyProtection="1">
      <alignment horizontal="center" vertical="center"/>
      <protection locked="0"/>
    </xf>
    <xf numFmtId="4" fontId="320" fillId="0" borderId="4" xfId="58" applyNumberFormat="1" applyFont="1" applyFill="1" applyBorder="1" applyAlignment="1" applyProtection="1">
      <alignment vertical="center"/>
      <protection locked="0"/>
    </xf>
    <xf numFmtId="0" fontId="278" fillId="0" borderId="0" xfId="58" applyFont="1" applyFill="1" applyBorder="1" applyAlignment="1" applyProtection="1">
      <alignment vertical="center"/>
      <protection locked="0"/>
    </xf>
    <xf numFmtId="0" fontId="320" fillId="0" borderId="0" xfId="58" applyFont="1" applyFill="1" applyBorder="1" applyAlignment="1">
      <alignment vertical="center"/>
    </xf>
    <xf numFmtId="4" fontId="320" fillId="0" borderId="578" xfId="58" applyNumberFormat="1" applyFont="1" applyFill="1" applyBorder="1" applyAlignment="1" applyProtection="1">
      <alignment vertical="center"/>
      <protection locked="0"/>
    </xf>
    <xf numFmtId="0" fontId="320" fillId="0" borderId="0" xfId="58" applyFont="1" applyFill="1" applyBorder="1" applyAlignment="1" applyProtection="1">
      <alignment horizontal="center" vertical="center"/>
      <protection locked="0"/>
    </xf>
    <xf numFmtId="4" fontId="320" fillId="0" borderId="0" xfId="58" applyNumberFormat="1" applyFont="1" applyFill="1" applyBorder="1" applyAlignment="1" applyProtection="1">
      <alignment vertical="center"/>
      <protection locked="0"/>
    </xf>
    <xf numFmtId="0" fontId="320" fillId="0" borderId="433" xfId="58" applyFont="1" applyFill="1" applyBorder="1" applyAlignment="1" applyProtection="1">
      <alignment vertical="center"/>
      <protection locked="0"/>
    </xf>
    <xf numFmtId="0" fontId="278" fillId="0" borderId="434" xfId="58" applyNumberFormat="1" applyFont="1" applyFill="1" applyBorder="1" applyAlignment="1" applyProtection="1">
      <alignment horizontal="center" vertical="center"/>
      <protection locked="0"/>
    </xf>
    <xf numFmtId="0" fontId="320" fillId="0" borderId="0" xfId="58" applyFont="1" applyFill="1" applyBorder="1" applyAlignment="1" applyProtection="1">
      <alignment horizontal="left" vertical="center"/>
      <protection locked="0"/>
    </xf>
    <xf numFmtId="0" fontId="322" fillId="0" borderId="0" xfId="58" applyFont="1" applyFill="1" applyBorder="1" applyAlignment="1" applyProtection="1">
      <alignment horizontal="left" vertical="center"/>
      <protection locked="0"/>
    </xf>
    <xf numFmtId="0" fontId="278" fillId="0" borderId="0" xfId="58" applyFont="1" applyFill="1" applyBorder="1" applyProtection="1">
      <protection locked="0"/>
    </xf>
    <xf numFmtId="43" fontId="278" fillId="0" borderId="0" xfId="1" applyFont="1" applyFill="1" applyBorder="1" applyProtection="1">
      <protection locked="0"/>
    </xf>
    <xf numFmtId="0" fontId="320" fillId="0" borderId="0" xfId="58" applyFont="1" applyFill="1"/>
    <xf numFmtId="0" fontId="278" fillId="0" borderId="0" xfId="58" applyFont="1" applyFill="1" applyAlignment="1">
      <alignment vertical="center"/>
    </xf>
    <xf numFmtId="10" fontId="321" fillId="0" borderId="0" xfId="88" applyNumberFormat="1" applyFont="1" applyFill="1" applyAlignment="1" applyProtection="1">
      <alignment vertical="center"/>
      <protection locked="0"/>
    </xf>
    <xf numFmtId="0" fontId="278" fillId="0" borderId="0" xfId="35" applyFont="1" applyFill="1" applyBorder="1"/>
    <xf numFmtId="0" fontId="320" fillId="0" borderId="0" xfId="35" applyFont="1" applyFill="1" applyBorder="1"/>
    <xf numFmtId="0" fontId="320" fillId="0" borderId="0" xfId="35" applyFont="1" applyFill="1" applyBorder="1" applyAlignment="1">
      <alignment horizontal="center"/>
    </xf>
    <xf numFmtId="4" fontId="278" fillId="0" borderId="0" xfId="58" applyNumberFormat="1" applyFont="1" applyFill="1" applyBorder="1" applyAlignment="1" applyProtection="1">
      <alignment vertical="center"/>
      <protection locked="0"/>
    </xf>
    <xf numFmtId="0" fontId="320" fillId="0" borderId="670" xfId="58" applyFont="1" applyFill="1" applyBorder="1" applyAlignment="1" applyProtection="1">
      <alignment vertical="center"/>
      <protection locked="0"/>
    </xf>
    <xf numFmtId="0" fontId="278" fillId="0" borderId="670" xfId="58" applyFont="1" applyFill="1" applyBorder="1" applyAlignment="1" applyProtection="1">
      <alignment vertical="center"/>
      <protection locked="0"/>
    </xf>
    <xf numFmtId="4" fontId="278" fillId="0" borderId="670" xfId="58" applyNumberFormat="1" applyFont="1" applyFill="1" applyBorder="1" applyAlignment="1" applyProtection="1">
      <alignment vertical="center"/>
      <protection locked="0"/>
    </xf>
    <xf numFmtId="4" fontId="278" fillId="0" borderId="485" xfId="58" applyNumberFormat="1" applyFont="1" applyFill="1" applyBorder="1" applyAlignment="1" applyProtection="1">
      <alignment vertical="center"/>
      <protection locked="0"/>
    </xf>
    <xf numFmtId="4" fontId="320" fillId="0" borderId="670" xfId="7" applyNumberFormat="1" applyFont="1" applyFill="1" applyBorder="1" applyAlignment="1" applyProtection="1">
      <alignment vertical="center"/>
      <protection locked="0"/>
    </xf>
    <xf numFmtId="0" fontId="320" fillId="0" borderId="547" xfId="58" applyFont="1" applyFill="1" applyBorder="1" applyAlignment="1" applyProtection="1">
      <alignment vertical="center"/>
      <protection locked="0"/>
    </xf>
    <xf numFmtId="0" fontId="320" fillId="0" borderId="433" xfId="58" applyFont="1" applyFill="1" applyBorder="1" applyAlignment="1" applyProtection="1">
      <alignment horizontal="left" vertical="center"/>
      <protection locked="0"/>
    </xf>
    <xf numFmtId="0" fontId="320" fillId="0" borderId="0" xfId="2" applyFont="1" applyFill="1" applyBorder="1" applyAlignment="1" applyProtection="1">
      <protection locked="0"/>
    </xf>
    <xf numFmtId="4" fontId="320" fillId="0" borderId="0" xfId="2" applyNumberFormat="1" applyFont="1" applyFill="1" applyBorder="1" applyAlignment="1">
      <alignment vertical="center"/>
    </xf>
    <xf numFmtId="4" fontId="278" fillId="0" borderId="548" xfId="2" applyNumberFormat="1" applyFont="1" applyFill="1" applyBorder="1" applyAlignment="1" applyProtection="1">
      <alignment vertical="center"/>
      <protection locked="0"/>
    </xf>
    <xf numFmtId="0" fontId="325" fillId="0" borderId="0" xfId="2" applyFont="1" applyFill="1" applyBorder="1" applyAlignment="1" applyProtection="1">
      <alignment horizontal="center" vertical="center"/>
      <protection locked="0"/>
    </xf>
    <xf numFmtId="0" fontId="325" fillId="0" borderId="0" xfId="2" applyNumberFormat="1" applyFont="1" applyFill="1" applyBorder="1" applyAlignment="1" applyProtection="1">
      <alignment vertical="center"/>
      <protection locked="0"/>
    </xf>
    <xf numFmtId="10" fontId="325" fillId="0" borderId="0" xfId="88" applyNumberFormat="1" applyFont="1" applyFill="1" applyBorder="1" applyAlignment="1" applyProtection="1">
      <alignment vertical="center"/>
      <protection locked="0"/>
    </xf>
    <xf numFmtId="0" fontId="325" fillId="0" borderId="0" xfId="2" applyNumberFormat="1" applyFont="1" applyFill="1" applyBorder="1" applyAlignment="1" applyProtection="1">
      <alignment horizontal="center" vertical="center"/>
      <protection locked="0"/>
    </xf>
    <xf numFmtId="0" fontId="320" fillId="0" borderId="0" xfId="0" applyFont="1" applyFill="1" applyBorder="1" applyAlignment="1">
      <alignment vertical="center"/>
    </xf>
    <xf numFmtId="4" fontId="320" fillId="0" borderId="0" xfId="1" applyNumberFormat="1" applyFont="1" applyFill="1" applyBorder="1" applyAlignment="1">
      <alignment vertical="center"/>
    </xf>
    <xf numFmtId="10" fontId="320" fillId="0" borderId="0" xfId="88" applyNumberFormat="1" applyFont="1" applyFill="1" applyBorder="1" applyAlignment="1">
      <alignment vertical="center"/>
    </xf>
    <xf numFmtId="0" fontId="320" fillId="0" borderId="0" xfId="0" applyFont="1" applyFill="1" applyBorder="1" applyAlignment="1">
      <alignment horizontal="left" vertical="center" wrapText="1"/>
    </xf>
    <xf numFmtId="4" fontId="320" fillId="0" borderId="0" xfId="0" applyNumberFormat="1" applyFont="1" applyFill="1" applyBorder="1" applyAlignment="1">
      <alignment vertical="center"/>
    </xf>
    <xf numFmtId="0" fontId="320" fillId="0" borderId="0" xfId="0" applyFont="1" applyFill="1" applyBorder="1" applyAlignment="1">
      <alignment vertical="center" wrapText="1"/>
    </xf>
    <xf numFmtId="0" fontId="320" fillId="0" borderId="0" xfId="2" applyFont="1" applyFill="1" applyBorder="1" applyAlignment="1">
      <alignment vertical="center" wrapText="1"/>
    </xf>
    <xf numFmtId="0" fontId="320" fillId="0" borderId="0" xfId="2" applyFont="1" applyFill="1" applyBorder="1" applyAlignment="1">
      <alignment horizontal="center" vertical="center"/>
    </xf>
    <xf numFmtId="4" fontId="320" fillId="0" borderId="547" xfId="1" applyNumberFormat="1" applyFont="1" applyFill="1" applyBorder="1" applyAlignment="1">
      <alignment vertical="center"/>
    </xf>
    <xf numFmtId="0" fontId="278" fillId="0" borderId="0" xfId="2" applyFont="1" applyFill="1" applyBorder="1" applyAlignment="1">
      <alignment horizontal="center" vertical="center"/>
    </xf>
    <xf numFmtId="4" fontId="278" fillId="0" borderId="0" xfId="2" applyNumberFormat="1" applyFont="1" applyFill="1" applyBorder="1" applyAlignment="1">
      <alignment vertical="center"/>
    </xf>
    <xf numFmtId="10" fontId="278" fillId="0" borderId="0" xfId="88" applyNumberFormat="1" applyFont="1" applyFill="1" applyBorder="1" applyAlignment="1">
      <alignment vertical="center"/>
    </xf>
    <xf numFmtId="0" fontId="278" fillId="0" borderId="0" xfId="2" applyNumberFormat="1" applyFont="1" applyFill="1" applyBorder="1" applyAlignment="1" applyProtection="1">
      <alignment horizontal="center" vertical="center"/>
      <protection locked="0"/>
    </xf>
    <xf numFmtId="49" fontId="278" fillId="0" borderId="0" xfId="45" applyNumberFormat="1" applyFont="1" applyFill="1" applyBorder="1" applyAlignment="1" applyProtection="1">
      <alignment vertical="center"/>
      <protection locked="0"/>
    </xf>
    <xf numFmtId="43" fontId="278" fillId="0" borderId="0" xfId="1" applyFont="1" applyFill="1" applyBorder="1" applyAlignment="1" applyProtection="1">
      <alignment horizontal="right" vertical="center"/>
      <protection locked="0"/>
    </xf>
    <xf numFmtId="0" fontId="320" fillId="0" borderId="670" xfId="45" applyFont="1" applyFill="1" applyBorder="1" applyAlignment="1" applyProtection="1">
      <alignment vertical="center"/>
      <protection locked="0"/>
    </xf>
    <xf numFmtId="0" fontId="278" fillId="0" borderId="670" xfId="45" applyFont="1" applyFill="1" applyBorder="1" applyAlignment="1" applyProtection="1">
      <alignment vertical="center"/>
      <protection locked="0"/>
    </xf>
    <xf numFmtId="0" fontId="320" fillId="0" borderId="670" xfId="45" applyFont="1" applyFill="1" applyBorder="1" applyAlignment="1" applyProtection="1">
      <alignment horizontal="center" vertical="center"/>
      <protection locked="0"/>
    </xf>
    <xf numFmtId="4" fontId="278" fillId="0" borderId="670" xfId="45" applyNumberFormat="1" applyFont="1" applyFill="1" applyBorder="1" applyAlignment="1" applyProtection="1">
      <alignment vertical="center"/>
      <protection locked="0"/>
    </xf>
    <xf numFmtId="49" fontId="278" fillId="0" borderId="433" xfId="45" applyNumberFormat="1" applyFont="1" applyFill="1" applyBorder="1" applyAlignment="1" applyProtection="1">
      <alignment vertical="center"/>
      <protection locked="0"/>
    </xf>
    <xf numFmtId="43" fontId="278" fillId="0" borderId="433" xfId="1" applyFont="1" applyFill="1" applyBorder="1" applyAlignment="1" applyProtection="1">
      <alignment horizontal="right" vertical="center"/>
      <protection locked="0"/>
    </xf>
    <xf numFmtId="10" fontId="320" fillId="0" borderId="0" xfId="45" applyNumberFormat="1" applyFont="1" applyFill="1" applyAlignment="1">
      <alignment vertical="center"/>
    </xf>
    <xf numFmtId="0" fontId="320" fillId="0" borderId="0" xfId="45" applyFont="1" applyFill="1" applyAlignment="1">
      <alignment vertical="top"/>
    </xf>
    <xf numFmtId="4" fontId="320" fillId="0" borderId="0" xfId="45" applyNumberFormat="1" applyFont="1" applyFill="1" applyBorder="1" applyAlignment="1" applyProtection="1">
      <alignment horizontal="right" vertical="top"/>
      <protection locked="0"/>
    </xf>
    <xf numFmtId="4" fontId="320" fillId="0" borderId="0" xfId="45" applyNumberFormat="1" applyFont="1" applyFill="1" applyBorder="1" applyAlignment="1" applyProtection="1">
      <alignment horizontal="right" vertical="center"/>
      <protection locked="0"/>
    </xf>
    <xf numFmtId="4" fontId="278" fillId="0" borderId="0" xfId="7" applyNumberFormat="1" applyFont="1" applyFill="1" applyAlignment="1" applyProtection="1">
      <alignment vertical="center"/>
      <protection locked="0"/>
    </xf>
    <xf numFmtId="0" fontId="320" fillId="0" borderId="563" xfId="45" applyFont="1" applyFill="1" applyBorder="1" applyAlignment="1" applyProtection="1">
      <alignment vertical="center"/>
      <protection locked="0"/>
    </xf>
    <xf numFmtId="0" fontId="321" fillId="0" borderId="0" xfId="0" applyFont="1" applyFill="1" applyAlignment="1">
      <alignment vertical="center"/>
    </xf>
    <xf numFmtId="4" fontId="320" fillId="0" borderId="342" xfId="2" applyNumberFormat="1" applyFont="1" applyFill="1" applyBorder="1" applyAlignment="1" applyProtection="1">
      <alignment vertical="center"/>
      <protection locked="0"/>
    </xf>
    <xf numFmtId="4" fontId="320" fillId="0" borderId="578" xfId="1" applyNumberFormat="1" applyFont="1" applyFill="1" applyBorder="1" applyAlignment="1" applyProtection="1">
      <alignment vertical="center"/>
      <protection locked="0"/>
    </xf>
    <xf numFmtId="0" fontId="320" fillId="0" borderId="0" xfId="2" applyFont="1" applyFill="1" applyAlignment="1"/>
    <xf numFmtId="4" fontId="320" fillId="0" borderId="548" xfId="7" applyNumberFormat="1" applyFont="1" applyFill="1" applyBorder="1" applyAlignment="1" applyProtection="1">
      <alignment vertical="center"/>
      <protection locked="0"/>
    </xf>
    <xf numFmtId="4" fontId="320" fillId="0" borderId="670" xfId="2" applyNumberFormat="1" applyFont="1" applyFill="1" applyBorder="1" applyAlignment="1" applyProtection="1">
      <alignment vertical="center"/>
      <protection locked="0"/>
    </xf>
    <xf numFmtId="0" fontId="320" fillId="0" borderId="0" xfId="27" applyFont="1" applyFill="1" applyAlignment="1">
      <alignment vertical="center"/>
    </xf>
    <xf numFmtId="0" fontId="320" fillId="0" borderId="0" xfId="27" applyFont="1" applyFill="1" applyAlignment="1" applyProtection="1">
      <alignment vertical="center"/>
      <protection locked="0"/>
    </xf>
    <xf numFmtId="0" fontId="278" fillId="0" borderId="0" xfId="27" applyFont="1" applyFill="1" applyAlignment="1" applyProtection="1">
      <alignment vertical="center"/>
      <protection locked="0"/>
    </xf>
    <xf numFmtId="4" fontId="320" fillId="0" borderId="1" xfId="1" applyNumberFormat="1" applyFont="1" applyFill="1" applyBorder="1" applyAlignment="1" applyProtection="1">
      <alignment vertical="center"/>
      <protection locked="0"/>
    </xf>
    <xf numFmtId="0" fontId="278" fillId="0" borderId="0" xfId="27" applyFont="1" applyFill="1" applyBorder="1" applyAlignment="1" applyProtection="1">
      <alignment horizontal="center" vertical="center"/>
      <protection locked="0"/>
    </xf>
    <xf numFmtId="0" fontId="320" fillId="0" borderId="0" xfId="27" applyFont="1" applyFill="1" applyBorder="1" applyAlignment="1" applyProtection="1">
      <alignment vertical="center"/>
      <protection locked="0"/>
    </xf>
    <xf numFmtId="43" fontId="320" fillId="0" borderId="0" xfId="1" applyFont="1" applyFill="1" applyAlignment="1">
      <alignment horizontal="left" vertical="center"/>
    </xf>
    <xf numFmtId="0" fontId="278" fillId="0" borderId="0" xfId="27" applyFont="1" applyFill="1" applyBorder="1" applyAlignment="1" applyProtection="1">
      <alignment vertical="center"/>
      <protection locked="0"/>
    </xf>
    <xf numFmtId="0" fontId="278" fillId="0" borderId="0" xfId="27" applyFont="1" applyFill="1" applyAlignment="1">
      <alignment horizontal="center" vertical="center"/>
    </xf>
    <xf numFmtId="4" fontId="321" fillId="0" borderId="0" xfId="1" applyNumberFormat="1" applyFont="1" applyFill="1" applyBorder="1" applyAlignment="1" applyProtection="1">
      <alignment vertical="center"/>
      <protection locked="0"/>
    </xf>
    <xf numFmtId="4" fontId="321" fillId="0" borderId="0" xfId="1" applyNumberFormat="1" applyFont="1" applyFill="1" applyBorder="1" applyAlignment="1">
      <alignment vertical="center"/>
    </xf>
    <xf numFmtId="10" fontId="320" fillId="0" borderId="0" xfId="88" applyNumberFormat="1" applyFont="1" applyFill="1" applyAlignment="1" applyProtection="1">
      <alignment horizontal="center" vertical="center"/>
      <protection locked="0"/>
    </xf>
    <xf numFmtId="4" fontId="320" fillId="0" borderId="0" xfId="88" applyNumberFormat="1" applyFont="1" applyFill="1" applyAlignment="1" applyProtection="1">
      <alignment horizontal="center" vertical="center"/>
      <protection locked="0"/>
    </xf>
    <xf numFmtId="0" fontId="320" fillId="0" borderId="433" xfId="27" applyFont="1" applyFill="1" applyBorder="1" applyAlignment="1" applyProtection="1">
      <alignment vertical="center"/>
      <protection locked="0"/>
    </xf>
    <xf numFmtId="0" fontId="320" fillId="0" borderId="670" xfId="27" applyFont="1" applyFill="1" applyBorder="1" applyAlignment="1" applyProtection="1">
      <alignment vertical="center"/>
      <protection locked="0"/>
    </xf>
    <xf numFmtId="0" fontId="278" fillId="0" borderId="670" xfId="27" applyFont="1" applyFill="1" applyBorder="1" applyAlignment="1" applyProtection="1">
      <alignment vertical="center"/>
      <protection locked="0"/>
    </xf>
    <xf numFmtId="0" fontId="320" fillId="0" borderId="195" xfId="2" applyFont="1" applyFill="1" applyBorder="1" applyAlignment="1" applyProtection="1">
      <alignment vertical="center"/>
      <protection locked="0"/>
    </xf>
    <xf numFmtId="0" fontId="278" fillId="0" borderId="195" xfId="2" applyFont="1" applyFill="1" applyBorder="1" applyAlignment="1" applyProtection="1">
      <alignment vertical="center"/>
      <protection locked="0"/>
    </xf>
    <xf numFmtId="0" fontId="320" fillId="0" borderId="195" xfId="2" applyFont="1" applyFill="1" applyBorder="1" applyAlignment="1" applyProtection="1">
      <alignment horizontal="center" vertical="center"/>
      <protection locked="0"/>
    </xf>
    <xf numFmtId="4" fontId="278" fillId="0" borderId="195" xfId="2" applyNumberFormat="1" applyFont="1" applyFill="1" applyBorder="1" applyAlignment="1" applyProtection="1">
      <alignment vertical="center"/>
      <protection locked="0"/>
    </xf>
    <xf numFmtId="0" fontId="321" fillId="0" borderId="0" xfId="58" applyFont="1" applyFill="1" applyAlignment="1">
      <alignment vertical="top"/>
    </xf>
    <xf numFmtId="4" fontId="278" fillId="0" borderId="0" xfId="46" applyNumberFormat="1" applyFont="1" applyFill="1"/>
    <xf numFmtId="10" fontId="278" fillId="0" borderId="0" xfId="88" applyNumberFormat="1" applyFont="1" applyFill="1"/>
    <xf numFmtId="4" fontId="320" fillId="0" borderId="0" xfId="46" applyNumberFormat="1" applyFont="1" applyFill="1" applyBorder="1"/>
    <xf numFmtId="4" fontId="278" fillId="0" borderId="0" xfId="46" applyNumberFormat="1" applyFont="1" applyFill="1" applyBorder="1"/>
    <xf numFmtId="10" fontId="320" fillId="0" borderId="0" xfId="88" applyNumberFormat="1" applyFont="1" applyFill="1" applyBorder="1"/>
    <xf numFmtId="0" fontId="320" fillId="0" borderId="1" xfId="46" applyFont="1" applyFill="1" applyBorder="1"/>
    <xf numFmtId="0" fontId="320" fillId="0" borderId="1" xfId="46" applyFont="1" applyFill="1" applyBorder="1" applyAlignment="1">
      <alignment horizontal="center"/>
    </xf>
    <xf numFmtId="4" fontId="320" fillId="0" borderId="1" xfId="46" applyNumberFormat="1" applyFont="1" applyFill="1" applyBorder="1"/>
    <xf numFmtId="4" fontId="320" fillId="0" borderId="433" xfId="46" applyNumberFormat="1" applyFont="1" applyFill="1" applyBorder="1"/>
    <xf numFmtId="10" fontId="320" fillId="0" borderId="433" xfId="88" applyNumberFormat="1" applyFont="1" applyFill="1" applyBorder="1"/>
    <xf numFmtId="0" fontId="278" fillId="0" borderId="0" xfId="46" applyFont="1" applyFill="1" applyBorder="1" applyAlignment="1">
      <alignment horizontal="center"/>
    </xf>
    <xf numFmtId="0" fontId="320" fillId="0" borderId="0" xfId="46" applyNumberFormat="1" applyFont="1" applyFill="1"/>
    <xf numFmtId="0" fontId="320" fillId="0" borderId="0" xfId="46" applyFont="1" applyFill="1" applyAlignment="1">
      <alignment vertical="top"/>
    </xf>
    <xf numFmtId="0" fontId="278" fillId="0" borderId="0" xfId="46" applyFont="1" applyFill="1" applyBorder="1" applyAlignment="1">
      <alignment vertical="center"/>
    </xf>
    <xf numFmtId="0" fontId="278" fillId="0" borderId="0" xfId="46" applyFont="1" applyFill="1" applyBorder="1"/>
    <xf numFmtId="10" fontId="278" fillId="0" borderId="0" xfId="88" applyNumberFormat="1" applyFont="1" applyFill="1" applyBorder="1"/>
    <xf numFmtId="0" fontId="320" fillId="0" borderId="0" xfId="46" applyFont="1" applyFill="1" applyBorder="1" applyAlignment="1">
      <alignment vertical="center"/>
    </xf>
    <xf numFmtId="4" fontId="278" fillId="0" borderId="0" xfId="1" applyNumberFormat="1" applyFont="1" applyFill="1" applyAlignment="1"/>
    <xf numFmtId="0" fontId="278" fillId="0" borderId="0" xfId="46" applyNumberFormat="1" applyFont="1" applyFill="1" applyBorder="1" applyAlignment="1">
      <alignment horizontal="center"/>
    </xf>
    <xf numFmtId="0" fontId="320" fillId="0" borderId="0" xfId="46" applyFont="1" applyFill="1" applyBorder="1" applyAlignment="1">
      <alignment horizontal="center" vertical="center"/>
    </xf>
    <xf numFmtId="4" fontId="278" fillId="0" borderId="0" xfId="46" applyNumberFormat="1" applyFont="1" applyFill="1" applyBorder="1" applyAlignment="1">
      <alignment vertical="center"/>
    </xf>
    <xf numFmtId="0" fontId="320" fillId="0" borderId="670" xfId="46" applyFont="1" applyFill="1" applyBorder="1" applyAlignment="1">
      <alignment vertical="center"/>
    </xf>
    <xf numFmtId="0" fontId="278" fillId="0" borderId="670" xfId="46" applyFont="1" applyFill="1" applyBorder="1" applyAlignment="1">
      <alignment vertical="center"/>
    </xf>
    <xf numFmtId="0" fontId="320" fillId="0" borderId="670" xfId="46" applyFont="1" applyFill="1" applyBorder="1" applyAlignment="1">
      <alignment horizontal="center" vertical="center"/>
    </xf>
    <xf numFmtId="4" fontId="278" fillId="0" borderId="670" xfId="46" applyNumberFormat="1" applyFont="1" applyFill="1" applyBorder="1" applyAlignment="1">
      <alignment vertical="center"/>
    </xf>
    <xf numFmtId="10" fontId="278" fillId="0" borderId="670" xfId="88" applyNumberFormat="1" applyFont="1" applyFill="1" applyBorder="1" applyAlignment="1">
      <alignment vertical="center"/>
    </xf>
    <xf numFmtId="0" fontId="320" fillId="0" borderId="433" xfId="46" applyFont="1" applyFill="1" applyBorder="1"/>
    <xf numFmtId="0" fontId="320" fillId="0" borderId="433" xfId="46" applyFont="1" applyFill="1" applyBorder="1" applyAlignment="1">
      <alignment horizontal="center"/>
    </xf>
    <xf numFmtId="0" fontId="319" fillId="0" borderId="0" xfId="2" applyFont="1" applyFill="1" applyAlignment="1">
      <alignment horizontal="centerContinuous" vertical="center"/>
    </xf>
    <xf numFmtId="0" fontId="320" fillId="0" borderId="0" xfId="2" applyFont="1" applyFill="1" applyAlignment="1">
      <alignment horizontal="centerContinuous" vertical="center"/>
    </xf>
    <xf numFmtId="0" fontId="320" fillId="0" borderId="1" xfId="2" applyFont="1" applyFill="1" applyBorder="1" applyAlignment="1">
      <alignment vertical="center"/>
    </xf>
    <xf numFmtId="0" fontId="320" fillId="0" borderId="1" xfId="2" applyFont="1" applyFill="1" applyBorder="1" applyAlignment="1">
      <alignment horizontal="center" vertical="center"/>
    </xf>
    <xf numFmtId="0" fontId="320" fillId="0" borderId="433" xfId="2" applyFont="1" applyFill="1" applyBorder="1" applyAlignment="1">
      <alignment vertical="center"/>
    </xf>
    <xf numFmtId="4" fontId="278" fillId="0" borderId="195" xfId="2" applyNumberFormat="1" applyFont="1" applyFill="1" applyBorder="1" applyAlignment="1">
      <alignment vertical="center"/>
    </xf>
    <xf numFmtId="10" fontId="278" fillId="0" borderId="195" xfId="88" applyNumberFormat="1" applyFont="1" applyFill="1" applyBorder="1" applyAlignment="1" applyProtection="1">
      <alignment vertical="center"/>
      <protection locked="0"/>
    </xf>
    <xf numFmtId="4" fontId="278" fillId="0" borderId="670" xfId="2" applyNumberFormat="1" applyFont="1" applyFill="1" applyBorder="1" applyAlignment="1">
      <alignment vertical="center"/>
    </xf>
    <xf numFmtId="4" fontId="278" fillId="0" borderId="433" xfId="2" applyNumberFormat="1" applyFont="1" applyFill="1" applyBorder="1" applyAlignment="1">
      <alignment vertical="center"/>
    </xf>
    <xf numFmtId="4" fontId="320" fillId="0" borderId="0" xfId="46" applyNumberFormat="1" applyFont="1" applyFill="1" applyBorder="1" applyAlignment="1" applyProtection="1">
      <alignment vertical="center"/>
      <protection locked="0"/>
    </xf>
    <xf numFmtId="0" fontId="320" fillId="0" borderId="1" xfId="46" applyFont="1" applyFill="1" applyBorder="1" applyAlignment="1" applyProtection="1">
      <alignment vertical="center"/>
      <protection locked="0"/>
    </xf>
    <xf numFmtId="0" fontId="320" fillId="0" borderId="0" xfId="46" applyFont="1" applyFill="1" applyBorder="1" applyAlignment="1" applyProtection="1">
      <alignment vertical="center" wrapText="1"/>
      <protection locked="0"/>
    </xf>
    <xf numFmtId="4" fontId="278" fillId="0" borderId="0" xfId="46" applyNumberFormat="1" applyFont="1" applyFill="1" applyBorder="1" applyAlignment="1" applyProtection="1">
      <alignment vertical="center"/>
      <protection locked="0"/>
    </xf>
    <xf numFmtId="4" fontId="321" fillId="0" borderId="0" xfId="1" applyNumberFormat="1" applyFont="1" applyFill="1" applyAlignment="1">
      <alignment vertical="center"/>
    </xf>
    <xf numFmtId="43" fontId="278" fillId="0" borderId="0" xfId="1" applyFont="1" applyFill="1" applyAlignment="1"/>
    <xf numFmtId="0" fontId="278" fillId="0" borderId="0" xfId="46" applyFont="1" applyFill="1" applyAlignment="1"/>
    <xf numFmtId="0" fontId="320" fillId="0" borderId="670" xfId="46" applyFont="1" applyFill="1" applyBorder="1" applyAlignment="1" applyProtection="1">
      <alignment vertical="center"/>
      <protection locked="0"/>
    </xf>
    <xf numFmtId="0" fontId="278" fillId="0" borderId="670" xfId="46" applyFont="1" applyFill="1" applyBorder="1" applyAlignment="1" applyProtection="1">
      <alignment vertical="center"/>
      <protection locked="0"/>
    </xf>
    <xf numFmtId="4" fontId="278" fillId="0" borderId="670" xfId="46" applyNumberFormat="1" applyFont="1" applyFill="1" applyBorder="1" applyAlignment="1" applyProtection="1">
      <alignment vertical="center"/>
      <protection locked="0"/>
    </xf>
    <xf numFmtId="0" fontId="320" fillId="0" borderId="0" xfId="47" applyFont="1" applyFill="1" applyAlignment="1">
      <alignment vertical="top"/>
    </xf>
    <xf numFmtId="0" fontId="320" fillId="0" borderId="0" xfId="47" applyFont="1" applyFill="1" applyAlignment="1" applyProtection="1">
      <alignment vertical="top"/>
      <protection locked="0"/>
    </xf>
    <xf numFmtId="0" fontId="319" fillId="0" borderId="0" xfId="47" applyFont="1" applyFill="1" applyAlignment="1" applyProtection="1">
      <alignment horizontal="centerContinuous" vertical="top"/>
      <protection locked="0"/>
    </xf>
    <xf numFmtId="0" fontId="319" fillId="0" borderId="0" xfId="47" applyFont="1" applyFill="1" applyBorder="1" applyAlignment="1" applyProtection="1">
      <alignment horizontal="centerContinuous" vertical="top"/>
      <protection locked="0"/>
    </xf>
    <xf numFmtId="4" fontId="320" fillId="0" borderId="0" xfId="1" applyNumberFormat="1" applyFont="1" applyFill="1" applyAlignment="1" applyProtection="1">
      <alignment horizontal="centerContinuous" vertical="top"/>
      <protection locked="0"/>
    </xf>
    <xf numFmtId="10" fontId="320" fillId="0" borderId="0" xfId="88" applyNumberFormat="1" applyFont="1" applyFill="1" applyAlignment="1" applyProtection="1">
      <alignment horizontal="centerContinuous" vertical="top"/>
      <protection locked="0"/>
    </xf>
    <xf numFmtId="10" fontId="320" fillId="0" borderId="0" xfId="88" applyNumberFormat="1" applyFont="1" applyFill="1" applyAlignment="1" applyProtection="1">
      <alignment vertical="top"/>
      <protection locked="0"/>
    </xf>
    <xf numFmtId="0" fontId="278" fillId="0" borderId="0" xfId="47" applyFont="1" applyFill="1" applyAlignment="1" applyProtection="1">
      <alignment vertical="top"/>
      <protection locked="0"/>
    </xf>
    <xf numFmtId="4" fontId="278" fillId="0" borderId="0" xfId="1" applyNumberFormat="1" applyFont="1" applyFill="1" applyAlignment="1" applyProtection="1">
      <alignment vertical="top"/>
      <protection locked="0"/>
    </xf>
    <xf numFmtId="10" fontId="278" fillId="0" borderId="0" xfId="88" applyNumberFormat="1" applyFont="1" applyFill="1" applyAlignment="1" applyProtection="1">
      <alignment vertical="top"/>
      <protection locked="0"/>
    </xf>
    <xf numFmtId="4" fontId="320" fillId="0" borderId="0" xfId="1" applyNumberFormat="1" applyFont="1" applyFill="1" applyBorder="1" applyAlignment="1" applyProtection="1">
      <alignment vertical="top"/>
      <protection locked="0"/>
    </xf>
    <xf numFmtId="0" fontId="320" fillId="0" borderId="1" xfId="47" applyFont="1" applyFill="1" applyBorder="1" applyAlignment="1" applyProtection="1">
      <alignment vertical="top"/>
      <protection locked="0"/>
    </xf>
    <xf numFmtId="0" fontId="320" fillId="0" borderId="195" xfId="47" applyFont="1" applyFill="1" applyBorder="1" applyAlignment="1" applyProtection="1">
      <alignment vertical="top"/>
      <protection locked="0"/>
    </xf>
    <xf numFmtId="4" fontId="320" fillId="0" borderId="1" xfId="1" applyNumberFormat="1" applyFont="1" applyFill="1" applyBorder="1" applyAlignment="1" applyProtection="1">
      <alignment vertical="top"/>
      <protection locked="0"/>
    </xf>
    <xf numFmtId="4" fontId="320" fillId="0" borderId="433" xfId="1" applyNumberFormat="1" applyFont="1" applyFill="1" applyBorder="1" applyAlignment="1" applyProtection="1">
      <alignment vertical="top"/>
      <protection locked="0"/>
    </xf>
    <xf numFmtId="0" fontId="278" fillId="0" borderId="0" xfId="47" applyFont="1" applyFill="1" applyBorder="1" applyAlignment="1" applyProtection="1">
      <alignment horizontal="center" vertical="top"/>
      <protection locked="0"/>
    </xf>
    <xf numFmtId="0" fontId="278" fillId="0" borderId="608" xfId="1" applyNumberFormat="1" applyFont="1" applyFill="1" applyBorder="1" applyAlignment="1" applyProtection="1">
      <alignment horizontal="center" vertical="top"/>
      <protection locked="0"/>
    </xf>
    <xf numFmtId="0" fontId="278" fillId="0" borderId="0" xfId="47" applyFont="1" applyFill="1" applyBorder="1" applyAlignment="1" applyProtection="1">
      <alignment vertical="top"/>
      <protection locked="0"/>
    </xf>
    <xf numFmtId="10" fontId="320" fillId="0" borderId="397" xfId="88" applyNumberFormat="1" applyFont="1" applyFill="1" applyBorder="1" applyAlignment="1" applyProtection="1">
      <alignment vertical="top"/>
      <protection locked="0"/>
    </xf>
    <xf numFmtId="0" fontId="320" fillId="0" borderId="0" xfId="47" applyFont="1" applyFill="1" applyBorder="1" applyAlignment="1" applyProtection="1">
      <alignment horizontal="left" vertical="top"/>
      <protection locked="0"/>
    </xf>
    <xf numFmtId="43" fontId="320" fillId="0" borderId="0" xfId="1" applyFont="1" applyFill="1" applyBorder="1" applyAlignment="1" applyProtection="1">
      <alignment horizontal="left" vertical="top"/>
      <protection locked="0"/>
    </xf>
    <xf numFmtId="10" fontId="320" fillId="0" borderId="553" xfId="88" applyNumberFormat="1" applyFont="1" applyFill="1" applyBorder="1" applyAlignment="1" applyProtection="1">
      <alignment vertical="top"/>
      <protection locked="0"/>
    </xf>
    <xf numFmtId="0" fontId="320" fillId="0" borderId="0" xfId="47" applyFont="1" applyFill="1" applyBorder="1" applyAlignment="1">
      <alignment vertical="top"/>
    </xf>
    <xf numFmtId="4" fontId="278" fillId="0" borderId="0" xfId="1" applyNumberFormat="1" applyFont="1" applyFill="1" applyBorder="1" applyAlignment="1" applyProtection="1">
      <alignment vertical="top"/>
      <protection locked="0"/>
    </xf>
    <xf numFmtId="10" fontId="278" fillId="0" borderId="0" xfId="88" applyNumberFormat="1" applyFont="1" applyFill="1" applyBorder="1" applyAlignment="1" applyProtection="1">
      <alignment vertical="top"/>
      <protection locked="0"/>
    </xf>
    <xf numFmtId="0" fontId="321" fillId="0" borderId="0" xfId="58" applyFont="1" applyFill="1" applyProtection="1">
      <protection locked="0"/>
    </xf>
    <xf numFmtId="4" fontId="321" fillId="0" borderId="0" xfId="1" applyNumberFormat="1" applyFont="1" applyFill="1" applyProtection="1">
      <protection locked="0"/>
    </xf>
    <xf numFmtId="4" fontId="321" fillId="0" borderId="0" xfId="1" applyNumberFormat="1" applyFont="1" applyFill="1"/>
    <xf numFmtId="10" fontId="321" fillId="0" borderId="0" xfId="88" applyNumberFormat="1" applyFont="1" applyFill="1" applyProtection="1">
      <protection locked="0"/>
    </xf>
    <xf numFmtId="0" fontId="278" fillId="0" borderId="0" xfId="47" applyFont="1" applyFill="1" applyAlignment="1"/>
    <xf numFmtId="4" fontId="320" fillId="0" borderId="0" xfId="1" applyNumberFormat="1" applyFont="1" applyFill="1" applyAlignment="1">
      <alignment vertical="top"/>
    </xf>
    <xf numFmtId="10" fontId="320" fillId="0" borderId="0" xfId="88" applyNumberFormat="1" applyFont="1" applyFill="1" applyAlignment="1">
      <alignment vertical="top"/>
    </xf>
    <xf numFmtId="4" fontId="278" fillId="0" borderId="673" xfId="1" applyNumberFormat="1" applyFont="1" applyFill="1" applyBorder="1" applyAlignment="1" applyProtection="1">
      <alignment horizontal="center" vertical="top"/>
      <protection locked="0"/>
    </xf>
    <xf numFmtId="0" fontId="320" fillId="0" borderId="670" xfId="47" applyFont="1" applyFill="1" applyBorder="1" applyAlignment="1" applyProtection="1">
      <alignment vertical="top"/>
      <protection locked="0"/>
    </xf>
    <xf numFmtId="0" fontId="278" fillId="0" borderId="670" xfId="47" applyFont="1" applyFill="1" applyBorder="1" applyAlignment="1" applyProtection="1">
      <alignment vertical="top"/>
      <protection locked="0"/>
    </xf>
    <xf numFmtId="4" fontId="278" fillId="0" borderId="670" xfId="1" applyNumberFormat="1" applyFont="1" applyFill="1" applyBorder="1" applyAlignment="1" applyProtection="1">
      <alignment vertical="top"/>
      <protection locked="0"/>
    </xf>
    <xf numFmtId="10" fontId="278" fillId="0" borderId="670" xfId="88" applyNumberFormat="1" applyFont="1" applyFill="1" applyBorder="1" applyAlignment="1" applyProtection="1">
      <alignment vertical="top"/>
      <protection locked="0"/>
    </xf>
    <xf numFmtId="0" fontId="320" fillId="0" borderId="433" xfId="47" applyFont="1" applyFill="1" applyBorder="1" applyAlignment="1" applyProtection="1">
      <alignment vertical="top"/>
      <protection locked="0"/>
    </xf>
    <xf numFmtId="10" fontId="278" fillId="0" borderId="673" xfId="88" applyNumberFormat="1" applyFont="1" applyFill="1" applyBorder="1" applyAlignment="1" applyProtection="1">
      <alignment horizontal="center" vertical="top"/>
      <protection locked="0"/>
    </xf>
    <xf numFmtId="0" fontId="278" fillId="0" borderId="433" xfId="47" applyFont="1" applyFill="1" applyBorder="1" applyAlignment="1" applyProtection="1">
      <alignment horizontal="center" vertical="top"/>
      <protection locked="0"/>
    </xf>
    <xf numFmtId="10" fontId="278" fillId="0" borderId="608" xfId="88" applyNumberFormat="1" applyFont="1" applyFill="1" applyBorder="1" applyAlignment="1" applyProtection="1">
      <alignment horizontal="center" vertical="top"/>
      <protection locked="0"/>
    </xf>
    <xf numFmtId="0" fontId="278" fillId="0" borderId="433" xfId="2" applyFont="1" applyFill="1" applyBorder="1" applyAlignment="1" applyProtection="1">
      <alignment horizontal="center"/>
      <protection locked="0"/>
    </xf>
    <xf numFmtId="4" fontId="278" fillId="0" borderId="672" xfId="2" applyNumberFormat="1" applyFont="1" applyFill="1" applyBorder="1" applyAlignment="1">
      <alignment horizontal="center" vertical="center"/>
    </xf>
    <xf numFmtId="10" fontId="278" fillId="0" borderId="673" xfId="88" applyNumberFormat="1" applyFont="1" applyFill="1" applyBorder="1" applyAlignment="1">
      <alignment horizontal="center" vertical="center"/>
    </xf>
    <xf numFmtId="4" fontId="278" fillId="0" borderId="673" xfId="1" applyNumberFormat="1" applyFont="1" applyFill="1" applyBorder="1" applyAlignment="1" applyProtection="1">
      <alignment horizontal="center" vertical="center"/>
      <protection locked="0"/>
    </xf>
    <xf numFmtId="0" fontId="278" fillId="0" borderId="433" xfId="46" applyFont="1" applyFill="1" applyBorder="1" applyAlignment="1" applyProtection="1">
      <alignment horizontal="center" vertical="center"/>
      <protection locked="0"/>
    </xf>
    <xf numFmtId="0" fontId="211" fillId="0" borderId="0" xfId="0" applyFont="1" applyFill="1" applyAlignment="1">
      <alignment horizontal="center"/>
    </xf>
    <xf numFmtId="0" fontId="220" fillId="0" borderId="0" xfId="24" applyFont="1" applyFill="1" applyAlignment="1">
      <alignment horizontal="center"/>
    </xf>
    <xf numFmtId="0" fontId="41" fillId="0" borderId="644" xfId="74" applyFont="1" applyFill="1" applyBorder="1"/>
    <xf numFmtId="0" fontId="48" fillId="0" borderId="643" xfId="74" applyFont="1" applyFill="1" applyBorder="1" applyAlignment="1">
      <alignment horizontal="center"/>
    </xf>
    <xf numFmtId="0" fontId="37" fillId="0" borderId="643" xfId="74" applyFont="1" applyFill="1" applyBorder="1" applyAlignment="1">
      <alignment horizontal="center"/>
    </xf>
    <xf numFmtId="39" fontId="37" fillId="0" borderId="674" xfId="74" applyNumberFormat="1" applyFont="1" applyFill="1" applyBorder="1" applyProtection="1"/>
    <xf numFmtId="0" fontId="37" fillId="0" borderId="643" xfId="74" applyFont="1" applyFill="1" applyBorder="1"/>
    <xf numFmtId="43" fontId="37" fillId="0" borderId="674" xfId="62" applyFont="1" applyFill="1" applyBorder="1"/>
    <xf numFmtId="43" fontId="19" fillId="0" borderId="0" xfId="24" applyNumberFormat="1"/>
    <xf numFmtId="0" fontId="220" fillId="0" borderId="0" xfId="24" applyFont="1" applyFill="1" applyAlignment="1"/>
    <xf numFmtId="0" fontId="221" fillId="0" borderId="0" xfId="58" applyFont="1" applyFill="1" applyAlignment="1"/>
    <xf numFmtId="0" fontId="11" fillId="0" borderId="644" xfId="0" applyFont="1" applyFill="1" applyBorder="1"/>
    <xf numFmtId="0" fontId="11" fillId="0" borderId="644" xfId="0" applyFont="1" applyFill="1" applyBorder="1" applyAlignment="1">
      <alignment horizontal="right"/>
    </xf>
    <xf numFmtId="43" fontId="11" fillId="0" borderId="676" xfId="0" applyNumberFormat="1" applyFont="1" applyFill="1" applyBorder="1"/>
    <xf numFmtId="0" fontId="9" fillId="0" borderId="676" xfId="0" applyFont="1" applyFill="1" applyBorder="1"/>
    <xf numFmtId="0" fontId="9" fillId="0" borderId="419" xfId="0" applyFont="1" applyFill="1" applyBorder="1"/>
    <xf numFmtId="0" fontId="9" fillId="0" borderId="0" xfId="0" applyFont="1" applyFill="1" applyBorder="1"/>
    <xf numFmtId="0" fontId="9" fillId="0" borderId="596" xfId="0" applyFont="1" applyFill="1" applyBorder="1"/>
    <xf numFmtId="0" fontId="211" fillId="0" borderId="0" xfId="0" applyFont="1" applyFill="1" applyBorder="1" applyAlignment="1">
      <alignment horizontal="center" vertical="center"/>
    </xf>
    <xf numFmtId="0" fontId="211" fillId="0" borderId="449" xfId="0" applyFont="1" applyFill="1" applyBorder="1" applyAlignment="1">
      <alignment horizontal="center" vertical="center"/>
    </xf>
    <xf numFmtId="43" fontId="211" fillId="0" borderId="641" xfId="0" applyNumberFormat="1" applyFont="1" applyFill="1" applyBorder="1" applyAlignment="1">
      <alignment vertical="center"/>
    </xf>
    <xf numFmtId="0" fontId="211" fillId="0" borderId="569" xfId="0" applyFont="1" applyFill="1" applyBorder="1" applyAlignment="1">
      <alignment horizontal="center"/>
    </xf>
    <xf numFmtId="0" fontId="211" fillId="0" borderId="0" xfId="0" applyFont="1" applyFill="1" applyBorder="1" applyAlignment="1">
      <alignment horizontal="center"/>
    </xf>
    <xf numFmtId="181" fontId="11" fillId="0" borderId="0" xfId="0" applyNumberFormat="1" applyFont="1" applyFill="1" applyBorder="1" applyAlignment="1">
      <alignment horizontal="center"/>
    </xf>
    <xf numFmtId="2" fontId="11" fillId="0" borderId="0" xfId="0" applyNumberFormat="1" applyFont="1" applyFill="1" applyBorder="1" applyAlignment="1">
      <alignment horizontal="center"/>
    </xf>
    <xf numFmtId="0" fontId="11" fillId="0" borderId="0" xfId="0" applyFont="1" applyFill="1" applyBorder="1" applyAlignment="1">
      <alignment horizontal="center"/>
    </xf>
    <xf numFmtId="43" fontId="220" fillId="0" borderId="0" xfId="61" applyFont="1" applyFill="1" applyAlignment="1">
      <alignment vertical="center"/>
    </xf>
    <xf numFmtId="3" fontId="220" fillId="0" borderId="0" xfId="23" applyFont="1" applyFill="1" applyAlignment="1">
      <alignment vertical="center"/>
    </xf>
    <xf numFmtId="43" fontId="221" fillId="0" borderId="0" xfId="61" applyFont="1" applyFill="1" applyAlignment="1">
      <alignment vertical="center"/>
    </xf>
    <xf numFmtId="3" fontId="222" fillId="0" borderId="0" xfId="23" applyFont="1" applyFill="1" applyBorder="1" applyAlignment="1" applyProtection="1">
      <alignment horizontal="center" vertical="center"/>
      <protection hidden="1"/>
    </xf>
    <xf numFmtId="3" fontId="223" fillId="0" borderId="0" xfId="23" applyFont="1" applyFill="1" applyBorder="1" applyAlignment="1">
      <alignment vertical="center"/>
    </xf>
    <xf numFmtId="3" fontId="223" fillId="0" borderId="19" xfId="23" applyFont="1" applyFill="1" applyBorder="1" applyAlignment="1" applyProtection="1">
      <alignment vertical="center"/>
      <protection hidden="1"/>
    </xf>
    <xf numFmtId="3" fontId="223" fillId="0" borderId="20" xfId="23" applyFont="1" applyFill="1" applyBorder="1" applyAlignment="1" applyProtection="1">
      <alignment horizontal="centerContinuous" vertical="center"/>
      <protection hidden="1"/>
    </xf>
    <xf numFmtId="3" fontId="268" fillId="0" borderId="62" xfId="23" applyFont="1" applyFill="1" applyBorder="1" applyAlignment="1" applyProtection="1">
      <alignment horizontal="center" vertical="center"/>
      <protection hidden="1"/>
    </xf>
    <xf numFmtId="3" fontId="268" fillId="0" borderId="63" xfId="23" applyFont="1" applyFill="1" applyBorder="1" applyAlignment="1" applyProtection="1">
      <alignment horizontal="centerContinuous" vertical="center"/>
      <protection hidden="1"/>
    </xf>
    <xf numFmtId="3" fontId="268" fillId="0" borderId="0" xfId="23" applyFont="1" applyFill="1" applyBorder="1" applyAlignment="1" applyProtection="1">
      <alignment horizontal="center" vertical="center"/>
      <protection hidden="1"/>
    </xf>
    <xf numFmtId="3" fontId="268" fillId="0" borderId="67" xfId="23" applyFont="1" applyFill="1" applyBorder="1" applyAlignment="1" applyProtection="1">
      <alignment horizontal="center" vertical="center"/>
      <protection hidden="1"/>
    </xf>
    <xf numFmtId="3" fontId="223" fillId="0" borderId="69" xfId="23" applyFont="1" applyFill="1" applyBorder="1" applyAlignment="1" applyProtection="1">
      <alignment horizontal="centerContinuous" vertical="center"/>
      <protection hidden="1"/>
    </xf>
    <xf numFmtId="3" fontId="223" fillId="0" borderId="56" xfId="23" applyFont="1" applyFill="1" applyBorder="1" applyAlignment="1" applyProtection="1">
      <alignment horizontal="centerContinuous" vertical="center"/>
      <protection hidden="1"/>
    </xf>
    <xf numFmtId="49" fontId="223" fillId="0" borderId="70" xfId="23" applyNumberFormat="1" applyFont="1" applyFill="1" applyBorder="1" applyAlignment="1" applyProtection="1">
      <alignment horizontal="center" vertical="center"/>
      <protection hidden="1"/>
    </xf>
    <xf numFmtId="3" fontId="223" fillId="0" borderId="71" xfId="23" applyFont="1" applyFill="1" applyBorder="1" applyAlignment="1" applyProtection="1">
      <alignment horizontal="centerContinuous" vertical="center"/>
      <protection hidden="1"/>
    </xf>
    <xf numFmtId="49" fontId="223" fillId="0" borderId="0" xfId="23" applyNumberFormat="1" applyFont="1" applyFill="1" applyBorder="1" applyAlignment="1" applyProtection="1">
      <alignment horizontal="center" vertical="center"/>
      <protection hidden="1"/>
    </xf>
    <xf numFmtId="3" fontId="223" fillId="0" borderId="273" xfId="23" applyFont="1" applyFill="1" applyBorder="1" applyAlignment="1" applyProtection="1">
      <alignment horizontal="centerContinuous" vertical="center"/>
      <protection hidden="1"/>
    </xf>
    <xf numFmtId="3" fontId="222" fillId="0" borderId="22" xfId="23" applyFont="1" applyFill="1" applyBorder="1" applyAlignment="1" applyProtection="1">
      <alignment horizontal="left" vertical="center"/>
      <protection locked="0"/>
    </xf>
    <xf numFmtId="3" fontId="222" fillId="0" borderId="53" xfId="23" applyFont="1" applyFill="1" applyBorder="1" applyAlignment="1" applyProtection="1">
      <alignment horizontal="left" vertical="center"/>
      <protection locked="0"/>
    </xf>
    <xf numFmtId="3" fontId="222" fillId="0" borderId="67" xfId="23" applyFont="1" applyFill="1" applyBorder="1" applyAlignment="1" applyProtection="1">
      <alignment vertical="center"/>
      <protection locked="0"/>
    </xf>
    <xf numFmtId="39" fontId="224" fillId="0" borderId="54" xfId="23" applyNumberFormat="1" applyFont="1" applyFill="1" applyBorder="1" applyAlignment="1" applyProtection="1">
      <alignment horizontal="center" vertical="center"/>
      <protection hidden="1"/>
    </xf>
    <xf numFmtId="3" fontId="224" fillId="0" borderId="54" xfId="23" applyFont="1" applyFill="1" applyBorder="1" applyAlignment="1" applyProtection="1">
      <alignment horizontal="center" vertical="center"/>
      <protection hidden="1"/>
    </xf>
    <xf numFmtId="39" fontId="224" fillId="0" borderId="275" xfId="23" applyNumberFormat="1" applyFont="1" applyFill="1" applyBorder="1" applyAlignment="1" applyProtection="1">
      <alignment horizontal="center" vertical="center"/>
      <protection locked="0"/>
    </xf>
    <xf numFmtId="3" fontId="223" fillId="0" borderId="22" xfId="23" applyFont="1" applyFill="1" applyBorder="1" applyAlignment="1" applyProtection="1">
      <alignment vertical="center"/>
      <protection locked="0"/>
    </xf>
    <xf numFmtId="3" fontId="223" fillId="0" borderId="53" xfId="23" applyFont="1" applyFill="1" applyBorder="1" applyAlignment="1" applyProtection="1">
      <alignment vertical="center"/>
      <protection locked="0"/>
    </xf>
    <xf numFmtId="3" fontId="223" fillId="0" borderId="0" xfId="23" applyFont="1" applyFill="1" applyBorder="1" applyAlignment="1" applyProtection="1">
      <alignment vertical="center"/>
      <protection locked="0"/>
    </xf>
    <xf numFmtId="3" fontId="223" fillId="0" borderId="67" xfId="23" applyFont="1" applyFill="1" applyBorder="1" applyAlignment="1" applyProtection="1">
      <alignment vertical="center"/>
      <protection locked="0"/>
    </xf>
    <xf numFmtId="3" fontId="223" fillId="0" borderId="72" xfId="23" applyFont="1" applyFill="1" applyBorder="1" applyAlignment="1" applyProtection="1">
      <alignment vertical="center"/>
      <protection hidden="1"/>
    </xf>
    <xf numFmtId="3" fontId="223" fillId="0" borderId="217" xfId="23" applyFont="1" applyFill="1" applyBorder="1" applyAlignment="1" applyProtection="1">
      <alignment horizontal="center" vertical="center"/>
      <protection locked="0"/>
    </xf>
    <xf numFmtId="3" fontId="223" fillId="0" borderId="54" xfId="23" applyFont="1" applyFill="1" applyBorder="1" applyAlignment="1" applyProtection="1">
      <alignment vertical="center"/>
      <protection hidden="1"/>
    </xf>
    <xf numFmtId="39" fontId="223" fillId="0" borderId="54" xfId="23" applyNumberFormat="1" applyFont="1" applyFill="1" applyBorder="1" applyAlignment="1" applyProtection="1">
      <alignment vertical="center"/>
      <protection hidden="1"/>
    </xf>
    <xf numFmtId="39" fontId="223" fillId="0" borderId="0" xfId="23" applyNumberFormat="1" applyFont="1" applyFill="1" applyBorder="1" applyAlignment="1" applyProtection="1">
      <alignment horizontal="center" vertical="center"/>
      <protection locked="0"/>
    </xf>
    <xf numFmtId="3" fontId="225" fillId="0" borderId="53" xfId="23" applyFont="1" applyFill="1" applyBorder="1" applyAlignment="1" applyProtection="1">
      <alignment horizontal="left" vertical="center"/>
      <protection locked="0"/>
    </xf>
    <xf numFmtId="3" fontId="223" fillId="0" borderId="53" xfId="23" applyFont="1" applyFill="1" applyBorder="1" applyAlignment="1" applyProtection="1">
      <alignment horizontal="left" vertical="center"/>
      <protection locked="0"/>
    </xf>
    <xf numFmtId="3" fontId="223" fillId="0" borderId="67" xfId="23" applyFont="1" applyFill="1" applyBorder="1" applyAlignment="1" applyProtection="1">
      <alignment horizontal="center" vertical="center"/>
      <protection locked="0"/>
    </xf>
    <xf numFmtId="3" fontId="226" fillId="0" borderId="54" xfId="23" applyFont="1" applyFill="1" applyBorder="1" applyAlignment="1" applyProtection="1">
      <alignment horizontal="center" vertical="center"/>
      <protection hidden="1"/>
    </xf>
    <xf numFmtId="39" fontId="226" fillId="0" borderId="54" xfId="23" applyNumberFormat="1" applyFont="1" applyFill="1" applyBorder="1" applyAlignment="1" applyProtection="1">
      <alignment horizontal="center" vertical="center"/>
      <protection hidden="1"/>
    </xf>
    <xf numFmtId="39" fontId="226" fillId="0" borderId="0" xfId="23" applyNumberFormat="1" applyFont="1" applyFill="1" applyBorder="1" applyAlignment="1" applyProtection="1">
      <alignment horizontal="center" vertical="center"/>
      <protection locked="0"/>
    </xf>
    <xf numFmtId="3" fontId="223" fillId="0" borderId="600" xfId="23" applyFont="1" applyFill="1" applyBorder="1" applyAlignment="1">
      <alignment vertical="center"/>
    </xf>
    <xf numFmtId="3" fontId="223" fillId="0" borderId="360" xfId="23" applyFont="1" applyFill="1" applyBorder="1" applyAlignment="1" applyProtection="1">
      <alignment vertical="center"/>
      <protection hidden="1"/>
    </xf>
    <xf numFmtId="43" fontId="227" fillId="0" borderId="0" xfId="61" applyFont="1" applyFill="1" applyBorder="1" applyAlignment="1">
      <alignment vertical="center"/>
    </xf>
    <xf numFmtId="3" fontId="222" fillId="0" borderId="53" xfId="23" applyFont="1" applyFill="1" applyBorder="1" applyAlignment="1" applyProtection="1">
      <alignment horizontal="center" vertical="center"/>
      <protection locked="0"/>
    </xf>
    <xf numFmtId="3" fontId="224" fillId="0" borderId="488" xfId="23" applyFont="1" applyFill="1" applyBorder="1" applyAlignment="1" applyProtection="1">
      <alignment horizontal="center" vertical="center"/>
      <protection hidden="1"/>
    </xf>
    <xf numFmtId="39" fontId="224" fillId="0" borderId="488" xfId="23" applyNumberFormat="1" applyFont="1" applyFill="1" applyBorder="1" applyAlignment="1" applyProtection="1">
      <alignment horizontal="center" vertical="center"/>
      <protection hidden="1"/>
    </xf>
    <xf numFmtId="39" fontId="224" fillId="0" borderId="491" xfId="23" applyNumberFormat="1" applyFont="1" applyFill="1" applyBorder="1" applyAlignment="1" applyProtection="1">
      <alignment horizontal="center" vertical="center"/>
      <protection locked="0"/>
    </xf>
    <xf numFmtId="3" fontId="223" fillId="0" borderId="604" xfId="23" applyFont="1" applyFill="1" applyBorder="1" applyAlignment="1">
      <alignment vertical="center"/>
    </xf>
    <xf numFmtId="39" fontId="222" fillId="0" borderId="54" xfId="23" applyNumberFormat="1" applyFont="1" applyFill="1" applyBorder="1" applyAlignment="1" applyProtection="1">
      <alignment vertical="center"/>
      <protection hidden="1"/>
    </xf>
    <xf numFmtId="39" fontId="222" fillId="0" borderId="0" xfId="23" applyNumberFormat="1" applyFont="1" applyFill="1" applyBorder="1" applyAlignment="1" applyProtection="1">
      <alignment horizontal="center" vertical="center"/>
      <protection locked="0"/>
    </xf>
    <xf numFmtId="3" fontId="223" fillId="0" borderId="603" xfId="23" applyFont="1" applyFill="1" applyBorder="1" applyAlignment="1">
      <alignment horizontal="right" vertical="center"/>
    </xf>
    <xf numFmtId="3" fontId="226" fillId="0" borderId="0" xfId="23" applyFont="1" applyFill="1" applyBorder="1" applyAlignment="1" applyProtection="1">
      <alignment horizontal="center" vertical="center"/>
      <protection locked="0"/>
    </xf>
    <xf numFmtId="39" fontId="223" fillId="0" borderId="211" xfId="23" applyNumberFormat="1" applyFont="1" applyFill="1" applyBorder="1" applyAlignment="1" applyProtection="1">
      <alignment horizontal="center" vertical="center"/>
      <protection locked="0"/>
    </xf>
    <xf numFmtId="3" fontId="223" fillId="0" borderId="368" xfId="23" applyFont="1" applyFill="1" applyBorder="1" applyAlignment="1" applyProtection="1">
      <alignment vertical="center"/>
      <protection locked="0"/>
    </xf>
    <xf numFmtId="3" fontId="223" fillId="0" borderId="418" xfId="23" applyFont="1" applyFill="1" applyBorder="1" applyAlignment="1" applyProtection="1">
      <alignment horizontal="left" vertical="center"/>
      <protection locked="0"/>
    </xf>
    <xf numFmtId="3" fontId="223" fillId="0" borderId="273" xfId="23" applyFont="1" applyFill="1" applyBorder="1" applyAlignment="1" applyProtection="1">
      <alignment horizontal="center" vertical="center"/>
      <protection locked="0"/>
    </xf>
    <xf numFmtId="39" fontId="223" fillId="0" borderId="360" xfId="23" applyNumberFormat="1" applyFont="1" applyFill="1" applyBorder="1" applyAlignment="1" applyProtection="1">
      <alignment vertical="center"/>
      <protection hidden="1"/>
    </xf>
    <xf numFmtId="39" fontId="223" fillId="0" borderId="300" xfId="23" applyNumberFormat="1" applyFont="1" applyFill="1" applyBorder="1" applyAlignment="1" applyProtection="1">
      <alignment horizontal="center" vertical="center"/>
      <protection locked="0"/>
    </xf>
    <xf numFmtId="3" fontId="226" fillId="0" borderId="208" xfId="23" applyFont="1" applyFill="1" applyBorder="1" applyAlignment="1" applyProtection="1">
      <alignment horizontal="center" vertical="center"/>
      <protection hidden="1"/>
    </xf>
    <xf numFmtId="3" fontId="226" fillId="0" borderId="211" xfId="23" applyFont="1" applyFill="1" applyBorder="1" applyAlignment="1" applyProtection="1">
      <alignment horizontal="center" vertical="center"/>
      <protection locked="0"/>
    </xf>
    <xf numFmtId="3" fontId="223" fillId="0" borderId="193" xfId="23" applyFont="1" applyFill="1" applyBorder="1" applyAlignment="1" applyProtection="1">
      <alignment vertical="center"/>
      <protection locked="0"/>
    </xf>
    <xf numFmtId="3" fontId="223" fillId="0" borderId="198" xfId="23" applyFont="1" applyFill="1" applyBorder="1" applyAlignment="1" applyProtection="1">
      <alignment horizontal="left" vertical="center"/>
      <protection locked="0"/>
    </xf>
    <xf numFmtId="3" fontId="223" fillId="0" borderId="209" xfId="23" applyFont="1" applyFill="1" applyBorder="1" applyAlignment="1" applyProtection="1">
      <alignment horizontal="center" vertical="center"/>
      <protection locked="0"/>
    </xf>
    <xf numFmtId="3" fontId="226" fillId="0" borderId="360" xfId="23" applyFont="1" applyFill="1" applyBorder="1" applyAlignment="1" applyProtection="1">
      <alignment horizontal="center" vertical="center"/>
      <protection hidden="1"/>
    </xf>
    <xf numFmtId="3" fontId="226" fillId="0" borderId="300" xfId="23" applyFont="1" applyFill="1" applyBorder="1" applyAlignment="1" applyProtection="1">
      <alignment horizontal="center" vertical="center"/>
      <protection locked="0"/>
    </xf>
    <xf numFmtId="3" fontId="223" fillId="0" borderId="605" xfId="23" applyFont="1" applyFill="1" applyBorder="1" applyAlignment="1">
      <alignment vertical="center"/>
    </xf>
    <xf numFmtId="43" fontId="223" fillId="0" borderId="606" xfId="61" applyFont="1" applyFill="1" applyBorder="1" applyAlignment="1">
      <alignment vertical="center"/>
    </xf>
    <xf numFmtId="3" fontId="223" fillId="0" borderId="607" xfId="23" applyFont="1" applyFill="1" applyBorder="1" applyAlignment="1">
      <alignment vertical="center"/>
    </xf>
    <xf numFmtId="3" fontId="224" fillId="0" borderId="498" xfId="23" applyFont="1" applyFill="1" applyBorder="1" applyAlignment="1" applyProtection="1">
      <alignment horizontal="center" vertical="center"/>
      <protection hidden="1"/>
    </xf>
    <xf numFmtId="39" fontId="224" fillId="0" borderId="498" xfId="23" applyNumberFormat="1" applyFont="1" applyFill="1" applyBorder="1" applyAlignment="1" applyProtection="1">
      <alignment horizontal="center" vertical="center"/>
      <protection hidden="1"/>
    </xf>
    <xf numFmtId="39" fontId="224" fillId="0" borderId="501" xfId="23" applyNumberFormat="1" applyFont="1" applyFill="1" applyBorder="1" applyAlignment="1" applyProtection="1">
      <alignment horizontal="center" vertical="center"/>
      <protection locked="0"/>
    </xf>
    <xf numFmtId="3" fontId="224" fillId="0" borderId="522" xfId="23" applyFont="1" applyFill="1" applyBorder="1" applyAlignment="1" applyProtection="1">
      <alignment horizontal="center" vertical="center"/>
      <protection hidden="1"/>
    </xf>
    <xf numFmtId="39" fontId="224" fillId="0" borderId="522" xfId="23" applyNumberFormat="1" applyFont="1" applyFill="1" applyBorder="1" applyAlignment="1" applyProtection="1">
      <alignment horizontal="right" vertical="center"/>
      <protection hidden="1"/>
    </xf>
    <xf numFmtId="39" fontId="224" fillId="0" borderId="524" xfId="23" applyNumberFormat="1" applyFont="1" applyFill="1" applyBorder="1" applyAlignment="1" applyProtection="1">
      <alignment horizontal="center" vertical="center"/>
      <protection locked="0"/>
    </xf>
    <xf numFmtId="3" fontId="222" fillId="0" borderId="54" xfId="23" applyFont="1" applyFill="1" applyBorder="1" applyAlignment="1" applyProtection="1">
      <alignment vertical="center"/>
      <protection hidden="1"/>
    </xf>
    <xf numFmtId="3" fontId="222" fillId="0" borderId="211" xfId="23" applyFont="1" applyFill="1" applyBorder="1" applyAlignment="1" applyProtection="1">
      <alignment horizontal="center" vertical="center"/>
      <protection locked="0"/>
    </xf>
    <xf numFmtId="39" fontId="222" fillId="0" borderId="211" xfId="23" applyNumberFormat="1" applyFont="1" applyFill="1" applyBorder="1" applyAlignment="1" applyProtection="1">
      <alignment horizontal="center" vertical="center"/>
      <protection locked="0"/>
    </xf>
    <xf numFmtId="3" fontId="223" fillId="0" borderId="0" xfId="23" applyNumberFormat="1" applyFont="1" applyFill="1" applyAlignment="1">
      <alignment vertical="center"/>
    </xf>
    <xf numFmtId="3" fontId="223" fillId="0" borderId="90" xfId="23" applyFont="1" applyFill="1" applyBorder="1" applyAlignment="1" applyProtection="1">
      <alignment horizontal="left" vertical="center"/>
      <protection locked="0"/>
    </xf>
    <xf numFmtId="3" fontId="223" fillId="0" borderId="0" xfId="23" applyFont="1" applyFill="1" applyBorder="1" applyAlignment="1" applyProtection="1">
      <alignment vertical="center"/>
      <protection hidden="1"/>
    </xf>
    <xf numFmtId="3" fontId="223" fillId="0" borderId="211" xfId="23" applyFont="1" applyFill="1" applyBorder="1" applyAlignment="1" applyProtection="1">
      <alignment horizontal="center" vertical="center"/>
      <protection locked="0"/>
    </xf>
    <xf numFmtId="3" fontId="223" fillId="0" borderId="208" xfId="23" applyFont="1" applyFill="1" applyBorder="1" applyAlignment="1" applyProtection="1">
      <alignment vertical="center"/>
      <protection hidden="1"/>
    </xf>
    <xf numFmtId="3" fontId="222" fillId="0" borderId="360" xfId="23" applyFont="1" applyFill="1" applyBorder="1" applyAlignment="1" applyProtection="1">
      <alignment vertical="center"/>
      <protection hidden="1"/>
    </xf>
    <xf numFmtId="3" fontId="222" fillId="0" borderId="300" xfId="23" applyFont="1" applyFill="1" applyBorder="1" applyAlignment="1" applyProtection="1">
      <alignment horizontal="center" vertical="center"/>
      <protection locked="0"/>
    </xf>
    <xf numFmtId="3" fontId="223" fillId="0" borderId="639" xfId="23" applyFont="1" applyFill="1" applyBorder="1" applyAlignment="1" applyProtection="1">
      <alignment horizontal="center" vertical="center"/>
      <protection locked="0"/>
    </xf>
    <xf numFmtId="3" fontId="222" fillId="0" borderId="202" xfId="23" applyFont="1" applyFill="1" applyBorder="1" applyAlignment="1" applyProtection="1">
      <alignment horizontal="center" vertical="center"/>
      <protection locked="0"/>
    </xf>
    <xf numFmtId="39" fontId="224" fillId="0" borderId="490" xfId="23" applyNumberFormat="1" applyFont="1" applyFill="1" applyBorder="1" applyAlignment="1" applyProtection="1">
      <alignment horizontal="center" vertical="center"/>
      <protection locked="0"/>
    </xf>
    <xf numFmtId="39" fontId="224" fillId="0" borderId="208" xfId="23" applyNumberFormat="1" applyFont="1" applyFill="1" applyBorder="1" applyAlignment="1" applyProtection="1">
      <alignment horizontal="center" vertical="center"/>
      <protection hidden="1"/>
    </xf>
    <xf numFmtId="39" fontId="224" fillId="0" borderId="211" xfId="23" applyNumberFormat="1" applyFont="1" applyFill="1" applyBorder="1" applyAlignment="1" applyProtection="1">
      <alignment horizontal="center" vertical="center"/>
      <protection locked="0"/>
    </xf>
    <xf numFmtId="39" fontId="226" fillId="0" borderId="208" xfId="23" applyNumberFormat="1" applyFont="1" applyFill="1" applyBorder="1" applyAlignment="1" applyProtection="1">
      <alignment horizontal="center" vertical="center"/>
      <protection hidden="1"/>
    </xf>
    <xf numFmtId="39" fontId="226" fillId="0" borderId="211" xfId="23" applyNumberFormat="1" applyFont="1" applyFill="1" applyBorder="1" applyAlignment="1" applyProtection="1">
      <alignment horizontal="center" vertical="center"/>
      <protection locked="0"/>
    </xf>
    <xf numFmtId="3" fontId="224" fillId="0" borderId="360" xfId="23" applyFont="1" applyFill="1" applyBorder="1" applyAlignment="1" applyProtection="1">
      <alignment horizontal="center" vertical="center"/>
      <protection hidden="1"/>
    </xf>
    <xf numFmtId="39" fontId="226" fillId="0" borderId="360" xfId="23" applyNumberFormat="1" applyFont="1" applyFill="1" applyBorder="1" applyAlignment="1" applyProtection="1">
      <alignment horizontal="center" vertical="center"/>
      <protection hidden="1"/>
    </xf>
    <xf numFmtId="39" fontId="226" fillId="0" borderId="300" xfId="23" applyNumberFormat="1" applyFont="1" applyFill="1" applyBorder="1" applyAlignment="1" applyProtection="1">
      <alignment horizontal="center" vertical="center"/>
      <protection locked="0"/>
    </xf>
    <xf numFmtId="3" fontId="222" fillId="0" borderId="22" xfId="23" applyFont="1" applyFill="1" applyBorder="1" applyAlignment="1" applyProtection="1">
      <alignment vertical="center"/>
      <protection locked="0"/>
    </xf>
    <xf numFmtId="3" fontId="222" fillId="0" borderId="193" xfId="23" applyFont="1" applyFill="1" applyBorder="1" applyAlignment="1" applyProtection="1">
      <alignment vertical="center"/>
      <protection locked="0"/>
    </xf>
    <xf numFmtId="3" fontId="222" fillId="0" borderId="198" xfId="23" applyFont="1" applyFill="1" applyBorder="1" applyAlignment="1" applyProtection="1">
      <alignment horizontal="center" vertical="center"/>
      <protection locked="0"/>
    </xf>
    <xf numFmtId="3" fontId="222" fillId="0" borderId="209" xfId="23" applyFont="1" applyFill="1" applyBorder="1" applyAlignment="1" applyProtection="1">
      <alignment vertical="center"/>
      <protection locked="0"/>
    </xf>
    <xf numFmtId="39" fontId="224" fillId="0" borderId="488" xfId="23" applyNumberFormat="1" applyFont="1" applyFill="1" applyBorder="1" applyAlignment="1" applyProtection="1">
      <alignment horizontal="right" vertical="center"/>
      <protection hidden="1"/>
    </xf>
    <xf numFmtId="3" fontId="222" fillId="0" borderId="279" xfId="23" applyFont="1" applyFill="1" applyBorder="1" applyAlignment="1" applyProtection="1">
      <alignment vertical="center"/>
      <protection locked="0"/>
    </xf>
    <xf numFmtId="39" fontId="224" fillId="0" borderId="274" xfId="23" applyNumberFormat="1" applyFont="1" applyFill="1" applyBorder="1" applyAlignment="1" applyProtection="1">
      <alignment horizontal="right" vertical="center"/>
      <protection hidden="1"/>
    </xf>
    <xf numFmtId="39" fontId="224" fillId="0" borderId="275" xfId="23" applyNumberFormat="1" applyFont="1" applyFill="1" applyBorder="1" applyAlignment="1" applyProtection="1">
      <alignment horizontal="right" vertical="center"/>
      <protection hidden="1"/>
    </xf>
    <xf numFmtId="3" fontId="222" fillId="0" borderId="243" xfId="23" applyFont="1" applyFill="1" applyBorder="1" applyAlignment="1" applyProtection="1">
      <alignment vertical="center"/>
      <protection locked="0"/>
    </xf>
    <xf numFmtId="3" fontId="222" fillId="0" borderId="246" xfId="23" applyFont="1" applyFill="1" applyBorder="1" applyAlignment="1" applyProtection="1">
      <alignment vertical="center"/>
      <protection locked="0"/>
    </xf>
    <xf numFmtId="39" fontId="224" fillId="0" borderId="258" xfId="23" applyNumberFormat="1" applyFont="1" applyFill="1" applyBorder="1" applyAlignment="1" applyProtection="1">
      <alignment horizontal="right" vertical="center"/>
      <protection hidden="1"/>
    </xf>
    <xf numFmtId="49" fontId="268" fillId="0" borderId="70" xfId="23" applyNumberFormat="1" applyFont="1" applyFill="1" applyBorder="1" applyAlignment="1" applyProtection="1">
      <alignment horizontal="center" vertical="center"/>
      <protection hidden="1"/>
    </xf>
    <xf numFmtId="3" fontId="268" fillId="0" borderId="71" xfId="23" applyFont="1" applyFill="1" applyBorder="1" applyAlignment="1" applyProtection="1">
      <alignment horizontal="centerContinuous" vertical="center"/>
      <protection hidden="1"/>
    </xf>
    <xf numFmtId="3" fontId="222" fillId="0" borderId="198" xfId="23" applyFont="1" applyFill="1" applyBorder="1" applyAlignment="1" applyProtection="1">
      <alignment vertical="center"/>
      <protection locked="0"/>
    </xf>
    <xf numFmtId="39" fontId="224" fillId="0" borderId="208" xfId="23" applyNumberFormat="1" applyFont="1" applyFill="1" applyBorder="1" applyAlignment="1" applyProtection="1">
      <alignment horizontal="right" vertical="center"/>
      <protection hidden="1"/>
    </xf>
    <xf numFmtId="39" fontId="224" fillId="0" borderId="360" xfId="23" applyNumberFormat="1" applyFont="1" applyFill="1" applyBorder="1" applyAlignment="1" applyProtection="1">
      <alignment horizontal="center" vertical="center"/>
      <protection locked="0"/>
    </xf>
    <xf numFmtId="3" fontId="223" fillId="0" borderId="360" xfId="23" applyFont="1" applyFill="1" applyBorder="1" applyAlignment="1" applyProtection="1">
      <alignment horizontal="center" vertical="center"/>
      <protection locked="0"/>
    </xf>
    <xf numFmtId="3" fontId="222" fillId="0" borderId="368" xfId="23" applyFont="1" applyFill="1" applyBorder="1" applyAlignment="1" applyProtection="1">
      <alignment vertical="center"/>
      <protection locked="0"/>
    </xf>
    <xf numFmtId="39" fontId="224" fillId="0" borderId="488" xfId="23" applyNumberFormat="1" applyFont="1" applyFill="1" applyBorder="1" applyAlignment="1" applyProtection="1">
      <alignment horizontal="center" vertical="center"/>
      <protection locked="0"/>
    </xf>
    <xf numFmtId="3" fontId="223" fillId="0" borderId="79" xfId="23" applyFont="1" applyFill="1" applyBorder="1" applyAlignment="1" applyProtection="1">
      <alignment vertical="center"/>
      <protection locked="0"/>
    </xf>
    <xf numFmtId="39" fontId="224" fillId="0" borderId="0" xfId="23" applyNumberFormat="1" applyFont="1" applyFill="1" applyBorder="1" applyAlignment="1" applyProtection="1">
      <alignment horizontal="center" vertical="center"/>
      <protection hidden="1"/>
    </xf>
    <xf numFmtId="3" fontId="223" fillId="0" borderId="54" xfId="23" applyFont="1" applyFill="1" applyBorder="1" applyAlignment="1" applyProtection="1">
      <alignment horizontal="center" vertical="center"/>
      <protection locked="0"/>
    </xf>
    <xf numFmtId="3" fontId="224" fillId="0" borderId="2" xfId="23" applyFont="1" applyFill="1" applyBorder="1" applyAlignment="1" applyProtection="1">
      <alignment horizontal="center" vertical="center"/>
      <protection hidden="1"/>
    </xf>
    <xf numFmtId="39" fontId="226" fillId="0" borderId="2" xfId="23" applyNumberFormat="1" applyFont="1" applyFill="1" applyBorder="1" applyAlignment="1" applyProtection="1">
      <alignment horizontal="center" vertical="center"/>
      <protection hidden="1"/>
    </xf>
    <xf numFmtId="39" fontId="226" fillId="0" borderId="360" xfId="23" applyNumberFormat="1" applyFont="1" applyFill="1" applyBorder="1" applyAlignment="1" applyProtection="1">
      <alignment horizontal="center" vertical="center"/>
      <protection locked="0"/>
    </xf>
    <xf numFmtId="3" fontId="226" fillId="0" borderId="300" xfId="23" applyFont="1" applyFill="1" applyBorder="1" applyAlignment="1" applyProtection="1">
      <alignment horizontal="center" vertical="center"/>
      <protection hidden="1"/>
    </xf>
    <xf numFmtId="39" fontId="226" fillId="0" borderId="300" xfId="23" applyNumberFormat="1" applyFont="1" applyFill="1" applyBorder="1" applyAlignment="1" applyProtection="1">
      <alignment horizontal="center" vertical="center"/>
      <protection hidden="1"/>
    </xf>
    <xf numFmtId="3" fontId="223" fillId="0" borderId="295" xfId="23" applyFont="1" applyFill="1" applyBorder="1" applyAlignment="1" applyProtection="1">
      <alignment vertical="center"/>
      <protection locked="0"/>
    </xf>
    <xf numFmtId="3" fontId="224" fillId="0" borderId="511" xfId="23" applyFont="1" applyFill="1" applyBorder="1" applyAlignment="1" applyProtection="1">
      <alignment horizontal="center" vertical="center"/>
      <protection hidden="1"/>
    </xf>
    <xf numFmtId="39" fontId="224" fillId="0" borderId="511" xfId="23" applyNumberFormat="1" applyFont="1" applyFill="1" applyBorder="1" applyAlignment="1" applyProtection="1">
      <alignment horizontal="center" vertical="center"/>
      <protection hidden="1"/>
    </xf>
    <xf numFmtId="39" fontId="224" fillId="0" borderId="514" xfId="23" applyNumberFormat="1" applyFont="1" applyFill="1" applyBorder="1" applyAlignment="1" applyProtection="1">
      <alignment horizontal="center" vertical="center"/>
      <protection locked="0"/>
    </xf>
    <xf numFmtId="39" fontId="224" fillId="0" borderId="513" xfId="23" applyNumberFormat="1" applyFont="1" applyFill="1" applyBorder="1" applyAlignment="1" applyProtection="1">
      <alignment horizontal="center" vertical="center"/>
      <protection hidden="1"/>
    </xf>
    <xf numFmtId="3" fontId="222" fillId="0" borderId="0" xfId="23" applyFont="1" applyFill="1" applyBorder="1" applyAlignment="1" applyProtection="1">
      <alignment horizontal="left" vertical="center"/>
      <protection locked="0"/>
    </xf>
    <xf numFmtId="3" fontId="224" fillId="0" borderId="300" xfId="23" applyFont="1" applyFill="1" applyBorder="1" applyAlignment="1" applyProtection="1">
      <alignment horizontal="center" vertical="center"/>
      <protection hidden="1"/>
    </xf>
    <xf numFmtId="39" fontId="226" fillId="0" borderId="0" xfId="23" applyNumberFormat="1" applyFont="1" applyFill="1" applyBorder="1" applyAlignment="1" applyProtection="1">
      <alignment horizontal="center" vertical="center"/>
      <protection hidden="1"/>
    </xf>
    <xf numFmtId="3" fontId="224" fillId="0" borderId="344" xfId="23" applyFont="1" applyFill="1" applyBorder="1" applyAlignment="1" applyProtection="1">
      <alignment horizontal="center" vertical="center"/>
      <protection hidden="1"/>
    </xf>
    <xf numFmtId="39" fontId="226" fillId="0" borderId="517" xfId="23" applyNumberFormat="1" applyFont="1" applyFill="1" applyBorder="1" applyAlignment="1" applyProtection="1">
      <alignment horizontal="center" vertical="center"/>
      <protection hidden="1"/>
    </xf>
    <xf numFmtId="39" fontId="226" fillId="0" borderId="518" xfId="23" applyNumberFormat="1" applyFont="1" applyFill="1" applyBorder="1" applyAlignment="1" applyProtection="1">
      <alignment horizontal="center" vertical="center"/>
      <protection locked="0"/>
    </xf>
    <xf numFmtId="3" fontId="222" fillId="0" borderId="295" xfId="23" applyFont="1" applyFill="1" applyBorder="1" applyAlignment="1" applyProtection="1">
      <alignment vertical="center"/>
      <protection locked="0"/>
    </xf>
    <xf numFmtId="39" fontId="224" fillId="0" borderId="518" xfId="23" applyNumberFormat="1" applyFont="1" applyFill="1" applyBorder="1" applyAlignment="1" applyProtection="1">
      <alignment horizontal="center" vertical="center"/>
      <protection hidden="1"/>
    </xf>
    <xf numFmtId="39" fontId="224" fillId="0" borderId="518" xfId="23" applyNumberFormat="1" applyFont="1" applyFill="1" applyBorder="1" applyAlignment="1" applyProtection="1">
      <alignment horizontal="center" vertical="center"/>
      <protection locked="0"/>
    </xf>
    <xf numFmtId="39" fontId="222" fillId="0" borderId="519" xfId="23" applyNumberFormat="1" applyFont="1" applyFill="1" applyBorder="1" applyAlignment="1" applyProtection="1">
      <alignment vertical="center"/>
      <protection locked="0"/>
    </xf>
    <xf numFmtId="3" fontId="224" fillId="0" borderId="449" xfId="23" applyFont="1" applyFill="1" applyBorder="1" applyAlignment="1" applyProtection="1">
      <alignment horizontal="center" vertical="center"/>
      <protection hidden="1"/>
    </xf>
    <xf numFmtId="39" fontId="224" fillId="0" borderId="252" xfId="23" applyNumberFormat="1" applyFont="1" applyFill="1" applyBorder="1" applyAlignment="1" applyProtection="1">
      <alignment horizontal="center" vertical="center"/>
      <protection hidden="1"/>
    </xf>
    <xf numFmtId="39" fontId="224" fillId="0" borderId="252" xfId="23" applyNumberFormat="1" applyFont="1" applyFill="1" applyBorder="1" applyAlignment="1" applyProtection="1">
      <alignment horizontal="center" vertical="center"/>
      <protection locked="0"/>
    </xf>
    <xf numFmtId="3" fontId="223" fillId="0" borderId="295" xfId="23" applyFont="1" applyFill="1" applyBorder="1" applyAlignment="1" applyProtection="1">
      <alignment horizontal="center" vertical="center"/>
      <protection locked="0"/>
    </xf>
    <xf numFmtId="3" fontId="224" fillId="0" borderId="508" xfId="23" applyFont="1" applyFill="1" applyBorder="1" applyAlignment="1" applyProtection="1">
      <alignment horizontal="center" vertical="center"/>
      <protection hidden="1"/>
    </xf>
    <xf numFmtId="3" fontId="224" fillId="0" borderId="75" xfId="23" applyFont="1" applyFill="1" applyBorder="1" applyAlignment="1" applyProtection="1">
      <alignment horizontal="center" vertical="center"/>
      <protection hidden="1"/>
    </xf>
    <xf numFmtId="3" fontId="224" fillId="0" borderId="566" xfId="23" applyFont="1" applyFill="1" applyBorder="1" applyAlignment="1" applyProtection="1">
      <alignment horizontal="center" vertical="center"/>
      <protection hidden="1"/>
    </xf>
    <xf numFmtId="3" fontId="222" fillId="0" borderId="419" xfId="23" applyFont="1" applyFill="1" applyBorder="1" applyAlignment="1" applyProtection="1">
      <alignment horizontal="left" vertical="center"/>
      <protection locked="0"/>
    </xf>
    <xf numFmtId="3" fontId="41" fillId="0" borderId="419" xfId="32" applyFont="1" applyFill="1" applyBorder="1" applyAlignment="1" applyProtection="1">
      <alignment horizontal="left" vertical="center"/>
      <protection locked="0"/>
    </xf>
    <xf numFmtId="3" fontId="223" fillId="0" borderId="23" xfId="23" applyFont="1" applyFill="1" applyBorder="1" applyAlignment="1" applyProtection="1">
      <alignment vertical="center"/>
      <protection locked="0"/>
    </xf>
    <xf numFmtId="3" fontId="223" fillId="0" borderId="156" xfId="23" applyFont="1" applyFill="1" applyBorder="1" applyAlignment="1" applyProtection="1">
      <alignment vertical="center"/>
      <protection locked="0"/>
    </xf>
    <xf numFmtId="3" fontId="223" fillId="0" borderId="80" xfId="23" applyFont="1" applyFill="1" applyBorder="1" applyAlignment="1" applyProtection="1">
      <alignment vertical="center"/>
      <protection locked="0"/>
    </xf>
    <xf numFmtId="3" fontId="223" fillId="0" borderId="76" xfId="23" applyFont="1" applyFill="1" applyBorder="1" applyAlignment="1" applyProtection="1">
      <alignment vertical="center"/>
      <protection locked="0"/>
    </xf>
    <xf numFmtId="3" fontId="223" fillId="0" borderId="1" xfId="23" applyFont="1" applyFill="1" applyBorder="1" applyAlignment="1" applyProtection="1">
      <alignment vertical="center"/>
      <protection hidden="1"/>
    </xf>
    <xf numFmtId="3" fontId="222" fillId="0" borderId="77" xfId="23" applyFont="1" applyFill="1" applyBorder="1" applyAlignment="1" applyProtection="1">
      <alignment vertical="center"/>
      <protection hidden="1"/>
    </xf>
    <xf numFmtId="3" fontId="222" fillId="0" borderId="77" xfId="23" applyFont="1" applyFill="1" applyBorder="1" applyAlignment="1" applyProtection="1">
      <alignment horizontal="center" vertical="center"/>
      <protection locked="0"/>
    </xf>
    <xf numFmtId="3" fontId="222" fillId="0" borderId="39" xfId="23" applyFont="1" applyFill="1" applyBorder="1" applyAlignment="1" applyProtection="1">
      <alignment horizontal="left" vertical="center"/>
      <protection locked="0"/>
    </xf>
    <xf numFmtId="3" fontId="222" fillId="0" borderId="40" xfId="23" applyFont="1" applyFill="1" applyBorder="1" applyAlignment="1" applyProtection="1">
      <alignment vertical="center"/>
      <protection locked="0"/>
    </xf>
    <xf numFmtId="3" fontId="223" fillId="0" borderId="370" xfId="23" applyFont="1" applyFill="1" applyBorder="1" applyAlignment="1" applyProtection="1">
      <alignment vertical="center"/>
      <protection locked="0"/>
    </xf>
    <xf numFmtId="3" fontId="223" fillId="0" borderId="568" xfId="23" applyFont="1" applyFill="1" applyBorder="1" applyAlignment="1" applyProtection="1">
      <alignment vertical="center"/>
      <protection locked="0"/>
    </xf>
    <xf numFmtId="3" fontId="224" fillId="0" borderId="40" xfId="23" applyFont="1" applyFill="1" applyBorder="1" applyAlignment="1" applyProtection="1">
      <alignment horizontal="center" vertical="center"/>
      <protection hidden="1"/>
    </xf>
    <xf numFmtId="3" fontId="224" fillId="0" borderId="253" xfId="23" applyFont="1" applyFill="1" applyBorder="1" applyAlignment="1" applyProtection="1">
      <alignment horizontal="center" vertical="center"/>
      <protection hidden="1"/>
    </xf>
    <xf numFmtId="3" fontId="224" fillId="0" borderId="567" xfId="23" applyFont="1" applyFill="1" applyBorder="1" applyAlignment="1" applyProtection="1">
      <alignment horizontal="center" vertical="center"/>
      <protection locked="0"/>
    </xf>
    <xf numFmtId="43" fontId="223" fillId="0" borderId="0" xfId="1" applyFont="1" applyFill="1" applyAlignment="1">
      <alignment vertical="center"/>
    </xf>
    <xf numFmtId="3" fontId="224" fillId="0" borderId="0" xfId="23" applyFont="1" applyFill="1" applyBorder="1" applyAlignment="1" applyProtection="1">
      <alignment horizontal="center" vertical="center"/>
      <protection locked="0"/>
    </xf>
    <xf numFmtId="3" fontId="223" fillId="0" borderId="0" xfId="23" applyFont="1" applyFill="1" applyAlignment="1" applyProtection="1">
      <alignment horizontal="left" vertical="center"/>
      <protection locked="0"/>
    </xf>
    <xf numFmtId="3" fontId="223" fillId="0" borderId="0" xfId="23" applyFont="1" applyFill="1" applyAlignment="1" applyProtection="1">
      <alignment vertical="center"/>
      <protection locked="0"/>
    </xf>
    <xf numFmtId="39" fontId="223" fillId="0" borderId="0" xfId="23" applyNumberFormat="1" applyFont="1" applyFill="1" applyAlignment="1" applyProtection="1">
      <alignment horizontal="center" vertical="center"/>
      <protection locked="0"/>
    </xf>
    <xf numFmtId="3" fontId="221" fillId="0" borderId="0" xfId="23" applyFont="1" applyFill="1" applyAlignment="1" applyProtection="1">
      <alignment horizontal="left" vertical="center"/>
      <protection locked="0"/>
    </xf>
    <xf numFmtId="3" fontId="222" fillId="0" borderId="0" xfId="32" applyFont="1" applyFill="1" applyAlignment="1">
      <alignment vertical="center"/>
    </xf>
    <xf numFmtId="3" fontId="223" fillId="0" borderId="0" xfId="32" applyFont="1" applyFill="1" applyAlignment="1">
      <alignment vertical="center"/>
    </xf>
    <xf numFmtId="3" fontId="220" fillId="0" borderId="0" xfId="23" applyFont="1" applyFill="1" applyAlignment="1" applyProtection="1">
      <alignment vertical="center"/>
      <protection locked="0"/>
    </xf>
    <xf numFmtId="3" fontId="221" fillId="0" borderId="0" xfId="32" applyFont="1" applyFill="1" applyAlignment="1">
      <alignment vertical="center"/>
    </xf>
    <xf numFmtId="3" fontId="221" fillId="0" borderId="0" xfId="23" applyFont="1" applyFill="1" applyAlignment="1" applyProtection="1">
      <alignment vertical="center"/>
      <protection locked="0"/>
    </xf>
    <xf numFmtId="3" fontId="220" fillId="0" borderId="0" xfId="32" applyFont="1" applyFill="1" applyAlignment="1">
      <alignment vertical="center"/>
    </xf>
    <xf numFmtId="3" fontId="220" fillId="0" borderId="0" xfId="23" applyFont="1" applyFill="1" applyAlignment="1" applyProtection="1">
      <alignment horizontal="center"/>
      <protection locked="0"/>
    </xf>
    <xf numFmtId="3" fontId="220" fillId="0" borderId="0" xfId="23" applyFont="1" applyFill="1" applyAlignment="1"/>
    <xf numFmtId="3" fontId="221" fillId="0" borderId="0" xfId="23" applyFont="1" applyFill="1" applyAlignment="1" applyProtection="1">
      <alignment horizontal="center"/>
      <protection locked="0"/>
    </xf>
    <xf numFmtId="3" fontId="221" fillId="0" borderId="0" xfId="23" applyFont="1" applyFill="1" applyAlignment="1"/>
    <xf numFmtId="3" fontId="223" fillId="0" borderId="0" xfId="23" applyFont="1" applyFill="1" applyAlignment="1">
      <alignment horizontal="right" vertical="center"/>
    </xf>
    <xf numFmtId="3" fontId="223" fillId="0" borderId="0" xfId="23" applyFont="1" applyFill="1" applyAlignment="1">
      <alignment horizontal="center" vertical="center"/>
    </xf>
    <xf numFmtId="3" fontId="222" fillId="0" borderId="0" xfId="23" applyFont="1" applyFill="1" applyAlignment="1">
      <alignment vertical="center"/>
    </xf>
    <xf numFmtId="3" fontId="222" fillId="0" borderId="0" xfId="23" applyFont="1" applyFill="1" applyAlignment="1">
      <alignment horizontal="center" vertical="center"/>
    </xf>
    <xf numFmtId="3" fontId="46" fillId="0" borderId="492" xfId="32" applyFont="1" applyFill="1" applyBorder="1" applyProtection="1">
      <protection locked="0"/>
    </xf>
    <xf numFmtId="0" fontId="221" fillId="0" borderId="0" xfId="58" applyFont="1" applyAlignment="1">
      <alignment horizontal="center"/>
    </xf>
    <xf numFmtId="0" fontId="221" fillId="0" borderId="643" xfId="21" applyFont="1" applyFill="1" applyBorder="1" applyAlignment="1">
      <alignment horizontal="center"/>
    </xf>
    <xf numFmtId="43" fontId="221" fillId="0" borderId="643" xfId="62" applyFont="1" applyFill="1" applyBorder="1"/>
    <xf numFmtId="0" fontId="221" fillId="0" borderId="633" xfId="21" applyFont="1" applyFill="1" applyBorder="1" applyAlignment="1">
      <alignment horizontal="center"/>
    </xf>
    <xf numFmtId="43" fontId="221" fillId="0" borderId="633" xfId="62" applyFont="1" applyFill="1" applyBorder="1"/>
    <xf numFmtId="43" fontId="241" fillId="0" borderId="183" xfId="1" applyFont="1" applyFill="1" applyBorder="1" applyAlignment="1" applyProtection="1">
      <alignment horizontal="center"/>
    </xf>
    <xf numFmtId="0" fontId="57" fillId="0" borderId="635" xfId="71" applyFont="1" applyFill="1" applyBorder="1" applyAlignment="1">
      <alignment horizontal="center" vertical="top"/>
    </xf>
    <xf numFmtId="0" fontId="345" fillId="0" borderId="0" xfId="68" applyFont="1" applyAlignment="1">
      <alignment vertical="top"/>
    </xf>
    <xf numFmtId="0" fontId="346" fillId="0" borderId="0" xfId="68" applyFont="1" applyAlignment="1">
      <alignment vertical="top"/>
    </xf>
    <xf numFmtId="0" fontId="347" fillId="0" borderId="0" xfId="71" applyFont="1" applyAlignment="1">
      <alignment vertical="top"/>
    </xf>
    <xf numFmtId="43" fontId="347" fillId="0" borderId="0" xfId="1" applyFont="1" applyAlignment="1">
      <alignment vertical="top"/>
    </xf>
    <xf numFmtId="43" fontId="56" fillId="0" borderId="398" xfId="1" applyFont="1" applyBorder="1" applyAlignment="1">
      <alignment vertical="top"/>
    </xf>
    <xf numFmtId="43" fontId="91" fillId="0" borderId="0" xfId="1" applyFont="1" applyAlignment="1">
      <alignment vertical="top"/>
    </xf>
    <xf numFmtId="43" fontId="344" fillId="0" borderId="0" xfId="1" applyFont="1" applyAlignment="1">
      <alignment vertical="top"/>
    </xf>
    <xf numFmtId="0" fontId="348" fillId="0" borderId="0" xfId="71" applyFont="1" applyAlignment="1">
      <alignment vertical="top"/>
    </xf>
    <xf numFmtId="0" fontId="348" fillId="0" borderId="0" xfId="71" applyFont="1" applyAlignment="1">
      <alignment horizontal="center" vertical="top"/>
    </xf>
    <xf numFmtId="0" fontId="153" fillId="0" borderId="433" xfId="68" applyFont="1" applyBorder="1" applyAlignment="1">
      <alignment vertical="top"/>
    </xf>
    <xf numFmtId="43" fontId="153" fillId="0" borderId="433" xfId="1" applyFont="1" applyBorder="1" applyAlignment="1">
      <alignment vertical="top"/>
    </xf>
    <xf numFmtId="0" fontId="91" fillId="0" borderId="624" xfId="68" applyFont="1" applyFill="1" applyBorder="1" applyAlignment="1">
      <alignment vertical="top"/>
    </xf>
    <xf numFmtId="0" fontId="57" fillId="0" borderId="0" xfId="71" applyFont="1" applyFill="1" applyAlignment="1">
      <alignment horizontal="center" vertical="top"/>
    </xf>
    <xf numFmtId="2" fontId="56" fillId="0" borderId="398" xfId="71" applyNumberFormat="1" applyFont="1" applyBorder="1" applyAlignment="1">
      <alignment vertical="top"/>
    </xf>
    <xf numFmtId="0" fontId="56" fillId="0" borderId="398" xfId="71" applyFont="1" applyBorder="1" applyAlignment="1">
      <alignment vertical="top"/>
    </xf>
    <xf numFmtId="39" fontId="56" fillId="0" borderId="398" xfId="71" applyNumberFormat="1" applyFont="1" applyBorder="1" applyAlignment="1">
      <alignment vertical="top"/>
    </xf>
    <xf numFmtId="0" fontId="56" fillId="0" borderId="0" xfId="71" applyFont="1" applyAlignment="1">
      <alignment vertical="top"/>
    </xf>
    <xf numFmtId="43" fontId="348" fillId="0" borderId="0" xfId="1" applyFont="1" applyAlignment="1">
      <alignment vertical="top"/>
    </xf>
    <xf numFmtId="0" fontId="347" fillId="0" borderId="0" xfId="71" applyFont="1" applyAlignment="1">
      <alignment horizontal="center" vertical="top"/>
    </xf>
    <xf numFmtId="0" fontId="153" fillId="0" borderId="433" xfId="68" applyFont="1" applyBorder="1" applyAlignment="1">
      <alignment horizontal="center" vertical="top"/>
    </xf>
    <xf numFmtId="43" fontId="57" fillId="0" borderId="398" xfId="1" applyFont="1" applyBorder="1" applyAlignment="1">
      <alignment vertical="top"/>
    </xf>
    <xf numFmtId="0" fontId="57" fillId="0" borderId="398" xfId="71" applyFont="1" applyBorder="1" applyAlignment="1">
      <alignment vertical="top"/>
    </xf>
    <xf numFmtId="39" fontId="56" fillId="0" borderId="356" xfId="71" applyNumberFormat="1" applyFont="1" applyBorder="1" applyAlignment="1">
      <alignment vertical="top"/>
    </xf>
    <xf numFmtId="0" fontId="56" fillId="0" borderId="625" xfId="71" applyFont="1" applyFill="1" applyBorder="1" applyAlignment="1">
      <alignment horizontal="center" vertical="top"/>
    </xf>
    <xf numFmtId="0" fontId="56" fillId="0" borderId="677" xfId="71" applyFont="1" applyFill="1" applyBorder="1" applyAlignment="1">
      <alignment vertical="top"/>
    </xf>
    <xf numFmtId="0" fontId="56" fillId="0" borderId="112" xfId="71" applyFont="1" applyFill="1" applyBorder="1" applyAlignment="1">
      <alignment horizontal="center" vertical="top"/>
    </xf>
    <xf numFmtId="0" fontId="57" fillId="0" borderId="591" xfId="71" applyFont="1" applyFill="1" applyBorder="1" applyAlignment="1">
      <alignment horizontal="center" vertical="top"/>
    </xf>
    <xf numFmtId="0" fontId="56" fillId="0" borderId="591" xfId="71" applyFont="1" applyFill="1" applyBorder="1" applyAlignment="1">
      <alignment horizontal="center" vertical="top"/>
    </xf>
    <xf numFmtId="0" fontId="57" fillId="0" borderId="186" xfId="71" applyFont="1" applyBorder="1" applyAlignment="1">
      <alignment vertical="top"/>
    </xf>
    <xf numFmtId="0" fontId="57" fillId="0" borderId="186" xfId="71" applyFont="1" applyBorder="1" applyAlignment="1">
      <alignment horizontal="center" vertical="top"/>
    </xf>
    <xf numFmtId="0" fontId="56" fillId="0" borderId="186" xfId="71" applyFont="1" applyBorder="1" applyAlignment="1">
      <alignment vertical="top"/>
    </xf>
    <xf numFmtId="39" fontId="56" fillId="0" borderId="186" xfId="71" applyNumberFormat="1" applyFont="1" applyBorder="1" applyAlignment="1">
      <alignment vertical="top"/>
    </xf>
    <xf numFmtId="39" fontId="57" fillId="0" borderId="186" xfId="71" applyNumberFormat="1" applyFont="1" applyBorder="1" applyAlignment="1">
      <alignment vertical="top"/>
    </xf>
    <xf numFmtId="43" fontId="91" fillId="0" borderId="186" xfId="1" applyFont="1" applyBorder="1" applyAlignment="1">
      <alignment vertical="top"/>
    </xf>
    <xf numFmtId="2" fontId="347" fillId="0" borderId="186" xfId="1" applyNumberFormat="1" applyFont="1" applyBorder="1" applyAlignment="1">
      <alignment vertical="top"/>
    </xf>
    <xf numFmtId="43" fontId="57" fillId="0" borderId="186" xfId="1" applyFont="1" applyBorder="1" applyAlignment="1">
      <alignment vertical="top"/>
    </xf>
    <xf numFmtId="2" fontId="57" fillId="0" borderId="186" xfId="71" applyNumberFormat="1" applyFont="1" applyBorder="1" applyAlignment="1">
      <alignment vertical="top"/>
    </xf>
    <xf numFmtId="39" fontId="57" fillId="0" borderId="186" xfId="71" applyNumberFormat="1" applyFont="1" applyBorder="1" applyAlignment="1">
      <alignment vertical="top" wrapText="1"/>
    </xf>
    <xf numFmtId="0" fontId="349" fillId="0" borderId="186" xfId="71" applyFont="1" applyBorder="1" applyAlignment="1">
      <alignment vertical="top"/>
    </xf>
    <xf numFmtId="43" fontId="56" fillId="0" borderId="186" xfId="1" applyFont="1" applyBorder="1" applyAlignment="1">
      <alignment vertical="top"/>
    </xf>
    <xf numFmtId="43" fontId="57" fillId="0" borderId="186" xfId="1" applyFont="1" applyBorder="1" applyAlignment="1">
      <alignment horizontal="center" vertical="top"/>
    </xf>
    <xf numFmtId="43" fontId="349" fillId="0" borderId="186" xfId="1" applyFont="1" applyBorder="1" applyAlignment="1">
      <alignment vertical="top"/>
    </xf>
    <xf numFmtId="0" fontId="56" fillId="0" borderId="352" xfId="71" applyFont="1" applyBorder="1" applyAlignment="1">
      <alignment horizontal="center" vertical="top"/>
    </xf>
    <xf numFmtId="39" fontId="56" fillId="0" borderId="352" xfId="71" applyNumberFormat="1" applyFont="1" applyBorder="1" applyAlignment="1">
      <alignment vertical="top"/>
    </xf>
    <xf numFmtId="39" fontId="57" fillId="0" borderId="352" xfId="71" applyNumberFormat="1" applyFont="1" applyBorder="1" applyAlignment="1">
      <alignment vertical="top"/>
    </xf>
    <xf numFmtId="43" fontId="56" fillId="0" borderId="352" xfId="1" applyFont="1" applyBorder="1" applyAlignment="1">
      <alignment vertical="top"/>
    </xf>
    <xf numFmtId="0" fontId="57" fillId="0" borderId="186" xfId="1" applyNumberFormat="1" applyFont="1" applyBorder="1" applyAlignment="1">
      <alignment horizontal="center" vertical="top"/>
    </xf>
    <xf numFmtId="182" fontId="347" fillId="0" borderId="0" xfId="71" applyNumberFormat="1" applyFont="1" applyAlignment="1">
      <alignment horizontal="center" vertical="top"/>
    </xf>
    <xf numFmtId="182" fontId="153" fillId="0" borderId="433" xfId="68" applyNumberFormat="1" applyFont="1" applyBorder="1" applyAlignment="1">
      <alignment horizontal="center" vertical="top"/>
    </xf>
    <xf numFmtId="182" fontId="56" fillId="0" borderId="625" xfId="71" applyNumberFormat="1" applyFont="1" applyFill="1" applyBorder="1" applyAlignment="1">
      <alignment horizontal="center" vertical="top" wrapText="1"/>
    </xf>
    <xf numFmtId="182" fontId="56" fillId="0" borderId="112" xfId="71" applyNumberFormat="1" applyFont="1" applyFill="1" applyBorder="1" applyAlignment="1">
      <alignment horizontal="center" vertical="top" wrapText="1"/>
    </xf>
    <xf numFmtId="182" fontId="57" fillId="0" borderId="186" xfId="71" applyNumberFormat="1" applyFont="1" applyBorder="1" applyAlignment="1">
      <alignment horizontal="center" vertical="top"/>
    </xf>
    <xf numFmtId="182" fontId="57" fillId="0" borderId="186" xfId="1" applyNumberFormat="1" applyFont="1" applyBorder="1" applyAlignment="1">
      <alignment horizontal="center" vertical="top"/>
    </xf>
    <xf numFmtId="182" fontId="56" fillId="0" borderId="352" xfId="71" applyNumberFormat="1" applyFont="1" applyBorder="1" applyAlignment="1">
      <alignment horizontal="center" vertical="top"/>
    </xf>
    <xf numFmtId="182" fontId="348" fillId="0" borderId="0" xfId="71" applyNumberFormat="1" applyFont="1" applyAlignment="1">
      <alignment horizontal="center" vertical="top"/>
    </xf>
    <xf numFmtId="0" fontId="350" fillId="0" borderId="0" xfId="0" applyFont="1" applyAlignment="1">
      <alignment vertical="top"/>
    </xf>
    <xf numFmtId="182" fontId="350" fillId="0" borderId="0" xfId="0" applyNumberFormat="1" applyFont="1" applyAlignment="1">
      <alignment horizontal="center" vertical="top"/>
    </xf>
    <xf numFmtId="0" fontId="350" fillId="0" borderId="0" xfId="0" applyFont="1" applyAlignment="1">
      <alignment horizontal="center" vertical="top"/>
    </xf>
    <xf numFmtId="0" fontId="350" fillId="0" borderId="0" xfId="0" applyFont="1" applyBorder="1" applyAlignment="1">
      <alignment vertical="top"/>
    </xf>
    <xf numFmtId="0" fontId="344" fillId="0" borderId="0" xfId="0" applyFont="1" applyAlignment="1">
      <alignment vertical="top"/>
    </xf>
    <xf numFmtId="43" fontId="350" fillId="0" borderId="0" xfId="1" applyFont="1" applyAlignment="1">
      <alignment vertical="top"/>
    </xf>
    <xf numFmtId="0" fontId="344" fillId="0" borderId="0" xfId="0" applyFont="1" applyAlignment="1">
      <alignment horizontal="center" vertical="top"/>
    </xf>
    <xf numFmtId="0" fontId="350" fillId="0" borderId="0" xfId="71" applyFont="1" applyAlignment="1">
      <alignment vertical="top"/>
    </xf>
    <xf numFmtId="182" fontId="57" fillId="0" borderId="591" xfId="71" applyNumberFormat="1" applyFont="1" applyFill="1" applyBorder="1" applyAlignment="1">
      <alignment horizontal="center" vertical="top"/>
    </xf>
    <xf numFmtId="0" fontId="57" fillId="0" borderId="0" xfId="71" applyFont="1" applyFill="1" applyBorder="1" applyAlignment="1">
      <alignment horizontal="center" vertical="top"/>
    </xf>
    <xf numFmtId="0" fontId="347" fillId="0" borderId="0" xfId="71" applyFont="1" applyBorder="1" applyAlignment="1">
      <alignment vertical="top"/>
    </xf>
    <xf numFmtId="0" fontId="211" fillId="0" borderId="0" xfId="58" applyFont="1" applyAlignment="1">
      <alignment horizontal="centerContinuous"/>
    </xf>
    <xf numFmtId="0" fontId="8" fillId="0" borderId="0" xfId="58" applyFont="1" applyAlignment="1">
      <alignment horizontal="centerContinuous"/>
    </xf>
    <xf numFmtId="0" fontId="8" fillId="0" borderId="0" xfId="58" applyFont="1"/>
    <xf numFmtId="0" fontId="211" fillId="0" borderId="0" xfId="58" applyFont="1"/>
    <xf numFmtId="0" fontId="8" fillId="0" borderId="1" xfId="58" applyFont="1" applyBorder="1"/>
    <xf numFmtId="0" fontId="8" fillId="0" borderId="118" xfId="58" applyFont="1" applyBorder="1"/>
    <xf numFmtId="0" fontId="211" fillId="0" borderId="118" xfId="58" applyFont="1" applyBorder="1" applyAlignment="1">
      <alignment horizontal="centerContinuous"/>
    </xf>
    <xf numFmtId="0" fontId="211" fillId="0" borderId="0" xfId="58" applyFont="1" applyAlignment="1">
      <alignment horizontal="center"/>
    </xf>
    <xf numFmtId="49" fontId="8" fillId="0" borderId="118" xfId="58" applyNumberFormat="1" applyFont="1" applyBorder="1"/>
    <xf numFmtId="0" fontId="299" fillId="0" borderId="0" xfId="58" applyFont="1"/>
    <xf numFmtId="43" fontId="8" fillId="0" borderId="103" xfId="61" applyFont="1" applyBorder="1"/>
    <xf numFmtId="43" fontId="8" fillId="0" borderId="0" xfId="61" applyFont="1" applyBorder="1"/>
    <xf numFmtId="43" fontId="8" fillId="0" borderId="0" xfId="61" applyFont="1"/>
    <xf numFmtId="9" fontId="8" fillId="0" borderId="0" xfId="61" applyNumberFormat="1" applyFont="1"/>
    <xf numFmtId="43" fontId="8" fillId="0" borderId="0" xfId="58" applyNumberFormat="1" applyFont="1"/>
    <xf numFmtId="43" fontId="8" fillId="0" borderId="103" xfId="61" applyFont="1" applyBorder="1" applyAlignment="1">
      <alignment horizontal="center"/>
    </xf>
    <xf numFmtId="43" fontId="8" fillId="0" borderId="0" xfId="61" applyFont="1" applyAlignment="1">
      <alignment horizontal="center"/>
    </xf>
    <xf numFmtId="43" fontId="8" fillId="0" borderId="0" xfId="61" applyFont="1" applyBorder="1" applyAlignment="1">
      <alignment horizontal="center"/>
    </xf>
    <xf numFmtId="0" fontId="8" fillId="0" borderId="6" xfId="58" applyFont="1" applyBorder="1"/>
    <xf numFmtId="0" fontId="8" fillId="0" borderId="0" xfId="24" applyFont="1"/>
    <xf numFmtId="0" fontId="8" fillId="0" borderId="0" xfId="24" applyFont="1" applyAlignment="1">
      <alignment horizontal="left"/>
    </xf>
    <xf numFmtId="0" fontId="8" fillId="0" borderId="0" xfId="24" applyFont="1" applyAlignment="1">
      <alignment horizontal="center"/>
    </xf>
    <xf numFmtId="0" fontId="211" fillId="0" borderId="0" xfId="24" applyFont="1" applyAlignment="1"/>
    <xf numFmtId="0" fontId="211" fillId="0" borderId="0" xfId="24" applyFont="1" applyAlignment="1">
      <alignment horizontal="center"/>
    </xf>
    <xf numFmtId="0" fontId="211" fillId="0" borderId="0" xfId="24" applyFont="1"/>
    <xf numFmtId="0" fontId="8" fillId="0" borderId="0" xfId="58" applyFont="1" applyAlignment="1"/>
    <xf numFmtId="0" fontId="350" fillId="0" borderId="0" xfId="0" applyFont="1" applyAlignment="1">
      <alignment horizontal="center" vertical="top"/>
    </xf>
    <xf numFmtId="43" fontId="56" fillId="0" borderId="678" xfId="1" applyFont="1" applyFill="1" applyBorder="1" applyAlignment="1">
      <alignment vertical="center"/>
    </xf>
    <xf numFmtId="0" fontId="278" fillId="0" borderId="0" xfId="46" applyNumberFormat="1" applyFont="1" applyFill="1" applyAlignment="1">
      <alignment horizontal="center"/>
    </xf>
    <xf numFmtId="0" fontId="278" fillId="0" borderId="0" xfId="58" applyNumberFormat="1" applyFont="1" applyFill="1" applyAlignment="1" applyProtection="1">
      <alignment horizontal="center" vertical="center"/>
      <protection locked="0"/>
    </xf>
    <xf numFmtId="0" fontId="220" fillId="0" borderId="643" xfId="2" applyFont="1" applyFill="1" applyBorder="1" applyAlignment="1" applyProtection="1">
      <alignment horizontal="center" vertical="top"/>
      <protection locked="0"/>
    </xf>
    <xf numFmtId="10" fontId="220" fillId="0" borderId="676" xfId="88" applyNumberFormat="1" applyFont="1" applyFill="1" applyBorder="1" applyAlignment="1">
      <alignment horizontal="center" vertical="center"/>
    </xf>
    <xf numFmtId="43" fontId="220" fillId="0" borderId="676" xfId="2" applyNumberFormat="1" applyFont="1" applyFill="1" applyBorder="1" applyAlignment="1" applyProtection="1">
      <alignment horizontal="center" vertical="top"/>
      <protection locked="0"/>
    </xf>
    <xf numFmtId="10" fontId="220" fillId="0" borderId="676" xfId="88" applyNumberFormat="1" applyFont="1" applyFill="1" applyBorder="1" applyAlignment="1" applyProtection="1">
      <alignment horizontal="center" vertical="top"/>
      <protection locked="0"/>
    </xf>
    <xf numFmtId="0" fontId="220" fillId="0" borderId="670" xfId="2" applyFont="1" applyFill="1" applyBorder="1" applyAlignment="1" applyProtection="1">
      <alignment horizontal="center" vertical="top"/>
      <protection locked="0"/>
    </xf>
    <xf numFmtId="0" fontId="220" fillId="0" borderId="672" xfId="2" applyFont="1" applyFill="1" applyBorder="1" applyAlignment="1" applyProtection="1">
      <alignment horizontal="center" vertical="top"/>
      <protection locked="0"/>
    </xf>
    <xf numFmtId="43" fontId="220" fillId="0" borderId="673" xfId="2" applyNumberFormat="1" applyFont="1" applyFill="1" applyBorder="1" applyAlignment="1">
      <alignment horizontal="center" vertical="center"/>
    </xf>
    <xf numFmtId="10" fontId="220" fillId="0" borderId="673" xfId="88" applyNumberFormat="1" applyFont="1" applyFill="1" applyBorder="1" applyAlignment="1">
      <alignment horizontal="center" vertical="center"/>
    </xf>
    <xf numFmtId="43" fontId="220" fillId="0" borderId="673" xfId="2" applyNumberFormat="1" applyFont="1" applyFill="1" applyBorder="1" applyAlignment="1" applyProtection="1">
      <alignment horizontal="center" vertical="top"/>
      <protection locked="0"/>
    </xf>
    <xf numFmtId="0" fontId="220" fillId="0" borderId="676" xfId="2" applyNumberFormat="1" applyFont="1" applyFill="1" applyBorder="1" applyAlignment="1">
      <alignment horizontal="center" vertical="center"/>
    </xf>
    <xf numFmtId="0" fontId="220" fillId="0" borderId="246" xfId="2" applyFont="1" applyFill="1" applyBorder="1" applyAlignment="1" applyProtection="1">
      <alignment horizontal="center" vertical="top"/>
      <protection locked="0"/>
    </xf>
    <xf numFmtId="0" fontId="220" fillId="0" borderId="608" xfId="2" applyNumberFormat="1" applyFont="1" applyFill="1" applyBorder="1" applyAlignment="1" applyProtection="1">
      <alignment horizontal="center" vertical="center"/>
      <protection locked="0"/>
    </xf>
    <xf numFmtId="10" fontId="220" fillId="0" borderId="608" xfId="88" applyNumberFormat="1" applyFont="1" applyFill="1" applyBorder="1" applyAlignment="1" applyProtection="1">
      <alignment horizontal="center" vertical="center"/>
      <protection locked="0"/>
    </xf>
    <xf numFmtId="0" fontId="220" fillId="0" borderId="608" xfId="2" applyNumberFormat="1" applyFont="1" applyFill="1" applyBorder="1" applyAlignment="1" applyProtection="1">
      <alignment horizontal="center" vertical="top"/>
      <protection locked="0"/>
    </xf>
    <xf numFmtId="10" fontId="220" fillId="0" borderId="673" xfId="88" applyNumberFormat="1" applyFont="1" applyFill="1" applyBorder="1" applyAlignment="1" applyProtection="1">
      <alignment horizontal="center" vertical="top"/>
      <protection locked="0"/>
    </xf>
    <xf numFmtId="0" fontId="220" fillId="0" borderId="608" xfId="88" applyNumberFormat="1" applyFont="1" applyFill="1" applyBorder="1" applyAlignment="1" applyProtection="1">
      <alignment horizontal="center" vertical="top"/>
      <protection locked="0"/>
    </xf>
    <xf numFmtId="0" fontId="220" fillId="0" borderId="676" xfId="2" applyFont="1" applyFill="1" applyBorder="1" applyAlignment="1" applyProtection="1">
      <alignment horizontal="center" vertical="center"/>
      <protection locked="0"/>
    </xf>
    <xf numFmtId="43" fontId="220" fillId="0" borderId="0" xfId="2" applyNumberFormat="1" applyFont="1" applyFill="1" applyBorder="1" applyAlignment="1" applyProtection="1">
      <alignment vertical="center"/>
      <protection locked="0"/>
    </xf>
    <xf numFmtId="10" fontId="220" fillId="0" borderId="0" xfId="88" applyNumberFormat="1" applyFont="1" applyFill="1" applyBorder="1" applyAlignment="1" applyProtection="1">
      <alignment vertical="center"/>
      <protection locked="0"/>
    </xf>
    <xf numFmtId="43" fontId="220" fillId="0" borderId="636" xfId="1" applyNumberFormat="1" applyFont="1" applyFill="1" applyBorder="1" applyAlignment="1" applyProtection="1">
      <alignment vertical="center"/>
      <protection locked="0"/>
    </xf>
    <xf numFmtId="10" fontId="220" fillId="0" borderId="636" xfId="88" applyNumberFormat="1" applyFont="1" applyFill="1" applyBorder="1" applyAlignment="1" applyProtection="1">
      <alignment vertical="center"/>
      <protection locked="0"/>
    </xf>
    <xf numFmtId="0" fontId="220" fillId="0" borderId="569" xfId="2" applyFont="1" applyFill="1" applyBorder="1" applyAlignment="1" applyProtection="1">
      <alignment horizontal="center" vertical="center"/>
      <protection locked="0"/>
    </xf>
    <xf numFmtId="43" fontId="220" fillId="0" borderId="569" xfId="2" applyNumberFormat="1" applyFont="1" applyFill="1" applyBorder="1" applyAlignment="1" applyProtection="1">
      <alignment vertical="center"/>
      <protection locked="0"/>
    </xf>
    <xf numFmtId="10" fontId="220" fillId="0" borderId="569" xfId="88" applyNumberFormat="1" applyFont="1" applyFill="1" applyBorder="1" applyAlignment="1" applyProtection="1">
      <alignment vertical="center"/>
      <protection locked="0"/>
    </xf>
    <xf numFmtId="43" fontId="220" fillId="0" borderId="608" xfId="2" applyNumberFormat="1" applyFont="1" applyFill="1" applyBorder="1" applyAlignment="1" applyProtection="1">
      <alignment horizontal="center" vertical="top"/>
      <protection locked="0"/>
    </xf>
    <xf numFmtId="10" fontId="220" fillId="0" borderId="608" xfId="88" applyNumberFormat="1" applyFont="1" applyFill="1" applyBorder="1" applyAlignment="1" applyProtection="1">
      <alignment horizontal="center" vertical="top"/>
      <protection locked="0"/>
    </xf>
    <xf numFmtId="43" fontId="110" fillId="0" borderId="549" xfId="1" applyFont="1" applyFill="1" applyBorder="1" applyAlignment="1">
      <alignment horizontal="right" vertical="center"/>
    </xf>
    <xf numFmtId="43" fontId="284" fillId="0" borderId="643" xfId="74" applyNumberFormat="1" applyFont="1" applyFill="1" applyBorder="1" applyAlignment="1">
      <alignment horizontal="center" vertical="top" wrapText="1"/>
    </xf>
    <xf numFmtId="0" fontId="223" fillId="0" borderId="633" xfId="74" applyNumberFormat="1" applyFont="1" applyFill="1" applyBorder="1" applyAlignment="1">
      <alignment horizontal="center"/>
    </xf>
    <xf numFmtId="43" fontId="223" fillId="0" borderId="643" xfId="1" applyFont="1" applyFill="1" applyBorder="1" applyAlignment="1" applyProtection="1"/>
    <xf numFmtId="43" fontId="223" fillId="0" borderId="643" xfId="74" applyNumberFormat="1" applyFont="1" applyFill="1" applyBorder="1"/>
    <xf numFmtId="43" fontId="222" fillId="0" borderId="643" xfId="74" applyNumberFormat="1" applyFont="1" applyFill="1" applyBorder="1" applyProtection="1"/>
    <xf numFmtId="43" fontId="223" fillId="0" borderId="643" xfId="5" applyNumberFormat="1" applyFont="1" applyFill="1" applyBorder="1"/>
    <xf numFmtId="43" fontId="284" fillId="0" borderId="643" xfId="93" applyNumberFormat="1" applyFont="1" applyFill="1" applyBorder="1" applyAlignment="1">
      <alignment horizontal="center" vertical="top" wrapText="1"/>
    </xf>
    <xf numFmtId="0" fontId="223" fillId="0" borderId="630" xfId="74" applyNumberFormat="1" applyFont="1" applyFill="1" applyBorder="1" applyAlignment="1">
      <alignment horizontal="center"/>
    </xf>
    <xf numFmtId="43" fontId="262" fillId="0" borderId="643" xfId="1" applyFont="1" applyFill="1" applyBorder="1" applyAlignment="1">
      <alignment horizontal="right" vertical="center"/>
    </xf>
    <xf numFmtId="43" fontId="223" fillId="0" borderId="643" xfId="93" applyNumberFormat="1" applyFont="1" applyFill="1" applyBorder="1" applyAlignment="1">
      <alignment horizontal="center"/>
    </xf>
    <xf numFmtId="43" fontId="109" fillId="0" borderId="643" xfId="74" applyNumberFormat="1" applyFont="1" applyFill="1" applyBorder="1"/>
    <xf numFmtId="43" fontId="222" fillId="0" borderId="644" xfId="74" applyNumberFormat="1" applyFont="1" applyFill="1" applyBorder="1"/>
    <xf numFmtId="43" fontId="283" fillId="0" borderId="549" xfId="1" applyFont="1" applyFill="1" applyBorder="1" applyAlignment="1">
      <alignment horizontal="right" vertical="center"/>
    </xf>
    <xf numFmtId="43" fontId="110" fillId="0" borderId="643" xfId="93" applyNumberFormat="1" applyFont="1" applyFill="1" applyBorder="1"/>
    <xf numFmtId="43" fontId="110" fillId="0" borderId="643" xfId="74" applyNumberFormat="1" applyFont="1" applyFill="1" applyBorder="1"/>
    <xf numFmtId="43" fontId="110" fillId="0" borderId="643" xfId="93" applyNumberFormat="1" applyFont="1" applyFill="1" applyBorder="1" applyProtection="1"/>
    <xf numFmtId="43" fontId="223" fillId="0" borderId="643" xfId="74" applyNumberFormat="1" applyFont="1" applyFill="1" applyBorder="1" applyProtection="1"/>
    <xf numFmtId="43" fontId="22" fillId="0" borderId="672" xfId="74" applyNumberFormat="1" applyFont="1" applyBorder="1" applyAlignment="1">
      <alignment horizontal="center"/>
    </xf>
    <xf numFmtId="43" fontId="22" fillId="0" borderId="674" xfId="93" applyNumberFormat="1" applyFont="1" applyBorder="1" applyProtection="1"/>
    <xf numFmtId="43" fontId="22" fillId="0" borderId="643" xfId="93" applyNumberFormat="1" applyFont="1" applyBorder="1"/>
    <xf numFmtId="43" fontId="22" fillId="0" borderId="643" xfId="74" applyNumberFormat="1" applyFont="1" applyBorder="1"/>
    <xf numFmtId="43" fontId="22" fillId="0" borderId="674" xfId="74" applyNumberFormat="1" applyFont="1" applyBorder="1" applyProtection="1"/>
    <xf numFmtId="43" fontId="22" fillId="0" borderId="674" xfId="93" applyNumberFormat="1" applyFont="1" applyBorder="1"/>
    <xf numFmtId="43" fontId="109" fillId="0" borderId="16" xfId="74" applyNumberFormat="1" applyFont="1" applyFill="1" applyBorder="1" applyAlignment="1">
      <alignment horizontal="left"/>
    </xf>
    <xf numFmtId="43" fontId="33" fillId="0" borderId="16" xfId="74" applyNumberFormat="1" applyFont="1" applyBorder="1" applyAlignment="1">
      <alignment horizontal="left"/>
    </xf>
    <xf numFmtId="43" fontId="110" fillId="0" borderId="672" xfId="74" applyNumberFormat="1" applyFont="1" applyFill="1" applyBorder="1" applyAlignment="1">
      <alignment horizontal="center"/>
    </xf>
    <xf numFmtId="43" fontId="109" fillId="0" borderId="553" xfId="74" applyNumberFormat="1" applyFont="1" applyFill="1" applyBorder="1" applyProtection="1"/>
    <xf numFmtId="43" fontId="117" fillId="0" borderId="0" xfId="74" applyNumberFormat="1" applyFont="1" applyFill="1"/>
    <xf numFmtId="43" fontId="304" fillId="0" borderId="0" xfId="1" applyFont="1" applyFill="1" applyAlignment="1" applyProtection="1">
      <alignment vertical="top"/>
      <protection locked="0"/>
    </xf>
    <xf numFmtId="43" fontId="304" fillId="0" borderId="673" xfId="1" applyFont="1" applyFill="1" applyBorder="1" applyAlignment="1" applyProtection="1">
      <alignment horizontal="center" vertical="top"/>
      <protection locked="0"/>
    </xf>
    <xf numFmtId="43" fontId="304" fillId="0" borderId="676" xfId="1" applyFont="1" applyFill="1" applyBorder="1" applyAlignment="1" applyProtection="1">
      <alignment horizontal="center" vertical="top"/>
      <protection locked="0"/>
    </xf>
    <xf numFmtId="0" fontId="304" fillId="0" borderId="608" xfId="1" applyNumberFormat="1" applyFont="1" applyFill="1" applyBorder="1" applyAlignment="1" applyProtection="1">
      <alignment horizontal="center" vertical="top"/>
      <protection locked="0"/>
    </xf>
    <xf numFmtId="43" fontId="304" fillId="0" borderId="486" xfId="1" applyFont="1" applyFill="1" applyBorder="1" applyAlignment="1" applyProtection="1">
      <alignment vertical="top"/>
      <protection locked="0"/>
    </xf>
    <xf numFmtId="43" fontId="304" fillId="0" borderId="486" xfId="1" applyFont="1" applyFill="1" applyBorder="1" applyAlignment="1" applyProtection="1">
      <alignment vertical="center"/>
      <protection locked="0"/>
    </xf>
    <xf numFmtId="43" fontId="304" fillId="0" borderId="556" xfId="1" applyFont="1" applyFill="1" applyBorder="1" applyAlignment="1" applyProtection="1">
      <alignment vertical="top"/>
      <protection locked="0"/>
    </xf>
    <xf numFmtId="43" fontId="304" fillId="0" borderId="553" xfId="2" applyNumberFormat="1" applyFont="1" applyFill="1" applyBorder="1" applyAlignment="1" applyProtection="1">
      <alignment vertical="center"/>
      <protection locked="0"/>
    </xf>
    <xf numFmtId="43" fontId="304" fillId="0" borderId="553" xfId="1" applyFont="1" applyFill="1" applyBorder="1" applyAlignment="1" applyProtection="1">
      <alignment vertical="top"/>
      <protection locked="0"/>
    </xf>
    <xf numFmtId="43" fontId="304" fillId="0" borderId="215" xfId="1" applyFont="1" applyFill="1" applyBorder="1" applyAlignment="1" applyProtection="1">
      <alignment vertical="top"/>
      <protection locked="0"/>
    </xf>
    <xf numFmtId="43" fontId="304" fillId="0" borderId="0" xfId="1" applyFont="1" applyFill="1" applyBorder="1" applyAlignment="1" applyProtection="1">
      <alignment vertical="top"/>
      <protection locked="0"/>
    </xf>
    <xf numFmtId="43" fontId="304" fillId="0" borderId="636" xfId="1" applyNumberFormat="1" applyFont="1" applyFill="1" applyBorder="1" applyAlignment="1" applyProtection="1">
      <alignment vertical="center"/>
      <protection locked="0"/>
    </xf>
    <xf numFmtId="43" fontId="304" fillId="0" borderId="569" xfId="1" applyFont="1" applyFill="1" applyBorder="1" applyAlignment="1" applyProtection="1">
      <alignment vertical="center"/>
      <protection locked="0"/>
    </xf>
    <xf numFmtId="43" fontId="304" fillId="0" borderId="0" xfId="1" applyFont="1" applyFill="1" applyBorder="1" applyAlignment="1" applyProtection="1">
      <alignment vertical="center"/>
      <protection locked="0"/>
    </xf>
    <xf numFmtId="43" fontId="304" fillId="0" borderId="433" xfId="1" applyFont="1" applyFill="1" applyBorder="1" applyAlignment="1" applyProtection="1">
      <alignment vertical="top"/>
      <protection locked="0"/>
    </xf>
    <xf numFmtId="43" fontId="304" fillId="0" borderId="24" xfId="1" applyNumberFormat="1" applyFont="1" applyFill="1" applyBorder="1" applyAlignment="1" applyProtection="1">
      <alignment vertical="center"/>
      <protection locked="0"/>
    </xf>
    <xf numFmtId="43" fontId="304" fillId="0" borderId="570" xfId="1" applyFont="1" applyFill="1" applyBorder="1" applyAlignment="1" applyProtection="1">
      <alignment vertical="top"/>
      <protection locked="0"/>
    </xf>
    <xf numFmtId="43" fontId="304" fillId="0" borderId="486" xfId="2" applyNumberFormat="1" applyFont="1" applyFill="1" applyBorder="1" applyAlignment="1" applyProtection="1">
      <alignment vertical="center"/>
      <protection locked="0"/>
    </xf>
    <xf numFmtId="43" fontId="304" fillId="0" borderId="397" xfId="1" applyFont="1" applyFill="1" applyBorder="1" applyAlignment="1" applyProtection="1">
      <alignment vertical="top"/>
      <protection locked="0"/>
    </xf>
    <xf numFmtId="43" fontId="304" fillId="0" borderId="446" xfId="2" applyNumberFormat="1" applyFont="1" applyFill="1" applyBorder="1" applyAlignment="1">
      <alignment vertical="center"/>
    </xf>
    <xf numFmtId="0" fontId="304" fillId="0" borderId="0" xfId="46" applyFont="1" applyFill="1" applyAlignment="1" applyProtection="1">
      <alignment horizontal="center" vertical="center"/>
      <protection locked="0"/>
    </xf>
    <xf numFmtId="3" fontId="221" fillId="0" borderId="681" xfId="32" applyFont="1" applyFill="1" applyBorder="1" applyAlignment="1" applyProtection="1">
      <alignment horizontal="left"/>
      <protection hidden="1"/>
    </xf>
    <xf numFmtId="3" fontId="286" fillId="0" borderId="360" xfId="32" applyFont="1" applyFill="1" applyBorder="1" applyAlignment="1" applyProtection="1">
      <alignment horizontal="left"/>
      <protection hidden="1"/>
    </xf>
    <xf numFmtId="39" fontId="221" fillId="0" borderId="681" xfId="32" applyNumberFormat="1" applyFont="1" applyFill="1" applyBorder="1" applyAlignment="1" applyProtection="1">
      <alignment horizontal="left"/>
      <protection hidden="1"/>
    </xf>
    <xf numFmtId="3" fontId="355" fillId="0" borderId="0" xfId="23" applyFont="1" applyFill="1" applyBorder="1" applyAlignment="1" applyProtection="1">
      <alignment horizontal="center" vertical="center"/>
      <protection hidden="1"/>
    </xf>
    <xf numFmtId="3" fontId="283" fillId="0" borderId="0" xfId="23" applyFont="1" applyFill="1" applyBorder="1" applyAlignment="1" applyProtection="1">
      <alignment horizontal="center" vertical="center"/>
      <protection locked="0"/>
    </xf>
    <xf numFmtId="39" fontId="355" fillId="0" borderId="4" xfId="23" applyNumberFormat="1" applyFont="1" applyFill="1" applyBorder="1" applyAlignment="1" applyProtection="1">
      <alignment vertical="center"/>
      <protection locked="0"/>
    </xf>
    <xf numFmtId="3" fontId="283" fillId="0" borderId="56" xfId="23" applyFont="1" applyFill="1" applyBorder="1" applyAlignment="1" applyProtection="1">
      <alignment vertical="center"/>
      <protection locked="0"/>
    </xf>
    <xf numFmtId="39" fontId="283" fillId="0" borderId="4" xfId="23" applyNumberFormat="1" applyFont="1" applyFill="1" applyBorder="1" applyAlignment="1" applyProtection="1">
      <alignment vertical="center"/>
      <protection locked="0"/>
    </xf>
    <xf numFmtId="39" fontId="283" fillId="0" borderId="493" xfId="23" applyNumberFormat="1" applyFont="1" applyFill="1" applyBorder="1" applyAlignment="1" applyProtection="1">
      <alignment vertical="center"/>
      <protection locked="0"/>
    </xf>
    <xf numFmtId="39" fontId="355" fillId="0" borderId="489" xfId="23" applyNumberFormat="1" applyFont="1" applyFill="1" applyBorder="1" applyAlignment="1" applyProtection="1">
      <alignment vertical="center"/>
      <protection locked="0"/>
    </xf>
    <xf numFmtId="39" fontId="283" fillId="0" borderId="419" xfId="23" applyNumberFormat="1" applyFont="1" applyFill="1" applyBorder="1" applyAlignment="1" applyProtection="1">
      <alignment vertical="center"/>
      <protection locked="0"/>
    </xf>
    <xf numFmtId="39" fontId="283" fillId="0" borderId="196" xfId="23" applyNumberFormat="1" applyFont="1" applyFill="1" applyBorder="1" applyAlignment="1" applyProtection="1">
      <alignment vertical="center"/>
      <protection locked="0"/>
    </xf>
    <xf numFmtId="39" fontId="355" fillId="0" borderId="500" xfId="23" applyNumberFormat="1" applyFont="1" applyFill="1" applyBorder="1" applyAlignment="1" applyProtection="1">
      <alignment vertical="center"/>
      <protection locked="0"/>
    </xf>
    <xf numFmtId="39" fontId="355" fillId="0" borderId="523" xfId="23" applyNumberFormat="1" applyFont="1" applyFill="1" applyBorder="1" applyAlignment="1" applyProtection="1">
      <alignment vertical="center"/>
      <protection locked="0"/>
    </xf>
    <xf numFmtId="3" fontId="355" fillId="0" borderId="4" xfId="23" applyFont="1" applyFill="1" applyBorder="1" applyAlignment="1" applyProtection="1">
      <alignment vertical="center"/>
      <protection locked="0"/>
    </xf>
    <xf numFmtId="39" fontId="283" fillId="0" borderId="91" xfId="23" applyNumberFormat="1" applyFont="1" applyFill="1" applyBorder="1" applyAlignment="1" applyProtection="1">
      <alignment vertical="center"/>
      <protection locked="0"/>
    </xf>
    <xf numFmtId="39" fontId="283" fillId="0" borderId="4" xfId="23" applyNumberFormat="1" applyFont="1" applyFill="1" applyBorder="1" applyAlignment="1" applyProtection="1">
      <alignment vertical="center"/>
      <protection hidden="1"/>
    </xf>
    <xf numFmtId="39" fontId="283" fillId="0" borderId="199" xfId="23" applyNumberFormat="1" applyFont="1" applyFill="1" applyBorder="1" applyAlignment="1" applyProtection="1">
      <alignment vertical="center"/>
      <protection hidden="1"/>
    </xf>
    <xf numFmtId="43" fontId="283" fillId="0" borderId="493" xfId="1" applyFont="1" applyFill="1" applyBorder="1" applyAlignment="1" applyProtection="1">
      <alignment vertical="center"/>
      <protection locked="0"/>
    </xf>
    <xf numFmtId="43" fontId="283" fillId="0" borderId="640" xfId="1" applyFont="1" applyFill="1" applyBorder="1" applyAlignment="1" applyProtection="1">
      <alignment vertical="center"/>
      <protection locked="0"/>
    </xf>
    <xf numFmtId="39" fontId="355" fillId="0" borderId="0" xfId="23" applyNumberFormat="1" applyFont="1" applyFill="1" applyBorder="1" applyAlignment="1" applyProtection="1">
      <alignment vertical="center"/>
      <protection locked="0"/>
    </xf>
    <xf numFmtId="39" fontId="283" fillId="0" borderId="199" xfId="23" applyNumberFormat="1" applyFont="1" applyFill="1" applyBorder="1" applyAlignment="1" applyProtection="1">
      <alignment vertical="center"/>
      <protection locked="0"/>
    </xf>
    <xf numFmtId="39" fontId="355" fillId="0" borderId="199" xfId="23" applyNumberFormat="1" applyFont="1" applyFill="1" applyBorder="1" applyAlignment="1" applyProtection="1">
      <alignment vertical="center"/>
      <protection locked="0"/>
    </xf>
    <xf numFmtId="39" fontId="355" fillId="0" borderId="195" xfId="23" applyNumberFormat="1" applyFont="1" applyFill="1" applyBorder="1" applyAlignment="1" applyProtection="1">
      <alignment vertical="center"/>
      <protection locked="0"/>
    </xf>
    <xf numFmtId="39" fontId="355" fillId="0" borderId="276" xfId="23" applyNumberFormat="1" applyFont="1" applyFill="1" applyBorder="1" applyAlignment="1" applyProtection="1">
      <alignment vertical="center"/>
      <protection locked="0"/>
    </xf>
    <xf numFmtId="39" fontId="283" fillId="0" borderId="493" xfId="68" applyNumberFormat="1" applyFont="1" applyFill="1" applyBorder="1" applyAlignment="1" applyProtection="1">
      <alignment vertical="center"/>
      <protection hidden="1"/>
    </xf>
    <xf numFmtId="39" fontId="283" fillId="0" borderId="0" xfId="23" applyNumberFormat="1" applyFont="1" applyFill="1" applyBorder="1" applyAlignment="1" applyProtection="1">
      <alignment vertical="center"/>
      <protection locked="0"/>
    </xf>
    <xf numFmtId="39" fontId="355" fillId="0" borderId="513" xfId="23" applyNumberFormat="1" applyFont="1" applyFill="1" applyBorder="1" applyAlignment="1" applyProtection="1">
      <alignment vertical="center"/>
      <protection locked="0"/>
    </xf>
    <xf numFmtId="39" fontId="355" fillId="0" borderId="512" xfId="23" applyNumberFormat="1" applyFont="1" applyFill="1" applyBorder="1" applyAlignment="1" applyProtection="1">
      <alignment vertical="center"/>
      <protection locked="0"/>
    </xf>
    <xf numFmtId="39" fontId="283" fillId="0" borderId="516" xfId="23" applyNumberFormat="1" applyFont="1" applyFill="1" applyBorder="1" applyAlignment="1" applyProtection="1">
      <alignment vertical="center"/>
      <protection locked="0"/>
    </xf>
    <xf numFmtId="39" fontId="355" fillId="0" borderId="240" xfId="23" applyNumberFormat="1" applyFont="1" applyFill="1" applyBorder="1" applyAlignment="1" applyProtection="1">
      <alignment vertical="center"/>
      <protection locked="0"/>
    </xf>
    <xf numFmtId="39" fontId="355" fillId="0" borderId="42" xfId="23" applyNumberFormat="1" applyFont="1" applyFill="1" applyBorder="1" applyAlignment="1" applyProtection="1">
      <alignment vertical="center"/>
      <protection hidden="1"/>
    </xf>
    <xf numFmtId="39" fontId="355" fillId="0" borderId="0" xfId="23" applyNumberFormat="1" applyFont="1" applyFill="1" applyBorder="1" applyAlignment="1" applyProtection="1">
      <alignment vertical="center"/>
      <protection hidden="1"/>
    </xf>
    <xf numFmtId="39" fontId="102" fillId="0" borderId="0" xfId="32" applyNumberFormat="1" applyFont="1" applyFill="1" applyBorder="1" applyAlignment="1" applyProtection="1">
      <alignment vertical="center"/>
      <protection hidden="1"/>
    </xf>
    <xf numFmtId="39" fontId="102" fillId="0" borderId="418" xfId="32" applyNumberFormat="1" applyFont="1" applyFill="1" applyBorder="1" applyAlignment="1" applyProtection="1">
      <alignment vertical="center"/>
      <protection hidden="1"/>
    </xf>
    <xf numFmtId="3" fontId="355" fillId="0" borderId="1" xfId="23" applyFont="1" applyFill="1" applyBorder="1" applyAlignment="1" applyProtection="1">
      <alignment vertical="center"/>
      <protection hidden="1"/>
    </xf>
    <xf numFmtId="39" fontId="355" fillId="0" borderId="48" xfId="23" applyNumberFormat="1" applyFont="1" applyFill="1" applyBorder="1" applyAlignment="1" applyProtection="1">
      <alignment vertical="center"/>
      <protection hidden="1"/>
    </xf>
    <xf numFmtId="39" fontId="283" fillId="0" borderId="0" xfId="23" applyNumberFormat="1" applyFont="1" applyFill="1" applyAlignment="1" applyProtection="1">
      <alignment vertical="center"/>
      <protection locked="0"/>
    </xf>
    <xf numFmtId="3" fontId="282" fillId="0" borderId="0" xfId="32" applyFont="1" applyFill="1" applyAlignment="1">
      <alignment vertical="center"/>
    </xf>
    <xf numFmtId="3" fontId="304" fillId="0" borderId="0" xfId="23" applyFont="1" applyFill="1" applyAlignment="1"/>
    <xf numFmtId="3" fontId="282" fillId="0" borderId="0" xfId="23" applyFont="1" applyFill="1" applyAlignment="1"/>
    <xf numFmtId="3" fontId="283" fillId="0" borderId="0" xfId="23" applyFont="1" applyFill="1" applyAlignment="1">
      <alignment vertical="center"/>
    </xf>
    <xf numFmtId="3" fontId="355" fillId="0" borderId="0" xfId="23" applyFont="1" applyFill="1" applyAlignment="1">
      <alignment vertical="center"/>
    </xf>
    <xf numFmtId="3" fontId="356" fillId="0" borderId="0" xfId="23" applyFont="1" applyFill="1" applyBorder="1" applyAlignment="1" applyProtection="1">
      <alignment horizontal="center" vertical="center"/>
      <protection hidden="1"/>
    </xf>
    <xf numFmtId="49" fontId="357" fillId="0" borderId="0" xfId="23" applyNumberFormat="1" applyFont="1" applyFill="1" applyBorder="1" applyAlignment="1" applyProtection="1">
      <alignment horizontal="center" vertical="center"/>
      <protection locked="0" hidden="1"/>
    </xf>
    <xf numFmtId="39" fontId="356" fillId="0" borderId="0" xfId="23" applyNumberFormat="1" applyFont="1" applyFill="1" applyBorder="1" applyAlignment="1" applyProtection="1">
      <alignment vertical="center"/>
      <protection locked="0"/>
    </xf>
    <xf numFmtId="3" fontId="357" fillId="0" borderId="216" xfId="23" applyFont="1" applyFill="1" applyBorder="1" applyAlignment="1" applyProtection="1">
      <alignment vertical="center"/>
      <protection locked="0"/>
    </xf>
    <xf numFmtId="39" fontId="357" fillId="0" borderId="623" xfId="23" applyNumberFormat="1" applyFont="1" applyFill="1" applyBorder="1" applyAlignment="1" applyProtection="1">
      <alignment vertical="center"/>
      <protection locked="0"/>
    </xf>
    <xf numFmtId="39" fontId="357" fillId="0" borderId="492" xfId="23" applyNumberFormat="1" applyFont="1" applyFill="1" applyBorder="1" applyAlignment="1" applyProtection="1">
      <alignment vertical="center"/>
      <protection locked="0"/>
    </xf>
    <xf numFmtId="39" fontId="356" fillId="0" borderId="594" xfId="23" applyNumberFormat="1" applyFont="1" applyFill="1" applyBorder="1" applyAlignment="1" applyProtection="1">
      <alignment vertical="center"/>
      <protection locked="0"/>
    </xf>
    <xf numFmtId="39" fontId="356" fillId="0" borderId="492" xfId="23" applyNumberFormat="1" applyFont="1" applyFill="1" applyBorder="1" applyAlignment="1" applyProtection="1">
      <alignment vertical="center"/>
      <protection locked="0"/>
    </xf>
    <xf numFmtId="39" fontId="357" fillId="0" borderId="0" xfId="23" applyNumberFormat="1" applyFont="1" applyFill="1" applyBorder="1" applyAlignment="1" applyProtection="1">
      <alignment vertical="center"/>
      <protection locked="0"/>
    </xf>
    <xf numFmtId="39" fontId="356" fillId="0" borderId="500" xfId="23" applyNumberFormat="1" applyFont="1" applyFill="1" applyBorder="1" applyAlignment="1" applyProtection="1">
      <alignment vertical="center"/>
      <protection locked="0"/>
    </xf>
    <xf numFmtId="39" fontId="356" fillId="0" borderId="523" xfId="23" applyNumberFormat="1" applyFont="1" applyFill="1" applyBorder="1" applyAlignment="1" applyProtection="1">
      <alignment vertical="center"/>
      <protection locked="0"/>
    </xf>
    <xf numFmtId="3" fontId="356" fillId="0" borderId="0" xfId="23" applyFont="1" applyFill="1" applyBorder="1" applyAlignment="1" applyProtection="1">
      <alignment vertical="center"/>
      <protection locked="0"/>
    </xf>
    <xf numFmtId="39" fontId="357" fillId="0" borderId="0" xfId="23" applyNumberFormat="1" applyFont="1" applyFill="1" applyBorder="1" applyAlignment="1" applyProtection="1">
      <alignment vertical="center"/>
      <protection hidden="1"/>
    </xf>
    <xf numFmtId="39" fontId="356" fillId="0" borderId="489" xfId="23" applyNumberFormat="1" applyFont="1" applyFill="1" applyBorder="1" applyAlignment="1" applyProtection="1">
      <alignment vertical="center"/>
      <protection locked="0"/>
    </xf>
    <xf numFmtId="39" fontId="356" fillId="0" borderId="491" xfId="23" applyNumberFormat="1" applyFont="1" applyFill="1" applyBorder="1" applyAlignment="1" applyProtection="1">
      <alignment vertical="center"/>
      <protection locked="0"/>
    </xf>
    <xf numFmtId="39" fontId="356" fillId="0" borderId="595" xfId="23" applyNumberFormat="1" applyFont="1" applyFill="1" applyBorder="1" applyAlignment="1" applyProtection="1">
      <alignment vertical="center"/>
      <protection locked="0"/>
    </xf>
    <xf numFmtId="39" fontId="356" fillId="0" borderId="276" xfId="23" applyNumberFormat="1" applyFont="1" applyFill="1" applyBorder="1" applyAlignment="1" applyProtection="1">
      <alignment vertical="center"/>
      <protection locked="0"/>
    </xf>
    <xf numFmtId="39" fontId="356" fillId="0" borderId="195" xfId="23" applyNumberFormat="1" applyFont="1" applyFill="1" applyBorder="1" applyAlignment="1" applyProtection="1">
      <alignment vertical="center"/>
      <protection locked="0"/>
    </xf>
    <xf numFmtId="39" fontId="356" fillId="0" borderId="513" xfId="23" applyNumberFormat="1" applyFont="1" applyFill="1" applyBorder="1" applyAlignment="1" applyProtection="1">
      <alignment vertical="center"/>
      <protection locked="0"/>
    </xf>
    <xf numFmtId="39" fontId="357" fillId="0" borderId="517" xfId="23" applyNumberFormat="1" applyFont="1" applyFill="1" applyBorder="1" applyAlignment="1" applyProtection="1">
      <alignment vertical="center"/>
      <protection locked="0"/>
    </xf>
    <xf numFmtId="39" fontId="356" fillId="0" borderId="519" xfId="23" applyNumberFormat="1" applyFont="1" applyFill="1" applyBorder="1" applyAlignment="1" applyProtection="1">
      <alignment vertical="center"/>
      <protection locked="0"/>
    </xf>
    <xf numFmtId="39" fontId="356" fillId="0" borderId="449" xfId="23" applyNumberFormat="1" applyFont="1" applyFill="1" applyBorder="1" applyAlignment="1" applyProtection="1">
      <alignment vertical="center"/>
      <protection locked="0"/>
    </xf>
    <xf numFmtId="39" fontId="356" fillId="0" borderId="42" xfId="23" applyNumberFormat="1" applyFont="1" applyFill="1" applyBorder="1" applyAlignment="1" applyProtection="1">
      <alignment vertical="center"/>
      <protection hidden="1"/>
    </xf>
    <xf numFmtId="39" fontId="356" fillId="0" borderId="0" xfId="23" applyNumberFormat="1" applyFont="1" applyFill="1" applyBorder="1" applyAlignment="1" applyProtection="1">
      <alignment vertical="center"/>
      <protection hidden="1"/>
    </xf>
    <xf numFmtId="3" fontId="356" fillId="0" borderId="195" xfId="23" applyFont="1" applyFill="1" applyBorder="1" applyAlignment="1" applyProtection="1">
      <alignment vertical="center"/>
      <protection locked="0"/>
    </xf>
    <xf numFmtId="39" fontId="356" fillId="0" borderId="48" xfId="23" applyNumberFormat="1" applyFont="1" applyFill="1" applyBorder="1" applyAlignment="1" applyProtection="1">
      <alignment vertical="center"/>
      <protection hidden="1"/>
    </xf>
    <xf numFmtId="39" fontId="357" fillId="0" borderId="0" xfId="23" applyNumberFormat="1" applyFont="1" applyFill="1" applyAlignment="1" applyProtection="1">
      <alignment vertical="center"/>
      <protection locked="0"/>
    </xf>
    <xf numFmtId="39" fontId="356" fillId="0" borderId="0" xfId="23" applyNumberFormat="1" applyFont="1" applyFill="1" applyAlignment="1" applyProtection="1">
      <alignment horizontal="left" vertical="center"/>
      <protection locked="0"/>
    </xf>
    <xf numFmtId="3" fontId="354" fillId="0" borderId="0" xfId="23" applyFont="1" applyFill="1" applyAlignment="1" applyProtection="1">
      <alignment horizontal="center" vertical="center"/>
      <protection locked="0"/>
    </xf>
    <xf numFmtId="3" fontId="354" fillId="0" borderId="0" xfId="32" applyFont="1" applyFill="1" applyAlignment="1">
      <alignment vertical="center"/>
    </xf>
    <xf numFmtId="3" fontId="354" fillId="0" borderId="0" xfId="23" applyFont="1" applyFill="1" applyAlignment="1">
      <alignment vertical="center"/>
    </xf>
    <xf numFmtId="3" fontId="357" fillId="0" borderId="0" xfId="23" applyFont="1" applyFill="1" applyAlignment="1">
      <alignment vertical="center"/>
    </xf>
    <xf numFmtId="3" fontId="356" fillId="0" borderId="0" xfId="23" applyFont="1" applyFill="1" applyAlignment="1">
      <alignment vertical="center"/>
    </xf>
    <xf numFmtId="4" fontId="358" fillId="0" borderId="571" xfId="30" applyNumberFormat="1" applyFont="1" applyFill="1" applyBorder="1" applyAlignment="1" applyProtection="1">
      <alignment horizontal="center" vertical="center"/>
      <protection locked="0"/>
    </xf>
    <xf numFmtId="4" fontId="358" fillId="0" borderId="608" xfId="30" applyNumberFormat="1" applyFont="1" applyFill="1" applyBorder="1" applyAlignment="1" applyProtection="1">
      <alignment horizontal="center" vertical="center"/>
      <protection locked="0"/>
    </xf>
    <xf numFmtId="43" fontId="353" fillId="0" borderId="0" xfId="1" applyFont="1" applyFill="1" applyAlignment="1" applyProtection="1">
      <alignment vertical="top"/>
      <protection locked="0"/>
    </xf>
    <xf numFmtId="43" fontId="353" fillId="0" borderId="486" xfId="2" applyNumberFormat="1" applyFont="1" applyFill="1" applyBorder="1" applyAlignment="1" applyProtection="1">
      <alignment vertical="top"/>
      <protection locked="0"/>
    </xf>
    <xf numFmtId="43" fontId="353" fillId="0" borderId="486" xfId="2" applyNumberFormat="1" applyFont="1" applyFill="1" applyBorder="1" applyAlignment="1" applyProtection="1">
      <alignment vertical="center"/>
      <protection locked="0"/>
    </xf>
    <xf numFmtId="43" fontId="353" fillId="0" borderId="636" xfId="1" applyFont="1" applyFill="1" applyBorder="1" applyAlignment="1" applyProtection="1">
      <alignment vertical="top"/>
      <protection locked="0"/>
    </xf>
    <xf numFmtId="43" fontId="353" fillId="0" borderId="556" xfId="2" applyNumberFormat="1" applyFont="1" applyFill="1" applyBorder="1" applyAlignment="1" applyProtection="1">
      <alignment vertical="top"/>
      <protection locked="0"/>
    </xf>
    <xf numFmtId="43" fontId="353" fillId="0" borderId="553" xfId="2" applyNumberFormat="1" applyFont="1" applyFill="1" applyBorder="1" applyAlignment="1" applyProtection="1">
      <alignment vertical="center"/>
      <protection locked="0"/>
    </xf>
    <xf numFmtId="43" fontId="353" fillId="0" borderId="553" xfId="1" applyFont="1" applyFill="1" applyBorder="1" applyAlignment="1" applyProtection="1">
      <alignment vertical="top"/>
      <protection locked="0"/>
    </xf>
    <xf numFmtId="43" fontId="353" fillId="0" borderId="569" xfId="1" applyFont="1" applyFill="1" applyBorder="1" applyAlignment="1" applyProtection="1">
      <alignment vertical="top"/>
      <protection locked="0"/>
    </xf>
    <xf numFmtId="43" fontId="353" fillId="0" borderId="0" xfId="1" applyFont="1" applyFill="1" applyBorder="1" applyAlignment="1" applyProtection="1">
      <alignment vertical="top"/>
      <protection locked="0"/>
    </xf>
    <xf numFmtId="43" fontId="353" fillId="0" borderId="636" xfId="1" applyNumberFormat="1" applyFont="1" applyFill="1" applyBorder="1" applyAlignment="1" applyProtection="1">
      <alignment vertical="center"/>
      <protection locked="0"/>
    </xf>
    <xf numFmtId="43" fontId="353" fillId="0" borderId="569" xfId="1" applyFont="1" applyFill="1" applyBorder="1" applyAlignment="1" applyProtection="1">
      <alignment vertical="center"/>
      <protection locked="0"/>
    </xf>
    <xf numFmtId="43" fontId="353" fillId="0" borderId="569" xfId="2" applyNumberFormat="1" applyFont="1" applyFill="1" applyBorder="1" applyAlignment="1" applyProtection="1">
      <alignment vertical="center"/>
      <protection locked="0"/>
    </xf>
    <xf numFmtId="43" fontId="353" fillId="0" borderId="0" xfId="1" applyFont="1" applyFill="1" applyBorder="1" applyAlignment="1" applyProtection="1">
      <alignment vertical="center"/>
      <protection locked="0"/>
    </xf>
    <xf numFmtId="43" fontId="353" fillId="0" borderId="0" xfId="2" applyNumberFormat="1" applyFont="1" applyFill="1" applyBorder="1" applyAlignment="1" applyProtection="1">
      <alignment vertical="center"/>
      <protection locked="0"/>
    </xf>
    <xf numFmtId="43" fontId="353" fillId="0" borderId="433" xfId="1" applyFont="1" applyFill="1" applyBorder="1" applyAlignment="1" applyProtection="1">
      <alignment vertical="top"/>
      <protection locked="0"/>
    </xf>
    <xf numFmtId="43" fontId="353" fillId="0" borderId="24" xfId="1" applyNumberFormat="1" applyFont="1" applyFill="1" applyBorder="1" applyAlignment="1" applyProtection="1">
      <alignment vertical="center"/>
      <protection locked="0"/>
    </xf>
    <xf numFmtId="43" fontId="353" fillId="0" borderId="571" xfId="1" applyFont="1" applyFill="1" applyBorder="1" applyAlignment="1" applyProtection="1">
      <alignment vertical="top"/>
      <protection locked="0"/>
    </xf>
    <xf numFmtId="43" fontId="353" fillId="0" borderId="571" xfId="2" applyNumberFormat="1" applyFont="1" applyFill="1" applyBorder="1" applyAlignment="1" applyProtection="1">
      <alignment vertical="top"/>
      <protection locked="0"/>
    </xf>
    <xf numFmtId="43" fontId="353" fillId="0" borderId="486" xfId="1" applyFont="1" applyFill="1" applyBorder="1" applyAlignment="1" applyProtection="1">
      <alignment vertical="center"/>
      <protection locked="0"/>
    </xf>
    <xf numFmtId="43" fontId="353" fillId="0" borderId="246" xfId="1" applyFont="1" applyFill="1" applyBorder="1" applyAlignment="1" applyProtection="1">
      <alignment vertical="top"/>
      <protection locked="0"/>
    </xf>
    <xf numFmtId="43" fontId="353" fillId="0" borderId="397" xfId="2" applyNumberFormat="1" applyFont="1" applyFill="1" applyBorder="1" applyAlignment="1" applyProtection="1">
      <alignment vertical="top"/>
      <protection locked="0"/>
    </xf>
    <xf numFmtId="43" fontId="353" fillId="0" borderId="446" xfId="2" applyNumberFormat="1" applyFont="1" applyFill="1" applyBorder="1" applyAlignment="1">
      <alignment vertical="center"/>
    </xf>
    <xf numFmtId="0" fontId="353" fillId="0" borderId="0" xfId="47" applyFont="1" applyFill="1" applyAlignment="1" applyProtection="1">
      <alignment horizontal="center"/>
      <protection locked="0"/>
    </xf>
    <xf numFmtId="0" fontId="353" fillId="0" borderId="0" xfId="46" applyFont="1" applyFill="1" applyAlignment="1" applyProtection="1">
      <alignment horizontal="center" vertical="center"/>
      <protection locked="0"/>
    </xf>
    <xf numFmtId="0" fontId="191" fillId="0" borderId="0" xfId="94" applyFont="1"/>
    <xf numFmtId="0" fontId="192" fillId="0" borderId="0" xfId="94" applyFont="1"/>
    <xf numFmtId="0" fontId="191" fillId="0" borderId="210" xfId="94" applyFont="1" applyBorder="1" applyAlignment="1">
      <alignment horizontal="center"/>
    </xf>
    <xf numFmtId="0" fontId="191" fillId="0" borderId="636" xfId="94" applyFont="1" applyBorder="1" applyAlignment="1">
      <alignment horizontal="center"/>
    </xf>
    <xf numFmtId="0" fontId="192" fillId="0" borderId="210" xfId="94" applyFont="1" applyBorder="1" applyAlignment="1">
      <alignment horizontal="center"/>
    </xf>
    <xf numFmtId="0" fontId="191" fillId="0" borderId="10" xfId="94" applyFont="1" applyBorder="1" applyAlignment="1">
      <alignment horizontal="center"/>
    </xf>
    <xf numFmtId="0" fontId="191" fillId="0" borderId="553" xfId="94" applyFont="1" applyBorder="1" applyAlignment="1">
      <alignment horizontal="center"/>
    </xf>
    <xf numFmtId="3" fontId="191" fillId="0" borderId="10" xfId="94" applyNumberFormat="1" applyFont="1" applyBorder="1" applyAlignment="1">
      <alignment horizontal="center"/>
    </xf>
    <xf numFmtId="3" fontId="191" fillId="0" borderId="553" xfId="94" applyNumberFormat="1" applyFont="1" applyBorder="1" applyAlignment="1">
      <alignment horizontal="center"/>
    </xf>
    <xf numFmtId="0" fontId="191" fillId="0" borderId="448" xfId="94" applyFont="1" applyBorder="1" applyAlignment="1">
      <alignment horizontal="center"/>
    </xf>
    <xf numFmtId="0" fontId="191" fillId="0" borderId="548" xfId="94" applyFont="1" applyBorder="1" applyAlignment="1">
      <alignment horizontal="center"/>
    </xf>
    <xf numFmtId="0" fontId="192" fillId="0" borderId="10" xfId="94" applyFont="1" applyBorder="1" applyAlignment="1">
      <alignment horizontal="center"/>
    </xf>
    <xf numFmtId="43" fontId="191" fillId="0" borderId="406" xfId="1" applyFont="1" applyBorder="1"/>
    <xf numFmtId="43" fontId="191" fillId="0" borderId="636" xfId="1" applyFont="1" applyBorder="1"/>
    <xf numFmtId="43" fontId="160" fillId="0" borderId="210" xfId="1" applyFont="1" applyBorder="1"/>
    <xf numFmtId="43" fontId="160" fillId="0" borderId="643" xfId="1" applyFont="1" applyBorder="1"/>
    <xf numFmtId="43" fontId="191" fillId="0" borderId="295" xfId="1" applyFont="1" applyBorder="1"/>
    <xf numFmtId="43" fontId="191" fillId="0" borderId="556" xfId="1" applyFont="1" applyBorder="1"/>
    <xf numFmtId="43" fontId="160" fillId="0" borderId="556" xfId="1" applyFont="1" applyBorder="1"/>
    <xf numFmtId="43" fontId="160" fillId="0" borderId="636" xfId="1" applyFont="1" applyBorder="1"/>
    <xf numFmtId="43" fontId="192" fillId="0" borderId="210" xfId="1" applyFont="1" applyBorder="1"/>
    <xf numFmtId="0" fontId="191" fillId="0" borderId="212" xfId="94" applyFont="1" applyBorder="1" applyAlignment="1">
      <alignment horizontal="center"/>
    </xf>
    <xf numFmtId="43" fontId="191" fillId="0" borderId="643" xfId="1" applyFont="1" applyBorder="1"/>
    <xf numFmtId="43" fontId="160" fillId="0" borderId="212" xfId="1" applyFont="1" applyBorder="1"/>
    <xf numFmtId="43" fontId="160" fillId="0" borderId="295" xfId="1" applyFont="1" applyBorder="1"/>
    <xf numFmtId="43" fontId="192" fillId="0" borderId="212" xfId="1" applyFont="1" applyBorder="1"/>
    <xf numFmtId="0" fontId="191" fillId="0" borderId="643" xfId="94" applyFont="1" applyBorder="1" applyAlignment="1">
      <alignment horizontal="center"/>
    </xf>
    <xf numFmtId="43" fontId="191" fillId="0" borderId="642" xfId="1" applyFont="1" applyBorder="1"/>
    <xf numFmtId="43" fontId="191" fillId="0" borderId="212" xfId="1" applyFont="1" applyBorder="1" applyAlignment="1">
      <alignment horizontal="center"/>
    </xf>
    <xf numFmtId="43" fontId="191" fillId="0" borderId="0" xfId="1" applyFont="1"/>
    <xf numFmtId="43" fontId="191" fillId="0" borderId="212" xfId="1" applyFont="1" applyBorder="1"/>
    <xf numFmtId="43" fontId="191" fillId="0" borderId="553" xfId="1" applyFont="1" applyBorder="1"/>
    <xf numFmtId="43" fontId="359" fillId="0" borderId="0" xfId="94" applyNumberFormat="1" applyFont="1"/>
    <xf numFmtId="0" fontId="192" fillId="0" borderId="213" xfId="94" applyFont="1" applyBorder="1" applyAlignment="1">
      <alignment horizontal="center"/>
    </xf>
    <xf numFmtId="43" fontId="192" fillId="0" borderId="213" xfId="1" applyFont="1" applyBorder="1"/>
    <xf numFmtId="43" fontId="192" fillId="0" borderId="0" xfId="94" applyNumberFormat="1" applyFont="1"/>
    <xf numFmtId="43" fontId="191" fillId="0" borderId="0" xfId="94" applyNumberFormat="1" applyFont="1"/>
    <xf numFmtId="43" fontId="360" fillId="0" borderId="0" xfId="1" applyFont="1"/>
    <xf numFmtId="43" fontId="192" fillId="0" borderId="0" xfId="1" applyFont="1"/>
    <xf numFmtId="0" fontId="192" fillId="0" borderId="631" xfId="94" applyFont="1" applyBorder="1" applyAlignment="1">
      <alignment horizontal="center"/>
    </xf>
    <xf numFmtId="43" fontId="192" fillId="0" borderId="631" xfId="94" applyNumberFormat="1" applyFont="1" applyBorder="1"/>
    <xf numFmtId="43" fontId="192" fillId="0" borderId="642" xfId="94" applyNumberFormat="1" applyFont="1" applyBorder="1"/>
    <xf numFmtId="43" fontId="192" fillId="0" borderId="631" xfId="1" applyFont="1" applyBorder="1"/>
    <xf numFmtId="0" fontId="191" fillId="0" borderId="295" xfId="94" applyFont="1" applyBorder="1" applyAlignment="1">
      <alignment horizontal="center"/>
    </xf>
    <xf numFmtId="43" fontId="192" fillId="0" borderId="213" xfId="1" applyFont="1" applyBorder="1" applyAlignment="1">
      <alignment horizontal="center"/>
    </xf>
    <xf numFmtId="43" fontId="192" fillId="0" borderId="642" xfId="1" applyFont="1" applyBorder="1" applyAlignment="1">
      <alignment horizontal="center"/>
    </xf>
    <xf numFmtId="43" fontId="32" fillId="0" borderId="0" xfId="74" applyNumberFormat="1" applyFont="1" applyFill="1"/>
    <xf numFmtId="43" fontId="32" fillId="0" borderId="0" xfId="74" applyNumberFormat="1" applyFont="1" applyFill="1" applyAlignment="1">
      <alignment horizontal="center" vertical="center" wrapText="1"/>
    </xf>
    <xf numFmtId="0" fontId="26" fillId="0" borderId="0" xfId="74" applyNumberFormat="1" applyFont="1" applyFill="1"/>
    <xf numFmtId="43" fontId="352" fillId="0" borderId="0" xfId="74" applyNumberFormat="1" applyFont="1" applyFill="1"/>
    <xf numFmtId="0" fontId="320" fillId="0" borderId="0" xfId="46" applyNumberFormat="1" applyFont="1" applyFill="1" applyAlignment="1" applyProtection="1">
      <alignment horizontal="center" vertical="center"/>
      <protection locked="0"/>
    </xf>
    <xf numFmtId="0" fontId="320" fillId="0" borderId="0" xfId="46" applyNumberFormat="1" applyFont="1" applyFill="1" applyBorder="1" applyAlignment="1" applyProtection="1">
      <alignment horizontal="center" vertical="center"/>
      <protection locked="0"/>
    </xf>
    <xf numFmtId="0" fontId="320" fillId="0" borderId="1" xfId="46" applyNumberFormat="1" applyFont="1" applyFill="1" applyBorder="1" applyAlignment="1" applyProtection="1">
      <alignment horizontal="center" vertical="center"/>
      <protection locked="0"/>
    </xf>
    <xf numFmtId="0" fontId="320" fillId="0" borderId="670" xfId="46" applyNumberFormat="1" applyFont="1" applyFill="1" applyBorder="1" applyAlignment="1" applyProtection="1">
      <alignment horizontal="center" vertical="center"/>
      <protection locked="0"/>
    </xf>
    <xf numFmtId="0" fontId="320" fillId="0" borderId="433" xfId="46" applyNumberFormat="1" applyFont="1" applyFill="1" applyBorder="1" applyAlignment="1" applyProtection="1">
      <alignment horizontal="center" vertical="center"/>
      <protection locked="0"/>
    </xf>
    <xf numFmtId="0" fontId="278" fillId="0" borderId="672" xfId="46" applyNumberFormat="1" applyFont="1" applyFill="1" applyBorder="1" applyAlignment="1" applyProtection="1">
      <alignment horizontal="center" vertical="center"/>
      <protection locked="0"/>
    </xf>
    <xf numFmtId="0" fontId="321" fillId="0" borderId="0" xfId="58" applyNumberFormat="1" applyFont="1" applyFill="1" applyAlignment="1" applyProtection="1">
      <alignment horizontal="center" vertical="center"/>
      <protection locked="0"/>
    </xf>
    <xf numFmtId="0" fontId="320" fillId="0" borderId="0" xfId="46" applyNumberFormat="1" applyFont="1" applyFill="1" applyAlignment="1">
      <alignment vertical="center"/>
    </xf>
    <xf numFmtId="0" fontId="278" fillId="0" borderId="0" xfId="46" applyNumberFormat="1" applyFont="1" applyFill="1" applyAlignment="1"/>
    <xf numFmtId="0" fontId="320" fillId="0" borderId="0" xfId="46" applyNumberFormat="1" applyFont="1" applyFill="1" applyAlignment="1">
      <alignment horizontal="center" vertical="center"/>
    </xf>
    <xf numFmtId="0" fontId="320" fillId="0" borderId="0" xfId="47" applyNumberFormat="1" applyFont="1" applyFill="1" applyAlignment="1" applyProtection="1">
      <alignment horizontal="center" vertical="top"/>
      <protection locked="0"/>
    </xf>
    <xf numFmtId="0" fontId="320" fillId="0" borderId="0" xfId="47" applyNumberFormat="1" applyFont="1" applyFill="1" applyAlignment="1">
      <alignment horizontal="center" vertical="top"/>
    </xf>
    <xf numFmtId="0" fontId="320" fillId="0" borderId="1" xfId="47" applyNumberFormat="1" applyFont="1" applyFill="1" applyBorder="1" applyAlignment="1" applyProtection="1">
      <alignment horizontal="center" vertical="top"/>
      <protection locked="0"/>
    </xf>
    <xf numFmtId="0" fontId="320" fillId="0" borderId="295" xfId="47" applyNumberFormat="1" applyFont="1" applyFill="1" applyBorder="1" applyAlignment="1" applyProtection="1">
      <alignment horizontal="center" vertical="top"/>
      <protection locked="0"/>
    </xf>
    <xf numFmtId="0" fontId="320" fillId="0" borderId="670" xfId="47" applyNumberFormat="1" applyFont="1" applyFill="1" applyBorder="1" applyAlignment="1" applyProtection="1">
      <alignment horizontal="center" vertical="top"/>
      <protection locked="0"/>
    </xf>
    <xf numFmtId="0" fontId="320" fillId="0" borderId="0" xfId="47" applyNumberFormat="1" applyFont="1" applyFill="1" applyBorder="1" applyAlignment="1" applyProtection="1">
      <alignment horizontal="center" vertical="top"/>
      <protection locked="0"/>
    </xf>
    <xf numFmtId="0" fontId="320" fillId="0" borderId="433" xfId="47" applyNumberFormat="1" applyFont="1" applyFill="1" applyBorder="1" applyAlignment="1" applyProtection="1">
      <alignment horizontal="center" vertical="top"/>
      <protection locked="0"/>
    </xf>
    <xf numFmtId="0" fontId="278" fillId="0" borderId="672" xfId="47" applyNumberFormat="1" applyFont="1" applyFill="1" applyBorder="1" applyAlignment="1" applyProtection="1">
      <alignment horizontal="center" vertical="top"/>
      <protection locked="0"/>
    </xf>
    <xf numFmtId="0" fontId="321" fillId="0" borderId="0" xfId="58" applyNumberFormat="1" applyFont="1" applyFill="1" applyAlignment="1" applyProtection="1">
      <alignment horizontal="center"/>
      <protection locked="0"/>
    </xf>
    <xf numFmtId="0" fontId="320" fillId="0" borderId="0" xfId="47" applyNumberFormat="1" applyFont="1" applyFill="1" applyBorder="1" applyAlignment="1" applyProtection="1">
      <alignment vertical="top"/>
      <protection locked="0"/>
    </xf>
    <xf numFmtId="0" fontId="278" fillId="0" borderId="0" xfId="47" applyNumberFormat="1" applyFont="1" applyFill="1" applyBorder="1" applyAlignment="1" applyProtection="1">
      <protection locked="0"/>
    </xf>
    <xf numFmtId="0" fontId="278" fillId="0" borderId="0" xfId="47" applyNumberFormat="1" applyFont="1" applyFill="1" applyAlignment="1" applyProtection="1">
      <alignment horizontal="center" vertical="top"/>
      <protection locked="0"/>
    </xf>
    <xf numFmtId="0" fontId="320" fillId="0" borderId="0" xfId="27" applyNumberFormat="1" applyFont="1" applyFill="1" applyAlignment="1" applyProtection="1">
      <alignment horizontal="center" vertical="center"/>
      <protection locked="0"/>
    </xf>
    <xf numFmtId="0" fontId="320" fillId="0" borderId="0" xfId="27" applyNumberFormat="1" applyFont="1" applyFill="1" applyBorder="1" applyAlignment="1" applyProtection="1">
      <alignment horizontal="center" vertical="center"/>
      <protection locked="0"/>
    </xf>
    <xf numFmtId="0" fontId="320" fillId="0" borderId="433" xfId="27" applyNumberFormat="1" applyFont="1" applyFill="1" applyBorder="1" applyAlignment="1" applyProtection="1">
      <alignment horizontal="center" vertical="center"/>
      <protection locked="0"/>
    </xf>
    <xf numFmtId="0" fontId="320" fillId="0" borderId="670" xfId="27" applyNumberFormat="1" applyFont="1" applyFill="1" applyBorder="1" applyAlignment="1" applyProtection="1">
      <alignment horizontal="center" vertical="center"/>
      <protection locked="0"/>
    </xf>
    <xf numFmtId="0" fontId="321" fillId="0" borderId="0" xfId="58" applyNumberFormat="1" applyFont="1" applyFill="1" applyBorder="1" applyAlignment="1" applyProtection="1">
      <alignment horizontal="center" vertical="center"/>
      <protection locked="0"/>
    </xf>
    <xf numFmtId="0" fontId="320" fillId="0" borderId="0" xfId="27" applyNumberFormat="1" applyFont="1" applyFill="1" applyAlignment="1">
      <alignment vertical="center"/>
    </xf>
    <xf numFmtId="0" fontId="320" fillId="0" borderId="0" xfId="27" applyNumberFormat="1" applyFont="1" applyFill="1" applyAlignment="1">
      <alignment horizontal="center" vertical="center"/>
    </xf>
    <xf numFmtId="1" fontId="320" fillId="0" borderId="5" xfId="2" applyNumberFormat="1" applyFont="1" applyFill="1" applyBorder="1" applyAlignment="1" applyProtection="1">
      <alignment horizontal="center" vertical="center"/>
      <protection locked="0"/>
    </xf>
    <xf numFmtId="1" fontId="320" fillId="0" borderId="295" xfId="46" applyNumberFormat="1" applyFont="1" applyFill="1" applyBorder="1" applyAlignment="1" applyProtection="1">
      <alignment horizontal="center" vertical="center"/>
      <protection locked="0"/>
    </xf>
    <xf numFmtId="1" fontId="320" fillId="0" borderId="5" xfId="2" applyNumberFormat="1" applyFont="1" applyFill="1" applyBorder="1" applyAlignment="1">
      <alignment horizontal="center" vertical="center"/>
    </xf>
    <xf numFmtId="1" fontId="320" fillId="0" borderId="5" xfId="47" applyNumberFormat="1" applyFont="1" applyFill="1" applyBorder="1" applyAlignment="1" applyProtection="1">
      <alignment horizontal="center" vertical="top"/>
      <protection locked="0"/>
    </xf>
    <xf numFmtId="1" fontId="320" fillId="0" borderId="295" xfId="46" applyNumberFormat="1" applyFont="1" applyFill="1" applyBorder="1" applyAlignment="1">
      <alignment horizontal="center"/>
    </xf>
    <xf numFmtId="1" fontId="320" fillId="0" borderId="5" xfId="30" applyNumberFormat="1" applyFont="1" applyFill="1" applyBorder="1" applyAlignment="1" applyProtection="1">
      <alignment horizontal="center" vertical="center"/>
      <protection locked="0"/>
    </xf>
    <xf numFmtId="168" fontId="320" fillId="0" borderId="5" xfId="1" applyNumberFormat="1" applyFont="1" applyFill="1" applyBorder="1" applyAlignment="1" applyProtection="1">
      <alignment horizontal="center" vertical="center"/>
      <protection locked="0"/>
    </xf>
    <xf numFmtId="1" fontId="320" fillId="0" borderId="5" xfId="45" applyNumberFormat="1" applyFont="1" applyFill="1" applyBorder="1" applyAlignment="1" applyProtection="1">
      <alignment horizontal="center" vertical="center"/>
      <protection locked="0"/>
    </xf>
    <xf numFmtId="1" fontId="320" fillId="0" borderId="295" xfId="30" applyNumberFormat="1" applyFont="1" applyFill="1" applyBorder="1" applyAlignment="1" applyProtection="1">
      <alignment horizontal="center" vertical="center"/>
      <protection locked="0"/>
    </xf>
    <xf numFmtId="1" fontId="320" fillId="0" borderId="5" xfId="1" applyNumberFormat="1" applyFont="1" applyFill="1" applyBorder="1" applyAlignment="1" applyProtection="1">
      <alignment horizontal="center" vertical="center"/>
      <protection locked="0"/>
    </xf>
    <xf numFmtId="1" fontId="320" fillId="0" borderId="295" xfId="45" applyNumberFormat="1" applyFont="1" applyFill="1" applyBorder="1" applyAlignment="1" applyProtection="1">
      <alignment horizontal="center" vertical="center"/>
      <protection locked="0"/>
    </xf>
    <xf numFmtId="1" fontId="320" fillId="0" borderId="643" xfId="30" applyNumberFormat="1" applyFont="1" applyFill="1" applyBorder="1" applyAlignment="1" applyProtection="1">
      <alignment horizontal="center" vertical="center"/>
      <protection locked="0"/>
    </xf>
    <xf numFmtId="1" fontId="320" fillId="0" borderId="0" xfId="2" applyNumberFormat="1" applyFont="1" applyFill="1" applyAlignment="1" applyProtection="1">
      <alignment horizontal="center" vertical="center"/>
      <protection locked="0"/>
    </xf>
    <xf numFmtId="1" fontId="278" fillId="0" borderId="0" xfId="2" applyNumberFormat="1" applyFont="1" applyFill="1" applyAlignment="1" applyProtection="1">
      <alignment horizontal="center" vertical="center"/>
      <protection locked="0"/>
    </xf>
    <xf numFmtId="1" fontId="320" fillId="0" borderId="1" xfId="2" applyNumberFormat="1" applyFont="1" applyFill="1" applyBorder="1" applyAlignment="1" applyProtection="1">
      <alignment horizontal="center" vertical="center"/>
      <protection locked="0"/>
    </xf>
    <xf numFmtId="1" fontId="320" fillId="0" borderId="667" xfId="2" applyNumberFormat="1" applyFont="1" applyFill="1" applyBorder="1" applyAlignment="1" applyProtection="1">
      <alignment horizontal="center" vertical="center"/>
      <protection locked="0"/>
    </xf>
    <xf numFmtId="1" fontId="320" fillId="0" borderId="0" xfId="2" applyNumberFormat="1" applyFont="1" applyFill="1" applyBorder="1" applyAlignment="1" applyProtection="1">
      <alignment horizontal="center" vertical="center"/>
      <protection locked="0"/>
    </xf>
    <xf numFmtId="1" fontId="278" fillId="0" borderId="433" xfId="2" applyNumberFormat="1" applyFont="1" applyFill="1" applyBorder="1" applyAlignment="1" applyProtection="1">
      <alignment horizontal="center" vertical="center"/>
      <protection locked="0"/>
    </xf>
    <xf numFmtId="1" fontId="320" fillId="0" borderId="20" xfId="2" applyNumberFormat="1" applyFont="1" applyFill="1" applyBorder="1" applyAlignment="1" applyProtection="1">
      <alignment horizontal="center" vertical="center"/>
      <protection locked="0"/>
    </xf>
    <xf numFmtId="1" fontId="278" fillId="0" borderId="0" xfId="2" applyNumberFormat="1" applyFont="1" applyFill="1" applyBorder="1" applyAlignment="1" applyProtection="1">
      <alignment horizontal="center" vertical="center"/>
      <protection locked="0"/>
    </xf>
    <xf numFmtId="1" fontId="320" fillId="0" borderId="0" xfId="2" applyNumberFormat="1" applyFont="1" applyFill="1" applyAlignment="1">
      <alignment vertical="center"/>
    </xf>
    <xf numFmtId="1" fontId="278" fillId="0" borderId="0" xfId="2" applyNumberFormat="1" applyFont="1" applyFill="1" applyAlignment="1">
      <alignment vertical="center"/>
    </xf>
    <xf numFmtId="1" fontId="320" fillId="0" borderId="0" xfId="2" applyNumberFormat="1" applyFont="1" applyFill="1" applyAlignment="1">
      <alignment horizontal="center" vertical="center"/>
    </xf>
    <xf numFmtId="1" fontId="320" fillId="0" borderId="433" xfId="2" applyNumberFormat="1" applyFont="1" applyFill="1" applyBorder="1" applyAlignment="1" applyProtection="1">
      <alignment horizontal="center" vertical="center"/>
      <protection locked="0"/>
    </xf>
    <xf numFmtId="1" fontId="320" fillId="0" borderId="212" xfId="1" applyNumberFormat="1" applyFont="1" applyFill="1" applyBorder="1" applyAlignment="1" applyProtection="1">
      <alignment horizontal="center" vertical="center"/>
      <protection locked="0"/>
    </xf>
    <xf numFmtId="4" fontId="320" fillId="0" borderId="685" xfId="30" applyNumberFormat="1" applyFont="1" applyFill="1" applyBorder="1" applyAlignment="1" applyProtection="1">
      <alignment vertical="center"/>
      <protection locked="0"/>
    </xf>
    <xf numFmtId="10" fontId="320" fillId="0" borderId="685" xfId="88" applyNumberFormat="1" applyFont="1" applyFill="1" applyBorder="1" applyAlignment="1" applyProtection="1">
      <alignment vertical="center"/>
      <protection locked="0"/>
    </xf>
    <xf numFmtId="4" fontId="320" fillId="0" borderId="685" xfId="0" applyNumberFormat="1" applyFont="1" applyFill="1" applyBorder="1"/>
    <xf numFmtId="49" fontId="320" fillId="0" borderId="686" xfId="30" applyNumberFormat="1" applyFont="1" applyFill="1" applyBorder="1" applyAlignment="1" applyProtection="1">
      <alignment vertical="center"/>
      <protection locked="0"/>
    </xf>
    <xf numFmtId="1" fontId="320" fillId="0" borderId="685" xfId="30" applyNumberFormat="1" applyFont="1" applyFill="1" applyBorder="1" applyAlignment="1" applyProtection="1">
      <alignment horizontal="center" vertical="center"/>
      <protection locked="0"/>
    </xf>
    <xf numFmtId="49" fontId="320" fillId="0" borderId="686" xfId="42" applyNumberFormat="1" applyFont="1" applyFill="1" applyBorder="1" applyAlignment="1" applyProtection="1">
      <alignment vertical="center"/>
      <protection locked="0"/>
    </xf>
    <xf numFmtId="4" fontId="320" fillId="0" borderId="685" xfId="42" applyNumberFormat="1" applyFont="1" applyFill="1" applyBorder="1" applyAlignment="1" applyProtection="1">
      <alignment vertical="center"/>
      <protection locked="0"/>
    </xf>
    <xf numFmtId="1" fontId="320" fillId="0" borderId="0" xfId="30" applyNumberFormat="1" applyFont="1" applyFill="1" applyBorder="1" applyAlignment="1" applyProtection="1">
      <alignment vertical="center"/>
      <protection locked="0"/>
    </xf>
    <xf numFmtId="1" fontId="320" fillId="0" borderId="0" xfId="2" applyNumberFormat="1" applyFont="1" applyFill="1" applyBorder="1" applyAlignment="1" applyProtection="1">
      <alignment vertical="center"/>
      <protection locked="0"/>
    </xf>
    <xf numFmtId="1" fontId="320" fillId="0" borderId="0" xfId="47" applyNumberFormat="1" applyFont="1" applyFill="1" applyBorder="1" applyAlignment="1" applyProtection="1">
      <alignment vertical="top"/>
      <protection locked="0"/>
    </xf>
    <xf numFmtId="1" fontId="320" fillId="0" borderId="0" xfId="42" applyNumberFormat="1" applyFont="1" applyFill="1" applyBorder="1" applyAlignment="1" applyProtection="1">
      <alignment vertical="center"/>
      <protection locked="0"/>
    </xf>
    <xf numFmtId="1" fontId="320" fillId="0" borderId="0" xfId="45" applyNumberFormat="1" applyFont="1" applyFill="1" applyBorder="1" applyAlignment="1" applyProtection="1">
      <alignment vertical="center"/>
      <protection locked="0"/>
    </xf>
    <xf numFmtId="1" fontId="320" fillId="0" borderId="295" xfId="55" applyNumberFormat="1" applyFont="1" applyFill="1" applyBorder="1" applyAlignment="1" applyProtection="1">
      <alignment horizontal="center" vertical="center"/>
      <protection locked="0"/>
    </xf>
    <xf numFmtId="43" fontId="320" fillId="0" borderId="0" xfId="1" applyNumberFormat="1" applyFont="1" applyFill="1" applyBorder="1" applyAlignment="1" applyProtection="1">
      <alignment horizontal="right"/>
      <protection locked="0"/>
    </xf>
    <xf numFmtId="0" fontId="320" fillId="0" borderId="0" xfId="47" applyNumberFormat="1" applyFont="1" applyFill="1" applyBorder="1" applyAlignment="1">
      <alignment vertical="top"/>
    </xf>
    <xf numFmtId="0" fontId="0" fillId="0" borderId="0" xfId="94" applyFont="1" applyAlignment="1">
      <alignment vertical="top"/>
    </xf>
    <xf numFmtId="43" fontId="63" fillId="3" borderId="610" xfId="95" applyNumberFormat="1" applyFont="1" applyFill="1" applyBorder="1" applyAlignment="1">
      <alignment vertical="top"/>
    </xf>
    <xf numFmtId="43" fontId="63" fillId="3" borderId="611" xfId="95" applyNumberFormat="1" applyFont="1" applyFill="1" applyBorder="1" applyAlignment="1">
      <alignment vertical="top"/>
    </xf>
    <xf numFmtId="43" fontId="63" fillId="3" borderId="612" xfId="95" applyNumberFormat="1" applyFont="1" applyFill="1" applyBorder="1" applyAlignment="1">
      <alignment vertical="top"/>
    </xf>
    <xf numFmtId="43" fontId="136" fillId="0" borderId="0" xfId="1" applyFont="1" applyAlignment="1">
      <alignment vertical="top"/>
    </xf>
    <xf numFmtId="0" fontId="136" fillId="0" borderId="0" xfId="94" applyFont="1" applyAlignment="1">
      <alignment vertical="top"/>
    </xf>
    <xf numFmtId="0" fontId="62" fillId="0" borderId="585" xfId="94" applyFont="1" applyBorder="1" applyAlignment="1">
      <alignment horizontal="center" vertical="top"/>
    </xf>
    <xf numFmtId="43" fontId="318" fillId="0" borderId="585" xfId="95" applyNumberFormat="1" applyFont="1" applyBorder="1" applyAlignment="1">
      <alignment vertical="top"/>
    </xf>
    <xf numFmtId="43" fontId="63" fillId="0" borderId="0" xfId="94" applyNumberFormat="1" applyFont="1" applyAlignment="1">
      <alignment vertical="top"/>
    </xf>
    <xf numFmtId="4" fontId="17" fillId="0" borderId="0" xfId="94" applyNumberFormat="1" applyFont="1" applyAlignment="1">
      <alignment vertical="top"/>
    </xf>
    <xf numFmtId="0" fontId="80" fillId="0" borderId="210" xfId="94" applyFont="1" applyBorder="1" applyAlignment="1">
      <alignment horizontal="center" vertical="top"/>
    </xf>
    <xf numFmtId="0" fontId="80" fillId="0" borderId="570" xfId="94" applyFont="1" applyBorder="1" applyAlignment="1">
      <alignment horizontal="center" vertical="top"/>
    </xf>
    <xf numFmtId="0" fontId="80" fillId="0" borderId="570" xfId="94" applyFont="1" applyBorder="1" applyAlignment="1">
      <alignment horizontal="center" vertical="top" wrapText="1"/>
    </xf>
    <xf numFmtId="0" fontId="80" fillId="0" borderId="229" xfId="94" applyFont="1" applyBorder="1" applyAlignment="1">
      <alignment horizontal="center" vertical="top" wrapText="1"/>
    </xf>
    <xf numFmtId="0" fontId="92" fillId="0" borderId="210" xfId="94" applyFont="1" applyBorder="1" applyAlignment="1">
      <alignment horizontal="center" vertical="top"/>
    </xf>
    <xf numFmtId="0" fontId="80" fillId="0" borderId="0" xfId="94" applyFont="1" applyAlignment="1">
      <alignment vertical="top"/>
    </xf>
    <xf numFmtId="0" fontId="41" fillId="0" borderId="643" xfId="74" applyFont="1" applyFill="1" applyBorder="1" applyAlignment="1">
      <alignment horizontal="center"/>
    </xf>
    <xf numFmtId="39" fontId="46" fillId="0" borderId="674" xfId="74" applyNumberFormat="1" applyFont="1" applyFill="1" applyBorder="1" applyProtection="1"/>
    <xf numFmtId="39" fontId="41" fillId="0" borderId="643" xfId="74" applyNumberFormat="1" applyFont="1" applyFill="1" applyBorder="1" applyProtection="1"/>
    <xf numFmtId="43" fontId="41" fillId="0" borderId="674" xfId="62" applyFont="1" applyFill="1" applyBorder="1" applyAlignment="1">
      <alignment horizontal="center"/>
    </xf>
    <xf numFmtId="0" fontId="46" fillId="0" borderId="643" xfId="74" applyFont="1" applyFill="1" applyBorder="1"/>
    <xf numFmtId="43" fontId="46" fillId="0" borderId="643" xfId="62" applyFont="1" applyFill="1" applyBorder="1"/>
    <xf numFmtId="43" fontId="37" fillId="0" borderId="643" xfId="62" applyFont="1" applyFill="1" applyBorder="1"/>
    <xf numFmtId="43" fontId="363" fillId="0" borderId="604" xfId="1" applyFont="1" applyFill="1" applyBorder="1" applyAlignment="1">
      <alignment vertical="center"/>
    </xf>
    <xf numFmtId="0" fontId="21" fillId="0" borderId="644" xfId="74" applyFont="1" applyFill="1" applyBorder="1"/>
    <xf numFmtId="43" fontId="19" fillId="0" borderId="643" xfId="5" applyFont="1" applyFill="1" applyBorder="1"/>
    <xf numFmtId="43" fontId="19" fillId="0" borderId="643" xfId="5" applyNumberFormat="1" applyFont="1" applyFill="1" applyBorder="1"/>
    <xf numFmtId="43" fontId="19" fillId="0" borderId="644" xfId="93" applyNumberFormat="1" applyFont="1" applyFill="1" applyBorder="1" applyAlignment="1">
      <alignment horizontal="center"/>
    </xf>
    <xf numFmtId="43" fontId="19" fillId="0" borderId="643" xfId="93" applyNumberFormat="1" applyFont="1" applyFill="1" applyBorder="1" applyAlignment="1">
      <alignment horizontal="center"/>
    </xf>
    <xf numFmtId="4" fontId="19" fillId="0" borderId="35" xfId="74" applyNumberFormat="1" applyFont="1" applyFill="1" applyBorder="1" applyAlignment="1">
      <alignment horizontal="center"/>
    </xf>
    <xf numFmtId="0" fontId="21" fillId="0" borderId="0" xfId="74" applyFont="1" applyFill="1"/>
    <xf numFmtId="0" fontId="220" fillId="0" borderId="674" xfId="74" applyFont="1" applyFill="1" applyBorder="1"/>
    <xf numFmtId="43" fontId="220" fillId="0" borderId="674" xfId="74" applyNumberFormat="1" applyFont="1" applyFill="1" applyBorder="1" applyAlignment="1">
      <alignment horizontal="center"/>
    </xf>
    <xf numFmtId="43" fontId="221" fillId="0" borderId="674" xfId="75" applyFont="1" applyFill="1" applyBorder="1"/>
    <xf numFmtId="0" fontId="41" fillId="0" borderId="684" xfId="74" applyFont="1" applyFill="1" applyBorder="1" applyAlignment="1">
      <alignment vertical="center"/>
    </xf>
    <xf numFmtId="0" fontId="41" fillId="0" borderId="643" xfId="74" applyFont="1" applyFill="1" applyBorder="1" applyAlignment="1">
      <alignment vertical="center"/>
    </xf>
    <xf numFmtId="0" fontId="41" fillId="0" borderId="397" xfId="74" applyFont="1" applyFill="1" applyBorder="1" applyAlignment="1">
      <alignment vertical="center"/>
    </xf>
    <xf numFmtId="39" fontId="46" fillId="0" borderId="0" xfId="74" applyNumberFormat="1" applyFont="1" applyFill="1"/>
    <xf numFmtId="4" fontId="278" fillId="0" borderId="0" xfId="30" applyNumberFormat="1" applyFont="1" applyFill="1" applyAlignment="1">
      <alignment vertical="center"/>
    </xf>
    <xf numFmtId="4" fontId="278" fillId="0" borderId="684" xfId="2" applyNumberFormat="1" applyFont="1" applyFill="1" applyBorder="1" applyAlignment="1">
      <alignment horizontal="center" vertical="center"/>
    </xf>
    <xf numFmtId="10" fontId="278" fillId="0" borderId="687" xfId="88" applyNumberFormat="1" applyFont="1" applyFill="1" applyBorder="1" applyAlignment="1">
      <alignment horizontal="center" vertical="center"/>
    </xf>
    <xf numFmtId="4" fontId="278" fillId="0" borderId="643" xfId="2" applyNumberFormat="1" applyFont="1" applyFill="1" applyBorder="1" applyAlignment="1">
      <alignment horizontal="center" vertical="center"/>
    </xf>
    <xf numFmtId="10" fontId="278" fillId="0" borderId="688" xfId="88" applyNumberFormat="1" applyFont="1" applyFill="1" applyBorder="1" applyAlignment="1">
      <alignment horizontal="center" vertical="center"/>
    </xf>
    <xf numFmtId="0" fontId="278" fillId="0" borderId="553" xfId="2" applyNumberFormat="1" applyFont="1" applyFill="1" applyBorder="1" applyAlignment="1" applyProtection="1">
      <alignment horizontal="center" vertical="center"/>
      <protection locked="0"/>
    </xf>
    <xf numFmtId="10" fontId="278" fillId="0" borderId="548" xfId="88" applyNumberFormat="1" applyFont="1" applyFill="1" applyBorder="1" applyAlignment="1" applyProtection="1">
      <alignment horizontal="center" vertical="center"/>
      <protection locked="0"/>
    </xf>
    <xf numFmtId="10" fontId="278" fillId="0" borderId="24" xfId="88" applyNumberFormat="1" applyFont="1" applyFill="1" applyBorder="1" applyAlignment="1" applyProtection="1">
      <alignment vertical="center"/>
      <protection locked="0"/>
    </xf>
    <xf numFmtId="0" fontId="320" fillId="0" borderId="0" xfId="45" applyFont="1" applyFill="1" applyBorder="1" applyAlignment="1" applyProtection="1">
      <alignment vertical="center" wrapText="1"/>
      <protection locked="0"/>
    </xf>
    <xf numFmtId="164" fontId="321" fillId="0" borderId="0" xfId="58" applyNumberFormat="1" applyFont="1" applyFill="1" applyAlignment="1">
      <alignment vertical="center"/>
    </xf>
    <xf numFmtId="4" fontId="278" fillId="0" borderId="0" xfId="45" applyNumberFormat="1" applyFont="1" applyFill="1" applyAlignment="1">
      <alignment vertical="center"/>
    </xf>
    <xf numFmtId="4" fontId="278" fillId="0" borderId="0" xfId="36" applyNumberFormat="1" applyFont="1" applyFill="1" applyBorder="1" applyAlignment="1" applyProtection="1">
      <alignment horizontal="left" vertical="center"/>
      <protection locked="0"/>
    </xf>
    <xf numFmtId="4" fontId="278" fillId="0" borderId="0" xfId="30" applyNumberFormat="1" applyFont="1" applyFill="1" applyAlignment="1">
      <alignment horizontal="left" vertical="center"/>
    </xf>
    <xf numFmtId="10" fontId="278" fillId="0" borderId="0" xfId="88" applyNumberFormat="1" applyFont="1" applyFill="1" applyAlignment="1">
      <alignment horizontal="right" vertical="center"/>
    </xf>
    <xf numFmtId="9" fontId="320" fillId="0" borderId="0" xfId="88" applyFont="1" applyFill="1" applyAlignment="1" applyProtection="1">
      <alignment horizontal="center" vertical="center"/>
      <protection locked="0"/>
    </xf>
    <xf numFmtId="9" fontId="321" fillId="0" borderId="0" xfId="88" applyFont="1" applyFill="1" applyBorder="1" applyAlignment="1" applyProtection="1">
      <alignment horizontal="center" vertical="center"/>
      <protection locked="0"/>
    </xf>
    <xf numFmtId="9" fontId="320" fillId="0" borderId="0" xfId="88" applyFont="1" applyFill="1" applyAlignment="1">
      <alignment horizontal="center" vertical="center"/>
    </xf>
    <xf numFmtId="4" fontId="320" fillId="0" borderId="689" xfId="30" applyNumberFormat="1" applyFont="1" applyFill="1" applyBorder="1" applyAlignment="1" applyProtection="1">
      <alignment vertical="center"/>
      <protection locked="0"/>
    </xf>
    <xf numFmtId="4" fontId="320" fillId="0" borderId="685" xfId="2" applyNumberFormat="1" applyFont="1" applyFill="1" applyBorder="1" applyAlignment="1" applyProtection="1">
      <alignment vertical="center"/>
      <protection locked="0"/>
    </xf>
    <xf numFmtId="4" fontId="320" fillId="0" borderId="685" xfId="30" applyNumberFormat="1" applyFont="1" applyFill="1" applyBorder="1" applyAlignment="1">
      <alignment vertical="center"/>
    </xf>
    <xf numFmtId="4" fontId="320" fillId="0" borderId="685" xfId="2" applyNumberFormat="1" applyFont="1" applyFill="1" applyBorder="1" applyAlignment="1">
      <alignment vertical="center"/>
    </xf>
    <xf numFmtId="1" fontId="320" fillId="0" borderId="685" xfId="2" applyNumberFormat="1" applyFont="1" applyFill="1" applyBorder="1" applyAlignment="1" applyProtection="1">
      <alignment horizontal="center" vertical="center"/>
      <protection locked="0"/>
    </xf>
    <xf numFmtId="4" fontId="278" fillId="0" borderId="685" xfId="2" applyNumberFormat="1" applyFont="1" applyFill="1" applyBorder="1" applyAlignment="1" applyProtection="1">
      <alignment vertical="center"/>
      <protection locked="0"/>
    </xf>
    <xf numFmtId="10" fontId="278" fillId="0" borderId="685" xfId="88" applyNumberFormat="1" applyFont="1" applyFill="1" applyBorder="1" applyAlignment="1" applyProtection="1">
      <alignment vertical="center"/>
      <protection locked="0"/>
    </xf>
    <xf numFmtId="9" fontId="278" fillId="0" borderId="0" xfId="88" applyFont="1" applyFill="1" applyAlignment="1">
      <alignment vertical="center"/>
    </xf>
    <xf numFmtId="4" fontId="323" fillId="0" borderId="0" xfId="42" applyNumberFormat="1" applyFont="1" applyFill="1" applyAlignment="1" applyProtection="1">
      <alignment vertical="center"/>
      <protection locked="0"/>
    </xf>
    <xf numFmtId="10" fontId="323" fillId="0" borderId="0" xfId="88" applyNumberFormat="1" applyFont="1" applyFill="1" applyAlignment="1" applyProtection="1">
      <alignment vertical="center"/>
      <protection locked="0"/>
    </xf>
    <xf numFmtId="4" fontId="320" fillId="0" borderId="672" xfId="30" applyNumberFormat="1" applyFont="1" applyFill="1" applyBorder="1" applyAlignment="1" applyProtection="1">
      <alignment vertical="center"/>
      <protection locked="0"/>
    </xf>
    <xf numFmtId="4" fontId="323" fillId="0" borderId="0" xfId="30" applyNumberFormat="1" applyFont="1" applyFill="1" applyAlignment="1" applyProtection="1">
      <alignment vertical="center"/>
      <protection locked="0"/>
    </xf>
    <xf numFmtId="4" fontId="320" fillId="0" borderId="685" xfId="2" applyNumberFormat="1" applyFont="1" applyFill="1" applyBorder="1" applyAlignment="1">
      <alignment vertical="top"/>
    </xf>
    <xf numFmtId="4" fontId="278" fillId="0" borderId="0" xfId="2" applyNumberFormat="1" applyFont="1" applyFill="1" applyAlignment="1" applyProtection="1">
      <alignment horizontal="center" vertical="center"/>
      <protection locked="0"/>
    </xf>
    <xf numFmtId="4" fontId="320" fillId="0" borderId="685" xfId="1" applyNumberFormat="1" applyFont="1" applyFill="1" applyBorder="1" applyAlignment="1">
      <alignment vertical="center"/>
    </xf>
    <xf numFmtId="10" fontId="320" fillId="0" borderId="642" xfId="88" applyNumberFormat="1" applyFont="1" applyFill="1" applyBorder="1" applyAlignment="1" applyProtection="1">
      <alignment vertical="center"/>
      <protection locked="0"/>
    </xf>
    <xf numFmtId="4" fontId="320" fillId="0" borderId="690" xfId="1" applyNumberFormat="1" applyFont="1" applyFill="1" applyBorder="1" applyAlignment="1" applyProtection="1">
      <alignment vertical="center"/>
      <protection locked="0"/>
    </xf>
    <xf numFmtId="9" fontId="320" fillId="0" borderId="0" xfId="88" applyFont="1" applyFill="1" applyAlignment="1">
      <alignment vertical="top"/>
    </xf>
    <xf numFmtId="4" fontId="320" fillId="0" borderId="0" xfId="1" applyNumberFormat="1" applyFont="1" applyFill="1" applyAlignment="1">
      <alignment horizontal="center" vertical="center"/>
    </xf>
    <xf numFmtId="4" fontId="278" fillId="0" borderId="0" xfId="1" applyNumberFormat="1" applyFont="1" applyFill="1" applyAlignment="1">
      <alignment horizontal="center" vertical="center"/>
    </xf>
    <xf numFmtId="4" fontId="320" fillId="0" borderId="690" xfId="2" applyNumberFormat="1" applyFont="1" applyFill="1" applyBorder="1" applyAlignment="1" applyProtection="1">
      <alignment vertical="center"/>
      <protection locked="0"/>
    </xf>
    <xf numFmtId="4" fontId="278" fillId="0" borderId="0" xfId="2" applyNumberFormat="1" applyFont="1" applyFill="1" applyAlignment="1">
      <alignment horizontal="center" vertical="center"/>
    </xf>
    <xf numFmtId="9" fontId="278" fillId="0" borderId="0" xfId="88" applyFont="1" applyFill="1" applyAlignment="1">
      <alignment horizontal="center" vertical="center"/>
    </xf>
    <xf numFmtId="4" fontId="323" fillId="0" borderId="547" xfId="1" applyNumberFormat="1" applyFont="1" applyFill="1" applyBorder="1" applyAlignment="1">
      <alignment horizontal="center" vertical="center"/>
    </xf>
    <xf numFmtId="4" fontId="320" fillId="0" borderId="690" xfId="46" applyNumberFormat="1" applyFont="1" applyFill="1" applyBorder="1" applyProtection="1">
      <protection locked="0"/>
    </xf>
    <xf numFmtId="4" fontId="320" fillId="0" borderId="0" xfId="46" applyNumberFormat="1" applyFont="1" applyFill="1" applyAlignment="1">
      <alignment horizontal="center"/>
    </xf>
    <xf numFmtId="4" fontId="278" fillId="0" borderId="547" xfId="46" applyNumberFormat="1" applyFont="1" applyFill="1" applyBorder="1" applyAlignment="1">
      <alignment horizontal="center"/>
    </xf>
    <xf numFmtId="0" fontId="278" fillId="0" borderId="547" xfId="88" applyNumberFormat="1" applyFont="1" applyFill="1" applyBorder="1" applyAlignment="1" applyProtection="1">
      <alignment horizontal="center" vertical="center"/>
      <protection locked="0"/>
    </xf>
    <xf numFmtId="4" fontId="320" fillId="0" borderId="0" xfId="88" applyNumberFormat="1" applyFont="1" applyFill="1" applyAlignment="1">
      <alignment horizontal="center" vertical="center"/>
    </xf>
    <xf numFmtId="10" fontId="320" fillId="0" borderId="0" xfId="88" applyNumberFormat="1" applyFont="1" applyFill="1" applyAlignment="1">
      <alignment horizontal="center" vertical="center"/>
    </xf>
    <xf numFmtId="10" fontId="323" fillId="0" borderId="547" xfId="88" applyNumberFormat="1" applyFont="1" applyFill="1" applyBorder="1" applyAlignment="1" applyProtection="1">
      <alignment horizontal="center" vertical="center"/>
      <protection locked="0"/>
    </xf>
    <xf numFmtId="4" fontId="320" fillId="0" borderId="690" xfId="30" applyNumberFormat="1" applyFont="1" applyFill="1" applyBorder="1" applyAlignment="1" applyProtection="1">
      <alignment vertical="center"/>
      <protection locked="0"/>
    </xf>
    <xf numFmtId="4" fontId="278" fillId="0" borderId="547" xfId="30" applyNumberFormat="1" applyFont="1" applyFill="1" applyBorder="1" applyAlignment="1" applyProtection="1">
      <alignment horizontal="center" vertical="center"/>
      <protection locked="0"/>
    </xf>
    <xf numFmtId="4" fontId="320" fillId="0" borderId="0" xfId="2" applyNumberFormat="1" applyFont="1" applyFill="1" applyAlignment="1">
      <alignment horizontal="center" vertical="center"/>
    </xf>
    <xf numFmtId="9" fontId="320" fillId="0" borderId="0" xfId="2" applyNumberFormat="1" applyFont="1" applyFill="1" applyAlignment="1">
      <alignment vertical="center"/>
    </xf>
    <xf numFmtId="4" fontId="320" fillId="0" borderId="691" xfId="42" applyNumberFormat="1" applyFont="1" applyFill="1" applyBorder="1" applyAlignment="1" applyProtection="1">
      <alignment vertical="center"/>
      <protection locked="0"/>
    </xf>
    <xf numFmtId="4" fontId="320" fillId="0" borderId="691" xfId="46" applyNumberFormat="1" applyFont="1" applyFill="1" applyBorder="1" applyProtection="1">
      <protection locked="0"/>
    </xf>
    <xf numFmtId="4" fontId="320" fillId="0" borderId="692" xfId="7" applyNumberFormat="1" applyFont="1" applyFill="1" applyBorder="1" applyAlignment="1" applyProtection="1">
      <alignment vertical="center"/>
      <protection locked="0"/>
    </xf>
    <xf numFmtId="4" fontId="320" fillId="0" borderId="692" xfId="30" applyNumberFormat="1" applyFont="1" applyFill="1" applyBorder="1" applyAlignment="1" applyProtection="1">
      <alignment vertical="center"/>
      <protection locked="0"/>
    </xf>
    <xf numFmtId="4" fontId="320" fillId="0" borderId="685" xfId="55" applyNumberFormat="1" applyFont="1" applyFill="1" applyBorder="1" applyAlignment="1" applyProtection="1">
      <alignment vertical="center"/>
      <protection locked="0"/>
    </xf>
    <xf numFmtId="4" fontId="358" fillId="0" borderId="246" xfId="30" applyNumberFormat="1" applyFont="1" applyFill="1" applyBorder="1" applyAlignment="1" applyProtection="1">
      <alignment horizontal="center" vertical="center"/>
      <protection locked="0"/>
    </xf>
    <xf numFmtId="4" fontId="358" fillId="0" borderId="636" xfId="30" applyNumberFormat="1" applyFont="1" applyFill="1" applyBorder="1" applyAlignment="1" applyProtection="1">
      <alignment horizontal="center" vertical="center"/>
      <protection locked="0"/>
    </xf>
    <xf numFmtId="0" fontId="220" fillId="0" borderId="0" xfId="47" applyFont="1" applyFill="1" applyAlignment="1" applyProtection="1">
      <alignment horizontal="center"/>
      <protection locked="0"/>
    </xf>
    <xf numFmtId="43" fontId="304" fillId="0" borderId="295" xfId="1" applyNumberFormat="1" applyFont="1" applyFill="1" applyBorder="1" applyAlignment="1">
      <alignment vertical="top"/>
    </xf>
    <xf numFmtId="43" fontId="304" fillId="0" borderId="295" xfId="2" applyNumberFormat="1" applyFont="1" applyFill="1" applyBorder="1" applyAlignment="1" applyProtection="1">
      <alignment vertical="top"/>
      <protection locked="0"/>
    </xf>
    <xf numFmtId="43" fontId="220" fillId="29" borderId="295" xfId="2" applyNumberFormat="1" applyFont="1" applyFill="1" applyBorder="1" applyAlignment="1" applyProtection="1">
      <alignment vertical="top"/>
      <protection locked="0"/>
    </xf>
    <xf numFmtId="43" fontId="220" fillId="0" borderId="295" xfId="2" applyNumberFormat="1" applyFont="1" applyFill="1" applyBorder="1" applyAlignment="1" applyProtection="1">
      <alignment vertical="top"/>
      <protection locked="0"/>
    </xf>
    <xf numFmtId="43" fontId="220" fillId="0" borderId="295" xfId="1" applyNumberFormat="1" applyFont="1" applyFill="1" applyBorder="1" applyAlignment="1" applyProtection="1">
      <alignment vertical="top" wrapText="1"/>
      <protection locked="0"/>
    </xf>
    <xf numFmtId="43" fontId="304" fillId="0" borderId="643" xfId="2" applyNumberFormat="1" applyFont="1" applyFill="1" applyBorder="1" applyAlignment="1" applyProtection="1">
      <alignment vertical="top" wrapText="1"/>
      <protection locked="0"/>
    </xf>
    <xf numFmtId="0" fontId="304" fillId="0" borderId="0" xfId="2" applyFont="1" applyFill="1" applyBorder="1" applyAlignment="1" applyProtection="1">
      <alignment vertical="top" wrapText="1"/>
      <protection locked="0"/>
    </xf>
    <xf numFmtId="43" fontId="353" fillId="0" borderId="0" xfId="2" applyNumberFormat="1" applyFont="1" applyFill="1" applyAlignment="1" applyProtection="1">
      <alignment vertical="top"/>
      <protection locked="0"/>
    </xf>
    <xf numFmtId="43" fontId="353" fillId="0" borderId="0" xfId="2" applyNumberFormat="1" applyFont="1" applyFill="1" applyBorder="1" applyAlignment="1" applyProtection="1">
      <alignment vertical="top"/>
      <protection locked="0"/>
    </xf>
    <xf numFmtId="43" fontId="220" fillId="0" borderId="0" xfId="2" applyNumberFormat="1" applyFont="1" applyFill="1" applyBorder="1" applyAlignment="1" applyProtection="1">
      <alignment vertical="top"/>
      <protection locked="0"/>
    </xf>
    <xf numFmtId="10" fontId="220" fillId="0" borderId="0" xfId="88" applyNumberFormat="1" applyFont="1" applyFill="1" applyBorder="1" applyAlignment="1" applyProtection="1">
      <alignment vertical="top"/>
      <protection locked="0"/>
    </xf>
    <xf numFmtId="0" fontId="220" fillId="0" borderId="671" xfId="2" applyFont="1" applyFill="1" applyBorder="1" applyAlignment="1" applyProtection="1">
      <alignment vertical="top"/>
      <protection locked="0"/>
    </xf>
    <xf numFmtId="0" fontId="220" fillId="0" borderId="644" xfId="2" applyFont="1" applyFill="1" applyBorder="1" applyAlignment="1" applyProtection="1">
      <alignment vertical="top"/>
      <protection locked="0"/>
    </xf>
    <xf numFmtId="0" fontId="220" fillId="0" borderId="258" xfId="2" applyFont="1" applyFill="1" applyBorder="1" applyAlignment="1" applyProtection="1">
      <alignment vertical="top"/>
      <protection locked="0"/>
    </xf>
    <xf numFmtId="0" fontId="220" fillId="0" borderId="0" xfId="1" applyNumberFormat="1" applyFont="1" applyFill="1" applyAlignment="1">
      <alignment horizontal="center" vertical="top"/>
    </xf>
    <xf numFmtId="0" fontId="292" fillId="0" borderId="478" xfId="2" applyFont="1" applyFill="1" applyBorder="1" applyAlignment="1" applyProtection="1">
      <alignment horizontal="center" vertical="top"/>
      <protection locked="0"/>
    </xf>
    <xf numFmtId="43" fontId="304" fillId="0" borderId="478" xfId="1" applyFont="1" applyFill="1" applyBorder="1" applyAlignment="1" applyProtection="1">
      <alignment vertical="top"/>
      <protection locked="0"/>
    </xf>
    <xf numFmtId="43" fontId="353" fillId="0" borderId="672" xfId="1" applyFont="1" applyFill="1" applyBorder="1" applyAlignment="1" applyProtection="1">
      <alignment vertical="top"/>
      <protection locked="0"/>
    </xf>
    <xf numFmtId="43" fontId="353" fillId="0" borderId="478" xfId="2" applyNumberFormat="1" applyFont="1" applyFill="1" applyBorder="1" applyAlignment="1" applyProtection="1">
      <alignment vertical="top"/>
      <protection locked="0"/>
    </xf>
    <xf numFmtId="43" fontId="220" fillId="0" borderId="478" xfId="2" applyNumberFormat="1" applyFont="1" applyFill="1" applyBorder="1" applyAlignment="1" applyProtection="1">
      <alignment vertical="top"/>
      <protection locked="0"/>
    </xf>
    <xf numFmtId="10" fontId="220" fillId="0" borderId="478" xfId="88" applyNumberFormat="1" applyFont="1" applyFill="1" applyBorder="1" applyAlignment="1" applyProtection="1">
      <alignment vertical="top"/>
      <protection locked="0"/>
    </xf>
    <xf numFmtId="0" fontId="292" fillId="0" borderId="295" xfId="2" applyFont="1" applyFill="1" applyBorder="1" applyAlignment="1" applyProtection="1">
      <alignment horizontal="center" vertical="top"/>
      <protection locked="0"/>
    </xf>
    <xf numFmtId="43" fontId="304" fillId="0" borderId="295" xfId="1" applyFont="1" applyFill="1" applyBorder="1" applyAlignment="1" applyProtection="1">
      <alignment vertical="top"/>
      <protection locked="0"/>
    </xf>
    <xf numFmtId="43" fontId="353" fillId="0" borderId="643" xfId="1" applyFont="1" applyFill="1" applyBorder="1" applyAlignment="1" applyProtection="1">
      <alignment vertical="top"/>
      <protection locked="0"/>
    </xf>
    <xf numFmtId="43" fontId="353" fillId="0" borderId="295" xfId="2" applyNumberFormat="1" applyFont="1" applyFill="1" applyBorder="1" applyAlignment="1" applyProtection="1">
      <alignment vertical="top"/>
      <protection locked="0"/>
    </xf>
    <xf numFmtId="10" fontId="220" fillId="0" borderId="295" xfId="88" applyNumberFormat="1" applyFont="1" applyFill="1" applyBorder="1" applyAlignment="1" applyProtection="1">
      <alignment vertical="top"/>
      <protection locked="0"/>
    </xf>
    <xf numFmtId="0" fontId="220" fillId="0" borderId="295" xfId="2" applyFont="1" applyFill="1" applyBorder="1" applyAlignment="1" applyProtection="1">
      <alignment horizontal="center" vertical="top"/>
      <protection locked="0"/>
    </xf>
    <xf numFmtId="43" fontId="353" fillId="0" borderId="570" xfId="2" applyNumberFormat="1" applyFont="1" applyFill="1" applyBorder="1" applyAlignment="1" applyProtection="1">
      <alignment vertical="top"/>
      <protection locked="0"/>
    </xf>
    <xf numFmtId="43" fontId="220" fillId="0" borderId="570" xfId="2" applyNumberFormat="1" applyFont="1" applyFill="1" applyBorder="1" applyAlignment="1" applyProtection="1">
      <alignment vertical="top"/>
      <protection locked="0"/>
    </xf>
    <xf numFmtId="10" fontId="220" fillId="0" borderId="570" xfId="88" applyNumberFormat="1" applyFont="1" applyFill="1" applyBorder="1" applyAlignment="1" applyProtection="1">
      <alignment vertical="top"/>
      <protection locked="0"/>
    </xf>
    <xf numFmtId="43" fontId="304" fillId="0" borderId="295" xfId="1" applyFont="1" applyFill="1" applyBorder="1" applyAlignment="1" applyProtection="1">
      <alignment vertical="top"/>
    </xf>
    <xf numFmtId="43" fontId="353" fillId="0" borderId="643" xfId="1" applyFont="1" applyFill="1" applyBorder="1" applyAlignment="1" applyProtection="1">
      <alignment vertical="top"/>
    </xf>
    <xf numFmtId="43" fontId="353" fillId="0" borderId="254" xfId="2" applyNumberFormat="1" applyFont="1" applyFill="1" applyBorder="1" applyAlignment="1" applyProtection="1">
      <alignment vertical="top"/>
      <protection locked="0"/>
    </xf>
    <xf numFmtId="43" fontId="220" fillId="0" borderId="254" xfId="2" applyNumberFormat="1" applyFont="1" applyFill="1" applyBorder="1" applyAlignment="1" applyProtection="1">
      <alignment vertical="top"/>
      <protection locked="0"/>
    </xf>
    <xf numFmtId="10" fontId="220" fillId="0" borderId="254" xfId="88" applyNumberFormat="1" applyFont="1" applyFill="1" applyBorder="1" applyAlignment="1" applyProtection="1">
      <alignment vertical="top"/>
      <protection locked="0"/>
    </xf>
    <xf numFmtId="43" fontId="220" fillId="0" borderId="254" xfId="1" applyNumberFormat="1" applyFont="1" applyFill="1" applyBorder="1" applyAlignment="1">
      <alignment vertical="top"/>
    </xf>
    <xf numFmtId="10" fontId="220" fillId="0" borderId="254" xfId="88" applyNumberFormat="1" applyFont="1" applyFill="1" applyBorder="1" applyAlignment="1">
      <alignment vertical="top"/>
    </xf>
    <xf numFmtId="43" fontId="365" fillId="0" borderId="0" xfId="1" applyFont="1" applyFill="1" applyAlignment="1">
      <alignment vertical="top"/>
    </xf>
    <xf numFmtId="43" fontId="304" fillId="0" borderId="254" xfId="2" applyNumberFormat="1" applyFont="1" applyFill="1" applyBorder="1" applyAlignment="1" applyProtection="1">
      <alignment vertical="top"/>
      <protection locked="0"/>
    </xf>
    <xf numFmtId="43" fontId="304" fillId="0" borderId="0" xfId="1" applyFont="1" applyFill="1" applyAlignment="1">
      <alignment vertical="top"/>
    </xf>
    <xf numFmtId="43" fontId="353" fillId="0" borderId="254" xfId="1" applyNumberFormat="1" applyFont="1" applyFill="1" applyBorder="1" applyAlignment="1">
      <alignment vertical="top"/>
    </xf>
    <xf numFmtId="43" fontId="304" fillId="0" borderId="643" xfId="1" applyNumberFormat="1" applyFont="1" applyFill="1" applyBorder="1" applyAlignment="1">
      <alignment vertical="top"/>
    </xf>
    <xf numFmtId="43" fontId="353" fillId="0" borderId="254" xfId="7" applyNumberFormat="1" applyFont="1" applyFill="1" applyBorder="1" applyAlignment="1">
      <alignment vertical="top"/>
    </xf>
    <xf numFmtId="43" fontId="220" fillId="0" borderId="254" xfId="7" applyNumberFormat="1" applyFont="1" applyFill="1" applyBorder="1" applyAlignment="1">
      <alignment vertical="top"/>
    </xf>
    <xf numFmtId="43" fontId="353" fillId="0" borderId="643" xfId="2" applyNumberFormat="1" applyFont="1" applyFill="1" applyBorder="1" applyAlignment="1" applyProtection="1">
      <alignment vertical="top"/>
      <protection locked="0"/>
    </xf>
    <xf numFmtId="43" fontId="353" fillId="0" borderId="553" xfId="2" applyNumberFormat="1" applyFont="1" applyFill="1" applyBorder="1" applyAlignment="1" applyProtection="1">
      <alignment vertical="top"/>
      <protection locked="0"/>
    </xf>
    <xf numFmtId="43" fontId="220" fillId="0" borderId="553" xfId="2" applyNumberFormat="1" applyFont="1" applyFill="1" applyBorder="1" applyAlignment="1" applyProtection="1">
      <alignment vertical="top"/>
      <protection locked="0"/>
    </xf>
    <xf numFmtId="10" fontId="220" fillId="0" borderId="553" xfId="88" applyNumberFormat="1" applyFont="1" applyFill="1" applyBorder="1" applyAlignment="1" applyProtection="1">
      <alignment vertical="top"/>
      <protection locked="0"/>
    </xf>
    <xf numFmtId="0" fontId="220" fillId="0" borderId="202" xfId="2" applyFont="1" applyFill="1" applyBorder="1" applyAlignment="1" applyProtection="1">
      <alignment vertical="center"/>
      <protection locked="0"/>
    </xf>
    <xf numFmtId="9" fontId="220" fillId="0" borderId="0" xfId="88" applyFont="1" applyFill="1" applyAlignment="1">
      <alignment vertical="center"/>
    </xf>
    <xf numFmtId="43" fontId="220" fillId="0" borderId="295" xfId="1" applyNumberFormat="1" applyFont="1" applyFill="1" applyBorder="1" applyAlignment="1">
      <alignment vertical="top"/>
    </xf>
    <xf numFmtId="10" fontId="220" fillId="0" borderId="295" xfId="88" applyNumberFormat="1" applyFont="1" applyFill="1" applyBorder="1" applyAlignment="1">
      <alignment vertical="top"/>
    </xf>
    <xf numFmtId="43" fontId="304" fillId="0" borderId="295" xfId="1" applyFont="1" applyFill="1" applyBorder="1" applyAlignment="1">
      <alignment vertical="top"/>
    </xf>
    <xf numFmtId="43" fontId="353" fillId="0" borderId="643" xfId="1" applyFont="1" applyFill="1" applyBorder="1" applyAlignment="1">
      <alignment vertical="top"/>
    </xf>
    <xf numFmtId="43" fontId="353" fillId="0" borderId="295" xfId="7" applyNumberFormat="1" applyFont="1" applyFill="1" applyBorder="1" applyAlignment="1">
      <alignment vertical="top"/>
    </xf>
    <xf numFmtId="43" fontId="304" fillId="0" borderId="295" xfId="7" applyNumberFormat="1" applyFont="1" applyFill="1" applyBorder="1" applyAlignment="1">
      <alignment vertical="top"/>
    </xf>
    <xf numFmtId="43" fontId="220" fillId="0" borderId="295" xfId="7" applyNumberFormat="1" applyFont="1" applyFill="1" applyBorder="1" applyAlignment="1">
      <alignment vertical="top"/>
    </xf>
    <xf numFmtId="0" fontId="220" fillId="0" borderId="546" xfId="2" applyFont="1" applyFill="1" applyBorder="1" applyAlignment="1" applyProtection="1">
      <alignment vertical="top"/>
      <protection locked="0"/>
    </xf>
    <xf numFmtId="0" fontId="220" fillId="0" borderId="569" xfId="2" applyFont="1" applyFill="1" applyBorder="1" applyAlignment="1" applyProtection="1">
      <alignment vertical="top"/>
      <protection locked="0"/>
    </xf>
    <xf numFmtId="0" fontId="220" fillId="0" borderId="569" xfId="2" applyFont="1" applyFill="1" applyBorder="1" applyAlignment="1" applyProtection="1">
      <alignment horizontal="center" vertical="top"/>
      <protection locked="0"/>
    </xf>
    <xf numFmtId="43" fontId="304" fillId="0" borderId="569" xfId="1" applyFont="1" applyFill="1" applyBorder="1" applyAlignment="1">
      <alignment vertical="top"/>
    </xf>
    <xf numFmtId="43" fontId="353" fillId="0" borderId="569" xfId="1" applyFont="1" applyFill="1" applyBorder="1" applyAlignment="1">
      <alignment vertical="top"/>
    </xf>
    <xf numFmtId="43" fontId="353" fillId="0" borderId="569" xfId="7" applyNumberFormat="1" applyFont="1" applyFill="1" applyBorder="1" applyAlignment="1">
      <alignment vertical="top"/>
    </xf>
    <xf numFmtId="43" fontId="220" fillId="0" borderId="569" xfId="1" applyNumberFormat="1" applyFont="1" applyFill="1" applyBorder="1" applyAlignment="1">
      <alignment vertical="top"/>
    </xf>
    <xf numFmtId="10" fontId="220" fillId="0" borderId="569" xfId="88" applyNumberFormat="1" applyFont="1" applyFill="1" applyBorder="1" applyAlignment="1">
      <alignment vertical="top"/>
    </xf>
    <xf numFmtId="43" fontId="220" fillId="0" borderId="569" xfId="7" applyNumberFormat="1" applyFont="1" applyFill="1" applyBorder="1" applyAlignment="1">
      <alignment vertical="top"/>
    </xf>
    <xf numFmtId="43" fontId="304" fillId="0" borderId="0" xfId="1" applyFont="1" applyFill="1" applyBorder="1" applyAlignment="1">
      <alignment vertical="top"/>
    </xf>
    <xf numFmtId="43" fontId="353" fillId="0" borderId="0" xfId="1" applyFont="1" applyFill="1" applyBorder="1" applyAlignment="1">
      <alignment vertical="top"/>
    </xf>
    <xf numFmtId="43" fontId="353" fillId="0" borderId="0" xfId="7" applyNumberFormat="1" applyFont="1" applyFill="1" applyBorder="1" applyAlignment="1">
      <alignment vertical="top"/>
    </xf>
    <xf numFmtId="43" fontId="220" fillId="0" borderId="0" xfId="1" applyNumberFormat="1" applyFont="1" applyFill="1" applyBorder="1" applyAlignment="1">
      <alignment vertical="top"/>
    </xf>
    <xf numFmtId="10" fontId="220" fillId="0" borderId="0" xfId="88" applyNumberFormat="1" applyFont="1" applyFill="1" applyBorder="1" applyAlignment="1">
      <alignment vertical="top"/>
    </xf>
    <xf numFmtId="43" fontId="220" fillId="0" borderId="0" xfId="7" applyNumberFormat="1" applyFont="1" applyFill="1" applyBorder="1" applyAlignment="1">
      <alignment vertical="top"/>
    </xf>
    <xf numFmtId="49" fontId="220" fillId="0" borderId="433" xfId="2" applyNumberFormat="1" applyFont="1" applyFill="1" applyBorder="1" applyAlignment="1" applyProtection="1">
      <alignment vertical="top"/>
      <protection locked="0"/>
    </xf>
    <xf numFmtId="0" fontId="220" fillId="0" borderId="433" xfId="2" applyFont="1" applyFill="1" applyBorder="1" applyAlignment="1" applyProtection="1">
      <alignment vertical="top"/>
      <protection locked="0"/>
    </xf>
    <xf numFmtId="43" fontId="353" fillId="0" borderId="295" xfId="7" applyNumberFormat="1" applyFont="1" applyFill="1" applyBorder="1" applyAlignment="1" applyProtection="1">
      <alignment vertical="top"/>
      <protection locked="0"/>
    </xf>
    <xf numFmtId="43" fontId="304" fillId="0" borderId="295" xfId="7" applyNumberFormat="1" applyFont="1" applyFill="1" applyBorder="1" applyAlignment="1" applyProtection="1">
      <alignment vertical="top"/>
      <protection locked="0"/>
    </xf>
    <xf numFmtId="0" fontId="220" fillId="0" borderId="202" xfId="2" applyFont="1" applyFill="1" applyBorder="1" applyAlignment="1">
      <alignment vertical="top"/>
    </xf>
    <xf numFmtId="0" fontId="220" fillId="0" borderId="295" xfId="2" applyFont="1" applyFill="1" applyBorder="1" applyAlignment="1">
      <alignment horizontal="center" vertical="top"/>
    </xf>
    <xf numFmtId="43" fontId="220" fillId="29" borderId="295" xfId="1" applyNumberFormat="1" applyFont="1" applyFill="1" applyBorder="1" applyAlignment="1">
      <alignment vertical="top"/>
    </xf>
    <xf numFmtId="43" fontId="353" fillId="0" borderId="295" xfId="2" applyNumberFormat="1" applyFont="1" applyFill="1" applyBorder="1" applyAlignment="1">
      <alignment vertical="top"/>
    </xf>
    <xf numFmtId="43" fontId="220" fillId="0" borderId="295" xfId="2" applyNumberFormat="1" applyFont="1" applyFill="1" applyBorder="1" applyAlignment="1">
      <alignment vertical="top"/>
    </xf>
    <xf numFmtId="43" fontId="220" fillId="0" borderId="0" xfId="1" applyFont="1" applyFill="1" applyAlignment="1">
      <alignment horizontal="right" vertical="top"/>
    </xf>
    <xf numFmtId="9" fontId="220" fillId="0" borderId="0" xfId="88" applyFont="1" applyFill="1" applyAlignment="1">
      <alignment horizontal="right" vertical="top"/>
    </xf>
    <xf numFmtId="0" fontId="220" fillId="0" borderId="199" xfId="2" applyFont="1" applyFill="1" applyBorder="1" applyAlignment="1" applyProtection="1">
      <alignment vertical="top"/>
      <protection locked="0"/>
    </xf>
    <xf numFmtId="0" fontId="220" fillId="0" borderId="300" xfId="2" applyFont="1" applyFill="1" applyBorder="1" applyAlignment="1" applyProtection="1">
      <alignment vertical="top"/>
      <protection locked="0"/>
    </xf>
    <xf numFmtId="0" fontId="220" fillId="0" borderId="560" xfId="2" applyFont="1" applyFill="1" applyBorder="1" applyAlignment="1" applyProtection="1">
      <alignment vertical="top"/>
      <protection locked="0"/>
    </xf>
    <xf numFmtId="43" fontId="304" fillId="0" borderId="643" xfId="2" applyNumberFormat="1" applyFont="1" applyFill="1" applyBorder="1" applyAlignment="1" applyProtection="1">
      <alignment vertical="top"/>
      <protection locked="0"/>
    </xf>
    <xf numFmtId="0" fontId="220" fillId="0" borderId="300" xfId="2" applyFont="1" applyFill="1" applyBorder="1" applyAlignment="1">
      <alignment vertical="top"/>
    </xf>
    <xf numFmtId="0" fontId="220" fillId="0" borderId="560" xfId="0" applyNumberFormat="1" applyFont="1" applyFill="1" applyBorder="1" applyAlignment="1">
      <alignment horizontal="left" vertical="top" wrapText="1"/>
    </xf>
    <xf numFmtId="43" fontId="353" fillId="0" borderId="295" xfId="1" applyNumberFormat="1" applyFont="1" applyFill="1" applyBorder="1" applyAlignment="1">
      <alignment vertical="top"/>
    </xf>
    <xf numFmtId="43" fontId="304" fillId="0" borderId="553" xfId="2" applyNumberFormat="1" applyFont="1" applyFill="1" applyBorder="1" applyAlignment="1" applyProtection="1">
      <alignment vertical="top"/>
      <protection locked="0"/>
    </xf>
    <xf numFmtId="43" fontId="304" fillId="0" borderId="0" xfId="1" applyFont="1" applyFill="1" applyAlignment="1">
      <alignment vertical="center"/>
    </xf>
    <xf numFmtId="0" fontId="220" fillId="0" borderId="199" xfId="2" applyFont="1" applyFill="1" applyBorder="1" applyAlignment="1" applyProtection="1">
      <alignment vertical="top" wrapText="1"/>
      <protection locked="0"/>
    </xf>
    <xf numFmtId="0" fontId="220" fillId="0" borderId="0" xfId="2" applyFont="1" applyFill="1" applyBorder="1" applyAlignment="1" applyProtection="1">
      <alignment vertical="top" wrapText="1"/>
      <protection locked="0"/>
    </xf>
    <xf numFmtId="4" fontId="304" fillId="0" borderId="295" xfId="2" applyNumberFormat="1" applyFont="1" applyFill="1" applyBorder="1" applyAlignment="1" applyProtection="1">
      <alignment horizontal="left" vertical="top"/>
      <protection locked="0"/>
    </xf>
    <xf numFmtId="4" fontId="353" fillId="0" borderId="643" xfId="2" applyNumberFormat="1" applyFont="1" applyFill="1" applyBorder="1" applyAlignment="1" applyProtection="1">
      <alignment horizontal="left" vertical="top"/>
      <protection locked="0"/>
    </xf>
    <xf numFmtId="43" fontId="220" fillId="0" borderId="295" xfId="2" applyNumberFormat="1" applyFont="1" applyFill="1" applyBorder="1" applyAlignment="1" applyProtection="1">
      <alignment horizontal="right" vertical="top"/>
      <protection locked="0"/>
    </xf>
    <xf numFmtId="43" fontId="304" fillId="29" borderId="295" xfId="2" applyNumberFormat="1" applyFont="1" applyFill="1" applyBorder="1" applyAlignment="1" applyProtection="1">
      <alignment vertical="top"/>
      <protection locked="0"/>
    </xf>
    <xf numFmtId="43" fontId="220" fillId="0" borderId="295" xfId="1" applyNumberFormat="1" applyFont="1" applyFill="1" applyBorder="1" applyAlignment="1" applyProtection="1">
      <alignment vertical="top"/>
      <protection locked="0"/>
    </xf>
    <xf numFmtId="0" fontId="220" fillId="0" borderId="553" xfId="2" applyFont="1" applyFill="1" applyBorder="1" applyAlignment="1" applyProtection="1">
      <alignment horizontal="center" vertical="top"/>
      <protection locked="0"/>
    </xf>
    <xf numFmtId="43" fontId="220" fillId="0" borderId="0" xfId="1" applyFont="1" applyFill="1" applyBorder="1" applyAlignment="1">
      <alignment vertical="top"/>
    </xf>
    <xf numFmtId="9" fontId="220" fillId="0" borderId="0" xfId="88" applyFont="1" applyFill="1" applyBorder="1" applyAlignment="1">
      <alignment vertical="top"/>
    </xf>
    <xf numFmtId="0" fontId="220" fillId="0" borderId="0" xfId="2" applyFont="1" applyFill="1" applyBorder="1" applyAlignment="1">
      <alignment vertical="top"/>
    </xf>
    <xf numFmtId="49" fontId="220" fillId="0" borderId="215" xfId="2" applyNumberFormat="1" applyFont="1" applyFill="1" applyBorder="1" applyAlignment="1" applyProtection="1">
      <alignment vertical="top"/>
      <protection locked="0"/>
    </xf>
    <xf numFmtId="0" fontId="220" fillId="0" borderId="215" xfId="2" applyFont="1" applyFill="1" applyBorder="1" applyAlignment="1" applyProtection="1">
      <alignment vertical="top"/>
      <protection locked="0"/>
    </xf>
    <xf numFmtId="0" fontId="220" fillId="0" borderId="215" xfId="2" applyFont="1" applyFill="1" applyBorder="1" applyAlignment="1" applyProtection="1">
      <alignment horizontal="center" vertical="top"/>
      <protection locked="0"/>
    </xf>
    <xf numFmtId="43" fontId="353" fillId="0" borderId="215" xfId="2" applyNumberFormat="1" applyFont="1" applyFill="1" applyBorder="1" applyAlignment="1" applyProtection="1">
      <alignment vertical="top"/>
      <protection locked="0"/>
    </xf>
    <xf numFmtId="43" fontId="220" fillId="0" borderId="555" xfId="2" applyNumberFormat="1" applyFont="1" applyFill="1" applyBorder="1" applyAlignment="1" applyProtection="1">
      <alignment vertical="top"/>
      <protection locked="0"/>
    </xf>
    <xf numFmtId="10" fontId="220" fillId="0" borderId="555" xfId="88" applyNumberFormat="1" applyFont="1" applyFill="1" applyBorder="1" applyAlignment="1" applyProtection="1">
      <alignment vertical="top"/>
      <protection locked="0"/>
    </xf>
    <xf numFmtId="43" fontId="220" fillId="0" borderId="215" xfId="2" applyNumberFormat="1" applyFont="1" applyFill="1" applyBorder="1" applyAlignment="1" applyProtection="1">
      <alignment vertical="top"/>
      <protection locked="0"/>
    </xf>
    <xf numFmtId="49" fontId="220" fillId="0" borderId="0" xfId="2" applyNumberFormat="1" applyFont="1" applyFill="1" applyBorder="1" applyAlignment="1" applyProtection="1">
      <alignment vertical="top"/>
      <protection locked="0"/>
    </xf>
    <xf numFmtId="49" fontId="220" fillId="0" borderId="644" xfId="2" applyNumberFormat="1" applyFont="1" applyFill="1" applyBorder="1" applyAlignment="1" applyProtection="1">
      <alignment vertical="top"/>
      <protection locked="0"/>
    </xf>
    <xf numFmtId="0" fontId="220" fillId="0" borderId="676" xfId="0" applyFont="1" applyFill="1" applyBorder="1" applyAlignment="1" applyProtection="1">
      <alignment vertical="top"/>
      <protection locked="0"/>
    </xf>
    <xf numFmtId="0" fontId="220" fillId="0" borderId="676" xfId="0" applyFont="1" applyFill="1" applyBorder="1" applyAlignment="1" applyProtection="1">
      <alignment horizontal="center" vertical="top"/>
      <protection locked="0"/>
    </xf>
    <xf numFmtId="43" fontId="304" fillId="0" borderId="643" xfId="1" applyFont="1" applyFill="1" applyBorder="1" applyAlignment="1" applyProtection="1">
      <alignment vertical="top"/>
      <protection locked="0"/>
    </xf>
    <xf numFmtId="43" fontId="353" fillId="0" borderId="643" xfId="1" applyNumberFormat="1" applyFont="1" applyFill="1" applyBorder="1" applyAlignment="1" applyProtection="1">
      <alignment vertical="top"/>
      <protection locked="0"/>
    </xf>
    <xf numFmtId="43" fontId="220" fillId="0" borderId="643" xfId="1" applyNumberFormat="1" applyFont="1" applyFill="1" applyBorder="1" applyAlignment="1">
      <alignment vertical="top"/>
    </xf>
    <xf numFmtId="10" fontId="220" fillId="0" borderId="643" xfId="88" applyNumberFormat="1" applyFont="1" applyFill="1" applyBorder="1" applyAlignment="1">
      <alignment vertical="top"/>
    </xf>
    <xf numFmtId="43" fontId="220" fillId="0" borderId="643" xfId="1" applyNumberFormat="1" applyFont="1" applyFill="1" applyBorder="1" applyAlignment="1" applyProtection="1">
      <alignment vertical="top"/>
      <protection locked="0"/>
    </xf>
    <xf numFmtId="0" fontId="220" fillId="0" borderId="199" xfId="0" applyFont="1" applyFill="1" applyBorder="1" applyAlignment="1" applyProtection="1">
      <alignment vertical="top"/>
      <protection locked="0"/>
    </xf>
    <xf numFmtId="0" fontId="220" fillId="0" borderId="199" xfId="0" applyFont="1" applyFill="1" applyBorder="1" applyAlignment="1" applyProtection="1">
      <alignment horizontal="center" vertical="top"/>
      <protection locked="0"/>
    </xf>
    <xf numFmtId="43" fontId="353" fillId="0" borderId="295" xfId="1" applyNumberFormat="1" applyFont="1" applyFill="1" applyBorder="1" applyAlignment="1" applyProtection="1">
      <alignment vertical="top"/>
      <protection locked="0"/>
    </xf>
    <xf numFmtId="43" fontId="220" fillId="29" borderId="295" xfId="1" applyNumberFormat="1" applyFont="1" applyFill="1" applyBorder="1" applyAlignment="1" applyProtection="1">
      <alignment vertical="top"/>
      <protection locked="0"/>
    </xf>
    <xf numFmtId="43" fontId="220" fillId="29" borderId="643" xfId="1" applyNumberFormat="1" applyFont="1" applyFill="1" applyBorder="1" applyAlignment="1" applyProtection="1">
      <alignment vertical="top"/>
      <protection locked="0"/>
    </xf>
    <xf numFmtId="49" fontId="220" fillId="0" borderId="300" xfId="2" applyNumberFormat="1" applyFont="1" applyFill="1" applyBorder="1" applyAlignment="1" applyProtection="1">
      <alignment vertical="top"/>
      <protection locked="0"/>
    </xf>
    <xf numFmtId="0" fontId="220" fillId="0" borderId="550" xfId="0" applyFont="1" applyFill="1" applyBorder="1" applyAlignment="1" applyProtection="1">
      <alignment vertical="top"/>
      <protection locked="0"/>
    </xf>
    <xf numFmtId="0" fontId="220" fillId="0" borderId="550" xfId="0" applyFont="1" applyFill="1" applyBorder="1" applyAlignment="1" applyProtection="1">
      <alignment horizontal="center" vertical="top"/>
      <protection locked="0"/>
    </xf>
    <xf numFmtId="0" fontId="220" fillId="0" borderId="583" xfId="0" applyFont="1" applyFill="1" applyBorder="1" applyAlignment="1" applyProtection="1">
      <alignment vertical="top"/>
      <protection locked="0"/>
    </xf>
    <xf numFmtId="0" fontId="220" fillId="0" borderId="583" xfId="0" applyFont="1" applyFill="1" applyBorder="1" applyAlignment="1" applyProtection="1">
      <alignment horizontal="center" vertical="top"/>
      <protection locked="0"/>
    </xf>
    <xf numFmtId="0" fontId="220" fillId="0" borderId="550" xfId="2" applyFont="1" applyFill="1" applyBorder="1" applyAlignment="1" applyProtection="1">
      <alignment vertical="top"/>
      <protection locked="0"/>
    </xf>
    <xf numFmtId="0" fontId="220" fillId="0" borderId="550" xfId="2" applyFont="1" applyFill="1" applyBorder="1" applyAlignment="1" applyProtection="1">
      <alignment horizontal="center" vertical="top"/>
      <protection locked="0"/>
    </xf>
    <xf numFmtId="43" fontId="220" fillId="29" borderId="643" xfId="2" applyNumberFormat="1" applyFont="1" applyFill="1" applyBorder="1" applyAlignment="1" applyProtection="1">
      <alignment vertical="top"/>
      <protection locked="0"/>
    </xf>
    <xf numFmtId="0" fontId="220" fillId="0" borderId="645" xfId="2" applyFont="1" applyFill="1" applyBorder="1" applyAlignment="1" applyProtection="1">
      <alignment vertical="top"/>
      <protection locked="0"/>
    </xf>
    <xf numFmtId="0" fontId="220" fillId="0" borderId="645" xfId="2" applyFont="1" applyFill="1" applyBorder="1" applyAlignment="1" applyProtection="1">
      <alignment horizontal="center" vertical="top"/>
      <protection locked="0"/>
    </xf>
    <xf numFmtId="4" fontId="220" fillId="29" borderId="0" xfId="2" applyNumberFormat="1" applyFont="1" applyFill="1" applyAlignment="1">
      <alignment vertical="top"/>
    </xf>
    <xf numFmtId="43" fontId="220" fillId="29" borderId="643" xfId="1" applyNumberFormat="1" applyFont="1" applyFill="1" applyBorder="1" applyAlignment="1">
      <alignment vertical="top"/>
    </xf>
    <xf numFmtId="0" fontId="220" fillId="0" borderId="644" xfId="2" applyFont="1" applyFill="1" applyBorder="1" applyAlignment="1">
      <alignment vertical="top"/>
    </xf>
    <xf numFmtId="0" fontId="220" fillId="0" borderId="691" xfId="2" applyFont="1" applyFill="1" applyBorder="1" applyAlignment="1" applyProtection="1">
      <alignment vertical="top"/>
      <protection locked="0"/>
    </xf>
    <xf numFmtId="0" fontId="220" fillId="0" borderId="691" xfId="2" applyFont="1" applyFill="1" applyBorder="1" applyAlignment="1" applyProtection="1">
      <alignment horizontal="center" vertical="top"/>
      <protection locked="0"/>
    </xf>
    <xf numFmtId="0" fontId="220" fillId="0" borderId="645" xfId="2" applyFont="1" applyFill="1" applyBorder="1" applyAlignment="1" applyProtection="1">
      <alignment vertical="top" wrapText="1"/>
      <protection locked="0"/>
    </xf>
    <xf numFmtId="43" fontId="220" fillId="0" borderId="0" xfId="2" applyNumberFormat="1" applyFont="1" applyFill="1" applyAlignment="1">
      <alignment vertical="top"/>
    </xf>
    <xf numFmtId="43" fontId="304" fillId="0" borderId="643" xfId="1" applyFont="1" applyFill="1" applyBorder="1" applyAlignment="1">
      <alignment vertical="top"/>
    </xf>
    <xf numFmtId="43" fontId="353" fillId="0" borderId="643" xfId="7" applyNumberFormat="1" applyFont="1" applyFill="1" applyBorder="1" applyAlignment="1">
      <alignment vertical="top"/>
    </xf>
    <xf numFmtId="43" fontId="220" fillId="29" borderId="643" xfId="7" applyNumberFormat="1" applyFont="1" applyFill="1" applyBorder="1" applyAlignment="1">
      <alignment vertical="top"/>
    </xf>
    <xf numFmtId="4" fontId="304" fillId="0" borderId="295" xfId="2" applyNumberFormat="1" applyFont="1" applyFill="1" applyBorder="1" applyAlignment="1" applyProtection="1">
      <alignment vertical="top"/>
      <protection locked="0"/>
    </xf>
    <xf numFmtId="4" fontId="353" fillId="0" borderId="643" xfId="2" applyNumberFormat="1" applyFont="1" applyFill="1" applyBorder="1" applyAlignment="1" applyProtection="1">
      <alignment vertical="top"/>
      <protection locked="0"/>
    </xf>
    <xf numFmtId="4" fontId="220" fillId="0" borderId="295" xfId="2" applyNumberFormat="1" applyFont="1" applyFill="1" applyBorder="1" applyAlignment="1" applyProtection="1">
      <alignment vertical="top"/>
      <protection locked="0"/>
    </xf>
    <xf numFmtId="0" fontId="220" fillId="0" borderId="275" xfId="2" applyFont="1" applyFill="1" applyBorder="1" applyAlignment="1">
      <alignment vertical="top"/>
    </xf>
    <xf numFmtId="0" fontId="220" fillId="0" borderId="560" xfId="2" applyFont="1" applyFill="1" applyBorder="1" applyAlignment="1" applyProtection="1">
      <alignment vertical="top" wrapText="1"/>
      <protection locked="0"/>
    </xf>
    <xf numFmtId="49" fontId="292" fillId="0" borderId="644" xfId="2" applyNumberFormat="1" applyFont="1" applyFill="1" applyBorder="1" applyAlignment="1" applyProtection="1">
      <alignment vertical="center"/>
      <protection locked="0"/>
    </xf>
    <xf numFmtId="0" fontId="220" fillId="0" borderId="643" xfId="2" applyFont="1" applyFill="1" applyBorder="1" applyAlignment="1" applyProtection="1">
      <alignment horizontal="center" vertical="center"/>
      <protection locked="0"/>
    </xf>
    <xf numFmtId="49" fontId="292" fillId="0" borderId="569" xfId="2" applyNumberFormat="1" applyFont="1" applyFill="1" applyBorder="1" applyAlignment="1" applyProtection="1">
      <alignment vertical="center"/>
      <protection locked="0"/>
    </xf>
    <xf numFmtId="49" fontId="292" fillId="0" borderId="0" xfId="2" applyNumberFormat="1" applyFont="1" applyFill="1" applyBorder="1" applyAlignment="1" applyProtection="1">
      <alignment vertical="center"/>
      <protection locked="0"/>
    </xf>
    <xf numFmtId="43" fontId="353" fillId="0" borderId="433" xfId="2" applyNumberFormat="1" applyFont="1" applyFill="1" applyBorder="1" applyAlignment="1" applyProtection="1">
      <alignment vertical="top"/>
      <protection locked="0"/>
    </xf>
    <xf numFmtId="43" fontId="220" fillId="0" borderId="433" xfId="2" applyNumberFormat="1" applyFont="1" applyFill="1" applyBorder="1" applyAlignment="1" applyProtection="1">
      <alignment vertical="top"/>
      <protection locked="0"/>
    </xf>
    <xf numFmtId="10" fontId="220" fillId="0" borderId="433" xfId="88" applyNumberFormat="1" applyFont="1" applyFill="1" applyBorder="1" applyAlignment="1" applyProtection="1">
      <alignment vertical="top"/>
      <protection locked="0"/>
    </xf>
    <xf numFmtId="49" fontId="292" fillId="0" borderId="300" xfId="2" applyNumberFormat="1" applyFont="1" applyFill="1" applyBorder="1" applyAlignment="1" applyProtection="1">
      <alignment vertical="top"/>
      <protection locked="0"/>
    </xf>
    <xf numFmtId="43" fontId="304" fillId="0" borderId="643" xfId="7" applyNumberFormat="1" applyFont="1" applyFill="1" applyBorder="1" applyAlignment="1">
      <alignment vertical="top"/>
    </xf>
    <xf numFmtId="0" fontId="220" fillId="0" borderId="199" xfId="2" applyFont="1" applyFill="1" applyBorder="1" applyAlignment="1">
      <alignment horizontal="center" vertical="top"/>
    </xf>
    <xf numFmtId="0" fontId="292" fillId="0" borderId="199" xfId="2" applyFont="1" applyFill="1" applyBorder="1" applyAlignment="1" applyProtection="1">
      <alignment horizontal="center" vertical="top"/>
      <protection locked="0"/>
    </xf>
    <xf numFmtId="0" fontId="220" fillId="0" borderId="211" xfId="2" applyFont="1" applyFill="1" applyBorder="1" applyAlignment="1" applyProtection="1">
      <alignment vertical="top"/>
      <protection locked="0"/>
    </xf>
    <xf numFmtId="0" fontId="220" fillId="0" borderId="199" xfId="0" applyFont="1" applyFill="1" applyBorder="1" applyAlignment="1" applyProtection="1">
      <alignment vertical="top" wrapText="1"/>
      <protection locked="0"/>
    </xf>
    <xf numFmtId="0" fontId="220" fillId="0" borderId="561" xfId="0" applyFont="1" applyFill="1" applyBorder="1" applyAlignment="1" applyProtection="1">
      <alignment vertical="top" wrapText="1"/>
      <protection locked="0"/>
    </xf>
    <xf numFmtId="0" fontId="220" fillId="0" borderId="561" xfId="0" applyFont="1" applyFill="1" applyBorder="1" applyAlignment="1" applyProtection="1">
      <alignment horizontal="center" vertical="top"/>
      <protection locked="0"/>
    </xf>
    <xf numFmtId="0" fontId="220" fillId="0" borderId="558" xfId="0" applyFont="1" applyFill="1" applyBorder="1" applyAlignment="1" applyProtection="1">
      <alignment vertical="top" wrapText="1"/>
      <protection locked="0"/>
    </xf>
    <xf numFmtId="0" fontId="220" fillId="0" borderId="558" xfId="0" applyFont="1" applyFill="1" applyBorder="1" applyAlignment="1" applyProtection="1">
      <alignment horizontal="center" vertical="top"/>
      <protection locked="0"/>
    </xf>
    <xf numFmtId="0" fontId="220" fillId="0" borderId="395" xfId="2" applyFont="1" applyFill="1" applyBorder="1" applyAlignment="1" applyProtection="1">
      <alignment horizontal="center" vertical="top"/>
      <protection locked="0"/>
    </xf>
    <xf numFmtId="0" fontId="220" fillId="0" borderId="211" xfId="2" applyFont="1" applyFill="1" applyBorder="1" applyAlignment="1">
      <alignment vertical="top"/>
    </xf>
    <xf numFmtId="43" fontId="304" fillId="0" borderId="212" xfId="1" applyFont="1" applyFill="1" applyBorder="1" applyAlignment="1" applyProtection="1">
      <alignment vertical="top"/>
      <protection locked="0"/>
    </xf>
    <xf numFmtId="43" fontId="353" fillId="0" borderId="676" xfId="1" applyFont="1" applyFill="1" applyBorder="1" applyAlignment="1" applyProtection="1">
      <alignment vertical="top"/>
      <protection locked="0"/>
    </xf>
    <xf numFmtId="43" fontId="353" fillId="0" borderId="552" xfId="2" applyNumberFormat="1" applyFont="1" applyFill="1" applyBorder="1" applyAlignment="1" applyProtection="1">
      <alignment vertical="top"/>
      <protection locked="0"/>
    </xf>
    <xf numFmtId="43" fontId="220" fillId="29" borderId="558" xfId="1" applyNumberFormat="1" applyFont="1" applyFill="1" applyBorder="1" applyAlignment="1">
      <alignment vertical="top"/>
    </xf>
    <xf numFmtId="43" fontId="220" fillId="0" borderId="552" xfId="2" applyNumberFormat="1" applyFont="1" applyFill="1" applyBorder="1" applyAlignment="1" applyProtection="1">
      <alignment vertical="top"/>
      <protection locked="0"/>
    </xf>
    <xf numFmtId="4" fontId="304" fillId="0" borderId="212" xfId="2" applyNumberFormat="1" applyFont="1" applyFill="1" applyBorder="1" applyAlignment="1" applyProtection="1">
      <alignment vertical="top"/>
      <protection locked="0"/>
    </xf>
    <xf numFmtId="4" fontId="353" fillId="0" borderId="676" xfId="2" applyNumberFormat="1" applyFont="1" applyFill="1" applyBorder="1" applyAlignment="1" applyProtection="1">
      <alignment vertical="top"/>
      <protection locked="0"/>
    </xf>
    <xf numFmtId="43" fontId="304" fillId="0" borderId="201" xfId="1" applyFont="1" applyFill="1" applyBorder="1" applyAlignment="1" applyProtection="1">
      <alignment vertical="top"/>
      <protection locked="0"/>
    </xf>
    <xf numFmtId="43" fontId="353" fillId="0" borderId="621" xfId="2" applyNumberFormat="1" applyFont="1" applyFill="1" applyBorder="1" applyAlignment="1" applyProtection="1">
      <alignment vertical="top"/>
      <protection locked="0"/>
    </xf>
    <xf numFmtId="43" fontId="304" fillId="0" borderId="552" xfId="2" applyNumberFormat="1" applyFont="1" applyFill="1" applyBorder="1" applyAlignment="1" applyProtection="1">
      <alignment vertical="top"/>
      <protection locked="0"/>
    </xf>
    <xf numFmtId="0" fontId="220" fillId="0" borderId="395" xfId="2" applyFont="1" applyFill="1" applyBorder="1" applyAlignment="1" applyProtection="1">
      <alignment vertical="top" wrapText="1"/>
      <protection locked="0"/>
    </xf>
    <xf numFmtId="43" fontId="304" fillId="0" borderId="303" xfId="1" applyFont="1" applyFill="1" applyBorder="1" applyAlignment="1" applyProtection="1">
      <alignment vertical="top"/>
      <protection locked="0"/>
    </xf>
    <xf numFmtId="43" fontId="353" fillId="0" borderId="621" xfId="2" applyNumberFormat="1" applyFont="1" applyFill="1" applyBorder="1" applyAlignment="1" applyProtection="1">
      <alignment vertical="top" wrapText="1"/>
      <protection locked="0"/>
    </xf>
    <xf numFmtId="43" fontId="220" fillId="0" borderId="552" xfId="2" applyNumberFormat="1" applyFont="1" applyFill="1" applyBorder="1" applyAlignment="1" applyProtection="1">
      <alignment vertical="top" wrapText="1"/>
      <protection locked="0"/>
    </xf>
    <xf numFmtId="0" fontId="220" fillId="0" borderId="555" xfId="2" applyFont="1" applyFill="1" applyBorder="1" applyAlignment="1">
      <alignment vertical="top"/>
    </xf>
    <xf numFmtId="0" fontId="220" fillId="0" borderId="555" xfId="2" applyFont="1" applyFill="1" applyBorder="1" applyAlignment="1" applyProtection="1">
      <alignment vertical="top" wrapText="1"/>
      <protection locked="0"/>
    </xf>
    <xf numFmtId="0" fontId="220" fillId="0" borderId="555" xfId="2" applyFont="1" applyFill="1" applyBorder="1" applyAlignment="1" applyProtection="1">
      <alignment horizontal="center" vertical="top"/>
      <protection locked="0"/>
    </xf>
    <xf numFmtId="43" fontId="304" fillId="0" borderId="555" xfId="1" applyFont="1" applyFill="1" applyBorder="1" applyAlignment="1" applyProtection="1">
      <alignment vertical="top"/>
      <protection locked="0"/>
    </xf>
    <xf numFmtId="43" fontId="353" fillId="0" borderId="555" xfId="2" applyNumberFormat="1" applyFont="1" applyFill="1" applyBorder="1" applyAlignment="1" applyProtection="1">
      <alignment vertical="top" wrapText="1"/>
      <protection locked="0"/>
    </xf>
    <xf numFmtId="43" fontId="220" fillId="0" borderId="555" xfId="1" applyNumberFormat="1" applyFont="1" applyFill="1" applyBorder="1" applyAlignment="1">
      <alignment vertical="top"/>
    </xf>
    <xf numFmtId="10" fontId="220" fillId="0" borderId="555" xfId="88" applyNumberFormat="1" applyFont="1" applyFill="1" applyBorder="1" applyAlignment="1">
      <alignment vertical="top"/>
    </xf>
    <xf numFmtId="43" fontId="220" fillId="0" borderId="555" xfId="2" applyNumberFormat="1" applyFont="1" applyFill="1" applyBorder="1" applyAlignment="1" applyProtection="1">
      <alignment vertical="top" wrapText="1"/>
      <protection locked="0"/>
    </xf>
    <xf numFmtId="43" fontId="353" fillId="0" borderId="0" xfId="2" applyNumberFormat="1" applyFont="1" applyFill="1" applyBorder="1" applyAlignment="1" applyProtection="1">
      <alignment vertical="top" wrapText="1"/>
      <protection locked="0"/>
    </xf>
    <xf numFmtId="43" fontId="220" fillId="0" borderId="0" xfId="2" applyNumberFormat="1" applyFont="1" applyFill="1" applyBorder="1" applyAlignment="1" applyProtection="1">
      <alignment vertical="top" wrapText="1"/>
      <protection locked="0"/>
    </xf>
    <xf numFmtId="0" fontId="220" fillId="0" borderId="560" xfId="2" applyFont="1" applyFill="1" applyBorder="1" applyAlignment="1" applyProtection="1">
      <alignment horizontal="center" vertical="top"/>
      <protection locked="0"/>
    </xf>
    <xf numFmtId="43" fontId="353" fillId="0" borderId="560" xfId="2" applyNumberFormat="1" applyFont="1" applyFill="1" applyBorder="1" applyAlignment="1" applyProtection="1">
      <alignment vertical="top" wrapText="1"/>
      <protection locked="0"/>
    </xf>
    <xf numFmtId="43" fontId="220" fillId="0" borderId="560" xfId="1" applyNumberFormat="1" applyFont="1" applyFill="1" applyBorder="1" applyAlignment="1">
      <alignment vertical="top"/>
    </xf>
    <xf numFmtId="43" fontId="220" fillId="0" borderId="295" xfId="88" applyNumberFormat="1" applyFont="1" applyFill="1" applyBorder="1" applyAlignment="1">
      <alignment vertical="top"/>
    </xf>
    <xf numFmtId="43" fontId="220" fillId="0" borderId="560" xfId="2" applyNumberFormat="1" applyFont="1" applyFill="1" applyBorder="1" applyAlignment="1" applyProtection="1">
      <alignment vertical="top" wrapText="1"/>
      <protection locked="0"/>
    </xf>
    <xf numFmtId="0" fontId="292" fillId="0" borderId="563" xfId="2" applyFont="1" applyFill="1" applyBorder="1" applyAlignment="1" applyProtection="1">
      <alignment vertical="top" wrapText="1"/>
      <protection locked="0"/>
    </xf>
    <xf numFmtId="43" fontId="353" fillId="0" borderId="676" xfId="1" applyFont="1" applyFill="1" applyBorder="1" applyAlignment="1">
      <alignment vertical="top"/>
    </xf>
    <xf numFmtId="43" fontId="353" fillId="0" borderId="563" xfId="2" applyNumberFormat="1" applyFont="1" applyFill="1" applyBorder="1" applyAlignment="1" applyProtection="1">
      <alignment vertical="top" wrapText="1"/>
      <protection locked="0"/>
    </xf>
    <xf numFmtId="43" fontId="220" fillId="0" borderId="563" xfId="1" applyNumberFormat="1" applyFont="1" applyFill="1" applyBorder="1" applyAlignment="1">
      <alignment vertical="top"/>
    </xf>
    <xf numFmtId="43" fontId="220" fillId="0" borderId="563" xfId="2" applyNumberFormat="1" applyFont="1" applyFill="1" applyBorder="1" applyAlignment="1" applyProtection="1">
      <alignment vertical="top" wrapText="1"/>
      <protection locked="0"/>
    </xf>
    <xf numFmtId="0" fontId="220" fillId="0" borderId="563" xfId="2" applyFont="1" applyFill="1" applyBorder="1" applyAlignment="1" applyProtection="1">
      <alignment horizontal="center" vertical="top"/>
      <protection locked="0"/>
    </xf>
    <xf numFmtId="43" fontId="353" fillId="0" borderId="560" xfId="2" applyNumberFormat="1" applyFont="1" applyFill="1" applyBorder="1" applyAlignment="1" applyProtection="1">
      <alignment horizontal="right" vertical="top"/>
      <protection locked="0"/>
    </xf>
    <xf numFmtId="43" fontId="220" fillId="0" borderId="560" xfId="1" applyNumberFormat="1" applyFont="1" applyFill="1" applyBorder="1" applyAlignment="1">
      <alignment horizontal="right" vertical="top"/>
    </xf>
    <xf numFmtId="43" fontId="220" fillId="0" borderId="295" xfId="88" applyNumberFormat="1" applyFont="1" applyFill="1" applyBorder="1" applyAlignment="1">
      <alignment horizontal="right" vertical="top"/>
    </xf>
    <xf numFmtId="43" fontId="220" fillId="0" borderId="560" xfId="2" applyNumberFormat="1" applyFont="1" applyFill="1" applyBorder="1" applyAlignment="1" applyProtection="1">
      <alignment horizontal="right" vertical="top"/>
      <protection locked="0"/>
    </xf>
    <xf numFmtId="43" fontId="353" fillId="0" borderId="563" xfId="2" applyNumberFormat="1" applyFont="1" applyFill="1" applyBorder="1" applyAlignment="1" applyProtection="1">
      <alignment horizontal="right" vertical="top"/>
      <protection locked="0"/>
    </xf>
    <xf numFmtId="43" fontId="220" fillId="0" borderId="563" xfId="1" applyNumberFormat="1" applyFont="1" applyFill="1" applyBorder="1" applyAlignment="1">
      <alignment horizontal="right" vertical="top"/>
    </xf>
    <xf numFmtId="43" fontId="220" fillId="0" borderId="563" xfId="2" applyNumberFormat="1" applyFont="1" applyFill="1" applyBorder="1" applyAlignment="1" applyProtection="1">
      <alignment horizontal="right" vertical="top"/>
      <protection locked="0"/>
    </xf>
    <xf numFmtId="0" fontId="220" fillId="0" borderId="560" xfId="0" applyFont="1" applyFill="1" applyBorder="1" applyAlignment="1" applyProtection="1">
      <alignment vertical="top"/>
      <protection locked="0"/>
    </xf>
    <xf numFmtId="43" fontId="353" fillId="0" borderId="295" xfId="1" applyNumberFormat="1" applyFont="1" applyFill="1" applyBorder="1" applyAlignment="1">
      <alignment horizontal="right" vertical="top"/>
    </xf>
    <xf numFmtId="43" fontId="220" fillId="0" borderId="295" xfId="1" applyNumberFormat="1" applyFont="1" applyFill="1" applyBorder="1" applyAlignment="1">
      <alignment horizontal="right" vertical="top"/>
    </xf>
    <xf numFmtId="0" fontId="304" fillId="0" borderId="644" xfId="2" applyFont="1" applyFill="1" applyBorder="1" applyAlignment="1">
      <alignment vertical="top"/>
    </xf>
    <xf numFmtId="0" fontId="304" fillId="0" borderId="692" xfId="2" applyFont="1" applyFill="1" applyBorder="1" applyAlignment="1" applyProtection="1">
      <alignment vertical="top"/>
      <protection locked="0"/>
    </xf>
    <xf numFmtId="0" fontId="304" fillId="0" borderId="692" xfId="2" applyFont="1" applyFill="1" applyBorder="1" applyAlignment="1" applyProtection="1">
      <alignment horizontal="center" vertical="top"/>
      <protection locked="0"/>
    </xf>
    <xf numFmtId="43" fontId="304" fillId="0" borderId="692" xfId="1" applyFont="1" applyFill="1" applyBorder="1" applyAlignment="1" applyProtection="1">
      <alignment vertical="top"/>
      <protection locked="0"/>
    </xf>
    <xf numFmtId="43" fontId="304" fillId="0" borderId="692" xfId="2" applyNumberFormat="1" applyFont="1" applyFill="1" applyBorder="1" applyAlignment="1" applyProtection="1">
      <alignment vertical="top" wrapText="1"/>
      <protection locked="0"/>
    </xf>
    <xf numFmtId="43" fontId="304" fillId="0" borderId="692" xfId="1" applyNumberFormat="1" applyFont="1" applyFill="1" applyBorder="1" applyAlignment="1">
      <alignment vertical="top"/>
    </xf>
    <xf numFmtId="43" fontId="304" fillId="0" borderId="643" xfId="88" applyNumberFormat="1" applyFont="1" applyFill="1" applyBorder="1" applyAlignment="1">
      <alignment vertical="top"/>
    </xf>
    <xf numFmtId="9" fontId="304" fillId="0" borderId="0" xfId="88" applyFont="1" applyFill="1" applyAlignment="1">
      <alignment vertical="top"/>
    </xf>
    <xf numFmtId="0" fontId="304" fillId="0" borderId="0" xfId="2" applyFont="1" applyFill="1" applyAlignment="1">
      <alignment vertical="top"/>
    </xf>
    <xf numFmtId="0" fontId="304" fillId="0" borderId="692" xfId="2" applyFont="1" applyFill="1" applyBorder="1" applyAlignment="1" applyProtection="1">
      <alignment vertical="top" wrapText="1"/>
      <protection locked="0"/>
    </xf>
    <xf numFmtId="0" fontId="304" fillId="0" borderId="643" xfId="2" applyFont="1" applyFill="1" applyBorder="1" applyAlignment="1">
      <alignment horizontal="center" vertical="top"/>
    </xf>
    <xf numFmtId="43" fontId="304" fillId="0" borderId="692" xfId="1" applyFont="1" applyFill="1" applyBorder="1" applyAlignment="1">
      <alignment vertical="top"/>
    </xf>
    <xf numFmtId="43" fontId="304" fillId="0" borderId="692" xfId="2" applyNumberFormat="1" applyFont="1" applyFill="1" applyBorder="1" applyAlignment="1" applyProtection="1">
      <alignment horizontal="right" vertical="top"/>
      <protection locked="0"/>
    </xf>
    <xf numFmtId="43" fontId="304" fillId="0" borderId="692" xfId="1" applyNumberFormat="1" applyFont="1" applyFill="1" applyBorder="1" applyAlignment="1">
      <alignment horizontal="right" vertical="top"/>
    </xf>
    <xf numFmtId="43" fontId="304" fillId="0" borderId="643" xfId="88" applyNumberFormat="1" applyFont="1" applyFill="1" applyBorder="1" applyAlignment="1">
      <alignment horizontal="right" vertical="top"/>
    </xf>
    <xf numFmtId="0" fontId="304" fillId="0" borderId="692" xfId="0" applyNumberFormat="1" applyFont="1" applyFill="1" applyBorder="1" applyAlignment="1">
      <alignment horizontal="left" vertical="top"/>
    </xf>
    <xf numFmtId="0" fontId="304" fillId="0" borderId="643" xfId="2" applyFont="1" applyFill="1" applyBorder="1" applyAlignment="1" applyProtection="1">
      <alignment horizontal="center" vertical="top"/>
      <protection locked="0"/>
    </xf>
    <xf numFmtId="43" fontId="304" fillId="0" borderId="643" xfId="1" applyNumberFormat="1" applyFont="1" applyFill="1" applyBorder="1" applyAlignment="1">
      <alignment horizontal="right" vertical="top"/>
    </xf>
    <xf numFmtId="0" fontId="220" fillId="0" borderId="562" xfId="2" applyNumberFormat="1" applyFont="1" applyFill="1" applyBorder="1" applyAlignment="1" applyProtection="1">
      <alignment horizontal="center" vertical="top"/>
      <protection locked="0"/>
    </xf>
    <xf numFmtId="43" fontId="304" fillId="0" borderId="562" xfId="1" applyFont="1" applyFill="1" applyBorder="1" applyAlignment="1" applyProtection="1">
      <alignment vertical="top"/>
      <protection locked="0"/>
    </xf>
    <xf numFmtId="43" fontId="353" fillId="0" borderId="562" xfId="1" applyNumberFormat="1" applyFont="1" applyFill="1" applyBorder="1" applyAlignment="1">
      <alignment vertical="top"/>
    </xf>
    <xf numFmtId="0" fontId="220" fillId="0" borderId="640" xfId="2" applyFont="1" applyFill="1" applyBorder="1" applyAlignment="1" applyProtection="1">
      <alignment horizontal="center" vertical="top"/>
      <protection locked="0"/>
    </xf>
    <xf numFmtId="43" fontId="304" fillId="0" borderId="640" xfId="1" applyFont="1" applyFill="1" applyBorder="1" applyAlignment="1" applyProtection="1">
      <alignment vertical="top"/>
      <protection locked="0"/>
    </xf>
    <xf numFmtId="43" fontId="353" fillId="0" borderId="640" xfId="1" applyNumberFormat="1" applyFont="1" applyFill="1" applyBorder="1" applyAlignment="1">
      <alignment vertical="top"/>
    </xf>
    <xf numFmtId="10" fontId="220" fillId="0" borderId="640" xfId="88" applyNumberFormat="1" applyFont="1" applyFill="1" applyBorder="1" applyAlignment="1">
      <alignment vertical="top"/>
    </xf>
    <xf numFmtId="43" fontId="353" fillId="0" borderId="199" xfId="2" applyNumberFormat="1" applyFont="1" applyFill="1" applyBorder="1" applyAlignment="1" applyProtection="1">
      <alignment vertical="top"/>
      <protection locked="0"/>
    </xf>
    <xf numFmtId="43" fontId="220" fillId="0" borderId="558" xfId="2" applyNumberFormat="1" applyFont="1" applyFill="1" applyBorder="1" applyAlignment="1" applyProtection="1">
      <alignment vertical="top"/>
      <protection locked="0"/>
    </xf>
    <xf numFmtId="10" fontId="220" fillId="0" borderId="558" xfId="88" applyNumberFormat="1" applyFont="1" applyFill="1" applyBorder="1" applyAlignment="1" applyProtection="1">
      <alignment vertical="top"/>
      <protection locked="0"/>
    </xf>
    <xf numFmtId="0" fontId="220" fillId="0" borderId="275" xfId="2" applyFont="1" applyFill="1" applyBorder="1" applyAlignment="1" applyProtection="1">
      <alignment vertical="top"/>
      <protection locked="0"/>
    </xf>
    <xf numFmtId="43" fontId="220" fillId="0" borderId="300" xfId="2" applyNumberFormat="1" applyFont="1" applyFill="1" applyBorder="1" applyAlignment="1" applyProtection="1">
      <alignment vertical="top"/>
      <protection locked="0"/>
    </xf>
    <xf numFmtId="10" fontId="220" fillId="0" borderId="300" xfId="88" applyNumberFormat="1" applyFont="1" applyFill="1" applyBorder="1" applyAlignment="1" applyProtection="1">
      <alignment vertical="top"/>
      <protection locked="0"/>
    </xf>
    <xf numFmtId="43" fontId="353" fillId="0" borderId="621" xfId="1" applyNumberFormat="1" applyFont="1" applyFill="1" applyBorder="1" applyAlignment="1" applyProtection="1">
      <alignment vertical="top"/>
      <protection locked="0"/>
    </xf>
    <xf numFmtId="43" fontId="220" fillId="0" borderId="552" xfId="1" applyNumberFormat="1" applyFont="1" applyFill="1" applyBorder="1" applyAlignment="1" applyProtection="1">
      <alignment vertical="top"/>
      <protection locked="0"/>
    </xf>
    <xf numFmtId="0" fontId="220" fillId="0" borderId="0" xfId="2" applyFont="1" applyFill="1" applyBorder="1" applyAlignment="1">
      <alignment horizontal="center" vertical="top"/>
    </xf>
    <xf numFmtId="43" fontId="353" fillId="0" borderId="621" xfId="1" applyNumberFormat="1" applyFont="1" applyFill="1" applyBorder="1" applyAlignment="1">
      <alignment vertical="top"/>
    </xf>
    <xf numFmtId="43" fontId="220" fillId="0" borderId="552" xfId="1" applyNumberFormat="1" applyFont="1" applyFill="1" applyBorder="1" applyAlignment="1">
      <alignment vertical="top"/>
    </xf>
    <xf numFmtId="0" fontId="220" fillId="0" borderId="212" xfId="2" applyFont="1" applyFill="1" applyBorder="1" applyAlignment="1">
      <alignment horizontal="center" vertical="top"/>
    </xf>
    <xf numFmtId="43" fontId="304" fillId="0" borderId="201" xfId="1" applyFont="1" applyFill="1" applyBorder="1" applyAlignment="1">
      <alignment vertical="top"/>
    </xf>
    <xf numFmtId="43" fontId="353" fillId="0" borderId="621" xfId="2" applyNumberFormat="1" applyFont="1" applyFill="1" applyBorder="1" applyAlignment="1">
      <alignment vertical="top"/>
    </xf>
    <xf numFmtId="43" fontId="304" fillId="0" borderId="295" xfId="2" applyNumberFormat="1" applyFont="1" applyFill="1" applyBorder="1" applyAlignment="1">
      <alignment vertical="top"/>
    </xf>
    <xf numFmtId="0" fontId="220" fillId="0" borderId="569" xfId="2" applyFont="1" applyFill="1" applyBorder="1" applyAlignment="1" applyProtection="1">
      <alignment vertical="top" wrapText="1"/>
      <protection locked="0"/>
    </xf>
    <xf numFmtId="43" fontId="304" fillId="0" borderId="569" xfId="1" applyFont="1" applyFill="1" applyBorder="1" applyAlignment="1" applyProtection="1">
      <alignment vertical="top"/>
      <protection locked="0"/>
    </xf>
    <xf numFmtId="43" fontId="353" fillId="0" borderId="569" xfId="2" applyNumberFormat="1" applyFont="1" applyFill="1" applyBorder="1" applyAlignment="1" applyProtection="1">
      <alignment vertical="top"/>
      <protection locked="0"/>
    </xf>
    <xf numFmtId="43" fontId="220" fillId="0" borderId="569" xfId="2" applyNumberFormat="1" applyFont="1" applyFill="1" applyBorder="1" applyAlignment="1" applyProtection="1">
      <alignment vertical="top"/>
      <protection locked="0"/>
    </xf>
    <xf numFmtId="0" fontId="220" fillId="0" borderId="433" xfId="2" applyFont="1" applyFill="1" applyBorder="1" applyAlignment="1">
      <alignment vertical="top"/>
    </xf>
    <xf numFmtId="0" fontId="220" fillId="0" borderId="433" xfId="2" applyFont="1" applyFill="1" applyBorder="1" applyAlignment="1" applyProtection="1">
      <alignment vertical="top" wrapText="1"/>
      <protection locked="0"/>
    </xf>
    <xf numFmtId="43" fontId="353" fillId="0" borderId="433" xfId="2" applyNumberFormat="1" applyFont="1" applyFill="1" applyBorder="1" applyAlignment="1" applyProtection="1">
      <alignment vertical="top" wrapText="1"/>
      <protection locked="0"/>
    </xf>
    <xf numFmtId="43" fontId="220" fillId="0" borderId="433" xfId="1" applyNumberFormat="1" applyFont="1" applyFill="1" applyBorder="1" applyAlignment="1">
      <alignment vertical="top"/>
    </xf>
    <xf numFmtId="10" fontId="220" fillId="0" borderId="433" xfId="88" applyNumberFormat="1" applyFont="1" applyFill="1" applyBorder="1" applyAlignment="1">
      <alignment vertical="top"/>
    </xf>
    <xf numFmtId="43" fontId="220" fillId="0" borderId="433" xfId="2" applyNumberFormat="1" applyFont="1" applyFill="1" applyBorder="1" applyAlignment="1" applyProtection="1">
      <alignment vertical="top" wrapText="1"/>
      <protection locked="0"/>
    </xf>
    <xf numFmtId="43" fontId="353" fillId="0" borderId="295" xfId="2" applyNumberFormat="1" applyFont="1" applyFill="1" applyBorder="1" applyAlignment="1" applyProtection="1">
      <alignment horizontal="right" vertical="top"/>
      <protection locked="0"/>
    </xf>
    <xf numFmtId="0" fontId="220" fillId="0" borderId="0" xfId="0" applyFont="1" applyFill="1" applyBorder="1" applyAlignment="1" applyProtection="1">
      <alignment vertical="top"/>
      <protection locked="0"/>
    </xf>
    <xf numFmtId="0" fontId="220" fillId="0" borderId="295" xfId="0" applyFont="1" applyFill="1" applyBorder="1" applyAlignment="1" applyProtection="1">
      <alignment horizontal="center" vertical="top"/>
      <protection locked="0"/>
    </xf>
    <xf numFmtId="43" fontId="304" fillId="0" borderId="295" xfId="1" applyFont="1" applyFill="1" applyBorder="1" applyAlignment="1" applyProtection="1">
      <alignment vertical="top" wrapText="1"/>
      <protection locked="0"/>
    </xf>
    <xf numFmtId="43" fontId="353" fillId="0" borderId="643" xfId="1" applyFont="1" applyFill="1" applyBorder="1" applyAlignment="1" applyProtection="1">
      <alignment vertical="top" wrapText="1"/>
      <protection locked="0"/>
    </xf>
    <xf numFmtId="43" fontId="353" fillId="0" borderId="295" xfId="1" applyNumberFormat="1" applyFont="1" applyFill="1" applyBorder="1" applyAlignment="1" applyProtection="1">
      <alignment vertical="top" wrapText="1"/>
      <protection locked="0"/>
    </xf>
    <xf numFmtId="4" fontId="304" fillId="0" borderId="643" xfId="2" applyNumberFormat="1" applyFont="1" applyFill="1" applyBorder="1" applyAlignment="1" applyProtection="1">
      <alignment vertical="top" wrapText="1"/>
      <protection locked="0"/>
    </xf>
    <xf numFmtId="4" fontId="353" fillId="0" borderId="643" xfId="2" applyNumberFormat="1" applyFont="1" applyFill="1" applyBorder="1" applyAlignment="1" applyProtection="1">
      <alignment vertical="top" wrapText="1"/>
      <protection locked="0"/>
    </xf>
    <xf numFmtId="43" fontId="353" fillId="0" borderId="692" xfId="1" applyFont="1" applyFill="1" applyBorder="1" applyAlignment="1" applyProtection="1">
      <alignment vertical="top"/>
      <protection locked="0"/>
    </xf>
    <xf numFmtId="43" fontId="353" fillId="0" borderId="643" xfId="2" applyNumberFormat="1" applyFont="1" applyFill="1" applyBorder="1" applyAlignment="1" applyProtection="1">
      <alignment vertical="top" wrapText="1"/>
      <protection locked="0"/>
    </xf>
    <xf numFmtId="4" fontId="304" fillId="0" borderId="295" xfId="2" applyNumberFormat="1" applyFont="1" applyFill="1" applyBorder="1" applyAlignment="1" applyProtection="1">
      <alignment vertical="top" wrapText="1"/>
      <protection locked="0"/>
    </xf>
    <xf numFmtId="43" fontId="353" fillId="0" borderId="295" xfId="2" applyNumberFormat="1" applyFont="1" applyFill="1" applyBorder="1" applyAlignment="1" applyProtection="1">
      <alignment vertical="top" wrapText="1"/>
      <protection locked="0"/>
    </xf>
    <xf numFmtId="43" fontId="220" fillId="0" borderId="295" xfId="2" applyNumberFormat="1" applyFont="1" applyFill="1" applyBorder="1" applyAlignment="1" applyProtection="1">
      <alignment vertical="top" wrapText="1"/>
      <protection locked="0"/>
    </xf>
    <xf numFmtId="0" fontId="220" fillId="0" borderId="300" xfId="2" applyFont="1" applyFill="1" applyBorder="1" applyAlignment="1">
      <alignment vertical="center"/>
    </xf>
    <xf numFmtId="43" fontId="353" fillId="0" borderId="295" xfId="102" applyNumberFormat="1" applyFont="1" applyFill="1" applyBorder="1" applyAlignment="1"/>
    <xf numFmtId="43" fontId="220" fillId="0" borderId="643" xfId="102" applyNumberFormat="1" applyFont="1" applyFill="1" applyBorder="1" applyAlignment="1"/>
    <xf numFmtId="43" fontId="220" fillId="0" borderId="643" xfId="2" applyNumberFormat="1" applyFont="1" applyFill="1" applyBorder="1" applyAlignment="1" applyProtection="1">
      <alignment vertical="top"/>
      <protection locked="0"/>
    </xf>
    <xf numFmtId="43" fontId="220" fillId="0" borderId="303" xfId="2" applyNumberFormat="1" applyFont="1" applyFill="1" applyBorder="1" applyAlignment="1" applyProtection="1">
      <alignment vertical="top"/>
      <protection locked="0"/>
    </xf>
    <xf numFmtId="43" fontId="220" fillId="0" borderId="0" xfId="88" applyNumberFormat="1" applyFont="1" applyFill="1" applyAlignment="1">
      <alignment vertical="center"/>
    </xf>
    <xf numFmtId="0" fontId="220" fillId="0" borderId="412" xfId="2" applyFont="1" applyFill="1" applyBorder="1" applyAlignment="1">
      <alignment vertical="top"/>
    </xf>
    <xf numFmtId="0" fontId="220" fillId="0" borderId="397" xfId="2" applyFont="1" applyFill="1" applyBorder="1" applyAlignment="1" applyProtection="1">
      <alignment horizontal="center" vertical="top"/>
      <protection locked="0"/>
    </xf>
    <xf numFmtId="0" fontId="220" fillId="0" borderId="47" xfId="2" applyFont="1" applyFill="1" applyBorder="1" applyAlignment="1">
      <alignment vertical="center"/>
    </xf>
    <xf numFmtId="0" fontId="220" fillId="0" borderId="0" xfId="2" applyFont="1" applyFill="1" applyAlignment="1">
      <alignment horizontal="center" vertical="top"/>
    </xf>
    <xf numFmtId="43" fontId="353" fillId="0" borderId="0" xfId="1" applyFont="1" applyFill="1" applyAlignment="1">
      <alignment vertical="top"/>
    </xf>
    <xf numFmtId="43" fontId="353" fillId="0" borderId="0" xfId="2" applyNumberFormat="1" applyFont="1" applyFill="1" applyAlignment="1">
      <alignment vertical="top"/>
    </xf>
    <xf numFmtId="10" fontId="220" fillId="0" borderId="0" xfId="88" applyNumberFormat="1" applyFont="1" applyFill="1" applyAlignment="1">
      <alignment vertical="top"/>
    </xf>
    <xf numFmtId="43" fontId="220" fillId="0" borderId="643" xfId="1" applyFont="1" applyFill="1" applyBorder="1" applyAlignment="1">
      <alignment vertical="top"/>
    </xf>
    <xf numFmtId="0" fontId="220" fillId="0" borderId="0" xfId="47" applyFont="1" applyFill="1" applyAlignment="1" applyProtection="1">
      <alignment vertical="top"/>
      <protection locked="0"/>
    </xf>
    <xf numFmtId="0" fontId="304" fillId="0" borderId="0" xfId="47" applyFont="1" applyFill="1" applyAlignment="1" applyProtection="1">
      <alignment vertical="top"/>
      <protection locked="0"/>
    </xf>
    <xf numFmtId="0" fontId="353" fillId="0" borderId="0" xfId="47" applyFont="1" applyFill="1" applyAlignment="1" applyProtection="1">
      <alignment vertical="top"/>
      <protection locked="0"/>
    </xf>
    <xf numFmtId="43" fontId="353" fillId="0" borderId="0" xfId="47" applyNumberFormat="1" applyFont="1" applyFill="1" applyAlignment="1" applyProtection="1">
      <alignment vertical="top"/>
      <protection locked="0"/>
    </xf>
    <xf numFmtId="43" fontId="220" fillId="0" borderId="0" xfId="47" applyNumberFormat="1" applyFont="1" applyFill="1" applyAlignment="1" applyProtection="1">
      <alignment vertical="top"/>
      <protection locked="0"/>
    </xf>
    <xf numFmtId="0" fontId="220" fillId="0" borderId="0" xfId="2" applyFont="1" applyFill="1" applyAlignment="1">
      <alignment horizontal="left" vertical="top"/>
    </xf>
    <xf numFmtId="0" fontId="220" fillId="0" borderId="0" xfId="45" applyFont="1" applyFill="1" applyAlignment="1" applyProtection="1">
      <alignment horizontal="center" vertical="center"/>
      <protection locked="0"/>
    </xf>
    <xf numFmtId="0" fontId="304" fillId="0" borderId="0" xfId="45" applyFont="1" applyFill="1" applyAlignment="1" applyProtection="1">
      <alignment horizontal="center" vertical="center"/>
      <protection locked="0"/>
    </xf>
    <xf numFmtId="0" fontId="353" fillId="0" borderId="0" xfId="45" applyFont="1" applyFill="1" applyAlignment="1" applyProtection="1">
      <alignment horizontal="center" vertical="center"/>
      <protection locked="0"/>
    </xf>
    <xf numFmtId="43" fontId="220" fillId="29" borderId="640" xfId="1" applyNumberFormat="1" applyFont="1" applyFill="1" applyBorder="1" applyAlignment="1">
      <alignment vertical="top"/>
    </xf>
    <xf numFmtId="43" fontId="220" fillId="29" borderId="562" xfId="1" applyNumberFormat="1" applyFont="1" applyFill="1" applyBorder="1" applyAlignment="1">
      <alignment vertical="top"/>
    </xf>
    <xf numFmtId="0" fontId="304" fillId="0" borderId="300" xfId="2" applyFont="1" applyFill="1" applyBorder="1" applyAlignment="1">
      <alignment vertical="top"/>
    </xf>
    <xf numFmtId="0" fontId="304" fillId="0" borderId="560" xfId="0" applyNumberFormat="1" applyFont="1" applyFill="1" applyBorder="1" applyAlignment="1">
      <alignment horizontal="left" vertical="top" wrapText="1"/>
    </xf>
    <xf numFmtId="0" fontId="304" fillId="0" borderId="295" xfId="2" applyFont="1" applyFill="1" applyBorder="1" applyAlignment="1" applyProtection="1">
      <alignment horizontal="center" vertical="top"/>
      <protection locked="0"/>
    </xf>
    <xf numFmtId="0" fontId="364" fillId="0" borderId="560" xfId="2" applyFont="1" applyFill="1" applyBorder="1" applyAlignment="1" applyProtection="1">
      <alignment vertical="top" wrapText="1"/>
      <protection locked="0"/>
    </xf>
    <xf numFmtId="9" fontId="220" fillId="0" borderId="295" xfId="88" applyFont="1" applyFill="1" applyBorder="1" applyAlignment="1">
      <alignment vertical="top"/>
    </xf>
    <xf numFmtId="0" fontId="304" fillId="0" borderId="199" xfId="2" applyFont="1" applyFill="1" applyBorder="1" applyAlignment="1" applyProtection="1">
      <alignment vertical="top"/>
      <protection locked="0"/>
    </xf>
    <xf numFmtId="0" fontId="304" fillId="3" borderId="199" xfId="2" applyFont="1" applyFill="1" applyBorder="1" applyAlignment="1" applyProtection="1">
      <alignment vertical="top"/>
      <protection locked="0"/>
    </xf>
    <xf numFmtId="0" fontId="304" fillId="0" borderId="199" xfId="0" applyFont="1" applyFill="1" applyBorder="1" applyAlignment="1" applyProtection="1">
      <alignment vertical="top" wrapText="1"/>
      <protection locked="0"/>
    </xf>
    <xf numFmtId="0" fontId="366" fillId="0" borderId="199" xfId="0" applyFont="1" applyFill="1" applyBorder="1" applyAlignment="1" applyProtection="1">
      <alignment vertical="top"/>
      <protection locked="0"/>
    </xf>
    <xf numFmtId="0" fontId="366" fillId="0" borderId="199" xfId="2" applyFont="1" applyFill="1" applyBorder="1" applyAlignment="1" applyProtection="1">
      <alignment vertical="top"/>
      <protection locked="0"/>
    </xf>
    <xf numFmtId="43" fontId="366" fillId="0" borderId="295" xfId="1" applyNumberFormat="1" applyFont="1" applyFill="1" applyBorder="1" applyAlignment="1">
      <alignment vertical="top"/>
    </xf>
    <xf numFmtId="0" fontId="366" fillId="0" borderId="0" xfId="2" applyFont="1" applyFill="1" applyBorder="1" applyAlignment="1" applyProtection="1">
      <alignment vertical="top"/>
      <protection locked="0"/>
    </xf>
    <xf numFmtId="0" fontId="366" fillId="0" borderId="645" xfId="2" applyFont="1" applyFill="1" applyBorder="1" applyAlignment="1" applyProtection="1">
      <alignment vertical="top" wrapText="1"/>
      <protection locked="0"/>
    </xf>
    <xf numFmtId="43" fontId="366" fillId="0" borderId="0" xfId="1" applyFont="1" applyFill="1" applyAlignment="1">
      <alignment vertical="top"/>
    </xf>
    <xf numFmtId="0" fontId="366" fillId="0" borderId="550" xfId="2" applyFont="1" applyFill="1" applyBorder="1" applyAlignment="1" applyProtection="1">
      <alignment vertical="top" wrapText="1"/>
      <protection locked="0"/>
    </xf>
    <xf numFmtId="43" fontId="220" fillId="29" borderId="0" xfId="1" applyNumberFormat="1" applyFont="1" applyFill="1" applyAlignment="1">
      <alignment vertical="top"/>
    </xf>
    <xf numFmtId="43" fontId="220" fillId="29" borderId="553" xfId="2" applyNumberFormat="1" applyFont="1" applyFill="1" applyBorder="1" applyAlignment="1" applyProtection="1">
      <alignment vertical="top"/>
      <protection locked="0"/>
    </xf>
    <xf numFmtId="0" fontId="366" fillId="0" borderId="560" xfId="2" applyFont="1" applyFill="1" applyBorder="1" applyAlignment="1" applyProtection="1">
      <alignment vertical="top"/>
      <protection locked="0"/>
    </xf>
    <xf numFmtId="43" fontId="211" fillId="0" borderId="0" xfId="1" applyFont="1" applyFill="1" applyAlignment="1">
      <alignment vertical="top"/>
    </xf>
    <xf numFmtId="4" fontId="366" fillId="0" borderId="662" xfId="2" applyNumberFormat="1" applyFont="1" applyFill="1" applyBorder="1" applyAlignment="1" applyProtection="1">
      <alignment vertical="top"/>
      <protection locked="0"/>
    </xf>
    <xf numFmtId="0" fontId="366" fillId="0" borderId="0" xfId="2" applyFont="1" applyFill="1" applyBorder="1" applyAlignment="1" applyProtection="1">
      <alignment vertical="top" wrapText="1"/>
      <protection locked="0"/>
    </xf>
    <xf numFmtId="43" fontId="366" fillId="0" borderId="254" xfId="2" applyNumberFormat="1" applyFont="1" applyFill="1" applyBorder="1" applyAlignment="1" applyProtection="1">
      <alignment vertical="top"/>
      <protection locked="0"/>
    </xf>
    <xf numFmtId="0" fontId="211" fillId="0" borderId="645" xfId="2" applyFont="1" applyFill="1" applyBorder="1" applyAlignment="1" applyProtection="1">
      <alignment vertical="top" wrapText="1"/>
      <protection locked="0"/>
    </xf>
    <xf numFmtId="43" fontId="366" fillId="0" borderId="643" xfId="2" applyNumberFormat="1" applyFont="1" applyFill="1" applyBorder="1" applyAlignment="1" applyProtection="1">
      <alignment vertical="top"/>
      <protection locked="0"/>
    </xf>
    <xf numFmtId="43" fontId="366" fillId="0" borderId="552" xfId="2" applyNumberFormat="1" applyFont="1" applyFill="1" applyBorder="1" applyAlignment="1" applyProtection="1">
      <alignment vertical="top"/>
      <protection locked="0"/>
    </xf>
    <xf numFmtId="43" fontId="366" fillId="0" borderId="295" xfId="2" applyNumberFormat="1" applyFont="1" applyFill="1" applyBorder="1" applyAlignment="1" applyProtection="1">
      <alignment vertical="top"/>
      <protection locked="0"/>
    </xf>
    <xf numFmtId="43" fontId="366" fillId="0" borderId="562" xfId="1" applyNumberFormat="1" applyFont="1" applyFill="1" applyBorder="1" applyAlignment="1">
      <alignment vertical="top"/>
    </xf>
    <xf numFmtId="43" fontId="366" fillId="0" borderId="640" xfId="1" applyNumberFormat="1" applyFont="1" applyFill="1" applyBorder="1" applyAlignment="1">
      <alignment vertical="top"/>
    </xf>
    <xf numFmtId="43" fontId="366" fillId="0" borderId="199" xfId="2" applyNumberFormat="1" applyFont="1" applyFill="1" applyBorder="1" applyAlignment="1" applyProtection="1">
      <alignment vertical="top"/>
      <protection locked="0"/>
    </xf>
    <xf numFmtId="0" fontId="366" fillId="0" borderId="562" xfId="0" applyNumberFormat="1" applyFont="1" applyFill="1" applyBorder="1" applyAlignment="1">
      <alignment horizontal="left" vertical="top" wrapText="1"/>
    </xf>
    <xf numFmtId="0" fontId="366" fillId="0" borderId="640" xfId="0" applyNumberFormat="1" applyFont="1" applyFill="1" applyBorder="1" applyAlignment="1">
      <alignment horizontal="left" vertical="top" wrapText="1"/>
    </xf>
    <xf numFmtId="0" fontId="211" fillId="0" borderId="0" xfId="2" applyFont="1" applyFill="1" applyBorder="1" applyAlignment="1" applyProtection="1">
      <alignment vertical="top"/>
      <protection locked="0"/>
    </xf>
    <xf numFmtId="0" fontId="366" fillId="0" borderId="560" xfId="0" applyNumberFormat="1" applyFont="1" applyFill="1" applyBorder="1" applyAlignment="1">
      <alignment horizontal="left" vertical="top" wrapText="1"/>
    </xf>
    <xf numFmtId="43" fontId="19" fillId="0" borderId="0" xfId="59" applyNumberFormat="1" applyFont="1" applyFill="1" applyAlignment="1"/>
    <xf numFmtId="0" fontId="21" fillId="0" borderId="0" xfId="59" applyFont="1" applyFill="1" applyAlignment="1">
      <alignment horizontal="center"/>
    </xf>
    <xf numFmtId="10" fontId="21" fillId="0" borderId="0" xfId="59" applyNumberFormat="1" applyFont="1" applyFill="1" applyAlignment="1">
      <alignment horizontal="left" vertical="top" wrapText="1"/>
    </xf>
    <xf numFmtId="0" fontId="19" fillId="0" borderId="0" xfId="54" applyFont="1" applyFill="1" applyAlignment="1">
      <alignment vertical="top"/>
    </xf>
    <xf numFmtId="43" fontId="19" fillId="0" borderId="0" xfId="1" applyFont="1" applyFill="1" applyAlignment="1">
      <alignment vertical="top"/>
    </xf>
    <xf numFmtId="10" fontId="19" fillId="0" borderId="0" xfId="88" applyNumberFormat="1" applyFont="1" applyFill="1" applyAlignment="1">
      <alignment vertical="top"/>
    </xf>
    <xf numFmtId="10" fontId="21" fillId="0" borderId="0" xfId="59" applyNumberFormat="1" applyFont="1" applyFill="1" applyBorder="1" applyAlignment="1">
      <alignment horizontal="right" vertical="center"/>
    </xf>
    <xf numFmtId="0" fontId="19" fillId="0" borderId="0" xfId="54" applyFont="1" applyFill="1" applyAlignment="1"/>
    <xf numFmtId="0" fontId="19" fillId="0" borderId="0" xfId="1" applyNumberFormat="1" applyFont="1" applyFill="1" applyAlignment="1">
      <alignment horizontal="center"/>
    </xf>
    <xf numFmtId="10" fontId="19" fillId="0" borderId="0" xfId="88" applyNumberFormat="1" applyFont="1" applyFill="1" applyAlignment="1"/>
    <xf numFmtId="0" fontId="19" fillId="0" borderId="39" xfId="59" applyFont="1" applyFill="1" applyBorder="1"/>
    <xf numFmtId="0" fontId="19" fillId="0" borderId="40" xfId="59" applyFont="1" applyFill="1" applyBorder="1"/>
    <xf numFmtId="10" fontId="19" fillId="0" borderId="40" xfId="60" applyNumberFormat="1" applyFont="1" applyFill="1" applyBorder="1" applyAlignment="1">
      <alignment horizontal="center"/>
    </xf>
    <xf numFmtId="43" fontId="19" fillId="0" borderId="0" xfId="1" applyFont="1" applyFill="1" applyAlignment="1">
      <alignment horizontal="center"/>
    </xf>
    <xf numFmtId="0" fontId="19" fillId="0" borderId="0" xfId="54" applyFont="1" applyFill="1" applyAlignment="1">
      <alignment horizontal="center"/>
    </xf>
    <xf numFmtId="0" fontId="19" fillId="0" borderId="0" xfId="2" applyFont="1" applyFill="1" applyBorder="1" applyAlignment="1" applyProtection="1">
      <alignment vertical="top"/>
      <protection locked="0"/>
    </xf>
    <xf numFmtId="43" fontId="21" fillId="3" borderId="0" xfId="7" applyFont="1" applyFill="1"/>
    <xf numFmtId="0" fontId="19" fillId="0" borderId="0" xfId="54" applyFont="1" applyFill="1" applyBorder="1"/>
    <xf numFmtId="43" fontId="19" fillId="0" borderId="0" xfId="30" applyNumberFormat="1" applyFont="1" applyFill="1" applyBorder="1" applyAlignment="1" applyProtection="1">
      <alignment vertical="center"/>
      <protection locked="0"/>
    </xf>
    <xf numFmtId="0" fontId="19" fillId="0" borderId="0" xfId="30" applyFont="1" applyFill="1" applyBorder="1" applyAlignment="1" applyProtection="1">
      <alignment vertical="center"/>
      <protection locked="0"/>
    </xf>
    <xf numFmtId="43" fontId="19" fillId="0" borderId="0" xfId="2" applyNumberFormat="1" applyFont="1" applyFill="1" applyBorder="1" applyAlignment="1" applyProtection="1">
      <alignment vertical="center"/>
      <protection locked="0"/>
    </xf>
    <xf numFmtId="0" fontId="19" fillId="0" borderId="0" xfId="2" applyFont="1" applyFill="1" applyBorder="1" applyAlignment="1" applyProtection="1">
      <alignment vertical="center"/>
      <protection locked="0"/>
    </xf>
    <xf numFmtId="0" fontId="19" fillId="0" borderId="0" xfId="42" applyFont="1" applyFill="1" applyBorder="1" applyAlignment="1" applyProtection="1">
      <alignment vertical="center"/>
      <protection locked="0"/>
    </xf>
    <xf numFmtId="43" fontId="19" fillId="0" borderId="0" xfId="61" applyNumberFormat="1" applyFont="1" applyFill="1" applyBorder="1"/>
    <xf numFmtId="0" fontId="29" fillId="0" borderId="0" xfId="105" applyFont="1" applyFill="1" applyBorder="1" applyAlignment="1"/>
    <xf numFmtId="0" fontId="19" fillId="0" borderId="0" xfId="105" applyFont="1" applyFill="1" applyBorder="1" applyAlignment="1">
      <alignment horizontal="left"/>
    </xf>
    <xf numFmtId="43" fontId="19" fillId="0" borderId="0" xfId="2" applyNumberFormat="1" applyFont="1" applyFill="1" applyBorder="1" applyAlignment="1">
      <alignment vertical="top"/>
    </xf>
    <xf numFmtId="43" fontId="19" fillId="0" borderId="0" xfId="1" applyNumberFormat="1" applyFont="1" applyFill="1" applyBorder="1" applyAlignment="1">
      <alignment vertical="center"/>
    </xf>
    <xf numFmtId="0" fontId="19" fillId="0" borderId="659" xfId="30" applyFont="1" applyFill="1" applyBorder="1" applyAlignment="1" applyProtection="1">
      <alignment vertical="center"/>
      <protection locked="0"/>
    </xf>
    <xf numFmtId="43" fontId="30" fillId="0" borderId="0" xfId="1" applyNumberFormat="1" applyFont="1" applyFill="1" applyBorder="1" applyAlignment="1" applyProtection="1">
      <alignment vertical="center"/>
      <protection locked="0"/>
    </xf>
    <xf numFmtId="43" fontId="19" fillId="0" borderId="0" xfId="54" applyNumberFormat="1" applyFont="1" applyFill="1" applyBorder="1"/>
    <xf numFmtId="0" fontId="19" fillId="0" borderId="0" xfId="30" applyFont="1" applyFill="1" applyAlignment="1">
      <alignment vertical="center"/>
    </xf>
    <xf numFmtId="10" fontId="19" fillId="0" borderId="0" xfId="60" applyNumberFormat="1" applyFont="1" applyFill="1" applyAlignment="1">
      <alignment horizontal="left"/>
    </xf>
    <xf numFmtId="43" fontId="19" fillId="0" borderId="0" xfId="59" applyNumberFormat="1" applyFont="1" applyFill="1" applyAlignment="1">
      <alignment horizontal="right"/>
    </xf>
    <xf numFmtId="164" fontId="19" fillId="0" borderId="0" xfId="54" applyNumberFormat="1" applyFont="1" applyFill="1"/>
    <xf numFmtId="183" fontId="19" fillId="0" borderId="0" xfId="88" applyNumberFormat="1" applyFont="1" applyFill="1"/>
    <xf numFmtId="43" fontId="16" fillId="0" borderId="0" xfId="1" applyFont="1" applyAlignment="1">
      <alignment vertical="center"/>
    </xf>
    <xf numFmtId="4" fontId="320" fillId="0" borderId="685" xfId="7" applyNumberFormat="1" applyFont="1" applyFill="1" applyBorder="1" applyAlignment="1" applyProtection="1">
      <alignment vertical="center"/>
      <protection locked="0"/>
    </xf>
    <xf numFmtId="0" fontId="320" fillId="0" borderId="685" xfId="2" applyFont="1" applyFill="1" applyBorder="1" applyAlignment="1">
      <alignment vertical="center"/>
    </xf>
    <xf numFmtId="1" fontId="320" fillId="0" borderId="0" xfId="58" applyNumberFormat="1" applyFont="1" applyFill="1" applyAlignment="1" applyProtection="1">
      <alignment horizontal="center" vertical="center"/>
      <protection locked="0"/>
    </xf>
    <xf numFmtId="1" fontId="320" fillId="0" borderId="0" xfId="58" applyNumberFormat="1" applyFont="1" applyFill="1" applyAlignment="1">
      <alignment horizontal="center" vertical="center"/>
    </xf>
    <xf numFmtId="1" fontId="320" fillId="0" borderId="1" xfId="58" applyNumberFormat="1" applyFont="1" applyFill="1" applyBorder="1" applyAlignment="1" applyProtection="1">
      <alignment horizontal="center" vertical="center"/>
      <protection locked="0"/>
    </xf>
    <xf numFmtId="1" fontId="320" fillId="0" borderId="685" xfId="58" applyNumberFormat="1" applyFont="1" applyFill="1" applyBorder="1" applyAlignment="1" applyProtection="1">
      <alignment horizontal="center" vertical="center"/>
      <protection locked="0"/>
    </xf>
    <xf numFmtId="1" fontId="320" fillId="0" borderId="670" xfId="58" applyNumberFormat="1" applyFont="1" applyFill="1" applyBorder="1" applyAlignment="1" applyProtection="1">
      <alignment horizontal="center" vertical="center"/>
      <protection locked="0"/>
    </xf>
    <xf numFmtId="1" fontId="320" fillId="0" borderId="0" xfId="58" applyNumberFormat="1" applyFont="1" applyFill="1" applyBorder="1" applyAlignment="1" applyProtection="1">
      <alignment horizontal="center" vertical="center"/>
      <protection locked="0"/>
    </xf>
    <xf numFmtId="1" fontId="320" fillId="0" borderId="433" xfId="58" applyNumberFormat="1" applyFont="1" applyFill="1" applyBorder="1" applyAlignment="1" applyProtection="1">
      <alignment horizontal="center" vertical="center"/>
      <protection locked="0"/>
    </xf>
    <xf numFmtId="1" fontId="321" fillId="0" borderId="0" xfId="58" applyNumberFormat="1" applyFont="1" applyFill="1" applyAlignment="1" applyProtection="1">
      <alignment horizontal="center" vertical="center"/>
      <protection locked="0"/>
    </xf>
    <xf numFmtId="1" fontId="320" fillId="0" borderId="0" xfId="58" applyNumberFormat="1" applyFont="1" applyFill="1" applyAlignment="1">
      <alignment vertical="center"/>
    </xf>
    <xf numFmtId="1" fontId="278" fillId="0" borderId="0" xfId="58" applyNumberFormat="1" applyFont="1" applyFill="1" applyAlignment="1">
      <alignment vertical="center"/>
    </xf>
    <xf numFmtId="1" fontId="320" fillId="0" borderId="0" xfId="2" applyNumberFormat="1" applyFont="1" applyFill="1" applyAlignment="1" applyProtection="1">
      <alignment horizontal="center"/>
      <protection locked="0"/>
    </xf>
    <xf numFmtId="1" fontId="278" fillId="0" borderId="0" xfId="2" applyNumberFormat="1" applyFont="1" applyFill="1" applyAlignment="1" applyProtection="1">
      <alignment horizontal="left"/>
      <protection locked="0"/>
    </xf>
    <xf numFmtId="1" fontId="320" fillId="0" borderId="0" xfId="2" applyNumberFormat="1" applyFont="1" applyFill="1" applyAlignment="1" applyProtection="1">
      <alignment horizontal="left"/>
      <protection locked="0"/>
    </xf>
    <xf numFmtId="1" fontId="320" fillId="0" borderId="0" xfId="2" applyNumberFormat="1" applyFont="1" applyFill="1" applyBorder="1" applyAlignment="1" applyProtection="1">
      <alignment horizontal="left" vertical="top"/>
      <protection locked="0"/>
    </xf>
    <xf numFmtId="1" fontId="320" fillId="0" borderId="433" xfId="2" applyNumberFormat="1" applyFont="1" applyFill="1" applyBorder="1" applyAlignment="1" applyProtection="1">
      <alignment horizontal="center" vertical="top"/>
      <protection locked="0"/>
    </xf>
    <xf numFmtId="1" fontId="320" fillId="0" borderId="670" xfId="2" applyNumberFormat="1" applyFont="1" applyFill="1" applyBorder="1" applyAlignment="1" applyProtection="1">
      <alignment horizontal="center" vertical="center"/>
      <protection locked="0"/>
    </xf>
    <xf numFmtId="1" fontId="278" fillId="0" borderId="672" xfId="2" applyNumberFormat="1" applyFont="1" applyFill="1" applyBorder="1" applyAlignment="1" applyProtection="1">
      <alignment horizontal="center"/>
      <protection locked="0"/>
    </xf>
    <xf numFmtId="1" fontId="321" fillId="0" borderId="0" xfId="58" applyNumberFormat="1" applyFont="1" applyFill="1" applyBorder="1" applyAlignment="1" applyProtection="1">
      <alignment horizontal="center"/>
      <protection locked="0"/>
    </xf>
    <xf numFmtId="1" fontId="320" fillId="0" borderId="0" xfId="2" applyNumberFormat="1" applyFont="1" applyFill="1"/>
    <xf numFmtId="1" fontId="278" fillId="0" borderId="0" xfId="2" applyNumberFormat="1" applyFont="1" applyFill="1"/>
    <xf numFmtId="1" fontId="320" fillId="0" borderId="0" xfId="2" applyNumberFormat="1" applyFont="1" applyFill="1" applyAlignment="1">
      <alignment horizontal="center"/>
    </xf>
    <xf numFmtId="1" fontId="320" fillId="0" borderId="0" xfId="46" applyNumberFormat="1" applyFont="1" applyFill="1" applyAlignment="1" applyProtection="1">
      <alignment horizontal="center"/>
      <protection locked="0"/>
    </xf>
    <xf numFmtId="1" fontId="278" fillId="0" borderId="0" xfId="46" applyNumberFormat="1" applyFont="1" applyFill="1" applyAlignment="1" applyProtection="1">
      <alignment horizontal="center"/>
      <protection locked="0"/>
    </xf>
    <xf numFmtId="1" fontId="320" fillId="0" borderId="1" xfId="46" applyNumberFormat="1" applyFont="1" applyFill="1" applyBorder="1" applyAlignment="1" applyProtection="1">
      <alignment horizontal="center"/>
      <protection locked="0"/>
    </xf>
    <xf numFmtId="1" fontId="320" fillId="0" borderId="667" xfId="46" applyNumberFormat="1" applyFont="1" applyFill="1" applyBorder="1" applyAlignment="1" applyProtection="1">
      <alignment horizontal="center"/>
      <protection locked="0"/>
    </xf>
    <xf numFmtId="1" fontId="320" fillId="0" borderId="0" xfId="46" applyNumberFormat="1" applyFont="1" applyFill="1" applyBorder="1" applyAlignment="1" applyProtection="1">
      <alignment horizontal="center"/>
      <protection locked="0"/>
    </xf>
    <xf numFmtId="1" fontId="320" fillId="0" borderId="433" xfId="46" applyNumberFormat="1" applyFont="1" applyFill="1" applyBorder="1" applyAlignment="1" applyProtection="1">
      <alignment horizontal="center" vertical="center"/>
      <protection locked="0"/>
    </xf>
    <xf numFmtId="1" fontId="320" fillId="0" borderId="0" xfId="46" applyNumberFormat="1" applyFont="1" applyFill="1" applyAlignment="1" applyProtection="1">
      <alignment horizontal="center" vertical="center"/>
      <protection locked="0"/>
    </xf>
    <xf numFmtId="1" fontId="320" fillId="0" borderId="0" xfId="46" applyNumberFormat="1" applyFont="1" applyFill="1" applyAlignment="1">
      <alignment horizontal="center"/>
    </xf>
    <xf numFmtId="1" fontId="320" fillId="0" borderId="0" xfId="44" applyNumberFormat="1" applyFont="1" applyFill="1" applyAlignment="1" applyProtection="1">
      <alignment horizontal="center" vertical="center"/>
      <protection locked="0"/>
    </xf>
    <xf numFmtId="1" fontId="278" fillId="0" borderId="0" xfId="44" applyNumberFormat="1" applyFont="1" applyFill="1" applyAlignment="1" applyProtection="1">
      <alignment horizontal="center" vertical="center"/>
      <protection locked="0"/>
    </xf>
    <xf numFmtId="1" fontId="278" fillId="0" borderId="1" xfId="44" applyNumberFormat="1" applyFont="1" applyFill="1" applyBorder="1" applyAlignment="1" applyProtection="1">
      <alignment horizontal="center" vertical="center"/>
      <protection locked="0"/>
    </xf>
    <xf numFmtId="1" fontId="320" fillId="0" borderId="667" xfId="44" applyNumberFormat="1" applyFont="1" applyFill="1" applyBorder="1" applyAlignment="1" applyProtection="1">
      <alignment horizontal="center" vertical="center"/>
      <protection locked="0"/>
    </xf>
    <xf numFmtId="1" fontId="320" fillId="0" borderId="0" xfId="44" applyNumberFormat="1" applyFont="1" applyFill="1" applyBorder="1" applyAlignment="1" applyProtection="1">
      <alignment horizontal="center" vertical="center"/>
      <protection locked="0"/>
    </xf>
    <xf numFmtId="1" fontId="320" fillId="0" borderId="433" xfId="44" applyNumberFormat="1" applyFont="1" applyFill="1" applyBorder="1" applyAlignment="1" applyProtection="1">
      <alignment horizontal="center" vertical="center"/>
      <protection locked="0"/>
    </xf>
    <xf numFmtId="1" fontId="278" fillId="0" borderId="448" xfId="44" applyNumberFormat="1" applyFont="1" applyFill="1" applyBorder="1" applyAlignment="1" applyProtection="1">
      <alignment horizontal="center" vertical="center"/>
      <protection locked="0"/>
    </xf>
    <xf numFmtId="1" fontId="320" fillId="0" borderId="0" xfId="45" applyNumberFormat="1" applyFont="1" applyFill="1" applyAlignment="1" applyProtection="1">
      <alignment horizontal="center" vertical="center"/>
      <protection locked="0"/>
    </xf>
    <xf numFmtId="1" fontId="320" fillId="0" borderId="0" xfId="44" applyNumberFormat="1" applyFont="1" applyFill="1" applyAlignment="1">
      <alignment vertical="center"/>
    </xf>
    <xf numFmtId="1" fontId="320" fillId="0" borderId="0" xfId="44" applyNumberFormat="1" applyFont="1" applyFill="1" applyAlignment="1">
      <alignment horizontal="center" vertical="center"/>
    </xf>
    <xf numFmtId="1" fontId="320" fillId="0" borderId="0" xfId="1" applyNumberFormat="1" applyFont="1" applyFill="1" applyAlignment="1" applyProtection="1">
      <alignment horizontal="center" vertical="center"/>
      <protection locked="0"/>
    </xf>
    <xf numFmtId="1" fontId="278" fillId="0" borderId="0" xfId="1" applyNumberFormat="1" applyFont="1" applyFill="1" applyAlignment="1" applyProtection="1">
      <alignment horizontal="center" vertical="center"/>
      <protection locked="0"/>
    </xf>
    <xf numFmtId="1" fontId="320" fillId="0" borderId="1" xfId="1" applyNumberFormat="1" applyFont="1" applyFill="1" applyBorder="1" applyAlignment="1" applyProtection="1">
      <alignment horizontal="center" vertical="center"/>
      <protection locked="0"/>
    </xf>
    <xf numFmtId="1" fontId="320" fillId="0" borderId="667" xfId="1" applyNumberFormat="1" applyFont="1" applyFill="1" applyBorder="1" applyAlignment="1" applyProtection="1">
      <alignment horizontal="center" vertical="center"/>
      <protection locked="0"/>
    </xf>
    <xf numFmtId="1" fontId="320" fillId="0" borderId="0" xfId="1" applyNumberFormat="1" applyFont="1" applyFill="1" applyBorder="1" applyAlignment="1" applyProtection="1">
      <alignment horizontal="center" vertical="center"/>
      <protection locked="0"/>
    </xf>
    <xf numFmtId="1" fontId="320" fillId="0" borderId="433" xfId="1" applyNumberFormat="1" applyFont="1" applyFill="1" applyBorder="1" applyAlignment="1" applyProtection="1">
      <alignment horizontal="center" vertical="center"/>
      <protection locked="0"/>
    </xf>
    <xf numFmtId="1" fontId="320" fillId="0" borderId="0" xfId="1" applyNumberFormat="1" applyFont="1" applyFill="1" applyAlignment="1">
      <alignment horizontal="center" vertical="center"/>
    </xf>
    <xf numFmtId="1" fontId="320" fillId="0" borderId="0" xfId="42" applyNumberFormat="1" applyFont="1" applyFill="1" applyAlignment="1" applyProtection="1">
      <alignment horizontal="center" vertical="center"/>
      <protection locked="0"/>
    </xf>
    <xf numFmtId="1" fontId="278" fillId="0" borderId="0" xfId="42" applyNumberFormat="1" applyFont="1" applyFill="1" applyAlignment="1" applyProtection="1">
      <alignment horizontal="center" vertical="center"/>
      <protection locked="0"/>
    </xf>
    <xf numFmtId="1" fontId="320" fillId="0" borderId="0" xfId="42" applyNumberFormat="1" applyFont="1" applyFill="1" applyBorder="1" applyAlignment="1" applyProtection="1">
      <alignment horizontal="center" vertical="center"/>
      <protection locked="0"/>
    </xf>
    <xf numFmtId="1" fontId="320" fillId="0" borderId="433" xfId="42" applyNumberFormat="1" applyFont="1" applyFill="1" applyBorder="1" applyAlignment="1" applyProtection="1">
      <alignment horizontal="center" vertical="center"/>
      <protection locked="0"/>
    </xf>
    <xf numFmtId="1" fontId="278" fillId="0" borderId="448" xfId="42" applyNumberFormat="1" applyFont="1" applyFill="1" applyBorder="1" applyAlignment="1" applyProtection="1">
      <alignment horizontal="center" vertical="center"/>
      <protection locked="0"/>
    </xf>
    <xf numFmtId="1" fontId="320" fillId="0" borderId="0" xfId="42" applyNumberFormat="1" applyFont="1" applyFill="1" applyAlignment="1">
      <alignment vertical="center"/>
    </xf>
    <xf numFmtId="1" fontId="320" fillId="0" borderId="0" xfId="42" applyNumberFormat="1" applyFont="1" applyFill="1" applyAlignment="1">
      <alignment horizontal="center" vertical="center"/>
    </xf>
    <xf numFmtId="1" fontId="320" fillId="0" borderId="0" xfId="30" applyNumberFormat="1" applyFont="1" applyFill="1" applyAlignment="1" applyProtection="1">
      <alignment horizontal="center" vertical="center"/>
      <protection locked="0"/>
    </xf>
    <xf numFmtId="1" fontId="278" fillId="0" borderId="0" xfId="30" applyNumberFormat="1" applyFont="1" applyFill="1" applyAlignment="1" applyProtection="1">
      <alignment horizontal="center" vertical="center"/>
      <protection locked="0"/>
    </xf>
    <xf numFmtId="1" fontId="320" fillId="0" borderId="0" xfId="30" applyNumberFormat="1" applyFont="1" applyFill="1" applyBorder="1" applyAlignment="1" applyProtection="1">
      <alignment horizontal="center" vertical="center"/>
      <protection locked="0"/>
    </xf>
    <xf numFmtId="1" fontId="320" fillId="0" borderId="195" xfId="30" applyNumberFormat="1" applyFont="1" applyFill="1" applyBorder="1" applyAlignment="1" applyProtection="1">
      <alignment horizontal="center" vertical="center"/>
      <protection locked="0"/>
    </xf>
    <xf numFmtId="1" fontId="320" fillId="0" borderId="667" xfId="30" applyNumberFormat="1" applyFont="1" applyFill="1" applyBorder="1" applyAlignment="1" applyProtection="1">
      <alignment horizontal="center" vertical="center"/>
      <protection locked="0"/>
    </xf>
    <xf numFmtId="1" fontId="320" fillId="0" borderId="433" xfId="30" applyNumberFormat="1" applyFont="1" applyFill="1" applyBorder="1" applyAlignment="1" applyProtection="1">
      <alignment horizontal="center" vertical="center"/>
      <protection locked="0"/>
    </xf>
    <xf numFmtId="1" fontId="320" fillId="0" borderId="0" xfId="30" applyNumberFormat="1" applyFont="1" applyFill="1" applyAlignment="1">
      <alignment vertical="center"/>
    </xf>
    <xf numFmtId="1" fontId="278" fillId="0" borderId="0" xfId="30" applyNumberFormat="1" applyFont="1" applyFill="1" applyAlignment="1">
      <alignment vertical="center"/>
    </xf>
    <xf numFmtId="1" fontId="320" fillId="0" borderId="0" xfId="30" applyNumberFormat="1" applyFont="1" applyFill="1" applyAlignment="1">
      <alignment horizontal="center" vertical="center"/>
    </xf>
    <xf numFmtId="1" fontId="321" fillId="0" borderId="0" xfId="58" applyNumberFormat="1" applyFont="1" applyFill="1" applyBorder="1" applyAlignment="1" applyProtection="1">
      <alignment horizontal="center" vertical="center"/>
      <protection locked="0"/>
    </xf>
    <xf numFmtId="1" fontId="320" fillId="0" borderId="311" xfId="30" applyNumberFormat="1" applyFont="1" applyFill="1" applyBorder="1" applyAlignment="1" applyProtection="1">
      <alignment horizontal="center" vertical="center"/>
      <protection locked="0"/>
    </xf>
    <xf numFmtId="1" fontId="320" fillId="0" borderId="685" xfId="30" applyNumberFormat="1" applyFont="1" applyFill="1" applyBorder="1" applyAlignment="1">
      <alignment horizontal="center" vertical="center"/>
    </xf>
    <xf numFmtId="43" fontId="223" fillId="0" borderId="0" xfId="1" applyFont="1" applyFill="1" applyBorder="1" applyAlignment="1">
      <alignment vertical="center"/>
    </xf>
    <xf numFmtId="4" fontId="278" fillId="0" borderId="0" xfId="2" applyNumberFormat="1" applyFont="1" applyFill="1" applyBorder="1" applyAlignment="1" applyProtection="1">
      <alignment horizontal="center" vertical="center"/>
      <protection locked="0"/>
    </xf>
    <xf numFmtId="0" fontId="278" fillId="0" borderId="0" xfId="30" applyNumberFormat="1" applyFont="1" applyFill="1" applyBorder="1" applyAlignment="1" applyProtection="1">
      <alignment horizontal="center" vertical="center"/>
      <protection locked="0"/>
    </xf>
    <xf numFmtId="4" fontId="320" fillId="0" borderId="0" xfId="1" applyNumberFormat="1" applyFont="1" applyFill="1" applyBorder="1" applyAlignment="1">
      <alignment horizontal="right" vertical="center"/>
    </xf>
    <xf numFmtId="4" fontId="320" fillId="0" borderId="0" xfId="30" applyNumberFormat="1" applyFont="1" applyFill="1" applyBorder="1" applyAlignment="1" applyProtection="1">
      <protection locked="0"/>
    </xf>
    <xf numFmtId="1" fontId="320" fillId="0" borderId="0" xfId="36" applyNumberFormat="1" applyFont="1" applyFill="1" applyAlignment="1" applyProtection="1">
      <alignment horizontal="center" vertical="center"/>
      <protection locked="0"/>
    </xf>
    <xf numFmtId="1" fontId="278" fillId="0" borderId="0" xfId="36" applyNumberFormat="1" applyFont="1" applyFill="1" applyAlignment="1" applyProtection="1">
      <alignment horizontal="center" vertical="center"/>
      <protection locked="0"/>
    </xf>
    <xf numFmtId="1" fontId="320" fillId="0" borderId="1" xfId="36" applyNumberFormat="1" applyFont="1" applyFill="1" applyBorder="1" applyAlignment="1" applyProtection="1">
      <alignment horizontal="center" vertical="center"/>
      <protection locked="0"/>
    </xf>
    <xf numFmtId="1" fontId="320" fillId="0" borderId="667" xfId="36" applyNumberFormat="1" applyFont="1" applyFill="1" applyBorder="1" applyAlignment="1" applyProtection="1">
      <alignment horizontal="center" vertical="center"/>
      <protection locked="0"/>
    </xf>
    <xf numFmtId="1" fontId="320" fillId="0" borderId="0" xfId="36" applyNumberFormat="1" applyFont="1" applyFill="1" applyBorder="1" applyAlignment="1" applyProtection="1">
      <alignment horizontal="center" vertical="center"/>
      <protection locked="0"/>
    </xf>
    <xf numFmtId="1" fontId="320" fillId="0" borderId="433" xfId="36" applyNumberFormat="1" applyFont="1" applyFill="1" applyBorder="1" applyAlignment="1" applyProtection="1">
      <alignment horizontal="center" vertical="center"/>
      <protection locked="0"/>
    </xf>
    <xf numFmtId="1" fontId="320" fillId="0" borderId="0" xfId="0" applyNumberFormat="1" applyFont="1" applyFill="1" applyAlignment="1">
      <alignment horizontal="center" vertical="center"/>
    </xf>
    <xf numFmtId="1" fontId="320" fillId="0" borderId="0" xfId="36" applyNumberFormat="1" applyFont="1" applyFill="1" applyAlignment="1">
      <alignment horizontal="center" vertical="center"/>
    </xf>
    <xf numFmtId="1" fontId="278" fillId="0" borderId="0" xfId="2" applyNumberFormat="1" applyFont="1" applyFill="1" applyAlignment="1">
      <alignment horizontal="center" vertical="center"/>
    </xf>
    <xf numFmtId="1" fontId="322" fillId="0" borderId="0" xfId="2" applyNumberFormat="1" applyFont="1" applyFill="1" applyBorder="1" applyAlignment="1" applyProtection="1">
      <alignment horizontal="center" vertical="center"/>
      <protection locked="0"/>
    </xf>
    <xf numFmtId="1" fontId="320" fillId="0" borderId="0" xfId="0" applyNumberFormat="1" applyFont="1" applyFill="1" applyBorder="1" applyAlignment="1">
      <alignment horizontal="center" vertical="center"/>
    </xf>
    <xf numFmtId="1" fontId="320" fillId="0" borderId="0" xfId="2" applyNumberFormat="1" applyFont="1" applyFill="1" applyBorder="1" applyAlignment="1">
      <alignment horizontal="center" vertical="center"/>
    </xf>
    <xf numFmtId="1" fontId="278" fillId="0" borderId="0" xfId="2" applyNumberFormat="1" applyFont="1" applyFill="1" applyBorder="1" applyAlignment="1">
      <alignment horizontal="center" vertical="center"/>
    </xf>
    <xf numFmtId="43" fontId="320" fillId="0" borderId="0" xfId="1" applyNumberFormat="1" applyFont="1" applyFill="1" applyBorder="1" applyAlignment="1" applyProtection="1">
      <alignment vertical="center"/>
      <protection locked="0"/>
    </xf>
    <xf numFmtId="4" fontId="278" fillId="0" borderId="536" xfId="42" applyNumberFormat="1" applyFont="1" applyFill="1" applyBorder="1" applyAlignment="1" applyProtection="1">
      <alignment horizontal="center" vertical="center"/>
      <protection locked="0"/>
    </xf>
    <xf numFmtId="0" fontId="278" fillId="0" borderId="697" xfId="42" applyNumberFormat="1" applyFont="1" applyFill="1" applyBorder="1" applyAlignment="1" applyProtection="1">
      <alignment horizontal="center" vertical="center"/>
      <protection locked="0"/>
    </xf>
    <xf numFmtId="0" fontId="19" fillId="0" borderId="0" xfId="58" applyFont="1" applyFill="1" applyBorder="1" applyAlignment="1" applyProtection="1">
      <alignment vertical="center"/>
      <protection locked="0"/>
    </xf>
    <xf numFmtId="0" fontId="19" fillId="0" borderId="249" xfId="24" applyBorder="1"/>
    <xf numFmtId="0" fontId="19" fillId="0" borderId="246" xfId="24" applyBorder="1"/>
    <xf numFmtId="0" fontId="19" fillId="0" borderId="0" xfId="24" applyFill="1"/>
    <xf numFmtId="0" fontId="21" fillId="0" borderId="28" xfId="24" applyFont="1" applyFill="1" applyBorder="1" applyAlignment="1">
      <alignment horizontal="center"/>
    </xf>
    <xf numFmtId="0" fontId="21" fillId="0" borderId="27" xfId="24" applyFont="1" applyFill="1" applyBorder="1" applyAlignment="1">
      <alignment horizontal="center"/>
    </xf>
    <xf numFmtId="0" fontId="19" fillId="0" borderId="29" xfId="24" applyFont="1" applyFill="1" applyBorder="1" applyAlignment="1"/>
    <xf numFmtId="43" fontId="19" fillId="0" borderId="29" xfId="20" applyFont="1" applyFill="1" applyBorder="1" applyAlignment="1"/>
    <xf numFmtId="43" fontId="19" fillId="0" borderId="27" xfId="20" applyFont="1" applyFill="1" applyBorder="1" applyAlignment="1"/>
    <xf numFmtId="43" fontId="21" fillId="0" borderId="119" xfId="24" applyNumberFormat="1" applyFont="1" applyFill="1" applyBorder="1" applyAlignment="1"/>
    <xf numFmtId="0" fontId="19" fillId="0" borderId="28" xfId="24" applyFont="1" applyFill="1" applyBorder="1" applyAlignment="1"/>
    <xf numFmtId="0" fontId="19" fillId="0" borderId="255" xfId="24" applyFill="1" applyBorder="1"/>
    <xf numFmtId="43" fontId="21" fillId="0" borderId="28" xfId="24" applyNumberFormat="1" applyFont="1" applyFill="1" applyBorder="1" applyAlignment="1"/>
    <xf numFmtId="43" fontId="19" fillId="0" borderId="285" xfId="20" applyFont="1" applyFill="1" applyBorder="1" applyAlignment="1"/>
    <xf numFmtId="43" fontId="19" fillId="0" borderId="255" xfId="20" applyFont="1" applyFill="1" applyBorder="1" applyAlignment="1"/>
    <xf numFmtId="43" fontId="21" fillId="0" borderId="27" xfId="24" applyNumberFormat="1" applyFont="1" applyFill="1" applyBorder="1" applyAlignment="1"/>
    <xf numFmtId="0" fontId="21" fillId="0" borderId="66" xfId="24" applyFont="1" applyFill="1" applyBorder="1" applyAlignment="1">
      <alignment horizontal="center"/>
    </xf>
    <xf numFmtId="0" fontId="21" fillId="0" borderId="78" xfId="24" applyFont="1" applyFill="1" applyBorder="1" applyAlignment="1">
      <alignment horizontal="center"/>
    </xf>
    <xf numFmtId="0" fontId="19" fillId="0" borderId="68" xfId="24" applyFont="1" applyFill="1" applyBorder="1" applyAlignment="1"/>
    <xf numFmtId="43" fontId="19" fillId="0" borderId="68" xfId="20" applyFont="1" applyFill="1" applyBorder="1" applyAlignment="1"/>
    <xf numFmtId="43" fontId="19" fillId="0" borderId="78" xfId="20" applyFont="1" applyFill="1" applyBorder="1" applyAlignment="1"/>
    <xf numFmtId="43" fontId="21" fillId="0" borderId="41" xfId="24" applyNumberFormat="1" applyFont="1" applyFill="1" applyBorder="1" applyAlignment="1"/>
    <xf numFmtId="39" fontId="19" fillId="0" borderId="29" xfId="24" applyNumberFormat="1" applyFill="1" applyBorder="1"/>
    <xf numFmtId="43" fontId="21" fillId="0" borderId="68" xfId="24" applyNumberFormat="1" applyFont="1" applyFill="1" applyBorder="1" applyAlignment="1"/>
    <xf numFmtId="2" fontId="19" fillId="0" borderId="66" xfId="24" applyNumberFormat="1" applyFill="1" applyBorder="1"/>
    <xf numFmtId="43" fontId="21" fillId="0" borderId="68" xfId="1" applyFont="1" applyFill="1" applyBorder="1"/>
    <xf numFmtId="43" fontId="19" fillId="0" borderId="78" xfId="1" applyFont="1" applyFill="1" applyBorder="1"/>
    <xf numFmtId="0" fontId="19" fillId="0" borderId="0" xfId="24" applyFill="1" applyAlignment="1">
      <alignment vertical="center"/>
    </xf>
    <xf numFmtId="0" fontId="21" fillId="0" borderId="0" xfId="24" applyFont="1" applyFill="1" applyAlignment="1">
      <alignment horizontal="center" vertical="center"/>
    </xf>
    <xf numFmtId="0" fontId="27" fillId="0" borderId="0" xfId="24" applyFont="1" applyFill="1" applyAlignment="1">
      <alignment vertical="center"/>
    </xf>
    <xf numFmtId="43" fontId="19" fillId="0" borderId="0" xfId="24" applyNumberFormat="1" applyFill="1"/>
    <xf numFmtId="43" fontId="19" fillId="0" borderId="78" xfId="65" applyNumberFormat="1" applyFont="1" applyBorder="1" applyAlignment="1"/>
    <xf numFmtId="0" fontId="221" fillId="0" borderId="699" xfId="21" applyFont="1" applyFill="1" applyBorder="1" applyAlignment="1">
      <alignment horizontal="center"/>
    </xf>
    <xf numFmtId="0" fontId="221" fillId="0" borderId="685" xfId="21" applyFont="1" applyFill="1" applyBorder="1" applyAlignment="1">
      <alignment horizontal="center"/>
    </xf>
    <xf numFmtId="4" fontId="278" fillId="0" borderId="608" xfId="30" applyNumberFormat="1" applyFont="1" applyFill="1" applyBorder="1" applyAlignment="1" applyProtection="1">
      <alignment horizontal="center" vertical="center"/>
      <protection locked="0"/>
    </xf>
    <xf numFmtId="4" fontId="320" fillId="0" borderId="665" xfId="36" applyNumberFormat="1" applyFont="1" applyFill="1" applyBorder="1" applyAlignment="1" applyProtection="1">
      <alignment vertical="center"/>
      <protection hidden="1"/>
    </xf>
    <xf numFmtId="4" fontId="320" fillId="0" borderId="4" xfId="36" applyNumberFormat="1" applyFont="1" applyFill="1" applyBorder="1" applyAlignment="1" applyProtection="1">
      <alignment horizontal="right" vertical="center"/>
      <protection locked="0"/>
    </xf>
    <xf numFmtId="4" fontId="320" fillId="0" borderId="599" xfId="36" applyNumberFormat="1" applyFont="1" applyFill="1" applyBorder="1" applyAlignment="1" applyProtection="1">
      <alignment horizontal="right" vertical="center"/>
      <protection locked="0"/>
    </xf>
    <xf numFmtId="4" fontId="320" fillId="0" borderId="665" xfId="36" applyNumberFormat="1" applyFont="1" applyFill="1" applyBorder="1" applyAlignment="1" applyProtection="1">
      <alignment horizontal="right" vertical="center"/>
      <protection locked="0"/>
    </xf>
    <xf numFmtId="49" fontId="320" fillId="0" borderId="686" xfId="36" applyNumberFormat="1" applyFont="1" applyFill="1" applyBorder="1" applyAlignment="1" applyProtection="1">
      <alignment vertical="center"/>
      <protection locked="0"/>
    </xf>
    <xf numFmtId="1" fontId="320" fillId="0" borderId="685" xfId="36" applyNumberFormat="1" applyFont="1" applyFill="1" applyBorder="1" applyAlignment="1" applyProtection="1">
      <alignment horizontal="center" vertical="center"/>
      <protection locked="0"/>
    </xf>
    <xf numFmtId="4" fontId="320" fillId="0" borderId="685" xfId="36" applyNumberFormat="1" applyFont="1" applyFill="1" applyBorder="1" applyAlignment="1" applyProtection="1">
      <alignment vertical="center"/>
      <protection locked="0"/>
    </xf>
    <xf numFmtId="4" fontId="320" fillId="0" borderId="685" xfId="1" applyNumberFormat="1" applyFont="1" applyFill="1" applyBorder="1" applyAlignment="1">
      <alignment horizontal="right" vertical="center"/>
    </xf>
    <xf numFmtId="10" fontId="320" fillId="0" borderId="685" xfId="88" applyNumberFormat="1" applyFont="1" applyFill="1" applyBorder="1" applyAlignment="1">
      <alignment vertical="center"/>
    </xf>
    <xf numFmtId="1" fontId="278" fillId="0" borderId="685" xfId="36" applyNumberFormat="1" applyFont="1" applyFill="1" applyBorder="1" applyAlignment="1" applyProtection="1">
      <alignment horizontal="center" vertical="center"/>
      <protection locked="0"/>
    </xf>
    <xf numFmtId="0" fontId="278" fillId="0" borderId="0" xfId="30" applyNumberFormat="1" applyFont="1" applyFill="1" applyAlignment="1" applyProtection="1">
      <alignment horizontal="center" vertical="center"/>
      <protection locked="0"/>
    </xf>
    <xf numFmtId="0" fontId="320" fillId="0" borderId="0" xfId="2" applyFont="1" applyFill="1" applyAlignment="1" applyProtection="1">
      <alignment horizontal="left" vertical="center"/>
      <protection locked="0"/>
    </xf>
    <xf numFmtId="4" fontId="320" fillId="0" borderId="667" xfId="36" applyNumberFormat="1" applyFont="1" applyFill="1" applyBorder="1" applyAlignment="1" applyProtection="1">
      <alignment horizontal="right" vertical="center"/>
      <protection locked="0"/>
    </xf>
    <xf numFmtId="4" fontId="320" fillId="0" borderId="0" xfId="36" applyNumberFormat="1" applyFont="1" applyFill="1" applyBorder="1" applyAlignment="1" applyProtection="1">
      <alignment horizontal="right" vertical="center"/>
      <protection locked="0"/>
    </xf>
    <xf numFmtId="0" fontId="278" fillId="0" borderId="599" xfId="30" applyNumberFormat="1" applyFont="1" applyFill="1" applyBorder="1" applyAlignment="1" applyProtection="1">
      <alignment horizontal="center" vertical="center"/>
      <protection locked="0"/>
    </xf>
    <xf numFmtId="4" fontId="320" fillId="0" borderId="254" xfId="30" applyNumberFormat="1" applyFont="1" applyFill="1" applyBorder="1" applyAlignment="1">
      <alignment vertical="center"/>
    </xf>
    <xf numFmtId="4" fontId="278" fillId="0" borderId="599" xfId="1" applyNumberFormat="1" applyFont="1" applyFill="1" applyBorder="1" applyAlignment="1" applyProtection="1">
      <alignment vertical="center"/>
      <protection locked="0"/>
    </xf>
    <xf numFmtId="4" fontId="278" fillId="0" borderId="665" xfId="1" applyNumberFormat="1" applyFont="1" applyFill="1" applyBorder="1" applyAlignment="1" applyProtection="1">
      <alignment vertical="center"/>
      <protection locked="0"/>
    </xf>
    <xf numFmtId="4" fontId="278" fillId="0" borderId="213" xfId="1" applyNumberFormat="1" applyFont="1" applyFill="1" applyBorder="1" applyAlignment="1" applyProtection="1">
      <alignment vertical="center"/>
      <protection locked="0"/>
    </xf>
    <xf numFmtId="4" fontId="278" fillId="0" borderId="537" xfId="1" applyNumberFormat="1" applyFont="1" applyFill="1" applyBorder="1" applyAlignment="1" applyProtection="1">
      <alignment vertical="center"/>
      <protection locked="0"/>
    </xf>
    <xf numFmtId="4" fontId="278" fillId="0" borderId="571" xfId="1" applyNumberFormat="1" applyFont="1" applyFill="1" applyBorder="1" applyAlignment="1" applyProtection="1">
      <alignment vertical="center"/>
      <protection locked="0"/>
    </xf>
    <xf numFmtId="4" fontId="278" fillId="0" borderId="448" xfId="1" applyNumberFormat="1" applyFont="1" applyFill="1" applyBorder="1" applyAlignment="1" applyProtection="1">
      <alignment vertical="center"/>
      <protection locked="0"/>
    </xf>
    <xf numFmtId="4" fontId="278" fillId="0" borderId="316" xfId="1" applyNumberFormat="1" applyFont="1" applyFill="1" applyBorder="1" applyAlignment="1" applyProtection="1">
      <alignment vertical="center"/>
      <protection locked="0"/>
    </xf>
    <xf numFmtId="4" fontId="278" fillId="0" borderId="633" xfId="2" applyNumberFormat="1" applyFont="1" applyFill="1" applyBorder="1" applyAlignment="1" applyProtection="1">
      <alignment vertical="center"/>
      <protection locked="0"/>
    </xf>
    <xf numFmtId="4" fontId="320" fillId="0" borderId="599" xfId="30" applyNumberFormat="1" applyFont="1" applyFill="1" applyBorder="1" applyAlignment="1" applyProtection="1">
      <alignment vertical="center"/>
      <protection locked="0"/>
    </xf>
    <xf numFmtId="9" fontId="320" fillId="0" borderId="0" xfId="88" applyFont="1" applyFill="1" applyAlignment="1" applyProtection="1">
      <alignment vertical="center"/>
      <protection locked="0"/>
    </xf>
    <xf numFmtId="4" fontId="278" fillId="0" borderId="0" xfId="2" applyNumberFormat="1" applyFont="1" applyFill="1" applyAlignment="1" applyProtection="1">
      <alignment vertical="center"/>
      <protection locked="0"/>
    </xf>
    <xf numFmtId="4" fontId="278" fillId="0" borderId="21" xfId="42" applyNumberFormat="1" applyFont="1" applyFill="1" applyBorder="1" applyAlignment="1" applyProtection="1">
      <alignment horizontal="center" vertical="center"/>
      <protection locked="0"/>
    </xf>
    <xf numFmtId="4" fontId="320" fillId="0" borderId="599" xfId="42" applyNumberFormat="1" applyFont="1" applyFill="1" applyBorder="1" applyAlignment="1" applyProtection="1">
      <alignment vertical="center"/>
      <protection locked="0"/>
    </xf>
    <xf numFmtId="4" fontId="320" fillId="0" borderId="254" xfId="42" applyNumberFormat="1" applyFont="1" applyFill="1" applyBorder="1" applyAlignment="1" applyProtection="1">
      <alignment vertical="center"/>
      <protection hidden="1"/>
    </xf>
    <xf numFmtId="4" fontId="320" fillId="0" borderId="643" xfId="42" applyNumberFormat="1" applyFont="1" applyFill="1" applyBorder="1" applyAlignment="1" applyProtection="1">
      <alignment vertical="center"/>
      <protection hidden="1"/>
    </xf>
    <xf numFmtId="4" fontId="320" fillId="0" borderId="433" xfId="42" applyNumberFormat="1" applyFont="1" applyFill="1" applyBorder="1" applyAlignment="1" applyProtection="1">
      <alignment horizontal="right" vertical="center"/>
      <protection locked="0"/>
    </xf>
    <xf numFmtId="4" fontId="320" fillId="0" borderId="7" xfId="42" applyNumberFormat="1" applyFont="1" applyFill="1" applyBorder="1" applyAlignment="1" applyProtection="1">
      <alignment horizontal="right" vertical="center"/>
      <protection locked="0"/>
    </xf>
    <xf numFmtId="4" fontId="320" fillId="0" borderId="246" xfId="42" applyNumberFormat="1" applyFont="1" applyFill="1" applyBorder="1" applyAlignment="1" applyProtection="1">
      <alignment horizontal="right" vertical="center"/>
      <protection locked="0"/>
    </xf>
    <xf numFmtId="4" fontId="320" fillId="0" borderId="0" xfId="42" applyNumberFormat="1" applyFont="1" applyFill="1" applyBorder="1" applyAlignment="1" applyProtection="1">
      <alignment horizontal="right" vertical="center"/>
      <protection locked="0"/>
    </xf>
    <xf numFmtId="4" fontId="278" fillId="0" borderId="254" xfId="42" applyNumberFormat="1" applyFont="1" applyFill="1" applyBorder="1" applyAlignment="1" applyProtection="1">
      <alignment horizontal="center" vertical="center"/>
      <protection locked="0"/>
    </xf>
    <xf numFmtId="4" fontId="278" fillId="0" borderId="643" xfId="42" applyNumberFormat="1" applyFont="1" applyFill="1" applyBorder="1" applyAlignment="1" applyProtection="1">
      <alignment horizontal="center" vertical="center"/>
      <protection locked="0"/>
    </xf>
    <xf numFmtId="4" fontId="320" fillId="0" borderId="685" xfId="42" applyNumberFormat="1" applyFont="1" applyFill="1" applyBorder="1" applyAlignment="1" applyProtection="1">
      <alignment vertical="center"/>
      <protection hidden="1"/>
    </xf>
    <xf numFmtId="4" fontId="320" fillId="0" borderId="212" xfId="1" applyNumberFormat="1" applyFont="1" applyFill="1" applyBorder="1" applyAlignment="1">
      <alignment vertical="center"/>
    </xf>
    <xf numFmtId="4" fontId="278" fillId="0" borderId="122" xfId="42" applyNumberFormat="1" applyFont="1" applyFill="1" applyBorder="1" applyAlignment="1" applyProtection="1">
      <alignment vertical="center"/>
      <protection locked="0"/>
    </xf>
    <xf numFmtId="4" fontId="278" fillId="0" borderId="5" xfId="42" applyNumberFormat="1" applyFont="1" applyFill="1" applyBorder="1" applyAlignment="1" applyProtection="1">
      <alignment vertical="center"/>
      <protection locked="0"/>
    </xf>
    <xf numFmtId="0" fontId="278" fillId="0" borderId="685" xfId="42" applyFont="1" applyFill="1" applyBorder="1" applyAlignment="1" applyProtection="1">
      <alignment horizontal="center" vertical="center"/>
      <protection locked="0"/>
    </xf>
    <xf numFmtId="49" fontId="320" fillId="0" borderId="644" xfId="42" applyNumberFormat="1" applyFont="1" applyFill="1" applyBorder="1" applyAlignment="1" applyProtection="1">
      <alignment vertical="top"/>
      <protection locked="0"/>
    </xf>
    <xf numFmtId="0" fontId="320" fillId="0" borderId="0" xfId="42" applyFont="1" applyFill="1" applyBorder="1" applyAlignment="1">
      <alignment vertical="top" wrapText="1"/>
    </xf>
    <xf numFmtId="0" fontId="320" fillId="0" borderId="643" xfId="42" applyFont="1" applyFill="1" applyBorder="1" applyAlignment="1">
      <alignment horizontal="center" vertical="top"/>
    </xf>
    <xf numFmtId="4" fontId="320" fillId="0" borderId="643" xfId="1" applyNumberFormat="1" applyFont="1" applyFill="1" applyBorder="1" applyAlignment="1">
      <alignment vertical="top"/>
    </xf>
    <xf numFmtId="4" fontId="320" fillId="0" borderId="685" xfId="42" applyNumberFormat="1" applyFont="1" applyFill="1" applyBorder="1" applyAlignment="1">
      <alignment vertical="top"/>
    </xf>
    <xf numFmtId="0" fontId="320" fillId="0" borderId="0" xfId="42" applyFont="1" applyFill="1" applyAlignment="1">
      <alignment vertical="top"/>
    </xf>
    <xf numFmtId="4" fontId="320" fillId="0" borderId="254" xfId="30" applyNumberFormat="1" applyFont="1" applyFill="1" applyBorder="1" applyAlignment="1" applyProtection="1">
      <alignment vertical="center"/>
      <protection hidden="1"/>
    </xf>
    <xf numFmtId="4" fontId="320" fillId="0" borderId="254" xfId="30" applyNumberFormat="1" applyFont="1" applyFill="1" applyBorder="1" applyAlignment="1" applyProtection="1">
      <alignment vertical="center"/>
    </xf>
    <xf numFmtId="0" fontId="278" fillId="0" borderId="434" xfId="30" applyNumberFormat="1" applyFont="1" applyFill="1" applyBorder="1" applyAlignment="1" applyProtection="1">
      <alignment horizontal="center" vertical="center"/>
      <protection locked="0"/>
    </xf>
    <xf numFmtId="0" fontId="278" fillId="0" borderId="608" xfId="30" applyNumberFormat="1" applyFont="1" applyFill="1" applyBorder="1" applyAlignment="1" applyProtection="1">
      <alignment horizontal="center" vertical="center"/>
      <protection locked="0"/>
    </xf>
    <xf numFmtId="4" fontId="323" fillId="0" borderId="0" xfId="58" applyNumberFormat="1" applyFont="1" applyFill="1" applyBorder="1" applyAlignment="1">
      <alignment vertical="center"/>
    </xf>
    <xf numFmtId="9" fontId="278" fillId="0" borderId="0" xfId="88" applyFont="1" applyFill="1" applyAlignment="1" applyProtection="1">
      <alignment vertical="center"/>
      <protection locked="0"/>
    </xf>
    <xf numFmtId="4" fontId="320" fillId="0" borderId="0" xfId="1" applyNumberFormat="1" applyFont="1" applyFill="1" applyAlignment="1" applyProtection="1">
      <alignment horizontal="right" vertical="top"/>
      <protection locked="0"/>
    </xf>
    <xf numFmtId="0" fontId="278" fillId="0" borderId="672" xfId="30" applyFont="1" applyFill="1" applyBorder="1" applyAlignment="1" applyProtection="1">
      <alignment horizontal="center" vertical="center"/>
      <protection locked="0"/>
    </xf>
    <xf numFmtId="4" fontId="278" fillId="0" borderId="673" xfId="2" applyNumberFormat="1" applyFont="1" applyFill="1" applyBorder="1" applyAlignment="1" applyProtection="1">
      <alignment horizontal="center" vertical="center"/>
      <protection locked="0"/>
    </xf>
    <xf numFmtId="10" fontId="278" fillId="0" borderId="673" xfId="88" applyNumberFormat="1" applyFont="1" applyFill="1" applyBorder="1" applyAlignment="1" applyProtection="1">
      <alignment horizontal="center" vertical="center"/>
      <protection locked="0"/>
    </xf>
    <xf numFmtId="4" fontId="278" fillId="0" borderId="672" xfId="30" applyNumberFormat="1" applyFont="1" applyFill="1" applyBorder="1" applyAlignment="1" applyProtection="1">
      <alignment horizontal="center" vertical="center"/>
      <protection locked="0"/>
    </xf>
    <xf numFmtId="10" fontId="320" fillId="0" borderId="672" xfId="88" applyNumberFormat="1" applyFont="1" applyFill="1" applyBorder="1" applyAlignment="1" applyProtection="1">
      <alignment vertical="center"/>
      <protection locked="0"/>
    </xf>
    <xf numFmtId="4" fontId="278" fillId="0" borderId="700" xfId="30" applyNumberFormat="1" applyFont="1" applyFill="1" applyBorder="1" applyAlignment="1" applyProtection="1">
      <alignment vertical="center"/>
      <protection locked="0"/>
    </xf>
    <xf numFmtId="10" fontId="278" fillId="0" borderId="700" xfId="88" applyNumberFormat="1" applyFont="1" applyFill="1" applyBorder="1" applyAlignment="1" applyProtection="1">
      <alignment vertical="center"/>
      <protection locked="0"/>
    </xf>
    <xf numFmtId="4" fontId="278" fillId="0" borderId="397" xfId="30" applyNumberFormat="1" applyFont="1" applyFill="1" applyBorder="1" applyAlignment="1" applyProtection="1">
      <alignment horizontal="center" vertical="center"/>
      <protection locked="0"/>
    </xf>
    <xf numFmtId="4" fontId="320" fillId="0" borderId="672" xfId="30" applyNumberFormat="1" applyFont="1" applyFill="1" applyBorder="1" applyAlignment="1" applyProtection="1">
      <alignment vertical="center"/>
      <protection hidden="1"/>
    </xf>
    <xf numFmtId="4" fontId="320" fillId="0" borderId="1" xfId="42" applyNumberFormat="1" applyFont="1" applyFill="1" applyBorder="1" applyAlignment="1" applyProtection="1">
      <alignment horizontal="right" vertical="center"/>
      <protection locked="0"/>
    </xf>
    <xf numFmtId="0" fontId="320" fillId="0" borderId="0" xfId="1" applyNumberFormat="1" applyFont="1" applyFill="1" applyAlignment="1" applyProtection="1">
      <alignment horizontal="left" vertical="center"/>
      <protection locked="0"/>
    </xf>
    <xf numFmtId="4" fontId="278" fillId="0" borderId="609" xfId="2" applyNumberFormat="1" applyFont="1" applyFill="1" applyBorder="1" applyAlignment="1" applyProtection="1">
      <alignment vertical="center"/>
      <protection locked="0"/>
    </xf>
    <xf numFmtId="4" fontId="320" fillId="0" borderId="20" xfId="2" applyNumberFormat="1" applyFont="1" applyFill="1" applyBorder="1" applyAlignment="1" applyProtection="1">
      <alignment horizontal="right" vertical="center"/>
      <protection locked="0"/>
    </xf>
    <xf numFmtId="4" fontId="320" fillId="0" borderId="609" xfId="2" applyNumberFormat="1" applyFont="1" applyFill="1" applyBorder="1" applyAlignment="1" applyProtection="1">
      <alignment horizontal="right" vertical="center"/>
      <protection locked="0"/>
    </xf>
    <xf numFmtId="4" fontId="320" fillId="0" borderId="667" xfId="2" applyNumberFormat="1" applyFont="1" applyFill="1" applyBorder="1" applyAlignment="1" applyProtection="1">
      <alignment horizontal="right" vertical="center"/>
      <protection locked="0"/>
    </xf>
    <xf numFmtId="4" fontId="320" fillId="0" borderId="0" xfId="2" applyNumberFormat="1" applyFont="1" applyFill="1" applyAlignment="1" applyProtection="1">
      <alignment horizontal="left" vertical="center"/>
      <protection locked="0"/>
    </xf>
    <xf numFmtId="4" fontId="320" fillId="0" borderId="0" xfId="2" applyNumberFormat="1" applyFont="1" applyFill="1" applyAlignment="1">
      <alignment horizontal="left" vertical="center"/>
    </xf>
    <xf numFmtId="9" fontId="320" fillId="0" borderId="0" xfId="88" applyFont="1" applyFill="1" applyAlignment="1">
      <alignment horizontal="left" vertical="center"/>
    </xf>
    <xf numFmtId="1" fontId="320" fillId="0" borderId="0" xfId="30" applyNumberFormat="1" applyFont="1" applyFill="1" applyAlignment="1" applyProtection="1">
      <alignment horizontal="left" vertical="center"/>
      <protection locked="0"/>
    </xf>
    <xf numFmtId="4" fontId="320" fillId="0" borderId="673" xfId="30" applyNumberFormat="1" applyFont="1" applyFill="1" applyBorder="1" applyAlignment="1" applyProtection="1">
      <alignment vertical="center"/>
      <protection locked="0"/>
    </xf>
    <xf numFmtId="10" fontId="320" fillId="0" borderId="673" xfId="88" applyNumberFormat="1" applyFont="1" applyFill="1" applyBorder="1" applyAlignment="1" applyProtection="1">
      <alignment vertical="center"/>
      <protection locked="0"/>
    </xf>
    <xf numFmtId="39" fontId="320" fillId="0" borderId="0" xfId="1" applyNumberFormat="1" applyFont="1" applyFill="1" applyAlignment="1" applyProtection="1">
      <alignment vertical="center"/>
      <protection locked="0"/>
    </xf>
    <xf numFmtId="39" fontId="278" fillId="0" borderId="0" xfId="1" applyNumberFormat="1" applyFont="1" applyFill="1" applyAlignment="1" applyProtection="1">
      <alignment vertical="center"/>
      <protection locked="0"/>
    </xf>
    <xf numFmtId="39" fontId="320" fillId="0" borderId="433" xfId="1" applyNumberFormat="1" applyFont="1" applyFill="1" applyBorder="1" applyAlignment="1" applyProtection="1">
      <alignment vertical="center"/>
      <protection locked="0"/>
    </xf>
    <xf numFmtId="39" fontId="278" fillId="0" borderId="667" xfId="1" applyNumberFormat="1" applyFont="1" applyFill="1" applyBorder="1" applyAlignment="1" applyProtection="1">
      <alignment vertical="center"/>
      <protection locked="0"/>
    </xf>
    <xf numFmtId="39" fontId="278" fillId="0" borderId="0" xfId="1" applyNumberFormat="1" applyFont="1" applyFill="1" applyBorder="1" applyAlignment="1" applyProtection="1">
      <alignment vertical="center"/>
      <protection locked="0"/>
    </xf>
    <xf numFmtId="39" fontId="278" fillId="0" borderId="433" xfId="1" applyNumberFormat="1" applyFont="1" applyFill="1" applyBorder="1" applyAlignment="1" applyProtection="1">
      <alignment vertical="center"/>
      <protection locked="0"/>
    </xf>
    <xf numFmtId="39" fontId="278" fillId="0" borderId="609" xfId="1" applyNumberFormat="1" applyFont="1" applyFill="1" applyBorder="1" applyAlignment="1" applyProtection="1">
      <alignment vertical="center"/>
      <protection locked="0"/>
    </xf>
    <xf numFmtId="39" fontId="320" fillId="0" borderId="667" xfId="1" applyNumberFormat="1" applyFont="1" applyFill="1" applyBorder="1" applyAlignment="1" applyProtection="1">
      <alignment vertical="center"/>
      <protection locked="0"/>
    </xf>
    <xf numFmtId="39" fontId="320" fillId="0" borderId="667" xfId="1" applyNumberFormat="1" applyFont="1" applyFill="1" applyBorder="1" applyAlignment="1">
      <alignment vertical="center"/>
    </xf>
    <xf numFmtId="39" fontId="320" fillId="0" borderId="0" xfId="1" applyNumberFormat="1" applyFont="1" applyFill="1" applyBorder="1" applyAlignment="1" applyProtection="1">
      <alignment vertical="center"/>
      <protection locked="0"/>
    </xf>
    <xf numFmtId="39" fontId="320" fillId="0" borderId="0" xfId="1" applyNumberFormat="1" applyFont="1" applyFill="1" applyBorder="1" applyAlignment="1">
      <alignment vertical="center"/>
    </xf>
    <xf numFmtId="39" fontId="320" fillId="0" borderId="433" xfId="1" applyNumberFormat="1" applyFont="1" applyFill="1" applyBorder="1" applyAlignment="1">
      <alignment vertical="center"/>
    </xf>
    <xf numFmtId="39" fontId="278" fillId="0" borderId="0" xfId="1" applyNumberFormat="1" applyFont="1" applyFill="1" applyAlignment="1">
      <alignment vertical="center"/>
    </xf>
    <xf numFmtId="39" fontId="320" fillId="0" borderId="0" xfId="1" applyNumberFormat="1" applyFont="1" applyFill="1" applyAlignment="1">
      <alignment vertical="center"/>
    </xf>
    <xf numFmtId="4" fontId="320" fillId="0" borderId="0" xfId="45" applyNumberFormat="1" applyFont="1" applyFill="1" applyBorder="1" applyAlignment="1" applyProtection="1">
      <alignment vertical="center"/>
      <protection locked="0"/>
    </xf>
    <xf numFmtId="0" fontId="278" fillId="0" borderId="0" xfId="0" applyFont="1" applyFill="1" applyAlignment="1">
      <alignment horizontal="center"/>
    </xf>
    <xf numFmtId="0" fontId="320" fillId="0" borderId="0" xfId="0" applyFont="1" applyFill="1" applyAlignment="1">
      <alignment horizontal="center"/>
    </xf>
    <xf numFmtId="4" fontId="320" fillId="0" borderId="548" xfId="45" applyNumberFormat="1" applyFont="1" applyFill="1" applyBorder="1" applyAlignment="1" applyProtection="1">
      <alignment horizontal="right" vertical="center"/>
      <protection locked="0"/>
    </xf>
    <xf numFmtId="0" fontId="320" fillId="0" borderId="0" xfId="44" applyNumberFormat="1" applyFont="1" applyFill="1" applyAlignment="1" applyProtection="1">
      <alignment vertical="center"/>
      <protection locked="0"/>
    </xf>
    <xf numFmtId="4" fontId="278" fillId="0" borderId="1" xfId="44" applyNumberFormat="1" applyFont="1" applyFill="1" applyBorder="1" applyAlignment="1" applyProtection="1">
      <alignment vertical="center"/>
      <protection locked="0"/>
    </xf>
    <xf numFmtId="4" fontId="278" fillId="0" borderId="672" xfId="2" applyNumberFormat="1" applyFont="1" applyFill="1" applyBorder="1" applyAlignment="1" applyProtection="1">
      <alignment horizontal="center"/>
      <protection locked="0"/>
    </xf>
    <xf numFmtId="4" fontId="278" fillId="0" borderId="684" xfId="30" applyNumberFormat="1" applyFont="1" applyFill="1" applyBorder="1" applyAlignment="1" applyProtection="1">
      <alignment horizontal="center" vertical="center"/>
      <protection locked="0"/>
    </xf>
    <xf numFmtId="4" fontId="278" fillId="0" borderId="687" xfId="30" applyNumberFormat="1" applyFont="1" applyFill="1" applyBorder="1" applyAlignment="1" applyProtection="1">
      <alignment horizontal="center" vertical="center"/>
      <protection locked="0"/>
    </xf>
    <xf numFmtId="0" fontId="320" fillId="0" borderId="672" xfId="47" applyFont="1" applyFill="1" applyBorder="1" applyAlignment="1" applyProtection="1">
      <alignment horizontal="center" vertical="center"/>
      <protection locked="0"/>
    </xf>
    <xf numFmtId="4" fontId="320" fillId="0" borderId="0" xfId="1" applyNumberFormat="1" applyFont="1" applyFill="1" applyAlignment="1" applyProtection="1">
      <alignment horizontal="centerContinuous" vertical="center"/>
      <protection locked="0"/>
    </xf>
    <xf numFmtId="39" fontId="320" fillId="0" borderId="0" xfId="1" applyNumberFormat="1" applyFont="1" applyFill="1" applyAlignment="1" applyProtection="1">
      <alignment horizontal="centerContinuous" vertical="center"/>
      <protection locked="0"/>
    </xf>
    <xf numFmtId="39" fontId="278" fillId="0" borderId="608" xfId="1" applyNumberFormat="1" applyFont="1" applyFill="1" applyBorder="1" applyAlignment="1" applyProtection="1">
      <alignment horizontal="center" vertical="center"/>
      <protection locked="0"/>
    </xf>
    <xf numFmtId="39" fontId="278" fillId="0" borderId="670" xfId="1" applyNumberFormat="1" applyFont="1" applyFill="1" applyBorder="1" applyAlignment="1" applyProtection="1">
      <alignment vertical="center"/>
      <protection locked="0"/>
    </xf>
    <xf numFmtId="4" fontId="278" fillId="0" borderId="433" xfId="1" applyNumberFormat="1" applyFont="1" applyFill="1" applyBorder="1" applyAlignment="1" applyProtection="1">
      <alignment vertical="center"/>
      <protection locked="0"/>
    </xf>
    <xf numFmtId="39" fontId="320" fillId="0" borderId="548" xfId="1" applyNumberFormat="1" applyFont="1" applyFill="1" applyBorder="1" applyAlignment="1" applyProtection="1">
      <alignment vertical="center"/>
      <protection locked="0"/>
    </xf>
    <xf numFmtId="4" fontId="321" fillId="0" borderId="0" xfId="1" applyNumberFormat="1" applyFont="1" applyFill="1" applyAlignment="1" applyProtection="1">
      <alignment vertical="center"/>
      <protection locked="0"/>
    </xf>
    <xf numFmtId="39" fontId="321" fillId="0" borderId="0" xfId="1" applyNumberFormat="1" applyFont="1" applyFill="1" applyAlignment="1" applyProtection="1">
      <alignment vertical="center"/>
      <protection locked="0"/>
    </xf>
    <xf numFmtId="39" fontId="320" fillId="0" borderId="0" xfId="58" applyNumberFormat="1" applyFont="1" applyFill="1" applyAlignment="1" applyProtection="1">
      <alignment vertical="center"/>
      <protection locked="0"/>
    </xf>
    <xf numFmtId="39" fontId="320" fillId="0" borderId="433" xfId="58" applyNumberFormat="1" applyFont="1" applyFill="1" applyBorder="1" applyAlignment="1" applyProtection="1">
      <alignment vertical="center"/>
      <protection locked="0"/>
    </xf>
    <xf numFmtId="39" fontId="278" fillId="0" borderId="670" xfId="58" applyNumberFormat="1" applyFont="1" applyFill="1" applyBorder="1" applyAlignment="1" applyProtection="1">
      <alignment vertical="center"/>
      <protection locked="0"/>
    </xf>
    <xf numFmtId="39" fontId="278" fillId="0" borderId="0" xfId="58" applyNumberFormat="1" applyFont="1" applyFill="1" applyBorder="1" applyAlignment="1" applyProtection="1">
      <alignment vertical="center"/>
      <protection locked="0"/>
    </xf>
    <xf numFmtId="39" fontId="320" fillId="0" borderId="0" xfId="58" applyNumberFormat="1" applyFont="1" applyFill="1" applyBorder="1" applyAlignment="1" applyProtection="1">
      <alignment vertical="center"/>
      <protection locked="0"/>
    </xf>
    <xf numFmtId="39" fontId="320" fillId="0" borderId="0" xfId="7" applyNumberFormat="1" applyFont="1" applyFill="1" applyBorder="1" applyAlignment="1" applyProtection="1">
      <alignment vertical="center"/>
      <protection locked="0"/>
    </xf>
    <xf numFmtId="39" fontId="321" fillId="0" borderId="0" xfId="58" applyNumberFormat="1" applyFont="1" applyFill="1" applyAlignment="1" applyProtection="1">
      <alignment vertical="center"/>
      <protection locked="0"/>
    </xf>
    <xf numFmtId="39" fontId="278" fillId="0" borderId="0" xfId="58" applyNumberFormat="1" applyFont="1" applyFill="1" applyAlignment="1">
      <alignment vertical="center"/>
    </xf>
    <xf numFmtId="39" fontId="320" fillId="0" borderId="0" xfId="58" applyNumberFormat="1" applyFont="1" applyFill="1" applyAlignment="1">
      <alignment vertical="center"/>
    </xf>
    <xf numFmtId="39" fontId="320" fillId="0" borderId="0" xfId="2" applyNumberFormat="1" applyFont="1" applyFill="1" applyAlignment="1" applyProtection="1">
      <alignment horizontal="centerContinuous" vertical="center"/>
      <protection locked="0"/>
    </xf>
    <xf numFmtId="39" fontId="278" fillId="0" borderId="0" xfId="2" applyNumberFormat="1" applyFont="1" applyFill="1" applyAlignment="1" applyProtection="1">
      <alignment vertical="center"/>
      <protection locked="0"/>
    </xf>
    <xf numFmtId="39" fontId="320" fillId="0" borderId="0" xfId="2" applyNumberFormat="1" applyFont="1" applyFill="1" applyAlignment="1" applyProtection="1">
      <alignment vertical="center"/>
      <protection locked="0"/>
    </xf>
    <xf numFmtId="39" fontId="320" fillId="0" borderId="0" xfId="2" applyNumberFormat="1" applyFont="1" applyFill="1" applyBorder="1" applyAlignment="1" applyProtection="1">
      <alignment vertical="center"/>
      <protection locked="0"/>
    </xf>
    <xf numFmtId="39" fontId="320" fillId="0" borderId="433" xfId="2" applyNumberFormat="1" applyFont="1" applyFill="1" applyBorder="1" applyAlignment="1" applyProtection="1">
      <alignment vertical="center"/>
      <protection locked="0"/>
    </xf>
    <xf numFmtId="39" fontId="278" fillId="0" borderId="670" xfId="2" applyNumberFormat="1" applyFont="1" applyFill="1" applyBorder="1" applyAlignment="1" applyProtection="1">
      <alignment vertical="center"/>
      <protection locked="0"/>
    </xf>
    <xf numFmtId="39" fontId="278" fillId="0" borderId="0" xfId="2" applyNumberFormat="1" applyFont="1" applyFill="1" applyBorder="1" applyAlignment="1" applyProtection="1">
      <alignment vertical="center"/>
      <protection locked="0"/>
    </xf>
    <xf numFmtId="39" fontId="278" fillId="0" borderId="433" xfId="2" applyNumberFormat="1" applyFont="1" applyFill="1" applyBorder="1" applyAlignment="1" applyProtection="1">
      <alignment vertical="center"/>
      <protection locked="0"/>
    </xf>
    <xf numFmtId="39" fontId="321" fillId="0" borderId="0" xfId="58" applyNumberFormat="1" applyFont="1" applyFill="1" applyBorder="1" applyAlignment="1" applyProtection="1">
      <alignment vertical="center"/>
      <protection locked="0"/>
    </xf>
    <xf numFmtId="39" fontId="320" fillId="0" borderId="0" xfId="46" applyNumberFormat="1" applyFont="1" applyFill="1" applyAlignment="1" applyProtection="1">
      <alignment vertical="center"/>
      <protection locked="0"/>
    </xf>
    <xf numFmtId="39" fontId="278" fillId="0" borderId="0" xfId="46" applyNumberFormat="1" applyFont="1" applyFill="1" applyAlignment="1" applyProtection="1">
      <alignment horizontal="center" vertical="center"/>
      <protection locked="0"/>
    </xf>
    <xf numFmtId="39" fontId="320" fillId="0" borderId="0" xfId="46" applyNumberFormat="1" applyFont="1" applyFill="1" applyAlignment="1" applyProtection="1">
      <alignment horizontal="center" vertical="center"/>
      <protection locked="0"/>
    </xf>
    <xf numFmtId="39" fontId="320" fillId="0" borderId="0" xfId="2" applyNumberFormat="1" applyFont="1" applyFill="1" applyAlignment="1">
      <alignment vertical="center"/>
    </xf>
    <xf numFmtId="39" fontId="278" fillId="0" borderId="0" xfId="2" applyNumberFormat="1" applyFont="1" applyFill="1" applyAlignment="1">
      <alignment vertical="center"/>
    </xf>
    <xf numFmtId="39" fontId="320" fillId="0" borderId="0" xfId="2" applyNumberFormat="1" applyFont="1" applyFill="1" applyBorder="1" applyAlignment="1">
      <alignment vertical="center"/>
    </xf>
    <xf numFmtId="1" fontId="320" fillId="0" borderId="700" xfId="2" applyNumberFormat="1" applyFont="1" applyFill="1" applyBorder="1" applyAlignment="1" applyProtection="1">
      <alignment horizontal="center" vertical="center"/>
      <protection locked="0"/>
    </xf>
    <xf numFmtId="4" fontId="278" fillId="0" borderId="700" xfId="2" applyNumberFormat="1" applyFont="1" applyFill="1" applyBorder="1" applyAlignment="1" applyProtection="1">
      <alignment vertical="center"/>
      <protection locked="0"/>
    </xf>
    <xf numFmtId="43" fontId="278" fillId="0" borderId="700" xfId="1" applyFont="1" applyFill="1" applyBorder="1" applyAlignment="1" applyProtection="1">
      <alignment horizontal="right" vertical="center"/>
      <protection locked="0"/>
    </xf>
    <xf numFmtId="4" fontId="278" fillId="0" borderId="700" xfId="45" applyNumberFormat="1" applyFont="1" applyFill="1" applyBorder="1" applyAlignment="1" applyProtection="1">
      <alignment vertical="center"/>
      <protection locked="0"/>
    </xf>
    <xf numFmtId="0" fontId="278" fillId="0" borderId="0" xfId="35" applyFont="1" applyFill="1" applyAlignment="1">
      <alignment horizontal="left"/>
    </xf>
    <xf numFmtId="0" fontId="278" fillId="0" borderId="0" xfId="45" applyFont="1" applyFill="1" applyBorder="1" applyAlignment="1" applyProtection="1">
      <alignment horizontal="left" vertical="center"/>
      <protection locked="0"/>
    </xf>
    <xf numFmtId="0" fontId="278" fillId="0" borderId="0" xfId="45" applyFont="1" applyFill="1" applyAlignment="1" applyProtection="1">
      <alignment horizontal="left" vertical="center"/>
      <protection locked="0"/>
    </xf>
    <xf numFmtId="0" fontId="320" fillId="0" borderId="0" xfId="45" applyFont="1" applyFill="1" applyBorder="1" applyAlignment="1" applyProtection="1">
      <alignment horizontal="left" vertical="center"/>
      <protection locked="0"/>
    </xf>
    <xf numFmtId="39" fontId="320" fillId="0" borderId="0" xfId="45" applyNumberFormat="1" applyFont="1" applyFill="1" applyAlignment="1" applyProtection="1">
      <alignment vertical="center"/>
      <protection locked="0"/>
    </xf>
    <xf numFmtId="39" fontId="278" fillId="0" borderId="0" xfId="45" applyNumberFormat="1" applyFont="1" applyFill="1" applyAlignment="1" applyProtection="1">
      <alignment vertical="center"/>
      <protection locked="0"/>
    </xf>
    <xf numFmtId="39" fontId="320" fillId="0" borderId="0" xfId="45" applyNumberFormat="1" applyFont="1" applyFill="1" applyBorder="1" applyAlignment="1" applyProtection="1">
      <alignment vertical="center"/>
      <protection locked="0"/>
    </xf>
    <xf numFmtId="39" fontId="320" fillId="0" borderId="433" xfId="45" applyNumberFormat="1" applyFont="1" applyFill="1" applyBorder="1" applyAlignment="1" applyProtection="1">
      <alignment vertical="center"/>
      <protection locked="0"/>
    </xf>
    <xf numFmtId="39" fontId="278" fillId="0" borderId="670" xfId="45" applyNumberFormat="1" applyFont="1" applyFill="1" applyBorder="1" applyAlignment="1" applyProtection="1">
      <alignment vertical="center"/>
      <protection locked="0"/>
    </xf>
    <xf numFmtId="39" fontId="278" fillId="0" borderId="0" xfId="45" applyNumberFormat="1" applyFont="1" applyFill="1" applyBorder="1" applyAlignment="1" applyProtection="1">
      <alignment vertical="center"/>
      <protection locked="0"/>
    </xf>
    <xf numFmtId="39" fontId="278" fillId="0" borderId="433" xfId="45" applyNumberFormat="1" applyFont="1" applyFill="1" applyBorder="1" applyAlignment="1" applyProtection="1">
      <alignment vertical="center"/>
      <protection locked="0"/>
    </xf>
    <xf numFmtId="39" fontId="278" fillId="0" borderId="0" xfId="46" applyNumberFormat="1" applyFont="1" applyFill="1" applyAlignment="1" applyProtection="1">
      <alignment vertical="center"/>
      <protection locked="0"/>
    </xf>
    <xf numFmtId="39" fontId="320" fillId="0" borderId="0" xfId="46" applyNumberFormat="1" applyFont="1" applyFill="1" applyAlignment="1" applyProtection="1">
      <alignment horizontal="left" vertical="center"/>
      <protection locked="0"/>
    </xf>
    <xf numFmtId="39" fontId="320" fillId="0" borderId="0" xfId="45" applyNumberFormat="1" applyFont="1" applyFill="1" applyAlignment="1">
      <alignment vertical="center"/>
    </xf>
    <xf numFmtId="0" fontId="278" fillId="0" borderId="0" xfId="2" applyFont="1" applyFill="1" applyAlignment="1" applyProtection="1">
      <alignment horizontal="left" vertical="center"/>
      <protection locked="0"/>
    </xf>
    <xf numFmtId="39" fontId="320" fillId="0" borderId="670" xfId="2" applyNumberFormat="1" applyFont="1" applyFill="1" applyBorder="1" applyAlignment="1" applyProtection="1">
      <alignment vertical="center"/>
      <protection locked="0"/>
    </xf>
    <xf numFmtId="39" fontId="320" fillId="0" borderId="685" xfId="2" applyNumberFormat="1" applyFont="1" applyFill="1" applyBorder="1" applyAlignment="1" applyProtection="1">
      <alignment vertical="center"/>
      <protection locked="0"/>
    </xf>
    <xf numFmtId="4" fontId="278" fillId="0" borderId="547" xfId="2" applyNumberFormat="1" applyFont="1" applyFill="1" applyBorder="1" applyAlignment="1" applyProtection="1">
      <alignment horizontal="center" vertical="center"/>
      <protection locked="0"/>
    </xf>
    <xf numFmtId="0" fontId="278" fillId="0" borderId="0" xfId="27" applyNumberFormat="1" applyFont="1" applyFill="1" applyAlignment="1" applyProtection="1">
      <alignment horizontal="left" vertical="center"/>
      <protection locked="0"/>
    </xf>
    <xf numFmtId="0" fontId="320" fillId="0" borderId="0" xfId="27" applyNumberFormat="1" applyFont="1" applyFill="1" applyBorder="1" applyAlignment="1" applyProtection="1">
      <alignment horizontal="left" vertical="center"/>
      <protection locked="0"/>
    </xf>
    <xf numFmtId="4" fontId="320" fillId="0" borderId="670" xfId="1" applyNumberFormat="1" applyFont="1" applyFill="1" applyBorder="1" applyAlignment="1" applyProtection="1">
      <alignment horizontal="right" vertical="center"/>
      <protection locked="0"/>
    </xf>
    <xf numFmtId="39" fontId="320" fillId="0" borderId="670" xfId="1" applyNumberFormat="1" applyFont="1" applyFill="1" applyBorder="1" applyAlignment="1" applyProtection="1">
      <alignment horizontal="right" vertical="center"/>
      <protection locked="0"/>
    </xf>
    <xf numFmtId="4" fontId="320" fillId="0" borderId="0" xfId="1" applyNumberFormat="1" applyFont="1" applyFill="1" applyBorder="1" applyAlignment="1" applyProtection="1">
      <alignment horizontal="right" vertical="center"/>
      <protection locked="0"/>
    </xf>
    <xf numFmtId="39" fontId="320" fillId="0" borderId="0" xfId="1" applyNumberFormat="1" applyFont="1" applyFill="1" applyBorder="1" applyAlignment="1" applyProtection="1">
      <alignment horizontal="right" vertical="center"/>
      <protection locked="0"/>
    </xf>
    <xf numFmtId="39" fontId="321" fillId="0" borderId="0" xfId="1" applyNumberFormat="1" applyFont="1" applyFill="1" applyBorder="1" applyAlignment="1" applyProtection="1">
      <alignment vertical="center"/>
      <protection locked="0"/>
    </xf>
    <xf numFmtId="4" fontId="323" fillId="0" borderId="547" xfId="46" applyNumberFormat="1" applyFont="1" applyFill="1" applyBorder="1" applyAlignment="1" applyProtection="1">
      <alignment horizontal="center" vertical="center"/>
      <protection locked="0"/>
    </xf>
    <xf numFmtId="0" fontId="278" fillId="0" borderId="0" xfId="46" applyFont="1" applyFill="1" applyAlignment="1">
      <alignment horizontal="left"/>
    </xf>
    <xf numFmtId="0" fontId="320" fillId="0" borderId="0" xfId="46" applyFont="1" applyFill="1" applyBorder="1" applyAlignment="1">
      <alignment horizontal="left"/>
    </xf>
    <xf numFmtId="39" fontId="278" fillId="0" borderId="0" xfId="46" applyNumberFormat="1" applyFont="1" applyFill="1"/>
    <xf numFmtId="39" fontId="320" fillId="0" borderId="0" xfId="46" applyNumberFormat="1" applyFont="1" applyFill="1" applyBorder="1"/>
    <xf numFmtId="39" fontId="320" fillId="0" borderId="433" xfId="46" applyNumberFormat="1" applyFont="1" applyFill="1" applyBorder="1"/>
    <xf numFmtId="39" fontId="278" fillId="0" borderId="670" xfId="46" applyNumberFormat="1" applyFont="1" applyFill="1" applyBorder="1" applyAlignment="1">
      <alignment vertical="center"/>
    </xf>
    <xf numFmtId="39" fontId="278" fillId="0" borderId="0" xfId="46" applyNumberFormat="1" applyFont="1" applyFill="1" applyBorder="1" applyAlignment="1">
      <alignment vertical="center"/>
    </xf>
    <xf numFmtId="4" fontId="278" fillId="0" borderId="0" xfId="46" applyNumberFormat="1" applyFont="1" applyFill="1" applyBorder="1" applyAlignment="1">
      <alignment horizontal="right"/>
    </xf>
    <xf numFmtId="39" fontId="278" fillId="0" borderId="0" xfId="46" applyNumberFormat="1" applyFont="1" applyFill="1" applyBorder="1" applyAlignment="1">
      <alignment horizontal="right"/>
    </xf>
    <xf numFmtId="39" fontId="321" fillId="0" borderId="0" xfId="58" applyNumberFormat="1" applyFont="1" applyFill="1" applyBorder="1" applyProtection="1">
      <protection locked="0"/>
    </xf>
    <xf numFmtId="0" fontId="320" fillId="0" borderId="0" xfId="46" applyFont="1" applyFill="1" applyAlignment="1" applyProtection="1">
      <alignment horizontal="right" vertical="center"/>
      <protection locked="0"/>
    </xf>
    <xf numFmtId="39" fontId="278" fillId="0" borderId="0" xfId="46" applyNumberFormat="1" applyFont="1" applyFill="1" applyAlignment="1" applyProtection="1">
      <protection locked="0"/>
    </xf>
    <xf numFmtId="39" fontId="320" fillId="0" borderId="0" xfId="46" applyNumberFormat="1" applyFont="1" applyFill="1"/>
    <xf numFmtId="39" fontId="278" fillId="0" borderId="547" xfId="46" applyNumberFormat="1" applyFont="1" applyFill="1" applyBorder="1" applyAlignment="1">
      <alignment horizontal="center"/>
    </xf>
    <xf numFmtId="39" fontId="320" fillId="0" borderId="0" xfId="46" applyNumberFormat="1" applyFont="1" applyFill="1" applyAlignment="1">
      <alignment horizontal="center"/>
    </xf>
    <xf numFmtId="4" fontId="278" fillId="0" borderId="0" xfId="46" applyNumberFormat="1" applyFont="1" applyFill="1" applyAlignment="1">
      <alignment horizontal="center"/>
    </xf>
    <xf numFmtId="9" fontId="320" fillId="0" borderId="0" xfId="88" applyFont="1" applyFill="1" applyAlignment="1">
      <alignment horizontal="center"/>
    </xf>
    <xf numFmtId="9" fontId="278" fillId="0" borderId="0" xfId="88" applyFont="1" applyFill="1" applyAlignment="1">
      <alignment horizontal="center"/>
    </xf>
    <xf numFmtId="39" fontId="320" fillId="0" borderId="0" xfId="2" applyNumberFormat="1" applyFont="1" applyFill="1" applyAlignment="1">
      <alignment horizontal="centerContinuous" vertical="center"/>
    </xf>
    <xf numFmtId="39" fontId="320" fillId="0" borderId="433" xfId="2" applyNumberFormat="1" applyFont="1" applyFill="1" applyBorder="1" applyAlignment="1">
      <alignment vertical="center"/>
    </xf>
    <xf numFmtId="4" fontId="278" fillId="0" borderId="0" xfId="2" applyNumberFormat="1" applyFont="1" applyFill="1" applyAlignment="1">
      <alignment horizontal="left" vertical="center"/>
    </xf>
    <xf numFmtId="39" fontId="323" fillId="0" borderId="547" xfId="2" applyNumberFormat="1" applyFont="1" applyFill="1" applyBorder="1" applyAlignment="1">
      <alignment horizontal="center" vertical="center"/>
    </xf>
    <xf numFmtId="0" fontId="278" fillId="0" borderId="547" xfId="2" applyFont="1" applyFill="1" applyBorder="1" applyAlignment="1">
      <alignment horizontal="center" vertical="center"/>
    </xf>
    <xf numFmtId="39" fontId="278" fillId="0" borderId="0" xfId="2" applyNumberFormat="1" applyFont="1" applyFill="1" applyAlignment="1">
      <alignment horizontal="center" vertical="center"/>
    </xf>
    <xf numFmtId="4" fontId="320" fillId="0" borderId="1" xfId="46" applyNumberFormat="1" applyFont="1" applyFill="1" applyBorder="1" applyAlignment="1" applyProtection="1">
      <alignment vertical="center"/>
      <protection locked="0"/>
    </xf>
    <xf numFmtId="4" fontId="320" fillId="0" borderId="670" xfId="15" applyNumberFormat="1" applyFont="1" applyFill="1" applyBorder="1" applyAlignment="1" applyProtection="1">
      <alignment horizontal="right" vertical="center"/>
      <protection locked="0"/>
    </xf>
    <xf numFmtId="4" fontId="320" fillId="0" borderId="0" xfId="15" applyNumberFormat="1" applyFont="1" applyFill="1" applyBorder="1" applyAlignment="1" applyProtection="1">
      <alignment horizontal="right" vertical="center"/>
      <protection locked="0"/>
    </xf>
    <xf numFmtId="4" fontId="278" fillId="0" borderId="673" xfId="46" applyNumberFormat="1" applyFont="1" applyFill="1" applyBorder="1" applyAlignment="1" applyProtection="1">
      <alignment horizontal="center" vertical="center"/>
      <protection locked="0"/>
    </xf>
    <xf numFmtId="4" fontId="278" fillId="0" borderId="0" xfId="46" applyNumberFormat="1" applyFont="1" applyFill="1" applyAlignment="1" applyProtection="1">
      <alignment horizontal="center" vertical="center"/>
      <protection locked="0"/>
    </xf>
    <xf numFmtId="4" fontId="320" fillId="0" borderId="0" xfId="46" applyNumberFormat="1" applyFont="1" applyFill="1" applyAlignment="1">
      <alignment horizontal="center" vertical="center"/>
    </xf>
    <xf numFmtId="0" fontId="278" fillId="0" borderId="0" xfId="2" applyFont="1" applyFill="1" applyAlignment="1">
      <alignment horizontal="left" vertical="center"/>
    </xf>
    <xf numFmtId="0" fontId="320" fillId="0" borderId="0" xfId="2" applyFont="1" applyFill="1" applyBorder="1" applyAlignment="1">
      <alignment horizontal="left" vertical="center"/>
    </xf>
    <xf numFmtId="0" fontId="278" fillId="0" borderId="0" xfId="46" applyNumberFormat="1" applyFont="1" applyFill="1" applyAlignment="1" applyProtection="1">
      <alignment horizontal="left" vertical="center"/>
      <protection locked="0"/>
    </xf>
    <xf numFmtId="0" fontId="320" fillId="0" borderId="0" xfId="46" applyNumberFormat="1" applyFont="1" applyFill="1" applyAlignment="1" applyProtection="1">
      <alignment horizontal="left" vertical="center"/>
      <protection locked="0"/>
    </xf>
    <xf numFmtId="0" fontId="320" fillId="0" borderId="0" xfId="46" applyNumberFormat="1" applyFont="1" applyFill="1" applyBorder="1" applyAlignment="1" applyProtection="1">
      <alignment horizontal="left" vertical="center"/>
      <protection locked="0"/>
    </xf>
    <xf numFmtId="4" fontId="320" fillId="0" borderId="670" xfId="1" applyNumberFormat="1" applyFont="1" applyFill="1" applyBorder="1" applyAlignment="1" applyProtection="1">
      <alignment horizontal="right" vertical="top"/>
      <protection locked="0"/>
    </xf>
    <xf numFmtId="4" fontId="320" fillId="0" borderId="0" xfId="1" applyNumberFormat="1" applyFont="1" applyFill="1" applyBorder="1" applyAlignment="1" applyProtection="1">
      <alignment horizontal="right" vertical="top"/>
      <protection locked="0"/>
    </xf>
    <xf numFmtId="0" fontId="278" fillId="0" borderId="0" xfId="47" applyFont="1" applyFill="1" applyBorder="1" applyAlignment="1" applyProtection="1">
      <protection locked="0"/>
    </xf>
    <xf numFmtId="0" fontId="278" fillId="0" borderId="0" xfId="47" applyFont="1" applyFill="1" applyBorder="1" applyAlignment="1" applyProtection="1">
      <alignment horizontal="center"/>
      <protection locked="0"/>
    </xf>
    <xf numFmtId="0" fontId="320" fillId="0" borderId="0" xfId="47" applyFont="1" applyFill="1" applyBorder="1" applyAlignment="1" applyProtection="1">
      <alignment horizontal="center" vertical="top"/>
      <protection locked="0"/>
    </xf>
    <xf numFmtId="0" fontId="19" fillId="0" borderId="0" xfId="59" applyFont="1" applyFill="1" applyAlignment="1">
      <alignment horizontal="right"/>
    </xf>
    <xf numFmtId="43" fontId="221" fillId="0" borderId="685" xfId="62" applyFont="1" applyFill="1" applyBorder="1"/>
    <xf numFmtId="43" fontId="221" fillId="0" borderId="685" xfId="62" applyFont="1" applyFill="1" applyBorder="1" applyAlignment="1">
      <alignment horizontal="right"/>
    </xf>
    <xf numFmtId="43" fontId="221" fillId="0" borderId="630" xfId="62" applyFont="1" applyFill="1" applyBorder="1"/>
    <xf numFmtId="43" fontId="221" fillId="0" borderId="356" xfId="62" applyFont="1" applyFill="1" applyBorder="1"/>
    <xf numFmtId="43" fontId="221" fillId="0" borderId="685" xfId="1" applyFont="1" applyFill="1" applyBorder="1"/>
    <xf numFmtId="0" fontId="220" fillId="0" borderId="642" xfId="21" applyFont="1" applyFill="1" applyBorder="1" applyAlignment="1">
      <alignment horizontal="center" vertical="center"/>
    </xf>
    <xf numFmtId="0" fontId="221" fillId="0" borderId="685" xfId="21" applyFont="1" applyFill="1" applyBorder="1" applyAlignment="1">
      <alignment horizontal="center" vertical="center"/>
    </xf>
    <xf numFmtId="0" fontId="221" fillId="0" borderId="685" xfId="21" applyFont="1" applyFill="1" applyBorder="1" applyAlignment="1">
      <alignment vertical="center"/>
    </xf>
    <xf numFmtId="43" fontId="221" fillId="0" borderId="685" xfId="1" applyFont="1" applyFill="1" applyBorder="1" applyAlignment="1">
      <alignment horizontal="center" vertical="center"/>
    </xf>
    <xf numFmtId="43" fontId="221" fillId="0" borderId="685" xfId="62" applyFont="1" applyFill="1" applyBorder="1" applyAlignment="1">
      <alignment vertical="center"/>
    </xf>
    <xf numFmtId="43" fontId="221" fillId="0" borderId="397" xfId="62" applyFont="1" applyFill="1" applyBorder="1" applyAlignment="1">
      <alignment vertical="center"/>
    </xf>
    <xf numFmtId="43" fontId="220" fillId="0" borderId="642" xfId="62" applyFont="1" applyFill="1" applyBorder="1" applyAlignment="1">
      <alignment vertical="center"/>
    </xf>
    <xf numFmtId="43" fontId="220" fillId="0" borderId="685" xfId="21" applyNumberFormat="1" applyFont="1" applyFill="1" applyBorder="1" applyAlignment="1">
      <alignment vertical="center"/>
    </xf>
    <xf numFmtId="43" fontId="221" fillId="0" borderId="685" xfId="21" applyNumberFormat="1" applyFont="1" applyFill="1" applyBorder="1" applyAlignment="1">
      <alignment vertical="center"/>
    </xf>
    <xf numFmtId="43" fontId="221" fillId="0" borderId="642" xfId="21" applyNumberFormat="1" applyFont="1" applyFill="1" applyBorder="1" applyAlignment="1">
      <alignment vertical="center"/>
    </xf>
    <xf numFmtId="43" fontId="221" fillId="0" borderId="397" xfId="21" applyNumberFormat="1" applyFont="1" applyFill="1" applyBorder="1" applyAlignment="1">
      <alignment vertical="center"/>
    </xf>
    <xf numFmtId="0" fontId="221" fillId="0" borderId="672" xfId="21" applyFont="1" applyFill="1" applyBorder="1" applyAlignment="1">
      <alignment vertical="center"/>
    </xf>
    <xf numFmtId="43" fontId="221" fillId="0" borderId="672" xfId="1" applyFont="1" applyFill="1" applyBorder="1" applyAlignment="1">
      <alignment horizontal="center" vertical="center"/>
    </xf>
    <xf numFmtId="43" fontId="221" fillId="0" borderId="685" xfId="1" applyFont="1" applyFill="1" applyBorder="1" applyAlignment="1">
      <alignment vertical="center"/>
    </xf>
    <xf numFmtId="43" fontId="220" fillId="0" borderId="642" xfId="1" applyFont="1" applyFill="1" applyBorder="1" applyAlignment="1">
      <alignment horizontal="center" vertical="center"/>
    </xf>
    <xf numFmtId="43" fontId="220" fillId="0" borderId="685" xfId="62" applyFont="1" applyFill="1" applyBorder="1" applyAlignment="1">
      <alignment vertical="center"/>
    </xf>
    <xf numFmtId="43" fontId="220" fillId="0" borderId="685" xfId="1" applyFont="1" applyFill="1" applyBorder="1" applyAlignment="1">
      <alignment vertical="center"/>
    </xf>
    <xf numFmtId="0" fontId="221" fillId="0" borderId="642" xfId="21" applyFont="1" applyFill="1" applyBorder="1" applyAlignment="1">
      <alignment horizontal="center" vertical="center"/>
    </xf>
    <xf numFmtId="0" fontId="221" fillId="0" borderId="642" xfId="21" applyFont="1" applyFill="1" applyBorder="1" applyAlignment="1">
      <alignment vertical="center"/>
    </xf>
    <xf numFmtId="43" fontId="221" fillId="0" borderId="642" xfId="1" applyFont="1" applyFill="1" applyBorder="1" applyAlignment="1">
      <alignment vertical="center"/>
    </xf>
    <xf numFmtId="0" fontId="221" fillId="0" borderId="397" xfId="21" applyFont="1" applyFill="1" applyBorder="1" applyAlignment="1">
      <alignment horizontal="center" vertical="center"/>
    </xf>
    <xf numFmtId="0" fontId="221" fillId="0" borderId="397" xfId="21" applyFont="1" applyFill="1" applyBorder="1" applyAlignment="1">
      <alignment vertical="center"/>
    </xf>
    <xf numFmtId="43" fontId="221" fillId="0" borderId="397" xfId="1" applyFont="1" applyFill="1" applyBorder="1" applyAlignment="1">
      <alignment vertical="center"/>
    </xf>
    <xf numFmtId="0" fontId="221" fillId="0" borderId="685" xfId="21" applyFont="1" applyFill="1" applyBorder="1"/>
    <xf numFmtId="43" fontId="221" fillId="0" borderId="628" xfId="62" applyFont="1" applyFill="1" applyBorder="1"/>
    <xf numFmtId="43" fontId="220" fillId="0" borderId="701" xfId="1" applyFont="1" applyFill="1" applyBorder="1" applyAlignment="1">
      <alignment horizontal="center"/>
    </xf>
    <xf numFmtId="43" fontId="220" fillId="0" borderId="702" xfId="62" applyFont="1" applyFill="1" applyBorder="1"/>
    <xf numFmtId="43" fontId="221" fillId="0" borderId="701" xfId="21" applyNumberFormat="1" applyFont="1" applyFill="1" applyBorder="1"/>
    <xf numFmtId="43" fontId="221" fillId="0" borderId="553" xfId="62" applyFont="1" applyFill="1" applyBorder="1"/>
    <xf numFmtId="43" fontId="220" fillId="0" borderId="642" xfId="1" applyFont="1" applyFill="1" applyBorder="1" applyAlignment="1">
      <alignment horizontal="center"/>
    </xf>
    <xf numFmtId="43" fontId="220" fillId="0" borderId="642" xfId="62" applyFont="1" applyFill="1" applyBorder="1"/>
    <xf numFmtId="43" fontId="220" fillId="0" borderId="685" xfId="21" applyNumberFormat="1" applyFont="1" applyFill="1" applyBorder="1"/>
    <xf numFmtId="0" fontId="221" fillId="0" borderId="397" xfId="21" applyFont="1" applyFill="1" applyBorder="1" applyAlignment="1">
      <alignment horizontal="center"/>
    </xf>
    <xf numFmtId="43" fontId="221" fillId="0" borderId="397" xfId="62" applyFont="1" applyFill="1" applyBorder="1"/>
    <xf numFmtId="43" fontId="221" fillId="0" borderId="702" xfId="62" applyFont="1" applyFill="1" applyBorder="1"/>
    <xf numFmtId="0" fontId="220" fillId="0" borderId="685" xfId="21" applyFont="1" applyFill="1" applyBorder="1" applyAlignment="1">
      <alignment horizontal="center"/>
    </xf>
    <xf numFmtId="43" fontId="220" fillId="0" borderId="285" xfId="62" applyFont="1" applyFill="1" applyBorder="1"/>
    <xf numFmtId="43" fontId="221" fillId="0" borderId="685" xfId="62" applyFont="1" applyFill="1" applyBorder="1" applyAlignment="1">
      <alignment horizontal="center" vertical="center"/>
    </xf>
    <xf numFmtId="0" fontId="220" fillId="0" borderId="285" xfId="21" applyFont="1" applyFill="1" applyBorder="1" applyAlignment="1">
      <alignment horizontal="center"/>
    </xf>
    <xf numFmtId="0" fontId="220" fillId="0" borderId="642" xfId="21" applyFont="1" applyFill="1" applyBorder="1" applyAlignment="1">
      <alignment horizontal="center"/>
    </xf>
    <xf numFmtId="0" fontId="221" fillId="0" borderId="642" xfId="21" applyFont="1" applyFill="1" applyBorder="1" applyAlignment="1">
      <alignment horizontal="center"/>
    </xf>
    <xf numFmtId="43" fontId="220" fillId="0" borderId="642" xfId="21" applyNumberFormat="1" applyFont="1" applyFill="1" applyBorder="1"/>
    <xf numFmtId="43" fontId="220" fillId="0" borderId="632" xfId="21" applyNumberFormat="1" applyFont="1" applyFill="1" applyBorder="1"/>
    <xf numFmtId="43" fontId="220" fillId="0" borderId="632" xfId="62" applyFont="1" applyFill="1" applyBorder="1"/>
    <xf numFmtId="0" fontId="221" fillId="0" borderId="588" xfId="21" applyFont="1" applyFill="1" applyBorder="1" applyAlignment="1">
      <alignment horizontal="center"/>
    </xf>
    <xf numFmtId="0" fontId="221" fillId="0" borderId="285" xfId="21" quotePrefix="1" applyFont="1" applyFill="1" applyBorder="1" applyAlignment="1">
      <alignment horizontal="center" vertical="center"/>
    </xf>
    <xf numFmtId="43" fontId="220" fillId="0" borderId="642" xfId="21" applyNumberFormat="1" applyFont="1" applyFill="1" applyBorder="1" applyAlignment="1">
      <alignment horizontal="center" vertical="center"/>
    </xf>
    <xf numFmtId="43" fontId="220" fillId="0" borderId="632" xfId="21" applyNumberFormat="1" applyFont="1" applyFill="1" applyBorder="1" applyAlignment="1">
      <alignment horizontal="center" vertical="center"/>
    </xf>
    <xf numFmtId="0" fontId="221" fillId="0" borderId="588" xfId="21" applyFont="1" applyFill="1" applyBorder="1" applyAlignment="1">
      <alignment horizontal="center" vertical="center"/>
    </xf>
    <xf numFmtId="0" fontId="220" fillId="0" borderId="642" xfId="21" applyFont="1" applyFill="1" applyBorder="1" applyAlignment="1">
      <alignment vertical="center"/>
    </xf>
    <xf numFmtId="0" fontId="220" fillId="0" borderId="632" xfId="21" applyFont="1" applyFill="1" applyBorder="1" applyAlignment="1">
      <alignment vertical="center"/>
    </xf>
    <xf numFmtId="0" fontId="220" fillId="0" borderId="285" xfId="21" applyFont="1" applyFill="1" applyBorder="1" applyAlignment="1">
      <alignment vertical="center"/>
    </xf>
    <xf numFmtId="0" fontId="221" fillId="0" borderId="672" xfId="21" applyFont="1" applyFill="1" applyBorder="1"/>
    <xf numFmtId="0" fontId="221" fillId="0" borderId="672" xfId="21" applyFont="1" applyFill="1" applyBorder="1" applyAlignment="1">
      <alignment horizontal="center"/>
    </xf>
    <xf numFmtId="43" fontId="220" fillId="0" borderId="632" xfId="1" applyFont="1" applyFill="1" applyBorder="1" applyAlignment="1">
      <alignment horizontal="center"/>
    </xf>
    <xf numFmtId="43" fontId="220" fillId="0" borderId="642" xfId="21" applyNumberFormat="1" applyFont="1" applyFill="1" applyBorder="1" applyAlignment="1">
      <alignment vertical="center"/>
    </xf>
    <xf numFmtId="43" fontId="220" fillId="0" borderId="632" xfId="21" applyNumberFormat="1" applyFont="1" applyFill="1" applyBorder="1" applyAlignment="1">
      <alignment vertical="center"/>
    </xf>
    <xf numFmtId="43" fontId="221" fillId="0" borderId="295" xfId="1" applyFont="1" applyFill="1" applyBorder="1" applyAlignment="1">
      <alignment vertical="center"/>
    </xf>
    <xf numFmtId="43" fontId="221" fillId="0" borderId="295" xfId="62" applyFont="1" applyFill="1" applyBorder="1" applyAlignment="1">
      <alignment horizontal="center" vertical="center"/>
    </xf>
    <xf numFmtId="0" fontId="220" fillId="0" borderId="642" xfId="62" applyNumberFormat="1" applyFont="1" applyFill="1" applyBorder="1" applyAlignment="1">
      <alignment horizontal="center" vertical="center"/>
    </xf>
    <xf numFmtId="0" fontId="221" fillId="0" borderId="633" xfId="21" applyFont="1" applyFill="1" applyBorder="1" applyAlignment="1">
      <alignment horizontal="center" vertical="center"/>
    </xf>
    <xf numFmtId="0" fontId="221" fillId="0" borderId="553" xfId="21" applyFont="1" applyFill="1" applyBorder="1" applyAlignment="1">
      <alignment vertical="center"/>
    </xf>
    <xf numFmtId="0" fontId="220" fillId="0" borderId="415" xfId="21" applyFont="1" applyFill="1" applyBorder="1" applyAlignment="1">
      <alignment horizontal="center"/>
    </xf>
    <xf numFmtId="0" fontId="221" fillId="0" borderId="642" xfId="21" applyFont="1" applyFill="1" applyBorder="1"/>
    <xf numFmtId="43" fontId="221" fillId="0" borderId="632" xfId="21" applyNumberFormat="1" applyFont="1" applyFill="1" applyBorder="1"/>
    <xf numFmtId="4" fontId="221" fillId="0" borderId="685" xfId="35" applyNumberFormat="1" applyFont="1" applyFill="1" applyBorder="1"/>
    <xf numFmtId="0" fontId="220" fillId="0" borderId="249" xfId="21" applyFont="1" applyFill="1" applyBorder="1" applyAlignment="1">
      <alignment horizontal="center"/>
    </xf>
    <xf numFmtId="0" fontId="220" fillId="0" borderId="633" xfId="21" applyFont="1" applyFill="1" applyBorder="1" applyAlignment="1">
      <alignment horizontal="center"/>
    </xf>
    <xf numFmtId="0" fontId="220" fillId="0" borderId="255" xfId="21" applyFont="1" applyFill="1" applyBorder="1" applyAlignment="1">
      <alignment horizontal="center"/>
    </xf>
    <xf numFmtId="0" fontId="220" fillId="0" borderId="387" xfId="21" applyFont="1" applyFill="1" applyBorder="1" applyAlignment="1">
      <alignment horizontal="left"/>
    </xf>
    <xf numFmtId="0" fontId="221" fillId="0" borderId="553" xfId="21" applyFont="1" applyFill="1" applyBorder="1" applyAlignment="1">
      <alignment horizontal="center"/>
    </xf>
    <xf numFmtId="43" fontId="220" fillId="0" borderId="553" xfId="21" applyNumberFormat="1" applyFont="1" applyFill="1" applyBorder="1"/>
    <xf numFmtId="43" fontId="220" fillId="0" borderId="703" xfId="21" applyNumberFormat="1" applyFont="1" applyFill="1" applyBorder="1"/>
    <xf numFmtId="0" fontId="220" fillId="0" borderId="642" xfId="21" applyFont="1" applyFill="1" applyBorder="1"/>
    <xf numFmtId="0" fontId="221" fillId="0" borderId="684" xfId="21" applyFont="1" applyFill="1" applyBorder="1"/>
    <xf numFmtId="0" fontId="221" fillId="0" borderId="661" xfId="21" applyFont="1" applyFill="1" applyBorder="1"/>
    <xf numFmtId="0" fontId="220" fillId="0" borderId="553" xfId="21" applyFont="1" applyFill="1" applyBorder="1"/>
    <xf numFmtId="0" fontId="220" fillId="0" borderId="249" xfId="21" applyFont="1" applyFill="1" applyBorder="1"/>
    <xf numFmtId="0" fontId="220" fillId="0" borderId="633" xfId="21" applyFont="1" applyFill="1" applyBorder="1"/>
    <xf numFmtId="43" fontId="220" fillId="0" borderId="633" xfId="21" applyNumberFormat="1" applyFont="1" applyFill="1" applyBorder="1"/>
    <xf numFmtId="43" fontId="220" fillId="0" borderId="634" xfId="21" applyNumberFormat="1" applyFont="1" applyFill="1" applyBorder="1"/>
    <xf numFmtId="0" fontId="220" fillId="0" borderId="295" xfId="21" applyFont="1" applyFill="1" applyBorder="1"/>
    <xf numFmtId="0" fontId="221" fillId="0" borderId="255" xfId="21" applyFont="1" applyFill="1" applyBorder="1"/>
    <xf numFmtId="0" fontId="221" fillId="0" borderId="590" xfId="21" applyFont="1" applyFill="1" applyBorder="1"/>
    <xf numFmtId="0" fontId="220" fillId="0" borderId="415" xfId="21" applyFont="1" applyFill="1" applyBorder="1" applyAlignment="1">
      <alignment horizontal="center" vertical="center"/>
    </xf>
    <xf numFmtId="0" fontId="220" fillId="0" borderId="249" xfId="21" applyFont="1" applyFill="1" applyBorder="1" applyAlignment="1">
      <alignment horizontal="center" vertical="center"/>
    </xf>
    <xf numFmtId="0" fontId="220" fillId="0" borderId="255" xfId="21" applyFont="1" applyFill="1" applyBorder="1" applyAlignment="1">
      <alignment horizontal="center" vertical="center"/>
    </xf>
    <xf numFmtId="0" fontId="221" fillId="0" borderId="387" xfId="21" applyFont="1" applyFill="1" applyBorder="1" applyAlignment="1">
      <alignment horizontal="center" vertical="center"/>
    </xf>
    <xf numFmtId="0" fontId="221" fillId="0" borderId="672" xfId="21" quotePrefix="1" applyFont="1" applyFill="1" applyBorder="1" applyAlignment="1">
      <alignment horizontal="center" vertical="center"/>
    </xf>
    <xf numFmtId="0" fontId="220" fillId="0" borderId="387" xfId="21" applyFont="1" applyFill="1" applyBorder="1" applyAlignment="1">
      <alignment horizontal="left" vertical="center"/>
    </xf>
    <xf numFmtId="43" fontId="221" fillId="0" borderId="295" xfId="62" applyFont="1" applyFill="1" applyBorder="1" applyAlignment="1">
      <alignment horizontal="right" vertical="center"/>
    </xf>
    <xf numFmtId="43" fontId="221" fillId="0" borderId="285" xfId="62" applyFont="1" applyFill="1" applyBorder="1" applyAlignment="1">
      <alignment horizontal="right" vertical="center"/>
    </xf>
    <xf numFmtId="43" fontId="220" fillId="0" borderId="588" xfId="62" applyFont="1" applyFill="1" applyBorder="1" applyAlignment="1">
      <alignment vertical="center"/>
    </xf>
    <xf numFmtId="43" fontId="220" fillId="0" borderId="590" xfId="62" applyFont="1" applyFill="1" applyBorder="1" applyAlignment="1">
      <alignment vertical="center"/>
    </xf>
    <xf numFmtId="0" fontId="221" fillId="0" borderId="387" xfId="21" applyFont="1" applyFill="1" applyBorder="1" applyAlignment="1">
      <alignment vertical="top"/>
    </xf>
    <xf numFmtId="0" fontId="221" fillId="0" borderId="295" xfId="21" applyFont="1" applyFill="1" applyBorder="1" applyAlignment="1">
      <alignment horizontal="center" vertical="top"/>
    </xf>
    <xf numFmtId="0" fontId="221" fillId="0" borderId="249" xfId="21" applyFont="1" applyFill="1" applyBorder="1" applyAlignment="1">
      <alignment vertical="center"/>
    </xf>
    <xf numFmtId="43" fontId="220" fillId="0" borderId="246" xfId="62" applyFont="1" applyFill="1" applyBorder="1" applyAlignment="1">
      <alignment vertical="center"/>
    </xf>
    <xf numFmtId="43" fontId="220" fillId="0" borderId="255" xfId="62" applyFont="1" applyFill="1" applyBorder="1" applyAlignment="1">
      <alignment vertical="center"/>
    </xf>
    <xf numFmtId="0" fontId="220" fillId="0" borderId="445" xfId="21" applyFont="1" applyFill="1" applyBorder="1" applyAlignment="1">
      <alignment vertical="center"/>
    </xf>
    <xf numFmtId="43" fontId="220" fillId="0" borderId="590" xfId="21" applyNumberFormat="1" applyFont="1" applyFill="1" applyBorder="1" applyAlignment="1">
      <alignment vertical="center"/>
    </xf>
    <xf numFmtId="43" fontId="221" fillId="0" borderId="703" xfId="62" applyFont="1" applyFill="1" applyBorder="1" applyAlignment="1">
      <alignment vertical="center"/>
    </xf>
    <xf numFmtId="0" fontId="221" fillId="0" borderId="415" xfId="21" applyFont="1" applyFill="1" applyBorder="1" applyAlignment="1">
      <alignment vertical="center"/>
    </xf>
    <xf numFmtId="0" fontId="221" fillId="0" borderId="536" xfId="21" applyFont="1" applyFill="1" applyBorder="1" applyAlignment="1">
      <alignment vertical="center"/>
    </xf>
    <xf numFmtId="0" fontId="220" fillId="0" borderId="249" xfId="21" applyFont="1" applyFill="1" applyBorder="1" applyAlignment="1">
      <alignment vertical="center"/>
    </xf>
    <xf numFmtId="43" fontId="220" fillId="0" borderId="285" xfId="21" applyNumberFormat="1" applyFont="1" applyFill="1" applyBorder="1" applyAlignment="1">
      <alignment vertical="center"/>
    </xf>
    <xf numFmtId="0" fontId="220" fillId="0" borderId="633" xfId="21" applyFont="1" applyFill="1" applyBorder="1" applyAlignment="1">
      <alignment horizontal="center" vertical="center"/>
    </xf>
    <xf numFmtId="43" fontId="221" fillId="0" borderId="672" xfId="62" applyFont="1" applyFill="1" applyBorder="1"/>
    <xf numFmtId="43" fontId="221" fillId="0" borderId="536" xfId="62" applyFont="1" applyFill="1" applyBorder="1"/>
    <xf numFmtId="0" fontId="221" fillId="0" borderId="590" xfId="21" applyFont="1" applyFill="1" applyBorder="1" applyAlignment="1">
      <alignment vertical="center"/>
    </xf>
    <xf numFmtId="43" fontId="220" fillId="0" borderId="642" xfId="62" applyFont="1" applyFill="1" applyBorder="1" applyAlignment="1">
      <alignment horizontal="center" vertical="center"/>
    </xf>
    <xf numFmtId="43" fontId="220" fillId="0" borderId="632" xfId="62" applyFont="1" applyFill="1" applyBorder="1" applyAlignment="1">
      <alignment horizontal="center" vertical="center"/>
    </xf>
    <xf numFmtId="0" fontId="220" fillId="0" borderId="415" xfId="21" applyFont="1" applyFill="1" applyBorder="1" applyAlignment="1">
      <alignment vertical="center"/>
    </xf>
    <xf numFmtId="0" fontId="220" fillId="0" borderId="672" xfId="21" applyFont="1" applyFill="1" applyBorder="1" applyAlignment="1">
      <alignment vertical="center"/>
    </xf>
    <xf numFmtId="0" fontId="220" fillId="0" borderId="588" xfId="21" applyFont="1" applyFill="1" applyBorder="1" applyAlignment="1">
      <alignment vertical="center"/>
    </xf>
    <xf numFmtId="0" fontId="220" fillId="0" borderId="588" xfId="21" applyFont="1" applyFill="1" applyBorder="1" applyAlignment="1">
      <alignment horizontal="center"/>
    </xf>
    <xf numFmtId="0" fontId="221" fillId="0" borderId="536" xfId="21" applyFont="1" applyFill="1" applyBorder="1"/>
    <xf numFmtId="43" fontId="221" fillId="0" borderId="295" xfId="62" applyFont="1" applyFill="1" applyBorder="1" applyAlignment="1">
      <alignment horizontal="center"/>
    </xf>
    <xf numFmtId="43" fontId="221" fillId="0" borderId="285" xfId="62" applyFont="1" applyFill="1" applyBorder="1" applyAlignment="1">
      <alignment horizontal="center"/>
    </xf>
    <xf numFmtId="43" fontId="221" fillId="0" borderId="553" xfId="62" applyFont="1" applyFill="1" applyBorder="1" applyAlignment="1">
      <alignment horizontal="center"/>
    </xf>
    <xf numFmtId="43" fontId="221" fillId="0" borderId="703" xfId="62" applyFont="1" applyFill="1" applyBorder="1" applyAlignment="1">
      <alignment horizontal="center"/>
    </xf>
    <xf numFmtId="43" fontId="220" fillId="0" borderId="246" xfId="21" applyNumberFormat="1" applyFont="1" applyFill="1" applyBorder="1"/>
    <xf numFmtId="43" fontId="220" fillId="0" borderId="255" xfId="21" applyNumberFormat="1" applyFont="1" applyFill="1" applyBorder="1"/>
    <xf numFmtId="0" fontId="220" fillId="0" borderId="415" xfId="21" applyFont="1" applyFill="1" applyBorder="1"/>
    <xf numFmtId="0" fontId="220" fillId="0" borderId="285" xfId="21" applyFont="1" applyFill="1" applyBorder="1"/>
    <xf numFmtId="0" fontId="220" fillId="0" borderId="387" xfId="21" applyFont="1" applyFill="1" applyBorder="1" applyAlignment="1">
      <alignment horizontal="center" vertical="center"/>
    </xf>
    <xf numFmtId="0" fontId="220" fillId="0" borderId="634" xfId="21" applyFont="1" applyFill="1" applyBorder="1" applyAlignment="1">
      <alignment horizontal="center" vertical="center"/>
    </xf>
    <xf numFmtId="43" fontId="220" fillId="0" borderId="285" xfId="62" applyFont="1" applyFill="1" applyBorder="1" applyAlignment="1">
      <alignment vertical="center"/>
    </xf>
    <xf numFmtId="0" fontId="221" fillId="0" borderId="632" xfId="21" applyFont="1" applyFill="1" applyBorder="1" applyAlignment="1">
      <alignment vertical="center"/>
    </xf>
    <xf numFmtId="0" fontId="220" fillId="0" borderId="642" xfId="62" applyNumberFormat="1" applyFont="1" applyFill="1" applyBorder="1" applyAlignment="1">
      <alignment horizontal="center"/>
    </xf>
    <xf numFmtId="43" fontId="220" fillId="0" borderId="588" xfId="62" applyFont="1" applyFill="1" applyBorder="1"/>
    <xf numFmtId="0" fontId="221" fillId="0" borderId="632" xfId="21" applyFont="1" applyFill="1" applyBorder="1"/>
    <xf numFmtId="0" fontId="220" fillId="0" borderId="590" xfId="21" applyFont="1" applyFill="1" applyBorder="1" applyAlignment="1">
      <alignment horizontal="center"/>
    </xf>
    <xf numFmtId="43" fontId="221" fillId="0" borderId="703" xfId="62" applyFont="1" applyFill="1" applyBorder="1"/>
    <xf numFmtId="0" fontId="220" fillId="0" borderId="633" xfId="21" applyNumberFormat="1" applyFont="1" applyFill="1" applyBorder="1" applyAlignment="1">
      <alignment horizontal="center"/>
    </xf>
    <xf numFmtId="0" fontId="221" fillId="0" borderId="633" xfId="21" applyFont="1" applyFill="1" applyBorder="1"/>
    <xf numFmtId="0" fontId="220" fillId="0" borderId="588" xfId="21" applyFont="1" applyFill="1" applyBorder="1"/>
    <xf numFmtId="0" fontId="220" fillId="0" borderId="295" xfId="21" applyFont="1" applyFill="1" applyBorder="1" applyAlignment="1">
      <alignment horizontal="center" vertical="center"/>
    </xf>
    <xf numFmtId="0" fontId="221" fillId="0" borderId="387" xfId="21" applyFont="1" applyFill="1" applyBorder="1" applyAlignment="1">
      <alignment horizontal="left" vertical="center"/>
    </xf>
    <xf numFmtId="0" fontId="221" fillId="0" borderId="636" xfId="21" applyFont="1" applyFill="1" applyBorder="1" applyAlignment="1">
      <alignment horizontal="center" vertical="center"/>
    </xf>
    <xf numFmtId="0" fontId="221" fillId="0" borderId="697" xfId="21" applyFont="1" applyFill="1" applyBorder="1" applyAlignment="1">
      <alignment vertical="center"/>
    </xf>
    <xf numFmtId="43" fontId="221" fillId="0" borderId="697" xfId="62" applyFont="1" applyFill="1" applyBorder="1" applyAlignment="1">
      <alignment vertical="center"/>
    </xf>
    <xf numFmtId="0" fontId="220" fillId="0" borderId="397" xfId="21" applyFont="1" applyFill="1" applyBorder="1" applyAlignment="1">
      <alignment horizontal="center"/>
    </xf>
    <xf numFmtId="0" fontId="220" fillId="0" borderId="697" xfId="21" applyFont="1" applyFill="1" applyBorder="1" applyAlignment="1">
      <alignment horizontal="center"/>
    </xf>
    <xf numFmtId="0" fontId="220" fillId="0" borderId="415" xfId="21" applyFont="1" applyFill="1" applyBorder="1" applyAlignment="1">
      <alignment horizontal="left"/>
    </xf>
    <xf numFmtId="0" fontId="221" fillId="0" borderId="397" xfId="21" applyFont="1" applyFill="1" applyBorder="1"/>
    <xf numFmtId="0" fontId="221" fillId="0" borderId="697" xfId="21" applyFont="1" applyFill="1" applyBorder="1"/>
    <xf numFmtId="43" fontId="220" fillId="0" borderId="704" xfId="1" applyFont="1" applyFill="1" applyBorder="1" applyAlignment="1">
      <alignment horizontal="center"/>
    </xf>
    <xf numFmtId="0" fontId="221" fillId="0" borderId="672" xfId="21" quotePrefix="1" applyFont="1" applyFill="1" applyBorder="1" applyAlignment="1">
      <alignment horizontal="center"/>
    </xf>
    <xf numFmtId="43" fontId="221" fillId="0" borderId="295" xfId="1" applyFont="1" applyFill="1" applyBorder="1" applyAlignment="1">
      <alignment horizontal="right"/>
    </xf>
    <xf numFmtId="43" fontId="221" fillId="0" borderId="697" xfId="1" applyFont="1" applyFill="1" applyBorder="1"/>
    <xf numFmtId="43" fontId="220" fillId="0" borderId="397" xfId="62" applyFont="1" applyFill="1" applyBorder="1"/>
    <xf numFmtId="43" fontId="221" fillId="0" borderId="703" xfId="1" applyFont="1" applyFill="1" applyBorder="1"/>
    <xf numFmtId="43" fontId="221" fillId="0" borderId="397" xfId="21" applyNumberFormat="1" applyFont="1" applyFill="1" applyBorder="1"/>
    <xf numFmtId="0" fontId="221" fillId="0" borderId="93" xfId="21" applyFont="1" applyFill="1" applyBorder="1"/>
    <xf numFmtId="0" fontId="221" fillId="0" borderId="636" xfId="21" applyFont="1" applyFill="1" applyBorder="1" applyAlignment="1">
      <alignment horizontal="center"/>
    </xf>
    <xf numFmtId="0" fontId="220" fillId="0" borderId="97" xfId="21" applyFont="1" applyFill="1" applyBorder="1"/>
    <xf numFmtId="43" fontId="220" fillId="0" borderId="397" xfId="21" applyNumberFormat="1" applyFont="1" applyFill="1" applyBorder="1"/>
    <xf numFmtId="43" fontId="220" fillId="0" borderId="697" xfId="21" applyNumberFormat="1" applyFont="1" applyFill="1" applyBorder="1"/>
    <xf numFmtId="0" fontId="220" fillId="0" borderId="397" xfId="21" applyFont="1" applyFill="1" applyBorder="1" applyAlignment="1">
      <alignment horizontal="center" vertical="center"/>
    </xf>
    <xf numFmtId="0" fontId="220" fillId="0" borderId="697" xfId="21" applyFont="1" applyFill="1" applyBorder="1" applyAlignment="1">
      <alignment horizontal="center" vertical="center"/>
    </xf>
    <xf numFmtId="43" fontId="221" fillId="0" borderId="697" xfId="21" applyNumberFormat="1" applyFont="1" applyFill="1" applyBorder="1" applyAlignment="1">
      <alignment vertical="center"/>
    </xf>
    <xf numFmtId="43" fontId="221" fillId="0" borderId="672" xfId="21" applyNumberFormat="1" applyFont="1" applyFill="1" applyBorder="1" applyAlignment="1">
      <alignment vertical="center"/>
    </xf>
    <xf numFmtId="43" fontId="221" fillId="0" borderId="285" xfId="21" applyNumberFormat="1" applyFont="1" applyFill="1" applyBorder="1" applyAlignment="1">
      <alignment vertical="center"/>
    </xf>
    <xf numFmtId="43" fontId="220" fillId="0" borderId="697" xfId="62" applyFont="1" applyFill="1" applyBorder="1"/>
    <xf numFmtId="0" fontId="221" fillId="0" borderId="703" xfId="21" applyFont="1" applyFill="1" applyBorder="1"/>
    <xf numFmtId="0" fontId="220" fillId="0" borderId="632" xfId="21" applyFont="1" applyFill="1" applyBorder="1"/>
    <xf numFmtId="0" fontId="221" fillId="0" borderId="636" xfId="21" applyFont="1" applyFill="1" applyBorder="1"/>
    <xf numFmtId="43" fontId="221" fillId="0" borderId="697" xfId="62" applyFont="1" applyFill="1" applyBorder="1"/>
    <xf numFmtId="0" fontId="221" fillId="0" borderId="705" xfId="21" applyFont="1" applyFill="1" applyBorder="1"/>
    <xf numFmtId="0" fontId="221" fillId="0" borderId="703" xfId="21" applyFont="1" applyFill="1" applyBorder="1" applyAlignment="1">
      <alignment vertical="center"/>
    </xf>
    <xf numFmtId="0" fontId="221" fillId="0" borderId="636" xfId="21" applyFont="1" applyFill="1" applyBorder="1" applyAlignment="1">
      <alignment vertical="center"/>
    </xf>
    <xf numFmtId="0" fontId="221" fillId="0" borderId="661" xfId="21" applyFont="1" applyFill="1" applyBorder="1" applyAlignment="1">
      <alignment vertical="center"/>
    </xf>
    <xf numFmtId="43" fontId="221" fillId="0" borderId="634" xfId="62" applyFont="1" applyFill="1" applyBorder="1"/>
    <xf numFmtId="0" fontId="220" fillId="0" borderId="636" xfId="21" applyFont="1" applyFill="1" applyBorder="1"/>
    <xf numFmtId="0" fontId="220" fillId="0" borderId="672" xfId="21" applyFont="1" applyFill="1" applyBorder="1"/>
    <xf numFmtId="0" fontId="220" fillId="0" borderId="634" xfId="21" applyFont="1" applyFill="1" applyBorder="1" applyAlignment="1">
      <alignment horizontal="center"/>
    </xf>
    <xf numFmtId="43" fontId="221" fillId="0" borderId="295" xfId="1" applyFont="1" applyFill="1" applyBorder="1" applyAlignment="1">
      <alignment horizontal="right" vertical="center"/>
    </xf>
    <xf numFmtId="43" fontId="221" fillId="0" borderId="285" xfId="1" applyFont="1" applyFill="1" applyBorder="1" applyAlignment="1">
      <alignment horizontal="right" vertical="center"/>
    </xf>
    <xf numFmtId="43" fontId="220" fillId="0" borderId="397" xfId="21" applyNumberFormat="1" applyFont="1" applyFill="1" applyBorder="1" applyAlignment="1">
      <alignment vertical="center"/>
    </xf>
    <xf numFmtId="43" fontId="220" fillId="0" borderId="697" xfId="21" applyNumberFormat="1" applyFont="1" applyFill="1" applyBorder="1" applyAlignment="1">
      <alignment vertical="center"/>
    </xf>
    <xf numFmtId="0" fontId="286" fillId="0" borderId="387" xfId="21" applyFont="1" applyFill="1" applyBorder="1" applyAlignment="1">
      <alignment vertical="center"/>
    </xf>
    <xf numFmtId="0" fontId="221" fillId="0" borderId="672" xfId="21" applyFont="1" applyFill="1" applyBorder="1" applyAlignment="1">
      <alignment horizontal="right"/>
    </xf>
    <xf numFmtId="0" fontId="221" fillId="0" borderId="536" xfId="21" applyFont="1" applyFill="1" applyBorder="1" applyAlignment="1">
      <alignment horizontal="right"/>
    </xf>
    <xf numFmtId="0" fontId="221" fillId="0" borderId="295" xfId="21" applyFont="1" applyFill="1" applyBorder="1" applyAlignment="1">
      <alignment horizontal="right"/>
    </xf>
    <xf numFmtId="0" fontId="221" fillId="0" borderId="285" xfId="21" applyFont="1" applyFill="1" applyBorder="1" applyAlignment="1">
      <alignment horizontal="right"/>
    </xf>
    <xf numFmtId="43" fontId="220" fillId="0" borderId="642" xfId="21" applyNumberFormat="1" applyFont="1" applyFill="1" applyBorder="1" applyAlignment="1">
      <alignment horizontal="right"/>
    </xf>
    <xf numFmtId="43" fontId="220" fillId="0" borderId="632" xfId="21" applyNumberFormat="1" applyFont="1" applyFill="1" applyBorder="1" applyAlignment="1">
      <alignment horizontal="right"/>
    </xf>
    <xf numFmtId="43" fontId="220" fillId="0" borderId="633" xfId="21" applyNumberFormat="1" applyFont="1" applyFill="1" applyBorder="1" applyAlignment="1">
      <alignment horizontal="right"/>
    </xf>
    <xf numFmtId="43" fontId="220" fillId="0" borderId="634" xfId="21" applyNumberFormat="1" applyFont="1" applyFill="1" applyBorder="1" applyAlignment="1">
      <alignment horizontal="right"/>
    </xf>
    <xf numFmtId="0" fontId="221" fillId="0" borderId="397" xfId="21" applyFont="1" applyFill="1" applyBorder="1" applyAlignment="1">
      <alignment horizontal="right"/>
    </xf>
    <xf numFmtId="0" fontId="221" fillId="0" borderId="697" xfId="21" applyFont="1" applyFill="1" applyBorder="1" applyAlignment="1">
      <alignment horizontal="right"/>
    </xf>
    <xf numFmtId="0" fontId="221" fillId="0" borderId="642" xfId="21" applyFont="1" applyFill="1" applyBorder="1" applyAlignment="1">
      <alignment horizontal="right"/>
    </xf>
    <xf numFmtId="0" fontId="221" fillId="0" borderId="632" xfId="21" applyFont="1" applyFill="1" applyBorder="1" applyAlignment="1">
      <alignment horizontal="right"/>
    </xf>
    <xf numFmtId="3" fontId="154" fillId="0" borderId="82" xfId="66" applyFont="1" applyFill="1" applyBorder="1"/>
    <xf numFmtId="43" fontId="56" fillId="0" borderId="186" xfId="71" applyNumberFormat="1" applyFont="1" applyBorder="1" applyAlignment="1">
      <alignment vertical="top"/>
    </xf>
    <xf numFmtId="0" fontId="19" fillId="0" borderId="699" xfId="24" applyFont="1" applyBorder="1" applyAlignment="1">
      <alignment vertical="center"/>
    </xf>
    <xf numFmtId="0" fontId="211" fillId="0" borderId="0" xfId="0" applyFont="1" applyFill="1" applyAlignment="1">
      <alignment horizontal="center"/>
    </xf>
    <xf numFmtId="0" fontId="320" fillId="0" borderId="0" xfId="90" applyFont="1" applyAlignment="1">
      <alignment horizontal="left"/>
    </xf>
    <xf numFmtId="3" fontId="320" fillId="0" borderId="0" xfId="32" applyFont="1" applyAlignment="1">
      <alignment horizontal="left"/>
    </xf>
    <xf numFmtId="3" fontId="320" fillId="0" borderId="0" xfId="32" applyFont="1"/>
    <xf numFmtId="3" fontId="278" fillId="0" borderId="0" xfId="32" applyFont="1" applyAlignment="1">
      <alignment horizontal="left"/>
    </xf>
    <xf numFmtId="3" fontId="278" fillId="0" borderId="0" xfId="32" applyFont="1"/>
    <xf numFmtId="43" fontId="320" fillId="0" borderId="0" xfId="9" applyFont="1"/>
    <xf numFmtId="0" fontId="320" fillId="0" borderId="0" xfId="90" applyFont="1"/>
    <xf numFmtId="43" fontId="320" fillId="0" borderId="0" xfId="9" applyFont="1" applyAlignment="1"/>
    <xf numFmtId="0" fontId="320" fillId="0" borderId="0" xfId="90" applyFont="1" applyAlignment="1">
      <alignment horizontal="center" vertical="top"/>
    </xf>
    <xf numFmtId="3" fontId="320" fillId="0" borderId="0" xfId="32" applyFont="1" applyAlignment="1">
      <alignment horizontal="left" vertical="top"/>
    </xf>
    <xf numFmtId="3" fontId="320" fillId="0" borderId="0" xfId="32" applyFont="1" applyAlignment="1">
      <alignment vertical="top"/>
    </xf>
    <xf numFmtId="3" fontId="278" fillId="0" borderId="0" xfId="32" applyFont="1" applyAlignment="1">
      <alignment horizontal="center"/>
    </xf>
    <xf numFmtId="165" fontId="320" fillId="0" borderId="0" xfId="32" applyNumberFormat="1" applyFont="1" applyAlignment="1">
      <alignment horizontal="center"/>
    </xf>
    <xf numFmtId="3" fontId="320" fillId="0" borderId="0" xfId="32" applyFont="1" applyAlignment="1">
      <alignment horizontal="center"/>
    </xf>
    <xf numFmtId="3" fontId="320" fillId="0" borderId="0" xfId="32" applyFont="1" applyAlignment="1">
      <alignment horizontal="justify"/>
    </xf>
    <xf numFmtId="3" fontId="320" fillId="0" borderId="0" xfId="32" applyFont="1" applyAlignment="1">
      <alignment horizontal="center" vertical="top"/>
    </xf>
    <xf numFmtId="3" fontId="320" fillId="0" borderId="0" xfId="32" applyFont="1" applyAlignment="1">
      <alignment horizontal="justify" wrapText="1"/>
    </xf>
    <xf numFmtId="4" fontId="320" fillId="0" borderId="0" xfId="32" applyNumberFormat="1" applyFont="1" applyAlignment="1">
      <alignment horizontal="center" vertical="top"/>
    </xf>
    <xf numFmtId="4" fontId="320" fillId="0" borderId="0" xfId="90" applyNumberFormat="1" applyFont="1" applyAlignment="1">
      <alignment horizontal="center" vertical="top"/>
    </xf>
    <xf numFmtId="4" fontId="320" fillId="0" borderId="0" xfId="32" applyNumberFormat="1" applyFont="1" applyAlignment="1">
      <alignment horizontal="center"/>
    </xf>
    <xf numFmtId="168" fontId="320" fillId="0" borderId="0" xfId="90" applyNumberFormat="1" applyFont="1" applyAlignment="1">
      <alignment horizontal="center" vertical="top"/>
    </xf>
    <xf numFmtId="3" fontId="320" fillId="0" borderId="0" xfId="32" applyFont="1" applyAlignment="1">
      <alignment horizontal="justify" vertical="top" wrapText="1"/>
    </xf>
    <xf numFmtId="0" fontId="278" fillId="0" borderId="0" xfId="90" applyFont="1" applyAlignment="1">
      <alignment horizontal="left"/>
    </xf>
    <xf numFmtId="3" fontId="278" fillId="0" borderId="0" xfId="32" applyFont="1" applyAlignment="1"/>
    <xf numFmtId="3" fontId="320" fillId="0" borderId="0" xfId="32" applyFont="1" applyAlignment="1"/>
    <xf numFmtId="0" fontId="220" fillId="0" borderId="700" xfId="21" applyFont="1" applyFill="1" applyBorder="1" applyAlignment="1">
      <alignment horizontal="center" vertical="center"/>
    </xf>
    <xf numFmtId="0" fontId="221" fillId="0" borderId="700" xfId="21" applyFont="1" applyFill="1" applyBorder="1" applyAlignment="1">
      <alignment horizontal="center" vertical="center"/>
    </xf>
    <xf numFmtId="0" fontId="220" fillId="0" borderId="706" xfId="21" applyFont="1" applyFill="1" applyBorder="1"/>
    <xf numFmtId="0" fontId="221" fillId="0" borderId="707" xfId="21" applyFont="1" applyFill="1" applyBorder="1" applyAlignment="1">
      <alignment horizontal="center"/>
    </xf>
    <xf numFmtId="43" fontId="220" fillId="0" borderId="707" xfId="21" applyNumberFormat="1" applyFont="1" applyFill="1" applyBorder="1"/>
    <xf numFmtId="0" fontId="221" fillId="0" borderId="709" xfId="21" applyFont="1" applyFill="1" applyBorder="1"/>
    <xf numFmtId="0" fontId="221" fillId="0" borderId="709" xfId="21" applyFont="1" applyFill="1" applyBorder="1" applyAlignment="1">
      <alignment horizontal="center"/>
    </xf>
    <xf numFmtId="0" fontId="221" fillId="0" borderId="0" xfId="109" applyFont="1" applyBorder="1"/>
    <xf numFmtId="0" fontId="221" fillId="0" borderId="0" xfId="109" applyFont="1"/>
    <xf numFmtId="0" fontId="220" fillId="0" borderId="0" xfId="109" applyFont="1" applyAlignment="1">
      <alignment horizontal="center"/>
    </xf>
    <xf numFmtId="0" fontId="221" fillId="0" borderId="685" xfId="109" applyFont="1" applyBorder="1"/>
    <xf numFmtId="0" fontId="221" fillId="0" borderId="684" xfId="109" applyFont="1" applyBorder="1"/>
    <xf numFmtId="0" fontId="221" fillId="0" borderId="685" xfId="35" applyFont="1" applyFill="1" applyBorder="1"/>
    <xf numFmtId="0" fontId="221" fillId="0" borderId="685" xfId="35" applyFont="1" applyBorder="1" applyAlignment="1">
      <alignment horizontal="left"/>
    </xf>
    <xf numFmtId="0" fontId="221" fillId="0" borderId="685" xfId="35" applyFont="1" applyBorder="1"/>
    <xf numFmtId="0" fontId="221" fillId="0" borderId="685" xfId="35" applyFont="1" applyFill="1" applyBorder="1" applyAlignment="1"/>
    <xf numFmtId="49" fontId="221" fillId="0" borderId="685" xfId="35" applyNumberFormat="1" applyFont="1" applyFill="1" applyBorder="1" applyAlignment="1">
      <alignment horizontal="center"/>
    </xf>
    <xf numFmtId="43" fontId="221" fillId="0" borderId="0" xfId="110" applyFont="1" applyBorder="1"/>
    <xf numFmtId="0" fontId="221" fillId="0" borderId="553" xfId="109" applyFont="1" applyBorder="1"/>
    <xf numFmtId="0" fontId="221" fillId="0" borderId="553" xfId="109" applyFont="1" applyBorder="1" applyAlignment="1">
      <alignment horizontal="center"/>
    </xf>
    <xf numFmtId="0" fontId="221" fillId="0" borderId="685" xfId="35" applyFont="1" applyFill="1" applyBorder="1" applyAlignment="1">
      <alignment horizontal="left"/>
    </xf>
    <xf numFmtId="0" fontId="221" fillId="0" borderId="685" xfId="35" applyFont="1" applyFill="1" applyBorder="1" applyAlignment="1">
      <alignment horizontal="center"/>
    </xf>
    <xf numFmtId="0" fontId="221" fillId="0" borderId="553" xfId="35" applyFont="1" applyFill="1" applyBorder="1"/>
    <xf numFmtId="49" fontId="221" fillId="0" borderId="553" xfId="35" applyNumberFormat="1" applyFont="1" applyFill="1" applyBorder="1" applyAlignment="1">
      <alignment horizontal="center"/>
    </xf>
    <xf numFmtId="0" fontId="221" fillId="0" borderId="685" xfId="35" applyFont="1" applyBorder="1" applyAlignment="1">
      <alignment horizontal="center"/>
    </xf>
    <xf numFmtId="49" fontId="221" fillId="0" borderId="685" xfId="35" applyNumberFormat="1" applyFont="1" applyBorder="1" applyAlignment="1">
      <alignment horizontal="center"/>
    </xf>
    <xf numFmtId="0" fontId="221" fillId="0" borderId="553" xfId="35" applyFont="1" applyBorder="1"/>
    <xf numFmtId="0" fontId="221" fillId="0" borderId="553" xfId="35" applyFont="1" applyBorder="1" applyAlignment="1">
      <alignment horizontal="center"/>
    </xf>
    <xf numFmtId="43" fontId="221" fillId="0" borderId="0" xfId="110" applyFont="1"/>
    <xf numFmtId="0" fontId="221" fillId="0" borderId="0" xfId="109" applyFont="1" applyAlignment="1">
      <alignment horizontal="left"/>
    </xf>
    <xf numFmtId="0" fontId="221" fillId="0" borderId="0" xfId="109" applyFont="1" applyFill="1" applyAlignment="1">
      <alignment horizontal="center"/>
    </xf>
    <xf numFmtId="43" fontId="221" fillId="0" borderId="0" xfId="108" applyFont="1"/>
    <xf numFmtId="0" fontId="292" fillId="0" borderId="0" xfId="109" applyFont="1" applyAlignment="1">
      <alignment horizontal="right"/>
    </xf>
    <xf numFmtId="0" fontId="292" fillId="0" borderId="0" xfId="109" applyFont="1" applyAlignment="1">
      <alignment horizontal="left"/>
    </xf>
    <xf numFmtId="43" fontId="369" fillId="0" borderId="0" xfId="108" applyFont="1"/>
    <xf numFmtId="43" fontId="296" fillId="0" borderId="0" xfId="109" applyNumberFormat="1" applyFont="1"/>
    <xf numFmtId="43" fontId="221" fillId="0" borderId="0" xfId="109" applyNumberFormat="1" applyFont="1"/>
    <xf numFmtId="43" fontId="220" fillId="0" borderId="0" xfId="110" applyFont="1" applyAlignment="1">
      <alignment horizontal="center"/>
    </xf>
    <xf numFmtId="0" fontId="220" fillId="0" borderId="553" xfId="109" applyFont="1" applyBorder="1" applyAlignment="1">
      <alignment horizontal="center"/>
    </xf>
    <xf numFmtId="0" fontId="220" fillId="0" borderId="553" xfId="109" applyNumberFormat="1" applyFont="1" applyFill="1" applyBorder="1" applyAlignment="1">
      <alignment horizontal="center"/>
    </xf>
    <xf numFmtId="0" fontId="220" fillId="0" borderId="553" xfId="109" applyNumberFormat="1" applyFont="1" applyBorder="1" applyAlignment="1">
      <alignment horizontal="center"/>
    </xf>
    <xf numFmtId="43" fontId="220" fillId="0" borderId="553" xfId="108" applyFont="1" applyBorder="1" applyAlignment="1">
      <alignment horizontal="center"/>
    </xf>
    <xf numFmtId="0" fontId="221" fillId="0" borderId="553" xfId="35" applyFont="1" applyBorder="1" applyAlignment="1">
      <alignment horizontal="left"/>
    </xf>
    <xf numFmtId="0" fontId="221" fillId="0" borderId="547" xfId="109" applyFont="1" applyFill="1" applyBorder="1" applyAlignment="1">
      <alignment horizontal="center"/>
    </xf>
    <xf numFmtId="0" fontId="221" fillId="0" borderId="547" xfId="108" applyNumberFormat="1" applyFont="1" applyBorder="1" applyAlignment="1">
      <alignment horizontal="center"/>
    </xf>
    <xf numFmtId="43" fontId="221" fillId="0" borderId="553" xfId="108" applyFont="1" applyBorder="1"/>
    <xf numFmtId="0" fontId="221" fillId="0" borderId="0" xfId="109" applyFont="1" applyFill="1" applyBorder="1" applyAlignment="1">
      <alignment horizontal="center"/>
    </xf>
    <xf numFmtId="0" fontId="221" fillId="0" borderId="0" xfId="108" applyNumberFormat="1" applyFont="1" applyBorder="1" applyAlignment="1">
      <alignment horizontal="center"/>
    </xf>
    <xf numFmtId="43" fontId="221" fillId="0" borderId="685" xfId="108" applyFont="1" applyBorder="1"/>
    <xf numFmtId="49" fontId="221" fillId="0" borderId="685" xfId="35" applyNumberFormat="1" applyFont="1" applyFill="1" applyBorder="1" applyAlignment="1">
      <alignment horizontal="left"/>
    </xf>
    <xf numFmtId="49" fontId="221" fillId="0" borderId="685" xfId="35" applyNumberFormat="1" applyFont="1" applyBorder="1" applyAlignment="1">
      <alignment horizontal="left"/>
    </xf>
    <xf numFmtId="49" fontId="221" fillId="0" borderId="684" xfId="35" applyNumberFormat="1" applyFont="1" applyBorder="1" applyAlignment="1">
      <alignment horizontal="center"/>
    </xf>
    <xf numFmtId="49" fontId="221" fillId="0" borderId="684" xfId="35" applyNumberFormat="1" applyFont="1" applyBorder="1" applyAlignment="1">
      <alignment horizontal="left"/>
    </xf>
    <xf numFmtId="0" fontId="221" fillId="0" borderId="569" xfId="109" applyFont="1" applyFill="1" applyBorder="1" applyAlignment="1">
      <alignment horizontal="center"/>
    </xf>
    <xf numFmtId="0" fontId="221" fillId="0" borderId="569" xfId="108" applyNumberFormat="1" applyFont="1" applyBorder="1" applyAlignment="1">
      <alignment horizontal="center"/>
    </xf>
    <xf numFmtId="43" fontId="221" fillId="0" borderId="684" xfId="108" applyFont="1" applyBorder="1"/>
    <xf numFmtId="0" fontId="221" fillId="0" borderId="684" xfId="35" applyFont="1" applyBorder="1"/>
    <xf numFmtId="49" fontId="221" fillId="0" borderId="553" xfId="35" applyNumberFormat="1" applyFont="1" applyFill="1" applyBorder="1" applyAlignment="1">
      <alignment horizontal="left"/>
    </xf>
    <xf numFmtId="43" fontId="221" fillId="0" borderId="553" xfId="108" applyFont="1" applyFill="1" applyBorder="1"/>
    <xf numFmtId="49" fontId="221" fillId="0" borderId="684" xfId="35" applyNumberFormat="1" applyFont="1" applyFill="1" applyBorder="1" applyAlignment="1">
      <alignment horizontal="center"/>
    </xf>
    <xf numFmtId="49" fontId="221" fillId="0" borderId="684" xfId="35" applyNumberFormat="1" applyFont="1" applyFill="1" applyBorder="1" applyAlignment="1">
      <alignment horizontal="left"/>
    </xf>
    <xf numFmtId="43" fontId="221" fillId="0" borderId="684" xfId="108" applyFont="1" applyFill="1" applyBorder="1"/>
    <xf numFmtId="0" fontId="221" fillId="0" borderId="684" xfId="35" applyFont="1" applyFill="1" applyBorder="1"/>
    <xf numFmtId="0" fontId="221" fillId="0" borderId="0" xfId="109" applyFont="1" applyAlignment="1">
      <alignment horizontal="center"/>
    </xf>
    <xf numFmtId="43" fontId="221" fillId="0" borderId="0" xfId="110" applyFont="1" applyAlignment="1">
      <alignment horizontal="center"/>
    </xf>
    <xf numFmtId="49" fontId="221" fillId="0" borderId="553" xfId="35" applyNumberFormat="1" applyFont="1" applyBorder="1" applyAlignment="1">
      <alignment horizontal="center"/>
    </xf>
    <xf numFmtId="49" fontId="221" fillId="0" borderId="553" xfId="35" applyNumberFormat="1" applyFont="1" applyBorder="1" applyAlignment="1">
      <alignment horizontal="left"/>
    </xf>
    <xf numFmtId="43" fontId="221" fillId="0" borderId="553" xfId="108" applyFont="1" applyBorder="1" applyAlignment="1">
      <alignment horizontal="center"/>
    </xf>
    <xf numFmtId="0" fontId="221" fillId="0" borderId="684" xfId="35" applyFont="1" applyBorder="1" applyAlignment="1">
      <alignment horizontal="center"/>
    </xf>
    <xf numFmtId="0" fontId="221" fillId="0" borderId="684" xfId="35" applyFont="1" applyBorder="1" applyAlignment="1">
      <alignment horizontal="left"/>
    </xf>
    <xf numFmtId="0" fontId="221" fillId="0" borderId="553" xfId="109" applyFont="1" applyFill="1" applyBorder="1" applyAlignment="1">
      <alignment horizontal="center"/>
    </xf>
    <xf numFmtId="0" fontId="221" fillId="0" borderId="553" xfId="109" applyFont="1" applyFill="1" applyBorder="1" applyAlignment="1">
      <alignment horizontal="left"/>
    </xf>
    <xf numFmtId="0" fontId="221" fillId="0" borderId="684" xfId="109" applyFont="1" applyFill="1" applyBorder="1" applyAlignment="1">
      <alignment horizontal="center"/>
    </xf>
    <xf numFmtId="0" fontId="221" fillId="0" borderId="684" xfId="109" applyFont="1" applyFill="1" applyBorder="1" applyAlignment="1">
      <alignment horizontal="left"/>
    </xf>
    <xf numFmtId="0" fontId="221" fillId="0" borderId="553" xfId="35" applyFont="1" applyFill="1" applyBorder="1" applyAlignment="1">
      <alignment horizontal="left"/>
    </xf>
    <xf numFmtId="43" fontId="221" fillId="0" borderId="685" xfId="108" applyFont="1" applyFill="1" applyBorder="1"/>
    <xf numFmtId="0" fontId="221" fillId="0" borderId="684" xfId="35" applyFont="1" applyFill="1" applyBorder="1" applyAlignment="1">
      <alignment horizontal="left"/>
    </xf>
    <xf numFmtId="43" fontId="221" fillId="0" borderId="553" xfId="35" applyNumberFormat="1" applyFont="1" applyBorder="1"/>
    <xf numFmtId="43" fontId="221" fillId="0" borderId="684" xfId="35" applyNumberFormat="1" applyFont="1" applyBorder="1"/>
    <xf numFmtId="0" fontId="221" fillId="0" borderId="0" xfId="109" applyNumberFormat="1" applyFont="1" applyFill="1" applyAlignment="1">
      <alignment horizontal="center"/>
    </xf>
    <xf numFmtId="4" fontId="221" fillId="0" borderId="553" xfId="35" applyNumberFormat="1" applyFont="1" applyFill="1" applyBorder="1"/>
    <xf numFmtId="4" fontId="221" fillId="0" borderId="684" xfId="35" applyNumberFormat="1" applyFont="1" applyFill="1" applyBorder="1"/>
    <xf numFmtId="43" fontId="221" fillId="0" borderId="685" xfId="108" applyFont="1" applyFill="1" applyBorder="1" applyAlignment="1">
      <alignment horizontal="center"/>
    </xf>
    <xf numFmtId="43" fontId="221" fillId="0" borderId="553" xfId="108" applyFont="1" applyFill="1" applyBorder="1" applyAlignment="1">
      <alignment horizontal="center"/>
    </xf>
    <xf numFmtId="43" fontId="221" fillId="0" borderId="0" xfId="110" applyFont="1" applyFill="1" applyAlignment="1">
      <alignment horizontal="center"/>
    </xf>
    <xf numFmtId="43" fontId="221" fillId="0" borderId="684" xfId="108" applyFont="1" applyFill="1" applyBorder="1" applyAlignment="1">
      <alignment horizontal="center"/>
    </xf>
    <xf numFmtId="0" fontId="221" fillId="0" borderId="684" xfId="35" applyFont="1" applyFill="1" applyBorder="1" applyAlignment="1"/>
    <xf numFmtId="0" fontId="220" fillId="0" borderId="0" xfId="109" applyFont="1"/>
    <xf numFmtId="43" fontId="220" fillId="0" borderId="0" xfId="110" applyFont="1"/>
    <xf numFmtId="0" fontId="220" fillId="0" borderId="0" xfId="109" applyFont="1" applyFill="1" applyAlignment="1">
      <alignment horizontal="center"/>
    </xf>
    <xf numFmtId="0" fontId="220" fillId="0" borderId="660" xfId="109" applyFont="1" applyBorder="1"/>
    <xf numFmtId="0" fontId="220" fillId="0" borderId="700" xfId="109" applyFont="1" applyBorder="1"/>
    <xf numFmtId="0" fontId="220" fillId="0" borderId="660" xfId="109" applyFont="1" applyFill="1" applyBorder="1" applyAlignment="1">
      <alignment horizontal="center"/>
    </xf>
    <xf numFmtId="43" fontId="220" fillId="0" borderId="660" xfId="108" applyFont="1" applyBorder="1"/>
    <xf numFmtId="0" fontId="220" fillId="0" borderId="660" xfId="109" applyFont="1" applyBorder="1" applyAlignment="1">
      <alignment horizontal="center"/>
    </xf>
    <xf numFmtId="0" fontId="370" fillId="0" borderId="0" xfId="0" applyFont="1" applyBorder="1"/>
    <xf numFmtId="0" fontId="370" fillId="0" borderId="0" xfId="0" applyFont="1" applyBorder="1" applyAlignment="1">
      <alignment horizontal="center"/>
    </xf>
    <xf numFmtId="43" fontId="370" fillId="0" borderId="0" xfId="108" applyFont="1"/>
    <xf numFmtId="0" fontId="370" fillId="0" borderId="0" xfId="109" applyFont="1"/>
    <xf numFmtId="0" fontId="370" fillId="0" borderId="0" xfId="109" applyFont="1" applyFill="1" applyAlignment="1">
      <alignment horizontal="center"/>
    </xf>
    <xf numFmtId="43" fontId="370" fillId="0" borderId="0" xfId="110" applyFont="1"/>
    <xf numFmtId="0" fontId="371" fillId="0" borderId="0" xfId="35" applyFont="1" applyFill="1" applyAlignment="1">
      <alignment horizontal="left"/>
    </xf>
    <xf numFmtId="0" fontId="371" fillId="0" borderId="0" xfId="35" applyFont="1" applyFill="1"/>
    <xf numFmtId="0" fontId="370" fillId="0" borderId="0" xfId="35" applyFont="1" applyFill="1" applyAlignment="1">
      <alignment horizontal="left"/>
    </xf>
    <xf numFmtId="0" fontId="370" fillId="0" borderId="0" xfId="35" applyFont="1" applyFill="1"/>
    <xf numFmtId="0" fontId="11" fillId="0" borderId="686" xfId="0" applyFont="1" applyFill="1" applyBorder="1"/>
    <xf numFmtId="0" fontId="9" fillId="0" borderId="710" xfId="0" applyFont="1" applyFill="1" applyBorder="1"/>
    <xf numFmtId="0" fontId="11" fillId="0" borderId="686" xfId="0" applyFont="1" applyFill="1" applyBorder="1" applyAlignment="1">
      <alignment horizontal="right"/>
    </xf>
    <xf numFmtId="43" fontId="11" fillId="0" borderId="710" xfId="0" applyNumberFormat="1" applyFont="1" applyFill="1" applyBorder="1"/>
    <xf numFmtId="0" fontId="6" fillId="0" borderId="0" xfId="0" applyFont="1" applyFill="1"/>
    <xf numFmtId="0" fontId="57" fillId="0" borderId="186" xfId="71" applyFont="1" applyBorder="1" applyAlignment="1">
      <alignment vertical="top" wrapText="1"/>
    </xf>
    <xf numFmtId="0" fontId="220" fillId="0" borderId="0" xfId="24" applyFont="1" applyAlignment="1">
      <alignment horizontal="center" vertical="center"/>
    </xf>
    <xf numFmtId="43" fontId="221" fillId="0" borderId="696" xfId="62" applyFont="1" applyFill="1" applyBorder="1"/>
    <xf numFmtId="43" fontId="221" fillId="0" borderId="696" xfId="1" applyFont="1" applyFill="1" applyBorder="1"/>
    <xf numFmtId="43" fontId="221" fillId="0" borderId="696" xfId="1" applyFont="1" applyFill="1" applyBorder="1" applyAlignment="1">
      <alignment vertical="center"/>
    </xf>
    <xf numFmtId="43" fontId="221" fillId="0" borderId="696" xfId="62" applyFont="1" applyFill="1" applyBorder="1" applyAlignment="1">
      <alignment vertical="center"/>
    </xf>
    <xf numFmtId="0" fontId="264" fillId="0" borderId="368" xfId="71" applyFont="1" applyBorder="1" applyAlignment="1">
      <alignment vertical="center"/>
    </xf>
    <xf numFmtId="0" fontId="302" fillId="0" borderId="368" xfId="71" applyFont="1" applyBorder="1" applyAlignment="1">
      <alignment vertical="center"/>
    </xf>
    <xf numFmtId="168" fontId="221" fillId="0" borderId="700" xfId="9" applyNumberFormat="1" applyFont="1" applyBorder="1" applyAlignment="1">
      <alignment horizontal="center" vertical="center"/>
    </xf>
    <xf numFmtId="168" fontId="10" fillId="0" borderId="700" xfId="9" applyNumberFormat="1" applyFont="1" applyBorder="1" applyAlignment="1">
      <alignment horizontal="center" vertical="center"/>
    </xf>
    <xf numFmtId="0" fontId="10" fillId="0" borderId="95" xfId="71" applyFont="1" applyBorder="1" applyAlignment="1">
      <alignment vertical="center"/>
    </xf>
    <xf numFmtId="0" fontId="263" fillId="0" borderId="97" xfId="71" applyFont="1" applyBorder="1" applyAlignment="1">
      <alignment vertical="center" wrapText="1"/>
    </xf>
    <xf numFmtId="0" fontId="10" fillId="0" borderId="0" xfId="71" applyFont="1" applyFill="1" applyAlignment="1">
      <alignment vertical="center" wrapText="1"/>
    </xf>
    <xf numFmtId="0" fontId="263" fillId="6" borderId="93" xfId="71" applyNumberFormat="1" applyFont="1" applyFill="1" applyBorder="1" applyAlignment="1">
      <alignment horizontal="center" vertical="center"/>
    </xf>
    <xf numFmtId="0" fontId="263" fillId="6" borderId="10" xfId="71" applyNumberFormat="1" applyFont="1" applyFill="1" applyBorder="1" applyAlignment="1">
      <alignment horizontal="center" vertical="center"/>
    </xf>
    <xf numFmtId="0" fontId="263" fillId="6" borderId="10" xfId="9" applyNumberFormat="1" applyFont="1" applyFill="1" applyBorder="1" applyAlignment="1">
      <alignment horizontal="center" vertical="center"/>
    </xf>
    <xf numFmtId="0" fontId="263" fillId="6" borderId="32" xfId="9" applyNumberFormat="1" applyFont="1" applyFill="1" applyBorder="1" applyAlignment="1">
      <alignment horizontal="center" vertical="center"/>
    </xf>
    <xf numFmtId="0" fontId="264" fillId="0" borderId="0" xfId="71" applyNumberFormat="1" applyFont="1" applyFill="1" applyAlignment="1">
      <alignment horizontal="center" vertical="center"/>
    </xf>
    <xf numFmtId="0" fontId="264" fillId="0" borderId="94" xfId="71" applyFont="1" applyBorder="1" applyAlignment="1">
      <alignment horizontal="center" vertical="center"/>
    </xf>
    <xf numFmtId="0" fontId="264" fillId="0" borderId="5" xfId="71" applyFont="1" applyBorder="1" applyAlignment="1">
      <alignment horizontal="center" vertical="center"/>
    </xf>
    <xf numFmtId="43" fontId="264" fillId="0" borderId="5" xfId="9" applyFont="1" applyBorder="1" applyAlignment="1">
      <alignment horizontal="center" vertical="center"/>
    </xf>
    <xf numFmtId="168" fontId="264" fillId="0" borderId="5" xfId="9" applyNumberFormat="1" applyFont="1" applyBorder="1" applyAlignment="1">
      <alignment horizontal="center" vertical="center"/>
    </xf>
    <xf numFmtId="43" fontId="264" fillId="0" borderId="29" xfId="9" applyFont="1" applyBorder="1" applyAlignment="1">
      <alignment horizontal="center" vertical="center"/>
    </xf>
    <xf numFmtId="0" fontId="264" fillId="0" borderId="0" xfId="71" applyFont="1" applyAlignment="1">
      <alignment horizontal="center" vertical="center"/>
    </xf>
    <xf numFmtId="0" fontId="10" fillId="0" borderId="94" xfId="71" applyFont="1" applyBorder="1" applyAlignment="1">
      <alignment vertical="center"/>
    </xf>
    <xf numFmtId="0" fontId="10" fillId="0" borderId="279" xfId="71" applyFont="1" applyBorder="1" applyAlignment="1">
      <alignment horizontal="center" vertical="center"/>
    </xf>
    <xf numFmtId="43" fontId="10" fillId="0" borderId="5" xfId="9" applyFont="1" applyBorder="1" applyAlignment="1">
      <alignment horizontal="center" vertical="center"/>
    </xf>
    <xf numFmtId="168" fontId="10" fillId="0" borderId="5" xfId="9" applyNumberFormat="1" applyFont="1" applyBorder="1" applyAlignment="1">
      <alignment horizontal="center" vertical="center"/>
    </xf>
    <xf numFmtId="43" fontId="10" fillId="0" borderId="285" xfId="1" applyFont="1" applyBorder="1" applyAlignment="1">
      <alignment horizontal="center" vertical="center"/>
    </xf>
    <xf numFmtId="43" fontId="10" fillId="0" borderId="2" xfId="9" applyFont="1" applyBorder="1" applyAlignment="1">
      <alignment horizontal="center" vertical="center"/>
    </xf>
    <xf numFmtId="0" fontId="10" fillId="0" borderId="368" xfId="71" applyFont="1" applyBorder="1" applyAlignment="1">
      <alignment vertical="center"/>
    </xf>
    <xf numFmtId="0" fontId="10" fillId="0" borderId="685" xfId="71" applyFont="1" applyBorder="1" applyAlignment="1">
      <alignment horizontal="center" vertical="center"/>
    </xf>
    <xf numFmtId="168" fontId="10" fillId="0" borderId="685" xfId="9" applyNumberFormat="1" applyFont="1" applyBorder="1" applyAlignment="1">
      <alignment horizontal="center" vertical="center"/>
    </xf>
    <xf numFmtId="168" fontId="10" fillId="0" borderId="586" xfId="9" applyNumberFormat="1" applyFont="1" applyBorder="1" applyAlignment="1">
      <alignment horizontal="center" vertical="center"/>
    </xf>
    <xf numFmtId="0" fontId="10" fillId="0" borderId="243" xfId="71" applyFont="1" applyBorder="1" applyAlignment="1">
      <alignment vertical="center"/>
    </xf>
    <xf numFmtId="168" fontId="10" fillId="0" borderId="630" xfId="9" applyNumberFormat="1" applyFont="1" applyBorder="1" applyAlignment="1">
      <alignment horizontal="center" vertical="center"/>
    </xf>
    <xf numFmtId="0" fontId="263" fillId="0" borderId="480" xfId="71" applyFont="1" applyBorder="1" applyAlignment="1">
      <alignment vertical="center"/>
    </xf>
    <xf numFmtId="168" fontId="220" fillId="0" borderId="707" xfId="9" applyNumberFormat="1" applyFont="1" applyBorder="1" applyAlignment="1">
      <alignment horizontal="center" vertical="center"/>
    </xf>
    <xf numFmtId="0" fontId="10" fillId="0" borderId="387" xfId="71" applyFont="1" applyBorder="1" applyAlignment="1">
      <alignment vertical="center"/>
    </xf>
    <xf numFmtId="43" fontId="10" fillId="0" borderId="685" xfId="9" applyFont="1" applyBorder="1" applyAlignment="1">
      <alignment horizontal="center" vertical="center"/>
    </xf>
    <xf numFmtId="43" fontId="10" fillId="0" borderId="696" xfId="1" applyFont="1" applyBorder="1" applyAlignment="1">
      <alignment horizontal="center" vertical="center"/>
    </xf>
    <xf numFmtId="0" fontId="10" fillId="0" borderId="249" xfId="71" applyFont="1" applyBorder="1" applyAlignment="1">
      <alignment vertical="center"/>
    </xf>
    <xf numFmtId="168" fontId="10" fillId="0" borderId="397" xfId="9" applyNumberFormat="1" applyFont="1" applyBorder="1" applyAlignment="1">
      <alignment horizontal="center" vertical="center"/>
    </xf>
    <xf numFmtId="43" fontId="10" fillId="0" borderId="412" xfId="9" applyFont="1" applyBorder="1" applyAlignment="1">
      <alignment horizontal="center" vertical="center"/>
    </xf>
    <xf numFmtId="43" fontId="10" fillId="0" borderId="697" xfId="1" applyFont="1" applyBorder="1" applyAlignment="1">
      <alignment horizontal="center" vertical="center"/>
    </xf>
    <xf numFmtId="0" fontId="10" fillId="0" borderId="0" xfId="71" applyFont="1" applyBorder="1" applyAlignment="1">
      <alignment vertical="center"/>
    </xf>
    <xf numFmtId="0" fontId="10" fillId="0" borderId="0" xfId="71" applyFont="1" applyAlignment="1">
      <alignment horizontal="center" vertical="center"/>
    </xf>
    <xf numFmtId="43" fontId="10" fillId="0" borderId="0" xfId="9" applyFont="1" applyAlignment="1">
      <alignment horizontal="center" vertical="center"/>
    </xf>
    <xf numFmtId="168" fontId="10" fillId="0" borderId="0" xfId="9" applyNumberFormat="1" applyFont="1" applyAlignment="1">
      <alignment horizontal="center" vertical="center"/>
    </xf>
    <xf numFmtId="0" fontId="211" fillId="0" borderId="0" xfId="71" applyFont="1" applyAlignment="1">
      <alignment horizontal="center" vertical="center"/>
    </xf>
    <xf numFmtId="0" fontId="220" fillId="0" borderId="0" xfId="68" applyFont="1" applyBorder="1" applyAlignment="1">
      <alignment horizontal="center" vertical="center"/>
    </xf>
    <xf numFmtId="0" fontId="278" fillId="0" borderId="0" xfId="68" applyFont="1" applyBorder="1" applyAlignment="1">
      <alignment horizontal="center" vertical="top"/>
    </xf>
    <xf numFmtId="43" fontId="10" fillId="0" borderId="686" xfId="9" applyFont="1" applyBorder="1" applyAlignment="1">
      <alignment horizontal="center" vertical="center"/>
    </xf>
    <xf numFmtId="168" fontId="10" fillId="0" borderId="686" xfId="9" applyNumberFormat="1" applyFont="1" applyBorder="1" applyAlignment="1">
      <alignment horizontal="center" vertical="center"/>
    </xf>
    <xf numFmtId="43" fontId="10" fillId="0" borderId="703" xfId="1" applyFont="1" applyBorder="1" applyAlignment="1">
      <alignment horizontal="center" vertical="center"/>
    </xf>
    <xf numFmtId="43" fontId="221" fillId="0" borderId="586" xfId="9" applyFont="1" applyBorder="1" applyAlignment="1">
      <alignment horizontal="center" vertical="center"/>
    </xf>
    <xf numFmtId="168" fontId="221" fillId="0" borderId="586" xfId="9" applyNumberFormat="1" applyFont="1" applyBorder="1" applyAlignment="1">
      <alignment horizontal="center" vertical="center"/>
    </xf>
    <xf numFmtId="43" fontId="221" fillId="0" borderId="632" xfId="1" applyFont="1" applyBorder="1" applyAlignment="1">
      <alignment horizontal="center" vertical="center"/>
    </xf>
    <xf numFmtId="43" fontId="10" fillId="0" borderId="660" xfId="9" applyFont="1" applyBorder="1" applyAlignment="1">
      <alignment horizontal="center" vertical="center"/>
    </xf>
    <xf numFmtId="168" fontId="10" fillId="0" borderId="660" xfId="9" applyNumberFormat="1" applyFont="1" applyBorder="1" applyAlignment="1">
      <alignment horizontal="center" vertical="center"/>
    </xf>
    <xf numFmtId="43" fontId="10" fillId="0" borderId="701" xfId="9" applyFont="1" applyBorder="1" applyAlignment="1">
      <alignment horizontal="center" vertical="center"/>
    </xf>
    <xf numFmtId="43" fontId="10" fillId="0" borderId="586" xfId="9" applyFont="1" applyBorder="1" applyAlignment="1">
      <alignment horizontal="center" vertical="center"/>
    </xf>
    <xf numFmtId="43" fontId="10" fillId="0" borderId="632" xfId="1" applyFont="1" applyBorder="1" applyAlignment="1">
      <alignment horizontal="center" vertical="center"/>
    </xf>
    <xf numFmtId="43" fontId="10" fillId="0" borderId="355" xfId="9" applyFont="1" applyBorder="1" applyAlignment="1">
      <alignment horizontal="center" vertical="center"/>
    </xf>
    <xf numFmtId="168" fontId="10" fillId="0" borderId="355" xfId="9" applyNumberFormat="1" applyFont="1" applyBorder="1" applyAlignment="1">
      <alignment horizontal="center" vertical="center"/>
    </xf>
    <xf numFmtId="43" fontId="10" fillId="0" borderId="356" xfId="9" applyFont="1" applyBorder="1" applyAlignment="1">
      <alignment horizontal="center" vertical="center"/>
    </xf>
    <xf numFmtId="43" fontId="220" fillId="0" borderId="712" xfId="9" applyFont="1" applyBorder="1" applyAlignment="1">
      <alignment horizontal="center" vertical="center"/>
    </xf>
    <xf numFmtId="168" fontId="220" fillId="0" borderId="712" xfId="9" applyNumberFormat="1" applyFont="1" applyBorder="1" applyAlignment="1">
      <alignment horizontal="center" vertical="center"/>
    </xf>
    <xf numFmtId="43" fontId="220" fillId="0" borderId="708" xfId="9" applyFont="1" applyBorder="1" applyAlignment="1">
      <alignment horizontal="center" vertical="center"/>
    </xf>
    <xf numFmtId="0" fontId="10" fillId="0" borderId="480" xfId="71" applyFont="1" applyBorder="1" applyAlignment="1">
      <alignment vertical="center"/>
    </xf>
    <xf numFmtId="168" fontId="10" fillId="0" borderId="589" xfId="9" applyNumberFormat="1" applyFont="1" applyBorder="1" applyAlignment="1">
      <alignment horizontal="center" vertical="center"/>
    </xf>
    <xf numFmtId="43" fontId="10" fillId="0" borderId="589" xfId="9" applyFont="1" applyBorder="1" applyAlignment="1">
      <alignment horizontal="center" vertical="center"/>
    </xf>
    <xf numFmtId="43" fontId="10" fillId="0" borderId="587" xfId="9" applyFont="1" applyBorder="1" applyAlignment="1">
      <alignment horizontal="center" vertical="center"/>
    </xf>
    <xf numFmtId="43" fontId="10" fillId="0" borderId="696" xfId="9" applyFont="1" applyBorder="1" applyAlignment="1">
      <alignment horizontal="center" vertical="center"/>
    </xf>
    <xf numFmtId="43" fontId="10" fillId="0" borderId="703" xfId="9" applyFont="1" applyBorder="1" applyAlignment="1">
      <alignment horizontal="center" vertical="center"/>
    </xf>
    <xf numFmtId="168" fontId="10" fillId="0" borderId="700" xfId="71" applyNumberFormat="1" applyFont="1" applyBorder="1" applyAlignment="1">
      <alignment horizontal="center" vertical="center"/>
    </xf>
    <xf numFmtId="43" fontId="10" fillId="0" borderId="632" xfId="9" applyFont="1" applyBorder="1" applyAlignment="1">
      <alignment horizontal="center" vertical="center"/>
    </xf>
    <xf numFmtId="0" fontId="302" fillId="0" borderId="705" xfId="71" applyFont="1" applyBorder="1" applyAlignment="1">
      <alignment vertical="center"/>
    </xf>
    <xf numFmtId="0" fontId="10" fillId="0" borderId="684" xfId="71" applyFont="1" applyBorder="1" applyAlignment="1">
      <alignment vertical="center"/>
    </xf>
    <xf numFmtId="0" fontId="10" fillId="0" borderId="704" xfId="71" applyFont="1" applyBorder="1" applyAlignment="1">
      <alignment vertical="center"/>
    </xf>
    <xf numFmtId="0" fontId="263" fillId="0" borderId="706" xfId="71" applyFont="1" applyBorder="1" applyAlignment="1">
      <alignment vertical="center"/>
    </xf>
    <xf numFmtId="168" fontId="263" fillId="0" borderId="633" xfId="71" applyNumberFormat="1" applyFont="1" applyBorder="1" applyAlignment="1">
      <alignment horizontal="center" vertical="center"/>
    </xf>
    <xf numFmtId="43" fontId="220" fillId="0" borderId="630" xfId="9" applyFont="1" applyBorder="1" applyAlignment="1">
      <alignment horizontal="center" vertical="center"/>
    </xf>
    <xf numFmtId="43" fontId="220" fillId="0" borderId="634" xfId="9" applyFont="1" applyBorder="1" applyAlignment="1">
      <alignment horizontal="center" vertical="center"/>
    </xf>
    <xf numFmtId="4" fontId="278" fillId="0" borderId="685" xfId="30" applyNumberFormat="1" applyFont="1" applyFill="1" applyBorder="1" applyAlignment="1" applyProtection="1">
      <alignment horizontal="center" vertical="center"/>
      <protection locked="0"/>
    </xf>
    <xf numFmtId="43" fontId="278" fillId="0" borderId="0" xfId="1" applyFont="1" applyFill="1" applyAlignment="1">
      <alignment vertical="top"/>
    </xf>
    <xf numFmtId="9" fontId="278" fillId="0" borderId="0" xfId="88" applyFont="1" applyFill="1" applyAlignment="1">
      <alignment vertical="top"/>
    </xf>
    <xf numFmtId="0" fontId="278" fillId="0" borderId="0" xfId="2" applyFont="1" applyFill="1" applyAlignment="1">
      <alignment vertical="top"/>
    </xf>
    <xf numFmtId="0" fontId="278" fillId="0" borderId="0" xfId="2" applyFont="1" applyFill="1" applyAlignment="1" applyProtection="1">
      <alignment vertical="top"/>
      <protection locked="0"/>
    </xf>
    <xf numFmtId="0" fontId="278" fillId="0" borderId="0" xfId="2" applyFont="1" applyFill="1" applyAlignment="1" applyProtection="1">
      <alignment horizontal="center" vertical="top"/>
      <protection locked="0"/>
    </xf>
    <xf numFmtId="43" fontId="278" fillId="0" borderId="0" xfId="1" applyFont="1" applyFill="1" applyAlignment="1" applyProtection="1">
      <alignment vertical="top"/>
      <protection locked="0"/>
    </xf>
    <xf numFmtId="43" fontId="278" fillId="0" borderId="0" xfId="2" applyNumberFormat="1" applyFont="1" applyFill="1" applyAlignment="1" applyProtection="1">
      <alignment vertical="top"/>
      <protection locked="0"/>
    </xf>
    <xf numFmtId="0" fontId="278" fillId="0" borderId="0" xfId="2" applyFont="1" applyFill="1" applyBorder="1" applyAlignment="1" applyProtection="1">
      <alignment vertical="top"/>
      <protection locked="0"/>
    </xf>
    <xf numFmtId="0" fontId="278" fillId="0" borderId="0" xfId="2" applyFont="1" applyFill="1" applyBorder="1" applyAlignment="1" applyProtection="1">
      <alignment horizontal="center" vertical="top"/>
      <protection locked="0"/>
    </xf>
    <xf numFmtId="43" fontId="278" fillId="0" borderId="0" xfId="1" applyFont="1" applyFill="1" applyBorder="1" applyAlignment="1" applyProtection="1">
      <alignment vertical="top"/>
      <protection locked="0"/>
    </xf>
    <xf numFmtId="43" fontId="278" fillId="0" borderId="0" xfId="2" applyNumberFormat="1" applyFont="1" applyFill="1" applyBorder="1" applyAlignment="1" applyProtection="1">
      <alignment vertical="top"/>
      <protection locked="0"/>
    </xf>
    <xf numFmtId="0" fontId="278" fillId="0" borderId="672" xfId="2" applyFont="1" applyFill="1" applyBorder="1" applyAlignment="1" applyProtection="1">
      <alignment horizontal="center" vertical="top"/>
      <protection locked="0"/>
    </xf>
    <xf numFmtId="43" fontId="278" fillId="0" borderId="673" xfId="2" applyNumberFormat="1" applyFont="1" applyFill="1" applyBorder="1" applyAlignment="1" applyProtection="1">
      <alignment horizontal="center" vertical="top"/>
      <protection locked="0"/>
    </xf>
    <xf numFmtId="43" fontId="278" fillId="0" borderId="0" xfId="2" applyNumberFormat="1" applyFont="1" applyFill="1" applyBorder="1" applyAlignment="1" applyProtection="1">
      <alignment horizontal="center" vertical="top"/>
      <protection locked="0"/>
    </xf>
    <xf numFmtId="0" fontId="278" fillId="0" borderId="433" xfId="2" applyFont="1" applyFill="1" applyBorder="1" applyAlignment="1" applyProtection="1">
      <alignment horizontal="center" vertical="top"/>
      <protection locked="0"/>
    </xf>
    <xf numFmtId="0" fontId="278" fillId="0" borderId="0" xfId="2" applyNumberFormat="1" applyFont="1" applyFill="1" applyBorder="1" applyAlignment="1" applyProtection="1">
      <alignment horizontal="center" vertical="top"/>
      <protection locked="0"/>
    </xf>
    <xf numFmtId="0" fontId="278" fillId="0" borderId="0" xfId="1" applyNumberFormat="1" applyFont="1" applyFill="1" applyAlignment="1">
      <alignment horizontal="center" vertical="top"/>
    </xf>
    <xf numFmtId="0" fontId="321" fillId="0" borderId="0" xfId="2" applyFont="1" applyFill="1" applyBorder="1" applyAlignment="1" applyProtection="1">
      <alignment vertical="top"/>
      <protection locked="0"/>
    </xf>
    <xf numFmtId="43" fontId="320" fillId="0" borderId="672" xfId="1" applyFont="1" applyFill="1" applyBorder="1" applyAlignment="1" applyProtection="1">
      <alignment vertical="top"/>
      <protection locked="0"/>
    </xf>
    <xf numFmtId="43" fontId="320" fillId="0" borderId="0" xfId="2" applyNumberFormat="1" applyFont="1" applyFill="1" applyBorder="1" applyAlignment="1" applyProtection="1">
      <alignment vertical="top"/>
      <protection locked="0"/>
    </xf>
    <xf numFmtId="43" fontId="320" fillId="0" borderId="295" xfId="2" applyNumberFormat="1" applyFont="1" applyFill="1" applyBorder="1" applyAlignment="1" applyProtection="1">
      <alignment vertical="top"/>
      <protection locked="0"/>
    </xf>
    <xf numFmtId="0" fontId="320" fillId="0" borderId="0" xfId="2" applyFont="1" applyFill="1" applyBorder="1" applyAlignment="1" applyProtection="1">
      <alignment horizontal="center" vertical="top"/>
      <protection locked="0"/>
    </xf>
    <xf numFmtId="43" fontId="320" fillId="0" borderId="685" xfId="1" applyNumberFormat="1" applyFont="1" applyFill="1" applyBorder="1" applyAlignment="1">
      <alignment vertical="top"/>
    </xf>
    <xf numFmtId="43" fontId="320" fillId="0" borderId="0" xfId="7" applyNumberFormat="1" applyFont="1" applyFill="1" applyBorder="1" applyAlignment="1">
      <alignment vertical="top"/>
    </xf>
    <xf numFmtId="43" fontId="320" fillId="0" borderId="553" xfId="1" applyFont="1" applyFill="1" applyBorder="1" applyAlignment="1" applyProtection="1">
      <alignment vertical="top"/>
      <protection locked="0"/>
    </xf>
    <xf numFmtId="43" fontId="320" fillId="0" borderId="553" xfId="2" applyNumberFormat="1" applyFont="1" applyFill="1" applyBorder="1" applyAlignment="1" applyProtection="1">
      <alignment vertical="top"/>
      <protection locked="0"/>
    </xf>
    <xf numFmtId="43" fontId="278" fillId="0" borderId="0" xfId="2" applyNumberFormat="1" applyFont="1" applyFill="1" applyBorder="1" applyAlignment="1" applyProtection="1">
      <alignment vertical="center"/>
      <protection locked="0"/>
    </xf>
    <xf numFmtId="43" fontId="320" fillId="0" borderId="295" xfId="1" applyNumberFormat="1" applyFont="1" applyFill="1" applyBorder="1" applyAlignment="1">
      <alignment vertical="top"/>
    </xf>
    <xf numFmtId="43" fontId="320" fillId="0" borderId="643" xfId="1" applyFont="1" applyFill="1" applyBorder="1" applyAlignment="1">
      <alignment vertical="top"/>
    </xf>
    <xf numFmtId="43" fontId="320" fillId="0" borderId="0" xfId="1" applyNumberFormat="1" applyFont="1" applyFill="1" applyBorder="1" applyAlignment="1">
      <alignment vertical="top"/>
    </xf>
    <xf numFmtId="49" fontId="320" fillId="0" borderId="433" xfId="2" applyNumberFormat="1" applyFont="1" applyFill="1" applyBorder="1" applyAlignment="1" applyProtection="1">
      <alignment vertical="top"/>
      <protection locked="0"/>
    </xf>
    <xf numFmtId="0" fontId="278" fillId="0" borderId="685" xfId="2" applyFont="1" applyFill="1" applyBorder="1" applyAlignment="1" applyProtection="1">
      <alignment horizontal="center" vertical="top"/>
      <protection locked="0"/>
    </xf>
    <xf numFmtId="43" fontId="320" fillId="0" borderId="0" xfId="7" applyNumberFormat="1" applyFont="1" applyFill="1" applyBorder="1" applyAlignment="1" applyProtection="1">
      <alignment vertical="top"/>
      <protection locked="0"/>
    </xf>
    <xf numFmtId="43" fontId="320" fillId="0" borderId="295" xfId="2" applyNumberFormat="1" applyFont="1" applyFill="1" applyBorder="1" applyAlignment="1">
      <alignment vertical="top"/>
    </xf>
    <xf numFmtId="43" fontId="320" fillId="0" borderId="0" xfId="2" applyNumberFormat="1" applyFont="1" applyFill="1" applyBorder="1" applyAlignment="1">
      <alignment vertical="top"/>
    </xf>
    <xf numFmtId="9" fontId="320" fillId="0" borderId="0" xfId="88" applyFont="1" applyFill="1" applyAlignment="1">
      <alignment horizontal="right" vertical="top"/>
    </xf>
    <xf numFmtId="43" fontId="320" fillId="0" borderId="0" xfId="2" applyNumberFormat="1" applyFont="1" applyFill="1" applyBorder="1" applyAlignment="1" applyProtection="1">
      <alignment horizontal="right" vertical="top"/>
      <protection locked="0"/>
    </xf>
    <xf numFmtId="0" fontId="320" fillId="0" borderId="685" xfId="2" applyFont="1" applyFill="1" applyBorder="1" applyAlignment="1" applyProtection="1">
      <alignment horizontal="center" vertical="top"/>
      <protection locked="0"/>
    </xf>
    <xf numFmtId="4" fontId="320" fillId="0" borderId="685" xfId="2" applyNumberFormat="1" applyFont="1" applyFill="1" applyBorder="1" applyAlignment="1" applyProtection="1">
      <alignment horizontal="left" vertical="top"/>
      <protection locked="0"/>
    </xf>
    <xf numFmtId="43" fontId="320" fillId="0" borderId="685" xfId="2" applyNumberFormat="1" applyFont="1" applyFill="1" applyBorder="1" applyAlignment="1" applyProtection="1">
      <alignment horizontal="right" vertical="top"/>
      <protection locked="0"/>
    </xf>
    <xf numFmtId="9" fontId="320" fillId="0" borderId="0" xfId="88" applyFont="1" applyFill="1" applyBorder="1" applyAlignment="1">
      <alignment vertical="top"/>
    </xf>
    <xf numFmtId="49" fontId="320" fillId="0" borderId="215" xfId="2" applyNumberFormat="1" applyFont="1" applyFill="1" applyBorder="1" applyAlignment="1" applyProtection="1">
      <alignment vertical="top"/>
      <protection locked="0"/>
    </xf>
    <xf numFmtId="0" fontId="320" fillId="0" borderId="215" xfId="2" applyFont="1" applyFill="1" applyBorder="1" applyAlignment="1" applyProtection="1">
      <alignment vertical="top"/>
      <protection locked="0"/>
    </xf>
    <xf numFmtId="0" fontId="320" fillId="0" borderId="215" xfId="2" applyFont="1" applyFill="1" applyBorder="1" applyAlignment="1" applyProtection="1">
      <alignment horizontal="center" vertical="top"/>
      <protection locked="0"/>
    </xf>
    <xf numFmtId="43" fontId="320" fillId="0" borderId="569" xfId="1" applyFont="1" applyFill="1" applyBorder="1" applyAlignment="1" applyProtection="1">
      <alignment vertical="top"/>
      <protection locked="0"/>
    </xf>
    <xf numFmtId="43" fontId="320" fillId="0" borderId="215" xfId="2" applyNumberFormat="1" applyFont="1" applyFill="1" applyBorder="1" applyAlignment="1" applyProtection="1">
      <alignment vertical="top"/>
      <protection locked="0"/>
    </xf>
    <xf numFmtId="49" fontId="320" fillId="0" borderId="0" xfId="2" applyNumberFormat="1" applyFont="1" applyFill="1" applyBorder="1" applyAlignment="1" applyProtection="1">
      <alignment vertical="top"/>
      <protection locked="0"/>
    </xf>
    <xf numFmtId="43" fontId="320" fillId="0" borderId="0" xfId="1" applyFont="1" applyFill="1" applyBorder="1" applyAlignment="1" applyProtection="1">
      <alignment vertical="top"/>
      <protection locked="0"/>
    </xf>
    <xf numFmtId="43" fontId="320" fillId="0" borderId="0" xfId="1" applyNumberFormat="1" applyFont="1" applyFill="1" applyBorder="1" applyAlignment="1" applyProtection="1">
      <alignment vertical="top"/>
      <protection locked="0"/>
    </xf>
    <xf numFmtId="0" fontId="320" fillId="0" borderId="550" xfId="2" applyFont="1" applyFill="1" applyBorder="1" applyAlignment="1" applyProtection="1">
      <alignment vertical="top"/>
      <protection locked="0"/>
    </xf>
    <xf numFmtId="43" fontId="320" fillId="0" borderId="0" xfId="2" applyNumberFormat="1" applyFont="1" applyFill="1" applyAlignment="1">
      <alignment vertical="top"/>
    </xf>
    <xf numFmtId="43" fontId="278" fillId="0" borderId="0" xfId="1" applyNumberFormat="1" applyFont="1" applyFill="1" applyBorder="1" applyAlignment="1" applyProtection="1">
      <alignment vertical="center"/>
      <protection locked="0"/>
    </xf>
    <xf numFmtId="49" fontId="321" fillId="0" borderId="0" xfId="2" applyNumberFormat="1" applyFont="1" applyFill="1" applyBorder="1" applyAlignment="1" applyProtection="1">
      <alignment vertical="center"/>
      <protection locked="0"/>
    </xf>
    <xf numFmtId="0" fontId="320" fillId="0" borderId="433" xfId="2" applyFont="1" applyFill="1" applyBorder="1" applyAlignment="1" applyProtection="1">
      <alignment horizontal="center" vertical="top"/>
      <protection locked="0"/>
    </xf>
    <xf numFmtId="43" fontId="320" fillId="0" borderId="433" xfId="1" applyFont="1" applyFill="1" applyBorder="1" applyAlignment="1" applyProtection="1">
      <alignment vertical="top"/>
      <protection locked="0"/>
    </xf>
    <xf numFmtId="43" fontId="320" fillId="0" borderId="433" xfId="2" applyNumberFormat="1" applyFont="1" applyFill="1" applyBorder="1" applyAlignment="1" applyProtection="1">
      <alignment vertical="top"/>
      <protection locked="0"/>
    </xf>
    <xf numFmtId="43" fontId="320" fillId="0" borderId="552" xfId="2" applyNumberFormat="1" applyFont="1" applyFill="1" applyBorder="1" applyAlignment="1" applyProtection="1">
      <alignment vertical="top"/>
      <protection locked="0"/>
    </xf>
    <xf numFmtId="43" fontId="320" fillId="0" borderId="0" xfId="2" applyNumberFormat="1" applyFont="1" applyFill="1" applyBorder="1" applyAlignment="1" applyProtection="1">
      <alignment vertical="top" wrapText="1"/>
      <protection locked="0"/>
    </xf>
    <xf numFmtId="43" fontId="320" fillId="0" borderId="0" xfId="1" applyNumberFormat="1" applyFont="1" applyFill="1" applyBorder="1" applyAlignment="1">
      <alignment horizontal="right" vertical="top"/>
    </xf>
    <xf numFmtId="43" fontId="320" fillId="0" borderId="0" xfId="2" applyNumberFormat="1" applyFont="1" applyFill="1" applyBorder="1" applyAlignment="1" applyProtection="1">
      <alignment horizontal="left" vertical="top" wrapText="1"/>
      <protection locked="0"/>
    </xf>
    <xf numFmtId="43" fontId="320" fillId="0" borderId="0" xfId="2" applyNumberFormat="1" applyFont="1" applyFill="1" applyBorder="1" applyAlignment="1" applyProtection="1">
      <alignment horizontal="left" vertical="top"/>
      <protection locked="0"/>
    </xf>
    <xf numFmtId="43" fontId="320" fillId="0" borderId="0" xfId="1" applyNumberFormat="1" applyFont="1" applyFill="1" applyBorder="1" applyAlignment="1">
      <alignment horizontal="left" vertical="top"/>
    </xf>
    <xf numFmtId="43" fontId="320" fillId="0" borderId="685" xfId="2" applyNumberFormat="1" applyFont="1" applyFill="1" applyBorder="1" applyAlignment="1" applyProtection="1">
      <alignment vertical="top" wrapText="1"/>
      <protection locked="0"/>
    </xf>
    <xf numFmtId="0" fontId="320" fillId="0" borderId="0" xfId="0" applyFont="1" applyFill="1" applyBorder="1" applyAlignment="1" applyProtection="1">
      <alignment vertical="top"/>
      <protection locked="0"/>
    </xf>
    <xf numFmtId="43" fontId="320" fillId="0" borderId="643" xfId="2" applyNumberFormat="1" applyFont="1" applyFill="1" applyBorder="1" applyAlignment="1">
      <alignment vertical="top"/>
    </xf>
    <xf numFmtId="0" fontId="320" fillId="0" borderId="433" xfId="2" applyFont="1" applyFill="1" applyBorder="1" applyAlignment="1">
      <alignment vertical="top"/>
    </xf>
    <xf numFmtId="0" fontId="320" fillId="0" borderId="433" xfId="2" applyFont="1" applyFill="1" applyBorder="1" applyAlignment="1" applyProtection="1">
      <alignment vertical="top" wrapText="1"/>
      <protection locked="0"/>
    </xf>
    <xf numFmtId="43" fontId="320" fillId="0" borderId="433" xfId="2" applyNumberFormat="1" applyFont="1" applyFill="1" applyBorder="1" applyAlignment="1" applyProtection="1">
      <alignment vertical="top" wrapText="1"/>
      <protection locked="0"/>
    </xf>
    <xf numFmtId="43" fontId="320" fillId="0" borderId="643" xfId="2" applyNumberFormat="1" applyFont="1" applyFill="1" applyBorder="1" applyAlignment="1" applyProtection="1">
      <alignment vertical="top" wrapText="1"/>
      <protection locked="0"/>
    </xf>
    <xf numFmtId="0" fontId="320" fillId="0" borderId="0" xfId="2" applyNumberFormat="1" applyFont="1" applyFill="1" applyBorder="1" applyAlignment="1" applyProtection="1">
      <alignment horizontal="center" vertical="top"/>
      <protection locked="0"/>
    </xf>
    <xf numFmtId="0" fontId="320" fillId="0" borderId="0" xfId="1" applyNumberFormat="1" applyFont="1" applyFill="1" applyAlignment="1">
      <alignment horizontal="center" vertical="top"/>
    </xf>
    <xf numFmtId="43" fontId="320" fillId="0" borderId="295" xfId="2" applyNumberFormat="1" applyFont="1" applyFill="1" applyBorder="1" applyAlignment="1" applyProtection="1">
      <alignment vertical="top" wrapText="1"/>
      <protection locked="0"/>
    </xf>
    <xf numFmtId="43" fontId="320" fillId="0" borderId="0" xfId="1" applyNumberFormat="1" applyFont="1" applyFill="1" applyBorder="1" applyAlignment="1" applyProtection="1">
      <alignment vertical="top" wrapText="1"/>
      <protection locked="0"/>
    </xf>
    <xf numFmtId="4" fontId="320" fillId="0" borderId="685" xfId="2" applyNumberFormat="1" applyFont="1" applyFill="1" applyBorder="1" applyAlignment="1" applyProtection="1">
      <alignment vertical="top" wrapText="1"/>
      <protection locked="0"/>
    </xf>
    <xf numFmtId="0" fontId="320" fillId="0" borderId="685" xfId="2" applyFont="1" applyFill="1" applyBorder="1" applyAlignment="1">
      <alignment horizontal="center" vertical="top"/>
    </xf>
    <xf numFmtId="43" fontId="320" fillId="0" borderId="685" xfId="1" applyFont="1" applyFill="1" applyBorder="1" applyAlignment="1">
      <alignment vertical="top"/>
    </xf>
    <xf numFmtId="43" fontId="320" fillId="0" borderId="685" xfId="2" applyNumberFormat="1" applyFont="1" applyFill="1" applyBorder="1" applyAlignment="1">
      <alignment vertical="top"/>
    </xf>
    <xf numFmtId="43" fontId="320" fillId="0" borderId="685" xfId="1" applyFont="1" applyFill="1" applyBorder="1" applyAlignment="1" applyProtection="1">
      <alignment vertical="top"/>
      <protection locked="0"/>
    </xf>
    <xf numFmtId="43" fontId="320" fillId="0" borderId="685" xfId="2" applyNumberFormat="1" applyFont="1" applyFill="1" applyBorder="1" applyAlignment="1" applyProtection="1">
      <alignment vertical="top"/>
      <protection locked="0"/>
    </xf>
    <xf numFmtId="10" fontId="320" fillId="0" borderId="685" xfId="88" applyNumberFormat="1" applyFont="1" applyFill="1" applyBorder="1" applyAlignment="1" applyProtection="1">
      <alignment vertical="top"/>
      <protection locked="0"/>
    </xf>
    <xf numFmtId="0" fontId="278" fillId="0" borderId="685" xfId="2" applyFont="1" applyFill="1" applyBorder="1" applyAlignment="1" applyProtection="1">
      <alignment horizontal="center" vertical="center"/>
      <protection locked="0"/>
    </xf>
    <xf numFmtId="43" fontId="278" fillId="0" borderId="700" xfId="2" applyNumberFormat="1" applyFont="1" applyFill="1" applyBorder="1" applyAlignment="1" applyProtection="1">
      <alignment vertical="center"/>
      <protection locked="0"/>
    </xf>
    <xf numFmtId="43" fontId="320" fillId="0" borderId="693" xfId="1" applyFont="1" applyFill="1" applyBorder="1" applyAlignment="1">
      <alignment vertical="top"/>
    </xf>
    <xf numFmtId="4" fontId="320" fillId="0" borderId="662" xfId="2" applyNumberFormat="1" applyFont="1" applyFill="1" applyBorder="1" applyAlignment="1" applyProtection="1">
      <alignment vertical="top"/>
      <protection locked="0"/>
    </xf>
    <xf numFmtId="43" fontId="320" fillId="0" borderId="685" xfId="102" applyNumberFormat="1" applyFont="1" applyFill="1" applyBorder="1" applyAlignment="1"/>
    <xf numFmtId="43" fontId="320" fillId="0" borderId="0" xfId="102" applyNumberFormat="1" applyFont="1" applyFill="1" applyBorder="1" applyAlignment="1"/>
    <xf numFmtId="43" fontId="278" fillId="0" borderId="0" xfId="88" applyNumberFormat="1" applyFont="1" applyFill="1" applyAlignment="1">
      <alignment vertical="center"/>
    </xf>
    <xf numFmtId="0" fontId="320" fillId="0" borderId="397" xfId="2" applyFont="1" applyFill="1" applyBorder="1" applyAlignment="1" applyProtection="1">
      <alignment horizontal="center" vertical="top"/>
      <protection locked="0"/>
    </xf>
    <xf numFmtId="43" fontId="320" fillId="0" borderId="397" xfId="1" applyFont="1" applyFill="1" applyBorder="1" applyAlignment="1" applyProtection="1">
      <alignment vertical="top"/>
      <protection locked="0"/>
    </xf>
    <xf numFmtId="43" fontId="320" fillId="0" borderId="397" xfId="2" applyNumberFormat="1" applyFont="1" applyFill="1" applyBorder="1" applyAlignment="1" applyProtection="1">
      <alignment vertical="top"/>
      <protection locked="0"/>
    </xf>
    <xf numFmtId="0" fontId="320" fillId="0" borderId="589" xfId="2" applyFont="1" applyFill="1" applyBorder="1" applyAlignment="1" applyProtection="1">
      <alignment horizontal="center" vertical="center"/>
      <protection locked="0"/>
    </xf>
    <xf numFmtId="0" fontId="320" fillId="0" borderId="707" xfId="2" applyFont="1" applyFill="1" applyBorder="1" applyAlignment="1" applyProtection="1">
      <alignment horizontal="center" vertical="center"/>
      <protection locked="0"/>
    </xf>
    <xf numFmtId="43" fontId="320" fillId="0" borderId="707" xfId="2" applyNumberFormat="1" applyFont="1" applyFill="1" applyBorder="1" applyAlignment="1">
      <alignment vertical="center"/>
    </xf>
    <xf numFmtId="43" fontId="320" fillId="0" borderId="0" xfId="2" applyNumberFormat="1" applyFont="1" applyFill="1" applyBorder="1" applyAlignment="1">
      <alignment vertical="center"/>
    </xf>
    <xf numFmtId="0" fontId="320" fillId="0" borderId="0" xfId="2" applyFont="1" applyFill="1" applyAlignment="1">
      <alignment horizontal="center" vertical="top"/>
    </xf>
    <xf numFmtId="0" fontId="320" fillId="0" borderId="0" xfId="47" applyFont="1" applyFill="1" applyAlignment="1" applyProtection="1">
      <alignment horizontal="right" vertical="top"/>
      <protection locked="0"/>
    </xf>
    <xf numFmtId="43" fontId="320" fillId="0" borderId="0" xfId="47" applyNumberFormat="1" applyFont="1" applyFill="1" applyAlignment="1" applyProtection="1">
      <alignment vertical="top"/>
      <protection locked="0"/>
    </xf>
    <xf numFmtId="0" fontId="320" fillId="0" borderId="0" xfId="47" applyFont="1" applyFill="1" applyAlignment="1" applyProtection="1">
      <protection locked="0"/>
    </xf>
    <xf numFmtId="9" fontId="320" fillId="0" borderId="0" xfId="88" applyFont="1" applyFill="1" applyAlignment="1"/>
    <xf numFmtId="0" fontId="320" fillId="0" borderId="0" xfId="47" applyFont="1" applyFill="1" applyAlignment="1"/>
    <xf numFmtId="0" fontId="278" fillId="0" borderId="0" xfId="47" applyFont="1" applyFill="1" applyAlignment="1">
      <alignment vertical="top"/>
    </xf>
    <xf numFmtId="49" fontId="320" fillId="0" borderId="686" xfId="36" applyNumberFormat="1" applyFont="1" applyFill="1" applyBorder="1" applyAlignment="1" applyProtection="1">
      <alignment vertical="top"/>
      <protection locked="0"/>
    </xf>
    <xf numFmtId="0" fontId="320" fillId="0" borderId="685" xfId="36" applyFont="1" applyFill="1" applyBorder="1" applyAlignment="1" applyProtection="1">
      <alignment horizontal="center" vertical="top"/>
      <protection locked="0"/>
    </xf>
    <xf numFmtId="4" fontId="320" fillId="0" borderId="710" xfId="1" applyNumberFormat="1" applyFont="1" applyFill="1" applyBorder="1" applyAlignment="1" applyProtection="1">
      <alignment vertical="top"/>
      <protection locked="0"/>
    </xf>
    <xf numFmtId="10" fontId="320" fillId="0" borderId="710" xfId="88" applyNumberFormat="1" applyFont="1" applyFill="1" applyBorder="1" applyAlignment="1" applyProtection="1">
      <alignment vertical="top"/>
      <protection locked="0"/>
    </xf>
    <xf numFmtId="0" fontId="320" fillId="0" borderId="685" xfId="30" applyFont="1" applyFill="1" applyBorder="1" applyAlignment="1" applyProtection="1">
      <alignment horizontal="center" vertical="center"/>
      <protection locked="0"/>
    </xf>
    <xf numFmtId="4" fontId="320" fillId="0" borderId="685" xfId="30" applyNumberFormat="1" applyFont="1" applyFill="1" applyBorder="1" applyAlignment="1" applyProtection="1">
      <alignment vertical="center"/>
      <protection hidden="1"/>
    </xf>
    <xf numFmtId="4" fontId="320" fillId="0" borderId="685" xfId="1" applyNumberFormat="1" applyFont="1" applyFill="1" applyBorder="1" applyAlignment="1" applyProtection="1">
      <alignment vertical="center"/>
      <protection locked="0"/>
    </xf>
    <xf numFmtId="0" fontId="320" fillId="0" borderId="685" xfId="1" applyNumberFormat="1" applyFont="1" applyFill="1" applyBorder="1" applyAlignment="1" applyProtection="1">
      <alignment horizontal="center" vertical="center"/>
      <protection locked="0"/>
    </xf>
    <xf numFmtId="0" fontId="320" fillId="0" borderId="686" xfId="30" applyFont="1" applyFill="1" applyBorder="1" applyAlignment="1" applyProtection="1">
      <alignment vertical="center"/>
      <protection locked="0"/>
    </xf>
    <xf numFmtId="0" fontId="320" fillId="0" borderId="685" xfId="45" applyFont="1" applyFill="1" applyBorder="1" applyAlignment="1" applyProtection="1">
      <alignment horizontal="center" vertical="center"/>
      <protection locked="0"/>
    </xf>
    <xf numFmtId="4" fontId="320" fillId="0" borderId="685" xfId="45" applyNumberFormat="1" applyFont="1" applyFill="1" applyBorder="1" applyAlignment="1" applyProtection="1">
      <alignment horizontal="right" vertical="center"/>
      <protection locked="0"/>
    </xf>
    <xf numFmtId="4" fontId="320" fillId="0" borderId="685" xfId="2" applyNumberFormat="1" applyFont="1" applyFill="1" applyBorder="1" applyAlignment="1" applyProtection="1">
      <alignment horizontal="right" vertical="center"/>
      <protection locked="0"/>
    </xf>
    <xf numFmtId="1" fontId="320" fillId="0" borderId="685" xfId="46" applyNumberFormat="1" applyFont="1" applyFill="1" applyBorder="1" applyAlignment="1">
      <alignment horizontal="center"/>
    </xf>
    <xf numFmtId="1" fontId="320" fillId="0" borderId="685" xfId="42" applyNumberFormat="1" applyFont="1" applyFill="1" applyBorder="1" applyAlignment="1" applyProtection="1">
      <alignment horizontal="center" vertical="center"/>
      <protection locked="0"/>
    </xf>
    <xf numFmtId="1" fontId="320" fillId="0" borderId="685" xfId="1" applyNumberFormat="1" applyFont="1" applyFill="1" applyBorder="1" applyAlignment="1" applyProtection="1">
      <alignment horizontal="center"/>
      <protection locked="0"/>
    </xf>
    <xf numFmtId="4" fontId="320" fillId="0" borderId="685" xfId="30" applyNumberFormat="1" applyFont="1" applyFill="1" applyBorder="1" applyAlignment="1" applyProtection="1">
      <protection locked="0"/>
    </xf>
    <xf numFmtId="10" fontId="320" fillId="0" borderId="685" xfId="88" applyNumberFormat="1" applyFont="1" applyFill="1" applyBorder="1" applyAlignment="1" applyProtection="1">
      <protection locked="0"/>
    </xf>
    <xf numFmtId="1" fontId="320" fillId="0" borderId="685" xfId="1" applyNumberFormat="1" applyFont="1" applyFill="1" applyBorder="1" applyAlignment="1" applyProtection="1">
      <alignment horizontal="center" vertical="center"/>
      <protection locked="0"/>
    </xf>
    <xf numFmtId="4" fontId="320" fillId="0" borderId="685" xfId="30" applyNumberFormat="1" applyFont="1" applyFill="1" applyBorder="1" applyAlignment="1" applyProtection="1">
      <alignment horizontal="right" vertical="center"/>
      <protection locked="0"/>
    </xf>
    <xf numFmtId="1" fontId="320" fillId="0" borderId="685" xfId="44" applyNumberFormat="1" applyFont="1" applyFill="1" applyBorder="1" applyAlignment="1" applyProtection="1">
      <alignment horizontal="center" vertical="center"/>
      <protection locked="0"/>
    </xf>
    <xf numFmtId="1" fontId="320" fillId="0" borderId="685" xfId="46" applyNumberFormat="1" applyFont="1" applyFill="1" applyBorder="1" applyAlignment="1" applyProtection="1">
      <alignment horizontal="center"/>
      <protection locked="0"/>
    </xf>
    <xf numFmtId="1" fontId="320" fillId="0" borderId="397" xfId="58" applyNumberFormat="1" applyFont="1" applyFill="1" applyBorder="1" applyAlignment="1" applyProtection="1">
      <alignment horizontal="center" vertical="center"/>
      <protection locked="0"/>
    </xf>
    <xf numFmtId="4" fontId="320" fillId="0" borderId="397" xfId="58" applyNumberFormat="1" applyFont="1" applyFill="1" applyBorder="1" applyAlignment="1" applyProtection="1">
      <alignment vertical="center"/>
      <protection locked="0"/>
    </xf>
    <xf numFmtId="39" fontId="320" fillId="0" borderId="397" xfId="58" applyNumberFormat="1" applyFont="1" applyFill="1" applyBorder="1" applyAlignment="1" applyProtection="1">
      <alignment vertical="center"/>
      <protection locked="0"/>
    </xf>
    <xf numFmtId="1" fontId="278" fillId="0" borderId="685" xfId="58" applyNumberFormat="1" applyFont="1" applyFill="1" applyBorder="1" applyAlignment="1" applyProtection="1">
      <alignment horizontal="center" vertical="center" wrapText="1"/>
      <protection locked="0"/>
    </xf>
    <xf numFmtId="0" fontId="278" fillId="0" borderId="709" xfId="58" applyFont="1" applyFill="1" applyBorder="1" applyAlignment="1" applyProtection="1">
      <alignment horizontal="center" vertical="center"/>
      <protection locked="0"/>
    </xf>
    <xf numFmtId="0" fontId="278" fillId="0" borderId="673" xfId="58" applyFont="1" applyFill="1" applyBorder="1" applyAlignment="1" applyProtection="1">
      <alignment horizontal="center" vertical="center"/>
      <protection locked="0"/>
    </xf>
    <xf numFmtId="4" fontId="320" fillId="0" borderId="685" xfId="58" applyNumberFormat="1" applyFont="1" applyFill="1" applyBorder="1" applyAlignment="1" applyProtection="1">
      <alignment vertical="center"/>
      <protection locked="0"/>
    </xf>
    <xf numFmtId="4" fontId="278" fillId="0" borderId="700" xfId="58" applyNumberFormat="1" applyFont="1" applyFill="1" applyBorder="1" applyAlignment="1" applyProtection="1">
      <alignment vertical="center"/>
      <protection locked="0"/>
    </xf>
    <xf numFmtId="0" fontId="320" fillId="0" borderId="709" xfId="58" applyFont="1" applyFill="1" applyBorder="1" applyAlignment="1" applyProtection="1">
      <alignment vertical="center"/>
      <protection locked="0"/>
    </xf>
    <xf numFmtId="1" fontId="320" fillId="0" borderId="672" xfId="58" applyNumberFormat="1" applyFont="1" applyFill="1" applyBorder="1" applyAlignment="1" applyProtection="1">
      <alignment horizontal="center" vertical="center"/>
      <protection locked="0"/>
    </xf>
    <xf numFmtId="4" fontId="320" fillId="0" borderId="673" xfId="58" applyNumberFormat="1" applyFont="1" applyFill="1" applyBorder="1" applyAlignment="1" applyProtection="1">
      <alignment vertical="center"/>
      <protection locked="0"/>
    </xf>
    <xf numFmtId="39" fontId="320" fillId="0" borderId="673" xfId="58" applyNumberFormat="1" applyFont="1" applyFill="1" applyBorder="1" applyAlignment="1" applyProtection="1">
      <alignment vertical="center"/>
      <protection locked="0"/>
    </xf>
    <xf numFmtId="4" fontId="320" fillId="0" borderId="672" xfId="58" applyNumberFormat="1" applyFont="1" applyFill="1" applyBorder="1" applyAlignment="1" applyProtection="1">
      <alignment vertical="center"/>
      <protection locked="0"/>
    </xf>
    <xf numFmtId="1" fontId="320" fillId="0" borderId="686" xfId="58" applyNumberFormat="1" applyFont="1" applyFill="1" applyBorder="1" applyAlignment="1" applyProtection="1">
      <alignment horizontal="center" vertical="center"/>
      <protection locked="0"/>
    </xf>
    <xf numFmtId="4" fontId="320" fillId="0" borderId="0" xfId="58" applyNumberFormat="1" applyFont="1" applyFill="1" applyBorder="1" applyAlignment="1">
      <alignment vertical="center"/>
    </xf>
    <xf numFmtId="39" fontId="320" fillId="0" borderId="685" xfId="58" applyNumberFormat="1" applyFont="1" applyFill="1" applyBorder="1" applyAlignment="1" applyProtection="1">
      <alignment vertical="center"/>
      <protection locked="0"/>
    </xf>
    <xf numFmtId="1" fontId="320" fillId="0" borderId="685" xfId="58" applyNumberFormat="1" applyFont="1" applyFill="1" applyBorder="1" applyAlignment="1" applyProtection="1">
      <alignment horizontal="center"/>
      <protection locked="0"/>
    </xf>
    <xf numFmtId="4" fontId="320" fillId="0" borderId="685" xfId="58" applyNumberFormat="1" applyFont="1" applyFill="1" applyBorder="1" applyProtection="1">
      <protection locked="0"/>
    </xf>
    <xf numFmtId="39" fontId="320" fillId="0" borderId="685" xfId="58" applyNumberFormat="1" applyFont="1" applyFill="1" applyBorder="1" applyProtection="1">
      <protection locked="0"/>
    </xf>
    <xf numFmtId="10" fontId="320" fillId="0" borderId="685" xfId="88" applyNumberFormat="1" applyFont="1" applyFill="1" applyBorder="1" applyProtection="1">
      <protection locked="0"/>
    </xf>
    <xf numFmtId="1" fontId="278" fillId="0" borderId="685" xfId="58" applyNumberFormat="1" applyFont="1" applyFill="1" applyBorder="1" applyAlignment="1" applyProtection="1">
      <alignment horizontal="center" vertical="center"/>
      <protection locked="0"/>
    </xf>
    <xf numFmtId="4" fontId="278" fillId="0" borderId="685" xfId="58" applyNumberFormat="1" applyFont="1" applyFill="1" applyBorder="1" applyAlignment="1" applyProtection="1">
      <alignment vertical="center"/>
      <protection locked="0"/>
    </xf>
    <xf numFmtId="49" fontId="320" fillId="0" borderId="686" xfId="2" applyNumberFormat="1" applyFont="1" applyFill="1" applyBorder="1" applyAlignment="1" applyProtection="1">
      <alignment vertical="top"/>
      <protection locked="0"/>
    </xf>
    <xf numFmtId="0" fontId="5" fillId="0" borderId="0" xfId="0" applyFont="1" applyAlignment="1">
      <alignment vertical="center"/>
    </xf>
    <xf numFmtId="0" fontId="372" fillId="0" borderId="0" xfId="91" applyFont="1"/>
    <xf numFmtId="0" fontId="373" fillId="0" borderId="0" xfId="91" applyFont="1"/>
    <xf numFmtId="0" fontId="372" fillId="0" borderId="0" xfId="91" applyFont="1" applyBorder="1"/>
    <xf numFmtId="0" fontId="373" fillId="0" borderId="0" xfId="91" applyFont="1" applyBorder="1" applyAlignment="1">
      <alignment wrapText="1"/>
    </xf>
    <xf numFmtId="0" fontId="212" fillId="0" borderId="0" xfId="91" applyFont="1"/>
    <xf numFmtId="0" fontId="254" fillId="0" borderId="0" xfId="91" applyFont="1" applyBorder="1"/>
    <xf numFmtId="0" fontId="254" fillId="0" borderId="0" xfId="91" applyFont="1" applyBorder="1" applyAlignment="1">
      <alignment vertical="top"/>
    </xf>
    <xf numFmtId="49" fontId="254" fillId="0" borderId="0" xfId="91" applyNumberFormat="1" applyFont="1" applyBorder="1" applyAlignment="1">
      <alignment horizontal="center"/>
    </xf>
    <xf numFmtId="49" fontId="254" fillId="0" borderId="0" xfId="91" applyNumberFormat="1" applyFont="1" applyBorder="1" applyAlignment="1">
      <alignment horizontal="center" vertical="top"/>
    </xf>
    <xf numFmtId="0" fontId="220" fillId="0" borderId="0" xfId="109" applyFont="1" applyAlignment="1"/>
    <xf numFmtId="0" fontId="220" fillId="0" borderId="547" xfId="109" applyFont="1" applyBorder="1" applyAlignment="1"/>
    <xf numFmtId="0" fontId="220" fillId="0" borderId="685" xfId="109" applyFont="1" applyBorder="1" applyAlignment="1">
      <alignment horizontal="center"/>
    </xf>
    <xf numFmtId="0" fontId="221" fillId="0" borderId="685" xfId="109" applyFont="1" applyFill="1" applyBorder="1" applyAlignment="1">
      <alignment horizontal="center"/>
    </xf>
    <xf numFmtId="0" fontId="292" fillId="0" borderId="0" xfId="109" applyFont="1" applyBorder="1" applyAlignment="1">
      <alignment horizontal="right"/>
    </xf>
    <xf numFmtId="4" fontId="320" fillId="0" borderId="685" xfId="55" applyNumberFormat="1" applyFont="1" applyFill="1" applyBorder="1" applyAlignment="1" applyProtection="1">
      <alignment vertical="center"/>
      <protection hidden="1"/>
    </xf>
    <xf numFmtId="0" fontId="109" fillId="3" borderId="0" xfId="74" applyNumberFormat="1" applyFont="1" applyFill="1" applyAlignment="1">
      <alignment horizontal="center"/>
    </xf>
    <xf numFmtId="0" fontId="32" fillId="3" borderId="0" xfId="74" applyNumberFormat="1" applyFont="1" applyFill="1" applyAlignment="1">
      <alignment horizontal="center"/>
    </xf>
    <xf numFmtId="43" fontId="262" fillId="0" borderId="685" xfId="1" applyFont="1" applyFill="1" applyBorder="1" applyAlignment="1">
      <alignment horizontal="right" vertical="center"/>
    </xf>
    <xf numFmtId="43" fontId="109" fillId="0" borderId="685" xfId="1" applyFont="1" applyFill="1" applyBorder="1"/>
    <xf numFmtId="43" fontId="222" fillId="0" borderId="686" xfId="1" applyFont="1" applyFill="1" applyBorder="1"/>
    <xf numFmtId="43" fontId="18" fillId="0" borderId="0" xfId="74" applyNumberFormat="1" applyFont="1"/>
    <xf numFmtId="43" fontId="18" fillId="0" borderId="0" xfId="74" applyNumberFormat="1" applyFont="1" applyFill="1"/>
    <xf numFmtId="43" fontId="26" fillId="0" borderId="0" xfId="74" applyNumberFormat="1" applyFont="1" applyAlignment="1">
      <alignment horizontal="center" vertical="top" wrapText="1"/>
    </xf>
    <xf numFmtId="43" fontId="284" fillId="0" borderId="0" xfId="74" applyNumberFormat="1" applyFont="1" applyFill="1" applyAlignment="1">
      <alignment horizontal="center" vertical="top" wrapText="1"/>
    </xf>
    <xf numFmtId="0" fontId="191" fillId="0" borderId="210" xfId="94" applyFont="1" applyBorder="1" applyAlignment="1">
      <alignment horizontal="center" wrapText="1"/>
    </xf>
    <xf numFmtId="0" fontId="191" fillId="0" borderId="636" xfId="94" applyFont="1" applyBorder="1" applyAlignment="1">
      <alignment horizontal="center" wrapText="1"/>
    </xf>
    <xf numFmtId="0" fontId="192" fillId="0" borderId="210" xfId="94" applyFont="1" applyBorder="1" applyAlignment="1">
      <alignment horizontal="center" wrapText="1"/>
    </xf>
    <xf numFmtId="0" fontId="191" fillId="0" borderId="0" xfId="94" applyFont="1" applyAlignment="1">
      <alignment wrapText="1"/>
    </xf>
    <xf numFmtId="43" fontId="278" fillId="0" borderId="700" xfId="2" applyNumberFormat="1" applyFont="1" applyFill="1" applyBorder="1" applyAlignment="1" applyProtection="1">
      <alignment vertical="center"/>
    </xf>
    <xf numFmtId="43" fontId="320" fillId="0" borderId="685" xfId="1" applyFont="1" applyFill="1" applyBorder="1" applyAlignment="1" applyProtection="1">
      <alignment vertical="top"/>
    </xf>
    <xf numFmtId="43" fontId="278" fillId="0" borderId="700" xfId="1" applyFont="1" applyFill="1" applyBorder="1" applyAlignment="1" applyProtection="1">
      <alignment vertical="center"/>
    </xf>
    <xf numFmtId="43" fontId="320" fillId="0" borderId="553" xfId="1" applyFont="1" applyFill="1" applyBorder="1" applyAlignment="1" applyProtection="1">
      <alignment vertical="top"/>
    </xf>
    <xf numFmtId="43" fontId="278" fillId="0" borderId="553" xfId="2" applyNumberFormat="1" applyFont="1" applyFill="1" applyBorder="1" applyAlignment="1" applyProtection="1">
      <alignment vertical="center"/>
    </xf>
    <xf numFmtId="0" fontId="222" fillId="3" borderId="0" xfId="74" applyNumberFormat="1" applyFont="1" applyFill="1" applyAlignment="1">
      <alignment horizontal="center" vertical="center"/>
    </xf>
    <xf numFmtId="43" fontId="109" fillId="0" borderId="570" xfId="74" applyNumberFormat="1" applyFont="1" applyFill="1" applyBorder="1" applyAlignment="1">
      <alignment horizontal="center"/>
    </xf>
    <xf numFmtId="43" fontId="109" fillId="0" borderId="570" xfId="74" applyNumberFormat="1" applyFont="1" applyFill="1" applyBorder="1" applyProtection="1"/>
    <xf numFmtId="43" fontId="117" fillId="0" borderId="707" xfId="74" applyNumberFormat="1" applyFont="1" applyFill="1" applyBorder="1"/>
    <xf numFmtId="43" fontId="110" fillId="0" borderId="707" xfId="93" applyNumberFormat="1" applyFont="1" applyFill="1" applyBorder="1" applyProtection="1"/>
    <xf numFmtId="43" fontId="110" fillId="0" borderId="707" xfId="93" applyNumberFormat="1" applyFont="1" applyFill="1" applyBorder="1"/>
    <xf numFmtId="43" fontId="110" fillId="0" borderId="414" xfId="93" applyNumberFormat="1" applyFont="1" applyFill="1" applyBorder="1" applyProtection="1"/>
    <xf numFmtId="43" fontId="374" fillId="0" borderId="414" xfId="74" applyNumberFormat="1" applyFont="1" applyFill="1" applyBorder="1" applyProtection="1"/>
    <xf numFmtId="43" fontId="374" fillId="0" borderId="571" xfId="74" applyNumberFormat="1" applyFont="1" applyFill="1" applyBorder="1" applyProtection="1"/>
    <xf numFmtId="43" fontId="374" fillId="0" borderId="46" xfId="74" applyNumberFormat="1" applyFont="1" applyFill="1" applyBorder="1" applyProtection="1"/>
    <xf numFmtId="43" fontId="110" fillId="0" borderId="199" xfId="74" applyNumberFormat="1" applyFont="1" applyFill="1" applyBorder="1" applyProtection="1"/>
    <xf numFmtId="0" fontId="183" fillId="3" borderId="0" xfId="94" applyFont="1" applyFill="1" applyAlignment="1">
      <alignment horizontal="center" vertical="center"/>
    </xf>
    <xf numFmtId="43" fontId="361" fillId="0" borderId="549" xfId="1" applyFont="1" applyFill="1" applyBorder="1" applyAlignment="1" applyProtection="1"/>
    <xf numFmtId="43" fontId="361" fillId="0" borderId="549" xfId="1" applyFont="1" applyFill="1" applyBorder="1" applyAlignment="1">
      <alignment horizontal="right" vertical="center"/>
    </xf>
    <xf numFmtId="0" fontId="0" fillId="0" borderId="0" xfId="0" applyAlignment="1">
      <alignment horizontal="center"/>
    </xf>
    <xf numFmtId="4" fontId="19" fillId="0" borderId="0" xfId="54" applyNumberFormat="1" applyFont="1" applyFill="1"/>
    <xf numFmtId="39" fontId="221" fillId="0" borderId="676" xfId="84" applyNumberFormat="1" applyFont="1" applyFill="1" applyBorder="1" applyProtection="1">
      <protection locked="0"/>
    </xf>
    <xf numFmtId="0" fontId="268" fillId="0" borderId="672" xfId="79" applyFont="1" applyBorder="1" applyAlignment="1">
      <alignment horizontal="center"/>
    </xf>
    <xf numFmtId="43" fontId="268" fillId="0" borderId="685" xfId="20" applyFont="1" applyBorder="1" applyProtection="1"/>
    <xf numFmtId="43" fontId="268" fillId="0" borderId="685" xfId="20" applyNumberFormat="1" applyFont="1" applyBorder="1" applyProtection="1"/>
    <xf numFmtId="43" fontId="268" fillId="0" borderId="685" xfId="20" applyFont="1" applyBorder="1"/>
    <xf numFmtId="0" fontId="268" fillId="0" borderId="685" xfId="79" applyFont="1" applyBorder="1"/>
    <xf numFmtId="43" fontId="268" fillId="0" borderId="685" xfId="79" applyNumberFormat="1" applyFont="1" applyBorder="1" applyProtection="1"/>
    <xf numFmtId="43" fontId="268" fillId="0" borderId="685" xfId="20" applyNumberFormat="1" applyFont="1" applyBorder="1"/>
    <xf numFmtId="4" fontId="320" fillId="0" borderId="452" xfId="45" applyNumberFormat="1" applyFont="1" applyFill="1" applyBorder="1" applyAlignment="1" applyProtection="1">
      <alignment vertical="center"/>
      <protection locked="0"/>
    </xf>
    <xf numFmtId="4" fontId="320" fillId="0" borderId="448" xfId="45" applyNumberFormat="1" applyFont="1" applyFill="1" applyBorder="1" applyAlignment="1" applyProtection="1">
      <alignment vertical="center"/>
      <protection locked="0"/>
    </xf>
    <xf numFmtId="4" fontId="320" fillId="0" borderId="452" xfId="45" applyNumberFormat="1" applyFont="1" applyFill="1" applyBorder="1" applyAlignment="1" applyProtection="1">
      <alignment vertical="center"/>
      <protection hidden="1"/>
    </xf>
    <xf numFmtId="0" fontId="320" fillId="0" borderId="0" xfId="27" applyFont="1" applyFill="1" applyAlignment="1">
      <alignment horizontal="center" vertical="center"/>
    </xf>
    <xf numFmtId="43" fontId="320" fillId="0" borderId="0" xfId="27" applyNumberFormat="1" applyFont="1" applyFill="1" applyAlignment="1">
      <alignment horizontal="center" vertical="center"/>
    </xf>
    <xf numFmtId="9" fontId="323" fillId="0" borderId="0" xfId="88" applyFont="1" applyFill="1" applyAlignment="1">
      <alignment horizontal="center" vertical="center"/>
    </xf>
    <xf numFmtId="4" fontId="320" fillId="0" borderId="645" xfId="1" applyNumberFormat="1" applyFont="1" applyFill="1" applyBorder="1" applyAlignment="1" applyProtection="1">
      <alignment horizontal="center" vertical="center"/>
      <protection locked="0"/>
    </xf>
    <xf numFmtId="0" fontId="320" fillId="0" borderId="0" xfId="2" applyFont="1" applyFill="1" applyAlignment="1">
      <alignment horizontal="center"/>
    </xf>
    <xf numFmtId="0" fontId="278" fillId="0" borderId="0" xfId="45" applyFont="1" applyFill="1" applyAlignment="1">
      <alignment horizontal="center" vertical="center"/>
    </xf>
    <xf numFmtId="4" fontId="320" fillId="0" borderId="0" xfId="45" applyNumberFormat="1" applyFont="1" applyFill="1" applyAlignment="1">
      <alignment horizontal="center" vertical="center"/>
    </xf>
    <xf numFmtId="4" fontId="320" fillId="0" borderId="0" xfId="2" applyNumberFormat="1" applyFont="1" applyFill="1" applyBorder="1" applyAlignment="1">
      <alignment horizontal="center" vertical="center"/>
    </xf>
    <xf numFmtId="0" fontId="320" fillId="0" borderId="0" xfId="1" applyNumberFormat="1" applyFont="1" applyFill="1" applyBorder="1" applyAlignment="1">
      <alignment horizontal="center"/>
    </xf>
    <xf numFmtId="0" fontId="321" fillId="0" borderId="0" xfId="1" applyNumberFormat="1" applyFont="1" applyFill="1" applyBorder="1" applyAlignment="1">
      <alignment horizontal="center" vertical="center"/>
    </xf>
    <xf numFmtId="4" fontId="320" fillId="0" borderId="0" xfId="58" applyNumberFormat="1" applyFont="1" applyFill="1" applyBorder="1" applyAlignment="1" applyProtection="1">
      <alignment vertical="top"/>
      <protection locked="0"/>
    </xf>
    <xf numFmtId="4" fontId="320" fillId="0" borderId="0" xfId="58" applyNumberFormat="1" applyFont="1" applyFill="1" applyAlignment="1">
      <alignment vertical="top"/>
    </xf>
    <xf numFmtId="0" fontId="320" fillId="0" borderId="0" xfId="2" applyFont="1" applyFill="1" applyBorder="1" applyAlignment="1">
      <alignment horizontal="center"/>
    </xf>
    <xf numFmtId="0" fontId="321" fillId="0" borderId="0" xfId="58" applyFont="1" applyFill="1" applyAlignment="1">
      <alignment horizontal="center"/>
    </xf>
    <xf numFmtId="0" fontId="278" fillId="0" borderId="0" xfId="2" applyFont="1" applyFill="1" applyAlignment="1">
      <alignment horizontal="center"/>
    </xf>
    <xf numFmtId="0" fontId="320" fillId="0" borderId="0" xfId="44" applyFont="1" applyFill="1" applyAlignment="1">
      <alignment horizontal="center" vertical="center"/>
    </xf>
    <xf numFmtId="0" fontId="320" fillId="0" borderId="0" xfId="44" applyFont="1" applyFill="1" applyBorder="1" applyAlignment="1">
      <alignment horizontal="center" vertical="center"/>
    </xf>
    <xf numFmtId="0" fontId="278" fillId="0" borderId="0" xfId="44" applyFont="1" applyFill="1" applyAlignment="1">
      <alignment horizontal="center" vertical="center"/>
    </xf>
    <xf numFmtId="43" fontId="320" fillId="0" borderId="0" xfId="1" applyFont="1" applyFill="1" applyBorder="1" applyAlignment="1">
      <alignment horizontal="center" vertical="center"/>
    </xf>
    <xf numFmtId="4" fontId="320" fillId="0" borderId="0" xfId="1" applyNumberFormat="1" applyFont="1" applyFill="1" applyBorder="1" applyAlignment="1" applyProtection="1">
      <alignment horizontal="center" vertical="center"/>
      <protection locked="0"/>
    </xf>
    <xf numFmtId="43" fontId="320" fillId="0" borderId="0" xfId="7" applyFont="1" applyFill="1" applyAlignment="1">
      <alignment horizontal="center" vertical="center"/>
    </xf>
    <xf numFmtId="0" fontId="278" fillId="0" borderId="0" xfId="30" applyFont="1" applyFill="1" applyAlignment="1">
      <alignment horizontal="center" vertical="center"/>
    </xf>
    <xf numFmtId="0" fontId="320" fillId="0" borderId="0" xfId="45" applyFont="1" applyFill="1" applyBorder="1" applyAlignment="1">
      <alignment horizontal="center" vertical="center"/>
    </xf>
    <xf numFmtId="0" fontId="278" fillId="0" borderId="0" xfId="45" applyFont="1" applyFill="1" applyBorder="1" applyAlignment="1">
      <alignment horizontal="center" vertical="center"/>
    </xf>
    <xf numFmtId="0" fontId="324" fillId="0" borderId="0" xfId="45" applyFont="1" applyFill="1" applyAlignment="1">
      <alignment horizontal="center" vertical="center"/>
    </xf>
    <xf numFmtId="0" fontId="278" fillId="0" borderId="0" xfId="42" applyFont="1" applyFill="1" applyAlignment="1">
      <alignment horizontal="center" vertical="center"/>
    </xf>
    <xf numFmtId="0" fontId="320" fillId="0" borderId="0" xfId="30" applyFont="1" applyFill="1" applyAlignment="1">
      <alignment horizontal="center" vertical="top"/>
    </xf>
    <xf numFmtId="0" fontId="278" fillId="0" borderId="0" xfId="30" applyFont="1" applyFill="1" applyBorder="1" applyAlignment="1">
      <alignment horizontal="center" vertical="center"/>
    </xf>
    <xf numFmtId="0" fontId="320" fillId="0" borderId="0" xfId="36" applyFont="1" applyFill="1" applyAlignment="1">
      <alignment horizontal="center" vertical="center"/>
    </xf>
    <xf numFmtId="0" fontId="278" fillId="0" borderId="0" xfId="36" applyFont="1" applyFill="1" applyAlignment="1">
      <alignment horizontal="center" vertical="center"/>
    </xf>
    <xf numFmtId="43" fontId="320" fillId="0" borderId="0" xfId="1" applyFont="1" applyFill="1" applyAlignment="1">
      <alignment horizontal="center"/>
    </xf>
    <xf numFmtId="43" fontId="223" fillId="0" borderId="570" xfId="1" applyFont="1" applyFill="1" applyBorder="1" applyAlignment="1">
      <alignment horizontal="center" vertical="center"/>
    </xf>
    <xf numFmtId="0" fontId="223" fillId="0" borderId="570" xfId="58" applyFont="1" applyFill="1" applyBorder="1" applyAlignment="1">
      <alignment horizontal="center" vertical="center"/>
    </xf>
    <xf numFmtId="43" fontId="223" fillId="0" borderId="685" xfId="1" applyFont="1" applyFill="1" applyBorder="1" applyAlignment="1">
      <alignment horizontal="center" vertical="center"/>
    </xf>
    <xf numFmtId="0" fontId="223" fillId="0" borderId="685" xfId="58" applyFont="1" applyFill="1" applyBorder="1" applyAlignment="1">
      <alignment horizontal="center" vertical="center"/>
    </xf>
    <xf numFmtId="0" fontId="320" fillId="0" borderId="685" xfId="58" applyFont="1" applyFill="1" applyBorder="1" applyAlignment="1">
      <alignment vertical="center"/>
    </xf>
    <xf numFmtId="43" fontId="223" fillId="0" borderId="642" xfId="1" applyNumberFormat="1" applyFont="1" applyFill="1" applyBorder="1" applyAlignment="1">
      <alignment horizontal="center" vertical="center"/>
    </xf>
    <xf numFmtId="43" fontId="223" fillId="0" borderId="642" xfId="1" applyFont="1" applyFill="1" applyBorder="1" applyAlignment="1">
      <alignment vertical="center"/>
    </xf>
    <xf numFmtId="43" fontId="223" fillId="0" borderId="642" xfId="58" applyNumberFormat="1" applyFont="1" applyFill="1" applyBorder="1" applyAlignment="1">
      <alignment vertical="center"/>
    </xf>
    <xf numFmtId="43" fontId="320" fillId="0" borderId="642" xfId="1" applyFont="1" applyFill="1" applyBorder="1" applyAlignment="1">
      <alignment vertical="center"/>
    </xf>
    <xf numFmtId="4" fontId="320" fillId="0" borderId="685" xfId="45" applyNumberFormat="1" applyFont="1" applyFill="1" applyBorder="1" applyAlignment="1" applyProtection="1">
      <alignment vertical="center"/>
      <protection hidden="1"/>
    </xf>
    <xf numFmtId="4" fontId="320" fillId="0" borderId="685" xfId="45" applyNumberFormat="1" applyFont="1" applyFill="1" applyBorder="1" applyAlignment="1" applyProtection="1">
      <alignment vertical="center"/>
      <protection locked="0"/>
    </xf>
    <xf numFmtId="0" fontId="320" fillId="0" borderId="0" xfId="47" applyFont="1" applyFill="1" applyAlignment="1">
      <alignment horizontal="center" vertical="top"/>
    </xf>
    <xf numFmtId="0" fontId="324" fillId="0" borderId="0" xfId="47" applyFont="1" applyFill="1" applyAlignment="1">
      <alignment horizontal="center" vertical="top"/>
    </xf>
    <xf numFmtId="0" fontId="320" fillId="0" borderId="0" xfId="47" applyFont="1" applyFill="1" applyBorder="1" applyAlignment="1">
      <alignment horizontal="center" vertical="top"/>
    </xf>
    <xf numFmtId="0" fontId="320" fillId="0" borderId="0" xfId="47" applyNumberFormat="1" applyFont="1" applyFill="1" applyBorder="1" applyAlignment="1">
      <alignment horizontal="center" vertical="top"/>
    </xf>
    <xf numFmtId="0" fontId="278" fillId="0" borderId="0" xfId="47" applyFont="1" applyFill="1" applyAlignment="1">
      <alignment horizontal="center"/>
    </xf>
    <xf numFmtId="43" fontId="375" fillId="0" borderId="0" xfId="1" applyFont="1" applyFill="1" applyAlignment="1">
      <alignment horizontal="center" vertical="center"/>
    </xf>
    <xf numFmtId="0" fontId="220" fillId="0" borderId="0" xfId="24" applyFont="1" applyAlignment="1">
      <alignment horizontal="center" vertical="center"/>
    </xf>
    <xf numFmtId="0" fontId="211" fillId="0" borderId="0" xfId="0" applyFont="1" applyAlignment="1">
      <alignment horizontal="center" vertical="center"/>
    </xf>
    <xf numFmtId="0" fontId="16" fillId="0" borderId="0" xfId="0" applyFont="1" applyAlignment="1">
      <alignment horizontal="center" vertical="center"/>
    </xf>
    <xf numFmtId="0" fontId="221" fillId="0" borderId="0" xfId="58" applyFont="1" applyAlignment="1">
      <alignment horizontal="center" vertical="center"/>
    </xf>
    <xf numFmtId="43" fontId="357" fillId="0" borderId="0" xfId="1" applyFont="1" applyFill="1" applyBorder="1" applyAlignment="1" applyProtection="1">
      <alignment vertical="center"/>
      <protection locked="0"/>
    </xf>
    <xf numFmtId="0" fontId="16" fillId="0" borderId="0" xfId="0" applyFont="1" applyBorder="1" applyAlignment="1">
      <alignment horizontal="center" vertical="center"/>
    </xf>
    <xf numFmtId="0" fontId="16" fillId="0" borderId="410" xfId="0" applyFont="1" applyBorder="1" applyAlignment="1">
      <alignment horizontal="center" vertical="center"/>
    </xf>
    <xf numFmtId="0" fontId="211" fillId="0" borderId="0" xfId="0" applyFont="1" applyAlignment="1">
      <alignment horizontal="center" vertical="center" wrapText="1"/>
    </xf>
    <xf numFmtId="0" fontId="4" fillId="0" borderId="0" xfId="0" applyFont="1" applyAlignment="1">
      <alignment horizontal="center" vertical="center"/>
    </xf>
    <xf numFmtId="43" fontId="4" fillId="0" borderId="0" xfId="0" applyNumberFormat="1" applyFont="1" applyAlignment="1">
      <alignment vertical="center"/>
    </xf>
    <xf numFmtId="0" fontId="4" fillId="0" borderId="0" xfId="0" applyFont="1" applyAlignment="1">
      <alignment vertical="center"/>
    </xf>
    <xf numFmtId="43" fontId="217" fillId="0" borderId="0" xfId="0" applyNumberFormat="1" applyFont="1" applyAlignment="1">
      <alignment vertical="center" wrapText="1"/>
    </xf>
    <xf numFmtId="43" fontId="218" fillId="0" borderId="0" xfId="0" applyNumberFormat="1" applyFont="1" applyAlignment="1">
      <alignment vertical="center"/>
    </xf>
    <xf numFmtId="43" fontId="219" fillId="0" borderId="0" xfId="0" applyNumberFormat="1" applyFont="1" applyAlignment="1">
      <alignment vertical="center"/>
    </xf>
    <xf numFmtId="43" fontId="220" fillId="0" borderId="0" xfId="0" applyNumberFormat="1" applyFont="1" applyAlignment="1">
      <alignment vertical="center"/>
    </xf>
    <xf numFmtId="43" fontId="211" fillId="0" borderId="0" xfId="0" applyNumberFormat="1" applyFont="1" applyAlignment="1">
      <alignment vertical="center"/>
    </xf>
    <xf numFmtId="43" fontId="211" fillId="0" borderId="0" xfId="1" applyFont="1" applyAlignment="1">
      <alignment vertical="center"/>
    </xf>
    <xf numFmtId="0" fontId="302" fillId="0" borderId="0" xfId="0" applyFont="1" applyAlignment="1">
      <alignment vertical="center"/>
    </xf>
    <xf numFmtId="0" fontId="302" fillId="0" borderId="0" xfId="0" applyFont="1" applyAlignment="1">
      <alignment horizontal="center" vertical="center"/>
    </xf>
    <xf numFmtId="43" fontId="376" fillId="0" borderId="0" xfId="0" applyNumberFormat="1" applyFont="1" applyAlignment="1">
      <alignment vertical="center"/>
    </xf>
    <xf numFmtId="43" fontId="302" fillId="0" borderId="0" xfId="0" applyNumberFormat="1" applyFont="1" applyAlignment="1">
      <alignment vertical="center"/>
    </xf>
    <xf numFmtId="43" fontId="221" fillId="0" borderId="0" xfId="74" applyNumberFormat="1" applyFont="1" applyFill="1"/>
    <xf numFmtId="43" fontId="310" fillId="0" borderId="685" xfId="79" applyNumberFormat="1" applyFont="1" applyBorder="1" applyAlignment="1">
      <alignment horizontal="left"/>
    </xf>
    <xf numFmtId="3" fontId="111" fillId="0" borderId="492" xfId="32" applyFont="1" applyBorder="1" applyAlignment="1" applyProtection="1">
      <alignment horizontal="left"/>
      <protection locked="0"/>
    </xf>
    <xf numFmtId="3" fontId="223" fillId="0" borderId="715" xfId="23" applyFont="1" applyFill="1" applyBorder="1" applyAlignment="1">
      <alignment horizontal="right" vertical="center"/>
    </xf>
    <xf numFmtId="43" fontId="283" fillId="0" borderId="716" xfId="61" applyFont="1" applyFill="1" applyBorder="1" applyAlignment="1">
      <alignment vertical="center"/>
    </xf>
    <xf numFmtId="43" fontId="223" fillId="0" borderId="716" xfId="61" applyFont="1" applyFill="1" applyBorder="1" applyAlignment="1">
      <alignment vertical="center"/>
    </xf>
    <xf numFmtId="4" fontId="283" fillId="0" borderId="716" xfId="23" applyNumberFormat="1" applyFont="1" applyFill="1" applyBorder="1" applyAlignment="1">
      <alignment vertical="center"/>
    </xf>
    <xf numFmtId="43" fontId="361" fillId="0" borderId="716" xfId="61" applyFont="1" applyFill="1" applyBorder="1" applyAlignment="1">
      <alignment vertical="center"/>
    </xf>
    <xf numFmtId="43" fontId="361" fillId="0" borderId="604" xfId="1" applyFont="1" applyFill="1" applyBorder="1" applyAlignment="1">
      <alignment vertical="center"/>
    </xf>
    <xf numFmtId="43" fontId="362" fillId="0" borderId="604" xfId="1" applyFont="1" applyFill="1" applyBorder="1" applyAlignment="1">
      <alignment vertical="center"/>
    </xf>
    <xf numFmtId="43" fontId="378" fillId="0" borderId="601" xfId="61" applyFont="1" applyFill="1" applyBorder="1" applyAlignment="1">
      <alignment vertical="center"/>
    </xf>
    <xf numFmtId="3" fontId="379" fillId="0" borderId="602" xfId="23" applyFont="1" applyFill="1" applyBorder="1" applyAlignment="1">
      <alignment horizontal="center" vertical="center"/>
    </xf>
    <xf numFmtId="3" fontId="380" fillId="0" borderId="0" xfId="23" applyFont="1" applyFill="1" applyBorder="1" applyAlignment="1" applyProtection="1">
      <alignment horizontal="center" vertical="center"/>
      <protection hidden="1"/>
    </xf>
    <xf numFmtId="39" fontId="381" fillId="0" borderId="68" xfId="23" applyNumberFormat="1" applyFont="1" applyFill="1" applyBorder="1" applyAlignment="1" applyProtection="1">
      <alignment horizontal="center" vertical="center"/>
      <protection locked="0"/>
    </xf>
    <xf numFmtId="39" fontId="380" fillId="0" borderId="68" xfId="23" applyNumberFormat="1" applyFont="1" applyFill="1" applyBorder="1" applyAlignment="1" applyProtection="1">
      <alignment vertical="center"/>
      <protection locked="0"/>
    </xf>
    <xf numFmtId="3" fontId="381" fillId="0" borderId="74" xfId="23" applyFont="1" applyFill="1" applyBorder="1" applyAlignment="1" applyProtection="1">
      <alignment vertical="center"/>
      <protection locked="0"/>
    </xf>
    <xf numFmtId="39" fontId="381" fillId="0" borderId="68" xfId="23" applyNumberFormat="1" applyFont="1" applyFill="1" applyBorder="1" applyAlignment="1" applyProtection="1">
      <alignment vertical="center"/>
      <protection locked="0"/>
    </xf>
    <xf numFmtId="39" fontId="381" fillId="0" borderId="398" xfId="23" applyNumberFormat="1" applyFont="1" applyFill="1" applyBorder="1" applyAlignment="1" applyProtection="1">
      <alignment vertical="center"/>
      <protection locked="0"/>
    </xf>
    <xf numFmtId="39" fontId="380" fillId="0" borderId="520" xfId="23" applyNumberFormat="1" applyFont="1" applyFill="1" applyBorder="1" applyAlignment="1" applyProtection="1">
      <alignment vertical="center"/>
      <protection locked="0"/>
    </xf>
    <xf numFmtId="39" fontId="380" fillId="0" borderId="521" xfId="23" applyNumberFormat="1" applyFont="1" applyFill="1" applyBorder="1" applyAlignment="1" applyProtection="1">
      <alignment vertical="center"/>
      <protection locked="0"/>
    </xf>
    <xf numFmtId="39" fontId="380" fillId="0" borderId="525" xfId="23" applyNumberFormat="1" applyFont="1" applyFill="1" applyBorder="1" applyAlignment="1" applyProtection="1">
      <alignment vertical="center"/>
      <protection locked="0"/>
    </xf>
    <xf numFmtId="3" fontId="380" fillId="0" borderId="68" xfId="23" applyFont="1" applyFill="1" applyBorder="1" applyAlignment="1" applyProtection="1">
      <alignment vertical="center"/>
      <protection locked="0"/>
    </xf>
    <xf numFmtId="39" fontId="381" fillId="0" borderId="68" xfId="23" applyNumberFormat="1" applyFont="1" applyFill="1" applyBorder="1" applyAlignment="1" applyProtection="1">
      <alignment vertical="center"/>
      <protection hidden="1"/>
    </xf>
    <xf numFmtId="3" fontId="380" fillId="0" borderId="398" xfId="23" applyFont="1" applyFill="1" applyBorder="1" applyAlignment="1" applyProtection="1">
      <alignment vertical="center"/>
      <protection locked="0"/>
    </xf>
    <xf numFmtId="43" fontId="381" fillId="0" borderId="398" xfId="1" applyFont="1" applyFill="1" applyBorder="1" applyAlignment="1" applyProtection="1">
      <alignment vertical="center"/>
      <protection locked="0"/>
    </xf>
    <xf numFmtId="39" fontId="380" fillId="0" borderId="242" xfId="23" applyNumberFormat="1" applyFont="1" applyFill="1" applyBorder="1" applyAlignment="1" applyProtection="1">
      <alignment vertical="center"/>
      <protection locked="0"/>
    </xf>
    <xf numFmtId="39" fontId="380" fillId="0" borderId="276" xfId="23" applyNumberFormat="1" applyFont="1" applyFill="1" applyBorder="1" applyAlignment="1" applyProtection="1">
      <alignment vertical="center"/>
      <protection locked="0"/>
    </xf>
    <xf numFmtId="39" fontId="380" fillId="0" borderId="0" xfId="23" applyNumberFormat="1" applyFont="1" applyFill="1" applyBorder="1" applyAlignment="1" applyProtection="1">
      <alignment vertical="center"/>
      <protection locked="0"/>
    </xf>
    <xf numFmtId="39" fontId="380" fillId="0" borderId="195" xfId="23" applyNumberFormat="1" applyFont="1" applyFill="1" applyBorder="1" applyAlignment="1" applyProtection="1">
      <alignment vertical="center"/>
      <protection locked="0"/>
    </xf>
    <xf numFmtId="39" fontId="381" fillId="0" borderId="565" xfId="23" applyNumberFormat="1" applyFont="1" applyFill="1" applyBorder="1" applyAlignment="1" applyProtection="1">
      <alignment horizontal="center" vertical="center"/>
      <protection locked="0"/>
    </xf>
    <xf numFmtId="39" fontId="380" fillId="0" borderId="398" xfId="23" applyNumberFormat="1" applyFont="1" applyFill="1" applyBorder="1" applyAlignment="1" applyProtection="1">
      <alignment vertical="center"/>
      <protection locked="0"/>
    </xf>
    <xf numFmtId="39" fontId="381" fillId="0" borderId="398" xfId="23" applyNumberFormat="1" applyFont="1" applyFill="1" applyBorder="1" applyAlignment="1" applyProtection="1">
      <alignment vertical="center"/>
      <protection hidden="1"/>
    </xf>
    <xf numFmtId="39" fontId="380" fillId="0" borderId="515" xfId="23" applyNumberFormat="1" applyFont="1" applyFill="1" applyBorder="1" applyAlignment="1" applyProtection="1">
      <alignment vertical="center"/>
      <protection locked="0"/>
    </xf>
    <xf numFmtId="39" fontId="381" fillId="0" borderId="519" xfId="23" applyNumberFormat="1" applyFont="1" applyFill="1" applyBorder="1" applyAlignment="1" applyProtection="1">
      <alignment vertical="center"/>
      <protection locked="0"/>
    </xf>
    <xf numFmtId="39" fontId="380" fillId="0" borderId="519" xfId="23" applyNumberFormat="1" applyFont="1" applyFill="1" applyBorder="1" applyAlignment="1" applyProtection="1">
      <alignment vertical="center"/>
      <protection locked="0"/>
    </xf>
    <xf numFmtId="39" fontId="380" fillId="0" borderId="309" xfId="23" applyNumberFormat="1" applyFont="1" applyFill="1" applyBorder="1" applyAlignment="1" applyProtection="1">
      <alignment vertical="center"/>
      <protection locked="0"/>
    </xf>
    <xf numFmtId="39" fontId="380" fillId="0" borderId="399" xfId="23" applyNumberFormat="1" applyFont="1" applyFill="1" applyBorder="1" applyAlignment="1" applyProtection="1">
      <alignment vertical="center"/>
      <protection hidden="1"/>
    </xf>
    <xf numFmtId="39" fontId="380" fillId="0" borderId="398" xfId="23" applyNumberFormat="1" applyFont="1" applyFill="1" applyBorder="1" applyAlignment="1" applyProtection="1">
      <alignment vertical="center"/>
      <protection hidden="1"/>
    </xf>
    <xf numFmtId="3" fontId="380" fillId="0" borderId="437" xfId="23" applyFont="1" applyFill="1" applyBorder="1" applyAlignment="1" applyProtection="1">
      <alignment vertical="center"/>
      <protection locked="0"/>
    </xf>
    <xf numFmtId="39" fontId="380" fillId="0" borderId="481" xfId="23" applyNumberFormat="1" applyFont="1" applyFill="1" applyBorder="1" applyAlignment="1" applyProtection="1">
      <alignment vertical="center"/>
      <protection hidden="1"/>
    </xf>
    <xf numFmtId="39" fontId="380" fillId="0" borderId="0" xfId="23" applyNumberFormat="1" applyFont="1" applyFill="1" applyBorder="1" applyAlignment="1" applyProtection="1">
      <alignment vertical="center"/>
      <protection hidden="1"/>
    </xf>
    <xf numFmtId="39" fontId="381" fillId="0" borderId="0" xfId="23" applyNumberFormat="1" applyFont="1" applyFill="1" applyAlignment="1" applyProtection="1">
      <alignment vertical="center"/>
      <protection locked="0"/>
    </xf>
    <xf numFmtId="39" fontId="377" fillId="0" borderId="0" xfId="23" applyNumberFormat="1" applyFont="1" applyFill="1" applyAlignment="1" applyProtection="1">
      <alignment horizontal="center" vertical="center"/>
      <protection locked="0"/>
    </xf>
    <xf numFmtId="3" fontId="377" fillId="0" borderId="0" xfId="23" applyFont="1" applyFill="1" applyAlignment="1">
      <alignment vertical="center"/>
    </xf>
    <xf numFmtId="3" fontId="381" fillId="0" borderId="0" xfId="23" applyFont="1" applyFill="1" applyAlignment="1">
      <alignment vertical="center"/>
    </xf>
    <xf numFmtId="3" fontId="380" fillId="0" borderId="0" xfId="23" applyFont="1" applyFill="1" applyAlignment="1">
      <alignment vertical="center"/>
    </xf>
    <xf numFmtId="0" fontId="34" fillId="0" borderId="685" xfId="74" applyFont="1" applyFill="1" applyBorder="1" applyAlignment="1">
      <alignment horizontal="center" vertical="top" wrapText="1"/>
    </xf>
    <xf numFmtId="0" fontId="19" fillId="0" borderId="633" xfId="74" applyFont="1" applyFill="1" applyBorder="1" applyAlignment="1">
      <alignment horizontal="center"/>
    </xf>
    <xf numFmtId="43" fontId="19" fillId="0" borderId="685" xfId="74" applyNumberFormat="1" applyFont="1" applyFill="1" applyBorder="1" applyProtection="1"/>
    <xf numFmtId="43" fontId="129" fillId="0" borderId="685" xfId="5" applyNumberFormat="1" applyFont="1" applyFill="1" applyBorder="1" applyProtection="1"/>
    <xf numFmtId="43" fontId="19" fillId="0" borderId="685" xfId="5" applyNumberFormat="1" applyFont="1" applyFill="1" applyBorder="1" applyProtection="1"/>
    <xf numFmtId="0" fontId="19" fillId="0" borderId="685" xfId="74" applyFont="1" applyFill="1" applyBorder="1"/>
    <xf numFmtId="39" fontId="21" fillId="0" borderId="685" xfId="74" applyNumberFormat="1" applyFont="1" applyFill="1" applyBorder="1" applyProtection="1"/>
    <xf numFmtId="43" fontId="21" fillId="0" borderId="685" xfId="5" applyFont="1" applyFill="1" applyBorder="1" applyAlignment="1">
      <alignment horizontal="center"/>
    </xf>
    <xf numFmtId="43" fontId="19" fillId="0" borderId="685" xfId="5" applyFont="1" applyFill="1" applyBorder="1" applyProtection="1"/>
    <xf numFmtId="43" fontId="19" fillId="0" borderId="685" xfId="5" applyFont="1" applyFill="1" applyBorder="1"/>
    <xf numFmtId="39" fontId="21" fillId="0" borderId="397" xfId="74" applyNumberFormat="1" applyFont="1" applyFill="1" applyBorder="1" applyProtection="1"/>
    <xf numFmtId="0" fontId="311" fillId="0" borderId="685" xfId="79" applyFont="1" applyBorder="1" applyAlignment="1">
      <alignment horizontal="left"/>
    </xf>
    <xf numFmtId="43" fontId="21" fillId="0" borderId="686" xfId="74" applyNumberFormat="1" applyFont="1" applyFill="1" applyBorder="1"/>
    <xf numFmtId="43" fontId="19" fillId="0" borderId="686" xfId="93" applyNumberFormat="1" applyFont="1" applyFill="1" applyBorder="1" applyAlignment="1">
      <alignment horizontal="center"/>
    </xf>
    <xf numFmtId="43" fontId="19" fillId="0" borderId="696" xfId="93" applyNumberFormat="1" applyFont="1" applyFill="1" applyBorder="1" applyAlignment="1">
      <alignment horizontal="center"/>
    </xf>
    <xf numFmtId="43" fontId="19" fillId="0" borderId="685" xfId="93" applyNumberFormat="1" applyFont="1" applyFill="1" applyBorder="1" applyAlignment="1">
      <alignment horizontal="center"/>
    </xf>
    <xf numFmtId="1" fontId="320" fillId="0" borderId="685" xfId="2" applyNumberFormat="1" applyFont="1" applyFill="1" applyBorder="1" applyAlignment="1">
      <alignment horizontal="center" vertical="center"/>
    </xf>
    <xf numFmtId="0" fontId="320" fillId="0" borderId="685" xfId="47" applyNumberFormat="1" applyFont="1" applyFill="1" applyBorder="1" applyAlignment="1" applyProtection="1">
      <alignment horizontal="center" vertical="center"/>
      <protection locked="0"/>
    </xf>
    <xf numFmtId="4" fontId="320" fillId="0" borderId="685" xfId="47" applyNumberFormat="1" applyFont="1" applyFill="1" applyBorder="1" applyAlignment="1" applyProtection="1">
      <alignment vertical="center"/>
      <protection locked="0"/>
    </xf>
    <xf numFmtId="0" fontId="320" fillId="0" borderId="685" xfId="47" applyFont="1" applyFill="1" applyBorder="1" applyAlignment="1">
      <alignment horizontal="center" vertical="center"/>
    </xf>
    <xf numFmtId="10" fontId="320" fillId="0" borderId="0" xfId="88" applyNumberFormat="1" applyFont="1" applyFill="1" applyAlignment="1">
      <alignment horizontal="left" vertical="center"/>
    </xf>
    <xf numFmtId="0" fontId="321" fillId="0" borderId="0" xfId="2" applyFont="1" applyFill="1" applyBorder="1" applyAlignment="1" applyProtection="1">
      <alignment vertical="center"/>
      <protection locked="0"/>
    </xf>
    <xf numFmtId="0" fontId="320" fillId="0" borderId="0" xfId="42" applyFont="1" applyFill="1" applyBorder="1" applyAlignment="1">
      <alignment vertical="center"/>
    </xf>
    <xf numFmtId="4" fontId="320" fillId="0" borderId="685" xfId="42" applyNumberFormat="1" applyFont="1" applyFill="1" applyBorder="1" applyAlignment="1">
      <alignment vertical="center"/>
    </xf>
    <xf numFmtId="4" fontId="320" fillId="0" borderId="685" xfId="15" applyNumberFormat="1" applyFont="1" applyFill="1" applyBorder="1" applyAlignment="1">
      <alignment vertical="center"/>
    </xf>
    <xf numFmtId="1" fontId="320" fillId="0" borderId="685" xfId="45" applyNumberFormat="1" applyFont="1" applyFill="1" applyBorder="1" applyAlignment="1" applyProtection="1">
      <alignment horizontal="center" vertical="center"/>
      <protection locked="0"/>
    </xf>
    <xf numFmtId="0" fontId="321" fillId="0" borderId="0" xfId="42" applyFont="1" applyFill="1" applyBorder="1" applyAlignment="1" applyProtection="1">
      <alignment vertical="center"/>
      <protection locked="0"/>
    </xf>
    <xf numFmtId="10" fontId="278" fillId="0" borderId="0" xfId="88" applyNumberFormat="1" applyFont="1" applyFill="1" applyBorder="1" applyAlignment="1" applyProtection="1">
      <alignment horizontal="left" vertical="center"/>
      <protection locked="0"/>
    </xf>
    <xf numFmtId="0" fontId="320" fillId="0" borderId="685" xfId="58" applyFont="1" applyFill="1" applyBorder="1" applyAlignment="1" applyProtection="1">
      <alignment horizontal="center" vertical="center"/>
      <protection locked="0"/>
    </xf>
    <xf numFmtId="10" fontId="320" fillId="0" borderId="0" xfId="88" applyNumberFormat="1" applyFont="1" applyFill="1" applyBorder="1" applyAlignment="1">
      <alignment horizontal="left" vertical="center"/>
    </xf>
    <xf numFmtId="4" fontId="278" fillId="0" borderId="685" xfId="30" applyNumberFormat="1" applyFont="1" applyFill="1" applyBorder="1" applyAlignment="1" applyProtection="1">
      <alignment vertical="center"/>
      <protection locked="0"/>
    </xf>
    <xf numFmtId="0" fontId="321" fillId="0" borderId="0" xfId="47" applyFont="1" applyFill="1" applyBorder="1" applyAlignment="1" applyProtection="1">
      <alignment vertical="top"/>
      <protection locked="0"/>
    </xf>
    <xf numFmtId="0" fontId="320" fillId="0" borderId="685" xfId="0" applyFont="1" applyFill="1" applyBorder="1" applyAlignment="1" applyProtection="1">
      <alignment horizontal="center" vertical="center"/>
      <protection locked="0"/>
    </xf>
    <xf numFmtId="1" fontId="321" fillId="0" borderId="685" xfId="30" applyNumberFormat="1" applyFont="1" applyFill="1" applyBorder="1" applyAlignment="1" applyProtection="1">
      <alignment horizontal="center" vertical="center"/>
      <protection locked="0"/>
    </xf>
    <xf numFmtId="4" fontId="320" fillId="0" borderId="717" xfId="30" applyNumberFormat="1" applyFont="1" applyFill="1" applyBorder="1" applyAlignment="1" applyProtection="1">
      <alignment vertical="center"/>
      <protection locked="0"/>
    </xf>
    <xf numFmtId="0" fontId="320" fillId="0" borderId="685" xfId="2" applyFont="1" applyFill="1" applyBorder="1" applyAlignment="1" applyProtection="1">
      <alignment horizontal="center" vertical="center"/>
      <protection locked="0"/>
    </xf>
    <xf numFmtId="4" fontId="320" fillId="0" borderId="685" xfId="36" applyNumberFormat="1" applyFont="1" applyFill="1" applyBorder="1" applyAlignment="1" applyProtection="1">
      <alignment horizontal="right" vertical="center"/>
      <protection locked="0"/>
    </xf>
    <xf numFmtId="0" fontId="321" fillId="0" borderId="0" xfId="36" applyFont="1" applyFill="1" applyBorder="1" applyAlignment="1" applyProtection="1">
      <alignment vertical="center"/>
      <protection locked="0"/>
    </xf>
    <xf numFmtId="0" fontId="320" fillId="0" borderId="686" xfId="42" applyFont="1" applyFill="1" applyBorder="1" applyAlignment="1" applyProtection="1">
      <alignment vertical="center"/>
      <protection locked="0"/>
    </xf>
    <xf numFmtId="10" fontId="278" fillId="0" borderId="0" xfId="88" applyNumberFormat="1" applyFont="1" applyFill="1" applyAlignment="1">
      <alignment horizontal="left" vertical="center"/>
    </xf>
    <xf numFmtId="0" fontId="320" fillId="0" borderId="685" xfId="45" applyFont="1" applyFill="1" applyBorder="1" applyAlignment="1">
      <alignment vertical="center"/>
    </xf>
    <xf numFmtId="43" fontId="320" fillId="0" borderId="685" xfId="1" applyFont="1" applyFill="1" applyBorder="1" applyAlignment="1">
      <alignment vertical="center"/>
    </xf>
    <xf numFmtId="0" fontId="320" fillId="0" borderId="685" xfId="45" applyFont="1" applyFill="1" applyBorder="1" applyAlignment="1">
      <alignment horizontal="center" vertical="center"/>
    </xf>
    <xf numFmtId="39" fontId="320" fillId="0" borderId="685" xfId="45" applyNumberFormat="1" applyFont="1" applyFill="1" applyBorder="1" applyAlignment="1">
      <alignment vertical="center"/>
    </xf>
    <xf numFmtId="43" fontId="320" fillId="0" borderId="685" xfId="1" applyFont="1" applyFill="1" applyBorder="1" applyAlignment="1">
      <alignment vertical="center" wrapText="1"/>
    </xf>
    <xf numFmtId="10" fontId="320" fillId="0" borderId="685" xfId="88" applyNumberFormat="1" applyFont="1" applyFill="1" applyBorder="1" applyAlignment="1">
      <alignment vertical="center" wrapText="1"/>
    </xf>
    <xf numFmtId="10" fontId="320" fillId="0" borderId="0" xfId="45" applyNumberFormat="1" applyFont="1" applyFill="1" applyAlignment="1">
      <alignment horizontal="left" vertical="center"/>
    </xf>
    <xf numFmtId="10" fontId="323" fillId="0" borderId="0" xfId="88" applyNumberFormat="1" applyFont="1" applyFill="1" applyAlignment="1">
      <alignment horizontal="left" vertical="center"/>
    </xf>
    <xf numFmtId="43" fontId="221" fillId="0" borderId="696" xfId="21" applyNumberFormat="1" applyFont="1" applyFill="1" applyBorder="1" applyAlignment="1">
      <alignment vertical="center"/>
    </xf>
    <xf numFmtId="43" fontId="221" fillId="0" borderId="696" xfId="62" applyFont="1" applyFill="1" applyBorder="1" applyAlignment="1">
      <alignment horizontal="right"/>
    </xf>
    <xf numFmtId="0" fontId="221" fillId="0" borderId="448" xfId="21" applyFont="1" applyFill="1" applyBorder="1" applyAlignment="1">
      <alignment horizontal="center"/>
    </xf>
    <xf numFmtId="43" fontId="221" fillId="0" borderId="448" xfId="62" applyFont="1" applyFill="1" applyBorder="1"/>
    <xf numFmtId="43" fontId="221" fillId="0" borderId="696" xfId="62" applyFont="1" applyFill="1" applyBorder="1" applyAlignment="1">
      <alignment horizontal="right" vertical="center"/>
    </xf>
    <xf numFmtId="0" fontId="220" fillId="0" borderId="285" xfId="21" applyFont="1" applyFill="1" applyBorder="1" applyAlignment="1">
      <alignment horizontal="center" vertical="center"/>
    </xf>
    <xf numFmtId="0" fontId="221" fillId="0" borderId="696" xfId="21" applyFont="1" applyFill="1" applyBorder="1" applyAlignment="1">
      <alignment vertical="center"/>
    </xf>
    <xf numFmtId="43" fontId="220" fillId="0" borderId="685" xfId="62" applyFont="1" applyFill="1" applyBorder="1"/>
    <xf numFmtId="43" fontId="221" fillId="0" borderId="696" xfId="62" applyFont="1" applyFill="1" applyBorder="1" applyAlignment="1">
      <alignment horizontal="center" vertical="center"/>
    </xf>
    <xf numFmtId="43" fontId="220" fillId="0" borderId="696" xfId="62" applyFont="1" applyFill="1" applyBorder="1"/>
    <xf numFmtId="43" fontId="221" fillId="0" borderId="448" xfId="1" applyFont="1" applyFill="1" applyBorder="1"/>
    <xf numFmtId="0" fontId="221" fillId="0" borderId="570" xfId="21" quotePrefix="1" applyFont="1" applyFill="1" applyBorder="1" applyAlignment="1">
      <alignment horizontal="center"/>
    </xf>
    <xf numFmtId="0" fontId="221" fillId="0" borderId="704" xfId="21" quotePrefix="1" applyFont="1" applyFill="1" applyBorder="1" applyAlignment="1">
      <alignment horizontal="center"/>
    </xf>
    <xf numFmtId="0" fontId="221" fillId="0" borderId="696" xfId="21" applyFont="1" applyFill="1" applyBorder="1"/>
    <xf numFmtId="0" fontId="221" fillId="0" borderId="707" xfId="21" applyFont="1" applyFill="1" applyBorder="1" applyAlignment="1">
      <alignment vertical="center"/>
    </xf>
    <xf numFmtId="43" fontId="220" fillId="0" borderId="707" xfId="62" applyFont="1" applyFill="1" applyBorder="1" applyAlignment="1">
      <alignment vertical="center"/>
    </xf>
    <xf numFmtId="0" fontId="220" fillId="0" borderId="448" xfId="21" applyFont="1" applyFill="1" applyBorder="1" applyAlignment="1">
      <alignment horizontal="center" vertical="center"/>
    </xf>
    <xf numFmtId="43" fontId="221" fillId="0" borderId="685" xfId="62" applyFont="1" applyFill="1" applyBorder="1" applyAlignment="1">
      <alignment horizontal="right" vertical="center"/>
    </xf>
    <xf numFmtId="0" fontId="220" fillId="0" borderId="707" xfId="21" applyFont="1" applyFill="1" applyBorder="1" applyAlignment="1">
      <alignment vertical="center"/>
    </xf>
    <xf numFmtId="43" fontId="220" fillId="0" borderId="707" xfId="21" applyNumberFormat="1" applyFont="1" applyFill="1" applyBorder="1" applyAlignment="1">
      <alignment vertical="center"/>
    </xf>
    <xf numFmtId="43" fontId="220" fillId="0" borderId="708" xfId="21" applyNumberFormat="1" applyFont="1" applyFill="1" applyBorder="1" applyAlignment="1">
      <alignment vertical="center"/>
    </xf>
    <xf numFmtId="0" fontId="221" fillId="0" borderId="707" xfId="21" applyFont="1" applyFill="1" applyBorder="1"/>
    <xf numFmtId="0" fontId="220" fillId="0" borderId="706" xfId="21" applyFont="1" applyFill="1" applyBorder="1" applyAlignment="1">
      <alignment vertical="center"/>
    </xf>
    <xf numFmtId="43" fontId="220" fillId="0" borderId="696" xfId="21" applyNumberFormat="1" applyFont="1" applyFill="1" applyBorder="1"/>
    <xf numFmtId="0" fontId="221" fillId="0" borderId="570" xfId="21" applyFont="1" applyFill="1" applyBorder="1"/>
    <xf numFmtId="0" fontId="221" fillId="0" borderId="704" xfId="21" applyFont="1" applyFill="1" applyBorder="1"/>
    <xf numFmtId="0" fontId="221" fillId="0" borderId="448" xfId="21" applyFont="1" applyFill="1" applyBorder="1"/>
    <xf numFmtId="43" fontId="221" fillId="0" borderId="696" xfId="1" applyFont="1" applyFill="1" applyBorder="1" applyAlignment="1">
      <alignment horizontal="center" vertical="center"/>
    </xf>
    <xf numFmtId="0" fontId="221" fillId="0" borderId="448" xfId="21" applyFont="1" applyFill="1" applyBorder="1" applyAlignment="1">
      <alignment vertical="center"/>
    </xf>
    <xf numFmtId="0" fontId="221" fillId="0" borderId="707" xfId="21" applyFont="1" applyFill="1" applyBorder="1" applyAlignment="1">
      <alignment horizontal="center" vertical="center"/>
    </xf>
    <xf numFmtId="43" fontId="221" fillId="0" borderId="570" xfId="62" applyFont="1" applyFill="1" applyBorder="1"/>
    <xf numFmtId="43" fontId="221" fillId="0" borderId="704" xfId="62" applyFont="1" applyFill="1" applyBorder="1"/>
    <xf numFmtId="0" fontId="41" fillId="0" borderId="570" xfId="74" applyFont="1" applyFill="1" applyBorder="1" applyAlignment="1">
      <alignment horizontal="center"/>
    </xf>
    <xf numFmtId="0" fontId="41" fillId="0" borderId="685" xfId="74" applyFont="1" applyFill="1" applyBorder="1" applyAlignment="1">
      <alignment horizontal="center"/>
    </xf>
    <xf numFmtId="39" fontId="46" fillId="0" borderId="698" xfId="74" applyNumberFormat="1" applyFont="1" applyFill="1" applyBorder="1" applyProtection="1"/>
    <xf numFmtId="39" fontId="41" fillId="0" borderId="685" xfId="74" applyNumberFormat="1" applyFont="1" applyFill="1" applyBorder="1" applyProtection="1"/>
    <xf numFmtId="43" fontId="46" fillId="0" borderId="698" xfId="62" applyFont="1" applyFill="1" applyBorder="1" applyAlignment="1">
      <alignment horizontal="center"/>
    </xf>
    <xf numFmtId="0" fontId="46" fillId="0" borderId="685" xfId="74" applyFont="1" applyFill="1" applyBorder="1"/>
    <xf numFmtId="43" fontId="46" fillId="0" borderId="685" xfId="62" applyFont="1" applyFill="1" applyBorder="1"/>
    <xf numFmtId="0" fontId="19" fillId="0" borderId="0" xfId="24" applyFont="1" applyBorder="1" applyAlignment="1"/>
    <xf numFmtId="0" fontId="19" fillId="0" borderId="718" xfId="24" applyFont="1" applyBorder="1" applyAlignment="1"/>
    <xf numFmtId="43" fontId="19" fillId="0" borderId="398" xfId="20" applyFont="1" applyFill="1" applyBorder="1" applyAlignment="1"/>
    <xf numFmtId="3" fontId="221" fillId="0" borderId="686" xfId="66" applyFont="1" applyBorder="1" applyAlignment="1">
      <alignment vertical="center"/>
    </xf>
    <xf numFmtId="3" fontId="221" fillId="6" borderId="685" xfId="66" applyFont="1" applyFill="1" applyBorder="1" applyAlignment="1">
      <alignment horizontal="left" vertical="center"/>
    </xf>
    <xf numFmtId="3" fontId="282" fillId="0" borderId="686" xfId="66" applyFont="1" applyBorder="1" applyAlignment="1">
      <alignment vertical="center"/>
    </xf>
    <xf numFmtId="4" fontId="282" fillId="0" borderId="718" xfId="67" applyFont="1" applyBorder="1" applyAlignment="1">
      <alignment vertical="center"/>
    </xf>
    <xf numFmtId="4" fontId="221" fillId="0" borderId="686" xfId="67" applyFont="1" applyBorder="1" applyAlignment="1">
      <alignment vertical="center"/>
    </xf>
    <xf numFmtId="4" fontId="282" fillId="0" borderId="686" xfId="67" applyFont="1" applyBorder="1" applyAlignment="1">
      <alignment vertical="center"/>
    </xf>
    <xf numFmtId="3" fontId="221" fillId="0" borderId="547" xfId="32" applyFont="1" applyFill="1" applyBorder="1" applyAlignment="1" applyProtection="1">
      <protection hidden="1"/>
    </xf>
    <xf numFmtId="39" fontId="220" fillId="0" borderId="555" xfId="32" applyNumberFormat="1" applyFont="1" applyFill="1" applyBorder="1" applyProtection="1">
      <protection locked="0"/>
    </xf>
    <xf numFmtId="39" fontId="220" fillId="0" borderId="449" xfId="32" applyNumberFormat="1" applyFont="1" applyFill="1" applyBorder="1" applyProtection="1">
      <protection locked="0"/>
    </xf>
    <xf numFmtId="43" fontId="326" fillId="0" borderId="0" xfId="1" applyFont="1" applyFill="1" applyAlignment="1"/>
    <xf numFmtId="43" fontId="328" fillId="0" borderId="0" xfId="1" applyFont="1" applyFill="1"/>
    <xf numFmtId="43" fontId="330" fillId="0" borderId="570" xfId="1" applyFont="1" applyFill="1" applyBorder="1" applyAlignment="1">
      <alignment horizontal="center"/>
    </xf>
    <xf numFmtId="43" fontId="330" fillId="0" borderId="553" xfId="1" applyFont="1" applyFill="1" applyBorder="1" applyAlignment="1">
      <alignment horizontal="center"/>
    </xf>
    <xf numFmtId="43" fontId="131" fillId="0" borderId="563" xfId="1" applyFont="1" applyFill="1" applyBorder="1" applyAlignment="1">
      <alignment horizontal="center"/>
    </xf>
    <xf numFmtId="43" fontId="131" fillId="0" borderId="91" xfId="1" applyFont="1" applyFill="1" applyBorder="1" applyProtection="1"/>
    <xf numFmtId="43" fontId="131" fillId="0" borderId="563" xfId="1" applyFont="1" applyFill="1" applyBorder="1" applyProtection="1"/>
    <xf numFmtId="43" fontId="131" fillId="0" borderId="592" xfId="1" applyFont="1" applyFill="1" applyBorder="1" applyProtection="1"/>
    <xf numFmtId="43" fontId="131" fillId="0" borderId="699" xfId="1" applyFont="1" applyFill="1" applyBorder="1" applyProtection="1"/>
    <xf numFmtId="43" fontId="131" fillId="0" borderId="91" xfId="1" applyFont="1" applyFill="1" applyBorder="1"/>
    <xf numFmtId="43" fontId="241" fillId="0" borderId="5" xfId="1" applyFont="1" applyFill="1" applyBorder="1" applyProtection="1"/>
    <xf numFmtId="43" fontId="131" fillId="0" borderId="5" xfId="1" applyFont="1" applyFill="1" applyBorder="1" applyAlignment="1">
      <alignment horizontal="center"/>
    </xf>
    <xf numFmtId="43" fontId="131" fillId="0" borderId="5" xfId="1" applyFont="1" applyFill="1" applyBorder="1" applyProtection="1"/>
    <xf numFmtId="43" fontId="131" fillId="0" borderId="5" xfId="1" applyFont="1" applyFill="1" applyBorder="1"/>
    <xf numFmtId="43" fontId="241" fillId="0" borderId="45" xfId="1" applyFont="1" applyFill="1" applyBorder="1" applyProtection="1"/>
    <xf numFmtId="43" fontId="131" fillId="0" borderId="643" xfId="1" applyFont="1" applyFill="1" applyBorder="1"/>
    <xf numFmtId="43" fontId="131" fillId="0" borderId="16" xfId="1" applyFont="1" applyFill="1" applyBorder="1"/>
    <xf numFmtId="43" fontId="281" fillId="0" borderId="124" xfId="1" applyFont="1" applyFill="1" applyBorder="1" applyProtection="1"/>
    <xf numFmtId="43" fontId="74" fillId="0" borderId="0" xfId="1" applyFont="1" applyFill="1"/>
    <xf numFmtId="4" fontId="320" fillId="0" borderId="685" xfId="1" applyNumberFormat="1" applyFont="1" applyFill="1" applyBorder="1" applyAlignment="1" applyProtection="1">
      <alignment vertical="center"/>
      <protection hidden="1"/>
    </xf>
    <xf numFmtId="0" fontId="320" fillId="0" borderId="0" xfId="42" applyFont="1" applyFill="1" applyBorder="1" applyAlignment="1">
      <alignment horizontal="center" vertical="center"/>
    </xf>
    <xf numFmtId="49" fontId="18" fillId="0" borderId="686" xfId="30" applyNumberFormat="1" applyFont="1" applyFill="1" applyBorder="1" applyProtection="1">
      <protection locked="0"/>
    </xf>
    <xf numFmtId="0" fontId="18" fillId="0" borderId="685" xfId="30" applyFont="1" applyFill="1" applyBorder="1" applyAlignment="1" applyProtection="1">
      <alignment horizontal="right"/>
      <protection locked="0"/>
    </xf>
    <xf numFmtId="4" fontId="18" fillId="0" borderId="452" xfId="30" applyNumberFormat="1" applyFont="1" applyFill="1" applyBorder="1" applyProtection="1">
      <protection locked="0"/>
    </xf>
    <xf numFmtId="4" fontId="18" fillId="0" borderId="718" xfId="30" applyNumberFormat="1" applyFont="1" applyFill="1" applyBorder="1" applyProtection="1">
      <protection locked="0"/>
    </xf>
    <xf numFmtId="10" fontId="18" fillId="0" borderId="718" xfId="88" applyNumberFormat="1" applyFont="1" applyFill="1" applyBorder="1" applyProtection="1">
      <protection locked="0"/>
    </xf>
    <xf numFmtId="4" fontId="18" fillId="0" borderId="448" xfId="30" applyNumberFormat="1" applyFont="1" applyFill="1" applyBorder="1" applyProtection="1">
      <protection locked="0"/>
    </xf>
    <xf numFmtId="10" fontId="18" fillId="0" borderId="452" xfId="88" applyNumberFormat="1" applyFont="1" applyFill="1" applyBorder="1" applyProtection="1">
      <protection locked="0"/>
    </xf>
    <xf numFmtId="4" fontId="320" fillId="0" borderId="0" xfId="1" applyNumberFormat="1" applyFont="1" applyFill="1" applyBorder="1" applyAlignment="1">
      <alignment horizontal="center" vertical="center"/>
    </xf>
    <xf numFmtId="4" fontId="278" fillId="0" borderId="0" xfId="58" applyNumberFormat="1" applyFont="1" applyFill="1" applyBorder="1" applyAlignment="1" applyProtection="1">
      <alignment horizontal="center" vertical="center"/>
      <protection locked="0"/>
    </xf>
    <xf numFmtId="0" fontId="278" fillId="0" borderId="0" xfId="58" applyNumberFormat="1" applyFont="1" applyFill="1" applyBorder="1" applyAlignment="1" applyProtection="1">
      <alignment horizontal="center" vertical="center"/>
      <protection locked="0"/>
    </xf>
    <xf numFmtId="43" fontId="320" fillId="0" borderId="0" xfId="1" applyNumberFormat="1" applyFont="1" applyFill="1" applyBorder="1" applyAlignment="1" applyProtection="1">
      <alignment horizontal="center" vertical="center"/>
      <protection locked="0"/>
    </xf>
    <xf numFmtId="43" fontId="320" fillId="0" borderId="0" xfId="58" applyNumberFormat="1" applyFont="1" applyFill="1" applyBorder="1" applyAlignment="1" applyProtection="1">
      <alignment vertical="center"/>
      <protection locked="0"/>
    </xf>
    <xf numFmtId="4" fontId="320" fillId="0" borderId="0" xfId="58" applyNumberFormat="1" applyFont="1" applyFill="1" applyBorder="1" applyProtection="1">
      <protection locked="0"/>
    </xf>
    <xf numFmtId="4" fontId="320" fillId="0" borderId="0" xfId="0" applyNumberFormat="1" applyFont="1" applyFill="1" applyBorder="1"/>
    <xf numFmtId="4" fontId="320" fillId="0" borderId="448" xfId="2" applyNumberFormat="1" applyFont="1" applyFill="1" applyBorder="1" applyAlignment="1" applyProtection="1">
      <alignment vertical="center"/>
      <protection locked="0"/>
    </xf>
    <xf numFmtId="1" fontId="320" fillId="0" borderId="685" xfId="42" applyNumberFormat="1" applyFont="1" applyFill="1" applyBorder="1" applyAlignment="1">
      <alignment horizontal="center" vertical="center"/>
    </xf>
    <xf numFmtId="10" fontId="278" fillId="0" borderId="0" xfId="88" applyNumberFormat="1" applyFont="1" applyFill="1" applyAlignment="1" applyProtection="1">
      <alignment horizontal="center" vertical="center"/>
      <protection locked="0"/>
    </xf>
    <xf numFmtId="10" fontId="320" fillId="0" borderId="0" xfId="88" applyNumberFormat="1" applyFont="1" applyFill="1" applyBorder="1" applyAlignment="1" applyProtection="1">
      <alignment horizontal="center" vertical="center"/>
      <protection locked="0"/>
    </xf>
    <xf numFmtId="10" fontId="320" fillId="0" borderId="433" xfId="88" applyNumberFormat="1" applyFont="1" applyFill="1" applyBorder="1" applyAlignment="1" applyProtection="1">
      <alignment horizontal="center" vertical="center"/>
      <protection locked="0"/>
    </xf>
    <xf numFmtId="10" fontId="278" fillId="0" borderId="667" xfId="88" applyNumberFormat="1" applyFont="1" applyFill="1" applyBorder="1" applyAlignment="1" applyProtection="1">
      <alignment horizontal="center" vertical="center"/>
      <protection locked="0"/>
    </xf>
    <xf numFmtId="10" fontId="278" fillId="0" borderId="0" xfId="88" applyNumberFormat="1" applyFont="1" applyFill="1" applyBorder="1" applyAlignment="1" applyProtection="1">
      <alignment horizontal="center" vertical="center"/>
      <protection locked="0"/>
    </xf>
    <xf numFmtId="10" fontId="278" fillId="0" borderId="433" xfId="88" applyNumberFormat="1" applyFont="1" applyFill="1" applyBorder="1" applyAlignment="1" applyProtection="1">
      <alignment horizontal="center" vertical="center"/>
      <protection locked="0"/>
    </xf>
    <xf numFmtId="10" fontId="320" fillId="0" borderId="548" xfId="88" applyNumberFormat="1" applyFont="1" applyFill="1" applyBorder="1" applyAlignment="1" applyProtection="1">
      <alignment horizontal="center" vertical="center"/>
      <protection locked="0"/>
    </xf>
    <xf numFmtId="4" fontId="278" fillId="0" borderId="0" xfId="88" applyNumberFormat="1" applyFont="1" applyFill="1" applyAlignment="1" applyProtection="1">
      <alignment horizontal="center" vertical="center"/>
      <protection locked="0"/>
    </xf>
    <xf numFmtId="4" fontId="320" fillId="0" borderId="0" xfId="88" applyNumberFormat="1" applyFont="1" applyFill="1" applyBorder="1" applyAlignment="1" applyProtection="1">
      <alignment horizontal="center" vertical="center"/>
      <protection locked="0"/>
    </xf>
    <xf numFmtId="4" fontId="320" fillId="0" borderId="195" xfId="88" applyNumberFormat="1" applyFont="1" applyFill="1" applyBorder="1" applyAlignment="1" applyProtection="1">
      <alignment horizontal="center" vertical="center"/>
      <protection locked="0"/>
    </xf>
    <xf numFmtId="4" fontId="320" fillId="0" borderId="667" xfId="88" applyNumberFormat="1" applyFont="1" applyFill="1" applyBorder="1" applyAlignment="1" applyProtection="1">
      <alignment horizontal="center" vertical="center"/>
      <protection locked="0"/>
    </xf>
    <xf numFmtId="4" fontId="320" fillId="0" borderId="433" xfId="88" applyNumberFormat="1" applyFont="1" applyFill="1" applyBorder="1" applyAlignment="1" applyProtection="1">
      <alignment horizontal="center" vertical="center"/>
      <protection locked="0"/>
    </xf>
    <xf numFmtId="10" fontId="320" fillId="0" borderId="0" xfId="88" applyNumberFormat="1" applyFont="1" applyFill="1" applyAlignment="1" applyProtection="1">
      <alignment horizontal="center"/>
      <protection locked="0"/>
    </xf>
    <xf numFmtId="10" fontId="278" fillId="0" borderId="0" xfId="88" applyNumberFormat="1" applyFont="1" applyFill="1" applyAlignment="1" applyProtection="1">
      <alignment horizontal="center"/>
      <protection locked="0"/>
    </xf>
    <xf numFmtId="10" fontId="320" fillId="0" borderId="0" xfId="88" applyNumberFormat="1" applyFont="1" applyFill="1" applyBorder="1" applyAlignment="1" applyProtection="1">
      <alignment horizontal="center" vertical="top"/>
      <protection locked="0"/>
    </xf>
    <xf numFmtId="10" fontId="320" fillId="0" borderId="433" xfId="88" applyNumberFormat="1" applyFont="1" applyFill="1" applyBorder="1" applyAlignment="1" applyProtection="1">
      <alignment horizontal="center" vertical="top"/>
      <protection locked="0"/>
    </xf>
    <xf numFmtId="10" fontId="278" fillId="0" borderId="670" xfId="88" applyNumberFormat="1" applyFont="1" applyFill="1" applyBorder="1" applyAlignment="1" applyProtection="1">
      <alignment horizontal="center" vertical="center"/>
      <protection locked="0"/>
    </xf>
    <xf numFmtId="10" fontId="321" fillId="0" borderId="0" xfId="88" applyNumberFormat="1" applyFont="1" applyFill="1" applyBorder="1" applyAlignment="1" applyProtection="1">
      <alignment horizontal="center"/>
      <protection locked="0"/>
    </xf>
    <xf numFmtId="10" fontId="320" fillId="0" borderId="0" xfId="88" applyNumberFormat="1" applyFont="1" applyFill="1" applyAlignment="1">
      <alignment horizontal="center"/>
    </xf>
    <xf numFmtId="4" fontId="18" fillId="0" borderId="685" xfId="30" applyNumberFormat="1" applyFont="1" applyFill="1" applyBorder="1" applyProtection="1">
      <protection locked="0"/>
    </xf>
    <xf numFmtId="10" fontId="320" fillId="0" borderId="433" xfId="88" applyNumberFormat="1" applyFont="1" applyFill="1" applyBorder="1" applyAlignment="1" applyProtection="1">
      <alignment horizontal="center"/>
      <protection locked="0"/>
    </xf>
    <xf numFmtId="10" fontId="278" fillId="0" borderId="667" xfId="88" applyNumberFormat="1" applyFont="1" applyFill="1" applyBorder="1" applyAlignment="1" applyProtection="1">
      <alignment horizontal="center"/>
      <protection locked="0"/>
    </xf>
    <xf numFmtId="10" fontId="278" fillId="0" borderId="0" xfId="88" applyNumberFormat="1" applyFont="1" applyFill="1" applyBorder="1" applyAlignment="1" applyProtection="1">
      <alignment horizontal="center"/>
      <protection locked="0"/>
    </xf>
    <xf numFmtId="3" fontId="95" fillId="0" borderId="198" xfId="32" applyFont="1" applyFill="1" applyBorder="1" applyAlignment="1" applyProtection="1">
      <alignment horizontal="center"/>
      <protection locked="0"/>
    </xf>
    <xf numFmtId="3" fontId="95" fillId="0" borderId="53" xfId="32" applyFont="1" applyFill="1" applyBorder="1" applyAlignment="1" applyProtection="1">
      <alignment horizontal="center"/>
      <protection locked="0"/>
    </xf>
    <xf numFmtId="3" fontId="95" fillId="0" borderId="492" xfId="32" applyFont="1" applyFill="1" applyBorder="1" applyAlignment="1" applyProtection="1">
      <alignment horizontal="center"/>
      <protection locked="0"/>
    </xf>
    <xf numFmtId="39" fontId="221" fillId="0" borderId="386" xfId="68" applyNumberFormat="1" applyFont="1" applyFill="1" applyBorder="1" applyProtection="1">
      <protection locked="0"/>
    </xf>
    <xf numFmtId="39" fontId="221" fillId="0" borderId="638" xfId="68" applyNumberFormat="1" applyFont="1" applyFill="1" applyBorder="1" applyProtection="1">
      <protection hidden="1"/>
    </xf>
    <xf numFmtId="39" fontId="221" fillId="0" borderId="487" xfId="68" applyNumberFormat="1" applyFont="1" applyFill="1" applyBorder="1" applyProtection="1">
      <protection hidden="1"/>
    </xf>
    <xf numFmtId="39" fontId="220" fillId="0" borderId="408" xfId="32" applyNumberFormat="1" applyFont="1" applyFill="1" applyBorder="1" applyAlignment="1" applyProtection="1">
      <alignment vertical="center"/>
      <protection hidden="1"/>
    </xf>
    <xf numFmtId="39" fontId="220" fillId="0" borderId="0" xfId="32" applyNumberFormat="1" applyFont="1" applyFill="1" applyBorder="1" applyAlignment="1" applyProtection="1">
      <alignment vertical="top"/>
      <protection hidden="1"/>
    </xf>
    <xf numFmtId="39" fontId="220" fillId="0" borderId="502" xfId="32" applyNumberFormat="1" applyFont="1" applyFill="1" applyBorder="1" applyAlignment="1" applyProtection="1">
      <alignment vertical="top"/>
      <protection hidden="1"/>
    </xf>
    <xf numFmtId="39" fontId="220" fillId="0" borderId="250" xfId="32" applyNumberFormat="1" applyFont="1" applyFill="1" applyBorder="1" applyAlignment="1" applyProtection="1">
      <alignment vertical="center"/>
      <protection hidden="1"/>
    </xf>
    <xf numFmtId="183" fontId="221" fillId="0" borderId="0" xfId="88" applyNumberFormat="1" applyFont="1" applyFill="1" applyAlignment="1">
      <alignment horizontal="center"/>
    </xf>
    <xf numFmtId="183" fontId="221" fillId="0" borderId="547" xfId="88" applyNumberFormat="1" applyFont="1" applyFill="1" applyBorder="1" applyAlignment="1" applyProtection="1">
      <alignment horizontal="center"/>
      <protection hidden="1"/>
    </xf>
    <xf numFmtId="183" fontId="220" fillId="0" borderId="555" xfId="88" applyNumberFormat="1" applyFont="1" applyFill="1" applyBorder="1" applyAlignment="1" applyProtection="1">
      <alignment horizontal="center"/>
      <protection locked="0"/>
    </xf>
    <xf numFmtId="183" fontId="220" fillId="0" borderId="0" xfId="88" applyNumberFormat="1" applyFont="1" applyFill="1" applyBorder="1" applyAlignment="1" applyProtection="1">
      <alignment horizontal="center"/>
      <protection locked="0"/>
    </xf>
    <xf numFmtId="183" fontId="220" fillId="0" borderId="449" xfId="88" applyNumberFormat="1" applyFont="1" applyFill="1" applyBorder="1" applyAlignment="1" applyProtection="1">
      <alignment horizontal="center"/>
      <protection locked="0"/>
    </xf>
    <xf numFmtId="183" fontId="220" fillId="0" borderId="0" xfId="88" applyNumberFormat="1" applyFont="1" applyFill="1" applyAlignment="1">
      <alignment horizontal="center"/>
    </xf>
    <xf numFmtId="183" fontId="18" fillId="0" borderId="0" xfId="88" applyNumberFormat="1" applyFont="1"/>
    <xf numFmtId="0" fontId="320" fillId="0" borderId="709" xfId="2" applyFont="1" applyFill="1" applyBorder="1" applyAlignment="1" applyProtection="1">
      <alignment vertical="center"/>
      <protection locked="0"/>
    </xf>
    <xf numFmtId="0" fontId="278" fillId="0" borderId="709" xfId="45" applyFont="1" applyFill="1" applyBorder="1" applyAlignment="1" applyProtection="1">
      <alignment vertical="center"/>
      <protection locked="0"/>
    </xf>
    <xf numFmtId="0" fontId="278" fillId="0" borderId="709" xfId="45" applyFont="1" applyFill="1" applyBorder="1" applyAlignment="1" applyProtection="1">
      <alignment horizontal="center" vertical="center"/>
      <protection locked="0"/>
    </xf>
    <xf numFmtId="0" fontId="278" fillId="0" borderId="452" xfId="45" applyFont="1" applyFill="1" applyBorder="1" applyAlignment="1" applyProtection="1">
      <alignment vertical="center"/>
      <protection locked="0"/>
    </xf>
    <xf numFmtId="0" fontId="320" fillId="0" borderId="0" xfId="0" applyFont="1" applyFill="1" applyBorder="1" applyAlignment="1" applyProtection="1">
      <alignment vertical="center"/>
      <protection locked="0"/>
    </xf>
    <xf numFmtId="0" fontId="278" fillId="0" borderId="0" xfId="0" applyFont="1" applyFill="1" applyBorder="1" applyAlignment="1" applyProtection="1">
      <alignment vertical="center"/>
      <protection locked="0"/>
    </xf>
    <xf numFmtId="0" fontId="278" fillId="0" borderId="0" xfId="0" applyFont="1" applyFill="1" applyBorder="1" applyAlignment="1" applyProtection="1">
      <alignment vertical="center" wrapText="1"/>
      <protection locked="0"/>
    </xf>
    <xf numFmtId="0" fontId="322" fillId="0" borderId="0" xfId="2" applyFont="1" applyFill="1" applyBorder="1" applyAlignment="1" applyProtection="1">
      <alignment vertical="center"/>
      <protection locked="0"/>
    </xf>
    <xf numFmtId="0" fontId="320" fillId="0" borderId="0" xfId="0" applyFont="1" applyFill="1" applyBorder="1" applyAlignment="1" applyProtection="1">
      <alignment vertical="center" wrapText="1"/>
      <protection locked="0"/>
    </xf>
    <xf numFmtId="0" fontId="278" fillId="0" borderId="0" xfId="2" applyFont="1" applyFill="1" applyBorder="1" applyAlignment="1" applyProtection="1">
      <alignment horizontal="left" vertical="center"/>
      <protection locked="0"/>
    </xf>
    <xf numFmtId="43" fontId="278" fillId="0" borderId="0" xfId="1" applyFont="1" applyFill="1"/>
    <xf numFmtId="43" fontId="320" fillId="0" borderId="0" xfId="1" applyFont="1" applyFill="1" applyBorder="1"/>
    <xf numFmtId="43" fontId="320" fillId="0" borderId="433" xfId="1" applyFont="1" applyFill="1" applyBorder="1"/>
    <xf numFmtId="43" fontId="278" fillId="0" borderId="0" xfId="1" applyFont="1" applyFill="1" applyBorder="1" applyAlignment="1">
      <alignment horizontal="center"/>
    </xf>
    <xf numFmtId="43" fontId="278" fillId="0" borderId="433" xfId="1" applyFont="1" applyFill="1" applyBorder="1" applyAlignment="1">
      <alignment horizontal="center"/>
    </xf>
    <xf numFmtId="43" fontId="320" fillId="0" borderId="0" xfId="1" applyFont="1" applyFill="1" applyBorder="1" applyProtection="1">
      <protection locked="0"/>
    </xf>
    <xf numFmtId="43" fontId="278" fillId="0" borderId="709" xfId="1" applyFont="1" applyFill="1" applyBorder="1" applyAlignment="1">
      <alignment vertical="center"/>
    </xf>
    <xf numFmtId="43" fontId="278" fillId="0" borderId="0" xfId="1" applyFont="1" applyFill="1" applyBorder="1"/>
    <xf numFmtId="43" fontId="321" fillId="0" borderId="0" xfId="1" applyFont="1" applyFill="1" applyBorder="1" applyProtection="1">
      <protection locked="0"/>
    </xf>
    <xf numFmtId="43" fontId="278" fillId="0" borderId="0" xfId="1" applyFont="1" applyFill="1" applyAlignment="1" applyProtection="1">
      <alignment horizontal="left"/>
      <protection locked="0"/>
    </xf>
    <xf numFmtId="43" fontId="320" fillId="0" borderId="0" xfId="1" applyFont="1" applyFill="1" applyAlignment="1" applyProtection="1">
      <alignment horizontal="left" vertical="center"/>
      <protection locked="0"/>
    </xf>
    <xf numFmtId="43" fontId="320" fillId="0" borderId="685" xfId="7" applyNumberFormat="1" applyFont="1" applyFill="1" applyBorder="1" applyAlignment="1">
      <alignment vertical="top"/>
    </xf>
    <xf numFmtId="43" fontId="320" fillId="0" borderId="685" xfId="1" applyNumberFormat="1" applyFont="1" applyFill="1" applyBorder="1" applyAlignment="1" applyProtection="1">
      <alignment vertical="top"/>
      <protection locked="0"/>
    </xf>
    <xf numFmtId="0" fontId="320" fillId="0" borderId="0" xfId="0" applyNumberFormat="1" applyFont="1" applyFill="1" applyBorder="1" applyAlignment="1">
      <alignment horizontal="left" vertical="top" wrapText="1"/>
    </xf>
    <xf numFmtId="43" fontId="278" fillId="0" borderId="685" xfId="2" applyNumberFormat="1" applyFont="1" applyFill="1" applyBorder="1" applyAlignment="1" applyProtection="1">
      <alignment vertical="top" wrapText="1"/>
      <protection locked="0"/>
    </xf>
    <xf numFmtId="0" fontId="320" fillId="0" borderId="685" xfId="46" applyNumberFormat="1" applyFont="1" applyFill="1" applyBorder="1" applyAlignment="1" applyProtection="1">
      <alignment horizontal="center" vertical="center"/>
      <protection locked="0"/>
    </xf>
    <xf numFmtId="43" fontId="278" fillId="0" borderId="0" xfId="1" applyFont="1" applyFill="1" applyBorder="1" applyAlignment="1" applyProtection="1">
      <alignment horizontal="center" vertical="center"/>
      <protection locked="0"/>
    </xf>
    <xf numFmtId="43" fontId="278" fillId="0" borderId="433" xfId="1" applyFont="1" applyFill="1" applyBorder="1" applyAlignment="1" applyProtection="1">
      <alignment horizontal="center" vertical="center"/>
      <protection locked="0"/>
    </xf>
    <xf numFmtId="43" fontId="278" fillId="0" borderId="709" xfId="1" applyFont="1" applyFill="1" applyBorder="1" applyAlignment="1" applyProtection="1">
      <alignment vertical="center"/>
      <protection locked="0"/>
    </xf>
    <xf numFmtId="43" fontId="320" fillId="0" borderId="0" xfId="1" applyFont="1" applyFill="1" applyBorder="1" applyAlignment="1" applyProtection="1">
      <alignment vertical="center" wrapText="1"/>
      <protection locked="0"/>
    </xf>
    <xf numFmtId="43" fontId="278" fillId="0" borderId="709" xfId="1" applyFont="1" applyFill="1" applyBorder="1" applyAlignment="1" applyProtection="1">
      <alignment horizontal="center" vertical="center"/>
      <protection locked="0"/>
    </xf>
    <xf numFmtId="43" fontId="278" fillId="0" borderId="0" xfId="1" applyFont="1" applyFill="1" applyAlignment="1" applyProtection="1">
      <alignment horizontal="center" vertical="center"/>
      <protection locked="0"/>
    </xf>
    <xf numFmtId="4" fontId="320" fillId="0" borderId="685" xfId="2" applyNumberFormat="1" applyFont="1" applyFill="1" applyBorder="1" applyAlignment="1" applyProtection="1">
      <alignment vertical="top"/>
      <protection locked="0"/>
    </xf>
    <xf numFmtId="43" fontId="320" fillId="0" borderId="685" xfId="1" applyFont="1" applyFill="1" applyBorder="1" applyAlignment="1" applyProtection="1">
      <alignment vertical="center"/>
      <protection locked="0"/>
    </xf>
    <xf numFmtId="43" fontId="278" fillId="0" borderId="685" xfId="1" applyFont="1" applyFill="1" applyBorder="1" applyAlignment="1" applyProtection="1">
      <alignment vertical="center"/>
      <protection locked="0"/>
    </xf>
    <xf numFmtId="0" fontId="320" fillId="0" borderId="685" xfId="45" applyFont="1" applyFill="1" applyBorder="1" applyAlignment="1" applyProtection="1">
      <alignment horizontal="right" vertical="center"/>
      <protection locked="0"/>
    </xf>
    <xf numFmtId="43" fontId="320" fillId="0" borderId="448" xfId="1" applyFont="1" applyFill="1" applyBorder="1" applyAlignment="1">
      <alignment vertical="center" wrapText="1"/>
    </xf>
    <xf numFmtId="168" fontId="320" fillId="0" borderId="685" xfId="45" applyNumberFormat="1" applyFont="1" applyFill="1" applyBorder="1" applyAlignment="1" applyProtection="1">
      <alignment horizontal="center" vertical="center"/>
      <protection locked="0"/>
    </xf>
    <xf numFmtId="168" fontId="320" fillId="0" borderId="685" xfId="47" applyNumberFormat="1" applyFont="1" applyFill="1" applyBorder="1" applyAlignment="1" applyProtection="1">
      <alignment horizontal="center" vertical="top"/>
      <protection locked="0"/>
    </xf>
    <xf numFmtId="168" fontId="320" fillId="0" borderId="685" xfId="2" applyNumberFormat="1" applyFont="1" applyFill="1" applyBorder="1" applyAlignment="1" applyProtection="1">
      <alignment horizontal="center" vertical="center"/>
      <protection locked="0"/>
    </xf>
    <xf numFmtId="0" fontId="278" fillId="0" borderId="0" xfId="35" applyFont="1" applyFill="1" applyAlignment="1">
      <alignment horizontal="center"/>
    </xf>
    <xf numFmtId="0" fontId="278" fillId="0" borderId="0" xfId="46" applyFont="1" applyFill="1" applyAlignment="1">
      <alignment horizontal="left" vertical="center"/>
    </xf>
    <xf numFmtId="0" fontId="278" fillId="0" borderId="0" xfId="46" applyFont="1" applyFill="1" applyBorder="1" applyAlignment="1">
      <alignment horizontal="left" vertical="center"/>
    </xf>
    <xf numFmtId="0" fontId="323" fillId="0" borderId="0" xfId="58" applyFont="1" applyFill="1" applyAlignment="1">
      <alignment horizontal="left" vertical="center"/>
    </xf>
    <xf numFmtId="43" fontId="278" fillId="0" borderId="0" xfId="2" applyNumberFormat="1" applyFont="1" applyFill="1" applyBorder="1" applyAlignment="1">
      <alignment vertical="center"/>
    </xf>
    <xf numFmtId="43" fontId="278" fillId="0" borderId="0" xfId="2" applyNumberFormat="1" applyFont="1" applyFill="1" applyAlignment="1">
      <alignment vertical="center"/>
    </xf>
    <xf numFmtId="9" fontId="320" fillId="0" borderId="0" xfId="88" applyFont="1" applyFill="1" applyBorder="1" applyAlignment="1" applyProtection="1">
      <alignment horizontal="left" vertical="top"/>
      <protection locked="0"/>
    </xf>
    <xf numFmtId="10" fontId="320" fillId="0" borderId="667" xfId="88" applyNumberFormat="1" applyFont="1" applyFill="1" applyBorder="1" applyAlignment="1" applyProtection="1">
      <alignment horizontal="center" vertical="center"/>
      <protection locked="0"/>
    </xf>
    <xf numFmtId="10" fontId="320" fillId="0" borderId="685" xfId="88" applyNumberFormat="1" applyFont="1" applyFill="1" applyBorder="1" applyAlignment="1" applyProtection="1">
      <alignment horizontal="center" vertical="center"/>
      <protection locked="0"/>
    </xf>
    <xf numFmtId="10" fontId="278" fillId="0" borderId="0" xfId="88" applyNumberFormat="1" applyFont="1" applyFill="1" applyAlignment="1" applyProtection="1">
      <alignment horizontal="center" vertical="center" wrapText="1"/>
      <protection locked="0"/>
    </xf>
    <xf numFmtId="10" fontId="321" fillId="0" borderId="0" xfId="88" applyNumberFormat="1" applyFont="1" applyFill="1" applyBorder="1" applyAlignment="1" applyProtection="1">
      <alignment horizontal="center" vertical="center"/>
      <protection locked="0"/>
    </xf>
    <xf numFmtId="10" fontId="320" fillId="0" borderId="0" xfId="46" applyNumberFormat="1" applyFont="1" applyFill="1" applyAlignment="1" applyProtection="1">
      <alignment horizontal="center" vertical="center"/>
      <protection locked="0"/>
    </xf>
    <xf numFmtId="10" fontId="320" fillId="0" borderId="0" xfId="88" applyNumberFormat="1" applyFont="1" applyFill="1" applyBorder="1" applyAlignment="1">
      <alignment horizontal="center" vertical="center"/>
    </xf>
    <xf numFmtId="9" fontId="278" fillId="0" borderId="0" xfId="88" applyFont="1" applyFill="1" applyAlignment="1">
      <alignment horizontal="left" vertical="center"/>
    </xf>
    <xf numFmtId="0" fontId="320" fillId="0" borderId="685" xfId="36" applyFont="1" applyFill="1" applyBorder="1" applyAlignment="1" applyProtection="1">
      <alignment horizontal="center" vertical="center"/>
      <protection locked="0"/>
    </xf>
    <xf numFmtId="4" fontId="320" fillId="0" borderId="719" xfId="36" applyNumberFormat="1" applyFont="1" applyFill="1" applyBorder="1" applyAlignment="1" applyProtection="1">
      <alignment horizontal="right" vertical="center"/>
      <protection locked="0"/>
    </xf>
    <xf numFmtId="10" fontId="320" fillId="0" borderId="719" xfId="88" applyNumberFormat="1" applyFont="1" applyFill="1" applyBorder="1" applyAlignment="1" applyProtection="1">
      <alignment vertical="center"/>
      <protection locked="0"/>
    </xf>
    <xf numFmtId="43" fontId="323" fillId="0" borderId="0" xfId="7" applyFont="1" applyFill="1" applyAlignment="1">
      <alignment vertical="center"/>
    </xf>
    <xf numFmtId="10" fontId="278" fillId="0" borderId="0" xfId="2" applyNumberFormat="1" applyFont="1" applyFill="1" applyBorder="1" applyAlignment="1" applyProtection="1">
      <alignment vertical="center"/>
      <protection locked="0"/>
    </xf>
    <xf numFmtId="0" fontId="92" fillId="0" borderId="613" xfId="94" applyFont="1" applyBorder="1" applyAlignment="1">
      <alignment horizontal="center" vertical="top"/>
    </xf>
    <xf numFmtId="0" fontId="92" fillId="0" borderId="613" xfId="94" applyFont="1" applyBorder="1" applyAlignment="1">
      <alignment horizontal="center" vertical="top" wrapText="1"/>
    </xf>
    <xf numFmtId="43" fontId="17" fillId="0" borderId="614" xfId="1" applyFont="1" applyBorder="1" applyAlignment="1">
      <alignment vertical="top"/>
    </xf>
    <xf numFmtId="43" fontId="62" fillId="0" borderId="614" xfId="1" applyFont="1" applyBorder="1" applyAlignment="1">
      <alignment vertical="top"/>
    </xf>
    <xf numFmtId="0" fontId="17" fillId="0" borderId="721" xfId="94" applyFont="1" applyBorder="1" applyAlignment="1">
      <alignment horizontal="center" vertical="top"/>
    </xf>
    <xf numFmtId="43" fontId="17" fillId="0" borderId="721" xfId="1" applyFont="1" applyBorder="1" applyAlignment="1">
      <alignment vertical="top"/>
    </xf>
    <xf numFmtId="43" fontId="62" fillId="0" borderId="721" xfId="1" applyFont="1" applyBorder="1" applyAlignment="1">
      <alignment vertical="top"/>
    </xf>
    <xf numFmtId="0" fontId="62" fillId="0" borderId="642" xfId="94" applyFont="1" applyBorder="1" applyAlignment="1">
      <alignment vertical="top"/>
    </xf>
    <xf numFmtId="43" fontId="62" fillId="0" borderId="642" xfId="1" applyFont="1" applyBorder="1" applyAlignment="1">
      <alignment vertical="top"/>
    </xf>
    <xf numFmtId="0" fontId="62" fillId="3" borderId="613" xfId="94" applyFont="1" applyFill="1" applyBorder="1" applyAlignment="1">
      <alignment vertical="top" wrapText="1"/>
    </xf>
    <xf numFmtId="0" fontId="278" fillId="0" borderId="0" xfId="55" applyFont="1" applyFill="1" applyBorder="1" applyAlignment="1">
      <alignment vertical="center"/>
    </xf>
    <xf numFmtId="0" fontId="278" fillId="0" borderId="0" xfId="42" applyNumberFormat="1" applyFont="1" applyFill="1" applyAlignment="1">
      <alignment vertical="center"/>
    </xf>
    <xf numFmtId="0" fontId="320" fillId="0" borderId="0" xfId="2" applyFont="1" applyFill="1" applyAlignment="1" applyProtection="1">
      <alignment vertical="top"/>
      <protection locked="0"/>
    </xf>
    <xf numFmtId="0" fontId="320" fillId="0" borderId="673" xfId="2" applyFont="1" applyFill="1" applyBorder="1" applyAlignment="1" applyProtection="1">
      <alignment horizontal="center" vertical="top"/>
      <protection locked="0"/>
    </xf>
    <xf numFmtId="9" fontId="278" fillId="0" borderId="0" xfId="88" applyFont="1" applyFill="1" applyBorder="1" applyAlignment="1" applyProtection="1">
      <alignment horizontal="left" vertical="center"/>
      <protection locked="0"/>
    </xf>
    <xf numFmtId="43" fontId="320" fillId="0" borderId="685" xfId="1" applyNumberFormat="1" applyFont="1" applyFill="1" applyBorder="1" applyAlignment="1">
      <alignment horizontal="right" vertical="top"/>
    </xf>
    <xf numFmtId="183" fontId="278" fillId="0" borderId="0" xfId="88" applyNumberFormat="1" applyFont="1" applyFill="1" applyBorder="1" applyAlignment="1" applyProtection="1">
      <alignment horizontal="left" vertical="center"/>
      <protection locked="0"/>
    </xf>
    <xf numFmtId="43" fontId="278" fillId="0" borderId="0" xfId="1" applyFont="1" applyFill="1" applyBorder="1" applyAlignment="1">
      <alignment vertical="top"/>
    </xf>
    <xf numFmtId="4" fontId="278" fillId="0" borderId="0" xfId="47" applyNumberFormat="1" applyFont="1" applyFill="1" applyBorder="1" applyAlignment="1" applyProtection="1">
      <alignment vertical="top"/>
      <protection locked="0"/>
    </xf>
    <xf numFmtId="10" fontId="278" fillId="0" borderId="0" xfId="88" applyNumberFormat="1" applyFont="1" applyFill="1" applyAlignment="1">
      <alignment horizontal="left" vertical="top"/>
    </xf>
    <xf numFmtId="0" fontId="278" fillId="0" borderId="0" xfId="1" applyNumberFormat="1" applyFont="1" applyFill="1" applyBorder="1" applyAlignment="1">
      <alignment vertical="top"/>
    </xf>
    <xf numFmtId="43" fontId="323" fillId="0" borderId="0" xfId="1" applyFont="1" applyFill="1"/>
    <xf numFmtId="43" fontId="19" fillId="0" borderId="0" xfId="60" applyNumberFormat="1" applyFont="1" applyFill="1" applyAlignment="1">
      <alignment horizontal="center"/>
    </xf>
    <xf numFmtId="0" fontId="3" fillId="0" borderId="0" xfId="0" applyFont="1" applyAlignment="1">
      <alignment vertical="center"/>
    </xf>
    <xf numFmtId="43" fontId="323" fillId="0" borderId="0" xfId="1" applyFont="1" applyFill="1" applyAlignment="1" applyProtection="1">
      <alignment vertical="top"/>
      <protection locked="0"/>
    </xf>
    <xf numFmtId="43" fontId="323" fillId="0" borderId="0" xfId="1" applyFont="1" applyFill="1" applyBorder="1" applyAlignment="1" applyProtection="1">
      <alignment vertical="top"/>
      <protection locked="0"/>
    </xf>
    <xf numFmtId="43" fontId="323" fillId="0" borderId="709" xfId="1" applyFont="1" applyFill="1" applyBorder="1" applyAlignment="1" applyProtection="1">
      <alignment horizontal="center" vertical="top"/>
      <protection locked="0"/>
    </xf>
    <xf numFmtId="43" fontId="278" fillId="0" borderId="673" xfId="1" applyFont="1" applyFill="1" applyBorder="1" applyAlignment="1" applyProtection="1">
      <alignment horizontal="center" vertical="top"/>
      <protection locked="0"/>
    </xf>
    <xf numFmtId="43" fontId="323" fillId="0" borderId="0" xfId="1" applyFont="1" applyFill="1" applyBorder="1" applyAlignment="1" applyProtection="1">
      <alignment horizontal="center" vertical="top"/>
      <protection locked="0"/>
    </xf>
    <xf numFmtId="43" fontId="323" fillId="0" borderId="433" xfId="1" applyFont="1" applyFill="1" applyBorder="1" applyAlignment="1" applyProtection="1">
      <alignment horizontal="center" vertical="top"/>
      <protection locked="0"/>
    </xf>
    <xf numFmtId="43" fontId="321" fillId="0" borderId="0" xfId="1" applyFont="1" applyFill="1" applyBorder="1" applyAlignment="1" applyProtection="1">
      <alignment vertical="top"/>
      <protection locked="0"/>
    </xf>
    <xf numFmtId="43" fontId="321" fillId="0" borderId="0" xfId="1" applyFont="1" applyFill="1" applyBorder="1" applyAlignment="1" applyProtection="1">
      <alignment horizontal="center" vertical="top"/>
      <protection locked="0"/>
    </xf>
    <xf numFmtId="43" fontId="323" fillId="0" borderId="0" xfId="1" applyFont="1" applyFill="1" applyBorder="1" applyAlignment="1" applyProtection="1">
      <alignment horizontal="center" vertical="center"/>
      <protection locked="0"/>
    </xf>
    <xf numFmtId="43" fontId="323" fillId="0" borderId="672" xfId="1" applyFont="1" applyFill="1" applyBorder="1" applyAlignment="1" applyProtection="1">
      <alignment horizontal="center" vertical="top"/>
      <protection locked="0"/>
    </xf>
    <xf numFmtId="43" fontId="321" fillId="0" borderId="685" xfId="1" applyFont="1" applyFill="1" applyBorder="1" applyAlignment="1" applyProtection="1">
      <alignment vertical="top"/>
      <protection locked="0"/>
    </xf>
    <xf numFmtId="0" fontId="321" fillId="0" borderId="0" xfId="2" applyFont="1" applyFill="1" applyBorder="1" applyAlignment="1" applyProtection="1">
      <alignment horizontal="right" vertical="top"/>
      <protection locked="0"/>
    </xf>
    <xf numFmtId="43" fontId="321" fillId="0" borderId="685" xfId="1" applyFont="1" applyFill="1" applyBorder="1" applyAlignment="1">
      <alignment horizontal="left" vertical="top" wrapText="1"/>
    </xf>
    <xf numFmtId="43" fontId="323" fillId="0" borderId="685" xfId="1" applyFont="1" applyFill="1" applyBorder="1" applyAlignment="1" applyProtection="1">
      <alignment horizontal="center" vertical="center"/>
      <protection locked="0"/>
    </xf>
    <xf numFmtId="43" fontId="321" fillId="0" borderId="685" xfId="1" applyFont="1" applyFill="1" applyBorder="1" applyAlignment="1" applyProtection="1">
      <alignment vertical="top" wrapText="1"/>
      <protection locked="0"/>
    </xf>
    <xf numFmtId="0" fontId="321" fillId="0" borderId="0" xfId="0" applyFont="1" applyFill="1" applyBorder="1" applyAlignment="1" applyProtection="1">
      <alignment horizontal="right" vertical="top"/>
      <protection locked="0"/>
    </xf>
    <xf numFmtId="43" fontId="321" fillId="0" borderId="685" xfId="1" applyFont="1" applyFill="1" applyBorder="1" applyAlignment="1" applyProtection="1">
      <alignment horizontal="right" vertical="top"/>
      <protection locked="0"/>
    </xf>
    <xf numFmtId="0" fontId="321" fillId="0" borderId="0" xfId="47" applyFont="1" applyFill="1" applyBorder="1" applyAlignment="1" applyProtection="1">
      <alignment horizontal="right" vertical="top"/>
      <protection locked="0"/>
    </xf>
    <xf numFmtId="43" fontId="321" fillId="0" borderId="569" xfId="1" applyFont="1" applyFill="1" applyBorder="1" applyAlignment="1" applyProtection="1">
      <alignment vertical="top"/>
      <protection locked="0"/>
    </xf>
    <xf numFmtId="43" fontId="320" fillId="0" borderId="215" xfId="1" applyFont="1" applyFill="1" applyBorder="1" applyAlignment="1" applyProtection="1">
      <alignment vertical="top"/>
      <protection locked="0"/>
    </xf>
    <xf numFmtId="0" fontId="322" fillId="0" borderId="0" xfId="2" applyFont="1" applyFill="1" applyBorder="1" applyAlignment="1" applyProtection="1">
      <alignment horizontal="center" vertical="top"/>
      <protection locked="0"/>
    </xf>
    <xf numFmtId="0" fontId="321" fillId="0" borderId="0" xfId="30" applyFont="1" applyFill="1" applyBorder="1" applyAlignment="1" applyProtection="1">
      <alignment horizontal="right" vertical="center"/>
      <protection locked="0"/>
    </xf>
    <xf numFmtId="43" fontId="321" fillId="0" borderId="685" xfId="1" applyNumberFormat="1" applyFont="1" applyFill="1" applyBorder="1" applyAlignment="1" applyProtection="1">
      <alignment horizontal="right" vertical="top"/>
      <protection locked="0"/>
    </xf>
    <xf numFmtId="43" fontId="321" fillId="0" borderId="0" xfId="1" applyNumberFormat="1" applyFont="1" applyFill="1" applyBorder="1" applyAlignment="1" applyProtection="1">
      <alignment horizontal="right" vertical="top"/>
      <protection locked="0"/>
    </xf>
    <xf numFmtId="43" fontId="321" fillId="0" borderId="0" xfId="1" applyFont="1" applyFill="1" applyAlignment="1">
      <alignment horizontal="right" vertical="top"/>
    </xf>
    <xf numFmtId="9" fontId="321" fillId="0" borderId="0" xfId="88" applyFont="1" applyFill="1" applyAlignment="1">
      <alignment horizontal="right" vertical="top"/>
    </xf>
    <xf numFmtId="0" fontId="321" fillId="0" borderId="0" xfId="2" applyFont="1" applyFill="1" applyAlignment="1">
      <alignment horizontal="right" vertical="top"/>
    </xf>
    <xf numFmtId="43" fontId="321" fillId="0" borderId="0" xfId="1" applyFont="1" applyFill="1" applyBorder="1" applyAlignment="1" applyProtection="1">
      <alignment horizontal="center" vertical="center"/>
      <protection locked="0"/>
    </xf>
    <xf numFmtId="43" fontId="321" fillId="0" borderId="433" xfId="1" applyFont="1" applyFill="1" applyBorder="1" applyAlignment="1" applyProtection="1">
      <alignment vertical="top"/>
      <protection locked="0"/>
    </xf>
    <xf numFmtId="43" fontId="321" fillId="0" borderId="685" xfId="1" applyFont="1" applyFill="1" applyBorder="1" applyAlignment="1">
      <alignment horizontal="right" vertical="top"/>
    </xf>
    <xf numFmtId="0" fontId="321" fillId="0" borderId="0" xfId="2" applyFont="1" applyFill="1" applyBorder="1" applyAlignment="1" applyProtection="1">
      <alignment horizontal="right" vertical="top" wrapText="1"/>
      <protection locked="0"/>
    </xf>
    <xf numFmtId="43" fontId="321" fillId="0" borderId="0" xfId="1" applyFont="1" applyFill="1" applyBorder="1" applyAlignment="1" applyProtection="1">
      <alignment vertical="top" wrapText="1"/>
      <protection locked="0"/>
    </xf>
    <xf numFmtId="43" fontId="321" fillId="0" borderId="685" xfId="1" applyFont="1" applyFill="1" applyBorder="1" applyAlignment="1">
      <alignment horizontal="right" vertical="top" wrapText="1"/>
    </xf>
    <xf numFmtId="43" fontId="321" fillId="0" borderId="685" xfId="1" applyFont="1" applyFill="1" applyBorder="1" applyAlignment="1" applyProtection="1">
      <alignment horizontal="center" vertical="center"/>
      <protection locked="0"/>
    </xf>
    <xf numFmtId="43" fontId="321" fillId="0" borderId="433" xfId="1" applyFont="1" applyFill="1" applyBorder="1" applyAlignment="1" applyProtection="1">
      <alignment vertical="top" wrapText="1"/>
      <protection locked="0"/>
    </xf>
    <xf numFmtId="43" fontId="321" fillId="0" borderId="0" xfId="1" applyFont="1" applyFill="1" applyBorder="1" applyAlignment="1">
      <alignment vertical="top"/>
    </xf>
    <xf numFmtId="43" fontId="321" fillId="0" borderId="433" xfId="1" applyFont="1" applyFill="1" applyBorder="1" applyAlignment="1" applyProtection="1">
      <alignment horizontal="center" vertical="top"/>
      <protection locked="0"/>
    </xf>
    <xf numFmtId="43" fontId="321" fillId="0" borderId="589" xfId="1" applyFont="1" applyFill="1" applyBorder="1" applyAlignment="1" applyProtection="1">
      <alignment horizontal="center" vertical="center"/>
      <protection locked="0"/>
    </xf>
    <xf numFmtId="43" fontId="321" fillId="0" borderId="0" xfId="1" applyFont="1" applyFill="1" applyAlignment="1">
      <alignment vertical="top"/>
    </xf>
    <xf numFmtId="43" fontId="321" fillId="0" borderId="0" xfId="1" applyFont="1" applyFill="1" applyAlignment="1" applyProtection="1">
      <alignment vertical="top"/>
      <protection locked="0"/>
    </xf>
    <xf numFmtId="43" fontId="321" fillId="0" borderId="0" xfId="1" applyFont="1" applyFill="1" applyAlignment="1" applyProtection="1">
      <alignment horizontal="center"/>
      <protection locked="0"/>
    </xf>
    <xf numFmtId="43" fontId="321" fillId="0" borderId="0" xfId="1" applyFont="1" applyFill="1" applyAlignment="1" applyProtection="1">
      <alignment horizontal="left" vertical="center"/>
      <protection locked="0"/>
    </xf>
    <xf numFmtId="0" fontId="19" fillId="0" borderId="589" xfId="59" applyFont="1" applyFill="1" applyBorder="1"/>
    <xf numFmtId="43" fontId="21" fillId="0" borderId="433" xfId="59" applyNumberFormat="1" applyFont="1" applyFill="1" applyBorder="1"/>
    <xf numFmtId="0" fontId="21" fillId="0" borderId="589" xfId="59" applyFont="1" applyFill="1" applyBorder="1"/>
    <xf numFmtId="0" fontId="21" fillId="0" borderId="0" xfId="59" applyNumberFormat="1" applyFont="1" applyFill="1" applyAlignment="1">
      <alignment horizontal="center"/>
    </xf>
    <xf numFmtId="10" fontId="19" fillId="4" borderId="0" xfId="88" applyNumberFormat="1" applyFont="1" applyFill="1"/>
    <xf numFmtId="43" fontId="19" fillId="4" borderId="0" xfId="7" applyFont="1" applyFill="1"/>
    <xf numFmtId="0" fontId="0" fillId="0" borderId="0" xfId="0"/>
    <xf numFmtId="43" fontId="278" fillId="0" borderId="673" xfId="2" applyNumberFormat="1" applyFont="1" applyFill="1" applyBorder="1" applyAlignment="1">
      <alignment horizontal="center" vertical="center"/>
    </xf>
    <xf numFmtId="10" fontId="320" fillId="0" borderId="0" xfId="88" applyNumberFormat="1" applyFont="1" applyFill="1" applyBorder="1" applyAlignment="1">
      <alignment vertical="top"/>
    </xf>
    <xf numFmtId="10" fontId="320" fillId="0" borderId="685" xfId="88" applyNumberFormat="1" applyFont="1" applyFill="1" applyBorder="1" applyAlignment="1">
      <alignment vertical="top"/>
    </xf>
    <xf numFmtId="43" fontId="278" fillId="0" borderId="553" xfId="2" applyNumberFormat="1" applyFont="1" applyFill="1" applyBorder="1" applyAlignment="1" applyProtection="1">
      <alignment vertical="center"/>
      <protection locked="0"/>
    </xf>
    <xf numFmtId="10" fontId="278" fillId="0" borderId="553" xfId="88" applyNumberFormat="1" applyFont="1" applyFill="1" applyBorder="1" applyAlignment="1" applyProtection="1">
      <alignment vertical="center"/>
      <protection locked="0"/>
    </xf>
    <xf numFmtId="43" fontId="320" fillId="0" borderId="555" xfId="2" applyNumberFormat="1" applyFont="1" applyFill="1" applyBorder="1" applyAlignment="1" applyProtection="1">
      <alignment vertical="top"/>
      <protection locked="0"/>
    </xf>
    <xf numFmtId="10" fontId="320" fillId="0" borderId="555" xfId="88" applyNumberFormat="1" applyFont="1" applyFill="1" applyBorder="1" applyAlignment="1" applyProtection="1">
      <alignment vertical="top"/>
      <protection locked="0"/>
    </xf>
    <xf numFmtId="43" fontId="321" fillId="0" borderId="685" xfId="1" applyNumberFormat="1" applyFont="1" applyFill="1" applyBorder="1" applyAlignment="1">
      <alignment horizontal="right" vertical="top"/>
    </xf>
    <xf numFmtId="10" fontId="321" fillId="0" borderId="685" xfId="88" applyNumberFormat="1" applyFont="1" applyFill="1" applyBorder="1" applyAlignment="1">
      <alignment horizontal="right" vertical="top"/>
    </xf>
    <xf numFmtId="43" fontId="278" fillId="0" borderId="608" xfId="2" applyNumberFormat="1" applyFont="1" applyFill="1" applyBorder="1" applyAlignment="1" applyProtection="1">
      <alignment horizontal="center" vertical="top"/>
      <protection locked="0"/>
    </xf>
    <xf numFmtId="43" fontId="320" fillId="0" borderId="685" xfId="88" applyNumberFormat="1" applyFont="1" applyFill="1" applyBorder="1" applyAlignment="1">
      <alignment horizontal="right" vertical="top"/>
    </xf>
    <xf numFmtId="43" fontId="320" fillId="0" borderId="433" xfId="1" applyNumberFormat="1" applyFont="1" applyFill="1" applyBorder="1" applyAlignment="1">
      <alignment vertical="top"/>
    </xf>
    <xf numFmtId="10" fontId="320" fillId="0" borderId="433" xfId="88" applyNumberFormat="1" applyFont="1" applyFill="1" applyBorder="1" applyAlignment="1">
      <alignment vertical="top"/>
    </xf>
    <xf numFmtId="10" fontId="320" fillId="0" borderId="707" xfId="88" applyNumberFormat="1" applyFont="1" applyFill="1" applyBorder="1" applyAlignment="1">
      <alignment vertical="center"/>
    </xf>
    <xf numFmtId="0" fontId="320" fillId="0" borderId="0" xfId="42" applyFont="1" applyFill="1" applyBorder="1" applyAlignment="1">
      <alignment vertical="center" wrapText="1"/>
    </xf>
    <xf numFmtId="0" fontId="320" fillId="0" borderId="685" xfId="42" applyFont="1" applyFill="1" applyBorder="1" applyAlignment="1">
      <alignment horizontal="center" vertical="center"/>
    </xf>
    <xf numFmtId="0" fontId="321" fillId="0" borderId="0" xfId="42" applyFont="1" applyFill="1" applyAlignment="1">
      <alignment horizontal="center" vertical="center"/>
    </xf>
    <xf numFmtId="0" fontId="321" fillId="0" borderId="0" xfId="42" applyFont="1" applyFill="1" applyAlignment="1">
      <alignment vertical="center"/>
    </xf>
    <xf numFmtId="43" fontId="17" fillId="0" borderId="0" xfId="1" applyFont="1"/>
    <xf numFmtId="0" fontId="18" fillId="0" borderId="686" xfId="30" applyFont="1" applyBorder="1" applyProtection="1">
      <protection locked="0"/>
    </xf>
    <xf numFmtId="0" fontId="18" fillId="0" borderId="685" xfId="30" applyFont="1" applyBorder="1" applyAlignment="1" applyProtection="1">
      <alignment horizontal="right"/>
      <protection locked="0"/>
    </xf>
    <xf numFmtId="4" fontId="18" fillId="0" borderId="722" xfId="30" applyNumberFormat="1" applyFont="1" applyBorder="1" applyProtection="1">
      <protection locked="0"/>
    </xf>
    <xf numFmtId="4" fontId="18" fillId="15" borderId="722" xfId="30" applyNumberFormat="1" applyFont="1" applyFill="1" applyBorder="1" applyProtection="1">
      <protection locked="0"/>
    </xf>
    <xf numFmtId="10" fontId="18" fillId="15" borderId="722" xfId="88" applyNumberFormat="1" applyFont="1" applyFill="1" applyBorder="1" applyProtection="1">
      <protection locked="0"/>
    </xf>
    <xf numFmtId="4" fontId="18" fillId="0" borderId="722" xfId="30" applyNumberFormat="1" applyFont="1" applyFill="1" applyBorder="1" applyProtection="1">
      <protection locked="0"/>
    </xf>
    <xf numFmtId="0" fontId="320" fillId="0" borderId="685" xfId="55" applyFont="1" applyFill="1" applyBorder="1" applyAlignment="1" applyProtection="1">
      <alignment horizontal="center" vertical="center"/>
      <protection locked="0"/>
    </xf>
    <xf numFmtId="0" fontId="320" fillId="0" borderId="0" xfId="55" applyFont="1" applyFill="1" applyAlignment="1">
      <alignment horizontal="left" vertical="center"/>
    </xf>
    <xf numFmtId="0" fontId="320" fillId="0" borderId="0" xfId="55" applyFont="1" applyFill="1" applyBorder="1" applyAlignment="1">
      <alignment horizontal="left" vertical="center"/>
    </xf>
    <xf numFmtId="0" fontId="278" fillId="0" borderId="0" xfId="55" applyFont="1" applyFill="1" applyAlignment="1">
      <alignment horizontal="left" vertical="center"/>
    </xf>
    <xf numFmtId="0" fontId="321" fillId="0" borderId="0" xfId="58" applyFont="1" applyFill="1" applyAlignment="1">
      <alignment horizontal="left" vertical="center"/>
    </xf>
    <xf numFmtId="0" fontId="320" fillId="0" borderId="0" xfId="2" applyFont="1" applyFill="1" applyAlignment="1">
      <alignment horizontal="left" vertical="top"/>
    </xf>
    <xf numFmtId="1" fontId="320" fillId="0" borderId="723" xfId="30" applyNumberFormat="1" applyFont="1" applyFill="1" applyBorder="1" applyAlignment="1" applyProtection="1">
      <alignment horizontal="center" vertical="center"/>
      <protection locked="0"/>
    </xf>
    <xf numFmtId="0" fontId="320" fillId="0" borderId="723" xfId="42" applyFont="1" applyFill="1" applyBorder="1" applyAlignment="1" applyProtection="1">
      <alignment vertical="center"/>
      <protection locked="0"/>
    </xf>
    <xf numFmtId="0" fontId="320" fillId="0" borderId="723" xfId="30" applyFont="1" applyFill="1" applyBorder="1" applyAlignment="1" applyProtection="1">
      <alignment vertical="center"/>
      <protection locked="0"/>
    </xf>
    <xf numFmtId="0" fontId="278" fillId="0" borderId="723" xfId="30" applyFont="1" applyFill="1" applyBorder="1" applyAlignment="1" applyProtection="1">
      <alignment vertical="center"/>
      <protection locked="0"/>
    </xf>
    <xf numFmtId="0" fontId="320" fillId="0" borderId="723" xfId="30" applyFont="1" applyFill="1" applyBorder="1" applyAlignment="1" applyProtection="1">
      <alignment vertical="center" wrapText="1"/>
      <protection locked="0"/>
    </xf>
    <xf numFmtId="0" fontId="321" fillId="0" borderId="723" xfId="30" applyFont="1" applyFill="1" applyBorder="1" applyAlignment="1">
      <alignment vertical="center" wrapText="1"/>
    </xf>
    <xf numFmtId="0" fontId="320" fillId="0" borderId="0" xfId="30" applyFont="1" applyFill="1" applyAlignment="1">
      <alignment horizontal="left" vertical="center"/>
    </xf>
    <xf numFmtId="4" fontId="320" fillId="0" borderId="685" xfId="58" applyNumberFormat="1" applyFont="1" applyFill="1" applyBorder="1" applyAlignment="1">
      <alignment vertical="center"/>
    </xf>
    <xf numFmtId="4" fontId="221" fillId="0" borderId="0" xfId="1" applyNumberFormat="1" applyFont="1" applyFill="1" applyBorder="1" applyAlignment="1">
      <alignment horizontal="center" vertical="center"/>
    </xf>
    <xf numFmtId="4" fontId="46" fillId="0" borderId="646" xfId="1" applyNumberFormat="1" applyFont="1" applyFill="1" applyBorder="1"/>
    <xf numFmtId="1" fontId="320" fillId="0" borderId="723" xfId="46" applyNumberFormat="1" applyFont="1" applyFill="1" applyBorder="1" applyAlignment="1">
      <alignment horizontal="center"/>
    </xf>
    <xf numFmtId="0" fontId="320" fillId="0" borderId="723" xfId="30" applyFont="1" applyFill="1" applyBorder="1" applyAlignment="1" applyProtection="1">
      <alignment horizontal="center" vertical="center"/>
      <protection locked="0"/>
    </xf>
    <xf numFmtId="40" fontId="30" fillId="0" borderId="0" xfId="59" applyNumberFormat="1" applyFont="1" applyFill="1"/>
    <xf numFmtId="0" fontId="32" fillId="0" borderId="0" xfId="59" applyFont="1" applyFill="1"/>
    <xf numFmtId="10" fontId="21" fillId="4" borderId="0" xfId="88" applyNumberFormat="1" applyFont="1" applyFill="1"/>
    <xf numFmtId="10" fontId="21" fillId="0" borderId="0" xfId="88" applyNumberFormat="1" applyFont="1" applyFill="1"/>
    <xf numFmtId="10" fontId="30" fillId="0" borderId="0" xfId="88" applyNumberFormat="1" applyFont="1" applyFill="1"/>
    <xf numFmtId="0" fontId="220" fillId="0" borderId="422" xfId="21" applyFont="1" applyFill="1" applyBorder="1" applyAlignment="1">
      <alignment horizontal="center" vertical="center"/>
    </xf>
    <xf numFmtId="0" fontId="220" fillId="0" borderId="423" xfId="21" applyFont="1" applyFill="1" applyBorder="1" applyAlignment="1">
      <alignment horizontal="center" vertical="center"/>
    </xf>
    <xf numFmtId="0" fontId="220" fillId="0" borderId="588" xfId="21" applyFont="1" applyFill="1" applyBorder="1" applyAlignment="1">
      <alignment horizontal="center" vertical="center"/>
    </xf>
    <xf numFmtId="0" fontId="220" fillId="0" borderId="672" xfId="21" applyFont="1" applyFill="1" applyBorder="1" applyAlignment="1">
      <alignment horizontal="center" vertical="center"/>
    </xf>
    <xf numFmtId="0" fontId="220" fillId="0" borderId="246" xfId="21" applyFont="1" applyFill="1" applyBorder="1" applyAlignment="1">
      <alignment horizontal="center" vertical="center"/>
    </xf>
    <xf numFmtId="0" fontId="220" fillId="0" borderId="672" xfId="21" applyFont="1" applyFill="1" applyBorder="1" applyAlignment="1">
      <alignment horizontal="center"/>
    </xf>
    <xf numFmtId="0" fontId="220" fillId="0" borderId="536" xfId="21" applyFont="1" applyFill="1" applyBorder="1" applyAlignment="1">
      <alignment horizontal="center"/>
    </xf>
    <xf numFmtId="0" fontId="220" fillId="0" borderId="685" xfId="21" applyFont="1" applyFill="1" applyBorder="1" applyAlignment="1">
      <alignment horizontal="center" vertical="center"/>
    </xf>
    <xf numFmtId="0" fontId="221" fillId="0" borderId="672" xfId="21" applyFont="1" applyFill="1" applyBorder="1" applyAlignment="1">
      <alignment horizontal="center" vertical="center"/>
    </xf>
    <xf numFmtId="0" fontId="221" fillId="0" borderId="536" xfId="21" applyFont="1" applyFill="1" applyBorder="1" applyAlignment="1">
      <alignment horizontal="center" vertical="center"/>
    </xf>
    <xf numFmtId="0" fontId="220" fillId="0" borderId="553" xfId="21" applyFont="1" applyFill="1" applyBorder="1" applyAlignment="1">
      <alignment horizontal="center" vertical="center"/>
    </xf>
    <xf numFmtId="0" fontId="220" fillId="0" borderId="703" xfId="21" applyFont="1" applyFill="1" applyBorder="1" applyAlignment="1">
      <alignment horizontal="center" vertical="center"/>
    </xf>
    <xf numFmtId="0" fontId="220" fillId="0" borderId="553" xfId="21" applyFont="1" applyFill="1" applyBorder="1" applyAlignment="1">
      <alignment horizontal="center"/>
    </xf>
    <xf numFmtId="0" fontId="220" fillId="0" borderId="703" xfId="21" applyFont="1" applyFill="1" applyBorder="1" applyAlignment="1">
      <alignment horizontal="center"/>
    </xf>
    <xf numFmtId="43" fontId="220" fillId="0" borderId="708" xfId="62" applyFont="1" applyFill="1" applyBorder="1" applyAlignment="1">
      <alignment vertical="center"/>
    </xf>
    <xf numFmtId="43" fontId="221" fillId="0" borderId="672" xfId="62" applyFont="1" applyFill="1" applyBorder="1" applyAlignment="1">
      <alignment vertical="center"/>
    </xf>
    <xf numFmtId="43" fontId="221" fillId="0" borderId="536" xfId="62" applyFont="1" applyFill="1" applyBorder="1" applyAlignment="1">
      <alignment vertical="center"/>
    </xf>
    <xf numFmtId="0" fontId="220" fillId="0" borderId="707" xfId="21" applyFont="1" applyFill="1" applyBorder="1" applyAlignment="1">
      <alignment horizontal="center" vertical="center"/>
    </xf>
    <xf numFmtId="0" fontId="221" fillId="0" borderId="708" xfId="21" applyFont="1" applyFill="1" applyBorder="1" applyAlignment="1">
      <alignment vertical="center"/>
    </xf>
    <xf numFmtId="0" fontId="221" fillId="0" borderId="709" xfId="21" applyFont="1" applyFill="1" applyBorder="1" applyAlignment="1">
      <alignment vertical="center"/>
    </xf>
    <xf numFmtId="0" fontId="221" fillId="0" borderId="709" xfId="21" applyFont="1" applyFill="1" applyBorder="1" applyAlignment="1">
      <alignment horizontal="center" vertical="center"/>
    </xf>
    <xf numFmtId="0" fontId="221" fillId="0" borderId="433" xfId="21" applyFont="1" applyFill="1" applyBorder="1" applyAlignment="1">
      <alignment horizontal="center" vertical="center"/>
    </xf>
    <xf numFmtId="0" fontId="221" fillId="0" borderId="433" xfId="21" applyFont="1" applyFill="1" applyBorder="1" applyAlignment="1">
      <alignment vertical="center"/>
    </xf>
    <xf numFmtId="43" fontId="220" fillId="0" borderId="685" xfId="1" applyFont="1" applyFill="1" applyBorder="1" applyAlignment="1">
      <alignment horizontal="center" vertical="center"/>
    </xf>
    <xf numFmtId="43" fontId="220" fillId="0" borderId="570" xfId="1" applyFont="1" applyFill="1" applyBorder="1" applyAlignment="1">
      <alignment horizontal="center" vertical="center"/>
    </xf>
    <xf numFmtId="43" fontId="220" fillId="0" borderId="704" xfId="1" applyFont="1" applyFill="1" applyBorder="1" applyAlignment="1">
      <alignment horizontal="center" vertical="center"/>
    </xf>
    <xf numFmtId="0" fontId="221" fillId="0" borderId="415" xfId="21" applyFont="1" applyFill="1" applyBorder="1" applyAlignment="1">
      <alignment horizontal="center" vertical="center"/>
    </xf>
    <xf numFmtId="43" fontId="221" fillId="0" borderId="536" xfId="1" applyFont="1" applyFill="1" applyBorder="1" applyAlignment="1">
      <alignment horizontal="center" vertical="center"/>
    </xf>
    <xf numFmtId="43" fontId="220" fillId="0" borderId="696" xfId="1" applyFont="1" applyFill="1" applyBorder="1" applyAlignment="1">
      <alignment vertical="center"/>
    </xf>
    <xf numFmtId="43" fontId="221" fillId="0" borderId="707" xfId="21" applyNumberFormat="1" applyFont="1" applyFill="1" applyBorder="1" applyAlignment="1">
      <alignment vertical="center"/>
    </xf>
    <xf numFmtId="43" fontId="220" fillId="0" borderId="707" xfId="1" applyFont="1" applyFill="1" applyBorder="1" applyAlignment="1">
      <alignment horizontal="center" vertical="center"/>
    </xf>
    <xf numFmtId="43" fontId="221" fillId="0" borderId="632" xfId="1" applyFont="1" applyFill="1" applyBorder="1" applyAlignment="1">
      <alignment vertical="center"/>
    </xf>
    <xf numFmtId="43" fontId="221" fillId="0" borderId="697" xfId="1" applyFont="1" applyFill="1" applyBorder="1" applyAlignment="1">
      <alignment vertical="center"/>
    </xf>
    <xf numFmtId="0" fontId="221" fillId="0" borderId="696" xfId="21" applyFont="1" applyFill="1" applyBorder="1" applyAlignment="1">
      <alignment horizontal="center" vertical="center"/>
    </xf>
    <xf numFmtId="43" fontId="220" fillId="0" borderId="685" xfId="62" applyFont="1" applyFill="1" applyBorder="1" applyAlignment="1"/>
    <xf numFmtId="43" fontId="220" fillId="0" borderId="696" xfId="62" applyFont="1" applyFill="1" applyBorder="1" applyAlignment="1"/>
    <xf numFmtId="0" fontId="221" fillId="0" borderId="448" xfId="21" applyFont="1" applyFill="1" applyBorder="1" applyAlignment="1">
      <alignment horizontal="center" vertical="center"/>
    </xf>
    <xf numFmtId="43" fontId="221" fillId="0" borderId="448" xfId="62" applyFont="1" applyFill="1" applyBorder="1" applyAlignment="1">
      <alignment vertical="center"/>
    </xf>
    <xf numFmtId="0" fontId="221" fillId="0" borderId="570" xfId="21" applyFont="1" applyFill="1" applyBorder="1" applyAlignment="1">
      <alignment horizontal="center" vertical="center"/>
    </xf>
    <xf numFmtId="43" fontId="221" fillId="0" borderId="632" xfId="21" applyNumberFormat="1" applyFont="1" applyFill="1" applyBorder="1" applyAlignment="1">
      <alignment vertical="center"/>
    </xf>
    <xf numFmtId="0" fontId="221" fillId="0" borderId="685" xfId="21" applyFont="1" applyFill="1" applyBorder="1" applyAlignment="1"/>
    <xf numFmtId="43" fontId="221" fillId="0" borderId="536" xfId="21" applyNumberFormat="1" applyFont="1" applyFill="1" applyBorder="1" applyAlignment="1">
      <alignment vertical="center"/>
    </xf>
    <xf numFmtId="0" fontId="220" fillId="0" borderId="643" xfId="21" applyFont="1" applyFill="1" applyBorder="1" applyAlignment="1">
      <alignment horizontal="center"/>
    </xf>
    <xf numFmtId="0" fontId="221" fillId="0" borderId="643" xfId="21" applyFont="1" applyFill="1" applyBorder="1"/>
    <xf numFmtId="43" fontId="221" fillId="0" borderId="643" xfId="62" applyFont="1" applyFill="1" applyBorder="1" applyAlignment="1">
      <alignment horizontal="right"/>
    </xf>
    <xf numFmtId="0" fontId="221" fillId="0" borderId="643" xfId="21" applyFont="1" applyFill="1" applyBorder="1" applyAlignment="1">
      <alignment horizontal="center" vertical="center"/>
    </xf>
    <xf numFmtId="43" fontId="221" fillId="0" borderId="643" xfId="62" applyFont="1" applyFill="1" applyBorder="1" applyAlignment="1">
      <alignment vertical="center"/>
    </xf>
    <xf numFmtId="43" fontId="220" fillId="0" borderId="643" xfId="21" applyNumberFormat="1" applyFont="1" applyFill="1" applyBorder="1"/>
    <xf numFmtId="43" fontId="220" fillId="0" borderId="643" xfId="62" applyFont="1" applyFill="1" applyBorder="1"/>
    <xf numFmtId="43" fontId="220" fillId="0" borderId="448" xfId="62" applyFont="1" applyFill="1" applyBorder="1"/>
    <xf numFmtId="43" fontId="221" fillId="0" borderId="642" xfId="62" applyFont="1" applyFill="1" applyBorder="1"/>
    <xf numFmtId="43" fontId="221" fillId="0" borderId="632" xfId="62" applyFont="1" applyFill="1" applyBorder="1"/>
    <xf numFmtId="0" fontId="220" fillId="0" borderId="643" xfId="21" applyFont="1" applyFill="1" applyBorder="1" applyAlignment="1">
      <alignment horizontal="center" vertical="center"/>
    </xf>
    <xf numFmtId="0" fontId="221" fillId="0" borderId="705" xfId="21" applyFont="1" applyFill="1" applyBorder="1" applyAlignment="1">
      <alignment horizontal="left" vertical="center"/>
    </xf>
    <xf numFmtId="0" fontId="221" fillId="0" borderId="570" xfId="21" quotePrefix="1" applyFont="1" applyFill="1" applyBorder="1" applyAlignment="1">
      <alignment horizontal="center" vertical="center"/>
    </xf>
    <xf numFmtId="0" fontId="221" fillId="0" borderId="704" xfId="21" quotePrefix="1" applyFont="1" applyFill="1" applyBorder="1" applyAlignment="1">
      <alignment horizontal="center" vertical="center"/>
    </xf>
    <xf numFmtId="0" fontId="221" fillId="0" borderId="643" xfId="21" quotePrefix="1" applyFont="1" applyFill="1" applyBorder="1" applyAlignment="1">
      <alignment horizontal="center" vertical="center"/>
    </xf>
    <xf numFmtId="0" fontId="221" fillId="0" borderId="643" xfId="21" applyFont="1" applyFill="1" applyBorder="1" applyAlignment="1">
      <alignment vertical="center"/>
    </xf>
    <xf numFmtId="43" fontId="221" fillId="0" borderId="643" xfId="1" applyFont="1" applyFill="1" applyBorder="1" applyAlignment="1">
      <alignment vertical="center"/>
    </xf>
    <xf numFmtId="43" fontId="221" fillId="0" borderId="643" xfId="62" applyFont="1" applyFill="1" applyBorder="1" applyAlignment="1">
      <alignment horizontal="center" vertical="center"/>
    </xf>
    <xf numFmtId="43" fontId="221" fillId="0" borderId="643" xfId="1" applyFont="1" applyFill="1" applyBorder="1" applyAlignment="1">
      <alignment horizontal="center" vertical="center"/>
    </xf>
    <xf numFmtId="43" fontId="220" fillId="0" borderId="707" xfId="1" applyFont="1" applyFill="1" applyBorder="1" applyAlignment="1">
      <alignment vertical="center"/>
    </xf>
    <xf numFmtId="0" fontId="220" fillId="0" borderId="643" xfId="21" applyFont="1" applyFill="1" applyBorder="1" applyAlignment="1">
      <alignment vertical="center"/>
    </xf>
    <xf numFmtId="43" fontId="220" fillId="0" borderId="708" xfId="1" applyFont="1" applyFill="1" applyBorder="1" applyAlignment="1">
      <alignment vertical="center"/>
    </xf>
    <xf numFmtId="43" fontId="220" fillId="0" borderId="643" xfId="62" applyFont="1" applyFill="1" applyBorder="1" applyAlignment="1">
      <alignment vertical="center"/>
    </xf>
    <xf numFmtId="43" fontId="220" fillId="0" borderId="448" xfId="62" applyFont="1" applyFill="1" applyBorder="1" applyAlignment="1">
      <alignment vertical="center"/>
    </xf>
    <xf numFmtId="0" fontId="220" fillId="0" borderId="707" xfId="21" applyNumberFormat="1" applyFont="1" applyFill="1" applyBorder="1" applyAlignment="1">
      <alignment horizontal="center" vertical="center"/>
    </xf>
    <xf numFmtId="43" fontId="221" fillId="0" borderId="643" xfId="21" applyNumberFormat="1" applyFont="1" applyFill="1" applyBorder="1" applyAlignment="1">
      <alignment vertical="center"/>
    </xf>
    <xf numFmtId="43" fontId="220" fillId="0" borderId="643" xfId="21" applyNumberFormat="1" applyFont="1" applyFill="1" applyBorder="1" applyAlignment="1">
      <alignment vertical="center"/>
    </xf>
    <xf numFmtId="0" fontId="220" fillId="0" borderId="570" xfId="21" applyFont="1" applyFill="1" applyBorder="1" applyAlignment="1">
      <alignment horizontal="center" vertical="center"/>
    </xf>
    <xf numFmtId="43" fontId="221" fillId="0" borderId="672" xfId="21" applyNumberFormat="1" applyFont="1" applyFill="1" applyBorder="1"/>
    <xf numFmtId="43" fontId="221" fillId="0" borderId="643" xfId="21" applyNumberFormat="1" applyFont="1" applyFill="1" applyBorder="1"/>
    <xf numFmtId="0" fontId="220" fillId="0" borderId="448" xfId="21" applyFont="1" applyFill="1" applyBorder="1" applyAlignment="1">
      <alignment horizontal="center"/>
    </xf>
    <xf numFmtId="43" fontId="221" fillId="0" borderId="643" xfId="1" applyFont="1" applyFill="1" applyBorder="1"/>
    <xf numFmtId="43" fontId="221" fillId="0" borderId="643" xfId="1" applyFont="1" applyFill="1" applyBorder="1" applyAlignment="1">
      <alignment horizontal="center"/>
    </xf>
    <xf numFmtId="43" fontId="220" fillId="0" borderId="643" xfId="1" applyFont="1" applyFill="1" applyBorder="1"/>
    <xf numFmtId="0" fontId="220" fillId="0" borderId="707" xfId="21" applyNumberFormat="1" applyFont="1" applyFill="1" applyBorder="1" applyAlignment="1">
      <alignment horizontal="center"/>
    </xf>
    <xf numFmtId="43" fontId="221" fillId="0" borderId="707" xfId="21" applyNumberFormat="1" applyFont="1" applyFill="1" applyBorder="1"/>
    <xf numFmtId="43" fontId="220" fillId="0" borderId="708" xfId="21" applyNumberFormat="1" applyFont="1" applyFill="1" applyBorder="1"/>
    <xf numFmtId="43" fontId="221" fillId="0" borderId="697" xfId="21" applyNumberFormat="1" applyFont="1" applyFill="1" applyBorder="1"/>
    <xf numFmtId="0" fontId="221" fillId="0" borderId="412" xfId="21" applyFont="1" applyFill="1" applyBorder="1"/>
    <xf numFmtId="0" fontId="221" fillId="0" borderId="437" xfId="21" applyFont="1" applyFill="1" applyBorder="1"/>
    <xf numFmtId="43" fontId="220" fillId="0" borderId="587" xfId="21" applyNumberFormat="1" applyFont="1" applyFill="1" applyBorder="1" applyAlignment="1">
      <alignment horizontal="center"/>
    </xf>
    <xf numFmtId="43" fontId="220" fillId="0" borderId="570" xfId="1" applyFont="1" applyFill="1" applyBorder="1" applyAlignment="1">
      <alignment horizontal="center"/>
    </xf>
    <xf numFmtId="43" fontId="220" fillId="0" borderId="704" xfId="62" applyFont="1" applyFill="1" applyBorder="1"/>
    <xf numFmtId="43" fontId="221" fillId="0" borderId="644" xfId="62" applyFont="1" applyFill="1" applyBorder="1"/>
    <xf numFmtId="0" fontId="221" fillId="0" borderId="570" xfId="21" applyFont="1" applyFill="1" applyBorder="1" applyAlignment="1">
      <alignment horizontal="center"/>
    </xf>
    <xf numFmtId="43" fontId="221" fillId="0" borderId="572" xfId="62" applyFont="1" applyFill="1" applyBorder="1"/>
    <xf numFmtId="43" fontId="220" fillId="0" borderId="712" xfId="21" applyNumberFormat="1" applyFont="1" applyFill="1" applyBorder="1" applyAlignment="1">
      <alignment horizontal="center"/>
    </xf>
    <xf numFmtId="43" fontId="220" fillId="0" borderId="707" xfId="21" applyNumberFormat="1" applyFont="1" applyFill="1" applyBorder="1" applyAlignment="1">
      <alignment horizontal="center"/>
    </xf>
    <xf numFmtId="43" fontId="220" fillId="0" borderId="644" xfId="21" applyNumberFormat="1" applyFont="1" applyFill="1" applyBorder="1"/>
    <xf numFmtId="43" fontId="221" fillId="0" borderId="644" xfId="21" applyNumberFormat="1" applyFont="1" applyFill="1" applyBorder="1"/>
    <xf numFmtId="43" fontId="220" fillId="0" borderId="587" xfId="21" applyNumberFormat="1" applyFont="1" applyFill="1" applyBorder="1"/>
    <xf numFmtId="4" fontId="221" fillId="0" borderId="643" xfId="35" applyNumberFormat="1" applyFont="1" applyFill="1" applyBorder="1"/>
    <xf numFmtId="0" fontId="221" fillId="0" borderId="724" xfId="21" applyFont="1" applyFill="1" applyBorder="1" applyAlignment="1">
      <alignment horizontal="center"/>
    </xf>
    <xf numFmtId="43" fontId="220" fillId="0" borderId="643" xfId="1" applyFont="1" applyFill="1" applyBorder="1" applyAlignment="1">
      <alignment horizontal="center"/>
    </xf>
    <xf numFmtId="0" fontId="221" fillId="0" borderId="724" xfId="21" applyFont="1" applyFill="1" applyBorder="1"/>
    <xf numFmtId="43" fontId="220" fillId="0" borderId="642" xfId="1" applyFont="1" applyFill="1" applyBorder="1"/>
    <xf numFmtId="43" fontId="221" fillId="0" borderId="643" xfId="62" applyFont="1" applyFill="1" applyBorder="1" applyAlignment="1">
      <alignment horizontal="right" vertical="center"/>
    </xf>
    <xf numFmtId="43" fontId="221" fillId="0" borderId="570" xfId="62" applyFont="1" applyFill="1" applyBorder="1" applyAlignment="1">
      <alignment vertical="center"/>
    </xf>
    <xf numFmtId="43" fontId="221" fillId="0" borderId="704" xfId="62" applyFont="1" applyFill="1" applyBorder="1" applyAlignment="1">
      <alignment vertical="center"/>
    </xf>
    <xf numFmtId="0" fontId="221" fillId="0" borderId="643" xfId="21" applyFont="1" applyFill="1" applyBorder="1" applyAlignment="1">
      <alignment horizontal="center" vertical="top"/>
    </xf>
    <xf numFmtId="43" fontId="221" fillId="0" borderId="643" xfId="62" applyFont="1" applyFill="1" applyBorder="1" applyAlignment="1">
      <alignment horizontal="right" vertical="top" wrapText="1"/>
    </xf>
    <xf numFmtId="0" fontId="221" fillId="0" borderId="643" xfId="21" applyFont="1" applyFill="1" applyBorder="1" applyAlignment="1">
      <alignment vertical="top"/>
    </xf>
    <xf numFmtId="43" fontId="220" fillId="0" borderId="397" xfId="62" applyFont="1" applyFill="1" applyBorder="1" applyAlignment="1">
      <alignment vertical="center"/>
    </xf>
    <xf numFmtId="43" fontId="220" fillId="0" borderId="697" xfId="62" applyFont="1" applyFill="1" applyBorder="1" applyAlignment="1">
      <alignment vertical="center"/>
    </xf>
    <xf numFmtId="43" fontId="220" fillId="0" borderId="672" xfId="21" applyNumberFormat="1" applyFont="1" applyFill="1" applyBorder="1" applyAlignment="1">
      <alignment vertical="center"/>
    </xf>
    <xf numFmtId="43" fontId="220" fillId="0" borderId="536" xfId="21" applyNumberFormat="1" applyFont="1" applyFill="1" applyBorder="1" applyAlignment="1">
      <alignment vertical="center"/>
    </xf>
    <xf numFmtId="43" fontId="220" fillId="0" borderId="707" xfId="62" applyFont="1" applyFill="1" applyBorder="1"/>
    <xf numFmtId="43" fontId="220" fillId="0" borderId="708" xfId="62" applyFont="1" applyFill="1" applyBorder="1"/>
    <xf numFmtId="0" fontId="221" fillId="0" borderId="433" xfId="21" applyFont="1" applyFill="1" applyBorder="1" applyAlignment="1">
      <alignment horizontal="center"/>
    </xf>
    <xf numFmtId="0" fontId="221" fillId="0" borderId="433" xfId="21" applyFont="1" applyFill="1" applyBorder="1"/>
    <xf numFmtId="0" fontId="220" fillId="0" borderId="397" xfId="21" applyFont="1" applyFill="1" applyBorder="1" applyAlignment="1">
      <alignment vertical="center"/>
    </xf>
    <xf numFmtId="0" fontId="220" fillId="0" borderId="709" xfId="21" applyFont="1" applyFill="1" applyBorder="1" applyAlignment="1">
      <alignment vertical="center"/>
    </xf>
    <xf numFmtId="0" fontId="220" fillId="0" borderId="709" xfId="21" applyFont="1" applyFill="1" applyBorder="1" applyAlignment="1">
      <alignment horizontal="center" vertical="center"/>
    </xf>
    <xf numFmtId="43" fontId="220" fillId="0" borderId="709" xfId="21" applyNumberFormat="1" applyFont="1" applyFill="1" applyBorder="1" applyAlignment="1">
      <alignment vertical="center"/>
    </xf>
    <xf numFmtId="0" fontId="220" fillId="0" borderId="0" xfId="21" applyFont="1" applyFill="1" applyBorder="1" applyAlignment="1">
      <alignment horizontal="center" vertical="center"/>
    </xf>
    <xf numFmtId="43" fontId="220" fillId="0" borderId="0" xfId="21" applyNumberFormat="1" applyFont="1" applyFill="1" applyBorder="1" applyAlignment="1">
      <alignment vertical="center"/>
    </xf>
    <xf numFmtId="0" fontId="220" fillId="0" borderId="433" xfId="21" applyFont="1" applyFill="1" applyBorder="1" applyAlignment="1">
      <alignment horizontal="center" vertical="center"/>
    </xf>
    <xf numFmtId="43" fontId="220" fillId="0" borderId="433" xfId="21" applyNumberFormat="1" applyFont="1" applyFill="1" applyBorder="1" applyAlignment="1">
      <alignment vertical="center"/>
    </xf>
    <xf numFmtId="0" fontId="221" fillId="0" borderId="725" xfId="21" applyFont="1" applyFill="1" applyBorder="1"/>
    <xf numFmtId="0" fontId="220" fillId="0" borderId="709" xfId="21" applyFont="1" applyFill="1" applyBorder="1"/>
    <xf numFmtId="0" fontId="220" fillId="0" borderId="709" xfId="21" applyFont="1" applyFill="1" applyBorder="1" applyAlignment="1">
      <alignment horizontal="center"/>
    </xf>
    <xf numFmtId="43" fontId="220" fillId="0" borderId="709" xfId="62" applyFont="1" applyFill="1" applyBorder="1"/>
    <xf numFmtId="43" fontId="220" fillId="0" borderId="0" xfId="62" applyFont="1" applyFill="1" applyBorder="1"/>
    <xf numFmtId="0" fontId="220" fillId="0" borderId="433" xfId="21" applyFont="1" applyFill="1" applyBorder="1" applyAlignment="1">
      <alignment horizontal="center"/>
    </xf>
    <xf numFmtId="43" fontId="220" fillId="0" borderId="433" xfId="62" applyFont="1" applyFill="1" applyBorder="1"/>
    <xf numFmtId="0" fontId="220" fillId="0" borderId="643" xfId="21" applyFont="1" applyFill="1" applyBorder="1"/>
    <xf numFmtId="0" fontId="221" fillId="0" borderId="726" xfId="21" applyFont="1" applyFill="1" applyBorder="1"/>
    <xf numFmtId="0" fontId="221" fillId="0" borderId="727" xfId="21" applyFont="1" applyFill="1" applyBorder="1"/>
    <xf numFmtId="43" fontId="220" fillId="0" borderId="590" xfId="62" applyFont="1" applyFill="1" applyBorder="1"/>
    <xf numFmtId="0" fontId="221" fillId="0" borderId="728" xfId="21" applyFont="1" applyFill="1" applyBorder="1" applyAlignment="1">
      <alignment vertical="center"/>
    </xf>
    <xf numFmtId="0" fontId="221" fillId="0" borderId="725" xfId="21" applyFont="1" applyFill="1" applyBorder="1" applyAlignment="1">
      <alignment vertical="center"/>
    </xf>
    <xf numFmtId="0" fontId="221" fillId="0" borderId="729" xfId="21" applyFont="1" applyFill="1" applyBorder="1" applyAlignment="1">
      <alignment vertical="center"/>
    </xf>
    <xf numFmtId="0" fontId="221" fillId="0" borderId="730" xfId="21" applyFont="1" applyFill="1" applyBorder="1" applyAlignment="1">
      <alignment vertical="center"/>
    </xf>
    <xf numFmtId="0" fontId="221" fillId="0" borderId="726" xfId="21" applyFont="1" applyFill="1" applyBorder="1" applyAlignment="1">
      <alignment vertical="center"/>
    </xf>
    <xf numFmtId="0" fontId="221" fillId="0" borderId="727" xfId="21" applyFont="1" applyFill="1" applyBorder="1" applyAlignment="1">
      <alignment vertical="center"/>
    </xf>
    <xf numFmtId="0" fontId="220" fillId="0" borderId="707" xfId="21" applyFont="1" applyFill="1" applyBorder="1" applyAlignment="1">
      <alignment horizontal="center"/>
    </xf>
    <xf numFmtId="0" fontId="221" fillId="0" borderId="685" xfId="21" applyFont="1" applyFill="1" applyBorder="1" applyAlignment="1">
      <alignment horizontal="center" vertical="top"/>
    </xf>
    <xf numFmtId="43" fontId="221" fillId="0" borderId="685" xfId="62" applyFont="1" applyFill="1" applyBorder="1" applyAlignment="1">
      <alignment vertical="top"/>
    </xf>
    <xf numFmtId="43" fontId="221" fillId="0" borderId="696" xfId="62" applyFont="1" applyFill="1" applyBorder="1" applyAlignment="1">
      <alignment vertical="top"/>
    </xf>
    <xf numFmtId="43" fontId="221" fillId="0" borderId="536" xfId="1" applyFont="1" applyFill="1" applyBorder="1"/>
    <xf numFmtId="43" fontId="221" fillId="0" borderId="643" xfId="1" applyFont="1" applyFill="1" applyBorder="1" applyAlignment="1">
      <alignment horizontal="right"/>
    </xf>
    <xf numFmtId="43" fontId="220" fillId="0" borderId="707" xfId="1" applyFont="1" applyFill="1" applyBorder="1" applyAlignment="1">
      <alignment horizontal="center"/>
    </xf>
    <xf numFmtId="43" fontId="220" fillId="0" borderId="708" xfId="1" applyFont="1" applyFill="1" applyBorder="1" applyAlignment="1">
      <alignment horizontal="center"/>
    </xf>
    <xf numFmtId="43" fontId="221" fillId="0" borderId="448" xfId="21" applyNumberFormat="1" applyFont="1" applyFill="1" applyBorder="1"/>
    <xf numFmtId="0" fontId="220" fillId="0" borderId="707" xfId="21" applyFont="1" applyFill="1" applyBorder="1"/>
    <xf numFmtId="43" fontId="220" fillId="0" borderId="709" xfId="21" applyNumberFormat="1" applyFont="1" applyFill="1" applyBorder="1"/>
    <xf numFmtId="43" fontId="220" fillId="0" borderId="433" xfId="21" applyNumberFormat="1" applyFont="1" applyFill="1" applyBorder="1"/>
    <xf numFmtId="0" fontId="220" fillId="0" borderId="642" xfId="21" applyNumberFormat="1" applyFont="1" applyFill="1" applyBorder="1" applyAlignment="1">
      <alignment horizontal="center" vertical="center"/>
    </xf>
    <xf numFmtId="43" fontId="220" fillId="0" borderId="696" xfId="21" applyNumberFormat="1" applyFont="1" applyFill="1" applyBorder="1" applyAlignment="1">
      <alignment vertical="center"/>
    </xf>
    <xf numFmtId="43" fontId="221" fillId="0" borderId="643" xfId="1" applyFont="1" applyFill="1" applyBorder="1" applyAlignment="1">
      <alignment horizontal="right" vertical="center"/>
    </xf>
    <xf numFmtId="43" fontId="221" fillId="0" borderId="643" xfId="62" applyFont="1" applyFill="1" applyBorder="1" applyAlignment="1">
      <alignment horizontal="center"/>
    </xf>
    <xf numFmtId="0" fontId="220" fillId="0" borderId="570" xfId="21" applyFont="1" applyFill="1" applyBorder="1"/>
    <xf numFmtId="43" fontId="220" fillId="0" borderId="285" xfId="21" applyNumberFormat="1" applyFont="1" applyFill="1" applyBorder="1" applyAlignment="1">
      <alignment horizontal="right"/>
    </xf>
    <xf numFmtId="43" fontId="220" fillId="0" borderId="707" xfId="21" applyNumberFormat="1" applyFont="1" applyFill="1" applyBorder="1" applyAlignment="1">
      <alignment horizontal="right"/>
    </xf>
    <xf numFmtId="43" fontId="220" fillId="0" borderId="708" xfId="21" applyNumberFormat="1" applyFont="1" applyFill="1" applyBorder="1" applyAlignment="1">
      <alignment horizontal="right"/>
    </xf>
    <xf numFmtId="43" fontId="220" fillId="0" borderId="643" xfId="21" applyNumberFormat="1" applyFont="1" applyFill="1" applyBorder="1" applyAlignment="1">
      <alignment horizontal="right"/>
    </xf>
    <xf numFmtId="0" fontId="221" fillId="0" borderId="643" xfId="21" applyFont="1" applyFill="1" applyBorder="1" applyAlignment="1">
      <alignment horizontal="right"/>
    </xf>
    <xf numFmtId="4" fontId="278" fillId="0" borderId="0" xfId="30" applyNumberFormat="1" applyFont="1" applyFill="1" applyBorder="1" applyAlignment="1" applyProtection="1">
      <alignment horizontal="center" vertical="center"/>
      <protection locked="0"/>
    </xf>
    <xf numFmtId="4" fontId="278" fillId="0" borderId="673" xfId="30" applyNumberFormat="1" applyFont="1" applyFill="1" applyBorder="1" applyAlignment="1" applyProtection="1">
      <alignment horizontal="center" vertical="center"/>
      <protection locked="0"/>
    </xf>
    <xf numFmtId="0" fontId="320" fillId="0" borderId="0" xfId="45" applyFont="1" applyFill="1" applyAlignment="1" applyProtection="1">
      <alignment horizontal="left" vertical="center"/>
      <protection locked="0"/>
    </xf>
    <xf numFmtId="0" fontId="320" fillId="0" borderId="0" xfId="46" applyFont="1" applyFill="1" applyAlignment="1" applyProtection="1">
      <alignment horizontal="center" vertical="center"/>
      <protection locked="0"/>
    </xf>
    <xf numFmtId="4" fontId="320" fillId="0" borderId="0" xfId="46" applyNumberFormat="1" applyFont="1" applyFill="1" applyAlignment="1" applyProtection="1">
      <alignment horizontal="center" vertical="center"/>
      <protection locked="0"/>
    </xf>
    <xf numFmtId="0" fontId="278" fillId="0" borderId="0" xfId="46" applyFont="1" applyFill="1" applyAlignment="1" applyProtection="1">
      <alignment horizontal="left" vertical="center"/>
      <protection locked="0"/>
    </xf>
    <xf numFmtId="0" fontId="319" fillId="0" borderId="0" xfId="2" applyFont="1" applyFill="1" applyAlignment="1" applyProtection="1">
      <alignment horizontal="center" vertical="center"/>
      <protection locked="0"/>
    </xf>
    <xf numFmtId="0" fontId="278" fillId="0" borderId="0" xfId="46" applyFont="1" applyFill="1" applyAlignment="1" applyProtection="1">
      <alignment horizontal="center" vertical="center"/>
      <protection locked="0"/>
    </xf>
    <xf numFmtId="0" fontId="319" fillId="0" borderId="0" xfId="58" applyFont="1" applyFill="1" applyAlignment="1" applyProtection="1">
      <alignment horizontal="center" vertical="center"/>
      <protection locked="0"/>
    </xf>
    <xf numFmtId="0" fontId="278" fillId="0" borderId="0" xfId="47" applyFont="1" applyFill="1" applyAlignment="1" applyProtection="1">
      <alignment horizontal="center" vertical="center"/>
      <protection locked="0"/>
    </xf>
    <xf numFmtId="4" fontId="278" fillId="0" borderId="664" xfId="30" applyNumberFormat="1" applyFont="1" applyFill="1" applyBorder="1" applyAlignment="1" applyProtection="1">
      <alignment horizontal="center" vertical="center"/>
      <protection locked="0"/>
    </xf>
    <xf numFmtId="0" fontId="320" fillId="0" borderId="0" xfId="45" applyFont="1" applyFill="1" applyAlignment="1" applyProtection="1">
      <alignment horizontal="center" vertical="center"/>
      <protection locked="0"/>
    </xf>
    <xf numFmtId="0" fontId="278" fillId="0" borderId="0" xfId="46" applyNumberFormat="1" applyFont="1" applyFill="1" applyAlignment="1" applyProtection="1">
      <alignment horizontal="center" vertical="center"/>
      <protection locked="0"/>
    </xf>
    <xf numFmtId="0" fontId="319" fillId="0" borderId="0" xfId="30" applyFont="1" applyFill="1" applyAlignment="1" applyProtection="1">
      <alignment horizontal="center" vertical="center"/>
      <protection locked="0"/>
    </xf>
    <xf numFmtId="4" fontId="278" fillId="0" borderId="665" xfId="30" applyNumberFormat="1" applyFont="1" applyFill="1" applyBorder="1" applyAlignment="1" applyProtection="1">
      <alignment horizontal="center" vertical="center"/>
      <protection locked="0"/>
    </xf>
    <xf numFmtId="1" fontId="278" fillId="0" borderId="685" xfId="30" applyNumberFormat="1" applyFont="1" applyFill="1" applyBorder="1" applyAlignment="1" applyProtection="1">
      <alignment horizontal="center" vertical="center" wrapText="1"/>
      <protection locked="0"/>
    </xf>
    <xf numFmtId="0" fontId="320" fillId="0" borderId="0" xfId="45" applyFont="1" applyFill="1" applyAlignment="1">
      <alignment horizontal="center" vertical="center"/>
    </xf>
    <xf numFmtId="0" fontId="320" fillId="0" borderId="0" xfId="2" applyFont="1" applyFill="1" applyAlignment="1" applyProtection="1">
      <alignment horizontal="center" vertical="center"/>
      <protection locked="0"/>
    </xf>
    <xf numFmtId="0" fontId="278" fillId="0" borderId="0" xfId="2" applyFont="1" applyFill="1" applyAlignment="1" applyProtection="1">
      <alignment horizontal="center" vertical="center"/>
      <protection locked="0"/>
    </xf>
    <xf numFmtId="0" fontId="278" fillId="0" borderId="295" xfId="30" applyFont="1" applyFill="1" applyBorder="1" applyAlignment="1" applyProtection="1">
      <alignment horizontal="center" vertical="center" wrapText="1"/>
      <protection locked="0"/>
    </xf>
    <xf numFmtId="4" fontId="278" fillId="0" borderId="246" xfId="30" applyNumberFormat="1" applyFont="1" applyFill="1" applyBorder="1" applyAlignment="1" applyProtection="1">
      <alignment horizontal="center" vertical="center"/>
      <protection locked="0"/>
    </xf>
    <xf numFmtId="0" fontId="278" fillId="0" borderId="0" xfId="2" applyNumberFormat="1" applyFont="1" applyFill="1" applyAlignment="1" applyProtection="1">
      <alignment horizontal="center" vertical="center"/>
      <protection locked="0"/>
    </xf>
    <xf numFmtId="3" fontId="220" fillId="0" borderId="0" xfId="32" applyFont="1" applyFill="1"/>
    <xf numFmtId="3" fontId="382" fillId="0" borderId="0" xfId="32" applyFont="1" applyFill="1"/>
    <xf numFmtId="3" fontId="382" fillId="0" borderId="410" xfId="32" applyFont="1" applyFill="1" applyBorder="1" applyAlignment="1" applyProtection="1">
      <protection hidden="1"/>
    </xf>
    <xf numFmtId="3" fontId="220" fillId="0" borderId="50" xfId="32" applyFont="1" applyFill="1" applyBorder="1" applyProtection="1">
      <protection hidden="1"/>
    </xf>
    <xf numFmtId="3" fontId="95" fillId="0" borderId="25" xfId="32" applyFont="1" applyFill="1" applyBorder="1" applyAlignment="1" applyProtection="1">
      <alignment horizontal="centerContinuous"/>
      <protection hidden="1"/>
    </xf>
    <xf numFmtId="3" fontId="220" fillId="0" borderId="572" xfId="32" applyFont="1" applyFill="1" applyBorder="1" applyAlignment="1" applyProtection="1">
      <alignment horizontal="center"/>
      <protection locked="0"/>
    </xf>
    <xf numFmtId="183" fontId="220" fillId="0" borderId="572" xfId="88" applyNumberFormat="1" applyFont="1" applyFill="1" applyBorder="1" applyAlignment="1" applyProtection="1">
      <alignment horizontal="center"/>
      <protection locked="0"/>
    </xf>
    <xf numFmtId="3" fontId="220" fillId="0" borderId="300" xfId="32" applyFont="1" applyFill="1" applyBorder="1" applyAlignment="1" applyProtection="1">
      <alignment horizontal="center"/>
      <protection locked="0"/>
    </xf>
    <xf numFmtId="183" fontId="220" fillId="0" borderId="300" xfId="88" applyNumberFormat="1" applyFont="1" applyFill="1" applyBorder="1" applyAlignment="1" applyProtection="1">
      <alignment horizontal="center"/>
      <protection locked="0"/>
    </xf>
    <xf numFmtId="3" fontId="220" fillId="0" borderId="12" xfId="32" applyFont="1" applyFill="1" applyBorder="1" applyAlignment="1" applyProtection="1">
      <alignment horizontal="centerContinuous"/>
      <protection hidden="1"/>
    </xf>
    <xf numFmtId="3" fontId="95" fillId="0" borderId="9" xfId="32" applyFont="1" applyFill="1" applyBorder="1" applyAlignment="1" applyProtection="1">
      <alignment horizontal="centerContinuous"/>
      <protection hidden="1"/>
    </xf>
    <xf numFmtId="183" fontId="220" fillId="0" borderId="546" xfId="88" applyNumberFormat="1" applyFont="1" applyFill="1" applyBorder="1" applyAlignment="1" applyProtection="1">
      <alignment horizontal="center"/>
      <protection locked="0" hidden="1"/>
    </xf>
    <xf numFmtId="43" fontId="220" fillId="0" borderId="0" xfId="1" applyFont="1" applyFill="1" applyAlignment="1">
      <alignment horizontal="center"/>
    </xf>
    <xf numFmtId="165" fontId="220" fillId="0" borderId="2" xfId="32" applyNumberFormat="1" applyFont="1" applyFill="1" applyBorder="1" applyAlignment="1" applyProtection="1">
      <alignment horizontal="left"/>
      <protection locked="0"/>
    </xf>
    <xf numFmtId="3" fontId="95" fillId="0" borderId="0" xfId="32" applyFont="1" applyFill="1"/>
    <xf numFmtId="3" fontId="293" fillId="0" borderId="681" xfId="32" applyFont="1" applyFill="1" applyBorder="1" applyAlignment="1" applyProtection="1">
      <alignment horizontal="left"/>
      <protection hidden="1"/>
    </xf>
    <xf numFmtId="39" fontId="220" fillId="0" borderId="571" xfId="84" applyNumberFormat="1" applyFont="1" applyFill="1" applyBorder="1" applyProtection="1">
      <protection locked="0"/>
    </xf>
    <xf numFmtId="39" fontId="220" fillId="0" borderId="0" xfId="68" applyNumberFormat="1" applyFont="1" applyFill="1" applyBorder="1" applyProtection="1">
      <protection locked="0"/>
    </xf>
    <xf numFmtId="39" fontId="220" fillId="0" borderId="25" xfId="68" applyNumberFormat="1" applyFont="1" applyFill="1" applyBorder="1" applyProtection="1">
      <protection locked="0"/>
    </xf>
    <xf numFmtId="39" fontId="293" fillId="0" borderId="50" xfId="32" applyNumberFormat="1" applyFont="1" applyFill="1" applyBorder="1" applyAlignment="1" applyProtection="1">
      <alignment horizontal="left"/>
      <protection locked="0"/>
    </xf>
    <xf numFmtId="3" fontId="95" fillId="0" borderId="53" xfId="32" applyFont="1" applyFill="1" applyBorder="1" applyAlignment="1" applyProtection="1">
      <alignment horizontal="left"/>
      <protection locked="0"/>
    </xf>
    <xf numFmtId="3" fontId="221" fillId="0" borderId="81" xfId="32" applyFont="1" applyFill="1" applyBorder="1" applyAlignment="1" applyProtection="1">
      <alignment horizontal="left"/>
      <protection hidden="1"/>
    </xf>
    <xf numFmtId="3" fontId="221" fillId="0" borderId="682" xfId="32" applyFont="1" applyFill="1" applyBorder="1" applyAlignment="1" applyProtection="1">
      <alignment horizontal="left"/>
      <protection hidden="1"/>
    </xf>
    <xf numFmtId="3" fontId="221" fillId="0" borderId="580" xfId="32" applyFont="1" applyFill="1" applyBorder="1" applyProtection="1">
      <protection locked="0"/>
    </xf>
    <xf numFmtId="183" fontId="221" fillId="0" borderId="580" xfId="88" applyNumberFormat="1" applyFont="1" applyFill="1" applyBorder="1" applyAlignment="1" applyProtection="1">
      <alignment horizontal="center"/>
      <protection locked="0"/>
    </xf>
    <xf numFmtId="3" fontId="221" fillId="0" borderId="60" xfId="32" applyFont="1" applyFill="1" applyBorder="1" applyAlignment="1" applyProtection="1">
      <alignment horizontal="left"/>
      <protection locked="0"/>
    </xf>
    <xf numFmtId="3" fontId="221" fillId="0" borderId="59" xfId="32" applyFont="1" applyFill="1" applyBorder="1" applyProtection="1">
      <protection locked="0"/>
    </xf>
    <xf numFmtId="3" fontId="221" fillId="0" borderId="404" xfId="32" applyFont="1" applyFill="1" applyBorder="1" applyAlignment="1" applyProtection="1">
      <alignment horizontal="left"/>
      <protection locked="0"/>
    </xf>
    <xf numFmtId="39" fontId="221" fillId="0" borderId="0" xfId="32" applyNumberFormat="1" applyFont="1" applyFill="1" applyBorder="1" applyProtection="1">
      <protection locked="0"/>
    </xf>
    <xf numFmtId="183" fontId="221" fillId="0" borderId="0" xfId="88" applyNumberFormat="1" applyFont="1" applyFill="1" applyBorder="1" applyAlignment="1" applyProtection="1">
      <alignment horizontal="center"/>
      <protection locked="0"/>
    </xf>
    <xf numFmtId="3" fontId="382" fillId="0" borderId="53" xfId="32" applyFont="1" applyFill="1" applyBorder="1" applyProtection="1">
      <protection locked="0"/>
    </xf>
    <xf numFmtId="3" fontId="383" fillId="0" borderId="53" xfId="32" applyFont="1" applyFill="1" applyBorder="1" applyAlignment="1" applyProtection="1">
      <alignment horizontal="left"/>
      <protection locked="0"/>
    </xf>
    <xf numFmtId="3" fontId="382" fillId="0" borderId="53" xfId="32" applyFont="1" applyFill="1" applyBorder="1" applyAlignment="1" applyProtection="1">
      <alignment horizontal="left"/>
      <protection locked="0"/>
    </xf>
    <xf numFmtId="39" fontId="294" fillId="0" borderId="681" xfId="32" applyNumberFormat="1" applyFont="1" applyFill="1" applyBorder="1" applyAlignment="1" applyProtection="1">
      <alignment horizontal="left"/>
      <protection hidden="1"/>
    </xf>
    <xf numFmtId="39" fontId="221" fillId="0" borderId="0" xfId="68" applyNumberFormat="1" applyFont="1" applyFill="1" applyBorder="1" applyProtection="1">
      <protection locked="0"/>
    </xf>
    <xf numFmtId="39" fontId="294" fillId="0" borderId="2" xfId="32" applyNumberFormat="1" applyFont="1" applyFill="1" applyBorder="1" applyAlignment="1" applyProtection="1">
      <alignment horizontal="left"/>
      <protection locked="0"/>
    </xf>
    <xf numFmtId="3" fontId="382" fillId="0" borderId="492" xfId="32" applyFont="1" applyFill="1" applyBorder="1" applyAlignment="1" applyProtection="1">
      <alignment horizontal="left"/>
      <protection locked="0"/>
    </xf>
    <xf numFmtId="3" fontId="221" fillId="0" borderId="2" xfId="32" applyFont="1" applyFill="1" applyBorder="1" applyAlignment="1" applyProtection="1">
      <alignment vertical="center"/>
      <protection locked="0"/>
    </xf>
    <xf numFmtId="3" fontId="95" fillId="0" borderId="53" xfId="32" applyFont="1" applyFill="1" applyBorder="1" applyAlignment="1" applyProtection="1">
      <alignment horizontal="center" vertical="center"/>
      <protection locked="0"/>
    </xf>
    <xf numFmtId="183" fontId="220" fillId="0" borderId="491" xfId="88" applyNumberFormat="1" applyFont="1" applyFill="1" applyBorder="1" applyAlignment="1" applyProtection="1">
      <alignment horizontal="center" vertical="center"/>
      <protection locked="0"/>
    </xf>
    <xf numFmtId="3" fontId="221" fillId="0" borderId="0" xfId="32" applyFont="1" applyFill="1" applyBorder="1" applyProtection="1">
      <protection locked="0"/>
    </xf>
    <xf numFmtId="3" fontId="221" fillId="0" borderId="0" xfId="32" applyFont="1" applyFill="1" applyAlignment="1">
      <alignment horizontal="right"/>
    </xf>
    <xf numFmtId="3" fontId="382" fillId="0" borderId="53" xfId="68" applyNumberFormat="1" applyFont="1" applyFill="1" applyBorder="1" applyAlignment="1" applyProtection="1">
      <alignment horizontal="left"/>
      <protection locked="0"/>
    </xf>
    <xf numFmtId="3" fontId="382" fillId="0" borderId="385" xfId="32" applyFont="1" applyFill="1" applyBorder="1" applyAlignment="1" applyProtection="1">
      <alignment horizontal="left"/>
      <protection locked="0"/>
    </xf>
    <xf numFmtId="3" fontId="221" fillId="0" borderId="202" xfId="32" applyFont="1" applyFill="1" applyBorder="1" applyProtection="1">
      <protection locked="0"/>
    </xf>
    <xf numFmtId="3" fontId="382" fillId="0" borderId="198" xfId="32" applyFont="1" applyFill="1" applyBorder="1" applyAlignment="1" applyProtection="1">
      <alignment horizontal="left"/>
      <protection locked="0"/>
    </xf>
    <xf numFmtId="3" fontId="382" fillId="0" borderId="53" xfId="32" applyFont="1" applyFill="1" applyBorder="1" applyAlignment="1" applyProtection="1">
      <alignment vertical="center"/>
      <protection locked="0"/>
    </xf>
    <xf numFmtId="3" fontId="221" fillId="0" borderId="502" xfId="32" applyFont="1" applyFill="1" applyBorder="1" applyAlignment="1" applyProtection="1">
      <alignment vertical="center"/>
      <protection locked="0"/>
    </xf>
    <xf numFmtId="183" fontId="221" fillId="0" borderId="502" xfId="88" applyNumberFormat="1" applyFont="1" applyFill="1" applyBorder="1" applyAlignment="1" applyProtection="1">
      <alignment horizontal="center" vertical="center"/>
      <protection locked="0"/>
    </xf>
    <xf numFmtId="183" fontId="220" fillId="0" borderId="502" xfId="88" applyNumberFormat="1" applyFont="1" applyFill="1" applyBorder="1" applyAlignment="1" applyProtection="1">
      <alignment horizontal="center" vertical="center"/>
      <protection locked="0"/>
    </xf>
    <xf numFmtId="3" fontId="384" fillId="0" borderId="53" xfId="32" applyFont="1" applyFill="1" applyBorder="1" applyAlignment="1" applyProtection="1">
      <alignment horizontal="left"/>
      <protection locked="0"/>
    </xf>
    <xf numFmtId="3" fontId="220" fillId="0" borderId="2" xfId="32" applyFont="1" applyFill="1" applyBorder="1" applyProtection="1">
      <protection locked="0"/>
    </xf>
    <xf numFmtId="3" fontId="220" fillId="0" borderId="202" xfId="32" applyFont="1" applyFill="1" applyBorder="1" applyProtection="1">
      <protection locked="0"/>
    </xf>
    <xf numFmtId="3" fontId="382" fillId="0" borderId="53" xfId="32" applyFont="1" applyFill="1" applyBorder="1" applyAlignment="1" applyProtection="1">
      <alignment wrapText="1"/>
      <protection locked="0"/>
    </xf>
    <xf numFmtId="39" fontId="221" fillId="0" borderId="0" xfId="68" applyNumberFormat="1" applyFont="1" applyFill="1" applyBorder="1" applyProtection="1">
      <protection hidden="1"/>
    </xf>
    <xf numFmtId="3" fontId="382" fillId="0" borderId="492" xfId="32" applyFont="1" applyFill="1" applyBorder="1" applyProtection="1">
      <protection locked="0"/>
    </xf>
    <xf numFmtId="3" fontId="382" fillId="0" borderId="637" xfId="32" applyFont="1" applyFill="1" applyBorder="1" applyProtection="1">
      <protection locked="0"/>
    </xf>
    <xf numFmtId="183" fontId="221" fillId="0" borderId="0" xfId="88" applyNumberFormat="1" applyFont="1" applyFill="1" applyBorder="1" applyAlignment="1" applyProtection="1">
      <alignment horizontal="center"/>
      <protection hidden="1"/>
    </xf>
    <xf numFmtId="167" fontId="220" fillId="0" borderId="2" xfId="32" applyNumberFormat="1" applyFont="1" applyFill="1" applyBorder="1" applyAlignment="1" applyProtection="1">
      <alignment vertical="center"/>
      <protection locked="0"/>
    </xf>
    <xf numFmtId="3" fontId="95" fillId="0" borderId="198" xfId="32" applyFont="1" applyFill="1" applyBorder="1" applyAlignment="1" applyProtection="1">
      <alignment horizontal="center" vertical="center"/>
      <protection locked="0"/>
    </xf>
    <xf numFmtId="167" fontId="220" fillId="0" borderId="451" xfId="32" applyNumberFormat="1" applyFont="1" applyFill="1" applyBorder="1" applyProtection="1">
      <protection locked="0"/>
    </xf>
    <xf numFmtId="3" fontId="95" fillId="0" borderId="452" xfId="32" applyFont="1" applyFill="1" applyBorder="1" applyAlignment="1" applyProtection="1">
      <alignment horizontal="center"/>
      <protection locked="0"/>
    </xf>
    <xf numFmtId="167" fontId="220" fillId="0" borderId="157" xfId="32" applyNumberFormat="1" applyFont="1" applyFill="1" applyBorder="1" applyProtection="1">
      <protection locked="0"/>
    </xf>
    <xf numFmtId="3" fontId="95" fillId="0" borderId="157" xfId="32" applyFont="1" applyFill="1" applyBorder="1" applyAlignment="1" applyProtection="1">
      <alignment horizontal="center"/>
      <protection locked="0"/>
    </xf>
    <xf numFmtId="167" fontId="220" fillId="0" borderId="0" xfId="32" applyNumberFormat="1" applyFont="1" applyFill="1" applyBorder="1" applyProtection="1">
      <protection locked="0"/>
    </xf>
    <xf numFmtId="3" fontId="95" fillId="0" borderId="0" xfId="32" applyFont="1" applyFill="1" applyBorder="1" applyAlignment="1" applyProtection="1">
      <alignment horizontal="center"/>
      <protection locked="0"/>
    </xf>
    <xf numFmtId="167" fontId="220" fillId="0" borderId="13" xfId="32" applyNumberFormat="1" applyFont="1" applyFill="1" applyBorder="1" applyProtection="1">
      <protection locked="0"/>
    </xf>
    <xf numFmtId="3" fontId="95" fillId="0" borderId="13" xfId="32" applyFont="1" applyFill="1" applyBorder="1" applyAlignment="1" applyProtection="1">
      <alignment horizontal="center"/>
      <protection locked="0"/>
    </xf>
    <xf numFmtId="3" fontId="286" fillId="0" borderId="2" xfId="32" applyFont="1" applyFill="1" applyBorder="1" applyProtection="1">
      <protection locked="0"/>
    </xf>
    <xf numFmtId="3" fontId="286" fillId="0" borderId="0" xfId="32" applyFont="1" applyFill="1" applyBorder="1" applyProtection="1">
      <protection locked="0"/>
    </xf>
    <xf numFmtId="183" fontId="286" fillId="0" borderId="0" xfId="88" applyNumberFormat="1" applyFont="1" applyFill="1" applyBorder="1" applyAlignment="1" applyProtection="1">
      <alignment horizontal="center"/>
      <protection locked="0"/>
    </xf>
    <xf numFmtId="43" fontId="292" fillId="0" borderId="0" xfId="1" applyFont="1" applyFill="1"/>
    <xf numFmtId="3" fontId="286" fillId="0" borderId="0" xfId="32" applyFont="1" applyFill="1"/>
    <xf numFmtId="3" fontId="220" fillId="0" borderId="300" xfId="32" applyFont="1" applyFill="1" applyBorder="1" applyProtection="1">
      <protection locked="0"/>
    </xf>
    <xf numFmtId="39" fontId="221" fillId="0" borderId="300" xfId="68" applyNumberFormat="1" applyFont="1" applyFill="1" applyBorder="1" applyProtection="1">
      <protection locked="0"/>
    </xf>
    <xf numFmtId="3" fontId="220" fillId="0" borderId="2" xfId="32" applyFont="1" applyFill="1" applyBorder="1" applyAlignment="1" applyProtection="1">
      <alignment vertical="center"/>
      <protection locked="0"/>
    </xf>
    <xf numFmtId="183" fontId="220" fillId="0" borderId="491" xfId="88" applyNumberFormat="1" applyFont="1" applyFill="1" applyBorder="1" applyAlignment="1" applyProtection="1">
      <alignment horizontal="center" vertical="center"/>
      <protection hidden="1"/>
    </xf>
    <xf numFmtId="39" fontId="220" fillId="0" borderId="0" xfId="32" applyNumberFormat="1" applyFont="1" applyFill="1" applyBorder="1" applyProtection="1">
      <protection hidden="1"/>
    </xf>
    <xf numFmtId="183" fontId="220" fillId="0" borderId="0" xfId="88" applyNumberFormat="1" applyFont="1" applyFill="1" applyBorder="1" applyAlignment="1" applyProtection="1">
      <alignment horizontal="center"/>
      <protection hidden="1"/>
    </xf>
    <xf numFmtId="39" fontId="286" fillId="0" borderId="0" xfId="32" applyNumberFormat="1" applyFont="1" applyFill="1" applyBorder="1" applyProtection="1">
      <protection locked="0"/>
    </xf>
    <xf numFmtId="39" fontId="221" fillId="0" borderId="497" xfId="68" applyNumberFormat="1" applyFont="1" applyFill="1" applyBorder="1" applyProtection="1">
      <protection locked="0"/>
    </xf>
    <xf numFmtId="183" fontId="221" fillId="0" borderId="497" xfId="88" applyNumberFormat="1" applyFont="1" applyFill="1" applyBorder="1" applyAlignment="1" applyProtection="1">
      <alignment horizontal="center"/>
      <protection locked="0"/>
    </xf>
    <xf numFmtId="183" fontId="220" fillId="0" borderId="491" xfId="88" applyNumberFormat="1" applyFont="1" applyFill="1" applyBorder="1" applyAlignment="1" applyProtection="1">
      <alignment horizontal="center"/>
      <protection locked="0"/>
    </xf>
    <xf numFmtId="183" fontId="220" fillId="0" borderId="581" xfId="88" applyNumberFormat="1" applyFont="1" applyFill="1" applyBorder="1" applyAlignment="1" applyProtection="1">
      <alignment horizontal="center"/>
      <protection locked="0"/>
    </xf>
    <xf numFmtId="0" fontId="221" fillId="0" borderId="0" xfId="32" applyNumberFormat="1" applyFont="1" applyFill="1" applyAlignment="1">
      <alignment horizontal="center"/>
    </xf>
    <xf numFmtId="3" fontId="220" fillId="0" borderId="54" xfId="32" applyFont="1" applyFill="1" applyBorder="1" applyProtection="1">
      <protection locked="0"/>
    </xf>
    <xf numFmtId="3" fontId="220" fillId="0" borderId="360" xfId="32" applyFont="1" applyFill="1" applyBorder="1" applyProtection="1">
      <protection locked="0"/>
    </xf>
    <xf numFmtId="3" fontId="382" fillId="0" borderId="361" xfId="32" applyFont="1" applyFill="1" applyBorder="1" applyAlignment="1" applyProtection="1">
      <alignment horizontal="left"/>
      <protection locked="0"/>
    </xf>
    <xf numFmtId="3" fontId="221" fillId="0" borderId="360" xfId="32" applyFont="1" applyFill="1" applyBorder="1" applyProtection="1">
      <protection locked="0"/>
    </xf>
    <xf numFmtId="3" fontId="221" fillId="0" borderId="54" xfId="32" applyFont="1" applyFill="1" applyBorder="1" applyAlignment="1" applyProtection="1">
      <alignment vertical="center"/>
      <protection locked="0"/>
    </xf>
    <xf numFmtId="167" fontId="220" fillId="0" borderId="54" xfId="32" applyNumberFormat="1" applyFont="1" applyFill="1" applyBorder="1" applyProtection="1">
      <protection locked="0"/>
    </xf>
    <xf numFmtId="3" fontId="220" fillId="0" borderId="54" xfId="32" applyFont="1" applyFill="1" applyBorder="1" applyAlignment="1" applyProtection="1">
      <alignment vertical="center"/>
      <protection locked="0"/>
    </xf>
    <xf numFmtId="39" fontId="220" fillId="0" borderId="499" xfId="32" applyNumberFormat="1" applyFont="1" applyFill="1" applyBorder="1" applyProtection="1">
      <protection hidden="1"/>
    </xf>
    <xf numFmtId="183" fontId="220" fillId="0" borderId="499" xfId="88" applyNumberFormat="1" applyFont="1" applyFill="1" applyBorder="1" applyAlignment="1" applyProtection="1">
      <alignment horizontal="center"/>
      <protection hidden="1"/>
    </xf>
    <xf numFmtId="3" fontId="95" fillId="0" borderId="53" xfId="32" applyFont="1" applyFill="1" applyBorder="1" applyAlignment="1" applyProtection="1">
      <alignment horizontal="left" vertical="center"/>
      <protection locked="0"/>
    </xf>
    <xf numFmtId="183" fontId="221" fillId="0" borderId="0" xfId="88" applyNumberFormat="1" applyFont="1" applyFill="1" applyBorder="1" applyAlignment="1" applyProtection="1">
      <alignment horizontal="center" vertical="center"/>
      <protection hidden="1"/>
    </xf>
    <xf numFmtId="3" fontId="220" fillId="0" borderId="360" xfId="32" applyFont="1" applyFill="1" applyBorder="1" applyAlignment="1" applyProtection="1">
      <alignment vertical="center"/>
      <protection locked="0"/>
    </xf>
    <xf numFmtId="3" fontId="95" fillId="0" borderId="492" xfId="32" applyFont="1" applyFill="1" applyBorder="1" applyAlignment="1" applyProtection="1">
      <alignment horizontal="left" vertical="center"/>
      <protection locked="0"/>
    </xf>
    <xf numFmtId="39" fontId="221" fillId="0" borderId="497" xfId="32" applyNumberFormat="1" applyFont="1" applyFill="1" applyBorder="1" applyAlignment="1" applyProtection="1">
      <alignment vertical="center"/>
      <protection hidden="1"/>
    </xf>
    <xf numFmtId="183" fontId="221" fillId="0" borderId="497" xfId="88" applyNumberFormat="1" applyFont="1" applyFill="1" applyBorder="1" applyAlignment="1" applyProtection="1">
      <alignment horizontal="center" vertical="center"/>
      <protection hidden="1"/>
    </xf>
    <xf numFmtId="39" fontId="220" fillId="0" borderId="491" xfId="32" applyNumberFormat="1" applyFont="1" applyFill="1" applyBorder="1" applyProtection="1">
      <protection locked="0"/>
    </xf>
    <xf numFmtId="3" fontId="221" fillId="0" borderId="0" xfId="32" applyFont="1" applyFill="1" applyAlignment="1">
      <alignment vertical="top"/>
    </xf>
    <xf numFmtId="3" fontId="221" fillId="0" borderId="360" xfId="32" applyFont="1" applyFill="1" applyBorder="1" applyAlignment="1">
      <alignment vertical="center"/>
    </xf>
    <xf numFmtId="183" fontId="220" fillId="0" borderId="581" xfId="88" applyNumberFormat="1" applyFont="1" applyFill="1" applyBorder="1" applyAlignment="1" applyProtection="1">
      <alignment horizontal="center" vertical="center"/>
      <protection hidden="1"/>
    </xf>
    <xf numFmtId="3" fontId="220" fillId="0" borderId="360" xfId="32" applyFont="1" applyFill="1" applyBorder="1" applyAlignment="1">
      <alignment vertical="top"/>
    </xf>
    <xf numFmtId="3" fontId="95" fillId="0" borderId="492" xfId="32" applyFont="1" applyFill="1" applyBorder="1" applyAlignment="1" applyProtection="1">
      <alignment horizontal="left" vertical="top"/>
      <protection locked="0"/>
    </xf>
    <xf numFmtId="183" fontId="220" fillId="0" borderId="0" xfId="88" applyNumberFormat="1" applyFont="1" applyFill="1" applyBorder="1" applyAlignment="1" applyProtection="1">
      <alignment horizontal="center" vertical="top"/>
      <protection hidden="1"/>
    </xf>
    <xf numFmtId="3" fontId="221" fillId="0" borderId="360" xfId="32" applyFont="1" applyFill="1" applyBorder="1" applyAlignment="1">
      <alignment vertical="top"/>
    </xf>
    <xf numFmtId="3" fontId="221" fillId="0" borderId="503" xfId="32" applyFont="1" applyFill="1" applyBorder="1" applyAlignment="1">
      <alignment vertical="top"/>
    </xf>
    <xf numFmtId="3" fontId="95" fillId="0" borderId="507" xfId="32" applyFont="1" applyFill="1" applyBorder="1" applyAlignment="1" applyProtection="1">
      <alignment horizontal="left" vertical="top"/>
      <protection locked="0"/>
    </xf>
    <xf numFmtId="183" fontId="220" fillId="0" borderId="502" xfId="88" applyNumberFormat="1" applyFont="1" applyFill="1" applyBorder="1" applyAlignment="1" applyProtection="1">
      <alignment horizontal="center" vertical="top"/>
      <protection hidden="1"/>
    </xf>
    <xf numFmtId="3" fontId="220" fillId="0" borderId="83" xfId="32" applyFont="1" applyFill="1" applyBorder="1" applyAlignment="1" applyProtection="1">
      <alignment vertical="center"/>
      <protection locked="0"/>
    </xf>
    <xf numFmtId="3" fontId="95" fillId="0" borderId="84" xfId="32" applyFont="1" applyFill="1" applyBorder="1" applyAlignment="1" applyProtection="1">
      <alignment vertical="center"/>
      <protection locked="0"/>
    </xf>
    <xf numFmtId="3" fontId="95" fillId="0" borderId="61" xfId="32" applyFont="1" applyFill="1" applyBorder="1" applyProtection="1">
      <protection locked="0"/>
    </xf>
    <xf numFmtId="39" fontId="221" fillId="0" borderId="580" xfId="32" applyNumberFormat="1" applyFont="1" applyFill="1" applyBorder="1" applyProtection="1">
      <protection hidden="1"/>
    </xf>
    <xf numFmtId="183" fontId="221" fillId="0" borderId="580" xfId="88" applyNumberFormat="1" applyFont="1" applyFill="1" applyBorder="1" applyAlignment="1" applyProtection="1">
      <alignment horizontal="center"/>
      <protection hidden="1"/>
    </xf>
    <xf numFmtId="3" fontId="221" fillId="0" borderId="0" xfId="23" applyFont="1" applyFill="1" applyAlignment="1" applyProtection="1">
      <alignment horizontal="left"/>
      <protection locked="0"/>
    </xf>
    <xf numFmtId="3" fontId="382" fillId="0" borderId="0" xfId="23" applyFont="1" applyFill="1" applyProtection="1">
      <protection locked="0"/>
    </xf>
    <xf numFmtId="3" fontId="221" fillId="0" borderId="0" xfId="23" applyFont="1" applyFill="1" applyProtection="1">
      <protection locked="0"/>
    </xf>
    <xf numFmtId="183" fontId="221" fillId="0" borderId="0" xfId="88" applyNumberFormat="1" applyFont="1" applyFill="1" applyAlignment="1" applyProtection="1">
      <alignment horizontal="center"/>
      <protection locked="0"/>
    </xf>
    <xf numFmtId="3" fontId="221" fillId="0" borderId="0" xfId="23" applyFont="1" applyFill="1" applyAlignment="1" applyProtection="1">
      <alignment vertical="top"/>
      <protection locked="0"/>
    </xf>
    <xf numFmtId="3" fontId="382" fillId="0" borderId="0" xfId="23" applyFont="1" applyFill="1"/>
    <xf numFmtId="39" fontId="220" fillId="0" borderId="0" xfId="23" applyNumberFormat="1" applyFont="1" applyFill="1" applyAlignment="1" applyProtection="1">
      <alignment horizontal="left"/>
      <protection locked="0"/>
    </xf>
    <xf numFmtId="3" fontId="220" fillId="0" borderId="0" xfId="23" applyFont="1" applyFill="1" applyProtection="1">
      <protection locked="0"/>
    </xf>
    <xf numFmtId="3" fontId="95" fillId="0" borderId="0" xfId="23" applyFont="1" applyFill="1" applyProtection="1">
      <protection locked="0"/>
    </xf>
    <xf numFmtId="183" fontId="220" fillId="0" borderId="0" xfId="88" applyNumberFormat="1" applyFont="1" applyFill="1" applyAlignment="1" applyProtection="1">
      <alignment horizontal="center"/>
      <protection locked="0"/>
    </xf>
    <xf numFmtId="3" fontId="382" fillId="0" borderId="0" xfId="23" applyFont="1" applyFill="1" applyAlignment="1" applyProtection="1">
      <alignment horizontal="left"/>
      <protection locked="0"/>
    </xf>
    <xf numFmtId="3" fontId="278" fillId="0" borderId="0" xfId="23" applyFont="1" applyFill="1" applyAlignment="1" applyProtection="1">
      <alignment horizontal="center"/>
      <protection locked="0"/>
    </xf>
    <xf numFmtId="3" fontId="320" fillId="0" borderId="0" xfId="23" applyFont="1" applyFill="1" applyAlignment="1" applyProtection="1">
      <alignment horizontal="center"/>
      <protection locked="0"/>
    </xf>
    <xf numFmtId="3" fontId="221" fillId="0" borderId="0" xfId="23" applyFont="1" applyFill="1" applyAlignment="1" applyProtection="1">
      <protection locked="0"/>
    </xf>
    <xf numFmtId="3" fontId="382" fillId="0" borderId="0" xfId="23" applyFont="1" applyFill="1" applyAlignment="1" applyProtection="1">
      <protection locked="0"/>
    </xf>
    <xf numFmtId="3" fontId="382" fillId="0" borderId="0" xfId="23" applyFont="1" applyFill="1" applyAlignment="1">
      <alignment horizontal="right"/>
    </xf>
    <xf numFmtId="3" fontId="221" fillId="0" borderId="0" xfId="23" applyFont="1" applyFill="1" applyBorder="1"/>
    <xf numFmtId="0" fontId="95" fillId="0" borderId="0" xfId="23" applyNumberFormat="1" applyFont="1" applyFill="1" applyAlignment="1">
      <alignment horizontal="right"/>
    </xf>
    <xf numFmtId="0" fontId="220" fillId="0" borderId="0" xfId="1" applyNumberFormat="1" applyFont="1" applyFill="1" applyAlignment="1">
      <alignment horizontal="center"/>
    </xf>
    <xf numFmtId="0" fontId="220" fillId="0" borderId="0" xfId="32" applyNumberFormat="1" applyFont="1" applyFill="1" applyAlignment="1">
      <alignment horizontal="center"/>
    </xf>
    <xf numFmtId="9" fontId="382" fillId="0" borderId="0" xfId="88" applyFont="1" applyFill="1"/>
    <xf numFmtId="9" fontId="220" fillId="0" borderId="0" xfId="88" applyFont="1" applyFill="1"/>
    <xf numFmtId="3" fontId="95" fillId="0" borderId="0" xfId="23" applyFont="1" applyFill="1"/>
    <xf numFmtId="43" fontId="295" fillId="0" borderId="0" xfId="1" applyFont="1" applyFill="1"/>
    <xf numFmtId="49" fontId="220" fillId="0" borderId="546" xfId="32" applyNumberFormat="1" applyFont="1" applyFill="1" applyBorder="1" applyAlignment="1" applyProtection="1">
      <alignment horizontal="center"/>
      <protection locked="0" hidden="1"/>
    </xf>
    <xf numFmtId="39" fontId="220" fillId="0" borderId="676" xfId="84" applyNumberFormat="1" applyFont="1" applyFill="1" applyBorder="1" applyProtection="1">
      <protection locked="0"/>
    </xf>
    <xf numFmtId="3" fontId="221" fillId="0" borderId="679" xfId="32" applyFont="1" applyFill="1" applyBorder="1" applyProtection="1">
      <protection hidden="1"/>
    </xf>
    <xf numFmtId="3" fontId="221" fillId="0" borderId="683" xfId="32" applyFont="1" applyFill="1" applyBorder="1" applyProtection="1">
      <protection locked="0"/>
    </xf>
    <xf numFmtId="39" fontId="221" fillId="0" borderId="0" xfId="32" applyNumberFormat="1" applyFont="1" applyFill="1" applyBorder="1" applyProtection="1">
      <protection hidden="1"/>
    </xf>
    <xf numFmtId="39" fontId="221" fillId="0" borderId="676" xfId="32" applyNumberFormat="1" applyFont="1" applyFill="1" applyBorder="1" applyProtection="1">
      <protection locked="0"/>
    </xf>
    <xf numFmtId="3" fontId="221" fillId="0" borderId="0" xfId="32" applyFont="1" applyFill="1" applyBorder="1" applyProtection="1">
      <protection hidden="1"/>
    </xf>
    <xf numFmtId="3" fontId="385" fillId="0" borderId="82" xfId="66" applyFont="1" applyFill="1" applyBorder="1"/>
    <xf numFmtId="3" fontId="221" fillId="0" borderId="58" xfId="32" applyFont="1" applyFill="1" applyBorder="1" applyAlignment="1" applyProtection="1">
      <alignment vertical="center"/>
      <protection hidden="1"/>
    </xf>
    <xf numFmtId="39" fontId="221" fillId="0" borderId="0" xfId="84" applyNumberFormat="1" applyFont="1" applyFill="1" applyBorder="1" applyProtection="1">
      <protection locked="0"/>
    </xf>
    <xf numFmtId="39" fontId="221" fillId="0" borderId="676" xfId="84" applyNumberFormat="1" applyFont="1" applyFill="1" applyBorder="1" applyProtection="1">
      <protection hidden="1"/>
    </xf>
    <xf numFmtId="39" fontId="221" fillId="0" borderId="196" xfId="68" applyNumberFormat="1" applyFont="1" applyFill="1" applyBorder="1" applyProtection="1">
      <protection hidden="1"/>
    </xf>
    <xf numFmtId="3" fontId="286" fillId="0" borderId="0" xfId="32" applyFont="1" applyFill="1" applyBorder="1" applyProtection="1">
      <protection hidden="1"/>
    </xf>
    <xf numFmtId="39" fontId="220" fillId="0" borderId="491" xfId="32" applyNumberFormat="1" applyFont="1" applyFill="1" applyBorder="1" applyAlignment="1" applyProtection="1">
      <alignment vertical="center"/>
      <protection hidden="1"/>
    </xf>
    <xf numFmtId="39" fontId="286" fillId="0" borderId="0" xfId="32" applyNumberFormat="1" applyFont="1" applyFill="1" applyBorder="1" applyProtection="1">
      <protection hidden="1"/>
    </xf>
    <xf numFmtId="39" fontId="221" fillId="0" borderId="680" xfId="84" applyNumberFormat="1" applyFont="1" applyFill="1" applyBorder="1" applyProtection="1">
      <protection locked="0"/>
    </xf>
    <xf numFmtId="4" fontId="221" fillId="0" borderId="0" xfId="12" applyFont="1" applyFill="1" applyBorder="1" applyProtection="1">
      <protection hidden="1"/>
    </xf>
    <xf numFmtId="43" fontId="221" fillId="0" borderId="0" xfId="1" applyFont="1" applyFill="1" applyBorder="1" applyAlignment="1" applyProtection="1">
      <alignment vertical="center"/>
      <protection hidden="1"/>
    </xf>
    <xf numFmtId="43" fontId="221" fillId="0" borderId="497" xfId="1" applyFont="1" applyFill="1" applyBorder="1" applyAlignment="1" applyProtection="1">
      <alignment vertical="center"/>
      <protection hidden="1"/>
    </xf>
    <xf numFmtId="39" fontId="220" fillId="0" borderId="86" xfId="32" applyNumberFormat="1" applyFont="1" applyFill="1" applyBorder="1" applyAlignment="1" applyProtection="1">
      <alignment vertical="center"/>
      <protection hidden="1"/>
    </xf>
    <xf numFmtId="39" fontId="221" fillId="0" borderId="61" xfId="32" applyNumberFormat="1" applyFont="1" applyFill="1" applyBorder="1" applyProtection="1">
      <protection hidden="1"/>
    </xf>
    <xf numFmtId="4" fontId="278" fillId="0" borderId="570" xfId="30" applyNumberFormat="1" applyFont="1" applyFill="1" applyBorder="1" applyAlignment="1" applyProtection="1">
      <alignment horizontal="center" vertical="center"/>
      <protection locked="0"/>
    </xf>
    <xf numFmtId="39" fontId="375" fillId="0" borderId="0" xfId="1" applyNumberFormat="1" applyFont="1" applyFill="1" applyAlignment="1">
      <alignment vertical="top"/>
    </xf>
    <xf numFmtId="0" fontId="278" fillId="0" borderId="0" xfId="47" applyFont="1" applyFill="1" applyAlignment="1">
      <alignment horizontal="center" vertical="top"/>
    </xf>
    <xf numFmtId="43" fontId="320" fillId="0" borderId="543" xfId="1" applyFont="1" applyFill="1" applyBorder="1" applyAlignment="1">
      <alignment vertical="top"/>
    </xf>
    <xf numFmtId="4" fontId="320" fillId="0" borderId="433" xfId="1" applyNumberFormat="1" applyFont="1" applyFill="1" applyBorder="1" applyAlignment="1" applyProtection="1">
      <alignment horizontal="center" vertical="top"/>
      <protection locked="0"/>
    </xf>
    <xf numFmtId="4" fontId="278" fillId="0" borderId="643" xfId="30" applyNumberFormat="1" applyFont="1" applyFill="1" applyBorder="1" applyAlignment="1" applyProtection="1">
      <alignment horizontal="center" vertical="center"/>
      <protection locked="0"/>
    </xf>
    <xf numFmtId="43" fontId="321" fillId="0" borderId="0" xfId="1" applyFont="1" applyFill="1"/>
    <xf numFmtId="0" fontId="278" fillId="0" borderId="433" xfId="1" applyNumberFormat="1" applyFont="1" applyFill="1" applyBorder="1" applyAlignment="1" applyProtection="1">
      <alignment horizontal="center" vertical="top"/>
      <protection locked="0"/>
    </xf>
    <xf numFmtId="4" fontId="278" fillId="0" borderId="0" xfId="30" applyNumberFormat="1" applyFont="1" applyFill="1" applyBorder="1" applyAlignment="1" applyProtection="1">
      <alignment horizontal="center" vertical="center"/>
      <protection locked="0"/>
    </xf>
    <xf numFmtId="0" fontId="320" fillId="0" borderId="685" xfId="47" applyNumberFormat="1" applyFont="1" applyFill="1" applyBorder="1" applyAlignment="1" applyProtection="1">
      <alignment horizontal="center" vertical="top"/>
      <protection locked="0"/>
    </xf>
    <xf numFmtId="4" fontId="320" fillId="0" borderId="731" xfId="1" applyNumberFormat="1" applyFont="1" applyFill="1" applyBorder="1" applyAlignment="1" applyProtection="1">
      <alignment vertical="top"/>
      <protection locked="0"/>
    </xf>
    <xf numFmtId="10" fontId="320" fillId="0" borderId="731" xfId="88" applyNumberFormat="1" applyFont="1" applyFill="1" applyBorder="1" applyAlignment="1" applyProtection="1">
      <alignment vertical="top"/>
      <protection locked="0"/>
    </xf>
    <xf numFmtId="0" fontId="320" fillId="0" borderId="709" xfId="47" applyFont="1" applyFill="1" applyBorder="1" applyAlignment="1" applyProtection="1">
      <alignment vertical="top"/>
      <protection locked="0"/>
    </xf>
    <xf numFmtId="0" fontId="320" fillId="0" borderId="709" xfId="47" applyNumberFormat="1" applyFont="1" applyFill="1" applyBorder="1" applyAlignment="1" applyProtection="1">
      <alignment horizontal="center" vertical="top"/>
      <protection locked="0"/>
    </xf>
    <xf numFmtId="4" fontId="320" fillId="0" borderId="709" xfId="1" applyNumberFormat="1" applyFont="1" applyFill="1" applyBorder="1" applyAlignment="1" applyProtection="1">
      <alignment horizontal="right" vertical="top"/>
      <protection locked="0"/>
    </xf>
    <xf numFmtId="4" fontId="320" fillId="0" borderId="709" xfId="1" applyNumberFormat="1" applyFont="1" applyFill="1" applyBorder="1" applyAlignment="1" applyProtection="1">
      <alignment vertical="top"/>
      <protection locked="0"/>
    </xf>
    <xf numFmtId="10" fontId="320" fillId="0" borderId="709" xfId="88" applyNumberFormat="1" applyFont="1" applyFill="1" applyBorder="1" applyAlignment="1" applyProtection="1">
      <alignment vertical="top"/>
      <protection locked="0"/>
    </xf>
    <xf numFmtId="4" fontId="278" fillId="0" borderId="700" xfId="1" applyNumberFormat="1" applyFont="1" applyFill="1" applyBorder="1" applyAlignment="1" applyProtection="1">
      <alignment vertical="top"/>
      <protection locked="0"/>
    </xf>
    <xf numFmtId="4" fontId="278" fillId="0" borderId="713" xfId="1" applyNumberFormat="1" applyFont="1" applyFill="1" applyBorder="1" applyAlignment="1" applyProtection="1">
      <alignment vertical="top"/>
      <protection locked="0"/>
    </xf>
    <xf numFmtId="10" fontId="278" fillId="0" borderId="713" xfId="88" applyNumberFormat="1" applyFont="1" applyFill="1" applyBorder="1" applyAlignment="1" applyProtection="1">
      <alignment vertical="top"/>
      <protection locked="0"/>
    </xf>
    <xf numFmtId="4" fontId="320" fillId="0" borderId="685" xfId="1" applyNumberFormat="1" applyFont="1" applyFill="1" applyBorder="1" applyAlignment="1" applyProtection="1">
      <alignment vertical="top"/>
      <protection locked="0"/>
    </xf>
    <xf numFmtId="0" fontId="278" fillId="0" borderId="709" xfId="47" applyFont="1" applyFill="1" applyBorder="1" applyAlignment="1" applyProtection="1">
      <alignment horizontal="center" vertical="top"/>
      <protection locked="0"/>
    </xf>
    <xf numFmtId="4" fontId="278" fillId="0" borderId="731" xfId="1" applyNumberFormat="1" applyFont="1" applyFill="1" applyBorder="1" applyAlignment="1" applyProtection="1">
      <alignment horizontal="center" vertical="top"/>
      <protection locked="0"/>
    </xf>
    <xf numFmtId="39" fontId="278" fillId="0" borderId="731" xfId="1" applyNumberFormat="1" applyFont="1" applyFill="1" applyBorder="1" applyAlignment="1" applyProtection="1">
      <alignment horizontal="center" vertical="center"/>
      <protection locked="0"/>
    </xf>
    <xf numFmtId="10" fontId="278" fillId="0" borderId="731" xfId="88" applyNumberFormat="1" applyFont="1" applyFill="1" applyBorder="1" applyAlignment="1" applyProtection="1">
      <alignment horizontal="center" vertical="top"/>
      <protection locked="0"/>
    </xf>
    <xf numFmtId="0" fontId="278" fillId="0" borderId="434" xfId="1" applyNumberFormat="1" applyFont="1" applyFill="1" applyBorder="1" applyAlignment="1" applyProtection="1">
      <alignment horizontal="center" vertical="top"/>
      <protection locked="0"/>
    </xf>
    <xf numFmtId="39" fontId="278" fillId="0" borderId="434" xfId="1" applyNumberFormat="1" applyFont="1" applyFill="1" applyBorder="1" applyAlignment="1" applyProtection="1">
      <alignment horizontal="center" vertical="center"/>
      <protection locked="0"/>
    </xf>
    <xf numFmtId="10" fontId="278" fillId="0" borderId="434" xfId="88" applyNumberFormat="1" applyFont="1" applyFill="1" applyBorder="1" applyAlignment="1" applyProtection="1">
      <alignment horizontal="center" vertical="top"/>
      <protection locked="0"/>
    </xf>
    <xf numFmtId="0" fontId="278" fillId="0" borderId="685" xfId="47" applyNumberFormat="1" applyFont="1" applyFill="1" applyBorder="1" applyAlignment="1" applyProtection="1">
      <alignment horizontal="center" vertical="top" wrapText="1"/>
      <protection locked="0"/>
    </xf>
    <xf numFmtId="0" fontId="320" fillId="0" borderId="626" xfId="47" applyFont="1" applyFill="1" applyBorder="1" applyAlignment="1" applyProtection="1">
      <alignment vertical="top"/>
      <protection locked="0"/>
    </xf>
    <xf numFmtId="4" fontId="278" fillId="0" borderId="673" xfId="2" applyNumberFormat="1" applyFont="1" applyFill="1" applyBorder="1" applyAlignment="1">
      <alignment horizontal="center" vertical="center"/>
    </xf>
    <xf numFmtId="4" fontId="278" fillId="0" borderId="473" xfId="1" applyNumberFormat="1" applyFont="1" applyFill="1" applyBorder="1" applyAlignment="1" applyProtection="1">
      <alignment horizontal="center" vertical="top"/>
      <protection locked="0"/>
    </xf>
    <xf numFmtId="0" fontId="320" fillId="0" borderId="368" xfId="47" applyFont="1" applyFill="1" applyBorder="1" applyAlignment="1" applyProtection="1">
      <alignment vertical="top"/>
      <protection locked="0"/>
    </xf>
    <xf numFmtId="39" fontId="278" fillId="0" borderId="687" xfId="1" applyNumberFormat="1" applyFont="1" applyFill="1" applyBorder="1" applyAlignment="1" applyProtection="1">
      <alignment horizontal="center" vertical="center"/>
      <protection locked="0"/>
    </xf>
    <xf numFmtId="4" fontId="278" fillId="0" borderId="731" xfId="2" applyNumberFormat="1" applyFont="1" applyFill="1" applyBorder="1" applyAlignment="1">
      <alignment horizontal="center" vertical="center"/>
    </xf>
    <xf numFmtId="10" fontId="278" fillId="0" borderId="731" xfId="88" applyNumberFormat="1" applyFont="1" applyFill="1" applyBorder="1" applyAlignment="1">
      <alignment horizontal="center" vertical="center"/>
    </xf>
    <xf numFmtId="4" fontId="278" fillId="0" borderId="398" xfId="1" applyNumberFormat="1" applyFont="1" applyFill="1" applyBorder="1" applyAlignment="1" applyProtection="1">
      <alignment horizontal="center" vertical="top"/>
      <protection locked="0"/>
    </xf>
    <xf numFmtId="0" fontId="320" fillId="0" borderId="243" xfId="47" applyFont="1" applyFill="1" applyBorder="1" applyAlignment="1" applyProtection="1">
      <alignment vertical="top"/>
      <protection locked="0"/>
    </xf>
    <xf numFmtId="0" fontId="278" fillId="0" borderId="437" xfId="1" applyNumberFormat="1" applyFont="1" applyFill="1" applyBorder="1" applyAlignment="1" applyProtection="1">
      <alignment horizontal="center" vertical="top"/>
      <protection locked="0"/>
    </xf>
    <xf numFmtId="49" fontId="320" fillId="0" borderId="368" xfId="47" applyNumberFormat="1" applyFont="1" applyFill="1" applyBorder="1" applyAlignment="1" applyProtection="1">
      <alignment vertical="top"/>
      <protection locked="0"/>
    </xf>
    <xf numFmtId="4" fontId="320" fillId="0" borderId="398" xfId="1" applyNumberFormat="1" applyFont="1" applyFill="1" applyBorder="1" applyAlignment="1" applyProtection="1">
      <alignment vertical="top"/>
      <protection locked="0"/>
    </xf>
    <xf numFmtId="4" fontId="320" fillId="0" borderId="731" xfId="1" applyNumberFormat="1" applyFont="1" applyFill="1" applyBorder="1" applyAlignment="1" applyProtection="1">
      <alignment vertical="top"/>
      <protection hidden="1"/>
    </xf>
    <xf numFmtId="4" fontId="320" fillId="0" borderId="685" xfId="1" applyNumberFormat="1" applyFont="1" applyFill="1" applyBorder="1" applyAlignment="1" applyProtection="1">
      <alignment vertical="top"/>
      <protection hidden="1"/>
    </xf>
    <xf numFmtId="10" fontId="320" fillId="0" borderId="731" xfId="88" applyNumberFormat="1" applyFont="1" applyFill="1" applyBorder="1" applyAlignment="1" applyProtection="1">
      <alignment vertical="top"/>
      <protection hidden="1"/>
    </xf>
    <xf numFmtId="4" fontId="320" fillId="0" borderId="285" xfId="1" applyNumberFormat="1" applyFont="1" applyFill="1" applyBorder="1" applyAlignment="1" applyProtection="1">
      <alignment vertical="top"/>
      <protection hidden="1"/>
    </xf>
    <xf numFmtId="4" fontId="320" fillId="0" borderId="685" xfId="1" applyNumberFormat="1" applyFont="1" applyFill="1" applyBorder="1" applyAlignment="1">
      <alignment vertical="top"/>
    </xf>
    <xf numFmtId="4" fontId="320" fillId="0" borderId="285" xfId="1" applyNumberFormat="1" applyFont="1" applyFill="1" applyBorder="1" applyAlignment="1">
      <alignment vertical="top"/>
    </xf>
    <xf numFmtId="4" fontId="320" fillId="0" borderId="285" xfId="1" applyNumberFormat="1" applyFont="1" applyFill="1" applyBorder="1" applyAlignment="1" applyProtection="1">
      <alignment vertical="top"/>
      <protection locked="0"/>
    </xf>
    <xf numFmtId="0" fontId="278" fillId="0" borderId="433" xfId="47" applyFont="1" applyFill="1" applyBorder="1" applyAlignment="1" applyProtection="1">
      <alignment vertical="top"/>
      <protection locked="0"/>
    </xf>
    <xf numFmtId="0" fontId="320" fillId="0" borderId="397" xfId="47" applyNumberFormat="1" applyFont="1" applyFill="1" applyBorder="1" applyAlignment="1" applyProtection="1">
      <alignment horizontal="center" vertical="top"/>
      <protection locked="0"/>
    </xf>
    <xf numFmtId="4" fontId="278" fillId="0" borderId="633" xfId="1" applyNumberFormat="1" applyFont="1" applyFill="1" applyBorder="1" applyAlignment="1" applyProtection="1">
      <alignment vertical="top"/>
      <protection locked="0"/>
    </xf>
    <xf numFmtId="4" fontId="278" fillId="0" borderId="485" xfId="1" applyNumberFormat="1" applyFont="1" applyFill="1" applyBorder="1" applyAlignment="1" applyProtection="1">
      <alignment vertical="top"/>
      <protection locked="0"/>
    </xf>
    <xf numFmtId="10" fontId="278" fillId="0" borderId="485" xfId="88" applyNumberFormat="1" applyFont="1" applyFill="1" applyBorder="1" applyAlignment="1" applyProtection="1">
      <alignment vertical="top"/>
      <protection locked="0"/>
    </xf>
    <xf numFmtId="4" fontId="278" fillId="0" borderId="634" xfId="1" applyNumberFormat="1" applyFont="1" applyFill="1" applyBorder="1" applyAlignment="1" applyProtection="1">
      <alignment vertical="top"/>
      <protection locked="0"/>
    </xf>
    <xf numFmtId="4" fontId="278" fillId="0" borderId="673" xfId="1" applyNumberFormat="1" applyFont="1" applyFill="1" applyBorder="1" applyAlignment="1">
      <alignment horizontal="center" vertical="center"/>
    </xf>
    <xf numFmtId="0" fontId="278" fillId="0" borderId="731" xfId="1" applyNumberFormat="1" applyFont="1" applyFill="1" applyBorder="1" applyAlignment="1">
      <alignment horizontal="center" vertical="center"/>
    </xf>
    <xf numFmtId="0" fontId="278" fillId="0" borderId="731" xfId="1" applyNumberFormat="1" applyFont="1" applyFill="1" applyBorder="1" applyAlignment="1" applyProtection="1">
      <alignment horizontal="center" vertical="top"/>
      <protection locked="0"/>
    </xf>
    <xf numFmtId="0" fontId="278" fillId="0" borderId="731" xfId="1" applyNumberFormat="1" applyFont="1" applyFill="1" applyBorder="1" applyAlignment="1" applyProtection="1">
      <alignment horizontal="center" vertical="center"/>
      <protection locked="0"/>
    </xf>
    <xf numFmtId="10" fontId="278" fillId="0" borderId="731" xfId="88" applyNumberFormat="1" applyFont="1" applyFill="1" applyBorder="1" applyAlignment="1" applyProtection="1">
      <alignment horizontal="center" vertical="center"/>
      <protection locked="0"/>
    </xf>
    <xf numFmtId="0" fontId="278" fillId="0" borderId="398" xfId="1" applyNumberFormat="1" applyFont="1" applyFill="1" applyBorder="1" applyAlignment="1" applyProtection="1">
      <alignment horizontal="center" vertical="top"/>
      <protection locked="0"/>
    </xf>
    <xf numFmtId="4" fontId="320" fillId="0" borderId="685" xfId="1" applyNumberFormat="1" applyFont="1" applyFill="1" applyBorder="1" applyAlignment="1" applyProtection="1">
      <alignment horizontal="right" vertical="top"/>
      <protection locked="0"/>
    </xf>
    <xf numFmtId="0" fontId="320" fillId="0" borderId="731" xfId="47" applyFont="1" applyFill="1" applyBorder="1" applyAlignment="1" applyProtection="1">
      <alignment vertical="top"/>
      <protection locked="0"/>
    </xf>
    <xf numFmtId="4" fontId="320" fillId="0" borderId="398" xfId="1" applyNumberFormat="1" applyFont="1" applyFill="1" applyBorder="1" applyAlignment="1">
      <alignment vertical="top"/>
    </xf>
    <xf numFmtId="4" fontId="320" fillId="0" borderId="685" xfId="1" applyNumberFormat="1" applyFont="1" applyFill="1" applyBorder="1" applyAlignment="1" applyProtection="1">
      <alignment horizontal="center" vertical="top"/>
      <protection locked="0"/>
    </xf>
    <xf numFmtId="0" fontId="320" fillId="0" borderId="433" xfId="47" applyFont="1" applyFill="1" applyBorder="1" applyAlignment="1" applyProtection="1">
      <alignment horizontal="left" vertical="top"/>
      <protection locked="0"/>
    </xf>
    <xf numFmtId="43" fontId="320" fillId="0" borderId="433" xfId="1" applyFont="1" applyFill="1" applyBorder="1" applyAlignment="1" applyProtection="1">
      <alignment horizontal="left" vertical="top"/>
      <protection locked="0"/>
    </xf>
    <xf numFmtId="4" fontId="320" fillId="0" borderId="434" xfId="1" applyNumberFormat="1" applyFont="1" applyFill="1" applyBorder="1" applyAlignment="1" applyProtection="1">
      <alignment vertical="top"/>
      <protection locked="0"/>
    </xf>
    <xf numFmtId="10" fontId="320" fillId="0" borderId="434" xfId="88" applyNumberFormat="1" applyFont="1" applyFill="1" applyBorder="1" applyAlignment="1" applyProtection="1">
      <alignment vertical="top"/>
      <protection locked="0"/>
    </xf>
    <xf numFmtId="4" fontId="320" fillId="0" borderId="437" xfId="1" applyNumberFormat="1" applyFont="1" applyFill="1" applyBorder="1" applyAlignment="1" applyProtection="1">
      <alignment vertical="top"/>
      <protection locked="0"/>
    </xf>
    <xf numFmtId="4" fontId="320" fillId="0" borderId="448" xfId="1" applyNumberFormat="1" applyFont="1" applyFill="1" applyBorder="1" applyAlignment="1" applyProtection="1">
      <alignment vertical="top"/>
      <protection locked="0"/>
    </xf>
    <xf numFmtId="10" fontId="320" fillId="0" borderId="448" xfId="88" applyNumberFormat="1" applyFont="1" applyFill="1" applyBorder="1" applyAlignment="1" applyProtection="1">
      <alignment vertical="top"/>
      <protection locked="0"/>
    </xf>
    <xf numFmtId="4" fontId="320" fillId="0" borderId="703" xfId="1" applyNumberFormat="1" applyFont="1" applyFill="1" applyBorder="1" applyAlignment="1" applyProtection="1">
      <alignment vertical="top"/>
      <protection locked="0"/>
    </xf>
    <xf numFmtId="4" fontId="278" fillId="0" borderId="701" xfId="1" applyNumberFormat="1" applyFont="1" applyFill="1" applyBorder="1" applyAlignment="1" applyProtection="1">
      <alignment vertical="top"/>
      <protection locked="0"/>
    </xf>
    <xf numFmtId="4" fontId="278" fillId="0" borderId="731" xfId="30" applyNumberFormat="1" applyFont="1" applyFill="1" applyBorder="1" applyAlignment="1" applyProtection="1">
      <alignment horizontal="center" vertical="center"/>
      <protection locked="0"/>
    </xf>
    <xf numFmtId="0" fontId="320" fillId="0" borderId="731" xfId="47" applyNumberFormat="1" applyFont="1" applyFill="1" applyBorder="1" applyAlignment="1" applyProtection="1">
      <alignment horizontal="center" vertical="top"/>
      <protection locked="0"/>
    </xf>
    <xf numFmtId="4" fontId="278" fillId="0" borderId="397" xfId="1" applyNumberFormat="1" applyFont="1" applyFill="1" applyBorder="1" applyAlignment="1" applyProtection="1">
      <alignment vertical="top"/>
      <protection locked="0"/>
    </xf>
    <xf numFmtId="10" fontId="278" fillId="0" borderId="397" xfId="88" applyNumberFormat="1" applyFont="1" applyFill="1" applyBorder="1" applyAlignment="1" applyProtection="1">
      <alignment vertical="top"/>
      <protection locked="0"/>
    </xf>
    <xf numFmtId="4" fontId="278" fillId="0" borderId="697" xfId="1" applyNumberFormat="1" applyFont="1" applyFill="1" applyBorder="1" applyAlignment="1" applyProtection="1">
      <alignment vertical="top"/>
      <protection locked="0"/>
    </xf>
    <xf numFmtId="181" fontId="320" fillId="0" borderId="368" xfId="47" applyNumberFormat="1" applyFont="1" applyFill="1" applyBorder="1" applyAlignment="1" applyProtection="1">
      <alignment vertical="top"/>
      <protection locked="0"/>
    </xf>
    <xf numFmtId="0" fontId="320" fillId="0" borderId="686" xfId="47" applyNumberFormat="1" applyFont="1" applyFill="1" applyBorder="1" applyAlignment="1" applyProtection="1">
      <alignment horizontal="center" vertical="top"/>
      <protection locked="0"/>
    </xf>
    <xf numFmtId="4" fontId="320" fillId="0" borderId="686" xfId="1" applyNumberFormat="1" applyFont="1" applyFill="1" applyBorder="1" applyAlignment="1" applyProtection="1">
      <alignment vertical="top"/>
      <protection locked="0"/>
    </xf>
    <xf numFmtId="0" fontId="320" fillId="0" borderId="368" xfId="47" applyFont="1" applyFill="1" applyBorder="1" applyAlignment="1" applyProtection="1">
      <alignment vertical="center"/>
      <protection locked="0"/>
    </xf>
    <xf numFmtId="4" fontId="320" fillId="0" borderId="731" xfId="1" applyNumberFormat="1" applyFont="1" applyFill="1" applyBorder="1" applyAlignment="1" applyProtection="1">
      <alignment vertical="center"/>
      <protection locked="0"/>
    </xf>
    <xf numFmtId="4" fontId="320" fillId="0" borderId="285" xfId="1" applyNumberFormat="1" applyFont="1" applyFill="1" applyBorder="1" applyAlignment="1" applyProtection="1">
      <alignment vertical="center"/>
      <protection locked="0"/>
    </xf>
    <xf numFmtId="0" fontId="278" fillId="0" borderId="368" xfId="47" applyFont="1" applyFill="1" applyBorder="1" applyAlignment="1" applyProtection="1">
      <alignment vertical="center"/>
      <protection locked="0"/>
    </xf>
    <xf numFmtId="0" fontId="278" fillId="0" borderId="686" xfId="47" applyNumberFormat="1" applyFont="1" applyFill="1" applyBorder="1" applyAlignment="1" applyProtection="1">
      <alignment horizontal="center" vertical="center"/>
      <protection locked="0"/>
    </xf>
    <xf numFmtId="4" fontId="278" fillId="0" borderId="700" xfId="1" applyNumberFormat="1" applyFont="1" applyFill="1" applyBorder="1" applyAlignment="1" applyProtection="1">
      <alignment vertical="center"/>
      <protection locked="0"/>
    </xf>
    <xf numFmtId="4" fontId="278" fillId="0" borderId="632" xfId="1" applyNumberFormat="1" applyFont="1" applyFill="1" applyBorder="1" applyAlignment="1" applyProtection="1">
      <alignment vertical="center"/>
      <protection locked="0"/>
    </xf>
    <xf numFmtId="0" fontId="320" fillId="0" borderId="354" xfId="47" applyFont="1" applyFill="1" applyBorder="1" applyAlignment="1" applyProtection="1">
      <alignment vertical="top"/>
      <protection locked="0"/>
    </xf>
    <xf numFmtId="0" fontId="278" fillId="0" borderId="355" xfId="47" applyFont="1" applyFill="1" applyBorder="1" applyAlignment="1" applyProtection="1">
      <alignment vertical="top"/>
      <protection locked="0"/>
    </xf>
    <xf numFmtId="0" fontId="320" fillId="0" borderId="630" xfId="47" applyNumberFormat="1" applyFont="1" applyFill="1" applyBorder="1" applyAlignment="1" applyProtection="1">
      <alignment horizontal="center" vertical="top"/>
      <protection locked="0"/>
    </xf>
    <xf numFmtId="10" fontId="278" fillId="0" borderId="633" xfId="88" applyNumberFormat="1" applyFont="1" applyFill="1" applyBorder="1" applyAlignment="1" applyProtection="1">
      <alignment vertical="top"/>
      <protection locked="0"/>
    </xf>
    <xf numFmtId="43" fontId="320" fillId="0" borderId="543" xfId="1" applyFont="1" applyFill="1" applyBorder="1" applyAlignment="1">
      <alignment vertical="center"/>
    </xf>
    <xf numFmtId="0" fontId="321" fillId="0" borderId="0" xfId="46" applyFont="1" applyFill="1" applyBorder="1" applyAlignment="1" applyProtection="1">
      <alignment horizontal="right" vertical="center" wrapText="1"/>
      <protection locked="0"/>
    </xf>
    <xf numFmtId="43" fontId="321" fillId="0" borderId="685" xfId="1" applyFont="1" applyFill="1" applyBorder="1" applyAlignment="1" applyProtection="1">
      <alignment vertical="center"/>
      <protection locked="0"/>
    </xf>
    <xf numFmtId="43" fontId="278" fillId="0" borderId="0" xfId="46" applyNumberFormat="1" applyFont="1" applyFill="1" applyAlignment="1">
      <alignment horizontal="left" vertical="center"/>
    </xf>
    <xf numFmtId="0" fontId="321" fillId="0" borderId="0" xfId="46" applyFont="1" applyFill="1" applyBorder="1" applyAlignment="1" applyProtection="1">
      <alignment horizontal="right" vertical="center"/>
      <protection locked="0"/>
    </xf>
    <xf numFmtId="43" fontId="321" fillId="0" borderId="685" xfId="1" applyFont="1" applyFill="1" applyBorder="1" applyAlignment="1" applyProtection="1">
      <alignment horizontal="right" vertical="center"/>
      <protection locked="0"/>
    </xf>
    <xf numFmtId="0" fontId="278" fillId="0" borderId="0" xfId="46" applyFont="1" applyFill="1" applyAlignment="1">
      <alignment horizontal="center"/>
    </xf>
    <xf numFmtId="0" fontId="320" fillId="0" borderId="626" xfId="46" applyFont="1" applyFill="1" applyBorder="1" applyAlignment="1" applyProtection="1">
      <alignment vertical="center"/>
      <protection locked="0"/>
    </xf>
    <xf numFmtId="0" fontId="278" fillId="0" borderId="709" xfId="46" applyFont="1" applyFill="1" applyBorder="1" applyAlignment="1" applyProtection="1">
      <alignment horizontal="center" vertical="center"/>
      <protection locked="0"/>
    </xf>
    <xf numFmtId="4" fontId="278" fillId="0" borderId="473" xfId="1" applyNumberFormat="1" applyFont="1" applyFill="1" applyBorder="1" applyAlignment="1" applyProtection="1">
      <alignment horizontal="center" vertical="center"/>
      <protection locked="0"/>
    </xf>
    <xf numFmtId="0" fontId="320" fillId="0" borderId="368" xfId="46" applyFont="1" applyFill="1" applyBorder="1" applyAlignment="1" applyProtection="1">
      <alignment vertical="center"/>
      <protection locked="0"/>
    </xf>
    <xf numFmtId="4" fontId="278" fillId="0" borderId="731" xfId="46" applyNumberFormat="1" applyFont="1" applyFill="1" applyBorder="1" applyAlignment="1" applyProtection="1">
      <alignment horizontal="center" vertical="center"/>
      <protection locked="0"/>
    </xf>
    <xf numFmtId="4" fontId="278" fillId="0" borderId="398" xfId="1" applyNumberFormat="1" applyFont="1" applyFill="1" applyBorder="1" applyAlignment="1" applyProtection="1">
      <alignment horizontal="center" vertical="center"/>
      <protection locked="0"/>
    </xf>
    <xf numFmtId="0" fontId="320" fillId="0" borderId="243" xfId="46" applyFont="1" applyFill="1" applyBorder="1" applyAlignment="1" applyProtection="1">
      <alignment vertical="center"/>
      <protection locked="0"/>
    </xf>
    <xf numFmtId="0" fontId="278" fillId="0" borderId="434" xfId="46" applyNumberFormat="1" applyFont="1" applyFill="1" applyBorder="1" applyAlignment="1" applyProtection="1">
      <alignment horizontal="center" vertical="center"/>
      <protection locked="0"/>
    </xf>
    <xf numFmtId="0" fontId="278" fillId="0" borderId="437" xfId="1" applyNumberFormat="1" applyFont="1" applyFill="1" applyBorder="1" applyAlignment="1" applyProtection="1">
      <alignment horizontal="center" vertical="center"/>
      <protection locked="0"/>
    </xf>
    <xf numFmtId="49" fontId="320" fillId="0" borderId="368" xfId="46" applyNumberFormat="1" applyFont="1" applyFill="1" applyBorder="1" applyAlignment="1" applyProtection="1">
      <alignment vertical="center"/>
      <protection locked="0"/>
    </xf>
    <xf numFmtId="4" fontId="320" fillId="0" borderId="731" xfId="46" applyNumberFormat="1" applyFont="1" applyFill="1" applyBorder="1" applyAlignment="1" applyProtection="1">
      <alignment vertical="center"/>
      <protection locked="0"/>
    </xf>
    <xf numFmtId="4" fontId="320" fillId="0" borderId="731" xfId="46" applyNumberFormat="1" applyFont="1" applyFill="1" applyBorder="1" applyAlignment="1" applyProtection="1">
      <alignment vertical="center"/>
      <protection locked="0" hidden="1"/>
    </xf>
    <xf numFmtId="10" fontId="320" fillId="0" borderId="731" xfId="88" applyNumberFormat="1" applyFont="1" applyFill="1" applyBorder="1" applyAlignment="1" applyProtection="1">
      <alignment vertical="center"/>
      <protection locked="0" hidden="1"/>
    </xf>
    <xf numFmtId="4" fontId="320" fillId="0" borderId="398" xfId="1" applyNumberFormat="1" applyFont="1" applyFill="1" applyBorder="1" applyAlignment="1" applyProtection="1">
      <alignment vertical="center"/>
      <protection locked="0"/>
    </xf>
    <xf numFmtId="10" fontId="320" fillId="0" borderId="731" xfId="88" applyNumberFormat="1" applyFont="1" applyFill="1" applyBorder="1" applyAlignment="1" applyProtection="1">
      <alignment vertical="center"/>
      <protection locked="0"/>
    </xf>
    <xf numFmtId="4" fontId="320" fillId="0" borderId="731" xfId="1" applyNumberFormat="1" applyFont="1" applyFill="1" applyBorder="1" applyAlignment="1" applyProtection="1">
      <alignment vertical="center"/>
      <protection hidden="1"/>
    </xf>
    <xf numFmtId="10" fontId="320" fillId="0" borderId="731" xfId="88" applyNumberFormat="1" applyFont="1" applyFill="1" applyBorder="1" applyAlignment="1" applyProtection="1">
      <alignment vertical="center"/>
      <protection hidden="1"/>
    </xf>
    <xf numFmtId="4" fontId="320" fillId="0" borderId="398" xfId="1" applyNumberFormat="1" applyFont="1" applyFill="1" applyBorder="1" applyAlignment="1" applyProtection="1">
      <alignment vertical="center"/>
      <protection hidden="1"/>
    </xf>
    <xf numFmtId="4" fontId="320" fillId="0" borderId="448" xfId="15" applyNumberFormat="1" applyFont="1" applyFill="1" applyBorder="1" applyAlignment="1" applyProtection="1">
      <alignment horizontal="right" vertical="center"/>
      <protection locked="0"/>
    </xf>
    <xf numFmtId="4" fontId="320" fillId="0" borderId="452" xfId="15" applyNumberFormat="1" applyFont="1" applyFill="1" applyBorder="1" applyAlignment="1" applyProtection="1">
      <alignment horizontal="right" vertical="center"/>
      <protection locked="0"/>
    </xf>
    <xf numFmtId="4" fontId="320" fillId="0" borderId="452" xfId="1" applyNumberFormat="1" applyFont="1" applyFill="1" applyBorder="1" applyAlignment="1" applyProtection="1">
      <alignment vertical="center"/>
      <protection locked="0"/>
    </xf>
    <xf numFmtId="4" fontId="320" fillId="0" borderId="452" xfId="46" applyNumberFormat="1" applyFont="1" applyFill="1" applyBorder="1" applyAlignment="1" applyProtection="1">
      <alignment vertical="center"/>
      <protection locked="0"/>
    </xf>
    <xf numFmtId="4" fontId="320" fillId="0" borderId="628" xfId="1" applyNumberFormat="1" applyFont="1" applyFill="1" applyBorder="1" applyAlignment="1" applyProtection="1">
      <alignment vertical="center"/>
      <protection locked="0"/>
    </xf>
    <xf numFmtId="0" fontId="278" fillId="0" borderId="433" xfId="46" applyFont="1" applyFill="1" applyBorder="1" applyAlignment="1" applyProtection="1">
      <alignment vertical="center"/>
      <protection locked="0"/>
    </xf>
    <xf numFmtId="0" fontId="320" fillId="0" borderId="397" xfId="46" applyNumberFormat="1" applyFont="1" applyFill="1" applyBorder="1" applyAlignment="1" applyProtection="1">
      <alignment horizontal="center" vertical="center"/>
      <protection locked="0"/>
    </xf>
    <xf numFmtId="4" fontId="278" fillId="0" borderId="434" xfId="46" applyNumberFormat="1" applyFont="1" applyFill="1" applyBorder="1" applyAlignment="1" applyProtection="1">
      <alignment vertical="center"/>
      <protection locked="0"/>
    </xf>
    <xf numFmtId="4" fontId="278" fillId="0" borderId="434" xfId="1" applyNumberFormat="1" applyFont="1" applyFill="1" applyBorder="1" applyAlignment="1" applyProtection="1">
      <alignment vertical="center"/>
      <protection locked="0"/>
    </xf>
    <xf numFmtId="10" fontId="278" fillId="0" borderId="434" xfId="88" applyNumberFormat="1" applyFont="1" applyFill="1" applyBorder="1" applyAlignment="1" applyProtection="1">
      <alignment vertical="center"/>
      <protection locked="0"/>
    </xf>
    <xf numFmtId="4" fontId="278" fillId="0" borderId="437" xfId="1" applyNumberFormat="1" applyFont="1" applyFill="1" applyBorder="1" applyAlignment="1" applyProtection="1">
      <alignment vertical="center"/>
      <protection locked="0"/>
    </xf>
    <xf numFmtId="0" fontId="278" fillId="0" borderId="731" xfId="2" applyNumberFormat="1" applyFont="1" applyFill="1" applyBorder="1" applyAlignment="1">
      <alignment horizontal="center" vertical="center"/>
    </xf>
    <xf numFmtId="0" fontId="278" fillId="0" borderId="685" xfId="46" applyNumberFormat="1" applyFont="1" applyFill="1" applyBorder="1" applyAlignment="1" applyProtection="1">
      <alignment horizontal="center" vertical="center" wrapText="1"/>
      <protection locked="0"/>
    </xf>
    <xf numFmtId="0" fontId="278" fillId="0" borderId="731" xfId="46" applyNumberFormat="1" applyFont="1" applyFill="1" applyBorder="1" applyAlignment="1" applyProtection="1">
      <alignment horizontal="center" vertical="center"/>
      <protection locked="0"/>
    </xf>
    <xf numFmtId="0" fontId="278" fillId="0" borderId="731" xfId="2" applyNumberFormat="1" applyFont="1" applyFill="1" applyBorder="1" applyAlignment="1" applyProtection="1">
      <alignment horizontal="center" vertical="center"/>
      <protection locked="0"/>
    </xf>
    <xf numFmtId="0" fontId="278" fillId="0" borderId="398" xfId="1" applyNumberFormat="1" applyFont="1" applyFill="1" applyBorder="1" applyAlignment="1" applyProtection="1">
      <alignment horizontal="center" vertical="center"/>
      <protection locked="0"/>
    </xf>
    <xf numFmtId="4" fontId="320" fillId="0" borderId="731" xfId="15" applyNumberFormat="1" applyFont="1" applyFill="1" applyBorder="1" applyAlignment="1" applyProtection="1">
      <alignment horizontal="right" vertical="center"/>
      <protection locked="0"/>
    </xf>
    <xf numFmtId="4" fontId="320" fillId="0" borderId="685" xfId="46" applyNumberFormat="1" applyFont="1" applyFill="1" applyBorder="1" applyAlignment="1">
      <alignment vertical="center"/>
    </xf>
    <xf numFmtId="4" fontId="320" fillId="0" borderId="448" xfId="1" applyNumberFormat="1" applyFont="1" applyFill="1" applyBorder="1" applyAlignment="1" applyProtection="1">
      <alignment horizontal="right" vertical="center"/>
      <protection locked="0"/>
    </xf>
    <xf numFmtId="4" fontId="320" fillId="0" borderId="452" xfId="1" applyNumberFormat="1" applyFont="1" applyFill="1" applyBorder="1" applyAlignment="1" applyProtection="1">
      <alignment horizontal="right" vertical="center"/>
      <protection locked="0"/>
    </xf>
    <xf numFmtId="4" fontId="278" fillId="0" borderId="633" xfId="1" applyNumberFormat="1" applyFont="1" applyFill="1" applyBorder="1" applyAlignment="1" applyProtection="1">
      <alignment vertical="center"/>
      <protection locked="0"/>
    </xf>
    <xf numFmtId="4" fontId="278" fillId="0" borderId="485" xfId="1" applyNumberFormat="1" applyFont="1" applyFill="1" applyBorder="1" applyAlignment="1" applyProtection="1">
      <alignment vertical="center"/>
      <protection locked="0"/>
    </xf>
    <xf numFmtId="4" fontId="278" fillId="0" borderId="356" xfId="1" applyNumberFormat="1" applyFont="1" applyFill="1" applyBorder="1" applyAlignment="1" applyProtection="1">
      <alignment vertical="center"/>
      <protection locked="0"/>
    </xf>
    <xf numFmtId="0" fontId="278" fillId="0" borderId="685" xfId="2" applyNumberFormat="1" applyFont="1" applyFill="1" applyBorder="1" applyAlignment="1">
      <alignment horizontal="center" vertical="center"/>
    </xf>
    <xf numFmtId="4" fontId="278" fillId="0" borderId="731" xfId="1" applyNumberFormat="1" applyFont="1" applyFill="1" applyBorder="1" applyAlignment="1" applyProtection="1">
      <alignment horizontal="center" vertical="center"/>
      <protection locked="0"/>
    </xf>
    <xf numFmtId="0" fontId="320" fillId="0" borderId="731" xfId="46" applyFont="1" applyFill="1" applyBorder="1" applyAlignment="1" applyProtection="1">
      <alignment vertical="center"/>
      <protection locked="0"/>
    </xf>
    <xf numFmtId="43" fontId="320" fillId="0" borderId="731" xfId="1" applyFont="1" applyFill="1" applyBorder="1" applyAlignment="1" applyProtection="1">
      <alignment vertical="center"/>
      <protection locked="0"/>
    </xf>
    <xf numFmtId="4" fontId="320" fillId="0" borderId="685" xfId="46" applyNumberFormat="1" applyFont="1" applyFill="1" applyBorder="1" applyAlignment="1" applyProtection="1">
      <alignment horizontal="right" vertical="center"/>
      <protection locked="0"/>
    </xf>
    <xf numFmtId="4" fontId="320" fillId="0" borderId="685" xfId="46" applyNumberFormat="1" applyFont="1" applyFill="1" applyBorder="1" applyAlignment="1" applyProtection="1">
      <alignment vertical="center"/>
      <protection locked="0"/>
    </xf>
    <xf numFmtId="4" fontId="320" fillId="0" borderId="685" xfId="15" applyNumberFormat="1" applyFont="1" applyFill="1" applyBorder="1" applyAlignment="1" applyProtection="1">
      <alignment horizontal="right" vertical="center"/>
      <protection locked="0"/>
    </xf>
    <xf numFmtId="0" fontId="320" fillId="0" borderId="368" xfId="46" applyFont="1" applyFill="1" applyBorder="1" applyAlignment="1">
      <alignment vertical="center"/>
    </xf>
    <xf numFmtId="0" fontId="320" fillId="0" borderId="731" xfId="46" applyFont="1" applyFill="1" applyBorder="1" applyAlignment="1">
      <alignment vertical="center"/>
    </xf>
    <xf numFmtId="43" fontId="320" fillId="0" borderId="731" xfId="1" applyFont="1" applyFill="1" applyBorder="1" applyAlignment="1">
      <alignment vertical="center"/>
    </xf>
    <xf numFmtId="0" fontId="320" fillId="0" borderId="685" xfId="46" applyNumberFormat="1" applyFont="1" applyFill="1" applyBorder="1" applyAlignment="1">
      <alignment horizontal="center" vertical="center"/>
    </xf>
    <xf numFmtId="4" fontId="320" fillId="0" borderId="285" xfId="46" applyNumberFormat="1" applyFont="1" applyFill="1" applyBorder="1" applyAlignment="1">
      <alignment vertical="center"/>
    </xf>
    <xf numFmtId="0" fontId="278" fillId="0" borderId="731" xfId="46" applyFont="1" applyFill="1" applyBorder="1" applyAlignment="1" applyProtection="1">
      <alignment vertical="center"/>
      <protection locked="0"/>
    </xf>
    <xf numFmtId="43" fontId="278" fillId="0" borderId="731" xfId="1" applyFont="1" applyFill="1" applyBorder="1" applyAlignment="1" applyProtection="1">
      <alignment vertical="center"/>
      <protection locked="0"/>
    </xf>
    <xf numFmtId="4" fontId="278" fillId="0" borderId="700" xfId="46" applyNumberFormat="1" applyFont="1" applyFill="1" applyBorder="1" applyAlignment="1" applyProtection="1">
      <alignment vertical="center"/>
      <protection locked="0"/>
    </xf>
    <xf numFmtId="4" fontId="278" fillId="0" borderId="713" xfId="1" applyNumberFormat="1" applyFont="1" applyFill="1" applyBorder="1" applyAlignment="1" applyProtection="1">
      <alignment vertical="center"/>
      <protection locked="0"/>
    </xf>
    <xf numFmtId="10" fontId="278" fillId="0" borderId="713" xfId="88" applyNumberFormat="1" applyFont="1" applyFill="1" applyBorder="1" applyAlignment="1" applyProtection="1">
      <alignment vertical="center"/>
      <protection locked="0"/>
    </xf>
    <xf numFmtId="4" fontId="278" fillId="0" borderId="701" xfId="1" applyNumberFormat="1" applyFont="1" applyFill="1" applyBorder="1" applyAlignment="1" applyProtection="1">
      <alignment vertical="center"/>
      <protection locked="0"/>
    </xf>
    <xf numFmtId="4" fontId="278" fillId="0" borderId="731" xfId="46" applyNumberFormat="1" applyFont="1" applyFill="1" applyBorder="1" applyAlignment="1" applyProtection="1">
      <alignment vertical="center"/>
      <protection locked="0"/>
    </xf>
    <xf numFmtId="4" fontId="278" fillId="0" borderId="731" xfId="1" applyNumberFormat="1" applyFont="1" applyFill="1" applyBorder="1" applyAlignment="1" applyProtection="1">
      <alignment vertical="center"/>
      <protection locked="0"/>
    </xf>
    <xf numFmtId="10" fontId="278" fillId="0" borderId="731" xfId="88" applyNumberFormat="1" applyFont="1" applyFill="1" applyBorder="1" applyAlignment="1" applyProtection="1">
      <alignment vertical="center"/>
      <protection locked="0"/>
    </xf>
    <xf numFmtId="4" fontId="278" fillId="0" borderId="398" xfId="1" applyNumberFormat="1" applyFont="1" applyFill="1" applyBorder="1" applyAlignment="1" applyProtection="1">
      <alignment vertical="center"/>
      <protection locked="0"/>
    </xf>
    <xf numFmtId="4" fontId="320" fillId="0" borderId="731" xfId="46" applyNumberFormat="1" applyFont="1" applyFill="1" applyBorder="1" applyAlignment="1" applyProtection="1">
      <alignment horizontal="right" vertical="center"/>
      <protection locked="0"/>
    </xf>
    <xf numFmtId="4" fontId="320" fillId="0" borderId="731" xfId="1" applyNumberFormat="1" applyFont="1" applyFill="1" applyBorder="1" applyAlignment="1" applyProtection="1">
      <alignment horizontal="right" vertical="center"/>
      <protection locked="0"/>
    </xf>
    <xf numFmtId="4" fontId="278" fillId="0" borderId="713" xfId="46" applyNumberFormat="1" applyFont="1" applyFill="1" applyBorder="1" applyAlignment="1" applyProtection="1">
      <alignment vertical="center"/>
      <protection locked="0"/>
    </xf>
    <xf numFmtId="4" fontId="278" fillId="0" borderId="713" xfId="1" applyNumberFormat="1" applyFont="1" applyFill="1" applyBorder="1" applyAlignment="1" applyProtection="1">
      <alignment horizontal="right" vertical="center"/>
      <protection locked="0"/>
    </xf>
    <xf numFmtId="4" fontId="278" fillId="0" borderId="701" xfId="1" applyNumberFormat="1" applyFont="1" applyFill="1" applyBorder="1" applyAlignment="1" applyProtection="1">
      <alignment horizontal="right" vertical="center"/>
      <protection locked="0"/>
    </xf>
    <xf numFmtId="0" fontId="320" fillId="0" borderId="448" xfId="46" applyNumberFormat="1" applyFont="1" applyFill="1" applyBorder="1" applyAlignment="1" applyProtection="1">
      <alignment horizontal="center" vertical="center"/>
      <protection locked="0"/>
    </xf>
    <xf numFmtId="4" fontId="278" fillId="0" borderId="687" xfId="46" applyNumberFormat="1" applyFont="1" applyFill="1" applyBorder="1" applyAlignment="1" applyProtection="1">
      <alignment vertical="center"/>
      <protection locked="0"/>
    </xf>
    <xf numFmtId="4" fontId="278" fillId="0" borderId="687" xfId="1" applyNumberFormat="1" applyFont="1" applyFill="1" applyBorder="1" applyAlignment="1" applyProtection="1">
      <alignment horizontal="right" vertical="center"/>
      <protection locked="0"/>
    </xf>
    <xf numFmtId="10" fontId="278" fillId="0" borderId="687" xfId="88" applyNumberFormat="1" applyFont="1" applyFill="1" applyBorder="1" applyAlignment="1" applyProtection="1">
      <alignment vertical="center"/>
      <protection locked="0"/>
    </xf>
    <xf numFmtId="4" fontId="278" fillId="0" borderId="702" xfId="1" applyNumberFormat="1" applyFont="1" applyFill="1" applyBorder="1" applyAlignment="1" applyProtection="1">
      <alignment horizontal="right" vertical="center"/>
      <protection locked="0"/>
    </xf>
    <xf numFmtId="0" fontId="320" fillId="0" borderId="354" xfId="46" applyFont="1" applyFill="1" applyBorder="1" applyAlignment="1" applyProtection="1">
      <alignment vertical="center"/>
      <protection locked="0"/>
    </xf>
    <xf numFmtId="0" fontId="278" fillId="0" borderId="355" xfId="46" applyFont="1" applyFill="1" applyBorder="1" applyAlignment="1" applyProtection="1">
      <alignment vertical="center"/>
      <protection locked="0"/>
    </xf>
    <xf numFmtId="43" fontId="278" fillId="0" borderId="633" xfId="1" applyFont="1" applyFill="1" applyBorder="1" applyAlignment="1" applyProtection="1">
      <alignment vertical="center"/>
      <protection locked="0"/>
    </xf>
    <xf numFmtId="0" fontId="320" fillId="0" borderId="633" xfId="46" applyNumberFormat="1" applyFont="1" applyFill="1" applyBorder="1" applyAlignment="1" applyProtection="1">
      <alignment horizontal="center" vertical="center"/>
      <protection locked="0"/>
    </xf>
    <xf numFmtId="4" fontId="278" fillId="0" borderId="485" xfId="46" applyNumberFormat="1" applyFont="1" applyFill="1" applyBorder="1" applyAlignment="1" applyProtection="1">
      <alignment vertical="center"/>
      <protection locked="0"/>
    </xf>
    <xf numFmtId="0" fontId="320" fillId="0" borderId="626" xfId="2" applyFont="1" applyFill="1" applyBorder="1" applyAlignment="1">
      <alignment vertical="center"/>
    </xf>
    <xf numFmtId="0" fontId="278" fillId="0" borderId="709" xfId="2" applyFont="1" applyFill="1" applyBorder="1" applyAlignment="1">
      <alignment horizontal="center" vertical="center"/>
    </xf>
    <xf numFmtId="0" fontId="278" fillId="0" borderId="672" xfId="2" applyFont="1" applyFill="1" applyBorder="1" applyAlignment="1">
      <alignment horizontal="center" vertical="center"/>
    </xf>
    <xf numFmtId="0" fontId="278" fillId="0" borderId="673" xfId="2" applyFont="1" applyFill="1" applyBorder="1" applyAlignment="1">
      <alignment horizontal="center" vertical="center"/>
    </xf>
    <xf numFmtId="0" fontId="278" fillId="0" borderId="473" xfId="2" applyFont="1" applyFill="1" applyBorder="1" applyAlignment="1">
      <alignment horizontal="center" vertical="center"/>
    </xf>
    <xf numFmtId="0" fontId="320" fillId="0" borderId="368" xfId="2" applyFont="1" applyFill="1" applyBorder="1" applyAlignment="1">
      <alignment vertical="center"/>
    </xf>
    <xf numFmtId="0" fontId="278" fillId="0" borderId="731" xfId="2" applyFont="1" applyFill="1" applyBorder="1" applyAlignment="1">
      <alignment horizontal="center" vertical="center"/>
    </xf>
    <xf numFmtId="0" fontId="278" fillId="0" borderId="398" xfId="2" applyFont="1" applyFill="1" applyBorder="1" applyAlignment="1">
      <alignment horizontal="center" vertical="center"/>
    </xf>
    <xf numFmtId="0" fontId="320" fillId="0" borderId="243" xfId="2" applyFont="1" applyFill="1" applyBorder="1" applyAlignment="1" applyProtection="1">
      <alignment vertical="center"/>
      <protection locked="0"/>
    </xf>
    <xf numFmtId="0" fontId="278" fillId="0" borderId="437" xfId="2" applyFont="1" applyFill="1" applyBorder="1" applyAlignment="1" applyProtection="1">
      <alignment horizontal="center" vertical="center"/>
      <protection locked="0"/>
    </xf>
    <xf numFmtId="0" fontId="320" fillId="0" borderId="368" xfId="2" applyFont="1" applyFill="1" applyBorder="1" applyAlignment="1" applyProtection="1">
      <alignment vertical="center"/>
      <protection locked="0"/>
    </xf>
    <xf numFmtId="0" fontId="278" fillId="0" borderId="685" xfId="2" applyFont="1" applyFill="1" applyBorder="1" applyAlignment="1">
      <alignment horizontal="center" vertical="center" wrapText="1"/>
    </xf>
    <xf numFmtId="0" fontId="278" fillId="0" borderId="731" xfId="2" applyFont="1" applyFill="1" applyBorder="1" applyAlignment="1" applyProtection="1">
      <alignment horizontal="center" vertical="center"/>
      <protection locked="0"/>
    </xf>
    <xf numFmtId="0" fontId="278" fillId="0" borderId="398" xfId="2" applyFont="1" applyFill="1" applyBorder="1" applyAlignment="1" applyProtection="1">
      <alignment horizontal="center" vertical="center"/>
      <protection locked="0"/>
    </xf>
    <xf numFmtId="49" fontId="320" fillId="0" borderId="368" xfId="2" applyNumberFormat="1" applyFont="1" applyFill="1" applyBorder="1" applyAlignment="1" applyProtection="1">
      <alignment vertical="center"/>
      <protection locked="0"/>
    </xf>
    <xf numFmtId="0" fontId="320" fillId="0" borderId="731" xfId="2" applyFont="1" applyFill="1" applyBorder="1" applyAlignment="1" applyProtection="1">
      <alignment vertical="center"/>
      <protection locked="0"/>
    </xf>
    <xf numFmtId="39" fontId="320" fillId="0" borderId="731" xfId="2" applyNumberFormat="1" applyFont="1" applyFill="1" applyBorder="1" applyAlignment="1" applyProtection="1">
      <alignment vertical="center"/>
      <protection locked="0"/>
    </xf>
    <xf numFmtId="0" fontId="320" fillId="0" borderId="731" xfId="2" applyFont="1" applyFill="1" applyBorder="1" applyAlignment="1">
      <alignment vertical="center"/>
    </xf>
    <xf numFmtId="0" fontId="320" fillId="0" borderId="398" xfId="2" applyFont="1" applyFill="1" applyBorder="1" applyAlignment="1">
      <alignment vertical="center"/>
    </xf>
    <xf numFmtId="9" fontId="320" fillId="0" borderId="731" xfId="88" applyFont="1" applyFill="1" applyBorder="1" applyAlignment="1" applyProtection="1">
      <alignment vertical="center"/>
      <protection locked="0"/>
    </xf>
    <xf numFmtId="4" fontId="320" fillId="0" borderId="731" xfId="2" applyNumberFormat="1" applyFont="1" applyFill="1" applyBorder="1" applyAlignment="1" applyProtection="1">
      <alignment vertical="center"/>
      <protection locked="0" hidden="1"/>
    </xf>
    <xf numFmtId="39" fontId="320" fillId="0" borderId="731" xfId="2" applyNumberFormat="1" applyFont="1" applyFill="1" applyBorder="1" applyAlignment="1" applyProtection="1">
      <alignment vertical="center"/>
      <protection locked="0" hidden="1"/>
    </xf>
    <xf numFmtId="4" fontId="320" fillId="0" borderId="685" xfId="35" applyNumberFormat="1" applyFont="1" applyFill="1" applyBorder="1" applyAlignment="1">
      <alignment vertical="center"/>
    </xf>
    <xf numFmtId="9" fontId="320" fillId="0" borderId="685" xfId="88" applyFont="1" applyFill="1" applyBorder="1" applyAlignment="1">
      <alignment vertical="center"/>
    </xf>
    <xf numFmtId="4" fontId="320" fillId="0" borderId="285" xfId="1" applyNumberFormat="1" applyFont="1" applyFill="1" applyBorder="1" applyAlignment="1">
      <alignment vertical="center"/>
    </xf>
    <xf numFmtId="4" fontId="320" fillId="0" borderId="731" xfId="2" applyNumberFormat="1" applyFont="1" applyFill="1" applyBorder="1" applyAlignment="1" applyProtection="1">
      <alignment vertical="center"/>
      <protection locked="0"/>
    </xf>
    <xf numFmtId="9" fontId="320" fillId="0" borderId="685" xfId="88" applyFont="1" applyFill="1" applyBorder="1" applyAlignment="1" applyProtection="1">
      <alignment vertical="center"/>
      <protection locked="0"/>
    </xf>
    <xf numFmtId="185" fontId="320" fillId="0" borderId="731" xfId="2" applyNumberFormat="1" applyFont="1" applyFill="1" applyBorder="1" applyAlignment="1" applyProtection="1">
      <alignment vertical="center"/>
      <protection locked="0" hidden="1"/>
    </xf>
    <xf numFmtId="4" fontId="320" fillId="0" borderId="685" xfId="2" applyNumberFormat="1" applyFont="1" applyFill="1" applyBorder="1" applyAlignment="1" applyProtection="1">
      <alignment vertical="center"/>
      <protection hidden="1"/>
    </xf>
    <xf numFmtId="9" fontId="320" fillId="0" borderId="685" xfId="88" applyFont="1" applyFill="1" applyBorder="1" applyAlignment="1" applyProtection="1">
      <alignment vertical="center"/>
      <protection hidden="1"/>
    </xf>
    <xf numFmtId="1" fontId="320" fillId="0" borderId="685" xfId="46" applyNumberFormat="1" applyFont="1" applyFill="1" applyBorder="1" applyAlignment="1" applyProtection="1">
      <alignment horizontal="center" vertical="center"/>
      <protection locked="0"/>
    </xf>
    <xf numFmtId="1" fontId="320" fillId="0" borderId="685" xfId="47" applyNumberFormat="1" applyFont="1" applyFill="1" applyBorder="1" applyAlignment="1" applyProtection="1">
      <alignment horizontal="center" vertical="top"/>
      <protection locked="0"/>
    </xf>
    <xf numFmtId="39" fontId="320" fillId="0" borderId="452" xfId="2" applyNumberFormat="1" applyFont="1" applyFill="1" applyBorder="1" applyAlignment="1" applyProtection="1">
      <alignment vertical="center"/>
      <protection locked="0"/>
    </xf>
    <xf numFmtId="9" fontId="320" fillId="0" borderId="452" xfId="88" applyFont="1" applyFill="1" applyBorder="1" applyAlignment="1" applyProtection="1">
      <alignment vertical="center"/>
      <protection locked="0"/>
    </xf>
    <xf numFmtId="0" fontId="320" fillId="0" borderId="397" xfId="2" applyFont="1" applyFill="1" applyBorder="1" applyAlignment="1" applyProtection="1">
      <alignment horizontal="center" vertical="center"/>
      <protection locked="0"/>
    </xf>
    <xf numFmtId="4" fontId="278" fillId="0" borderId="485" xfId="2" applyNumberFormat="1" applyFont="1" applyFill="1" applyBorder="1" applyAlignment="1">
      <alignment vertical="center"/>
    </xf>
    <xf numFmtId="4" fontId="278" fillId="0" borderId="356" xfId="2" applyNumberFormat="1" applyFont="1" applyFill="1" applyBorder="1" applyAlignment="1">
      <alignment vertical="center"/>
    </xf>
    <xf numFmtId="43" fontId="320" fillId="0" borderId="731" xfId="7" applyFont="1" applyFill="1" applyBorder="1" applyAlignment="1" applyProtection="1">
      <alignment horizontal="right" vertical="center"/>
      <protection locked="0"/>
    </xf>
    <xf numFmtId="39" fontId="320" fillId="0" borderId="731" xfId="7" applyNumberFormat="1" applyFont="1" applyFill="1" applyBorder="1" applyAlignment="1" applyProtection="1">
      <alignment horizontal="right" vertical="center"/>
      <protection locked="0"/>
    </xf>
    <xf numFmtId="4" fontId="320" fillId="0" borderId="731" xfId="2" applyNumberFormat="1" applyFont="1" applyFill="1" applyBorder="1" applyAlignment="1">
      <alignment vertical="center"/>
    </xf>
    <xf numFmtId="9" fontId="320" fillId="0" borderId="731" xfId="88" applyFont="1" applyFill="1" applyBorder="1" applyAlignment="1">
      <alignment vertical="center"/>
    </xf>
    <xf numFmtId="4" fontId="320" fillId="0" borderId="398" xfId="2" applyNumberFormat="1" applyFont="1" applyFill="1" applyBorder="1" applyAlignment="1">
      <alignment vertical="center"/>
    </xf>
    <xf numFmtId="4" fontId="320" fillId="0" borderId="398" xfId="2" applyNumberFormat="1" applyFont="1" applyFill="1" applyBorder="1" applyAlignment="1" applyProtection="1">
      <alignment vertical="center"/>
      <protection locked="0"/>
    </xf>
    <xf numFmtId="2" fontId="320" fillId="0" borderId="398" xfId="2" applyNumberFormat="1" applyFont="1" applyFill="1" applyBorder="1" applyAlignment="1">
      <alignment vertical="center"/>
    </xf>
    <xf numFmtId="39" fontId="278" fillId="0" borderId="731" xfId="2" applyNumberFormat="1" applyFont="1" applyFill="1" applyBorder="1" applyAlignment="1" applyProtection="1">
      <alignment horizontal="center" vertical="center"/>
      <protection locked="0"/>
    </xf>
    <xf numFmtId="4" fontId="278" fillId="0" borderId="731" xfId="2" applyNumberFormat="1" applyFont="1" applyFill="1" applyBorder="1" applyAlignment="1" applyProtection="1">
      <alignment vertical="center"/>
      <protection locked="0"/>
    </xf>
    <xf numFmtId="39" fontId="278" fillId="0" borderId="731" xfId="2" applyNumberFormat="1" applyFont="1" applyFill="1" applyBorder="1" applyAlignment="1" applyProtection="1">
      <alignment vertical="center"/>
      <protection locked="0"/>
    </xf>
    <xf numFmtId="0" fontId="278" fillId="0" borderId="685" xfId="2" applyFont="1" applyFill="1" applyBorder="1" applyAlignment="1">
      <alignment vertical="center"/>
    </xf>
    <xf numFmtId="4" fontId="278" fillId="0" borderId="731" xfId="2" applyNumberFormat="1" applyFont="1" applyFill="1" applyBorder="1" applyAlignment="1">
      <alignment vertical="center"/>
    </xf>
    <xf numFmtId="10" fontId="278" fillId="0" borderId="731" xfId="88" applyNumberFormat="1" applyFont="1" applyFill="1" applyBorder="1" applyAlignment="1">
      <alignment vertical="center"/>
    </xf>
    <xf numFmtId="0" fontId="278" fillId="0" borderId="285" xfId="2" applyFont="1" applyFill="1" applyBorder="1" applyAlignment="1">
      <alignment vertical="center"/>
    </xf>
    <xf numFmtId="0" fontId="278" fillId="0" borderId="368" xfId="2" applyFont="1" applyFill="1" applyBorder="1" applyAlignment="1">
      <alignment vertical="center"/>
    </xf>
    <xf numFmtId="0" fontId="320" fillId="0" borderId="685" xfId="46" applyFont="1" applyFill="1" applyBorder="1" applyAlignment="1">
      <alignment horizontal="center"/>
    </xf>
    <xf numFmtId="0" fontId="320" fillId="0" borderId="731" xfId="2" applyFont="1" applyFill="1" applyBorder="1" applyAlignment="1" applyProtection="1">
      <protection locked="0"/>
    </xf>
    <xf numFmtId="4" fontId="278" fillId="0" borderId="713" xfId="2" applyNumberFormat="1" applyFont="1" applyFill="1" applyBorder="1" applyAlignment="1" applyProtection="1">
      <alignment vertical="center"/>
      <protection locked="0"/>
    </xf>
    <xf numFmtId="4" fontId="278" fillId="0" borderId="701" xfId="2" applyNumberFormat="1" applyFont="1" applyFill="1" applyBorder="1" applyAlignment="1" applyProtection="1">
      <alignment vertical="center"/>
      <protection locked="0"/>
    </xf>
    <xf numFmtId="4" fontId="278" fillId="0" borderId="684" xfId="2" applyNumberFormat="1" applyFont="1" applyFill="1" applyBorder="1" applyAlignment="1" applyProtection="1">
      <alignment vertical="center"/>
      <protection locked="0"/>
    </xf>
    <xf numFmtId="4" fontId="278" fillId="0" borderId="687" xfId="2" applyNumberFormat="1" applyFont="1" applyFill="1" applyBorder="1" applyAlignment="1" applyProtection="1">
      <alignment vertical="center"/>
      <protection locked="0"/>
    </xf>
    <xf numFmtId="39" fontId="278" fillId="0" borderId="687" xfId="2" applyNumberFormat="1" applyFont="1" applyFill="1" applyBorder="1" applyAlignment="1" applyProtection="1">
      <alignment vertical="center"/>
      <protection locked="0"/>
    </xf>
    <xf numFmtId="4" fontId="278" fillId="0" borderId="702" xfId="2" applyNumberFormat="1" applyFont="1" applyFill="1" applyBorder="1" applyAlignment="1" applyProtection="1">
      <alignment vertical="center"/>
      <protection locked="0"/>
    </xf>
    <xf numFmtId="4" fontId="320" fillId="0" borderId="628" xfId="2" applyNumberFormat="1" applyFont="1" applyFill="1" applyBorder="1" applyAlignment="1" applyProtection="1">
      <alignment vertical="center"/>
      <protection locked="0"/>
    </xf>
    <xf numFmtId="0" fontId="278" fillId="0" borderId="368" xfId="2" applyFont="1" applyFill="1" applyBorder="1" applyAlignment="1" applyProtection="1">
      <alignment vertical="center"/>
      <protection locked="0"/>
    </xf>
    <xf numFmtId="2" fontId="278" fillId="0" borderId="452" xfId="2" applyNumberFormat="1" applyFont="1" applyFill="1" applyBorder="1" applyAlignment="1" applyProtection="1">
      <alignment horizontal="right" vertical="center"/>
      <protection locked="0"/>
    </xf>
    <xf numFmtId="4" fontId="278" fillId="0" borderId="452" xfId="2" applyNumberFormat="1" applyFont="1" applyFill="1" applyBorder="1" applyAlignment="1">
      <alignment vertical="center"/>
    </xf>
    <xf numFmtId="4" fontId="278" fillId="0" borderId="628" xfId="2" applyNumberFormat="1" applyFont="1" applyFill="1" applyBorder="1" applyAlignment="1">
      <alignment vertical="center"/>
    </xf>
    <xf numFmtId="0" fontId="278" fillId="0" borderId="31" xfId="2" applyFont="1" applyFill="1" applyBorder="1" applyAlignment="1" applyProtection="1">
      <alignment vertical="center"/>
      <protection locked="0"/>
    </xf>
    <xf numFmtId="0" fontId="278" fillId="0" borderId="449" xfId="2" applyFont="1" applyFill="1" applyBorder="1" applyAlignment="1" applyProtection="1">
      <alignment vertical="center"/>
      <protection locked="0"/>
    </xf>
    <xf numFmtId="0" fontId="278" fillId="0" borderId="448" xfId="2" applyFont="1" applyFill="1" applyBorder="1" applyAlignment="1" applyProtection="1">
      <alignment horizontal="center" vertical="center"/>
      <protection locked="0"/>
    </xf>
    <xf numFmtId="2" fontId="278" fillId="0" borderId="731" xfId="2" applyNumberFormat="1" applyFont="1" applyFill="1" applyBorder="1" applyAlignment="1" applyProtection="1">
      <alignment horizontal="right" vertical="center"/>
      <protection locked="0"/>
    </xf>
    <xf numFmtId="4" fontId="278" fillId="0" borderId="398" xfId="2" applyNumberFormat="1" applyFont="1" applyFill="1" applyBorder="1" applyAlignment="1">
      <alignment vertical="center"/>
    </xf>
    <xf numFmtId="0" fontId="320" fillId="0" borderId="354" xfId="2" applyFont="1" applyFill="1" applyBorder="1" applyAlignment="1" applyProtection="1">
      <alignment vertical="center"/>
      <protection locked="0"/>
    </xf>
    <xf numFmtId="0" fontId="278" fillId="0" borderId="355" xfId="2" applyFont="1" applyFill="1" applyBorder="1" applyAlignment="1" applyProtection="1">
      <alignment vertical="center"/>
      <protection locked="0"/>
    </xf>
    <xf numFmtId="0" fontId="320" fillId="0" borderId="633" xfId="2" applyFont="1" applyFill="1" applyBorder="1" applyAlignment="1" applyProtection="1">
      <alignment horizontal="center" vertical="center"/>
      <protection locked="0"/>
    </xf>
    <xf numFmtId="4" fontId="278" fillId="0" borderId="485" xfId="2" applyNumberFormat="1" applyFont="1" applyFill="1" applyBorder="1" applyAlignment="1" applyProtection="1">
      <alignment vertical="center"/>
      <protection locked="0"/>
    </xf>
    <xf numFmtId="4" fontId="278" fillId="0" borderId="356" xfId="2" applyNumberFormat="1" applyFont="1" applyFill="1" applyBorder="1" applyAlignment="1" applyProtection="1">
      <alignment vertical="center"/>
      <protection locked="0"/>
    </xf>
    <xf numFmtId="0" fontId="278" fillId="0" borderId="0" xfId="46" applyNumberFormat="1" applyFont="1" applyFill="1"/>
    <xf numFmtId="0" fontId="320" fillId="0" borderId="0" xfId="46" applyNumberFormat="1" applyFont="1" applyFill="1" applyAlignment="1">
      <alignment horizontal="center"/>
    </xf>
    <xf numFmtId="43" fontId="278" fillId="0" borderId="0" xfId="46" applyNumberFormat="1" applyFont="1" applyFill="1"/>
    <xf numFmtId="0" fontId="320" fillId="0" borderId="0" xfId="46" applyFont="1" applyFill="1" applyAlignment="1">
      <alignment horizontal="center" vertical="top"/>
    </xf>
    <xf numFmtId="43" fontId="278" fillId="0" borderId="0" xfId="46" applyNumberFormat="1" applyFont="1" applyFill="1" applyAlignment="1">
      <alignment vertical="center"/>
    </xf>
    <xf numFmtId="0" fontId="278" fillId="0" borderId="0" xfId="46" applyFont="1" applyFill="1" applyAlignment="1">
      <alignment vertical="top"/>
    </xf>
    <xf numFmtId="0" fontId="278" fillId="0" borderId="0" xfId="46" applyFont="1" applyFill="1" applyAlignment="1">
      <alignment horizontal="center" vertical="center"/>
    </xf>
    <xf numFmtId="0" fontId="321" fillId="0" borderId="0" xfId="46" applyFont="1" applyFill="1" applyBorder="1" applyAlignment="1">
      <alignment horizontal="right"/>
    </xf>
    <xf numFmtId="43" fontId="321" fillId="0" borderId="0" xfId="1" applyFont="1" applyFill="1" applyBorder="1"/>
    <xf numFmtId="0" fontId="321" fillId="0" borderId="685" xfId="46" applyFont="1" applyFill="1" applyBorder="1" applyAlignment="1">
      <alignment horizontal="center"/>
    </xf>
    <xf numFmtId="39" fontId="321" fillId="0" borderId="685" xfId="46" applyNumberFormat="1" applyFont="1" applyFill="1" applyBorder="1" applyProtection="1">
      <protection hidden="1"/>
    </xf>
    <xf numFmtId="43" fontId="323" fillId="0" borderId="0" xfId="46" applyNumberFormat="1" applyFont="1" applyFill="1"/>
    <xf numFmtId="0" fontId="321" fillId="0" borderId="0" xfId="46" applyFont="1" applyFill="1" applyAlignment="1">
      <alignment horizontal="center"/>
    </xf>
    <xf numFmtId="0" fontId="321" fillId="0" borderId="0" xfId="46" applyFont="1" applyFill="1"/>
    <xf numFmtId="0" fontId="323" fillId="0" borderId="0" xfId="46" applyFont="1" applyFill="1"/>
    <xf numFmtId="43" fontId="321" fillId="0" borderId="0" xfId="1" applyFont="1" applyFill="1" applyBorder="1" applyAlignment="1">
      <alignment horizontal="right"/>
    </xf>
    <xf numFmtId="0" fontId="321" fillId="0" borderId="685" xfId="46" applyFont="1" applyFill="1" applyBorder="1" applyAlignment="1">
      <alignment horizontal="right"/>
    </xf>
    <xf numFmtId="39" fontId="321" fillId="0" borderId="685" xfId="46" applyNumberFormat="1" applyFont="1" applyFill="1" applyBorder="1" applyAlignment="1" applyProtection="1">
      <alignment horizontal="right"/>
      <protection hidden="1"/>
    </xf>
    <xf numFmtId="43" fontId="323" fillId="0" borderId="0" xfId="46" applyNumberFormat="1" applyFont="1" applyFill="1" applyAlignment="1">
      <alignment horizontal="right"/>
    </xf>
    <xf numFmtId="0" fontId="321" fillId="0" borderId="0" xfId="46" applyFont="1" applyFill="1" applyAlignment="1">
      <alignment horizontal="right"/>
    </xf>
    <xf numFmtId="0" fontId="323" fillId="0" borderId="0" xfId="46" applyFont="1" applyFill="1" applyAlignment="1">
      <alignment horizontal="right"/>
    </xf>
    <xf numFmtId="0" fontId="323" fillId="0" borderId="0" xfId="58" applyFont="1" applyFill="1"/>
    <xf numFmtId="0" fontId="278" fillId="0" borderId="449" xfId="46" applyFont="1" applyFill="1" applyBorder="1" applyAlignment="1">
      <alignment vertical="top"/>
    </xf>
    <xf numFmtId="0" fontId="320" fillId="0" borderId="626" xfId="46" applyFont="1" applyFill="1" applyBorder="1"/>
    <xf numFmtId="0" fontId="278" fillId="0" borderId="709" xfId="46" applyFont="1" applyFill="1" applyBorder="1" applyAlignment="1">
      <alignment horizontal="center"/>
    </xf>
    <xf numFmtId="43" fontId="278" fillId="0" borderId="709" xfId="1" applyFont="1" applyFill="1" applyBorder="1" applyAlignment="1">
      <alignment horizontal="center"/>
    </xf>
    <xf numFmtId="0" fontId="278" fillId="0" borderId="672" xfId="46" applyFont="1" applyFill="1" applyBorder="1" applyAlignment="1">
      <alignment horizontal="center"/>
    </xf>
    <xf numFmtId="4" fontId="278" fillId="0" borderId="673" xfId="46" applyNumberFormat="1" applyFont="1" applyFill="1" applyBorder="1" applyAlignment="1">
      <alignment horizontal="center"/>
    </xf>
    <xf numFmtId="4" fontId="278" fillId="0" borderId="473" xfId="46" applyNumberFormat="1" applyFont="1" applyFill="1" applyBorder="1" applyAlignment="1" applyProtection="1">
      <alignment horizontal="center"/>
      <protection locked="0"/>
    </xf>
    <xf numFmtId="0" fontId="320" fillId="0" borderId="368" xfId="46" applyFont="1" applyFill="1" applyBorder="1"/>
    <xf numFmtId="4" fontId="278" fillId="0" borderId="731" xfId="46" applyNumberFormat="1" applyFont="1" applyFill="1" applyBorder="1" applyAlignment="1">
      <alignment horizontal="center"/>
    </xf>
    <xf numFmtId="4" fontId="278" fillId="0" borderId="398" xfId="46" applyNumberFormat="1" applyFont="1" applyFill="1" applyBorder="1" applyAlignment="1" applyProtection="1">
      <alignment horizontal="center"/>
      <protection locked="0"/>
    </xf>
    <xf numFmtId="0" fontId="320" fillId="0" borderId="243" xfId="46" applyNumberFormat="1" applyFont="1" applyFill="1" applyBorder="1"/>
    <xf numFmtId="0" fontId="278" fillId="0" borderId="433" xfId="46" applyNumberFormat="1" applyFont="1" applyFill="1" applyBorder="1" applyAlignment="1">
      <alignment horizontal="center"/>
    </xf>
    <xf numFmtId="0" fontId="278" fillId="0" borderId="434" xfId="46" applyNumberFormat="1" applyFont="1" applyFill="1" applyBorder="1" applyAlignment="1">
      <alignment horizontal="center"/>
    </xf>
    <xf numFmtId="0" fontId="278" fillId="0" borderId="437" xfId="46" applyNumberFormat="1" applyFont="1" applyFill="1" applyBorder="1" applyAlignment="1" applyProtection="1">
      <alignment horizontal="center"/>
      <protection locked="0"/>
    </xf>
    <xf numFmtId="0" fontId="320" fillId="0" borderId="368" xfId="46" applyNumberFormat="1" applyFont="1" applyFill="1" applyBorder="1"/>
    <xf numFmtId="0" fontId="278" fillId="0" borderId="685" xfId="46" applyFont="1" applyFill="1" applyBorder="1" applyAlignment="1">
      <alignment horizontal="center" wrapText="1"/>
    </xf>
    <xf numFmtId="0" fontId="278" fillId="0" borderId="731" xfId="46" applyNumberFormat="1" applyFont="1" applyFill="1" applyBorder="1" applyAlignment="1">
      <alignment horizontal="center"/>
    </xf>
    <xf numFmtId="39" fontId="278" fillId="0" borderId="731" xfId="46" applyNumberFormat="1" applyFont="1" applyFill="1" applyBorder="1" applyAlignment="1">
      <alignment horizontal="center"/>
    </xf>
    <xf numFmtId="0" fontId="278" fillId="0" borderId="731" xfId="46" applyNumberFormat="1" applyFont="1" applyFill="1" applyBorder="1" applyAlignment="1" applyProtection="1">
      <alignment horizontal="center"/>
      <protection locked="0"/>
    </xf>
    <xf numFmtId="0" fontId="278" fillId="0" borderId="398" xfId="46" applyNumberFormat="1" applyFont="1" applyFill="1" applyBorder="1" applyAlignment="1" applyProtection="1">
      <alignment horizontal="center"/>
      <protection locked="0"/>
    </xf>
    <xf numFmtId="49" fontId="320" fillId="0" borderId="368" xfId="46" applyNumberFormat="1" applyFont="1" applyFill="1" applyBorder="1"/>
    <xf numFmtId="4" fontId="320" fillId="0" borderId="731" xfId="46" applyNumberFormat="1" applyFont="1" applyFill="1" applyBorder="1"/>
    <xf numFmtId="39" fontId="320" fillId="0" borderId="731" xfId="46" applyNumberFormat="1" applyFont="1" applyFill="1" applyBorder="1"/>
    <xf numFmtId="10" fontId="320" fillId="0" borderId="731" xfId="88" applyNumberFormat="1" applyFont="1" applyFill="1" applyBorder="1"/>
    <xf numFmtId="4" fontId="320" fillId="0" borderId="398" xfId="46" applyNumberFormat="1" applyFont="1" applyFill="1" applyBorder="1"/>
    <xf numFmtId="4" fontId="320" fillId="0" borderId="685" xfId="46" applyNumberFormat="1" applyFont="1" applyFill="1" applyBorder="1"/>
    <xf numFmtId="39" fontId="320" fillId="0" borderId="685" xfId="46" applyNumberFormat="1" applyFont="1" applyFill="1" applyBorder="1"/>
    <xf numFmtId="10" fontId="320" fillId="0" borderId="685" xfId="88" applyNumberFormat="1" applyFont="1" applyFill="1" applyBorder="1"/>
    <xf numFmtId="4" fontId="320" fillId="0" borderId="285" xfId="46" applyNumberFormat="1" applyFont="1" applyFill="1" applyBorder="1"/>
    <xf numFmtId="0" fontId="320" fillId="0" borderId="685" xfId="46" applyFont="1" applyFill="1" applyBorder="1" applyAlignment="1" applyProtection="1">
      <alignment horizontal="center"/>
      <protection locked="0"/>
    </xf>
    <xf numFmtId="4" fontId="320" fillId="0" borderId="685" xfId="46" applyNumberFormat="1" applyFont="1" applyFill="1" applyBorder="1" applyProtection="1">
      <protection hidden="1"/>
    </xf>
    <xf numFmtId="39" fontId="320" fillId="0" borderId="685" xfId="46" applyNumberFormat="1" applyFont="1" applyFill="1" applyBorder="1" applyProtection="1">
      <protection hidden="1"/>
    </xf>
    <xf numFmtId="10" fontId="320" fillId="0" borderId="685" xfId="88" applyNumberFormat="1" applyFont="1" applyFill="1" applyBorder="1" applyProtection="1">
      <protection hidden="1"/>
    </xf>
    <xf numFmtId="4" fontId="320" fillId="0" borderId="285" xfId="46" applyNumberFormat="1" applyFont="1" applyFill="1" applyBorder="1" applyProtection="1">
      <protection hidden="1"/>
    </xf>
    <xf numFmtId="4" fontId="320" fillId="0" borderId="685" xfId="46" applyNumberFormat="1" applyFont="1" applyFill="1" applyBorder="1" applyProtection="1">
      <protection locked="0"/>
    </xf>
    <xf numFmtId="0" fontId="320" fillId="0" borderId="685" xfId="2" applyFont="1" applyFill="1" applyBorder="1" applyAlignment="1">
      <alignment horizontal="center"/>
    </xf>
    <xf numFmtId="0" fontId="320" fillId="0" borderId="685" xfId="46" applyFont="1" applyFill="1" applyBorder="1" applyAlignment="1" applyProtection="1">
      <alignment horizontal="center" vertical="center"/>
      <protection locked="0"/>
    </xf>
    <xf numFmtId="0" fontId="320" fillId="0" borderId="368" xfId="46" applyFont="1" applyFill="1" applyBorder="1" applyAlignment="1">
      <alignment vertical="top"/>
    </xf>
    <xf numFmtId="39" fontId="320" fillId="0" borderId="685" xfId="2" applyNumberFormat="1" applyFont="1" applyFill="1" applyBorder="1" applyAlignment="1">
      <alignment vertical="top"/>
    </xf>
    <xf numFmtId="4" fontId="320" fillId="0" borderId="285" xfId="2" applyNumberFormat="1" applyFont="1" applyFill="1" applyBorder="1" applyAlignment="1">
      <alignment vertical="top"/>
    </xf>
    <xf numFmtId="0" fontId="320" fillId="0" borderId="243" xfId="46" applyFont="1" applyFill="1" applyBorder="1" applyAlignment="1">
      <alignment vertical="center"/>
    </xf>
    <xf numFmtId="0" fontId="278" fillId="0" borderId="433" xfId="46" applyFont="1" applyFill="1" applyBorder="1" applyAlignment="1">
      <alignment vertical="center"/>
    </xf>
    <xf numFmtId="43" fontId="278" fillId="0" borderId="433" xfId="1" applyFont="1" applyFill="1" applyBorder="1" applyAlignment="1">
      <alignment vertical="center"/>
    </xf>
    <xf numFmtId="0" fontId="320" fillId="0" borderId="397" xfId="46" applyFont="1" applyFill="1" applyBorder="1" applyAlignment="1">
      <alignment horizontal="center" vertical="center"/>
    </xf>
    <xf numFmtId="4" fontId="278" fillId="0" borderId="633" xfId="46" applyNumberFormat="1" applyFont="1" applyFill="1" applyBorder="1" applyAlignment="1">
      <alignment vertical="center"/>
    </xf>
    <xf numFmtId="4" fontId="278" fillId="0" borderId="485" xfId="46" applyNumberFormat="1" applyFont="1" applyFill="1" applyBorder="1" applyAlignment="1">
      <alignment vertical="center"/>
    </xf>
    <xf numFmtId="10" fontId="278" fillId="0" borderId="485" xfId="88" applyNumberFormat="1" applyFont="1" applyFill="1" applyBorder="1" applyAlignment="1">
      <alignment vertical="center"/>
    </xf>
    <xf numFmtId="4" fontId="278" fillId="0" borderId="356" xfId="46" applyNumberFormat="1" applyFont="1" applyFill="1" applyBorder="1" applyAlignment="1">
      <alignment vertical="center"/>
    </xf>
    <xf numFmtId="4" fontId="320" fillId="0" borderId="731" xfId="46" applyNumberFormat="1" applyFont="1" applyFill="1" applyBorder="1" applyAlignment="1">
      <alignment horizontal="right"/>
    </xf>
    <xf numFmtId="39" fontId="320" fillId="0" borderId="731" xfId="46" applyNumberFormat="1" applyFont="1" applyFill="1" applyBorder="1" applyAlignment="1">
      <alignment horizontal="right"/>
    </xf>
    <xf numFmtId="0" fontId="320" fillId="0" borderId="368" xfId="46" applyFont="1" applyFill="1" applyBorder="1" applyProtection="1">
      <protection locked="0"/>
    </xf>
    <xf numFmtId="4" fontId="320" fillId="0" borderId="731" xfId="46" applyNumberFormat="1" applyFont="1" applyFill="1" applyBorder="1" applyProtection="1">
      <protection locked="0"/>
    </xf>
    <xf numFmtId="10" fontId="320" fillId="0" borderId="731" xfId="88" applyNumberFormat="1" applyFont="1" applyFill="1" applyBorder="1" applyProtection="1">
      <protection locked="0"/>
    </xf>
    <xf numFmtId="4" fontId="320" fillId="0" borderId="398" xfId="46" applyNumberFormat="1" applyFont="1" applyFill="1" applyBorder="1" applyProtection="1">
      <protection locked="0"/>
    </xf>
    <xf numFmtId="4" fontId="320" fillId="0" borderId="685" xfId="2" applyNumberFormat="1" applyFont="1" applyFill="1" applyBorder="1"/>
    <xf numFmtId="4" fontId="320" fillId="0" borderId="731" xfId="2" applyNumberFormat="1" applyFont="1" applyFill="1" applyBorder="1"/>
    <xf numFmtId="0" fontId="320" fillId="0" borderId="685" xfId="47" applyFont="1" applyFill="1" applyBorder="1" applyAlignment="1" applyProtection="1">
      <alignment horizontal="center" vertical="top"/>
      <protection locked="0"/>
    </xf>
    <xf numFmtId="0" fontId="320" fillId="0" borderId="368" xfId="46" applyFont="1" applyFill="1" applyBorder="1" applyAlignment="1" applyProtection="1">
      <alignment vertical="top"/>
      <protection locked="0"/>
    </xf>
    <xf numFmtId="0" fontId="320" fillId="0" borderId="685" xfId="46" applyFont="1" applyFill="1" applyBorder="1" applyAlignment="1" applyProtection="1">
      <alignment horizontal="center" vertical="top"/>
      <protection locked="0"/>
    </xf>
    <xf numFmtId="4" fontId="320" fillId="0" borderId="731" xfId="46" applyNumberFormat="1" applyFont="1" applyFill="1" applyBorder="1" applyAlignment="1" applyProtection="1">
      <alignment vertical="top"/>
      <protection locked="0"/>
    </xf>
    <xf numFmtId="39" fontId="320" fillId="0" borderId="731" xfId="46" applyNumberFormat="1" applyFont="1" applyFill="1" applyBorder="1" applyAlignment="1" applyProtection="1">
      <alignment vertical="top"/>
      <protection locked="0"/>
    </xf>
    <xf numFmtId="4" fontId="320" fillId="0" borderId="398" xfId="46" applyNumberFormat="1" applyFont="1" applyFill="1" applyBorder="1" applyAlignment="1" applyProtection="1">
      <alignment vertical="top"/>
      <protection locked="0"/>
    </xf>
    <xf numFmtId="0" fontId="320" fillId="0" borderId="685" xfId="46" applyFont="1" applyFill="1" applyBorder="1" applyAlignment="1">
      <alignment horizontal="center" vertical="center"/>
    </xf>
    <xf numFmtId="4" fontId="278" fillId="0" borderId="700" xfId="46" applyNumberFormat="1" applyFont="1" applyFill="1" applyBorder="1" applyAlignment="1">
      <alignment vertical="center"/>
    </xf>
    <xf numFmtId="4" fontId="278" fillId="0" borderId="713" xfId="46" applyNumberFormat="1" applyFont="1" applyFill="1" applyBorder="1" applyAlignment="1">
      <alignment vertical="center"/>
    </xf>
    <xf numFmtId="10" fontId="278" fillId="0" borderId="713" xfId="88" applyNumberFormat="1" applyFont="1" applyFill="1" applyBorder="1" applyAlignment="1">
      <alignment vertical="center"/>
    </xf>
    <xf numFmtId="4" fontId="278" fillId="0" borderId="701" xfId="46" applyNumberFormat="1" applyFont="1" applyFill="1" applyBorder="1" applyAlignment="1">
      <alignment vertical="center"/>
    </xf>
    <xf numFmtId="4" fontId="278" fillId="0" borderId="731" xfId="46" applyNumberFormat="1" applyFont="1" applyFill="1" applyBorder="1" applyAlignment="1">
      <alignment vertical="center"/>
    </xf>
    <xf numFmtId="39" fontId="278" fillId="0" borderId="731" xfId="46" applyNumberFormat="1" applyFont="1" applyFill="1" applyBorder="1" applyAlignment="1">
      <alignment vertical="center"/>
    </xf>
    <xf numFmtId="4" fontId="278" fillId="0" borderId="398" xfId="46" applyNumberFormat="1" applyFont="1" applyFill="1" applyBorder="1" applyAlignment="1">
      <alignment vertical="center"/>
    </xf>
    <xf numFmtId="43" fontId="320" fillId="0" borderId="731" xfId="1" applyFont="1" applyFill="1" applyBorder="1" applyAlignment="1" applyProtection="1">
      <protection locked="0"/>
    </xf>
    <xf numFmtId="0" fontId="278" fillId="0" borderId="243" xfId="46" applyFont="1" applyFill="1" applyBorder="1" applyAlignment="1">
      <alignment vertical="center"/>
    </xf>
    <xf numFmtId="0" fontId="278" fillId="0" borderId="397" xfId="46" applyFont="1" applyFill="1" applyBorder="1" applyAlignment="1">
      <alignment horizontal="center" vertical="center"/>
    </xf>
    <xf numFmtId="4" fontId="278" fillId="0" borderId="485" xfId="46" applyNumberFormat="1" applyFont="1" applyFill="1" applyBorder="1" applyAlignment="1">
      <alignment horizontal="right" vertical="center"/>
    </xf>
    <xf numFmtId="0" fontId="320" fillId="0" borderId="243" xfId="46" applyFont="1" applyFill="1" applyBorder="1"/>
    <xf numFmtId="0" fontId="278" fillId="0" borderId="433" xfId="46" applyFont="1" applyFill="1" applyBorder="1" applyAlignment="1">
      <alignment horizontal="center"/>
    </xf>
    <xf numFmtId="4" fontId="320" fillId="0" borderId="731" xfId="1" applyNumberFormat="1" applyFont="1" applyFill="1" applyBorder="1" applyAlignment="1">
      <alignment horizontal="right"/>
    </xf>
    <xf numFmtId="49" fontId="321" fillId="0" borderId="368" xfId="46" applyNumberFormat="1" applyFont="1" applyFill="1" applyBorder="1"/>
    <xf numFmtId="4" fontId="321" fillId="0" borderId="731" xfId="46" applyNumberFormat="1" applyFont="1" applyFill="1" applyBorder="1" applyAlignment="1">
      <alignment horizontal="right"/>
    </xf>
    <xf numFmtId="4" fontId="321" fillId="0" borderId="731" xfId="46" applyNumberFormat="1" applyFont="1" applyFill="1" applyBorder="1"/>
    <xf numFmtId="10" fontId="321" fillId="0" borderId="731" xfId="88" applyNumberFormat="1" applyFont="1" applyFill="1" applyBorder="1"/>
    <xf numFmtId="4" fontId="321" fillId="0" borderId="398" xfId="46" applyNumberFormat="1" applyFont="1" applyFill="1" applyBorder="1"/>
    <xf numFmtId="49" fontId="321" fillId="0" borderId="368" xfId="46" applyNumberFormat="1" applyFont="1" applyFill="1" applyBorder="1" applyAlignment="1">
      <alignment horizontal="right"/>
    </xf>
    <xf numFmtId="10" fontId="321" fillId="0" borderId="731" xfId="88" applyNumberFormat="1" applyFont="1" applyFill="1" applyBorder="1" applyAlignment="1">
      <alignment horizontal="right"/>
    </xf>
    <xf numFmtId="4" fontId="321" fillId="0" borderId="398" xfId="46" applyNumberFormat="1" applyFont="1" applyFill="1" applyBorder="1" applyAlignment="1">
      <alignment horizontal="right"/>
    </xf>
    <xf numFmtId="49" fontId="320" fillId="0" borderId="368" xfId="46" applyNumberFormat="1" applyFont="1" applyFill="1" applyBorder="1" applyAlignment="1">
      <alignment vertical="center"/>
    </xf>
    <xf numFmtId="4" fontId="320" fillId="0" borderId="731" xfId="46" applyNumberFormat="1" applyFont="1" applyFill="1" applyBorder="1" applyAlignment="1">
      <alignment horizontal="right" vertical="center"/>
    </xf>
    <xf numFmtId="39" fontId="320" fillId="0" borderId="731" xfId="46" applyNumberFormat="1" applyFont="1" applyFill="1" applyBorder="1" applyAlignment="1">
      <alignment horizontal="right" vertical="center"/>
    </xf>
    <xf numFmtId="4" fontId="320" fillId="0" borderId="731" xfId="46" applyNumberFormat="1" applyFont="1" applyFill="1" applyBorder="1" applyAlignment="1">
      <alignment vertical="center"/>
    </xf>
    <xf numFmtId="10" fontId="320" fillId="0" borderId="731" xfId="88" applyNumberFormat="1" applyFont="1" applyFill="1" applyBorder="1" applyAlignment="1">
      <alignment vertical="center"/>
    </xf>
    <xf numFmtId="4" fontId="320" fillId="0" borderId="398" xfId="46" applyNumberFormat="1" applyFont="1" applyFill="1" applyBorder="1" applyAlignment="1">
      <alignment vertical="center"/>
    </xf>
    <xf numFmtId="4" fontId="278" fillId="0" borderId="713" xfId="46" applyNumberFormat="1" applyFont="1" applyFill="1" applyBorder="1" applyAlignment="1">
      <alignment horizontal="right" vertical="center"/>
    </xf>
    <xf numFmtId="0" fontId="320" fillId="0" borderId="354" xfId="46" applyFont="1" applyFill="1" applyBorder="1" applyAlignment="1">
      <alignment vertical="center"/>
    </xf>
    <xf numFmtId="0" fontId="278" fillId="0" borderId="355" xfId="46" applyFont="1" applyFill="1" applyBorder="1" applyAlignment="1">
      <alignment vertical="center"/>
    </xf>
    <xf numFmtId="43" fontId="278" fillId="0" borderId="355" xfId="1" applyFont="1" applyFill="1" applyBorder="1" applyAlignment="1">
      <alignment vertical="center"/>
    </xf>
    <xf numFmtId="0" fontId="320" fillId="0" borderId="633" xfId="46" applyFont="1" applyFill="1" applyBorder="1" applyAlignment="1">
      <alignment horizontal="center" vertical="center"/>
    </xf>
    <xf numFmtId="10" fontId="278" fillId="0" borderId="633" xfId="88" applyNumberFormat="1" applyFont="1" applyFill="1" applyBorder="1" applyAlignment="1">
      <alignment vertical="center"/>
    </xf>
    <xf numFmtId="4" fontId="278" fillId="0" borderId="634" xfId="46" applyNumberFormat="1" applyFont="1" applyFill="1" applyBorder="1" applyAlignment="1">
      <alignment vertical="center"/>
    </xf>
    <xf numFmtId="43" fontId="321" fillId="0" borderId="0" xfId="1" applyFont="1" applyFill="1" applyBorder="1" applyAlignment="1" applyProtection="1">
      <alignment vertical="center"/>
      <protection locked="0"/>
    </xf>
    <xf numFmtId="43" fontId="321" fillId="0" borderId="433" xfId="1" applyFont="1" applyFill="1" applyBorder="1" applyAlignment="1" applyProtection="1">
      <alignment vertical="center"/>
      <protection locked="0"/>
    </xf>
    <xf numFmtId="43" fontId="321" fillId="0" borderId="433" xfId="1" applyFont="1" applyFill="1" applyBorder="1" applyAlignment="1" applyProtection="1">
      <alignment horizontal="center" vertical="center"/>
      <protection locked="0"/>
    </xf>
    <xf numFmtId="43" fontId="321" fillId="0" borderId="709" xfId="1" applyFont="1" applyFill="1" applyBorder="1" applyAlignment="1" applyProtection="1">
      <alignment vertical="center"/>
      <protection locked="0"/>
    </xf>
    <xf numFmtId="43" fontId="321" fillId="0" borderId="672" xfId="1" applyFont="1" applyFill="1" applyBorder="1" applyAlignment="1" applyProtection="1">
      <alignment vertical="center"/>
      <protection locked="0"/>
    </xf>
    <xf numFmtId="43" fontId="321" fillId="0" borderId="0" xfId="7" applyFont="1" applyFill="1" applyAlignment="1">
      <alignment vertical="top"/>
    </xf>
    <xf numFmtId="0" fontId="321" fillId="0" borderId="0" xfId="1" applyNumberFormat="1" applyFont="1" applyFill="1" applyAlignment="1">
      <alignment horizontal="center" vertical="top"/>
    </xf>
    <xf numFmtId="0" fontId="321" fillId="0" borderId="0" xfId="2" applyFont="1" applyFill="1" applyBorder="1" applyAlignment="1" applyProtection="1">
      <alignment horizontal="right" vertical="center"/>
      <protection locked="0"/>
    </xf>
    <xf numFmtId="43" fontId="386" fillId="0" borderId="0" xfId="7" applyFont="1" applyFill="1" applyAlignment="1">
      <alignment vertical="top"/>
    </xf>
    <xf numFmtId="43" fontId="321" fillId="0" borderId="448" xfId="1" applyFont="1" applyFill="1" applyBorder="1" applyAlignment="1" applyProtection="1">
      <alignment vertical="center"/>
      <protection locked="0"/>
    </xf>
    <xf numFmtId="0" fontId="324" fillId="0" borderId="449" xfId="2" applyFont="1" applyFill="1" applyBorder="1" applyAlignment="1">
      <alignment vertical="center"/>
    </xf>
    <xf numFmtId="0" fontId="320" fillId="0" borderId="626" xfId="2" applyFont="1" applyFill="1" applyBorder="1" applyAlignment="1" applyProtection="1">
      <alignment vertical="center"/>
      <protection locked="0"/>
    </xf>
    <xf numFmtId="0" fontId="278" fillId="0" borderId="709" xfId="2" applyFont="1" applyFill="1" applyBorder="1" applyAlignment="1" applyProtection="1">
      <alignment horizontal="center" vertical="center"/>
      <protection locked="0"/>
    </xf>
    <xf numFmtId="43" fontId="321" fillId="0" borderId="709" xfId="1" applyFont="1" applyFill="1" applyBorder="1" applyAlignment="1" applyProtection="1">
      <alignment horizontal="center" vertical="center"/>
      <protection locked="0"/>
    </xf>
    <xf numFmtId="0" fontId="278" fillId="0" borderId="672" xfId="2" applyFont="1" applyFill="1" applyBorder="1" applyAlignment="1" applyProtection="1">
      <alignment horizontal="center" vertical="center"/>
      <protection locked="0"/>
    </xf>
    <xf numFmtId="4" fontId="278" fillId="0" borderId="473" xfId="2" applyNumberFormat="1" applyFont="1" applyFill="1" applyBorder="1" applyAlignment="1" applyProtection="1">
      <alignment horizontal="center" vertical="center"/>
      <protection locked="0"/>
    </xf>
    <xf numFmtId="4" fontId="278" fillId="0" borderId="731" xfId="2" applyNumberFormat="1" applyFont="1" applyFill="1" applyBorder="1" applyAlignment="1" applyProtection="1">
      <alignment horizontal="center" vertical="center"/>
      <protection locked="0"/>
    </xf>
    <xf numFmtId="4" fontId="278" fillId="0" borderId="398" xfId="2" applyNumberFormat="1" applyFont="1" applyFill="1" applyBorder="1" applyAlignment="1" applyProtection="1">
      <alignment horizontal="center" vertical="center"/>
      <protection locked="0"/>
    </xf>
    <xf numFmtId="0" fontId="320" fillId="0" borderId="243" xfId="2" applyNumberFormat="1" applyFont="1" applyFill="1" applyBorder="1" applyAlignment="1" applyProtection="1">
      <alignment vertical="center"/>
      <protection locked="0"/>
    </xf>
    <xf numFmtId="0" fontId="278" fillId="0" borderId="433" xfId="2" applyNumberFormat="1" applyFont="1" applyFill="1" applyBorder="1" applyAlignment="1" applyProtection="1">
      <alignment horizontal="center" vertical="center"/>
      <protection locked="0"/>
    </xf>
    <xf numFmtId="0" fontId="278" fillId="0" borderId="437" xfId="2" applyNumberFormat="1" applyFont="1" applyFill="1" applyBorder="1" applyAlignment="1" applyProtection="1">
      <alignment horizontal="center" vertical="center"/>
      <protection locked="0"/>
    </xf>
    <xf numFmtId="4" fontId="320" fillId="0" borderId="731" xfId="2" applyNumberFormat="1" applyFont="1" applyFill="1" applyBorder="1" applyAlignment="1" applyProtection="1">
      <alignment vertical="center"/>
      <protection hidden="1"/>
    </xf>
    <xf numFmtId="39" fontId="320" fillId="0" borderId="731" xfId="2" applyNumberFormat="1" applyFont="1" applyFill="1" applyBorder="1" applyAlignment="1" applyProtection="1">
      <alignment vertical="center"/>
      <protection hidden="1"/>
    </xf>
    <xf numFmtId="10" fontId="320" fillId="0" borderId="685" xfId="88" applyNumberFormat="1" applyFont="1" applyFill="1" applyBorder="1" applyAlignment="1" applyProtection="1">
      <alignment vertical="center"/>
      <protection hidden="1"/>
    </xf>
    <xf numFmtId="4" fontId="320" fillId="0" borderId="285" xfId="1" applyNumberFormat="1" applyFont="1" applyFill="1" applyBorder="1" applyAlignment="1" applyProtection="1">
      <alignment vertical="center"/>
      <protection hidden="1"/>
    </xf>
    <xf numFmtId="39" fontId="320" fillId="0" borderId="448" xfId="2" applyNumberFormat="1" applyFont="1" applyFill="1" applyBorder="1" applyAlignment="1" applyProtection="1">
      <alignment vertical="center"/>
      <protection locked="0"/>
    </xf>
    <xf numFmtId="4" fontId="320" fillId="0" borderId="703" xfId="2" applyNumberFormat="1" applyFont="1" applyFill="1" applyBorder="1" applyAlignment="1" applyProtection="1">
      <alignment vertical="center"/>
      <protection locked="0"/>
    </xf>
    <xf numFmtId="10" fontId="278" fillId="0" borderId="633" xfId="88" applyNumberFormat="1" applyFont="1" applyFill="1" applyBorder="1" applyAlignment="1" applyProtection="1">
      <alignment vertical="center"/>
      <protection locked="0"/>
    </xf>
    <xf numFmtId="4" fontId="278" fillId="0" borderId="634" xfId="2" applyNumberFormat="1" applyFont="1" applyFill="1" applyBorder="1" applyAlignment="1" applyProtection="1">
      <alignment vertical="center"/>
      <protection locked="0"/>
    </xf>
    <xf numFmtId="0" fontId="320" fillId="0" borderId="368" xfId="2" applyNumberFormat="1" applyFont="1" applyFill="1" applyBorder="1" applyAlignment="1" applyProtection="1">
      <alignment vertical="center"/>
      <protection locked="0"/>
    </xf>
    <xf numFmtId="0" fontId="278" fillId="0" borderId="685" xfId="2" applyFont="1" applyFill="1" applyBorder="1" applyAlignment="1" applyProtection="1">
      <alignment horizontal="center" vertical="center" wrapText="1"/>
      <protection locked="0"/>
    </xf>
    <xf numFmtId="0" fontId="278" fillId="0" borderId="398" xfId="2" applyNumberFormat="1" applyFont="1" applyFill="1" applyBorder="1" applyAlignment="1" applyProtection="1">
      <alignment horizontal="center" vertical="center"/>
      <protection locked="0"/>
    </xf>
    <xf numFmtId="4" fontId="320" fillId="0" borderId="731" xfId="2" applyNumberFormat="1" applyFont="1" applyFill="1" applyBorder="1" applyAlignment="1" applyProtection="1">
      <alignment horizontal="right" vertical="center"/>
      <protection locked="0"/>
    </xf>
    <xf numFmtId="39" fontId="320" fillId="0" borderId="731" xfId="2" applyNumberFormat="1" applyFont="1" applyFill="1" applyBorder="1" applyAlignment="1" applyProtection="1">
      <alignment horizontal="right" vertical="center"/>
      <protection locked="0"/>
    </xf>
    <xf numFmtId="1" fontId="320" fillId="0" borderId="685" xfId="27" applyNumberFormat="1" applyFont="1" applyFill="1" applyBorder="1" applyAlignment="1" applyProtection="1">
      <alignment horizontal="center" vertical="center"/>
      <protection locked="0"/>
    </xf>
    <xf numFmtId="4" fontId="278" fillId="0" borderId="434" xfId="2" applyNumberFormat="1" applyFont="1" applyFill="1" applyBorder="1" applyAlignment="1" applyProtection="1">
      <alignment vertical="center"/>
      <protection locked="0"/>
    </xf>
    <xf numFmtId="4" fontId="278" fillId="0" borderId="437" xfId="2" applyNumberFormat="1" applyFont="1" applyFill="1" applyBorder="1" applyAlignment="1" applyProtection="1">
      <alignment vertical="center"/>
      <protection locked="0"/>
    </xf>
    <xf numFmtId="39" fontId="278" fillId="0" borderId="685" xfId="2" applyNumberFormat="1" applyFont="1" applyFill="1" applyBorder="1" applyAlignment="1" applyProtection="1">
      <alignment vertical="center"/>
      <protection locked="0"/>
    </xf>
    <xf numFmtId="4" fontId="278" fillId="0" borderId="285" xfId="2" applyNumberFormat="1" applyFont="1" applyFill="1" applyBorder="1" applyAlignment="1" applyProtection="1">
      <alignment vertical="center"/>
      <protection locked="0"/>
    </xf>
    <xf numFmtId="4" fontId="320" fillId="0" borderId="685" xfId="10" applyNumberFormat="1" applyFont="1" applyFill="1" applyBorder="1" applyAlignment="1" applyProtection="1">
      <alignment horizontal="right" vertical="center"/>
      <protection locked="0"/>
    </xf>
    <xf numFmtId="39" fontId="320" fillId="0" borderId="685" xfId="10" applyNumberFormat="1" applyFont="1" applyFill="1" applyBorder="1" applyAlignment="1" applyProtection="1">
      <alignment horizontal="right" vertical="center"/>
      <protection locked="0"/>
    </xf>
    <xf numFmtId="4" fontId="320" fillId="0" borderId="285" xfId="2" applyNumberFormat="1" applyFont="1" applyFill="1" applyBorder="1" applyAlignment="1" applyProtection="1">
      <alignment vertical="center"/>
      <protection locked="0"/>
    </xf>
    <xf numFmtId="39" fontId="320" fillId="0" borderId="731" xfId="1" applyNumberFormat="1" applyFont="1" applyFill="1" applyBorder="1" applyAlignment="1" applyProtection="1">
      <alignment horizontal="right" vertical="center"/>
      <protection locked="0"/>
    </xf>
    <xf numFmtId="4" fontId="278" fillId="0" borderId="713" xfId="10" applyNumberFormat="1" applyFont="1" applyFill="1" applyBorder="1" applyAlignment="1" applyProtection="1">
      <alignment horizontal="right" vertical="center"/>
      <protection locked="0"/>
    </xf>
    <xf numFmtId="10" fontId="278" fillId="0" borderId="713" xfId="88" applyNumberFormat="1" applyFont="1" applyFill="1" applyBorder="1" applyAlignment="1" applyProtection="1">
      <alignment horizontal="right" vertical="center"/>
      <protection locked="0"/>
    </xf>
    <xf numFmtId="4" fontId="278" fillId="0" borderId="701" xfId="10" applyNumberFormat="1" applyFont="1" applyFill="1" applyBorder="1" applyAlignment="1" applyProtection="1">
      <alignment horizontal="right" vertical="center"/>
      <protection locked="0"/>
    </xf>
    <xf numFmtId="4" fontId="278" fillId="0" borderId="731" xfId="10" applyNumberFormat="1" applyFont="1" applyFill="1" applyBorder="1" applyAlignment="1" applyProtection="1">
      <alignment horizontal="right" vertical="center"/>
      <protection locked="0"/>
    </xf>
    <xf numFmtId="39" fontId="278" fillId="0" borderId="731" xfId="10" applyNumberFormat="1" applyFont="1" applyFill="1" applyBorder="1" applyAlignment="1" applyProtection="1">
      <alignment horizontal="right" vertical="center"/>
      <protection locked="0"/>
    </xf>
    <xf numFmtId="10" fontId="278" fillId="0" borderId="731" xfId="88" applyNumberFormat="1" applyFont="1" applyFill="1" applyBorder="1" applyAlignment="1" applyProtection="1">
      <alignment horizontal="right" vertical="center"/>
      <protection locked="0"/>
    </xf>
    <xf numFmtId="4" fontId="278" fillId="0" borderId="398" xfId="10" applyNumberFormat="1" applyFont="1" applyFill="1" applyBorder="1" applyAlignment="1" applyProtection="1">
      <alignment horizontal="right" vertical="center"/>
      <protection locked="0"/>
    </xf>
    <xf numFmtId="49" fontId="320" fillId="0" borderId="368" xfId="2" applyNumberFormat="1" applyFont="1" applyFill="1" applyBorder="1" applyAlignment="1" applyProtection="1">
      <alignment vertical="top"/>
      <protection locked="0"/>
    </xf>
    <xf numFmtId="4" fontId="320" fillId="0" borderId="731" xfId="1" applyNumberFormat="1" applyFont="1" applyFill="1" applyBorder="1" applyAlignment="1" applyProtection="1">
      <alignment horizontal="right" vertical="top"/>
      <protection locked="0"/>
    </xf>
    <xf numFmtId="4" fontId="320" fillId="0" borderId="731" xfId="2" applyNumberFormat="1" applyFont="1" applyFill="1" applyBorder="1" applyAlignment="1" applyProtection="1">
      <alignment vertical="top"/>
      <protection locked="0"/>
    </xf>
    <xf numFmtId="4" fontId="320" fillId="0" borderId="398" xfId="2" applyNumberFormat="1" applyFont="1" applyFill="1" applyBorder="1" applyAlignment="1" applyProtection="1">
      <alignment vertical="top"/>
      <protection locked="0"/>
    </xf>
    <xf numFmtId="43" fontId="321" fillId="0" borderId="355" xfId="1" applyFont="1" applyFill="1" applyBorder="1" applyAlignment="1" applyProtection="1">
      <alignment vertical="center"/>
      <protection locked="0"/>
    </xf>
    <xf numFmtId="43" fontId="320" fillId="0" borderId="0" xfId="27" applyNumberFormat="1" applyFont="1" applyFill="1" applyAlignment="1">
      <alignment vertical="center"/>
    </xf>
    <xf numFmtId="43" fontId="278" fillId="0" borderId="0" xfId="27" applyNumberFormat="1" applyFont="1" applyFill="1" applyAlignment="1">
      <alignment vertical="center"/>
    </xf>
    <xf numFmtId="0" fontId="320" fillId="0" borderId="449" xfId="27" applyFont="1" applyFill="1" applyBorder="1" applyAlignment="1">
      <alignment vertical="center"/>
    </xf>
    <xf numFmtId="0" fontId="320" fillId="0" borderId="626" xfId="27" applyFont="1" applyFill="1" applyBorder="1" applyAlignment="1" applyProtection="1">
      <alignment vertical="center"/>
      <protection locked="0"/>
    </xf>
    <xf numFmtId="0" fontId="278" fillId="0" borderId="709" xfId="27" applyFont="1" applyFill="1" applyBorder="1" applyAlignment="1" applyProtection="1">
      <alignment horizontal="center" vertical="center"/>
      <protection locked="0"/>
    </xf>
    <xf numFmtId="0" fontId="278" fillId="0" borderId="672" xfId="27" applyNumberFormat="1" applyFont="1" applyFill="1" applyBorder="1" applyAlignment="1" applyProtection="1">
      <alignment horizontal="center" vertical="center"/>
      <protection locked="0"/>
    </xf>
    <xf numFmtId="0" fontId="320" fillId="0" borderId="368" xfId="27" applyFont="1" applyFill="1" applyBorder="1" applyAlignment="1" applyProtection="1">
      <alignment vertical="center"/>
      <protection locked="0"/>
    </xf>
    <xf numFmtId="0" fontId="320" fillId="0" borderId="243" xfId="27" applyFont="1" applyFill="1" applyBorder="1" applyAlignment="1" applyProtection="1">
      <alignment vertical="center"/>
      <protection locked="0"/>
    </xf>
    <xf numFmtId="0" fontId="278" fillId="0" borderId="433" xfId="27" applyFont="1" applyFill="1" applyBorder="1" applyAlignment="1" applyProtection="1">
      <alignment horizontal="center" vertical="center"/>
      <protection locked="0"/>
    </xf>
    <xf numFmtId="49" fontId="320" fillId="0" borderId="368" xfId="27" applyNumberFormat="1" applyFont="1" applyFill="1" applyBorder="1" applyAlignment="1" applyProtection="1">
      <alignment vertical="center"/>
      <protection locked="0"/>
    </xf>
    <xf numFmtId="0" fontId="320" fillId="0" borderId="685" xfId="27" applyNumberFormat="1" applyFont="1" applyFill="1" applyBorder="1" applyAlignment="1" applyProtection="1">
      <alignment horizontal="center" vertical="center"/>
      <protection locked="0"/>
    </xf>
    <xf numFmtId="39" fontId="320" fillId="0" borderId="731" xfId="1" applyNumberFormat="1" applyFont="1" applyFill="1" applyBorder="1" applyAlignment="1" applyProtection="1">
      <alignment vertical="center"/>
      <protection locked="0"/>
    </xf>
    <xf numFmtId="0" fontId="320" fillId="0" borderId="685" xfId="2" applyNumberFormat="1" applyFont="1" applyFill="1" applyBorder="1" applyAlignment="1" applyProtection="1">
      <alignment horizontal="center" vertical="center"/>
      <protection locked="0"/>
    </xf>
    <xf numFmtId="0" fontId="320" fillId="0" borderId="685" xfId="2" applyNumberFormat="1" applyFont="1" applyFill="1" applyBorder="1" applyAlignment="1">
      <alignment horizontal="center" vertical="center"/>
    </xf>
    <xf numFmtId="4" fontId="320" fillId="0" borderId="731" xfId="47" applyNumberFormat="1" applyFont="1" applyFill="1" applyBorder="1" applyAlignment="1" applyProtection="1">
      <alignment horizontal="right" vertical="center"/>
      <protection locked="0"/>
    </xf>
    <xf numFmtId="4" fontId="320" fillId="0" borderId="731" xfId="47" applyNumberFormat="1" applyFont="1" applyFill="1" applyBorder="1" applyAlignment="1" applyProtection="1">
      <alignment vertical="center"/>
      <protection locked="0"/>
    </xf>
    <xf numFmtId="0" fontId="278" fillId="0" borderId="433" xfId="27" applyFont="1" applyFill="1" applyBorder="1" applyAlignment="1" applyProtection="1">
      <alignment vertical="center"/>
      <protection locked="0"/>
    </xf>
    <xf numFmtId="0" fontId="320" fillId="0" borderId="397" xfId="27" applyNumberFormat="1" applyFont="1" applyFill="1" applyBorder="1" applyAlignment="1" applyProtection="1">
      <alignment horizontal="center" vertical="center"/>
      <protection locked="0"/>
    </xf>
    <xf numFmtId="39" fontId="278" fillId="0" borderId="633" xfId="1" applyNumberFormat="1" applyFont="1" applyFill="1" applyBorder="1" applyAlignment="1" applyProtection="1">
      <alignment vertical="center"/>
      <protection locked="0"/>
    </xf>
    <xf numFmtId="4" fontId="278" fillId="0" borderId="634" xfId="1" applyNumberFormat="1" applyFont="1" applyFill="1" applyBorder="1" applyAlignment="1" applyProtection="1">
      <alignment vertical="center"/>
      <protection locked="0"/>
    </xf>
    <xf numFmtId="4" fontId="320" fillId="0" borderId="398" xfId="1" applyNumberFormat="1" applyFont="1" applyFill="1" applyBorder="1" applyAlignment="1">
      <alignment vertical="center"/>
    </xf>
    <xf numFmtId="39" fontId="278" fillId="0" borderId="700" xfId="1" applyNumberFormat="1" applyFont="1" applyFill="1" applyBorder="1" applyAlignment="1" applyProtection="1">
      <alignment vertical="center"/>
      <protection locked="0"/>
    </xf>
    <xf numFmtId="4" fontId="320" fillId="0" borderId="684" xfId="1" applyNumberFormat="1" applyFont="1" applyFill="1" applyBorder="1" applyAlignment="1" applyProtection="1">
      <alignment horizontal="right" vertical="center"/>
      <protection locked="0"/>
    </xf>
    <xf numFmtId="4" fontId="320" fillId="0" borderId="687" xfId="1" applyNumberFormat="1" applyFont="1" applyFill="1" applyBorder="1" applyAlignment="1" applyProtection="1">
      <alignment horizontal="right" vertical="center"/>
      <protection locked="0"/>
    </xf>
    <xf numFmtId="39" fontId="320" fillId="0" borderId="687" xfId="1" applyNumberFormat="1" applyFont="1" applyFill="1" applyBorder="1" applyAlignment="1" applyProtection="1">
      <alignment horizontal="right" vertical="center"/>
      <protection locked="0"/>
    </xf>
    <xf numFmtId="4" fontId="320" fillId="0" borderId="687" xfId="1" applyNumberFormat="1" applyFont="1" applyFill="1" applyBorder="1" applyAlignment="1" applyProtection="1">
      <alignment vertical="center"/>
      <protection locked="0"/>
    </xf>
    <xf numFmtId="10" fontId="320" fillId="0" borderId="687" xfId="88" applyNumberFormat="1" applyFont="1" applyFill="1" applyBorder="1" applyAlignment="1" applyProtection="1">
      <alignment vertical="center"/>
      <protection locked="0"/>
    </xf>
    <xf numFmtId="4" fontId="320" fillId="0" borderId="702" xfId="1" applyNumberFormat="1" applyFont="1" applyFill="1" applyBorder="1" applyAlignment="1" applyProtection="1">
      <alignment vertical="center"/>
      <protection locked="0"/>
    </xf>
    <xf numFmtId="181" fontId="320" fillId="0" borderId="368" xfId="27" applyNumberFormat="1" applyFont="1" applyFill="1" applyBorder="1" applyAlignment="1" applyProtection="1">
      <alignment horizontal="left" vertical="center"/>
      <protection locked="0"/>
    </xf>
    <xf numFmtId="4" fontId="320" fillId="0" borderId="685" xfId="1" applyNumberFormat="1" applyFont="1" applyFill="1" applyBorder="1" applyAlignment="1" applyProtection="1">
      <alignment horizontal="right" vertical="center"/>
      <protection locked="0"/>
    </xf>
    <xf numFmtId="0" fontId="320" fillId="0" borderId="0" xfId="47" applyFont="1" applyFill="1" applyBorder="1" applyAlignment="1" applyProtection="1">
      <alignment horizontal="right" vertical="top"/>
      <protection locked="0"/>
    </xf>
    <xf numFmtId="4" fontId="278" fillId="0" borderId="547" xfId="7" applyNumberFormat="1" applyFont="1" applyFill="1" applyBorder="1" applyAlignment="1" applyProtection="1">
      <alignment horizontal="center" vertical="center"/>
      <protection locked="0"/>
    </xf>
    <xf numFmtId="4" fontId="320" fillId="0" borderId="0" xfId="7" applyNumberFormat="1" applyFont="1" applyFill="1" applyAlignment="1">
      <alignment horizontal="center" vertical="center"/>
    </xf>
    <xf numFmtId="0" fontId="278" fillId="0" borderId="449" xfId="2" applyFont="1" applyFill="1" applyBorder="1" applyAlignment="1">
      <alignment vertical="center"/>
    </xf>
    <xf numFmtId="4" fontId="278" fillId="0" borderId="473" xfId="7" applyNumberFormat="1" applyFont="1" applyFill="1" applyBorder="1" applyAlignment="1" applyProtection="1">
      <alignment horizontal="center" vertical="center"/>
      <protection locked="0"/>
    </xf>
    <xf numFmtId="4" fontId="278" fillId="0" borderId="398" xfId="7" applyNumberFormat="1" applyFont="1" applyFill="1" applyBorder="1" applyAlignment="1" applyProtection="1">
      <alignment horizontal="center" vertical="center"/>
      <protection locked="0"/>
    </xf>
    <xf numFmtId="0" fontId="278" fillId="0" borderId="437" xfId="7" applyNumberFormat="1" applyFont="1" applyFill="1" applyBorder="1" applyAlignment="1" applyProtection="1">
      <alignment horizontal="center" vertical="center"/>
      <protection locked="0"/>
    </xf>
    <xf numFmtId="4" fontId="320" fillId="0" borderId="731" xfId="7" applyNumberFormat="1" applyFont="1" applyFill="1" applyBorder="1" applyAlignment="1" applyProtection="1">
      <alignment vertical="center"/>
      <protection locked="0"/>
    </xf>
    <xf numFmtId="4" fontId="320" fillId="0" borderId="398" xfId="7" applyNumberFormat="1" applyFont="1" applyFill="1" applyBorder="1" applyAlignment="1" applyProtection="1">
      <alignment vertical="center"/>
      <protection locked="0"/>
    </xf>
    <xf numFmtId="4" fontId="320" fillId="0" borderId="685" xfId="7" applyNumberFormat="1" applyFont="1" applyFill="1" applyBorder="1" applyAlignment="1">
      <alignment vertical="center"/>
    </xf>
    <xf numFmtId="4" fontId="320" fillId="0" borderId="285" xfId="7" applyNumberFormat="1" applyFont="1" applyFill="1" applyBorder="1" applyAlignment="1">
      <alignment vertical="center"/>
    </xf>
    <xf numFmtId="0" fontId="320" fillId="0" borderId="731" xfId="45" applyFont="1" applyFill="1" applyBorder="1" applyAlignment="1" applyProtection="1">
      <alignment vertical="center"/>
      <protection locked="0"/>
    </xf>
    <xf numFmtId="49" fontId="278" fillId="0" borderId="243" xfId="2" applyNumberFormat="1" applyFont="1" applyFill="1" applyBorder="1" applyAlignment="1" applyProtection="1">
      <alignment vertical="center"/>
      <protection locked="0"/>
    </xf>
    <xf numFmtId="4" fontId="278" fillId="0" borderId="485" xfId="7" applyNumberFormat="1" applyFont="1" applyFill="1" applyBorder="1" applyAlignment="1" applyProtection="1">
      <alignment vertical="center"/>
      <protection locked="0"/>
    </xf>
    <xf numFmtId="4" fontId="278" fillId="0" borderId="356" xfId="7" applyNumberFormat="1" applyFont="1" applyFill="1" applyBorder="1" applyAlignment="1" applyProtection="1">
      <alignment vertical="center"/>
      <protection locked="0"/>
    </xf>
    <xf numFmtId="4" fontId="320" fillId="0" borderId="285" xfId="7" applyNumberFormat="1" applyFont="1" applyFill="1" applyBorder="1" applyAlignment="1" applyProtection="1">
      <alignment vertical="center"/>
      <protection locked="0"/>
    </xf>
    <xf numFmtId="0" fontId="320" fillId="0" borderId="285" xfId="2" applyFont="1" applyFill="1" applyBorder="1" applyAlignment="1">
      <alignment vertical="center"/>
    </xf>
    <xf numFmtId="4" fontId="320" fillId="0" borderId="448" xfId="2" applyNumberFormat="1" applyFont="1" applyFill="1" applyBorder="1" applyAlignment="1" applyProtection="1">
      <alignment horizontal="right" vertical="center"/>
      <protection locked="0"/>
    </xf>
    <xf numFmtId="4" fontId="320" fillId="0" borderId="452" xfId="2" applyNumberFormat="1" applyFont="1" applyFill="1" applyBorder="1" applyAlignment="1" applyProtection="1">
      <alignment horizontal="right" vertical="center"/>
      <protection locked="0"/>
    </xf>
    <xf numFmtId="39" fontId="320" fillId="0" borderId="452" xfId="2" applyNumberFormat="1" applyFont="1" applyFill="1" applyBorder="1" applyAlignment="1" applyProtection="1">
      <alignment horizontal="right" vertical="center"/>
      <protection locked="0"/>
    </xf>
    <xf numFmtId="4" fontId="320" fillId="0" borderId="452" xfId="7" applyNumberFormat="1" applyFont="1" applyFill="1" applyBorder="1" applyAlignment="1" applyProtection="1">
      <alignment vertical="center"/>
      <protection locked="0"/>
    </xf>
    <xf numFmtId="4" fontId="320" fillId="0" borderId="628" xfId="7" applyNumberFormat="1" applyFont="1" applyFill="1" applyBorder="1" applyAlignment="1" applyProtection="1">
      <alignment vertical="center"/>
      <protection locked="0"/>
    </xf>
    <xf numFmtId="4" fontId="278" fillId="0" borderId="398" xfId="2" applyNumberFormat="1" applyFont="1" applyFill="1" applyBorder="1" applyAlignment="1" applyProtection="1">
      <alignment vertical="center"/>
      <protection locked="0"/>
    </xf>
    <xf numFmtId="4" fontId="320" fillId="0" borderId="684" xfId="2" applyNumberFormat="1" applyFont="1" applyFill="1" applyBorder="1" applyAlignment="1" applyProtection="1">
      <alignment horizontal="right" vertical="center"/>
      <protection locked="0"/>
    </xf>
    <xf numFmtId="4" fontId="320" fillId="0" borderId="687" xfId="2" applyNumberFormat="1" applyFont="1" applyFill="1" applyBorder="1" applyAlignment="1" applyProtection="1">
      <alignment horizontal="right" vertical="center"/>
      <protection locked="0"/>
    </xf>
    <xf numFmtId="39" fontId="320" fillId="0" borderId="687" xfId="2" applyNumberFormat="1" applyFont="1" applyFill="1" applyBorder="1" applyAlignment="1" applyProtection="1">
      <alignment horizontal="right" vertical="center"/>
      <protection locked="0"/>
    </xf>
    <xf numFmtId="4" fontId="320" fillId="0" borderId="687" xfId="7" applyNumberFormat="1" applyFont="1" applyFill="1" applyBorder="1" applyAlignment="1" applyProtection="1">
      <alignment vertical="center"/>
      <protection locked="0"/>
    </xf>
    <xf numFmtId="4" fontId="320" fillId="0" borderId="687" xfId="2" applyNumberFormat="1" applyFont="1" applyFill="1" applyBorder="1" applyAlignment="1" applyProtection="1">
      <alignment vertical="center"/>
      <protection locked="0"/>
    </xf>
    <xf numFmtId="4" fontId="320" fillId="0" borderId="702" xfId="7" applyNumberFormat="1" applyFont="1" applyFill="1" applyBorder="1" applyAlignment="1" applyProtection="1">
      <alignment vertical="center"/>
      <protection locked="0"/>
    </xf>
    <xf numFmtId="1" fontId="278" fillId="0" borderId="685" xfId="2" applyNumberFormat="1" applyFont="1" applyFill="1" applyBorder="1" applyAlignment="1" applyProtection="1">
      <alignment horizontal="center" vertical="center"/>
      <protection locked="0"/>
    </xf>
    <xf numFmtId="4" fontId="278" fillId="0" borderId="700" xfId="7" applyNumberFormat="1" applyFont="1" applyFill="1" applyBorder="1" applyAlignment="1" applyProtection="1">
      <alignment horizontal="right" vertical="center"/>
      <protection locked="0"/>
    </xf>
    <xf numFmtId="39" fontId="278" fillId="0" borderId="700" xfId="7" applyNumberFormat="1" applyFont="1" applyFill="1" applyBorder="1" applyAlignment="1" applyProtection="1">
      <alignment horizontal="right" vertical="center"/>
      <protection locked="0"/>
    </xf>
    <xf numFmtId="49" fontId="320" fillId="0" borderId="368" xfId="2" applyNumberFormat="1" applyFont="1" applyFill="1" applyBorder="1" applyAlignment="1" applyProtection="1">
      <protection locked="0"/>
    </xf>
    <xf numFmtId="0" fontId="278" fillId="0" borderId="685" xfId="2" applyFont="1" applyFill="1" applyBorder="1" applyAlignment="1" applyProtection="1">
      <alignment horizontal="center"/>
      <protection locked="0"/>
    </xf>
    <xf numFmtId="4" fontId="278" fillId="0" borderId="731" xfId="7" applyNumberFormat="1" applyFont="1" applyFill="1" applyBorder="1" applyAlignment="1" applyProtection="1">
      <alignment horizontal="right"/>
      <protection locked="0"/>
    </xf>
    <xf numFmtId="39" fontId="278" fillId="0" borderId="731" xfId="7" applyNumberFormat="1" applyFont="1" applyFill="1" applyBorder="1" applyAlignment="1" applyProtection="1">
      <alignment horizontal="right"/>
      <protection locked="0"/>
    </xf>
    <xf numFmtId="4" fontId="278" fillId="0" borderId="731" xfId="7" applyNumberFormat="1" applyFont="1" applyFill="1" applyBorder="1" applyAlignment="1" applyProtection="1">
      <protection locked="0"/>
    </xf>
    <xf numFmtId="10" fontId="278" fillId="0" borderId="731" xfId="88" applyNumberFormat="1" applyFont="1" applyFill="1" applyBorder="1" applyAlignment="1" applyProtection="1">
      <protection locked="0"/>
    </xf>
    <xf numFmtId="4" fontId="278" fillId="0" borderId="398" xfId="7" applyNumberFormat="1" applyFont="1" applyFill="1" applyBorder="1" applyAlignment="1" applyProtection="1">
      <protection locked="0"/>
    </xf>
    <xf numFmtId="39" fontId="278" fillId="0" borderId="452" xfId="2" applyNumberFormat="1" applyFont="1" applyFill="1" applyBorder="1" applyAlignment="1" applyProtection="1">
      <alignment vertical="center"/>
      <protection locked="0"/>
    </xf>
    <xf numFmtId="4" fontId="278" fillId="0" borderId="452" xfId="7" applyNumberFormat="1" applyFont="1" applyFill="1" applyBorder="1" applyAlignment="1" applyProtection="1">
      <alignment vertical="center"/>
      <protection locked="0"/>
    </xf>
    <xf numFmtId="4" fontId="278" fillId="0" borderId="628" xfId="7" applyNumberFormat="1" applyFont="1" applyFill="1" applyBorder="1" applyAlignment="1" applyProtection="1">
      <alignment vertical="center"/>
      <protection locked="0"/>
    </xf>
    <xf numFmtId="39" fontId="278" fillId="0" borderId="713" xfId="2" applyNumberFormat="1" applyFont="1" applyFill="1" applyBorder="1" applyAlignment="1" applyProtection="1">
      <alignment vertical="center"/>
      <protection locked="0"/>
    </xf>
    <xf numFmtId="4" fontId="278" fillId="0" borderId="713" xfId="7" applyNumberFormat="1" applyFont="1" applyFill="1" applyBorder="1" applyAlignment="1" applyProtection="1">
      <alignment vertical="center"/>
      <protection locked="0"/>
    </xf>
    <xf numFmtId="4" fontId="278" fillId="0" borderId="701" xfId="7" applyNumberFormat="1" applyFont="1" applyFill="1" applyBorder="1" applyAlignment="1" applyProtection="1">
      <alignment vertical="center"/>
      <protection locked="0"/>
    </xf>
    <xf numFmtId="4" fontId="278" fillId="0" borderId="434" xfId="7" applyNumberFormat="1" applyFont="1" applyFill="1" applyBorder="1" applyAlignment="1" applyProtection="1">
      <alignment vertical="center"/>
      <protection locked="0"/>
    </xf>
    <xf numFmtId="39" fontId="278" fillId="0" borderId="434" xfId="7" applyNumberFormat="1" applyFont="1" applyFill="1" applyBorder="1" applyAlignment="1" applyProtection="1">
      <alignment vertical="center"/>
      <protection locked="0"/>
    </xf>
    <xf numFmtId="4" fontId="278" fillId="0" borderId="437" xfId="7" applyNumberFormat="1" applyFont="1" applyFill="1" applyBorder="1" applyAlignment="1" applyProtection="1">
      <alignment vertical="center"/>
      <protection locked="0"/>
    </xf>
    <xf numFmtId="43" fontId="320" fillId="0" borderId="0" xfId="45" applyNumberFormat="1" applyFont="1" applyFill="1" applyAlignment="1">
      <alignment vertical="center"/>
    </xf>
    <xf numFmtId="43" fontId="278" fillId="0" borderId="0" xfId="45" applyNumberFormat="1" applyFont="1" applyFill="1" applyAlignment="1">
      <alignment vertical="center"/>
    </xf>
    <xf numFmtId="43" fontId="320" fillId="0" borderId="0" xfId="45" applyNumberFormat="1" applyFont="1" applyFill="1" applyBorder="1" applyAlignment="1">
      <alignment vertical="top"/>
    </xf>
    <xf numFmtId="0" fontId="320" fillId="0" borderId="0" xfId="45" applyFont="1" applyFill="1" applyBorder="1" applyAlignment="1">
      <alignment horizontal="center" vertical="top"/>
    </xf>
    <xf numFmtId="0" fontId="321" fillId="0" borderId="685" xfId="45" applyFont="1" applyFill="1" applyBorder="1" applyAlignment="1" applyProtection="1">
      <alignment horizontal="right" vertical="top"/>
      <protection locked="0"/>
    </xf>
    <xf numFmtId="2" fontId="321" fillId="0" borderId="685" xfId="45" applyNumberFormat="1" applyFont="1" applyFill="1" applyBorder="1" applyAlignment="1" applyProtection="1">
      <alignment horizontal="right" vertical="top"/>
      <protection locked="0"/>
    </xf>
    <xf numFmtId="43" fontId="321" fillId="0" borderId="0" xfId="45" applyNumberFormat="1" applyFont="1" applyFill="1" applyBorder="1" applyAlignment="1">
      <alignment horizontal="right" vertical="top"/>
    </xf>
    <xf numFmtId="0" fontId="321" fillId="0" borderId="0" xfId="45" applyFont="1" applyFill="1" applyBorder="1" applyAlignment="1">
      <alignment horizontal="right" vertical="top"/>
    </xf>
    <xf numFmtId="4" fontId="321" fillId="0" borderId="0" xfId="45" applyNumberFormat="1" applyFont="1" applyFill="1" applyBorder="1" applyAlignment="1" applyProtection="1">
      <alignment horizontal="right" vertical="top"/>
      <protection locked="0"/>
    </xf>
    <xf numFmtId="0" fontId="321" fillId="0" borderId="0" xfId="45" applyFont="1" applyFill="1" applyAlignment="1">
      <alignment horizontal="right" vertical="top"/>
    </xf>
    <xf numFmtId="43" fontId="320" fillId="0" borderId="449" xfId="1" applyFont="1" applyFill="1" applyBorder="1" applyAlignment="1">
      <alignment vertical="center"/>
    </xf>
    <xf numFmtId="0" fontId="320" fillId="0" borderId="626" xfId="45" applyFont="1" applyFill="1" applyBorder="1" applyAlignment="1" applyProtection="1">
      <alignment vertical="center"/>
      <protection locked="0"/>
    </xf>
    <xf numFmtId="0" fontId="278" fillId="0" borderId="672" xfId="45" applyFont="1" applyFill="1" applyBorder="1" applyAlignment="1" applyProtection="1">
      <alignment horizontal="center" vertical="center"/>
      <protection locked="0"/>
    </xf>
    <xf numFmtId="0" fontId="278" fillId="0" borderId="673" xfId="45" applyFont="1" applyFill="1" applyBorder="1" applyAlignment="1" applyProtection="1">
      <alignment horizontal="center" vertical="center"/>
      <protection locked="0"/>
    </xf>
    <xf numFmtId="0" fontId="278" fillId="0" borderId="473" xfId="45" applyFont="1" applyFill="1" applyBorder="1" applyAlignment="1" applyProtection="1">
      <alignment horizontal="center" vertical="center"/>
      <protection locked="0"/>
    </xf>
    <xf numFmtId="0" fontId="320" fillId="0" borderId="368" xfId="45" applyFont="1" applyFill="1" applyBorder="1" applyAlignment="1" applyProtection="1">
      <alignment vertical="center"/>
      <protection locked="0"/>
    </xf>
    <xf numFmtId="0" fontId="278" fillId="0" borderId="731" xfId="45" applyFont="1" applyFill="1" applyBorder="1" applyAlignment="1" applyProtection="1">
      <alignment horizontal="center" vertical="center"/>
      <protection locked="0"/>
    </xf>
    <xf numFmtId="0" fontId="278" fillId="0" borderId="398" xfId="45" applyFont="1" applyFill="1" applyBorder="1" applyAlignment="1" applyProtection="1">
      <alignment horizontal="center" vertical="center"/>
      <protection locked="0"/>
    </xf>
    <xf numFmtId="0" fontId="320" fillId="0" borderId="243" xfId="45" applyFont="1" applyFill="1" applyBorder="1" applyAlignment="1" applyProtection="1">
      <alignment vertical="center"/>
      <protection locked="0"/>
    </xf>
    <xf numFmtId="0" fontId="278" fillId="0" borderId="434" xfId="45" applyFont="1" applyFill="1" applyBorder="1" applyAlignment="1" applyProtection="1">
      <alignment horizontal="center" vertical="center"/>
      <protection locked="0"/>
    </xf>
    <xf numFmtId="0" fontId="278" fillId="0" borderId="437" xfId="45" applyFont="1" applyFill="1" applyBorder="1" applyAlignment="1" applyProtection="1">
      <alignment horizontal="center" vertical="center"/>
      <protection locked="0"/>
    </xf>
    <xf numFmtId="0" fontId="278" fillId="0" borderId="685" xfId="45" applyFont="1" applyFill="1" applyBorder="1" applyAlignment="1" applyProtection="1">
      <alignment horizontal="center" vertical="center" wrapText="1"/>
      <protection locked="0"/>
    </xf>
    <xf numFmtId="49" fontId="320" fillId="0" borderId="368" xfId="45" applyNumberFormat="1" applyFont="1" applyFill="1" applyBorder="1" applyAlignment="1" applyProtection="1">
      <alignment vertical="center"/>
      <protection locked="0"/>
    </xf>
    <xf numFmtId="39" fontId="320" fillId="0" borderId="731" xfId="45" applyNumberFormat="1" applyFont="1" applyFill="1" applyBorder="1" applyAlignment="1" applyProtection="1">
      <alignment vertical="center"/>
      <protection locked="0"/>
    </xf>
    <xf numFmtId="0" fontId="320" fillId="0" borderId="398" xfId="45" applyFont="1" applyFill="1" applyBorder="1" applyAlignment="1" applyProtection="1">
      <alignment vertical="center"/>
      <protection locked="0"/>
    </xf>
    <xf numFmtId="4" fontId="320" fillId="0" borderId="731" xfId="45" applyNumberFormat="1" applyFont="1" applyFill="1" applyBorder="1" applyAlignment="1" applyProtection="1">
      <alignment vertical="center"/>
      <protection hidden="1"/>
    </xf>
    <xf numFmtId="39" fontId="320" fillId="0" borderId="731" xfId="45" applyNumberFormat="1" applyFont="1" applyFill="1" applyBorder="1" applyAlignment="1" applyProtection="1">
      <alignment vertical="center"/>
      <protection hidden="1"/>
    </xf>
    <xf numFmtId="4" fontId="320" fillId="0" borderId="398" xfId="45" applyNumberFormat="1" applyFont="1" applyFill="1" applyBorder="1" applyAlignment="1" applyProtection="1">
      <alignment vertical="center"/>
      <protection hidden="1"/>
    </xf>
    <xf numFmtId="4" fontId="320" fillId="0" borderId="731" xfId="45" applyNumberFormat="1" applyFont="1" applyFill="1" applyBorder="1" applyAlignment="1" applyProtection="1">
      <alignment vertical="center"/>
      <protection locked="0"/>
    </xf>
    <xf numFmtId="0" fontId="320" fillId="0" borderId="397" xfId="45" applyFont="1" applyFill="1" applyBorder="1" applyAlignment="1" applyProtection="1">
      <alignment horizontal="center" vertical="center"/>
      <protection locked="0"/>
    </xf>
    <xf numFmtId="4" fontId="278" fillId="0" borderId="633" xfId="45" applyNumberFormat="1" applyFont="1" applyFill="1" applyBorder="1" applyAlignment="1" applyProtection="1">
      <alignment vertical="center"/>
      <protection locked="0"/>
    </xf>
    <xf numFmtId="4" fontId="278" fillId="0" borderId="485" xfId="45" applyNumberFormat="1" applyFont="1" applyFill="1" applyBorder="1" applyAlignment="1" applyProtection="1">
      <alignment vertical="center"/>
      <protection locked="0"/>
    </xf>
    <xf numFmtId="4" fontId="278" fillId="0" borderId="356" xfId="45" applyNumberFormat="1" applyFont="1" applyFill="1" applyBorder="1" applyAlignment="1" applyProtection="1">
      <alignment vertical="center"/>
      <protection locked="0"/>
    </xf>
    <xf numFmtId="43" fontId="320" fillId="0" borderId="731" xfId="1" applyFont="1" applyFill="1" applyBorder="1" applyAlignment="1">
      <alignment vertical="center" wrapText="1"/>
    </xf>
    <xf numFmtId="43" fontId="320" fillId="0" borderId="731" xfId="15" applyFont="1" applyFill="1" applyBorder="1" applyAlignment="1" applyProtection="1">
      <alignment horizontal="right" vertical="center"/>
      <protection locked="0"/>
    </xf>
    <xf numFmtId="39" fontId="320" fillId="0" borderId="731" xfId="15" applyNumberFormat="1" applyFont="1" applyFill="1" applyBorder="1" applyAlignment="1" applyProtection="1">
      <alignment horizontal="right" vertical="center"/>
      <protection locked="0"/>
    </xf>
    <xf numFmtId="4" fontId="320" fillId="0" borderId="684" xfId="45" applyNumberFormat="1" applyFont="1" applyFill="1" applyBorder="1" applyAlignment="1" applyProtection="1">
      <alignment vertical="center" wrapText="1"/>
      <protection locked="0"/>
    </xf>
    <xf numFmtId="10" fontId="320" fillId="0" borderId="684" xfId="88" applyNumberFormat="1" applyFont="1" applyFill="1" applyBorder="1" applyAlignment="1" applyProtection="1">
      <alignment vertical="center" wrapText="1"/>
      <protection locked="0"/>
    </xf>
    <xf numFmtId="4" fontId="320" fillId="0" borderId="704" xfId="45" applyNumberFormat="1" applyFont="1" applyFill="1" applyBorder="1" applyAlignment="1" applyProtection="1">
      <alignment vertical="center" wrapText="1"/>
      <protection locked="0"/>
    </xf>
    <xf numFmtId="43" fontId="320" fillId="0" borderId="285" xfId="1" applyFont="1" applyFill="1" applyBorder="1" applyAlignment="1">
      <alignment vertical="center" wrapText="1"/>
    </xf>
    <xf numFmtId="0" fontId="320" fillId="0" borderId="398" xfId="45" applyFont="1" applyFill="1" applyBorder="1" applyAlignment="1">
      <alignment vertical="center"/>
    </xf>
    <xf numFmtId="0" fontId="320" fillId="0" borderId="685" xfId="45" applyNumberFormat="1" applyFont="1" applyFill="1" applyBorder="1" applyAlignment="1" applyProtection="1">
      <alignment horizontal="center" vertical="center"/>
      <protection locked="0"/>
    </xf>
    <xf numFmtId="43" fontId="320" fillId="0" borderId="731" xfId="45" applyNumberFormat="1" applyFont="1" applyFill="1" applyBorder="1" applyAlignment="1" applyProtection="1">
      <alignment horizontal="right" vertical="center"/>
      <protection locked="0"/>
    </xf>
    <xf numFmtId="4" fontId="320" fillId="0" borderId="285" xfId="0" applyNumberFormat="1" applyFont="1" applyFill="1" applyBorder="1" applyAlignment="1">
      <alignment vertical="center" wrapText="1"/>
    </xf>
    <xf numFmtId="39" fontId="320" fillId="0" borderId="452" xfId="45" applyNumberFormat="1" applyFont="1" applyFill="1" applyBorder="1" applyAlignment="1" applyProtection="1">
      <alignment vertical="center"/>
      <protection hidden="1"/>
    </xf>
    <xf numFmtId="43" fontId="320" fillId="0" borderId="703" xfId="1" applyFont="1" applyFill="1" applyBorder="1" applyAlignment="1">
      <alignment vertical="center" wrapText="1"/>
    </xf>
    <xf numFmtId="4" fontId="278" fillId="0" borderId="713" xfId="45" applyNumberFormat="1" applyFont="1" applyFill="1" applyBorder="1" applyAlignment="1" applyProtection="1">
      <alignment vertical="center"/>
      <protection locked="0"/>
    </xf>
    <xf numFmtId="4" fontId="278" fillId="0" borderId="700" xfId="47" applyNumberFormat="1" applyFont="1" applyFill="1" applyBorder="1" applyAlignment="1" applyProtection="1">
      <alignment vertical="top"/>
      <protection locked="0"/>
    </xf>
    <xf numFmtId="10" fontId="278" fillId="0" borderId="700" xfId="88" applyNumberFormat="1" applyFont="1" applyFill="1" applyBorder="1" applyAlignment="1" applyProtection="1">
      <alignment vertical="top"/>
      <protection locked="0"/>
    </xf>
    <xf numFmtId="4" fontId="278" fillId="0" borderId="632" xfId="47" applyNumberFormat="1" applyFont="1" applyFill="1" applyBorder="1" applyAlignment="1" applyProtection="1">
      <alignment vertical="top"/>
      <protection locked="0"/>
    </xf>
    <xf numFmtId="0" fontId="320" fillId="0" borderId="684" xfId="45" applyFont="1" applyFill="1" applyBorder="1" applyAlignment="1" applyProtection="1">
      <alignment horizontal="right" vertical="center"/>
      <protection locked="0"/>
    </xf>
    <xf numFmtId="0" fontId="320" fillId="0" borderId="687" xfId="45" applyFont="1" applyFill="1" applyBorder="1" applyAlignment="1" applyProtection="1">
      <alignment horizontal="right" vertical="center"/>
      <protection locked="0"/>
    </xf>
    <xf numFmtId="39" fontId="320" fillId="0" borderId="687" xfId="45" applyNumberFormat="1" applyFont="1" applyFill="1" applyBorder="1" applyAlignment="1" applyProtection="1">
      <alignment horizontal="right" vertical="center"/>
      <protection locked="0"/>
    </xf>
    <xf numFmtId="4" fontId="320" fillId="0" borderId="687" xfId="45" applyNumberFormat="1" applyFont="1" applyFill="1" applyBorder="1" applyAlignment="1" applyProtection="1">
      <alignment vertical="center"/>
      <protection locked="0"/>
    </xf>
    <xf numFmtId="4" fontId="320" fillId="0" borderId="702" xfId="45" applyNumberFormat="1" applyFont="1" applyFill="1" applyBorder="1" applyAlignment="1" applyProtection="1">
      <alignment vertical="center"/>
      <protection locked="0"/>
    </xf>
    <xf numFmtId="0" fontId="320" fillId="0" borderId="731" xfId="45" applyFont="1" applyFill="1" applyBorder="1" applyAlignment="1" applyProtection="1">
      <alignment horizontal="right" vertical="center"/>
      <protection locked="0"/>
    </xf>
    <xf numFmtId="39" fontId="320" fillId="0" borderId="731" xfId="45" applyNumberFormat="1" applyFont="1" applyFill="1" applyBorder="1" applyAlignment="1" applyProtection="1">
      <alignment horizontal="right" vertical="center"/>
      <protection locked="0"/>
    </xf>
    <xf numFmtId="4" fontId="320" fillId="0" borderId="398" xfId="45" applyNumberFormat="1" applyFont="1" applyFill="1" applyBorder="1" applyAlignment="1" applyProtection="1">
      <alignment vertical="center"/>
      <protection locked="0"/>
    </xf>
    <xf numFmtId="39" fontId="320" fillId="0" borderId="731" xfId="45" applyNumberFormat="1" applyFont="1" applyFill="1" applyBorder="1" applyAlignment="1" applyProtection="1">
      <alignment horizontal="right" vertical="top"/>
      <protection locked="0"/>
    </xf>
    <xf numFmtId="2" fontId="320" fillId="0" borderId="731" xfId="45" applyNumberFormat="1" applyFont="1" applyFill="1" applyBorder="1" applyAlignment="1" applyProtection="1">
      <alignment horizontal="right" vertical="center"/>
      <protection locked="0"/>
    </xf>
    <xf numFmtId="49" fontId="278" fillId="0" borderId="368" xfId="45" applyNumberFormat="1" applyFont="1" applyFill="1" applyBorder="1" applyAlignment="1" applyProtection="1">
      <alignment vertical="center"/>
      <protection locked="0"/>
    </xf>
    <xf numFmtId="0" fontId="278" fillId="0" borderId="685" xfId="45" applyFont="1" applyFill="1" applyBorder="1" applyAlignment="1" applyProtection="1">
      <alignment horizontal="center" vertical="center"/>
      <protection locked="0"/>
    </xf>
    <xf numFmtId="43" fontId="278" fillId="0" borderId="713" xfId="1" applyFont="1" applyFill="1" applyBorder="1" applyAlignment="1" applyProtection="1">
      <alignment horizontal="right" vertical="center"/>
      <protection locked="0"/>
    </xf>
    <xf numFmtId="39" fontId="278" fillId="0" borderId="713" xfId="1" applyNumberFormat="1" applyFont="1" applyFill="1" applyBorder="1" applyAlignment="1" applyProtection="1">
      <alignment horizontal="right" vertical="center"/>
      <protection locked="0"/>
    </xf>
    <xf numFmtId="4" fontId="278" fillId="0" borderId="701" xfId="45" applyNumberFormat="1" applyFont="1" applyFill="1" applyBorder="1" applyAlignment="1" applyProtection="1">
      <alignment vertical="center"/>
      <protection locked="0"/>
    </xf>
    <xf numFmtId="2" fontId="320" fillId="0" borderId="684" xfId="45" applyNumberFormat="1" applyFont="1" applyFill="1" applyBorder="1" applyAlignment="1" applyProtection="1">
      <alignment horizontal="right" vertical="center"/>
      <protection locked="0"/>
    </xf>
    <xf numFmtId="2" fontId="320" fillId="0" borderId="687" xfId="45" applyNumberFormat="1" applyFont="1" applyFill="1" applyBorder="1" applyAlignment="1" applyProtection="1">
      <alignment horizontal="right" vertical="center"/>
      <protection locked="0"/>
    </xf>
    <xf numFmtId="43" fontId="320" fillId="0" borderId="684" xfId="1" applyFont="1" applyFill="1" applyBorder="1" applyAlignment="1">
      <alignment vertical="center"/>
    </xf>
    <xf numFmtId="10" fontId="320" fillId="0" borderId="684" xfId="88" applyNumberFormat="1" applyFont="1" applyFill="1" applyBorder="1" applyAlignment="1">
      <alignment vertical="center"/>
    </xf>
    <xf numFmtId="43" fontId="320" fillId="0" borderId="704" xfId="1" applyFont="1" applyFill="1" applyBorder="1" applyAlignment="1">
      <alignment vertical="center"/>
    </xf>
    <xf numFmtId="2" fontId="320" fillId="0" borderId="685" xfId="45" applyNumberFormat="1" applyFont="1" applyFill="1" applyBorder="1" applyAlignment="1" applyProtection="1">
      <alignment horizontal="right" vertical="center"/>
      <protection locked="0"/>
    </xf>
    <xf numFmtId="0" fontId="320" fillId="0" borderId="285" xfId="45" applyFont="1" applyFill="1" applyBorder="1" applyAlignment="1">
      <alignment vertical="center"/>
    </xf>
    <xf numFmtId="49" fontId="320" fillId="0" borderId="368" xfId="45" applyNumberFormat="1" applyFont="1" applyFill="1" applyBorder="1" applyAlignment="1" applyProtection="1">
      <alignment vertical="top"/>
      <protection locked="0"/>
    </xf>
    <xf numFmtId="0" fontId="320" fillId="0" borderId="731" xfId="2" applyFont="1" applyFill="1" applyBorder="1" applyAlignment="1" applyProtection="1">
      <alignment vertical="top"/>
      <protection locked="0"/>
    </xf>
    <xf numFmtId="43" fontId="320" fillId="0" borderId="731" xfId="1" applyFont="1" applyFill="1" applyBorder="1" applyAlignment="1" applyProtection="1">
      <alignment vertical="top" wrapText="1"/>
      <protection locked="0"/>
    </xf>
    <xf numFmtId="0" fontId="320" fillId="0" borderId="685" xfId="45" applyFont="1" applyFill="1" applyBorder="1" applyAlignment="1" applyProtection="1">
      <alignment horizontal="center" vertical="top"/>
      <protection locked="0"/>
    </xf>
    <xf numFmtId="2" fontId="320" fillId="0" borderId="685" xfId="45" applyNumberFormat="1" applyFont="1" applyFill="1" applyBorder="1" applyAlignment="1" applyProtection="1">
      <alignment horizontal="right" vertical="top"/>
      <protection locked="0"/>
    </xf>
    <xf numFmtId="43" fontId="320" fillId="0" borderId="731" xfId="1" applyFont="1" applyFill="1" applyBorder="1" applyAlignment="1" applyProtection="1">
      <alignment horizontal="right" vertical="top"/>
      <protection locked="0"/>
    </xf>
    <xf numFmtId="4" fontId="320" fillId="0" borderId="285" xfId="2" applyNumberFormat="1" applyFont="1" applyFill="1" applyBorder="1" applyAlignment="1" applyProtection="1">
      <alignment vertical="top"/>
      <protection locked="0"/>
    </xf>
    <xf numFmtId="49" fontId="321" fillId="0" borderId="368" xfId="45" applyNumberFormat="1" applyFont="1" applyFill="1" applyBorder="1" applyAlignment="1" applyProtection="1">
      <alignment horizontal="right" vertical="top"/>
      <protection locked="0"/>
    </xf>
    <xf numFmtId="0" fontId="321" fillId="0" borderId="731" xfId="2" applyFont="1" applyFill="1" applyBorder="1" applyAlignment="1" applyProtection="1">
      <alignment horizontal="right" vertical="top" wrapText="1"/>
      <protection locked="0"/>
    </xf>
    <xf numFmtId="43" fontId="321" fillId="0" borderId="731" xfId="1" applyFont="1" applyFill="1" applyBorder="1" applyAlignment="1" applyProtection="1">
      <alignment horizontal="right" vertical="top" wrapText="1"/>
      <protection locked="0"/>
    </xf>
    <xf numFmtId="43" fontId="321" fillId="0" borderId="731" xfId="1" applyFont="1" applyFill="1" applyBorder="1" applyAlignment="1" applyProtection="1">
      <alignment horizontal="right" vertical="top"/>
      <protection locked="0"/>
    </xf>
    <xf numFmtId="39" fontId="321" fillId="0" borderId="731" xfId="45" applyNumberFormat="1" applyFont="1" applyFill="1" applyBorder="1" applyAlignment="1" applyProtection="1">
      <alignment horizontal="right" vertical="top"/>
      <protection locked="0"/>
    </xf>
    <xf numFmtId="4" fontId="321" fillId="0" borderId="731" xfId="2" applyNumberFormat="1" applyFont="1" applyFill="1" applyBorder="1" applyAlignment="1" applyProtection="1">
      <alignment horizontal="right" vertical="top"/>
      <protection locked="0"/>
    </xf>
    <xf numFmtId="10" fontId="321" fillId="0" borderId="731" xfId="88" applyNumberFormat="1" applyFont="1" applyFill="1" applyBorder="1" applyAlignment="1" applyProtection="1">
      <alignment horizontal="right" vertical="top"/>
      <protection locked="0"/>
    </xf>
    <xf numFmtId="4" fontId="321" fillId="0" borderId="285" xfId="2" applyNumberFormat="1" applyFont="1" applyFill="1" applyBorder="1" applyAlignment="1" applyProtection="1">
      <alignment horizontal="right" vertical="top"/>
      <protection locked="0"/>
    </xf>
    <xf numFmtId="0" fontId="278" fillId="0" borderId="368" xfId="45" applyFont="1" applyFill="1" applyBorder="1" applyAlignment="1" applyProtection="1">
      <alignment vertical="center"/>
      <protection locked="0"/>
    </xf>
    <xf numFmtId="0" fontId="278" fillId="0" borderId="731" xfId="45" applyFont="1" applyFill="1" applyBorder="1" applyAlignment="1" applyProtection="1">
      <alignment vertical="center"/>
      <protection locked="0"/>
    </xf>
    <xf numFmtId="4" fontId="278" fillId="0" borderId="632" xfId="45" applyNumberFormat="1" applyFont="1" applyFill="1" applyBorder="1" applyAlignment="1" applyProtection="1">
      <alignment vertical="center"/>
      <protection locked="0"/>
    </xf>
    <xf numFmtId="0" fontId="278" fillId="0" borderId="31" xfId="45" applyFont="1" applyFill="1" applyBorder="1" applyAlignment="1" applyProtection="1">
      <alignment vertical="center"/>
      <protection locked="0"/>
    </xf>
    <xf numFmtId="0" fontId="278" fillId="0" borderId="449" xfId="45" applyFont="1" applyFill="1" applyBorder="1" applyAlignment="1" applyProtection="1">
      <alignment vertical="center"/>
      <protection locked="0"/>
    </xf>
    <xf numFmtId="43" fontId="278" fillId="0" borderId="449" xfId="1" applyFont="1" applyFill="1" applyBorder="1" applyAlignment="1" applyProtection="1">
      <alignment vertical="center"/>
      <protection locked="0"/>
    </xf>
    <xf numFmtId="0" fontId="278" fillId="0" borderId="448" xfId="45" applyFont="1" applyFill="1" applyBorder="1" applyAlignment="1" applyProtection="1">
      <alignment horizontal="center" vertical="center"/>
      <protection locked="0"/>
    </xf>
    <xf numFmtId="0" fontId="320" fillId="0" borderId="354" xfId="45" applyFont="1" applyFill="1" applyBorder="1" applyAlignment="1" applyProtection="1">
      <alignment vertical="center"/>
      <protection locked="0"/>
    </xf>
    <xf numFmtId="0" fontId="278" fillId="0" borderId="355" xfId="45" applyFont="1" applyFill="1" applyBorder="1" applyAlignment="1" applyProtection="1">
      <alignment vertical="center"/>
      <protection locked="0"/>
    </xf>
    <xf numFmtId="43" fontId="278" fillId="0" borderId="355" xfId="1" applyFont="1" applyFill="1" applyBorder="1" applyAlignment="1" applyProtection="1">
      <alignment vertical="center"/>
      <protection locked="0"/>
    </xf>
    <xf numFmtId="0" fontId="320" fillId="0" borderId="633" xfId="45" applyFont="1" applyFill="1" applyBorder="1" applyAlignment="1" applyProtection="1">
      <alignment horizontal="center" vertical="center"/>
      <protection locked="0"/>
    </xf>
    <xf numFmtId="0" fontId="320" fillId="0" borderId="0" xfId="30" applyFont="1" applyFill="1" applyBorder="1" applyAlignment="1">
      <alignment vertical="center" wrapText="1"/>
    </xf>
    <xf numFmtId="43" fontId="278" fillId="0" borderId="0" xfId="30" applyNumberFormat="1" applyFont="1" applyFill="1" applyAlignment="1">
      <alignment vertical="center"/>
    </xf>
    <xf numFmtId="43" fontId="278" fillId="0" borderId="0" xfId="1" applyNumberFormat="1" applyFont="1" applyFill="1" applyAlignment="1">
      <alignment vertical="center"/>
    </xf>
    <xf numFmtId="43" fontId="278" fillId="0" borderId="572" xfId="30" applyNumberFormat="1" applyFont="1" applyFill="1" applyBorder="1" applyAlignment="1">
      <alignment vertical="center"/>
    </xf>
    <xf numFmtId="43" fontId="278" fillId="0" borderId="569" xfId="30" applyNumberFormat="1" applyFont="1" applyFill="1" applyBorder="1" applyAlignment="1">
      <alignment vertical="center"/>
    </xf>
    <xf numFmtId="0" fontId="278" fillId="0" borderId="709" xfId="30" applyFont="1" applyFill="1" applyBorder="1" applyAlignment="1" applyProtection="1">
      <alignment horizontal="center" vertical="center"/>
      <protection locked="0"/>
    </xf>
    <xf numFmtId="4" fontId="278" fillId="0" borderId="473" xfId="30" applyNumberFormat="1" applyFont="1" applyFill="1" applyBorder="1" applyAlignment="1" applyProtection="1">
      <alignment horizontal="center" vertical="center"/>
      <protection locked="0"/>
    </xf>
    <xf numFmtId="4" fontId="278" fillId="0" borderId="398" xfId="30" applyNumberFormat="1" applyFont="1" applyFill="1" applyBorder="1" applyAlignment="1" applyProtection="1">
      <alignment horizontal="center" vertical="center"/>
      <protection locked="0"/>
    </xf>
    <xf numFmtId="4" fontId="278" fillId="0" borderId="434" xfId="30" applyNumberFormat="1" applyFont="1" applyFill="1" applyBorder="1" applyAlignment="1" applyProtection="1">
      <alignment horizontal="center" vertical="center"/>
      <protection locked="0"/>
    </xf>
    <xf numFmtId="0" fontId="278" fillId="0" borderId="437" xfId="30" applyNumberFormat="1" applyFont="1" applyFill="1" applyBorder="1" applyAlignment="1" applyProtection="1">
      <alignment horizontal="center" vertical="center"/>
      <protection locked="0"/>
    </xf>
    <xf numFmtId="49" fontId="320" fillId="0" borderId="368" xfId="30" applyNumberFormat="1" applyFont="1" applyFill="1" applyBorder="1" applyAlignment="1" applyProtection="1">
      <alignment vertical="center"/>
      <protection locked="0"/>
    </xf>
    <xf numFmtId="4" fontId="320" fillId="0" borderId="731" xfId="30" applyNumberFormat="1" applyFont="1" applyFill="1" applyBorder="1" applyAlignment="1" applyProtection="1">
      <alignment vertical="center"/>
      <protection locked="0"/>
    </xf>
    <xf numFmtId="4" fontId="320" fillId="0" borderId="398" xfId="30" applyNumberFormat="1" applyFont="1" applyFill="1" applyBorder="1" applyAlignment="1" applyProtection="1">
      <alignment vertical="center"/>
      <protection locked="0"/>
    </xf>
    <xf numFmtId="39" fontId="320" fillId="0" borderId="685" xfId="1" applyNumberFormat="1" applyFont="1" applyFill="1" applyBorder="1" applyAlignment="1" applyProtection="1">
      <alignment vertical="center"/>
      <protection locked="0"/>
    </xf>
    <xf numFmtId="4" fontId="320" fillId="0" borderId="731" xfId="30" applyNumberFormat="1" applyFont="1" applyFill="1" applyBorder="1" applyAlignment="1" applyProtection="1">
      <alignment vertical="center"/>
      <protection hidden="1"/>
    </xf>
    <xf numFmtId="39" fontId="320" fillId="0" borderId="685" xfId="1" applyNumberFormat="1" applyFont="1" applyFill="1" applyBorder="1" applyAlignment="1">
      <alignment vertical="center"/>
    </xf>
    <xf numFmtId="39" fontId="320" fillId="0" borderId="731" xfId="1" applyNumberFormat="1" applyFont="1" applyFill="1" applyBorder="1" applyAlignment="1">
      <alignment vertical="center"/>
    </xf>
    <xf numFmtId="4" fontId="320" fillId="0" borderId="398" xfId="30" applyNumberFormat="1" applyFont="1" applyFill="1" applyBorder="1" applyAlignment="1" applyProtection="1">
      <alignment vertical="center"/>
      <protection hidden="1"/>
    </xf>
    <xf numFmtId="39" fontId="320" fillId="0" borderId="731" xfId="1" applyNumberFormat="1" applyFont="1" applyFill="1" applyBorder="1" applyAlignment="1" applyProtection="1">
      <alignment vertical="center"/>
      <protection hidden="1"/>
    </xf>
    <xf numFmtId="1" fontId="320" fillId="0" borderId="397" xfId="30" applyNumberFormat="1" applyFont="1" applyFill="1" applyBorder="1" applyAlignment="1" applyProtection="1">
      <alignment horizontal="center" vertical="center"/>
      <protection locked="0"/>
    </xf>
    <xf numFmtId="4" fontId="278" fillId="0" borderId="633" xfId="30" applyNumberFormat="1" applyFont="1" applyFill="1" applyBorder="1" applyAlignment="1" applyProtection="1">
      <alignment vertical="center"/>
      <protection locked="0"/>
    </xf>
    <xf numFmtId="4" fontId="278" fillId="0" borderId="356" xfId="30" applyNumberFormat="1" applyFont="1" applyFill="1" applyBorder="1" applyAlignment="1" applyProtection="1">
      <alignment vertical="center"/>
      <protection locked="0"/>
    </xf>
    <xf numFmtId="1" fontId="278" fillId="0" borderId="672" xfId="30" applyNumberFormat="1" applyFont="1" applyFill="1" applyBorder="1" applyAlignment="1" applyProtection="1">
      <alignment horizontal="center" vertical="center"/>
      <protection locked="0"/>
    </xf>
    <xf numFmtId="0" fontId="278" fillId="0" borderId="731" xfId="30" applyNumberFormat="1" applyFont="1" applyFill="1" applyBorder="1" applyAlignment="1" applyProtection="1">
      <alignment horizontal="center" vertical="center"/>
      <protection locked="0"/>
    </xf>
    <xf numFmtId="0" fontId="278" fillId="0" borderId="398" xfId="30" applyNumberFormat="1" applyFont="1" applyFill="1" applyBorder="1" applyAlignment="1" applyProtection="1">
      <alignment horizontal="center" vertical="center"/>
      <protection locked="0"/>
    </xf>
    <xf numFmtId="4" fontId="320" fillId="0" borderId="398" xfId="30" applyNumberFormat="1" applyFont="1" applyFill="1" applyBorder="1" applyAlignment="1">
      <alignment vertical="center"/>
    </xf>
    <xf numFmtId="0" fontId="320" fillId="0" borderId="731" xfId="30" applyFont="1" applyFill="1" applyBorder="1" applyAlignment="1">
      <alignment vertical="center"/>
    </xf>
    <xf numFmtId="0" fontId="320" fillId="0" borderId="731" xfId="30" applyFont="1" applyFill="1" applyBorder="1" applyAlignment="1" applyProtection="1">
      <alignment vertical="center"/>
      <protection locked="0"/>
    </xf>
    <xf numFmtId="0" fontId="278" fillId="0" borderId="434" xfId="30" applyFont="1" applyFill="1" applyBorder="1" applyAlignment="1" applyProtection="1">
      <alignment vertical="center"/>
      <protection locked="0"/>
    </xf>
    <xf numFmtId="0" fontId="320" fillId="0" borderId="673" xfId="30" applyFont="1" applyFill="1" applyBorder="1" applyAlignment="1" applyProtection="1">
      <alignment vertical="center"/>
      <protection locked="0"/>
    </xf>
    <xf numFmtId="1" fontId="278" fillId="0" borderId="672" xfId="30" applyNumberFormat="1" applyFont="1" applyFill="1" applyBorder="1" applyAlignment="1" applyProtection="1">
      <alignment horizontal="center" vertical="center" wrapText="1"/>
      <protection locked="0"/>
    </xf>
    <xf numFmtId="39" fontId="278" fillId="0" borderId="673" xfId="1" applyNumberFormat="1" applyFont="1" applyFill="1" applyBorder="1" applyAlignment="1" applyProtection="1">
      <alignment horizontal="center" vertical="center"/>
      <protection locked="0"/>
    </xf>
    <xf numFmtId="4" fontId="320" fillId="0" borderId="672" xfId="30" applyNumberFormat="1" applyFont="1" applyFill="1" applyBorder="1" applyAlignment="1">
      <alignment vertical="center"/>
    </xf>
    <xf numFmtId="4" fontId="320" fillId="0" borderId="536" xfId="30" applyNumberFormat="1" applyFont="1" applyFill="1" applyBorder="1" applyAlignment="1">
      <alignment vertical="center"/>
    </xf>
    <xf numFmtId="4" fontId="278" fillId="0" borderId="731" xfId="30" applyNumberFormat="1" applyFont="1" applyFill="1" applyBorder="1" applyAlignment="1" applyProtection="1">
      <alignment vertical="center"/>
      <protection locked="0"/>
    </xf>
    <xf numFmtId="39" fontId="278" fillId="0" borderId="731" xfId="1" applyNumberFormat="1" applyFont="1" applyFill="1" applyBorder="1" applyAlignment="1" applyProtection="1">
      <alignment vertical="center"/>
      <protection locked="0"/>
    </xf>
    <xf numFmtId="4" fontId="278" fillId="0" borderId="398" xfId="30" applyNumberFormat="1" applyFont="1" applyFill="1" applyBorder="1" applyAlignment="1" applyProtection="1">
      <alignment vertical="center"/>
      <protection locked="0"/>
    </xf>
    <xf numFmtId="0" fontId="320" fillId="0" borderId="368" xfId="30" applyFont="1" applyFill="1" applyBorder="1" applyAlignment="1">
      <alignment vertical="center"/>
    </xf>
    <xf numFmtId="4" fontId="320" fillId="0" borderId="285" xfId="30" applyNumberFormat="1" applyFont="1" applyFill="1" applyBorder="1" applyAlignment="1" applyProtection="1">
      <alignment vertical="center"/>
      <protection locked="0"/>
    </xf>
    <xf numFmtId="0" fontId="320" fillId="0" borderId="285" xfId="30" applyFont="1" applyFill="1" applyBorder="1" applyAlignment="1">
      <alignment vertical="center"/>
    </xf>
    <xf numFmtId="0" fontId="278" fillId="0" borderId="731" xfId="30" applyFont="1" applyFill="1" applyBorder="1" applyAlignment="1" applyProtection="1">
      <alignment vertical="center"/>
      <protection locked="0"/>
    </xf>
    <xf numFmtId="4" fontId="278" fillId="0" borderId="684" xfId="30" applyNumberFormat="1" applyFont="1" applyFill="1" applyBorder="1" applyAlignment="1" applyProtection="1">
      <alignment vertical="center"/>
      <protection locked="0"/>
    </xf>
    <xf numFmtId="4" fontId="278" fillId="0" borderId="687" xfId="30" applyNumberFormat="1" applyFont="1" applyFill="1" applyBorder="1" applyAlignment="1" applyProtection="1">
      <alignment vertical="center"/>
      <protection locked="0"/>
    </xf>
    <xf numFmtId="4" fontId="278" fillId="0" borderId="704" xfId="30" applyNumberFormat="1" applyFont="1" applyFill="1" applyBorder="1" applyAlignment="1" applyProtection="1">
      <alignment vertical="center"/>
      <protection locked="0"/>
    </xf>
    <xf numFmtId="4" fontId="320" fillId="0" borderId="684" xfId="30" applyNumberFormat="1" applyFont="1" applyFill="1" applyBorder="1" applyAlignment="1" applyProtection="1">
      <alignment vertical="center"/>
      <protection locked="0"/>
    </xf>
    <xf numFmtId="39" fontId="320" fillId="0" borderId="687" xfId="1" applyNumberFormat="1" applyFont="1" applyFill="1" applyBorder="1" applyAlignment="1" applyProtection="1">
      <alignment vertical="center"/>
      <protection locked="0"/>
    </xf>
    <xf numFmtId="4" fontId="320" fillId="0" borderId="687" xfId="30" applyNumberFormat="1" applyFont="1" applyFill="1" applyBorder="1" applyAlignment="1" applyProtection="1">
      <alignment vertical="center"/>
      <protection locked="0"/>
    </xf>
    <xf numFmtId="4" fontId="320" fillId="0" borderId="704" xfId="30" applyNumberFormat="1" applyFont="1" applyFill="1" applyBorder="1" applyAlignment="1" applyProtection="1">
      <alignment vertical="center"/>
      <protection locked="0"/>
    </xf>
    <xf numFmtId="49" fontId="321" fillId="0" borderId="368" xfId="30" applyNumberFormat="1" applyFont="1" applyFill="1" applyBorder="1" applyAlignment="1" applyProtection="1">
      <alignment vertical="center"/>
      <protection locked="0"/>
    </xf>
    <xf numFmtId="49" fontId="320" fillId="0" borderId="243" xfId="30" applyNumberFormat="1" applyFont="1" applyFill="1" applyBorder="1" applyAlignment="1" applyProtection="1">
      <alignment vertical="center"/>
      <protection locked="0"/>
    </xf>
    <xf numFmtId="0" fontId="320" fillId="0" borderId="434" xfId="2" applyFont="1" applyFill="1" applyBorder="1" applyAlignment="1" applyProtection="1">
      <alignment vertical="center"/>
      <protection locked="0"/>
    </xf>
    <xf numFmtId="4" fontId="320" fillId="0" borderId="397" xfId="30" applyNumberFormat="1" applyFont="1" applyFill="1" applyBorder="1" applyAlignment="1" applyProtection="1">
      <alignment vertical="center"/>
      <protection locked="0"/>
    </xf>
    <xf numFmtId="39" fontId="320" fillId="0" borderId="397" xfId="1" applyNumberFormat="1" applyFont="1" applyFill="1" applyBorder="1" applyAlignment="1" applyProtection="1">
      <alignment vertical="center"/>
      <protection locked="0"/>
    </xf>
    <xf numFmtId="39" fontId="320" fillId="0" borderId="397" xfId="1" applyNumberFormat="1" applyFont="1" applyFill="1" applyBorder="1" applyAlignment="1">
      <alignment vertical="center"/>
    </xf>
    <xf numFmtId="4" fontId="320" fillId="0" borderId="397" xfId="2" applyNumberFormat="1" applyFont="1" applyFill="1" applyBorder="1" applyAlignment="1" applyProtection="1">
      <alignment vertical="center"/>
      <protection locked="0"/>
    </xf>
    <xf numFmtId="4" fontId="320" fillId="0" borderId="697" xfId="2" applyNumberFormat="1" applyFont="1" applyFill="1" applyBorder="1" applyAlignment="1" applyProtection="1">
      <alignment vertical="center"/>
      <protection locked="0"/>
    </xf>
    <xf numFmtId="4" fontId="320" fillId="0" borderId="731" xfId="30" applyNumberFormat="1" applyFont="1" applyFill="1" applyBorder="1" applyAlignment="1">
      <alignment vertical="center"/>
    </xf>
    <xf numFmtId="49" fontId="278" fillId="0" borderId="368" xfId="30" applyNumberFormat="1" applyFont="1" applyFill="1" applyBorder="1" applyAlignment="1" applyProtection="1">
      <alignment vertical="center"/>
      <protection locked="0"/>
    </xf>
    <xf numFmtId="1" fontId="278" fillId="0" borderId="685" xfId="30" applyNumberFormat="1" applyFont="1" applyFill="1" applyBorder="1" applyAlignment="1" applyProtection="1">
      <alignment horizontal="center" vertical="center"/>
      <protection locked="0"/>
    </xf>
    <xf numFmtId="4" fontId="278" fillId="0" borderId="713" xfId="30" applyNumberFormat="1" applyFont="1" applyFill="1" applyBorder="1" applyAlignment="1" applyProtection="1">
      <alignment vertical="center"/>
      <protection locked="0"/>
    </xf>
    <xf numFmtId="4" fontId="278" fillId="0" borderId="701" xfId="30" applyNumberFormat="1" applyFont="1" applyFill="1" applyBorder="1" applyAlignment="1" applyProtection="1">
      <alignment vertical="center"/>
      <protection locked="0"/>
    </xf>
    <xf numFmtId="39" fontId="278" fillId="0" borderId="713" xfId="1" applyNumberFormat="1" applyFont="1" applyFill="1" applyBorder="1" applyAlignment="1" applyProtection="1">
      <alignment vertical="center"/>
      <protection locked="0"/>
    </xf>
    <xf numFmtId="0" fontId="320" fillId="0" borderId="354" xfId="30" applyFont="1" applyFill="1" applyBorder="1" applyAlignment="1" applyProtection="1">
      <alignment vertical="center"/>
      <protection locked="0"/>
    </xf>
    <xf numFmtId="0" fontId="278" fillId="0" borderId="355" xfId="30" applyFont="1" applyFill="1" applyBorder="1" applyAlignment="1" applyProtection="1">
      <alignment vertical="center"/>
      <protection locked="0"/>
    </xf>
    <xf numFmtId="1" fontId="320" fillId="0" borderId="633" xfId="30" applyNumberFormat="1" applyFont="1" applyFill="1" applyBorder="1" applyAlignment="1" applyProtection="1">
      <alignment horizontal="center" vertical="center"/>
      <protection locked="0"/>
    </xf>
    <xf numFmtId="0" fontId="320" fillId="0" borderId="0" xfId="30" applyNumberFormat="1" applyFont="1" applyFill="1" applyAlignment="1">
      <alignment vertical="center"/>
    </xf>
    <xf numFmtId="43" fontId="320" fillId="0" borderId="0" xfId="30" applyNumberFormat="1" applyFont="1" applyFill="1" applyAlignment="1">
      <alignment vertical="center"/>
    </xf>
    <xf numFmtId="43" fontId="320" fillId="0" borderId="0" xfId="1" applyNumberFormat="1" applyFont="1" applyFill="1" applyAlignment="1">
      <alignment vertical="center"/>
    </xf>
    <xf numFmtId="43" fontId="278" fillId="0" borderId="0" xfId="30" applyNumberFormat="1" applyFont="1" applyFill="1" applyBorder="1" applyAlignment="1">
      <alignment vertical="center"/>
    </xf>
    <xf numFmtId="0" fontId="63" fillId="0" borderId="0" xfId="0" applyFont="1" applyFill="1" applyBorder="1"/>
    <xf numFmtId="3" fontId="63" fillId="0" borderId="0" xfId="0" applyNumberFormat="1" applyFont="1" applyFill="1" applyBorder="1"/>
    <xf numFmtId="4" fontId="63" fillId="0" borderId="0" xfId="0" applyNumberFormat="1" applyFont="1" applyFill="1" applyBorder="1"/>
    <xf numFmtId="3" fontId="63" fillId="0" borderId="0" xfId="0" applyNumberFormat="1" applyFont="1" applyFill="1" applyBorder="1" applyAlignment="1">
      <alignment vertical="center"/>
    </xf>
    <xf numFmtId="3" fontId="63" fillId="0" borderId="0" xfId="0" applyNumberFormat="1" applyFont="1" applyFill="1" applyBorder="1" applyAlignment="1">
      <alignment vertical="center" wrapText="1"/>
    </xf>
    <xf numFmtId="0" fontId="278" fillId="0" borderId="685" xfId="30" applyFont="1" applyFill="1" applyBorder="1" applyAlignment="1" applyProtection="1">
      <alignment horizontal="center" vertical="center"/>
      <protection locked="0"/>
    </xf>
    <xf numFmtId="0" fontId="278" fillId="0" borderId="397" xfId="30" applyFont="1" applyFill="1" applyBorder="1" applyAlignment="1" applyProtection="1">
      <alignment horizontal="center" vertical="center"/>
      <protection locked="0"/>
    </xf>
    <xf numFmtId="168" fontId="320" fillId="0" borderId="685" xfId="1" applyNumberFormat="1" applyFont="1" applyFill="1" applyBorder="1" applyAlignment="1" applyProtection="1">
      <alignment horizontal="center" vertical="center"/>
      <protection locked="0"/>
    </xf>
    <xf numFmtId="4" fontId="320" fillId="0" borderId="731" xfId="30" applyNumberFormat="1" applyFont="1" applyFill="1" applyBorder="1" applyAlignment="1" applyProtection="1">
      <alignment vertical="center"/>
    </xf>
    <xf numFmtId="10" fontId="320" fillId="0" borderId="731" xfId="88" applyNumberFormat="1" applyFont="1" applyFill="1" applyBorder="1" applyAlignment="1" applyProtection="1">
      <alignment vertical="center"/>
    </xf>
    <xf numFmtId="0" fontId="320" fillId="0" borderId="397" xfId="30" applyFont="1" applyFill="1" applyBorder="1" applyAlignment="1" applyProtection="1">
      <alignment horizontal="center" vertical="center"/>
      <protection locked="0"/>
    </xf>
    <xf numFmtId="4" fontId="278" fillId="0" borderId="536" xfId="30" applyNumberFormat="1" applyFont="1" applyFill="1" applyBorder="1" applyAlignment="1" applyProtection="1">
      <alignment horizontal="center" vertical="center"/>
      <protection locked="0"/>
    </xf>
    <xf numFmtId="4" fontId="278" fillId="0" borderId="285" xfId="30" applyNumberFormat="1" applyFont="1" applyFill="1" applyBorder="1" applyAlignment="1" applyProtection="1">
      <alignment horizontal="center" vertical="center"/>
      <protection locked="0"/>
    </xf>
    <xf numFmtId="0" fontId="278" fillId="0" borderId="697" xfId="30" applyNumberFormat="1" applyFont="1" applyFill="1" applyBorder="1" applyAlignment="1" applyProtection="1">
      <alignment horizontal="center" vertical="center"/>
      <protection locked="0"/>
    </xf>
    <xf numFmtId="4" fontId="320" fillId="0" borderId="703" xfId="30" applyNumberFormat="1" applyFont="1" applyFill="1" applyBorder="1" applyAlignment="1" applyProtection="1">
      <alignment vertical="center"/>
      <protection locked="0"/>
    </xf>
    <xf numFmtId="10" fontId="320" fillId="0" borderId="633" xfId="88" applyNumberFormat="1" applyFont="1" applyFill="1" applyBorder="1" applyAlignment="1" applyProtection="1">
      <alignment vertical="center"/>
      <protection locked="0"/>
    </xf>
    <xf numFmtId="3" fontId="278" fillId="0" borderId="0" xfId="30" applyNumberFormat="1" applyFont="1" applyFill="1" applyBorder="1" applyAlignment="1">
      <alignment vertical="center"/>
    </xf>
    <xf numFmtId="43" fontId="63" fillId="0" borderId="0" xfId="1" applyFont="1" applyFill="1" applyBorder="1"/>
    <xf numFmtId="43" fontId="63" fillId="0" borderId="0" xfId="1" applyFont="1" applyFill="1" applyBorder="1" applyAlignment="1">
      <alignment vertical="center"/>
    </xf>
    <xf numFmtId="3" fontId="318" fillId="0" borderId="0" xfId="0" applyNumberFormat="1" applyFont="1" applyFill="1" applyBorder="1"/>
    <xf numFmtId="43" fontId="318" fillId="0" borderId="0" xfId="1" applyFont="1" applyFill="1" applyBorder="1"/>
    <xf numFmtId="4" fontId="320" fillId="0" borderId="536" xfId="30" applyNumberFormat="1" applyFont="1" applyFill="1" applyBorder="1" applyAlignment="1" applyProtection="1">
      <alignment vertical="center"/>
      <protection locked="0"/>
    </xf>
    <xf numFmtId="4" fontId="278" fillId="0" borderId="632" xfId="30" applyNumberFormat="1" applyFont="1" applyFill="1" applyBorder="1" applyAlignment="1" applyProtection="1">
      <alignment vertical="center"/>
      <protection locked="0"/>
    </xf>
    <xf numFmtId="0" fontId="320" fillId="0" borderId="633" xfId="30" applyFont="1" applyFill="1" applyBorder="1" applyAlignment="1" applyProtection="1">
      <alignment horizontal="center" vertical="center"/>
      <protection locked="0"/>
    </xf>
    <xf numFmtId="4" fontId="278" fillId="0" borderId="434" xfId="30" applyNumberFormat="1" applyFont="1" applyFill="1" applyBorder="1" applyAlignment="1" applyProtection="1">
      <alignment vertical="center"/>
      <protection locked="0"/>
    </xf>
    <xf numFmtId="4" fontId="278" fillId="0" borderId="437" xfId="30" applyNumberFormat="1" applyFont="1" applyFill="1" applyBorder="1" applyAlignment="1" applyProtection="1">
      <alignment vertical="center"/>
      <protection locked="0"/>
    </xf>
    <xf numFmtId="43" fontId="278" fillId="0" borderId="569" xfId="2" applyNumberFormat="1" applyFont="1" applyFill="1" applyBorder="1" applyAlignment="1">
      <alignment vertical="center"/>
    </xf>
    <xf numFmtId="0" fontId="278" fillId="0" borderId="673" xfId="2" applyFont="1" applyFill="1" applyBorder="1" applyAlignment="1" applyProtection="1">
      <alignment horizontal="center" vertical="center"/>
      <protection locked="0"/>
    </xf>
    <xf numFmtId="1" fontId="278" fillId="0" borderId="672" xfId="2" applyNumberFormat="1" applyFont="1" applyFill="1" applyBorder="1" applyAlignment="1" applyProtection="1">
      <alignment horizontal="center" vertical="center"/>
      <protection locked="0"/>
    </xf>
    <xf numFmtId="1" fontId="278" fillId="0" borderId="397" xfId="2" applyNumberFormat="1" applyFont="1" applyFill="1" applyBorder="1" applyAlignment="1" applyProtection="1">
      <alignment horizontal="center" vertical="center"/>
      <protection locked="0"/>
    </xf>
    <xf numFmtId="4" fontId="320" fillId="0" borderId="398" xfId="2" applyNumberFormat="1" applyFont="1" applyFill="1" applyBorder="1" applyAlignment="1" applyProtection="1">
      <alignment vertical="center"/>
      <protection hidden="1"/>
    </xf>
    <xf numFmtId="4" fontId="320" fillId="0" borderId="731" xfId="2" applyNumberFormat="1" applyFont="1" applyFill="1" applyBorder="1" applyAlignment="1" applyProtection="1">
      <alignment vertical="center"/>
    </xf>
    <xf numFmtId="1" fontId="320" fillId="0" borderId="397" xfId="2" applyNumberFormat="1" applyFont="1" applyFill="1" applyBorder="1" applyAlignment="1" applyProtection="1">
      <alignment horizontal="center" vertical="center"/>
      <protection locked="0"/>
    </xf>
    <xf numFmtId="1" fontId="320" fillId="0" borderId="397" xfId="47" applyNumberFormat="1" applyFont="1" applyFill="1" applyBorder="1" applyAlignment="1" applyProtection="1">
      <alignment horizontal="center" vertical="top"/>
      <protection locked="0"/>
    </xf>
    <xf numFmtId="4" fontId="320" fillId="0" borderId="434" xfId="2" applyNumberFormat="1" applyFont="1" applyFill="1" applyBorder="1" applyAlignment="1" applyProtection="1">
      <alignment vertical="center"/>
      <protection hidden="1"/>
    </xf>
    <xf numFmtId="4" fontId="320" fillId="0" borderId="437" xfId="2" applyNumberFormat="1" applyFont="1" applyFill="1" applyBorder="1" applyAlignment="1" applyProtection="1">
      <alignment vertical="center"/>
      <protection locked="0"/>
    </xf>
    <xf numFmtId="0" fontId="278" fillId="0" borderId="731" xfId="2" applyFont="1" applyFill="1" applyBorder="1" applyAlignment="1" applyProtection="1">
      <alignment vertical="center"/>
      <protection locked="0"/>
    </xf>
    <xf numFmtId="4" fontId="278" fillId="0" borderId="697" xfId="2" applyNumberFormat="1" applyFont="1" applyFill="1" applyBorder="1" applyAlignment="1" applyProtection="1">
      <alignment vertical="center"/>
      <protection locked="0"/>
    </xf>
    <xf numFmtId="4" fontId="320" fillId="0" borderId="285" xfId="2" applyNumberFormat="1" applyFont="1" applyFill="1" applyBorder="1" applyAlignment="1">
      <alignment vertical="center"/>
    </xf>
    <xf numFmtId="4" fontId="278" fillId="0" borderId="632" xfId="2" applyNumberFormat="1" applyFont="1" applyFill="1" applyBorder="1" applyAlignment="1" applyProtection="1">
      <alignment vertical="center"/>
      <protection locked="0"/>
    </xf>
    <xf numFmtId="1" fontId="320" fillId="0" borderId="685" xfId="2" applyNumberFormat="1" applyFont="1" applyFill="1" applyBorder="1" applyAlignment="1" applyProtection="1">
      <alignment horizontal="center" vertical="top"/>
      <protection locked="0"/>
    </xf>
    <xf numFmtId="4" fontId="320" fillId="0" borderId="685" xfId="2" applyNumberFormat="1" applyFont="1" applyFill="1" applyBorder="1" applyAlignment="1" applyProtection="1">
      <alignment horizontal="right" vertical="top"/>
      <protection locked="0"/>
    </xf>
    <xf numFmtId="4" fontId="320" fillId="0" borderId="731" xfId="2" applyNumberFormat="1" applyFont="1" applyFill="1" applyBorder="1" applyAlignment="1" applyProtection="1">
      <alignment horizontal="right" vertical="top"/>
      <protection locked="0"/>
    </xf>
    <xf numFmtId="4" fontId="278" fillId="0" borderId="713" xfId="2" applyNumberFormat="1" applyFont="1" applyFill="1" applyBorder="1" applyAlignment="1" applyProtection="1">
      <alignment horizontal="right" vertical="center"/>
      <protection locked="0"/>
    </xf>
    <xf numFmtId="0" fontId="278" fillId="0" borderId="452" xfId="2" applyFont="1" applyFill="1" applyBorder="1" applyAlignment="1" applyProtection="1">
      <alignment vertical="center"/>
      <protection locked="0"/>
    </xf>
    <xf numFmtId="1" fontId="278" fillId="0" borderId="448" xfId="2" applyNumberFormat="1" applyFont="1" applyFill="1" applyBorder="1" applyAlignment="1" applyProtection="1">
      <alignment horizontal="center" vertical="center"/>
      <protection locked="0"/>
    </xf>
    <xf numFmtId="1" fontId="278" fillId="0" borderId="0" xfId="2" applyNumberFormat="1" applyFont="1" applyFill="1" applyAlignment="1" applyProtection="1">
      <alignment vertical="center"/>
      <protection locked="0"/>
    </xf>
    <xf numFmtId="4" fontId="278" fillId="0" borderId="672" xfId="2" applyNumberFormat="1" applyFont="1" applyFill="1" applyBorder="1" applyAlignment="1" applyProtection="1">
      <alignment horizontal="center" vertical="center"/>
      <protection locked="0"/>
    </xf>
    <xf numFmtId="4" fontId="278" fillId="0" borderId="685" xfId="2" applyNumberFormat="1" applyFont="1" applyFill="1" applyBorder="1" applyAlignment="1" applyProtection="1">
      <alignment horizontal="center" vertical="center"/>
      <protection locked="0"/>
    </xf>
    <xf numFmtId="9" fontId="321" fillId="0" borderId="0" xfId="88" applyFont="1" applyFill="1" applyBorder="1" applyAlignment="1" applyProtection="1">
      <alignment vertical="center"/>
      <protection locked="0"/>
    </xf>
    <xf numFmtId="4" fontId="321" fillId="0" borderId="731" xfId="2" applyNumberFormat="1" applyFont="1" applyFill="1" applyBorder="1" applyAlignment="1" applyProtection="1">
      <alignment vertical="center"/>
      <protection locked="0"/>
    </xf>
    <xf numFmtId="4" fontId="278" fillId="0" borderId="629" xfId="2" applyNumberFormat="1" applyFont="1" applyFill="1" applyBorder="1" applyAlignment="1" applyProtection="1">
      <alignment vertical="center"/>
      <protection locked="0"/>
    </xf>
    <xf numFmtId="4" fontId="278" fillId="0" borderId="686" xfId="2" applyNumberFormat="1" applyFont="1" applyFill="1" applyBorder="1" applyAlignment="1" applyProtection="1">
      <alignment vertical="center"/>
      <protection locked="0"/>
    </xf>
    <xf numFmtId="4" fontId="278" fillId="0" borderId="704" xfId="2" applyNumberFormat="1" applyFont="1" applyFill="1" applyBorder="1" applyAlignment="1" applyProtection="1">
      <alignment vertical="center"/>
      <protection locked="0"/>
    </xf>
    <xf numFmtId="1" fontId="320" fillId="0" borderId="633" xfId="2" applyNumberFormat="1" applyFont="1" applyFill="1" applyBorder="1" applyAlignment="1" applyProtection="1">
      <alignment horizontal="center" vertical="center"/>
      <protection locked="0"/>
    </xf>
    <xf numFmtId="4" fontId="320" fillId="0" borderId="434" xfId="42" applyNumberFormat="1" applyFont="1" applyFill="1" applyBorder="1" applyAlignment="1" applyProtection="1">
      <alignment vertical="center"/>
      <protection locked="0"/>
    </xf>
    <xf numFmtId="43" fontId="278" fillId="0" borderId="0" xfId="42" applyNumberFormat="1" applyFont="1" applyFill="1" applyAlignment="1">
      <alignment vertical="center"/>
    </xf>
    <xf numFmtId="43" fontId="278" fillId="0" borderId="572" xfId="42" applyNumberFormat="1" applyFont="1" applyFill="1" applyBorder="1" applyAlignment="1">
      <alignment vertical="center"/>
    </xf>
    <xf numFmtId="43" fontId="278" fillId="0" borderId="569" xfId="42" applyNumberFormat="1" applyFont="1" applyFill="1" applyBorder="1" applyAlignment="1">
      <alignment vertical="center"/>
    </xf>
    <xf numFmtId="0" fontId="320" fillId="0" borderId="626" xfId="42" applyFont="1" applyFill="1" applyBorder="1" applyAlignment="1" applyProtection="1">
      <alignment vertical="center"/>
      <protection locked="0"/>
    </xf>
    <xf numFmtId="0" fontId="278" fillId="0" borderId="709" xfId="42" applyFont="1" applyFill="1" applyBorder="1" applyAlignment="1" applyProtection="1">
      <alignment horizontal="center" vertical="center"/>
      <protection locked="0"/>
    </xf>
    <xf numFmtId="0" fontId="278" fillId="0" borderId="672" xfId="1" applyNumberFormat="1" applyFont="1" applyFill="1" applyBorder="1" applyAlignment="1" applyProtection="1">
      <alignment horizontal="center" vertical="center"/>
      <protection locked="0"/>
    </xf>
    <xf numFmtId="4" fontId="278" fillId="0" borderId="673" xfId="42" applyNumberFormat="1" applyFont="1" applyFill="1" applyBorder="1" applyAlignment="1" applyProtection="1">
      <alignment horizontal="center" vertical="center"/>
      <protection locked="0"/>
    </xf>
    <xf numFmtId="4" fontId="278" fillId="0" borderId="473" xfId="42" applyNumberFormat="1" applyFont="1" applyFill="1" applyBorder="1" applyAlignment="1" applyProtection="1">
      <alignment horizontal="center" vertical="center"/>
      <protection locked="0"/>
    </xf>
    <xf numFmtId="4" fontId="278" fillId="0" borderId="731" xfId="42" applyNumberFormat="1" applyFont="1" applyFill="1" applyBorder="1" applyAlignment="1" applyProtection="1">
      <alignment horizontal="center" vertical="center"/>
      <protection locked="0"/>
    </xf>
    <xf numFmtId="4" fontId="278" fillId="0" borderId="398" xfId="42" applyNumberFormat="1" applyFont="1" applyFill="1" applyBorder="1" applyAlignment="1" applyProtection="1">
      <alignment horizontal="center" vertical="center"/>
      <protection locked="0"/>
    </xf>
    <xf numFmtId="0" fontId="320" fillId="0" borderId="243" xfId="42" applyNumberFormat="1" applyFont="1" applyFill="1" applyBorder="1" applyAlignment="1" applyProtection="1">
      <alignment vertical="center"/>
      <protection locked="0"/>
    </xf>
    <xf numFmtId="0" fontId="278" fillId="0" borderId="433" xfId="42" applyNumberFormat="1" applyFont="1" applyFill="1" applyBorder="1" applyAlignment="1" applyProtection="1">
      <alignment horizontal="center" vertical="center"/>
      <protection locked="0"/>
    </xf>
    <xf numFmtId="0" fontId="278" fillId="0" borderId="437" xfId="42" applyNumberFormat="1" applyFont="1" applyFill="1" applyBorder="1" applyAlignment="1" applyProtection="1">
      <alignment horizontal="center" vertical="center"/>
      <protection locked="0"/>
    </xf>
    <xf numFmtId="49" fontId="320" fillId="0" borderId="368" xfId="42" applyNumberFormat="1" applyFont="1" applyFill="1" applyBorder="1" applyAlignment="1" applyProtection="1">
      <alignment vertical="center"/>
      <protection locked="0"/>
    </xf>
    <xf numFmtId="4" fontId="320" fillId="0" borderId="731" xfId="42" applyNumberFormat="1" applyFont="1" applyFill="1" applyBorder="1" applyAlignment="1" applyProtection="1">
      <alignment vertical="center"/>
      <protection locked="0"/>
    </xf>
    <xf numFmtId="4" fontId="320" fillId="0" borderId="398" xfId="42" applyNumberFormat="1" applyFont="1" applyFill="1" applyBorder="1" applyAlignment="1" applyProtection="1">
      <alignment vertical="center"/>
      <protection locked="0"/>
    </xf>
    <xf numFmtId="4" fontId="320" fillId="0" borderId="731" xfId="42" applyNumberFormat="1" applyFont="1" applyFill="1" applyBorder="1" applyAlignment="1" applyProtection="1">
      <alignment vertical="center"/>
      <protection hidden="1"/>
    </xf>
    <xf numFmtId="4" fontId="320" fillId="0" borderId="398" xfId="42" applyNumberFormat="1" applyFont="1" applyFill="1" applyBorder="1" applyAlignment="1" applyProtection="1">
      <alignment vertical="center"/>
      <protection hidden="1"/>
    </xf>
    <xf numFmtId="4" fontId="320" fillId="0" borderId="731" xfId="42" applyNumberFormat="1" applyFont="1" applyFill="1" applyBorder="1" applyAlignment="1" applyProtection="1">
      <alignment vertical="center"/>
    </xf>
    <xf numFmtId="4" fontId="320" fillId="0" borderId="452" xfId="42" applyNumberFormat="1" applyFont="1" applyFill="1" applyBorder="1" applyAlignment="1" applyProtection="1">
      <alignment vertical="center"/>
      <protection locked="0"/>
    </xf>
    <xf numFmtId="4" fontId="320" fillId="0" borderId="628" xfId="42" applyNumberFormat="1" applyFont="1" applyFill="1" applyBorder="1" applyAlignment="1" applyProtection="1">
      <alignment vertical="center"/>
      <protection locked="0"/>
    </xf>
    <xf numFmtId="0" fontId="320" fillId="0" borderId="243" xfId="42" applyFont="1" applyFill="1" applyBorder="1" applyAlignment="1" applyProtection="1">
      <alignment vertical="center"/>
      <protection locked="0"/>
    </xf>
    <xf numFmtId="0" fontId="320" fillId="0" borderId="397" xfId="1" applyNumberFormat="1" applyFont="1" applyFill="1" applyBorder="1" applyAlignment="1" applyProtection="1">
      <alignment horizontal="center" vertical="center"/>
      <protection locked="0"/>
    </xf>
    <xf numFmtId="4" fontId="278" fillId="0" borderId="633" xfId="42" applyNumberFormat="1" applyFont="1" applyFill="1" applyBorder="1" applyAlignment="1" applyProtection="1">
      <alignment vertical="center"/>
      <protection locked="0"/>
    </xf>
    <xf numFmtId="4" fontId="278" fillId="0" borderId="485" xfId="42" applyNumberFormat="1" applyFont="1" applyFill="1" applyBorder="1" applyAlignment="1" applyProtection="1">
      <alignment vertical="center"/>
      <protection locked="0"/>
    </xf>
    <xf numFmtId="4" fontId="278" fillId="0" borderId="356" xfId="42" applyNumberFormat="1" applyFont="1" applyFill="1" applyBorder="1" applyAlignment="1" applyProtection="1">
      <alignment vertical="center"/>
      <protection locked="0"/>
    </xf>
    <xf numFmtId="0" fontId="278" fillId="0" borderId="433" xfId="42" applyFont="1" applyFill="1" applyBorder="1" applyAlignment="1" applyProtection="1">
      <alignment horizontal="center" vertical="center"/>
      <protection locked="0"/>
    </xf>
    <xf numFmtId="0" fontId="278" fillId="0" borderId="685" xfId="1" applyNumberFormat="1" applyFont="1" applyFill="1" applyBorder="1" applyAlignment="1" applyProtection="1">
      <alignment horizontal="center" vertical="center" wrapText="1"/>
      <protection locked="0"/>
    </xf>
    <xf numFmtId="0" fontId="278" fillId="0" borderId="731" xfId="42" applyNumberFormat="1" applyFont="1" applyFill="1" applyBorder="1" applyAlignment="1" applyProtection="1">
      <alignment horizontal="center" vertical="center"/>
      <protection locked="0"/>
    </xf>
    <xf numFmtId="0" fontId="278" fillId="0" borderId="398" xfId="42" applyNumberFormat="1" applyFont="1" applyFill="1" applyBorder="1" applyAlignment="1" applyProtection="1">
      <alignment horizontal="center" vertical="center"/>
      <protection locked="0"/>
    </xf>
    <xf numFmtId="4" fontId="320" fillId="0" borderId="437" xfId="42" applyNumberFormat="1" applyFont="1" applyFill="1" applyBorder="1" applyAlignment="1" applyProtection="1">
      <alignment vertical="center"/>
      <protection locked="0"/>
    </xf>
    <xf numFmtId="0" fontId="321" fillId="0" borderId="0" xfId="1" applyNumberFormat="1" applyFont="1" applyFill="1" applyBorder="1" applyAlignment="1" applyProtection="1">
      <alignment horizontal="center" vertical="center"/>
      <protection locked="0"/>
    </xf>
    <xf numFmtId="9" fontId="323" fillId="0" borderId="0" xfId="88" applyFont="1" applyFill="1" applyBorder="1" applyAlignment="1">
      <alignment horizontal="center" vertical="center"/>
    </xf>
    <xf numFmtId="0" fontId="278" fillId="0" borderId="685" xfId="1" applyNumberFormat="1" applyFont="1" applyFill="1" applyBorder="1" applyAlignment="1" applyProtection="1">
      <alignment horizontal="center" vertical="center"/>
      <protection locked="0"/>
    </xf>
    <xf numFmtId="4" fontId="278" fillId="0" borderId="700" xfId="42" applyNumberFormat="1" applyFont="1" applyFill="1" applyBorder="1" applyAlignment="1" applyProtection="1">
      <alignment vertical="center"/>
      <protection locked="0"/>
    </xf>
    <xf numFmtId="4" fontId="278" fillId="0" borderId="713" xfId="42" applyNumberFormat="1" applyFont="1" applyFill="1" applyBorder="1" applyAlignment="1" applyProtection="1">
      <alignment vertical="center"/>
      <protection locked="0"/>
    </xf>
    <xf numFmtId="10" fontId="320" fillId="0" borderId="713" xfId="88" applyNumberFormat="1" applyFont="1" applyFill="1" applyBorder="1" applyAlignment="1" applyProtection="1">
      <alignment vertical="center"/>
      <protection locked="0"/>
    </xf>
    <xf numFmtId="4" fontId="278" fillId="0" borderId="701" xfId="42" applyNumberFormat="1" applyFont="1" applyFill="1" applyBorder="1" applyAlignment="1" applyProtection="1">
      <alignment vertical="center"/>
      <protection locked="0"/>
    </xf>
    <xf numFmtId="4" fontId="278" fillId="0" borderId="731" xfId="42" applyNumberFormat="1" applyFont="1" applyFill="1" applyBorder="1" applyAlignment="1" applyProtection="1">
      <alignment vertical="center"/>
      <protection locked="0"/>
    </xf>
    <xf numFmtId="4" fontId="278" fillId="0" borderId="398" xfId="42" applyNumberFormat="1" applyFont="1" applyFill="1" applyBorder="1" applyAlignment="1" applyProtection="1">
      <alignment vertical="center"/>
      <protection locked="0"/>
    </xf>
    <xf numFmtId="4" fontId="320" fillId="0" borderId="285" xfId="42" applyNumberFormat="1" applyFont="1" applyFill="1" applyBorder="1" applyAlignment="1" applyProtection="1">
      <alignment vertical="center"/>
      <protection locked="0"/>
    </xf>
    <xf numFmtId="0" fontId="321" fillId="0" borderId="731" xfId="0" applyFont="1" applyFill="1" applyBorder="1"/>
    <xf numFmtId="0" fontId="321" fillId="0" borderId="731" xfId="0" applyFont="1" applyFill="1" applyBorder="1" applyAlignment="1">
      <alignment horizontal="left"/>
    </xf>
    <xf numFmtId="43" fontId="320" fillId="0" borderId="285" xfId="1" applyFont="1" applyFill="1" applyBorder="1" applyAlignment="1">
      <alignment vertical="center"/>
    </xf>
    <xf numFmtId="0" fontId="320" fillId="0" borderId="731" xfId="42" applyFont="1" applyFill="1" applyBorder="1" applyAlignment="1" applyProtection="1">
      <alignment vertical="center"/>
      <protection locked="0"/>
    </xf>
    <xf numFmtId="4" fontId="320" fillId="0" borderId="731" xfId="42" applyNumberFormat="1" applyFont="1" applyFill="1" applyBorder="1" applyAlignment="1">
      <alignment vertical="center"/>
    </xf>
    <xf numFmtId="4" fontId="320" fillId="0" borderId="285" xfId="42" applyNumberFormat="1" applyFont="1" applyFill="1" applyBorder="1" applyAlignment="1">
      <alignment vertical="center"/>
    </xf>
    <xf numFmtId="49" fontId="321" fillId="0" borderId="368" xfId="42" applyNumberFormat="1" applyFont="1" applyFill="1" applyBorder="1" applyAlignment="1" applyProtection="1">
      <alignment vertical="center"/>
      <protection locked="0"/>
    </xf>
    <xf numFmtId="0" fontId="321" fillId="0" borderId="731" xfId="42" applyFont="1" applyFill="1" applyBorder="1" applyAlignment="1">
      <alignment vertical="center"/>
    </xf>
    <xf numFmtId="4" fontId="321" fillId="0" borderId="731" xfId="42" applyNumberFormat="1" applyFont="1" applyFill="1" applyBorder="1" applyAlignment="1" applyProtection="1">
      <alignment vertical="center"/>
      <protection locked="0"/>
    </xf>
    <xf numFmtId="4" fontId="321" fillId="0" borderId="731" xfId="42" applyNumberFormat="1" applyFont="1" applyFill="1" applyBorder="1" applyAlignment="1">
      <alignment vertical="center"/>
    </xf>
    <xf numFmtId="10" fontId="321" fillId="0" borderId="731" xfId="88" applyNumberFormat="1" applyFont="1" applyFill="1" applyBorder="1" applyAlignment="1" applyProtection="1">
      <alignment vertical="center"/>
      <protection locked="0"/>
    </xf>
    <xf numFmtId="4" fontId="321" fillId="0" borderId="285" xfId="42" applyNumberFormat="1" applyFont="1" applyFill="1" applyBorder="1" applyAlignment="1">
      <alignment vertical="center"/>
    </xf>
    <xf numFmtId="0" fontId="320" fillId="0" borderId="285" xfId="42" applyFont="1" applyFill="1" applyBorder="1" applyAlignment="1">
      <alignment vertical="center"/>
    </xf>
    <xf numFmtId="4" fontId="320" fillId="0" borderId="703" xfId="42" applyNumberFormat="1" applyFont="1" applyFill="1" applyBorder="1" applyAlignment="1">
      <alignment vertical="center"/>
    </xf>
    <xf numFmtId="0" fontId="278" fillId="0" borderId="368" xfId="42" applyFont="1" applyFill="1" applyBorder="1" applyAlignment="1" applyProtection="1">
      <alignment vertical="center"/>
      <protection locked="0"/>
    </xf>
    <xf numFmtId="0" fontId="278" fillId="0" borderId="731" xfId="42" applyFont="1" applyFill="1" applyBorder="1" applyAlignment="1" applyProtection="1">
      <alignment vertical="center"/>
      <protection locked="0"/>
    </xf>
    <xf numFmtId="0" fontId="278" fillId="0" borderId="31" xfId="42" applyFont="1" applyFill="1" applyBorder="1" applyAlignment="1" applyProtection="1">
      <alignment vertical="center"/>
      <protection locked="0"/>
    </xf>
    <xf numFmtId="0" fontId="278" fillId="0" borderId="448" xfId="1" applyNumberFormat="1" applyFont="1" applyFill="1" applyBorder="1" applyAlignment="1" applyProtection="1">
      <alignment horizontal="center" vertical="center"/>
      <protection locked="0"/>
    </xf>
    <xf numFmtId="4" fontId="278" fillId="0" borderId="434" xfId="42" applyNumberFormat="1" applyFont="1" applyFill="1" applyBorder="1" applyAlignment="1" applyProtection="1">
      <alignment vertical="center"/>
      <protection locked="0"/>
    </xf>
    <xf numFmtId="4" fontId="278" fillId="0" borderId="437" xfId="42" applyNumberFormat="1" applyFont="1" applyFill="1" applyBorder="1" applyAlignment="1" applyProtection="1">
      <alignment vertical="center"/>
      <protection locked="0"/>
    </xf>
    <xf numFmtId="4" fontId="320" fillId="0" borderId="685" xfId="61" applyNumberFormat="1" applyFont="1" applyFill="1" applyBorder="1"/>
    <xf numFmtId="49" fontId="320" fillId="0" borderId="626" xfId="30" applyNumberFormat="1" applyFont="1" applyFill="1" applyBorder="1" applyAlignment="1" applyProtection="1">
      <alignment vertical="center"/>
      <protection locked="0"/>
    </xf>
    <xf numFmtId="0" fontId="320" fillId="0" borderId="709" xfId="30" applyFont="1" applyFill="1" applyBorder="1" applyAlignment="1" applyProtection="1">
      <alignment vertical="center"/>
      <protection locked="0"/>
    </xf>
    <xf numFmtId="0" fontId="320" fillId="0" borderId="672" xfId="30" applyFont="1" applyFill="1" applyBorder="1" applyAlignment="1" applyProtection="1">
      <alignment horizontal="center" vertical="center"/>
      <protection locked="0"/>
    </xf>
    <xf numFmtId="4" fontId="320" fillId="0" borderId="285" xfId="30" applyNumberFormat="1" applyFont="1" applyFill="1" applyBorder="1" applyAlignment="1" applyProtection="1">
      <alignment vertical="center"/>
      <protection hidden="1"/>
    </xf>
    <xf numFmtId="4" fontId="320" fillId="0" borderId="685" xfId="30" applyNumberFormat="1" applyFont="1" applyFill="1" applyBorder="1" applyAlignment="1" applyProtection="1">
      <alignment vertical="center"/>
    </xf>
    <xf numFmtId="10" fontId="320" fillId="0" borderId="685" xfId="88" applyNumberFormat="1" applyFont="1" applyFill="1" applyBorder="1" applyAlignment="1" applyProtection="1">
      <alignment vertical="center"/>
    </xf>
    <xf numFmtId="0" fontId="320" fillId="0" borderId="686" xfId="30" applyFont="1" applyFill="1" applyBorder="1" applyAlignment="1" applyProtection="1">
      <alignment horizontal="center" vertical="center"/>
      <protection locked="0"/>
    </xf>
    <xf numFmtId="4" fontId="278" fillId="0" borderId="397" xfId="30" applyNumberFormat="1" applyFont="1" applyFill="1" applyBorder="1" applyAlignment="1" applyProtection="1">
      <alignment vertical="center"/>
      <protection locked="0"/>
    </xf>
    <xf numFmtId="4" fontId="278" fillId="0" borderId="697" xfId="30" applyNumberFormat="1" applyFont="1" applyFill="1" applyBorder="1" applyAlignment="1" applyProtection="1">
      <alignment vertical="center"/>
      <protection locked="0"/>
    </xf>
    <xf numFmtId="0" fontId="278" fillId="0" borderId="672" xfId="30" applyFont="1" applyFill="1" applyBorder="1" applyAlignment="1" applyProtection="1">
      <alignment horizontal="center" vertical="center" wrapText="1"/>
      <protection locked="0"/>
    </xf>
    <xf numFmtId="0" fontId="278" fillId="0" borderId="673" xfId="30" applyNumberFormat="1" applyFont="1" applyFill="1" applyBorder="1" applyAlignment="1" applyProtection="1">
      <alignment horizontal="center" vertical="center"/>
      <protection locked="0"/>
    </xf>
    <xf numFmtId="0" fontId="278" fillId="0" borderId="673" xfId="2" applyNumberFormat="1" applyFont="1" applyFill="1" applyBorder="1" applyAlignment="1" applyProtection="1">
      <alignment horizontal="center" vertical="center"/>
      <protection locked="0"/>
    </xf>
    <xf numFmtId="0" fontId="278" fillId="0" borderId="536" xfId="30" applyNumberFormat="1" applyFont="1" applyFill="1" applyBorder="1" applyAlignment="1" applyProtection="1">
      <alignment horizontal="center" vertical="center"/>
      <protection locked="0"/>
    </xf>
    <xf numFmtId="4" fontId="320" fillId="0" borderId="397" xfId="30" applyNumberFormat="1" applyFont="1" applyFill="1" applyBorder="1" applyAlignment="1" applyProtection="1">
      <alignment vertical="center"/>
      <protection hidden="1"/>
    </xf>
    <xf numFmtId="4" fontId="320" fillId="0" borderId="697" xfId="30" applyNumberFormat="1" applyFont="1" applyFill="1" applyBorder="1" applyAlignment="1" applyProtection="1">
      <alignment vertical="center"/>
      <protection locked="0"/>
    </xf>
    <xf numFmtId="0" fontId="320" fillId="0" borderId="731" xfId="30" applyFont="1" applyFill="1" applyBorder="1" applyAlignment="1" applyProtection="1">
      <alignment horizontal="center" vertical="center"/>
      <protection locked="0"/>
    </xf>
    <xf numFmtId="4" fontId="320" fillId="0" borderId="285" xfId="61" applyNumberFormat="1" applyFont="1" applyFill="1" applyBorder="1"/>
    <xf numFmtId="4" fontId="320" fillId="0" borderId="685" xfId="61" applyNumberFormat="1" applyFont="1" applyFill="1" applyBorder="1" applyAlignment="1">
      <alignment vertical="top"/>
    </xf>
    <xf numFmtId="4" fontId="320" fillId="0" borderId="285" xfId="61" applyNumberFormat="1" applyFont="1" applyFill="1" applyBorder="1" applyAlignment="1">
      <alignment vertical="top"/>
    </xf>
    <xf numFmtId="4" fontId="320" fillId="0" borderId="285" xfId="1" applyNumberFormat="1" applyFont="1" applyFill="1" applyBorder="1"/>
    <xf numFmtId="0" fontId="320" fillId="0" borderId="731" xfId="105" applyFont="1" applyFill="1" applyBorder="1" applyAlignment="1"/>
    <xf numFmtId="0" fontId="320" fillId="0" borderId="731" xfId="105" applyFont="1" applyFill="1" applyBorder="1" applyAlignment="1">
      <alignment horizontal="center"/>
    </xf>
    <xf numFmtId="0" fontId="278" fillId="0" borderId="368" xfId="30" applyFont="1" applyFill="1" applyBorder="1" applyAlignment="1" applyProtection="1">
      <alignment vertical="center"/>
      <protection locked="0"/>
    </xf>
    <xf numFmtId="0" fontId="278" fillId="0" borderId="31" xfId="30" applyFont="1" applyFill="1" applyBorder="1" applyAlignment="1" applyProtection="1">
      <alignment vertical="center"/>
      <protection locked="0"/>
    </xf>
    <xf numFmtId="0" fontId="278" fillId="0" borderId="449" xfId="30" applyFont="1" applyFill="1" applyBorder="1" applyAlignment="1" applyProtection="1">
      <alignment vertical="center"/>
      <protection locked="0"/>
    </xf>
    <xf numFmtId="0" fontId="278" fillId="0" borderId="448" xfId="30" applyFont="1" applyFill="1" applyBorder="1" applyAlignment="1" applyProtection="1">
      <alignment horizontal="center" vertical="center"/>
      <protection locked="0"/>
    </xf>
    <xf numFmtId="9" fontId="323" fillId="0" borderId="0" xfId="88" applyFont="1" applyFill="1" applyBorder="1" applyAlignment="1">
      <alignment vertical="center"/>
    </xf>
    <xf numFmtId="4" fontId="320" fillId="0" borderId="434" xfId="2" applyNumberFormat="1" applyFont="1" applyFill="1" applyBorder="1" applyAlignment="1" applyProtection="1">
      <alignment horizontal="right" vertical="center"/>
      <protection locked="0"/>
    </xf>
    <xf numFmtId="43" fontId="320" fillId="0" borderId="285" xfId="1" applyFont="1" applyFill="1" applyBorder="1" applyAlignment="1">
      <alignment vertical="top"/>
    </xf>
    <xf numFmtId="49" fontId="278" fillId="0" borderId="368" xfId="2" applyNumberFormat="1" applyFont="1" applyFill="1" applyBorder="1" applyAlignment="1" applyProtection="1">
      <alignment vertical="center"/>
      <protection locked="0"/>
    </xf>
    <xf numFmtId="0" fontId="278" fillId="0" borderId="243" xfId="2" applyFont="1" applyFill="1" applyBorder="1" applyAlignment="1" applyProtection="1">
      <alignment vertical="center"/>
      <protection locked="0"/>
    </xf>
    <xf numFmtId="0" fontId="320" fillId="0" borderId="480" xfId="2" applyFont="1" applyFill="1" applyBorder="1" applyAlignment="1" applyProtection="1">
      <alignment vertical="center"/>
      <protection locked="0"/>
    </xf>
    <xf numFmtId="0" fontId="278" fillId="0" borderId="668" xfId="2" applyFont="1" applyFill="1" applyBorder="1" applyAlignment="1" applyProtection="1">
      <alignment vertical="center"/>
      <protection locked="0"/>
    </xf>
    <xf numFmtId="4" fontId="278" fillId="0" borderId="707" xfId="2" applyNumberFormat="1" applyFont="1" applyFill="1" applyBorder="1" applyAlignment="1" applyProtection="1">
      <alignment vertical="center"/>
      <protection locked="0"/>
    </xf>
    <xf numFmtId="10" fontId="278" fillId="0" borderId="707" xfId="88" applyNumberFormat="1" applyFont="1" applyFill="1" applyBorder="1" applyAlignment="1" applyProtection="1">
      <alignment vertical="center"/>
      <protection locked="0"/>
    </xf>
    <xf numFmtId="4" fontId="278" fillId="0" borderId="708" xfId="2" applyNumberFormat="1" applyFont="1" applyFill="1" applyBorder="1" applyAlignment="1" applyProtection="1">
      <alignment vertical="center"/>
      <protection locked="0"/>
    </xf>
    <xf numFmtId="4" fontId="320" fillId="0" borderId="685" xfId="1" applyNumberFormat="1" applyFont="1" applyFill="1" applyBorder="1" applyAlignment="1" applyProtection="1">
      <alignment vertical="center"/>
    </xf>
    <xf numFmtId="4" fontId="278" fillId="0" borderId="634" xfId="30" applyNumberFormat="1" applyFont="1" applyFill="1" applyBorder="1" applyAlignment="1" applyProtection="1">
      <alignment vertical="center"/>
      <protection locked="0"/>
    </xf>
    <xf numFmtId="0" fontId="278" fillId="0" borderId="685" xfId="30" applyNumberFormat="1" applyFont="1" applyFill="1" applyBorder="1" applyAlignment="1" applyProtection="1">
      <alignment horizontal="center" vertical="center"/>
      <protection locked="0"/>
    </xf>
    <xf numFmtId="0" fontId="278" fillId="0" borderId="285" xfId="30" applyNumberFormat="1" applyFont="1" applyFill="1" applyBorder="1" applyAlignment="1" applyProtection="1">
      <alignment horizontal="center" vertical="center"/>
      <protection locked="0"/>
    </xf>
    <xf numFmtId="4" fontId="320" fillId="0" borderId="397" xfId="30" applyNumberFormat="1" applyFont="1" applyFill="1" applyBorder="1" applyAlignment="1" applyProtection="1">
      <alignment horizontal="right" vertical="center"/>
      <protection locked="0"/>
    </xf>
    <xf numFmtId="43" fontId="320" fillId="0" borderId="398" xfId="1" applyFont="1" applyFill="1" applyBorder="1" applyAlignment="1">
      <alignment vertical="center"/>
    </xf>
    <xf numFmtId="4" fontId="320" fillId="0" borderId="285" xfId="0" applyNumberFormat="1" applyFont="1" applyFill="1" applyBorder="1"/>
    <xf numFmtId="0" fontId="320" fillId="0" borderId="685" xfId="30" applyFont="1" applyFill="1" applyBorder="1" applyAlignment="1">
      <alignment horizontal="center" vertical="center"/>
    </xf>
    <xf numFmtId="4" fontId="320" fillId="0" borderId="684" xfId="30" applyNumberFormat="1" applyFont="1" applyFill="1" applyBorder="1" applyAlignment="1">
      <alignment vertical="center"/>
    </xf>
    <xf numFmtId="4" fontId="320" fillId="0" borderId="704" xfId="30" applyNumberFormat="1" applyFont="1" applyFill="1" applyBorder="1" applyAlignment="1">
      <alignment vertical="center"/>
    </xf>
    <xf numFmtId="4" fontId="320" fillId="0" borderId="717" xfId="1" applyNumberFormat="1" applyFont="1" applyFill="1" applyBorder="1" applyAlignment="1" applyProtection="1">
      <alignment vertical="center"/>
      <protection locked="0"/>
    </xf>
    <xf numFmtId="4" fontId="320" fillId="0" borderId="665" xfId="30" applyNumberFormat="1" applyFont="1" applyFill="1" applyBorder="1" applyAlignment="1">
      <alignment vertical="center"/>
    </xf>
    <xf numFmtId="0" fontId="320" fillId="0" borderId="723" xfId="47" applyFont="1" applyFill="1" applyBorder="1" applyAlignment="1" applyProtection="1">
      <alignment vertical="top"/>
      <protection locked="0"/>
    </xf>
    <xf numFmtId="43" fontId="278" fillId="0" borderId="0" xfId="55" applyNumberFormat="1" applyFont="1" applyFill="1" applyAlignment="1">
      <alignment vertical="center"/>
    </xf>
    <xf numFmtId="4" fontId="320" fillId="0" borderId="685" xfId="55" applyNumberFormat="1" applyFont="1" applyFill="1" applyBorder="1" applyAlignment="1">
      <alignment vertical="center"/>
    </xf>
    <xf numFmtId="0" fontId="321" fillId="0" borderId="0" xfId="55" applyFont="1" applyFill="1" applyBorder="1" applyAlignment="1" applyProtection="1">
      <alignment vertical="center"/>
      <protection locked="0"/>
    </xf>
    <xf numFmtId="0" fontId="320" fillId="0" borderId="626" xfId="55" applyFont="1" applyFill="1" applyBorder="1" applyAlignment="1" applyProtection="1">
      <alignment vertical="center"/>
      <protection locked="0"/>
    </xf>
    <xf numFmtId="0" fontId="278" fillId="0" borderId="709" xfId="55" applyFont="1" applyFill="1" applyBorder="1" applyAlignment="1" applyProtection="1">
      <alignment horizontal="center" vertical="center"/>
      <protection locked="0"/>
    </xf>
    <xf numFmtId="0" fontId="278" fillId="0" borderId="672" xfId="55" applyFont="1" applyFill="1" applyBorder="1" applyAlignment="1" applyProtection="1">
      <alignment horizontal="center" vertical="center"/>
      <protection locked="0"/>
    </xf>
    <xf numFmtId="4" fontId="278" fillId="0" borderId="673" xfId="55" applyNumberFormat="1" applyFont="1" applyFill="1" applyBorder="1" applyAlignment="1" applyProtection="1">
      <alignment horizontal="center" vertical="center"/>
      <protection locked="0"/>
    </xf>
    <xf numFmtId="4" fontId="278" fillId="0" borderId="536" xfId="55" applyNumberFormat="1" applyFont="1" applyFill="1" applyBorder="1" applyAlignment="1" applyProtection="1">
      <alignment horizontal="center" vertical="center"/>
      <protection locked="0"/>
    </xf>
    <xf numFmtId="0" fontId="278" fillId="0" borderId="685" xfId="55" applyFont="1" applyFill="1" applyBorder="1" applyAlignment="1" applyProtection="1">
      <alignment horizontal="center" vertical="center"/>
      <protection locked="0"/>
    </xf>
    <xf numFmtId="4" fontId="278" fillId="0" borderId="731" xfId="55" applyNumberFormat="1" applyFont="1" applyFill="1" applyBorder="1" applyAlignment="1" applyProtection="1">
      <alignment horizontal="center" vertical="center"/>
      <protection locked="0"/>
    </xf>
    <xf numFmtId="4" fontId="278" fillId="0" borderId="285" xfId="55" applyNumberFormat="1" applyFont="1" applyFill="1" applyBorder="1" applyAlignment="1" applyProtection="1">
      <alignment horizontal="center" vertical="center"/>
      <protection locked="0"/>
    </xf>
    <xf numFmtId="0" fontId="320" fillId="0" borderId="243" xfId="55" applyFont="1" applyFill="1" applyBorder="1" applyAlignment="1" applyProtection="1">
      <alignment vertical="center"/>
      <protection locked="0"/>
    </xf>
    <xf numFmtId="0" fontId="278" fillId="0" borderId="433" xfId="55" applyFont="1" applyFill="1" applyBorder="1" applyAlignment="1" applyProtection="1">
      <alignment horizontal="center" vertical="center"/>
      <protection locked="0"/>
    </xf>
    <xf numFmtId="0" fontId="278" fillId="0" borderId="397" xfId="55" applyFont="1" applyFill="1" applyBorder="1" applyAlignment="1" applyProtection="1">
      <alignment horizontal="center" vertical="center"/>
      <protection locked="0"/>
    </xf>
    <xf numFmtId="0" fontId="278" fillId="0" borderId="434" xfId="55" applyNumberFormat="1" applyFont="1" applyFill="1" applyBorder="1" applyAlignment="1" applyProtection="1">
      <alignment horizontal="center" vertical="center"/>
      <protection locked="0"/>
    </xf>
    <xf numFmtId="0" fontId="278" fillId="0" borderId="697" xfId="55" applyNumberFormat="1" applyFont="1" applyFill="1" applyBorder="1" applyAlignment="1" applyProtection="1">
      <alignment horizontal="center" vertical="center"/>
      <protection locked="0"/>
    </xf>
    <xf numFmtId="4" fontId="320" fillId="0" borderId="731" xfId="55" applyNumberFormat="1" applyFont="1" applyFill="1" applyBorder="1" applyAlignment="1" applyProtection="1">
      <alignment vertical="center"/>
      <protection locked="0"/>
    </xf>
    <xf numFmtId="4" fontId="320" fillId="0" borderId="285" xfId="55" applyNumberFormat="1" applyFont="1" applyFill="1" applyBorder="1" applyAlignment="1" applyProtection="1">
      <alignment vertical="center"/>
      <protection locked="0"/>
    </xf>
    <xf numFmtId="4" fontId="320" fillId="0" borderId="285" xfId="55" applyNumberFormat="1" applyFont="1" applyFill="1" applyBorder="1" applyAlignment="1" applyProtection="1">
      <alignment vertical="center"/>
      <protection hidden="1"/>
    </xf>
    <xf numFmtId="4" fontId="320" fillId="0" borderId="685" xfId="55" applyNumberFormat="1" applyFont="1" applyFill="1" applyBorder="1" applyAlignment="1" applyProtection="1">
      <alignment vertical="center"/>
    </xf>
    <xf numFmtId="0" fontId="278" fillId="0" borderId="433" xfId="55" applyFont="1" applyFill="1" applyBorder="1" applyAlignment="1" applyProtection="1">
      <alignment vertical="center"/>
      <protection locked="0"/>
    </xf>
    <xf numFmtId="0" fontId="320" fillId="0" borderId="397" xfId="55" applyFont="1" applyFill="1" applyBorder="1" applyAlignment="1" applyProtection="1">
      <alignment horizontal="center" vertical="center"/>
      <protection locked="0"/>
    </xf>
    <xf numFmtId="4" fontId="278" fillId="0" borderId="633" xfId="55" applyNumberFormat="1" applyFont="1" applyFill="1" applyBorder="1" applyAlignment="1" applyProtection="1">
      <alignment vertical="center"/>
      <protection locked="0"/>
    </xf>
    <xf numFmtId="4" fontId="278" fillId="0" borderId="634" xfId="55" applyNumberFormat="1" applyFont="1" applyFill="1" applyBorder="1" applyAlignment="1" applyProtection="1">
      <alignment vertical="center"/>
      <protection locked="0"/>
    </xf>
    <xf numFmtId="0" fontId="278" fillId="0" borderId="731" xfId="55" applyNumberFormat="1" applyFont="1" applyFill="1" applyBorder="1" applyAlignment="1" applyProtection="1">
      <alignment horizontal="center" vertical="center"/>
      <protection locked="0"/>
    </xf>
    <xf numFmtId="0" fontId="278" fillId="0" borderId="285" xfId="55" applyNumberFormat="1" applyFont="1" applyFill="1" applyBorder="1" applyAlignment="1" applyProtection="1">
      <alignment horizontal="center" vertical="center"/>
      <protection locked="0"/>
    </xf>
    <xf numFmtId="4" fontId="320" fillId="0" borderId="285" xfId="55" applyNumberFormat="1" applyFont="1" applyFill="1" applyBorder="1" applyAlignment="1">
      <alignment vertical="center"/>
    </xf>
    <xf numFmtId="4" fontId="320" fillId="0" borderId="448" xfId="55" applyNumberFormat="1" applyFont="1" applyFill="1" applyBorder="1" applyAlignment="1" applyProtection="1">
      <alignment vertical="center"/>
      <protection locked="0"/>
    </xf>
    <xf numFmtId="4" fontId="320" fillId="0" borderId="703" xfId="55" applyNumberFormat="1" applyFont="1" applyFill="1" applyBorder="1" applyAlignment="1" applyProtection="1">
      <alignment vertical="center"/>
      <protection locked="0"/>
    </xf>
    <xf numFmtId="4" fontId="278" fillId="0" borderId="700" xfId="56" applyNumberFormat="1" applyFont="1" applyFill="1" applyBorder="1" applyAlignment="1" applyProtection="1">
      <alignment vertical="center"/>
      <protection locked="0"/>
    </xf>
    <xf numFmtId="4" fontId="278" fillId="0" borderId="700" xfId="55" applyNumberFormat="1" applyFont="1" applyFill="1" applyBorder="1" applyAlignment="1" applyProtection="1">
      <alignment vertical="center"/>
      <protection locked="0"/>
    </xf>
    <xf numFmtId="4" fontId="278" fillId="0" borderId="632" xfId="55" applyNumberFormat="1" applyFont="1" applyFill="1" applyBorder="1" applyAlignment="1" applyProtection="1">
      <alignment vertical="center"/>
      <protection locked="0"/>
    </xf>
    <xf numFmtId="0" fontId="278" fillId="0" borderId="449" xfId="55" applyFont="1" applyFill="1" applyBorder="1" applyAlignment="1" applyProtection="1">
      <alignment vertical="center"/>
      <protection locked="0"/>
    </xf>
    <xf numFmtId="0" fontId="278" fillId="0" borderId="448" xfId="55" applyFont="1" applyFill="1" applyBorder="1" applyAlignment="1" applyProtection="1">
      <alignment horizontal="center" vertical="center"/>
      <protection locked="0"/>
    </xf>
    <xf numFmtId="4" fontId="278" fillId="0" borderId="685" xfId="55" applyNumberFormat="1" applyFont="1" applyFill="1" applyBorder="1" applyAlignment="1" applyProtection="1">
      <alignment vertical="center"/>
      <protection locked="0"/>
    </xf>
    <xf numFmtId="4" fontId="278" fillId="0" borderId="285" xfId="55" applyNumberFormat="1" applyFont="1" applyFill="1" applyBorder="1" applyAlignment="1" applyProtection="1">
      <alignment vertical="center"/>
      <protection locked="0"/>
    </xf>
    <xf numFmtId="0" fontId="320" fillId="0" borderId="354" xfId="55" applyFont="1" applyFill="1" applyBorder="1" applyAlignment="1" applyProtection="1">
      <alignment vertical="center"/>
      <protection locked="0"/>
    </xf>
    <xf numFmtId="0" fontId="278" fillId="0" borderId="355" xfId="55" applyFont="1" applyFill="1" applyBorder="1" applyAlignment="1" applyProtection="1">
      <alignment vertical="center"/>
      <protection locked="0"/>
    </xf>
    <xf numFmtId="0" fontId="320" fillId="0" borderId="633" xfId="55" applyFont="1" applyFill="1" applyBorder="1" applyAlignment="1" applyProtection="1">
      <alignment horizontal="center" vertical="center"/>
      <protection locked="0"/>
    </xf>
    <xf numFmtId="43" fontId="320" fillId="0" borderId="0" xfId="42" applyNumberFormat="1" applyFont="1" applyFill="1" applyAlignment="1">
      <alignment vertical="center"/>
    </xf>
    <xf numFmtId="0" fontId="320" fillId="0" borderId="685" xfId="42" applyFont="1" applyFill="1" applyBorder="1" applyAlignment="1" applyProtection="1">
      <alignment horizontal="center" vertical="center"/>
      <protection locked="0"/>
    </xf>
    <xf numFmtId="49" fontId="278" fillId="0" borderId="686" xfId="42" applyNumberFormat="1" applyFont="1" applyFill="1" applyBorder="1" applyAlignment="1" applyProtection="1">
      <alignment vertical="center"/>
      <protection locked="0"/>
    </xf>
    <xf numFmtId="4" fontId="278" fillId="0" borderId="685" xfId="42" applyNumberFormat="1" applyFont="1" applyFill="1" applyBorder="1" applyAlignment="1" applyProtection="1">
      <alignment vertical="center"/>
      <protection locked="0"/>
    </xf>
    <xf numFmtId="43" fontId="320" fillId="0" borderId="685" xfId="1" applyFont="1" applyFill="1" applyBorder="1" applyAlignment="1" applyProtection="1">
      <alignment horizontal="right" vertical="center"/>
      <protection locked="0"/>
    </xf>
    <xf numFmtId="43" fontId="278" fillId="0" borderId="449" xfId="1" applyFont="1" applyFill="1" applyBorder="1" applyAlignment="1">
      <alignment vertical="center"/>
    </xf>
    <xf numFmtId="39" fontId="278" fillId="0" borderId="633" xfId="45" applyNumberFormat="1" applyFont="1" applyFill="1" applyBorder="1" applyAlignment="1" applyProtection="1">
      <alignment vertical="center"/>
      <protection locked="0"/>
    </xf>
    <xf numFmtId="43" fontId="320" fillId="0" borderId="684" xfId="1" applyFont="1" applyFill="1" applyBorder="1" applyAlignment="1" applyProtection="1">
      <alignment vertical="center" wrapText="1"/>
      <protection locked="0"/>
    </xf>
    <xf numFmtId="43" fontId="320" fillId="0" borderId="704" xfId="1" applyFont="1" applyFill="1" applyBorder="1" applyAlignment="1" applyProtection="1">
      <alignment vertical="center" wrapText="1"/>
      <protection locked="0"/>
    </xf>
    <xf numFmtId="43" fontId="320" fillId="0" borderId="285" xfId="1" applyFont="1" applyFill="1" applyBorder="1" applyAlignment="1" applyProtection="1">
      <alignment vertical="top"/>
      <protection locked="0"/>
    </xf>
    <xf numFmtId="4" fontId="320" fillId="0" borderId="685" xfId="1" applyNumberFormat="1" applyFont="1" applyFill="1" applyBorder="1" applyAlignment="1">
      <alignment horizontal="right" vertical="center" wrapText="1"/>
    </xf>
    <xf numFmtId="3" fontId="320" fillId="0" borderId="685" xfId="45" applyNumberFormat="1" applyFont="1" applyFill="1" applyBorder="1" applyAlignment="1" applyProtection="1">
      <alignment horizontal="center" vertical="center"/>
      <protection locked="0"/>
    </xf>
    <xf numFmtId="2" fontId="320" fillId="0" borderId="685" xfId="1" applyNumberFormat="1" applyFont="1" applyFill="1" applyBorder="1" applyAlignment="1">
      <alignment horizontal="right" vertical="center" wrapText="1"/>
    </xf>
    <xf numFmtId="10" fontId="320" fillId="0" borderId="731" xfId="88" applyNumberFormat="1" applyFont="1" applyFill="1" applyBorder="1" applyAlignment="1">
      <alignment vertical="center" wrapText="1"/>
    </xf>
    <xf numFmtId="43" fontId="320" fillId="0" borderId="398" xfId="1" applyFont="1" applyFill="1" applyBorder="1" applyAlignment="1">
      <alignment vertical="center" wrapText="1"/>
    </xf>
    <xf numFmtId="39" fontId="278" fillId="0" borderId="713" xfId="45" applyNumberFormat="1" applyFont="1" applyFill="1" applyBorder="1" applyAlignment="1" applyProtection="1">
      <alignment vertical="center"/>
      <protection locked="0"/>
    </xf>
    <xf numFmtId="43" fontId="320" fillId="0" borderId="731" xfId="1" applyFont="1" applyFill="1" applyBorder="1" applyAlignment="1" applyProtection="1">
      <alignment horizontal="right" vertical="center"/>
      <protection locked="0"/>
    </xf>
    <xf numFmtId="4" fontId="320" fillId="0" borderId="285" xfId="45" applyNumberFormat="1" applyFont="1" applyFill="1" applyBorder="1" applyAlignment="1" applyProtection="1">
      <alignment vertical="center"/>
      <protection locked="0"/>
    </xf>
    <xf numFmtId="0" fontId="320" fillId="0" borderId="368" xfId="45" applyFont="1" applyFill="1" applyBorder="1" applyAlignment="1">
      <alignment vertical="center"/>
    </xf>
    <xf numFmtId="0" fontId="320" fillId="0" borderId="731" xfId="45" applyFont="1" applyFill="1" applyBorder="1" applyAlignment="1">
      <alignment vertical="center"/>
    </xf>
    <xf numFmtId="43" fontId="278" fillId="0" borderId="731" xfId="1" applyFont="1" applyFill="1" applyBorder="1" applyAlignment="1" applyProtection="1">
      <alignment horizontal="right" vertical="center"/>
      <protection locked="0"/>
    </xf>
    <xf numFmtId="39" fontId="278" fillId="0" borderId="731" xfId="1" applyNumberFormat="1" applyFont="1" applyFill="1" applyBorder="1" applyAlignment="1" applyProtection="1">
      <alignment horizontal="right" vertical="center"/>
      <protection locked="0"/>
    </xf>
    <xf numFmtId="4" fontId="278" fillId="0" borderId="684" xfId="45" applyNumberFormat="1" applyFont="1" applyFill="1" applyBorder="1" applyAlignment="1" applyProtection="1">
      <alignment vertical="center"/>
      <protection locked="0"/>
    </xf>
    <xf numFmtId="10" fontId="278" fillId="0" borderId="684" xfId="88" applyNumberFormat="1" applyFont="1" applyFill="1" applyBorder="1" applyAlignment="1" applyProtection="1">
      <alignment vertical="center"/>
      <protection locked="0"/>
    </xf>
    <xf numFmtId="4" fontId="278" fillId="0" borderId="704" xfId="45" applyNumberFormat="1" applyFont="1" applyFill="1" applyBorder="1" applyAlignment="1" applyProtection="1">
      <alignment vertical="center"/>
      <protection locked="0"/>
    </xf>
    <xf numFmtId="43" fontId="320" fillId="0" borderId="448" xfId="1" applyFont="1" applyFill="1" applyBorder="1" applyAlignment="1" applyProtection="1">
      <alignment horizontal="right" vertical="center"/>
      <protection locked="0"/>
    </xf>
    <xf numFmtId="43" fontId="320" fillId="0" borderId="452" xfId="1" applyFont="1" applyFill="1" applyBorder="1" applyAlignment="1" applyProtection="1">
      <alignment horizontal="right" vertical="center"/>
      <protection locked="0"/>
    </xf>
    <xf numFmtId="39" fontId="278" fillId="0" borderId="700" xfId="45" applyNumberFormat="1" applyFont="1" applyFill="1" applyBorder="1" applyAlignment="1" applyProtection="1">
      <alignment vertical="center"/>
      <protection locked="0"/>
    </xf>
    <xf numFmtId="4" fontId="278" fillId="0" borderId="687" xfId="45" applyNumberFormat="1" applyFont="1" applyFill="1" applyBorder="1" applyAlignment="1" applyProtection="1">
      <alignment vertical="center"/>
      <protection locked="0"/>
    </xf>
    <xf numFmtId="39" fontId="278" fillId="0" borderId="687" xfId="45" applyNumberFormat="1" applyFont="1" applyFill="1" applyBorder="1" applyAlignment="1" applyProtection="1">
      <alignment vertical="center"/>
      <protection locked="0"/>
    </xf>
    <xf numFmtId="39" fontId="278" fillId="0" borderId="485" xfId="45" applyNumberFormat="1" applyFont="1" applyFill="1" applyBorder="1" applyAlignment="1" applyProtection="1">
      <alignment vertical="center"/>
      <protection locked="0"/>
    </xf>
    <xf numFmtId="4" fontId="278" fillId="0" borderId="634" xfId="45" applyNumberFormat="1" applyFont="1" applyFill="1" applyBorder="1" applyAlignment="1" applyProtection="1">
      <alignment vertical="center"/>
      <protection locked="0"/>
    </xf>
    <xf numFmtId="4" fontId="320" fillId="0" borderId="686" xfId="62" applyNumberFormat="1" applyFont="1" applyFill="1" applyBorder="1" applyAlignment="1">
      <alignment horizontal="right" vertical="center"/>
    </xf>
    <xf numFmtId="0" fontId="320" fillId="0" borderId="685" xfId="0" applyFont="1" applyFill="1" applyBorder="1" applyAlignment="1">
      <alignment horizontal="left" vertical="center"/>
    </xf>
    <xf numFmtId="0" fontId="320" fillId="0" borderId="656" xfId="0" applyFont="1" applyFill="1" applyBorder="1" applyAlignment="1">
      <alignment horizontal="left" vertical="center"/>
    </xf>
    <xf numFmtId="4" fontId="320" fillId="0" borderId="344" xfId="62" applyNumberFormat="1" applyFont="1" applyFill="1" applyBorder="1" applyAlignment="1">
      <alignment horizontal="right" vertical="center"/>
    </xf>
    <xf numFmtId="4" fontId="320" fillId="0" borderId="654" xfId="62" applyNumberFormat="1" applyFont="1" applyFill="1" applyBorder="1" applyAlignment="1">
      <alignment horizontal="right" vertical="center"/>
    </xf>
    <xf numFmtId="0" fontId="320" fillId="0" borderId="647" xfId="0" applyFont="1" applyFill="1" applyBorder="1" applyAlignment="1">
      <alignment vertical="center"/>
    </xf>
    <xf numFmtId="4" fontId="320" fillId="0" borderId="655" xfId="62" applyNumberFormat="1" applyFont="1" applyFill="1" applyBorder="1" applyAlignment="1">
      <alignment horizontal="right" vertical="center"/>
    </xf>
    <xf numFmtId="4" fontId="320" fillId="0" borderId="720" xfId="62" applyNumberFormat="1" applyFont="1" applyFill="1" applyBorder="1" applyAlignment="1">
      <alignment horizontal="right" vertical="center"/>
    </xf>
    <xf numFmtId="0" fontId="320" fillId="0" borderId="658" xfId="0" applyFont="1" applyFill="1" applyBorder="1" applyAlignment="1">
      <alignment horizontal="left" vertical="center"/>
    </xf>
    <xf numFmtId="4" fontId="320" fillId="0" borderId="517" xfId="62" applyNumberFormat="1" applyFont="1" applyFill="1" applyBorder="1" applyAlignment="1">
      <alignment horizontal="right" vertical="center"/>
    </xf>
    <xf numFmtId="0" fontId="320" fillId="0" borderId="646" xfId="0" applyFont="1" applyFill="1" applyBorder="1" applyAlignment="1">
      <alignment horizontal="left" vertical="center"/>
    </xf>
    <xf numFmtId="4" fontId="320" fillId="0" borderId="657" xfId="62" applyNumberFormat="1" applyFont="1" applyFill="1" applyBorder="1" applyAlignment="1">
      <alignment horizontal="right" vertical="center"/>
    </xf>
    <xf numFmtId="4" fontId="320" fillId="0" borderId="451" xfId="62" applyNumberFormat="1" applyFont="1" applyFill="1" applyBorder="1" applyAlignment="1">
      <alignment horizontal="right" vertical="center"/>
    </xf>
    <xf numFmtId="0" fontId="320" fillId="0" borderId="449" xfId="45" applyFont="1" applyFill="1" applyBorder="1" applyAlignment="1">
      <alignment vertical="center"/>
    </xf>
    <xf numFmtId="43" fontId="320" fillId="0" borderId="398" xfId="1" applyFont="1" applyFill="1" applyBorder="1" applyAlignment="1" applyProtection="1">
      <alignment vertical="center"/>
      <protection hidden="1"/>
    </xf>
    <xf numFmtId="0" fontId="320" fillId="0" borderId="685" xfId="2" applyFont="1" applyFill="1" applyBorder="1" applyAlignment="1" applyProtection="1">
      <alignment horizontal="center"/>
      <protection locked="0"/>
    </xf>
    <xf numFmtId="43" fontId="320" fillId="0" borderId="628" xfId="1" applyFont="1" applyFill="1" applyBorder="1" applyAlignment="1" applyProtection="1">
      <alignment vertical="center"/>
      <protection locked="0"/>
    </xf>
    <xf numFmtId="4" fontId="278" fillId="0" borderId="434" xfId="45" applyNumberFormat="1" applyFont="1" applyFill="1" applyBorder="1" applyAlignment="1" applyProtection="1">
      <alignment vertical="center"/>
      <protection locked="0"/>
    </xf>
    <xf numFmtId="43" fontId="320" fillId="0" borderId="685" xfId="1" applyFont="1" applyFill="1" applyBorder="1" applyAlignment="1" applyProtection="1">
      <alignment vertical="center" wrapText="1"/>
      <protection locked="0"/>
    </xf>
    <xf numFmtId="10" fontId="320" fillId="0" borderId="685" xfId="88" applyNumberFormat="1" applyFont="1" applyFill="1" applyBorder="1" applyAlignment="1" applyProtection="1">
      <alignment vertical="center" wrapText="1"/>
      <protection locked="0"/>
    </xf>
    <xf numFmtId="43" fontId="320" fillId="0" borderId="285" xfId="1" applyFont="1" applyFill="1" applyBorder="1" applyAlignment="1" applyProtection="1">
      <alignment vertical="center" wrapText="1"/>
      <protection locked="0"/>
    </xf>
    <xf numFmtId="168" fontId="320" fillId="0" borderId="685" xfId="45" applyNumberFormat="1" applyFont="1" applyFill="1" applyBorder="1" applyAlignment="1">
      <alignment horizontal="center" vertical="center"/>
    </xf>
    <xf numFmtId="4" fontId="320" fillId="0" borderId="731" xfId="45" applyNumberFormat="1" applyFont="1" applyFill="1" applyBorder="1" applyAlignment="1" applyProtection="1">
      <alignment horizontal="right" vertical="center"/>
      <protection locked="0"/>
    </xf>
    <xf numFmtId="2" fontId="320" fillId="0" borderId="731" xfId="1" applyNumberFormat="1" applyFont="1" applyFill="1" applyBorder="1" applyAlignment="1" applyProtection="1">
      <alignment horizontal="right" vertical="center"/>
      <protection locked="0"/>
    </xf>
    <xf numFmtId="0" fontId="320" fillId="0" borderId="731" xfId="47" applyFont="1" applyFill="1" applyBorder="1" applyAlignment="1" applyProtection="1">
      <alignment vertical="top" wrapText="1"/>
      <protection locked="0"/>
    </xf>
    <xf numFmtId="168" fontId="320" fillId="0" borderId="685" xfId="46" applyNumberFormat="1" applyFont="1" applyFill="1" applyBorder="1" applyAlignment="1">
      <alignment horizontal="center"/>
    </xf>
    <xf numFmtId="49" fontId="278" fillId="0" borderId="243" xfId="45" applyNumberFormat="1" applyFont="1" applyFill="1" applyBorder="1" applyAlignment="1" applyProtection="1">
      <alignment vertical="center"/>
      <protection locked="0"/>
    </xf>
    <xf numFmtId="0" fontId="278" fillId="0" borderId="397" xfId="45" applyFont="1" applyFill="1" applyBorder="1" applyAlignment="1" applyProtection="1">
      <alignment horizontal="center" vertical="center"/>
      <protection locked="0"/>
    </xf>
    <xf numFmtId="43" fontId="278" fillId="0" borderId="485" xfId="1" applyFont="1" applyFill="1" applyBorder="1" applyAlignment="1" applyProtection="1">
      <alignment horizontal="right" vertical="center"/>
      <protection locked="0"/>
    </xf>
    <xf numFmtId="0" fontId="323" fillId="0" borderId="731" xfId="0" applyFont="1" applyFill="1" applyBorder="1"/>
    <xf numFmtId="0" fontId="320" fillId="0" borderId="684" xfId="0" applyFont="1" applyFill="1" applyBorder="1" applyAlignment="1">
      <alignment vertical="center" wrapText="1"/>
    </xf>
    <xf numFmtId="0" fontId="320" fillId="0" borderId="700" xfId="0" applyFont="1" applyFill="1" applyBorder="1" applyAlignment="1">
      <alignment vertical="center" wrapText="1"/>
    </xf>
    <xf numFmtId="4" fontId="320" fillId="0" borderId="700" xfId="62" applyNumberFormat="1" applyFont="1" applyFill="1" applyBorder="1" applyAlignment="1">
      <alignment horizontal="right" vertical="center"/>
    </xf>
    <xf numFmtId="0" fontId="320" fillId="0" borderId="731" xfId="0" applyFont="1" applyFill="1" applyBorder="1"/>
    <xf numFmtId="0" fontId="320" fillId="0" borderId="731" xfId="0" applyFont="1" applyFill="1" applyBorder="1" applyAlignment="1">
      <alignment horizontal="left"/>
    </xf>
    <xf numFmtId="0" fontId="320" fillId="0" borderId="731" xfId="0" applyFont="1" applyFill="1" applyBorder="1" applyAlignment="1">
      <alignment horizontal="left" vertical="top"/>
    </xf>
    <xf numFmtId="0" fontId="320" fillId="0" borderId="731" xfId="0" applyFont="1" applyFill="1" applyBorder="1" applyAlignment="1">
      <alignment wrapText="1"/>
    </xf>
    <xf numFmtId="0" fontId="320" fillId="0" borderId="700" xfId="0" applyFont="1" applyFill="1" applyBorder="1" applyAlignment="1">
      <alignment horizontal="left" vertical="center"/>
    </xf>
    <xf numFmtId="2" fontId="320" fillId="0" borderId="398" xfId="45" applyNumberFormat="1" applyFont="1" applyFill="1" applyBorder="1" applyAlignment="1">
      <alignment vertical="center"/>
    </xf>
    <xf numFmtId="0" fontId="320" fillId="0" borderId="731" xfId="0" applyFont="1" applyFill="1" applyBorder="1" applyAlignment="1">
      <alignment horizontal="left" vertical="center"/>
    </xf>
    <xf numFmtId="4" fontId="320" fillId="0" borderId="0" xfId="62" applyNumberFormat="1" applyFont="1" applyFill="1" applyBorder="1" applyAlignment="1">
      <alignment horizontal="right" vertical="center"/>
    </xf>
    <xf numFmtId="39" fontId="278" fillId="0" borderId="684" xfId="1" applyNumberFormat="1" applyFont="1" applyFill="1" applyBorder="1" applyAlignment="1" applyProtection="1">
      <alignment horizontal="center" vertical="center"/>
      <protection locked="0"/>
    </xf>
    <xf numFmtId="39" fontId="278" fillId="0" borderId="397" xfId="1" applyNumberFormat="1" applyFont="1" applyFill="1" applyBorder="1" applyAlignment="1" applyProtection="1">
      <alignment horizontal="center" vertical="center"/>
      <protection locked="0"/>
    </xf>
    <xf numFmtId="39" fontId="278" fillId="0" borderId="685" xfId="1" applyNumberFormat="1" applyFont="1" applyFill="1" applyBorder="1" applyAlignment="1" applyProtection="1">
      <alignment horizontal="center" vertical="center"/>
      <protection locked="0"/>
    </xf>
    <xf numFmtId="43" fontId="278" fillId="0" borderId="569" xfId="45" applyNumberFormat="1" applyFont="1" applyFill="1" applyBorder="1" applyAlignment="1">
      <alignment vertical="center"/>
    </xf>
    <xf numFmtId="168" fontId="320" fillId="0" borderId="685" xfId="45" applyNumberFormat="1" applyFont="1" applyFill="1" applyBorder="1" applyAlignment="1">
      <alignment vertical="center"/>
    </xf>
    <xf numFmtId="0" fontId="320" fillId="0" borderId="731" xfId="47" applyFont="1" applyFill="1" applyBorder="1" applyAlignment="1" applyProtection="1">
      <alignment horizontal="left" vertical="top" wrapText="1"/>
      <protection locked="0"/>
    </xf>
    <xf numFmtId="4" fontId="278" fillId="0" borderId="731" xfId="45" applyNumberFormat="1" applyFont="1" applyFill="1" applyBorder="1" applyAlignment="1" applyProtection="1">
      <alignment vertical="center"/>
      <protection locked="0"/>
    </xf>
    <xf numFmtId="4" fontId="278" fillId="0" borderId="685" xfId="45" applyNumberFormat="1" applyFont="1" applyFill="1" applyBorder="1" applyAlignment="1" applyProtection="1">
      <alignment vertical="center"/>
      <protection locked="0"/>
    </xf>
    <xf numFmtId="4" fontId="320" fillId="0" borderId="285" xfId="1" applyNumberFormat="1" applyFont="1" applyFill="1" applyBorder="1" applyAlignment="1" applyProtection="1">
      <alignment vertical="center" wrapText="1"/>
      <protection locked="0"/>
    </xf>
    <xf numFmtId="4" fontId="320" fillId="0" borderId="285" xfId="1" applyNumberFormat="1" applyFont="1" applyFill="1" applyBorder="1" applyAlignment="1">
      <alignment vertical="center" wrapText="1"/>
    </xf>
    <xf numFmtId="4" fontId="278" fillId="0" borderId="285" xfId="1" applyNumberFormat="1" applyFont="1" applyFill="1" applyBorder="1" applyAlignment="1" applyProtection="1">
      <alignment vertical="center"/>
      <protection locked="0"/>
    </xf>
    <xf numFmtId="4" fontId="320" fillId="0" borderId="0" xfId="1" applyNumberFormat="1" applyFont="1" applyFill="1" applyAlignment="1" applyProtection="1">
      <alignment horizontal="left" vertical="center"/>
      <protection locked="0"/>
    </xf>
    <xf numFmtId="4" fontId="320" fillId="0" borderId="0" xfId="2" applyNumberFormat="1" applyFont="1" applyFill="1" applyBorder="1" applyAlignment="1" applyProtection="1">
      <alignment vertical="center"/>
      <protection hidden="1"/>
    </xf>
    <xf numFmtId="0" fontId="323" fillId="0" borderId="0" xfId="2" applyNumberFormat="1" applyFont="1" applyFill="1" applyBorder="1" applyAlignment="1" applyProtection="1">
      <alignment horizontal="center" vertical="center"/>
      <protection locked="0"/>
    </xf>
    <xf numFmtId="1" fontId="320" fillId="0" borderId="685" xfId="2" applyNumberFormat="1" applyFont="1" applyFill="1" applyBorder="1" applyAlignment="1">
      <alignment horizontal="center" vertical="center" wrapText="1"/>
    </xf>
    <xf numFmtId="39" fontId="278" fillId="0" borderId="434" xfId="2" applyNumberFormat="1" applyFont="1" applyFill="1" applyBorder="1" applyAlignment="1" applyProtection="1">
      <alignment vertical="center"/>
      <protection locked="0"/>
    </xf>
    <xf numFmtId="10" fontId="278" fillId="0" borderId="672" xfId="88" applyNumberFormat="1" applyFont="1" applyFill="1" applyBorder="1" applyAlignment="1">
      <alignment horizontal="center" vertical="center"/>
    </xf>
    <xf numFmtId="4" fontId="278" fillId="0" borderId="536" xfId="2" applyNumberFormat="1" applyFont="1" applyFill="1" applyBorder="1" applyAlignment="1" applyProtection="1">
      <alignment horizontal="center" vertical="center"/>
      <protection locked="0"/>
    </xf>
    <xf numFmtId="4" fontId="278" fillId="0" borderId="685" xfId="2" applyNumberFormat="1" applyFont="1" applyFill="1" applyBorder="1" applyAlignment="1">
      <alignment horizontal="center" vertical="center"/>
    </xf>
    <xf numFmtId="10" fontId="278" fillId="0" borderId="685" xfId="88" applyNumberFormat="1" applyFont="1" applyFill="1" applyBorder="1" applyAlignment="1">
      <alignment horizontal="center" vertical="center"/>
    </xf>
    <xf numFmtId="4" fontId="278" fillId="0" borderId="285" xfId="2" applyNumberFormat="1" applyFont="1" applyFill="1" applyBorder="1" applyAlignment="1" applyProtection="1">
      <alignment horizontal="center" vertical="center"/>
      <protection locked="0"/>
    </xf>
    <xf numFmtId="0" fontId="278" fillId="0" borderId="697" xfId="2" applyNumberFormat="1" applyFont="1" applyFill="1" applyBorder="1" applyAlignment="1" applyProtection="1">
      <alignment horizontal="center" vertical="center"/>
      <protection locked="0"/>
    </xf>
    <xf numFmtId="0" fontId="278" fillId="0" borderId="685" xfId="2" applyNumberFormat="1" applyFont="1" applyFill="1" applyBorder="1" applyAlignment="1" applyProtection="1">
      <alignment horizontal="center" vertical="center"/>
      <protection locked="0"/>
    </xf>
    <xf numFmtId="10" fontId="278" fillId="0" borderId="685" xfId="88" applyNumberFormat="1" applyFont="1" applyFill="1" applyBorder="1" applyAlignment="1" applyProtection="1">
      <alignment horizontal="center" vertical="center"/>
      <protection locked="0"/>
    </xf>
    <xf numFmtId="0" fontId="278" fillId="0" borderId="285" xfId="2" applyNumberFormat="1" applyFont="1" applyFill="1" applyBorder="1" applyAlignment="1" applyProtection="1">
      <alignment horizontal="center" vertical="center"/>
      <protection locked="0"/>
    </xf>
    <xf numFmtId="39" fontId="320" fillId="0" borderId="685" xfId="2" applyNumberFormat="1" applyFont="1" applyFill="1" applyBorder="1" applyAlignment="1" applyProtection="1">
      <alignment vertical="center"/>
      <protection hidden="1"/>
    </xf>
    <xf numFmtId="4" fontId="320" fillId="0" borderId="685" xfId="88" applyNumberFormat="1" applyFont="1" applyFill="1" applyBorder="1" applyAlignment="1" applyProtection="1">
      <alignment vertical="center"/>
      <protection locked="0"/>
    </xf>
    <xf numFmtId="1" fontId="320" fillId="0" borderId="448" xfId="2" applyNumberFormat="1" applyFont="1" applyFill="1" applyBorder="1" applyAlignment="1" applyProtection="1">
      <alignment horizontal="center" vertical="center"/>
      <protection locked="0"/>
    </xf>
    <xf numFmtId="0" fontId="278" fillId="0" borderId="709" xfId="2" applyFont="1" applyFill="1" applyBorder="1" applyAlignment="1" applyProtection="1">
      <alignment vertical="center"/>
      <protection locked="0"/>
    </xf>
    <xf numFmtId="0" fontId="321" fillId="0" borderId="731" xfId="2" applyFont="1" applyFill="1" applyBorder="1" applyAlignment="1" applyProtection="1">
      <alignment vertical="center"/>
      <protection locked="0"/>
    </xf>
    <xf numFmtId="0" fontId="320" fillId="0" borderId="731" xfId="2" applyFont="1" applyFill="1" applyBorder="1" applyAlignment="1" applyProtection="1">
      <alignment horizontal="left" vertical="top" wrapText="1"/>
      <protection locked="0"/>
    </xf>
    <xf numFmtId="0" fontId="278" fillId="0" borderId="485" xfId="2" applyFont="1" applyFill="1" applyBorder="1" applyAlignment="1" applyProtection="1">
      <alignment vertical="center"/>
      <protection locked="0"/>
    </xf>
    <xf numFmtId="181" fontId="320" fillId="0" borderId="368" xfId="2" applyNumberFormat="1" applyFont="1" applyFill="1" applyBorder="1" applyAlignment="1" applyProtection="1">
      <alignment vertical="center"/>
      <protection locked="0"/>
    </xf>
    <xf numFmtId="4" fontId="278" fillId="0" borderId="0" xfId="58" applyNumberFormat="1" applyFont="1" applyFill="1" applyAlignment="1" applyProtection="1">
      <alignment vertical="center"/>
      <protection locked="0"/>
    </xf>
    <xf numFmtId="0" fontId="351" fillId="0" borderId="0" xfId="58" applyNumberFormat="1" applyFont="1" applyFill="1" applyAlignment="1" applyProtection="1">
      <alignment horizontal="center" vertical="center"/>
      <protection locked="0"/>
    </xf>
    <xf numFmtId="4" fontId="320" fillId="0" borderId="0" xfId="58" applyNumberFormat="1" applyFont="1" applyFill="1" applyBorder="1" applyAlignment="1" applyProtection="1">
      <alignment vertical="top"/>
      <protection hidden="1"/>
    </xf>
    <xf numFmtId="0" fontId="324" fillId="0" borderId="0" xfId="1" applyNumberFormat="1" applyFont="1" applyFill="1" applyAlignment="1">
      <alignment horizontal="center" vertical="center"/>
    </xf>
    <xf numFmtId="0" fontId="387" fillId="0" borderId="0" xfId="1" applyNumberFormat="1" applyFont="1" applyFill="1" applyAlignment="1">
      <alignment horizontal="center" vertical="center"/>
    </xf>
    <xf numFmtId="4" fontId="278" fillId="0" borderId="633" xfId="58" applyNumberFormat="1" applyFont="1" applyFill="1" applyBorder="1" applyAlignment="1" applyProtection="1">
      <alignment vertical="center"/>
      <protection locked="0"/>
    </xf>
    <xf numFmtId="0" fontId="321" fillId="0" borderId="0" xfId="58" applyFont="1" applyFill="1" applyBorder="1" applyAlignment="1" applyProtection="1">
      <alignment horizontal="left" vertical="center"/>
      <protection locked="0"/>
    </xf>
    <xf numFmtId="0" fontId="320" fillId="0" borderId="626" xfId="58" applyFont="1" applyFill="1" applyBorder="1" applyAlignment="1" applyProtection="1">
      <alignment vertical="center"/>
      <protection locked="0"/>
    </xf>
    <xf numFmtId="1" fontId="278" fillId="0" borderId="672" xfId="58" applyNumberFormat="1" applyFont="1" applyFill="1" applyBorder="1" applyAlignment="1" applyProtection="1">
      <alignment horizontal="center" vertical="center"/>
      <protection locked="0"/>
    </xf>
    <xf numFmtId="4" fontId="278" fillId="0" borderId="673" xfId="58" applyNumberFormat="1" applyFont="1" applyFill="1" applyBorder="1" applyAlignment="1" applyProtection="1">
      <alignment horizontal="center" vertical="center"/>
      <protection locked="0"/>
    </xf>
    <xf numFmtId="4" fontId="278" fillId="0" borderId="473" xfId="58" applyNumberFormat="1" applyFont="1" applyFill="1" applyBorder="1" applyAlignment="1" applyProtection="1">
      <alignment horizontal="center" vertical="center"/>
      <protection locked="0"/>
    </xf>
    <xf numFmtId="0" fontId="320" fillId="0" borderId="368" xfId="58" applyFont="1" applyFill="1" applyBorder="1" applyAlignment="1" applyProtection="1">
      <alignment vertical="center"/>
      <protection locked="0"/>
    </xf>
    <xf numFmtId="4" fontId="278" fillId="0" borderId="731" xfId="58" applyNumberFormat="1" applyFont="1" applyFill="1" applyBorder="1" applyAlignment="1" applyProtection="1">
      <alignment horizontal="center" vertical="center"/>
      <protection locked="0"/>
    </xf>
    <xf numFmtId="4" fontId="278" fillId="0" borderId="398" xfId="58" applyNumberFormat="1" applyFont="1" applyFill="1" applyBorder="1" applyAlignment="1" applyProtection="1">
      <alignment horizontal="center" vertical="center"/>
      <protection locked="0"/>
    </xf>
    <xf numFmtId="0" fontId="320" fillId="0" borderId="243" xfId="58" applyFont="1" applyFill="1" applyBorder="1" applyAlignment="1" applyProtection="1">
      <alignment vertical="center"/>
      <protection locked="0"/>
    </xf>
    <xf numFmtId="0" fontId="278" fillId="0" borderId="433" xfId="58" applyFont="1" applyFill="1" applyBorder="1" applyAlignment="1" applyProtection="1">
      <alignment horizontal="center" vertical="center"/>
      <protection locked="0"/>
    </xf>
    <xf numFmtId="0" fontId="278" fillId="0" borderId="437" xfId="58" applyNumberFormat="1" applyFont="1" applyFill="1" applyBorder="1" applyAlignment="1" applyProtection="1">
      <alignment horizontal="center" vertical="center"/>
      <protection locked="0"/>
    </xf>
    <xf numFmtId="39" fontId="278" fillId="0" borderId="731" xfId="58" applyNumberFormat="1" applyFont="1" applyFill="1" applyBorder="1" applyAlignment="1" applyProtection="1">
      <alignment horizontal="center" vertical="center"/>
      <protection locked="0"/>
    </xf>
    <xf numFmtId="49" fontId="320" fillId="0" borderId="368" xfId="58" applyNumberFormat="1" applyFont="1" applyFill="1" applyBorder="1" applyAlignment="1" applyProtection="1">
      <alignment vertical="center"/>
      <protection locked="0"/>
    </xf>
    <xf numFmtId="4" fontId="320" fillId="0" borderId="731" xfId="58" applyNumberFormat="1" applyFont="1" applyFill="1" applyBorder="1" applyAlignment="1" applyProtection="1">
      <alignment vertical="center"/>
      <protection locked="0"/>
    </xf>
    <xf numFmtId="39" fontId="320" fillId="0" borderId="731" xfId="58" applyNumberFormat="1" applyFont="1" applyFill="1" applyBorder="1" applyAlignment="1" applyProtection="1">
      <alignment vertical="center"/>
      <protection locked="0"/>
    </xf>
    <xf numFmtId="4" fontId="320" fillId="0" borderId="398" xfId="58" applyNumberFormat="1" applyFont="1" applyFill="1" applyBorder="1" applyAlignment="1" applyProtection="1">
      <alignment vertical="center"/>
      <protection locked="0"/>
    </xf>
    <xf numFmtId="4" fontId="320" fillId="0" borderId="731" xfId="58" applyNumberFormat="1" applyFont="1" applyFill="1" applyBorder="1" applyAlignment="1" applyProtection="1">
      <alignment vertical="center"/>
      <protection hidden="1"/>
    </xf>
    <xf numFmtId="39" fontId="320" fillId="0" borderId="285" xfId="1" applyNumberFormat="1" applyFont="1" applyFill="1" applyBorder="1" applyAlignment="1">
      <alignment horizontal="right" vertical="center"/>
    </xf>
    <xf numFmtId="4" fontId="320" fillId="0" borderId="731" xfId="58" applyNumberFormat="1" applyFont="1" applyFill="1" applyBorder="1" applyAlignment="1">
      <alignment vertical="center"/>
    </xf>
    <xf numFmtId="0" fontId="278" fillId="0" borderId="433" xfId="58" applyFont="1" applyFill="1" applyBorder="1" applyAlignment="1" applyProtection="1">
      <alignment vertical="center"/>
      <protection locked="0"/>
    </xf>
    <xf numFmtId="4" fontId="278" fillId="0" borderId="356" xfId="58" applyNumberFormat="1" applyFont="1" applyFill="1" applyBorder="1" applyAlignment="1" applyProtection="1">
      <alignment vertical="center"/>
      <protection locked="0"/>
    </xf>
    <xf numFmtId="4" fontId="278" fillId="0" borderId="536" xfId="58" applyNumberFormat="1" applyFont="1" applyFill="1" applyBorder="1" applyAlignment="1" applyProtection="1">
      <alignment horizontal="center" vertical="center"/>
      <protection locked="0"/>
    </xf>
    <xf numFmtId="4" fontId="278" fillId="0" borderId="285" xfId="58" applyNumberFormat="1" applyFont="1" applyFill="1" applyBorder="1" applyAlignment="1" applyProtection="1">
      <alignment horizontal="center" vertical="center"/>
      <protection locked="0"/>
    </xf>
    <xf numFmtId="0" fontId="278" fillId="0" borderId="697" xfId="58" applyNumberFormat="1" applyFont="1" applyFill="1" applyBorder="1" applyAlignment="1" applyProtection="1">
      <alignment horizontal="center" vertical="center"/>
      <protection locked="0"/>
    </xf>
    <xf numFmtId="0" fontId="278" fillId="0" borderId="731" xfId="58" applyNumberFormat="1" applyFont="1" applyFill="1" applyBorder="1" applyAlignment="1" applyProtection="1">
      <alignment horizontal="center" vertical="center"/>
      <protection locked="0"/>
    </xf>
    <xf numFmtId="0" fontId="278" fillId="0" borderId="398" xfId="58" applyNumberFormat="1" applyFont="1" applyFill="1" applyBorder="1" applyAlignment="1" applyProtection="1">
      <alignment horizontal="center" vertical="center"/>
      <protection locked="0"/>
    </xf>
    <xf numFmtId="4" fontId="320" fillId="0" borderId="684" xfId="58" applyNumberFormat="1" applyFont="1" applyFill="1" applyBorder="1" applyAlignment="1" applyProtection="1">
      <alignment vertical="center"/>
      <protection locked="0"/>
    </xf>
    <xf numFmtId="4" fontId="320" fillId="0" borderId="285" xfId="58" applyNumberFormat="1" applyFont="1" applyFill="1" applyBorder="1" applyAlignment="1" applyProtection="1">
      <alignment vertical="center"/>
      <protection locked="0"/>
    </xf>
    <xf numFmtId="4" fontId="320" fillId="0" borderId="285" xfId="58" applyNumberFormat="1" applyFont="1" applyFill="1" applyBorder="1" applyAlignment="1">
      <alignment vertical="center"/>
    </xf>
    <xf numFmtId="0" fontId="320" fillId="0" borderId="434" xfId="58" applyFont="1" applyFill="1" applyBorder="1" applyAlignment="1" applyProtection="1">
      <alignment vertical="center"/>
      <protection locked="0"/>
    </xf>
    <xf numFmtId="4" fontId="320" fillId="0" borderId="697" xfId="58" applyNumberFormat="1" applyFont="1" applyFill="1" applyBorder="1" applyAlignment="1" applyProtection="1">
      <alignment vertical="center"/>
      <protection locked="0"/>
    </xf>
    <xf numFmtId="1" fontId="320" fillId="0" borderId="685" xfId="58" applyNumberFormat="1" applyFont="1" applyFill="1" applyBorder="1" applyAlignment="1" applyProtection="1">
      <alignment horizontal="center" vertical="center" wrapText="1"/>
      <protection locked="0"/>
    </xf>
    <xf numFmtId="43" fontId="320" fillId="0" borderId="731" xfId="58" applyNumberFormat="1" applyFont="1" applyFill="1" applyBorder="1" applyAlignment="1" applyProtection="1">
      <alignment horizontal="center" vertical="center"/>
      <protection locked="0"/>
    </xf>
    <xf numFmtId="43" fontId="320" fillId="0" borderId="731" xfId="1" applyNumberFormat="1" applyFont="1" applyFill="1" applyBorder="1" applyAlignment="1" applyProtection="1">
      <alignment horizontal="center" vertical="center"/>
      <protection locked="0"/>
    </xf>
    <xf numFmtId="43" fontId="320" fillId="0" borderId="398" xfId="1" applyNumberFormat="1" applyFont="1" applyFill="1" applyBorder="1" applyAlignment="1" applyProtection="1">
      <alignment horizontal="center" vertical="center"/>
      <protection locked="0"/>
    </xf>
    <xf numFmtId="43" fontId="320" fillId="0" borderId="731" xfId="58" applyNumberFormat="1" applyFont="1" applyFill="1" applyBorder="1" applyAlignment="1" applyProtection="1">
      <alignment vertical="center"/>
      <protection locked="0"/>
    </xf>
    <xf numFmtId="43" fontId="320" fillId="0" borderId="398" xfId="58" applyNumberFormat="1" applyFont="1" applyFill="1" applyBorder="1" applyAlignment="1" applyProtection="1">
      <alignment vertical="center"/>
      <protection locked="0"/>
    </xf>
    <xf numFmtId="0" fontId="320" fillId="0" borderId="731" xfId="58" applyFont="1" applyFill="1" applyBorder="1" applyAlignment="1" applyProtection="1">
      <alignment vertical="center"/>
      <protection locked="0"/>
    </xf>
    <xf numFmtId="1" fontId="320" fillId="0" borderId="731" xfId="58" applyNumberFormat="1" applyFont="1" applyFill="1" applyBorder="1" applyAlignment="1" applyProtection="1">
      <alignment horizontal="center" vertical="center"/>
      <protection locked="0"/>
    </xf>
    <xf numFmtId="43" fontId="320" fillId="0" borderId="731" xfId="88" applyNumberFormat="1" applyFont="1" applyFill="1" applyBorder="1" applyAlignment="1" applyProtection="1">
      <alignment vertical="center"/>
      <protection locked="0"/>
    </xf>
    <xf numFmtId="4" fontId="320" fillId="0" borderId="731" xfId="58" applyNumberFormat="1" applyFont="1" applyFill="1" applyBorder="1" applyAlignment="1" applyProtection="1">
      <alignment horizontal="right" vertical="center"/>
      <protection locked="0"/>
    </xf>
    <xf numFmtId="43" fontId="320" fillId="0" borderId="731" xfId="1" applyFont="1" applyFill="1" applyBorder="1" applyAlignment="1" applyProtection="1">
      <alignment horizontal="center" vertical="center"/>
      <protection locked="0"/>
    </xf>
    <xf numFmtId="43" fontId="320" fillId="0" borderId="685" xfId="1" applyNumberFormat="1" applyFont="1" applyFill="1" applyBorder="1" applyAlignment="1" applyProtection="1">
      <alignment horizontal="center" vertical="center"/>
      <protection locked="0"/>
    </xf>
    <xf numFmtId="9" fontId="320" fillId="0" borderId="731" xfId="88" applyFont="1" applyFill="1" applyBorder="1" applyAlignment="1" applyProtection="1">
      <alignment horizontal="right" vertical="center"/>
      <protection locked="0"/>
    </xf>
    <xf numFmtId="43" fontId="320" fillId="0" borderId="285" xfId="1" applyNumberFormat="1" applyFont="1" applyFill="1" applyBorder="1" applyAlignment="1" applyProtection="1">
      <alignment horizontal="center" vertical="center"/>
      <protection locked="0"/>
    </xf>
    <xf numFmtId="43" fontId="320" fillId="0" borderId="731" xfId="88" applyNumberFormat="1" applyFont="1" applyFill="1" applyBorder="1" applyAlignment="1" applyProtection="1">
      <alignment horizontal="right" vertical="center"/>
      <protection locked="0"/>
    </xf>
    <xf numFmtId="43" fontId="320" fillId="0" borderId="685" xfId="58" applyNumberFormat="1" applyFont="1" applyFill="1" applyBorder="1" applyAlignment="1" applyProtection="1">
      <alignment vertical="center"/>
      <protection locked="0"/>
    </xf>
    <xf numFmtId="43" fontId="320" fillId="0" borderId="285" xfId="58" applyNumberFormat="1" applyFont="1" applyFill="1" applyBorder="1" applyAlignment="1" applyProtection="1">
      <alignment vertical="center"/>
      <protection locked="0"/>
    </xf>
    <xf numFmtId="4" fontId="320" fillId="0" borderId="397" xfId="7" applyNumberFormat="1" applyFont="1" applyFill="1" applyBorder="1" applyAlignment="1" applyProtection="1">
      <alignment vertical="center"/>
      <protection locked="0"/>
    </xf>
    <xf numFmtId="39" fontId="320" fillId="0" borderId="397" xfId="7" applyNumberFormat="1" applyFont="1" applyFill="1" applyBorder="1" applyAlignment="1" applyProtection="1">
      <alignment vertical="center"/>
      <protection locked="0"/>
    </xf>
    <xf numFmtId="43" fontId="320" fillId="0" borderId="397" xfId="1" applyNumberFormat="1" applyFont="1" applyFill="1" applyBorder="1" applyAlignment="1" applyProtection="1">
      <alignment vertical="center"/>
      <protection locked="0"/>
    </xf>
    <xf numFmtId="43" fontId="320" fillId="0" borderId="397" xfId="88" applyNumberFormat="1" applyFont="1" applyFill="1" applyBorder="1" applyAlignment="1" applyProtection="1">
      <alignment vertical="center"/>
      <protection locked="0"/>
    </xf>
    <xf numFmtId="43" fontId="320" fillId="0" borderId="697" xfId="1" applyNumberFormat="1" applyFont="1" applyFill="1" applyBorder="1" applyAlignment="1" applyProtection="1">
      <alignment vertical="center"/>
      <protection locked="0"/>
    </xf>
    <xf numFmtId="0" fontId="278" fillId="0" borderId="285" xfId="58" applyNumberFormat="1" applyFont="1" applyFill="1" applyBorder="1" applyAlignment="1" applyProtection="1">
      <alignment horizontal="center" vertical="center"/>
      <protection locked="0"/>
    </xf>
    <xf numFmtId="0" fontId="320" fillId="0" borderId="731" xfId="58" applyFont="1" applyFill="1" applyBorder="1" applyAlignment="1" applyProtection="1">
      <alignment horizontal="left" vertical="center"/>
      <protection locked="0"/>
    </xf>
    <xf numFmtId="43" fontId="320" fillId="0" borderId="685" xfId="1" applyNumberFormat="1" applyFont="1" applyFill="1" applyBorder="1" applyAlignment="1" applyProtection="1">
      <alignment vertical="center"/>
      <protection locked="0"/>
    </xf>
    <xf numFmtId="43" fontId="320" fillId="0" borderId="285" xfId="1" applyNumberFormat="1" applyFont="1" applyFill="1" applyBorder="1" applyAlignment="1" applyProtection="1">
      <alignment vertical="center"/>
      <protection locked="0"/>
    </xf>
    <xf numFmtId="39" fontId="320" fillId="0" borderId="685" xfId="7" applyNumberFormat="1" applyFont="1" applyFill="1" applyBorder="1" applyAlignment="1" applyProtection="1">
      <alignment vertical="center"/>
      <protection locked="0"/>
    </xf>
    <xf numFmtId="4" fontId="320" fillId="0" borderId="448" xfId="58" applyNumberFormat="1" applyFont="1" applyFill="1" applyBorder="1" applyAlignment="1" applyProtection="1">
      <alignment vertical="center"/>
      <protection locked="0"/>
    </xf>
    <xf numFmtId="39" fontId="320" fillId="0" borderId="448" xfId="58" applyNumberFormat="1" applyFont="1" applyFill="1" applyBorder="1" applyAlignment="1" applyProtection="1">
      <alignment vertical="center"/>
      <protection locked="0"/>
    </xf>
    <xf numFmtId="4" fontId="320" fillId="0" borderId="703" xfId="58" applyNumberFormat="1" applyFont="1" applyFill="1" applyBorder="1" applyAlignment="1" applyProtection="1">
      <alignment vertical="center"/>
      <protection locked="0"/>
    </xf>
    <xf numFmtId="0" fontId="278" fillId="0" borderId="731" xfId="58" applyFont="1" applyFill="1" applyBorder="1" applyAlignment="1" applyProtection="1">
      <alignment vertical="center"/>
      <protection locked="0"/>
    </xf>
    <xf numFmtId="4" fontId="278" fillId="0" borderId="632" xfId="58" applyNumberFormat="1" applyFont="1" applyFill="1" applyBorder="1" applyAlignment="1" applyProtection="1">
      <alignment vertical="center"/>
      <protection locked="0"/>
    </xf>
    <xf numFmtId="0" fontId="220" fillId="0" borderId="0" xfId="35" applyFont="1" applyFill="1" applyBorder="1"/>
    <xf numFmtId="0" fontId="278" fillId="0" borderId="672" xfId="58" applyFont="1" applyFill="1" applyBorder="1" applyAlignment="1" applyProtection="1">
      <alignment horizontal="center" vertical="center"/>
      <protection locked="0"/>
    </xf>
    <xf numFmtId="0" fontId="278" fillId="0" borderId="731" xfId="58" applyFont="1" applyFill="1" applyBorder="1" applyAlignment="1" applyProtection="1">
      <alignment horizontal="center" vertical="center"/>
      <protection locked="0"/>
    </xf>
    <xf numFmtId="0" fontId="278" fillId="0" borderId="685" xfId="58" applyFont="1" applyFill="1" applyBorder="1" applyAlignment="1" applyProtection="1">
      <alignment horizontal="center" vertical="center"/>
      <protection locked="0"/>
    </xf>
    <xf numFmtId="0" fontId="278" fillId="0" borderId="434" xfId="58" applyFont="1" applyFill="1" applyBorder="1" applyAlignment="1" applyProtection="1">
      <alignment horizontal="center" vertical="center"/>
      <protection locked="0"/>
    </xf>
    <xf numFmtId="0" fontId="278" fillId="0" borderId="397" xfId="58" applyFont="1" applyFill="1" applyBorder="1" applyAlignment="1" applyProtection="1">
      <alignment horizontal="center" vertical="center"/>
      <protection locked="0"/>
    </xf>
    <xf numFmtId="0" fontId="320" fillId="0" borderId="685" xfId="58" applyFont="1" applyFill="1" applyBorder="1" applyAlignment="1" applyProtection="1">
      <alignment vertical="center"/>
      <protection locked="0"/>
    </xf>
    <xf numFmtId="0" fontId="320" fillId="0" borderId="731" xfId="58" applyFont="1" applyFill="1" applyBorder="1" applyAlignment="1">
      <alignment vertical="center"/>
    </xf>
    <xf numFmtId="0" fontId="320" fillId="0" borderId="685" xfId="58" applyFont="1" applyFill="1" applyBorder="1" applyAlignment="1" applyProtection="1">
      <alignment horizontal="left" vertical="center"/>
      <protection locked="0"/>
    </xf>
    <xf numFmtId="0" fontId="278" fillId="0" borderId="685" xfId="58" applyFont="1" applyFill="1" applyBorder="1" applyAlignment="1" applyProtection="1">
      <alignment vertical="center"/>
      <protection locked="0"/>
    </xf>
    <xf numFmtId="0" fontId="320" fillId="0" borderId="397" xfId="58" applyFont="1" applyFill="1" applyBorder="1" applyAlignment="1" applyProtection="1">
      <alignment vertical="center"/>
      <protection locked="0"/>
    </xf>
    <xf numFmtId="49" fontId="320" fillId="0" borderId="626" xfId="58" applyNumberFormat="1" applyFont="1" applyFill="1" applyBorder="1" applyAlignment="1" applyProtection="1">
      <alignment vertical="center"/>
      <protection locked="0"/>
    </xf>
    <xf numFmtId="4" fontId="320" fillId="0" borderId="536" xfId="58" applyNumberFormat="1" applyFont="1" applyFill="1" applyBorder="1" applyAlignment="1" applyProtection="1">
      <alignment vertical="center"/>
      <protection locked="0"/>
    </xf>
    <xf numFmtId="4" fontId="320" fillId="0" borderId="398" xfId="58" applyNumberFormat="1" applyFont="1" applyFill="1" applyBorder="1" applyAlignment="1">
      <alignment vertical="center"/>
    </xf>
    <xf numFmtId="0" fontId="320" fillId="0" borderId="368" xfId="58" applyFont="1" applyFill="1" applyBorder="1" applyAlignment="1">
      <alignment vertical="center"/>
    </xf>
    <xf numFmtId="4" fontId="320" fillId="0" borderId="687" xfId="58" applyNumberFormat="1" applyFont="1" applyFill="1" applyBorder="1" applyAlignment="1" applyProtection="1">
      <alignment vertical="center"/>
      <protection locked="0"/>
    </xf>
    <xf numFmtId="39" fontId="320" fillId="0" borderId="687" xfId="58" applyNumberFormat="1" applyFont="1" applyFill="1" applyBorder="1" applyAlignment="1" applyProtection="1">
      <alignment vertical="center"/>
      <protection locked="0"/>
    </xf>
    <xf numFmtId="4" fontId="278" fillId="0" borderId="684" xfId="58" applyNumberFormat="1" applyFont="1" applyFill="1" applyBorder="1" applyAlignment="1" applyProtection="1">
      <alignment vertical="center"/>
      <protection locked="0"/>
    </xf>
    <xf numFmtId="4" fontId="278" fillId="0" borderId="704" xfId="58" applyNumberFormat="1" applyFont="1" applyFill="1" applyBorder="1" applyAlignment="1" applyProtection="1">
      <alignment vertical="center"/>
      <protection locked="0"/>
    </xf>
    <xf numFmtId="0" fontId="320" fillId="0" borderId="368" xfId="58" applyFont="1" applyFill="1" applyBorder="1" applyProtection="1">
      <protection locked="0"/>
    </xf>
    <xf numFmtId="4" fontId="320" fillId="0" borderId="285" xfId="58" applyNumberFormat="1" applyFont="1" applyFill="1" applyBorder="1" applyProtection="1">
      <protection locked="0"/>
    </xf>
    <xf numFmtId="3" fontId="320" fillId="0" borderId="731" xfId="0" applyNumberFormat="1" applyFont="1" applyFill="1" applyBorder="1"/>
    <xf numFmtId="43" fontId="278" fillId="0" borderId="731" xfId="1" applyFont="1" applyFill="1" applyBorder="1" applyProtection="1">
      <protection locked="0"/>
    </xf>
    <xf numFmtId="4" fontId="320" fillId="0" borderId="731" xfId="58" applyNumberFormat="1" applyFont="1" applyFill="1" applyBorder="1" applyProtection="1">
      <protection locked="0"/>
    </xf>
    <xf numFmtId="0" fontId="278" fillId="0" borderId="368" xfId="58" applyFont="1" applyFill="1" applyBorder="1" applyAlignment="1" applyProtection="1">
      <alignment vertical="center"/>
      <protection locked="0"/>
    </xf>
    <xf numFmtId="0" fontId="320" fillId="0" borderId="31" xfId="58" applyFont="1" applyFill="1" applyBorder="1" applyAlignment="1" applyProtection="1">
      <alignment vertical="center"/>
      <protection locked="0"/>
    </xf>
    <xf numFmtId="1" fontId="320" fillId="0" borderId="448" xfId="58" applyNumberFormat="1" applyFont="1" applyFill="1" applyBorder="1" applyAlignment="1" applyProtection="1">
      <alignment horizontal="center" vertical="center"/>
      <protection locked="0"/>
    </xf>
    <xf numFmtId="4" fontId="278" fillId="0" borderId="731" xfId="58" applyNumberFormat="1" applyFont="1" applyFill="1" applyBorder="1" applyAlignment="1" applyProtection="1">
      <alignment vertical="center"/>
      <protection locked="0"/>
    </xf>
    <xf numFmtId="39" fontId="278" fillId="0" borderId="731" xfId="58" applyNumberFormat="1" applyFont="1" applyFill="1" applyBorder="1" applyAlignment="1" applyProtection="1">
      <alignment vertical="center"/>
      <protection locked="0"/>
    </xf>
    <xf numFmtId="4" fontId="278" fillId="0" borderId="285" xfId="58" applyNumberFormat="1" applyFont="1" applyFill="1" applyBorder="1" applyAlignment="1" applyProtection="1">
      <alignment vertical="center"/>
      <protection locked="0"/>
    </xf>
    <xf numFmtId="0" fontId="320" fillId="0" borderId="354" xfId="58" applyFont="1" applyFill="1" applyBorder="1" applyAlignment="1" applyProtection="1">
      <alignment vertical="center"/>
      <protection locked="0"/>
    </xf>
    <xf numFmtId="0" fontId="278" fillId="0" borderId="355" xfId="58" applyFont="1" applyFill="1" applyBorder="1" applyAlignment="1" applyProtection="1">
      <alignment vertical="center"/>
      <protection locked="0"/>
    </xf>
    <xf numFmtId="0" fontId="278" fillId="0" borderId="485" xfId="58" applyFont="1" applyFill="1" applyBorder="1" applyAlignment="1" applyProtection="1">
      <alignment vertical="center"/>
      <protection locked="0"/>
    </xf>
    <xf numFmtId="1" fontId="320" fillId="0" borderId="355" xfId="58" applyNumberFormat="1" applyFont="1" applyFill="1" applyBorder="1" applyAlignment="1" applyProtection="1">
      <alignment horizontal="center" vertical="center"/>
      <protection locked="0"/>
    </xf>
    <xf numFmtId="4" fontId="278" fillId="0" borderId="634" xfId="58" applyNumberFormat="1" applyFont="1" applyFill="1" applyBorder="1" applyAlignment="1" applyProtection="1">
      <alignment vertical="center"/>
      <protection locked="0"/>
    </xf>
    <xf numFmtId="43" fontId="278" fillId="0" borderId="569" xfId="1" applyFont="1" applyFill="1" applyBorder="1" applyAlignment="1">
      <alignment vertical="center"/>
    </xf>
    <xf numFmtId="0" fontId="320" fillId="0" borderId="626" xfId="47" applyFont="1" applyFill="1" applyBorder="1" applyAlignment="1" applyProtection="1">
      <alignment vertical="center"/>
      <protection locked="0"/>
    </xf>
    <xf numFmtId="0" fontId="278" fillId="0" borderId="709" xfId="47" applyFont="1" applyFill="1" applyBorder="1" applyAlignment="1" applyProtection="1">
      <alignment horizontal="center" vertical="center"/>
      <protection locked="0"/>
    </xf>
    <xf numFmtId="0" fontId="278" fillId="0" borderId="672" xfId="47" applyFont="1" applyFill="1" applyBorder="1" applyAlignment="1" applyProtection="1">
      <alignment horizontal="center" vertical="center"/>
      <protection locked="0"/>
    </xf>
    <xf numFmtId="0" fontId="278" fillId="0" borderId="673" xfId="47" applyFont="1" applyFill="1" applyBorder="1" applyAlignment="1" applyProtection="1">
      <alignment horizontal="center" vertical="center"/>
      <protection locked="0"/>
    </xf>
    <xf numFmtId="43" fontId="278" fillId="0" borderId="673" xfId="1" applyFont="1" applyFill="1" applyBorder="1" applyAlignment="1">
      <alignment horizontal="center" vertical="center"/>
    </xf>
    <xf numFmtId="0" fontId="278" fillId="0" borderId="473" xfId="47" applyFont="1" applyFill="1" applyBorder="1" applyAlignment="1" applyProtection="1">
      <alignment horizontal="center" vertical="center"/>
      <protection locked="0"/>
    </xf>
    <xf numFmtId="0" fontId="278" fillId="0" borderId="731" xfId="47" applyFont="1" applyFill="1" applyBorder="1" applyAlignment="1" applyProtection="1">
      <alignment horizontal="center" vertical="center"/>
      <protection locked="0"/>
    </xf>
    <xf numFmtId="43" fontId="278" fillId="0" borderId="731" xfId="1" applyFont="1" applyFill="1" applyBorder="1" applyAlignment="1">
      <alignment horizontal="center" vertical="center"/>
    </xf>
    <xf numFmtId="0" fontId="278" fillId="0" borderId="398" xfId="47" applyFont="1" applyFill="1" applyBorder="1" applyAlignment="1" applyProtection="1">
      <alignment horizontal="center" vertical="center"/>
      <protection locked="0"/>
    </xf>
    <xf numFmtId="0" fontId="320" fillId="0" borderId="243" xfId="47" applyFont="1" applyFill="1" applyBorder="1" applyAlignment="1" applyProtection="1">
      <alignment vertical="center"/>
      <protection locked="0"/>
    </xf>
    <xf numFmtId="0" fontId="278" fillId="0" borderId="433" xfId="47" applyFont="1" applyFill="1" applyBorder="1" applyAlignment="1" applyProtection="1">
      <alignment horizontal="center" vertical="center"/>
      <protection locked="0"/>
    </xf>
    <xf numFmtId="0" fontId="278" fillId="0" borderId="437" xfId="47" applyFont="1" applyFill="1" applyBorder="1" applyAlignment="1" applyProtection="1">
      <alignment horizontal="center" vertical="center"/>
      <protection locked="0"/>
    </xf>
    <xf numFmtId="49" fontId="320" fillId="0" borderId="368" xfId="47" applyNumberFormat="1" applyFont="1" applyFill="1" applyBorder="1" applyAlignment="1" applyProtection="1">
      <alignment vertical="center"/>
      <protection locked="0"/>
    </xf>
    <xf numFmtId="0" fontId="320" fillId="0" borderId="685" xfId="47" applyFont="1" applyFill="1" applyBorder="1" applyAlignment="1" applyProtection="1">
      <alignment horizontal="center" vertical="center"/>
      <protection locked="0"/>
    </xf>
    <xf numFmtId="0" fontId="320" fillId="0" borderId="731" xfId="47" applyFont="1" applyFill="1" applyBorder="1" applyAlignment="1" applyProtection="1">
      <alignment vertical="center"/>
      <protection locked="0"/>
    </xf>
    <xf numFmtId="0" fontId="320" fillId="0" borderId="398" xfId="47" applyFont="1" applyFill="1" applyBorder="1" applyAlignment="1" applyProtection="1">
      <alignment vertical="center"/>
      <protection locked="0"/>
    </xf>
    <xf numFmtId="4" fontId="320" fillId="0" borderId="731" xfId="47" applyNumberFormat="1" applyFont="1" applyFill="1" applyBorder="1" applyAlignment="1" applyProtection="1">
      <alignment vertical="center"/>
      <protection hidden="1"/>
    </xf>
    <xf numFmtId="43" fontId="320" fillId="0" borderId="685" xfId="1" applyFont="1" applyFill="1" applyBorder="1" applyAlignment="1">
      <alignment horizontal="right" vertical="center"/>
    </xf>
    <xf numFmtId="43" fontId="320" fillId="0" borderId="685" xfId="47" applyNumberFormat="1" applyFont="1" applyFill="1" applyBorder="1" applyAlignment="1" applyProtection="1">
      <alignment horizontal="right" vertical="center"/>
      <protection locked="0"/>
    </xf>
    <xf numFmtId="43" fontId="320" fillId="0" borderId="731" xfId="1" applyFont="1" applyFill="1" applyBorder="1" applyAlignment="1" applyProtection="1">
      <alignment vertical="center"/>
      <protection hidden="1"/>
    </xf>
    <xf numFmtId="0" fontId="320" fillId="0" borderId="397" xfId="47" applyFont="1" applyFill="1" applyBorder="1" applyAlignment="1" applyProtection="1">
      <alignment horizontal="center" vertical="center"/>
      <protection locked="0"/>
    </xf>
    <xf numFmtId="4" fontId="278" fillId="0" borderId="633" xfId="47" applyNumberFormat="1" applyFont="1" applyFill="1" applyBorder="1" applyAlignment="1" applyProtection="1">
      <alignment vertical="center"/>
      <protection locked="0"/>
    </xf>
    <xf numFmtId="43" fontId="278" fillId="0" borderId="485" xfId="1" applyFont="1" applyFill="1" applyBorder="1" applyAlignment="1" applyProtection="1">
      <alignment vertical="center"/>
      <protection locked="0"/>
    </xf>
    <xf numFmtId="4" fontId="278" fillId="0" borderId="485" xfId="47" applyNumberFormat="1" applyFont="1" applyFill="1" applyBorder="1" applyAlignment="1" applyProtection="1">
      <alignment vertical="center"/>
      <protection locked="0"/>
    </xf>
    <xf numFmtId="4" fontId="278" fillId="0" borderId="634" xfId="47" applyNumberFormat="1" applyFont="1" applyFill="1" applyBorder="1" applyAlignment="1" applyProtection="1">
      <alignment vertical="center"/>
      <protection locked="0"/>
    </xf>
    <xf numFmtId="43" fontId="278" fillId="0" borderId="673" xfId="1" applyFont="1" applyFill="1" applyBorder="1" applyAlignment="1" applyProtection="1">
      <alignment horizontal="center" vertical="center"/>
      <protection locked="0"/>
    </xf>
    <xf numFmtId="43" fontId="278" fillId="0" borderId="731" xfId="1" applyFont="1" applyFill="1" applyBorder="1" applyAlignment="1" applyProtection="1">
      <alignment horizontal="center" vertical="center"/>
      <protection locked="0"/>
    </xf>
    <xf numFmtId="0" fontId="320" fillId="0" borderId="685" xfId="47" applyFont="1" applyFill="1" applyBorder="1" applyAlignment="1" applyProtection="1">
      <alignment horizontal="right" vertical="center"/>
      <protection locked="0"/>
    </xf>
    <xf numFmtId="39" fontId="320" fillId="0" borderId="685" xfId="1" applyNumberFormat="1" applyFont="1" applyFill="1" applyBorder="1" applyAlignment="1" applyProtection="1">
      <alignment horizontal="right" vertical="center"/>
      <protection locked="0"/>
    </xf>
    <xf numFmtId="4" fontId="320" fillId="0" borderId="684" xfId="47" applyNumberFormat="1" applyFont="1" applyFill="1" applyBorder="1" applyAlignment="1" applyProtection="1">
      <alignment vertical="center"/>
      <protection locked="0"/>
    </xf>
    <xf numFmtId="0" fontId="320" fillId="0" borderId="685" xfId="47" applyFont="1" applyFill="1" applyBorder="1" applyAlignment="1" applyProtection="1">
      <alignment vertical="center"/>
      <protection locked="0"/>
    </xf>
    <xf numFmtId="4" fontId="320" fillId="0" borderId="704" xfId="47" applyNumberFormat="1" applyFont="1" applyFill="1" applyBorder="1" applyAlignment="1" applyProtection="1">
      <alignment vertical="center"/>
      <protection locked="0"/>
    </xf>
    <xf numFmtId="4" fontId="320" fillId="0" borderId="285" xfId="47" applyNumberFormat="1" applyFont="1" applyFill="1" applyBorder="1" applyAlignment="1" applyProtection="1">
      <alignment vertical="center"/>
      <protection locked="0"/>
    </xf>
    <xf numFmtId="0" fontId="320" fillId="0" borderId="685" xfId="47" applyFont="1" applyFill="1" applyBorder="1" applyAlignment="1">
      <alignment vertical="center"/>
    </xf>
    <xf numFmtId="0" fontId="320" fillId="0" borderId="285" xfId="47" applyFont="1" applyFill="1" applyBorder="1" applyAlignment="1">
      <alignment vertical="center"/>
    </xf>
    <xf numFmtId="2" fontId="320" fillId="0" borderId="685" xfId="1" applyNumberFormat="1" applyFont="1" applyFill="1" applyBorder="1" applyAlignment="1" applyProtection="1">
      <alignment vertical="center"/>
      <protection locked="0"/>
    </xf>
    <xf numFmtId="3" fontId="320" fillId="0" borderId="685" xfId="47" applyNumberFormat="1" applyFont="1" applyFill="1" applyBorder="1" applyAlignment="1" applyProtection="1">
      <alignment horizontal="center" vertical="center"/>
      <protection locked="0"/>
    </xf>
    <xf numFmtId="43" fontId="320" fillId="0" borderId="731" xfId="47" applyNumberFormat="1" applyFont="1" applyFill="1" applyBorder="1" applyAlignment="1" applyProtection="1">
      <alignment horizontal="right" vertical="center"/>
      <protection locked="0"/>
    </xf>
    <xf numFmtId="0" fontId="320" fillId="0" borderId="731" xfId="47" applyFont="1" applyFill="1" applyBorder="1" applyAlignment="1">
      <alignment vertical="center"/>
    </xf>
    <xf numFmtId="0" fontId="320" fillId="0" borderId="433" xfId="47" applyFont="1" applyFill="1" applyBorder="1" applyAlignment="1">
      <alignment vertical="center"/>
    </xf>
    <xf numFmtId="0" fontId="320" fillId="0" borderId="397" xfId="47" applyNumberFormat="1" applyFont="1" applyFill="1" applyBorder="1" applyAlignment="1" applyProtection="1">
      <alignment horizontal="center" vertical="center"/>
      <protection locked="0"/>
    </xf>
    <xf numFmtId="4" fontId="320" fillId="0" borderId="434" xfId="47" applyNumberFormat="1" applyFont="1" applyFill="1" applyBorder="1" applyAlignment="1" applyProtection="1">
      <alignment vertical="center"/>
      <protection locked="0"/>
    </xf>
    <xf numFmtId="4" fontId="320" fillId="0" borderId="434" xfId="1" applyNumberFormat="1" applyFont="1" applyFill="1" applyBorder="1" applyAlignment="1" applyProtection="1">
      <alignment vertical="center"/>
      <protection locked="0"/>
    </xf>
    <xf numFmtId="39" fontId="320" fillId="0" borderId="434" xfId="1" applyNumberFormat="1" applyFont="1" applyFill="1" applyBorder="1" applyAlignment="1" applyProtection="1">
      <alignment vertical="center"/>
      <protection locked="0"/>
    </xf>
    <xf numFmtId="0" fontId="320" fillId="0" borderId="397" xfId="47" applyFont="1" applyFill="1" applyBorder="1" applyAlignment="1">
      <alignment vertical="center"/>
    </xf>
    <xf numFmtId="43" fontId="320" fillId="0" borderId="434" xfId="1" applyFont="1" applyFill="1" applyBorder="1" applyAlignment="1" applyProtection="1">
      <alignment vertical="center"/>
      <protection locked="0"/>
    </xf>
    <xf numFmtId="4" fontId="320" fillId="0" borderId="697" xfId="47" applyNumberFormat="1" applyFont="1" applyFill="1" applyBorder="1" applyAlignment="1">
      <alignment vertical="center"/>
    </xf>
    <xf numFmtId="9" fontId="278" fillId="0" borderId="0" xfId="88" applyFont="1" applyFill="1" applyBorder="1" applyAlignment="1" applyProtection="1">
      <alignment horizontal="center" vertical="center"/>
      <protection locked="0"/>
    </xf>
    <xf numFmtId="2" fontId="320" fillId="0" borderId="731" xfId="1" applyNumberFormat="1" applyFont="1" applyFill="1" applyBorder="1" applyAlignment="1" applyProtection="1">
      <alignment vertical="center"/>
      <protection locked="0"/>
    </xf>
    <xf numFmtId="4" fontId="278" fillId="0" borderId="700" xfId="47" applyNumberFormat="1" applyFont="1" applyFill="1" applyBorder="1" applyAlignment="1" applyProtection="1">
      <alignment vertical="center"/>
      <protection locked="0"/>
    </xf>
    <xf numFmtId="43" fontId="278" fillId="0" borderId="700" xfId="1" applyFont="1" applyFill="1" applyBorder="1" applyAlignment="1" applyProtection="1">
      <alignment vertical="center"/>
      <protection locked="0"/>
    </xf>
    <xf numFmtId="4" fontId="278" fillId="0" borderId="632" xfId="47" applyNumberFormat="1" applyFont="1" applyFill="1" applyBorder="1" applyAlignment="1" applyProtection="1">
      <alignment vertical="center"/>
      <protection locked="0"/>
    </xf>
    <xf numFmtId="0" fontId="320" fillId="0" borderId="700" xfId="47" applyFont="1" applyFill="1" applyBorder="1" applyAlignment="1" applyProtection="1">
      <alignment horizontal="center" vertical="center"/>
      <protection locked="0"/>
    </xf>
    <xf numFmtId="39" fontId="320" fillId="0" borderId="685" xfId="1" applyNumberFormat="1" applyFont="1" applyFill="1" applyBorder="1" applyAlignment="1" applyProtection="1">
      <alignment vertical="center"/>
      <protection hidden="1"/>
    </xf>
    <xf numFmtId="9" fontId="278" fillId="0" borderId="700" xfId="88" applyFont="1" applyFill="1" applyBorder="1" applyAlignment="1" applyProtection="1">
      <alignment horizontal="center" vertical="center"/>
      <protection locked="0"/>
    </xf>
    <xf numFmtId="0" fontId="320" fillId="0" borderId="633" xfId="47" applyFont="1" applyFill="1" applyBorder="1" applyAlignment="1" applyProtection="1">
      <alignment horizontal="center" vertical="center"/>
      <protection locked="0"/>
    </xf>
    <xf numFmtId="9" fontId="278" fillId="0" borderId="633" xfId="88" applyFont="1" applyFill="1" applyBorder="1" applyAlignment="1" applyProtection="1">
      <alignment horizontal="center" vertical="center"/>
      <protection locked="0"/>
    </xf>
    <xf numFmtId="43" fontId="320" fillId="0" borderId="0" xfId="2" applyNumberFormat="1" applyFont="1" applyFill="1"/>
    <xf numFmtId="0" fontId="320" fillId="0" borderId="626" xfId="2" applyFont="1" applyFill="1" applyBorder="1" applyProtection="1">
      <protection locked="0"/>
    </xf>
    <xf numFmtId="0" fontId="278" fillId="0" borderId="709" xfId="2" applyFont="1" applyFill="1" applyBorder="1" applyAlignment="1" applyProtection="1">
      <alignment horizontal="center"/>
      <protection locked="0"/>
    </xf>
    <xf numFmtId="4" fontId="278" fillId="0" borderId="473" xfId="2" applyNumberFormat="1" applyFont="1" applyFill="1" applyBorder="1" applyAlignment="1" applyProtection="1">
      <alignment horizontal="center"/>
      <protection locked="0"/>
    </xf>
    <xf numFmtId="0" fontId="320" fillId="0" borderId="368" xfId="2" applyFont="1" applyFill="1" applyBorder="1" applyProtection="1">
      <protection locked="0"/>
    </xf>
    <xf numFmtId="4" fontId="278" fillId="0" borderId="731" xfId="2" applyNumberFormat="1" applyFont="1" applyFill="1" applyBorder="1" applyAlignment="1" applyProtection="1">
      <alignment horizontal="center"/>
      <protection locked="0"/>
    </xf>
    <xf numFmtId="10" fontId="278" fillId="0" borderId="731" xfId="88" applyNumberFormat="1" applyFont="1" applyFill="1" applyBorder="1" applyAlignment="1" applyProtection="1">
      <alignment horizontal="center"/>
      <protection locked="0"/>
    </xf>
    <xf numFmtId="4" fontId="278" fillId="0" borderId="398" xfId="2" applyNumberFormat="1" applyFont="1" applyFill="1" applyBorder="1" applyAlignment="1" applyProtection="1">
      <alignment horizontal="center"/>
      <protection locked="0"/>
    </xf>
    <xf numFmtId="0" fontId="320" fillId="0" borderId="243" xfId="2" applyFont="1" applyFill="1" applyBorder="1" applyProtection="1">
      <protection locked="0"/>
    </xf>
    <xf numFmtId="0" fontId="278" fillId="0" borderId="434" xfId="2" applyNumberFormat="1" applyFont="1" applyFill="1" applyBorder="1" applyAlignment="1" applyProtection="1">
      <alignment horizontal="center"/>
      <protection locked="0"/>
    </xf>
    <xf numFmtId="0" fontId="278" fillId="0" borderId="437" xfId="2" applyNumberFormat="1" applyFont="1" applyFill="1" applyBorder="1" applyAlignment="1" applyProtection="1">
      <alignment horizontal="center"/>
      <protection locked="0"/>
    </xf>
    <xf numFmtId="49" fontId="320" fillId="0" borderId="368" xfId="2" applyNumberFormat="1" applyFont="1" applyFill="1" applyBorder="1" applyProtection="1">
      <protection locked="0"/>
    </xf>
    <xf numFmtId="1" fontId="320" fillId="0" borderId="685" xfId="2" applyNumberFormat="1" applyFont="1" applyFill="1" applyBorder="1" applyAlignment="1" applyProtection="1">
      <alignment horizontal="center"/>
      <protection locked="0"/>
    </xf>
    <xf numFmtId="4" fontId="320" fillId="0" borderId="731" xfId="2" applyNumberFormat="1" applyFont="1" applyFill="1" applyBorder="1" applyProtection="1">
      <protection locked="0"/>
    </xf>
    <xf numFmtId="10" fontId="320" fillId="0" borderId="731" xfId="88" applyNumberFormat="1" applyFont="1" applyFill="1" applyBorder="1" applyAlignment="1" applyProtection="1">
      <alignment horizontal="center"/>
      <protection locked="0"/>
    </xf>
    <xf numFmtId="4" fontId="320" fillId="0" borderId="398" xfId="2" applyNumberFormat="1" applyFont="1" applyFill="1" applyBorder="1" applyProtection="1">
      <protection locked="0"/>
    </xf>
    <xf numFmtId="4" fontId="320" fillId="0" borderId="731" xfId="2" applyNumberFormat="1" applyFont="1" applyFill="1" applyBorder="1" applyProtection="1">
      <protection hidden="1"/>
    </xf>
    <xf numFmtId="10" fontId="320" fillId="0" borderId="731" xfId="88" applyNumberFormat="1" applyFont="1" applyFill="1" applyBorder="1" applyAlignment="1" applyProtection="1">
      <alignment horizontal="center"/>
      <protection hidden="1"/>
    </xf>
    <xf numFmtId="4" fontId="320" fillId="0" borderId="398" xfId="2" applyNumberFormat="1" applyFont="1" applyFill="1" applyBorder="1" applyProtection="1">
      <protection hidden="1"/>
    </xf>
    <xf numFmtId="4" fontId="320" fillId="0" borderId="685" xfId="2" applyNumberFormat="1" applyFont="1" applyFill="1" applyBorder="1" applyProtection="1">
      <protection locked="0"/>
    </xf>
    <xf numFmtId="4" fontId="320" fillId="0" borderId="731" xfId="2" applyNumberFormat="1" applyFont="1" applyFill="1" applyBorder="1" applyProtection="1"/>
    <xf numFmtId="10" fontId="320" fillId="0" borderId="731" xfId="88" applyNumberFormat="1" applyFont="1" applyFill="1" applyBorder="1" applyAlignment="1" applyProtection="1">
      <alignment horizontal="center"/>
    </xf>
    <xf numFmtId="4" fontId="320" fillId="0" borderId="685" xfId="2" applyNumberFormat="1" applyFont="1" applyFill="1" applyBorder="1" applyProtection="1"/>
    <xf numFmtId="0" fontId="320" fillId="0" borderId="731" xfId="2" applyFont="1" applyFill="1" applyBorder="1" applyAlignment="1" applyProtection="1">
      <alignment horizontal="left" vertical="top"/>
      <protection locked="0"/>
    </xf>
    <xf numFmtId="1" fontId="320" fillId="0" borderId="731" xfId="2" applyNumberFormat="1" applyFont="1" applyFill="1" applyBorder="1" applyAlignment="1" applyProtection="1">
      <alignment horizontal="center"/>
      <protection locked="0"/>
    </xf>
    <xf numFmtId="10" fontId="278" fillId="0" borderId="485" xfId="88" applyNumberFormat="1" applyFont="1" applyFill="1" applyBorder="1" applyAlignment="1" applyProtection="1">
      <alignment horizontal="center" vertical="center"/>
      <protection locked="0"/>
    </xf>
    <xf numFmtId="4" fontId="278" fillId="0" borderId="685" xfId="2" applyNumberFormat="1" applyFont="1" applyFill="1" applyBorder="1" applyAlignment="1" applyProtection="1">
      <alignment horizontal="center"/>
      <protection locked="0"/>
    </xf>
    <xf numFmtId="0" fontId="278" fillId="0" borderId="397" xfId="2" applyNumberFormat="1" applyFont="1" applyFill="1" applyBorder="1" applyAlignment="1" applyProtection="1">
      <alignment horizontal="center"/>
      <protection locked="0"/>
    </xf>
    <xf numFmtId="4" fontId="320" fillId="0" borderId="731" xfId="2" applyNumberFormat="1" applyFont="1" applyFill="1" applyBorder="1" applyAlignment="1" applyProtection="1">
      <alignment horizontal="right"/>
      <protection locked="0"/>
    </xf>
    <xf numFmtId="10" fontId="320" fillId="0" borderId="731" xfId="88" applyNumberFormat="1" applyFont="1" applyFill="1" applyBorder="1" applyAlignment="1" applyProtection="1">
      <alignment horizontal="center" vertical="top"/>
      <protection locked="0"/>
    </xf>
    <xf numFmtId="0" fontId="320" fillId="0" borderId="368" xfId="2" applyFont="1" applyFill="1" applyBorder="1" applyAlignment="1" applyProtection="1">
      <alignment vertical="top"/>
      <protection locked="0"/>
    </xf>
    <xf numFmtId="4" fontId="320" fillId="0" borderId="685" xfId="0" applyNumberFormat="1" applyFont="1" applyFill="1" applyBorder="1" applyAlignment="1">
      <alignment vertical="top"/>
    </xf>
    <xf numFmtId="4" fontId="320" fillId="0" borderId="285" xfId="0" applyNumberFormat="1" applyFont="1" applyFill="1" applyBorder="1" applyAlignment="1">
      <alignment vertical="top"/>
    </xf>
    <xf numFmtId="4" fontId="320" fillId="0" borderId="448" xfId="2" applyNumberFormat="1" applyFont="1" applyFill="1" applyBorder="1" applyAlignment="1" applyProtection="1">
      <alignment vertical="top"/>
      <protection locked="0"/>
    </xf>
    <xf numFmtId="4" fontId="320" fillId="0" borderId="731" xfId="0" applyNumberFormat="1" applyFont="1" applyFill="1" applyBorder="1" applyAlignment="1">
      <alignment vertical="top"/>
    </xf>
    <xf numFmtId="10" fontId="320" fillId="0" borderId="731" xfId="88" applyNumberFormat="1" applyFont="1" applyFill="1" applyBorder="1" applyAlignment="1">
      <alignment horizontal="center" vertical="top"/>
    </xf>
    <xf numFmtId="1" fontId="278" fillId="0" borderId="685" xfId="2" applyNumberFormat="1" applyFont="1" applyFill="1" applyBorder="1" applyAlignment="1" applyProtection="1">
      <alignment horizontal="center" wrapText="1"/>
      <protection locked="0"/>
    </xf>
    <xf numFmtId="10" fontId="320" fillId="0" borderId="731" xfId="88" applyNumberFormat="1" applyFont="1" applyFill="1" applyBorder="1" applyAlignment="1" applyProtection="1">
      <alignment horizontal="center" vertical="center"/>
      <protection locked="0"/>
    </xf>
    <xf numFmtId="1" fontId="320" fillId="0" borderId="685" xfId="47" applyNumberFormat="1" applyFont="1" applyFill="1" applyBorder="1" applyAlignment="1" applyProtection="1">
      <alignment horizontal="center" vertical="center"/>
      <protection locked="0"/>
    </xf>
    <xf numFmtId="10" fontId="278" fillId="0" borderId="700" xfId="88" applyNumberFormat="1" applyFont="1" applyFill="1" applyBorder="1" applyAlignment="1" applyProtection="1">
      <alignment horizontal="center" vertical="center"/>
      <protection locked="0"/>
    </xf>
    <xf numFmtId="10" fontId="278" fillId="0" borderId="687" xfId="88" applyNumberFormat="1" applyFont="1" applyFill="1" applyBorder="1" applyAlignment="1" applyProtection="1">
      <alignment horizontal="center" vertical="center"/>
      <protection locked="0"/>
    </xf>
    <xf numFmtId="10" fontId="278" fillId="0" borderId="448" xfId="88" applyNumberFormat="1" applyFont="1" applyFill="1" applyBorder="1" applyAlignment="1" applyProtection="1">
      <alignment horizontal="center" vertical="center"/>
      <protection locked="0"/>
    </xf>
    <xf numFmtId="4" fontId="278" fillId="0" borderId="703" xfId="2" applyNumberFormat="1" applyFont="1" applyFill="1" applyBorder="1" applyAlignment="1" applyProtection="1">
      <alignment vertical="center"/>
      <protection locked="0"/>
    </xf>
    <xf numFmtId="43" fontId="320" fillId="0" borderId="0" xfId="46" applyNumberFormat="1" applyFont="1" applyFill="1" applyAlignment="1">
      <alignment horizontal="center"/>
    </xf>
    <xf numFmtId="43" fontId="278" fillId="0" borderId="569" xfId="46" applyNumberFormat="1" applyFont="1" applyFill="1" applyBorder="1"/>
    <xf numFmtId="0" fontId="320" fillId="0" borderId="626" xfId="46" applyFont="1" applyFill="1" applyBorder="1" applyProtection="1">
      <protection locked="0"/>
    </xf>
    <xf numFmtId="0" fontId="278" fillId="0" borderId="709" xfId="46" applyFont="1" applyFill="1" applyBorder="1" applyAlignment="1" applyProtection="1">
      <alignment horizontal="center"/>
      <protection locked="0"/>
    </xf>
    <xf numFmtId="1" fontId="278" fillId="0" borderId="672" xfId="46" applyNumberFormat="1" applyFont="1" applyFill="1" applyBorder="1" applyAlignment="1" applyProtection="1">
      <alignment horizontal="center"/>
      <protection locked="0"/>
    </xf>
    <xf numFmtId="4" fontId="278" fillId="0" borderId="673" xfId="46" applyNumberFormat="1" applyFont="1" applyFill="1" applyBorder="1" applyAlignment="1" applyProtection="1">
      <alignment horizontal="center"/>
      <protection locked="0"/>
    </xf>
    <xf numFmtId="1" fontId="278" fillId="0" borderId="685" xfId="46" applyNumberFormat="1" applyFont="1" applyFill="1" applyBorder="1" applyAlignment="1" applyProtection="1">
      <alignment horizontal="center"/>
      <protection locked="0"/>
    </xf>
    <xf numFmtId="4" fontId="278" fillId="0" borderId="731" xfId="46" applyNumberFormat="1" applyFont="1" applyFill="1" applyBorder="1" applyAlignment="1" applyProtection="1">
      <alignment horizontal="center"/>
      <protection locked="0"/>
    </xf>
    <xf numFmtId="0" fontId="320" fillId="0" borderId="243" xfId="46" applyFont="1" applyFill="1" applyBorder="1" applyProtection="1">
      <protection locked="0"/>
    </xf>
    <xf numFmtId="0" fontId="278" fillId="0" borderId="433" xfId="46" applyFont="1" applyFill="1" applyBorder="1" applyAlignment="1" applyProtection="1">
      <alignment horizontal="center"/>
      <protection locked="0"/>
    </xf>
    <xf numFmtId="1" fontId="278" fillId="0" borderId="397" xfId="46" applyNumberFormat="1" applyFont="1" applyFill="1" applyBorder="1" applyAlignment="1" applyProtection="1">
      <alignment horizontal="center"/>
      <protection locked="0"/>
    </xf>
    <xf numFmtId="49" fontId="278" fillId="0" borderId="368" xfId="46" applyNumberFormat="1" applyFont="1" applyFill="1" applyBorder="1" applyProtection="1">
      <protection locked="0"/>
    </xf>
    <xf numFmtId="4" fontId="278" fillId="0" borderId="731" xfId="46" applyNumberFormat="1" applyFont="1" applyFill="1" applyBorder="1" applyProtection="1">
      <protection locked="0"/>
    </xf>
    <xf numFmtId="4" fontId="278" fillId="0" borderId="398" xfId="46" applyNumberFormat="1" applyFont="1" applyFill="1" applyBorder="1" applyProtection="1">
      <protection locked="0"/>
    </xf>
    <xf numFmtId="4" fontId="320" fillId="0" borderId="731" xfId="46" applyNumberFormat="1" applyFont="1" applyFill="1" applyBorder="1" applyProtection="1">
      <protection hidden="1"/>
    </xf>
    <xf numFmtId="4" fontId="320" fillId="0" borderId="398" xfId="46" applyNumberFormat="1" applyFont="1" applyFill="1" applyBorder="1" applyProtection="1">
      <protection hidden="1"/>
    </xf>
    <xf numFmtId="4" fontId="320" fillId="0" borderId="731" xfId="46" applyNumberFormat="1" applyFont="1" applyFill="1" applyBorder="1" applyProtection="1"/>
    <xf numFmtId="4" fontId="320" fillId="0" borderId="685" xfId="46" applyNumberFormat="1" applyFont="1" applyFill="1" applyBorder="1" applyProtection="1"/>
    <xf numFmtId="4" fontId="320" fillId="0" borderId="548" xfId="46" applyNumberFormat="1" applyFont="1" applyFill="1" applyBorder="1" applyProtection="1">
      <protection locked="0"/>
    </xf>
    <xf numFmtId="10" fontId="320" fillId="0" borderId="548" xfId="88" applyNumberFormat="1" applyFont="1" applyFill="1" applyBorder="1" applyAlignment="1" applyProtection="1">
      <alignment horizontal="center"/>
      <protection locked="0"/>
    </xf>
    <xf numFmtId="4" fontId="320" fillId="0" borderId="628" xfId="46" applyNumberFormat="1" applyFont="1" applyFill="1" applyBorder="1" applyProtection="1">
      <protection locked="0"/>
    </xf>
    <xf numFmtId="0" fontId="278" fillId="0" borderId="433" xfId="46" applyFont="1" applyFill="1" applyBorder="1" applyProtection="1">
      <protection locked="0"/>
    </xf>
    <xf numFmtId="1" fontId="320" fillId="0" borderId="397" xfId="46" applyNumberFormat="1" applyFont="1" applyFill="1" applyBorder="1" applyAlignment="1" applyProtection="1">
      <alignment horizontal="center"/>
      <protection locked="0"/>
    </xf>
    <xf numFmtId="4" fontId="278" fillId="0" borderId="633" xfId="46" applyNumberFormat="1" applyFont="1" applyFill="1" applyBorder="1" applyProtection="1">
      <protection locked="0"/>
    </xf>
    <xf numFmtId="4" fontId="278" fillId="0" borderId="485" xfId="46" applyNumberFormat="1" applyFont="1" applyFill="1" applyBorder="1" applyProtection="1">
      <protection locked="0"/>
    </xf>
    <xf numFmtId="10" fontId="278" fillId="0" borderId="485" xfId="88" applyNumberFormat="1" applyFont="1" applyFill="1" applyBorder="1" applyAlignment="1" applyProtection="1">
      <alignment horizontal="center"/>
      <protection locked="0"/>
    </xf>
    <xf numFmtId="4" fontId="278" fillId="0" borderId="356" xfId="46" applyNumberFormat="1" applyFont="1" applyFill="1" applyBorder="1" applyProtection="1">
      <protection locked="0"/>
    </xf>
    <xf numFmtId="4" fontId="278" fillId="0" borderId="731" xfId="46" applyNumberFormat="1" applyFont="1" applyFill="1" applyBorder="1" applyAlignment="1" applyProtection="1">
      <alignment horizontal="right"/>
      <protection locked="0"/>
    </xf>
    <xf numFmtId="4" fontId="320" fillId="0" borderId="285" xfId="46" applyNumberFormat="1" applyFont="1" applyFill="1" applyBorder="1" applyProtection="1">
      <protection locked="0"/>
    </xf>
    <xf numFmtId="4" fontId="320" fillId="0" borderId="448" xfId="46" applyNumberFormat="1" applyFont="1" applyFill="1" applyBorder="1" applyAlignment="1" applyProtection="1">
      <alignment horizontal="right"/>
      <protection locked="0"/>
    </xf>
    <xf numFmtId="4" fontId="320" fillId="0" borderId="548" xfId="46" applyNumberFormat="1" applyFont="1" applyFill="1" applyBorder="1" applyAlignment="1" applyProtection="1">
      <alignment horizontal="right"/>
      <protection locked="0"/>
    </xf>
    <xf numFmtId="4" fontId="320" fillId="0" borderId="628" xfId="46" applyNumberFormat="1" applyFont="1" applyFill="1" applyBorder="1" applyAlignment="1" applyProtection="1">
      <alignment horizontal="right"/>
      <protection locked="0"/>
    </xf>
    <xf numFmtId="1" fontId="320" fillId="0" borderId="397" xfId="46" applyNumberFormat="1" applyFont="1" applyFill="1" applyBorder="1" applyAlignment="1" applyProtection="1">
      <alignment horizontal="center" vertical="center"/>
      <protection locked="0"/>
    </xf>
    <xf numFmtId="49" fontId="320" fillId="0" borderId="0" xfId="46" applyNumberFormat="1" applyFont="1" applyFill="1" applyBorder="1" applyAlignment="1" applyProtection="1">
      <alignment vertical="center"/>
      <protection locked="0"/>
    </xf>
    <xf numFmtId="1" fontId="320" fillId="0" borderId="0" xfId="46" applyNumberFormat="1" applyFont="1" applyFill="1" applyBorder="1" applyAlignment="1" applyProtection="1">
      <alignment horizontal="center" vertical="center"/>
      <protection locked="0"/>
    </xf>
    <xf numFmtId="4" fontId="320" fillId="0" borderId="398" xfId="46" applyNumberFormat="1" applyFont="1" applyFill="1" applyBorder="1" applyAlignment="1" applyProtection="1">
      <alignment horizontal="right"/>
      <protection locked="0"/>
    </xf>
    <xf numFmtId="49" fontId="320" fillId="0" borderId="368" xfId="46" applyNumberFormat="1" applyFont="1" applyFill="1" applyBorder="1" applyProtection="1">
      <protection locked="0"/>
    </xf>
    <xf numFmtId="4" fontId="320" fillId="0" borderId="448" xfId="15" applyNumberFormat="1" applyFont="1" applyFill="1" applyBorder="1" applyAlignment="1" applyProtection="1">
      <alignment horizontal="right"/>
      <protection locked="0"/>
    </xf>
    <xf numFmtId="49" fontId="320" fillId="0" borderId="243" xfId="46" applyNumberFormat="1" applyFont="1" applyFill="1" applyBorder="1" applyAlignment="1" applyProtection="1">
      <alignment vertical="center"/>
      <protection locked="0"/>
    </xf>
    <xf numFmtId="4" fontId="320" fillId="0" borderId="685" xfId="46" applyNumberFormat="1" applyFont="1" applyFill="1" applyBorder="1" applyAlignment="1" applyProtection="1">
      <alignment horizontal="right"/>
      <protection locked="0"/>
    </xf>
    <xf numFmtId="10" fontId="320" fillId="0" borderId="685" xfId="88" applyNumberFormat="1" applyFont="1" applyFill="1" applyBorder="1" applyAlignment="1" applyProtection="1">
      <alignment horizontal="center"/>
      <protection locked="0"/>
    </xf>
    <xf numFmtId="4" fontId="320" fillId="0" borderId="285" xfId="46" applyNumberFormat="1" applyFont="1" applyFill="1" applyBorder="1" applyAlignment="1" applyProtection="1">
      <alignment horizontal="right"/>
      <protection locked="0"/>
    </xf>
    <xf numFmtId="4" fontId="278" fillId="0" borderId="685" xfId="15" applyNumberFormat="1" applyFont="1" applyFill="1" applyBorder="1" applyAlignment="1" applyProtection="1">
      <alignment horizontal="right"/>
      <protection locked="0"/>
    </xf>
    <xf numFmtId="10" fontId="278" fillId="0" borderId="685" xfId="88" applyNumberFormat="1" applyFont="1" applyFill="1" applyBorder="1" applyAlignment="1" applyProtection="1">
      <alignment horizontal="center"/>
      <protection locked="0"/>
    </xf>
    <xf numFmtId="4" fontId="278" fillId="0" borderId="285" xfId="15" applyNumberFormat="1" applyFont="1" applyFill="1" applyBorder="1" applyAlignment="1" applyProtection="1">
      <alignment horizontal="right"/>
      <protection locked="0"/>
    </xf>
    <xf numFmtId="4" fontId="320" fillId="0" borderId="685" xfId="15" applyNumberFormat="1" applyFont="1" applyFill="1" applyBorder="1" applyAlignment="1" applyProtection="1">
      <alignment horizontal="right"/>
      <protection locked="0"/>
    </xf>
    <xf numFmtId="4" fontId="320" fillId="0" borderId="285" xfId="15" applyNumberFormat="1" applyFont="1" applyFill="1" applyBorder="1" applyAlignment="1" applyProtection="1">
      <alignment horizontal="right"/>
      <protection locked="0"/>
    </xf>
    <xf numFmtId="10" fontId="320" fillId="0" borderId="448" xfId="88" applyNumberFormat="1" applyFont="1" applyFill="1" applyBorder="1" applyAlignment="1" applyProtection="1">
      <alignment horizontal="center"/>
      <protection locked="0"/>
    </xf>
    <xf numFmtId="4" fontId="320" fillId="0" borderId="703" xfId="15" applyNumberFormat="1" applyFont="1" applyFill="1" applyBorder="1" applyAlignment="1" applyProtection="1">
      <alignment horizontal="right"/>
      <protection locked="0"/>
    </xf>
    <xf numFmtId="4" fontId="278" fillId="0" borderId="397" xfId="46" applyNumberFormat="1" applyFont="1" applyFill="1" applyBorder="1" applyAlignment="1" applyProtection="1">
      <alignment vertical="center"/>
      <protection locked="0"/>
    </xf>
    <xf numFmtId="4" fontId="278" fillId="0" borderId="697" xfId="46" applyNumberFormat="1" applyFont="1" applyFill="1" applyBorder="1" applyAlignment="1" applyProtection="1">
      <alignment vertical="center"/>
      <protection locked="0"/>
    </xf>
    <xf numFmtId="4" fontId="278" fillId="0" borderId="632" xfId="46" applyNumberFormat="1" applyFont="1" applyFill="1" applyBorder="1" applyAlignment="1" applyProtection="1">
      <alignment vertical="center"/>
      <protection locked="0"/>
    </xf>
    <xf numFmtId="49" fontId="320" fillId="0" borderId="709" xfId="46" applyNumberFormat="1" applyFont="1" applyFill="1" applyBorder="1" applyAlignment="1" applyProtection="1">
      <alignment vertical="center"/>
      <protection locked="0"/>
    </xf>
    <xf numFmtId="0" fontId="278" fillId="0" borderId="709" xfId="46" applyFont="1" applyFill="1" applyBorder="1" applyAlignment="1" applyProtection="1">
      <alignment vertical="center"/>
      <protection locked="0"/>
    </xf>
    <xf numFmtId="1" fontId="320" fillId="0" borderId="709" xfId="46" applyNumberFormat="1" applyFont="1" applyFill="1" applyBorder="1" applyAlignment="1" applyProtection="1">
      <alignment horizontal="center" vertical="center"/>
      <protection locked="0"/>
    </xf>
    <xf numFmtId="4" fontId="278" fillId="0" borderId="709" xfId="46" applyNumberFormat="1" applyFont="1" applyFill="1" applyBorder="1" applyAlignment="1" applyProtection="1">
      <alignment vertical="center"/>
      <protection locked="0"/>
    </xf>
    <xf numFmtId="10" fontId="278" fillId="0" borderId="709" xfId="88" applyNumberFormat="1" applyFont="1" applyFill="1" applyBorder="1" applyAlignment="1" applyProtection="1">
      <alignment horizontal="center" vertical="center"/>
      <protection locked="0"/>
    </xf>
    <xf numFmtId="0" fontId="278" fillId="0" borderId="673" xfId="46" applyFont="1" applyFill="1" applyBorder="1" applyAlignment="1" applyProtection="1">
      <alignment horizontal="center"/>
      <protection locked="0"/>
    </xf>
    <xf numFmtId="4" fontId="278" fillId="0" borderId="672" xfId="46" applyNumberFormat="1" applyFont="1" applyFill="1" applyBorder="1" applyAlignment="1" applyProtection="1">
      <alignment horizontal="center"/>
      <protection locked="0"/>
    </xf>
    <xf numFmtId="4" fontId="278" fillId="0" borderId="707" xfId="46" applyNumberFormat="1" applyFont="1" applyFill="1" applyBorder="1" applyAlignment="1" applyProtection="1">
      <alignment horizontal="center"/>
      <protection locked="0"/>
    </xf>
    <xf numFmtId="10" fontId="278" fillId="0" borderId="707" xfId="88" applyNumberFormat="1" applyFont="1" applyFill="1" applyBorder="1" applyAlignment="1" applyProtection="1">
      <alignment horizontal="center"/>
      <protection locked="0"/>
    </xf>
    <xf numFmtId="4" fontId="278" fillId="0" borderId="536" xfId="46" applyNumberFormat="1" applyFont="1" applyFill="1" applyBorder="1" applyAlignment="1" applyProtection="1">
      <alignment horizontal="center"/>
      <protection locked="0"/>
    </xf>
    <xf numFmtId="0" fontId="278" fillId="0" borderId="731" xfId="46" applyFont="1" applyFill="1" applyBorder="1" applyAlignment="1" applyProtection="1">
      <alignment horizontal="center"/>
      <protection locked="0"/>
    </xf>
    <xf numFmtId="4" fontId="278" fillId="0" borderId="685" xfId="46" applyNumberFormat="1" applyFont="1" applyFill="1" applyBorder="1" applyAlignment="1" applyProtection="1">
      <alignment horizontal="center"/>
      <protection locked="0"/>
    </xf>
    <xf numFmtId="4" fontId="278" fillId="0" borderId="285" xfId="46" applyNumberFormat="1" applyFont="1" applyFill="1" applyBorder="1" applyAlignment="1" applyProtection="1">
      <alignment horizontal="center"/>
      <protection locked="0"/>
    </xf>
    <xf numFmtId="0" fontId="278" fillId="0" borderId="434" xfId="46" applyFont="1" applyFill="1" applyBorder="1" applyAlignment="1" applyProtection="1">
      <alignment horizontal="center"/>
      <protection locked="0"/>
    </xf>
    <xf numFmtId="0" fontId="278" fillId="0" borderId="397" xfId="46" applyNumberFormat="1" applyFont="1" applyFill="1" applyBorder="1" applyAlignment="1" applyProtection="1">
      <alignment horizontal="center"/>
      <protection locked="0"/>
    </xf>
    <xf numFmtId="0" fontId="278" fillId="0" borderId="707" xfId="46" applyNumberFormat="1" applyFont="1" applyFill="1" applyBorder="1" applyAlignment="1" applyProtection="1">
      <alignment horizontal="center"/>
      <protection locked="0"/>
    </xf>
    <xf numFmtId="4" fontId="320" fillId="0" borderId="684" xfId="15" applyNumberFormat="1" applyFont="1" applyFill="1" applyBorder="1" applyAlignment="1" applyProtection="1">
      <alignment horizontal="right"/>
      <protection locked="0"/>
    </xf>
    <xf numFmtId="4" fontId="320" fillId="0" borderId="687" xfId="15" applyNumberFormat="1" applyFont="1" applyFill="1" applyBorder="1" applyAlignment="1" applyProtection="1">
      <alignment horizontal="right"/>
      <protection locked="0"/>
    </xf>
    <xf numFmtId="10" fontId="320" fillId="0" borderId="687" xfId="88" applyNumberFormat="1" applyFont="1" applyFill="1" applyBorder="1" applyAlignment="1" applyProtection="1">
      <alignment horizontal="center"/>
      <protection locked="0"/>
    </xf>
    <xf numFmtId="4" fontId="320" fillId="0" borderId="702" xfId="15" applyNumberFormat="1" applyFont="1" applyFill="1" applyBorder="1" applyAlignment="1" applyProtection="1">
      <alignment horizontal="right"/>
      <protection locked="0"/>
    </xf>
    <xf numFmtId="4" fontId="320" fillId="0" borderId="731" xfId="46" applyNumberFormat="1" applyFont="1" applyFill="1" applyBorder="1" applyAlignment="1" applyProtection="1">
      <alignment horizontal="right"/>
      <protection locked="0"/>
    </xf>
    <xf numFmtId="4" fontId="320" fillId="0" borderId="731" xfId="1" applyNumberFormat="1" applyFont="1" applyFill="1" applyBorder="1" applyAlignment="1" applyProtection="1">
      <alignment horizontal="right"/>
      <protection locked="0"/>
    </xf>
    <xf numFmtId="4" fontId="320" fillId="0" borderId="398" xfId="1" applyNumberFormat="1" applyFont="1" applyFill="1" applyBorder="1" applyAlignment="1" applyProtection="1">
      <alignment horizontal="right"/>
      <protection locked="0"/>
    </xf>
    <xf numFmtId="0" fontId="278" fillId="0" borderId="368" xfId="46" applyFont="1" applyFill="1" applyBorder="1" applyAlignment="1" applyProtection="1">
      <alignment vertical="center"/>
      <protection locked="0"/>
    </xf>
    <xf numFmtId="1" fontId="278" fillId="0" borderId="685" xfId="46" applyNumberFormat="1" applyFont="1" applyFill="1" applyBorder="1" applyAlignment="1" applyProtection="1">
      <alignment horizontal="center" vertical="center"/>
      <protection locked="0"/>
    </xf>
    <xf numFmtId="4" fontId="278" fillId="0" borderId="713" xfId="46" applyNumberFormat="1" applyFont="1" applyFill="1" applyBorder="1" applyAlignment="1" applyProtection="1">
      <alignment horizontal="right" vertical="center"/>
      <protection locked="0"/>
    </xf>
    <xf numFmtId="10" fontId="278" fillId="0" borderId="713" xfId="88" applyNumberFormat="1" applyFont="1" applyFill="1" applyBorder="1" applyAlignment="1" applyProtection="1">
      <alignment horizontal="center" vertical="center"/>
      <protection locked="0"/>
    </xf>
    <xf numFmtId="1" fontId="320" fillId="0" borderId="633" xfId="46" applyNumberFormat="1" applyFont="1" applyFill="1" applyBorder="1" applyAlignment="1" applyProtection="1">
      <alignment horizontal="center" vertical="center"/>
      <protection locked="0"/>
    </xf>
    <xf numFmtId="4" fontId="278" fillId="0" borderId="569" xfId="30" applyNumberFormat="1" applyFont="1" applyFill="1" applyBorder="1" applyAlignment="1" applyProtection="1">
      <alignment vertical="center"/>
      <protection locked="0"/>
    </xf>
    <xf numFmtId="10" fontId="320" fillId="0" borderId="685" xfId="88" applyNumberFormat="1" applyFont="1" applyFill="1" applyBorder="1" applyAlignment="1" applyProtection="1">
      <alignment horizontal="center" vertical="center"/>
      <protection hidden="1"/>
    </xf>
    <xf numFmtId="4" fontId="320" fillId="0" borderId="686" xfId="30" applyNumberFormat="1" applyFont="1" applyFill="1" applyBorder="1" applyAlignment="1" applyProtection="1">
      <alignment vertical="center"/>
      <protection locked="0"/>
    </xf>
    <xf numFmtId="10" fontId="320" fillId="0" borderId="731" xfId="88" applyNumberFormat="1" applyFont="1" applyFill="1" applyBorder="1" applyAlignment="1" applyProtection="1">
      <alignment horizontal="center" vertical="center"/>
    </xf>
    <xf numFmtId="4" fontId="320" fillId="0" borderId="448" xfId="30" applyNumberFormat="1" applyFont="1" applyFill="1" applyBorder="1" applyAlignment="1">
      <alignment vertical="center"/>
    </xf>
    <xf numFmtId="4" fontId="320" fillId="0" borderId="451" xfId="30" applyNumberFormat="1" applyFont="1" applyFill="1" applyBorder="1" applyAlignment="1">
      <alignment vertical="center"/>
    </xf>
    <xf numFmtId="10" fontId="320" fillId="0" borderId="448" xfId="88" applyNumberFormat="1" applyFont="1" applyFill="1" applyBorder="1" applyAlignment="1" applyProtection="1">
      <alignment horizontal="center" vertical="center"/>
      <protection locked="0"/>
    </xf>
    <xf numFmtId="4" fontId="278" fillId="0" borderId="630" xfId="30" applyNumberFormat="1" applyFont="1" applyFill="1" applyBorder="1" applyAlignment="1" applyProtection="1">
      <alignment vertical="center"/>
      <protection locked="0"/>
    </xf>
    <xf numFmtId="10" fontId="278" fillId="0" borderId="633" xfId="88" applyNumberFormat="1" applyFont="1" applyFill="1" applyBorder="1" applyAlignment="1" applyProtection="1">
      <alignment horizontal="center" vertical="center"/>
      <protection locked="0"/>
    </xf>
    <xf numFmtId="10" fontId="320" fillId="0" borderId="633" xfId="88" applyNumberFormat="1" applyFont="1" applyFill="1" applyBorder="1" applyAlignment="1" applyProtection="1">
      <alignment horizontal="center" vertical="center"/>
      <protection locked="0"/>
    </xf>
    <xf numFmtId="4" fontId="320" fillId="0" borderId="731" xfId="30" applyNumberFormat="1" applyFont="1" applyFill="1" applyBorder="1" applyAlignment="1" applyProtection="1">
      <alignment horizontal="right" vertical="center"/>
      <protection locked="0"/>
    </xf>
    <xf numFmtId="4" fontId="278" fillId="0" borderId="285" xfId="30" applyNumberFormat="1" applyFont="1" applyFill="1" applyBorder="1" applyAlignment="1" applyProtection="1">
      <alignment vertical="center"/>
      <protection locked="0"/>
    </xf>
    <xf numFmtId="49" fontId="278" fillId="0" borderId="31" xfId="30" applyNumberFormat="1" applyFont="1" applyFill="1" applyBorder="1" applyAlignment="1" applyProtection="1">
      <alignment vertical="center"/>
      <protection locked="0"/>
    </xf>
    <xf numFmtId="0" fontId="320" fillId="0" borderId="354" xfId="30" applyFont="1" applyFill="1" applyBorder="1" applyAlignment="1" applyProtection="1">
      <alignment horizontal="center" vertical="center"/>
      <protection locked="0"/>
    </xf>
    <xf numFmtId="0" fontId="278" fillId="0" borderId="355" xfId="30" applyFont="1" applyFill="1" applyBorder="1" applyAlignment="1" applyProtection="1">
      <alignment horizontal="center" vertical="center"/>
      <protection locked="0"/>
    </xf>
    <xf numFmtId="4" fontId="278" fillId="0" borderId="633" xfId="30" applyNumberFormat="1" applyFont="1" applyFill="1" applyBorder="1" applyAlignment="1" applyProtection="1">
      <alignment horizontal="center" vertical="center"/>
      <protection locked="0"/>
    </xf>
    <xf numFmtId="4" fontId="278" fillId="0" borderId="634" xfId="30" applyNumberFormat="1" applyFont="1" applyFill="1" applyBorder="1" applyAlignment="1" applyProtection="1">
      <alignment horizontal="right" vertical="center"/>
      <protection locked="0"/>
    </xf>
    <xf numFmtId="0" fontId="320" fillId="0" borderId="626" xfId="44" applyFont="1" applyFill="1" applyBorder="1" applyAlignment="1" applyProtection="1">
      <alignment vertical="center"/>
      <protection locked="0"/>
    </xf>
    <xf numFmtId="0" fontId="278" fillId="0" borderId="709" xfId="44" applyFont="1" applyFill="1" applyBorder="1" applyAlignment="1" applyProtection="1">
      <alignment horizontal="center" vertical="center"/>
      <protection locked="0"/>
    </xf>
    <xf numFmtId="1" fontId="278" fillId="0" borderId="672" xfId="44" applyNumberFormat="1" applyFont="1" applyFill="1" applyBorder="1" applyAlignment="1" applyProtection="1">
      <alignment horizontal="center" vertical="center"/>
      <protection locked="0"/>
    </xf>
    <xf numFmtId="4" fontId="278" fillId="0" borderId="673" xfId="44" applyNumberFormat="1" applyFont="1" applyFill="1" applyBorder="1" applyAlignment="1" applyProtection="1">
      <alignment horizontal="center" vertical="center"/>
      <protection locked="0"/>
    </xf>
    <xf numFmtId="4" fontId="278" fillId="0" borderId="473" xfId="44" applyNumberFormat="1" applyFont="1" applyFill="1" applyBorder="1" applyAlignment="1" applyProtection="1">
      <alignment horizontal="center" vertical="center"/>
      <protection locked="0"/>
    </xf>
    <xf numFmtId="0" fontId="320" fillId="0" borderId="368" xfId="44" applyFont="1" applyFill="1" applyBorder="1" applyAlignment="1" applyProtection="1">
      <alignment vertical="center"/>
      <protection locked="0"/>
    </xf>
    <xf numFmtId="4" fontId="278" fillId="0" borderId="731" xfId="44" applyNumberFormat="1" applyFont="1" applyFill="1" applyBorder="1" applyAlignment="1" applyProtection="1">
      <alignment horizontal="center" vertical="center"/>
      <protection locked="0"/>
    </xf>
    <xf numFmtId="4" fontId="278" fillId="0" borderId="398" xfId="44" applyNumberFormat="1" applyFont="1" applyFill="1" applyBorder="1" applyAlignment="1" applyProtection="1">
      <alignment horizontal="center" vertical="center"/>
      <protection locked="0"/>
    </xf>
    <xf numFmtId="0" fontId="320" fillId="0" borderId="243" xfId="44" applyFont="1" applyFill="1" applyBorder="1" applyAlignment="1" applyProtection="1">
      <alignment vertical="center"/>
      <protection locked="0"/>
    </xf>
    <xf numFmtId="0" fontId="278" fillId="0" borderId="433" xfId="44" applyFont="1" applyFill="1" applyBorder="1" applyAlignment="1" applyProtection="1">
      <alignment horizontal="center" vertical="center"/>
      <protection locked="0"/>
    </xf>
    <xf numFmtId="0" fontId="278" fillId="0" borderId="434" xfId="44" applyNumberFormat="1" applyFont="1" applyFill="1" applyBorder="1" applyAlignment="1" applyProtection="1">
      <alignment horizontal="center" vertical="center"/>
      <protection locked="0"/>
    </xf>
    <xf numFmtId="0" fontId="278" fillId="0" borderId="437" xfId="44" applyNumberFormat="1" applyFont="1" applyFill="1" applyBorder="1" applyAlignment="1" applyProtection="1">
      <alignment horizontal="center" vertical="center"/>
      <protection locked="0"/>
    </xf>
    <xf numFmtId="49" fontId="320" fillId="0" borderId="368" xfId="44" applyNumberFormat="1" applyFont="1" applyFill="1" applyBorder="1" applyAlignment="1" applyProtection="1">
      <alignment vertical="center"/>
      <protection locked="0"/>
    </xf>
    <xf numFmtId="4" fontId="320" fillId="0" borderId="731" xfId="44" applyNumberFormat="1" applyFont="1" applyFill="1" applyBorder="1" applyAlignment="1" applyProtection="1">
      <alignment vertical="center"/>
      <protection locked="0"/>
    </xf>
    <xf numFmtId="4" fontId="320" fillId="0" borderId="398" xfId="44" applyNumberFormat="1" applyFont="1" applyFill="1" applyBorder="1" applyAlignment="1" applyProtection="1">
      <alignment vertical="center"/>
      <protection locked="0"/>
    </xf>
    <xf numFmtId="4" fontId="320" fillId="0" borderId="731" xfId="44" applyNumberFormat="1" applyFont="1" applyFill="1" applyBorder="1" applyAlignment="1" applyProtection="1">
      <alignment vertical="center"/>
      <protection hidden="1"/>
    </xf>
    <xf numFmtId="10" fontId="320" fillId="0" borderId="731" xfId="88" applyNumberFormat="1" applyFont="1" applyFill="1" applyBorder="1" applyAlignment="1" applyProtection="1">
      <alignment horizontal="center" vertical="center"/>
      <protection hidden="1"/>
    </xf>
    <xf numFmtId="4" fontId="320" fillId="0" borderId="398" xfId="44" applyNumberFormat="1" applyFont="1" applyFill="1" applyBorder="1" applyAlignment="1" applyProtection="1">
      <alignment vertical="center"/>
      <protection hidden="1"/>
    </xf>
    <xf numFmtId="4" fontId="320" fillId="0" borderId="685" xfId="44" applyNumberFormat="1" applyFont="1" applyFill="1" applyBorder="1" applyAlignment="1" applyProtection="1">
      <alignment vertical="center"/>
      <protection locked="0"/>
    </xf>
    <xf numFmtId="4" fontId="320" fillId="0" borderId="685" xfId="44" applyNumberFormat="1" applyFont="1" applyFill="1" applyBorder="1" applyAlignment="1">
      <alignment vertical="center"/>
    </xf>
    <xf numFmtId="4" fontId="320" fillId="0" borderId="731" xfId="44" applyNumberFormat="1" applyFont="1" applyFill="1" applyBorder="1" applyAlignment="1">
      <alignment vertical="center"/>
    </xf>
    <xf numFmtId="4" fontId="320" fillId="0" borderId="731" xfId="44" applyNumberFormat="1" applyFont="1" applyFill="1" applyBorder="1" applyAlignment="1" applyProtection="1">
      <alignment vertical="center"/>
    </xf>
    <xf numFmtId="4" fontId="320" fillId="0" borderId="685" xfId="44" applyNumberFormat="1" applyFont="1" applyFill="1" applyBorder="1" applyAlignment="1" applyProtection="1">
      <alignment vertical="center"/>
    </xf>
    <xf numFmtId="1" fontId="320" fillId="0" borderId="397" xfId="44" applyNumberFormat="1" applyFont="1" applyFill="1" applyBorder="1" applyAlignment="1" applyProtection="1">
      <alignment horizontal="center" vertical="center"/>
      <protection locked="0"/>
    </xf>
    <xf numFmtId="4" fontId="278" fillId="0" borderId="633" xfId="44" applyNumberFormat="1" applyFont="1" applyFill="1" applyBorder="1" applyAlignment="1" applyProtection="1">
      <alignment vertical="center"/>
      <protection locked="0"/>
    </xf>
    <xf numFmtId="4" fontId="278" fillId="0" borderId="485" xfId="44" applyNumberFormat="1" applyFont="1" applyFill="1" applyBorder="1" applyAlignment="1" applyProtection="1">
      <alignment vertical="center"/>
      <protection locked="0"/>
    </xf>
    <xf numFmtId="4" fontId="278" fillId="0" borderId="356" xfId="44" applyNumberFormat="1" applyFont="1" applyFill="1" applyBorder="1" applyAlignment="1" applyProtection="1">
      <alignment vertical="center"/>
      <protection locked="0"/>
    </xf>
    <xf numFmtId="1" fontId="278" fillId="0" borderId="685" xfId="44" applyNumberFormat="1" applyFont="1" applyFill="1" applyBorder="1" applyAlignment="1" applyProtection="1">
      <alignment horizontal="center" vertical="center" wrapText="1"/>
      <protection locked="0"/>
    </xf>
    <xf numFmtId="0" fontId="278" fillId="0" borderId="731" xfId="44" applyNumberFormat="1" applyFont="1" applyFill="1" applyBorder="1" applyAlignment="1" applyProtection="1">
      <alignment horizontal="center" vertical="center"/>
      <protection locked="0"/>
    </xf>
    <xf numFmtId="0" fontId="278" fillId="0" borderId="731" xfId="88" applyNumberFormat="1" applyFont="1" applyFill="1" applyBorder="1" applyAlignment="1" applyProtection="1">
      <alignment horizontal="center" vertical="center"/>
      <protection locked="0"/>
    </xf>
    <xf numFmtId="0" fontId="278" fillId="0" borderId="398" xfId="44" applyNumberFormat="1" applyFont="1" applyFill="1" applyBorder="1" applyAlignment="1" applyProtection="1">
      <alignment horizontal="center" vertical="center"/>
      <protection locked="0"/>
    </xf>
    <xf numFmtId="4" fontId="320" fillId="0" borderId="731" xfId="44" applyNumberFormat="1" applyFont="1" applyFill="1" applyBorder="1" applyAlignment="1" applyProtection="1">
      <alignment horizontal="right" vertical="center"/>
      <protection locked="0"/>
    </xf>
    <xf numFmtId="10" fontId="320" fillId="0" borderId="731" xfId="44" applyNumberFormat="1" applyFont="1" applyFill="1" applyBorder="1" applyAlignment="1" applyProtection="1">
      <alignment horizontal="center" vertical="center"/>
      <protection hidden="1"/>
    </xf>
    <xf numFmtId="4" fontId="320" fillId="0" borderId="398" xfId="44" applyNumberFormat="1" applyFont="1" applyFill="1" applyBorder="1" applyAlignment="1">
      <alignment vertical="center"/>
    </xf>
    <xf numFmtId="1" fontId="278" fillId="0" borderId="685" xfId="44" applyNumberFormat="1" applyFont="1" applyFill="1" applyBorder="1" applyAlignment="1" applyProtection="1">
      <alignment horizontal="center" vertical="center"/>
      <protection locked="0"/>
    </xf>
    <xf numFmtId="4" fontId="278" fillId="0" borderId="672" xfId="44" applyNumberFormat="1" applyFont="1" applyFill="1" applyBorder="1" applyAlignment="1" applyProtection="1">
      <alignment horizontal="center" vertical="center"/>
      <protection locked="0"/>
    </xf>
    <xf numFmtId="4" fontId="278" fillId="0" borderId="685" xfId="44" applyNumberFormat="1" applyFont="1" applyFill="1" applyBorder="1" applyAlignment="1" applyProtection="1">
      <alignment horizontal="center" vertical="center"/>
      <protection locked="0"/>
    </xf>
    <xf numFmtId="0" fontId="278" fillId="0" borderId="397" xfId="44" applyNumberFormat="1" applyFont="1" applyFill="1" applyBorder="1" applyAlignment="1" applyProtection="1">
      <alignment horizontal="center" vertical="center"/>
      <protection locked="0"/>
    </xf>
    <xf numFmtId="4" fontId="278" fillId="0" borderId="684" xfId="44" applyNumberFormat="1" applyFont="1" applyFill="1" applyBorder="1" applyAlignment="1" applyProtection="1">
      <alignment vertical="center"/>
      <protection locked="0"/>
    </xf>
    <xf numFmtId="4" fontId="278" fillId="0" borderId="687" xfId="44" applyNumberFormat="1" applyFont="1" applyFill="1" applyBorder="1" applyAlignment="1" applyProtection="1">
      <alignment vertical="center"/>
      <protection locked="0"/>
    </xf>
    <xf numFmtId="4" fontId="278" fillId="0" borderId="702" xfId="44" applyNumberFormat="1" applyFont="1" applyFill="1" applyBorder="1" applyAlignment="1" applyProtection="1">
      <alignment vertical="center"/>
      <protection locked="0"/>
    </xf>
    <xf numFmtId="1" fontId="320" fillId="0" borderId="633" xfId="44" applyNumberFormat="1" applyFont="1" applyFill="1" applyBorder="1" applyAlignment="1" applyProtection="1">
      <alignment horizontal="center" vertical="center"/>
      <protection locked="0"/>
    </xf>
    <xf numFmtId="4" fontId="278" fillId="0" borderId="634" xfId="44" applyNumberFormat="1" applyFont="1" applyFill="1" applyBorder="1" applyAlignment="1" applyProtection="1">
      <alignment vertical="center"/>
      <protection locked="0"/>
    </xf>
    <xf numFmtId="1" fontId="320" fillId="0" borderId="700" xfId="44" applyNumberFormat="1" applyFont="1" applyFill="1" applyBorder="1" applyAlignment="1" applyProtection="1">
      <alignment horizontal="center" vertical="center"/>
      <protection locked="0"/>
    </xf>
    <xf numFmtId="4" fontId="320" fillId="0" borderId="448" xfId="44" applyNumberFormat="1" applyFont="1" applyFill="1" applyBorder="1" applyAlignment="1" applyProtection="1">
      <alignment vertical="center"/>
      <protection locked="0"/>
    </xf>
    <xf numFmtId="4" fontId="320" fillId="0" borderId="703" xfId="44" applyNumberFormat="1" applyFont="1" applyFill="1" applyBorder="1" applyAlignment="1" applyProtection="1">
      <alignment vertical="center"/>
      <protection locked="0"/>
    </xf>
    <xf numFmtId="4" fontId="278" fillId="0" borderId="700" xfId="44" applyNumberFormat="1" applyFont="1" applyFill="1" applyBorder="1" applyAlignment="1" applyProtection="1">
      <alignment vertical="center"/>
      <protection locked="0"/>
    </xf>
    <xf numFmtId="4" fontId="278" fillId="0" borderId="632" xfId="44" applyNumberFormat="1" applyFont="1" applyFill="1" applyBorder="1" applyAlignment="1" applyProtection="1">
      <alignment vertical="center"/>
      <protection locked="0"/>
    </xf>
    <xf numFmtId="4" fontId="320" fillId="0" borderId="628" xfId="44" applyNumberFormat="1" applyFont="1" applyFill="1" applyBorder="1" applyAlignment="1" applyProtection="1">
      <alignment vertical="center"/>
      <protection locked="0"/>
    </xf>
    <xf numFmtId="49" fontId="278" fillId="0" borderId="368" xfId="44" applyNumberFormat="1" applyFont="1" applyFill="1" applyBorder="1" applyAlignment="1" applyProtection="1">
      <alignment vertical="center"/>
      <protection locked="0"/>
    </xf>
    <xf numFmtId="4" fontId="278" fillId="0" borderId="548" xfId="44" applyNumberFormat="1" applyFont="1" applyFill="1" applyBorder="1" applyAlignment="1" applyProtection="1">
      <alignment vertical="center"/>
    </xf>
    <xf numFmtId="4" fontId="278" fillId="0" borderId="700" xfId="44" applyNumberFormat="1" applyFont="1" applyFill="1" applyBorder="1" applyAlignment="1" applyProtection="1">
      <alignment vertical="center"/>
    </xf>
    <xf numFmtId="4" fontId="278" fillId="0" borderId="628" xfId="44" applyNumberFormat="1" applyFont="1" applyFill="1" applyBorder="1" applyAlignment="1" applyProtection="1">
      <alignment vertical="center"/>
    </xf>
    <xf numFmtId="4" fontId="278" fillId="0" borderId="713" xfId="44" applyNumberFormat="1" applyFont="1" applyFill="1" applyBorder="1" applyAlignment="1" applyProtection="1">
      <alignment vertical="center"/>
      <protection locked="0"/>
    </xf>
    <xf numFmtId="4" fontId="278" fillId="0" borderId="701" xfId="44" applyNumberFormat="1" applyFont="1" applyFill="1" applyBorder="1" applyAlignment="1" applyProtection="1">
      <alignment vertical="center"/>
      <protection locked="0"/>
    </xf>
    <xf numFmtId="0" fontId="320" fillId="0" borderId="354" xfId="44" applyFont="1" applyFill="1" applyBorder="1" applyAlignment="1" applyProtection="1">
      <alignment vertical="center"/>
      <protection locked="0"/>
    </xf>
    <xf numFmtId="0" fontId="278" fillId="0" borderId="485" xfId="44" applyFont="1" applyFill="1" applyBorder="1" applyAlignment="1" applyProtection="1">
      <alignment vertical="center"/>
      <protection locked="0"/>
    </xf>
    <xf numFmtId="4" fontId="278" fillId="0" borderId="434" xfId="44" applyNumberFormat="1" applyFont="1" applyFill="1" applyBorder="1" applyAlignment="1" applyProtection="1">
      <alignment vertical="center"/>
    </xf>
    <xf numFmtId="4" fontId="278" fillId="0" borderId="434" xfId="44" applyNumberFormat="1" applyFont="1" applyFill="1" applyBorder="1" applyAlignment="1" applyProtection="1">
      <alignment vertical="center"/>
      <protection locked="0"/>
    </xf>
    <xf numFmtId="4" fontId="278" fillId="0" borderId="437" xfId="44" applyNumberFormat="1" applyFont="1" applyFill="1" applyBorder="1" applyAlignment="1" applyProtection="1">
      <alignment vertical="center"/>
    </xf>
    <xf numFmtId="0" fontId="278" fillId="0" borderId="685" xfId="44" applyNumberFormat="1" applyFont="1" applyFill="1" applyBorder="1" applyAlignment="1" applyProtection="1">
      <alignment vertical="center"/>
      <protection locked="0"/>
    </xf>
    <xf numFmtId="0" fontId="278" fillId="0" borderId="731" xfId="44" applyNumberFormat="1" applyFont="1" applyFill="1" applyBorder="1" applyAlignment="1" applyProtection="1">
      <alignment vertical="center"/>
      <protection locked="0"/>
    </xf>
    <xf numFmtId="0" fontId="278" fillId="0" borderId="398" xfId="44" applyNumberFormat="1" applyFont="1" applyFill="1" applyBorder="1" applyAlignment="1" applyProtection="1">
      <alignment vertical="center"/>
      <protection locked="0"/>
    </xf>
    <xf numFmtId="1" fontId="278" fillId="0" borderId="672" xfId="1" applyNumberFormat="1" applyFont="1" applyFill="1" applyBorder="1" applyAlignment="1" applyProtection="1">
      <alignment horizontal="center" vertical="center"/>
      <protection locked="0"/>
    </xf>
    <xf numFmtId="1" fontId="278" fillId="0" borderId="685" xfId="1" applyNumberFormat="1" applyFont="1" applyFill="1" applyBorder="1" applyAlignment="1" applyProtection="1">
      <alignment horizontal="center" vertical="center"/>
      <protection locked="0"/>
    </xf>
    <xf numFmtId="1" fontId="278" fillId="0" borderId="397" xfId="1" applyNumberFormat="1" applyFont="1" applyFill="1" applyBorder="1" applyAlignment="1" applyProtection="1">
      <alignment horizontal="center" vertical="center"/>
      <protection locked="0"/>
    </xf>
    <xf numFmtId="1" fontId="320" fillId="0" borderId="685" xfId="1" applyNumberFormat="1" applyFont="1" applyFill="1" applyBorder="1" applyAlignment="1">
      <alignment horizontal="center" vertical="center"/>
    </xf>
    <xf numFmtId="1" fontId="320" fillId="0" borderId="685" xfId="1" applyNumberFormat="1" applyFont="1" applyFill="1" applyBorder="1" applyAlignment="1" applyProtection="1">
      <alignment horizontal="center" vertical="top"/>
      <protection locked="0"/>
    </xf>
    <xf numFmtId="1" fontId="320" fillId="0" borderId="397" xfId="1" applyNumberFormat="1" applyFont="1" applyFill="1" applyBorder="1" applyAlignment="1" applyProtection="1">
      <alignment horizontal="center" vertical="center"/>
      <protection locked="0"/>
    </xf>
    <xf numFmtId="10" fontId="320" fillId="0" borderId="685" xfId="30" applyNumberFormat="1" applyFont="1" applyFill="1" applyBorder="1" applyAlignment="1" applyProtection="1">
      <alignment vertical="center"/>
      <protection hidden="1"/>
    </xf>
    <xf numFmtId="4" fontId="320" fillId="0" borderId="285" xfId="1" applyNumberFormat="1" applyFont="1" applyFill="1" applyBorder="1" applyAlignment="1">
      <alignment horizontal="right" vertical="center"/>
    </xf>
    <xf numFmtId="4" fontId="320" fillId="0" borderId="448" xfId="30" applyNumberFormat="1" applyFont="1" applyFill="1" applyBorder="1" applyAlignment="1" applyProtection="1">
      <alignment vertical="center"/>
      <protection hidden="1"/>
    </xf>
    <xf numFmtId="4" fontId="278" fillId="0" borderId="448" xfId="30" applyNumberFormat="1" applyFont="1" applyFill="1" applyBorder="1" applyAlignment="1" applyProtection="1">
      <alignment vertical="center"/>
      <protection locked="0"/>
    </xf>
    <xf numFmtId="4" fontId="278" fillId="0" borderId="703" xfId="30" applyNumberFormat="1" applyFont="1" applyFill="1" applyBorder="1" applyAlignment="1" applyProtection="1">
      <alignment vertical="center"/>
      <protection locked="0"/>
    </xf>
    <xf numFmtId="0" fontId="320" fillId="0" borderId="243" xfId="30" applyFont="1" applyFill="1" applyBorder="1" applyAlignment="1">
      <alignment vertical="center"/>
    </xf>
    <xf numFmtId="1" fontId="321" fillId="0" borderId="0" xfId="1" applyNumberFormat="1" applyFont="1" applyFill="1" applyBorder="1" applyAlignment="1" applyProtection="1">
      <alignment horizontal="center" vertical="center"/>
      <protection locked="0"/>
    </xf>
    <xf numFmtId="4" fontId="320" fillId="0" borderId="685" xfId="0" applyNumberFormat="1" applyFont="1" applyFill="1" applyBorder="1" applyAlignment="1">
      <alignment vertical="center"/>
    </xf>
    <xf numFmtId="4" fontId="320" fillId="0" borderId="285" xfId="0" applyNumberFormat="1" applyFont="1" applyFill="1" applyBorder="1" applyAlignment="1">
      <alignment vertical="center"/>
    </xf>
    <xf numFmtId="181" fontId="320" fillId="0" borderId="368" xfId="0" applyNumberFormat="1" applyFont="1" applyFill="1" applyBorder="1" applyAlignment="1">
      <alignment vertical="center"/>
    </xf>
    <xf numFmtId="49" fontId="320" fillId="0" borderId="368" xfId="30" applyNumberFormat="1" applyFont="1" applyFill="1" applyBorder="1" applyAlignment="1" applyProtection="1">
      <protection locked="0"/>
    </xf>
    <xf numFmtId="4" fontId="320" fillId="0" borderId="285" xfId="30" applyNumberFormat="1" applyFont="1" applyFill="1" applyBorder="1" applyAlignment="1" applyProtection="1">
      <protection locked="0"/>
    </xf>
    <xf numFmtId="1" fontId="278" fillId="0" borderId="448" xfId="1" applyNumberFormat="1" applyFont="1" applyFill="1" applyBorder="1" applyAlignment="1" applyProtection="1">
      <alignment horizontal="center" vertical="center"/>
      <protection locked="0"/>
    </xf>
    <xf numFmtId="1" fontId="320" fillId="0" borderId="633" xfId="1" applyNumberFormat="1" applyFont="1" applyFill="1" applyBorder="1" applyAlignment="1" applyProtection="1">
      <alignment horizontal="center" vertical="center"/>
      <protection locked="0"/>
    </xf>
    <xf numFmtId="1" fontId="278" fillId="0" borderId="672" xfId="42" applyNumberFormat="1" applyFont="1" applyFill="1" applyBorder="1" applyAlignment="1" applyProtection="1">
      <alignment horizontal="center" vertical="center"/>
      <protection locked="0"/>
    </xf>
    <xf numFmtId="1" fontId="278" fillId="0" borderId="685" xfId="42" applyNumberFormat="1" applyFont="1" applyFill="1" applyBorder="1" applyAlignment="1" applyProtection="1">
      <alignment horizontal="center" vertical="center"/>
      <protection locked="0"/>
    </xf>
    <xf numFmtId="1" fontId="278" fillId="0" borderId="397" xfId="42" applyNumberFormat="1" applyFont="1" applyFill="1" applyBorder="1" applyAlignment="1" applyProtection="1">
      <alignment horizontal="center" vertical="center"/>
      <protection locked="0"/>
    </xf>
    <xf numFmtId="4" fontId="320" fillId="0" borderId="285" xfId="15" applyNumberFormat="1" applyFont="1" applyFill="1" applyBorder="1" applyAlignment="1">
      <alignment vertical="center"/>
    </xf>
    <xf numFmtId="1" fontId="320" fillId="0" borderId="700" xfId="42" applyNumberFormat="1" applyFont="1" applyFill="1" applyBorder="1" applyAlignment="1" applyProtection="1">
      <alignment horizontal="center" vertical="center"/>
      <protection locked="0"/>
    </xf>
    <xf numFmtId="4" fontId="278" fillId="0" borderId="632" xfId="42" applyNumberFormat="1" applyFont="1" applyFill="1" applyBorder="1" applyAlignment="1" applyProtection="1">
      <alignment vertical="center"/>
      <protection locked="0"/>
    </xf>
    <xf numFmtId="1" fontId="320" fillId="0" borderId="633" xfId="42" applyNumberFormat="1" applyFont="1" applyFill="1" applyBorder="1" applyAlignment="1" applyProtection="1">
      <alignment horizontal="center" vertical="center"/>
      <protection locked="0"/>
    </xf>
    <xf numFmtId="4" fontId="278" fillId="0" borderId="634" xfId="42" applyNumberFormat="1" applyFont="1" applyFill="1" applyBorder="1" applyAlignment="1" applyProtection="1">
      <alignment vertical="center"/>
      <protection locked="0"/>
    </xf>
    <xf numFmtId="0" fontId="320" fillId="0" borderId="368" xfId="42" applyNumberFormat="1" applyFont="1" applyFill="1" applyBorder="1" applyAlignment="1" applyProtection="1">
      <alignment vertical="center"/>
      <protection locked="0"/>
    </xf>
    <xf numFmtId="4" fontId="320" fillId="0" borderId="731" xfId="42" applyNumberFormat="1" applyFont="1" applyFill="1" applyBorder="1" applyAlignment="1" applyProtection="1">
      <alignment horizontal="right" vertical="center"/>
      <protection locked="0"/>
    </xf>
    <xf numFmtId="10" fontId="320" fillId="0" borderId="731" xfId="42" applyNumberFormat="1" applyFont="1" applyFill="1" applyBorder="1" applyAlignment="1" applyProtection="1">
      <alignment horizontal="center" vertical="center"/>
      <protection hidden="1"/>
    </xf>
    <xf numFmtId="4" fontId="320" fillId="0" borderId="398" xfId="42" applyNumberFormat="1" applyFont="1" applyFill="1" applyBorder="1" applyAlignment="1">
      <alignment vertical="center"/>
    </xf>
    <xf numFmtId="4" fontId="320" fillId="0" borderId="0" xfId="15" applyNumberFormat="1" applyFont="1" applyFill="1" applyBorder="1" applyAlignment="1">
      <alignment vertical="center"/>
    </xf>
    <xf numFmtId="4" fontId="320" fillId="0" borderId="0" xfId="42" applyNumberFormat="1" applyFont="1" applyFill="1" applyBorder="1" applyAlignment="1">
      <alignment vertical="center"/>
    </xf>
    <xf numFmtId="4" fontId="278" fillId="0" borderId="285" xfId="42" applyNumberFormat="1" applyFont="1" applyFill="1" applyBorder="1" applyAlignment="1" applyProtection="1">
      <alignment horizontal="center" vertical="center"/>
      <protection locked="0"/>
    </xf>
    <xf numFmtId="4" fontId="320" fillId="0" borderId="731" xfId="15" applyNumberFormat="1" applyFont="1" applyFill="1" applyBorder="1" applyAlignment="1">
      <alignment vertical="center"/>
    </xf>
    <xf numFmtId="0" fontId="321" fillId="0" borderId="0" xfId="45" applyFont="1" applyFill="1" applyBorder="1" applyAlignment="1">
      <alignment vertical="center"/>
    </xf>
    <xf numFmtId="49" fontId="278" fillId="0" borderId="368" xfId="42" applyNumberFormat="1" applyFont="1" applyFill="1" applyBorder="1" applyAlignment="1" applyProtection="1">
      <alignment vertical="center"/>
      <protection locked="0"/>
    </xf>
    <xf numFmtId="4" fontId="278" fillId="0" borderId="285" xfId="42" applyNumberFormat="1" applyFont="1" applyFill="1" applyBorder="1" applyAlignment="1" applyProtection="1">
      <alignment vertical="center"/>
      <protection locked="0"/>
    </xf>
    <xf numFmtId="49" fontId="278" fillId="0" borderId="31" xfId="42" applyNumberFormat="1" applyFont="1" applyFill="1" applyBorder="1" applyAlignment="1" applyProtection="1">
      <alignment vertical="center"/>
      <protection locked="0"/>
    </xf>
    <xf numFmtId="0" fontId="278" fillId="0" borderId="547" xfId="42" applyFont="1" applyFill="1" applyBorder="1" applyAlignment="1" applyProtection="1">
      <alignment vertical="center"/>
      <protection locked="0"/>
    </xf>
    <xf numFmtId="1" fontId="320" fillId="0" borderId="397" xfId="42" applyNumberFormat="1" applyFont="1" applyFill="1" applyBorder="1" applyAlignment="1" applyProtection="1">
      <alignment horizontal="center" vertical="center"/>
      <protection locked="0"/>
    </xf>
    <xf numFmtId="4" fontId="278" fillId="0" borderId="697" xfId="42" applyNumberFormat="1" applyFont="1" applyFill="1" applyBorder="1" applyAlignment="1" applyProtection="1">
      <alignment vertical="center"/>
      <protection locked="0"/>
    </xf>
    <xf numFmtId="1" fontId="278" fillId="0" borderId="397" xfId="30" applyNumberFormat="1" applyFont="1" applyFill="1" applyBorder="1" applyAlignment="1" applyProtection="1">
      <alignment horizontal="center" vertical="center"/>
      <protection locked="0"/>
    </xf>
    <xf numFmtId="10" fontId="320" fillId="0" borderId="731" xfId="30" applyNumberFormat="1" applyFont="1" applyFill="1" applyBorder="1" applyAlignment="1" applyProtection="1">
      <alignment vertical="center"/>
      <protection hidden="1"/>
    </xf>
    <xf numFmtId="4" fontId="320" fillId="0" borderId="628" xfId="30" applyNumberFormat="1" applyFont="1" applyFill="1" applyBorder="1" applyAlignment="1" applyProtection="1">
      <alignment vertical="center"/>
      <protection locked="0"/>
    </xf>
    <xf numFmtId="0" fontId="321" fillId="0" borderId="0" xfId="30" applyFont="1" applyFill="1" applyBorder="1" applyAlignment="1">
      <alignment vertical="center"/>
    </xf>
    <xf numFmtId="4" fontId="278" fillId="0" borderId="702" xfId="30" applyNumberFormat="1" applyFont="1" applyFill="1" applyBorder="1" applyAlignment="1" applyProtection="1">
      <alignment vertical="center"/>
      <protection locked="0"/>
    </xf>
    <xf numFmtId="4" fontId="278" fillId="0" borderId="702" xfId="30" applyNumberFormat="1" applyFont="1" applyFill="1" applyBorder="1" applyAlignment="1" applyProtection="1">
      <alignment horizontal="center" vertical="center"/>
      <protection locked="0"/>
    </xf>
    <xf numFmtId="4" fontId="278" fillId="0" borderId="673" xfId="88" applyNumberFormat="1" applyFont="1" applyFill="1" applyBorder="1" applyAlignment="1" applyProtection="1">
      <alignment horizontal="center" vertical="center"/>
      <protection locked="0"/>
    </xf>
    <xf numFmtId="4" fontId="278" fillId="0" borderId="731" xfId="88" applyNumberFormat="1" applyFont="1" applyFill="1" applyBorder="1" applyAlignment="1" applyProtection="1">
      <alignment horizontal="center" vertical="center"/>
      <protection locked="0"/>
    </xf>
    <xf numFmtId="4" fontId="278" fillId="0" borderId="731" xfId="7" applyNumberFormat="1" applyFont="1" applyFill="1" applyBorder="1" applyAlignment="1" applyProtection="1">
      <alignment horizontal="center" vertical="center"/>
      <protection locked="0"/>
    </xf>
    <xf numFmtId="4" fontId="320" fillId="0" borderId="731" xfId="88" applyNumberFormat="1" applyFont="1" applyFill="1" applyBorder="1" applyAlignment="1" applyProtection="1">
      <alignment horizontal="center" vertical="center"/>
      <protection locked="0"/>
    </xf>
    <xf numFmtId="4" fontId="278" fillId="0" borderId="633" xfId="88" applyNumberFormat="1" applyFont="1" applyFill="1" applyBorder="1" applyAlignment="1" applyProtection="1">
      <alignment horizontal="center" vertical="center"/>
      <protection locked="0"/>
    </xf>
    <xf numFmtId="4" fontId="321" fillId="0" borderId="0" xfId="88" applyNumberFormat="1" applyFont="1" applyFill="1" applyBorder="1" applyAlignment="1" applyProtection="1">
      <alignment horizontal="center" vertical="center"/>
      <protection locked="0"/>
    </xf>
    <xf numFmtId="10" fontId="320" fillId="0" borderId="731" xfId="2" applyNumberFormat="1" applyFont="1" applyFill="1" applyBorder="1" applyAlignment="1" applyProtection="1">
      <alignment horizontal="center" vertical="center"/>
      <protection locked="0"/>
    </xf>
    <xf numFmtId="4" fontId="320" fillId="0" borderId="398" xfId="7" applyNumberFormat="1" applyFont="1" applyFill="1" applyBorder="1" applyAlignment="1">
      <alignment vertical="center"/>
    </xf>
    <xf numFmtId="4" fontId="320" fillId="0" borderId="731" xfId="7" applyNumberFormat="1" applyFont="1" applyFill="1" applyBorder="1" applyAlignment="1" applyProtection="1">
      <alignment horizontal="right" vertical="center"/>
      <protection locked="0"/>
    </xf>
    <xf numFmtId="4" fontId="278" fillId="0" borderId="713" xfId="88" applyNumberFormat="1" applyFont="1" applyFill="1" applyBorder="1" applyAlignment="1" applyProtection="1">
      <alignment horizontal="center" vertical="center"/>
      <protection locked="0"/>
    </xf>
    <xf numFmtId="4" fontId="278" fillId="0" borderId="684" xfId="7" applyNumberFormat="1" applyFont="1" applyFill="1" applyBorder="1" applyAlignment="1" applyProtection="1">
      <alignment horizontal="right" vertical="center"/>
      <protection locked="0"/>
    </xf>
    <xf numFmtId="4" fontId="278" fillId="0" borderId="687" xfId="7" applyNumberFormat="1" applyFont="1" applyFill="1" applyBorder="1" applyAlignment="1" applyProtection="1">
      <alignment horizontal="right" vertical="center"/>
      <protection locked="0"/>
    </xf>
    <xf numFmtId="4" fontId="278" fillId="0" borderId="687" xfId="7" applyNumberFormat="1" applyFont="1" applyFill="1" applyBorder="1" applyAlignment="1" applyProtection="1">
      <alignment vertical="center"/>
      <protection locked="0"/>
    </xf>
    <xf numFmtId="4" fontId="278" fillId="0" borderId="687" xfId="88" applyNumberFormat="1" applyFont="1" applyFill="1" applyBorder="1" applyAlignment="1" applyProtection="1">
      <alignment horizontal="center" vertical="center"/>
      <protection locked="0"/>
    </xf>
    <xf numFmtId="4" fontId="278" fillId="0" borderId="702" xfId="7" applyNumberFormat="1" applyFont="1" applyFill="1" applyBorder="1" applyAlignment="1" applyProtection="1">
      <alignment vertical="center"/>
      <protection locked="0"/>
    </xf>
    <xf numFmtId="4" fontId="320" fillId="0" borderId="548" xfId="2" applyNumberFormat="1" applyFont="1" applyFill="1" applyBorder="1" applyAlignment="1" applyProtection="1">
      <alignment horizontal="right" vertical="center"/>
      <protection locked="0"/>
    </xf>
    <xf numFmtId="4" fontId="320" fillId="0" borderId="548" xfId="88" applyNumberFormat="1" applyFont="1" applyFill="1" applyBorder="1" applyAlignment="1" applyProtection="1">
      <alignment horizontal="center" vertical="center"/>
      <protection locked="0"/>
    </xf>
    <xf numFmtId="4" fontId="278" fillId="0" borderId="548" xfId="2" applyNumberFormat="1" applyFont="1" applyFill="1" applyBorder="1" applyAlignment="1" applyProtection="1">
      <alignment horizontal="right" vertical="center"/>
      <protection locked="0"/>
    </xf>
    <xf numFmtId="4" fontId="278" fillId="0" borderId="548" xfId="7" applyNumberFormat="1" applyFont="1" applyFill="1" applyBorder="1" applyAlignment="1" applyProtection="1">
      <alignment vertical="center"/>
      <protection locked="0"/>
    </xf>
    <xf numFmtId="4" fontId="278" fillId="0" borderId="548" xfId="88" applyNumberFormat="1" applyFont="1" applyFill="1" applyBorder="1" applyAlignment="1" applyProtection="1">
      <alignment horizontal="center" vertical="center"/>
      <protection locked="0"/>
    </xf>
    <xf numFmtId="4" fontId="278" fillId="0" borderId="434" xfId="88" applyNumberFormat="1" applyFont="1" applyFill="1" applyBorder="1" applyAlignment="1" applyProtection="1">
      <alignment horizontal="center" vertical="center"/>
      <protection locked="0"/>
    </xf>
    <xf numFmtId="0" fontId="278" fillId="0" borderId="589" xfId="30" applyFont="1" applyFill="1" applyBorder="1" applyAlignment="1" applyProtection="1">
      <alignment vertical="center"/>
      <protection locked="0"/>
    </xf>
    <xf numFmtId="4" fontId="278" fillId="0" borderId="587" xfId="30" applyNumberFormat="1" applyFont="1" applyFill="1" applyBorder="1" applyAlignment="1" applyProtection="1">
      <alignment vertical="center"/>
      <protection locked="0"/>
    </xf>
    <xf numFmtId="0" fontId="320" fillId="0" borderId="480" xfId="30" applyFont="1" applyFill="1" applyBorder="1" applyAlignment="1" applyProtection="1">
      <alignment vertical="center"/>
      <protection locked="0"/>
    </xf>
    <xf numFmtId="1" fontId="320" fillId="0" borderId="700" xfId="30" applyNumberFormat="1" applyFont="1" applyFill="1" applyBorder="1" applyAlignment="1" applyProtection="1">
      <alignment horizontal="center" vertical="center"/>
      <protection locked="0"/>
    </xf>
    <xf numFmtId="10" fontId="320" fillId="0" borderId="731" xfId="30" applyNumberFormat="1" applyFont="1" applyFill="1" applyBorder="1" applyAlignment="1" applyProtection="1">
      <alignment horizontal="center" vertical="center"/>
      <protection hidden="1"/>
    </xf>
    <xf numFmtId="4" fontId="320" fillId="0" borderId="285" xfId="30" applyNumberFormat="1" applyFont="1" applyFill="1" applyBorder="1" applyAlignment="1">
      <alignment vertical="center"/>
    </xf>
    <xf numFmtId="10" fontId="320" fillId="0" borderId="700" xfId="30" applyNumberFormat="1" applyFont="1" applyFill="1" applyBorder="1" applyAlignment="1" applyProtection="1">
      <alignment horizontal="center" vertical="center"/>
      <protection hidden="1"/>
    </xf>
    <xf numFmtId="4" fontId="278" fillId="0" borderId="548" xfId="30" applyNumberFormat="1" applyFont="1" applyFill="1" applyBorder="1" applyAlignment="1" applyProtection="1">
      <alignment vertical="center"/>
      <protection locked="0"/>
    </xf>
    <xf numFmtId="4" fontId="278" fillId="0" borderId="628" xfId="30" applyNumberFormat="1" applyFont="1" applyFill="1" applyBorder="1" applyAlignment="1" applyProtection="1">
      <alignment vertical="center"/>
      <protection locked="0"/>
    </xf>
    <xf numFmtId="1" fontId="278" fillId="0" borderId="448" xfId="30" applyNumberFormat="1" applyFont="1" applyFill="1" applyBorder="1" applyAlignment="1" applyProtection="1">
      <alignment horizontal="center" vertical="center"/>
      <protection locked="0"/>
    </xf>
    <xf numFmtId="0" fontId="320" fillId="0" borderId="732" xfId="30" applyFont="1" applyFill="1" applyBorder="1" applyAlignment="1" applyProtection="1">
      <alignment vertical="center"/>
      <protection locked="0"/>
    </xf>
    <xf numFmtId="0" fontId="278" fillId="0" borderId="569" xfId="30" applyFont="1" applyFill="1" applyBorder="1" applyAlignment="1" applyProtection="1">
      <alignment vertical="center"/>
      <protection locked="0"/>
    </xf>
    <xf numFmtId="1" fontId="320" fillId="0" borderId="684" xfId="30" applyNumberFormat="1" applyFont="1" applyFill="1" applyBorder="1" applyAlignment="1" applyProtection="1">
      <alignment horizontal="center" vertical="center"/>
      <protection locked="0"/>
    </xf>
    <xf numFmtId="0" fontId="321" fillId="0" borderId="709" xfId="58" applyFont="1" applyFill="1" applyBorder="1" applyAlignment="1" applyProtection="1">
      <alignment vertical="center"/>
      <protection locked="0"/>
    </xf>
    <xf numFmtId="1" fontId="321" fillId="0" borderId="709" xfId="58" applyNumberFormat="1" applyFont="1" applyFill="1" applyBorder="1" applyAlignment="1" applyProtection="1">
      <alignment horizontal="center" vertical="center"/>
      <protection locked="0"/>
    </xf>
    <xf numFmtId="4" fontId="321" fillId="0" borderId="709" xfId="58" applyNumberFormat="1" applyFont="1" applyFill="1" applyBorder="1" applyAlignment="1" applyProtection="1">
      <alignment vertical="center"/>
      <protection locked="0"/>
    </xf>
    <xf numFmtId="4" fontId="321" fillId="0" borderId="709" xfId="58" applyNumberFormat="1" applyFont="1" applyFill="1" applyBorder="1" applyAlignment="1">
      <alignment vertical="center"/>
    </xf>
    <xf numFmtId="10" fontId="321" fillId="0" borderId="709" xfId="88" applyNumberFormat="1" applyFont="1" applyFill="1" applyBorder="1" applyAlignment="1" applyProtection="1">
      <alignment horizontal="center" vertical="center"/>
      <protection locked="0"/>
    </xf>
    <xf numFmtId="0" fontId="320" fillId="0" borderId="0" xfId="45" applyFont="1" applyFill="1" applyAlignment="1">
      <alignment horizontal="center" vertical="top"/>
    </xf>
    <xf numFmtId="0" fontId="320" fillId="0" borderId="686" xfId="0" applyFont="1" applyFill="1" applyBorder="1" applyAlignment="1">
      <alignment vertical="top" wrapText="1"/>
    </xf>
    <xf numFmtId="4" fontId="278" fillId="0" borderId="673" xfId="45" applyNumberFormat="1" applyFont="1" applyFill="1" applyBorder="1" applyAlignment="1" applyProtection="1">
      <alignment horizontal="center" vertical="center"/>
      <protection locked="0"/>
    </xf>
    <xf numFmtId="4" fontId="278" fillId="0" borderId="473" xfId="45" applyNumberFormat="1" applyFont="1" applyFill="1" applyBorder="1" applyAlignment="1" applyProtection="1">
      <alignment horizontal="center" vertical="center"/>
      <protection locked="0"/>
    </xf>
    <xf numFmtId="4" fontId="278" fillId="0" borderId="731" xfId="45" applyNumberFormat="1" applyFont="1" applyFill="1" applyBorder="1" applyAlignment="1" applyProtection="1">
      <alignment horizontal="center" vertical="center"/>
      <protection locked="0"/>
    </xf>
    <xf numFmtId="4" fontId="278" fillId="0" borderId="398" xfId="45" applyNumberFormat="1" applyFont="1" applyFill="1" applyBorder="1" applyAlignment="1" applyProtection="1">
      <alignment horizontal="center" vertical="center"/>
      <protection locked="0"/>
    </xf>
    <xf numFmtId="0" fontId="278" fillId="0" borderId="434" xfId="45" applyNumberFormat="1" applyFont="1" applyFill="1" applyBorder="1" applyAlignment="1" applyProtection="1">
      <alignment horizontal="center" vertical="center"/>
      <protection locked="0"/>
    </xf>
    <xf numFmtId="0" fontId="278" fillId="0" borderId="437" xfId="45" applyNumberFormat="1" applyFont="1" applyFill="1" applyBorder="1" applyAlignment="1" applyProtection="1">
      <alignment horizontal="center" vertical="center"/>
      <protection locked="0"/>
    </xf>
    <xf numFmtId="4" fontId="320" fillId="0" borderId="685" xfId="45" applyNumberFormat="1" applyFont="1" applyFill="1" applyBorder="1" applyAlignment="1">
      <alignment vertical="center"/>
    </xf>
    <xf numFmtId="4" fontId="320" fillId="0" borderId="285" xfId="45" applyNumberFormat="1" applyFont="1" applyFill="1" applyBorder="1" applyAlignment="1">
      <alignment vertical="center"/>
    </xf>
    <xf numFmtId="0" fontId="320" fillId="0" borderId="700" xfId="45" applyFont="1" applyFill="1" applyBorder="1" applyAlignment="1" applyProtection="1">
      <alignment horizontal="center" vertical="center"/>
      <protection locked="0"/>
    </xf>
    <xf numFmtId="4" fontId="320" fillId="0" borderId="731" xfId="0" applyNumberFormat="1" applyFont="1" applyFill="1" applyBorder="1"/>
    <xf numFmtId="0" fontId="320" fillId="0" borderId="0" xfId="0" applyFont="1" applyFill="1" applyBorder="1" applyAlignment="1">
      <alignment vertical="top" wrapText="1"/>
    </xf>
    <xf numFmtId="0" fontId="320" fillId="0" borderId="0" xfId="45" applyFont="1" applyFill="1" applyBorder="1" applyAlignment="1">
      <alignment vertical="top"/>
    </xf>
    <xf numFmtId="4" fontId="320" fillId="0" borderId="685" xfId="45" applyNumberFormat="1" applyFont="1" applyFill="1" applyBorder="1" applyAlignment="1" applyProtection="1">
      <alignment vertical="center" wrapText="1"/>
      <protection locked="0"/>
    </xf>
    <xf numFmtId="4" fontId="320" fillId="0" borderId="285" xfId="45" applyNumberFormat="1" applyFont="1" applyFill="1" applyBorder="1" applyAlignment="1" applyProtection="1">
      <alignment vertical="center" wrapText="1"/>
      <protection locked="0"/>
    </xf>
    <xf numFmtId="4" fontId="320" fillId="0" borderId="685" xfId="1" applyNumberFormat="1" applyFont="1" applyFill="1" applyBorder="1" applyAlignment="1">
      <alignment vertical="center" wrapText="1"/>
    </xf>
    <xf numFmtId="4" fontId="320" fillId="0" borderId="398" xfId="45" applyNumberFormat="1" applyFont="1" applyFill="1" applyBorder="1" applyAlignment="1">
      <alignment vertical="center"/>
    </xf>
    <xf numFmtId="4" fontId="320" fillId="0" borderId="448" xfId="45" applyNumberFormat="1" applyFont="1" applyFill="1" applyBorder="1" applyAlignment="1" applyProtection="1">
      <alignment horizontal="right" vertical="center"/>
      <protection locked="0"/>
    </xf>
    <xf numFmtId="4" fontId="320" fillId="0" borderId="448" xfId="1" applyNumberFormat="1" applyFont="1" applyFill="1" applyBorder="1" applyAlignment="1">
      <alignment vertical="center" wrapText="1"/>
    </xf>
    <xf numFmtId="10" fontId="320" fillId="0" borderId="448" xfId="88" applyNumberFormat="1" applyFont="1" applyFill="1" applyBorder="1" applyAlignment="1">
      <alignment vertical="center" wrapText="1"/>
    </xf>
    <xf numFmtId="4" fontId="320" fillId="0" borderId="703" xfId="1" applyNumberFormat="1" applyFont="1" applyFill="1" applyBorder="1" applyAlignment="1">
      <alignment vertical="center" wrapText="1"/>
    </xf>
    <xf numFmtId="4" fontId="320" fillId="0" borderId="684" xfId="45" applyNumberFormat="1" applyFont="1" applyFill="1" applyBorder="1" applyAlignment="1" applyProtection="1">
      <alignment horizontal="right" vertical="center"/>
      <protection locked="0"/>
    </xf>
    <xf numFmtId="4" fontId="320" fillId="0" borderId="687" xfId="45" applyNumberFormat="1" applyFont="1" applyFill="1" applyBorder="1" applyAlignment="1" applyProtection="1">
      <alignment horizontal="right" vertical="center"/>
      <protection locked="0"/>
    </xf>
    <xf numFmtId="4" fontId="320" fillId="0" borderId="684" xfId="1" applyNumberFormat="1" applyFont="1" applyFill="1" applyBorder="1" applyAlignment="1">
      <alignment vertical="center"/>
    </xf>
    <xf numFmtId="4" fontId="320" fillId="0" borderId="704" xfId="1" applyNumberFormat="1" applyFont="1" applyFill="1" applyBorder="1" applyAlignment="1">
      <alignment vertical="center"/>
    </xf>
    <xf numFmtId="4" fontId="320" fillId="0" borderId="685" xfId="45" applyNumberFormat="1" applyFont="1" applyFill="1" applyBorder="1" applyAlignment="1" applyProtection="1">
      <alignment horizontal="right" vertical="top"/>
      <protection locked="0"/>
    </xf>
    <xf numFmtId="4" fontId="320" fillId="0" borderId="731" xfId="45" applyNumberFormat="1" applyFont="1" applyFill="1" applyBorder="1" applyAlignment="1" applyProtection="1">
      <alignment horizontal="right" vertical="top"/>
      <protection locked="0"/>
    </xf>
    <xf numFmtId="4" fontId="320" fillId="0" borderId="731" xfId="30" applyNumberFormat="1" applyFont="1" applyFill="1" applyBorder="1" applyAlignment="1" applyProtection="1">
      <alignment vertical="top"/>
      <protection hidden="1"/>
    </xf>
    <xf numFmtId="4" fontId="320" fillId="0" borderId="398" xfId="0" applyNumberFormat="1" applyFont="1" applyFill="1" applyBorder="1" applyAlignment="1">
      <alignment vertical="top"/>
    </xf>
    <xf numFmtId="4" fontId="320" fillId="0" borderId="448" xfId="1" applyNumberFormat="1" applyFont="1" applyFill="1" applyBorder="1" applyAlignment="1">
      <alignment vertical="center"/>
    </xf>
    <xf numFmtId="10" fontId="320" fillId="0" borderId="448" xfId="88" applyNumberFormat="1" applyFont="1" applyFill="1" applyBorder="1" applyAlignment="1">
      <alignment vertical="center"/>
    </xf>
    <xf numFmtId="0" fontId="278" fillId="0" borderId="548" xfId="45" applyFont="1" applyFill="1" applyBorder="1" applyAlignment="1" applyProtection="1">
      <alignment vertical="center"/>
      <protection locked="0"/>
    </xf>
    <xf numFmtId="0" fontId="320" fillId="0" borderId="731" xfId="0" applyFont="1" applyFill="1" applyBorder="1" applyAlignment="1">
      <alignment vertical="top" wrapText="1"/>
    </xf>
    <xf numFmtId="4" fontId="320" fillId="0" borderId="0" xfId="2" applyNumberFormat="1" applyFont="1" applyFill="1" applyAlignment="1" applyProtection="1">
      <alignment horizontal="center" vertical="center"/>
      <protection locked="0"/>
    </xf>
    <xf numFmtId="0" fontId="278" fillId="0" borderId="397" xfId="30" applyNumberFormat="1" applyFont="1" applyFill="1" applyBorder="1" applyAlignment="1">
      <alignment horizontal="center" vertical="center"/>
    </xf>
    <xf numFmtId="4" fontId="278" fillId="0" borderId="587" xfId="2" applyNumberFormat="1" applyFont="1" applyFill="1" applyBorder="1" applyAlignment="1" applyProtection="1">
      <alignment vertical="center"/>
      <protection locked="0"/>
    </xf>
    <xf numFmtId="10" fontId="278" fillId="0" borderId="672" xfId="88" applyNumberFormat="1" applyFont="1" applyFill="1" applyBorder="1" applyAlignment="1" applyProtection="1">
      <alignment horizontal="center" vertical="center"/>
      <protection locked="0"/>
    </xf>
    <xf numFmtId="0" fontId="320" fillId="0" borderId="686" xfId="2" applyFont="1" applyFill="1" applyBorder="1" applyAlignment="1" applyProtection="1">
      <alignment horizontal="center" vertical="center"/>
      <protection locked="0"/>
    </xf>
    <xf numFmtId="43" fontId="320" fillId="0" borderId="285" xfId="1" applyFont="1" applyFill="1" applyBorder="1" applyAlignment="1">
      <alignment horizontal="center" vertical="center"/>
    </xf>
    <xf numFmtId="181" fontId="320" fillId="0" borderId="368" xfId="30" applyNumberFormat="1" applyFont="1" applyFill="1" applyBorder="1" applyAlignment="1" applyProtection="1">
      <alignment vertical="center"/>
      <protection locked="0"/>
    </xf>
    <xf numFmtId="1" fontId="320" fillId="0" borderId="685" xfId="55" applyNumberFormat="1" applyFont="1" applyFill="1" applyBorder="1" applyAlignment="1" applyProtection="1">
      <alignment horizontal="center" vertical="center"/>
      <protection locked="0"/>
    </xf>
    <xf numFmtId="0" fontId="320" fillId="0" borderId="707" xfId="30" applyFont="1" applyFill="1" applyBorder="1" applyAlignment="1" applyProtection="1">
      <alignment horizontal="center" vertical="center"/>
      <protection locked="0"/>
    </xf>
    <xf numFmtId="4" fontId="278" fillId="0" borderId="668" xfId="30" applyNumberFormat="1" applyFont="1" applyFill="1" applyBorder="1" applyAlignment="1" applyProtection="1">
      <alignment vertical="center"/>
      <protection locked="0"/>
    </xf>
    <xf numFmtId="43" fontId="323" fillId="0" borderId="0" xfId="1" applyFont="1" applyFill="1" applyAlignment="1" applyProtection="1">
      <alignment vertical="center"/>
      <protection locked="0"/>
    </xf>
    <xf numFmtId="43" fontId="323" fillId="0" borderId="709" xfId="1" applyFont="1" applyFill="1" applyBorder="1" applyAlignment="1" applyProtection="1">
      <alignment horizontal="center" vertical="center"/>
      <protection locked="0"/>
    </xf>
    <xf numFmtId="43" fontId="323" fillId="0" borderId="433" xfId="1" applyFont="1" applyFill="1" applyBorder="1" applyAlignment="1" applyProtection="1">
      <alignment horizontal="center" vertical="center"/>
      <protection locked="0"/>
    </xf>
    <xf numFmtId="43" fontId="323" fillId="0" borderId="0" xfId="1" applyFont="1" applyFill="1" applyBorder="1" applyAlignment="1" applyProtection="1">
      <alignment vertical="center"/>
      <protection locked="0"/>
    </xf>
    <xf numFmtId="43" fontId="323" fillId="0" borderId="709" xfId="1" applyFont="1" applyFill="1" applyBorder="1" applyAlignment="1" applyProtection="1">
      <alignment vertical="center"/>
      <protection locked="0"/>
    </xf>
    <xf numFmtId="43" fontId="323" fillId="0" borderId="433" xfId="1" applyFont="1" applyFill="1" applyBorder="1" applyAlignment="1" applyProtection="1">
      <alignment vertical="center"/>
      <protection locked="0"/>
    </xf>
    <xf numFmtId="43" fontId="323" fillId="0" borderId="685" xfId="1" applyFont="1" applyFill="1" applyBorder="1" applyAlignment="1" applyProtection="1">
      <alignment vertical="center"/>
      <protection locked="0"/>
    </xf>
    <xf numFmtId="0" fontId="320" fillId="0" borderId="0" xfId="0" applyFont="1" applyFill="1" applyBorder="1" applyAlignment="1" applyProtection="1">
      <alignment horizontal="center" vertical="center"/>
      <protection locked="0"/>
    </xf>
    <xf numFmtId="0" fontId="320" fillId="0" borderId="0" xfId="0" applyFont="1" applyFill="1" applyBorder="1" applyAlignment="1" applyProtection="1">
      <alignment horizontal="right" vertical="center"/>
      <protection locked="0"/>
    </xf>
    <xf numFmtId="1" fontId="320" fillId="0" borderId="0" xfId="30" applyNumberFormat="1" applyFont="1" applyFill="1" applyBorder="1" applyAlignment="1" applyProtection="1">
      <alignment horizontal="right" vertical="center"/>
      <protection locked="0"/>
    </xf>
    <xf numFmtId="1" fontId="320" fillId="0" borderId="0" xfId="42" applyNumberFormat="1" applyFont="1" applyFill="1" applyBorder="1" applyAlignment="1" applyProtection="1">
      <alignment horizontal="right" vertical="center"/>
      <protection locked="0"/>
    </xf>
    <xf numFmtId="43" fontId="321" fillId="0" borderId="685" xfId="1" applyFont="1" applyFill="1" applyBorder="1" applyAlignment="1" applyProtection="1">
      <alignment vertical="center" wrapText="1"/>
      <protection locked="0"/>
    </xf>
    <xf numFmtId="0" fontId="319" fillId="0" borderId="0" xfId="0" applyFont="1" applyFill="1" applyBorder="1" applyAlignment="1" applyProtection="1">
      <alignment horizontal="center" vertical="center"/>
      <protection locked="0"/>
    </xf>
    <xf numFmtId="0" fontId="321" fillId="0" borderId="0" xfId="0" applyFont="1" applyFill="1" applyBorder="1" applyAlignment="1" applyProtection="1">
      <alignment horizontal="right" vertical="center"/>
      <protection locked="0"/>
    </xf>
    <xf numFmtId="1" fontId="321" fillId="0" borderId="0" xfId="30" applyNumberFormat="1" applyFont="1" applyFill="1" applyBorder="1" applyAlignment="1" applyProtection="1">
      <alignment horizontal="right" vertical="center"/>
      <protection locked="0"/>
    </xf>
    <xf numFmtId="1" fontId="321" fillId="0" borderId="0" xfId="42" applyNumberFormat="1" applyFont="1" applyFill="1" applyBorder="1" applyAlignment="1" applyProtection="1">
      <alignment horizontal="right" vertical="center"/>
      <protection locked="0"/>
    </xf>
    <xf numFmtId="1" fontId="319" fillId="0" borderId="0" xfId="42" applyNumberFormat="1" applyFont="1" applyFill="1" applyBorder="1" applyAlignment="1" applyProtection="1">
      <alignment horizontal="center" vertical="center"/>
      <protection locked="0"/>
    </xf>
    <xf numFmtId="43" fontId="322" fillId="0" borderId="685" xfId="1" applyFont="1" applyFill="1" applyBorder="1" applyAlignment="1" applyProtection="1">
      <alignment vertical="center"/>
      <protection locked="0"/>
    </xf>
    <xf numFmtId="0" fontId="323" fillId="0" borderId="0" xfId="0" applyFont="1" applyFill="1" applyBorder="1" applyAlignment="1" applyProtection="1">
      <alignment vertical="center"/>
      <protection locked="0"/>
    </xf>
    <xf numFmtId="3" fontId="278" fillId="0" borderId="0" xfId="2" applyNumberFormat="1" applyFont="1" applyFill="1" applyAlignment="1">
      <alignment vertical="center"/>
    </xf>
    <xf numFmtId="43" fontId="323" fillId="0" borderId="685" xfId="1" applyFont="1" applyFill="1" applyBorder="1" applyAlignment="1" applyProtection="1">
      <alignment vertical="center" wrapText="1"/>
      <protection locked="0"/>
    </xf>
    <xf numFmtId="0" fontId="278" fillId="0" borderId="685" xfId="0" applyFont="1" applyFill="1" applyBorder="1" applyAlignment="1" applyProtection="1">
      <alignment horizontal="center" vertical="center"/>
      <protection locked="0"/>
    </xf>
    <xf numFmtId="4" fontId="278" fillId="0" borderId="685" xfId="1" applyNumberFormat="1" applyFont="1" applyFill="1" applyBorder="1" applyAlignment="1" applyProtection="1">
      <alignment vertical="center"/>
      <protection locked="0"/>
    </xf>
    <xf numFmtId="43" fontId="323" fillId="0" borderId="685" xfId="1" applyFont="1" applyFill="1" applyBorder="1" applyAlignment="1" applyProtection="1">
      <alignment horizontal="left" vertical="center"/>
      <protection locked="0"/>
    </xf>
    <xf numFmtId="43" fontId="323" fillId="0" borderId="448" xfId="1" applyFont="1" applyFill="1" applyBorder="1" applyAlignment="1" applyProtection="1">
      <alignment horizontal="left" vertical="center"/>
      <protection locked="0"/>
    </xf>
    <xf numFmtId="0" fontId="320" fillId="0" borderId="731" xfId="2" applyNumberFormat="1" applyFont="1" applyFill="1" applyBorder="1" applyAlignment="1" applyProtection="1">
      <alignment vertical="center"/>
      <protection locked="0"/>
    </xf>
    <xf numFmtId="0" fontId="320" fillId="0" borderId="398" xfId="2" applyNumberFormat="1" applyFont="1" applyFill="1" applyBorder="1" applyAlignment="1" applyProtection="1">
      <alignment vertical="center"/>
      <protection locked="0"/>
    </xf>
    <xf numFmtId="4" fontId="320" fillId="0" borderId="285" xfId="2" applyNumberFormat="1" applyFont="1" applyFill="1" applyBorder="1" applyAlignment="1" applyProtection="1">
      <alignment vertical="center"/>
      <protection hidden="1"/>
    </xf>
    <xf numFmtId="43" fontId="321" fillId="0" borderId="731" xfId="1" applyFont="1" applyFill="1" applyBorder="1" applyAlignment="1" applyProtection="1">
      <alignment vertical="center"/>
      <protection locked="0"/>
    </xf>
    <xf numFmtId="4" fontId="320" fillId="0" borderId="685" xfId="2" applyNumberFormat="1" applyFont="1" applyFill="1" applyBorder="1" applyAlignment="1" applyProtection="1">
      <alignment vertical="center"/>
    </xf>
    <xf numFmtId="43" fontId="321" fillId="0" borderId="0" xfId="1" applyFont="1" applyFill="1" applyBorder="1" applyAlignment="1">
      <alignment vertical="center"/>
    </xf>
    <xf numFmtId="0" fontId="320" fillId="0" borderId="412" xfId="2" applyFont="1" applyFill="1" applyBorder="1" applyAlignment="1" applyProtection="1">
      <alignment horizontal="center" vertical="center"/>
      <protection locked="0"/>
    </xf>
    <xf numFmtId="1" fontId="320" fillId="0" borderId="686" xfId="2" applyNumberFormat="1" applyFont="1" applyFill="1" applyBorder="1" applyAlignment="1" applyProtection="1">
      <alignment horizontal="center" vertical="center"/>
      <protection locked="0"/>
    </xf>
    <xf numFmtId="0" fontId="320" fillId="0" borderId="672" xfId="2" applyFont="1" applyFill="1" applyBorder="1" applyAlignment="1" applyProtection="1">
      <alignment horizontal="center" vertical="center"/>
      <protection locked="0"/>
    </xf>
    <xf numFmtId="0" fontId="320" fillId="0" borderId="672" xfId="2" applyNumberFormat="1" applyFont="1" applyFill="1" applyBorder="1" applyAlignment="1" applyProtection="1">
      <alignment vertical="center"/>
      <protection locked="0"/>
    </xf>
    <xf numFmtId="0" fontId="320" fillId="0" borderId="536" xfId="2" applyNumberFormat="1" applyFont="1" applyFill="1" applyBorder="1" applyAlignment="1" applyProtection="1">
      <alignment vertical="center"/>
      <protection locked="0"/>
    </xf>
    <xf numFmtId="4" fontId="320" fillId="0" borderId="703" xfId="1" applyNumberFormat="1" applyFont="1" applyFill="1" applyBorder="1" applyAlignment="1" applyProtection="1">
      <alignment vertical="center"/>
      <protection locked="0"/>
    </xf>
    <xf numFmtId="49" fontId="278" fillId="0" borderId="368" xfId="2" applyNumberFormat="1" applyFont="1" applyFill="1" applyBorder="1" applyAlignment="1" applyProtection="1">
      <alignment horizontal="center" vertical="center"/>
      <protection locked="0"/>
    </xf>
    <xf numFmtId="49" fontId="278" fillId="0" borderId="31" xfId="2" applyNumberFormat="1" applyFont="1" applyFill="1" applyBorder="1" applyAlignment="1" applyProtection="1">
      <alignment horizontal="center" vertical="center"/>
      <protection locked="0"/>
    </xf>
    <xf numFmtId="0" fontId="278" fillId="0" borderId="547" xfId="2" applyFont="1" applyFill="1" applyBorder="1" applyAlignment="1" applyProtection="1">
      <alignment horizontal="left" vertical="center"/>
      <protection locked="0"/>
    </xf>
    <xf numFmtId="43" fontId="323" fillId="0" borderId="355" xfId="1" applyFont="1" applyFill="1" applyBorder="1" applyAlignment="1" applyProtection="1">
      <alignment vertical="center"/>
      <protection locked="0"/>
    </xf>
    <xf numFmtId="0" fontId="278" fillId="0" borderId="558" xfId="30" applyNumberFormat="1" applyFont="1" applyFill="1" applyBorder="1" applyAlignment="1" applyProtection="1">
      <alignment horizontal="center" vertical="center"/>
      <protection locked="0"/>
    </xf>
    <xf numFmtId="4" fontId="320" fillId="0" borderId="719" xfId="36" applyNumberFormat="1" applyFont="1" applyFill="1" applyBorder="1" applyAlignment="1" applyProtection="1">
      <alignment vertical="center"/>
      <protection locked="0"/>
    </xf>
    <xf numFmtId="49" fontId="320" fillId="0" borderId="368" xfId="36" applyNumberFormat="1" applyFont="1" applyFill="1" applyBorder="1" applyAlignment="1" applyProtection="1">
      <alignment vertical="center"/>
      <protection locked="0"/>
    </xf>
    <xf numFmtId="4" fontId="320" fillId="0" borderId="731" xfId="36" applyNumberFormat="1" applyFont="1" applyFill="1" applyBorder="1" applyAlignment="1" applyProtection="1">
      <alignment vertical="center"/>
      <protection locked="0"/>
    </xf>
    <xf numFmtId="4" fontId="320" fillId="0" borderId="398" xfId="36" applyNumberFormat="1" applyFont="1" applyFill="1" applyBorder="1" applyAlignment="1" applyProtection="1">
      <alignment vertical="center"/>
      <protection locked="0"/>
    </xf>
    <xf numFmtId="0" fontId="320" fillId="0" borderId="368" xfId="36" applyFont="1" applyFill="1" applyBorder="1" applyAlignment="1" applyProtection="1">
      <alignment vertical="center"/>
      <protection locked="0"/>
    </xf>
    <xf numFmtId="4" fontId="320" fillId="0" borderId="731" xfId="36" applyNumberFormat="1" applyFont="1" applyFill="1" applyBorder="1" applyAlignment="1" applyProtection="1">
      <alignment vertical="center"/>
      <protection hidden="1"/>
    </xf>
    <xf numFmtId="4" fontId="320" fillId="0" borderId="398" xfId="36" applyNumberFormat="1" applyFont="1" applyFill="1" applyBorder="1" applyAlignment="1" applyProtection="1">
      <alignment vertical="center"/>
      <protection hidden="1"/>
    </xf>
    <xf numFmtId="4" fontId="320" fillId="0" borderId="731" xfId="36" applyNumberFormat="1" applyFont="1" applyFill="1" applyBorder="1" applyAlignment="1" applyProtection="1">
      <alignment vertical="center"/>
    </xf>
    <xf numFmtId="4" fontId="320" fillId="0" borderId="448" xfId="36" applyNumberFormat="1" applyFont="1" applyFill="1" applyBorder="1" applyAlignment="1" applyProtection="1">
      <alignment horizontal="right" vertical="center"/>
      <protection locked="0"/>
    </xf>
    <xf numFmtId="4" fontId="320" fillId="0" borderId="548" xfId="36" applyNumberFormat="1" applyFont="1" applyFill="1" applyBorder="1" applyAlignment="1" applyProtection="1">
      <alignment horizontal="right" vertical="center"/>
      <protection locked="0"/>
    </xf>
    <xf numFmtId="4" fontId="320" fillId="0" borderId="628" xfId="36" applyNumberFormat="1" applyFont="1" applyFill="1" applyBorder="1" applyAlignment="1" applyProtection="1">
      <alignment vertical="center"/>
      <protection locked="0"/>
    </xf>
    <xf numFmtId="0" fontId="320" fillId="0" borderId="243" xfId="36" applyFont="1" applyFill="1" applyBorder="1" applyAlignment="1" applyProtection="1">
      <alignment vertical="center"/>
      <protection locked="0"/>
    </xf>
    <xf numFmtId="0" fontId="320" fillId="0" borderId="397" xfId="36" applyFont="1" applyFill="1" applyBorder="1" applyAlignment="1" applyProtection="1">
      <alignment horizontal="center" vertical="center"/>
      <protection locked="0"/>
    </xf>
    <xf numFmtId="4" fontId="278" fillId="0" borderId="633" xfId="36" applyNumberFormat="1" applyFont="1" applyFill="1" applyBorder="1" applyAlignment="1" applyProtection="1">
      <alignment vertical="center"/>
      <protection locked="0"/>
    </xf>
    <xf numFmtId="4" fontId="278" fillId="0" borderId="485" xfId="36" applyNumberFormat="1" applyFont="1" applyFill="1" applyBorder="1" applyAlignment="1" applyProtection="1">
      <alignment vertical="center"/>
      <protection locked="0"/>
    </xf>
    <xf numFmtId="4" fontId="278" fillId="0" borderId="356" xfId="36" applyNumberFormat="1" applyFont="1" applyFill="1" applyBorder="1" applyAlignment="1" applyProtection="1">
      <alignment vertical="center"/>
      <protection locked="0"/>
    </xf>
    <xf numFmtId="0" fontId="278" fillId="0" borderId="685" xfId="30" applyFont="1" applyFill="1" applyBorder="1" applyAlignment="1" applyProtection="1">
      <alignment horizontal="center" vertical="center" wrapText="1"/>
      <protection locked="0"/>
    </xf>
    <xf numFmtId="4" fontId="320" fillId="0" borderId="731" xfId="36" applyNumberFormat="1" applyFont="1" applyFill="1" applyBorder="1" applyAlignment="1" applyProtection="1">
      <alignment horizontal="right" vertical="center"/>
      <protection locked="0"/>
    </xf>
    <xf numFmtId="43" fontId="320" fillId="0" borderId="0" xfId="36" applyNumberFormat="1" applyFont="1" applyFill="1" applyAlignment="1">
      <alignment vertical="center"/>
    </xf>
    <xf numFmtId="43" fontId="278" fillId="0" borderId="569" xfId="36" applyNumberFormat="1" applyFont="1" applyFill="1" applyBorder="1" applyAlignment="1">
      <alignment vertical="center"/>
    </xf>
    <xf numFmtId="0" fontId="320" fillId="0" borderId="626" xfId="36" applyFont="1" applyFill="1" applyBorder="1" applyAlignment="1" applyProtection="1">
      <alignment vertical="center"/>
      <protection locked="0"/>
    </xf>
    <xf numFmtId="0" fontId="278" fillId="0" borderId="709" xfId="36" applyFont="1" applyFill="1" applyBorder="1" applyAlignment="1" applyProtection="1">
      <alignment horizontal="center" vertical="center"/>
      <protection locked="0"/>
    </xf>
    <xf numFmtId="1" fontId="278" fillId="0" borderId="672" xfId="36" applyNumberFormat="1" applyFont="1" applyFill="1" applyBorder="1" applyAlignment="1" applyProtection="1">
      <alignment horizontal="center" vertical="center"/>
      <protection locked="0"/>
    </xf>
    <xf numFmtId="4" fontId="278" fillId="0" borderId="673" xfId="36" applyNumberFormat="1" applyFont="1" applyFill="1" applyBorder="1" applyAlignment="1" applyProtection="1">
      <alignment horizontal="center" vertical="center"/>
      <protection locked="0"/>
    </xf>
    <xf numFmtId="4" fontId="278" fillId="0" borderId="473" xfId="36" applyNumberFormat="1" applyFont="1" applyFill="1" applyBorder="1" applyAlignment="1" applyProtection="1">
      <alignment horizontal="center" vertical="center"/>
      <protection locked="0"/>
    </xf>
    <xf numFmtId="4" fontId="278" fillId="0" borderId="731" xfId="36" applyNumberFormat="1" applyFont="1" applyFill="1" applyBorder="1" applyAlignment="1" applyProtection="1">
      <alignment horizontal="center" vertical="center"/>
      <protection locked="0"/>
    </xf>
    <xf numFmtId="4" fontId="278" fillId="0" borderId="398" xfId="36" applyNumberFormat="1" applyFont="1" applyFill="1" applyBorder="1" applyAlignment="1" applyProtection="1">
      <alignment horizontal="center" vertical="center"/>
      <protection locked="0"/>
    </xf>
    <xf numFmtId="0" fontId="278" fillId="0" borderId="433" xfId="36" applyFont="1" applyFill="1" applyBorder="1" applyAlignment="1" applyProtection="1">
      <alignment horizontal="center" vertical="center"/>
      <protection locked="0"/>
    </xf>
    <xf numFmtId="0" fontId="278" fillId="0" borderId="434" xfId="36" applyNumberFormat="1" applyFont="1" applyFill="1" applyBorder="1" applyAlignment="1" applyProtection="1">
      <alignment horizontal="center" vertical="center"/>
      <protection locked="0"/>
    </xf>
    <xf numFmtId="0" fontId="278" fillId="0" borderId="437" xfId="36" applyNumberFormat="1" applyFont="1" applyFill="1" applyBorder="1" applyAlignment="1" applyProtection="1">
      <alignment horizontal="center" vertical="center"/>
      <protection locked="0"/>
    </xf>
    <xf numFmtId="0" fontId="320" fillId="0" borderId="731" xfId="36" applyNumberFormat="1" applyFont="1" applyFill="1" applyBorder="1" applyAlignment="1" applyProtection="1">
      <alignment vertical="center"/>
      <protection locked="0"/>
    </xf>
    <xf numFmtId="0" fontId="320" fillId="0" borderId="398" xfId="36" applyNumberFormat="1" applyFont="1" applyFill="1" applyBorder="1" applyAlignment="1" applyProtection="1">
      <alignment vertical="center"/>
      <protection locked="0"/>
    </xf>
    <xf numFmtId="43" fontId="320" fillId="0" borderId="398" xfId="1" applyFont="1" applyFill="1" applyBorder="1"/>
    <xf numFmtId="1" fontId="320" fillId="0" borderId="397" xfId="36" applyNumberFormat="1" applyFont="1" applyFill="1" applyBorder="1" applyAlignment="1" applyProtection="1">
      <alignment horizontal="center" vertical="center"/>
      <protection locked="0"/>
    </xf>
    <xf numFmtId="1" fontId="320" fillId="0" borderId="685" xfId="36" applyNumberFormat="1" applyFont="1" applyFill="1" applyBorder="1" applyAlignment="1">
      <alignment horizontal="center" vertical="center" wrapText="1"/>
    </xf>
    <xf numFmtId="0" fontId="278" fillId="0" borderId="731" xfId="36" applyNumberFormat="1" applyFont="1" applyFill="1" applyBorder="1" applyAlignment="1" applyProtection="1">
      <alignment horizontal="center" vertical="center"/>
      <protection locked="0"/>
    </xf>
    <xf numFmtId="0" fontId="278" fillId="0" borderId="398" xfId="36" applyNumberFormat="1" applyFont="1" applyFill="1" applyBorder="1" applyAlignment="1" applyProtection="1">
      <alignment horizontal="center" vertical="center"/>
      <protection locked="0"/>
    </xf>
    <xf numFmtId="4" fontId="320" fillId="0" borderId="398" xfId="36" applyNumberFormat="1" applyFont="1" applyFill="1" applyBorder="1" applyAlignment="1">
      <alignment vertical="center"/>
    </xf>
    <xf numFmtId="0" fontId="278" fillId="0" borderId="684" xfId="36" applyNumberFormat="1" applyFont="1" applyFill="1" applyBorder="1" applyAlignment="1" applyProtection="1">
      <alignment vertical="center"/>
      <protection locked="0"/>
    </xf>
    <xf numFmtId="0" fontId="278" fillId="0" borderId="687" xfId="36" applyNumberFormat="1" applyFont="1" applyFill="1" applyBorder="1" applyAlignment="1" applyProtection="1">
      <alignment vertical="center"/>
      <protection locked="0"/>
    </xf>
    <xf numFmtId="0" fontId="278" fillId="0" borderId="702" xfId="36" applyNumberFormat="1" applyFont="1" applyFill="1" applyBorder="1" applyAlignment="1" applyProtection="1">
      <alignment vertical="center"/>
      <protection locked="0"/>
    </xf>
    <xf numFmtId="4" fontId="320" fillId="0" borderId="731" xfId="36" applyNumberFormat="1" applyFont="1" applyFill="1" applyBorder="1" applyAlignment="1">
      <alignment vertical="center"/>
    </xf>
    <xf numFmtId="49" fontId="278" fillId="0" borderId="368" xfId="36" applyNumberFormat="1" applyFont="1" applyFill="1" applyBorder="1" applyAlignment="1" applyProtection="1">
      <alignment vertical="center"/>
      <protection locked="0"/>
    </xf>
    <xf numFmtId="4" fontId="278" fillId="0" borderId="700" xfId="36" applyNumberFormat="1" applyFont="1" applyFill="1" applyBorder="1" applyAlignment="1" applyProtection="1">
      <alignment vertical="center"/>
      <protection locked="0"/>
    </xf>
    <xf numFmtId="4" fontId="278" fillId="0" borderId="632" xfId="36" applyNumberFormat="1" applyFont="1" applyFill="1" applyBorder="1" applyAlignment="1" applyProtection="1">
      <alignment vertical="center"/>
      <protection locked="0"/>
    </xf>
    <xf numFmtId="4" fontId="278" fillId="0" borderId="685" xfId="36" applyNumberFormat="1" applyFont="1" applyFill="1" applyBorder="1" applyAlignment="1" applyProtection="1">
      <alignment vertical="center"/>
      <protection locked="0"/>
    </xf>
    <xf numFmtId="4" fontId="278" fillId="0" borderId="731" xfId="36" applyNumberFormat="1" applyFont="1" applyFill="1" applyBorder="1" applyAlignment="1" applyProtection="1">
      <alignment vertical="center"/>
      <protection locked="0"/>
    </xf>
    <xf numFmtId="4" fontId="278" fillId="0" borderId="398" xfId="36" applyNumberFormat="1" applyFont="1" applyFill="1" applyBorder="1" applyAlignment="1" applyProtection="1">
      <alignment vertical="center"/>
      <protection locked="0"/>
    </xf>
    <xf numFmtId="0" fontId="320" fillId="0" borderId="731" xfId="36" applyFont="1" applyFill="1" applyBorder="1" applyAlignment="1" applyProtection="1">
      <alignment vertical="center"/>
      <protection locked="0"/>
    </xf>
    <xf numFmtId="4" fontId="320" fillId="0" borderId="448" xfId="36" applyNumberFormat="1" applyFont="1" applyFill="1" applyBorder="1" applyAlignment="1" applyProtection="1">
      <alignment vertical="center"/>
      <protection locked="0"/>
    </xf>
    <xf numFmtId="0" fontId="278" fillId="0" borderId="731" xfId="36" applyFont="1" applyFill="1" applyBorder="1" applyAlignment="1" applyProtection="1">
      <alignment vertical="center"/>
      <protection locked="0"/>
    </xf>
    <xf numFmtId="4" fontId="278" fillId="0" borderId="713" xfId="36" applyNumberFormat="1" applyFont="1" applyFill="1" applyBorder="1" applyAlignment="1" applyProtection="1">
      <alignment vertical="center"/>
      <protection locked="0"/>
    </xf>
    <xf numFmtId="4" fontId="278" fillId="0" borderId="701" xfId="36" applyNumberFormat="1" applyFont="1" applyFill="1" applyBorder="1" applyAlignment="1" applyProtection="1">
      <alignment vertical="center"/>
      <protection locked="0"/>
    </xf>
    <xf numFmtId="49" fontId="278" fillId="0" borderId="31" xfId="36" applyNumberFormat="1" applyFont="1" applyFill="1" applyBorder="1" applyAlignment="1" applyProtection="1">
      <alignment vertical="center"/>
      <protection locked="0"/>
    </xf>
    <xf numFmtId="0" fontId="278" fillId="0" borderId="548" xfId="36" applyFont="1" applyFill="1" applyBorder="1" applyAlignment="1" applyProtection="1">
      <alignment vertical="center"/>
      <protection locked="0"/>
    </xf>
    <xf numFmtId="1" fontId="278" fillId="0" borderId="448" xfId="36" applyNumberFormat="1" applyFont="1" applyFill="1" applyBorder="1" applyAlignment="1" applyProtection="1">
      <alignment horizontal="center" vertical="center"/>
      <protection locked="0"/>
    </xf>
    <xf numFmtId="4" fontId="278" fillId="0" borderId="434" xfId="36" applyNumberFormat="1" applyFont="1" applyFill="1" applyBorder="1" applyAlignment="1" applyProtection="1">
      <alignment vertical="center"/>
      <protection locked="0"/>
    </xf>
    <xf numFmtId="4" fontId="278" fillId="0" borderId="437" xfId="36" applyNumberFormat="1" applyFont="1" applyFill="1" applyBorder="1" applyAlignment="1" applyProtection="1">
      <alignment vertical="center"/>
      <protection locked="0"/>
    </xf>
    <xf numFmtId="0" fontId="320" fillId="0" borderId="0" xfId="46" applyFont="1" applyFill="1" applyAlignment="1" applyProtection="1">
      <alignment horizontal="center" vertical="center"/>
      <protection locked="0"/>
    </xf>
    <xf numFmtId="0" fontId="278" fillId="0" borderId="0" xfId="46" applyFont="1" applyFill="1" applyAlignment="1" applyProtection="1">
      <alignment horizontal="center" vertical="center"/>
      <protection locked="0"/>
    </xf>
    <xf numFmtId="182" fontId="21" fillId="0" borderId="0" xfId="59" applyNumberFormat="1" applyFont="1" applyFill="1" applyAlignment="1">
      <alignment horizontal="left" vertical="top" wrapText="1"/>
    </xf>
    <xf numFmtId="3" fontId="320" fillId="0" borderId="0" xfId="32" applyFont="1" applyAlignment="1">
      <alignment horizontal="justify" vertical="top" wrapText="1"/>
    </xf>
    <xf numFmtId="3" fontId="320" fillId="0" borderId="0" xfId="32" applyFont="1" applyAlignment="1">
      <alignment horizontal="left"/>
    </xf>
    <xf numFmtId="3" fontId="320" fillId="0" borderId="0" xfId="32" applyFont="1" applyAlignment="1">
      <alignment horizontal="left" vertical="top"/>
    </xf>
    <xf numFmtId="0" fontId="388" fillId="0" borderId="0" xfId="59" applyFont="1" applyFill="1" applyBorder="1" applyAlignment="1">
      <alignment horizontal="center" vertical="center"/>
    </xf>
    <xf numFmtId="43" fontId="19" fillId="0" borderId="589" xfId="1" applyFont="1" applyFill="1" applyBorder="1"/>
    <xf numFmtId="0" fontId="21" fillId="0" borderId="40" xfId="59" applyFont="1" applyFill="1" applyBorder="1"/>
    <xf numFmtId="43" fontId="21" fillId="0" borderId="0" xfId="1" applyFont="1" applyFill="1" applyAlignment="1">
      <alignment horizontal="center"/>
    </xf>
    <xf numFmtId="0" fontId="21" fillId="0" borderId="0" xfId="1" applyNumberFormat="1" applyFont="1" applyFill="1" applyAlignment="1">
      <alignment horizontal="center"/>
    </xf>
    <xf numFmtId="43" fontId="19" fillId="0" borderId="0" xfId="88" applyNumberFormat="1" applyFont="1" applyFill="1"/>
    <xf numFmtId="43" fontId="66" fillId="0" borderId="0" xfId="1" applyFont="1" applyFill="1"/>
    <xf numFmtId="43" fontId="66" fillId="0" borderId="0" xfId="88" applyNumberFormat="1" applyFont="1" applyFill="1"/>
    <xf numFmtId="43" fontId="21" fillId="0" borderId="433" xfId="1" applyFont="1" applyFill="1" applyBorder="1"/>
    <xf numFmtId="43" fontId="21" fillId="0" borderId="1" xfId="59" applyNumberFormat="1" applyFont="1" applyFill="1" applyBorder="1"/>
    <xf numFmtId="43" fontId="21" fillId="0" borderId="0" xfId="1" applyFont="1" applyFill="1"/>
    <xf numFmtId="43" fontId="19" fillId="0" borderId="0" xfId="5" applyFont="1" applyFill="1"/>
    <xf numFmtId="43" fontId="19" fillId="0" borderId="0" xfId="0" applyNumberFormat="1" applyFont="1" applyFill="1" applyBorder="1"/>
    <xf numFmtId="43" fontId="19" fillId="0" borderId="0" xfId="1" applyFont="1" applyFill="1" applyBorder="1"/>
    <xf numFmtId="43" fontId="29" fillId="0" borderId="0" xfId="1" applyFont="1" applyFill="1"/>
    <xf numFmtId="0" fontId="20" fillId="0" borderId="0" xfId="59" applyNumberFormat="1" applyFont="1" applyFill="1" applyAlignment="1">
      <alignment horizontal="center"/>
    </xf>
    <xf numFmtId="43" fontId="21" fillId="0" borderId="13" xfId="59" applyNumberFormat="1" applyFont="1" applyFill="1" applyBorder="1"/>
    <xf numFmtId="43" fontId="19" fillId="0" borderId="0" xfId="1" applyFont="1" applyFill="1" applyBorder="1" applyAlignment="1" applyProtection="1">
      <alignment vertical="top"/>
      <protection locked="0"/>
    </xf>
    <xf numFmtId="43" fontId="19" fillId="0" borderId="0" xfId="1" applyFont="1" applyFill="1" applyBorder="1" applyProtection="1">
      <protection locked="0"/>
    </xf>
    <xf numFmtId="43" fontId="21" fillId="0" borderId="42" xfId="59" applyNumberFormat="1" applyFont="1" applyFill="1" applyBorder="1"/>
    <xf numFmtId="43" fontId="21" fillId="0" borderId="43" xfId="54" applyNumberFormat="1" applyFont="1" applyFill="1" applyBorder="1"/>
    <xf numFmtId="10" fontId="30" fillId="0" borderId="0" xfId="60" applyNumberFormat="1" applyFont="1" applyFill="1" applyBorder="1" applyAlignment="1">
      <alignment horizontal="center"/>
    </xf>
    <xf numFmtId="0" fontId="32" fillId="0" borderId="0" xfId="59" applyFont="1" applyFill="1" applyAlignment="1">
      <alignment horizontal="right"/>
    </xf>
    <xf numFmtId="40" fontId="20" fillId="0" borderId="0" xfId="59" applyNumberFormat="1" applyFont="1" applyFill="1"/>
    <xf numFmtId="43" fontId="21" fillId="0" borderId="0" xfId="7" applyFont="1" applyFill="1"/>
    <xf numFmtId="0" fontId="19" fillId="0" borderId="0" xfId="54" applyFont="1" applyFill="1" applyAlignment="1">
      <alignment horizontal="right"/>
    </xf>
    <xf numFmtId="43" fontId="21" fillId="0" borderId="0" xfId="54" applyNumberFormat="1" applyFont="1" applyFill="1"/>
    <xf numFmtId="3" fontId="63" fillId="0" borderId="0" xfId="66" applyFont="1" applyFill="1"/>
    <xf numFmtId="3" fontId="110" fillId="0" borderId="0" xfId="66" applyFont="1" applyFill="1"/>
    <xf numFmtId="3" fontId="110" fillId="0" borderId="0" xfId="66" applyFont="1" applyFill="1" applyAlignment="1">
      <alignment horizontal="center"/>
    </xf>
    <xf numFmtId="3" fontId="111" fillId="0" borderId="0" xfId="66" applyFont="1" applyFill="1" applyAlignment="1">
      <alignment horizontal="left"/>
    </xf>
    <xf numFmtId="3" fontId="111" fillId="0" borderId="0" xfId="66" applyFont="1" applyFill="1"/>
    <xf numFmtId="3" fontId="115" fillId="0" borderId="0" xfId="66" applyFont="1" applyFill="1" applyAlignment="1">
      <alignment horizontal="right"/>
    </xf>
    <xf numFmtId="3" fontId="110" fillId="0" borderId="0" xfId="32" applyFont="1" applyFill="1" applyProtection="1">
      <protection hidden="1"/>
    </xf>
    <xf numFmtId="43" fontId="110" fillId="0" borderId="0" xfId="61" applyFont="1" applyFill="1"/>
    <xf numFmtId="3" fontId="110" fillId="0" borderId="0" xfId="66" applyFont="1" applyFill="1" applyAlignment="1">
      <alignment horizontal="right"/>
    </xf>
    <xf numFmtId="4" fontId="110" fillId="0" borderId="0" xfId="66" applyNumberFormat="1" applyFont="1" applyFill="1"/>
    <xf numFmtId="3" fontId="111" fillId="0" borderId="0" xfId="66" applyFont="1" applyFill="1" applyAlignment="1">
      <alignment horizontal="center"/>
    </xf>
    <xf numFmtId="3" fontId="390" fillId="0" borderId="0" xfId="32" applyFont="1" applyFill="1" applyBorder="1" applyAlignment="1" applyProtection="1">
      <alignment horizontal="centerContinuous"/>
      <protection hidden="1"/>
    </xf>
    <xf numFmtId="3" fontId="109" fillId="0" borderId="50" xfId="66" applyFont="1" applyFill="1" applyBorder="1"/>
    <xf numFmtId="3" fontId="109" fillId="0" borderId="25" xfId="66" applyFont="1" applyFill="1" applyBorder="1" applyAlignment="1">
      <alignment horizontal="center"/>
    </xf>
    <xf numFmtId="3" fontId="109" fillId="0" borderId="18" xfId="66" applyFont="1" applyFill="1" applyBorder="1" applyAlignment="1">
      <alignment horizontal="center"/>
    </xf>
    <xf numFmtId="3" fontId="115" fillId="0" borderId="49" xfId="66" applyFont="1" applyFill="1" applyBorder="1" applyAlignment="1">
      <alignment horizontal="left"/>
    </xf>
    <xf numFmtId="3" fontId="115" fillId="0" borderId="49" xfId="66" applyFont="1" applyFill="1" applyBorder="1" applyAlignment="1">
      <alignment horizontal="center"/>
    </xf>
    <xf numFmtId="3" fontId="391" fillId="0" borderId="416" xfId="32" applyFont="1" applyFill="1" applyBorder="1" applyAlignment="1" applyProtection="1">
      <alignment horizontal="centerContinuous"/>
      <protection hidden="1"/>
    </xf>
    <xf numFmtId="43" fontId="109" fillId="0" borderId="0" xfId="61" applyFont="1" applyFill="1"/>
    <xf numFmtId="3" fontId="109" fillId="0" borderId="0" xfId="66" applyFont="1" applyFill="1" applyAlignment="1">
      <alignment horizontal="right"/>
    </xf>
    <xf numFmtId="4" fontId="109" fillId="0" borderId="0" xfId="66" applyNumberFormat="1" applyFont="1" applyFill="1"/>
    <xf numFmtId="3" fontId="109" fillId="0" borderId="0" xfId="66" applyFont="1" applyFill="1"/>
    <xf numFmtId="3" fontId="109" fillId="0" borderId="5" xfId="66" applyFont="1" applyFill="1" applyBorder="1" applyAlignment="1">
      <alignment horizontal="center"/>
    </xf>
    <xf numFmtId="3" fontId="115" fillId="0" borderId="0" xfId="66" applyFont="1" applyFill="1" applyBorder="1" applyAlignment="1">
      <alignment horizontal="left"/>
    </xf>
    <xf numFmtId="49" fontId="115" fillId="0" borderId="0" xfId="66" applyNumberFormat="1" applyFont="1" applyFill="1" applyBorder="1" applyAlignment="1">
      <alignment horizontal="center"/>
    </xf>
    <xf numFmtId="3" fontId="391" fillId="0" borderId="201" xfId="32" applyFont="1" applyFill="1" applyBorder="1" applyAlignment="1" applyProtection="1">
      <alignment horizontal="center"/>
      <protection hidden="1"/>
    </xf>
    <xf numFmtId="3" fontId="109" fillId="0" borderId="12" xfId="66" applyFont="1" applyFill="1" applyBorder="1"/>
    <xf numFmtId="3" fontId="109" fillId="0" borderId="9" xfId="66" applyFont="1" applyFill="1" applyBorder="1" applyAlignment="1">
      <alignment horizontal="center"/>
    </xf>
    <xf numFmtId="3" fontId="109" fillId="0" borderId="10" xfId="66" applyFont="1" applyFill="1" applyBorder="1" applyAlignment="1">
      <alignment horizontal="center"/>
    </xf>
    <xf numFmtId="3" fontId="115" fillId="0" borderId="13" xfId="66" applyFont="1" applyFill="1" applyBorder="1" applyAlignment="1">
      <alignment horizontal="left"/>
    </xf>
    <xf numFmtId="3" fontId="115" fillId="0" borderId="13" xfId="66" applyFont="1" applyFill="1" applyBorder="1" applyAlignment="1">
      <alignment horizontal="center"/>
    </xf>
    <xf numFmtId="3" fontId="115" fillId="0" borderId="303" xfId="66" applyFont="1" applyFill="1" applyBorder="1" applyAlignment="1">
      <alignment horizontal="center"/>
    </xf>
    <xf numFmtId="3" fontId="391" fillId="0" borderId="303" xfId="32" applyFont="1" applyFill="1" applyBorder="1" applyAlignment="1" applyProtection="1">
      <alignment horizontal="centerContinuous"/>
      <protection hidden="1"/>
    </xf>
    <xf numFmtId="3" fontId="110" fillId="0" borderId="2" xfId="66" applyFont="1" applyFill="1" applyBorder="1"/>
    <xf numFmtId="3" fontId="110" fillId="0" borderId="82" xfId="66" applyFont="1" applyFill="1" applyBorder="1"/>
    <xf numFmtId="3" fontId="110" fillId="0" borderId="5" xfId="66" applyFont="1" applyFill="1" applyBorder="1" applyAlignment="1">
      <alignment horizontal="center"/>
    </xf>
    <xf numFmtId="3" fontId="111" fillId="0" borderId="0" xfId="66" applyFont="1" applyFill="1" applyBorder="1" applyAlignment="1">
      <alignment horizontal="left"/>
    </xf>
    <xf numFmtId="43" fontId="111" fillId="0" borderId="0" xfId="66" applyNumberFormat="1" applyFont="1" applyFill="1" applyBorder="1"/>
    <xf numFmtId="43" fontId="111" fillId="0" borderId="2" xfId="66" applyNumberFormat="1" applyFont="1" applyFill="1" applyBorder="1" applyAlignment="1">
      <alignment horizontal="left"/>
    </xf>
    <xf numFmtId="43" fontId="111" fillId="0" borderId="82" xfId="66" applyNumberFormat="1" applyFont="1" applyFill="1" applyBorder="1"/>
    <xf numFmtId="43" fontId="111" fillId="0" borderId="201" xfId="66" applyNumberFormat="1" applyFont="1" applyFill="1" applyBorder="1" applyAlignment="1">
      <alignment horizontal="center"/>
    </xf>
    <xf numFmtId="3" fontId="109" fillId="0" borderId="201" xfId="32" applyFont="1" applyFill="1" applyBorder="1" applyProtection="1">
      <protection locked="0"/>
    </xf>
    <xf numFmtId="49" fontId="116" fillId="0" borderId="2" xfId="66" applyNumberFormat="1" applyFont="1" applyFill="1" applyBorder="1"/>
    <xf numFmtId="3" fontId="109" fillId="0" borderId="82" xfId="66" applyFont="1" applyFill="1" applyBorder="1"/>
    <xf numFmtId="3" fontId="111" fillId="0" borderId="5" xfId="66" applyFont="1" applyFill="1" applyBorder="1" applyAlignment="1">
      <alignment horizontal="center"/>
    </xf>
    <xf numFmtId="3" fontId="393" fillId="0" borderId="0" xfId="66" applyFont="1" applyFill="1" applyBorder="1" applyAlignment="1">
      <alignment horizontal="left"/>
    </xf>
    <xf numFmtId="43" fontId="111" fillId="0" borderId="82" xfId="67" applyNumberFormat="1" applyFont="1" applyFill="1" applyBorder="1"/>
    <xf numFmtId="43" fontId="393" fillId="0" borderId="2" xfId="66" applyNumberFormat="1" applyFont="1" applyFill="1" applyBorder="1" applyAlignment="1">
      <alignment horizontal="left"/>
    </xf>
    <xf numFmtId="43" fontId="111" fillId="0" borderId="0" xfId="67" applyNumberFormat="1" applyFont="1" applyFill="1" applyBorder="1"/>
    <xf numFmtId="43" fontId="115" fillId="0" borderId="0" xfId="32" applyNumberFormat="1" applyFont="1" applyFill="1" applyBorder="1" applyProtection="1">
      <protection locked="0"/>
    </xf>
    <xf numFmtId="43" fontId="115" fillId="0" borderId="201" xfId="32" applyNumberFormat="1" applyFont="1" applyFill="1" applyBorder="1" applyProtection="1">
      <protection locked="0"/>
    </xf>
    <xf numFmtId="3" fontId="110" fillId="0" borderId="201" xfId="32" applyFont="1" applyFill="1" applyBorder="1" applyProtection="1">
      <protection locked="0"/>
    </xf>
    <xf numFmtId="43" fontId="111" fillId="0" borderId="0" xfId="66" applyNumberFormat="1" applyFont="1" applyFill="1" applyAlignment="1">
      <alignment horizontal="center"/>
    </xf>
    <xf numFmtId="49" fontId="394" fillId="0" borderId="2" xfId="66" applyNumberFormat="1" applyFont="1" applyFill="1" applyBorder="1"/>
    <xf numFmtId="3" fontId="374" fillId="0" borderId="82" xfId="66" applyFont="1" applyFill="1" applyBorder="1"/>
    <xf numFmtId="3" fontId="395" fillId="0" borderId="5" xfId="66" applyFont="1" applyFill="1" applyBorder="1" applyAlignment="1">
      <alignment horizontal="center"/>
    </xf>
    <xf numFmtId="3" fontId="395" fillId="0" borderId="0" xfId="66" applyFont="1" applyFill="1" applyBorder="1" applyAlignment="1">
      <alignment horizontal="left"/>
    </xf>
    <xf numFmtId="43" fontId="395" fillId="0" borderId="0" xfId="67" applyNumberFormat="1" applyFont="1" applyFill="1" applyBorder="1"/>
    <xf numFmtId="43" fontId="395" fillId="0" borderId="2" xfId="66" applyNumberFormat="1" applyFont="1" applyFill="1" applyBorder="1" applyAlignment="1">
      <alignment horizontal="left"/>
    </xf>
    <xf numFmtId="43" fontId="395" fillId="0" borderId="82" xfId="67" applyNumberFormat="1" applyFont="1" applyFill="1" applyBorder="1"/>
    <xf numFmtId="43" fontId="395" fillId="0" borderId="0" xfId="66" applyNumberFormat="1" applyFont="1" applyFill="1" applyAlignment="1">
      <alignment horizontal="center"/>
    </xf>
    <xf numFmtId="43" fontId="395" fillId="0" borderId="201" xfId="66" applyNumberFormat="1" applyFont="1" applyFill="1" applyBorder="1" applyAlignment="1">
      <alignment horizontal="center"/>
    </xf>
    <xf numFmtId="3" fontId="374" fillId="0" borderId="201" xfId="32" applyFont="1" applyFill="1" applyBorder="1" applyProtection="1">
      <protection locked="0"/>
    </xf>
    <xf numFmtId="43" fontId="374" fillId="0" borderId="0" xfId="61" applyFont="1" applyFill="1"/>
    <xf numFmtId="3" fontId="374" fillId="0" borderId="600" xfId="66" applyFont="1" applyFill="1" applyBorder="1" applyAlignment="1">
      <alignment horizontal="right"/>
    </xf>
    <xf numFmtId="4" fontId="374" fillId="0" borderId="601" xfId="66" applyNumberFormat="1" applyFont="1" applyFill="1" applyBorder="1" applyAlignment="1">
      <alignment horizontal="center"/>
    </xf>
    <xf numFmtId="4" fontId="109" fillId="0" borderId="601" xfId="66" applyNumberFormat="1" applyFont="1" applyFill="1" applyBorder="1"/>
    <xf numFmtId="3" fontId="374" fillId="0" borderId="602" xfId="66" applyFont="1" applyFill="1" applyBorder="1" applyAlignment="1">
      <alignment horizontal="center"/>
    </xf>
    <xf numFmtId="3" fontId="374" fillId="0" borderId="0" xfId="66" applyFont="1" applyFill="1"/>
    <xf numFmtId="43" fontId="111" fillId="0" borderId="584" xfId="66" applyNumberFormat="1" applyFont="1" applyFill="1" applyBorder="1" applyAlignment="1">
      <alignment horizontal="center"/>
    </xf>
    <xf numFmtId="3" fontId="110" fillId="0" borderId="603" xfId="66" applyFont="1" applyFill="1" applyBorder="1" applyAlignment="1">
      <alignment horizontal="right"/>
    </xf>
    <xf numFmtId="4" fontId="396" fillId="0" borderId="0" xfId="66" applyNumberFormat="1" applyFont="1" applyFill="1" applyBorder="1" applyAlignment="1">
      <alignment horizontal="center"/>
    </xf>
    <xf numFmtId="3" fontId="396" fillId="0" borderId="0" xfId="66" applyFont="1" applyFill="1" applyBorder="1" applyAlignment="1">
      <alignment horizontal="center"/>
    </xf>
    <xf numFmtId="3" fontId="396" fillId="0" borderId="604" xfId="66" applyFont="1" applyFill="1" applyBorder="1" applyAlignment="1">
      <alignment horizontal="center"/>
    </xf>
    <xf numFmtId="3" fontId="397" fillId="0" borderId="82" xfId="66" applyFont="1" applyFill="1" applyBorder="1"/>
    <xf numFmtId="4" fontId="110" fillId="0" borderId="0" xfId="66" applyNumberFormat="1" applyFont="1" applyFill="1" applyBorder="1"/>
    <xf numFmtId="4" fontId="110" fillId="0" borderId="604" xfId="66" applyNumberFormat="1" applyFont="1" applyFill="1" applyBorder="1"/>
    <xf numFmtId="3" fontId="111" fillId="0" borderId="82" xfId="66" applyFont="1" applyFill="1" applyBorder="1"/>
    <xf numFmtId="43" fontId="111" fillId="0" borderId="584" xfId="32" applyNumberFormat="1" applyFont="1" applyFill="1" applyBorder="1" applyProtection="1">
      <protection locked="0"/>
    </xf>
    <xf numFmtId="43" fontId="111" fillId="0" borderId="201" xfId="32" applyNumberFormat="1" applyFont="1" applyFill="1" applyBorder="1" applyProtection="1">
      <protection locked="0"/>
    </xf>
    <xf numFmtId="3" fontId="110" fillId="0" borderId="201" xfId="32" applyFont="1" applyFill="1" applyBorder="1" applyAlignment="1" applyProtection="1">
      <alignment horizontal="center"/>
      <protection locked="0"/>
    </xf>
    <xf numFmtId="4" fontId="109" fillId="0" borderId="0" xfId="66" applyNumberFormat="1" applyFont="1" applyFill="1" applyBorder="1"/>
    <xf numFmtId="3" fontId="109" fillId="0" borderId="0" xfId="66" applyFont="1" applyFill="1" applyBorder="1"/>
    <xf numFmtId="3" fontId="109" fillId="0" borderId="604" xfId="66" applyFont="1" applyFill="1" applyBorder="1"/>
    <xf numFmtId="3" fontId="111" fillId="0" borderId="2" xfId="66" applyFont="1" applyFill="1" applyBorder="1" applyAlignment="1">
      <alignment horizontal="left"/>
    </xf>
    <xf numFmtId="43" fontId="111" fillId="0" borderId="548" xfId="32" applyNumberFormat="1" applyFont="1" applyFill="1" applyBorder="1" applyProtection="1">
      <protection locked="0"/>
    </xf>
    <xf numFmtId="43" fontId="111" fillId="0" borderId="303" xfId="32" applyNumberFormat="1" applyFont="1" applyFill="1" applyBorder="1" applyProtection="1">
      <protection locked="0"/>
    </xf>
    <xf numFmtId="3" fontId="110" fillId="0" borderId="0" xfId="66" applyFont="1" applyFill="1" applyBorder="1"/>
    <xf numFmtId="3" fontId="110" fillId="0" borderId="604" xfId="66" applyFont="1" applyFill="1" applyBorder="1"/>
    <xf numFmtId="3" fontId="111" fillId="0" borderId="50" xfId="66" applyFont="1" applyFill="1" applyBorder="1" applyAlignment="1">
      <alignment horizontal="left"/>
    </xf>
    <xf numFmtId="43" fontId="111" fillId="0" borderId="49" xfId="67" applyNumberFormat="1" applyFont="1" applyFill="1" applyBorder="1"/>
    <xf numFmtId="43" fontId="111" fillId="0" borderId="50" xfId="66" applyNumberFormat="1" applyFont="1" applyFill="1" applyBorder="1" applyAlignment="1">
      <alignment horizontal="left"/>
    </xf>
    <xf numFmtId="43" fontId="111" fillId="0" borderId="25" xfId="67" applyNumberFormat="1" applyFont="1" applyFill="1" applyBorder="1"/>
    <xf numFmtId="43" fontId="111" fillId="0" borderId="557" xfId="67" applyNumberFormat="1" applyFont="1" applyFill="1" applyBorder="1"/>
    <xf numFmtId="43" fontId="111" fillId="0" borderId="416" xfId="66" applyNumberFormat="1" applyFont="1" applyFill="1" applyBorder="1" applyAlignment="1">
      <alignment horizontal="center"/>
    </xf>
    <xf numFmtId="3" fontId="396" fillId="0" borderId="0" xfId="66" applyFont="1" applyFill="1" applyBorder="1"/>
    <xf numFmtId="3" fontId="109" fillId="0" borderId="604" xfId="66" applyFont="1" applyFill="1" applyBorder="1" applyAlignment="1">
      <alignment horizontal="left"/>
    </xf>
    <xf numFmtId="49" fontId="391" fillId="0" borderId="2" xfId="66" applyNumberFormat="1" applyFont="1" applyFill="1" applyBorder="1"/>
    <xf numFmtId="3" fontId="109" fillId="0" borderId="82" xfId="66" applyFont="1" applyFill="1" applyBorder="1" applyAlignment="1">
      <alignment horizontal="center"/>
    </xf>
    <xf numFmtId="3" fontId="115" fillId="0" borderId="5" xfId="66" applyFont="1" applyFill="1" applyBorder="1" applyAlignment="1">
      <alignment horizontal="center"/>
    </xf>
    <xf numFmtId="3" fontId="393" fillId="0" borderId="2" xfId="66" applyFont="1" applyFill="1" applyBorder="1" applyAlignment="1">
      <alignment horizontal="left"/>
    </xf>
    <xf numFmtId="43" fontId="115" fillId="0" borderId="0" xfId="67" applyNumberFormat="1" applyFont="1" applyFill="1" applyBorder="1"/>
    <xf numFmtId="43" fontId="115" fillId="0" borderId="584" xfId="67" applyNumberFormat="1" applyFont="1" applyFill="1" applyBorder="1"/>
    <xf numFmtId="3" fontId="109" fillId="0" borderId="603" xfId="66" applyFont="1" applyFill="1" applyBorder="1" applyAlignment="1">
      <alignment horizontal="right"/>
    </xf>
    <xf numFmtId="3" fontId="111" fillId="0" borderId="12" xfId="66" applyFont="1" applyFill="1" applyBorder="1" applyAlignment="1">
      <alignment horizontal="left"/>
    </xf>
    <xf numFmtId="43" fontId="111" fillId="0" borderId="13" xfId="67" applyNumberFormat="1" applyFont="1" applyFill="1" applyBorder="1"/>
    <xf numFmtId="43" fontId="111" fillId="0" borderId="12" xfId="66" applyNumberFormat="1" applyFont="1" applyFill="1" applyBorder="1" applyAlignment="1">
      <alignment horizontal="left"/>
    </xf>
    <xf numFmtId="43" fontId="111" fillId="0" borderId="9" xfId="67" applyNumberFormat="1" applyFont="1" applyFill="1" applyBorder="1"/>
    <xf numFmtId="43" fontId="111" fillId="0" borderId="410" xfId="67" applyNumberFormat="1" applyFont="1" applyFill="1" applyBorder="1"/>
    <xf numFmtId="43" fontId="111" fillId="0" borderId="303" xfId="66" applyNumberFormat="1" applyFont="1" applyFill="1" applyBorder="1" applyAlignment="1">
      <alignment horizontal="center"/>
    </xf>
    <xf numFmtId="3" fontId="110" fillId="0" borderId="605" xfId="66" applyFont="1" applyFill="1" applyBorder="1" applyAlignment="1">
      <alignment horizontal="right"/>
    </xf>
    <xf numFmtId="4" fontId="110" fillId="0" borderId="606" xfId="66" applyNumberFormat="1" applyFont="1" applyFill="1" applyBorder="1"/>
    <xf numFmtId="3" fontId="110" fillId="0" borderId="606" xfId="66" applyFont="1" applyFill="1" applyBorder="1"/>
    <xf numFmtId="3" fontId="110" fillId="0" borderId="607" xfId="66" applyFont="1" applyFill="1" applyBorder="1"/>
    <xf numFmtId="43" fontId="111" fillId="0" borderId="688" xfId="32" applyNumberFormat="1" applyFont="1" applyFill="1" applyBorder="1" applyProtection="1">
      <protection locked="0"/>
    </xf>
    <xf numFmtId="49" fontId="116" fillId="0" borderId="300" xfId="66" applyNumberFormat="1" applyFont="1" applyFill="1" applyBorder="1"/>
    <xf numFmtId="3" fontId="111" fillId="0" borderId="386" xfId="66" applyFont="1" applyFill="1" applyBorder="1"/>
    <xf numFmtId="3" fontId="111" fillId="0" borderId="295" xfId="66" applyFont="1" applyFill="1" applyBorder="1" applyAlignment="1">
      <alignment horizontal="center"/>
    </xf>
    <xf numFmtId="43" fontId="111" fillId="0" borderId="300" xfId="66" applyNumberFormat="1" applyFont="1" applyFill="1" applyBorder="1" applyAlignment="1">
      <alignment horizontal="left"/>
    </xf>
    <xf numFmtId="43" fontId="111" fillId="0" borderId="388" xfId="67" applyNumberFormat="1" applyFont="1" applyFill="1" applyBorder="1"/>
    <xf numFmtId="3" fontId="111" fillId="0" borderId="419" xfId="66" applyFont="1" applyFill="1" applyBorder="1"/>
    <xf numFmtId="43" fontId="111" fillId="0" borderId="202" xfId="66" applyNumberFormat="1" applyFont="1" applyFill="1" applyBorder="1" applyAlignment="1">
      <alignment horizontal="left"/>
    </xf>
    <xf numFmtId="43" fontId="111" fillId="0" borderId="548" xfId="66" applyNumberFormat="1" applyFont="1" applyFill="1" applyBorder="1" applyAlignment="1">
      <alignment horizontal="center"/>
    </xf>
    <xf numFmtId="3" fontId="393" fillId="0" borderId="281" xfId="66" applyFont="1" applyFill="1" applyBorder="1" applyAlignment="1">
      <alignment horizontal="left"/>
    </xf>
    <xf numFmtId="43" fontId="115" fillId="0" borderId="239" xfId="67" applyNumberFormat="1" applyFont="1" applyFill="1" applyBorder="1"/>
    <xf numFmtId="43" fontId="393" fillId="0" borderId="281" xfId="66" applyNumberFormat="1" applyFont="1" applyFill="1" applyBorder="1" applyAlignment="1">
      <alignment horizontal="left"/>
    </xf>
    <xf numFmtId="43" fontId="115" fillId="0" borderId="424" xfId="67" applyNumberFormat="1" applyFont="1" applyFill="1" applyBorder="1"/>
    <xf numFmtId="43" fontId="115" fillId="0" borderId="416" xfId="32" applyNumberFormat="1" applyFont="1" applyFill="1" applyBorder="1" applyProtection="1">
      <protection locked="0"/>
    </xf>
    <xf numFmtId="43" fontId="111" fillId="0" borderId="58" xfId="67" applyNumberFormat="1" applyFont="1" applyFill="1" applyBorder="1"/>
    <xf numFmtId="43" fontId="111" fillId="0" borderId="57" xfId="66" applyNumberFormat="1" applyFont="1" applyFill="1" applyBorder="1" applyAlignment="1">
      <alignment horizontal="left"/>
    </xf>
    <xf numFmtId="43" fontId="111" fillId="0" borderId="56" xfId="67" applyNumberFormat="1" applyFont="1" applyFill="1" applyBorder="1"/>
    <xf numFmtId="43" fontId="111" fillId="0" borderId="426" xfId="67" applyNumberFormat="1" applyFont="1" applyFill="1" applyBorder="1"/>
    <xf numFmtId="43" fontId="111" fillId="0" borderId="428" xfId="66" applyNumberFormat="1" applyFont="1" applyFill="1" applyBorder="1" applyAlignment="1">
      <alignment horizontal="center"/>
    </xf>
    <xf numFmtId="43" fontId="111" fillId="0" borderId="429" xfId="66" applyNumberFormat="1" applyFont="1" applyFill="1" applyBorder="1" applyAlignment="1">
      <alignment horizontal="center"/>
    </xf>
    <xf numFmtId="3" fontId="109" fillId="0" borderId="82" xfId="66" applyFont="1" applyFill="1" applyBorder="1" applyAlignment="1">
      <alignment horizontal="left"/>
    </xf>
    <xf numFmtId="43" fontId="115" fillId="0" borderId="584" xfId="32" applyNumberFormat="1" applyFont="1" applyFill="1" applyBorder="1" applyProtection="1">
      <protection locked="0"/>
    </xf>
    <xf numFmtId="3" fontId="111" fillId="0" borderId="6" xfId="66" applyFont="1" applyFill="1" applyBorder="1" applyAlignment="1">
      <alignment horizontal="left"/>
    </xf>
    <xf numFmtId="43" fontId="111" fillId="0" borderId="1" xfId="67" applyNumberFormat="1" applyFont="1" applyFill="1" applyBorder="1"/>
    <xf numFmtId="43" fontId="111" fillId="0" borderId="6" xfId="66" applyNumberFormat="1" applyFont="1" applyFill="1" applyBorder="1" applyAlignment="1">
      <alignment horizontal="left"/>
    </xf>
    <xf numFmtId="43" fontId="111" fillId="0" borderId="8" xfId="67" applyNumberFormat="1" applyFont="1" applyFill="1" applyBorder="1"/>
    <xf numFmtId="43" fontId="111" fillId="0" borderId="430" xfId="66" applyNumberFormat="1" applyFont="1" applyFill="1" applyBorder="1" applyAlignment="1">
      <alignment horizontal="center"/>
    </xf>
    <xf numFmtId="43" fontId="111" fillId="0" borderId="427" xfId="67" applyNumberFormat="1" applyFont="1" applyFill="1" applyBorder="1"/>
    <xf numFmtId="43" fontId="111" fillId="0" borderId="431" xfId="66" applyNumberFormat="1" applyFont="1" applyFill="1" applyBorder="1" applyAlignment="1">
      <alignment horizontal="center"/>
    </xf>
    <xf numFmtId="3" fontId="110" fillId="0" borderId="91" xfId="66" applyFont="1" applyFill="1" applyBorder="1"/>
    <xf numFmtId="43" fontId="111" fillId="0" borderId="91" xfId="67" applyNumberFormat="1" applyFont="1" applyFill="1" applyBorder="1"/>
    <xf numFmtId="43" fontId="111" fillId="0" borderId="0" xfId="32" applyNumberFormat="1" applyFont="1" applyFill="1" applyBorder="1" applyProtection="1">
      <protection locked="0"/>
    </xf>
    <xf numFmtId="3" fontId="111" fillId="0" borderId="306" xfId="66" applyFont="1" applyFill="1" applyBorder="1" applyAlignment="1">
      <alignment horizontal="left"/>
    </xf>
    <xf numFmtId="43" fontId="111" fillId="0" borderId="315" xfId="67" applyNumberFormat="1" applyFont="1" applyFill="1" applyBorder="1"/>
    <xf numFmtId="43" fontId="111" fillId="0" borderId="306" xfId="66" applyNumberFormat="1" applyFont="1" applyFill="1" applyBorder="1" applyAlignment="1">
      <alignment horizontal="left"/>
    </xf>
    <xf numFmtId="43" fontId="111" fillId="0" borderId="316" xfId="67" applyNumberFormat="1" applyFont="1" applyFill="1" applyBorder="1"/>
    <xf numFmtId="43" fontId="111" fillId="0" borderId="315" xfId="32" applyNumberFormat="1" applyFont="1" applyFill="1" applyBorder="1" applyProtection="1">
      <protection locked="0"/>
    </xf>
    <xf numFmtId="3" fontId="111" fillId="0" borderId="91" xfId="66" applyFont="1" applyFill="1" applyBorder="1"/>
    <xf numFmtId="3" fontId="111" fillId="0" borderId="401" xfId="66" applyFont="1" applyFill="1" applyBorder="1" applyAlignment="1">
      <alignment horizontal="left"/>
    </xf>
    <xf numFmtId="43" fontId="111" fillId="0" borderId="622" xfId="67" applyNumberFormat="1" applyFont="1" applyFill="1" applyBorder="1"/>
    <xf numFmtId="43" fontId="111" fillId="0" borderId="401" xfId="66" applyNumberFormat="1" applyFont="1" applyFill="1" applyBorder="1" applyAlignment="1">
      <alignment horizontal="left"/>
    </xf>
    <xf numFmtId="43" fontId="111" fillId="0" borderId="593" xfId="67" applyNumberFormat="1" applyFont="1" applyFill="1" applyBorder="1"/>
    <xf numFmtId="43" fontId="111" fillId="0" borderId="622" xfId="32" applyNumberFormat="1" applyFont="1" applyFill="1" applyBorder="1" applyProtection="1">
      <protection locked="0"/>
    </xf>
    <xf numFmtId="43" fontId="111" fillId="0" borderId="509" xfId="32" applyNumberFormat="1" applyFont="1" applyFill="1" applyBorder="1" applyProtection="1">
      <protection locked="0"/>
    </xf>
    <xf numFmtId="43" fontId="111" fillId="0" borderId="509" xfId="66" applyNumberFormat="1" applyFont="1" applyFill="1" applyBorder="1" applyAlignment="1">
      <alignment horizontal="center"/>
    </xf>
    <xf numFmtId="49" fontId="116" fillId="0" borderId="202" xfId="66" applyNumberFormat="1" applyFont="1" applyFill="1" applyBorder="1"/>
    <xf numFmtId="3" fontId="110" fillId="0" borderId="199" xfId="66" applyFont="1" applyFill="1" applyBorder="1"/>
    <xf numFmtId="3" fontId="111" fillId="0" borderId="201" xfId="66" applyFont="1" applyFill="1" applyBorder="1" applyAlignment="1">
      <alignment horizontal="center"/>
    </xf>
    <xf numFmtId="3" fontId="393" fillId="0" borderId="572" xfId="66" applyFont="1" applyFill="1" applyBorder="1" applyAlignment="1">
      <alignment horizontal="left"/>
    </xf>
    <xf numFmtId="43" fontId="115" fillId="0" borderId="569" xfId="67" applyNumberFormat="1" applyFont="1" applyFill="1" applyBorder="1"/>
    <xf numFmtId="43" fontId="393" fillId="0" borderId="572" xfId="66" applyNumberFormat="1" applyFont="1" applyFill="1" applyBorder="1" applyAlignment="1">
      <alignment horizontal="left"/>
    </xf>
    <xf numFmtId="43" fontId="115" fillId="0" borderId="570" xfId="32" applyNumberFormat="1" applyFont="1" applyFill="1" applyBorder="1" applyProtection="1">
      <protection locked="0"/>
    </xf>
    <xf numFmtId="3" fontId="109" fillId="0" borderId="201" xfId="32" applyFont="1" applyFill="1" applyBorder="1" applyAlignment="1" applyProtection="1">
      <alignment horizontal="center"/>
      <protection locked="0"/>
    </xf>
    <xf numFmtId="43" fontId="109" fillId="0" borderId="0" xfId="61" applyFont="1" applyFill="1" applyAlignment="1">
      <alignment horizontal="right"/>
    </xf>
    <xf numFmtId="4" fontId="109" fillId="0" borderId="0" xfId="61" applyNumberFormat="1" applyFont="1" applyFill="1"/>
    <xf numFmtId="3" fontId="111" fillId="0" borderId="82" xfId="66" applyFont="1" applyFill="1" applyBorder="1" applyAlignment="1">
      <alignment horizontal="center"/>
    </xf>
    <xf numFmtId="3" fontId="111" fillId="0" borderId="128" xfId="66" applyFont="1" applyFill="1" applyBorder="1" applyAlignment="1">
      <alignment horizontal="left"/>
    </xf>
    <xf numFmtId="43" fontId="111" fillId="0" borderId="128" xfId="66" applyNumberFormat="1" applyFont="1" applyFill="1" applyBorder="1" applyAlignment="1">
      <alignment horizontal="left"/>
    </xf>
    <xf numFmtId="43" fontId="111" fillId="0" borderId="155" xfId="67" applyNumberFormat="1" applyFont="1" applyFill="1" applyBorder="1"/>
    <xf numFmtId="43" fontId="111" fillId="0" borderId="0" xfId="32" applyNumberFormat="1" applyFont="1" applyFill="1" applyBorder="1" applyProtection="1">
      <protection hidden="1"/>
    </xf>
    <xf numFmtId="43" fontId="111" fillId="0" borderId="416" xfId="32" applyNumberFormat="1" applyFont="1" applyFill="1" applyBorder="1" applyProtection="1">
      <protection hidden="1"/>
    </xf>
    <xf numFmtId="43" fontId="111" fillId="0" borderId="201" xfId="32" applyNumberFormat="1" applyFont="1" applyFill="1" applyBorder="1" applyProtection="1">
      <protection hidden="1"/>
    </xf>
    <xf numFmtId="43" fontId="111" fillId="0" borderId="199" xfId="67" applyNumberFormat="1" applyFont="1" applyFill="1" applyBorder="1"/>
    <xf numFmtId="43" fontId="111" fillId="0" borderId="0" xfId="66" applyNumberFormat="1" applyFont="1" applyFill="1" applyBorder="1" applyAlignment="1">
      <alignment horizontal="left"/>
    </xf>
    <xf numFmtId="3" fontId="111" fillId="0" borderId="640" xfId="66" applyFont="1" applyFill="1" applyBorder="1"/>
    <xf numFmtId="43" fontId="111" fillId="0" borderId="640" xfId="67" applyNumberFormat="1" applyFont="1" applyFill="1" applyBorder="1"/>
    <xf numFmtId="43" fontId="111" fillId="0" borderId="295" xfId="32" applyNumberFormat="1" applyFont="1" applyFill="1" applyBorder="1" applyProtection="1">
      <protection hidden="1"/>
    </xf>
    <xf numFmtId="3" fontId="110" fillId="0" borderId="295" xfId="32" applyFont="1" applyFill="1" applyBorder="1" applyAlignment="1" applyProtection="1">
      <alignment horizontal="center"/>
      <protection locked="0"/>
    </xf>
    <xf numFmtId="49" fontId="391" fillId="0" borderId="2" xfId="66" applyNumberFormat="1" applyFont="1" applyFill="1" applyBorder="1" applyAlignment="1">
      <alignment horizontal="right" vertical="center"/>
    </xf>
    <xf numFmtId="3" fontId="109" fillId="0" borderId="82" xfId="66" applyFont="1" applyFill="1" applyBorder="1" applyAlignment="1">
      <alignment horizontal="center" vertical="center"/>
    </xf>
    <xf numFmtId="3" fontId="115" fillId="0" borderId="5" xfId="66" applyFont="1" applyFill="1" applyBorder="1" applyAlignment="1">
      <alignment horizontal="center" vertical="center"/>
    </xf>
    <xf numFmtId="3" fontId="393" fillId="0" borderId="38" xfId="66" applyFont="1" applyFill="1" applyBorder="1" applyAlignment="1">
      <alignment horizontal="left" vertical="center"/>
    </xf>
    <xf numFmtId="43" fontId="115" fillId="0" borderId="11" xfId="67" applyNumberFormat="1" applyFont="1" applyFill="1" applyBorder="1" applyAlignment="1">
      <alignment horizontal="right" vertical="center"/>
    </xf>
    <xf numFmtId="43" fontId="393" fillId="0" borderId="42" xfId="66" applyNumberFormat="1" applyFont="1" applyFill="1" applyBorder="1" applyAlignment="1">
      <alignment horizontal="left" vertical="center"/>
    </xf>
    <xf numFmtId="43" fontId="393" fillId="0" borderId="38" xfId="66" applyNumberFormat="1" applyFont="1" applyFill="1" applyBorder="1" applyAlignment="1">
      <alignment horizontal="left" vertical="center"/>
    </xf>
    <xf numFmtId="43" fontId="115" fillId="0" borderId="409" xfId="67" applyNumberFormat="1" applyFont="1" applyFill="1" applyBorder="1" applyAlignment="1">
      <alignment horizontal="right" vertical="center"/>
    </xf>
    <xf numFmtId="43" fontId="115" fillId="0" borderId="407" xfId="32" applyNumberFormat="1" applyFont="1" applyFill="1" applyBorder="1" applyAlignment="1" applyProtection="1">
      <alignment horizontal="right" vertical="center"/>
      <protection locked="0"/>
    </xf>
    <xf numFmtId="3" fontId="109" fillId="0" borderId="201" xfId="32" applyFont="1" applyFill="1" applyBorder="1" applyAlignment="1" applyProtection="1">
      <alignment horizontal="right" vertical="center"/>
      <protection locked="0"/>
    </xf>
    <xf numFmtId="43" fontId="109" fillId="0" borderId="0" xfId="61" applyFont="1" applyFill="1" applyAlignment="1">
      <alignment horizontal="right" vertical="center"/>
    </xf>
    <xf numFmtId="3" fontId="109" fillId="0" borderId="0" xfId="66" applyFont="1" applyFill="1" applyAlignment="1">
      <alignment horizontal="right" vertical="center"/>
    </xf>
    <xf numFmtId="4" fontId="109" fillId="0" borderId="0" xfId="66" applyNumberFormat="1" applyFont="1" applyFill="1" applyAlignment="1">
      <alignment horizontal="right" vertical="center"/>
    </xf>
    <xf numFmtId="3" fontId="110" fillId="0" borderId="201" xfId="32" applyFont="1" applyFill="1" applyBorder="1"/>
    <xf numFmtId="43" fontId="109" fillId="0" borderId="2" xfId="9" applyFont="1" applyFill="1" applyBorder="1" applyAlignment="1">
      <alignment vertical="center"/>
    </xf>
    <xf numFmtId="43" fontId="109" fillId="0" borderId="82" xfId="9" applyFont="1" applyFill="1" applyBorder="1" applyAlignment="1">
      <alignment horizontal="center" vertical="center"/>
    </xf>
    <xf numFmtId="43" fontId="109" fillId="0" borderId="295" xfId="9" applyFont="1" applyFill="1" applyBorder="1" applyAlignment="1">
      <alignment horizontal="center" vertical="center"/>
    </xf>
    <xf numFmtId="43" fontId="115" fillId="0" borderId="42" xfId="9" applyNumberFormat="1" applyFont="1" applyFill="1" applyBorder="1" applyAlignment="1">
      <alignment vertical="center"/>
    </xf>
    <xf numFmtId="43" fontId="115" fillId="0" borderId="11" xfId="9" applyNumberFormat="1" applyFont="1" applyFill="1" applyBorder="1" applyAlignment="1">
      <alignment vertical="center"/>
    </xf>
    <xf numFmtId="43" fontId="115" fillId="0" borderId="409" xfId="9" applyNumberFormat="1" applyFont="1" applyFill="1" applyBorder="1" applyAlignment="1">
      <alignment vertical="center"/>
    </xf>
    <xf numFmtId="43" fontId="115" fillId="0" borderId="407" xfId="9" applyNumberFormat="1" applyFont="1" applyFill="1" applyBorder="1" applyAlignment="1">
      <alignment vertical="center"/>
    </xf>
    <xf numFmtId="43" fontId="109" fillId="0" borderId="201" xfId="9" applyFont="1" applyFill="1" applyBorder="1" applyAlignment="1">
      <alignment vertical="center"/>
    </xf>
    <xf numFmtId="43" fontId="109" fillId="0" borderId="0" xfId="61" applyFont="1" applyFill="1" applyAlignment="1">
      <alignment vertical="center"/>
    </xf>
    <xf numFmtId="43" fontId="109" fillId="0" borderId="0" xfId="9" applyFont="1" applyFill="1" applyAlignment="1">
      <alignment horizontal="right" vertical="center"/>
    </xf>
    <xf numFmtId="4" fontId="109" fillId="0" borderId="0" xfId="9" applyNumberFormat="1" applyFont="1" applyFill="1" applyAlignment="1">
      <alignment vertical="center"/>
    </xf>
    <xf numFmtId="43" fontId="109" fillId="0" borderId="0" xfId="9" applyFont="1" applyFill="1" applyAlignment="1">
      <alignment vertical="center"/>
    </xf>
    <xf numFmtId="3" fontId="110" fillId="0" borderId="295" xfId="66" applyFont="1" applyFill="1" applyBorder="1" applyAlignment="1">
      <alignment horizontal="center"/>
    </xf>
    <xf numFmtId="3" fontId="398" fillId="0" borderId="2" xfId="66" applyFont="1" applyFill="1" applyBorder="1"/>
    <xf numFmtId="3" fontId="111" fillId="0" borderId="300" xfId="66" applyFont="1" applyFill="1" applyBorder="1" applyAlignment="1">
      <alignment horizontal="left"/>
    </xf>
    <xf numFmtId="3" fontId="111" fillId="0" borderId="686" xfId="66" applyFont="1" applyFill="1" applyBorder="1" applyAlignment="1">
      <alignment horizontal="left"/>
    </xf>
    <xf numFmtId="43" fontId="111" fillId="0" borderId="686" xfId="66" applyNumberFormat="1" applyFont="1" applyFill="1" applyBorder="1" applyAlignment="1">
      <alignment horizontal="left"/>
    </xf>
    <xf numFmtId="43" fontId="111" fillId="0" borderId="714" xfId="67" applyNumberFormat="1" applyFont="1" applyFill="1" applyBorder="1"/>
    <xf numFmtId="43" fontId="111" fillId="0" borderId="0" xfId="9" applyNumberFormat="1" applyFont="1" applyFill="1" applyBorder="1" applyAlignment="1"/>
    <xf numFmtId="43" fontId="111" fillId="0" borderId="201" xfId="9" applyNumberFormat="1" applyFont="1" applyFill="1" applyBorder="1" applyAlignment="1"/>
    <xf numFmtId="3" fontId="111" fillId="0" borderId="295" xfId="66" applyFont="1" applyFill="1" applyBorder="1" applyAlignment="1">
      <alignment horizontal="left"/>
    </xf>
    <xf numFmtId="43" fontId="111" fillId="0" borderId="714" xfId="32" applyNumberFormat="1" applyFont="1" applyFill="1" applyBorder="1" applyProtection="1">
      <protection locked="0"/>
    </xf>
    <xf numFmtId="3" fontId="399" fillId="0" borderId="2" xfId="66" applyFont="1" applyFill="1" applyBorder="1" applyAlignment="1">
      <alignment horizontal="right" vertical="center"/>
    </xf>
    <xf numFmtId="43" fontId="115" fillId="0" borderId="42" xfId="67" applyNumberFormat="1" applyFont="1" applyFill="1" applyBorder="1" applyAlignment="1">
      <alignment horizontal="right" vertical="center"/>
    </xf>
    <xf numFmtId="3" fontId="110" fillId="0" borderId="2" xfId="66" applyFont="1" applyFill="1" applyBorder="1" applyAlignment="1">
      <alignment vertical="center"/>
    </xf>
    <xf numFmtId="3" fontId="109" fillId="0" borderId="82" xfId="66" applyFont="1" applyFill="1" applyBorder="1" applyAlignment="1">
      <alignment horizontal="left" vertical="center"/>
    </xf>
    <xf numFmtId="3" fontId="110" fillId="0" borderId="5" xfId="66" applyFont="1" applyFill="1" applyBorder="1" applyAlignment="1">
      <alignment horizontal="center" vertical="center"/>
    </xf>
    <xf numFmtId="3" fontId="393" fillId="0" borderId="0" xfId="66" applyFont="1" applyFill="1" applyBorder="1" applyAlignment="1">
      <alignment horizontal="left" vertical="center"/>
    </xf>
    <xf numFmtId="43" fontId="115" fillId="0" borderId="90" xfId="67" applyNumberFormat="1" applyFont="1" applyFill="1" applyBorder="1" applyAlignment="1">
      <alignment vertical="center"/>
    </xf>
    <xf numFmtId="43" fontId="393" fillId="0" borderId="54" xfId="67" applyNumberFormat="1" applyFont="1" applyFill="1" applyBorder="1" applyAlignment="1">
      <alignment horizontal="left" vertical="center"/>
    </xf>
    <xf numFmtId="43" fontId="115" fillId="0" borderId="0" xfId="67" applyNumberFormat="1" applyFont="1" applyFill="1" applyBorder="1" applyAlignment="1">
      <alignment vertical="center"/>
    </xf>
    <xf numFmtId="43" fontId="393" fillId="0" borderId="2" xfId="67" applyNumberFormat="1" applyFont="1" applyFill="1" applyBorder="1" applyAlignment="1">
      <alignment horizontal="left" vertical="center"/>
    </xf>
    <xf numFmtId="43" fontId="115" fillId="0" borderId="91" xfId="67" applyNumberFormat="1" applyFont="1" applyFill="1" applyBorder="1" applyAlignment="1">
      <alignment vertical="center"/>
    </xf>
    <xf numFmtId="43" fontId="393" fillId="0" borderId="0" xfId="67" applyNumberFormat="1" applyFont="1" applyFill="1" applyBorder="1" applyAlignment="1">
      <alignment horizontal="left" vertical="center"/>
    </xf>
    <xf numFmtId="43" fontId="115" fillId="0" borderId="393" xfId="32" applyNumberFormat="1" applyFont="1" applyFill="1" applyBorder="1" applyAlignment="1" applyProtection="1">
      <alignment vertical="center"/>
      <protection locked="0"/>
    </xf>
    <xf numFmtId="43" fontId="115" fillId="0" borderId="10" xfId="32" applyNumberFormat="1" applyFont="1" applyFill="1" applyBorder="1" applyAlignment="1" applyProtection="1">
      <alignment vertical="center"/>
      <protection locked="0"/>
    </xf>
    <xf numFmtId="3" fontId="110" fillId="0" borderId="201" xfId="32" applyFont="1" applyFill="1" applyBorder="1" applyAlignment="1" applyProtection="1">
      <alignment horizontal="center" vertical="center"/>
      <protection locked="0"/>
    </xf>
    <xf numFmtId="43" fontId="110" fillId="0" borderId="0" xfId="61" applyFont="1" applyFill="1" applyAlignment="1">
      <alignment vertical="center"/>
    </xf>
    <xf numFmtId="3" fontId="110" fillId="0" borderId="0" xfId="66" applyFont="1" applyFill="1" applyAlignment="1">
      <alignment vertical="center"/>
    </xf>
    <xf numFmtId="3" fontId="110" fillId="0" borderId="0" xfId="66" applyFont="1" applyFill="1" applyAlignment="1">
      <alignment horizontal="right" vertical="center"/>
    </xf>
    <xf numFmtId="3" fontId="117" fillId="0" borderId="300" xfId="66" applyFont="1" applyFill="1" applyBorder="1"/>
    <xf numFmtId="3" fontId="109" fillId="0" borderId="419" xfId="66" applyFont="1" applyFill="1" applyBorder="1"/>
    <xf numFmtId="3" fontId="400" fillId="0" borderId="295" xfId="66" applyFont="1" applyFill="1" applyBorder="1" applyAlignment="1">
      <alignment horizontal="center"/>
    </xf>
    <xf numFmtId="3" fontId="400" fillId="0" borderId="363" xfId="66" applyFont="1" applyFill="1" applyBorder="1" applyAlignment="1">
      <alignment horizontal="left"/>
    </xf>
    <xf numFmtId="43" fontId="400" fillId="0" borderId="296" xfId="67" applyNumberFormat="1" applyFont="1" applyFill="1" applyBorder="1"/>
    <xf numFmtId="43" fontId="400" fillId="0" borderId="363" xfId="67" applyNumberFormat="1" applyFont="1" applyFill="1" applyBorder="1" applyAlignment="1">
      <alignment horizontal="left"/>
    </xf>
    <xf numFmtId="43" fontId="400" fillId="0" borderId="305" xfId="67" applyNumberFormat="1" applyFont="1" applyFill="1" applyBorder="1"/>
    <xf numFmtId="43" fontId="400" fillId="0" borderId="49" xfId="67" applyNumberFormat="1" applyFont="1" applyFill="1" applyBorder="1" applyAlignment="1">
      <alignment horizontal="left"/>
    </xf>
    <xf numFmtId="43" fontId="400" fillId="0" borderId="424" xfId="67" applyNumberFormat="1" applyFont="1" applyFill="1" applyBorder="1"/>
    <xf numFmtId="43" fontId="400" fillId="0" borderId="416" xfId="66" applyNumberFormat="1" applyFont="1" applyFill="1" applyBorder="1" applyAlignment="1">
      <alignment horizontal="center"/>
    </xf>
    <xf numFmtId="43" fontId="117" fillId="0" borderId="0" xfId="61" applyFont="1" applyFill="1"/>
    <xf numFmtId="3" fontId="117" fillId="0" borderId="0" xfId="66" applyFont="1" applyFill="1" applyAlignment="1">
      <alignment horizontal="right"/>
    </xf>
    <xf numFmtId="4" fontId="117" fillId="0" borderId="0" xfId="66" applyNumberFormat="1" applyFont="1" applyFill="1"/>
    <xf numFmtId="3" fontId="117" fillId="0" borderId="0" xfId="66" applyFont="1" applyFill="1"/>
    <xf numFmtId="43" fontId="111" fillId="0" borderId="300" xfId="67" applyNumberFormat="1" applyFont="1" applyFill="1" applyBorder="1" applyAlignment="1">
      <alignment horizontal="left"/>
    </xf>
    <xf numFmtId="43" fontId="111" fillId="0" borderId="419" xfId="67" applyNumberFormat="1" applyFont="1" applyFill="1" applyBorder="1"/>
    <xf numFmtId="43" fontId="111" fillId="0" borderId="0" xfId="67" applyNumberFormat="1" applyFont="1" applyFill="1" applyBorder="1" applyAlignment="1">
      <alignment horizontal="left"/>
    </xf>
    <xf numFmtId="43" fontId="111" fillId="0" borderId="410" xfId="66" applyNumberFormat="1" applyFont="1" applyFill="1" applyBorder="1" applyAlignment="1">
      <alignment horizontal="left"/>
    </xf>
    <xf numFmtId="43" fontId="110" fillId="0" borderId="0" xfId="61" applyFont="1" applyFill="1" applyBorder="1"/>
    <xf numFmtId="3" fontId="110" fillId="0" borderId="0" xfId="66" applyFont="1" applyFill="1" applyBorder="1" applyAlignment="1">
      <alignment horizontal="right"/>
    </xf>
    <xf numFmtId="49" fontId="109" fillId="0" borderId="2" xfId="66" applyNumberFormat="1" applyFont="1" applyFill="1" applyBorder="1" applyAlignment="1">
      <alignment vertical="center"/>
    </xf>
    <xf numFmtId="3" fontId="109" fillId="0" borderId="91" xfId="66" applyFont="1" applyFill="1" applyBorder="1" applyAlignment="1">
      <alignment horizontal="center" vertical="center"/>
    </xf>
    <xf numFmtId="3" fontId="109" fillId="0" borderId="5" xfId="66" applyFont="1" applyFill="1" applyBorder="1" applyAlignment="1">
      <alignment horizontal="center" vertical="center"/>
    </xf>
    <xf numFmtId="43" fontId="115" fillId="0" borderId="49" xfId="67" applyNumberFormat="1" applyFont="1" applyFill="1" applyBorder="1" applyAlignment="1">
      <alignment vertical="center"/>
    </xf>
    <xf numFmtId="43" fontId="115" fillId="0" borderId="11" xfId="67" applyNumberFormat="1" applyFont="1" applyFill="1" applyBorder="1" applyAlignment="1">
      <alignment vertical="center"/>
    </xf>
    <xf numFmtId="43" fontId="115" fillId="0" borderId="424" xfId="67" applyNumberFormat="1" applyFont="1" applyFill="1" applyBorder="1" applyAlignment="1">
      <alignment vertical="center"/>
    </xf>
    <xf numFmtId="43" fontId="115" fillId="0" borderId="416" xfId="67" applyNumberFormat="1" applyFont="1" applyFill="1" applyBorder="1" applyAlignment="1">
      <alignment vertical="center"/>
    </xf>
    <xf numFmtId="3" fontId="109" fillId="0" borderId="201" xfId="32" applyFont="1" applyFill="1" applyBorder="1" applyAlignment="1" applyProtection="1">
      <alignment horizontal="center" vertical="center"/>
      <protection locked="0"/>
    </xf>
    <xf numFmtId="4" fontId="109" fillId="0" borderId="0" xfId="66" applyNumberFormat="1" applyFont="1" applyFill="1" applyAlignment="1">
      <alignment vertical="center"/>
    </xf>
    <xf numFmtId="3" fontId="109" fillId="0" borderId="0" xfId="66" applyFont="1" applyFill="1" applyAlignment="1">
      <alignment vertical="center"/>
    </xf>
    <xf numFmtId="49" fontId="109" fillId="0" borderId="2" xfId="66" applyNumberFormat="1" applyFont="1" applyFill="1" applyBorder="1"/>
    <xf numFmtId="3" fontId="109" fillId="0" borderId="91" xfId="66" applyFont="1" applyFill="1" applyBorder="1"/>
    <xf numFmtId="3" fontId="115" fillId="0" borderId="50" xfId="66" applyFont="1" applyFill="1" applyBorder="1" applyAlignment="1">
      <alignment horizontal="left"/>
    </xf>
    <xf numFmtId="43" fontId="115" fillId="0" borderId="49" xfId="67" applyNumberFormat="1" applyFont="1" applyFill="1" applyBorder="1"/>
    <xf numFmtId="43" fontId="115" fillId="0" borderId="50" xfId="66" applyNumberFormat="1" applyFont="1" applyFill="1" applyBorder="1" applyAlignment="1">
      <alignment horizontal="left"/>
    </xf>
    <xf numFmtId="43" fontId="111" fillId="0" borderId="10" xfId="32" applyNumberFormat="1" applyFont="1" applyFill="1" applyBorder="1" applyProtection="1">
      <protection locked="0"/>
    </xf>
    <xf numFmtId="43" fontId="109" fillId="0" borderId="91" xfId="9" applyFont="1" applyFill="1" applyBorder="1" applyAlignment="1">
      <alignment horizontal="center" vertical="center"/>
    </xf>
    <xf numFmtId="43" fontId="109" fillId="0" borderId="5" xfId="9" applyFont="1" applyFill="1" applyBorder="1" applyAlignment="1">
      <alignment horizontal="center" vertical="center"/>
    </xf>
    <xf numFmtId="3" fontId="393" fillId="0" borderId="629" xfId="66" applyFont="1" applyFill="1" applyBorder="1" applyAlignment="1">
      <alignment horizontal="left" vertical="center"/>
    </xf>
    <xf numFmtId="43" fontId="115" fillId="0" borderId="660" xfId="9" applyNumberFormat="1" applyFont="1" applyFill="1" applyBorder="1" applyAlignment="1">
      <alignment vertical="center"/>
    </xf>
    <xf numFmtId="43" fontId="393" fillId="0" borderId="629" xfId="66" applyNumberFormat="1" applyFont="1" applyFill="1" applyBorder="1" applyAlignment="1">
      <alignment horizontal="left" vertical="center"/>
    </xf>
    <xf numFmtId="43" fontId="115" fillId="0" borderId="641" xfId="9" applyNumberFormat="1" applyFont="1" applyFill="1" applyBorder="1" applyAlignment="1">
      <alignment vertical="center"/>
    </xf>
    <xf numFmtId="43" fontId="393" fillId="0" borderId="660" xfId="66" applyNumberFormat="1" applyFont="1" applyFill="1" applyBorder="1" applyAlignment="1">
      <alignment horizontal="left" vertical="center"/>
    </xf>
    <xf numFmtId="43" fontId="115" fillId="0" borderId="642" xfId="9" applyNumberFormat="1" applyFont="1" applyFill="1" applyBorder="1" applyAlignment="1">
      <alignment vertical="center"/>
    </xf>
    <xf numFmtId="43" fontId="109" fillId="0" borderId="295" xfId="9" applyFont="1" applyFill="1" applyBorder="1" applyAlignment="1" applyProtection="1">
      <alignment horizontal="center" vertical="center"/>
      <protection locked="0"/>
    </xf>
    <xf numFmtId="49" fontId="116" fillId="0" borderId="2" xfId="66" applyNumberFormat="1" applyFont="1" applyFill="1" applyBorder="1" applyAlignment="1">
      <alignment vertical="center"/>
    </xf>
    <xf numFmtId="3" fontId="109" fillId="0" borderId="91" xfId="66" applyFont="1" applyFill="1" applyBorder="1" applyAlignment="1">
      <alignment vertical="center"/>
    </xf>
    <xf numFmtId="3" fontId="111" fillId="0" borderId="5" xfId="66" applyFont="1" applyFill="1" applyBorder="1" applyAlignment="1">
      <alignment horizontal="center" vertical="center"/>
    </xf>
    <xf numFmtId="3" fontId="393" fillId="0" borderId="128" xfId="66" applyFont="1" applyFill="1" applyBorder="1" applyAlignment="1">
      <alignment horizontal="left" vertical="center"/>
    </xf>
    <xf numFmtId="43" fontId="111" fillId="0" borderId="0" xfId="67" applyNumberFormat="1" applyFont="1" applyFill="1" applyBorder="1" applyAlignment="1">
      <alignment vertical="center"/>
    </xf>
    <xf numFmtId="43" fontId="393" fillId="0" borderId="128" xfId="66" applyNumberFormat="1" applyFont="1" applyFill="1" applyBorder="1" applyAlignment="1">
      <alignment horizontal="left" vertical="center"/>
    </xf>
    <xf numFmtId="43" fontId="111" fillId="0" borderId="91" xfId="67" applyNumberFormat="1" applyFont="1" applyFill="1" applyBorder="1" applyAlignment="1">
      <alignment vertical="center"/>
    </xf>
    <xf numFmtId="43" fontId="111" fillId="0" borderId="295" xfId="66" applyNumberFormat="1" applyFont="1" applyFill="1" applyBorder="1" applyAlignment="1">
      <alignment horizontal="right" vertical="center"/>
    </xf>
    <xf numFmtId="3" fontId="110" fillId="0" borderId="295" xfId="32" applyFont="1" applyFill="1" applyBorder="1" applyAlignment="1" applyProtection="1">
      <alignment horizontal="center" vertical="center"/>
      <protection locked="0"/>
    </xf>
    <xf numFmtId="4" fontId="110" fillId="0" borderId="0" xfId="66" applyNumberFormat="1" applyFont="1" applyFill="1" applyAlignment="1">
      <alignment vertical="center"/>
    </xf>
    <xf numFmtId="49" fontId="391" fillId="0" borderId="2" xfId="66" applyNumberFormat="1" applyFont="1" applyFill="1" applyBorder="1" applyAlignment="1">
      <alignment vertical="center"/>
    </xf>
    <xf numFmtId="3" fontId="115" fillId="0" borderId="38" xfId="66" applyFont="1" applyFill="1" applyBorder="1" applyAlignment="1">
      <alignment horizontal="left" vertical="center"/>
    </xf>
    <xf numFmtId="43" fontId="115" fillId="0" borderId="42" xfId="67" applyNumberFormat="1" applyFont="1" applyFill="1" applyBorder="1" applyAlignment="1">
      <alignment vertical="center"/>
    </xf>
    <xf numFmtId="43" fontId="115" fillId="0" borderId="38" xfId="67" applyNumberFormat="1" applyFont="1" applyFill="1" applyBorder="1" applyAlignment="1">
      <alignment horizontal="left" vertical="center"/>
    </xf>
    <xf numFmtId="43" fontId="115" fillId="0" borderId="407" xfId="66" applyNumberFormat="1" applyFont="1" applyFill="1" applyBorder="1" applyAlignment="1">
      <alignment horizontal="right" vertical="center"/>
    </xf>
    <xf numFmtId="3" fontId="109" fillId="0" borderId="201" xfId="32" applyFont="1" applyFill="1" applyBorder="1" applyAlignment="1" applyProtection="1">
      <alignment vertical="center"/>
      <protection locked="0"/>
    </xf>
    <xf numFmtId="49" fontId="109" fillId="0" borderId="91" xfId="66" applyNumberFormat="1" applyFont="1" applyFill="1" applyBorder="1" applyAlignment="1">
      <alignment vertical="center"/>
    </xf>
    <xf numFmtId="3" fontId="111" fillId="0" borderId="0" xfId="66" applyFont="1" applyFill="1" applyBorder="1" applyAlignment="1">
      <alignment horizontal="left" vertical="center"/>
    </xf>
    <xf numFmtId="43" fontId="111" fillId="0" borderId="2" xfId="67" applyNumberFormat="1" applyFont="1" applyFill="1" applyBorder="1" applyAlignment="1">
      <alignment horizontal="left" vertical="center"/>
    </xf>
    <xf numFmtId="43" fontId="111" fillId="0" borderId="485" xfId="67" applyNumberFormat="1" applyFont="1" applyFill="1" applyBorder="1" applyAlignment="1">
      <alignment vertical="center"/>
    </xf>
    <xf numFmtId="43" fontId="111" fillId="0" borderId="201" xfId="67" applyNumberFormat="1" applyFont="1" applyFill="1" applyBorder="1" applyAlignment="1">
      <alignment vertical="center"/>
    </xf>
    <xf numFmtId="3" fontId="110" fillId="0" borderId="201" xfId="32" applyFont="1" applyFill="1" applyBorder="1" applyAlignment="1" applyProtection="1">
      <alignment vertical="center"/>
      <protection locked="0"/>
    </xf>
    <xf numFmtId="3" fontId="393" fillId="0" borderId="47" xfId="66" applyFont="1" applyFill="1" applyBorder="1" applyAlignment="1">
      <alignment horizontal="left" vertical="center"/>
    </xf>
    <xf numFmtId="43" fontId="115" fillId="0" borderId="40" xfId="67" applyNumberFormat="1" applyFont="1" applyFill="1" applyBorder="1" applyAlignment="1">
      <alignment vertical="center"/>
    </xf>
    <xf numFmtId="43" fontId="393" fillId="0" borderId="47" xfId="67" applyNumberFormat="1" applyFont="1" applyFill="1" applyBorder="1" applyAlignment="1">
      <alignment horizontal="left" vertical="center"/>
    </xf>
    <xf numFmtId="43" fontId="115" fillId="0" borderId="414" xfId="67" applyNumberFormat="1" applyFont="1" applyFill="1" applyBorder="1" applyAlignment="1">
      <alignment vertical="center"/>
    </xf>
    <xf numFmtId="43" fontId="115" fillId="0" borderId="43" xfId="67" applyNumberFormat="1" applyFont="1" applyFill="1" applyBorder="1" applyAlignment="1">
      <alignment vertical="center"/>
    </xf>
    <xf numFmtId="43" fontId="393" fillId="0" borderId="2" xfId="67" applyNumberFormat="1" applyFont="1" applyFill="1" applyBorder="1" applyAlignment="1">
      <alignment horizontal="left"/>
    </xf>
    <xf numFmtId="43" fontId="115" fillId="0" borderId="479" xfId="67" applyNumberFormat="1" applyFont="1" applyFill="1" applyBorder="1"/>
    <xf numFmtId="43" fontId="115" fillId="0" borderId="201" xfId="67" applyNumberFormat="1" applyFont="1" applyFill="1" applyBorder="1"/>
    <xf numFmtId="43" fontId="111" fillId="0" borderId="6" xfId="67" applyNumberFormat="1" applyFont="1" applyFill="1" applyBorder="1" applyAlignment="1">
      <alignment horizontal="left"/>
    </xf>
    <xf numFmtId="43" fontId="111" fillId="0" borderId="397" xfId="9" applyNumberFormat="1" applyFont="1" applyFill="1" applyBorder="1" applyAlignment="1">
      <alignment horizontal="right"/>
    </xf>
    <xf numFmtId="43" fontId="110" fillId="0" borderId="157" xfId="9" applyFont="1" applyFill="1" applyBorder="1" applyAlignment="1">
      <alignment vertical="center"/>
    </xf>
    <xf numFmtId="43" fontId="109" fillId="0" borderId="157" xfId="9" applyFont="1" applyFill="1" applyBorder="1" applyAlignment="1">
      <alignment horizontal="center" vertical="center"/>
    </xf>
    <xf numFmtId="43" fontId="110" fillId="0" borderId="157" xfId="9" applyFont="1" applyFill="1" applyBorder="1" applyAlignment="1">
      <alignment horizontal="center" vertical="center"/>
    </xf>
    <xf numFmtId="3" fontId="393" fillId="0" borderId="157" xfId="66" applyFont="1" applyFill="1" applyBorder="1" applyAlignment="1">
      <alignment horizontal="left" vertical="center"/>
    </xf>
    <xf numFmtId="43" fontId="111" fillId="0" borderId="157" xfId="9" applyFont="1" applyFill="1" applyBorder="1" applyAlignment="1">
      <alignment vertical="center"/>
    </xf>
    <xf numFmtId="43" fontId="110" fillId="0" borderId="157" xfId="9" applyFont="1" applyFill="1" applyBorder="1" applyAlignment="1" applyProtection="1">
      <alignment horizontal="center" vertical="center"/>
      <protection locked="0"/>
    </xf>
    <xf numFmtId="43" fontId="110" fillId="0" borderId="0" xfId="9" applyFont="1" applyFill="1" applyAlignment="1">
      <alignment horizontal="right" vertical="center"/>
    </xf>
    <xf numFmtId="4" fontId="110" fillId="0" borderId="0" xfId="9" applyNumberFormat="1" applyFont="1" applyFill="1" applyAlignment="1">
      <alignment vertical="center"/>
    </xf>
    <xf numFmtId="43" fontId="110" fillId="0" borderId="0" xfId="9" applyFont="1" applyFill="1" applyAlignment="1">
      <alignment vertical="center"/>
    </xf>
    <xf numFmtId="43" fontId="110" fillId="0" borderId="0" xfId="9" applyFont="1" applyFill="1" applyBorder="1" applyAlignment="1">
      <alignment vertical="center"/>
    </xf>
    <xf numFmtId="43" fontId="109" fillId="0" borderId="0" xfId="9" applyFont="1" applyFill="1" applyBorder="1" applyAlignment="1">
      <alignment horizontal="center" vertical="center"/>
    </xf>
    <xf numFmtId="43" fontId="110" fillId="0" borderId="0" xfId="9" applyFont="1" applyFill="1" applyBorder="1" applyAlignment="1">
      <alignment horizontal="center" vertical="center"/>
    </xf>
    <xf numFmtId="43" fontId="111" fillId="0" borderId="0" xfId="9" applyFont="1" applyFill="1" applyBorder="1" applyAlignment="1">
      <alignment vertical="center"/>
    </xf>
    <xf numFmtId="43" fontId="110" fillId="0" borderId="0" xfId="9" applyFont="1" applyFill="1" applyBorder="1" applyAlignment="1" applyProtection="1">
      <alignment horizontal="center" vertical="center"/>
      <protection locked="0"/>
    </xf>
    <xf numFmtId="3" fontId="115" fillId="0" borderId="10" xfId="66" applyFont="1" applyFill="1" applyBorder="1" applyAlignment="1">
      <alignment horizontal="center"/>
    </xf>
    <xf numFmtId="3" fontId="391" fillId="0" borderId="10" xfId="32" applyFont="1" applyFill="1" applyBorder="1" applyAlignment="1" applyProtection="1">
      <alignment horizontal="centerContinuous"/>
      <protection hidden="1"/>
    </xf>
    <xf numFmtId="43" fontId="111" fillId="0" borderId="2" xfId="67" applyNumberFormat="1" applyFont="1" applyFill="1" applyBorder="1" applyAlignment="1">
      <alignment horizontal="left"/>
    </xf>
    <xf numFmtId="43" fontId="111" fillId="0" borderId="201" xfId="9" applyNumberFormat="1" applyFont="1" applyFill="1" applyBorder="1" applyAlignment="1">
      <alignment horizontal="right"/>
    </xf>
    <xf numFmtId="43" fontId="111" fillId="0" borderId="12" xfId="67" applyNumberFormat="1" applyFont="1" applyFill="1" applyBorder="1" applyAlignment="1">
      <alignment horizontal="left"/>
    </xf>
    <xf numFmtId="3" fontId="115" fillId="0" borderId="6" xfId="66" applyFont="1" applyFill="1" applyBorder="1" applyAlignment="1">
      <alignment horizontal="left" vertical="center"/>
    </xf>
    <xf numFmtId="43" fontId="115" fillId="0" borderId="34" xfId="67" applyNumberFormat="1" applyFont="1" applyFill="1" applyBorder="1" applyAlignment="1">
      <alignment vertical="center"/>
    </xf>
    <xf numFmtId="43" fontId="115" fillId="0" borderId="52" xfId="67" applyNumberFormat="1" applyFont="1" applyFill="1" applyBorder="1" applyAlignment="1">
      <alignment horizontal="left" vertical="center"/>
    </xf>
    <xf numFmtId="43" fontId="115" fillId="0" borderId="51" xfId="67" applyNumberFormat="1" applyFont="1" applyFill="1" applyBorder="1" applyAlignment="1">
      <alignment vertical="center"/>
    </xf>
    <xf numFmtId="43" fontId="115" fillId="0" borderId="6" xfId="67" applyNumberFormat="1" applyFont="1" applyFill="1" applyBorder="1" applyAlignment="1">
      <alignment horizontal="left" vertical="center"/>
    </xf>
    <xf numFmtId="43" fontId="115" fillId="0" borderId="8" xfId="67" applyNumberFormat="1" applyFont="1" applyFill="1" applyBorder="1" applyAlignment="1">
      <alignment vertical="center"/>
    </xf>
    <xf numFmtId="43" fontId="115" fillId="0" borderId="35" xfId="9" applyNumberFormat="1" applyFont="1" applyFill="1" applyBorder="1" applyAlignment="1">
      <alignment horizontal="right" vertical="center"/>
    </xf>
    <xf numFmtId="3" fontId="109" fillId="0" borderId="201" xfId="32" applyFont="1" applyFill="1" applyBorder="1" applyAlignment="1">
      <alignment vertical="center"/>
    </xf>
    <xf numFmtId="3" fontId="111" fillId="0" borderId="37" xfId="66" applyFont="1" applyFill="1" applyBorder="1" applyAlignment="1">
      <alignment horizontal="left"/>
    </xf>
    <xf numFmtId="43" fontId="111" fillId="0" borderId="20" xfId="67" applyNumberFormat="1" applyFont="1" applyFill="1" applyBorder="1"/>
    <xf numFmtId="43" fontId="111" fillId="0" borderId="37" xfId="67" applyNumberFormat="1" applyFont="1" applyFill="1" applyBorder="1" applyAlignment="1">
      <alignment horizontal="left"/>
    </xf>
    <xf numFmtId="43" fontId="111" fillId="0" borderId="21" xfId="67" applyNumberFormat="1" applyFont="1" applyFill="1" applyBorder="1"/>
    <xf numFmtId="43" fontId="111" fillId="0" borderId="313" xfId="66" applyNumberFormat="1" applyFont="1" applyFill="1" applyBorder="1" applyAlignment="1">
      <alignment horizontal="center"/>
    </xf>
    <xf numFmtId="4" fontId="111" fillId="0" borderId="1" xfId="67" applyFont="1" applyFill="1" applyBorder="1"/>
    <xf numFmtId="4" fontId="111" fillId="0" borderId="6" xfId="67" applyFont="1" applyFill="1" applyBorder="1" applyAlignment="1">
      <alignment horizontal="left"/>
    </xf>
    <xf numFmtId="4" fontId="111" fillId="0" borderId="8" xfId="67" applyFont="1" applyFill="1" applyBorder="1"/>
    <xf numFmtId="3" fontId="111" fillId="0" borderId="397" xfId="66" applyFont="1" applyFill="1" applyBorder="1" applyAlignment="1">
      <alignment horizontal="center"/>
    </xf>
    <xf numFmtId="4" fontId="111" fillId="0" borderId="0" xfId="67" applyFont="1" applyFill="1" applyBorder="1"/>
    <xf numFmtId="4" fontId="111" fillId="0" borderId="2" xfId="67" applyFont="1" applyFill="1" applyBorder="1" applyAlignment="1">
      <alignment horizontal="left"/>
    </xf>
    <xf numFmtId="4" fontId="111" fillId="0" borderId="91" xfId="67" applyFont="1" applyFill="1" applyBorder="1"/>
    <xf numFmtId="3" fontId="374" fillId="0" borderId="91" xfId="66" applyFont="1" applyFill="1" applyBorder="1"/>
    <xf numFmtId="43" fontId="111" fillId="0" borderId="91" xfId="9" applyNumberFormat="1" applyFont="1" applyFill="1" applyBorder="1" applyAlignment="1">
      <alignment horizontal="center"/>
    </xf>
    <xf numFmtId="43" fontId="111" fillId="0" borderId="201" xfId="9" applyNumberFormat="1" applyFont="1" applyFill="1" applyBorder="1" applyAlignment="1">
      <alignment horizontal="center"/>
    </xf>
    <xf numFmtId="0" fontId="111" fillId="0" borderId="5" xfId="66" applyNumberFormat="1" applyFont="1" applyFill="1" applyBorder="1" applyAlignment="1">
      <alignment horizontal="center"/>
    </xf>
    <xf numFmtId="3" fontId="116" fillId="0" borderId="2" xfId="66" applyFont="1" applyFill="1" applyBorder="1"/>
    <xf numFmtId="3" fontId="111" fillId="0" borderId="2" xfId="66" applyFont="1" applyFill="1" applyBorder="1" applyAlignment="1">
      <alignment horizontal="center"/>
    </xf>
    <xf numFmtId="3" fontId="116" fillId="0" borderId="300" xfId="66" applyFont="1" applyFill="1" applyBorder="1"/>
    <xf numFmtId="3" fontId="111" fillId="0" borderId="584" xfId="66" applyFont="1" applyFill="1" applyBorder="1"/>
    <xf numFmtId="3" fontId="111" fillId="0" borderId="300" xfId="66" applyFont="1" applyFill="1" applyBorder="1" applyAlignment="1">
      <alignment horizontal="center"/>
    </xf>
    <xf numFmtId="43" fontId="111" fillId="0" borderId="584" xfId="9" applyNumberFormat="1" applyFont="1" applyFill="1" applyBorder="1" applyAlignment="1">
      <alignment horizontal="center"/>
    </xf>
    <xf numFmtId="43" fontId="111" fillId="0" borderId="295" xfId="9" applyNumberFormat="1" applyFont="1" applyFill="1" applyBorder="1" applyAlignment="1">
      <alignment horizontal="center"/>
    </xf>
    <xf numFmtId="3" fontId="110" fillId="0" borderId="295" xfId="32" applyFont="1" applyFill="1" applyBorder="1"/>
    <xf numFmtId="3" fontId="111" fillId="0" borderId="402" xfId="66" applyFont="1" applyFill="1" applyBorder="1"/>
    <xf numFmtId="43" fontId="111" fillId="0" borderId="402" xfId="9" applyNumberFormat="1" applyFont="1" applyFill="1" applyBorder="1" applyAlignment="1">
      <alignment horizontal="center"/>
    </xf>
    <xf numFmtId="3" fontId="111" fillId="0" borderId="621" xfId="66" applyFont="1" applyFill="1" applyBorder="1"/>
    <xf numFmtId="3" fontId="116" fillId="0" borderId="644" xfId="66" applyFont="1" applyFill="1" applyBorder="1"/>
    <xf numFmtId="3" fontId="111" fillId="0" borderId="694" xfId="66" applyFont="1" applyFill="1" applyBorder="1"/>
    <xf numFmtId="3" fontId="111" fillId="0" borderId="644" xfId="66" applyFont="1" applyFill="1" applyBorder="1" applyAlignment="1">
      <alignment horizontal="center"/>
    </xf>
    <xf numFmtId="3" fontId="111" fillId="0" borderId="644" xfId="66" applyFont="1" applyFill="1" applyBorder="1" applyAlignment="1">
      <alignment horizontal="left"/>
    </xf>
    <xf numFmtId="43" fontId="111" fillId="0" borderId="644" xfId="67" applyNumberFormat="1" applyFont="1" applyFill="1" applyBorder="1" applyAlignment="1">
      <alignment horizontal="left"/>
    </xf>
    <xf numFmtId="43" fontId="111" fillId="0" borderId="694" xfId="9" applyNumberFormat="1" applyFont="1" applyFill="1" applyBorder="1" applyAlignment="1">
      <alignment horizontal="center"/>
    </xf>
    <xf numFmtId="43" fontId="111" fillId="0" borderId="643" xfId="9" applyNumberFormat="1" applyFont="1" applyFill="1" applyBorder="1" applyAlignment="1">
      <alignment horizontal="center"/>
    </xf>
    <xf numFmtId="3" fontId="110" fillId="0" borderId="643" xfId="32" applyFont="1" applyFill="1" applyBorder="1"/>
    <xf numFmtId="43" fontId="111" fillId="0" borderId="584" xfId="67" applyNumberFormat="1" applyFont="1" applyFill="1" applyBorder="1"/>
    <xf numFmtId="4" fontId="111" fillId="0" borderId="686" xfId="67" applyFont="1" applyFill="1" applyBorder="1" applyAlignment="1">
      <alignment horizontal="left"/>
    </xf>
    <xf numFmtId="43" fontId="111" fillId="0" borderId="699" xfId="67" applyNumberFormat="1" applyFont="1" applyFill="1" applyBorder="1"/>
    <xf numFmtId="4" fontId="111" fillId="0" borderId="699" xfId="67" applyFont="1" applyFill="1" applyBorder="1"/>
    <xf numFmtId="43" fontId="111" fillId="0" borderId="295" xfId="1" applyFont="1" applyFill="1" applyBorder="1" applyAlignment="1">
      <alignment horizontal="center"/>
    </xf>
    <xf numFmtId="3" fontId="116" fillId="0" borderId="686" xfId="66" applyFont="1" applyFill="1" applyBorder="1"/>
    <xf numFmtId="3" fontId="111" fillId="0" borderId="686" xfId="66" applyFont="1" applyFill="1" applyBorder="1" applyAlignment="1">
      <alignment horizontal="center"/>
    </xf>
    <xf numFmtId="3" fontId="111" fillId="0" borderId="671" xfId="66" applyFont="1" applyFill="1" applyBorder="1" applyAlignment="1">
      <alignment horizontal="left"/>
    </xf>
    <xf numFmtId="4" fontId="111" fillId="0" borderId="670" xfId="67" applyFont="1" applyFill="1" applyBorder="1"/>
    <xf numFmtId="4" fontId="111" fillId="0" borderId="671" xfId="67" applyFont="1" applyFill="1" applyBorder="1" applyAlignment="1">
      <alignment horizontal="left"/>
    </xf>
    <xf numFmtId="43" fontId="111" fillId="0" borderId="673" xfId="67" applyNumberFormat="1" applyFont="1" applyFill="1" applyBorder="1"/>
    <xf numFmtId="4" fontId="111" fillId="0" borderId="673" xfId="67" applyFont="1" applyFill="1" applyBorder="1"/>
    <xf numFmtId="43" fontId="111" fillId="0" borderId="672" xfId="1" applyFont="1" applyFill="1" applyBorder="1" applyAlignment="1">
      <alignment horizontal="center"/>
    </xf>
    <xf numFmtId="3" fontId="110" fillId="0" borderId="644" xfId="66" applyFont="1" applyFill="1" applyBorder="1"/>
    <xf numFmtId="3" fontId="109" fillId="0" borderId="0" xfId="66" applyFont="1" applyFill="1" applyBorder="1" applyAlignment="1">
      <alignment horizontal="center"/>
    </xf>
    <xf numFmtId="3" fontId="393" fillId="0" borderId="686" xfId="66" applyFont="1" applyFill="1" applyBorder="1" applyAlignment="1">
      <alignment horizontal="left"/>
    </xf>
    <xf numFmtId="4" fontId="115" fillId="0" borderId="0" xfId="67" applyFont="1" applyFill="1" applyBorder="1"/>
    <xf numFmtId="4" fontId="393" fillId="0" borderId="686" xfId="67" applyFont="1" applyFill="1" applyBorder="1" applyAlignment="1">
      <alignment horizontal="left"/>
    </xf>
    <xf numFmtId="4" fontId="115" fillId="0" borderId="699" xfId="67" applyFont="1" applyFill="1" applyBorder="1"/>
    <xf numFmtId="43" fontId="115" fillId="0" borderId="295" xfId="9" applyFont="1" applyFill="1" applyBorder="1" applyAlignment="1">
      <alignment horizontal="center"/>
    </xf>
    <xf numFmtId="3" fontId="111" fillId="0" borderId="313" xfId="66" applyFont="1" applyFill="1" applyBorder="1" applyAlignment="1">
      <alignment horizontal="center"/>
    </xf>
    <xf numFmtId="43" fontId="111" fillId="0" borderId="0" xfId="9" applyNumberFormat="1" applyFont="1" applyFill="1" applyAlignment="1">
      <alignment horizontal="center"/>
    </xf>
    <xf numFmtId="3" fontId="111" fillId="0" borderId="718" xfId="66" applyFont="1" applyFill="1" applyBorder="1"/>
    <xf numFmtId="43" fontId="111" fillId="0" borderId="686" xfId="67" applyNumberFormat="1" applyFont="1" applyFill="1" applyBorder="1" applyAlignment="1">
      <alignment horizontal="left"/>
    </xf>
    <xf numFmtId="43" fontId="111" fillId="0" borderId="718" xfId="9" applyNumberFormat="1" applyFont="1" applyFill="1" applyBorder="1" applyAlignment="1">
      <alignment horizontal="center"/>
    </xf>
    <xf numFmtId="43" fontId="111" fillId="0" borderId="685" xfId="9" applyNumberFormat="1" applyFont="1" applyFill="1" applyBorder="1" applyAlignment="1">
      <alignment horizontal="center"/>
    </xf>
    <xf numFmtId="3" fontId="110" fillId="0" borderId="685" xfId="32" applyFont="1" applyFill="1" applyBorder="1"/>
    <xf numFmtId="3" fontId="116" fillId="0" borderId="118" xfId="66" applyFont="1" applyFill="1" applyBorder="1"/>
    <xf numFmtId="3" fontId="111" fillId="0" borderId="118" xfId="66" applyFont="1" applyFill="1" applyBorder="1" applyAlignment="1">
      <alignment horizontal="center"/>
    </xf>
    <xf numFmtId="3" fontId="111" fillId="0" borderId="118" xfId="66" applyFont="1" applyFill="1" applyBorder="1" applyAlignment="1">
      <alignment horizontal="left"/>
    </xf>
    <xf numFmtId="43" fontId="111" fillId="0" borderId="118" xfId="67" applyNumberFormat="1" applyFont="1" applyFill="1" applyBorder="1" applyAlignment="1">
      <alignment horizontal="left"/>
    </xf>
    <xf numFmtId="3" fontId="111" fillId="0" borderId="562" xfId="66" applyFont="1" applyFill="1" applyBorder="1"/>
    <xf numFmtId="43" fontId="111" fillId="0" borderId="562" xfId="9" applyNumberFormat="1" applyFont="1" applyFill="1" applyBorder="1" applyAlignment="1">
      <alignment horizontal="center"/>
    </xf>
    <xf numFmtId="0" fontId="111" fillId="0" borderId="2" xfId="66" applyNumberFormat="1" applyFont="1" applyFill="1" applyBorder="1" applyAlignment="1">
      <alignment horizontal="center"/>
    </xf>
    <xf numFmtId="3" fontId="116" fillId="0" borderId="2" xfId="66" applyFont="1" applyFill="1" applyBorder="1" applyAlignment="1">
      <alignment vertical="top"/>
    </xf>
    <xf numFmtId="3" fontId="111" fillId="0" borderId="91" xfId="66" applyFont="1" applyFill="1" applyBorder="1" applyAlignment="1">
      <alignment vertical="top"/>
    </xf>
    <xf numFmtId="3" fontId="111" fillId="0" borderId="2" xfId="66" applyFont="1" applyFill="1" applyBorder="1" applyAlignment="1">
      <alignment horizontal="center" vertical="top"/>
    </xf>
    <xf numFmtId="3" fontId="111" fillId="0" borderId="2" xfId="66" applyFont="1" applyFill="1" applyBorder="1" applyAlignment="1">
      <alignment horizontal="left" vertical="top"/>
    </xf>
    <xf numFmtId="43" fontId="111" fillId="0" borderId="0" xfId="67" applyNumberFormat="1" applyFont="1" applyFill="1" applyBorder="1" applyAlignment="1">
      <alignment vertical="top"/>
    </xf>
    <xf numFmtId="43" fontId="111" fillId="0" borderId="2" xfId="67" applyNumberFormat="1" applyFont="1" applyFill="1" applyBorder="1" applyAlignment="1">
      <alignment horizontal="left" vertical="top"/>
    </xf>
    <xf numFmtId="43" fontId="111" fillId="0" borderId="91" xfId="9" applyNumberFormat="1" applyFont="1" applyFill="1" applyBorder="1" applyAlignment="1">
      <alignment horizontal="center" vertical="top"/>
    </xf>
    <xf numFmtId="43" fontId="111" fillId="0" borderId="10" xfId="9" applyNumberFormat="1" applyFont="1" applyFill="1" applyBorder="1" applyAlignment="1">
      <alignment horizontal="center" vertical="top"/>
    </xf>
    <xf numFmtId="3" fontId="110" fillId="0" borderId="10" xfId="32" applyFont="1" applyFill="1" applyBorder="1" applyAlignment="1">
      <alignment vertical="top"/>
    </xf>
    <xf numFmtId="43" fontId="110" fillId="0" borderId="0" xfId="61" applyFont="1" applyFill="1" applyAlignment="1">
      <alignment vertical="top"/>
    </xf>
    <xf numFmtId="3" fontId="110" fillId="0" borderId="0" xfId="66" applyFont="1" applyFill="1" applyAlignment="1">
      <alignment horizontal="right" vertical="top"/>
    </xf>
    <xf numFmtId="4" fontId="110" fillId="0" borderId="0" xfId="66" applyNumberFormat="1" applyFont="1" applyFill="1" applyAlignment="1">
      <alignment vertical="top"/>
    </xf>
    <xf numFmtId="3" fontId="116" fillId="0" borderId="157" xfId="66" applyFont="1" applyFill="1" applyBorder="1"/>
    <xf numFmtId="3" fontId="111" fillId="0" borderId="157" xfId="66" applyFont="1" applyFill="1" applyBorder="1"/>
    <xf numFmtId="3" fontId="111" fillId="0" borderId="157" xfId="66" applyFont="1" applyFill="1" applyBorder="1" applyAlignment="1">
      <alignment horizontal="center"/>
    </xf>
    <xf numFmtId="3" fontId="111" fillId="0" borderId="157" xfId="66" applyFont="1" applyFill="1" applyBorder="1" applyAlignment="1">
      <alignment horizontal="left"/>
    </xf>
    <xf numFmtId="4" fontId="111" fillId="0" borderId="157" xfId="67" applyFont="1" applyFill="1" applyBorder="1"/>
    <xf numFmtId="4" fontId="111" fillId="0" borderId="157" xfId="67" applyFont="1" applyFill="1" applyBorder="1" applyAlignment="1">
      <alignment horizontal="left"/>
    </xf>
    <xf numFmtId="43" fontId="111" fillId="0" borderId="157" xfId="9" applyFont="1" applyFill="1" applyBorder="1" applyAlignment="1">
      <alignment horizontal="center"/>
    </xf>
    <xf numFmtId="3" fontId="110" fillId="0" borderId="157" xfId="32" applyFont="1" applyFill="1" applyBorder="1"/>
    <xf numFmtId="3" fontId="116" fillId="0" borderId="0" xfId="66" applyFont="1" applyFill="1" applyBorder="1"/>
    <xf numFmtId="3" fontId="111" fillId="0" borderId="0" xfId="66" applyFont="1" applyFill="1" applyBorder="1"/>
    <xf numFmtId="3" fontId="111" fillId="0" borderId="0" xfId="66" applyFont="1" applyFill="1" applyBorder="1" applyAlignment="1">
      <alignment horizontal="center"/>
    </xf>
    <xf numFmtId="4" fontId="111" fillId="0" borderId="0" xfId="67" applyFont="1" applyFill="1" applyBorder="1" applyAlignment="1">
      <alignment horizontal="left"/>
    </xf>
    <xf numFmtId="43" fontId="111" fillId="0" borderId="0" xfId="9" applyFont="1" applyFill="1" applyBorder="1" applyAlignment="1">
      <alignment horizontal="center"/>
    </xf>
    <xf numFmtId="3" fontId="110" fillId="0" borderId="0" xfId="32" applyFont="1" applyFill="1" applyBorder="1"/>
    <xf numFmtId="43" fontId="111" fillId="0" borderId="659" xfId="9" applyNumberFormat="1" applyFont="1" applyFill="1" applyBorder="1" applyAlignment="1">
      <alignment horizontal="center"/>
    </xf>
    <xf numFmtId="43" fontId="110" fillId="0" borderId="300" xfId="66" applyNumberFormat="1" applyFont="1" applyFill="1" applyBorder="1" applyAlignment="1">
      <alignment horizontal="left"/>
    </xf>
    <xf numFmtId="43" fontId="110" fillId="0" borderId="562" xfId="66" applyNumberFormat="1" applyFont="1" applyFill="1" applyBorder="1"/>
    <xf numFmtId="3" fontId="111" fillId="0" borderId="185" xfId="66" applyFont="1" applyFill="1" applyBorder="1" applyAlignment="1">
      <alignment horizontal="left"/>
    </xf>
    <xf numFmtId="43" fontId="111" fillId="0" borderId="185" xfId="67" applyNumberFormat="1" applyFont="1" applyFill="1" applyBorder="1" applyAlignment="1">
      <alignment horizontal="left"/>
    </xf>
    <xf numFmtId="43" fontId="111" fillId="0" borderId="313" xfId="9" applyNumberFormat="1" applyFont="1" applyFill="1" applyBorder="1" applyAlignment="1">
      <alignment horizontal="center"/>
    </xf>
    <xf numFmtId="3" fontId="391" fillId="0" borderId="2" xfId="66" applyFont="1" applyFill="1" applyBorder="1"/>
    <xf numFmtId="43" fontId="115" fillId="0" borderId="91" xfId="67" applyNumberFormat="1" applyFont="1" applyFill="1" applyBorder="1"/>
    <xf numFmtId="43" fontId="115" fillId="0" borderId="0" xfId="67" applyNumberFormat="1" applyFont="1" applyFill="1" applyBorder="1" applyAlignment="1">
      <alignment horizontal="left"/>
    </xf>
    <xf numFmtId="43" fontId="115" fillId="0" borderId="199" xfId="67" applyNumberFormat="1" applyFont="1" applyFill="1" applyBorder="1"/>
    <xf numFmtId="3" fontId="111" fillId="0" borderId="117" xfId="66" applyFont="1" applyFill="1" applyBorder="1" applyAlignment="1">
      <alignment horizontal="center"/>
    </xf>
    <xf numFmtId="43" fontId="111" fillId="0" borderId="397" xfId="9" applyNumberFormat="1" applyFont="1" applyFill="1" applyBorder="1" applyAlignment="1">
      <alignment horizontal="center"/>
    </xf>
    <xf numFmtId="3" fontId="401" fillId="0" borderId="2" xfId="66" applyFont="1" applyFill="1" applyBorder="1" applyAlignment="1">
      <alignment horizontal="left"/>
    </xf>
    <xf numFmtId="43" fontId="401" fillId="0" borderId="2" xfId="66" applyNumberFormat="1" applyFont="1" applyFill="1" applyBorder="1" applyAlignment="1">
      <alignment horizontal="left"/>
    </xf>
    <xf numFmtId="3" fontId="116" fillId="0" borderId="202" xfId="66" applyFont="1" applyFill="1" applyBorder="1"/>
    <xf numFmtId="3" fontId="401" fillId="0" borderId="202" xfId="66" applyFont="1" applyFill="1" applyBorder="1" applyAlignment="1">
      <alignment horizontal="left"/>
    </xf>
    <xf numFmtId="43" fontId="401" fillId="0" borderId="202" xfId="66" applyNumberFormat="1" applyFont="1" applyFill="1" applyBorder="1" applyAlignment="1">
      <alignment horizontal="left"/>
    </xf>
    <xf numFmtId="3" fontId="111" fillId="0" borderId="685" xfId="66" applyFont="1" applyFill="1" applyBorder="1" applyAlignment="1">
      <alignment horizontal="center"/>
    </xf>
    <xf numFmtId="3" fontId="401" fillId="0" borderId="686" xfId="66" applyFont="1" applyFill="1" applyBorder="1" applyAlignment="1">
      <alignment horizontal="left"/>
    </xf>
    <xf numFmtId="43" fontId="111" fillId="0" borderId="718" xfId="67" applyNumberFormat="1" applyFont="1" applyFill="1" applyBorder="1"/>
    <xf numFmtId="43" fontId="401" fillId="0" borderId="686" xfId="66" applyNumberFormat="1" applyFont="1" applyFill="1" applyBorder="1" applyAlignment="1">
      <alignment horizontal="left"/>
    </xf>
    <xf numFmtId="3" fontId="401" fillId="0" borderId="300" xfId="66" applyFont="1" applyFill="1" applyBorder="1" applyAlignment="1">
      <alignment horizontal="left"/>
    </xf>
    <xf numFmtId="43" fontId="111" fillId="0" borderId="659" xfId="67" applyNumberFormat="1" applyFont="1" applyFill="1" applyBorder="1"/>
    <xf numFmtId="43" fontId="401" fillId="0" borderId="300" xfId="66" applyNumberFormat="1" applyFont="1" applyFill="1" applyBorder="1" applyAlignment="1">
      <alignment horizontal="left"/>
    </xf>
    <xf numFmtId="3" fontId="111" fillId="0" borderId="643" xfId="66" applyFont="1" applyFill="1" applyBorder="1" applyAlignment="1">
      <alignment horizontal="center"/>
    </xf>
    <xf numFmtId="3" fontId="401" fillId="0" borderId="644" xfId="66" applyFont="1" applyFill="1" applyBorder="1" applyAlignment="1">
      <alignment horizontal="left"/>
    </xf>
    <xf numFmtId="43" fontId="401" fillId="0" borderId="644" xfId="66" applyNumberFormat="1" applyFont="1" applyFill="1" applyBorder="1" applyAlignment="1">
      <alignment horizontal="left"/>
    </xf>
    <xf numFmtId="43" fontId="111" fillId="0" borderId="695" xfId="67" applyNumberFormat="1" applyFont="1" applyFill="1" applyBorder="1"/>
    <xf numFmtId="3" fontId="391" fillId="0" borderId="644" xfId="66" applyFont="1" applyFill="1" applyBorder="1"/>
    <xf numFmtId="3" fontId="115" fillId="0" borderId="643" xfId="66" applyFont="1" applyFill="1" applyBorder="1" applyAlignment="1">
      <alignment horizontal="center"/>
    </xf>
    <xf numFmtId="3" fontId="393" fillId="0" borderId="420" xfId="66" applyFont="1" applyFill="1" applyBorder="1" applyAlignment="1">
      <alignment horizontal="left"/>
    </xf>
    <xf numFmtId="43" fontId="115" fillId="0" borderId="668" xfId="67" applyNumberFormat="1" applyFont="1" applyFill="1" applyBorder="1"/>
    <xf numFmtId="43" fontId="115" fillId="0" borderId="588" xfId="9" applyNumberFormat="1" applyFont="1" applyFill="1" applyBorder="1" applyAlignment="1">
      <alignment horizontal="center"/>
    </xf>
    <xf numFmtId="3" fontId="109" fillId="0" borderId="643" xfId="32" applyFont="1" applyFill="1" applyBorder="1"/>
    <xf numFmtId="43" fontId="111" fillId="0" borderId="676" xfId="67" applyNumberFormat="1" applyFont="1" applyFill="1" applyBorder="1"/>
    <xf numFmtId="3" fontId="111" fillId="0" borderId="258" xfId="66" applyFont="1" applyFill="1" applyBorder="1" applyAlignment="1">
      <alignment horizontal="left"/>
    </xf>
    <xf numFmtId="43" fontId="111" fillId="0" borderId="608" xfId="67" applyNumberFormat="1" applyFont="1" applyFill="1" applyBorder="1"/>
    <xf numFmtId="43" fontId="111" fillId="0" borderId="258" xfId="67" applyNumberFormat="1" applyFont="1" applyFill="1" applyBorder="1" applyAlignment="1">
      <alignment horizontal="left"/>
    </xf>
    <xf numFmtId="43" fontId="111" fillId="0" borderId="246" xfId="9" applyNumberFormat="1" applyFont="1" applyFill="1" applyBorder="1" applyAlignment="1">
      <alignment horizontal="center"/>
    </xf>
    <xf numFmtId="3" fontId="393" fillId="0" borderId="258" xfId="66" applyFont="1" applyFill="1" applyBorder="1" applyAlignment="1">
      <alignment horizontal="left"/>
    </xf>
    <xf numFmtId="43" fontId="115" fillId="0" borderId="247" xfId="67" applyNumberFormat="1" applyFont="1" applyFill="1" applyBorder="1"/>
    <xf numFmtId="43" fontId="393" fillId="0" borderId="258" xfId="67" applyNumberFormat="1" applyFont="1" applyFill="1" applyBorder="1" applyAlignment="1">
      <alignment horizontal="left"/>
    </xf>
    <xf numFmtId="43" fontId="115" fillId="0" borderId="397" xfId="67" applyNumberFormat="1" applyFont="1" applyFill="1" applyBorder="1"/>
    <xf numFmtId="3" fontId="116" fillId="0" borderId="275" xfId="66" applyFont="1" applyFill="1" applyBorder="1"/>
    <xf numFmtId="3" fontId="109" fillId="0" borderId="4" xfId="66" applyFont="1" applyFill="1" applyBorder="1"/>
    <xf numFmtId="3" fontId="110" fillId="0" borderId="0" xfId="66" applyFont="1" applyFill="1" applyBorder="1" applyAlignment="1">
      <alignment horizontal="left"/>
    </xf>
    <xf numFmtId="43" fontId="110" fillId="0" borderId="0" xfId="67" applyNumberFormat="1" applyFont="1" applyFill="1" applyBorder="1"/>
    <xf numFmtId="43" fontId="393" fillId="0" borderId="275" xfId="67" applyNumberFormat="1" applyFont="1" applyFill="1" applyBorder="1" applyAlignment="1">
      <alignment horizontal="left"/>
    </xf>
    <xf numFmtId="3" fontId="110" fillId="0" borderId="4" xfId="66" applyFont="1" applyFill="1" applyBorder="1"/>
    <xf numFmtId="3" fontId="110" fillId="0" borderId="2" xfId="66" applyFont="1" applyFill="1" applyBorder="1" applyAlignment="1">
      <alignment horizontal="left"/>
    </xf>
    <xf numFmtId="43" fontId="110" fillId="0" borderId="4" xfId="67" applyNumberFormat="1" applyFont="1" applyFill="1" applyBorder="1"/>
    <xf numFmtId="3" fontId="402" fillId="0" borderId="282" xfId="66" applyFont="1" applyFill="1" applyBorder="1" applyAlignment="1">
      <alignment horizontal="left"/>
    </xf>
    <xf numFmtId="43" fontId="109" fillId="0" borderId="283" xfId="67" applyNumberFormat="1" applyFont="1" applyFill="1" applyBorder="1"/>
    <xf numFmtId="43" fontId="393" fillId="0" borderId="282" xfId="67" applyNumberFormat="1" applyFont="1" applyFill="1" applyBorder="1" applyAlignment="1">
      <alignment horizontal="left"/>
    </xf>
    <xf numFmtId="43" fontId="111" fillId="0" borderId="284" xfId="67" applyNumberFormat="1" applyFont="1" applyFill="1" applyBorder="1"/>
    <xf numFmtId="43" fontId="111" fillId="0" borderId="407" xfId="9" applyNumberFormat="1" applyFont="1" applyFill="1" applyBorder="1" applyAlignment="1">
      <alignment horizontal="center"/>
    </xf>
    <xf numFmtId="3" fontId="111" fillId="0" borderId="279" xfId="66" applyFont="1" applyFill="1" applyBorder="1" applyAlignment="1">
      <alignment horizontal="center"/>
    </xf>
    <xf numFmtId="3" fontId="393" fillId="0" borderId="275" xfId="66" applyFont="1" applyFill="1" applyBorder="1" applyAlignment="1">
      <alignment horizontal="left"/>
    </xf>
    <xf numFmtId="3" fontId="110" fillId="0" borderId="37" xfId="66" applyFont="1" applyFill="1" applyBorder="1"/>
    <xf numFmtId="3" fontId="109" fillId="0" borderId="20" xfId="66" applyFont="1" applyFill="1" applyBorder="1"/>
    <xf numFmtId="3" fontId="110" fillId="0" borderId="3" xfId="66" applyFont="1" applyFill="1" applyBorder="1" applyAlignment="1">
      <alignment horizontal="center"/>
    </xf>
    <xf numFmtId="3" fontId="393" fillId="0" borderId="37" xfId="66" applyFont="1" applyFill="1" applyBorder="1" applyAlignment="1">
      <alignment horizontal="left"/>
    </xf>
    <xf numFmtId="43" fontId="393" fillId="0" borderId="37" xfId="67" applyNumberFormat="1" applyFont="1" applyFill="1" applyBorder="1" applyAlignment="1">
      <alignment horizontal="left"/>
    </xf>
    <xf numFmtId="3" fontId="110" fillId="0" borderId="313" xfId="32" applyFont="1" applyFill="1" applyBorder="1"/>
    <xf numFmtId="3" fontId="109" fillId="0" borderId="2" xfId="66" applyFont="1" applyFill="1" applyBorder="1"/>
    <xf numFmtId="3" fontId="110" fillId="0" borderId="14" xfId="66" applyFont="1" applyFill="1" applyBorder="1"/>
    <xf numFmtId="3" fontId="110" fillId="0" borderId="15" xfId="66" applyFont="1" applyFill="1" applyBorder="1"/>
    <xf numFmtId="3" fontId="110" fillId="0" borderId="16" xfId="66" applyFont="1" applyFill="1" applyBorder="1" applyAlignment="1">
      <alignment horizontal="center"/>
    </xf>
    <xf numFmtId="3" fontId="111" fillId="0" borderId="14" xfId="66" applyFont="1" applyFill="1" applyBorder="1" applyAlignment="1">
      <alignment horizontal="left"/>
    </xf>
    <xf numFmtId="4" fontId="111" fillId="0" borderId="17" xfId="67" applyFont="1" applyFill="1" applyBorder="1"/>
    <xf numFmtId="4" fontId="111" fillId="0" borderId="14" xfId="67" applyFont="1" applyFill="1" applyBorder="1" applyAlignment="1">
      <alignment horizontal="left"/>
    </xf>
    <xf numFmtId="43" fontId="111" fillId="0" borderId="16" xfId="9" applyFont="1" applyFill="1" applyBorder="1" applyAlignment="1">
      <alignment horizontal="center"/>
    </xf>
    <xf numFmtId="3" fontId="110" fillId="0" borderId="16" xfId="32" applyFont="1" applyFill="1" applyBorder="1"/>
    <xf numFmtId="3" fontId="110" fillId="0" borderId="0" xfId="32" applyFont="1" applyFill="1"/>
    <xf numFmtId="3" fontId="63" fillId="0" borderId="0" xfId="23" applyFont="1" applyFill="1" applyAlignment="1" applyProtection="1">
      <alignment horizontal="left"/>
      <protection locked="0"/>
    </xf>
    <xf numFmtId="3" fontId="63" fillId="0" borderId="0" xfId="32" applyFont="1" applyFill="1"/>
    <xf numFmtId="3" fontId="63" fillId="0" borderId="0" xfId="32" applyFont="1" applyFill="1" applyAlignment="1">
      <alignment horizontal="right"/>
    </xf>
    <xf numFmtId="4" fontId="63" fillId="0" borderId="0" xfId="32" applyNumberFormat="1" applyFont="1" applyFill="1"/>
    <xf numFmtId="3" fontId="63" fillId="0" borderId="0" xfId="23" applyFont="1" applyFill="1" applyAlignment="1" applyProtection="1">
      <alignment vertical="top"/>
      <protection locked="0"/>
    </xf>
    <xf numFmtId="3" fontId="63" fillId="0" borderId="0" xfId="23" applyFont="1" applyFill="1"/>
    <xf numFmtId="3" fontId="63" fillId="0" borderId="0" xfId="23" applyFont="1" applyFill="1" applyAlignment="1" applyProtection="1">
      <alignment horizontal="center"/>
      <protection locked="0"/>
    </xf>
    <xf numFmtId="3" fontId="63" fillId="0" borderId="0" xfId="23" applyFont="1" applyFill="1" applyProtection="1">
      <protection locked="0"/>
    </xf>
    <xf numFmtId="39" fontId="63" fillId="0" borderId="0" xfId="23" applyNumberFormat="1" applyFont="1" applyFill="1" applyAlignment="1" applyProtection="1">
      <alignment horizontal="left"/>
      <protection locked="0"/>
    </xf>
    <xf numFmtId="39" fontId="63" fillId="0" borderId="0" xfId="23" applyNumberFormat="1" applyFont="1" applyFill="1" applyProtection="1">
      <protection locked="0"/>
    </xf>
    <xf numFmtId="39" fontId="318" fillId="0" borderId="0" xfId="23" applyNumberFormat="1" applyFont="1" applyFill="1" applyAlignment="1" applyProtection="1">
      <alignment horizontal="left"/>
      <protection locked="0"/>
    </xf>
    <xf numFmtId="3" fontId="318" fillId="0" borderId="0" xfId="32" applyFont="1" applyFill="1"/>
    <xf numFmtId="3" fontId="318" fillId="0" borderId="0" xfId="32" applyFont="1" applyFill="1" applyAlignment="1">
      <alignment horizontal="right"/>
    </xf>
    <xf numFmtId="4" fontId="318" fillId="0" borderId="0" xfId="32" applyNumberFormat="1" applyFont="1" applyFill="1"/>
    <xf numFmtId="3" fontId="320" fillId="0" borderId="0" xfId="32" applyFont="1" applyFill="1"/>
    <xf numFmtId="39" fontId="278" fillId="0" borderId="0" xfId="23" applyNumberFormat="1" applyFont="1" applyFill="1" applyAlignment="1" applyProtection="1">
      <protection locked="0"/>
    </xf>
    <xf numFmtId="3" fontId="320" fillId="0" borderId="0" xfId="32" applyFont="1" applyFill="1" applyAlignment="1">
      <alignment horizontal="right"/>
    </xf>
    <xf numFmtId="4" fontId="320" fillId="0" borderId="0" xfId="32" applyNumberFormat="1" applyFont="1" applyFill="1"/>
    <xf numFmtId="3" fontId="278" fillId="0" borderId="0" xfId="32" applyFont="1" applyFill="1"/>
    <xf numFmtId="39" fontId="320" fillId="0" borderId="0" xfId="23" applyNumberFormat="1" applyFont="1" applyFill="1" applyAlignment="1" applyProtection="1">
      <protection locked="0"/>
    </xf>
    <xf numFmtId="3" fontId="278" fillId="0" borderId="0" xfId="32" applyFont="1" applyFill="1" applyAlignment="1">
      <alignment horizontal="right"/>
    </xf>
    <xf numFmtId="4" fontId="278" fillId="0" borderId="0" xfId="32" applyNumberFormat="1" applyFont="1" applyFill="1"/>
    <xf numFmtId="3" fontId="320" fillId="0" borderId="0" xfId="23" applyFont="1" applyFill="1" applyProtection="1">
      <protection locked="0"/>
    </xf>
    <xf numFmtId="3" fontId="320" fillId="0" borderId="0" xfId="23" applyFont="1" applyFill="1" applyAlignment="1" applyProtection="1">
      <alignment horizontal="left"/>
      <protection locked="0"/>
    </xf>
    <xf numFmtId="39" fontId="320" fillId="0" borderId="0" xfId="23" applyNumberFormat="1" applyFont="1" applyFill="1" applyAlignment="1" applyProtection="1">
      <alignment horizontal="left"/>
      <protection locked="0"/>
    </xf>
    <xf numFmtId="39" fontId="320" fillId="0" borderId="0" xfId="23" applyNumberFormat="1" applyFont="1" applyFill="1" applyAlignment="1" applyProtection="1">
      <alignment horizontal="center"/>
      <protection locked="0"/>
    </xf>
    <xf numFmtId="3" fontId="278" fillId="0" borderId="0" xfId="23" applyFont="1" applyFill="1"/>
    <xf numFmtId="3" fontId="278" fillId="0" borderId="0" xfId="23" applyFont="1" applyFill="1" applyAlignment="1">
      <alignment horizontal="center"/>
    </xf>
    <xf numFmtId="3" fontId="278" fillId="0" borderId="0" xfId="23" applyFont="1" applyFill="1" applyAlignment="1">
      <alignment horizontal="left"/>
    </xf>
    <xf numFmtId="3" fontId="278" fillId="0" borderId="0" xfId="23" applyFont="1" applyFill="1" applyAlignment="1"/>
    <xf numFmtId="3" fontId="320" fillId="0" borderId="0" xfId="23" applyFont="1" applyFill="1"/>
    <xf numFmtId="3" fontId="320" fillId="0" borderId="0" xfId="23" applyFont="1" applyFill="1" applyAlignment="1"/>
    <xf numFmtId="3" fontId="320" fillId="0" borderId="0" xfId="32" applyFont="1" applyFill="1" applyAlignment="1"/>
    <xf numFmtId="43" fontId="320" fillId="0" borderId="0" xfId="61" applyFont="1" applyFill="1"/>
    <xf numFmtId="3" fontId="320" fillId="0" borderId="0" xfId="66" applyFont="1" applyFill="1" applyAlignment="1">
      <alignment horizontal="right"/>
    </xf>
    <xf numFmtId="4" fontId="320" fillId="0" borderId="0" xfId="66" applyNumberFormat="1" applyFont="1" applyFill="1"/>
    <xf numFmtId="3" fontId="320" fillId="0" borderId="0" xfId="66" applyFont="1" applyFill="1"/>
    <xf numFmtId="3" fontId="320" fillId="0" borderId="0" xfId="23" applyFont="1" applyFill="1" applyAlignment="1">
      <alignment horizontal="left"/>
    </xf>
    <xf numFmtId="3" fontId="320" fillId="0" borderId="0" xfId="32" applyFont="1" applyFill="1" applyAlignment="1">
      <alignment horizontal="left"/>
    </xf>
    <xf numFmtId="3" fontId="63" fillId="0" borderId="0" xfId="23" applyFont="1" applyFill="1" applyAlignment="1">
      <alignment horizontal="left"/>
    </xf>
    <xf numFmtId="43" fontId="385" fillId="0" borderId="0" xfId="61" applyFont="1" applyFill="1"/>
    <xf numFmtId="3" fontId="385" fillId="0" borderId="0" xfId="66" applyFont="1" applyFill="1" applyAlignment="1">
      <alignment horizontal="right"/>
    </xf>
    <xf numFmtId="4" fontId="385" fillId="0" borderId="0" xfId="66" applyNumberFormat="1" applyFont="1" applyFill="1"/>
    <xf numFmtId="3" fontId="385" fillId="0" borderId="0" xfId="66" applyFont="1" applyFill="1"/>
    <xf numFmtId="3" fontId="385" fillId="0" borderId="0" xfId="66" applyFont="1" applyFill="1" applyAlignment="1">
      <alignment horizontal="center"/>
    </xf>
    <xf numFmtId="3" fontId="385" fillId="0" borderId="0" xfId="32" applyFont="1" applyFill="1"/>
    <xf numFmtId="3" fontId="389" fillId="0" borderId="0" xfId="23" applyFont="1" applyFill="1"/>
    <xf numFmtId="3" fontId="389" fillId="0" borderId="0" xfId="23" applyFont="1" applyFill="1" applyAlignment="1">
      <alignment horizontal="left"/>
    </xf>
    <xf numFmtId="43" fontId="389" fillId="0" borderId="0" xfId="61" applyFont="1" applyFill="1"/>
    <xf numFmtId="3" fontId="63" fillId="0" borderId="0" xfId="66" applyFont="1" applyFill="1" applyAlignment="1">
      <alignment horizontal="center"/>
    </xf>
    <xf numFmtId="43" fontId="63" fillId="0" borderId="0" xfId="61" applyFont="1" applyFill="1"/>
    <xf numFmtId="3" fontId="63" fillId="0" borderId="0" xfId="66" applyFont="1" applyFill="1" applyAlignment="1">
      <alignment horizontal="right"/>
    </xf>
    <xf numFmtId="4" fontId="63" fillId="0" borderId="0" xfId="66" applyNumberFormat="1" applyFont="1" applyFill="1"/>
    <xf numFmtId="3" fontId="63" fillId="0" borderId="0" xfId="66" applyFont="1" applyFill="1" applyAlignment="1">
      <alignment horizontal="left"/>
    </xf>
    <xf numFmtId="3" fontId="320" fillId="0" borderId="0" xfId="23" applyFont="1" applyFill="1" applyAlignment="1">
      <alignment horizontal="center"/>
    </xf>
    <xf numFmtId="3" fontId="320" fillId="0" borderId="0" xfId="66" applyFont="1" applyFill="1" applyAlignment="1">
      <alignment horizontal="center"/>
    </xf>
    <xf numFmtId="3" fontId="320" fillId="0" borderId="0" xfId="23" applyFont="1" applyFill="1" applyAlignment="1" applyProtection="1">
      <protection locked="0"/>
    </xf>
    <xf numFmtId="3" fontId="320" fillId="0" borderId="0" xfId="32" applyFont="1" applyAlignment="1">
      <alignment horizontal="justify" vertical="top" wrapText="1"/>
    </xf>
    <xf numFmtId="3" fontId="320" fillId="0" borderId="0" xfId="32" applyFont="1" applyAlignment="1">
      <alignment horizontal="left"/>
    </xf>
    <xf numFmtId="3" fontId="320" fillId="0" borderId="0" xfId="32" applyFont="1" applyAlignment="1">
      <alignment horizontal="left" vertical="top"/>
    </xf>
    <xf numFmtId="43" fontId="320" fillId="0" borderId="733" xfId="1" applyNumberFormat="1" applyFont="1" applyFill="1" applyBorder="1" applyAlignment="1">
      <alignment vertical="top"/>
    </xf>
    <xf numFmtId="0" fontId="278" fillId="0" borderId="626" xfId="2" applyFont="1" applyFill="1" applyBorder="1" applyAlignment="1" applyProtection="1">
      <alignment vertical="top"/>
      <protection locked="0"/>
    </xf>
    <xf numFmtId="0" fontId="278" fillId="0" borderId="709" xfId="2" applyFont="1" applyFill="1" applyBorder="1" applyAlignment="1" applyProtection="1">
      <alignment horizontal="center" vertical="top"/>
      <protection locked="0"/>
    </xf>
    <xf numFmtId="43" fontId="278" fillId="0" borderId="473" xfId="2" applyNumberFormat="1" applyFont="1" applyFill="1" applyBorder="1" applyAlignment="1" applyProtection="1">
      <alignment horizontal="center" vertical="top"/>
      <protection locked="0"/>
    </xf>
    <xf numFmtId="0" fontId="278" fillId="0" borderId="368" xfId="2" applyFont="1" applyFill="1" applyBorder="1" applyAlignment="1" applyProtection="1">
      <alignment vertical="top"/>
      <protection locked="0"/>
    </xf>
    <xf numFmtId="43" fontId="278" fillId="0" borderId="733" xfId="1" applyFont="1" applyFill="1" applyBorder="1" applyAlignment="1" applyProtection="1">
      <alignment horizontal="center" vertical="top"/>
      <protection locked="0"/>
    </xf>
    <xf numFmtId="0" fontId="278" fillId="0" borderId="733" xfId="2" applyNumberFormat="1" applyFont="1" applyFill="1" applyBorder="1" applyAlignment="1">
      <alignment horizontal="center" vertical="center"/>
    </xf>
    <xf numFmtId="10" fontId="278" fillId="0" borderId="733" xfId="88" applyNumberFormat="1" applyFont="1" applyFill="1" applyBorder="1" applyAlignment="1">
      <alignment horizontal="center" vertical="center"/>
    </xf>
    <xf numFmtId="43" fontId="278" fillId="0" borderId="398" xfId="2" applyNumberFormat="1" applyFont="1" applyFill="1" applyBorder="1" applyAlignment="1" applyProtection="1">
      <alignment horizontal="center" vertical="top"/>
      <protection locked="0"/>
    </xf>
    <xf numFmtId="0" fontId="278" fillId="0" borderId="243" xfId="2" applyFont="1" applyFill="1" applyBorder="1" applyAlignment="1" applyProtection="1">
      <alignment vertical="top"/>
      <protection locked="0"/>
    </xf>
    <xf numFmtId="0" fontId="278" fillId="0" borderId="397" xfId="2" applyFont="1" applyFill="1" applyBorder="1" applyAlignment="1" applyProtection="1">
      <alignment horizontal="center" vertical="top"/>
      <protection locked="0"/>
    </xf>
    <xf numFmtId="0" fontId="278" fillId="0" borderId="437" xfId="2" applyNumberFormat="1" applyFont="1" applyFill="1" applyBorder="1" applyAlignment="1" applyProtection="1">
      <alignment horizontal="center" vertical="top"/>
      <protection locked="0"/>
    </xf>
    <xf numFmtId="49" fontId="321" fillId="0" borderId="368" xfId="2" applyNumberFormat="1" applyFont="1" applyFill="1" applyBorder="1" applyAlignment="1" applyProtection="1">
      <alignment vertical="top"/>
      <protection locked="0"/>
    </xf>
    <xf numFmtId="0" fontId="321" fillId="0" borderId="672" xfId="2" applyFont="1" applyFill="1" applyBorder="1" applyAlignment="1" applyProtection="1">
      <alignment horizontal="center" vertical="top"/>
      <protection locked="0"/>
    </xf>
    <xf numFmtId="43" fontId="320" fillId="0" borderId="672" xfId="2" applyNumberFormat="1" applyFont="1" applyFill="1" applyBorder="1" applyAlignment="1" applyProtection="1">
      <alignment vertical="top"/>
      <protection locked="0"/>
    </xf>
    <xf numFmtId="10" fontId="320" fillId="0" borderId="672" xfId="88" applyNumberFormat="1" applyFont="1" applyFill="1" applyBorder="1" applyAlignment="1" applyProtection="1">
      <alignment vertical="top"/>
      <protection locked="0"/>
    </xf>
    <xf numFmtId="43" fontId="320" fillId="0" borderId="536" xfId="2" applyNumberFormat="1" applyFont="1" applyFill="1" applyBorder="1" applyAlignment="1" applyProtection="1">
      <alignment vertical="top"/>
      <protection locked="0"/>
    </xf>
    <xf numFmtId="0" fontId="321" fillId="0" borderId="685" xfId="2" applyFont="1" applyFill="1" applyBorder="1" applyAlignment="1" applyProtection="1">
      <alignment horizontal="center" vertical="top"/>
      <protection locked="0"/>
    </xf>
    <xf numFmtId="43" fontId="320" fillId="0" borderId="285" xfId="2" applyNumberFormat="1" applyFont="1" applyFill="1" applyBorder="1" applyAlignment="1" applyProtection="1">
      <alignment vertical="top"/>
      <protection locked="0"/>
    </xf>
    <xf numFmtId="49" fontId="278" fillId="0" borderId="368" xfId="2" applyNumberFormat="1" applyFont="1" applyFill="1" applyBorder="1" applyAlignment="1" applyProtection="1">
      <alignment vertical="top"/>
      <protection locked="0"/>
    </xf>
    <xf numFmtId="43" fontId="278" fillId="0" borderId="700" xfId="1" applyFont="1" applyFill="1" applyBorder="1" applyAlignment="1" applyProtection="1">
      <alignment vertical="top"/>
    </xf>
    <xf numFmtId="43" fontId="278" fillId="0" borderId="700" xfId="2" applyNumberFormat="1" applyFont="1" applyFill="1" applyBorder="1" applyAlignment="1" applyProtection="1">
      <alignment vertical="top"/>
    </xf>
    <xf numFmtId="43" fontId="278" fillId="0" borderId="700" xfId="2" applyNumberFormat="1" applyFont="1" applyFill="1" applyBorder="1" applyAlignment="1" applyProtection="1">
      <alignment vertical="top"/>
      <protection locked="0"/>
    </xf>
    <xf numFmtId="43" fontId="278" fillId="0" borderId="632" xfId="2" applyNumberFormat="1" applyFont="1" applyFill="1" applyBorder="1" applyAlignment="1" applyProtection="1">
      <alignment vertical="top"/>
    </xf>
    <xf numFmtId="43" fontId="320" fillId="0" borderId="684" xfId="2" applyNumberFormat="1" applyFont="1" applyFill="1" applyBorder="1" applyAlignment="1" applyProtection="1">
      <alignment vertical="top"/>
      <protection locked="0"/>
    </xf>
    <xf numFmtId="10" fontId="320" fillId="0" borderId="684" xfId="88" applyNumberFormat="1" applyFont="1" applyFill="1" applyBorder="1" applyAlignment="1" applyProtection="1">
      <alignment vertical="top"/>
      <protection locked="0"/>
    </xf>
    <xf numFmtId="43" fontId="320" fillId="0" borderId="704" xfId="2" applyNumberFormat="1" applyFont="1" applyFill="1" applyBorder="1" applyAlignment="1" applyProtection="1">
      <alignment vertical="top"/>
      <protection locked="0"/>
    </xf>
    <xf numFmtId="43" fontId="320" fillId="0" borderId="685" xfId="2" applyNumberFormat="1" applyFont="1" applyFill="1" applyBorder="1" applyAlignment="1" applyProtection="1">
      <alignment vertical="top"/>
    </xf>
    <xf numFmtId="43" fontId="320" fillId="0" borderId="285" xfId="2" applyNumberFormat="1" applyFont="1" applyFill="1" applyBorder="1" applyAlignment="1" applyProtection="1">
      <alignment vertical="top"/>
    </xf>
    <xf numFmtId="43" fontId="320" fillId="0" borderId="285" xfId="1" applyNumberFormat="1" applyFont="1" applyFill="1" applyBorder="1" applyAlignment="1">
      <alignment vertical="top"/>
    </xf>
    <xf numFmtId="0" fontId="321" fillId="0" borderId="733" xfId="2" applyFont="1" applyFill="1" applyBorder="1" applyAlignment="1" applyProtection="1">
      <alignment vertical="top"/>
      <protection locked="0"/>
    </xf>
    <xf numFmtId="43" fontId="321" fillId="0" borderId="733" xfId="1" applyFont="1" applyFill="1" applyBorder="1" applyAlignment="1" applyProtection="1">
      <alignment vertical="top"/>
      <protection locked="0"/>
    </xf>
    <xf numFmtId="43" fontId="320" fillId="0" borderId="285" xfId="7" applyNumberFormat="1" applyFont="1" applyFill="1" applyBorder="1" applyAlignment="1">
      <alignment vertical="top"/>
    </xf>
    <xf numFmtId="43" fontId="320" fillId="0" borderId="703" xfId="2" applyNumberFormat="1" applyFont="1" applyFill="1" applyBorder="1" applyAlignment="1" applyProtection="1">
      <alignment vertical="top"/>
      <protection locked="0"/>
    </xf>
    <xf numFmtId="43" fontId="278" fillId="0" borderId="632" xfId="2" applyNumberFormat="1" applyFont="1" applyFill="1" applyBorder="1" applyAlignment="1" applyProtection="1">
      <alignment vertical="center"/>
    </xf>
    <xf numFmtId="43" fontId="320" fillId="0" borderId="684" xfId="1" applyFont="1" applyFill="1" applyBorder="1" applyAlignment="1" applyProtection="1">
      <alignment vertical="top"/>
      <protection locked="0"/>
    </xf>
    <xf numFmtId="0" fontId="320" fillId="0" borderId="243" xfId="2" applyFont="1" applyFill="1" applyBorder="1" applyAlignment="1" applyProtection="1">
      <alignment vertical="top"/>
      <protection locked="0"/>
    </xf>
    <xf numFmtId="0" fontId="320" fillId="0" borderId="608" xfId="2" applyFont="1" applyFill="1" applyBorder="1" applyAlignment="1" applyProtection="1">
      <alignment vertical="top"/>
      <protection locked="0"/>
    </xf>
    <xf numFmtId="43" fontId="321" fillId="0" borderId="608" xfId="1" applyFont="1" applyFill="1" applyBorder="1" applyAlignment="1" applyProtection="1">
      <alignment vertical="top"/>
      <protection locked="0"/>
    </xf>
    <xf numFmtId="43" fontId="320" fillId="0" borderId="397" xfId="1" applyFont="1" applyFill="1" applyBorder="1" applyAlignment="1">
      <alignment vertical="top"/>
    </xf>
    <xf numFmtId="43" fontId="320" fillId="0" borderId="397" xfId="7" applyNumberFormat="1" applyFont="1" applyFill="1" applyBorder="1" applyAlignment="1">
      <alignment vertical="top"/>
    </xf>
    <xf numFmtId="43" fontId="320" fillId="0" borderId="397" xfId="1" applyNumberFormat="1" applyFont="1" applyFill="1" applyBorder="1" applyAlignment="1">
      <alignment vertical="top"/>
    </xf>
    <xf numFmtId="10" fontId="320" fillId="0" borderId="397" xfId="88" applyNumberFormat="1" applyFont="1" applyFill="1" applyBorder="1" applyAlignment="1">
      <alignment vertical="top"/>
    </xf>
    <xf numFmtId="43" fontId="320" fillId="0" borderId="697" xfId="7" applyNumberFormat="1" applyFont="1" applyFill="1" applyBorder="1" applyAlignment="1">
      <alignment vertical="top"/>
    </xf>
    <xf numFmtId="0" fontId="320" fillId="0" borderId="709" xfId="2" applyFont="1" applyFill="1" applyBorder="1" applyAlignment="1" applyProtection="1">
      <alignment horizontal="center" vertical="top"/>
      <protection locked="0"/>
    </xf>
    <xf numFmtId="0" fontId="278" fillId="0" borderId="733" xfId="1" applyNumberFormat="1" applyFont="1" applyFill="1" applyBorder="1" applyAlignment="1" applyProtection="1">
      <alignment horizontal="center" vertical="top"/>
      <protection locked="0"/>
    </xf>
    <xf numFmtId="4" fontId="278" fillId="0" borderId="733" xfId="30" applyNumberFormat="1" applyFont="1" applyFill="1" applyBorder="1" applyAlignment="1" applyProtection="1">
      <alignment horizontal="center" vertical="center"/>
      <protection locked="0"/>
    </xf>
    <xf numFmtId="0" fontId="278" fillId="0" borderId="733" xfId="2" applyNumberFormat="1" applyFont="1" applyFill="1" applyBorder="1" applyAlignment="1" applyProtection="1">
      <alignment horizontal="center" vertical="center"/>
      <protection locked="0"/>
    </xf>
    <xf numFmtId="10" fontId="278" fillId="0" borderId="733" xfId="88" applyNumberFormat="1" applyFont="1" applyFill="1" applyBorder="1" applyAlignment="1" applyProtection="1">
      <alignment horizontal="center" vertical="center"/>
      <protection locked="0"/>
    </xf>
    <xf numFmtId="0" fontId="278" fillId="0" borderId="398" xfId="2" applyNumberFormat="1" applyFont="1" applyFill="1" applyBorder="1" applyAlignment="1" applyProtection="1">
      <alignment horizontal="center" vertical="top"/>
      <protection locked="0"/>
    </xf>
    <xf numFmtId="43" fontId="320" fillId="0" borderId="685" xfId="7" applyNumberFormat="1" applyFont="1" applyFill="1" applyBorder="1" applyAlignment="1" applyProtection="1">
      <alignment vertical="top"/>
      <protection locked="0"/>
    </xf>
    <xf numFmtId="43" fontId="320" fillId="0" borderId="285" xfId="7" applyNumberFormat="1" applyFont="1" applyFill="1" applyBorder="1" applyAlignment="1" applyProtection="1">
      <alignment vertical="top"/>
      <protection locked="0"/>
    </xf>
    <xf numFmtId="0" fontId="320" fillId="0" borderId="368" xfId="2" applyFont="1" applyFill="1" applyBorder="1" applyAlignment="1">
      <alignment vertical="top"/>
    </xf>
    <xf numFmtId="43" fontId="320" fillId="0" borderId="285" xfId="2" applyNumberFormat="1" applyFont="1" applyFill="1" applyBorder="1" applyAlignment="1">
      <alignment vertical="top"/>
    </xf>
    <xf numFmtId="0" fontId="320" fillId="0" borderId="733" xfId="2" applyFont="1" applyFill="1" applyBorder="1" applyAlignment="1" applyProtection="1">
      <alignment vertical="top"/>
      <protection locked="0"/>
    </xf>
    <xf numFmtId="43" fontId="278" fillId="0" borderId="703" xfId="2" applyNumberFormat="1" applyFont="1" applyFill="1" applyBorder="1" applyAlignment="1" applyProtection="1">
      <alignment vertical="center"/>
    </xf>
    <xf numFmtId="43" fontId="320" fillId="0" borderId="285" xfId="2" applyNumberFormat="1" applyFont="1" applyFill="1" applyBorder="1" applyAlignment="1" applyProtection="1">
      <alignment horizontal="right" vertical="top"/>
      <protection locked="0"/>
    </xf>
    <xf numFmtId="49" fontId="320" fillId="0" borderId="243" xfId="2" applyNumberFormat="1" applyFont="1" applyFill="1" applyBorder="1" applyAlignment="1" applyProtection="1">
      <alignment vertical="top"/>
      <protection locked="0"/>
    </xf>
    <xf numFmtId="0" fontId="321" fillId="0" borderId="608" xfId="2" applyFont="1" applyFill="1" applyBorder="1" applyAlignment="1" applyProtection="1">
      <alignment vertical="top"/>
      <protection locked="0"/>
    </xf>
    <xf numFmtId="43" fontId="320" fillId="0" borderId="397" xfId="1" applyFont="1" applyFill="1" applyBorder="1" applyAlignment="1" applyProtection="1">
      <alignment vertical="top"/>
    </xf>
    <xf numFmtId="43" fontId="320" fillId="0" borderId="397" xfId="1" applyNumberFormat="1" applyFont="1" applyFill="1" applyBorder="1" applyAlignment="1" applyProtection="1">
      <alignment vertical="top"/>
      <protection locked="0"/>
    </xf>
    <xf numFmtId="43" fontId="320" fillId="0" borderId="697" xfId="2" applyNumberFormat="1" applyFont="1" applyFill="1" applyBorder="1" applyAlignment="1" applyProtection="1">
      <alignment vertical="top"/>
      <protection locked="0"/>
    </xf>
    <xf numFmtId="43" fontId="278" fillId="0" borderId="733" xfId="2" applyNumberFormat="1" applyFont="1" applyFill="1" applyBorder="1" applyAlignment="1" applyProtection="1">
      <alignment horizontal="center" vertical="top"/>
      <protection locked="0"/>
    </xf>
    <xf numFmtId="10" fontId="278" fillId="0" borderId="733" xfId="88" applyNumberFormat="1" applyFont="1" applyFill="1" applyBorder="1" applyAlignment="1" applyProtection="1">
      <alignment horizontal="center" vertical="top"/>
      <protection locked="0"/>
    </xf>
    <xf numFmtId="0" fontId="320" fillId="0" borderId="733" xfId="0" applyFont="1" applyFill="1" applyBorder="1" applyAlignment="1" applyProtection="1">
      <alignment vertical="top"/>
      <protection locked="0"/>
    </xf>
    <xf numFmtId="43" fontId="320" fillId="0" borderId="285" xfId="1" applyNumberFormat="1" applyFont="1" applyFill="1" applyBorder="1" applyAlignment="1" applyProtection="1">
      <alignment vertical="top"/>
      <protection locked="0"/>
    </xf>
    <xf numFmtId="0" fontId="321" fillId="0" borderId="733" xfId="0" applyFont="1" applyFill="1" applyBorder="1" applyAlignment="1" applyProtection="1">
      <alignment horizontal="right" vertical="top"/>
      <protection locked="0"/>
    </xf>
    <xf numFmtId="43" fontId="321" fillId="0" borderId="285" xfId="1" applyNumberFormat="1" applyFont="1" applyFill="1" applyBorder="1" applyAlignment="1" applyProtection="1">
      <alignment horizontal="right" vertical="top"/>
      <protection locked="0"/>
    </xf>
    <xf numFmtId="0" fontId="320" fillId="0" borderId="733" xfId="2" applyFont="1" applyFill="1" applyBorder="1" applyAlignment="1" applyProtection="1">
      <alignment horizontal="center" vertical="top"/>
      <protection locked="0"/>
    </xf>
    <xf numFmtId="0" fontId="321" fillId="0" borderId="733" xfId="2" applyFont="1" applyFill="1" applyBorder="1" applyAlignment="1" applyProtection="1">
      <alignment horizontal="right" vertical="top"/>
      <protection locked="0"/>
    </xf>
    <xf numFmtId="0" fontId="320" fillId="0" borderId="733" xfId="2" applyFont="1" applyFill="1" applyBorder="1" applyAlignment="1" applyProtection="1">
      <alignment vertical="top" wrapText="1"/>
      <protection locked="0"/>
    </xf>
    <xf numFmtId="0" fontId="322" fillId="0" borderId="733" xfId="2" applyFont="1" applyFill="1" applyBorder="1" applyAlignment="1" applyProtection="1">
      <alignment horizontal="center" vertical="top"/>
      <protection locked="0"/>
    </xf>
    <xf numFmtId="0" fontId="320" fillId="0" borderId="608" xfId="2" applyFont="1" applyFill="1" applyBorder="1" applyAlignment="1" applyProtection="1">
      <alignment horizontal="center" vertical="center"/>
      <protection locked="0"/>
    </xf>
    <xf numFmtId="43" fontId="278" fillId="0" borderId="633" xfId="1" applyNumberFormat="1" applyFont="1" applyFill="1" applyBorder="1" applyAlignment="1" applyProtection="1">
      <alignment vertical="center"/>
      <protection locked="0"/>
    </xf>
    <xf numFmtId="43" fontId="278" fillId="0" borderId="634" xfId="1" applyNumberFormat="1" applyFont="1" applyFill="1" applyBorder="1" applyAlignment="1" applyProtection="1">
      <alignment vertical="center"/>
      <protection locked="0"/>
    </xf>
    <xf numFmtId="0" fontId="321" fillId="0" borderId="733" xfId="2" applyFont="1" applyFill="1" applyBorder="1" applyAlignment="1" applyProtection="1">
      <alignment horizontal="left" vertical="top"/>
      <protection locked="0"/>
    </xf>
    <xf numFmtId="0" fontId="321" fillId="0" borderId="368" xfId="2" applyFont="1" applyFill="1" applyBorder="1" applyAlignment="1" applyProtection="1">
      <alignment horizontal="right" vertical="top"/>
      <protection locked="0"/>
    </xf>
    <xf numFmtId="0" fontId="320" fillId="0" borderId="733" xfId="0" applyFont="1" applyFill="1" applyBorder="1" applyAlignment="1" applyProtection="1">
      <alignment vertical="top" wrapText="1"/>
      <protection locked="0"/>
    </xf>
    <xf numFmtId="43" fontId="320" fillId="0" borderId="733" xfId="1" applyFont="1" applyFill="1" applyBorder="1" applyAlignment="1" applyProtection="1">
      <alignment vertical="top"/>
      <protection locked="0"/>
    </xf>
    <xf numFmtId="0" fontId="321" fillId="0" borderId="733" xfId="2" applyFont="1" applyFill="1" applyBorder="1" applyAlignment="1" applyProtection="1">
      <alignment horizontal="right" vertical="top" wrapText="1"/>
      <protection locked="0"/>
    </xf>
    <xf numFmtId="0" fontId="320" fillId="0" borderId="243" xfId="2" applyFont="1" applyFill="1" applyBorder="1" applyAlignment="1">
      <alignment vertical="top"/>
    </xf>
    <xf numFmtId="0" fontId="320" fillId="0" borderId="608" xfId="2" applyFont="1" applyFill="1" applyBorder="1" applyAlignment="1" applyProtection="1">
      <alignment vertical="top" wrapText="1"/>
      <protection locked="0"/>
    </xf>
    <xf numFmtId="43" fontId="320" fillId="0" borderId="397" xfId="2" applyNumberFormat="1" applyFont="1" applyFill="1" applyBorder="1" applyAlignment="1" applyProtection="1">
      <alignment vertical="top" wrapText="1"/>
      <protection locked="0"/>
    </xf>
    <xf numFmtId="43" fontId="320" fillId="0" borderId="697" xfId="2" applyNumberFormat="1" applyFont="1" applyFill="1" applyBorder="1" applyAlignment="1" applyProtection="1">
      <alignment vertical="top" wrapText="1"/>
      <protection locked="0"/>
    </xf>
    <xf numFmtId="43" fontId="321" fillId="0" borderId="0" xfId="1" applyFont="1" applyFill="1" applyBorder="1" applyAlignment="1" applyProtection="1">
      <alignment horizontal="left" vertical="top"/>
      <protection locked="0"/>
    </xf>
    <xf numFmtId="43" fontId="321" fillId="0" borderId="0" xfId="1" applyFont="1" applyFill="1" applyBorder="1" applyAlignment="1" applyProtection="1">
      <alignment horizontal="right" vertical="top"/>
      <protection locked="0"/>
    </xf>
    <xf numFmtId="43" fontId="321" fillId="0" borderId="686" xfId="1" applyFont="1" applyFill="1" applyBorder="1" applyAlignment="1" applyProtection="1">
      <alignment horizontal="right" vertical="top"/>
      <protection locked="0"/>
    </xf>
    <xf numFmtId="43" fontId="321" fillId="0" borderId="686" xfId="1" applyFont="1" applyFill="1" applyBorder="1" applyAlignment="1" applyProtection="1">
      <alignment vertical="top" wrapText="1"/>
      <protection locked="0"/>
    </xf>
    <xf numFmtId="43" fontId="321" fillId="0" borderId="686" xfId="1" applyFont="1" applyFill="1" applyBorder="1" applyAlignment="1" applyProtection="1">
      <alignment vertical="top"/>
      <protection locked="0"/>
    </xf>
    <xf numFmtId="43" fontId="321" fillId="0" borderId="0" xfId="1" applyFont="1" applyFill="1" applyBorder="1" applyAlignment="1" applyProtection="1">
      <alignment horizontal="right" vertical="top" wrapText="1"/>
      <protection locked="0"/>
    </xf>
    <xf numFmtId="43" fontId="321" fillId="0" borderId="686" xfId="1" applyFont="1" applyFill="1" applyBorder="1" applyAlignment="1" applyProtection="1">
      <alignment horizontal="right" vertical="top" wrapText="1"/>
      <protection locked="0"/>
    </xf>
    <xf numFmtId="43" fontId="278" fillId="0" borderId="672" xfId="1" applyFont="1" applyFill="1" applyBorder="1" applyAlignment="1" applyProtection="1">
      <alignment horizontal="center" vertical="top"/>
      <protection locked="0"/>
    </xf>
    <xf numFmtId="43" fontId="278" fillId="0" borderId="672" xfId="2" applyNumberFormat="1" applyFont="1" applyFill="1" applyBorder="1" applyAlignment="1" applyProtection="1">
      <alignment horizontal="center" vertical="top"/>
      <protection locked="0"/>
    </xf>
    <xf numFmtId="10" fontId="278" fillId="0" borderId="672" xfId="88" applyNumberFormat="1" applyFont="1" applyFill="1" applyBorder="1" applyAlignment="1" applyProtection="1">
      <alignment horizontal="center" vertical="top"/>
      <protection locked="0"/>
    </xf>
    <xf numFmtId="43" fontId="278" fillId="0" borderId="536" xfId="2" applyNumberFormat="1" applyFont="1" applyFill="1" applyBorder="1" applyAlignment="1" applyProtection="1">
      <alignment horizontal="center" vertical="top"/>
      <protection locked="0"/>
    </xf>
    <xf numFmtId="43" fontId="278" fillId="0" borderId="685" xfId="1" applyFont="1" applyFill="1" applyBorder="1" applyAlignment="1" applyProtection="1">
      <alignment horizontal="center" vertical="top"/>
      <protection locked="0"/>
    </xf>
    <xf numFmtId="43" fontId="278" fillId="0" borderId="685" xfId="2" applyNumberFormat="1" applyFont="1" applyFill="1" applyBorder="1" applyAlignment="1" applyProtection="1">
      <alignment horizontal="center" vertical="top"/>
      <protection locked="0"/>
    </xf>
    <xf numFmtId="10" fontId="278" fillId="0" borderId="685" xfId="88" applyNumberFormat="1" applyFont="1" applyFill="1" applyBorder="1" applyAlignment="1" applyProtection="1">
      <alignment horizontal="center" vertical="top"/>
      <protection locked="0"/>
    </xf>
    <xf numFmtId="43" fontId="278" fillId="0" borderId="285" xfId="2" applyNumberFormat="1" applyFont="1" applyFill="1" applyBorder="1" applyAlignment="1" applyProtection="1">
      <alignment horizontal="center" vertical="top"/>
      <protection locked="0"/>
    </xf>
    <xf numFmtId="0" fontId="278" fillId="0" borderId="397" xfId="1" applyNumberFormat="1" applyFont="1" applyFill="1" applyBorder="1" applyAlignment="1" applyProtection="1">
      <alignment horizontal="center" vertical="top"/>
      <protection locked="0"/>
    </xf>
    <xf numFmtId="0" fontId="278" fillId="0" borderId="397" xfId="2" applyNumberFormat="1" applyFont="1" applyFill="1" applyBorder="1" applyAlignment="1" applyProtection="1">
      <alignment horizontal="center" vertical="top"/>
      <protection locked="0"/>
    </xf>
    <xf numFmtId="0" fontId="278" fillId="0" borderId="397" xfId="88" applyNumberFormat="1" applyFont="1" applyFill="1" applyBorder="1" applyAlignment="1" applyProtection="1">
      <alignment horizontal="center" vertical="top"/>
      <protection locked="0"/>
    </xf>
    <xf numFmtId="0" fontId="278" fillId="0" borderId="697" xfId="2" applyNumberFormat="1" applyFont="1" applyFill="1" applyBorder="1" applyAlignment="1" applyProtection="1">
      <alignment horizontal="center" vertical="top"/>
      <protection locked="0"/>
    </xf>
    <xf numFmtId="0" fontId="278" fillId="0" borderId="685" xfId="1" applyNumberFormat="1" applyFont="1" applyFill="1" applyBorder="1" applyAlignment="1" applyProtection="1">
      <alignment horizontal="center" vertical="top"/>
      <protection locked="0"/>
    </xf>
    <xf numFmtId="0" fontId="278" fillId="0" borderId="685" xfId="2" applyNumberFormat="1" applyFont="1" applyFill="1" applyBorder="1" applyAlignment="1" applyProtection="1">
      <alignment horizontal="center" vertical="top"/>
      <protection locked="0"/>
    </xf>
    <xf numFmtId="0" fontId="278" fillId="0" borderId="685" xfId="88" applyNumberFormat="1" applyFont="1" applyFill="1" applyBorder="1" applyAlignment="1" applyProtection="1">
      <alignment horizontal="center" vertical="top"/>
      <protection locked="0"/>
    </xf>
    <xf numFmtId="0" fontId="278" fillId="0" borderId="285" xfId="2" applyNumberFormat="1" applyFont="1" applyFill="1" applyBorder="1" applyAlignment="1" applyProtection="1">
      <alignment horizontal="center" vertical="top"/>
      <protection locked="0"/>
    </xf>
    <xf numFmtId="0" fontId="320" fillId="0" borderId="685" xfId="0" applyFont="1" applyFill="1" applyBorder="1" applyAlignment="1" applyProtection="1">
      <alignment horizontal="center" vertical="top"/>
      <protection locked="0"/>
    </xf>
    <xf numFmtId="0" fontId="321" fillId="0" borderId="685" xfId="0" applyFont="1" applyFill="1" applyBorder="1" applyAlignment="1" applyProtection="1">
      <alignment horizontal="right" vertical="top"/>
      <protection locked="0"/>
    </xf>
    <xf numFmtId="43" fontId="320" fillId="0" borderId="285" xfId="2" applyNumberFormat="1" applyFont="1" applyFill="1" applyBorder="1" applyAlignment="1" applyProtection="1">
      <alignment vertical="top" wrapText="1"/>
      <protection locked="0"/>
    </xf>
    <xf numFmtId="43" fontId="323" fillId="0" borderId="685" xfId="1" applyFont="1" applyFill="1" applyBorder="1" applyAlignment="1" applyProtection="1">
      <alignment horizontal="center" vertical="top"/>
      <protection locked="0"/>
    </xf>
    <xf numFmtId="0" fontId="320" fillId="0" borderId="608" xfId="2" applyFont="1" applyFill="1" applyBorder="1" applyAlignment="1" applyProtection="1">
      <alignment horizontal="center" vertical="top"/>
      <protection locked="0"/>
    </xf>
    <xf numFmtId="43" fontId="323" fillId="0" borderId="397" xfId="1" applyFont="1" applyFill="1" applyBorder="1" applyAlignment="1" applyProtection="1">
      <alignment horizontal="center" vertical="top"/>
      <protection locked="0"/>
    </xf>
    <xf numFmtId="0" fontId="321" fillId="0" borderId="733" xfId="47" applyFont="1" applyFill="1" applyBorder="1" applyAlignment="1" applyProtection="1">
      <alignment horizontal="right" vertical="top"/>
      <protection locked="0"/>
    </xf>
    <xf numFmtId="0" fontId="321" fillId="0" borderId="733" xfId="30" applyFont="1" applyFill="1" applyBorder="1" applyAlignment="1" applyProtection="1">
      <alignment horizontal="right" vertical="center"/>
      <protection locked="0"/>
    </xf>
    <xf numFmtId="0" fontId="321" fillId="0" borderId="733" xfId="36" applyFont="1" applyFill="1" applyBorder="1" applyAlignment="1" applyProtection="1">
      <alignment horizontal="right" vertical="center"/>
      <protection locked="0"/>
    </xf>
    <xf numFmtId="43" fontId="323" fillId="0" borderId="397" xfId="1" applyFont="1" applyFill="1" applyBorder="1" applyAlignment="1" applyProtection="1">
      <alignment horizontal="center" vertical="center"/>
      <protection locked="0"/>
    </xf>
    <xf numFmtId="43" fontId="320" fillId="0" borderId="733" xfId="1" applyNumberFormat="1" applyFont="1" applyFill="1" applyBorder="1" applyAlignment="1">
      <alignment horizontal="right" vertical="top"/>
    </xf>
    <xf numFmtId="43" fontId="320" fillId="0" borderId="733" xfId="1" applyFont="1" applyFill="1" applyBorder="1" applyAlignment="1" applyProtection="1">
      <alignment vertical="top"/>
    </xf>
    <xf numFmtId="9" fontId="320" fillId="0" borderId="685" xfId="88" applyFont="1" applyFill="1" applyBorder="1" applyAlignment="1">
      <alignment vertical="top"/>
    </xf>
    <xf numFmtId="43" fontId="320" fillId="0" borderId="685" xfId="88" applyNumberFormat="1" applyFont="1" applyFill="1" applyBorder="1" applyAlignment="1">
      <alignment vertical="top"/>
    </xf>
    <xf numFmtId="0" fontId="321" fillId="0" borderId="733" xfId="2" applyFont="1" applyFill="1" applyBorder="1" applyAlignment="1" applyProtection="1">
      <alignment vertical="top" wrapText="1"/>
      <protection locked="0"/>
    </xf>
    <xf numFmtId="43" fontId="320" fillId="0" borderId="285" xfId="1" applyNumberFormat="1" applyFont="1" applyFill="1" applyBorder="1" applyAlignment="1">
      <alignment horizontal="right" vertical="top"/>
    </xf>
    <xf numFmtId="0" fontId="320" fillId="0" borderId="733" xfId="0" applyNumberFormat="1" applyFont="1" applyFill="1" applyBorder="1" applyAlignment="1">
      <alignment horizontal="left" vertical="top" wrapText="1"/>
    </xf>
    <xf numFmtId="0" fontId="320" fillId="0" borderId="733" xfId="0" applyNumberFormat="1" applyFont="1" applyFill="1" applyBorder="1" applyAlignment="1">
      <alignment horizontal="left" vertical="top"/>
    </xf>
    <xf numFmtId="0" fontId="321" fillId="0" borderId="733" xfId="0" applyNumberFormat="1" applyFont="1" applyFill="1" applyBorder="1" applyAlignment="1">
      <alignment horizontal="right" vertical="top" wrapText="1"/>
    </xf>
    <xf numFmtId="0" fontId="320" fillId="0" borderId="733" xfId="2" applyFont="1" applyFill="1" applyBorder="1" applyAlignment="1" applyProtection="1">
      <alignment horizontal="center" vertical="center"/>
      <protection locked="0"/>
    </xf>
    <xf numFmtId="43" fontId="320" fillId="0" borderId="700" xfId="1" applyNumberFormat="1" applyFont="1" applyFill="1" applyBorder="1" applyAlignment="1" applyProtection="1">
      <alignment vertical="center"/>
    </xf>
    <xf numFmtId="10" fontId="320" fillId="0" borderId="700" xfId="88" applyNumberFormat="1" applyFont="1" applyFill="1" applyBorder="1" applyAlignment="1" applyProtection="1">
      <alignment vertical="center"/>
      <protection locked="0"/>
    </xf>
    <xf numFmtId="43" fontId="320" fillId="0" borderId="632" xfId="1" applyNumberFormat="1" applyFont="1" applyFill="1" applyBorder="1" applyAlignment="1" applyProtection="1">
      <alignment vertical="center"/>
    </xf>
    <xf numFmtId="43" fontId="278" fillId="0" borderId="397" xfId="2" applyNumberFormat="1" applyFont="1" applyFill="1" applyBorder="1" applyAlignment="1" applyProtection="1">
      <alignment horizontal="center" vertical="top"/>
      <protection locked="0"/>
    </xf>
    <xf numFmtId="10" fontId="278" fillId="0" borderId="397" xfId="88" applyNumberFormat="1" applyFont="1" applyFill="1" applyBorder="1" applyAlignment="1" applyProtection="1">
      <alignment horizontal="center" vertical="top"/>
      <protection locked="0"/>
    </xf>
    <xf numFmtId="43" fontId="321" fillId="0" borderId="685" xfId="1" applyFont="1" applyFill="1" applyBorder="1" applyAlignment="1">
      <alignment horizontal="left" vertical="top"/>
    </xf>
    <xf numFmtId="0" fontId="320" fillId="0" borderId="685" xfId="2" applyNumberFormat="1" applyFont="1" applyFill="1" applyBorder="1" applyAlignment="1" applyProtection="1">
      <alignment horizontal="center" vertical="top"/>
      <protection locked="0"/>
    </xf>
    <xf numFmtId="0" fontId="321" fillId="0" borderId="733" xfId="0" applyNumberFormat="1" applyFont="1" applyFill="1" applyBorder="1" applyAlignment="1">
      <alignment horizontal="center" vertical="top" wrapText="1"/>
    </xf>
    <xf numFmtId="43" fontId="321" fillId="0" borderId="685" xfId="1" applyFont="1" applyFill="1" applyBorder="1" applyAlignment="1" applyProtection="1">
      <alignment horizontal="center" vertical="top"/>
      <protection locked="0"/>
    </xf>
    <xf numFmtId="43" fontId="321" fillId="0" borderId="397" xfId="1" applyFont="1" applyFill="1" applyBorder="1" applyAlignment="1" applyProtection="1">
      <alignment vertical="top" wrapText="1"/>
      <protection locked="0"/>
    </xf>
    <xf numFmtId="0" fontId="320" fillId="0" borderId="733" xfId="1" applyNumberFormat="1" applyFont="1" applyFill="1" applyBorder="1" applyAlignment="1" applyProtection="1">
      <alignment horizontal="center" vertical="top"/>
      <protection locked="0"/>
    </xf>
    <xf numFmtId="4" fontId="320" fillId="0" borderId="733" xfId="30" applyNumberFormat="1" applyFont="1" applyFill="1" applyBorder="1" applyAlignment="1" applyProtection="1">
      <alignment horizontal="center" vertical="center"/>
      <protection locked="0"/>
    </xf>
    <xf numFmtId="4" fontId="320" fillId="0" borderId="685" xfId="30" applyNumberFormat="1" applyFont="1" applyFill="1" applyBorder="1" applyAlignment="1" applyProtection="1">
      <alignment horizontal="center" vertical="center"/>
      <protection locked="0"/>
    </xf>
    <xf numFmtId="43" fontId="320" fillId="0" borderId="733" xfId="2" applyNumberFormat="1" applyFont="1" applyFill="1" applyBorder="1" applyAlignment="1" applyProtection="1">
      <alignment horizontal="center" vertical="top"/>
      <protection locked="0"/>
    </xf>
    <xf numFmtId="10" fontId="320" fillId="0" borderId="733" xfId="88" applyNumberFormat="1" applyFont="1" applyFill="1" applyBorder="1" applyAlignment="1" applyProtection="1">
      <alignment horizontal="center" vertical="top"/>
      <protection locked="0"/>
    </xf>
    <xf numFmtId="0" fontId="320" fillId="0" borderId="398" xfId="2" applyNumberFormat="1" applyFont="1" applyFill="1" applyBorder="1" applyAlignment="1" applyProtection="1">
      <alignment horizontal="center" vertical="top"/>
      <protection locked="0"/>
    </xf>
    <xf numFmtId="43" fontId="320" fillId="0" borderId="685" xfId="1" applyFont="1" applyFill="1" applyBorder="1" applyAlignment="1" applyProtection="1">
      <alignment vertical="top" wrapText="1"/>
      <protection locked="0"/>
    </xf>
    <xf numFmtId="43" fontId="320" fillId="0" borderId="685" xfId="1" applyNumberFormat="1" applyFont="1" applyFill="1" applyBorder="1" applyAlignment="1" applyProtection="1">
      <alignment vertical="top" wrapText="1"/>
      <protection locked="0"/>
    </xf>
    <xf numFmtId="43" fontId="320" fillId="0" borderId="285" xfId="1" applyNumberFormat="1" applyFont="1" applyFill="1" applyBorder="1" applyAlignment="1" applyProtection="1">
      <alignment vertical="top" wrapText="1"/>
      <protection locked="0"/>
    </xf>
    <xf numFmtId="43" fontId="320" fillId="0" borderId="733" xfId="7" applyFont="1" applyFill="1" applyBorder="1"/>
    <xf numFmtId="43" fontId="320" fillId="0" borderId="398" xfId="7" applyFont="1" applyFill="1" applyBorder="1"/>
    <xf numFmtId="43" fontId="320" fillId="0" borderId="285" xfId="102" applyNumberFormat="1" applyFont="1" applyFill="1" applyBorder="1" applyAlignment="1"/>
    <xf numFmtId="0" fontId="320" fillId="0" borderId="480" xfId="2" applyFont="1" applyFill="1" applyBorder="1" applyAlignment="1">
      <alignment vertical="center"/>
    </xf>
    <xf numFmtId="43" fontId="320" fillId="0" borderId="708" xfId="2" applyNumberFormat="1" applyFont="1" applyFill="1" applyBorder="1" applyAlignment="1">
      <alignment vertical="center"/>
    </xf>
    <xf numFmtId="0" fontId="2" fillId="0" borderId="419" xfId="0" applyFont="1" applyFill="1" applyBorder="1"/>
    <xf numFmtId="3" fontId="320" fillId="0" borderId="0" xfId="32" applyFont="1" applyAlignment="1">
      <alignment horizontal="left"/>
    </xf>
    <xf numFmtId="3" fontId="320" fillId="0" borderId="0" xfId="66" applyFont="1"/>
    <xf numFmtId="3" fontId="320" fillId="0" borderId="0" xfId="66" applyFont="1" applyAlignment="1">
      <alignment horizontal="center"/>
    </xf>
    <xf numFmtId="43" fontId="320" fillId="0" borderId="0" xfId="61" applyFont="1"/>
    <xf numFmtId="43" fontId="320" fillId="0" borderId="0" xfId="61" applyFont="1" applyBorder="1"/>
    <xf numFmtId="3" fontId="320" fillId="0" borderId="0" xfId="66" applyFont="1" applyBorder="1"/>
    <xf numFmtId="3" fontId="320" fillId="0" borderId="195" xfId="66" applyFont="1" applyBorder="1" applyAlignment="1">
      <alignment horizontal="center"/>
    </xf>
    <xf numFmtId="3" fontId="320" fillId="0" borderId="433" xfId="66" applyFont="1" applyBorder="1" applyAlignment="1">
      <alignment horizontal="center"/>
    </xf>
    <xf numFmtId="3" fontId="278" fillId="6" borderId="191" xfId="66" applyFont="1" applyFill="1" applyBorder="1"/>
    <xf numFmtId="3" fontId="278" fillId="6" borderId="21" xfId="66" applyFont="1" applyFill="1" applyBorder="1" applyAlignment="1">
      <alignment horizontal="center"/>
    </xf>
    <xf numFmtId="3" fontId="278" fillId="6" borderId="673" xfId="66" applyFont="1" applyFill="1" applyBorder="1" applyAlignment="1">
      <alignment horizontal="center"/>
    </xf>
    <xf numFmtId="43" fontId="278" fillId="0" borderId="0" xfId="61" applyFont="1" applyFill="1"/>
    <xf numFmtId="3" fontId="278" fillId="0" borderId="0" xfId="66" applyFont="1" applyFill="1"/>
    <xf numFmtId="3" fontId="278" fillId="6" borderId="676" xfId="66" applyFont="1" applyFill="1" applyBorder="1" applyAlignment="1">
      <alignment horizontal="center"/>
    </xf>
    <xf numFmtId="3" fontId="278" fillId="6" borderId="31" xfId="66" applyFont="1" applyFill="1" applyBorder="1"/>
    <xf numFmtId="3" fontId="278" fillId="6" borderId="155" xfId="66" applyFont="1" applyFill="1" applyBorder="1" applyAlignment="1">
      <alignment horizontal="center"/>
    </xf>
    <xf numFmtId="3" fontId="278" fillId="6" borderId="452" xfId="66" applyFont="1" applyFill="1" applyBorder="1" applyAlignment="1">
      <alignment horizontal="center"/>
    </xf>
    <xf numFmtId="3" fontId="320" fillId="0" borderId="193" xfId="66" applyFont="1" applyBorder="1"/>
    <xf numFmtId="3" fontId="320" fillId="0" borderId="91" xfId="66" applyFont="1" applyBorder="1"/>
    <xf numFmtId="3" fontId="320" fillId="0" borderId="0" xfId="66" applyFont="1" applyBorder="1" applyAlignment="1">
      <alignment horizontal="center"/>
    </xf>
    <xf numFmtId="3" fontId="320" fillId="0" borderId="187" xfId="66" applyFont="1" applyBorder="1"/>
    <xf numFmtId="3" fontId="320" fillId="0" borderId="157" xfId="66" applyFont="1" applyBorder="1"/>
    <xf numFmtId="3" fontId="320" fillId="0" borderId="188" xfId="66" applyFont="1" applyBorder="1"/>
    <xf numFmtId="3" fontId="320" fillId="0" borderId="30" xfId="66" applyFont="1" applyBorder="1" applyAlignment="1">
      <alignment horizontal="center"/>
    </xf>
    <xf numFmtId="49" fontId="320" fillId="0" borderId="193" xfId="66" applyNumberFormat="1" applyFont="1" applyBorder="1"/>
    <xf numFmtId="3" fontId="278" fillId="0" borderId="91" xfId="66" applyFont="1" applyBorder="1"/>
    <xf numFmtId="3" fontId="278" fillId="0" borderId="0" xfId="66" applyFont="1" applyBorder="1" applyAlignment="1">
      <alignment horizontal="center"/>
    </xf>
    <xf numFmtId="3" fontId="403" fillId="0" borderId="2" xfId="66" applyFont="1" applyBorder="1"/>
    <xf numFmtId="4" fontId="320" fillId="0" borderId="0" xfId="67" applyFont="1" applyBorder="1"/>
    <xf numFmtId="4" fontId="320" fillId="0" borderId="91" xfId="67" applyFont="1" applyBorder="1"/>
    <xf numFmtId="39" fontId="278" fillId="0" borderId="0" xfId="32" applyNumberFormat="1" applyFont="1" applyBorder="1" applyProtection="1">
      <protection locked="0"/>
    </xf>
    <xf numFmtId="39" fontId="278" fillId="0" borderId="29" xfId="32" applyNumberFormat="1" applyFont="1" applyBorder="1" applyProtection="1">
      <protection locked="0"/>
    </xf>
    <xf numFmtId="3" fontId="320" fillId="0" borderId="2" xfId="66" applyFont="1" applyBorder="1"/>
    <xf numFmtId="3" fontId="320" fillId="0" borderId="29" xfId="66" applyFont="1" applyBorder="1" applyAlignment="1">
      <alignment horizontal="center"/>
    </xf>
    <xf numFmtId="49" fontId="320" fillId="0" borderId="368" xfId="66" applyNumberFormat="1" applyFont="1" applyBorder="1"/>
    <xf numFmtId="3" fontId="320" fillId="0" borderId="563" xfId="66" applyFont="1" applyBorder="1"/>
    <xf numFmtId="3" fontId="320" fillId="0" borderId="300" xfId="66" applyFont="1" applyBorder="1"/>
    <xf numFmtId="4" fontId="320" fillId="0" borderId="563" xfId="67" applyFont="1" applyBorder="1"/>
    <xf numFmtId="43" fontId="320" fillId="0" borderId="29" xfId="1" applyFont="1" applyBorder="1" applyAlignment="1">
      <alignment horizontal="center"/>
    </xf>
    <xf numFmtId="3" fontId="321" fillId="0" borderId="563" xfId="66" applyFont="1" applyBorder="1"/>
    <xf numFmtId="3" fontId="321" fillId="0" borderId="0" xfId="66" applyFont="1" applyBorder="1" applyAlignment="1">
      <alignment horizontal="center"/>
    </xf>
    <xf numFmtId="4" fontId="320" fillId="0" borderId="300" xfId="67" applyFont="1" applyBorder="1"/>
    <xf numFmtId="39" fontId="320" fillId="0" borderId="0" xfId="32" applyNumberFormat="1" applyFont="1" applyBorder="1" applyProtection="1">
      <protection hidden="1"/>
    </xf>
    <xf numFmtId="39" fontId="320" fillId="0" borderId="29" xfId="32" applyNumberFormat="1" applyFont="1" applyBorder="1" applyProtection="1">
      <protection hidden="1"/>
    </xf>
    <xf numFmtId="39" fontId="320" fillId="0" borderId="0" xfId="32" applyNumberFormat="1" applyFont="1" applyBorder="1" applyProtection="1">
      <protection locked="0"/>
    </xf>
    <xf numFmtId="39" fontId="320" fillId="0" borderId="29" xfId="32" applyNumberFormat="1" applyFont="1" applyBorder="1" applyProtection="1">
      <protection locked="0"/>
    </xf>
    <xf numFmtId="39" fontId="320" fillId="0" borderId="285" xfId="32" applyNumberFormat="1" applyFont="1" applyBorder="1" applyProtection="1">
      <protection locked="0"/>
    </xf>
    <xf numFmtId="49" fontId="278" fillId="0" borderId="368" xfId="66" applyNumberFormat="1" applyFont="1" applyBorder="1"/>
    <xf numFmtId="3" fontId="278" fillId="0" borderId="300" xfId="66" applyFont="1" applyBorder="1"/>
    <xf numFmtId="4" fontId="278" fillId="0" borderId="0" xfId="67" applyFont="1" applyBorder="1"/>
    <xf numFmtId="4" fontId="278" fillId="0" borderId="563" xfId="67" applyFont="1" applyBorder="1"/>
    <xf numFmtId="3" fontId="278" fillId="0" borderId="0" xfId="66" applyFont="1" applyBorder="1"/>
    <xf numFmtId="43" fontId="278" fillId="0" borderId="0" xfId="61" applyFont="1"/>
    <xf numFmtId="3" fontId="278" fillId="0" borderId="0" xfId="66" applyFont="1"/>
    <xf numFmtId="49" fontId="320" fillId="0" borderId="368" xfId="66" applyNumberFormat="1" applyFont="1" applyBorder="1" applyAlignment="1">
      <alignment vertical="center"/>
    </xf>
    <xf numFmtId="3" fontId="320" fillId="0" borderId="563" xfId="66" applyFont="1" applyBorder="1" applyAlignment="1">
      <alignment vertical="center"/>
    </xf>
    <xf numFmtId="3" fontId="320" fillId="0" borderId="0" xfId="66" applyFont="1" applyBorder="1" applyAlignment="1">
      <alignment horizontal="center" vertical="center"/>
    </xf>
    <xf numFmtId="3" fontId="403" fillId="0" borderId="300" xfId="66" applyFont="1" applyBorder="1" applyAlignment="1">
      <alignment vertical="center"/>
    </xf>
    <xf numFmtId="4" fontId="320" fillId="0" borderId="0" xfId="67" applyFont="1" applyBorder="1" applyAlignment="1">
      <alignment vertical="center"/>
    </xf>
    <xf numFmtId="4" fontId="320" fillId="0" borderId="563" xfId="67" applyFont="1" applyBorder="1" applyAlignment="1">
      <alignment vertical="center"/>
    </xf>
    <xf numFmtId="3" fontId="403" fillId="0" borderId="0" xfId="66" applyFont="1" applyBorder="1" applyAlignment="1">
      <alignment vertical="center"/>
    </xf>
    <xf numFmtId="4" fontId="320" fillId="0" borderId="29" xfId="66" applyNumberFormat="1" applyFont="1" applyBorder="1" applyAlignment="1">
      <alignment horizontal="right" vertical="center"/>
    </xf>
    <xf numFmtId="43" fontId="320" fillId="0" borderId="0" xfId="61" applyFont="1" applyAlignment="1">
      <alignment vertical="center"/>
    </xf>
    <xf numFmtId="3" fontId="320" fillId="0" borderId="0" xfId="66" applyFont="1" applyAlignment="1">
      <alignment vertical="center"/>
    </xf>
    <xf numFmtId="3" fontId="278" fillId="0" borderId="563" xfId="66" applyFont="1" applyBorder="1" applyAlignment="1">
      <alignment horizontal="left" vertical="center"/>
    </xf>
    <xf numFmtId="3" fontId="278" fillId="0" borderId="0" xfId="66" applyFont="1" applyBorder="1" applyAlignment="1">
      <alignment horizontal="center" vertical="center"/>
    </xf>
    <xf numFmtId="4" fontId="278" fillId="0" borderId="36" xfId="66" applyNumberFormat="1" applyFont="1" applyBorder="1" applyAlignment="1">
      <alignment horizontal="right" vertical="center"/>
    </xf>
    <xf numFmtId="4" fontId="403" fillId="0" borderId="300" xfId="67" applyFont="1" applyBorder="1"/>
    <xf numFmtId="4" fontId="403" fillId="0" borderId="0" xfId="67" applyFont="1" applyBorder="1"/>
    <xf numFmtId="4" fontId="278" fillId="0" borderId="119" xfId="67" applyFont="1" applyBorder="1"/>
    <xf numFmtId="166" fontId="320" fillId="0" borderId="68" xfId="9" applyNumberFormat="1" applyFont="1" applyBorder="1" applyAlignment="1">
      <alignment horizontal="right"/>
    </xf>
    <xf numFmtId="3" fontId="278" fillId="0" borderId="563" xfId="66" applyFont="1" applyBorder="1"/>
    <xf numFmtId="43" fontId="278" fillId="0" borderId="563" xfId="9" applyFont="1" applyBorder="1" applyAlignment="1">
      <alignment horizontal="center" vertical="center"/>
    </xf>
    <xf numFmtId="43" fontId="278" fillId="0" borderId="0" xfId="9" applyFont="1" applyBorder="1" applyAlignment="1">
      <alignment horizontal="center" vertical="center"/>
    </xf>
    <xf numFmtId="4" fontId="278" fillId="0" borderId="300" xfId="67" applyFont="1" applyBorder="1"/>
    <xf numFmtId="4" fontId="278" fillId="0" borderId="91" xfId="67" applyFont="1" applyBorder="1"/>
    <xf numFmtId="166" fontId="278" fillId="0" borderId="194" xfId="9" applyNumberFormat="1" applyFont="1" applyBorder="1" applyAlignment="1">
      <alignment horizontal="right"/>
    </xf>
    <xf numFmtId="3" fontId="320" fillId="0" borderId="68" xfId="66" applyFont="1" applyBorder="1" applyAlignment="1">
      <alignment horizontal="center"/>
    </xf>
    <xf numFmtId="4" fontId="320" fillId="0" borderId="2" xfId="67" applyFont="1" applyBorder="1"/>
    <xf numFmtId="3" fontId="321" fillId="0" borderId="91" xfId="66" applyFont="1" applyBorder="1"/>
    <xf numFmtId="4" fontId="403" fillId="0" borderId="2" xfId="67" applyFont="1" applyBorder="1"/>
    <xf numFmtId="43" fontId="320" fillId="0" borderId="91" xfId="9" applyFont="1" applyBorder="1" applyAlignment="1">
      <alignment horizontal="center"/>
    </xf>
    <xf numFmtId="43" fontId="320" fillId="0" borderId="29" xfId="9" applyFont="1" applyBorder="1" applyAlignment="1">
      <alignment horizontal="center"/>
    </xf>
    <xf numFmtId="43" fontId="320" fillId="0" borderId="0" xfId="67" applyNumberFormat="1" applyFont="1" applyBorder="1"/>
    <xf numFmtId="43" fontId="320" fillId="0" borderId="2" xfId="67" applyNumberFormat="1" applyFont="1" applyBorder="1"/>
    <xf numFmtId="43" fontId="320" fillId="0" borderId="91" xfId="67" applyNumberFormat="1" applyFont="1" applyBorder="1"/>
    <xf numFmtId="43" fontId="320" fillId="0" borderId="91" xfId="9" applyNumberFormat="1" applyFont="1" applyBorder="1" applyAlignment="1">
      <alignment horizontal="center"/>
    </xf>
    <xf numFmtId="43" fontId="320" fillId="0" borderId="29" xfId="9" applyNumberFormat="1" applyFont="1" applyBorder="1" applyAlignment="1">
      <alignment horizontal="center"/>
    </xf>
    <xf numFmtId="3" fontId="320" fillId="0" borderId="91" xfId="66" applyFont="1" applyFill="1" applyBorder="1"/>
    <xf numFmtId="3" fontId="320" fillId="0" borderId="0" xfId="66" applyFont="1" applyFill="1" applyBorder="1" applyAlignment="1">
      <alignment horizontal="center"/>
    </xf>
    <xf numFmtId="3" fontId="320" fillId="0" borderId="368" xfId="66" applyFont="1" applyBorder="1"/>
    <xf numFmtId="3" fontId="320" fillId="0" borderId="699" xfId="66" applyFont="1" applyFill="1" applyBorder="1"/>
    <xf numFmtId="4" fontId="320" fillId="0" borderId="686" xfId="67" applyFont="1" applyBorder="1"/>
    <xf numFmtId="43" fontId="320" fillId="0" borderId="686" xfId="67" applyNumberFormat="1" applyFont="1" applyBorder="1"/>
    <xf numFmtId="43" fontId="320" fillId="0" borderId="699" xfId="67" applyNumberFormat="1" applyFont="1" applyBorder="1"/>
    <xf numFmtId="43" fontId="320" fillId="0" borderId="699" xfId="9" applyNumberFormat="1" applyFont="1" applyBorder="1" applyAlignment="1">
      <alignment horizontal="center"/>
    </xf>
    <xf numFmtId="3" fontId="320" fillId="0" borderId="419" xfId="66" applyFont="1" applyFill="1" applyBorder="1"/>
    <xf numFmtId="43" fontId="320" fillId="0" borderId="300" xfId="67" applyNumberFormat="1" applyFont="1" applyBorder="1"/>
    <xf numFmtId="43" fontId="320" fillId="0" borderId="419" xfId="67" applyNumberFormat="1" applyFont="1" applyBorder="1"/>
    <xf numFmtId="43" fontId="320" fillId="0" borderId="419" xfId="9" applyNumberFormat="1" applyFont="1" applyBorder="1" applyAlignment="1">
      <alignment horizontal="center"/>
    </xf>
    <xf numFmtId="3" fontId="320" fillId="0" borderId="596" xfId="66" applyFont="1" applyFill="1" applyBorder="1"/>
    <xf numFmtId="43" fontId="320" fillId="0" borderId="596" xfId="67" applyNumberFormat="1" applyFont="1" applyBorder="1"/>
    <xf numFmtId="43" fontId="320" fillId="0" borderId="596" xfId="9" applyNumberFormat="1" applyFont="1" applyBorder="1" applyAlignment="1">
      <alignment horizontal="center"/>
    </xf>
    <xf numFmtId="3" fontId="320" fillId="0" borderId="199" xfId="66" applyFont="1" applyFill="1" applyBorder="1"/>
    <xf numFmtId="4" fontId="320" fillId="0" borderId="202" xfId="67" applyFont="1" applyBorder="1"/>
    <xf numFmtId="43" fontId="320" fillId="0" borderId="202" xfId="67" applyNumberFormat="1" applyFont="1" applyBorder="1"/>
    <xf numFmtId="43" fontId="320" fillId="0" borderId="199" xfId="67" applyNumberFormat="1" applyFont="1" applyBorder="1"/>
    <xf numFmtId="43" fontId="320" fillId="0" borderId="199" xfId="9" applyNumberFormat="1" applyFont="1" applyBorder="1" applyAlignment="1">
      <alignment horizontal="center"/>
    </xf>
    <xf numFmtId="43" fontId="320" fillId="0" borderId="205" xfId="9" applyNumberFormat="1" applyFont="1" applyBorder="1" applyAlignment="1">
      <alignment horizontal="center"/>
    </xf>
    <xf numFmtId="4" fontId="403" fillId="0" borderId="47" xfId="67" applyFont="1" applyBorder="1"/>
    <xf numFmtId="4" fontId="278" fillId="0" borderId="40" xfId="67" applyFont="1" applyBorder="1"/>
    <xf numFmtId="4" fontId="278" fillId="0" borderId="48" xfId="67" applyFont="1" applyBorder="1"/>
    <xf numFmtId="43" fontId="278" fillId="0" borderId="119" xfId="9" applyFont="1" applyBorder="1" applyAlignment="1">
      <alignment horizontal="center"/>
    </xf>
    <xf numFmtId="43" fontId="320" fillId="0" borderId="0" xfId="9" applyNumberFormat="1" applyFont="1" applyBorder="1" applyAlignment="1">
      <alignment horizontal="center"/>
    </xf>
    <xf numFmtId="3" fontId="320" fillId="0" borderId="733" xfId="66" applyFont="1" applyFill="1" applyBorder="1"/>
    <xf numFmtId="43" fontId="320" fillId="0" borderId="733" xfId="9" applyNumberFormat="1" applyFont="1" applyBorder="1" applyAlignment="1">
      <alignment horizontal="center"/>
    </xf>
    <xf numFmtId="43" fontId="320" fillId="0" borderId="29" xfId="9" applyNumberFormat="1" applyFont="1" applyFill="1" applyBorder="1" applyAlignment="1">
      <alignment horizontal="center"/>
    </xf>
    <xf numFmtId="3" fontId="320" fillId="0" borderId="563" xfId="66" applyFont="1" applyFill="1" applyBorder="1"/>
    <xf numFmtId="43" fontId="320" fillId="0" borderId="563" xfId="9" applyNumberFormat="1" applyFont="1" applyBorder="1" applyAlignment="1">
      <alignment horizontal="center"/>
    </xf>
    <xf numFmtId="43" fontId="320" fillId="0" borderId="398" xfId="9" applyNumberFormat="1" applyFont="1" applyFill="1" applyBorder="1" applyAlignment="1">
      <alignment horizontal="center"/>
    </xf>
    <xf numFmtId="3" fontId="320" fillId="0" borderId="20" xfId="66" applyFont="1" applyBorder="1"/>
    <xf numFmtId="3" fontId="320" fillId="0" borderId="20" xfId="66" applyFont="1" applyFill="1" applyBorder="1"/>
    <xf numFmtId="3" fontId="320" fillId="0" borderId="670" xfId="66" applyFont="1" applyFill="1" applyBorder="1" applyAlignment="1">
      <alignment horizontal="center"/>
    </xf>
    <xf numFmtId="4" fontId="320" fillId="0" borderId="20" xfId="67" applyFont="1" applyBorder="1"/>
    <xf numFmtId="43" fontId="320" fillId="0" borderId="20" xfId="67" applyNumberFormat="1" applyFont="1" applyBorder="1"/>
    <xf numFmtId="43" fontId="320" fillId="0" borderId="20" xfId="9" applyNumberFormat="1" applyFont="1" applyBorder="1" applyAlignment="1">
      <alignment horizontal="center"/>
    </xf>
    <xf numFmtId="3" fontId="320" fillId="0" borderId="0" xfId="66" applyFont="1" applyFill="1" applyBorder="1"/>
    <xf numFmtId="3" fontId="320" fillId="0" borderId="643" xfId="66" applyFont="1" applyFill="1" applyBorder="1" applyAlignment="1">
      <alignment horizontal="center"/>
    </xf>
    <xf numFmtId="3" fontId="320" fillId="0" borderId="685" xfId="66" applyFont="1" applyFill="1" applyBorder="1" applyAlignment="1">
      <alignment horizontal="center"/>
    </xf>
    <xf numFmtId="3" fontId="278" fillId="0" borderId="193" xfId="66" applyFont="1" applyBorder="1"/>
    <xf numFmtId="3" fontId="278" fillId="0" borderId="0" xfId="66" applyFont="1" applyFill="1" applyBorder="1"/>
    <xf numFmtId="3" fontId="278" fillId="0" borderId="643" xfId="66" applyFont="1" applyFill="1" applyBorder="1" applyAlignment="1">
      <alignment horizontal="center"/>
    </xf>
    <xf numFmtId="4" fontId="403" fillId="0" borderId="52" xfId="67" applyFont="1" applyBorder="1"/>
    <xf numFmtId="4" fontId="278" fillId="0" borderId="355" xfId="67" applyFont="1" applyBorder="1"/>
    <xf numFmtId="4" fontId="403" fillId="0" borderId="630" xfId="67" applyFont="1" applyBorder="1"/>
    <xf numFmtId="4" fontId="278" fillId="0" borderId="485" xfId="67" applyFont="1" applyBorder="1"/>
    <xf numFmtId="4" fontId="403" fillId="0" borderId="355" xfId="67" applyFont="1" applyBorder="1"/>
    <xf numFmtId="4" fontId="278" fillId="0" borderId="116" xfId="67" applyFont="1" applyBorder="1"/>
    <xf numFmtId="3" fontId="278" fillId="0" borderId="643" xfId="66" applyFont="1" applyBorder="1" applyAlignment="1">
      <alignment horizontal="center"/>
    </xf>
    <xf numFmtId="4" fontId="278" fillId="0" borderId="47" xfId="67" applyFont="1" applyBorder="1"/>
    <xf numFmtId="4" fontId="278" fillId="0" borderId="41" xfId="67" applyFont="1" applyBorder="1"/>
    <xf numFmtId="3" fontId="320" fillId="0" borderId="643" xfId="66" applyFont="1" applyBorder="1" applyAlignment="1">
      <alignment horizontal="center"/>
    </xf>
    <xf numFmtId="165" fontId="320" fillId="0" borderId="193" xfId="66" applyNumberFormat="1" applyFont="1" applyBorder="1"/>
    <xf numFmtId="3" fontId="404" fillId="0" borderId="2" xfId="66" applyFont="1" applyBorder="1"/>
    <xf numFmtId="43" fontId="404" fillId="0" borderId="2" xfId="66" applyNumberFormat="1" applyFont="1" applyBorder="1"/>
    <xf numFmtId="165" fontId="320" fillId="0" borderId="368" xfId="66" applyNumberFormat="1" applyFont="1" applyBorder="1"/>
    <xf numFmtId="3" fontId="320" fillId="0" borderId="295" xfId="66" applyFont="1" applyFill="1" applyBorder="1" applyAlignment="1">
      <alignment horizontal="center"/>
    </xf>
    <xf numFmtId="3" fontId="404" fillId="0" borderId="644" xfId="66" applyFont="1" applyBorder="1"/>
    <xf numFmtId="43" fontId="320" fillId="0" borderId="676" xfId="67" applyNumberFormat="1" applyFont="1" applyBorder="1"/>
    <xf numFmtId="43" fontId="404" fillId="0" borderId="644" xfId="66" applyNumberFormat="1" applyFont="1" applyBorder="1"/>
    <xf numFmtId="43" fontId="320" fillId="0" borderId="285" xfId="9" applyNumberFormat="1" applyFont="1" applyBorder="1" applyAlignment="1">
      <alignment horizontal="center"/>
    </xf>
    <xf numFmtId="3" fontId="404" fillId="0" borderId="686" xfId="66" applyFont="1" applyBorder="1"/>
    <xf numFmtId="43" fontId="320" fillId="0" borderId="733" xfId="67" applyNumberFormat="1" applyFont="1" applyBorder="1"/>
    <xf numFmtId="43" fontId="404" fillId="0" borderId="686" xfId="66" applyNumberFormat="1" applyFont="1" applyBorder="1"/>
    <xf numFmtId="165" fontId="278" fillId="0" borderId="368" xfId="66" applyNumberFormat="1" applyFont="1" applyBorder="1"/>
    <xf numFmtId="3" fontId="403" fillId="0" borderId="420" xfId="66" applyFont="1" applyBorder="1"/>
    <xf numFmtId="43" fontId="278" fillId="0" borderId="668" xfId="67" applyNumberFormat="1" applyFont="1" applyBorder="1"/>
    <xf numFmtId="43" fontId="278" fillId="0" borderId="589" xfId="67" applyNumberFormat="1" applyFont="1" applyBorder="1"/>
    <xf numFmtId="43" fontId="278" fillId="0" borderId="587" xfId="67" applyNumberFormat="1" applyFont="1" applyBorder="1"/>
    <xf numFmtId="43" fontId="320" fillId="0" borderId="644" xfId="67" applyNumberFormat="1" applyFont="1" applyBorder="1"/>
    <xf numFmtId="4" fontId="320" fillId="0" borderId="644" xfId="67" applyFont="1" applyBorder="1"/>
    <xf numFmtId="43" fontId="320" fillId="0" borderId="398" xfId="9" applyNumberFormat="1" applyFont="1" applyBorder="1" applyAlignment="1">
      <alignment horizontal="center"/>
    </xf>
    <xf numFmtId="43" fontId="320" fillId="0" borderId="608" xfId="67" applyNumberFormat="1" applyFont="1" applyBorder="1"/>
    <xf numFmtId="43" fontId="320" fillId="0" borderId="412" xfId="67" applyNumberFormat="1" applyFont="1" applyBorder="1"/>
    <xf numFmtId="43" fontId="320" fillId="0" borderId="437" xfId="9" applyNumberFormat="1" applyFont="1" applyBorder="1" applyAlignment="1">
      <alignment horizontal="center"/>
    </xf>
    <xf numFmtId="3" fontId="278" fillId="0" borderId="39" xfId="66" applyFont="1" applyBorder="1" applyAlignment="1">
      <alignment vertical="center"/>
    </xf>
    <xf numFmtId="3" fontId="320" fillId="0" borderId="589" xfId="66" applyFont="1" applyBorder="1" applyAlignment="1">
      <alignment vertical="center"/>
    </xf>
    <xf numFmtId="3" fontId="320" fillId="0" borderId="588" xfId="66" applyFont="1" applyBorder="1" applyAlignment="1">
      <alignment horizontal="center" vertical="center"/>
    </xf>
    <xf numFmtId="4" fontId="403" fillId="0" borderId="47" xfId="67" applyFont="1" applyBorder="1" applyAlignment="1">
      <alignment vertical="center"/>
    </xf>
    <xf numFmtId="0" fontId="320" fillId="0" borderId="0" xfId="24" applyFont="1"/>
    <xf numFmtId="0" fontId="320" fillId="0" borderId="0" xfId="24" applyFont="1" applyFill="1" applyAlignment="1">
      <alignment horizontal="left"/>
    </xf>
    <xf numFmtId="0" fontId="320" fillId="0" borderId="0" xfId="24" applyFont="1" applyFill="1" applyAlignment="1">
      <alignment horizontal="center"/>
    </xf>
    <xf numFmtId="43" fontId="320" fillId="0" borderId="0" xfId="1" applyFont="1" applyAlignment="1">
      <alignment horizontal="left"/>
    </xf>
    <xf numFmtId="43" fontId="320" fillId="0" borderId="0" xfId="24" applyNumberFormat="1" applyFont="1"/>
    <xf numFmtId="0" fontId="278" fillId="0" borderId="0" xfId="24" applyFont="1" applyFill="1" applyAlignment="1">
      <alignment horizontal="center"/>
    </xf>
    <xf numFmtId="0" fontId="278" fillId="0" borderId="0" xfId="24" applyFont="1" applyAlignment="1">
      <alignment horizontal="center"/>
    </xf>
    <xf numFmtId="3" fontId="278" fillId="0" borderId="0" xfId="66" applyFont="1" applyAlignment="1">
      <alignment horizontal="left"/>
    </xf>
    <xf numFmtId="0" fontId="278" fillId="0" borderId="0" xfId="0" applyFont="1" applyFill="1" applyAlignment="1">
      <alignment horizontal="left"/>
    </xf>
    <xf numFmtId="3" fontId="278" fillId="0" borderId="0" xfId="66" applyFont="1" applyAlignment="1">
      <alignment horizontal="center"/>
    </xf>
    <xf numFmtId="0" fontId="278" fillId="0" borderId="0" xfId="24" applyFont="1" applyFill="1" applyAlignment="1"/>
    <xf numFmtId="43" fontId="278" fillId="0" borderId="0" xfId="61" applyFont="1" applyAlignment="1">
      <alignment horizontal="left"/>
    </xf>
    <xf numFmtId="0" fontId="320" fillId="0" borderId="0" xfId="0" applyFont="1" applyFill="1" applyAlignment="1">
      <alignment horizontal="left"/>
    </xf>
    <xf numFmtId="0" fontId="320" fillId="0" borderId="0" xfId="58" applyFont="1" applyFill="1" applyAlignment="1"/>
    <xf numFmtId="4" fontId="278" fillId="0" borderId="414" xfId="67" applyFont="1" applyBorder="1" applyAlignment="1">
      <alignment vertical="center"/>
    </xf>
    <xf numFmtId="4" fontId="278" fillId="0" borderId="708" xfId="67" applyFont="1" applyBorder="1" applyAlignment="1">
      <alignment vertical="center"/>
    </xf>
    <xf numFmtId="4" fontId="278" fillId="0" borderId="712" xfId="67" applyFont="1" applyBorder="1" applyAlignment="1">
      <alignment vertical="center"/>
    </xf>
    <xf numFmtId="0" fontId="278" fillId="0" borderId="0" xfId="58" applyFont="1" applyAlignment="1">
      <alignment horizontal="centerContinuous"/>
    </xf>
    <xf numFmtId="0" fontId="320" fillId="0" borderId="0" xfId="58" applyFont="1" applyAlignment="1">
      <alignment horizontal="centerContinuous"/>
    </xf>
    <xf numFmtId="0" fontId="320" fillId="0" borderId="0" xfId="58" applyFont="1"/>
    <xf numFmtId="0" fontId="278" fillId="0" borderId="0" xfId="58" applyFont="1" applyAlignment="1"/>
    <xf numFmtId="0" fontId="278" fillId="0" borderId="0" xfId="58" applyFont="1"/>
    <xf numFmtId="0" fontId="320" fillId="0" borderId="0" xfId="58" applyFont="1" applyAlignment="1">
      <alignment horizontal="left"/>
    </xf>
    <xf numFmtId="0" fontId="320" fillId="0" borderId="1" xfId="58" applyFont="1" applyBorder="1"/>
    <xf numFmtId="0" fontId="320" fillId="0" borderId="118" xfId="58" applyFont="1" applyBorder="1"/>
    <xf numFmtId="0" fontId="278" fillId="0" borderId="0" xfId="58" applyFont="1" applyAlignment="1">
      <alignment horizontal="center"/>
    </xf>
    <xf numFmtId="0" fontId="278" fillId="0" borderId="91" xfId="58" applyFont="1" applyBorder="1" applyAlignment="1">
      <alignment horizontal="center"/>
    </xf>
    <xf numFmtId="0" fontId="278" fillId="0" borderId="118" xfId="58" applyFont="1" applyBorder="1"/>
    <xf numFmtId="0" fontId="320" fillId="0" borderId="6" xfId="58" applyFont="1" applyBorder="1"/>
    <xf numFmtId="49" fontId="278" fillId="0" borderId="1" xfId="58" applyNumberFormat="1" applyFont="1" applyBorder="1" applyAlignment="1">
      <alignment horizontal="center"/>
    </xf>
    <xf numFmtId="0" fontId="278" fillId="0" borderId="1" xfId="58" applyFont="1" applyBorder="1" applyAlignment="1">
      <alignment horizontal="center"/>
    </xf>
    <xf numFmtId="49" fontId="278" fillId="0" borderId="8" xfId="58" applyNumberFormat="1" applyFont="1" applyBorder="1" applyAlignment="1">
      <alignment horizontal="center"/>
    </xf>
    <xf numFmtId="0" fontId="320" fillId="0" borderId="0" xfId="58" applyFont="1" applyAlignment="1">
      <alignment horizontal="center"/>
    </xf>
    <xf numFmtId="0" fontId="320" fillId="0" borderId="91" xfId="58" applyFont="1" applyBorder="1" applyAlignment="1">
      <alignment horizontal="center"/>
    </xf>
    <xf numFmtId="169" fontId="320" fillId="0" borderId="0" xfId="58" applyNumberFormat="1" applyFont="1"/>
    <xf numFmtId="43" fontId="278" fillId="0" borderId="103" xfId="61" applyFont="1" applyBorder="1"/>
    <xf numFmtId="43" fontId="278" fillId="0" borderId="9" xfId="61" applyFont="1" applyBorder="1"/>
    <xf numFmtId="43" fontId="320" fillId="0" borderId="91" xfId="61" applyFont="1" applyBorder="1"/>
    <xf numFmtId="43" fontId="320" fillId="0" borderId="103" xfId="61" applyFont="1" applyBorder="1"/>
    <xf numFmtId="43" fontId="320" fillId="0" borderId="9" xfId="61" applyFont="1" applyBorder="1"/>
    <xf numFmtId="43" fontId="320" fillId="0" borderId="0" xfId="58" applyNumberFormat="1" applyFont="1"/>
    <xf numFmtId="169" fontId="278" fillId="0" borderId="0" xfId="58" applyNumberFormat="1" applyFont="1"/>
    <xf numFmtId="0" fontId="320" fillId="0" borderId="202" xfId="58" applyFont="1" applyBorder="1"/>
    <xf numFmtId="43" fontId="320" fillId="0" borderId="410" xfId="61" applyFont="1" applyBorder="1"/>
    <xf numFmtId="43" fontId="320" fillId="0" borderId="411" xfId="61" applyFont="1" applyBorder="1"/>
    <xf numFmtId="43" fontId="320" fillId="0" borderId="257" xfId="61" applyFont="1" applyBorder="1"/>
    <xf numFmtId="43" fontId="320" fillId="0" borderId="0" xfId="61" applyFont="1" applyAlignment="1"/>
    <xf numFmtId="43" fontId="320" fillId="0" borderId="0" xfId="61" applyFont="1" applyBorder="1" applyAlignment="1">
      <alignment horizontal="left"/>
    </xf>
    <xf numFmtId="43" fontId="320" fillId="0" borderId="196" xfId="61" applyFont="1" applyBorder="1"/>
    <xf numFmtId="0" fontId="320" fillId="0" borderId="118" xfId="58" applyFont="1" applyBorder="1" applyAlignment="1"/>
    <xf numFmtId="0" fontId="320" fillId="0" borderId="0" xfId="58" applyFont="1" applyBorder="1" applyAlignment="1"/>
    <xf numFmtId="0" fontId="320" fillId="0" borderId="0" xfId="58" applyFont="1" applyAlignment="1"/>
    <xf numFmtId="0" fontId="320" fillId="0" borderId="0" xfId="58" applyFont="1" applyBorder="1"/>
    <xf numFmtId="43" fontId="320" fillId="0" borderId="155" xfId="61" applyFont="1" applyBorder="1"/>
    <xf numFmtId="43" fontId="320" fillId="0" borderId="0" xfId="1" applyFont="1"/>
    <xf numFmtId="169" fontId="320" fillId="0" borderId="0" xfId="58" applyNumberFormat="1" applyFont="1" applyBorder="1"/>
    <xf numFmtId="43" fontId="320" fillId="0" borderId="381" xfId="61" applyFont="1" applyBorder="1"/>
    <xf numFmtId="0" fontId="320" fillId="0" borderId="211" xfId="58" applyFont="1" applyBorder="1"/>
    <xf numFmtId="43" fontId="320" fillId="0" borderId="316" xfId="61" applyFont="1" applyBorder="1"/>
    <xf numFmtId="10" fontId="320" fillId="0" borderId="0" xfId="88" applyNumberFormat="1" applyFont="1" applyAlignment="1">
      <alignment horizontal="center"/>
    </xf>
    <xf numFmtId="10" fontId="320" fillId="0" borderId="1" xfId="60" applyNumberFormat="1" applyFont="1" applyBorder="1"/>
    <xf numFmtId="0" fontId="320" fillId="0" borderId="195" xfId="58" applyFont="1" applyBorder="1"/>
    <xf numFmtId="0" fontId="320" fillId="0" borderId="156" xfId="58" applyFont="1" applyBorder="1"/>
    <xf numFmtId="0" fontId="320" fillId="0" borderId="0" xfId="24" applyFont="1" applyAlignment="1">
      <alignment horizontal="left"/>
    </xf>
    <xf numFmtId="0" fontId="278" fillId="0" borderId="0" xfId="46" applyFont="1" applyAlignment="1" applyProtection="1">
      <alignment horizontal="center" vertical="center"/>
      <protection locked="0"/>
    </xf>
    <xf numFmtId="0" fontId="278" fillId="0" borderId="0" xfId="24" applyFont="1"/>
    <xf numFmtId="0" fontId="278" fillId="0" borderId="0" xfId="24" applyFont="1" applyAlignment="1"/>
    <xf numFmtId="0" fontId="320" fillId="0" borderId="0" xfId="46" applyFont="1" applyAlignment="1" applyProtection="1">
      <alignment horizontal="center" vertical="center"/>
      <protection locked="0"/>
    </xf>
    <xf numFmtId="0" fontId="2" fillId="0" borderId="0" xfId="46" applyFont="1" applyAlignment="1" applyProtection="1">
      <alignment horizontal="left" vertical="center"/>
      <protection locked="0"/>
    </xf>
    <xf numFmtId="43" fontId="8" fillId="0" borderId="0" xfId="1" applyFont="1" applyAlignment="1">
      <alignment horizontal="centerContinuous"/>
    </xf>
    <xf numFmtId="43" fontId="8" fillId="0" borderId="1" xfId="1" applyFont="1" applyBorder="1"/>
    <xf numFmtId="43" fontId="8" fillId="0" borderId="91" xfId="1" applyFont="1" applyBorder="1"/>
    <xf numFmtId="43" fontId="211" fillId="0" borderId="91" xfId="1" applyFont="1" applyBorder="1" applyAlignment="1">
      <alignment horizontal="center"/>
    </xf>
    <xf numFmtId="43" fontId="8" fillId="0" borderId="9" xfId="1" applyFont="1" applyBorder="1"/>
    <xf numFmtId="43" fontId="8" fillId="0" borderId="91" xfId="1" applyFont="1" applyBorder="1" applyAlignment="1">
      <alignment horizontal="center"/>
    </xf>
    <xf numFmtId="43" fontId="8" fillId="0" borderId="9" xfId="1" applyFont="1" applyBorder="1" applyAlignment="1">
      <alignment horizontal="center"/>
    </xf>
    <xf numFmtId="43" fontId="8" fillId="0" borderId="8" xfId="1" applyFont="1" applyBorder="1"/>
    <xf numFmtId="43" fontId="8" fillId="0" borderId="0" xfId="1" applyFont="1"/>
    <xf numFmtId="43" fontId="211" fillId="0" borderId="0" xfId="1" applyFont="1" applyAlignment="1"/>
    <xf numFmtId="43" fontId="8" fillId="0" borderId="0" xfId="1" applyFont="1" applyAlignment="1"/>
    <xf numFmtId="0" fontId="41" fillId="0" borderId="0" xfId="79" applyFont="1" applyFill="1" applyAlignment="1">
      <alignment vertical="center"/>
    </xf>
    <xf numFmtId="0" fontId="46" fillId="0" borderId="0" xfId="79" applyFont="1" applyFill="1" applyAlignment="1">
      <alignment vertical="center"/>
    </xf>
    <xf numFmtId="43" fontId="46" fillId="0" borderId="0" xfId="1" applyFont="1" applyFill="1" applyAlignment="1">
      <alignment vertical="center"/>
    </xf>
    <xf numFmtId="0" fontId="41" fillId="0" borderId="45" xfId="79" applyFont="1" applyFill="1" applyBorder="1" applyAlignment="1">
      <alignment horizontal="center" vertical="center"/>
    </xf>
    <xf numFmtId="43" fontId="41" fillId="0" borderId="45" xfId="1" applyFont="1" applyFill="1" applyBorder="1" applyAlignment="1">
      <alignment horizontal="center" vertical="center"/>
    </xf>
    <xf numFmtId="0" fontId="46" fillId="0" borderId="87" xfId="79" applyFont="1" applyFill="1" applyBorder="1" applyAlignment="1">
      <alignment vertical="center"/>
    </xf>
    <xf numFmtId="0" fontId="41" fillId="0" borderId="87" xfId="79" applyFont="1" applyFill="1" applyBorder="1" applyAlignment="1">
      <alignment horizontal="center" vertical="center"/>
    </xf>
    <xf numFmtId="43" fontId="41" fillId="0" borderId="87" xfId="1" applyFont="1" applyFill="1" applyBorder="1" applyAlignment="1">
      <alignment vertical="center"/>
    </xf>
    <xf numFmtId="0" fontId="41" fillId="0" borderId="573" xfId="79" applyFont="1" applyFill="1" applyBorder="1" applyAlignment="1">
      <alignment vertical="center"/>
    </xf>
    <xf numFmtId="0" fontId="46" fillId="0" borderId="573" xfId="79" applyFont="1" applyFill="1" applyBorder="1" applyAlignment="1">
      <alignment horizontal="center" vertical="center"/>
    </xf>
    <xf numFmtId="43" fontId="41" fillId="0" borderId="616" xfId="1" applyFont="1" applyFill="1" applyBorder="1" applyAlignment="1">
      <alignment vertical="center"/>
    </xf>
    <xf numFmtId="43" fontId="46" fillId="0" borderId="0" xfId="1" applyFont="1" applyFill="1" applyAlignment="1">
      <alignment horizontal="center" vertical="center"/>
    </xf>
    <xf numFmtId="0" fontId="46" fillId="0" borderId="0" xfId="79" applyFont="1" applyFill="1" applyAlignment="1">
      <alignment horizontal="center" vertical="center"/>
    </xf>
    <xf numFmtId="0" fontId="41" fillId="0" borderId="549" xfId="79" applyFont="1" applyFill="1" applyBorder="1" applyAlignment="1">
      <alignment vertical="center"/>
    </xf>
    <xf numFmtId="43" fontId="46" fillId="0" borderId="549" xfId="20" applyFont="1" applyFill="1" applyBorder="1" applyAlignment="1" applyProtection="1">
      <alignment vertical="center"/>
    </xf>
    <xf numFmtId="43" fontId="46" fillId="0" borderId="549" xfId="20" applyFont="1" applyFill="1" applyBorder="1" applyAlignment="1">
      <alignment vertical="center"/>
    </xf>
    <xf numFmtId="39" fontId="46" fillId="0" borderId="549" xfId="20" applyNumberFormat="1" applyFont="1" applyFill="1" applyBorder="1" applyAlignment="1" applyProtection="1">
      <alignment vertical="center"/>
    </xf>
    <xf numFmtId="43" fontId="41" fillId="0" borderId="575" xfId="1" applyFont="1" applyFill="1" applyBorder="1" applyAlignment="1" applyProtection="1">
      <alignment vertical="center"/>
    </xf>
    <xf numFmtId="4" fontId="46" fillId="0" borderId="0" xfId="79" applyNumberFormat="1" applyFont="1" applyFill="1" applyAlignment="1">
      <alignment vertical="center"/>
    </xf>
    <xf numFmtId="184" fontId="46" fillId="0" borderId="0" xfId="1" applyNumberFormat="1" applyFont="1" applyFill="1" applyAlignment="1">
      <alignment vertical="center"/>
    </xf>
    <xf numFmtId="9" fontId="46" fillId="0" borderId="0" xfId="1" applyNumberFormat="1" applyFont="1" applyFill="1" applyAlignment="1">
      <alignment vertical="center"/>
    </xf>
    <xf numFmtId="0" fontId="41" fillId="0" borderId="551" xfId="79" applyFont="1" applyFill="1" applyBorder="1" applyAlignment="1">
      <alignment horizontal="left" vertical="center"/>
    </xf>
    <xf numFmtId="43" fontId="46" fillId="0" borderId="551" xfId="20" applyFont="1" applyFill="1" applyBorder="1" applyAlignment="1">
      <alignment vertical="center"/>
    </xf>
    <xf numFmtId="39" fontId="46" fillId="0" borderId="551" xfId="20" applyNumberFormat="1" applyFont="1" applyFill="1" applyBorder="1" applyAlignment="1">
      <alignment vertical="center"/>
    </xf>
    <xf numFmtId="43" fontId="41" fillId="0" borderId="617" xfId="1" applyFont="1" applyFill="1" applyBorder="1" applyAlignment="1" applyProtection="1">
      <alignment vertical="center"/>
    </xf>
    <xf numFmtId="0" fontId="41" fillId="0" borderId="122" xfId="79" applyFont="1" applyFill="1" applyBorder="1" applyAlignment="1">
      <alignment horizontal="center" vertical="center"/>
    </xf>
    <xf numFmtId="39" fontId="41" fillId="0" borderId="122" xfId="79" applyNumberFormat="1" applyFont="1" applyFill="1" applyBorder="1" applyAlignment="1" applyProtection="1">
      <alignment vertical="center"/>
    </xf>
    <xf numFmtId="43" fontId="41" fillId="0" borderId="123" xfId="1" applyFont="1" applyFill="1" applyBorder="1" applyAlignment="1" applyProtection="1">
      <alignment vertical="center"/>
    </xf>
    <xf numFmtId="43" fontId="46" fillId="0" borderId="0" xfId="79" applyNumberFormat="1" applyFont="1" applyFill="1" applyAlignment="1">
      <alignment vertical="center"/>
    </xf>
    <xf numFmtId="0" fontId="41" fillId="0" borderId="618" xfId="79" applyFont="1" applyFill="1" applyBorder="1" applyAlignment="1">
      <alignment vertical="center"/>
    </xf>
    <xf numFmtId="0" fontId="46" fillId="0" borderId="618" xfId="79" applyFont="1" applyFill="1" applyBorder="1" applyAlignment="1">
      <alignment vertical="center"/>
    </xf>
    <xf numFmtId="43" fontId="41" fillId="0" borderId="619" xfId="1" applyFont="1" applyFill="1" applyBorder="1" applyAlignment="1" applyProtection="1">
      <alignment vertical="center"/>
    </xf>
    <xf numFmtId="39" fontId="46" fillId="0" borderId="549" xfId="79" applyNumberFormat="1" applyFont="1" applyFill="1" applyBorder="1" applyAlignment="1" applyProtection="1">
      <alignment vertical="center"/>
    </xf>
    <xf numFmtId="0" fontId="41" fillId="0" borderId="576" xfId="79" applyFont="1" applyFill="1" applyBorder="1" applyAlignment="1">
      <alignment vertical="center"/>
    </xf>
    <xf numFmtId="39" fontId="46" fillId="0" borderId="576" xfId="79" applyNumberFormat="1" applyFont="1" applyFill="1" applyBorder="1" applyAlignment="1" applyProtection="1">
      <alignment vertical="center"/>
    </xf>
    <xf numFmtId="43" fontId="46" fillId="0" borderId="576" xfId="20" applyFont="1" applyFill="1" applyBorder="1" applyAlignment="1">
      <alignment vertical="center"/>
    </xf>
    <xf numFmtId="43" fontId="41" fillId="0" borderId="620" xfId="1" applyFont="1" applyFill="1" applyBorder="1" applyAlignment="1" applyProtection="1">
      <alignment vertical="center"/>
    </xf>
    <xf numFmtId="0" fontId="41" fillId="0" borderId="121" xfId="79" applyFont="1" applyFill="1" applyBorder="1" applyAlignment="1">
      <alignment horizontal="center" vertical="center"/>
    </xf>
    <xf numFmtId="0" fontId="46" fillId="0" borderId="117" xfId="79" applyFont="1" applyFill="1" applyBorder="1" applyAlignment="1">
      <alignment vertical="center"/>
    </xf>
    <xf numFmtId="0" fontId="46" fillId="0" borderId="201" xfId="79" applyFont="1" applyFill="1" applyBorder="1" applyAlignment="1">
      <alignment vertical="center"/>
    </xf>
    <xf numFmtId="0" fontId="46" fillId="0" borderId="254" xfId="79" applyFont="1" applyFill="1" applyBorder="1" applyAlignment="1">
      <alignment vertical="center"/>
    </xf>
    <xf numFmtId="0" fontId="46" fillId="0" borderId="295" xfId="79" applyFont="1" applyFill="1" applyBorder="1" applyAlignment="1">
      <alignment vertical="center"/>
    </xf>
    <xf numFmtId="43" fontId="41" fillId="0" borderId="91" xfId="1" applyFont="1" applyFill="1" applyBorder="1" applyAlignment="1" applyProtection="1">
      <alignment vertical="center"/>
    </xf>
    <xf numFmtId="39" fontId="46" fillId="0" borderId="549" xfId="20" applyNumberFormat="1" applyFont="1" applyFill="1" applyBorder="1" applyAlignment="1">
      <alignment vertical="center"/>
    </xf>
    <xf numFmtId="43" fontId="46" fillId="0" borderId="576" xfId="20" applyFont="1" applyFill="1" applyBorder="1" applyAlignment="1" applyProtection="1">
      <alignment vertical="center"/>
    </xf>
    <xf numFmtId="39" fontId="46" fillId="0" borderId="576" xfId="20" applyNumberFormat="1" applyFont="1" applyFill="1" applyBorder="1" applyAlignment="1" applyProtection="1">
      <alignment vertical="center"/>
    </xf>
    <xf numFmtId="0" fontId="41" fillId="0" borderId="117" xfId="79" applyFont="1" applyFill="1" applyBorder="1" applyAlignment="1">
      <alignment vertical="center"/>
    </xf>
    <xf numFmtId="43" fontId="46" fillId="0" borderId="117" xfId="20" applyFont="1" applyFill="1" applyBorder="1" applyAlignment="1">
      <alignment vertical="center"/>
    </xf>
    <xf numFmtId="0" fontId="41" fillId="0" borderId="407" xfId="79" applyFont="1" applyFill="1" applyBorder="1" applyAlignment="1">
      <alignment horizontal="center" vertical="center"/>
    </xf>
    <xf numFmtId="39" fontId="41" fillId="0" borderId="120" xfId="79" applyNumberFormat="1" applyFont="1" applyFill="1" applyBorder="1" applyAlignment="1" applyProtection="1">
      <alignment vertical="center"/>
    </xf>
    <xf numFmtId="43" fontId="41" fillId="0" borderId="407" xfId="1" applyFont="1" applyFill="1" applyBorder="1" applyAlignment="1" applyProtection="1">
      <alignment vertical="center"/>
    </xf>
    <xf numFmtId="0" fontId="46" fillId="0" borderId="416" xfId="79" applyFont="1" applyFill="1" applyBorder="1" applyAlignment="1">
      <alignment vertical="center"/>
    </xf>
    <xf numFmtId="0" fontId="46" fillId="0" borderId="120" xfId="79" applyFont="1" applyFill="1" applyBorder="1" applyAlignment="1">
      <alignment vertical="center"/>
    </xf>
    <xf numFmtId="0" fontId="46" fillId="0" borderId="570" xfId="79" applyFont="1" applyFill="1" applyBorder="1" applyAlignment="1">
      <alignment vertical="center"/>
    </xf>
    <xf numFmtId="43" fontId="41" fillId="0" borderId="45" xfId="1" applyFont="1" applyFill="1" applyBorder="1" applyAlignment="1">
      <alignment vertical="center"/>
    </xf>
    <xf numFmtId="0" fontId="41" fillId="0" borderId="295" xfId="79" applyFont="1" applyFill="1" applyBorder="1" applyAlignment="1">
      <alignment vertical="center"/>
    </xf>
    <xf numFmtId="43" fontId="41" fillId="0" borderId="295" xfId="1" applyFont="1" applyFill="1" applyBorder="1" applyAlignment="1">
      <alignment vertical="center"/>
    </xf>
    <xf numFmtId="0" fontId="41" fillId="0" borderId="201" xfId="79" applyFont="1" applyFill="1" applyBorder="1" applyAlignment="1">
      <alignment vertical="center"/>
    </xf>
    <xf numFmtId="0" fontId="41" fillId="0" borderId="254" xfId="79" applyFont="1" applyFill="1" applyBorder="1" applyAlignment="1">
      <alignment vertical="center"/>
    </xf>
    <xf numFmtId="43" fontId="41" fillId="0" borderId="117" xfId="1" applyFont="1" applyFill="1" applyBorder="1" applyAlignment="1">
      <alignment vertical="center"/>
    </xf>
    <xf numFmtId="43" fontId="41" fillId="0" borderId="0" xfId="1" applyFont="1" applyFill="1" applyAlignment="1">
      <alignment vertical="center"/>
    </xf>
    <xf numFmtId="43" fontId="41" fillId="0" borderId="201" xfId="1" applyFont="1" applyFill="1" applyBorder="1" applyAlignment="1">
      <alignment vertical="center"/>
    </xf>
    <xf numFmtId="0" fontId="41" fillId="0" borderId="45" xfId="79" applyFont="1" applyFill="1" applyBorder="1" applyAlignment="1">
      <alignment vertical="center"/>
    </xf>
    <xf numFmtId="39" fontId="41" fillId="0" borderId="45" xfId="79" applyNumberFormat="1" applyFont="1" applyFill="1" applyBorder="1" applyAlignment="1" applyProtection="1">
      <alignment vertical="center"/>
    </xf>
    <xf numFmtId="39" fontId="46" fillId="0" borderId="0" xfId="79" applyNumberFormat="1" applyFont="1" applyFill="1" applyAlignment="1">
      <alignment vertical="center"/>
    </xf>
    <xf numFmtId="43" fontId="406" fillId="0" borderId="0" xfId="79" applyNumberFormat="1" applyFont="1" applyFill="1" applyAlignment="1">
      <alignment vertical="center"/>
    </xf>
    <xf numFmtId="0" fontId="41" fillId="0" borderId="0" xfId="74" applyFont="1" applyFill="1" applyAlignment="1"/>
    <xf numFmtId="0" fontId="46" fillId="0" borderId="0" xfId="74" applyFont="1" applyFill="1"/>
    <xf numFmtId="0" fontId="382" fillId="0" borderId="0" xfId="74" applyFont="1" applyFill="1"/>
    <xf numFmtId="0" fontId="382" fillId="0" borderId="0" xfId="45" applyFont="1" applyFill="1" applyBorder="1" applyAlignment="1" applyProtection="1">
      <alignment vertical="center"/>
      <protection locked="0"/>
    </xf>
    <xf numFmtId="0" fontId="382" fillId="0" borderId="0" xfId="74" applyFont="1" applyFill="1" applyBorder="1"/>
    <xf numFmtId="0" fontId="95" fillId="0" borderId="0" xfId="74" applyFont="1" applyFill="1"/>
    <xf numFmtId="43" fontId="382" fillId="0" borderId="0" xfId="1" applyFont="1" applyFill="1"/>
    <xf numFmtId="43" fontId="382" fillId="0" borderId="0" xfId="74" applyNumberFormat="1" applyFont="1" applyFill="1"/>
    <xf numFmtId="43" fontId="160" fillId="0" borderId="0" xfId="74" applyNumberFormat="1" applyFont="1" applyFill="1"/>
    <xf numFmtId="0" fontId="41" fillId="0" borderId="0" xfId="77" applyFont="1" applyFill="1" applyAlignment="1">
      <alignment vertical="center"/>
    </xf>
    <xf numFmtId="0" fontId="46" fillId="0" borderId="87" xfId="77" applyFont="1" applyFill="1" applyBorder="1"/>
    <xf numFmtId="0" fontId="41" fillId="0" borderId="87" xfId="77" applyFont="1" applyFill="1" applyBorder="1" applyAlignment="1">
      <alignment horizontal="center"/>
    </xf>
    <xf numFmtId="0" fontId="41" fillId="0" borderId="87" xfId="77" applyFont="1" applyFill="1" applyBorder="1"/>
    <xf numFmtId="0" fontId="46" fillId="0" borderId="0" xfId="77" applyFont="1" applyFill="1"/>
    <xf numFmtId="0" fontId="46" fillId="0" borderId="184" xfId="77" applyFont="1" applyFill="1" applyBorder="1"/>
    <xf numFmtId="0" fontId="46" fillId="0" borderId="3" xfId="77" applyFont="1" applyFill="1" applyBorder="1" applyAlignment="1">
      <alignment horizontal="center"/>
    </xf>
    <xf numFmtId="0" fontId="46" fillId="0" borderId="597" xfId="77" applyFont="1" applyFill="1" applyBorder="1" applyAlignment="1">
      <alignment horizontal="center"/>
    </xf>
    <xf numFmtId="0" fontId="46" fillId="0" borderId="672" xfId="77" applyFont="1" applyFill="1" applyBorder="1" applyAlignment="1">
      <alignment horizontal="center"/>
    </xf>
    <xf numFmtId="0" fontId="46" fillId="0" borderId="91" xfId="77" applyFont="1" applyFill="1" applyBorder="1" applyAlignment="1">
      <alignment horizontal="center"/>
    </xf>
    <xf numFmtId="0" fontId="46" fillId="0" borderId="640" xfId="77" applyFont="1" applyFill="1" applyBorder="1" applyAlignment="1">
      <alignment horizontal="center"/>
    </xf>
    <xf numFmtId="0" fontId="41" fillId="0" borderId="91" xfId="77" applyFont="1" applyFill="1" applyBorder="1"/>
    <xf numFmtId="43" fontId="41" fillId="0" borderId="647" xfId="77" applyNumberFormat="1" applyFont="1" applyFill="1" applyBorder="1"/>
    <xf numFmtId="43" fontId="46" fillId="0" borderId="647" xfId="78" applyNumberFormat="1" applyFont="1" applyFill="1" applyBorder="1" applyProtection="1"/>
    <xf numFmtId="43" fontId="46" fillId="0" borderId="648" xfId="78" applyNumberFormat="1" applyFont="1" applyFill="1" applyBorder="1" applyProtection="1"/>
    <xf numFmtId="43" fontId="41" fillId="0" borderId="648" xfId="77" applyNumberFormat="1" applyFont="1" applyFill="1" applyBorder="1" applyProtection="1"/>
    <xf numFmtId="43" fontId="46" fillId="0" borderId="0" xfId="77" applyNumberFormat="1" applyFont="1" applyFill="1"/>
    <xf numFmtId="43" fontId="41" fillId="0" borderId="646" xfId="77" applyNumberFormat="1" applyFont="1" applyFill="1" applyBorder="1" applyAlignment="1">
      <alignment horizontal="center"/>
    </xf>
    <xf numFmtId="43" fontId="46" fillId="0" borderId="646" xfId="78" applyNumberFormat="1" applyFont="1" applyFill="1" applyBorder="1"/>
    <xf numFmtId="43" fontId="46" fillId="0" borderId="649" xfId="78" applyNumberFormat="1" applyFont="1" applyFill="1" applyBorder="1"/>
    <xf numFmtId="43" fontId="41" fillId="0" borderId="649" xfId="77" applyNumberFormat="1" applyFont="1" applyFill="1" applyBorder="1" applyProtection="1"/>
    <xf numFmtId="43" fontId="41" fillId="0" borderId="45" xfId="77" applyNumberFormat="1" applyFont="1" applyFill="1" applyBorder="1" applyAlignment="1">
      <alignment horizontal="center"/>
    </xf>
    <xf numFmtId="43" fontId="41" fillId="0" borderId="45" xfId="77" applyNumberFormat="1" applyFont="1" applyFill="1" applyBorder="1" applyProtection="1"/>
    <xf numFmtId="43" fontId="41" fillId="0" borderId="46" xfId="77" applyNumberFormat="1" applyFont="1" applyFill="1" applyBorder="1" applyProtection="1"/>
    <xf numFmtId="43" fontId="41" fillId="0" borderId="201" xfId="77" applyNumberFormat="1" applyFont="1" applyFill="1" applyBorder="1"/>
    <xf numFmtId="43" fontId="46" fillId="0" borderId="117" xfId="77" applyNumberFormat="1" applyFont="1" applyFill="1" applyBorder="1"/>
    <xf numFmtId="43" fontId="46" fillId="0" borderId="295" xfId="77" applyNumberFormat="1" applyFont="1" applyFill="1" applyBorder="1"/>
    <xf numFmtId="43" fontId="46" fillId="0" borderId="685" xfId="77" applyNumberFormat="1" applyFont="1" applyFill="1" applyBorder="1"/>
    <xf numFmtId="43" fontId="46" fillId="0" borderId="643" xfId="77" applyNumberFormat="1" applyFont="1" applyFill="1" applyBorder="1"/>
    <xf numFmtId="43" fontId="46" fillId="0" borderId="91" xfId="77" applyNumberFormat="1" applyFont="1" applyFill="1" applyBorder="1"/>
    <xf numFmtId="43" fontId="46" fillId="0" borderId="640" xfId="77" applyNumberFormat="1" applyFont="1" applyFill="1" applyBorder="1"/>
    <xf numFmtId="43" fontId="41" fillId="0" borderId="91" xfId="77" applyNumberFormat="1" applyFont="1" applyFill="1" applyBorder="1" applyProtection="1"/>
    <xf numFmtId="43" fontId="41" fillId="0" borderId="650" xfId="77" applyNumberFormat="1" applyFont="1" applyFill="1" applyBorder="1"/>
    <xf numFmtId="43" fontId="46" fillId="0" borderId="650" xfId="77" applyNumberFormat="1" applyFont="1" applyFill="1" applyBorder="1" applyProtection="1"/>
    <xf numFmtId="43" fontId="46" fillId="0" borderId="698" xfId="77" applyNumberFormat="1" applyFont="1" applyFill="1" applyBorder="1" applyProtection="1"/>
    <xf numFmtId="43" fontId="46" fillId="0" borderId="651" xfId="77" applyNumberFormat="1" applyFont="1" applyFill="1" applyBorder="1" applyProtection="1"/>
    <xf numFmtId="43" fontId="41" fillId="0" borderId="651" xfId="77" applyNumberFormat="1" applyFont="1" applyFill="1" applyBorder="1" applyProtection="1"/>
    <xf numFmtId="43" fontId="46" fillId="0" borderId="647" xfId="77" applyNumberFormat="1" applyFont="1" applyFill="1" applyBorder="1" applyProtection="1"/>
    <xf numFmtId="43" fontId="46" fillId="0" borderId="648" xfId="77" applyNumberFormat="1" applyFont="1" applyFill="1" applyBorder="1" applyProtection="1"/>
    <xf numFmtId="43" fontId="46" fillId="0" borderId="201" xfId="77" applyNumberFormat="1" applyFont="1" applyFill="1" applyBorder="1"/>
    <xf numFmtId="43" fontId="46" fillId="0" borderId="650" xfId="78" applyNumberFormat="1" applyFont="1" applyFill="1" applyBorder="1"/>
    <xf numFmtId="43" fontId="46" fillId="0" borderId="698" xfId="78" applyNumberFormat="1" applyFont="1" applyFill="1" applyBorder="1"/>
    <xf numFmtId="43" fontId="46" fillId="0" borderId="651" xfId="78" applyNumberFormat="1" applyFont="1" applyFill="1" applyBorder="1"/>
    <xf numFmtId="43" fontId="41" fillId="0" borderId="674" xfId="77" applyNumberFormat="1" applyFont="1" applyFill="1" applyBorder="1"/>
    <xf numFmtId="43" fontId="46" fillId="0" borderId="674" xfId="78" applyNumberFormat="1" applyFont="1" applyFill="1" applyBorder="1"/>
    <xf numFmtId="43" fontId="46" fillId="0" borderId="675" xfId="78" applyNumberFormat="1" applyFont="1" applyFill="1" applyBorder="1"/>
    <xf numFmtId="43" fontId="46" fillId="0" borderId="647" xfId="78" applyNumberFormat="1" applyFont="1" applyFill="1" applyBorder="1"/>
    <xf numFmtId="43" fontId="46" fillId="0" borderId="648" xfId="78" applyNumberFormat="1" applyFont="1" applyFill="1" applyBorder="1"/>
    <xf numFmtId="43" fontId="46" fillId="0" borderId="130" xfId="77" applyNumberFormat="1" applyFont="1" applyFill="1" applyBorder="1"/>
    <xf numFmtId="43" fontId="46" fillId="0" borderId="16" xfId="77" applyNumberFormat="1" applyFont="1" applyFill="1" applyBorder="1"/>
    <xf numFmtId="43" fontId="41" fillId="0" borderId="17" xfId="77" applyNumberFormat="1" applyFont="1" applyFill="1" applyBorder="1" applyProtection="1"/>
    <xf numFmtId="43" fontId="41" fillId="0" borderId="88" xfId="77" applyNumberFormat="1" applyFont="1" applyFill="1" applyBorder="1"/>
    <xf numFmtId="43" fontId="41" fillId="0" borderId="88" xfId="77" applyNumberFormat="1" applyFont="1" applyFill="1" applyBorder="1" applyProtection="1"/>
    <xf numFmtId="0" fontId="41" fillId="0" borderId="45" xfId="77" applyFont="1" applyFill="1" applyBorder="1" applyAlignment="1">
      <alignment horizontal="center" vertical="top" wrapText="1"/>
    </xf>
    <xf numFmtId="0" fontId="41" fillId="0" borderId="45" xfId="27" applyFont="1" applyFill="1" applyBorder="1" applyAlignment="1" applyProtection="1">
      <alignment vertical="top" wrapText="1"/>
      <protection locked="0"/>
    </xf>
    <xf numFmtId="0" fontId="46" fillId="0" borderId="0" xfId="77" applyFont="1" applyFill="1" applyAlignment="1">
      <alignment vertical="top" wrapText="1"/>
    </xf>
    <xf numFmtId="0" fontId="407" fillId="0" borderId="0" xfId="91" applyFont="1"/>
    <xf numFmtId="0" fontId="408" fillId="0" borderId="0" xfId="91" applyFont="1"/>
    <xf numFmtId="0" fontId="319" fillId="0" borderId="0" xfId="46" applyFont="1" applyFill="1" applyAlignment="1">
      <alignment horizontal="center"/>
    </xf>
    <xf numFmtId="43" fontId="41" fillId="0" borderId="279" xfId="1" applyFont="1" applyFill="1" applyBorder="1" applyAlignment="1" applyProtection="1">
      <alignment vertical="center"/>
    </xf>
    <xf numFmtId="43" fontId="41" fillId="0" borderId="248" xfId="1" applyFont="1" applyFill="1" applyBorder="1" applyAlignment="1" applyProtection="1">
      <alignment vertical="center"/>
    </xf>
    <xf numFmtId="0" fontId="278" fillId="0" borderId="433" xfId="2" applyFont="1" applyFill="1" applyBorder="1" applyAlignment="1">
      <alignment vertical="center"/>
    </xf>
    <xf numFmtId="4" fontId="278" fillId="0" borderId="0" xfId="46" applyNumberFormat="1" applyFont="1" applyFill="1" applyBorder="1" applyAlignment="1" applyProtection="1">
      <alignment horizontal="center"/>
      <protection locked="0"/>
    </xf>
    <xf numFmtId="0" fontId="278" fillId="0" borderId="0" xfId="46" applyNumberFormat="1" applyFont="1" applyFill="1" applyBorder="1" applyAlignment="1" applyProtection="1">
      <alignment horizontal="center"/>
      <protection locked="0"/>
    </xf>
    <xf numFmtId="4" fontId="320" fillId="0" borderId="0" xfId="46" applyNumberFormat="1" applyFont="1" applyFill="1" applyBorder="1" applyProtection="1">
      <protection hidden="1"/>
    </xf>
    <xf numFmtId="4" fontId="320" fillId="0" borderId="0" xfId="2" applyNumberFormat="1" applyFont="1" applyFill="1" applyBorder="1" applyAlignment="1">
      <alignment vertical="top"/>
    </xf>
    <xf numFmtId="4" fontId="320" fillId="0" borderId="0" xfId="46" applyNumberFormat="1" applyFont="1" applyFill="1" applyBorder="1" applyProtection="1">
      <protection locked="0"/>
    </xf>
    <xf numFmtId="4" fontId="320" fillId="0" borderId="0" xfId="46" applyNumberFormat="1" applyFont="1" applyFill="1" applyBorder="1" applyAlignment="1" applyProtection="1">
      <alignment vertical="top"/>
      <protection locked="0"/>
    </xf>
    <xf numFmtId="4" fontId="321" fillId="0" borderId="0" xfId="46" applyNumberFormat="1" applyFont="1" applyFill="1" applyBorder="1"/>
    <xf numFmtId="4" fontId="321" fillId="0" borderId="0" xfId="46" applyNumberFormat="1" applyFont="1" applyFill="1" applyBorder="1" applyAlignment="1">
      <alignment horizontal="right"/>
    </xf>
    <xf numFmtId="4" fontId="320" fillId="0" borderId="0" xfId="46" applyNumberFormat="1" applyFont="1" applyFill="1" applyBorder="1" applyAlignment="1">
      <alignment vertical="center"/>
    </xf>
    <xf numFmtId="0" fontId="320" fillId="0" borderId="0" xfId="1" applyNumberFormat="1" applyFont="1" applyFill="1" applyBorder="1" applyAlignment="1">
      <alignment horizontal="left" vertical="center"/>
    </xf>
    <xf numFmtId="4" fontId="278" fillId="0" borderId="684" xfId="30" applyNumberFormat="1" applyFont="1" applyFill="1" applyBorder="1" applyAlignment="1" applyProtection="1">
      <alignment horizontal="center" vertical="center"/>
      <protection locked="0"/>
    </xf>
    <xf numFmtId="4" fontId="278" fillId="0" borderId="397" xfId="30" applyNumberFormat="1" applyFont="1" applyFill="1" applyBorder="1" applyAlignment="1" applyProtection="1">
      <alignment horizontal="center" vertical="center"/>
      <protection locked="0"/>
    </xf>
    <xf numFmtId="0" fontId="220" fillId="0" borderId="672" xfId="21" applyFont="1" applyFill="1" applyBorder="1" applyAlignment="1">
      <alignment horizontal="center" vertical="center"/>
    </xf>
    <xf numFmtId="0" fontId="220" fillId="0" borderId="707" xfId="21" applyFont="1" applyFill="1" applyBorder="1" applyAlignment="1">
      <alignment horizontal="center" vertical="center"/>
    </xf>
    <xf numFmtId="0" fontId="221" fillId="0" borderId="672" xfId="21" applyFont="1" applyFill="1" applyBorder="1" applyAlignment="1">
      <alignment horizontal="center" vertical="center"/>
    </xf>
    <xf numFmtId="0" fontId="278" fillId="0" borderId="733" xfId="47" applyFont="1" applyFill="1" applyBorder="1" applyAlignment="1" applyProtection="1">
      <alignment horizontal="center" vertical="center"/>
      <protection locked="0"/>
    </xf>
    <xf numFmtId="43" fontId="278" fillId="0" borderId="733" xfId="1" applyFont="1" applyFill="1" applyBorder="1" applyAlignment="1" applyProtection="1">
      <alignment horizontal="center" vertical="center"/>
      <protection locked="0"/>
    </xf>
    <xf numFmtId="0" fontId="278" fillId="0" borderId="608" xfId="47" applyFont="1" applyFill="1" applyBorder="1" applyAlignment="1" applyProtection="1">
      <alignment horizontal="center" vertical="center"/>
      <protection locked="0"/>
    </xf>
    <xf numFmtId="43" fontId="278" fillId="0" borderId="608" xfId="1" applyFont="1" applyFill="1" applyBorder="1" applyAlignment="1" applyProtection="1">
      <alignment horizontal="center" vertical="center"/>
      <protection locked="0"/>
    </xf>
    <xf numFmtId="4" fontId="320" fillId="0" borderId="733" xfId="1" applyNumberFormat="1" applyFont="1" applyFill="1" applyBorder="1" applyAlignment="1" applyProtection="1">
      <alignment vertical="center"/>
      <protection locked="0"/>
    </xf>
    <xf numFmtId="39" fontId="320" fillId="0" borderId="733" xfId="1" applyNumberFormat="1" applyFont="1" applyFill="1" applyBorder="1" applyAlignment="1" applyProtection="1">
      <alignment vertical="center"/>
      <protection locked="0"/>
    </xf>
    <xf numFmtId="4" fontId="320" fillId="0" borderId="733" xfId="47" applyNumberFormat="1" applyFont="1" applyFill="1" applyBorder="1" applyAlignment="1" applyProtection="1">
      <alignment vertical="center"/>
      <protection locked="0"/>
    </xf>
    <xf numFmtId="43" fontId="320" fillId="0" borderId="733" xfId="1" applyFont="1" applyFill="1" applyBorder="1" applyAlignment="1" applyProtection="1">
      <alignment vertical="center"/>
      <protection locked="0"/>
    </xf>
    <xf numFmtId="4" fontId="320" fillId="0" borderId="398" xfId="47" applyNumberFormat="1" applyFont="1" applyFill="1" applyBorder="1" applyAlignment="1" applyProtection="1">
      <alignment vertical="center"/>
      <protection locked="0"/>
    </xf>
    <xf numFmtId="0" fontId="320" fillId="0" borderId="733" xfId="47" applyFont="1" applyFill="1" applyBorder="1" applyAlignment="1" applyProtection="1">
      <alignment vertical="center"/>
      <protection locked="0"/>
    </xf>
    <xf numFmtId="43" fontId="320" fillId="0" borderId="733" xfId="47" applyNumberFormat="1" applyFont="1" applyFill="1" applyBorder="1" applyAlignment="1" applyProtection="1">
      <alignment vertical="center"/>
      <protection locked="0"/>
    </xf>
    <xf numFmtId="39" fontId="320" fillId="0" borderId="733" xfId="1" applyNumberFormat="1" applyFont="1" applyFill="1" applyBorder="1" applyAlignment="1" applyProtection="1">
      <alignment vertical="center"/>
      <protection hidden="1"/>
    </xf>
    <xf numFmtId="0" fontId="320" fillId="0" borderId="398" xfId="47" applyFont="1" applyFill="1" applyBorder="1" applyAlignment="1">
      <alignment vertical="center"/>
    </xf>
    <xf numFmtId="2" fontId="320" fillId="0" borderId="733" xfId="1" applyNumberFormat="1" applyFont="1" applyFill="1" applyBorder="1" applyAlignment="1" applyProtection="1">
      <alignment vertical="center"/>
      <protection locked="0"/>
    </xf>
    <xf numFmtId="0" fontId="320" fillId="0" borderId="686" xfId="47" applyFont="1" applyFill="1" applyBorder="1" applyAlignment="1" applyProtection="1">
      <alignment horizontal="center" vertical="center"/>
      <protection locked="0"/>
    </xf>
    <xf numFmtId="0" fontId="320" fillId="0" borderId="553" xfId="47" applyFont="1" applyFill="1" applyBorder="1" applyAlignment="1" applyProtection="1">
      <alignment vertical="center"/>
      <protection locked="0"/>
    </xf>
    <xf numFmtId="4" fontId="320" fillId="0" borderId="548" xfId="1" applyNumberFormat="1" applyFont="1" applyFill="1" applyBorder="1" applyAlignment="1" applyProtection="1">
      <alignment vertical="center"/>
      <protection locked="0"/>
    </xf>
    <xf numFmtId="4" fontId="320" fillId="0" borderId="628" xfId="47" applyNumberFormat="1" applyFont="1" applyFill="1" applyBorder="1" applyAlignment="1" applyProtection="1">
      <alignment vertical="center"/>
      <protection locked="0"/>
    </xf>
    <xf numFmtId="4" fontId="278" fillId="0" borderId="546" xfId="47" applyNumberFormat="1" applyFont="1" applyFill="1" applyBorder="1" applyAlignment="1" applyProtection="1">
      <alignment vertical="center"/>
      <protection locked="0"/>
    </xf>
    <xf numFmtId="43" fontId="278" fillId="0" borderId="546" xfId="1" applyFont="1" applyFill="1" applyBorder="1" applyAlignment="1" applyProtection="1">
      <alignment vertical="center"/>
      <protection locked="0"/>
    </xf>
    <xf numFmtId="4" fontId="278" fillId="0" borderId="703" xfId="47" applyNumberFormat="1" applyFont="1" applyFill="1" applyBorder="1" applyAlignment="1" applyProtection="1">
      <alignment vertical="center"/>
      <protection locked="0"/>
    </xf>
    <xf numFmtId="4" fontId="278" fillId="0" borderId="686" xfId="47" applyNumberFormat="1" applyFont="1" applyFill="1" applyBorder="1" applyAlignment="1" applyProtection="1">
      <alignment vertical="center"/>
      <protection locked="0"/>
    </xf>
    <xf numFmtId="4" fontId="278" fillId="0" borderId="686" xfId="1" applyNumberFormat="1" applyFont="1" applyFill="1" applyBorder="1" applyAlignment="1" applyProtection="1">
      <alignment vertical="center"/>
      <protection locked="0"/>
    </xf>
    <xf numFmtId="39" fontId="278" fillId="0" borderId="686" xfId="1" applyNumberFormat="1" applyFont="1" applyFill="1" applyBorder="1" applyAlignment="1" applyProtection="1">
      <alignment vertical="center"/>
      <protection locked="0"/>
    </xf>
    <xf numFmtId="4" fontId="278" fillId="0" borderId="295" xfId="47" applyNumberFormat="1" applyFont="1" applyFill="1" applyBorder="1" applyAlignment="1" applyProtection="1">
      <alignment vertical="center"/>
      <protection locked="0"/>
    </xf>
    <xf numFmtId="43" fontId="278" fillId="0" borderId="733" xfId="1" applyFont="1" applyFill="1" applyBorder="1" applyAlignment="1" applyProtection="1">
      <alignment vertical="center"/>
      <protection locked="0"/>
    </xf>
    <xf numFmtId="4" fontId="278" fillId="0" borderId="733" xfId="47" applyNumberFormat="1" applyFont="1" applyFill="1" applyBorder="1" applyAlignment="1" applyProtection="1">
      <alignment vertical="center"/>
      <protection locked="0"/>
    </xf>
    <xf numFmtId="4" fontId="278" fillId="0" borderId="398" xfId="47" applyNumberFormat="1" applyFont="1" applyFill="1" applyBorder="1" applyAlignment="1" applyProtection="1">
      <alignment vertical="center"/>
      <protection locked="0"/>
    </xf>
    <xf numFmtId="181" fontId="320" fillId="0" borderId="368" xfId="47" applyNumberFormat="1" applyFont="1" applyFill="1" applyBorder="1" applyAlignment="1" applyProtection="1">
      <alignment vertical="center"/>
      <protection locked="0"/>
    </xf>
    <xf numFmtId="0" fontId="320" fillId="0" borderId="686" xfId="47" applyFont="1" applyFill="1" applyBorder="1" applyAlignment="1" applyProtection="1">
      <alignment vertical="center"/>
      <protection locked="0"/>
    </xf>
    <xf numFmtId="4" fontId="320" fillId="0" borderId="686" xfId="1" applyNumberFormat="1" applyFont="1" applyFill="1" applyBorder="1" applyAlignment="1" applyProtection="1">
      <alignment vertical="center"/>
      <protection locked="0"/>
    </xf>
    <xf numFmtId="39" fontId="320" fillId="0" borderId="686" xfId="1" applyNumberFormat="1" applyFont="1" applyFill="1" applyBorder="1" applyAlignment="1" applyProtection="1">
      <alignment vertical="center"/>
      <protection locked="0"/>
    </xf>
    <xf numFmtId="0" fontId="278" fillId="0" borderId="686" xfId="47" applyFont="1" applyFill="1" applyBorder="1" applyAlignment="1" applyProtection="1">
      <alignment horizontal="center" vertical="center"/>
      <protection locked="0"/>
    </xf>
    <xf numFmtId="4" fontId="278" fillId="0" borderId="629" xfId="47" applyNumberFormat="1" applyFont="1" applyFill="1" applyBorder="1" applyAlignment="1" applyProtection="1">
      <alignment vertical="center"/>
      <protection locked="0"/>
    </xf>
    <xf numFmtId="166" fontId="278" fillId="0" borderId="629" xfId="47" applyNumberFormat="1" applyFont="1" applyFill="1" applyBorder="1" applyAlignment="1" applyProtection="1">
      <alignment vertical="center"/>
      <protection locked="0"/>
    </xf>
    <xf numFmtId="166" fontId="320" fillId="0" borderId="686" xfId="1" applyNumberFormat="1" applyFont="1" applyFill="1" applyBorder="1" applyAlignment="1" applyProtection="1">
      <alignment vertical="center"/>
      <protection locked="0"/>
    </xf>
    <xf numFmtId="0" fontId="320" fillId="0" borderId="354" xfId="47" applyFont="1" applyFill="1" applyBorder="1" applyAlignment="1" applyProtection="1">
      <alignment vertical="center"/>
      <protection locked="0"/>
    </xf>
    <xf numFmtId="0" fontId="278" fillId="0" borderId="355" xfId="47" applyFont="1" applyFill="1" applyBorder="1" applyAlignment="1" applyProtection="1">
      <alignment vertical="center"/>
      <protection locked="0"/>
    </xf>
    <xf numFmtId="0" fontId="320" fillId="0" borderId="630" xfId="47" applyFont="1" applyFill="1" applyBorder="1" applyAlignment="1" applyProtection="1">
      <alignment horizontal="center" vertical="center"/>
      <protection locked="0"/>
    </xf>
    <xf numFmtId="10" fontId="278" fillId="0" borderId="633" xfId="47" applyNumberFormat="1" applyFont="1" applyFill="1" applyBorder="1" applyAlignment="1" applyProtection="1">
      <alignment vertical="center"/>
      <protection locked="0"/>
    </xf>
    <xf numFmtId="0" fontId="321" fillId="0" borderId="368" xfId="2" applyFont="1" applyFill="1" applyBorder="1" applyAlignment="1">
      <alignment horizontal="right" vertical="top"/>
    </xf>
    <xf numFmtId="43" fontId="321" fillId="0" borderId="685" xfId="1" applyFont="1" applyFill="1" applyBorder="1" applyAlignment="1" applyProtection="1">
      <alignment horizontal="right" vertical="top"/>
    </xf>
    <xf numFmtId="0" fontId="321" fillId="0" borderId="733" xfId="55" applyFont="1" applyFill="1" applyBorder="1" applyAlignment="1" applyProtection="1">
      <alignment horizontal="right" vertical="center"/>
      <protection locked="0"/>
    </xf>
    <xf numFmtId="0" fontId="320" fillId="0" borderId="685" xfId="2" applyFont="1" applyFill="1" applyBorder="1" applyAlignment="1">
      <alignment vertical="top"/>
    </xf>
    <xf numFmtId="43" fontId="220" fillId="0" borderId="708" xfId="1" applyFont="1" applyFill="1" applyBorder="1" applyAlignment="1">
      <alignment horizontal="center" vertical="center"/>
    </xf>
    <xf numFmtId="41" fontId="212" fillId="0" borderId="0" xfId="86" applyNumberFormat="1" applyFont="1" applyFill="1" applyAlignment="1">
      <alignment vertical="top"/>
    </xf>
    <xf numFmtId="41" fontId="326" fillId="0" borderId="0" xfId="86" applyNumberFormat="1" applyFont="1" applyFill="1" applyAlignment="1">
      <alignment horizontal="center"/>
    </xf>
    <xf numFmtId="41" fontId="326" fillId="0" borderId="0" xfId="86" applyNumberFormat="1" applyFont="1" applyFill="1" applyAlignment="1"/>
    <xf numFmtId="41" fontId="334" fillId="0" borderId="0" xfId="86" applyNumberFormat="1" applyFont="1" applyFill="1" applyAlignment="1"/>
    <xf numFmtId="41" fontId="338" fillId="0" borderId="0" xfId="86" applyNumberFormat="1" applyFont="1" applyFill="1" applyAlignment="1">
      <alignment horizontal="center"/>
    </xf>
    <xf numFmtId="41" fontId="328" fillId="0" borderId="0" xfId="86" applyNumberFormat="1" applyFont="1" applyFill="1"/>
    <xf numFmtId="41" fontId="329" fillId="0" borderId="0" xfId="86" applyNumberFormat="1" applyFont="1" applyFill="1" applyAlignment="1">
      <alignment horizontal="center"/>
    </xf>
    <xf numFmtId="41" fontId="329" fillId="0" borderId="0" xfId="86" applyNumberFormat="1" applyFont="1" applyFill="1"/>
    <xf numFmtId="41" fontId="74" fillId="0" borderId="0" xfId="86" applyNumberFormat="1" applyFont="1" applyFill="1"/>
    <xf numFmtId="41" fontId="328" fillId="0" borderId="0" xfId="86" applyNumberFormat="1" applyFont="1" applyFill="1" applyAlignment="1">
      <alignment horizontal="center"/>
    </xf>
    <xf numFmtId="41" fontId="335" fillId="0" borderId="0" xfId="86" applyNumberFormat="1" applyFont="1" applyFill="1"/>
    <xf numFmtId="41" fontId="339" fillId="0" borderId="0" xfId="86" applyNumberFormat="1" applyFont="1" applyFill="1" applyAlignment="1">
      <alignment horizontal="center"/>
    </xf>
    <xf numFmtId="41" fontId="330" fillId="0" borderId="570" xfId="86" applyNumberFormat="1" applyFont="1" applyFill="1" applyBorder="1" applyAlignment="1">
      <alignment horizontal="center"/>
    </xf>
    <xf numFmtId="41" fontId="367" fillId="0" borderId="570" xfId="86" applyNumberFormat="1" applyFont="1" applyFill="1" applyBorder="1" applyAlignment="1">
      <alignment horizontal="center"/>
    </xf>
    <xf numFmtId="41" fontId="330" fillId="0" borderId="0" xfId="86" applyNumberFormat="1" applyFont="1" applyFill="1" applyBorder="1" applyAlignment="1">
      <alignment horizontal="center"/>
    </xf>
    <xf numFmtId="41" fontId="414" fillId="0" borderId="0" xfId="86" applyNumberFormat="1" applyFont="1" applyFill="1"/>
    <xf numFmtId="41" fontId="330" fillId="0" borderId="553" xfId="86" applyNumberFormat="1" applyFont="1" applyFill="1" applyBorder="1" applyAlignment="1">
      <alignment horizontal="center"/>
    </xf>
    <xf numFmtId="41" fontId="367" fillId="0" borderId="553" xfId="86" applyNumberFormat="1" applyFont="1" applyFill="1" applyBorder="1" applyAlignment="1">
      <alignment horizontal="center"/>
    </xf>
    <xf numFmtId="41" fontId="414" fillId="0" borderId="0" xfId="86" applyNumberFormat="1" applyFont="1" applyFill="1" applyBorder="1"/>
    <xf numFmtId="41" fontId="131" fillId="0" borderId="300" xfId="86" applyNumberFormat="1" applyFont="1" applyFill="1" applyBorder="1"/>
    <xf numFmtId="41" fontId="131" fillId="0" borderId="300" xfId="86" applyNumberFormat="1" applyFont="1" applyFill="1" applyBorder="1" applyAlignment="1">
      <alignment horizontal="center"/>
    </xf>
    <xf numFmtId="41" fontId="131" fillId="0" borderId="181" xfId="86" applyNumberFormat="1" applyFont="1" applyFill="1" applyBorder="1" applyAlignment="1">
      <alignment horizontal="center"/>
    </xf>
    <xf numFmtId="41" fontId="131" fillId="0" borderId="563" xfId="86" applyNumberFormat="1" applyFont="1" applyFill="1" applyBorder="1" applyAlignment="1">
      <alignment horizontal="center"/>
    </xf>
    <xf numFmtId="41" fontId="131" fillId="0" borderId="295" xfId="86" applyNumberFormat="1" applyFont="1" applyFill="1" applyBorder="1" applyAlignment="1">
      <alignment horizontal="center"/>
    </xf>
    <xf numFmtId="41" fontId="281" fillId="0" borderId="295" xfId="86" applyNumberFormat="1" applyFont="1" applyFill="1" applyBorder="1" applyAlignment="1">
      <alignment horizontal="center"/>
    </xf>
    <xf numFmtId="41" fontId="340" fillId="0" borderId="181" xfId="86" applyNumberFormat="1" applyFont="1" applyFill="1" applyBorder="1" applyAlignment="1">
      <alignment horizontal="center"/>
    </xf>
    <xf numFmtId="41" fontId="241" fillId="0" borderId="295" xfId="86" applyNumberFormat="1" applyFont="1" applyFill="1" applyBorder="1" applyAlignment="1">
      <alignment horizontal="center"/>
    </xf>
    <xf numFmtId="41" fontId="241" fillId="0" borderId="0" xfId="86" applyNumberFormat="1" applyFont="1" applyFill="1" applyBorder="1" applyAlignment="1">
      <alignment horizontal="center"/>
    </xf>
    <xf numFmtId="41" fontId="331" fillId="0" borderId="0" xfId="86" applyNumberFormat="1" applyFont="1" applyFill="1"/>
    <xf numFmtId="41" fontId="241" fillId="0" borderId="118" xfId="86" applyNumberFormat="1" applyFont="1" applyFill="1" applyBorder="1"/>
    <xf numFmtId="41" fontId="241" fillId="0" borderId="118" xfId="86" applyNumberFormat="1" applyFont="1" applyFill="1" applyBorder="1" applyAlignment="1">
      <alignment horizontal="center"/>
    </xf>
    <xf numFmtId="41" fontId="241" fillId="0" borderId="181" xfId="86" applyNumberFormat="1" applyFont="1" applyFill="1" applyBorder="1" applyAlignment="1">
      <alignment horizontal="center"/>
    </xf>
    <xf numFmtId="41" fontId="131" fillId="0" borderId="91" xfId="5" applyNumberFormat="1" applyFont="1" applyFill="1" applyBorder="1" applyProtection="1"/>
    <xf numFmtId="41" fontId="131" fillId="0" borderId="5" xfId="5" applyNumberFormat="1" applyFont="1" applyFill="1" applyBorder="1" applyProtection="1"/>
    <xf numFmtId="41" fontId="281" fillId="0" borderId="5" xfId="5" applyNumberFormat="1" applyFont="1" applyFill="1" applyBorder="1" applyProtection="1"/>
    <xf numFmtId="41" fontId="341" fillId="0" borderId="181" xfId="86" applyNumberFormat="1" applyFont="1" applyFill="1" applyBorder="1" applyAlignment="1">
      <alignment horizontal="center"/>
    </xf>
    <xf numFmtId="41" fontId="241" fillId="0" borderId="5" xfId="5" applyNumberFormat="1" applyFont="1" applyFill="1" applyBorder="1" applyProtection="1"/>
    <xf numFmtId="41" fontId="131" fillId="0" borderId="5" xfId="86" applyNumberFormat="1" applyFont="1" applyFill="1" applyBorder="1" applyProtection="1"/>
    <xf numFmtId="41" fontId="241" fillId="0" borderId="5" xfId="86" applyNumberFormat="1" applyFont="1" applyFill="1" applyBorder="1" applyAlignment="1" applyProtection="1">
      <alignment horizontal="center"/>
    </xf>
    <xf numFmtId="41" fontId="241" fillId="0" borderId="0" xfId="5" applyNumberFormat="1" applyFont="1" applyFill="1" applyBorder="1" applyProtection="1"/>
    <xf numFmtId="41" fontId="241" fillId="0" borderId="0" xfId="5" applyNumberFormat="1" applyFont="1" applyFill="1" applyBorder="1" applyAlignment="1" applyProtection="1">
      <alignment horizontal="center"/>
    </xf>
    <xf numFmtId="41" fontId="241" fillId="0" borderId="300" xfId="86" applyNumberFormat="1" applyFont="1" applyFill="1" applyBorder="1"/>
    <xf numFmtId="41" fontId="241" fillId="0" borderId="300" xfId="86" applyNumberFormat="1" applyFont="1" applyFill="1" applyBorder="1" applyAlignment="1">
      <alignment horizontal="center"/>
    </xf>
    <xf numFmtId="41" fontId="131" fillId="0" borderId="563" xfId="5" applyNumberFormat="1" applyFont="1" applyFill="1" applyBorder="1" applyProtection="1"/>
    <xf numFmtId="41" fontId="131" fillId="0" borderId="295" xfId="86" applyNumberFormat="1" applyFont="1" applyFill="1" applyBorder="1" applyProtection="1"/>
    <xf numFmtId="41" fontId="131" fillId="0" borderId="295" xfId="5" applyNumberFormat="1" applyFont="1" applyFill="1" applyBorder="1" applyProtection="1"/>
    <xf numFmtId="41" fontId="241" fillId="0" borderId="295" xfId="86" applyNumberFormat="1" applyFont="1" applyFill="1" applyBorder="1" applyAlignment="1" applyProtection="1">
      <alignment horizontal="center"/>
    </xf>
    <xf numFmtId="41" fontId="241" fillId="0" borderId="295" xfId="5" applyNumberFormat="1" applyFont="1" applyFill="1" applyBorder="1" applyProtection="1"/>
    <xf numFmtId="41" fontId="241" fillId="3" borderId="0" xfId="5" applyNumberFormat="1" applyFont="1" applyFill="1" applyBorder="1" applyAlignment="1" applyProtection="1">
      <alignment horizontal="center"/>
    </xf>
    <xf numFmtId="41" fontId="131" fillId="0" borderId="592" xfId="5" applyNumberFormat="1" applyFont="1" applyFill="1" applyBorder="1" applyProtection="1"/>
    <xf numFmtId="41" fontId="241" fillId="0" borderId="686" xfId="86" applyNumberFormat="1" applyFont="1" applyFill="1" applyBorder="1"/>
    <xf numFmtId="41" fontId="241" fillId="0" borderId="686" xfId="86" applyNumberFormat="1" applyFont="1" applyFill="1" applyBorder="1" applyAlignment="1">
      <alignment horizontal="center"/>
    </xf>
    <xf numFmtId="41" fontId="131" fillId="0" borderId="699" xfId="5" applyNumberFormat="1" applyFont="1" applyFill="1" applyBorder="1" applyProtection="1"/>
    <xf numFmtId="41" fontId="131" fillId="0" borderId="685" xfId="86" applyNumberFormat="1" applyFont="1" applyFill="1" applyBorder="1" applyProtection="1"/>
    <xf numFmtId="41" fontId="131" fillId="0" borderId="685" xfId="5" applyNumberFormat="1" applyFont="1" applyFill="1" applyBorder="1" applyProtection="1"/>
    <xf numFmtId="41" fontId="241" fillId="0" borderId="685" xfId="86" applyNumberFormat="1" applyFont="1" applyFill="1" applyBorder="1" applyAlignment="1" applyProtection="1">
      <alignment horizontal="center"/>
    </xf>
    <xf numFmtId="41" fontId="241" fillId="0" borderId="685" xfId="5" applyNumberFormat="1" applyFont="1" applyFill="1" applyBorder="1" applyProtection="1"/>
    <xf numFmtId="41" fontId="241" fillId="0" borderId="5" xfId="5" applyNumberFormat="1" applyFont="1" applyFill="1" applyBorder="1" applyAlignment="1" applyProtection="1">
      <alignment horizontal="center"/>
    </xf>
    <xf numFmtId="41" fontId="131" fillId="0" borderId="91" xfId="86" applyNumberFormat="1" applyFont="1" applyFill="1" applyBorder="1"/>
    <xf numFmtId="41" fontId="131" fillId="0" borderId="5" xfId="86" applyNumberFormat="1" applyFont="1" applyFill="1" applyBorder="1"/>
    <xf numFmtId="41" fontId="241" fillId="0" borderId="5" xfId="86" applyNumberFormat="1" applyFont="1" applyFill="1" applyBorder="1" applyAlignment="1">
      <alignment horizontal="center"/>
    </xf>
    <xf numFmtId="41" fontId="241" fillId="0" borderId="5" xfId="86" applyNumberFormat="1" applyFont="1" applyFill="1" applyBorder="1"/>
    <xf numFmtId="41" fontId="241" fillId="0" borderId="0" xfId="86" applyNumberFormat="1" applyFont="1" applyFill="1" applyBorder="1"/>
    <xf numFmtId="41" fontId="241" fillId="0" borderId="44" xfId="86" applyNumberFormat="1" applyFont="1" applyFill="1" applyBorder="1" applyAlignment="1">
      <alignment horizontal="center"/>
    </xf>
    <xf numFmtId="41" fontId="241" fillId="0" borderId="183" xfId="86" applyNumberFormat="1" applyFont="1" applyFill="1" applyBorder="1" applyAlignment="1" applyProtection="1">
      <alignment horizontal="center"/>
    </xf>
    <xf numFmtId="41" fontId="241" fillId="0" borderId="183" xfId="1" applyNumberFormat="1" applyFont="1" applyFill="1" applyBorder="1" applyAlignment="1" applyProtection="1">
      <alignment horizontal="center"/>
    </xf>
    <xf numFmtId="41" fontId="281" fillId="0" borderId="183" xfId="86" applyNumberFormat="1" applyFont="1" applyFill="1" applyBorder="1" applyAlignment="1" applyProtection="1">
      <alignment horizontal="center"/>
    </xf>
    <xf numFmtId="41" fontId="341" fillId="0" borderId="183" xfId="86" applyNumberFormat="1" applyFont="1" applyFill="1" applyBorder="1" applyAlignment="1" applyProtection="1">
      <alignment horizontal="center"/>
    </xf>
    <xf numFmtId="41" fontId="241" fillId="0" borderId="0" xfId="86" applyNumberFormat="1" applyFont="1" applyFill="1" applyBorder="1" applyAlignment="1" applyProtection="1">
      <alignment horizontal="center"/>
    </xf>
    <xf numFmtId="41" fontId="241" fillId="0" borderId="5" xfId="86" applyNumberFormat="1" applyFont="1" applyFill="1" applyBorder="1" applyProtection="1"/>
    <xf numFmtId="41" fontId="281" fillId="0" borderId="5" xfId="86" applyNumberFormat="1" applyFont="1" applyFill="1" applyBorder="1" applyProtection="1"/>
    <xf numFmtId="41" fontId="341" fillId="0" borderId="118" xfId="86" applyNumberFormat="1" applyFont="1" applyFill="1" applyBorder="1" applyAlignment="1">
      <alignment horizontal="center"/>
    </xf>
    <xf numFmtId="41" fontId="241" fillId="0" borderId="0" xfId="86" applyNumberFormat="1" applyFont="1" applyFill="1" applyBorder="1" applyProtection="1"/>
    <xf numFmtId="41" fontId="131" fillId="0" borderId="5" xfId="5" applyNumberFormat="1" applyFont="1" applyFill="1" applyBorder="1" applyAlignment="1">
      <alignment horizontal="center"/>
    </xf>
    <xf numFmtId="41" fontId="241" fillId="0" borderId="5" xfId="5" applyNumberFormat="1" applyFont="1" applyFill="1" applyBorder="1" applyAlignment="1">
      <alignment horizontal="center"/>
    </xf>
    <xf numFmtId="41" fontId="241" fillId="0" borderId="0" xfId="5" applyNumberFormat="1" applyFont="1" applyFill="1" applyBorder="1" applyAlignment="1">
      <alignment horizontal="center"/>
    </xf>
    <xf numFmtId="41" fontId="281" fillId="0" borderId="5" xfId="86" applyNumberFormat="1" applyFont="1" applyFill="1" applyBorder="1"/>
    <xf numFmtId="41" fontId="241" fillId="0" borderId="45" xfId="86" applyNumberFormat="1" applyFont="1" applyFill="1" applyBorder="1" applyProtection="1"/>
    <xf numFmtId="41" fontId="281" fillId="0" borderId="45" xfId="86" applyNumberFormat="1" applyFont="1" applyFill="1" applyBorder="1" applyProtection="1"/>
    <xf numFmtId="41" fontId="241" fillId="0" borderId="45" xfId="86" applyNumberFormat="1" applyFont="1" applyFill="1" applyBorder="1" applyAlignment="1" applyProtection="1">
      <alignment horizontal="center"/>
    </xf>
    <xf numFmtId="41" fontId="131" fillId="0" borderId="5" xfId="5" applyNumberFormat="1" applyFont="1" applyFill="1" applyBorder="1"/>
    <xf numFmtId="41" fontId="241" fillId="0" borderId="5" xfId="5" applyNumberFormat="1" applyFont="1" applyFill="1" applyBorder="1"/>
    <xf numFmtId="41" fontId="241" fillId="0" borderId="0" xfId="5" applyNumberFormat="1" applyFont="1" applyFill="1" applyBorder="1"/>
    <xf numFmtId="41" fontId="241" fillId="0" borderId="644" xfId="86" applyNumberFormat="1" applyFont="1" applyFill="1" applyBorder="1"/>
    <xf numFmtId="41" fontId="241" fillId="0" borderId="644" xfId="86" applyNumberFormat="1" applyFont="1" applyFill="1" applyBorder="1" applyAlignment="1">
      <alignment horizontal="center"/>
    </xf>
    <xf numFmtId="41" fontId="131" fillId="0" borderId="643" xfId="5" applyNumberFormat="1" applyFont="1" applyFill="1" applyBorder="1"/>
    <xf numFmtId="41" fontId="341" fillId="0" borderId="644" xfId="86" applyNumberFormat="1" applyFont="1" applyFill="1" applyBorder="1" applyAlignment="1">
      <alignment horizontal="center"/>
    </xf>
    <xf numFmtId="41" fontId="241" fillId="0" borderId="643" xfId="5" applyNumberFormat="1" applyFont="1" applyFill="1" applyBorder="1" applyAlignment="1">
      <alignment horizontal="center"/>
    </xf>
    <xf numFmtId="41" fontId="241" fillId="0" borderId="643" xfId="5" applyNumberFormat="1" applyFont="1" applyFill="1" applyBorder="1"/>
    <xf numFmtId="41" fontId="281" fillId="0" borderId="5" xfId="5" applyNumberFormat="1" applyFont="1" applyFill="1" applyBorder="1"/>
    <xf numFmtId="41" fontId="131" fillId="0" borderId="14" xfId="86" applyNumberFormat="1" applyFont="1" applyFill="1" applyBorder="1"/>
    <xf numFmtId="41" fontId="131" fillId="0" borderId="14" xfId="86" applyNumberFormat="1" applyFont="1" applyFill="1" applyBorder="1" applyAlignment="1">
      <alignment horizontal="center"/>
    </xf>
    <xf numFmtId="41" fontId="131" fillId="0" borderId="16" xfId="86" applyNumberFormat="1" applyFont="1" applyFill="1" applyBorder="1"/>
    <xf numFmtId="41" fontId="281" fillId="0" borderId="16" xfId="86" applyNumberFormat="1" applyFont="1" applyFill="1" applyBorder="1"/>
    <xf numFmtId="41" fontId="340" fillId="0" borderId="14" xfId="86" applyNumberFormat="1" applyFont="1" applyFill="1" applyBorder="1" applyAlignment="1">
      <alignment horizontal="center"/>
    </xf>
    <xf numFmtId="41" fontId="241" fillId="0" borderId="16" xfId="86" applyNumberFormat="1" applyFont="1" applyFill="1" applyBorder="1"/>
    <xf numFmtId="41" fontId="241" fillId="0" borderId="16" xfId="86" applyNumberFormat="1" applyFont="1" applyFill="1" applyBorder="1" applyAlignment="1">
      <alignment horizontal="center"/>
    </xf>
    <xf numFmtId="41" fontId="241" fillId="0" borderId="6" xfId="86" applyNumberFormat="1" applyFont="1" applyFill="1" applyBorder="1" applyAlignment="1">
      <alignment horizontal="center"/>
    </xf>
    <xf numFmtId="41" fontId="241" fillId="0" borderId="124" xfId="86" applyNumberFormat="1" applyFont="1" applyFill="1" applyBorder="1" applyAlignment="1" applyProtection="1">
      <alignment horizontal="center"/>
    </xf>
    <xf numFmtId="41" fontId="241" fillId="0" borderId="124" xfId="86" applyNumberFormat="1" applyFont="1" applyFill="1" applyBorder="1" applyProtection="1"/>
    <xf numFmtId="41" fontId="241" fillId="0" borderId="156" xfId="86" applyNumberFormat="1" applyFont="1" applyFill="1" applyBorder="1" applyProtection="1"/>
    <xf numFmtId="41" fontId="281" fillId="0" borderId="124" xfId="86" applyNumberFormat="1" applyFont="1" applyFill="1" applyBorder="1" applyProtection="1"/>
    <xf numFmtId="41" fontId="281" fillId="0" borderId="124" xfId="1" applyNumberFormat="1" applyFont="1" applyFill="1" applyBorder="1" applyAlignment="1" applyProtection="1">
      <alignment horizontal="center"/>
    </xf>
    <xf numFmtId="41" fontId="332" fillId="0" borderId="0" xfId="86" applyNumberFormat="1" applyFont="1" applyFill="1"/>
    <xf numFmtId="41" fontId="74" fillId="0" borderId="0" xfId="86" applyNumberFormat="1" applyFont="1" applyFill="1" applyAlignment="1">
      <alignment horizontal="center"/>
    </xf>
    <xf numFmtId="41" fontId="336" fillId="0" borderId="0" xfId="86" applyNumberFormat="1" applyFont="1" applyFill="1"/>
    <xf numFmtId="41" fontId="342" fillId="0" borderId="0" xfId="86" applyNumberFormat="1" applyFont="1" applyFill="1" applyAlignment="1">
      <alignment horizontal="center"/>
    </xf>
    <xf numFmtId="41" fontId="333" fillId="0" borderId="0" xfId="86" applyNumberFormat="1" applyFont="1" applyFill="1"/>
    <xf numFmtId="41" fontId="333" fillId="0" borderId="0" xfId="86" applyNumberFormat="1" applyFont="1" applyFill="1" applyAlignment="1">
      <alignment horizontal="center"/>
    </xf>
    <xf numFmtId="41" fontId="337" fillId="0" borderId="0" xfId="86" applyNumberFormat="1" applyFont="1" applyFill="1"/>
    <xf numFmtId="41" fontId="343" fillId="0" borderId="0" xfId="86" applyNumberFormat="1" applyFont="1" applyFill="1"/>
    <xf numFmtId="43" fontId="131" fillId="0" borderId="182" xfId="1" applyFont="1" applyFill="1" applyBorder="1" applyAlignment="1">
      <alignment horizontal="center"/>
    </xf>
    <xf numFmtId="43" fontId="131" fillId="0" borderId="182" xfId="1" applyFont="1" applyFill="1" applyBorder="1" applyProtection="1"/>
    <xf numFmtId="43" fontId="131" fillId="0" borderId="182" xfId="1" applyFont="1" applyFill="1" applyBorder="1"/>
    <xf numFmtId="43" fontId="241" fillId="0" borderId="124" xfId="1" applyFont="1" applyFill="1" applyBorder="1" applyProtection="1"/>
    <xf numFmtId="43" fontId="131" fillId="0" borderId="295" xfId="1" applyFont="1" applyFill="1" applyBorder="1" applyAlignment="1">
      <alignment horizontal="center"/>
    </xf>
    <xf numFmtId="43" fontId="329" fillId="0" borderId="0" xfId="1" applyFont="1" applyFill="1"/>
    <xf numFmtId="43" fontId="241" fillId="0" borderId="295" xfId="1" applyFont="1" applyFill="1" applyBorder="1" applyAlignment="1">
      <alignment horizontal="center"/>
    </xf>
    <xf numFmtId="43" fontId="241" fillId="0" borderId="5" xfId="1" applyFont="1" applyFill="1" applyBorder="1"/>
    <xf numFmtId="43" fontId="241" fillId="0" borderId="16" xfId="1" applyFont="1" applyFill="1" applyBorder="1"/>
    <xf numFmtId="43" fontId="333" fillId="0" borderId="0" xfId="1" applyFont="1" applyFill="1"/>
    <xf numFmtId="0" fontId="221" fillId="0" borderId="0" xfId="21" applyNumberFormat="1" applyFont="1" applyFill="1"/>
    <xf numFmtId="41" fontId="119" fillId="0" borderId="0" xfId="86" applyNumberFormat="1" applyFont="1" applyFill="1" applyAlignment="1">
      <alignment horizontal="center"/>
    </xf>
    <xf numFmtId="43" fontId="320" fillId="0" borderId="0" xfId="1" applyFont="1" applyFill="1" applyAlignment="1">
      <alignment horizontal="center" vertical="top"/>
    </xf>
    <xf numFmtId="43" fontId="415" fillId="0" borderId="0" xfId="1" applyFont="1" applyFill="1"/>
    <xf numFmtId="43" fontId="221" fillId="0" borderId="685" xfId="21" applyNumberFormat="1" applyFont="1" applyFill="1" applyBorder="1"/>
    <xf numFmtId="43" fontId="221" fillId="0" borderId="696" xfId="21" applyNumberFormat="1" applyFont="1" applyFill="1" applyBorder="1"/>
    <xf numFmtId="0" fontId="221" fillId="3" borderId="0" xfId="21" applyFont="1" applyFill="1" applyAlignment="1">
      <alignment vertical="center"/>
    </xf>
    <xf numFmtId="0" fontId="285" fillId="3" borderId="0" xfId="21" applyFont="1" applyFill="1"/>
    <xf numFmtId="43" fontId="223" fillId="0" borderId="0" xfId="1" applyFont="1" applyFill="1" applyAlignment="1">
      <alignment horizontal="center" vertical="center"/>
    </xf>
    <xf numFmtId="0" fontId="221" fillId="3" borderId="0" xfId="21" applyFont="1" applyFill="1"/>
    <xf numFmtId="0" fontId="278" fillId="0" borderId="0" xfId="46" applyFont="1" applyFill="1" applyAlignment="1" applyProtection="1">
      <alignment horizontal="center" vertical="center"/>
      <protection locked="0"/>
    </xf>
    <xf numFmtId="0" fontId="320" fillId="0" borderId="0" xfId="45" applyFont="1" applyFill="1" applyAlignment="1" applyProtection="1">
      <alignment horizontal="center" vertical="center"/>
      <protection locked="0"/>
    </xf>
    <xf numFmtId="4" fontId="278" fillId="0" borderId="684" xfId="30" applyNumberFormat="1" applyFont="1" applyFill="1" applyBorder="1" applyAlignment="1" applyProtection="1">
      <alignment horizontal="center" vertical="center"/>
      <protection locked="0"/>
    </xf>
    <xf numFmtId="4" fontId="278" fillId="0" borderId="397" xfId="30" applyNumberFormat="1" applyFont="1" applyFill="1" applyBorder="1" applyAlignment="1" applyProtection="1">
      <alignment horizontal="center" vertical="center"/>
      <protection locked="0"/>
    </xf>
    <xf numFmtId="4" fontId="278" fillId="0" borderId="687" xfId="30" applyNumberFormat="1" applyFont="1" applyFill="1" applyBorder="1" applyAlignment="1" applyProtection="1">
      <alignment horizontal="center" vertical="center"/>
      <protection locked="0"/>
    </xf>
    <xf numFmtId="0" fontId="319" fillId="0" borderId="0" xfId="2" applyFont="1" applyFill="1" applyAlignment="1" applyProtection="1">
      <alignment horizontal="center" vertical="top"/>
      <protection locked="0"/>
    </xf>
    <xf numFmtId="0" fontId="320" fillId="0" borderId="0" xfId="47" applyFont="1" applyFill="1" applyAlignment="1" applyProtection="1">
      <alignment horizontal="center"/>
      <protection locked="0"/>
    </xf>
    <xf numFmtId="43" fontId="320" fillId="0" borderId="0" xfId="47" applyNumberFormat="1" applyFont="1" applyFill="1" applyAlignment="1" applyProtection="1">
      <alignment horizontal="center"/>
      <protection locked="0"/>
    </xf>
    <xf numFmtId="43" fontId="278" fillId="0" borderId="0" xfId="2" applyNumberFormat="1" applyFont="1" applyFill="1" applyAlignment="1" applyProtection="1">
      <alignment horizontal="center" vertical="center"/>
      <protection locked="0"/>
    </xf>
    <xf numFmtId="43" fontId="320" fillId="0" borderId="0" xfId="2" applyNumberFormat="1" applyFont="1" applyFill="1" applyAlignment="1">
      <alignment horizontal="center" vertical="top"/>
    </xf>
    <xf numFmtId="43" fontId="278" fillId="0" borderId="0" xfId="47" applyNumberFormat="1" applyFont="1" applyFill="1" applyAlignment="1" applyProtection="1">
      <alignment horizontal="center" vertical="top"/>
      <protection locked="0"/>
    </xf>
    <xf numFmtId="0" fontId="26" fillId="0" borderId="0" xfId="54" applyFont="1" applyFill="1"/>
    <xf numFmtId="0" fontId="282" fillId="0" borderId="295" xfId="21" applyFont="1" applyFill="1" applyBorder="1" applyAlignment="1">
      <alignment horizontal="center"/>
    </xf>
    <xf numFmtId="0" fontId="282" fillId="0" borderId="387" xfId="21" applyFont="1" applyFill="1" applyBorder="1"/>
    <xf numFmtId="43" fontId="282" fillId="0" borderId="295" xfId="62" applyFont="1" applyFill="1" applyBorder="1"/>
    <xf numFmtId="43" fontId="282" fillId="0" borderId="285" xfId="62" applyFont="1" applyFill="1" applyBorder="1"/>
    <xf numFmtId="0" fontId="127" fillId="0" borderId="0" xfId="91" applyFont="1" applyAlignment="1">
      <alignment horizontal="center"/>
    </xf>
    <xf numFmtId="43" fontId="16" fillId="0" borderId="0" xfId="0" applyNumberFormat="1" applyFont="1" applyAlignment="1">
      <alignment horizontal="center" vertical="center"/>
    </xf>
    <xf numFmtId="0" fontId="220" fillId="0" borderId="0" xfId="24" applyFont="1" applyAlignment="1">
      <alignment horizontal="center" vertical="center"/>
    </xf>
    <xf numFmtId="0" fontId="211" fillId="0" borderId="0" xfId="0" applyFont="1" applyAlignment="1">
      <alignment horizontal="center" vertical="center"/>
    </xf>
    <xf numFmtId="0" fontId="16" fillId="0" borderId="0" xfId="0" applyFont="1" applyAlignment="1">
      <alignment horizontal="center" vertical="center"/>
    </xf>
    <xf numFmtId="43" fontId="211" fillId="0" borderId="0" xfId="0" applyNumberFormat="1" applyFont="1" applyAlignment="1">
      <alignment horizontal="center" vertical="center"/>
    </xf>
    <xf numFmtId="0" fontId="221" fillId="0" borderId="0" xfId="58" applyFont="1" applyAlignment="1">
      <alignment horizontal="center" vertical="center"/>
    </xf>
    <xf numFmtId="0" fontId="278" fillId="0" borderId="0" xfId="58" applyFont="1"/>
    <xf numFmtId="0" fontId="320" fillId="0" borderId="0" xfId="58" applyFont="1" applyAlignment="1">
      <alignment horizontal="center"/>
    </xf>
    <xf numFmtId="0" fontId="278" fillId="0" borderId="0" xfId="24" applyFont="1" applyAlignment="1">
      <alignment horizontal="center"/>
    </xf>
    <xf numFmtId="0" fontId="211" fillId="0" borderId="0" xfId="58" applyFont="1"/>
    <xf numFmtId="0" fontId="211" fillId="0" borderId="0" xfId="58" applyFont="1" applyAlignment="1">
      <alignment horizontal="center"/>
    </xf>
    <xf numFmtId="0" fontId="8" fillId="0" borderId="0" xfId="58" applyFont="1" applyAlignment="1">
      <alignment horizontal="center"/>
    </xf>
    <xf numFmtId="0" fontId="220" fillId="0" borderId="0" xfId="58" applyFont="1"/>
    <xf numFmtId="0" fontId="27" fillId="23" borderId="477" xfId="30" applyFont="1" applyFill="1" applyBorder="1" applyAlignment="1" applyProtection="1">
      <alignment horizontal="center"/>
      <protection locked="0"/>
    </xf>
    <xf numFmtId="0" fontId="27" fillId="23" borderId="559" xfId="30" applyFont="1" applyFill="1" applyBorder="1" applyAlignment="1" applyProtection="1">
      <alignment horizontal="center"/>
      <protection locked="0"/>
    </xf>
    <xf numFmtId="0" fontId="27" fillId="23" borderId="479" xfId="30" applyFont="1" applyFill="1" applyBorder="1" applyAlignment="1" applyProtection="1">
      <alignment horizontal="center"/>
      <protection locked="0"/>
    </xf>
    <xf numFmtId="0" fontId="27" fillId="24" borderId="477" xfId="30" applyFont="1" applyFill="1" applyBorder="1" applyAlignment="1" applyProtection="1">
      <alignment horizontal="center"/>
      <protection locked="0"/>
    </xf>
    <xf numFmtId="0" fontId="27" fillId="24" borderId="559" xfId="30" applyFont="1" applyFill="1" applyBorder="1" applyAlignment="1" applyProtection="1">
      <alignment horizontal="center"/>
      <protection locked="0"/>
    </xf>
    <xf numFmtId="0" fontId="27" fillId="24" borderId="479" xfId="30" applyFont="1" applyFill="1" applyBorder="1" applyAlignment="1" applyProtection="1">
      <alignment horizontal="center"/>
      <protection locked="0"/>
    </xf>
    <xf numFmtId="0" fontId="27" fillId="25" borderId="477" xfId="30" applyFont="1" applyFill="1" applyBorder="1" applyAlignment="1" applyProtection="1">
      <alignment horizontal="center"/>
      <protection locked="0"/>
    </xf>
    <xf numFmtId="0" fontId="27" fillId="25" borderId="559" xfId="30" applyFont="1" applyFill="1" applyBorder="1" applyAlignment="1" applyProtection="1">
      <alignment horizontal="center"/>
      <protection locked="0"/>
    </xf>
    <xf numFmtId="0" fontId="27" fillId="25" borderId="479" xfId="30" applyFont="1" applyFill="1" applyBorder="1" applyAlignment="1" applyProtection="1">
      <alignment horizontal="center"/>
      <protection locked="0"/>
    </xf>
    <xf numFmtId="0" fontId="27" fillId="26" borderId="477" xfId="30" applyFont="1" applyFill="1" applyBorder="1" applyAlignment="1" applyProtection="1">
      <alignment horizontal="center"/>
      <protection locked="0"/>
    </xf>
    <xf numFmtId="0" fontId="27" fillId="26" borderId="559" xfId="30" applyFont="1" applyFill="1" applyBorder="1" applyAlignment="1" applyProtection="1">
      <alignment horizontal="center"/>
      <protection locked="0"/>
    </xf>
    <xf numFmtId="0" fontId="27" fillId="26" borderId="479" xfId="30" applyFont="1" applyFill="1" applyBorder="1" applyAlignment="1" applyProtection="1">
      <alignment horizontal="center"/>
      <protection locked="0"/>
    </xf>
    <xf numFmtId="0" fontId="27" fillId="27" borderId="477" xfId="30" applyFont="1" applyFill="1" applyBorder="1" applyAlignment="1" applyProtection="1">
      <alignment horizontal="center"/>
      <protection locked="0"/>
    </xf>
    <xf numFmtId="0" fontId="27" fillId="27" borderId="559" xfId="30" applyFont="1" applyFill="1" applyBorder="1" applyAlignment="1" applyProtection="1">
      <alignment horizontal="center"/>
      <protection locked="0"/>
    </xf>
    <xf numFmtId="0" fontId="27" fillId="27" borderId="479" xfId="30" applyFont="1" applyFill="1" applyBorder="1" applyAlignment="1" applyProtection="1">
      <alignment horizontal="center"/>
      <protection locked="0"/>
    </xf>
    <xf numFmtId="0" fontId="27" fillId="28" borderId="477" xfId="30" applyFont="1" applyFill="1" applyBorder="1" applyAlignment="1" applyProtection="1">
      <alignment horizontal="center"/>
      <protection locked="0"/>
    </xf>
    <xf numFmtId="0" fontId="27" fillId="28" borderId="559" xfId="30" applyFont="1" applyFill="1" applyBorder="1" applyAlignment="1" applyProtection="1">
      <alignment horizontal="center"/>
      <protection locked="0"/>
    </xf>
    <xf numFmtId="0" fontId="27" fillId="28" borderId="479" xfId="30" applyFont="1" applyFill="1" applyBorder="1" applyAlignment="1" applyProtection="1">
      <alignment horizontal="center"/>
      <protection locked="0"/>
    </xf>
    <xf numFmtId="0" fontId="27" fillId="15" borderId="477" xfId="30" applyFont="1" applyFill="1" applyBorder="1" applyAlignment="1" applyProtection="1">
      <alignment horizontal="center"/>
      <protection locked="0"/>
    </xf>
    <xf numFmtId="0" fontId="27" fillId="15" borderId="559" xfId="30" applyFont="1" applyFill="1" applyBorder="1" applyAlignment="1" applyProtection="1">
      <alignment horizontal="center"/>
      <protection locked="0"/>
    </xf>
    <xf numFmtId="0" fontId="27" fillId="15" borderId="479" xfId="30" applyFont="1" applyFill="1" applyBorder="1" applyAlignment="1" applyProtection="1">
      <alignment horizontal="center"/>
      <protection locked="0"/>
    </xf>
    <xf numFmtId="0" fontId="27" fillId="16" borderId="477" xfId="30" applyFont="1" applyFill="1" applyBorder="1" applyAlignment="1" applyProtection="1">
      <alignment horizontal="center"/>
      <protection locked="0"/>
    </xf>
    <xf numFmtId="0" fontId="27" fillId="16" borderId="559" xfId="30" applyFont="1" applyFill="1" applyBorder="1" applyAlignment="1" applyProtection="1">
      <alignment horizontal="center"/>
      <protection locked="0"/>
    </xf>
    <xf numFmtId="0" fontId="27" fillId="16" borderId="479" xfId="30" applyFont="1" applyFill="1" applyBorder="1" applyAlignment="1" applyProtection="1">
      <alignment horizontal="center"/>
      <protection locked="0"/>
    </xf>
    <xf numFmtId="0" fontId="27" fillId="11" borderId="477" xfId="30" applyFont="1" applyFill="1" applyBorder="1" applyAlignment="1" applyProtection="1">
      <alignment horizontal="center"/>
      <protection locked="0"/>
    </xf>
    <xf numFmtId="0" fontId="27" fillId="11" borderId="559" xfId="30" applyFont="1" applyFill="1" applyBorder="1" applyAlignment="1" applyProtection="1">
      <alignment horizontal="center"/>
      <protection locked="0"/>
    </xf>
    <xf numFmtId="0" fontId="27" fillId="11" borderId="479" xfId="30" applyFont="1" applyFill="1" applyBorder="1" applyAlignment="1" applyProtection="1">
      <alignment horizontal="center"/>
      <protection locked="0"/>
    </xf>
    <xf numFmtId="0" fontId="27" fillId="17" borderId="477" xfId="30" applyFont="1" applyFill="1" applyBorder="1" applyAlignment="1" applyProtection="1">
      <alignment horizontal="center"/>
      <protection locked="0"/>
    </xf>
    <xf numFmtId="0" fontId="27" fillId="17" borderId="559" xfId="30" applyFont="1" applyFill="1" applyBorder="1" applyAlignment="1" applyProtection="1">
      <alignment horizontal="center"/>
      <protection locked="0"/>
    </xf>
    <xf numFmtId="0" fontId="27" fillId="17" borderId="479" xfId="30" applyFont="1" applyFill="1" applyBorder="1" applyAlignment="1" applyProtection="1">
      <alignment horizontal="center"/>
      <protection locked="0"/>
    </xf>
    <xf numFmtId="0" fontId="27" fillId="19" borderId="477" xfId="30" applyFont="1" applyFill="1" applyBorder="1" applyAlignment="1" applyProtection="1">
      <alignment horizontal="center"/>
      <protection locked="0"/>
    </xf>
    <xf numFmtId="0" fontId="27" fillId="19" borderId="559" xfId="30" applyFont="1" applyFill="1" applyBorder="1" applyAlignment="1" applyProtection="1">
      <alignment horizontal="center"/>
      <protection locked="0"/>
    </xf>
    <xf numFmtId="0" fontId="27" fillId="19" borderId="479" xfId="30" applyFont="1" applyFill="1" applyBorder="1" applyAlignment="1" applyProtection="1">
      <alignment horizontal="center"/>
      <protection locked="0"/>
    </xf>
    <xf numFmtId="0" fontId="27" fillId="21" borderId="477" xfId="30" applyFont="1" applyFill="1" applyBorder="1" applyAlignment="1" applyProtection="1">
      <alignment horizontal="center"/>
      <protection locked="0"/>
    </xf>
    <xf numFmtId="0" fontId="27" fillId="21" borderId="559" xfId="30" applyFont="1" applyFill="1" applyBorder="1" applyAlignment="1" applyProtection="1">
      <alignment horizontal="center"/>
      <protection locked="0"/>
    </xf>
    <xf numFmtId="0" fontId="27" fillId="21" borderId="479" xfId="30" applyFont="1" applyFill="1" applyBorder="1" applyAlignment="1" applyProtection="1">
      <alignment horizontal="center"/>
      <protection locked="0"/>
    </xf>
    <xf numFmtId="0" fontId="27" fillId="22" borderId="477" xfId="30" applyFont="1" applyFill="1" applyBorder="1" applyAlignment="1" applyProtection="1">
      <alignment horizontal="center"/>
      <protection locked="0"/>
    </xf>
    <xf numFmtId="0" fontId="27" fillId="22" borderId="559" xfId="30" applyFont="1" applyFill="1" applyBorder="1" applyAlignment="1" applyProtection="1">
      <alignment horizontal="center"/>
      <protection locked="0"/>
    </xf>
    <xf numFmtId="0" fontId="27" fillId="22" borderId="479" xfId="30" applyFont="1" applyFill="1" applyBorder="1" applyAlignment="1" applyProtection="1">
      <alignment horizontal="center"/>
      <protection locked="0"/>
    </xf>
    <xf numFmtId="0" fontId="27" fillId="14" borderId="477" xfId="30" applyFont="1" applyFill="1" applyBorder="1" applyAlignment="1" applyProtection="1">
      <alignment horizontal="center"/>
      <protection locked="0"/>
    </xf>
    <xf numFmtId="0" fontId="27" fillId="14" borderId="559" xfId="30" applyFont="1" applyFill="1" applyBorder="1" applyAlignment="1" applyProtection="1">
      <alignment horizontal="center"/>
      <protection locked="0"/>
    </xf>
    <xf numFmtId="0" fontId="27" fillId="14" borderId="479" xfId="30" applyFont="1" applyFill="1" applyBorder="1" applyAlignment="1" applyProtection="1">
      <alignment horizontal="center"/>
      <protection locked="0"/>
    </xf>
    <xf numFmtId="0" fontId="27" fillId="20" borderId="477" xfId="30" applyFont="1" applyFill="1" applyBorder="1" applyAlignment="1" applyProtection="1">
      <alignment horizontal="center"/>
      <protection locked="0"/>
    </xf>
    <xf numFmtId="0" fontId="27" fillId="20" borderId="559" xfId="30" applyFont="1" applyFill="1" applyBorder="1" applyAlignment="1" applyProtection="1">
      <alignment horizontal="center"/>
      <protection locked="0"/>
    </xf>
    <xf numFmtId="0" fontId="27" fillId="20" borderId="479" xfId="30" applyFont="1" applyFill="1" applyBorder="1" applyAlignment="1" applyProtection="1">
      <alignment horizontal="center"/>
      <protection locked="0"/>
    </xf>
    <xf numFmtId="0" fontId="18" fillId="0" borderId="0" xfId="58" applyAlignment="1">
      <alignment horizontal="center"/>
    </xf>
    <xf numFmtId="0" fontId="27" fillId="0" borderId="0" xfId="58" applyFont="1" applyAlignment="1">
      <alignment horizontal="center"/>
    </xf>
    <xf numFmtId="0" fontId="292" fillId="0" borderId="193" xfId="65" applyFont="1" applyFill="1" applyBorder="1" applyAlignment="1">
      <alignment horizontal="center" vertical="center"/>
    </xf>
    <xf numFmtId="0" fontId="292" fillId="0" borderId="199" xfId="65" applyFont="1" applyFill="1" applyBorder="1" applyAlignment="1">
      <alignment horizontal="center" vertical="center"/>
    </xf>
    <xf numFmtId="0" fontId="220" fillId="0" borderId="193" xfId="65" applyFont="1" applyFill="1" applyBorder="1" applyAlignment="1">
      <alignment horizontal="center" vertical="center"/>
    </xf>
    <xf numFmtId="0" fontId="220" fillId="0" borderId="199" xfId="65" applyFont="1" applyFill="1" applyBorder="1" applyAlignment="1">
      <alignment horizontal="center" vertical="center"/>
    </xf>
    <xf numFmtId="0" fontId="220" fillId="0" borderId="0" xfId="58" applyFont="1" applyFill="1" applyBorder="1" applyAlignment="1">
      <alignment horizontal="center" vertical="center"/>
    </xf>
    <xf numFmtId="0" fontId="221" fillId="0" borderId="0" xfId="58" applyFont="1" applyFill="1" applyBorder="1" applyAlignment="1">
      <alignment horizontal="center" vertical="center"/>
    </xf>
    <xf numFmtId="0" fontId="19" fillId="0" borderId="0" xfId="65" applyAlignment="1">
      <alignment horizontal="center"/>
    </xf>
    <xf numFmtId="3" fontId="220" fillId="0" borderId="0" xfId="23" applyFont="1" applyFill="1" applyAlignment="1">
      <alignment horizontal="center"/>
    </xf>
    <xf numFmtId="3" fontId="220" fillId="0" borderId="0" xfId="32" applyFont="1" applyFill="1" applyAlignment="1" applyProtection="1">
      <alignment horizontal="center"/>
      <protection hidden="1"/>
    </xf>
    <xf numFmtId="3" fontId="220" fillId="0" borderId="0" xfId="32" applyFont="1" applyFill="1" applyBorder="1" applyAlignment="1" applyProtection="1">
      <alignment horizontal="center"/>
      <protection hidden="1"/>
    </xf>
    <xf numFmtId="3" fontId="220" fillId="0" borderId="2" xfId="32" applyFont="1" applyFill="1" applyBorder="1" applyAlignment="1" applyProtection="1">
      <alignment horizontal="center"/>
      <protection hidden="1"/>
    </xf>
    <xf numFmtId="3" fontId="220" fillId="0" borderId="4" xfId="32" applyFont="1" applyFill="1" applyBorder="1" applyAlignment="1" applyProtection="1">
      <alignment horizontal="center"/>
      <protection hidden="1"/>
    </xf>
    <xf numFmtId="3" fontId="220" fillId="0" borderId="5" xfId="32" applyFont="1" applyFill="1" applyBorder="1" applyAlignment="1" applyProtection="1">
      <alignment horizontal="center"/>
      <protection locked="0"/>
    </xf>
    <xf numFmtId="3" fontId="220" fillId="0" borderId="643" xfId="32" applyFont="1" applyFill="1" applyBorder="1" applyAlignment="1" applyProtection="1">
      <alignment horizontal="center"/>
      <protection locked="0"/>
    </xf>
    <xf numFmtId="3" fontId="220" fillId="0" borderId="644" xfId="32" applyFont="1" applyFill="1" applyBorder="1" applyAlignment="1" applyProtection="1">
      <alignment horizontal="center"/>
      <protection locked="0"/>
    </xf>
    <xf numFmtId="3" fontId="220" fillId="0" borderId="295" xfId="32" applyFont="1" applyFill="1" applyBorder="1" applyAlignment="1" applyProtection="1">
      <alignment horizontal="center"/>
      <protection locked="0"/>
    </xf>
    <xf numFmtId="3" fontId="220" fillId="0" borderId="10" xfId="32" applyFont="1" applyFill="1" applyBorder="1" applyAlignment="1" applyProtection="1">
      <alignment horizontal="center"/>
      <protection locked="0"/>
    </xf>
    <xf numFmtId="49" fontId="220" fillId="0" borderId="553" xfId="32" applyNumberFormat="1" applyFont="1" applyFill="1" applyBorder="1" applyAlignment="1" applyProtection="1">
      <alignment horizontal="center"/>
      <protection locked="0" hidden="1"/>
    </xf>
    <xf numFmtId="49" fontId="220" fillId="0" borderId="546" xfId="32" applyNumberFormat="1" applyFont="1" applyFill="1" applyBorder="1" applyAlignment="1" applyProtection="1">
      <alignment horizontal="center"/>
      <protection locked="0" hidden="1"/>
    </xf>
    <xf numFmtId="39" fontId="220" fillId="0" borderId="24" xfId="32" applyNumberFormat="1" applyFont="1" applyFill="1" applyBorder="1" applyAlignment="1" applyProtection="1">
      <alignment horizontal="center"/>
      <protection locked="0"/>
    </xf>
    <xf numFmtId="39" fontId="311" fillId="0" borderId="401" xfId="32" applyNumberFormat="1" applyFont="1" applyFill="1" applyBorder="1" applyAlignment="1" applyProtection="1">
      <alignment horizontal="center"/>
      <protection locked="0"/>
    </xf>
    <xf numFmtId="39" fontId="311" fillId="0" borderId="409" xfId="32" applyNumberFormat="1" applyFont="1" applyFill="1" applyBorder="1" applyAlignment="1" applyProtection="1">
      <alignment horizontal="center"/>
      <protection locked="0"/>
    </xf>
    <xf numFmtId="39" fontId="311" fillId="0" borderId="393" xfId="32" applyNumberFormat="1" applyFont="1" applyFill="1" applyBorder="1" applyAlignment="1" applyProtection="1">
      <alignment horizontal="center"/>
      <protection locked="0"/>
    </xf>
    <xf numFmtId="3" fontId="220" fillId="0" borderId="553" xfId="32" applyFont="1" applyFill="1" applyBorder="1" applyAlignment="1" applyProtection="1">
      <alignment horizontal="center"/>
      <protection locked="0"/>
    </xf>
    <xf numFmtId="3" fontId="221" fillId="0" borderId="0" xfId="32" applyFont="1" applyFill="1" applyAlignment="1">
      <alignment horizontal="left" vertical="top" wrapText="1"/>
    </xf>
    <xf numFmtId="39" fontId="220" fillId="0" borderId="407" xfId="32" applyNumberFormat="1" applyFont="1" applyFill="1" applyBorder="1" applyAlignment="1" applyProtection="1">
      <alignment horizontal="center"/>
      <protection locked="0"/>
    </xf>
    <xf numFmtId="3" fontId="221" fillId="0" borderId="0" xfId="23" applyFont="1" applyFill="1" applyAlignment="1">
      <alignment horizontal="center"/>
    </xf>
    <xf numFmtId="3" fontId="220" fillId="0" borderId="18" xfId="32" applyFont="1" applyFill="1" applyBorder="1" applyAlignment="1" applyProtection="1">
      <alignment horizontal="center"/>
      <protection locked="0"/>
    </xf>
    <xf numFmtId="3" fontId="220" fillId="0" borderId="636" xfId="32" applyFont="1" applyFill="1" applyBorder="1" applyAlignment="1" applyProtection="1">
      <alignment horizontal="center"/>
      <protection locked="0"/>
    </xf>
    <xf numFmtId="3" fontId="220" fillId="0" borderId="572" xfId="32" applyFont="1" applyFill="1" applyBorder="1" applyAlignment="1" applyProtection="1">
      <alignment horizontal="center"/>
      <protection locked="0"/>
    </xf>
    <xf numFmtId="3" fontId="220" fillId="0" borderId="403" xfId="32" applyFont="1" applyFill="1" applyBorder="1" applyAlignment="1" applyProtection="1">
      <alignment horizontal="center"/>
      <protection locked="0"/>
    </xf>
    <xf numFmtId="3" fontId="220" fillId="0" borderId="406" xfId="32" applyFont="1" applyFill="1" applyBorder="1" applyAlignment="1" applyProtection="1">
      <alignment horizontal="center"/>
      <protection locked="0"/>
    </xf>
    <xf numFmtId="3" fontId="221" fillId="0" borderId="0" xfId="32" applyFont="1" applyFill="1" applyAlignment="1">
      <alignment horizontal="center"/>
    </xf>
    <xf numFmtId="3" fontId="223" fillId="0" borderId="54" xfId="23" applyFont="1" applyFill="1" applyBorder="1" applyAlignment="1" applyProtection="1">
      <alignment horizontal="center" vertical="center"/>
      <protection locked="0"/>
    </xf>
    <xf numFmtId="3" fontId="223" fillId="0" borderId="68" xfId="23" applyFont="1" applyFill="1" applyBorder="1" applyAlignment="1" applyProtection="1">
      <alignment horizontal="center" vertical="center"/>
      <protection locked="0"/>
    </xf>
    <xf numFmtId="3" fontId="223" fillId="0" borderId="72" xfId="23" applyFont="1" applyFill="1" applyBorder="1" applyAlignment="1" applyProtection="1">
      <alignment horizontal="center" vertical="center"/>
      <protection locked="0"/>
    </xf>
    <xf numFmtId="3" fontId="223" fillId="0" borderId="73" xfId="23" applyFont="1" applyFill="1" applyBorder="1" applyAlignment="1" applyProtection="1">
      <alignment horizontal="center" vertical="center"/>
      <protection locked="0"/>
    </xf>
    <xf numFmtId="49" fontId="357" fillId="0" borderId="72" xfId="23" applyNumberFormat="1" applyFont="1" applyFill="1" applyBorder="1" applyAlignment="1" applyProtection="1">
      <alignment horizontal="center" vertical="center"/>
      <protection locked="0" hidden="1"/>
    </xf>
    <xf numFmtId="49" fontId="357" fillId="0" borderId="73" xfId="23" applyNumberFormat="1" applyFont="1" applyFill="1" applyBorder="1" applyAlignment="1" applyProtection="1">
      <alignment horizontal="center" vertical="center"/>
      <protection locked="0" hidden="1"/>
    </xf>
    <xf numFmtId="39" fontId="223" fillId="0" borderId="72" xfId="23" applyNumberFormat="1" applyFont="1" applyFill="1" applyBorder="1" applyAlignment="1" applyProtection="1">
      <alignment horizontal="center" vertical="center"/>
      <protection locked="0"/>
    </xf>
    <xf numFmtId="39" fontId="223" fillId="0" borderId="74" xfId="23" applyNumberFormat="1" applyFont="1" applyFill="1" applyBorder="1" applyAlignment="1" applyProtection="1">
      <alignment horizontal="center" vertical="center"/>
      <protection locked="0"/>
    </xf>
    <xf numFmtId="3" fontId="220" fillId="0" borderId="0" xfId="23" applyFont="1" applyFill="1" applyAlignment="1" applyProtection="1">
      <alignment horizontal="center" vertical="center"/>
      <protection hidden="1"/>
    </xf>
    <xf numFmtId="3" fontId="222" fillId="0" borderId="0" xfId="23" applyFont="1" applyFill="1" applyAlignment="1" applyProtection="1">
      <alignment horizontal="center" vertical="center"/>
      <protection hidden="1"/>
    </xf>
    <xf numFmtId="3" fontId="220" fillId="0" borderId="0" xfId="23" applyFont="1" applyFill="1" applyBorder="1" applyAlignment="1" applyProtection="1">
      <alignment horizontal="center" vertical="center"/>
      <protection hidden="1"/>
    </xf>
    <xf numFmtId="3" fontId="223" fillId="0" borderId="64" xfId="23" applyFont="1" applyFill="1" applyBorder="1" applyAlignment="1" applyProtection="1">
      <alignment horizontal="center" vertical="center"/>
      <protection locked="0"/>
    </xf>
    <xf numFmtId="3" fontId="223" fillId="0" borderId="65" xfId="23" applyFont="1" applyFill="1" applyBorder="1" applyAlignment="1" applyProtection="1">
      <alignment horizontal="center" vertical="center"/>
      <protection locked="0"/>
    </xf>
    <xf numFmtId="3" fontId="357" fillId="0" borderId="64" xfId="23" applyFont="1" applyFill="1" applyBorder="1" applyAlignment="1" applyProtection="1">
      <alignment horizontal="center" vertical="center"/>
      <protection locked="0"/>
    </xf>
    <xf numFmtId="3" fontId="357" fillId="0" borderId="20" xfId="23" applyFont="1" applyFill="1" applyBorder="1" applyAlignment="1" applyProtection="1">
      <alignment horizontal="center" vertical="center"/>
      <protection locked="0"/>
    </xf>
    <xf numFmtId="3" fontId="223" fillId="0" borderId="66" xfId="23" applyFont="1" applyFill="1" applyBorder="1" applyAlignment="1" applyProtection="1">
      <alignment horizontal="center" vertical="center"/>
      <protection locked="0"/>
    </xf>
    <xf numFmtId="3" fontId="223" fillId="0" borderId="22" xfId="23" applyFont="1" applyFill="1" applyBorder="1" applyAlignment="1" applyProtection="1">
      <alignment vertical="center"/>
      <protection hidden="1"/>
    </xf>
    <xf numFmtId="3" fontId="223" fillId="0" borderId="53" xfId="23" applyFont="1" applyFill="1" applyBorder="1" applyAlignment="1" applyProtection="1">
      <alignment vertical="center"/>
      <protection hidden="1"/>
    </xf>
    <xf numFmtId="3" fontId="223" fillId="0" borderId="53" xfId="23" applyFont="1" applyFill="1" applyBorder="1" applyAlignment="1" applyProtection="1">
      <alignment horizontal="center" vertical="center"/>
      <protection locked="0"/>
    </xf>
    <xf numFmtId="3" fontId="357" fillId="0" borderId="54" xfId="23" applyFont="1" applyFill="1" applyBorder="1" applyAlignment="1" applyProtection="1">
      <alignment horizontal="center" vertical="center"/>
      <protection locked="0"/>
    </xf>
    <xf numFmtId="3" fontId="357" fillId="0" borderId="0" xfId="23" applyFont="1" applyFill="1" applyBorder="1" applyAlignment="1" applyProtection="1">
      <alignment horizontal="center" vertical="center"/>
      <protection locked="0"/>
    </xf>
    <xf numFmtId="3" fontId="222" fillId="0" borderId="0" xfId="23" applyFont="1" applyFill="1" applyBorder="1" applyAlignment="1" applyProtection="1">
      <alignment horizontal="justify" vertical="center"/>
      <protection locked="0"/>
    </xf>
    <xf numFmtId="39" fontId="220" fillId="0" borderId="0" xfId="23" applyNumberFormat="1" applyFont="1" applyFill="1" applyAlignment="1" applyProtection="1">
      <alignment horizontal="center" vertical="center"/>
      <protection locked="0"/>
    </xf>
    <xf numFmtId="39" fontId="221" fillId="0" borderId="0" xfId="23" applyNumberFormat="1" applyFont="1" applyFill="1" applyAlignment="1" applyProtection="1">
      <alignment horizontal="center" vertical="center"/>
      <protection locked="0"/>
    </xf>
    <xf numFmtId="3" fontId="220" fillId="0" borderId="0" xfId="23" applyFont="1" applyFill="1" applyAlignment="1">
      <alignment horizontal="center" vertical="center"/>
    </xf>
    <xf numFmtId="0" fontId="112" fillId="0" borderId="0" xfId="0" applyFont="1" applyAlignment="1">
      <alignment horizontal="center"/>
    </xf>
    <xf numFmtId="0" fontId="112" fillId="0" borderId="39" xfId="0" applyFont="1" applyBorder="1" applyAlignment="1">
      <alignment horizontal="center" vertical="top" wrapText="1"/>
    </xf>
    <xf numFmtId="0" fontId="112" fillId="0" borderId="41" xfId="0" applyFont="1" applyBorder="1" applyAlignment="1">
      <alignment horizontal="center" vertical="top" wrapText="1"/>
    </xf>
    <xf numFmtId="0" fontId="74" fillId="0" borderId="0" xfId="0" applyFont="1" applyAlignment="1">
      <alignment horizontal="center"/>
    </xf>
    <xf numFmtId="0" fontId="122" fillId="0" borderId="0" xfId="92" applyFont="1" applyAlignment="1">
      <alignment horizontal="left" vertical="top" wrapText="1"/>
    </xf>
    <xf numFmtId="0" fontId="172" fillId="0" borderId="0" xfId="92" applyFont="1" applyAlignment="1">
      <alignment horizontal="left" vertical="top" wrapText="1"/>
    </xf>
    <xf numFmtId="0" fontId="124" fillId="0" borderId="0" xfId="92" applyFont="1" applyAlignment="1">
      <alignment horizontal="center"/>
    </xf>
    <xf numFmtId="0" fontId="122" fillId="0" borderId="0" xfId="92" applyFont="1" applyAlignment="1">
      <alignment horizontal="left" vertical="top"/>
    </xf>
    <xf numFmtId="0" fontId="92" fillId="0" borderId="471" xfId="22" applyFont="1" applyBorder="1" applyAlignment="1">
      <alignment horizontal="center" vertical="top" wrapText="1"/>
    </xf>
    <xf numFmtId="0" fontId="92" fillId="0" borderId="241" xfId="22" applyFont="1" applyBorder="1" applyAlignment="1">
      <alignment horizontal="center" vertical="top" wrapText="1"/>
    </xf>
    <xf numFmtId="0" fontId="92" fillId="0" borderId="472" xfId="22" applyFont="1" applyBorder="1" applyAlignment="1">
      <alignment horizontal="center" vertical="top" wrapText="1"/>
    </xf>
    <xf numFmtId="0" fontId="92" fillId="0" borderId="473" xfId="22" applyFont="1" applyBorder="1" applyAlignment="1">
      <alignment horizontal="center" vertical="top" wrapText="1"/>
    </xf>
    <xf numFmtId="0" fontId="92" fillId="0" borderId="243" xfId="22" applyFont="1" applyBorder="1" applyAlignment="1">
      <alignment horizontal="center" vertical="top" wrapText="1"/>
    </xf>
    <xf numFmtId="0" fontId="92" fillId="0" borderId="437" xfId="22" applyFont="1" applyBorder="1" applyAlignment="1">
      <alignment horizontal="center" vertical="top" wrapText="1"/>
    </xf>
    <xf numFmtId="0" fontId="154" fillId="0" borderId="480" xfId="22" applyFont="1" applyBorder="1" applyAlignment="1">
      <alignment horizontal="center" vertical="top" wrapText="1"/>
    </xf>
    <xf numFmtId="0" fontId="154" fillId="0" borderId="481" xfId="22" applyFont="1" applyBorder="1" applyAlignment="1">
      <alignment horizontal="center" vertical="top" wrapText="1"/>
    </xf>
    <xf numFmtId="0" fontId="155" fillId="0" borderId="471" xfId="22" applyFont="1" applyBorder="1" applyAlignment="1">
      <alignment horizontal="center" vertical="top" wrapText="1"/>
    </xf>
    <xf numFmtId="0" fontId="155" fillId="0" borderId="241" xfId="22" applyFont="1" applyBorder="1" applyAlignment="1">
      <alignment horizontal="center" vertical="top" wrapText="1"/>
    </xf>
    <xf numFmtId="0" fontId="173" fillId="0" borderId="471" xfId="22" applyFont="1" applyBorder="1" applyAlignment="1">
      <alignment vertical="top" wrapText="1"/>
    </xf>
    <xf numFmtId="0" fontId="173" fillId="0" borderId="241" xfId="22" applyFont="1" applyBorder="1" applyAlignment="1">
      <alignment vertical="top" wrapText="1"/>
    </xf>
    <xf numFmtId="0" fontId="173" fillId="0" borderId="471" xfId="22" applyFont="1" applyBorder="1" applyAlignment="1">
      <alignment horizontal="left" vertical="top" wrapText="1"/>
    </xf>
    <xf numFmtId="0" fontId="173" fillId="0" borderId="241" xfId="22" applyFont="1" applyBorder="1" applyAlignment="1">
      <alignment horizontal="left" vertical="top" wrapText="1"/>
    </xf>
    <xf numFmtId="0" fontId="17" fillId="0" borderId="471" xfId="22" applyBorder="1" applyAlignment="1">
      <alignment vertical="top" wrapText="1"/>
    </xf>
    <xf numFmtId="0" fontId="17" fillId="0" borderId="241" xfId="22" applyBorder="1" applyAlignment="1">
      <alignment vertical="top" wrapText="1"/>
    </xf>
    <xf numFmtId="0" fontId="136" fillId="0" borderId="471" xfId="22" applyFont="1" applyBorder="1" applyAlignment="1">
      <alignment vertical="top" wrapText="1"/>
    </xf>
    <xf numFmtId="0" fontId="136" fillId="0" borderId="241" xfId="22" applyFont="1" applyBorder="1" applyAlignment="1">
      <alignment vertical="top" wrapText="1"/>
    </xf>
    <xf numFmtId="0" fontId="136" fillId="0" borderId="471" xfId="22" applyFont="1" applyBorder="1" applyAlignment="1">
      <alignment horizontal="left" vertical="top" wrapText="1"/>
    </xf>
    <xf numFmtId="0" fontId="136" fillId="0" borderId="241" xfId="22" applyFont="1" applyBorder="1" applyAlignment="1">
      <alignment horizontal="left" vertical="top" wrapText="1"/>
    </xf>
    <xf numFmtId="0" fontId="63" fillId="0" borderId="471" xfId="22" applyFont="1" applyBorder="1" applyAlignment="1">
      <alignment vertical="top" wrapText="1"/>
    </xf>
    <xf numFmtId="0" fontId="63" fillId="0" borderId="241" xfId="22" applyFont="1" applyBorder="1" applyAlignment="1">
      <alignment vertical="top" wrapText="1"/>
    </xf>
    <xf numFmtId="0" fontId="17" fillId="0" borderId="471" xfId="22" applyBorder="1" applyAlignment="1">
      <alignment horizontal="left" vertical="top" wrapText="1"/>
    </xf>
    <xf numFmtId="0" fontId="17" fillId="0" borderId="241" xfId="22" applyBorder="1" applyAlignment="1">
      <alignment horizontal="left" vertical="top" wrapText="1"/>
    </xf>
    <xf numFmtId="0" fontId="154" fillId="0" borderId="480" xfId="22" applyFont="1" applyBorder="1" applyAlignment="1">
      <alignment horizontal="center" vertical="center" wrapText="1"/>
    </xf>
    <xf numFmtId="0" fontId="154" fillId="0" borderId="481" xfId="22" applyFont="1" applyBorder="1" applyAlignment="1">
      <alignment horizontal="center" vertical="center" wrapText="1"/>
    </xf>
    <xf numFmtId="0" fontId="17" fillId="0" borderId="357" xfId="22" applyBorder="1" applyAlignment="1">
      <alignment vertical="top" wrapText="1"/>
    </xf>
    <xf numFmtId="0" fontId="17" fillId="0" borderId="471" xfId="22" applyFont="1" applyBorder="1" applyAlignment="1">
      <alignment vertical="top" wrapText="1"/>
    </xf>
    <xf numFmtId="0" fontId="63" fillId="0" borderId="357" xfId="22" applyFont="1" applyBorder="1" applyAlignment="1">
      <alignment vertical="top" wrapText="1"/>
    </xf>
    <xf numFmtId="3" fontId="220" fillId="0" borderId="0" xfId="23" applyFont="1" applyAlignment="1">
      <alignment horizontal="center" vertical="center"/>
    </xf>
    <xf numFmtId="3" fontId="221" fillId="0" borderId="0" xfId="23" applyFont="1" applyAlignment="1">
      <alignment horizontal="center" vertical="center"/>
    </xf>
    <xf numFmtId="3" fontId="220" fillId="0" borderId="0" xfId="66" applyFont="1" applyAlignment="1">
      <alignment horizontal="center" vertical="center"/>
    </xf>
    <xf numFmtId="49" fontId="220" fillId="6" borderId="38" xfId="66" applyNumberFormat="1" applyFont="1" applyFill="1" applyBorder="1" applyAlignment="1">
      <alignment horizontal="center" vertical="center"/>
    </xf>
    <xf numFmtId="49" fontId="220" fillId="6" borderId="42" xfId="66" applyNumberFormat="1" applyFont="1" applyFill="1" applyBorder="1" applyAlignment="1">
      <alignment horizontal="center" vertical="center"/>
    </xf>
    <xf numFmtId="49" fontId="220" fillId="6" borderId="11" xfId="66" applyNumberFormat="1" applyFont="1" applyFill="1" applyBorder="1" applyAlignment="1">
      <alignment horizontal="center" vertical="center"/>
    </xf>
    <xf numFmtId="3" fontId="220" fillId="6" borderId="2" xfId="66" applyFont="1" applyFill="1" applyBorder="1" applyAlignment="1">
      <alignment horizontal="center" vertical="center"/>
    </xf>
    <xf numFmtId="3" fontId="220" fillId="6" borderId="4" xfId="66" applyFont="1" applyFill="1" applyBorder="1" applyAlignment="1">
      <alignment horizontal="center" vertical="center"/>
    </xf>
    <xf numFmtId="3" fontId="304" fillId="6" borderId="50" xfId="66" applyFont="1" applyFill="1" applyBorder="1" applyAlignment="1">
      <alignment horizontal="center" vertical="center"/>
    </xf>
    <xf numFmtId="3" fontId="304" fillId="6" borderId="25" xfId="66" applyFont="1" applyFill="1" applyBorder="1" applyAlignment="1">
      <alignment horizontal="center" vertical="center"/>
    </xf>
    <xf numFmtId="3" fontId="304" fillId="6" borderId="12" xfId="66" applyFont="1" applyFill="1" applyBorder="1" applyAlignment="1">
      <alignment horizontal="center" vertical="center"/>
    </xf>
    <xf numFmtId="3" fontId="304" fillId="6" borderId="9" xfId="66" applyFont="1" applyFill="1" applyBorder="1" applyAlignment="1">
      <alignment horizontal="center" vertical="center"/>
    </xf>
    <xf numFmtId="3" fontId="220" fillId="0" borderId="420" xfId="66" applyFont="1" applyBorder="1" applyAlignment="1">
      <alignment horizontal="left" vertical="center"/>
    </xf>
    <xf numFmtId="3" fontId="220" fillId="0" borderId="414" xfId="66" applyFont="1" applyBorder="1" applyAlignment="1">
      <alignment horizontal="left" vertical="center"/>
    </xf>
    <xf numFmtId="49" fontId="304" fillId="6" borderId="38" xfId="66" applyNumberFormat="1" applyFont="1" applyFill="1" applyBorder="1" applyAlignment="1">
      <alignment horizontal="center" vertical="center"/>
    </xf>
    <xf numFmtId="49" fontId="304" fillId="6" borderId="42" xfId="66" applyNumberFormat="1" applyFont="1" applyFill="1" applyBorder="1" applyAlignment="1">
      <alignment horizontal="center" vertical="center"/>
    </xf>
    <xf numFmtId="49" fontId="304" fillId="6" borderId="11" xfId="66" applyNumberFormat="1" applyFont="1" applyFill="1" applyBorder="1" applyAlignment="1">
      <alignment horizontal="center" vertical="center"/>
    </xf>
    <xf numFmtId="3" fontId="304" fillId="0" borderId="0" xfId="23" applyFont="1" applyAlignment="1">
      <alignment horizontal="center"/>
    </xf>
    <xf numFmtId="3" fontId="282" fillId="0" borderId="0" xfId="32" applyFont="1" applyAlignment="1">
      <alignment horizontal="center"/>
    </xf>
    <xf numFmtId="3" fontId="320" fillId="0" borderId="0" xfId="23" applyFont="1" applyFill="1" applyAlignment="1">
      <alignment horizontal="center"/>
    </xf>
    <xf numFmtId="3" fontId="278" fillId="0" borderId="0" xfId="23" applyFont="1" applyFill="1" applyAlignment="1">
      <alignment horizontal="center"/>
    </xf>
    <xf numFmtId="3" fontId="109" fillId="0" borderId="2" xfId="66" applyFont="1" applyFill="1" applyBorder="1" applyAlignment="1">
      <alignment horizontal="center"/>
    </xf>
    <xf numFmtId="3" fontId="109" fillId="0" borderId="82" xfId="66" applyFont="1" applyFill="1" applyBorder="1" applyAlignment="1">
      <alignment horizontal="center"/>
    </xf>
    <xf numFmtId="3" fontId="115" fillId="0" borderId="50" xfId="66" applyFont="1" applyFill="1" applyBorder="1" applyAlignment="1">
      <alignment horizontal="center"/>
    </xf>
    <xf numFmtId="3" fontId="115" fillId="0" borderId="25" xfId="66" applyFont="1" applyFill="1" applyBorder="1" applyAlignment="1">
      <alignment horizontal="center"/>
    </xf>
    <xf numFmtId="3" fontId="115" fillId="0" borderId="50" xfId="66" applyFont="1" applyFill="1" applyBorder="1" applyAlignment="1">
      <alignment horizontal="center" vertical="center"/>
    </xf>
    <xf numFmtId="3" fontId="115" fillId="0" borderId="25" xfId="66" applyFont="1" applyFill="1" applyBorder="1" applyAlignment="1">
      <alignment horizontal="center" vertical="center"/>
    </xf>
    <xf numFmtId="3" fontId="115" fillId="0" borderId="12" xfId="66" applyFont="1" applyFill="1" applyBorder="1" applyAlignment="1">
      <alignment horizontal="center" vertical="center"/>
    </xf>
    <xf numFmtId="3" fontId="115" fillId="0" borderId="9" xfId="66" applyFont="1" applyFill="1" applyBorder="1" applyAlignment="1">
      <alignment horizontal="center" vertical="center"/>
    </xf>
    <xf numFmtId="3" fontId="115" fillId="0" borderId="12" xfId="66" applyFont="1" applyFill="1" applyBorder="1" applyAlignment="1">
      <alignment horizontal="center"/>
    </xf>
    <xf numFmtId="3" fontId="115" fillId="0" borderId="9" xfId="66" applyFont="1" applyFill="1" applyBorder="1" applyAlignment="1">
      <alignment horizontal="center"/>
    </xf>
    <xf numFmtId="3" fontId="320" fillId="0" borderId="0" xfId="23" applyFont="1" applyFill="1" applyAlignment="1" applyProtection="1">
      <alignment horizontal="center"/>
      <protection locked="0"/>
    </xf>
    <xf numFmtId="0" fontId="278" fillId="0" borderId="0" xfId="46" applyFont="1" applyFill="1" applyAlignment="1" applyProtection="1">
      <alignment horizontal="center"/>
      <protection locked="0"/>
    </xf>
    <xf numFmtId="0" fontId="278" fillId="0" borderId="0" xfId="46" applyFont="1" applyFill="1" applyAlignment="1" applyProtection="1">
      <alignment horizontal="center" vertical="center"/>
      <protection locked="0"/>
    </xf>
    <xf numFmtId="0" fontId="320" fillId="0" borderId="0" xfId="45" applyFont="1" applyFill="1" applyAlignment="1" applyProtection="1">
      <alignment horizontal="center" vertical="center"/>
      <protection locked="0"/>
    </xf>
    <xf numFmtId="3" fontId="278" fillId="0" borderId="0" xfId="23" applyFont="1" applyFill="1" applyAlignment="1" applyProtection="1">
      <alignment horizontal="center"/>
      <protection locked="0"/>
    </xf>
    <xf numFmtId="3" fontId="389" fillId="0" borderId="0" xfId="66" applyFont="1" applyFill="1" applyAlignment="1">
      <alignment horizontal="center"/>
    </xf>
    <xf numFmtId="3" fontId="110" fillId="0" borderId="0" xfId="66" applyFont="1" applyFill="1" applyAlignment="1">
      <alignment horizontal="center"/>
    </xf>
    <xf numFmtId="49" fontId="115" fillId="0" borderId="38" xfId="66" applyNumberFormat="1" applyFont="1" applyFill="1" applyBorder="1" applyAlignment="1">
      <alignment horizontal="center"/>
    </xf>
    <xf numFmtId="49" fontId="115" fillId="0" borderId="42" xfId="66" applyNumberFormat="1" applyFont="1" applyFill="1" applyBorder="1" applyAlignment="1">
      <alignment horizontal="center"/>
    </xf>
    <xf numFmtId="49" fontId="115" fillId="0" borderId="409" xfId="66" applyNumberFormat="1" applyFont="1" applyFill="1" applyBorder="1" applyAlignment="1">
      <alignment horizontal="center"/>
    </xf>
    <xf numFmtId="3" fontId="115" fillId="0" borderId="416" xfId="66" applyFont="1" applyFill="1" applyBorder="1" applyAlignment="1">
      <alignment horizontal="center" wrapText="1"/>
    </xf>
    <xf numFmtId="3" fontId="115" fillId="0" borderId="201" xfId="66" applyFont="1" applyFill="1" applyBorder="1" applyAlignment="1">
      <alignment horizontal="center" wrapText="1"/>
    </xf>
    <xf numFmtId="3" fontId="115" fillId="0" borderId="424" xfId="66" applyFont="1" applyFill="1" applyBorder="1" applyAlignment="1">
      <alignment horizontal="center" vertical="center"/>
    </xf>
    <xf numFmtId="3" fontId="115" fillId="0" borderId="410" xfId="66" applyFont="1" applyFill="1" applyBorder="1" applyAlignment="1">
      <alignment horizontal="center" vertical="center"/>
    </xf>
    <xf numFmtId="0" fontId="320" fillId="0" borderId="0" xfId="45" applyFont="1" applyFill="1" applyAlignment="1">
      <alignment horizontal="center" vertical="center"/>
    </xf>
    <xf numFmtId="3" fontId="109" fillId="0" borderId="2" xfId="66" applyFont="1" applyFill="1" applyBorder="1" applyAlignment="1">
      <alignment horizontal="left" vertical="center"/>
    </xf>
    <xf numFmtId="3" fontId="109" fillId="0" borderId="91" xfId="66" applyFont="1" applyFill="1" applyBorder="1" applyAlignment="1">
      <alignment horizontal="left" vertical="center"/>
    </xf>
    <xf numFmtId="49" fontId="115" fillId="0" borderId="11" xfId="66" applyNumberFormat="1" applyFont="1" applyFill="1" applyBorder="1" applyAlignment="1">
      <alignment horizontal="center"/>
    </xf>
    <xf numFmtId="3" fontId="63" fillId="0" borderId="0" xfId="23" applyFont="1" applyFill="1" applyAlignment="1" applyProtection="1">
      <alignment horizontal="left" wrapText="1"/>
      <protection locked="0"/>
    </xf>
    <xf numFmtId="0" fontId="320" fillId="0" borderId="0" xfId="47" applyFont="1" applyFill="1" applyAlignment="1" applyProtection="1">
      <alignment horizontal="center" vertical="top"/>
      <protection locked="0"/>
    </xf>
    <xf numFmtId="4" fontId="320" fillId="0" borderId="0" xfId="1" applyNumberFormat="1" applyFont="1" applyFill="1" applyAlignment="1" applyProtection="1">
      <alignment horizontal="center" vertical="top"/>
      <protection locked="0"/>
    </xf>
    <xf numFmtId="0" fontId="278" fillId="0" borderId="685" xfId="47" applyNumberFormat="1" applyFont="1" applyFill="1" applyBorder="1" applyAlignment="1" applyProtection="1">
      <alignment horizontal="center" vertical="top" wrapText="1"/>
      <protection locked="0"/>
    </xf>
    <xf numFmtId="0" fontId="278" fillId="0" borderId="397" xfId="47" applyNumberFormat="1" applyFont="1" applyFill="1" applyBorder="1" applyAlignment="1" applyProtection="1">
      <alignment horizontal="center" vertical="top" wrapText="1"/>
      <protection locked="0"/>
    </xf>
    <xf numFmtId="4" fontId="278" fillId="0" borderId="671" xfId="30" applyNumberFormat="1" applyFont="1" applyFill="1" applyBorder="1" applyAlignment="1" applyProtection="1">
      <alignment horizontal="center" vertical="center"/>
      <protection locked="0"/>
    </xf>
    <xf numFmtId="4" fontId="278" fillId="0" borderId="709" xfId="30" applyNumberFormat="1" applyFont="1" applyFill="1" applyBorder="1" applyAlignment="1" applyProtection="1">
      <alignment horizontal="center" vertical="center"/>
      <protection locked="0"/>
    </xf>
    <xf numFmtId="4" fontId="278" fillId="0" borderId="673" xfId="30" applyNumberFormat="1" applyFont="1" applyFill="1" applyBorder="1" applyAlignment="1" applyProtection="1">
      <alignment horizontal="center" vertical="center"/>
      <protection locked="0"/>
    </xf>
    <xf numFmtId="4" fontId="278" fillId="0" borderId="684" xfId="30" applyNumberFormat="1" applyFont="1" applyFill="1" applyBorder="1" applyAlignment="1" applyProtection="1">
      <alignment horizontal="center" vertical="center"/>
      <protection locked="0"/>
    </xf>
    <xf numFmtId="4" fontId="278" fillId="0" borderId="397" xfId="30" applyNumberFormat="1" applyFont="1" applyFill="1" applyBorder="1" applyAlignment="1" applyProtection="1">
      <alignment horizontal="center" vertical="center"/>
      <protection locked="0"/>
    </xf>
    <xf numFmtId="0" fontId="319" fillId="0" borderId="0" xfId="47" applyFont="1" applyFill="1" applyAlignment="1" applyProtection="1">
      <alignment horizontal="center" vertical="top"/>
      <protection locked="0"/>
    </xf>
    <xf numFmtId="0" fontId="278" fillId="0" borderId="0" xfId="47" applyFont="1" applyFill="1" applyAlignment="1" applyProtection="1">
      <alignment horizontal="center"/>
      <protection locked="0"/>
    </xf>
    <xf numFmtId="4" fontId="278" fillId="0" borderId="0" xfId="1" applyNumberFormat="1" applyFont="1" applyFill="1" applyAlignment="1" applyProtection="1">
      <alignment horizontal="center"/>
      <protection locked="0"/>
    </xf>
    <xf numFmtId="0" fontId="409" fillId="0" borderId="0" xfId="1" applyNumberFormat="1" applyFont="1" applyFill="1" applyAlignment="1" applyProtection="1">
      <alignment horizontal="center" vertical="top"/>
      <protection locked="0"/>
    </xf>
    <xf numFmtId="0" fontId="278" fillId="0" borderId="0" xfId="1" applyNumberFormat="1" applyFont="1" applyFill="1" applyBorder="1" applyAlignment="1" applyProtection="1">
      <alignment horizontal="center" vertical="top"/>
      <protection locked="0"/>
    </xf>
    <xf numFmtId="0" fontId="278" fillId="0" borderId="433" xfId="1" applyNumberFormat="1" applyFont="1" applyFill="1" applyBorder="1" applyAlignment="1" applyProtection="1">
      <alignment horizontal="center" vertical="top"/>
      <protection locked="0"/>
    </xf>
    <xf numFmtId="0" fontId="21" fillId="0" borderId="0" xfId="47" applyFont="1" applyAlignment="1" applyProtection="1">
      <alignment horizontal="center"/>
      <protection locked="0"/>
    </xf>
    <xf numFmtId="0" fontId="19" fillId="0" borderId="0" xfId="47" applyFont="1" applyBorder="1" applyAlignment="1" applyProtection="1">
      <alignment horizontal="center" vertical="top"/>
      <protection locked="0"/>
    </xf>
    <xf numFmtId="0" fontId="19" fillId="0" borderId="0" xfId="47" applyFont="1" applyAlignment="1" applyProtection="1">
      <alignment horizontal="center" vertical="top"/>
      <protection locked="0"/>
    </xf>
    <xf numFmtId="0" fontId="21" fillId="0" borderId="295" xfId="47" applyFont="1" applyBorder="1" applyAlignment="1" applyProtection="1">
      <alignment horizontal="center" vertical="top" wrapText="1"/>
      <protection locked="0"/>
    </xf>
    <xf numFmtId="0" fontId="21" fillId="0" borderId="246" xfId="47" applyFont="1" applyBorder="1" applyAlignment="1" applyProtection="1">
      <alignment horizontal="center" vertical="top" wrapText="1"/>
      <protection locked="0"/>
    </xf>
    <xf numFmtId="0" fontId="21" fillId="0" borderId="0" xfId="47" applyFont="1" applyBorder="1" applyAlignment="1" applyProtection="1">
      <alignment horizontal="center"/>
      <protection locked="0"/>
    </xf>
    <xf numFmtId="0" fontId="62" fillId="0" borderId="223" xfId="0" applyFont="1" applyBorder="1" applyAlignment="1">
      <alignment horizontal="center" vertical="center"/>
    </xf>
    <xf numFmtId="0" fontId="62" fillId="0" borderId="207" xfId="0" applyFont="1" applyBorder="1" applyAlignment="1">
      <alignment horizontal="center" vertical="center"/>
    </xf>
    <xf numFmtId="43" fontId="62" fillId="0" borderId="224" xfId="1" applyFont="1" applyBorder="1" applyAlignment="1">
      <alignment horizontal="center" vertical="center"/>
    </xf>
    <xf numFmtId="43" fontId="62" fillId="0" borderId="223" xfId="1" applyFont="1" applyBorder="1" applyAlignment="1">
      <alignment horizontal="center" vertical="center"/>
    </xf>
    <xf numFmtId="43" fontId="62" fillId="0" borderId="207" xfId="1" applyFont="1" applyBorder="1" applyAlignment="1">
      <alignment horizontal="center" vertical="center"/>
    </xf>
    <xf numFmtId="0" fontId="220" fillId="0" borderId="0" xfId="21" applyFont="1" applyFill="1" applyAlignment="1">
      <alignment horizontal="left" vertical="center"/>
    </xf>
    <xf numFmtId="0" fontId="220" fillId="0" borderId="672" xfId="21" applyFont="1" applyFill="1" applyBorder="1" applyAlignment="1">
      <alignment horizontal="center" vertical="center"/>
    </xf>
    <xf numFmtId="0" fontId="220" fillId="0" borderId="397" xfId="21" applyFont="1" applyFill="1" applyBorder="1" applyAlignment="1">
      <alignment horizontal="center" vertical="center"/>
    </xf>
    <xf numFmtId="0" fontId="220" fillId="0" borderId="422" xfId="21" applyFont="1" applyFill="1" applyBorder="1" applyAlignment="1">
      <alignment horizontal="center" vertical="center"/>
    </xf>
    <xf numFmtId="0" fontId="220" fillId="0" borderId="423" xfId="21" applyFont="1" applyFill="1" applyBorder="1" applyAlignment="1">
      <alignment horizontal="center" vertical="center"/>
    </xf>
    <xf numFmtId="0" fontId="220" fillId="0" borderId="0" xfId="21" applyFont="1" applyFill="1" applyAlignment="1">
      <alignment horizontal="center" vertical="center"/>
    </xf>
    <xf numFmtId="0" fontId="41" fillId="0" borderId="304" xfId="0" applyFont="1" applyBorder="1" applyAlignment="1">
      <alignment horizontal="center" wrapText="1"/>
    </xf>
    <xf numFmtId="0" fontId="41" fillId="0" borderId="305" xfId="0" applyFont="1" applyBorder="1" applyAlignment="1">
      <alignment horizontal="center" wrapText="1"/>
    </xf>
    <xf numFmtId="0" fontId="41" fillId="0" borderId="306" xfId="0" applyFont="1" applyBorder="1" applyAlignment="1">
      <alignment horizontal="center" vertical="center" wrapText="1"/>
    </xf>
    <xf numFmtId="0" fontId="41" fillId="0" borderId="307" xfId="0" applyFont="1" applyBorder="1" applyAlignment="1">
      <alignment horizontal="center" vertical="center" wrapText="1"/>
    </xf>
    <xf numFmtId="0" fontId="46" fillId="0" borderId="118" xfId="0" applyFont="1" applyBorder="1" applyAlignment="1">
      <alignment horizontal="center"/>
    </xf>
    <xf numFmtId="0" fontId="46" fillId="0" borderId="91" xfId="0" applyFont="1" applyBorder="1" applyAlignment="1">
      <alignment horizontal="center"/>
    </xf>
    <xf numFmtId="0" fontId="46" fillId="0" borderId="0" xfId="0" applyFont="1" applyAlignment="1">
      <alignment horizontal="left"/>
    </xf>
    <xf numFmtId="0" fontId="46" fillId="0" borderId="0" xfId="0" applyFont="1" applyAlignment="1">
      <alignment horizontal="center"/>
    </xf>
    <xf numFmtId="0" fontId="27" fillId="0" borderId="0" xfId="0" applyFont="1" applyAlignment="1">
      <alignment horizontal="center"/>
    </xf>
    <xf numFmtId="0" fontId="46" fillId="0" borderId="0" xfId="0" applyFont="1" applyBorder="1" applyAlignment="1">
      <alignment horizontal="left" wrapText="1"/>
    </xf>
    <xf numFmtId="0" fontId="41" fillId="0" borderId="304" xfId="0" applyFont="1" applyBorder="1" applyAlignment="1">
      <alignment horizontal="center" shrinkToFit="1"/>
    </xf>
    <xf numFmtId="0" fontId="41" fillId="0" borderId="305" xfId="0" applyFont="1" applyBorder="1" applyAlignment="1">
      <alignment horizontal="center" shrinkToFit="1"/>
    </xf>
    <xf numFmtId="0" fontId="41" fillId="0" borderId="118" xfId="0" applyFont="1" applyBorder="1" applyAlignment="1">
      <alignment horizontal="center"/>
    </xf>
    <xf numFmtId="0" fontId="41" fillId="0" borderId="91" xfId="0" applyFont="1" applyBorder="1" applyAlignment="1">
      <alignment horizontal="center"/>
    </xf>
    <xf numFmtId="4" fontId="358" fillId="0" borderId="671" xfId="30" applyNumberFormat="1" applyFont="1" applyFill="1" applyBorder="1" applyAlignment="1" applyProtection="1">
      <alignment horizontal="center" vertical="center"/>
      <protection locked="0"/>
    </xf>
    <xf numFmtId="4" fontId="358" fillId="0" borderId="670" xfId="30" applyNumberFormat="1" applyFont="1" applyFill="1" applyBorder="1" applyAlignment="1" applyProtection="1">
      <alignment horizontal="center" vertical="center"/>
      <protection locked="0"/>
    </xf>
    <xf numFmtId="4" fontId="358" fillId="0" borderId="673" xfId="30" applyNumberFormat="1" applyFont="1" applyFill="1" applyBorder="1" applyAlignment="1" applyProtection="1">
      <alignment horizontal="center" vertical="center"/>
      <protection locked="0"/>
    </xf>
    <xf numFmtId="0" fontId="287" fillId="0" borderId="0" xfId="2" applyFont="1" applyFill="1" applyAlignment="1" applyProtection="1">
      <alignment horizontal="center" vertical="top"/>
      <protection locked="0"/>
    </xf>
    <xf numFmtId="43" fontId="353" fillId="0" borderId="0" xfId="2" applyNumberFormat="1" applyFont="1" applyFill="1" applyAlignment="1" applyProtection="1">
      <alignment horizontal="center" vertical="center"/>
      <protection locked="0"/>
    </xf>
    <xf numFmtId="43" fontId="220" fillId="0" borderId="0" xfId="2" applyNumberFormat="1" applyFont="1" applyFill="1" applyAlignment="1" applyProtection="1">
      <alignment horizontal="center" vertical="center"/>
      <protection locked="0"/>
    </xf>
    <xf numFmtId="4" fontId="358" fillId="0" borderId="636" xfId="30" applyNumberFormat="1" applyFont="1" applyFill="1" applyBorder="1" applyAlignment="1" applyProtection="1">
      <alignment horizontal="center" vertical="center"/>
      <protection locked="0"/>
    </xf>
    <xf numFmtId="4" fontId="358" fillId="0" borderId="246" xfId="30" applyNumberFormat="1" applyFont="1" applyFill="1" applyBorder="1" applyAlignment="1" applyProtection="1">
      <alignment horizontal="center" vertical="center"/>
      <protection locked="0"/>
    </xf>
    <xf numFmtId="0" fontId="220" fillId="0" borderId="0" xfId="47" applyFont="1" applyFill="1" applyAlignment="1" applyProtection="1">
      <alignment horizontal="center"/>
      <protection locked="0"/>
    </xf>
    <xf numFmtId="43" fontId="220" fillId="0" borderId="0" xfId="47" applyNumberFormat="1" applyFont="1" applyFill="1" applyAlignment="1" applyProtection="1">
      <alignment horizontal="center"/>
      <protection locked="0"/>
    </xf>
    <xf numFmtId="43" fontId="220" fillId="0" borderId="0" xfId="47" applyNumberFormat="1" applyFont="1" applyFill="1" applyAlignment="1" applyProtection="1">
      <alignment horizontal="center" vertical="top"/>
      <protection locked="0"/>
    </xf>
    <xf numFmtId="43" fontId="220" fillId="0" borderId="0" xfId="2" applyNumberFormat="1" applyFont="1" applyFill="1" applyAlignment="1">
      <alignment horizontal="center" vertical="top"/>
    </xf>
    <xf numFmtId="43" fontId="353" fillId="0" borderId="295" xfId="2" applyNumberFormat="1" applyFont="1" applyFill="1" applyBorder="1" applyAlignment="1" applyProtection="1">
      <alignment horizontal="right" vertical="top"/>
      <protection locked="0"/>
    </xf>
    <xf numFmtId="43" fontId="304" fillId="29" borderId="295" xfId="2" applyNumberFormat="1" applyFont="1" applyFill="1" applyBorder="1" applyAlignment="1" applyProtection="1">
      <alignment horizontal="right" vertical="top"/>
      <protection locked="0"/>
    </xf>
    <xf numFmtId="0" fontId="278" fillId="0" borderId="0" xfId="46" applyFont="1" applyFill="1" applyAlignment="1" applyProtection="1">
      <alignment horizontal="left"/>
      <protection locked="0"/>
    </xf>
    <xf numFmtId="0" fontId="320" fillId="0" borderId="0" xfId="45" applyFont="1" applyFill="1" applyAlignment="1" applyProtection="1">
      <alignment horizontal="left" vertical="center"/>
      <protection locked="0"/>
    </xf>
    <xf numFmtId="0" fontId="320" fillId="0" borderId="0" xfId="46" applyFont="1" applyFill="1" applyAlignment="1" applyProtection="1">
      <alignment horizontal="center" vertical="center"/>
      <protection locked="0"/>
    </xf>
    <xf numFmtId="4" fontId="320" fillId="0" borderId="0" xfId="46" applyNumberFormat="1" applyFont="1" applyFill="1" applyAlignment="1" applyProtection="1">
      <alignment horizontal="center" vertical="center"/>
      <protection locked="0"/>
    </xf>
    <xf numFmtId="0" fontId="278" fillId="0" borderId="685" xfId="46" applyNumberFormat="1" applyFont="1" applyFill="1" applyBorder="1" applyAlignment="1" applyProtection="1">
      <alignment horizontal="center" vertical="center" wrapText="1"/>
      <protection locked="0"/>
    </xf>
    <xf numFmtId="0" fontId="278" fillId="0" borderId="397" xfId="46" applyNumberFormat="1" applyFont="1" applyFill="1" applyBorder="1" applyAlignment="1" applyProtection="1">
      <alignment horizontal="center" vertical="center" wrapText="1"/>
      <protection locked="0"/>
    </xf>
    <xf numFmtId="0" fontId="413" fillId="0" borderId="0" xfId="1" applyNumberFormat="1" applyFont="1" applyFill="1" applyAlignment="1" applyProtection="1">
      <alignment horizontal="center" vertical="center"/>
      <protection locked="0"/>
    </xf>
    <xf numFmtId="0" fontId="278" fillId="0" borderId="0" xfId="1" applyNumberFormat="1" applyFont="1" applyFill="1" applyBorder="1" applyAlignment="1" applyProtection="1">
      <alignment horizontal="center" vertical="center"/>
      <protection locked="0"/>
    </xf>
    <xf numFmtId="0" fontId="278" fillId="0" borderId="433" xfId="1" applyNumberFormat="1" applyFont="1" applyFill="1" applyBorder="1" applyAlignment="1" applyProtection="1">
      <alignment horizontal="center" vertical="center"/>
      <protection locked="0"/>
    </xf>
    <xf numFmtId="0" fontId="319" fillId="0" borderId="0" xfId="46" applyFont="1" applyFill="1" applyAlignment="1" applyProtection="1">
      <alignment horizontal="center" vertical="center"/>
      <protection locked="0"/>
    </xf>
    <xf numFmtId="170" fontId="160" fillId="0" borderId="0" xfId="96" applyFont="1" applyBorder="1" applyAlignment="1">
      <alignment horizontal="center"/>
    </xf>
    <xf numFmtId="170" fontId="160" fillId="0" borderId="300" xfId="96" applyFont="1" applyBorder="1" applyAlignment="1">
      <alignment horizontal="center"/>
    </xf>
    <xf numFmtId="170" fontId="160" fillId="0" borderId="295" xfId="96" applyFont="1" applyBorder="1" applyAlignment="1">
      <alignment horizontal="center"/>
    </xf>
    <xf numFmtId="170" fontId="160" fillId="0" borderId="326" xfId="96" applyFont="1" applyBorder="1" applyAlignment="1">
      <alignment horizontal="center"/>
    </xf>
    <xf numFmtId="49" fontId="160" fillId="0" borderId="306" xfId="96" applyNumberFormat="1" applyFont="1" applyBorder="1" applyAlignment="1">
      <alignment horizontal="center"/>
    </xf>
    <xf numFmtId="49" fontId="160" fillId="0" borderId="316" xfId="96" applyNumberFormat="1" applyFont="1" applyBorder="1" applyAlignment="1">
      <alignment horizontal="center"/>
    </xf>
    <xf numFmtId="49" fontId="160" fillId="0" borderId="289" xfId="96" applyNumberFormat="1" applyFont="1" applyBorder="1" applyAlignment="1">
      <alignment horizontal="center"/>
    </xf>
    <xf numFmtId="49" fontId="160" fillId="0" borderId="308" xfId="96" applyNumberFormat="1" applyFont="1" applyBorder="1" applyAlignment="1">
      <alignment horizontal="center"/>
    </xf>
    <xf numFmtId="49" fontId="160" fillId="0" borderId="410" xfId="96" applyNumberFormat="1" applyFont="1" applyBorder="1" applyAlignment="1">
      <alignment horizontal="center"/>
    </xf>
    <xf numFmtId="170" fontId="160" fillId="0" borderId="304" xfId="96" applyFont="1" applyBorder="1" applyAlignment="1">
      <alignment horizontal="center"/>
    </xf>
    <xf numFmtId="170" fontId="160" fillId="0" borderId="305" xfId="96" applyFont="1" applyBorder="1" applyAlignment="1">
      <alignment horizontal="center"/>
    </xf>
    <xf numFmtId="170" fontId="160" fillId="0" borderId="289" xfId="96" applyFont="1" applyBorder="1" applyAlignment="1">
      <alignment horizontal="center" wrapText="1"/>
    </xf>
    <xf numFmtId="170" fontId="160" fillId="0" borderId="308" xfId="96" applyFont="1" applyBorder="1" applyAlignment="1">
      <alignment horizontal="center" wrapText="1"/>
    </xf>
    <xf numFmtId="170" fontId="228" fillId="10" borderId="289" xfId="96" applyFont="1" applyFill="1" applyBorder="1" applyAlignment="1">
      <alignment horizontal="left" vertical="center" wrapText="1"/>
    </xf>
    <xf numFmtId="170" fontId="228" fillId="10" borderId="308" xfId="96" applyFont="1" applyFill="1" applyBorder="1" applyAlignment="1">
      <alignment horizontal="left" vertical="center" wrapText="1"/>
    </xf>
    <xf numFmtId="171" fontId="183" fillId="0" borderId="304" xfId="97" applyFont="1" applyBorder="1" applyAlignment="1">
      <alignment horizontal="left" vertical="top" wrapText="1"/>
    </xf>
    <xf numFmtId="171" fontId="183" fillId="0" borderId="305" xfId="97" applyFont="1" applyBorder="1" applyAlignment="1">
      <alignment horizontal="left" vertical="top" wrapText="1"/>
    </xf>
    <xf numFmtId="172" fontId="183" fillId="0" borderId="295" xfId="96" applyNumberFormat="1" applyFont="1" applyBorder="1" applyAlignment="1">
      <alignment horizontal="right" vertical="center"/>
    </xf>
    <xf numFmtId="170" fontId="160" fillId="0" borderId="304" xfId="96" applyFont="1" applyBorder="1" applyAlignment="1">
      <alignment horizontal="left"/>
    </xf>
    <xf numFmtId="170" fontId="160" fillId="0" borderId="305" xfId="96" applyFont="1" applyBorder="1" applyAlignment="1">
      <alignment horizontal="left"/>
    </xf>
    <xf numFmtId="170" fontId="160" fillId="0" borderId="289" xfId="96" applyFont="1" applyBorder="1" applyAlignment="1">
      <alignment horizontal="center"/>
    </xf>
    <xf numFmtId="170" fontId="160" fillId="0" borderId="308" xfId="96" applyFont="1" applyBorder="1" applyAlignment="1">
      <alignment horizontal="center"/>
    </xf>
    <xf numFmtId="170" fontId="160" fillId="0" borderId="300" xfId="96" applyFont="1" applyBorder="1" applyAlignment="1">
      <alignment horizontal="left"/>
    </xf>
    <xf numFmtId="170" fontId="160" fillId="0" borderId="326" xfId="96" applyFont="1" applyBorder="1" applyAlignment="1">
      <alignment horizontal="left"/>
    </xf>
    <xf numFmtId="49" fontId="160" fillId="0" borderId="306" xfId="96" applyNumberFormat="1" applyFont="1" applyBorder="1" applyAlignment="1">
      <alignment horizontal="left"/>
    </xf>
    <xf numFmtId="49" fontId="160" fillId="0" borderId="316" xfId="96" applyNumberFormat="1" applyFont="1" applyBorder="1" applyAlignment="1">
      <alignment horizontal="left"/>
    </xf>
    <xf numFmtId="170" fontId="228" fillId="10" borderId="289" xfId="96" applyFont="1" applyFill="1" applyBorder="1" applyAlignment="1">
      <alignment horizontal="left" vertical="center"/>
    </xf>
    <xf numFmtId="170" fontId="228" fillId="10" borderId="308" xfId="96" applyFont="1" applyFill="1" applyBorder="1" applyAlignment="1">
      <alignment horizontal="left" vertical="center"/>
    </xf>
    <xf numFmtId="0" fontId="191" fillId="0" borderId="295" xfId="97" applyNumberFormat="1" applyFont="1" applyBorder="1" applyAlignment="1">
      <alignment horizontal="left" vertical="top" wrapText="1"/>
    </xf>
    <xf numFmtId="43" fontId="229" fillId="0" borderId="295" xfId="62" applyFont="1" applyBorder="1" applyAlignment="1">
      <alignment horizontal="center" vertical="top"/>
    </xf>
    <xf numFmtId="170" fontId="160" fillId="10" borderId="289" xfId="96" applyFont="1" applyFill="1" applyBorder="1" applyAlignment="1">
      <alignment horizontal="center"/>
    </xf>
    <xf numFmtId="170" fontId="160" fillId="10" borderId="308" xfId="96" applyFont="1" applyFill="1" applyBorder="1" applyAlignment="1">
      <alignment horizontal="center"/>
    </xf>
    <xf numFmtId="49" fontId="183" fillId="0" borderId="301" xfId="96" applyNumberFormat="1" applyFont="1" applyBorder="1" applyAlignment="1">
      <alignment horizontal="left" vertical="center"/>
    </xf>
    <xf numFmtId="171" fontId="160" fillId="0" borderId="303" xfId="97" applyFont="1" applyBorder="1" applyAlignment="1">
      <alignment horizontal="left" vertical="center"/>
    </xf>
    <xf numFmtId="170" fontId="160" fillId="9" borderId="304" xfId="96" applyFont="1" applyFill="1" applyBorder="1" applyAlignment="1">
      <alignment horizontal="center"/>
    </xf>
    <xf numFmtId="170" fontId="160" fillId="9" borderId="305" xfId="96" applyFont="1" applyFill="1" applyBorder="1" applyAlignment="1">
      <alignment horizontal="center"/>
    </xf>
    <xf numFmtId="170" fontId="160" fillId="9" borderId="300" xfId="96" applyFont="1" applyFill="1" applyBorder="1" applyAlignment="1">
      <alignment horizontal="center"/>
    </xf>
    <xf numFmtId="170" fontId="160" fillId="9" borderId="326" xfId="96" applyFont="1" applyFill="1" applyBorder="1" applyAlignment="1">
      <alignment horizontal="center"/>
    </xf>
    <xf numFmtId="170" fontId="160" fillId="0" borderId="202" xfId="96" applyFont="1" applyBorder="1" applyAlignment="1">
      <alignment horizontal="center"/>
    </xf>
    <xf numFmtId="170" fontId="160" fillId="0" borderId="419" xfId="96" applyFont="1" applyBorder="1" applyAlignment="1">
      <alignment horizontal="center"/>
    </xf>
    <xf numFmtId="170" fontId="46" fillId="0" borderId="401" xfId="96" applyFont="1" applyBorder="1" applyAlignment="1">
      <alignment horizontal="center" wrapText="1"/>
    </xf>
    <xf numFmtId="170" fontId="46" fillId="0" borderId="393" xfId="96" applyFont="1" applyBorder="1" applyAlignment="1">
      <alignment horizontal="center" wrapText="1"/>
    </xf>
    <xf numFmtId="170" fontId="27" fillId="0" borderId="0" xfId="96" applyFont="1" applyBorder="1" applyAlignment="1">
      <alignment horizontal="center"/>
    </xf>
    <xf numFmtId="170" fontId="160" fillId="0" borderId="0" xfId="96" applyFont="1" applyBorder="1" applyAlignment="1">
      <alignment horizontal="left" vertical="top" wrapText="1"/>
    </xf>
    <xf numFmtId="170" fontId="160" fillId="0" borderId="0" xfId="96" applyNumberFormat="1" applyFont="1" applyBorder="1" applyAlignment="1">
      <alignment horizontal="left" vertical="top" wrapText="1"/>
    </xf>
    <xf numFmtId="170" fontId="160" fillId="0" borderId="0" xfId="96" applyFont="1" applyBorder="1" applyAlignment="1">
      <alignment horizontal="left" vertical="center" wrapText="1"/>
    </xf>
    <xf numFmtId="170" fontId="160" fillId="0" borderId="0" xfId="96" applyFont="1" applyBorder="1" applyAlignment="1">
      <alignment vertical="top" wrapText="1"/>
    </xf>
    <xf numFmtId="171" fontId="160" fillId="0" borderId="0" xfId="97" applyFont="1" applyBorder="1" applyAlignment="1">
      <alignment vertical="top" wrapText="1"/>
    </xf>
    <xf numFmtId="170" fontId="46" fillId="0" borderId="306" xfId="96" applyFont="1" applyBorder="1" applyAlignment="1">
      <alignment horizontal="center" wrapText="1"/>
    </xf>
    <xf numFmtId="170" fontId="46" fillId="0" borderId="411" xfId="96" applyFont="1" applyBorder="1" applyAlignment="1">
      <alignment horizontal="center" wrapText="1"/>
    </xf>
    <xf numFmtId="0" fontId="278" fillId="0" borderId="0" xfId="46" applyFont="1" applyFill="1" applyAlignment="1" applyProtection="1">
      <alignment horizontal="left" vertical="center"/>
      <protection locked="0"/>
    </xf>
    <xf numFmtId="0" fontId="278" fillId="0" borderId="685" xfId="2" applyFont="1" applyFill="1" applyBorder="1" applyAlignment="1">
      <alignment horizontal="center" vertical="center" wrapText="1"/>
    </xf>
    <xf numFmtId="0" fontId="278" fillId="0" borderId="397" xfId="2" applyFont="1" applyFill="1" applyBorder="1" applyAlignment="1">
      <alignment horizontal="center" vertical="center" wrapText="1"/>
    </xf>
    <xf numFmtId="0" fontId="319" fillId="0" borderId="0" xfId="2" applyFont="1" applyFill="1" applyAlignment="1">
      <alignment horizontal="center" vertical="center"/>
    </xf>
    <xf numFmtId="0" fontId="278" fillId="0" borderId="0" xfId="2" applyNumberFormat="1" applyFont="1" applyFill="1" applyBorder="1" applyAlignment="1">
      <alignment horizontal="center" vertical="center"/>
    </xf>
    <xf numFmtId="0" fontId="278" fillId="0" borderId="433" xfId="2" applyNumberFormat="1" applyFont="1" applyFill="1" applyBorder="1" applyAlignment="1">
      <alignment horizontal="center" vertical="center"/>
    </xf>
    <xf numFmtId="0" fontId="409" fillId="0" borderId="0" xfId="2" applyFont="1" applyFill="1" applyAlignment="1">
      <alignment horizontal="center" vertical="center"/>
    </xf>
    <xf numFmtId="49" fontId="35" fillId="0" borderId="0" xfId="103" applyNumberFormat="1" applyFont="1" applyBorder="1" applyAlignment="1">
      <alignment horizontal="center" vertical="top"/>
    </xf>
    <xf numFmtId="49" fontId="35" fillId="0" borderId="326" xfId="103" applyNumberFormat="1" applyFont="1" applyBorder="1" applyAlignment="1">
      <alignment horizontal="center" vertical="top"/>
    </xf>
    <xf numFmtId="170" fontId="18" fillId="0" borderId="301" xfId="103" applyFont="1" applyBorder="1" applyAlignment="1">
      <alignment horizontal="center" vertical="top" wrapText="1"/>
    </xf>
    <xf numFmtId="170" fontId="18" fillId="0" borderId="295" xfId="103" applyFont="1" applyBorder="1" applyAlignment="1">
      <alignment horizontal="center" vertical="top" wrapText="1"/>
    </xf>
    <xf numFmtId="170" fontId="18" fillId="0" borderId="303" xfId="103" applyFont="1" applyBorder="1" applyAlignment="1">
      <alignment horizontal="center" vertical="top" wrapText="1"/>
    </xf>
    <xf numFmtId="43" fontId="18" fillId="0" borderId="289" xfId="1" applyFont="1" applyBorder="1" applyAlignment="1">
      <alignment horizontal="center" vertical="top"/>
    </xf>
    <xf numFmtId="43" fontId="18" fillId="0" borderId="308" xfId="1" applyFont="1" applyBorder="1" applyAlignment="1">
      <alignment horizontal="center" vertical="top"/>
    </xf>
    <xf numFmtId="170" fontId="27" fillId="0" borderId="301" xfId="103" applyFont="1" applyBorder="1" applyAlignment="1">
      <alignment horizontal="center" vertical="top"/>
    </xf>
    <xf numFmtId="170" fontId="27" fillId="0" borderId="295" xfId="103" applyFont="1" applyBorder="1" applyAlignment="1">
      <alignment horizontal="center" vertical="top"/>
    </xf>
    <xf numFmtId="170" fontId="27" fillId="0" borderId="303" xfId="103" applyFont="1" applyBorder="1" applyAlignment="1">
      <alignment horizontal="center" vertical="top"/>
    </xf>
    <xf numFmtId="43" fontId="18" fillId="0" borderId="295" xfId="1" applyFont="1" applyBorder="1" applyAlignment="1">
      <alignment horizontal="center" vertical="top"/>
    </xf>
    <xf numFmtId="49" fontId="18" fillId="0" borderId="295" xfId="103" applyNumberFormat="1" applyFont="1" applyBorder="1" applyAlignment="1">
      <alignment horizontal="center" vertical="top"/>
    </xf>
    <xf numFmtId="43" fontId="27" fillId="0" borderId="295" xfId="62" applyFont="1" applyBorder="1" applyAlignment="1">
      <alignment horizontal="center" vertical="top"/>
    </xf>
    <xf numFmtId="0" fontId="92" fillId="0" borderId="137" xfId="0" applyFont="1" applyFill="1" applyBorder="1" applyAlignment="1">
      <alignment horizontal="center" vertical="top" wrapText="1"/>
    </xf>
    <xf numFmtId="0" fontId="80" fillId="0" borderId="137" xfId="0" applyFont="1" applyFill="1" applyBorder="1" applyAlignment="1">
      <alignment horizontal="left" vertical="top" wrapText="1"/>
    </xf>
    <xf numFmtId="0" fontId="80" fillId="0" borderId="139" xfId="0" applyFont="1" applyFill="1" applyBorder="1" applyAlignment="1">
      <alignment horizontal="left" vertical="top" wrapText="1"/>
    </xf>
    <xf numFmtId="0" fontId="145" fillId="0" borderId="137" xfId="0" applyFont="1" applyFill="1" applyBorder="1" applyAlignment="1">
      <alignment horizontal="left" vertical="top" wrapText="1"/>
    </xf>
    <xf numFmtId="0" fontId="80" fillId="0" borderId="161" xfId="0" applyFont="1" applyFill="1" applyBorder="1" applyAlignment="1">
      <alignment horizontal="left" vertical="top" wrapText="1"/>
    </xf>
    <xf numFmtId="0" fontId="92" fillId="0" borderId="135" xfId="0" applyFont="1" applyFill="1" applyBorder="1" applyAlignment="1">
      <alignment horizontal="center" vertical="top" wrapText="1"/>
    </xf>
    <xf numFmtId="0" fontId="92" fillId="0" borderId="139" xfId="0" applyFont="1" applyFill="1" applyBorder="1" applyAlignment="1">
      <alignment horizontal="center" vertical="top" wrapText="1"/>
    </xf>
    <xf numFmtId="0" fontId="80" fillId="0" borderId="137" xfId="0" applyFont="1" applyFill="1" applyBorder="1" applyAlignment="1">
      <alignment vertical="top" wrapText="1"/>
    </xf>
    <xf numFmtId="0" fontId="80" fillId="0" borderId="139" xfId="0" applyFont="1" applyFill="1" applyBorder="1" applyAlignment="1">
      <alignment vertical="top" wrapText="1"/>
    </xf>
    <xf numFmtId="0" fontId="80" fillId="0" borderId="135" xfId="0" applyFont="1" applyFill="1" applyBorder="1" applyAlignment="1">
      <alignment vertical="top" wrapText="1"/>
    </xf>
    <xf numFmtId="0" fontId="80" fillId="0" borderId="151" xfId="0" applyFont="1" applyFill="1" applyBorder="1" applyAlignment="1">
      <alignment horizontal="center" vertical="top" wrapText="1"/>
    </xf>
    <xf numFmtId="0" fontId="80" fillId="0" borderId="149" xfId="0" applyFont="1" applyFill="1" applyBorder="1" applyAlignment="1">
      <alignment horizontal="center" vertical="top" wrapText="1"/>
    </xf>
    <xf numFmtId="0" fontId="193" fillId="0" borderId="135" xfId="0" applyFont="1" applyFill="1" applyBorder="1" applyAlignment="1">
      <alignment horizontal="right" vertical="top" wrapText="1"/>
    </xf>
    <xf numFmtId="0" fontId="193" fillId="0" borderId="137" xfId="0" applyFont="1" applyFill="1" applyBorder="1" applyAlignment="1">
      <alignment horizontal="right" vertical="top" wrapText="1"/>
    </xf>
    <xf numFmtId="0" fontId="193" fillId="0" borderId="139" xfId="0" applyFont="1" applyFill="1" applyBorder="1" applyAlignment="1">
      <alignment horizontal="right" vertical="top" wrapText="1"/>
    </xf>
    <xf numFmtId="0" fontId="80" fillId="0" borderId="135" xfId="0" applyFont="1" applyFill="1" applyBorder="1" applyAlignment="1">
      <alignment horizontal="justify" vertical="top" wrapText="1"/>
    </xf>
    <xf numFmtId="0" fontId="80" fillId="0" borderId="137" xfId="0" applyFont="1" applyFill="1" applyBorder="1" applyAlignment="1">
      <alignment horizontal="justify" vertical="top" wrapText="1"/>
    </xf>
    <xf numFmtId="0" fontId="80" fillId="0" borderId="139" xfId="0" applyFont="1" applyFill="1" applyBorder="1" applyAlignment="1">
      <alignment horizontal="justify" vertical="top" wrapText="1"/>
    </xf>
    <xf numFmtId="0" fontId="80" fillId="0" borderId="151" xfId="0" applyFont="1" applyFill="1" applyBorder="1" applyAlignment="1">
      <alignment vertical="top" wrapText="1"/>
    </xf>
    <xf numFmtId="0" fontId="80" fillId="0" borderId="152" xfId="0" applyFont="1" applyFill="1" applyBorder="1" applyAlignment="1">
      <alignment vertical="top" wrapText="1"/>
    </xf>
    <xf numFmtId="0" fontId="80" fillId="0" borderId="149" xfId="0" applyFont="1" applyFill="1" applyBorder="1" applyAlignment="1">
      <alignment vertical="top" wrapText="1"/>
    </xf>
    <xf numFmtId="168" fontId="92" fillId="0" borderId="161" xfId="0" applyNumberFormat="1" applyFont="1" applyFill="1" applyBorder="1" applyAlignment="1">
      <alignment horizontal="center" vertical="top" wrapText="1"/>
    </xf>
    <xf numFmtId="168" fontId="92" fillId="0" borderId="142" xfId="0" applyNumberFormat="1" applyFont="1" applyFill="1" applyBorder="1" applyAlignment="1">
      <alignment horizontal="center" vertical="top" wrapText="1"/>
    </xf>
    <xf numFmtId="0" fontId="80" fillId="0" borderId="134" xfId="0" applyFont="1" applyFill="1" applyBorder="1" applyAlignment="1">
      <alignment vertical="top" wrapText="1"/>
    </xf>
    <xf numFmtId="0" fontId="80" fillId="0" borderId="138" xfId="0" applyFont="1" applyFill="1" applyBorder="1" applyAlignment="1">
      <alignment vertical="top" wrapText="1"/>
    </xf>
    <xf numFmtId="0" fontId="80" fillId="0" borderId="135" xfId="0" applyFont="1" applyFill="1" applyBorder="1" applyAlignment="1">
      <alignment horizontal="left" vertical="top" wrapText="1" indent="2"/>
    </xf>
    <xf numFmtId="0" fontId="80" fillId="0" borderId="137" xfId="0" applyFont="1" applyFill="1" applyBorder="1" applyAlignment="1">
      <alignment horizontal="left" vertical="top" wrapText="1" indent="2"/>
    </xf>
    <xf numFmtId="0" fontId="80" fillId="0" borderId="139" xfId="0" applyFont="1" applyFill="1" applyBorder="1" applyAlignment="1">
      <alignment horizontal="left" vertical="top" wrapText="1" indent="2"/>
    </xf>
    <xf numFmtId="0" fontId="143" fillId="0" borderId="135" xfId="0" applyFont="1" applyFill="1" applyBorder="1" applyAlignment="1">
      <alignment horizontal="right" vertical="top" wrapText="1"/>
    </xf>
    <xf numFmtId="0" fontId="143" fillId="0" borderId="137" xfId="0" applyFont="1" applyFill="1" applyBorder="1" applyAlignment="1">
      <alignment horizontal="right" vertical="top" wrapText="1"/>
    </xf>
    <xf numFmtId="0" fontId="143" fillId="0" borderId="139" xfId="0" applyFont="1" applyFill="1" applyBorder="1" applyAlignment="1">
      <alignment horizontal="right" vertical="top" wrapText="1"/>
    </xf>
    <xf numFmtId="0" fontId="80" fillId="0" borderId="136" xfId="0" applyFont="1" applyFill="1" applyBorder="1" applyAlignment="1">
      <alignment vertical="top" wrapText="1"/>
    </xf>
    <xf numFmtId="0" fontId="144" fillId="0" borderId="137" xfId="0" applyFont="1" applyFill="1" applyBorder="1" applyAlignment="1">
      <alignment horizontal="left" vertical="top" wrapText="1" indent="2"/>
    </xf>
    <xf numFmtId="0" fontId="144" fillId="0" borderId="139" xfId="0" applyFont="1" applyFill="1" applyBorder="1" applyAlignment="1">
      <alignment horizontal="left" vertical="top" wrapText="1" indent="2"/>
    </xf>
    <xf numFmtId="0" fontId="144" fillId="0" borderId="135" xfId="0" applyFont="1" applyFill="1" applyBorder="1" applyAlignment="1">
      <alignment horizontal="left" vertical="top" wrapText="1" indent="2"/>
    </xf>
    <xf numFmtId="0" fontId="79" fillId="0" borderId="0" xfId="0" applyFont="1" applyFill="1" applyAlignment="1">
      <alignment horizontal="center"/>
    </xf>
    <xf numFmtId="0" fontId="72" fillId="0" borderId="0" xfId="0" applyFont="1" applyFill="1" applyAlignment="1">
      <alignment horizontal="left" vertical="top" wrapText="1"/>
    </xf>
    <xf numFmtId="0" fontId="77" fillId="0" borderId="0" xfId="0" applyFont="1" applyFill="1" applyAlignment="1">
      <alignment horizontal="left" vertical="top" wrapText="1"/>
    </xf>
    <xf numFmtId="0" fontId="81" fillId="0" borderId="0" xfId="0" applyFont="1" applyFill="1" applyAlignment="1">
      <alignment horizontal="left" vertical="top" wrapText="1"/>
    </xf>
    <xf numFmtId="0" fontId="92" fillId="0" borderId="135" xfId="0" applyFont="1" applyFill="1" applyBorder="1" applyAlignment="1">
      <alignment horizontal="right" vertical="top" wrapText="1"/>
    </xf>
    <xf numFmtId="0" fontId="92" fillId="0" borderId="139" xfId="0" applyFont="1" applyFill="1" applyBorder="1" applyAlignment="1">
      <alignment horizontal="right" vertical="top" wrapText="1"/>
    </xf>
    <xf numFmtId="0" fontId="141" fillId="0" borderId="135" xfId="0" applyFont="1" applyFill="1" applyBorder="1" applyAlignment="1">
      <alignment vertical="top" wrapText="1"/>
    </xf>
    <xf numFmtId="0" fontId="141" fillId="0" borderId="139" xfId="0" applyFont="1" applyFill="1" applyBorder="1" applyAlignment="1">
      <alignment vertical="top" wrapText="1"/>
    </xf>
    <xf numFmtId="4" fontId="143" fillId="0" borderId="135" xfId="0" applyNumberFormat="1" applyFont="1" applyFill="1" applyBorder="1" applyAlignment="1">
      <alignment horizontal="right" vertical="top" wrapText="1"/>
    </xf>
    <xf numFmtId="4" fontId="143" fillId="0" borderId="139" xfId="0" applyNumberFormat="1" applyFont="1" applyFill="1" applyBorder="1" applyAlignment="1">
      <alignment horizontal="right" vertical="top" wrapText="1"/>
    </xf>
    <xf numFmtId="0" fontId="92" fillId="0" borderId="160" xfId="0" applyFont="1" applyFill="1" applyBorder="1" applyAlignment="1">
      <alignment horizontal="center" vertical="top" wrapText="1"/>
    </xf>
    <xf numFmtId="0" fontId="92" fillId="0" borderId="150" xfId="0" applyFont="1" applyFill="1" applyBorder="1" applyAlignment="1">
      <alignment horizontal="center" vertical="top" wrapText="1"/>
    </xf>
    <xf numFmtId="0" fontId="92" fillId="0" borderId="161" xfId="0" applyFont="1" applyFill="1" applyBorder="1" applyAlignment="1">
      <alignment horizontal="center" vertical="top" wrapText="1"/>
    </xf>
    <xf numFmtId="0" fontId="92" fillId="0" borderId="142" xfId="0" applyFont="1" applyFill="1" applyBorder="1" applyAlignment="1">
      <alignment horizontal="center" vertical="top" wrapText="1"/>
    </xf>
    <xf numFmtId="0" fontId="62" fillId="0" borderId="0" xfId="0" applyFont="1" applyFill="1" applyAlignment="1">
      <alignment horizontal="left" vertical="top" wrapText="1"/>
    </xf>
    <xf numFmtId="0" fontId="152" fillId="0" borderId="0" xfId="0" applyFont="1" applyFill="1" applyAlignment="1">
      <alignment horizontal="left" vertical="top" wrapText="1"/>
    </xf>
    <xf numFmtId="0" fontId="78" fillId="0" borderId="0" xfId="0" applyFont="1" applyFill="1" applyAlignment="1">
      <alignment horizontal="left" vertical="top"/>
    </xf>
    <xf numFmtId="0" fontId="78" fillId="0" borderId="0" xfId="0" applyFont="1" applyFill="1" applyAlignment="1">
      <alignment horizontal="left" wrapText="1"/>
    </xf>
    <xf numFmtId="0" fontId="62" fillId="0" borderId="0" xfId="0" applyFont="1" applyFill="1" applyAlignment="1">
      <alignment horizontal="left" vertical="center" wrapText="1"/>
    </xf>
    <xf numFmtId="4" fontId="0" fillId="0" borderId="0" xfId="0" applyNumberFormat="1" applyFill="1" applyBorder="1" applyAlignment="1">
      <alignment horizontal="center" vertical="top" wrapText="1"/>
    </xf>
    <xf numFmtId="0" fontId="80" fillId="0" borderId="134" xfId="0" applyFont="1" applyFill="1" applyBorder="1" applyAlignment="1">
      <alignment horizontal="center" vertical="top" wrapText="1"/>
    </xf>
    <xf numFmtId="0" fontId="80" fillId="0" borderId="138" xfId="0" applyFont="1" applyFill="1" applyBorder="1" applyAlignment="1">
      <alignment horizontal="center" vertical="top" wrapText="1"/>
    </xf>
    <xf numFmtId="0" fontId="80" fillId="0" borderId="152" xfId="0" applyFont="1" applyFill="1" applyBorder="1" applyAlignment="1">
      <alignment horizontal="center" vertical="top" wrapText="1"/>
    </xf>
    <xf numFmtId="0" fontId="80" fillId="0" borderId="136" xfId="0" applyFont="1" applyFill="1" applyBorder="1" applyAlignment="1">
      <alignment horizontal="center" vertical="top" wrapText="1"/>
    </xf>
    <xf numFmtId="0" fontId="319" fillId="0" borderId="0" xfId="46" applyFont="1" applyFill="1" applyAlignment="1">
      <alignment horizontal="center"/>
    </xf>
    <xf numFmtId="0" fontId="278" fillId="0" borderId="685" xfId="46" applyFont="1" applyFill="1" applyBorder="1" applyAlignment="1">
      <alignment horizontal="center" wrapText="1"/>
    </xf>
    <xf numFmtId="0" fontId="278" fillId="0" borderId="397" xfId="46" applyFont="1" applyFill="1" applyBorder="1" applyAlignment="1">
      <alignment horizontal="center" wrapText="1"/>
    </xf>
    <xf numFmtId="0" fontId="409" fillId="0" borderId="0" xfId="46" applyNumberFormat="1" applyFont="1" applyFill="1" applyAlignment="1">
      <alignment horizontal="center"/>
    </xf>
    <xf numFmtId="43" fontId="62" fillId="0" borderId="135" xfId="1" applyFont="1" applyBorder="1" applyAlignment="1">
      <alignment horizontal="center" vertical="top" wrapText="1"/>
    </xf>
    <xf numFmtId="43" fontId="62" fillId="0" borderId="139" xfId="1" applyFont="1" applyBorder="1" applyAlignment="1">
      <alignment horizontal="center" vertical="top" wrapText="1"/>
    </xf>
    <xf numFmtId="0" fontId="62" fillId="0" borderId="135" xfId="0" applyFont="1" applyBorder="1" applyAlignment="1">
      <alignment horizontal="center" vertical="top" wrapText="1"/>
    </xf>
    <xf numFmtId="0" fontId="62" fillId="0" borderId="139" xfId="0" applyFont="1" applyBorder="1" applyAlignment="1">
      <alignment horizontal="center" vertical="top" wrapText="1"/>
    </xf>
    <xf numFmtId="43" fontId="62" fillId="0" borderId="159" xfId="1" applyFont="1" applyBorder="1" applyAlignment="1">
      <alignment horizontal="center" vertical="top" wrapText="1"/>
    </xf>
    <xf numFmtId="43" fontId="62" fillId="0" borderId="140" xfId="1" applyFont="1" applyBorder="1" applyAlignment="1">
      <alignment horizontal="center" vertical="top" wrapText="1"/>
    </xf>
    <xf numFmtId="0" fontId="220" fillId="0" borderId="422" xfId="21" applyFont="1" applyFill="1" applyBorder="1" applyAlignment="1">
      <alignment horizontal="center"/>
    </xf>
    <xf numFmtId="0" fontId="220" fillId="0" borderId="423" xfId="21" applyFont="1" applyFill="1" applyBorder="1" applyAlignment="1">
      <alignment horizontal="center"/>
    </xf>
    <xf numFmtId="0" fontId="220" fillId="0" borderId="0" xfId="21" applyFont="1" applyFill="1" applyAlignment="1">
      <alignment horizontal="center"/>
    </xf>
    <xf numFmtId="0" fontId="33" fillId="0" borderId="3" xfId="35" applyFont="1" applyBorder="1" applyAlignment="1">
      <alignment horizontal="center"/>
    </xf>
    <xf numFmtId="0" fontId="33" fillId="0" borderId="117" xfId="35" applyFont="1" applyBorder="1" applyAlignment="1">
      <alignment horizontal="center"/>
    </xf>
    <xf numFmtId="0" fontId="33" fillId="0" borderId="121" xfId="35" applyFont="1" applyBorder="1" applyAlignment="1">
      <alignment horizontal="center"/>
    </xf>
    <xf numFmtId="0" fontId="70" fillId="0" borderId="104" xfId="0" applyFont="1" applyBorder="1" applyAlignment="1">
      <alignment horizontal="center" vertical="top" wrapText="1"/>
    </xf>
    <xf numFmtId="0" fontId="70" fillId="0" borderId="107" xfId="0" applyFont="1" applyBorder="1" applyAlignment="1">
      <alignment horizontal="center" vertical="top" wrapText="1"/>
    </xf>
    <xf numFmtId="0" fontId="70" fillId="0" borderId="261" xfId="0" applyFont="1" applyBorder="1" applyAlignment="1">
      <alignment horizontal="center" vertical="top" wrapText="1"/>
    </xf>
    <xf numFmtId="0" fontId="70" fillId="0" borderId="262" xfId="0" applyFont="1" applyBorder="1" applyAlignment="1">
      <alignment horizontal="center" vertical="top" wrapText="1"/>
    </xf>
    <xf numFmtId="0" fontId="70" fillId="0" borderId="23" xfId="0" applyFont="1" applyBorder="1" applyAlignment="1">
      <alignment horizontal="center" vertical="top"/>
    </xf>
    <xf numFmtId="0" fontId="70" fillId="0" borderId="242" xfId="0" applyFont="1" applyBorder="1" applyAlignment="1">
      <alignment horizontal="center" vertical="top"/>
    </xf>
    <xf numFmtId="0" fontId="89" fillId="0" borderId="186" xfId="0" applyFont="1" applyBorder="1" applyAlignment="1">
      <alignment vertical="top" wrapText="1"/>
    </xf>
    <xf numFmtId="0" fontId="89" fillId="0" borderId="357" xfId="0" applyFont="1" applyBorder="1" applyAlignment="1">
      <alignment vertical="top" wrapText="1"/>
    </xf>
    <xf numFmtId="0" fontId="89" fillId="0" borderId="186" xfId="0" applyFont="1" applyBorder="1" applyAlignment="1">
      <alignment vertical="top"/>
    </xf>
    <xf numFmtId="0" fontId="70" fillId="0" borderId="68" xfId="0" applyFont="1" applyBorder="1" applyAlignment="1">
      <alignment vertical="top" wrapText="1"/>
    </xf>
    <xf numFmtId="43" fontId="89" fillId="0" borderId="186" xfId="1" applyFont="1" applyBorder="1" applyAlignment="1">
      <alignment horizontal="center" vertical="top" wrapText="1"/>
    </xf>
    <xf numFmtId="0" fontId="89" fillId="0" borderId="186" xfId="0" applyFont="1" applyBorder="1" applyAlignment="1">
      <alignment horizontal="center" vertical="top" wrapText="1"/>
    </xf>
    <xf numFmtId="0" fontId="70" fillId="0" borderId="398" xfId="0" applyFont="1" applyBorder="1" applyAlignment="1">
      <alignment vertical="top" wrapText="1"/>
    </xf>
    <xf numFmtId="43" fontId="89" fillId="0" borderId="312" xfId="1" applyFont="1" applyBorder="1" applyAlignment="1">
      <alignment horizontal="center" vertical="top" wrapText="1"/>
    </xf>
    <xf numFmtId="0" fontId="89" fillId="0" borderId="312" xfId="0" applyFont="1" applyBorder="1" applyAlignment="1">
      <alignment vertical="top" wrapText="1"/>
    </xf>
    <xf numFmtId="0" fontId="75" fillId="0" borderId="0" xfId="0" applyFont="1" applyAlignment="1">
      <alignment horizontal="center" vertical="top"/>
    </xf>
    <xf numFmtId="0" fontId="55" fillId="0" borderId="0" xfId="0" applyFont="1" applyAlignment="1">
      <alignment horizontal="left" vertical="top"/>
    </xf>
    <xf numFmtId="0" fontId="89" fillId="0" borderId="0" xfId="0" applyFont="1" applyAlignment="1">
      <alignment horizontal="justify" vertical="top" wrapText="1"/>
    </xf>
    <xf numFmtId="0" fontId="82" fillId="0" borderId="0" xfId="0" applyFont="1" applyAlignment="1">
      <alignment horizontal="left" vertical="top"/>
    </xf>
    <xf numFmtId="0" fontId="89" fillId="0" borderId="0" xfId="0" applyFont="1" applyAlignment="1">
      <alignment horizontal="left" vertical="top" wrapText="1"/>
    </xf>
    <xf numFmtId="0" fontId="89" fillId="0" borderId="312" xfId="0" applyFont="1" applyBorder="1" applyAlignment="1">
      <alignment vertical="top"/>
    </xf>
    <xf numFmtId="0" fontId="89" fillId="0" borderId="68" xfId="0" applyFont="1" applyBorder="1" applyAlignment="1">
      <alignment vertical="top" wrapText="1"/>
    </xf>
    <xf numFmtId="0" fontId="89" fillId="0" borderId="68" xfId="0" applyFont="1" applyBorder="1" applyAlignment="1">
      <alignment horizontal="left" vertical="top" wrapText="1"/>
    </xf>
    <xf numFmtId="43" fontId="89" fillId="0" borderId="186" xfId="1" applyFont="1" applyBorder="1" applyAlignment="1">
      <alignment horizontal="right" vertical="top" wrapText="1"/>
    </xf>
    <xf numFmtId="3" fontId="89" fillId="0" borderId="186" xfId="0" applyNumberFormat="1" applyFont="1" applyBorder="1" applyAlignment="1">
      <alignment horizontal="center" vertical="top" wrapText="1"/>
    </xf>
    <xf numFmtId="43" fontId="89" fillId="0" borderId="186" xfId="1" applyFont="1" applyBorder="1" applyAlignment="1">
      <alignment vertical="top" wrapText="1"/>
    </xf>
    <xf numFmtId="0" fontId="89" fillId="0" borderId="357" xfId="0" applyFont="1" applyBorder="1" applyAlignment="1">
      <alignment horizontal="left" vertical="top" wrapText="1"/>
    </xf>
    <xf numFmtId="0" fontId="89" fillId="0" borderId="186" xfId="0" applyFont="1" applyBorder="1" applyAlignment="1">
      <alignment horizontal="left" vertical="top" wrapText="1"/>
    </xf>
    <xf numFmtId="9" fontId="89" fillId="0" borderId="186" xfId="0" applyNumberFormat="1" applyFont="1" applyBorder="1" applyAlignment="1">
      <alignment horizontal="center" vertical="top" wrapText="1"/>
    </xf>
    <xf numFmtId="43" fontId="89" fillId="0" borderId="357" xfId="1" applyFont="1" applyBorder="1" applyAlignment="1">
      <alignment horizontal="center" vertical="top" wrapText="1"/>
    </xf>
    <xf numFmtId="0" fontId="89" fillId="0" borderId="357" xfId="0" applyFont="1" applyBorder="1" applyAlignment="1">
      <alignment horizontal="center" vertical="top" wrapText="1"/>
    </xf>
    <xf numFmtId="0" fontId="278" fillId="0" borderId="685" xfId="2" applyFont="1" applyFill="1" applyBorder="1" applyAlignment="1" applyProtection="1">
      <alignment horizontal="center" vertical="center" wrapText="1"/>
      <protection locked="0"/>
    </xf>
    <xf numFmtId="0" fontId="278" fillId="0" borderId="397" xfId="2" applyFont="1" applyFill="1" applyBorder="1" applyAlignment="1" applyProtection="1">
      <alignment horizontal="center" vertical="center" wrapText="1"/>
      <protection locked="0"/>
    </xf>
    <xf numFmtId="0" fontId="319" fillId="0" borderId="0" xfId="2" applyFont="1" applyFill="1" applyAlignment="1" applyProtection="1">
      <alignment horizontal="center" vertical="center"/>
      <protection locked="0"/>
    </xf>
    <xf numFmtId="4" fontId="409" fillId="0" borderId="0" xfId="2" applyNumberFormat="1" applyFont="1" applyFill="1" applyAlignment="1" applyProtection="1">
      <alignment horizontal="center" vertical="center"/>
      <protection locked="0"/>
    </xf>
    <xf numFmtId="0" fontId="320" fillId="0" borderId="0" xfId="2" applyFont="1" applyFill="1" applyBorder="1" applyAlignment="1" applyProtection="1">
      <alignment horizontal="left" vertical="center" wrapText="1"/>
      <protection locked="0"/>
    </xf>
    <xf numFmtId="0" fontId="62" fillId="0" borderId="389" xfId="0" applyFont="1" applyBorder="1" applyAlignment="1">
      <alignment horizontal="center" vertical="top"/>
    </xf>
    <xf numFmtId="0" fontId="62" fillId="0" borderId="10" xfId="0" applyFont="1" applyBorder="1" applyAlignment="1">
      <alignment horizontal="center" vertical="top"/>
    </xf>
    <xf numFmtId="0" fontId="62" fillId="0" borderId="401" xfId="0" applyFont="1" applyBorder="1" applyAlignment="1">
      <alignment horizontal="center" vertical="top"/>
    </xf>
    <xf numFmtId="0" fontId="62" fillId="0" borderId="409" xfId="0" applyFont="1" applyBorder="1" applyAlignment="1">
      <alignment horizontal="center" vertical="top"/>
    </xf>
    <xf numFmtId="0" fontId="62" fillId="0" borderId="393" xfId="0" applyFont="1" applyBorder="1" applyAlignment="1">
      <alignment horizontal="center" vertical="top"/>
    </xf>
    <xf numFmtId="0" fontId="131" fillId="0" borderId="0" xfId="0" applyFont="1" applyBorder="1" applyAlignment="1">
      <alignment horizontal="center"/>
    </xf>
    <xf numFmtId="0" fontId="131" fillId="0" borderId="0" xfId="0" applyFont="1" applyBorder="1" applyAlignment="1">
      <alignment horizontal="left"/>
    </xf>
    <xf numFmtId="0" fontId="241" fillId="0" borderId="187" xfId="0" applyFont="1" applyBorder="1" applyAlignment="1">
      <alignment horizontal="center"/>
    </xf>
    <xf numFmtId="0" fontId="241" fillId="0" borderId="157" xfId="0" applyFont="1" applyBorder="1" applyAlignment="1">
      <alignment horizontal="center"/>
    </xf>
    <xf numFmtId="0" fontId="241" fillId="0" borderId="188" xfId="0" applyFont="1" applyBorder="1" applyAlignment="1">
      <alignment horizontal="center"/>
    </xf>
    <xf numFmtId="4" fontId="241" fillId="0" borderId="450" xfId="0" applyNumberFormat="1" applyFont="1" applyBorder="1" applyAlignment="1">
      <alignment horizontal="center" vertical="center"/>
    </xf>
    <xf numFmtId="4" fontId="241" fillId="0" borderId="295" xfId="0" applyNumberFormat="1" applyFont="1" applyBorder="1" applyAlignment="1">
      <alignment horizontal="center" vertical="center"/>
    </xf>
    <xf numFmtId="0" fontId="241" fillId="0" borderId="187" xfId="0" applyFont="1" applyBorder="1" applyAlignment="1">
      <alignment horizontal="center" vertical="top"/>
    </xf>
    <xf numFmtId="0" fontId="241" fillId="0" borderId="188" xfId="0" applyFont="1" applyBorder="1" applyAlignment="1">
      <alignment horizontal="center" vertical="top"/>
    </xf>
    <xf numFmtId="0" fontId="241" fillId="0" borderId="300" xfId="0" applyFont="1" applyBorder="1" applyAlignment="1">
      <alignment horizontal="center"/>
    </xf>
    <xf numFmtId="0" fontId="241" fillId="0" borderId="0" xfId="0" applyFont="1" applyBorder="1" applyAlignment="1">
      <alignment horizontal="center"/>
    </xf>
    <xf numFmtId="0" fontId="241" fillId="0" borderId="482" xfId="0" applyFont="1" applyBorder="1" applyAlignment="1">
      <alignment horizontal="center"/>
    </xf>
    <xf numFmtId="0" fontId="241" fillId="0" borderId="300" xfId="0" applyFont="1" applyBorder="1" applyAlignment="1">
      <alignment horizontal="center" vertical="top"/>
    </xf>
    <xf numFmtId="0" fontId="241" fillId="0" borderId="482" xfId="0" applyFont="1" applyBorder="1" applyAlignment="1">
      <alignment horizontal="center" vertical="top"/>
    </xf>
    <xf numFmtId="49" fontId="241" fillId="0" borderId="451" xfId="0" applyNumberFormat="1" applyFont="1" applyBorder="1" applyAlignment="1">
      <alignment horizontal="center"/>
    </xf>
    <xf numFmtId="49" fontId="241" fillId="0" borderId="452" xfId="0" applyNumberFormat="1" applyFont="1" applyBorder="1" applyAlignment="1">
      <alignment horizontal="center"/>
    </xf>
    <xf numFmtId="0" fontId="192" fillId="0" borderId="0" xfId="0" applyFont="1" applyBorder="1" applyAlignment="1">
      <alignment horizontal="center"/>
    </xf>
    <xf numFmtId="0" fontId="131" fillId="0" borderId="475" xfId="0" applyFont="1" applyBorder="1" applyAlignment="1">
      <alignment horizontal="left"/>
    </xf>
    <xf numFmtId="0" fontId="241" fillId="0" borderId="0" xfId="0" applyFont="1" applyBorder="1" applyAlignment="1">
      <alignment horizontal="left"/>
    </xf>
    <xf numFmtId="0" fontId="241" fillId="0" borderId="450" xfId="0" applyFont="1" applyBorder="1" applyAlignment="1">
      <alignment horizontal="center"/>
    </xf>
    <xf numFmtId="0" fontId="241" fillId="0" borderId="448" xfId="0" applyFont="1" applyBorder="1" applyAlignment="1">
      <alignment horizontal="center"/>
    </xf>
    <xf numFmtId="0" fontId="191" fillId="0" borderId="0" xfId="0" applyFont="1" applyBorder="1" applyAlignment="1">
      <alignment horizontal="left" wrapText="1"/>
    </xf>
    <xf numFmtId="0" fontId="278" fillId="0" borderId="685" xfId="27" applyNumberFormat="1" applyFont="1" applyFill="1" applyBorder="1" applyAlignment="1" applyProtection="1">
      <alignment horizontal="center" vertical="center" wrapText="1"/>
      <protection locked="0"/>
    </xf>
    <xf numFmtId="0" fontId="278" fillId="0" borderId="397" xfId="27" applyNumberFormat="1" applyFont="1" applyFill="1" applyBorder="1" applyAlignment="1" applyProtection="1">
      <alignment horizontal="center" vertical="center" wrapText="1"/>
      <protection locked="0"/>
    </xf>
    <xf numFmtId="0" fontId="319" fillId="0" borderId="0" xfId="27" applyFont="1" applyFill="1" applyAlignment="1" applyProtection="1">
      <alignment horizontal="center" vertical="center"/>
      <protection locked="0"/>
    </xf>
    <xf numFmtId="4" fontId="409" fillId="0" borderId="0" xfId="1" applyNumberFormat="1" applyFont="1" applyFill="1" applyAlignment="1" applyProtection="1">
      <alignment horizontal="center" vertical="center"/>
      <protection locked="0"/>
    </xf>
    <xf numFmtId="0" fontId="62" fillId="0" borderId="135" xfId="0" applyFont="1" applyBorder="1" applyAlignment="1">
      <alignment horizontal="left" vertical="center" wrapText="1"/>
    </xf>
    <xf numFmtId="0" fontId="62" fillId="0" borderId="137" xfId="0" applyFont="1" applyBorder="1" applyAlignment="1">
      <alignment horizontal="left" vertical="center" wrapText="1"/>
    </xf>
    <xf numFmtId="43" fontId="62" fillId="0" borderId="159" xfId="1" applyFont="1" applyBorder="1" applyAlignment="1">
      <alignment horizontal="center" vertical="center" wrapText="1"/>
    </xf>
    <xf numFmtId="43" fontId="62" fillId="0" borderId="140" xfId="1" applyFont="1" applyBorder="1" applyAlignment="1">
      <alignment horizontal="center" vertical="center" wrapText="1"/>
    </xf>
    <xf numFmtId="43" fontId="62" fillId="0" borderId="135" xfId="1" applyFont="1" applyBorder="1" applyAlignment="1">
      <alignment horizontal="center" vertical="center" wrapText="1"/>
    </xf>
    <xf numFmtId="43" fontId="62" fillId="0" borderId="139" xfId="1" applyFont="1" applyBorder="1" applyAlignment="1">
      <alignment horizontal="center" vertical="center" wrapText="1"/>
    </xf>
    <xf numFmtId="43" fontId="0" fillId="0" borderId="142" xfId="1" applyFont="1" applyBorder="1" applyAlignment="1">
      <alignment horizontal="left" vertical="center" wrapText="1"/>
    </xf>
    <xf numFmtId="43" fontId="0" fillId="0" borderId="141" xfId="1" applyFont="1" applyBorder="1" applyAlignment="1">
      <alignment horizontal="left" vertical="center" wrapText="1"/>
    </xf>
    <xf numFmtId="43" fontId="0" fillId="0" borderId="137" xfId="1" applyFont="1" applyBorder="1" applyAlignment="1">
      <alignment horizontal="left" vertical="center" wrapText="1"/>
    </xf>
    <xf numFmtId="43" fontId="0" fillId="0" borderId="139" xfId="1" applyFont="1" applyBorder="1" applyAlignment="1">
      <alignment horizontal="left" vertical="center" wrapText="1"/>
    </xf>
    <xf numFmtId="0" fontId="119" fillId="0" borderId="0" xfId="0" applyFont="1" applyBorder="1" applyAlignment="1">
      <alignment horizontal="center" vertical="top" wrapText="1"/>
    </xf>
    <xf numFmtId="0" fontId="62" fillId="0" borderId="0" xfId="0" applyFont="1" applyBorder="1" applyAlignment="1">
      <alignment vertical="top" wrapText="1"/>
    </xf>
    <xf numFmtId="0" fontId="62" fillId="0" borderId="0" xfId="0" applyFont="1" applyBorder="1" applyAlignment="1">
      <alignment horizontal="left" vertical="top" wrapText="1"/>
    </xf>
    <xf numFmtId="0" fontId="0" fillId="0" borderId="0" xfId="0" applyBorder="1" applyAlignment="1">
      <alignment horizontal="justify" vertical="top" wrapText="1"/>
    </xf>
    <xf numFmtId="0" fontId="62" fillId="0" borderId="0" xfId="0" applyFont="1" applyBorder="1" applyAlignment="1">
      <alignment horizontal="justify" vertical="top" wrapText="1"/>
    </xf>
    <xf numFmtId="0" fontId="0" fillId="0" borderId="154" xfId="0" applyBorder="1" applyAlignment="1">
      <alignment horizontal="justify" vertical="top" wrapText="1"/>
    </xf>
    <xf numFmtId="0" fontId="0" fillId="0" borderId="135" xfId="0" applyBorder="1" applyAlignment="1">
      <alignment horizontal="justify" vertical="top" wrapText="1"/>
    </xf>
    <xf numFmtId="0" fontId="0" fillId="0" borderId="137" xfId="0" applyBorder="1" applyAlignment="1">
      <alignment horizontal="justify" vertical="top" wrapText="1"/>
    </xf>
    <xf numFmtId="3" fontId="0" fillId="0" borderId="135" xfId="0" applyNumberFormat="1" applyBorder="1" applyAlignment="1">
      <alignment horizontal="center" vertical="top" wrapText="1"/>
    </xf>
    <xf numFmtId="3" fontId="0" fillId="0" borderId="137" xfId="0" applyNumberFormat="1" applyBorder="1" applyAlignment="1">
      <alignment horizontal="center" vertical="top" wrapText="1"/>
    </xf>
    <xf numFmtId="9" fontId="0" fillId="0" borderId="135" xfId="0" applyNumberFormat="1" applyBorder="1" applyAlignment="1">
      <alignment horizontal="center" vertical="top" wrapText="1"/>
    </xf>
    <xf numFmtId="9" fontId="0" fillId="0" borderId="137" xfId="0" applyNumberFormat="1" applyBorder="1" applyAlignment="1">
      <alignment horizontal="center" vertical="top" wrapText="1"/>
    </xf>
    <xf numFmtId="0" fontId="0" fillId="0" borderId="135" xfId="0" applyBorder="1" applyAlignment="1">
      <alignment horizontal="center" vertical="top" wrapText="1"/>
    </xf>
    <xf numFmtId="0" fontId="0" fillId="0" borderId="137" xfId="0" applyBorder="1" applyAlignment="1">
      <alignment horizontal="center" vertical="top" wrapText="1"/>
    </xf>
    <xf numFmtId="0" fontId="0" fillId="0" borderId="135" xfId="0" applyBorder="1" applyAlignment="1">
      <alignment horizontal="left" vertical="top" wrapText="1" indent="1"/>
    </xf>
    <xf numFmtId="0" fontId="0" fillId="0" borderId="137" xfId="0" applyBorder="1" applyAlignment="1">
      <alignment horizontal="left" vertical="top" wrapText="1" indent="1"/>
    </xf>
    <xf numFmtId="0" fontId="0" fillId="0" borderId="139" xfId="0" applyBorder="1" applyAlignment="1">
      <alignment horizontal="left" vertical="top" wrapText="1" indent="1"/>
    </xf>
    <xf numFmtId="0" fontId="80" fillId="0" borderId="160" xfId="0" applyFont="1" applyBorder="1" applyAlignment="1">
      <alignment horizontal="center" vertical="top" wrapText="1"/>
    </xf>
    <xf numFmtId="0" fontId="80" fillId="0" borderId="162" xfId="0" applyFont="1" applyBorder="1" applyAlignment="1">
      <alignment horizontal="center" vertical="top" wrapText="1"/>
    </xf>
    <xf numFmtId="0" fontId="80" fillId="0" borderId="135" xfId="0" applyFont="1" applyBorder="1" applyAlignment="1">
      <alignment horizontal="center" vertical="top" wrapText="1"/>
    </xf>
    <xf numFmtId="0" fontId="80" fillId="0" borderId="139" xfId="0" applyFont="1" applyBorder="1" applyAlignment="1">
      <alignment horizontal="center" vertical="top" wrapText="1"/>
    </xf>
    <xf numFmtId="0" fontId="80" fillId="0" borderId="150" xfId="0" applyFont="1" applyBorder="1" applyAlignment="1">
      <alignment horizontal="center" vertical="top" wrapText="1"/>
    </xf>
    <xf numFmtId="0" fontId="80" fillId="0" borderId="141" xfId="0" applyFont="1" applyBorder="1" applyAlignment="1">
      <alignment horizontal="center" vertical="top" wrapText="1"/>
    </xf>
    <xf numFmtId="0" fontId="80" fillId="0" borderId="159" xfId="0" applyFont="1" applyBorder="1" applyAlignment="1">
      <alignment horizontal="center" vertical="top" wrapText="1"/>
    </xf>
    <xf numFmtId="0" fontId="80" fillId="0" borderId="140" xfId="0" applyFont="1" applyBorder="1" applyAlignment="1">
      <alignment horizontal="center" vertical="top" wrapText="1"/>
    </xf>
    <xf numFmtId="0" fontId="0" fillId="0" borderId="162" xfId="0" applyBorder="1" applyAlignment="1">
      <alignment horizontal="center" vertical="top" wrapText="1"/>
    </xf>
    <xf numFmtId="0" fontId="0" fillId="0" borderId="154" xfId="0" applyBorder="1" applyAlignment="1">
      <alignment horizontal="center" vertical="top" wrapText="1"/>
    </xf>
    <xf numFmtId="0" fontId="0" fillId="0" borderId="141" xfId="0" applyBorder="1" applyAlignment="1">
      <alignment horizontal="center" vertical="top" wrapText="1"/>
    </xf>
    <xf numFmtId="0" fontId="152" fillId="0" borderId="137" xfId="0" applyFont="1" applyBorder="1" applyAlignment="1">
      <alignment horizontal="left" vertical="top" wrapText="1"/>
    </xf>
    <xf numFmtId="0" fontId="152" fillId="0" borderId="139" xfId="0" applyFont="1" applyBorder="1" applyAlignment="1">
      <alignment horizontal="left" vertical="top" wrapText="1"/>
    </xf>
    <xf numFmtId="0" fontId="0" fillId="0" borderId="161" xfId="0" applyBorder="1" applyAlignment="1">
      <alignment horizontal="center" vertical="top" wrapText="1"/>
    </xf>
    <xf numFmtId="0" fontId="0" fillId="0" borderId="0" xfId="0" applyBorder="1" applyAlignment="1">
      <alignment horizontal="center" vertical="top" wrapText="1"/>
    </xf>
    <xf numFmtId="0" fontId="0" fillId="0" borderId="142" xfId="0" applyBorder="1" applyAlignment="1">
      <alignment horizontal="center" vertical="top" wrapText="1"/>
    </xf>
    <xf numFmtId="0" fontId="62" fillId="0" borderId="161" xfId="0" applyFont="1" applyBorder="1" applyAlignment="1">
      <alignment vertical="top" wrapText="1"/>
    </xf>
    <xf numFmtId="0" fontId="62" fillId="0" borderId="142" xfId="0" applyFont="1" applyBorder="1" applyAlignment="1">
      <alignment vertical="top" wrapText="1"/>
    </xf>
    <xf numFmtId="0" fontId="0" fillId="0" borderId="161" xfId="0" applyBorder="1" applyAlignment="1">
      <alignment vertical="top" wrapText="1"/>
    </xf>
    <xf numFmtId="0" fontId="0" fillId="0" borderId="0" xfId="0" applyBorder="1" applyAlignment="1">
      <alignment vertical="top" wrapText="1"/>
    </xf>
    <xf numFmtId="0" fontId="0" fillId="0" borderId="142" xfId="0" applyBorder="1" applyAlignment="1">
      <alignment vertical="top" wrapText="1"/>
    </xf>
    <xf numFmtId="0" fontId="0" fillId="0" borderId="139" xfId="0" applyBorder="1" applyAlignment="1">
      <alignment horizontal="justify" vertical="top" wrapText="1"/>
    </xf>
    <xf numFmtId="0" fontId="0" fillId="0" borderId="160" xfId="0" applyBorder="1" applyAlignment="1">
      <alignment vertical="top" wrapText="1"/>
    </xf>
    <xf numFmtId="0" fontId="0" fillId="0" borderId="245" xfId="0" applyBorder="1" applyAlignment="1">
      <alignment vertical="top" wrapText="1"/>
    </xf>
    <xf numFmtId="0" fontId="0" fillId="0" borderId="150" xfId="0" applyBorder="1" applyAlignment="1">
      <alignment vertical="top" wrapText="1"/>
    </xf>
    <xf numFmtId="0" fontId="62" fillId="0" borderId="229" xfId="0" applyFont="1" applyBorder="1" applyAlignment="1">
      <alignment vertical="center"/>
    </xf>
    <xf numFmtId="0" fontId="0" fillId="0" borderId="212" xfId="0" applyBorder="1" applyAlignment="1"/>
    <xf numFmtId="0" fontId="62" fillId="0" borderId="289" xfId="0" applyFont="1" applyBorder="1" applyAlignment="1">
      <alignment horizontal="center" vertical="center"/>
    </xf>
    <xf numFmtId="0" fontId="62" fillId="0" borderId="290" xfId="0" applyFont="1" applyBorder="1" applyAlignment="1">
      <alignment horizontal="center" vertical="center"/>
    </xf>
    <xf numFmtId="0" fontId="62" fillId="0" borderId="308" xfId="0" applyFont="1" applyBorder="1" applyAlignment="1">
      <alignment horizontal="center" vertical="center"/>
    </xf>
    <xf numFmtId="0" fontId="69" fillId="0" borderId="159" xfId="0" applyFont="1" applyBorder="1" applyAlignment="1">
      <alignment horizontal="center" vertical="top" wrapText="1"/>
    </xf>
    <xf numFmtId="0" fontId="69" fillId="0" borderId="140" xfId="0" applyFont="1" applyBorder="1" applyAlignment="1">
      <alignment horizontal="center" vertical="top" wrapText="1"/>
    </xf>
    <xf numFmtId="0" fontId="71" fillId="0" borderId="135" xfId="0" applyFont="1" applyBorder="1" applyAlignment="1">
      <alignment vertical="top" wrapText="1"/>
    </xf>
    <xf numFmtId="0" fontId="71" fillId="0" borderId="137" xfId="0" applyFont="1" applyBorder="1" applyAlignment="1">
      <alignment vertical="top" wrapText="1"/>
    </xf>
    <xf numFmtId="0" fontId="71" fillId="0" borderId="139" xfId="0" applyFont="1" applyBorder="1" applyAlignment="1">
      <alignment vertical="top" wrapText="1"/>
    </xf>
    <xf numFmtId="0" fontId="89" fillId="0" borderId="135" xfId="0" applyFont="1" applyBorder="1" applyAlignment="1">
      <alignment vertical="top" wrapText="1"/>
    </xf>
    <xf numFmtId="0" fontId="89" fillId="0" borderId="137" xfId="0" applyFont="1" applyBorder="1" applyAlignment="1">
      <alignment vertical="top" wrapText="1"/>
    </xf>
    <xf numFmtId="0" fontId="89" fillId="0" borderId="139" xfId="0" applyFont="1" applyBorder="1" applyAlignment="1">
      <alignment vertical="top" wrapText="1"/>
    </xf>
    <xf numFmtId="0" fontId="89" fillId="0" borderId="135" xfId="0" applyFont="1" applyBorder="1" applyAlignment="1">
      <alignment horizontal="center" vertical="top" wrapText="1"/>
    </xf>
    <xf numFmtId="0" fontId="89" fillId="0" borderId="137" xfId="0" applyFont="1" applyBorder="1" applyAlignment="1">
      <alignment horizontal="center" vertical="top" wrapText="1"/>
    </xf>
    <xf numFmtId="0" fontId="89" fillId="0" borderId="139" xfId="0" applyFont="1" applyBorder="1" applyAlignment="1">
      <alignment horizontal="center" vertical="top" wrapText="1"/>
    </xf>
    <xf numFmtId="0" fontId="69" fillId="0" borderId="135" xfId="0" applyFont="1" applyBorder="1" applyAlignment="1">
      <alignment vertical="top" wrapText="1"/>
    </xf>
    <xf numFmtId="0" fontId="89" fillId="0" borderId="137" xfId="0" applyFont="1" applyBorder="1" applyAlignment="1">
      <alignment horizontal="left" vertical="top" wrapText="1"/>
    </xf>
    <xf numFmtId="0" fontId="69" fillId="0" borderId="160" xfId="0" applyFont="1" applyBorder="1" applyAlignment="1">
      <alignment vertical="top" wrapText="1"/>
    </xf>
    <xf numFmtId="0" fontId="69" fillId="0" borderId="245" xfId="0" applyFont="1" applyBorder="1" applyAlignment="1">
      <alignment vertical="top" wrapText="1"/>
    </xf>
    <xf numFmtId="0" fontId="69" fillId="0" borderId="150" xfId="0" applyFont="1" applyBorder="1" applyAlignment="1">
      <alignment vertical="top" wrapText="1"/>
    </xf>
    <xf numFmtId="0" fontId="69" fillId="0" borderId="161" xfId="0" applyFont="1" applyBorder="1" applyAlignment="1">
      <alignment vertical="top" wrapText="1"/>
    </xf>
    <xf numFmtId="0" fontId="69" fillId="0" borderId="0" xfId="0" applyFont="1" applyAlignment="1">
      <alignment vertical="top" wrapText="1"/>
    </xf>
    <xf numFmtId="0" fontId="69" fillId="0" borderId="142" xfId="0" applyFont="1" applyBorder="1" applyAlignment="1">
      <alignment vertical="top" wrapText="1"/>
    </xf>
    <xf numFmtId="0" fontId="71" fillId="0" borderId="162" xfId="0" applyFont="1" applyBorder="1" applyAlignment="1">
      <alignment vertical="top" wrapText="1"/>
    </xf>
    <xf numFmtId="0" fontId="71" fillId="0" borderId="154" xfId="0" applyFont="1" applyBorder="1" applyAlignment="1">
      <alignment vertical="top" wrapText="1"/>
    </xf>
    <xf numFmtId="0" fontId="71" fillId="0" borderId="141" xfId="0" applyFont="1" applyBorder="1" applyAlignment="1">
      <alignment vertical="top" wrapText="1"/>
    </xf>
    <xf numFmtId="0" fontId="71" fillId="0" borderId="135" xfId="0" applyFont="1" applyBorder="1" applyAlignment="1">
      <alignment horizontal="center" vertical="top" wrapText="1"/>
    </xf>
    <xf numFmtId="0" fontId="71" fillId="0" borderId="137" xfId="0" applyFont="1" applyBorder="1" applyAlignment="1">
      <alignment horizontal="center" vertical="top" wrapText="1"/>
    </xf>
    <xf numFmtId="0" fontId="71" fillId="0" borderId="139" xfId="0" applyFont="1" applyBorder="1" applyAlignment="1">
      <alignment horizontal="center" vertical="top" wrapText="1"/>
    </xf>
    <xf numFmtId="0" fontId="74" fillId="0" borderId="0" xfId="0" applyFont="1" applyAlignment="1">
      <alignment horizontal="left" vertical="center" wrapText="1"/>
    </xf>
    <xf numFmtId="0" fontId="68" fillId="0" borderId="0" xfId="0" applyFont="1" applyAlignment="1">
      <alignment horizontal="center" vertical="top"/>
    </xf>
    <xf numFmtId="0" fontId="74" fillId="0" borderId="0" xfId="0" applyFont="1" applyAlignment="1">
      <alignment horizontal="left" wrapText="1"/>
    </xf>
    <xf numFmtId="0" fontId="74" fillId="0" borderId="0" xfId="0" applyFont="1" applyAlignment="1">
      <alignment horizontal="left"/>
    </xf>
    <xf numFmtId="0" fontId="74" fillId="0" borderId="0" xfId="0" applyFont="1" applyAlignment="1">
      <alignment horizontal="left" vertical="top" wrapText="1"/>
    </xf>
    <xf numFmtId="0" fontId="69" fillId="0" borderId="135" xfId="0" applyFont="1" applyBorder="1" applyAlignment="1">
      <alignment horizontal="center" vertical="top" wrapText="1"/>
    </xf>
    <xf numFmtId="0" fontId="69" fillId="0" borderId="137" xfId="0" applyFont="1" applyBorder="1" applyAlignment="1">
      <alignment horizontal="center" vertical="top" wrapText="1"/>
    </xf>
    <xf numFmtId="0" fontId="69" fillId="0" borderId="139" xfId="0" applyFont="1" applyBorder="1" applyAlignment="1">
      <alignment horizontal="center" vertical="top" wrapText="1"/>
    </xf>
    <xf numFmtId="0" fontId="409" fillId="0" borderId="0" xfId="7" applyNumberFormat="1" applyFont="1" applyFill="1" applyAlignment="1" applyProtection="1">
      <alignment horizontal="center" vertical="center"/>
      <protection locked="0"/>
    </xf>
    <xf numFmtId="0" fontId="112" fillId="0" borderId="135" xfId="0" applyFont="1" applyBorder="1" applyAlignment="1">
      <alignment vertical="top" wrapText="1"/>
    </xf>
    <xf numFmtId="0" fontId="112" fillId="0" borderId="139" xfId="0" applyFont="1" applyBorder="1" applyAlignment="1">
      <alignment vertical="top" wrapText="1"/>
    </xf>
    <xf numFmtId="4" fontId="112" fillId="0" borderId="135" xfId="0" applyNumberFormat="1" applyFont="1" applyBorder="1" applyAlignment="1">
      <alignment horizontal="right" vertical="top" wrapText="1"/>
    </xf>
    <xf numFmtId="4" fontId="112" fillId="0" borderId="139" xfId="0" applyNumberFormat="1" applyFont="1" applyBorder="1" applyAlignment="1">
      <alignment horizontal="right" vertical="top" wrapText="1"/>
    </xf>
    <xf numFmtId="0" fontId="112" fillId="0" borderId="137" xfId="0" applyFont="1" applyBorder="1" applyAlignment="1">
      <alignment vertical="top" wrapText="1"/>
    </xf>
    <xf numFmtId="0" fontId="112" fillId="0" borderId="137" xfId="0" applyFont="1" applyBorder="1" applyAlignment="1">
      <alignment horizontal="center" vertical="top" wrapText="1"/>
    </xf>
    <xf numFmtId="0" fontId="112" fillId="0" borderId="139" xfId="0" applyFont="1" applyBorder="1" applyAlignment="1">
      <alignment horizontal="center" vertical="top" wrapText="1"/>
    </xf>
    <xf numFmtId="0" fontId="74" fillId="0" borderId="137" xfId="0" applyFont="1" applyBorder="1" applyAlignment="1">
      <alignment horizontal="right" vertical="top" wrapText="1"/>
    </xf>
    <xf numFmtId="0" fontId="74" fillId="0" borderId="139" xfId="0" applyFont="1" applyBorder="1" applyAlignment="1">
      <alignment horizontal="right" vertical="top" wrapText="1"/>
    </xf>
    <xf numFmtId="4" fontId="74" fillId="0" borderId="137" xfId="0" applyNumberFormat="1" applyFont="1" applyBorder="1" applyAlignment="1">
      <alignment horizontal="right" vertical="top" wrapText="1"/>
    </xf>
    <xf numFmtId="4" fontId="74" fillId="0" borderId="139" xfId="0" applyNumberFormat="1" applyFont="1" applyBorder="1" applyAlignment="1">
      <alignment horizontal="right" vertical="top" wrapText="1"/>
    </xf>
    <xf numFmtId="0" fontId="112" fillId="0" borderId="135" xfId="0" applyFont="1" applyBorder="1" applyAlignment="1">
      <alignment horizontal="center" vertical="top" wrapText="1"/>
    </xf>
    <xf numFmtId="0" fontId="112" fillId="0" borderId="160" xfId="0" applyFont="1" applyBorder="1" applyAlignment="1">
      <alignment horizontal="center" vertical="top" wrapText="1"/>
    </xf>
    <xf numFmtId="0" fontId="112" fillId="0" borderId="150" xfId="0" applyFont="1" applyBorder="1" applyAlignment="1">
      <alignment horizontal="center" vertical="top" wrapText="1"/>
    </xf>
    <xf numFmtId="0" fontId="112" fillId="0" borderId="162" xfId="0" applyFont="1" applyBorder="1" applyAlignment="1">
      <alignment horizontal="center" vertical="top" wrapText="1"/>
    </xf>
    <xf numFmtId="0" fontId="112" fillId="0" borderId="141" xfId="0" applyFont="1" applyBorder="1" applyAlignment="1">
      <alignment horizontal="center" vertical="top" wrapText="1"/>
    </xf>
    <xf numFmtId="0" fontId="74" fillId="0" borderId="135" xfId="0" applyFont="1" applyBorder="1" applyAlignment="1">
      <alignment vertical="top" wrapText="1"/>
    </xf>
    <xf numFmtId="0" fontId="74" fillId="0" borderId="137" xfId="0" applyFont="1" applyBorder="1" applyAlignment="1">
      <alignment vertical="top" wrapText="1"/>
    </xf>
    <xf numFmtId="0" fontId="112" fillId="0" borderId="135" xfId="0" applyFont="1" applyBorder="1" applyAlignment="1">
      <alignment horizontal="left" vertical="top" wrapText="1" indent="5"/>
    </xf>
    <xf numFmtId="0" fontId="112" fillId="0" borderId="139" xfId="0" applyFont="1" applyBorder="1" applyAlignment="1">
      <alignment horizontal="left" vertical="top" wrapText="1" indent="5"/>
    </xf>
    <xf numFmtId="0" fontId="112" fillId="0" borderId="137" xfId="0" applyFont="1" applyBorder="1" applyAlignment="1">
      <alignment horizontal="left" vertical="top" wrapText="1" indent="5"/>
    </xf>
    <xf numFmtId="0" fontId="74" fillId="0" borderId="135" xfId="0" applyFont="1" applyBorder="1" applyAlignment="1">
      <alignment horizontal="center" vertical="top" wrapText="1"/>
    </xf>
    <xf numFmtId="0" fontId="74" fillId="0" borderId="137" xfId="0" applyFont="1" applyBorder="1" applyAlignment="1">
      <alignment horizontal="center" vertical="top" wrapText="1"/>
    </xf>
    <xf numFmtId="0" fontId="220" fillId="0" borderId="0" xfId="21" applyFont="1" applyFill="1" applyAlignment="1">
      <alignment horizontal="left"/>
    </xf>
    <xf numFmtId="0" fontId="278" fillId="0" borderId="685" xfId="45" applyFont="1" applyFill="1" applyBorder="1" applyAlignment="1" applyProtection="1">
      <alignment horizontal="center" vertical="center" wrapText="1"/>
      <protection locked="0"/>
    </xf>
    <xf numFmtId="0" fontId="278" fillId="0" borderId="397" xfId="45" applyFont="1" applyFill="1" applyBorder="1" applyAlignment="1" applyProtection="1">
      <alignment horizontal="center" vertical="center" wrapText="1"/>
      <protection locked="0"/>
    </xf>
    <xf numFmtId="0" fontId="319" fillId="0" borderId="0" xfId="45" applyFont="1" applyFill="1" applyAlignment="1" applyProtection="1">
      <alignment horizontal="center" vertical="center"/>
      <protection locked="0"/>
    </xf>
    <xf numFmtId="0" fontId="409" fillId="0" borderId="0" xfId="45" applyFont="1" applyFill="1" applyAlignment="1" applyProtection="1">
      <alignment horizontal="center" vertical="center"/>
      <protection locked="0"/>
    </xf>
    <xf numFmtId="0" fontId="21" fillId="0" borderId="312" xfId="65" applyFont="1" applyBorder="1" applyAlignment="1">
      <alignment horizontal="left" vertical="top" wrapText="1"/>
    </xf>
    <xf numFmtId="0" fontId="21" fillId="0" borderId="357" xfId="65" applyFont="1" applyBorder="1" applyAlignment="1">
      <alignment horizontal="left" vertical="top" wrapText="1"/>
    </xf>
    <xf numFmtId="0" fontId="19" fillId="0" borderId="186" xfId="65" applyFont="1" applyBorder="1" applyAlignment="1">
      <alignment horizontal="left" vertical="top" wrapText="1"/>
    </xf>
    <xf numFmtId="0" fontId="19" fillId="0" borderId="186" xfId="65" applyFont="1" applyBorder="1" applyAlignment="1">
      <alignment horizontal="center" vertical="top" wrapText="1"/>
    </xf>
    <xf numFmtId="0" fontId="21" fillId="0" borderId="186" xfId="65" applyFont="1" applyBorder="1" applyAlignment="1">
      <alignment horizontal="left" vertical="top" wrapText="1"/>
    </xf>
    <xf numFmtId="0" fontId="21" fillId="0" borderId="107" xfId="65" applyFont="1" applyBorder="1" applyAlignment="1">
      <alignment horizontal="left" vertical="top" wrapText="1"/>
    </xf>
    <xf numFmtId="0" fontId="19" fillId="0" borderId="107" xfId="65" applyFont="1" applyBorder="1" applyAlignment="1">
      <alignment horizontal="left" vertical="top" wrapText="1"/>
    </xf>
    <xf numFmtId="0" fontId="19" fillId="0" borderId="107" xfId="65" applyFont="1" applyBorder="1" applyAlignment="1">
      <alignment horizontal="center" vertical="top" wrapText="1"/>
    </xf>
    <xf numFmtId="0" fontId="21" fillId="0" borderId="104" xfId="65" applyFont="1" applyBorder="1" applyAlignment="1">
      <alignment horizontal="left" vertical="top" wrapText="1"/>
    </xf>
    <xf numFmtId="0" fontId="19" fillId="0" borderId="104" xfId="65" applyFont="1" applyBorder="1" applyAlignment="1">
      <alignment horizontal="left" vertical="top" wrapText="1"/>
    </xf>
    <xf numFmtId="0" fontId="19" fillId="0" borderId="104" xfId="65" applyFont="1" applyBorder="1" applyAlignment="1">
      <alignment horizontal="center" vertical="top" wrapText="1"/>
    </xf>
    <xf numFmtId="0" fontId="19" fillId="0" borderId="0" xfId="65" applyFont="1" applyAlignment="1">
      <alignment horizontal="left" vertical="top" wrapText="1"/>
    </xf>
    <xf numFmtId="0" fontId="27" fillId="0" borderId="0" xfId="65" applyFont="1" applyAlignment="1">
      <alignment horizontal="center" vertical="top"/>
    </xf>
    <xf numFmtId="0" fontId="19" fillId="0" borderId="0" xfId="65" applyFont="1" applyAlignment="1">
      <alignment horizontal="justify" vertical="top" wrapText="1"/>
    </xf>
    <xf numFmtId="0" fontId="21" fillId="0" borderId="193" xfId="65" applyFont="1" applyBorder="1" applyAlignment="1">
      <alignment vertical="top" wrapText="1"/>
    </xf>
    <xf numFmtId="0" fontId="21" fillId="0" borderId="68" xfId="65" applyFont="1" applyBorder="1" applyAlignment="1">
      <alignment vertical="top" wrapText="1"/>
    </xf>
    <xf numFmtId="0" fontId="21" fillId="0" borderId="23" xfId="65" applyFont="1" applyBorder="1" applyAlignment="1">
      <alignment vertical="top" wrapText="1"/>
    </xf>
    <xf numFmtId="0" fontId="21" fillId="0" borderId="78" xfId="65" applyFont="1" applyBorder="1" applyAlignment="1">
      <alignment vertical="top" wrapText="1"/>
    </xf>
    <xf numFmtId="0" fontId="29" fillId="0" borderId="191" xfId="65" applyFont="1" applyBorder="1" applyAlignment="1">
      <alignment horizontal="center" vertical="top" wrapText="1"/>
    </xf>
    <xf numFmtId="0" fontId="29" fillId="0" borderId="66" xfId="65" applyFont="1" applyBorder="1" applyAlignment="1">
      <alignment horizontal="center" vertical="top" wrapText="1"/>
    </xf>
    <xf numFmtId="0" fontId="29" fillId="0" borderId="23" xfId="65" applyFont="1" applyBorder="1" applyAlignment="1">
      <alignment horizontal="center" vertical="top" wrapText="1"/>
    </xf>
    <xf numFmtId="0" fontId="29" fillId="0" borderId="78" xfId="65" applyFont="1" applyBorder="1" applyAlignment="1">
      <alignment horizontal="center" vertical="top" wrapText="1"/>
    </xf>
    <xf numFmtId="0" fontId="31" fillId="0" borderId="0" xfId="65" applyFont="1" applyAlignment="1">
      <alignment horizontal="left" vertical="top"/>
    </xf>
    <xf numFmtId="0" fontId="33" fillId="0" borderId="191" xfId="65" applyFont="1" applyBorder="1" applyAlignment="1">
      <alignment horizontal="center" vertical="top" wrapText="1"/>
    </xf>
    <xf numFmtId="0" fontId="33" fillId="0" borderId="66" xfId="65" applyFont="1" applyBorder="1" applyAlignment="1">
      <alignment horizontal="center" vertical="top" wrapText="1"/>
    </xf>
    <xf numFmtId="4" fontId="278" fillId="0" borderId="687" xfId="30" applyNumberFormat="1" applyFont="1" applyFill="1" applyBorder="1" applyAlignment="1" applyProtection="1">
      <alignment horizontal="center" vertical="center"/>
      <protection locked="0"/>
    </xf>
    <xf numFmtId="4" fontId="278" fillId="0" borderId="434" xfId="30" applyNumberFormat="1" applyFont="1" applyFill="1" applyBorder="1" applyAlignment="1" applyProtection="1">
      <alignment horizontal="center" vertical="center"/>
      <protection locked="0"/>
    </xf>
    <xf numFmtId="4" fontId="278" fillId="0" borderId="672" xfId="30" applyNumberFormat="1" applyFont="1" applyFill="1" applyBorder="1" applyAlignment="1" applyProtection="1">
      <alignment horizontal="center" vertical="center"/>
      <protection locked="0"/>
    </xf>
    <xf numFmtId="1" fontId="320" fillId="0" borderId="685" xfId="2" applyNumberFormat="1" applyFont="1" applyFill="1" applyBorder="1" applyAlignment="1">
      <alignment horizontal="center" vertical="center" wrapText="1"/>
    </xf>
    <xf numFmtId="1" fontId="320" fillId="0" borderId="397" xfId="2" applyNumberFormat="1" applyFont="1" applyFill="1" applyBorder="1" applyAlignment="1">
      <alignment horizontal="center" vertical="center" wrapText="1"/>
    </xf>
    <xf numFmtId="0" fontId="409" fillId="0" borderId="0" xfId="2" applyNumberFormat="1" applyFont="1" applyFill="1" applyAlignment="1" applyProtection="1">
      <alignment horizontal="center" vertical="center"/>
      <protection locked="0"/>
    </xf>
    <xf numFmtId="43" fontId="62" fillId="0" borderId="230" xfId="1" applyFont="1" applyBorder="1" applyAlignment="1">
      <alignment horizontal="center" vertical="center"/>
    </xf>
    <xf numFmtId="43" fontId="62" fillId="0" borderId="231" xfId="1" applyFont="1" applyBorder="1" applyAlignment="1">
      <alignment horizontal="center" vertical="center"/>
    </xf>
    <xf numFmtId="43" fontId="62" fillId="0" borderId="232" xfId="1" applyFont="1" applyBorder="1" applyAlignment="1">
      <alignment horizontal="center" vertical="center"/>
    </xf>
    <xf numFmtId="0" fontId="55" fillId="0" borderId="0" xfId="0" applyFont="1" applyAlignment="1">
      <alignment horizontal="justify" vertical="top"/>
    </xf>
    <xf numFmtId="0" fontId="81" fillId="0" borderId="0" xfId="0" applyFont="1" applyAlignment="1">
      <alignment horizontal="center" vertical="top"/>
    </xf>
    <xf numFmtId="0" fontId="75" fillId="0" borderId="0" xfId="0" applyFont="1" applyAlignment="1">
      <alignment horizontal="justify" vertical="top"/>
    </xf>
    <xf numFmtId="0" fontId="55" fillId="0" borderId="0" xfId="0" applyFont="1" applyAlignment="1">
      <alignment horizontal="justify" vertical="top" wrapText="1"/>
    </xf>
    <xf numFmtId="0" fontId="55" fillId="0" borderId="0" xfId="0" applyFont="1" applyAlignment="1">
      <alignment horizontal="justify"/>
    </xf>
    <xf numFmtId="0" fontId="41" fillId="5" borderId="270" xfId="48" applyFont="1" applyFill="1" applyBorder="1" applyAlignment="1">
      <alignment horizontal="center" vertical="top"/>
    </xf>
    <xf numFmtId="0" fontId="41" fillId="5" borderId="262" xfId="48" applyFont="1" applyFill="1" applyBorder="1" applyAlignment="1">
      <alignment horizontal="center" vertical="top"/>
    </xf>
    <xf numFmtId="0" fontId="41" fillId="5" borderId="300" xfId="48" applyFont="1" applyFill="1" applyBorder="1" applyAlignment="1">
      <alignment horizontal="center" vertical="top"/>
    </xf>
    <xf numFmtId="0" fontId="41" fillId="5" borderId="0" xfId="48" applyFont="1" applyFill="1" applyBorder="1" applyAlignment="1">
      <alignment horizontal="center" vertical="top"/>
    </xf>
    <xf numFmtId="0" fontId="41" fillId="5" borderId="326" xfId="48" applyFont="1" applyFill="1" applyBorder="1" applyAlignment="1">
      <alignment horizontal="center" vertical="top"/>
    </xf>
    <xf numFmtId="0" fontId="41" fillId="5" borderId="258" xfId="48" applyFont="1" applyFill="1" applyBorder="1" applyAlignment="1">
      <alignment horizontal="center" vertical="top"/>
    </xf>
    <xf numFmtId="0" fontId="41" fillId="5" borderId="242" xfId="48" applyFont="1" applyFill="1" applyBorder="1" applyAlignment="1">
      <alignment horizontal="center" vertical="top"/>
    </xf>
    <xf numFmtId="49" fontId="41" fillId="5" borderId="300" xfId="48" applyNumberFormat="1" applyFont="1" applyFill="1" applyBorder="1" applyAlignment="1">
      <alignment horizontal="center" vertical="top"/>
    </xf>
    <xf numFmtId="49" fontId="41" fillId="5" borderId="0" xfId="48" applyNumberFormat="1" applyFont="1" applyFill="1" applyBorder="1" applyAlignment="1">
      <alignment horizontal="center" vertical="top"/>
    </xf>
    <xf numFmtId="49" fontId="41" fillId="5" borderId="326" xfId="48" applyNumberFormat="1" applyFont="1" applyFill="1" applyBorder="1" applyAlignment="1">
      <alignment horizontal="center" vertical="top"/>
    </xf>
    <xf numFmtId="49" fontId="46" fillId="5" borderId="300" xfId="48" applyNumberFormat="1" applyFont="1" applyFill="1" applyBorder="1" applyAlignment="1">
      <alignment horizontal="center" vertical="top"/>
    </xf>
    <xf numFmtId="49" fontId="46" fillId="5" borderId="326" xfId="48" applyNumberFormat="1" applyFont="1" applyFill="1" applyBorder="1" applyAlignment="1">
      <alignment horizontal="center" vertical="top"/>
    </xf>
    <xf numFmtId="49" fontId="41" fillId="5" borderId="258" xfId="48" applyNumberFormat="1" applyFont="1" applyFill="1" applyBorder="1" applyAlignment="1">
      <alignment horizontal="center" vertical="top"/>
    </xf>
    <xf numFmtId="49" fontId="41" fillId="5" borderId="195" xfId="48" applyNumberFormat="1" applyFont="1" applyFill="1" applyBorder="1" applyAlignment="1">
      <alignment horizontal="center" vertical="top"/>
    </xf>
    <xf numFmtId="49" fontId="41" fillId="5" borderId="247" xfId="48" applyNumberFormat="1" applyFont="1" applyFill="1" applyBorder="1" applyAlignment="1">
      <alignment horizontal="center" vertical="top"/>
    </xf>
    <xf numFmtId="49" fontId="41" fillId="5" borderId="270" xfId="48" applyNumberFormat="1" applyFont="1" applyFill="1" applyBorder="1" applyAlignment="1">
      <alignment horizontal="left" vertical="top"/>
    </xf>
    <xf numFmtId="49" fontId="41" fillId="5" borderId="311" xfId="48" applyNumberFormat="1" applyFont="1" applyFill="1" applyBorder="1" applyAlignment="1">
      <alignment horizontal="left" vertical="top"/>
    </xf>
    <xf numFmtId="49" fontId="41" fillId="5" borderId="271" xfId="48" applyNumberFormat="1" applyFont="1" applyFill="1" applyBorder="1" applyAlignment="1">
      <alignment horizontal="left" vertical="top"/>
    </xf>
    <xf numFmtId="39" fontId="41" fillId="5" borderId="270" xfId="16" applyNumberFormat="1" applyFont="1" applyFill="1" applyBorder="1" applyAlignment="1">
      <alignment horizontal="center" vertical="top"/>
    </xf>
    <xf numFmtId="39" fontId="41" fillId="5" borderId="271" xfId="16" applyNumberFormat="1" applyFont="1" applyFill="1" applyBorder="1" applyAlignment="1">
      <alignment horizontal="center" vertical="top"/>
    </xf>
    <xf numFmtId="49" fontId="46" fillId="5" borderId="270" xfId="48" applyNumberFormat="1" applyFont="1" applyFill="1" applyBorder="1" applyAlignment="1">
      <alignment horizontal="center" vertical="top"/>
    </xf>
    <xf numFmtId="49" fontId="46" fillId="5" borderId="271" xfId="48" applyNumberFormat="1" applyFont="1" applyFill="1" applyBorder="1" applyAlignment="1">
      <alignment horizontal="center" vertical="top"/>
    </xf>
    <xf numFmtId="0" fontId="41" fillId="5" borderId="311" xfId="48" applyFont="1" applyFill="1" applyBorder="1" applyAlignment="1">
      <alignment horizontal="center" vertical="top"/>
    </xf>
    <xf numFmtId="0" fontId="41" fillId="5" borderId="271" xfId="48" applyFont="1" applyFill="1" applyBorder="1" applyAlignment="1">
      <alignment horizontal="center" vertical="top"/>
    </xf>
    <xf numFmtId="49" fontId="46" fillId="5" borderId="300" xfId="48" applyNumberFormat="1" applyFont="1" applyFill="1" applyBorder="1" applyAlignment="1">
      <alignment horizontal="left" vertical="top"/>
    </xf>
    <xf numFmtId="49" fontId="46" fillId="5" borderId="0" xfId="48" applyNumberFormat="1" applyFont="1" applyFill="1" applyBorder="1" applyAlignment="1">
      <alignment horizontal="left" vertical="top"/>
    </xf>
    <xf numFmtId="49" fontId="46" fillId="5" borderId="326" xfId="48" applyNumberFormat="1" applyFont="1" applyFill="1" applyBorder="1" applyAlignment="1">
      <alignment horizontal="left" vertical="top"/>
    </xf>
    <xf numFmtId="0" fontId="19" fillId="0" borderId="0" xfId="48" applyFont="1" applyBorder="1" applyAlignment="1">
      <alignment horizontal="left" vertical="top"/>
    </xf>
    <xf numFmtId="0" fontId="19" fillId="0" borderId="326" xfId="48" applyFont="1" applyBorder="1" applyAlignment="1">
      <alignment horizontal="left" vertical="top"/>
    </xf>
    <xf numFmtId="49" fontId="46" fillId="5" borderId="0" xfId="48" applyNumberFormat="1" applyFont="1" applyFill="1" applyBorder="1" applyAlignment="1">
      <alignment horizontal="center" vertical="top"/>
    </xf>
    <xf numFmtId="0" fontId="0" fillId="0" borderId="300" xfId="0" applyBorder="1" applyAlignment="1">
      <alignment horizontal="center"/>
    </xf>
    <xf numFmtId="0" fontId="0" fillId="0" borderId="0" xfId="0" applyAlignment="1">
      <alignment horizontal="center"/>
    </xf>
    <xf numFmtId="0" fontId="0" fillId="0" borderId="326" xfId="0" applyBorder="1" applyAlignment="1">
      <alignment horizontal="center"/>
    </xf>
    <xf numFmtId="43" fontId="41" fillId="5" borderId="300" xfId="16" applyFont="1" applyFill="1" applyBorder="1" applyAlignment="1">
      <alignment horizontal="center" vertical="top"/>
    </xf>
    <xf numFmtId="43" fontId="41" fillId="5" borderId="326" xfId="16" applyFont="1" applyFill="1" applyBorder="1" applyAlignment="1">
      <alignment horizontal="center" vertical="top"/>
    </xf>
    <xf numFmtId="49" fontId="41" fillId="5" borderId="300" xfId="48" applyNumberFormat="1" applyFont="1" applyFill="1" applyBorder="1" applyAlignment="1">
      <alignment horizontal="left" vertical="top"/>
    </xf>
    <xf numFmtId="49" fontId="41" fillId="5" borderId="0" xfId="48" applyNumberFormat="1" applyFont="1" applyFill="1" applyBorder="1" applyAlignment="1">
      <alignment horizontal="left" vertical="top"/>
    </xf>
    <xf numFmtId="49" fontId="41" fillId="5" borderId="326" xfId="48" applyNumberFormat="1" applyFont="1" applyFill="1" applyBorder="1" applyAlignment="1">
      <alignment horizontal="left" vertical="top"/>
    </xf>
    <xf numFmtId="49" fontId="46" fillId="5" borderId="300" xfId="48" applyNumberFormat="1" applyFont="1" applyFill="1" applyBorder="1" applyAlignment="1">
      <alignment vertical="top"/>
    </xf>
    <xf numFmtId="49" fontId="46" fillId="5" borderId="0" xfId="48" applyNumberFormat="1" applyFont="1" applyFill="1" applyBorder="1" applyAlignment="1">
      <alignment vertical="top"/>
    </xf>
    <xf numFmtId="49" fontId="46" fillId="5" borderId="326" xfId="48" applyNumberFormat="1" applyFont="1" applyFill="1" applyBorder="1" applyAlignment="1">
      <alignment vertical="top"/>
    </xf>
    <xf numFmtId="49" fontId="46" fillId="5" borderId="311" xfId="48" applyNumberFormat="1" applyFont="1" applyFill="1" applyBorder="1" applyAlignment="1">
      <alignment horizontal="center" vertical="top"/>
    </xf>
    <xf numFmtId="49" fontId="46" fillId="5" borderId="270" xfId="48" applyNumberFormat="1" applyFont="1" applyFill="1" applyBorder="1" applyAlignment="1">
      <alignment horizontal="left" vertical="top"/>
    </xf>
    <xf numFmtId="49" fontId="46" fillId="5" borderId="271" xfId="48" applyNumberFormat="1" applyFont="1" applyFill="1" applyBorder="1" applyAlignment="1">
      <alignment horizontal="left" vertical="top"/>
    </xf>
    <xf numFmtId="49" fontId="46" fillId="5" borderId="300" xfId="48" applyNumberFormat="1" applyFont="1" applyFill="1" applyBorder="1" applyAlignment="1">
      <alignment horizontal="left" vertical="top" wrapText="1"/>
    </xf>
    <xf numFmtId="49" fontId="46" fillId="5" borderId="0" xfId="48" applyNumberFormat="1" applyFont="1" applyFill="1" applyBorder="1" applyAlignment="1">
      <alignment horizontal="left" vertical="top" wrapText="1"/>
    </xf>
    <xf numFmtId="49" fontId="46" fillId="5" borderId="326" xfId="48" applyNumberFormat="1" applyFont="1" applyFill="1" applyBorder="1" applyAlignment="1">
      <alignment horizontal="left" vertical="top" wrapText="1"/>
    </xf>
    <xf numFmtId="49" fontId="46" fillId="5" borderId="300" xfId="48" applyNumberFormat="1" applyFont="1" applyFill="1" applyBorder="1" applyAlignment="1">
      <alignment horizontal="center" vertical="top" wrapText="1"/>
    </xf>
    <xf numFmtId="49" fontId="46" fillId="5" borderId="326" xfId="48" applyNumberFormat="1" applyFont="1" applyFill="1" applyBorder="1" applyAlignment="1">
      <alignment horizontal="center" vertical="top" wrapText="1"/>
    </xf>
    <xf numFmtId="0" fontId="46" fillId="5" borderId="300" xfId="48" applyFont="1" applyFill="1" applyBorder="1" applyAlignment="1">
      <alignment horizontal="center" vertical="top"/>
    </xf>
    <xf numFmtId="0" fontId="46" fillId="5" borderId="326" xfId="48" applyFont="1" applyFill="1" applyBorder="1" applyAlignment="1">
      <alignment horizontal="center" vertical="top"/>
    </xf>
    <xf numFmtId="0" fontId="0" fillId="0" borderId="0" xfId="0"/>
    <xf numFmtId="0" fontId="0" fillId="0" borderId="326" xfId="0" applyBorder="1"/>
    <xf numFmtId="49" fontId="96" fillId="5" borderId="300" xfId="48" applyNumberFormat="1" applyFont="1" applyFill="1" applyBorder="1" applyAlignment="1">
      <alignment horizontal="center" vertical="top"/>
    </xf>
    <xf numFmtId="0" fontId="0" fillId="0" borderId="0" xfId="0" applyAlignment="1">
      <alignment horizontal="left"/>
    </xf>
    <xf numFmtId="0" fontId="0" fillId="0" borderId="326" xfId="0" applyBorder="1" applyAlignment="1">
      <alignment horizontal="left"/>
    </xf>
    <xf numFmtId="49" fontId="46" fillId="5" borderId="306" xfId="48" applyNumberFormat="1" applyFont="1" applyFill="1" applyBorder="1" applyAlignment="1">
      <alignment horizontal="center" vertical="top"/>
    </xf>
    <xf numFmtId="49" fontId="46" fillId="5" borderId="316" xfId="48" applyNumberFormat="1" applyFont="1" applyFill="1" applyBorder="1" applyAlignment="1">
      <alignment horizontal="center" vertical="top"/>
    </xf>
    <xf numFmtId="49" fontId="97" fillId="5" borderId="0" xfId="48" applyNumberFormat="1" applyFont="1" applyFill="1" applyBorder="1" applyAlignment="1">
      <alignment horizontal="center" vertical="top"/>
    </xf>
    <xf numFmtId="49" fontId="97" fillId="5" borderId="326" xfId="48" applyNumberFormat="1" applyFont="1" applyFill="1" applyBorder="1" applyAlignment="1">
      <alignment horizontal="center" vertical="top"/>
    </xf>
    <xf numFmtId="43" fontId="46" fillId="5" borderId="300" xfId="9" applyFont="1" applyFill="1" applyBorder="1" applyAlignment="1">
      <alignment horizontal="center" vertical="top"/>
    </xf>
    <xf numFmtId="43" fontId="46" fillId="5" borderId="326" xfId="9" applyFont="1" applyFill="1" applyBorder="1" applyAlignment="1">
      <alignment horizontal="center" vertical="top"/>
    </xf>
    <xf numFmtId="49" fontId="46" fillId="5" borderId="258" xfId="48" applyNumberFormat="1" applyFont="1" applyFill="1" applyBorder="1" applyAlignment="1">
      <alignment horizontal="left" vertical="top"/>
    </xf>
    <xf numFmtId="49" fontId="46" fillId="5" borderId="195" xfId="48" applyNumberFormat="1" applyFont="1" applyFill="1" applyBorder="1" applyAlignment="1">
      <alignment horizontal="left" vertical="top"/>
    </xf>
    <xf numFmtId="49" fontId="46" fillId="5" borderId="247" xfId="48" applyNumberFormat="1" applyFont="1" applyFill="1" applyBorder="1" applyAlignment="1">
      <alignment horizontal="left" vertical="top"/>
    </xf>
    <xf numFmtId="49" fontId="46" fillId="5" borderId="258" xfId="48" applyNumberFormat="1" applyFont="1" applyFill="1" applyBorder="1" applyAlignment="1">
      <alignment horizontal="center" vertical="top"/>
    </xf>
    <xf numFmtId="49" fontId="46" fillId="5" borderId="247" xfId="48" applyNumberFormat="1" applyFont="1" applyFill="1" applyBorder="1" applyAlignment="1">
      <alignment horizontal="center" vertical="top"/>
    </xf>
    <xf numFmtId="0" fontId="409" fillId="0" borderId="0" xfId="58" applyNumberFormat="1" applyFont="1" applyFill="1" applyAlignment="1" applyProtection="1">
      <alignment horizontal="center" vertical="center"/>
      <protection locked="0"/>
    </xf>
    <xf numFmtId="0" fontId="319" fillId="0" borderId="0" xfId="58" applyFont="1" applyFill="1" applyAlignment="1" applyProtection="1">
      <alignment horizontal="center" vertical="center"/>
      <protection locked="0"/>
    </xf>
    <xf numFmtId="1" fontId="278" fillId="0" borderId="685" xfId="58" applyNumberFormat="1" applyFont="1" applyFill="1" applyBorder="1" applyAlignment="1" applyProtection="1">
      <alignment horizontal="center" vertical="center" wrapText="1"/>
      <protection locked="0"/>
    </xf>
    <xf numFmtId="1" fontId="278" fillId="0" borderId="397" xfId="58" applyNumberFormat="1" applyFont="1" applyFill="1" applyBorder="1" applyAlignment="1" applyProtection="1">
      <alignment horizontal="center" vertical="center" wrapText="1"/>
      <protection locked="0"/>
    </xf>
    <xf numFmtId="0" fontId="0" fillId="0" borderId="406" xfId="0" applyBorder="1" applyAlignment="1">
      <alignment horizontal="center" vertical="center"/>
    </xf>
    <xf numFmtId="0" fontId="0" fillId="0" borderId="303" xfId="0" applyBorder="1" applyAlignment="1">
      <alignment horizontal="center" vertical="center"/>
    </xf>
    <xf numFmtId="0" fontId="54" fillId="0" borderId="270" xfId="0" applyFont="1" applyBorder="1" applyAlignment="1">
      <alignment horizontal="center"/>
    </xf>
    <xf numFmtId="0" fontId="54" fillId="0" borderId="438" xfId="0" applyFont="1" applyBorder="1" applyAlignment="1">
      <alignment horizontal="center"/>
    </xf>
    <xf numFmtId="0" fontId="54" fillId="0" borderId="271" xfId="0" applyFont="1" applyBorder="1" applyAlignment="1">
      <alignment horizontal="center"/>
    </xf>
    <xf numFmtId="0" fontId="220" fillId="0" borderId="707" xfId="21" applyFont="1" applyFill="1" applyBorder="1" applyAlignment="1">
      <alignment horizontal="center" vertical="center"/>
    </xf>
    <xf numFmtId="0" fontId="220" fillId="0" borderId="708" xfId="21" applyFont="1" applyFill="1" applyBorder="1" applyAlignment="1">
      <alignment horizontal="center" vertical="center"/>
    </xf>
    <xf numFmtId="0" fontId="19" fillId="0" borderId="0" xfId="65" applyFont="1" applyBorder="1" applyAlignment="1">
      <alignment horizontal="center" vertical="top"/>
    </xf>
    <xf numFmtId="0" fontId="34" fillId="0" borderId="18" xfId="65" applyFont="1" applyFill="1" applyBorder="1" applyAlignment="1">
      <alignment horizontal="center" vertical="top" wrapText="1"/>
    </xf>
    <xf numFmtId="0" fontId="34" fillId="0" borderId="121" xfId="65" applyFont="1" applyFill="1" applyBorder="1" applyAlignment="1">
      <alignment horizontal="center" vertical="top" wrapText="1"/>
    </xf>
    <xf numFmtId="0" fontId="31" fillId="0" borderId="0" xfId="65" applyFont="1" applyAlignment="1">
      <alignment horizontal="center" vertical="top"/>
    </xf>
    <xf numFmtId="0" fontId="21" fillId="0" borderId="50" xfId="65" applyFont="1" applyBorder="1" applyAlignment="1">
      <alignment horizontal="center" vertical="top" wrapText="1"/>
    </xf>
    <xf numFmtId="0" fontId="21" fillId="0" borderId="25" xfId="65" applyFont="1" applyBorder="1" applyAlignment="1">
      <alignment horizontal="center" vertical="top" wrapText="1"/>
    </xf>
    <xf numFmtId="0" fontId="21" fillId="0" borderId="2" xfId="65" applyFont="1" applyBorder="1" applyAlignment="1">
      <alignment horizontal="left" vertical="top"/>
    </xf>
    <xf numFmtId="0" fontId="21" fillId="0" borderId="91" xfId="65" applyFont="1" applyBorder="1" applyAlignment="1">
      <alignment horizontal="left" vertical="top"/>
    </xf>
    <xf numFmtId="0" fontId="21" fillId="0" borderId="129" xfId="65" applyFont="1" applyBorder="1" applyAlignment="1">
      <alignment horizontal="center" vertical="center"/>
    </xf>
    <xf numFmtId="0" fontId="21" fillId="0" borderId="123" xfId="65" applyFont="1" applyBorder="1" applyAlignment="1">
      <alignment horizontal="center" vertical="center"/>
    </xf>
    <xf numFmtId="0" fontId="21" fillId="0" borderId="0" xfId="65" applyFont="1" applyBorder="1" applyAlignment="1">
      <alignment horizontal="center" vertical="top"/>
    </xf>
    <xf numFmtId="0" fontId="19" fillId="0" borderId="212" xfId="65" applyFont="1" applyBorder="1" applyAlignment="1">
      <alignment horizontal="center" vertical="top" wrapText="1"/>
    </xf>
    <xf numFmtId="4" fontId="221" fillId="0" borderId="0" xfId="46" applyNumberFormat="1" applyFont="1" applyFill="1" applyAlignment="1" applyProtection="1">
      <alignment horizontal="center" vertical="center"/>
      <protection locked="0"/>
    </xf>
    <xf numFmtId="0" fontId="220" fillId="0" borderId="0" xfId="46" applyFont="1" applyFill="1" applyAlignment="1" applyProtection="1">
      <alignment horizontal="center"/>
      <protection locked="0"/>
    </xf>
    <xf numFmtId="0" fontId="221" fillId="0" borderId="0" xfId="45" applyFont="1" applyFill="1" applyAlignment="1" applyProtection="1">
      <alignment horizontal="center" vertical="center"/>
      <protection locked="0"/>
    </xf>
    <xf numFmtId="4" fontId="223" fillId="0" borderId="295" xfId="1" applyNumberFormat="1" applyFont="1" applyFill="1" applyBorder="1" applyAlignment="1" applyProtection="1">
      <alignment horizontal="center" vertical="top" wrapText="1" readingOrder="1"/>
      <protection hidden="1"/>
    </xf>
    <xf numFmtId="4" fontId="223" fillId="0" borderId="553" xfId="1" applyNumberFormat="1" applyFont="1" applyFill="1" applyBorder="1" applyAlignment="1" applyProtection="1">
      <alignment horizontal="center" vertical="top" wrapText="1" readingOrder="1"/>
      <protection hidden="1"/>
    </xf>
    <xf numFmtId="0" fontId="21" fillId="0" borderId="109" xfId="21" applyFont="1" applyBorder="1" applyAlignment="1">
      <alignment horizontal="center" vertical="center"/>
    </xf>
    <xf numFmtId="0" fontId="211" fillId="0" borderId="0" xfId="92" applyFont="1" applyAlignment="1">
      <alignment horizontal="center" vertical="top"/>
    </xf>
    <xf numFmtId="0" fontId="220" fillId="0" borderId="18" xfId="65" applyFont="1" applyFill="1" applyBorder="1" applyAlignment="1">
      <alignment horizontal="center" vertical="top" wrapText="1"/>
    </xf>
    <xf numFmtId="0" fontId="220" fillId="0" borderId="121" xfId="65" applyFont="1" applyFill="1" applyBorder="1" applyAlignment="1">
      <alignment horizontal="center" vertical="top" wrapText="1"/>
    </xf>
    <xf numFmtId="0" fontId="220" fillId="0" borderId="50" xfId="65" applyFont="1" applyBorder="1" applyAlignment="1">
      <alignment horizontal="center" vertical="top" wrapText="1"/>
    </xf>
    <xf numFmtId="0" fontId="220" fillId="0" borderId="25" xfId="65" applyFont="1" applyBorder="1" applyAlignment="1">
      <alignment horizontal="center" vertical="top" wrapText="1"/>
    </xf>
    <xf numFmtId="0" fontId="221" fillId="0" borderId="295" xfId="65" applyFont="1" applyBorder="1" applyAlignment="1">
      <alignment horizontal="center" vertical="top" wrapText="1"/>
    </xf>
    <xf numFmtId="0" fontId="220" fillId="0" borderId="300" xfId="65" applyFont="1" applyBorder="1" applyAlignment="1">
      <alignment horizontal="left" vertical="top"/>
    </xf>
    <xf numFmtId="0" fontId="220" fillId="0" borderId="419" xfId="65" applyFont="1" applyBorder="1" applyAlignment="1">
      <alignment horizontal="left" vertical="top"/>
    </xf>
    <xf numFmtId="0" fontId="319" fillId="0" borderId="0" xfId="47" applyFont="1" applyFill="1" applyAlignment="1" applyProtection="1">
      <alignment horizontal="center" vertical="center"/>
      <protection locked="0"/>
    </xf>
    <xf numFmtId="0" fontId="278" fillId="0" borderId="685" xfId="47" applyFont="1" applyFill="1" applyBorder="1" applyAlignment="1" applyProtection="1">
      <alignment horizontal="center" vertical="center" wrapText="1"/>
      <protection locked="0"/>
    </xf>
    <xf numFmtId="0" fontId="278" fillId="0" borderId="397" xfId="47" applyFont="1" applyFill="1" applyBorder="1" applyAlignment="1" applyProtection="1">
      <alignment horizontal="center" vertical="center" wrapText="1"/>
      <protection locked="0"/>
    </xf>
    <xf numFmtId="0" fontId="278" fillId="0" borderId="295" xfId="47" applyFont="1" applyFill="1" applyBorder="1" applyAlignment="1" applyProtection="1">
      <alignment horizontal="center" vertical="center" wrapText="1"/>
      <protection locked="0"/>
    </xf>
    <xf numFmtId="0" fontId="411" fillId="0" borderId="0" xfId="47" applyFont="1" applyFill="1" applyAlignment="1" applyProtection="1">
      <alignment horizontal="center" vertical="center"/>
      <protection locked="0"/>
    </xf>
    <xf numFmtId="0" fontId="62" fillId="0" borderId="450" xfId="0" applyFont="1" applyBorder="1" applyAlignment="1">
      <alignment horizontal="center" vertical="center"/>
    </xf>
    <xf numFmtId="0" fontId="62" fillId="0" borderId="448" xfId="0" applyFont="1" applyBorder="1" applyAlignment="1">
      <alignment horizontal="center" vertical="center"/>
    </xf>
    <xf numFmtId="43" fontId="62" fillId="0" borderId="407" xfId="1" applyFont="1" applyBorder="1" applyAlignment="1">
      <alignment horizontal="center" vertical="center"/>
    </xf>
    <xf numFmtId="43" fontId="62" fillId="0" borderId="450" xfId="1" applyFont="1" applyBorder="1" applyAlignment="1">
      <alignment horizontal="center" vertical="center"/>
    </xf>
    <xf numFmtId="43" fontId="62" fillId="0" borderId="448" xfId="1" applyFont="1" applyBorder="1" applyAlignment="1">
      <alignment horizontal="center" vertical="center"/>
    </xf>
    <xf numFmtId="0" fontId="220" fillId="0" borderId="246" xfId="21" applyFont="1" applyFill="1" applyBorder="1" applyAlignment="1">
      <alignment horizontal="center" vertical="center"/>
    </xf>
    <xf numFmtId="0" fontId="74" fillId="0" borderId="312" xfId="0" applyFont="1" applyBorder="1" applyAlignment="1">
      <alignment horizontal="left" vertical="top" wrapText="1"/>
    </xf>
    <xf numFmtId="0" fontId="74" fillId="0" borderId="241" xfId="0" applyFont="1" applyBorder="1" applyAlignment="1">
      <alignment horizontal="left" vertical="top" wrapText="1"/>
    </xf>
    <xf numFmtId="0" fontId="69" fillId="0" borderId="369" xfId="0" applyFont="1" applyBorder="1" applyAlignment="1">
      <alignment horizontal="center" vertical="top" wrapText="1"/>
    </xf>
    <xf numFmtId="0" fontId="69" fillId="0" borderId="371" xfId="0" applyFont="1" applyBorder="1" applyAlignment="1">
      <alignment horizontal="center" vertical="top" wrapText="1"/>
    </xf>
    <xf numFmtId="0" fontId="234" fillId="0" borderId="357" xfId="0" applyFont="1" applyBorder="1" applyAlignment="1">
      <alignment horizontal="left" vertical="top" wrapText="1"/>
    </xf>
    <xf numFmtId="0" fontId="234" fillId="0" borderId="241" xfId="0" applyFont="1" applyBorder="1" applyAlignment="1">
      <alignment horizontal="left" vertical="top" wrapText="1"/>
    </xf>
    <xf numFmtId="0" fontId="74" fillId="0" borderId="379" xfId="0" applyFont="1" applyBorder="1" applyAlignment="1">
      <alignment horizontal="center" vertical="top" wrapText="1"/>
    </xf>
    <xf numFmtId="0" fontId="74" fillId="0" borderId="107" xfId="0" applyFont="1" applyBorder="1" applyAlignment="1">
      <alignment horizontal="center" vertical="top" wrapText="1"/>
    </xf>
    <xf numFmtId="0" fontId="74" fillId="0" borderId="379" xfId="0" applyFont="1" applyBorder="1" applyAlignment="1">
      <alignment horizontal="right" vertical="top" wrapText="1"/>
    </xf>
    <xf numFmtId="0" fontId="74" fillId="0" borderId="107" xfId="0" applyFont="1" applyBorder="1" applyAlignment="1">
      <alignment horizontal="right" vertical="top" wrapText="1"/>
    </xf>
    <xf numFmtId="0" fontId="74" fillId="0" borderId="379" xfId="0" applyFont="1" applyBorder="1" applyAlignment="1">
      <alignment vertical="top" wrapText="1"/>
    </xf>
    <xf numFmtId="0" fontId="74" fillId="0" borderId="107" xfId="0" applyFont="1" applyBorder="1" applyAlignment="1">
      <alignment vertical="top" wrapText="1"/>
    </xf>
    <xf numFmtId="17" fontId="74" fillId="0" borderId="379" xfId="0" applyNumberFormat="1" applyFont="1" applyBorder="1" applyAlignment="1">
      <alignment horizontal="center" vertical="top" wrapText="1"/>
    </xf>
    <xf numFmtId="17" fontId="74" fillId="0" borderId="107" xfId="0" applyNumberFormat="1" applyFont="1" applyBorder="1" applyAlignment="1">
      <alignment horizontal="center" vertical="top" wrapText="1"/>
    </xf>
    <xf numFmtId="0" fontId="112" fillId="0" borderId="0" xfId="0" applyFont="1" applyAlignment="1">
      <alignment horizontal="left" vertical="center" wrapText="1"/>
    </xf>
    <xf numFmtId="0" fontId="74" fillId="0" borderId="357" xfId="0" applyFont="1" applyBorder="1" applyAlignment="1">
      <alignment horizontal="center" vertical="top" wrapText="1"/>
    </xf>
    <xf numFmtId="0" fontId="74" fillId="0" borderId="357" xfId="0" applyFont="1" applyBorder="1" applyAlignment="1">
      <alignment vertical="top" wrapText="1"/>
    </xf>
    <xf numFmtId="4" fontId="74" fillId="0" borderId="379" xfId="0" applyNumberFormat="1" applyFont="1" applyBorder="1" applyAlignment="1">
      <alignment horizontal="right" vertical="top" wrapText="1"/>
    </xf>
    <xf numFmtId="4" fontId="74" fillId="0" borderId="357" xfId="0" applyNumberFormat="1" applyFont="1" applyBorder="1" applyAlignment="1">
      <alignment horizontal="right" vertical="top" wrapText="1"/>
    </xf>
    <xf numFmtId="4" fontId="74" fillId="0" borderId="107" xfId="0" applyNumberFormat="1" applyFont="1" applyBorder="1" applyAlignment="1">
      <alignment horizontal="right" vertical="top" wrapText="1"/>
    </xf>
    <xf numFmtId="17" fontId="74" fillId="0" borderId="357" xfId="0" applyNumberFormat="1" applyFont="1" applyBorder="1" applyAlignment="1">
      <alignment horizontal="center" vertical="top" wrapText="1"/>
    </xf>
    <xf numFmtId="0" fontId="234" fillId="0" borderId="379" xfId="0" applyFont="1" applyBorder="1" applyAlignment="1">
      <alignment vertical="top" wrapText="1"/>
    </xf>
    <xf numFmtId="0" fontId="234" fillId="0" borderId="107" xfId="0" applyFont="1" applyBorder="1" applyAlignment="1">
      <alignment vertical="top" wrapText="1"/>
    </xf>
    <xf numFmtId="0" fontId="74" fillId="0" borderId="379" xfId="0" applyFont="1" applyBorder="1" applyAlignment="1">
      <alignment horizontal="justify" vertical="top" wrapText="1"/>
    </xf>
    <xf numFmtId="0" fontId="74" fillId="0" borderId="357" xfId="0" applyFont="1" applyBorder="1" applyAlignment="1">
      <alignment horizontal="justify" vertical="top" wrapText="1"/>
    </xf>
    <xf numFmtId="0" fontId="74" fillId="0" borderId="107" xfId="0" applyFont="1" applyBorder="1" applyAlignment="1">
      <alignment horizontal="justify" vertical="top" wrapText="1"/>
    </xf>
    <xf numFmtId="0" fontId="234" fillId="0" borderId="357" xfId="0" applyFont="1" applyBorder="1" applyAlignment="1">
      <alignment vertical="top" wrapText="1"/>
    </xf>
    <xf numFmtId="0" fontId="235" fillId="0" borderId="379" xfId="0" applyFont="1" applyBorder="1" applyAlignment="1">
      <alignment vertical="top" wrapText="1"/>
    </xf>
    <xf numFmtId="0" fontId="235" fillId="0" borderId="107" xfId="0" applyFont="1" applyBorder="1" applyAlignment="1">
      <alignment vertical="top" wrapText="1"/>
    </xf>
    <xf numFmtId="43" fontId="74" fillId="0" borderId="379" xfId="1" applyFont="1" applyBorder="1" applyAlignment="1">
      <alignment horizontal="right" vertical="top" wrapText="1"/>
    </xf>
    <xf numFmtId="43" fontId="74" fillId="0" borderId="107" xfId="1" applyFont="1" applyBorder="1" applyAlignment="1">
      <alignment horizontal="right" vertical="top" wrapText="1"/>
    </xf>
    <xf numFmtId="0" fontId="112" fillId="0" borderId="379" xfId="0" applyFont="1" applyBorder="1" applyAlignment="1">
      <alignment horizontal="center" vertical="top" wrapText="1"/>
    </xf>
    <xf numFmtId="0" fontId="112" fillId="0" borderId="107" xfId="0" applyFont="1" applyBorder="1" applyAlignment="1">
      <alignment horizontal="center" vertical="top" wrapText="1"/>
    </xf>
    <xf numFmtId="0" fontId="319" fillId="0" borderId="0" xfId="2" applyFont="1" applyFill="1" applyAlignment="1" applyProtection="1">
      <alignment horizontal="center"/>
      <protection locked="0"/>
    </xf>
    <xf numFmtId="1" fontId="278" fillId="0" borderId="685" xfId="2" applyNumberFormat="1" applyFont="1" applyFill="1" applyBorder="1" applyAlignment="1" applyProtection="1">
      <alignment horizontal="center" wrapText="1"/>
      <protection locked="0"/>
    </xf>
    <xf numFmtId="1" fontId="278" fillId="0" borderId="397" xfId="2" applyNumberFormat="1" applyFont="1" applyFill="1" applyBorder="1" applyAlignment="1" applyProtection="1">
      <alignment horizontal="center" wrapText="1"/>
      <protection locked="0"/>
    </xf>
    <xf numFmtId="0" fontId="411" fillId="0" borderId="0" xfId="2" applyNumberFormat="1" applyFont="1" applyFill="1" applyAlignment="1" applyProtection="1">
      <alignment horizontal="center" vertical="center"/>
      <protection locked="0"/>
    </xf>
    <xf numFmtId="43" fontId="62" fillId="0" borderId="289" xfId="1" applyFont="1" applyBorder="1" applyAlignment="1">
      <alignment horizontal="center" vertical="center"/>
    </xf>
    <xf numFmtId="0" fontId="236" fillId="0" borderId="0" xfId="21" applyNumberFormat="1" applyFont="1" applyFill="1" applyAlignment="1">
      <alignment horizontal="center" vertical="top"/>
    </xf>
    <xf numFmtId="0" fontId="41" fillId="0" borderId="0" xfId="21" applyNumberFormat="1" applyFont="1" applyFill="1" applyAlignment="1">
      <alignment horizontal="center" vertical="top"/>
    </xf>
    <xf numFmtId="0" fontId="160" fillId="0" borderId="0" xfId="21" applyNumberFormat="1" applyFont="1" applyFill="1" applyAlignment="1">
      <alignment horizontal="left" vertical="top" wrapText="1"/>
    </xf>
    <xf numFmtId="0" fontId="41" fillId="0" borderId="0" xfId="21" applyNumberFormat="1" applyFont="1" applyFill="1" applyBorder="1" applyAlignment="1">
      <alignment horizontal="center" vertical="top"/>
    </xf>
    <xf numFmtId="0" fontId="41" fillId="0" borderId="302" xfId="21" applyNumberFormat="1" applyFont="1" applyFill="1" applyBorder="1" applyAlignment="1">
      <alignment horizontal="center" vertical="top" wrapText="1"/>
    </xf>
    <xf numFmtId="0" fontId="46" fillId="0" borderId="289" xfId="21" applyNumberFormat="1" applyFont="1" applyFill="1" applyBorder="1" applyAlignment="1">
      <alignment horizontal="center" vertical="top" wrapText="1"/>
    </xf>
    <xf numFmtId="0" fontId="46" fillId="0" borderId="304" xfId="62" applyNumberFormat="1" applyFont="1" applyFill="1" applyBorder="1" applyAlignment="1">
      <alignment horizontal="center" vertical="top" wrapText="1"/>
    </xf>
    <xf numFmtId="0" fontId="46" fillId="0" borderId="306" xfId="62" applyNumberFormat="1" applyFont="1" applyFill="1" applyBorder="1" applyAlignment="1">
      <alignment horizontal="center" vertical="top" wrapText="1"/>
    </xf>
    <xf numFmtId="0" fontId="46" fillId="0" borderId="302" xfId="21" applyNumberFormat="1" applyFont="1" applyFill="1" applyBorder="1" applyAlignment="1">
      <alignment horizontal="center" vertical="top" wrapText="1"/>
    </xf>
    <xf numFmtId="0" fontId="46" fillId="0" borderId="305" xfId="21" applyNumberFormat="1" applyFont="1" applyFill="1" applyBorder="1" applyAlignment="1">
      <alignment horizontal="center" vertical="top" wrapText="1"/>
    </xf>
    <xf numFmtId="0" fontId="46" fillId="0" borderId="316" xfId="21" applyNumberFormat="1" applyFont="1" applyFill="1" applyBorder="1" applyAlignment="1">
      <alignment horizontal="center" vertical="top" wrapText="1"/>
    </xf>
    <xf numFmtId="0" fontId="46" fillId="0" borderId="308" xfId="21" applyNumberFormat="1" applyFont="1" applyFill="1" applyBorder="1" applyAlignment="1">
      <alignment horizontal="center" vertical="top" wrapText="1"/>
    </xf>
    <xf numFmtId="0" fontId="149" fillId="0" borderId="0" xfId="21" applyNumberFormat="1" applyFont="1" applyFill="1" applyAlignment="1">
      <alignment horizontal="center" vertical="top"/>
    </xf>
    <xf numFmtId="0" fontId="319" fillId="0" borderId="0" xfId="46" applyFont="1" applyFill="1" applyAlignment="1" applyProtection="1">
      <alignment horizontal="center"/>
      <protection locked="0"/>
    </xf>
    <xf numFmtId="0" fontId="278" fillId="0" borderId="0" xfId="46" applyNumberFormat="1" applyFont="1" applyFill="1" applyAlignment="1" applyProtection="1">
      <alignment horizontal="center" vertical="center"/>
      <protection locked="0"/>
    </xf>
    <xf numFmtId="4" fontId="278" fillId="0" borderId="0" xfId="46" applyNumberFormat="1" applyFont="1" applyFill="1" applyAlignment="1" applyProtection="1">
      <alignment horizontal="center" vertical="center"/>
      <protection locked="0"/>
    </xf>
    <xf numFmtId="4" fontId="278" fillId="0" borderId="707" xfId="30" applyNumberFormat="1" applyFont="1" applyFill="1" applyBorder="1" applyAlignment="1" applyProtection="1">
      <alignment horizontal="center" vertical="center"/>
      <protection locked="0"/>
    </xf>
    <xf numFmtId="0" fontId="409" fillId="0" borderId="0" xfId="46" applyNumberFormat="1" applyFont="1" applyFill="1" applyAlignment="1" applyProtection="1">
      <alignment horizontal="center" vertical="center"/>
      <protection locked="0"/>
    </xf>
    <xf numFmtId="0" fontId="409" fillId="0" borderId="433" xfId="46" applyNumberFormat="1" applyFont="1" applyFill="1" applyBorder="1" applyAlignment="1" applyProtection="1">
      <alignment horizontal="center" vertical="center"/>
      <protection locked="0"/>
    </xf>
    <xf numFmtId="0" fontId="107" fillId="0" borderId="0" xfId="21" applyNumberFormat="1" applyFont="1" applyAlignment="1">
      <alignment horizontal="center"/>
    </xf>
    <xf numFmtId="0" fontId="27" fillId="0" borderId="0" xfId="21" applyNumberFormat="1" applyFont="1" applyAlignment="1">
      <alignment horizontal="center"/>
    </xf>
    <xf numFmtId="0" fontId="195" fillId="11" borderId="302" xfId="21" applyNumberFormat="1" applyFont="1" applyFill="1" applyBorder="1" applyAlignment="1">
      <alignment horizontal="center" vertical="top" wrapText="1"/>
    </xf>
    <xf numFmtId="0" fontId="21" fillId="11" borderId="302" xfId="21" applyNumberFormat="1" applyFont="1" applyFill="1" applyBorder="1" applyAlignment="1">
      <alignment horizontal="center" vertical="top" wrapText="1"/>
    </xf>
    <xf numFmtId="0" fontId="21" fillId="11" borderId="289" xfId="21" applyNumberFormat="1" applyFont="1" applyFill="1" applyBorder="1" applyAlignment="1">
      <alignment horizontal="center" vertical="top" wrapText="1"/>
    </xf>
    <xf numFmtId="0" fontId="21" fillId="11" borderId="290" xfId="21" applyNumberFormat="1" applyFont="1" applyFill="1" applyBorder="1" applyAlignment="1">
      <alignment horizontal="center" vertical="top" wrapText="1"/>
    </xf>
    <xf numFmtId="0" fontId="21" fillId="11" borderId="308" xfId="21" applyNumberFormat="1" applyFont="1" applyFill="1" applyBorder="1" applyAlignment="1">
      <alignment horizontal="center" vertical="top" wrapText="1"/>
    </xf>
    <xf numFmtId="0" fontId="33" fillId="0" borderId="202" xfId="43" applyFont="1" applyBorder="1" applyAlignment="1">
      <alignment horizontal="center" vertical="top"/>
    </xf>
    <xf numFmtId="0" fontId="33" fillId="0" borderId="171" xfId="43" applyFont="1" applyBorder="1" applyAlignment="1">
      <alignment horizontal="center" vertical="top"/>
    </xf>
    <xf numFmtId="0" fontId="33" fillId="0" borderId="219" xfId="43" applyFont="1" applyBorder="1" applyAlignment="1">
      <alignment horizontal="center" vertical="top"/>
    </xf>
    <xf numFmtId="0" fontId="33" fillId="0" borderId="233" xfId="43" applyFont="1" applyBorder="1" applyAlignment="1">
      <alignment horizontal="center" vertical="top"/>
    </xf>
    <xf numFmtId="0" fontId="319" fillId="0" borderId="0" xfId="30" applyFont="1" applyFill="1" applyAlignment="1" applyProtection="1">
      <alignment horizontal="center" vertical="center"/>
      <protection locked="0"/>
    </xf>
    <xf numFmtId="0" fontId="412" fillId="0" borderId="0" xfId="30" applyNumberFormat="1" applyFont="1" applyFill="1" applyAlignment="1" applyProtection="1">
      <alignment horizontal="center" vertical="center"/>
      <protection locked="0"/>
    </xf>
    <xf numFmtId="4" fontId="278" fillId="0" borderId="0" xfId="30" applyNumberFormat="1" applyFont="1" applyFill="1" applyAlignment="1" applyProtection="1">
      <alignment horizontal="center" vertical="center"/>
      <protection locked="0"/>
    </xf>
    <xf numFmtId="0" fontId="18" fillId="0" borderId="330" xfId="0" applyFont="1" applyBorder="1" applyAlignment="1">
      <alignment horizontal="center" vertical="center" wrapText="1"/>
    </xf>
    <xf numFmtId="0" fontId="18" fillId="0" borderId="93" xfId="0" applyFont="1" applyBorder="1" applyAlignment="1">
      <alignment horizontal="center" vertical="center" wrapText="1"/>
    </xf>
    <xf numFmtId="0" fontId="18" fillId="0" borderId="100" xfId="0" applyFont="1" applyBorder="1" applyAlignment="1"/>
    <xf numFmtId="0" fontId="18" fillId="0" borderId="313" xfId="0" applyFont="1" applyBorder="1" applyAlignment="1">
      <alignment horizontal="center" vertical="center" wrapText="1"/>
    </xf>
    <xf numFmtId="0" fontId="18" fillId="0" borderId="303" xfId="0" applyFont="1" applyBorder="1" applyAlignment="1">
      <alignment horizontal="center" vertical="center" wrapText="1"/>
    </xf>
    <xf numFmtId="0" fontId="18" fillId="0" borderId="269" xfId="0" applyFont="1" applyBorder="1" applyAlignment="1">
      <alignment horizontal="center" vertical="center" wrapText="1"/>
    </xf>
    <xf numFmtId="0" fontId="18" fillId="0" borderId="32" xfId="0" applyFont="1" applyBorder="1" applyAlignment="1">
      <alignment horizontal="center" vertical="center" wrapText="1"/>
    </xf>
    <xf numFmtId="0" fontId="94" fillId="0" borderId="439" xfId="0" applyFont="1" applyBorder="1" applyAlignment="1">
      <alignment horizontal="center" vertical="top" wrapText="1"/>
    </xf>
    <xf numFmtId="0" fontId="94" fillId="0" borderId="133" xfId="0" applyFont="1" applyBorder="1" applyAlignment="1">
      <alignment horizontal="center" vertical="top" wrapText="1"/>
    </xf>
    <xf numFmtId="0" fontId="93" fillId="0" borderId="295" xfId="0" applyFont="1" applyBorder="1" applyAlignment="1">
      <alignment horizontal="center" vertical="top" wrapText="1"/>
    </xf>
    <xf numFmtId="0" fontId="93" fillId="0" borderId="303" xfId="0" applyFont="1" applyBorder="1" applyAlignment="1">
      <alignment horizontal="center" vertical="top" wrapText="1"/>
    </xf>
    <xf numFmtId="0" fontId="82" fillId="0" borderId="300" xfId="0" applyFont="1" applyBorder="1" applyAlignment="1">
      <alignment horizontal="center" vertical="top" wrapText="1"/>
    </xf>
    <xf numFmtId="0" fontId="93" fillId="0" borderId="419" xfId="0" applyFont="1" applyBorder="1" applyAlignment="1">
      <alignment horizontal="center" vertical="top" wrapText="1"/>
    </xf>
    <xf numFmtId="0" fontId="93" fillId="0" borderId="306" xfId="0" applyFont="1" applyBorder="1" applyAlignment="1">
      <alignment horizontal="center" vertical="top" wrapText="1"/>
    </xf>
    <xf numFmtId="0" fontId="93" fillId="0" borderId="316" xfId="0" applyFont="1" applyBorder="1" applyAlignment="1">
      <alignment horizontal="center" vertical="top" wrapText="1"/>
    </xf>
    <xf numFmtId="0" fontId="72" fillId="0" borderId="0" xfId="0" applyFont="1" applyAlignment="1">
      <alignment horizontal="left" vertical="top"/>
    </xf>
    <xf numFmtId="0" fontId="93" fillId="0" borderId="301" xfId="0" applyFont="1" applyBorder="1" applyAlignment="1">
      <alignment horizontal="center" vertical="top" wrapText="1"/>
    </xf>
    <xf numFmtId="0" fontId="82" fillId="0" borderId="304" xfId="0" applyFont="1" applyBorder="1" applyAlignment="1">
      <alignment horizontal="center" vertical="top" wrapText="1"/>
    </xf>
    <xf numFmtId="0" fontId="93" fillId="0" borderId="305" xfId="0" applyFont="1" applyBorder="1" applyAlignment="1">
      <alignment horizontal="center" vertical="top" wrapText="1"/>
    </xf>
    <xf numFmtId="0" fontId="72" fillId="0" borderId="0" xfId="0" applyFont="1" applyAlignment="1">
      <alignment horizontal="justify"/>
    </xf>
    <xf numFmtId="0" fontId="72" fillId="0" borderId="295" xfId="0" applyFont="1" applyBorder="1" applyAlignment="1">
      <alignment horizontal="left" vertical="top" wrapText="1"/>
    </xf>
    <xf numFmtId="0" fontId="72" fillId="0" borderId="295" xfId="0" applyFont="1" applyBorder="1" applyAlignment="1">
      <alignment horizontal="center" vertical="top" wrapText="1"/>
    </xf>
    <xf numFmtId="0" fontId="72" fillId="0" borderId="0" xfId="0" applyFont="1" applyAlignment="1">
      <alignment vertical="top" wrapText="1"/>
    </xf>
    <xf numFmtId="0" fontId="72" fillId="0" borderId="0" xfId="0" applyFont="1" applyAlignment="1">
      <alignment horizontal="left"/>
    </xf>
    <xf numFmtId="0" fontId="81" fillId="0" borderId="0" xfId="0" applyFont="1" applyAlignment="1">
      <alignment horizontal="left"/>
    </xf>
    <xf numFmtId="0" fontId="72" fillId="0" borderId="0" xfId="0" applyFont="1" applyAlignment="1">
      <alignment horizontal="left" vertical="top" wrapText="1"/>
    </xf>
    <xf numFmtId="0" fontId="71" fillId="0" borderId="0" xfId="0" applyFont="1" applyAlignment="1">
      <alignment horizontal="left" vertical="top" wrapText="1"/>
    </xf>
    <xf numFmtId="0" fontId="81" fillId="0" borderId="0" xfId="0" applyFont="1" applyAlignment="1">
      <alignment horizontal="center"/>
    </xf>
    <xf numFmtId="0" fontId="81" fillId="0" borderId="0" xfId="0" applyFont="1"/>
    <xf numFmtId="0" fontId="77" fillId="0" borderId="0" xfId="0" applyFont="1" applyAlignment="1">
      <alignment horizontal="left" vertical="center" wrapText="1"/>
    </xf>
    <xf numFmtId="0" fontId="319" fillId="0" borderId="0" xfId="44" applyFont="1" applyFill="1" applyAlignment="1" applyProtection="1">
      <alignment horizontal="center" vertical="center"/>
      <protection locked="0"/>
    </xf>
    <xf numFmtId="1" fontId="278" fillId="0" borderId="685" xfId="44" applyNumberFormat="1" applyFont="1" applyFill="1" applyBorder="1" applyAlignment="1" applyProtection="1">
      <alignment horizontal="center" vertical="center" wrapText="1"/>
      <protection locked="0"/>
    </xf>
    <xf numFmtId="1" fontId="278" fillId="0" borderId="397" xfId="44" applyNumberFormat="1" applyFont="1" applyFill="1" applyBorder="1" applyAlignment="1" applyProtection="1">
      <alignment horizontal="center" vertical="center" wrapText="1"/>
      <protection locked="0"/>
    </xf>
    <xf numFmtId="0" fontId="409" fillId="0" borderId="0" xfId="44" applyNumberFormat="1" applyFont="1" applyFill="1" applyAlignment="1" applyProtection="1">
      <alignment horizontal="center" vertical="center"/>
      <protection locked="0"/>
    </xf>
    <xf numFmtId="4" fontId="278" fillId="0" borderId="0" xfId="44" applyNumberFormat="1" applyFont="1" applyFill="1" applyAlignment="1" applyProtection="1">
      <alignment horizontal="center" vertical="center"/>
      <protection locked="0"/>
    </xf>
    <xf numFmtId="0" fontId="220" fillId="0" borderId="536" xfId="21" applyFont="1" applyFill="1" applyBorder="1" applyAlignment="1">
      <alignment horizontal="center" vertical="center"/>
    </xf>
    <xf numFmtId="0" fontId="131" fillId="0" borderId="68" xfId="0" applyFont="1" applyBorder="1" applyAlignment="1">
      <alignment horizontal="left" vertical="top" wrapText="1"/>
    </xf>
    <xf numFmtId="0" fontId="131" fillId="0" borderId="111" xfId="0" applyFont="1" applyBorder="1" applyAlignment="1">
      <alignment horizontal="center" vertical="top" wrapText="1"/>
    </xf>
    <xf numFmtId="0" fontId="241" fillId="0" borderId="191" xfId="0" applyFont="1" applyBorder="1" applyAlignment="1">
      <alignment horizontal="center" vertical="top" wrapText="1"/>
    </xf>
    <xf numFmtId="0" fontId="241" fillId="0" borderId="66" xfId="0" applyFont="1" applyBorder="1" applyAlignment="1">
      <alignment horizontal="center" vertical="top" wrapText="1"/>
    </xf>
    <xf numFmtId="0" fontId="241" fillId="0" borderId="22" xfId="0" applyFont="1" applyBorder="1" applyAlignment="1">
      <alignment horizontal="center" vertical="top" wrapText="1"/>
    </xf>
    <xf numFmtId="0" fontId="241" fillId="0" borderId="68" xfId="0" applyFont="1" applyBorder="1" applyAlignment="1">
      <alignment horizontal="center" vertical="top" wrapText="1"/>
    </xf>
    <xf numFmtId="0" fontId="241" fillId="0" borderId="243" xfId="0" applyFont="1" applyBorder="1" applyAlignment="1">
      <alignment horizontal="center" vertical="top" wrapText="1"/>
    </xf>
    <xf numFmtId="0" fontId="241" fillId="0" borderId="242" xfId="0" applyFont="1" applyBorder="1" applyAlignment="1">
      <alignment horizontal="center" vertical="top" wrapText="1"/>
    </xf>
    <xf numFmtId="0" fontId="131" fillId="0" borderId="186" xfId="0" applyFont="1" applyBorder="1" applyAlignment="1">
      <alignment horizontal="center" vertical="top" wrapText="1"/>
    </xf>
    <xf numFmtId="0" fontId="131" fillId="0" borderId="242" xfId="0" applyFont="1" applyBorder="1" applyAlignment="1">
      <alignment horizontal="left" vertical="top" wrapText="1"/>
    </xf>
    <xf numFmtId="0" fontId="131" fillId="0" borderId="193" xfId="0" applyFont="1" applyBorder="1" applyAlignment="1">
      <alignment horizontal="left" vertical="top" wrapText="1"/>
    </xf>
    <xf numFmtId="0" fontId="131" fillId="0" borderId="193" xfId="0" applyFont="1" applyBorder="1" applyAlignment="1">
      <alignment horizontal="left" vertical="center" wrapText="1"/>
    </xf>
    <xf numFmtId="0" fontId="131" fillId="0" borderId="68" xfId="0" applyFont="1" applyBorder="1" applyAlignment="1">
      <alignment horizontal="left" vertical="center" wrapText="1"/>
    </xf>
    <xf numFmtId="0" fontId="245" fillId="0" borderId="193" xfId="0" applyFont="1" applyBorder="1" applyAlignment="1">
      <alignment horizontal="left" vertical="top" wrapText="1"/>
    </xf>
    <xf numFmtId="0" fontId="245" fillId="0" borderId="68" xfId="0" applyFont="1" applyBorder="1" applyAlignment="1">
      <alignment horizontal="left" vertical="top" wrapText="1"/>
    </xf>
    <xf numFmtId="0" fontId="247" fillId="0" borderId="193" xfId="0" applyFont="1" applyBorder="1" applyAlignment="1">
      <alignment horizontal="center" vertical="top" wrapText="1"/>
    </xf>
    <xf numFmtId="0" fontId="247" fillId="0" borderId="68" xfId="0" applyFont="1" applyBorder="1" applyAlignment="1">
      <alignment horizontal="center" vertical="top" wrapText="1"/>
    </xf>
    <xf numFmtId="0" fontId="131" fillId="0" borderId="314" xfId="0" applyFont="1" applyBorder="1" applyAlignment="1">
      <alignment horizontal="left" vertical="center"/>
    </xf>
    <xf numFmtId="0" fontId="131" fillId="0" borderId="68" xfId="0" applyFont="1" applyBorder="1" applyAlignment="1">
      <alignment horizontal="left" vertical="center"/>
    </xf>
    <xf numFmtId="0" fontId="131" fillId="0" borderId="0" xfId="0" applyFont="1" applyBorder="1" applyAlignment="1">
      <alignment horizontal="left" vertical="top" wrapText="1"/>
    </xf>
    <xf numFmtId="0" fontId="131" fillId="0" borderId="314" xfId="0" applyFont="1" applyBorder="1" applyAlignment="1">
      <alignment horizontal="left" vertical="top" wrapText="1"/>
    </xf>
    <xf numFmtId="0" fontId="246" fillId="0" borderId="193" xfId="0" applyFont="1" applyBorder="1" applyAlignment="1">
      <alignment horizontal="left" vertical="top" wrapText="1"/>
    </xf>
    <xf numFmtId="0" fontId="246" fillId="0" borderId="68" xfId="0" applyFont="1" applyBorder="1" applyAlignment="1">
      <alignment horizontal="left" vertical="top" wrapText="1"/>
    </xf>
    <xf numFmtId="0" fontId="244" fillId="0" borderId="0" xfId="0" applyFont="1" applyAlignment="1">
      <alignment horizontal="left" vertical="top" wrapText="1"/>
    </xf>
    <xf numFmtId="0" fontId="131" fillId="0" borderId="0" xfId="0" applyFont="1" applyAlignment="1">
      <alignment horizontal="left" vertical="top" wrapText="1"/>
    </xf>
    <xf numFmtId="0" fontId="244" fillId="0" borderId="0" xfId="0" applyFont="1" applyAlignment="1">
      <alignment horizontal="left" vertical="top"/>
    </xf>
    <xf numFmtId="0" fontId="241" fillId="0" borderId="23" xfId="0" applyFont="1" applyBorder="1" applyAlignment="1">
      <alignment horizontal="center" vertical="top" wrapText="1"/>
    </xf>
    <xf numFmtId="0" fontId="241" fillId="0" borderId="78" xfId="0" applyFont="1" applyBorder="1" applyAlignment="1">
      <alignment horizontal="center" vertical="top" wrapText="1"/>
    </xf>
    <xf numFmtId="0" fontId="131" fillId="0" borderId="186" xfId="0" applyFont="1" applyBorder="1" applyAlignment="1">
      <alignment horizontal="left" vertical="top" wrapText="1"/>
    </xf>
    <xf numFmtId="0" fontId="241" fillId="0" borderId="261" xfId="0" applyFont="1" applyBorder="1" applyAlignment="1">
      <alignment horizontal="center" vertical="center"/>
    </xf>
    <xf numFmtId="0" fontId="241" fillId="0" borderId="311" xfId="0" applyFont="1" applyBorder="1" applyAlignment="1">
      <alignment horizontal="center" vertical="center"/>
    </xf>
    <xf numFmtId="0" fontId="241" fillId="0" borderId="262" xfId="0" applyFont="1" applyBorder="1" applyAlignment="1">
      <alignment horizontal="center" vertical="center"/>
    </xf>
    <xf numFmtId="0" fontId="242" fillId="0" borderId="0" xfId="0" applyFont="1" applyAlignment="1">
      <alignment horizontal="left" vertical="top"/>
    </xf>
    <xf numFmtId="0" fontId="131" fillId="0" borderId="241" xfId="0" applyFont="1" applyBorder="1" applyAlignment="1">
      <alignment horizontal="left" vertical="top" wrapText="1"/>
    </xf>
    <xf numFmtId="0" fontId="131" fillId="0" borderId="68" xfId="0" applyFont="1" applyBorder="1" applyAlignment="1">
      <alignment horizontal="left" vertical="top" wrapText="1" indent="2"/>
    </xf>
    <xf numFmtId="0" fontId="131" fillId="0" borderId="186" xfId="0" applyFont="1" applyBorder="1" applyAlignment="1">
      <alignment vertical="top" wrapText="1"/>
    </xf>
    <xf numFmtId="0" fontId="409" fillId="0" borderId="0" xfId="30" applyNumberFormat="1" applyFont="1" applyFill="1" applyAlignment="1" applyProtection="1">
      <alignment horizontal="center" vertical="center"/>
      <protection locked="0"/>
    </xf>
    <xf numFmtId="0" fontId="71" fillId="0" borderId="312" xfId="0" applyFont="1" applyFill="1" applyBorder="1" applyAlignment="1">
      <alignment horizontal="left" vertical="top" wrapText="1" indent="2"/>
    </xf>
    <xf numFmtId="0" fontId="71" fillId="0" borderId="241" xfId="0" applyFont="1" applyFill="1" applyBorder="1" applyAlignment="1">
      <alignment horizontal="left" vertical="top" wrapText="1" indent="2"/>
    </xf>
    <xf numFmtId="4" fontId="71" fillId="0" borderId="312" xfId="0" applyNumberFormat="1" applyFont="1" applyFill="1" applyBorder="1" applyAlignment="1">
      <alignment horizontal="right" vertical="top" wrapText="1"/>
    </xf>
    <xf numFmtId="4" fontId="71" fillId="0" borderId="241" xfId="0" applyNumberFormat="1" applyFont="1" applyFill="1" applyBorder="1" applyAlignment="1">
      <alignment horizontal="right" vertical="top" wrapText="1"/>
    </xf>
    <xf numFmtId="0" fontId="71" fillId="0" borderId="312" xfId="0" applyFont="1" applyFill="1" applyBorder="1" applyAlignment="1">
      <alignment horizontal="right" vertical="top" wrapText="1"/>
    </xf>
    <xf numFmtId="0" fontId="71" fillId="0" borderId="241" xfId="0" applyFont="1" applyFill="1" applyBorder="1" applyAlignment="1">
      <alignment horizontal="right" vertical="top" wrapText="1"/>
    </xf>
    <xf numFmtId="0" fontId="74" fillId="0" borderId="261" xfId="0" applyFont="1" applyFill="1" applyBorder="1" applyAlignment="1">
      <alignment horizontal="center" vertical="top" wrapText="1"/>
    </xf>
    <xf numFmtId="0" fontId="74" fillId="0" borderId="262" xfId="0" applyFont="1" applyFill="1" applyBorder="1" applyAlignment="1">
      <alignment horizontal="center" vertical="top" wrapText="1"/>
    </xf>
    <xf numFmtId="0" fontId="74" fillId="0" borderId="243" xfId="0" applyFont="1" applyFill="1" applyBorder="1" applyAlignment="1">
      <alignment horizontal="center" vertical="top" wrapText="1"/>
    </xf>
    <xf numFmtId="0" fontId="74" fillId="0" borderId="242" xfId="0" applyFont="1" applyFill="1" applyBorder="1" applyAlignment="1">
      <alignment horizontal="center" vertical="top" wrapText="1"/>
    </xf>
    <xf numFmtId="0" fontId="89" fillId="0" borderId="312" xfId="0" applyFont="1" applyFill="1" applyBorder="1" applyAlignment="1">
      <alignment horizontal="justify" vertical="top" wrapText="1"/>
    </xf>
    <xf numFmtId="0" fontId="89" fillId="0" borderId="241" xfId="0" applyFont="1" applyFill="1" applyBorder="1" applyAlignment="1">
      <alignment horizontal="justify" vertical="top" wrapText="1"/>
    </xf>
    <xf numFmtId="0" fontId="69" fillId="0" borderId="312" xfId="0" applyFont="1" applyFill="1" applyBorder="1" applyAlignment="1">
      <alignment horizontal="left" vertical="top" wrapText="1" indent="2"/>
    </xf>
    <xf numFmtId="0" fontId="69" fillId="0" borderId="241" xfId="0" applyFont="1" applyFill="1" applyBorder="1" applyAlignment="1">
      <alignment horizontal="left" vertical="top" wrapText="1" indent="2"/>
    </xf>
    <xf numFmtId="4" fontId="69" fillId="0" borderId="312" xfId="0" applyNumberFormat="1" applyFont="1" applyFill="1" applyBorder="1" applyAlignment="1">
      <alignment horizontal="right" vertical="top" wrapText="1"/>
    </xf>
    <xf numFmtId="0" fontId="69" fillId="0" borderId="241" xfId="0" applyFont="1" applyFill="1" applyBorder="1" applyAlignment="1">
      <alignment horizontal="right" vertical="top" wrapText="1"/>
    </xf>
    <xf numFmtId="0" fontId="69" fillId="0" borderId="312" xfId="0" applyFont="1" applyFill="1" applyBorder="1" applyAlignment="1">
      <alignment horizontal="right" vertical="top" wrapText="1"/>
    </xf>
    <xf numFmtId="0" fontId="71" fillId="0" borderId="312" xfId="0" applyFont="1" applyFill="1" applyBorder="1" applyAlignment="1">
      <alignment horizontal="left" vertical="top" wrapText="1" indent="3"/>
    </xf>
    <xf numFmtId="0" fontId="71" fillId="0" borderId="241" xfId="0" applyFont="1" applyFill="1" applyBorder="1" applyAlignment="1">
      <alignment horizontal="left" vertical="top" wrapText="1" indent="3"/>
    </xf>
    <xf numFmtId="0" fontId="69" fillId="0" borderId="186" xfId="0" applyFont="1" applyFill="1" applyBorder="1" applyAlignment="1">
      <alignment horizontal="right" vertical="top" wrapText="1"/>
    </xf>
    <xf numFmtId="0" fontId="71" fillId="0" borderId="186" xfId="0" applyFont="1" applyFill="1" applyBorder="1" applyAlignment="1">
      <alignment horizontal="right" vertical="top" wrapText="1"/>
    </xf>
    <xf numFmtId="4" fontId="69" fillId="0" borderId="241" xfId="0" applyNumberFormat="1" applyFont="1" applyFill="1" applyBorder="1" applyAlignment="1">
      <alignment horizontal="right" vertical="top" wrapText="1"/>
    </xf>
    <xf numFmtId="4" fontId="71" fillId="0" borderId="186" xfId="0" applyNumberFormat="1" applyFont="1" applyFill="1" applyBorder="1" applyAlignment="1">
      <alignment horizontal="right" vertical="top" wrapText="1"/>
    </xf>
    <xf numFmtId="0" fontId="21" fillId="0" borderId="266" xfId="98" applyFont="1" applyBorder="1" applyAlignment="1">
      <alignment horizontal="center" vertical="top" wrapText="1"/>
    </xf>
    <xf numFmtId="0" fontId="21" fillId="0" borderId="267" xfId="98" applyFont="1" applyBorder="1" applyAlignment="1">
      <alignment horizontal="center" vertical="top" wrapText="1"/>
    </xf>
    <xf numFmtId="49" fontId="32" fillId="0" borderId="0" xfId="98" applyNumberFormat="1" applyFont="1" applyAlignment="1">
      <alignment horizontal="left" vertical="top"/>
    </xf>
    <xf numFmtId="0" fontId="32" fillId="0" borderId="0" xfId="98" applyFont="1" applyAlignment="1">
      <alignment horizontal="left" vertical="top"/>
    </xf>
    <xf numFmtId="0" fontId="278" fillId="0" borderId="0" xfId="42" applyNumberFormat="1" applyFont="1" applyFill="1" applyAlignment="1" applyProtection="1">
      <alignment horizontal="center" vertical="center"/>
      <protection locked="0"/>
    </xf>
    <xf numFmtId="4" fontId="278" fillId="0" borderId="0" xfId="42" applyNumberFormat="1" applyFont="1" applyFill="1" applyAlignment="1" applyProtection="1">
      <alignment horizontal="center" vertical="center"/>
      <protection locked="0"/>
    </xf>
    <xf numFmtId="0" fontId="319" fillId="0" borderId="0" xfId="42" applyFont="1" applyFill="1" applyAlignment="1" applyProtection="1">
      <alignment horizontal="center" vertical="center"/>
      <protection locked="0"/>
    </xf>
    <xf numFmtId="0" fontId="409" fillId="0" borderId="0" xfId="42" applyNumberFormat="1" applyFont="1" applyFill="1" applyBorder="1" applyAlignment="1" applyProtection="1">
      <alignment horizontal="center" vertical="center"/>
      <protection locked="0"/>
    </xf>
    <xf numFmtId="0" fontId="409" fillId="0" borderId="433" xfId="42" applyNumberFormat="1" applyFont="1" applyFill="1" applyBorder="1" applyAlignment="1" applyProtection="1">
      <alignment horizontal="center" vertical="center"/>
      <protection locked="0"/>
    </xf>
    <xf numFmtId="0" fontId="278" fillId="0" borderId="0" xfId="42" applyNumberFormat="1" applyFont="1" applyFill="1" applyBorder="1" applyAlignment="1" applyProtection="1">
      <alignment horizontal="center" vertical="center"/>
      <protection locked="0"/>
    </xf>
    <xf numFmtId="0" fontId="278" fillId="0" borderId="433" xfId="42" applyNumberFormat="1" applyFont="1" applyFill="1" applyBorder="1" applyAlignment="1" applyProtection="1">
      <alignment horizontal="center" vertical="center"/>
      <protection locked="0"/>
    </xf>
    <xf numFmtId="0" fontId="220" fillId="0" borderId="672" xfId="21" applyFont="1" applyFill="1" applyBorder="1" applyAlignment="1">
      <alignment horizontal="center"/>
    </xf>
    <xf numFmtId="0" fontId="220" fillId="0" borderId="536" xfId="21" applyFont="1" applyFill="1" applyBorder="1" applyAlignment="1">
      <alignment horizontal="center"/>
    </xf>
    <xf numFmtId="0" fontId="68" fillId="0" borderId="0" xfId="0" applyFont="1" applyAlignment="1">
      <alignment horizontal="center"/>
    </xf>
    <xf numFmtId="0" fontId="71" fillId="0" borderId="0" xfId="0" applyFont="1" applyAlignment="1">
      <alignment wrapText="1"/>
    </xf>
    <xf numFmtId="0" fontId="71" fillId="0" borderId="111" xfId="0" applyFont="1" applyBorder="1" applyAlignment="1">
      <alignment vertical="top" wrapText="1"/>
    </xf>
    <xf numFmtId="0" fontId="92" fillId="0" borderId="357" xfId="0" applyFont="1" applyBorder="1" applyAlignment="1">
      <alignment horizontal="center" vertical="top" wrapText="1"/>
    </xf>
    <xf numFmtId="0" fontId="92" fillId="0" borderId="146" xfId="0" applyFont="1" applyBorder="1" applyAlignment="1">
      <alignment horizontal="center" vertical="top" wrapText="1"/>
    </xf>
    <xf numFmtId="0" fontId="92" fillId="0" borderId="152" xfId="0" applyFont="1" applyBorder="1" applyAlignment="1">
      <alignment horizontal="center" vertical="top" wrapText="1"/>
    </xf>
    <xf numFmtId="0" fontId="92" fillId="0" borderId="149" xfId="0" applyFont="1" applyBorder="1" applyAlignment="1">
      <alignment horizontal="center" vertical="top" wrapText="1"/>
    </xf>
    <xf numFmtId="0" fontId="152" fillId="0" borderId="137" xfId="0" applyFont="1" applyBorder="1" applyAlignment="1">
      <alignment horizontal="left" vertical="top" wrapText="1" indent="5"/>
    </xf>
    <xf numFmtId="0" fontId="0" fillId="0" borderId="137" xfId="0" applyBorder="1" applyAlignment="1">
      <alignment vertical="top" wrapText="1"/>
    </xf>
    <xf numFmtId="0" fontId="92" fillId="0" borderId="160" xfId="0" applyFont="1" applyBorder="1" applyAlignment="1">
      <alignment horizontal="center" vertical="top" wrapText="1"/>
    </xf>
    <xf numFmtId="0" fontId="92" fillId="0" borderId="150" xfId="0" applyFont="1" applyBorder="1" applyAlignment="1">
      <alignment horizontal="center" vertical="top" wrapText="1"/>
    </xf>
    <xf numFmtId="0" fontId="92" fillId="0" borderId="329" xfId="0" applyFont="1" applyBorder="1" applyAlignment="1">
      <alignment horizontal="center" vertical="top" wrapText="1"/>
    </xf>
    <xf numFmtId="0" fontId="92" fillId="0" borderId="327" xfId="0" applyFont="1" applyBorder="1" applyAlignment="1">
      <alignment horizontal="center" vertical="top" wrapText="1"/>
    </xf>
    <xf numFmtId="0" fontId="0" fillId="0" borderId="135" xfId="0" applyBorder="1" applyAlignment="1">
      <alignment horizontal="left" vertical="top" wrapText="1" indent="5"/>
    </xf>
    <xf numFmtId="0" fontId="0" fillId="0" borderId="137" xfId="0" applyBorder="1" applyAlignment="1">
      <alignment horizontal="left" vertical="top" wrapText="1" indent="5"/>
    </xf>
    <xf numFmtId="0" fontId="0" fillId="0" borderId="135" xfId="0" applyBorder="1" applyAlignment="1">
      <alignment vertical="top" wrapText="1"/>
    </xf>
    <xf numFmtId="0" fontId="0" fillId="0" borderId="151" xfId="0" applyBorder="1" applyAlignment="1">
      <alignment vertical="top" wrapText="1"/>
    </xf>
    <xf numFmtId="0" fontId="0" fillId="0" borderId="152" xfId="0" applyBorder="1" applyAlignment="1">
      <alignment vertical="top" wrapText="1"/>
    </xf>
    <xf numFmtId="0" fontId="152" fillId="0" borderId="139" xfId="0" applyFont="1" applyBorder="1" applyAlignment="1">
      <alignment horizontal="left" vertical="top" wrapText="1" indent="5"/>
    </xf>
    <xf numFmtId="0" fontId="0" fillId="0" borderId="139" xfId="0" applyBorder="1" applyAlignment="1">
      <alignment vertical="top" wrapText="1"/>
    </xf>
    <xf numFmtId="0" fontId="19" fillId="0" borderId="0" xfId="58" applyFont="1" applyAlignment="1">
      <alignment horizontal="left" vertical="top" wrapText="1"/>
    </xf>
    <xf numFmtId="0" fontId="21" fillId="0" borderId="301" xfId="58" applyFont="1" applyBorder="1" applyAlignment="1">
      <alignment horizontal="center" vertical="top" wrapText="1"/>
    </xf>
    <xf numFmtId="168" fontId="21" fillId="0" borderId="303" xfId="58" applyNumberFormat="1" applyFont="1" applyBorder="1" applyAlignment="1">
      <alignment horizontal="center" vertical="top" wrapText="1"/>
    </xf>
    <xf numFmtId="0" fontId="31" fillId="0" borderId="0" xfId="58" applyFont="1" applyAlignment="1">
      <alignment horizontal="center" vertical="top"/>
    </xf>
    <xf numFmtId="0" fontId="19" fillId="0" borderId="0" xfId="58" applyFont="1" applyAlignment="1">
      <alignment horizontal="justify" vertical="top" wrapText="1"/>
    </xf>
    <xf numFmtId="0" fontId="220" fillId="0" borderId="643" xfId="21" applyFont="1" applyFill="1" applyBorder="1" applyAlignment="1">
      <alignment horizontal="center" vertical="center"/>
    </xf>
    <xf numFmtId="0" fontId="220" fillId="0" borderId="285" xfId="21" applyFont="1" applyFill="1" applyBorder="1" applyAlignment="1">
      <alignment horizontal="center" vertical="center"/>
    </xf>
    <xf numFmtId="0" fontId="221" fillId="0" borderId="672" xfId="21" applyFont="1" applyFill="1" applyBorder="1" applyAlignment="1">
      <alignment horizontal="center" vertical="center"/>
    </xf>
    <xf numFmtId="0" fontId="221" fillId="0" borderId="536" xfId="21" applyFont="1" applyFill="1" applyBorder="1" applyAlignment="1">
      <alignment horizontal="center" vertical="center"/>
    </xf>
    <xf numFmtId="0" fontId="62" fillId="0" borderId="210" xfId="0" applyFont="1" applyBorder="1" applyAlignment="1">
      <alignment horizontal="center" vertical="center"/>
    </xf>
    <xf numFmtId="0" fontId="62" fillId="0" borderId="248" xfId="0" applyFont="1" applyBorder="1" applyAlignment="1">
      <alignment horizontal="center" vertical="center"/>
    </xf>
    <xf numFmtId="4" fontId="278" fillId="0" borderId="0" xfId="7" applyNumberFormat="1" applyFont="1" applyFill="1" applyAlignment="1" applyProtection="1">
      <alignment horizontal="center" vertical="center"/>
      <protection locked="0"/>
    </xf>
    <xf numFmtId="0" fontId="0" fillId="0" borderId="0" xfId="0" applyFont="1" applyAlignment="1">
      <alignment horizontal="left"/>
    </xf>
    <xf numFmtId="0" fontId="411" fillId="0" borderId="0" xfId="30" applyNumberFormat="1" applyFont="1" applyFill="1" applyAlignment="1" applyProtection="1">
      <alignment horizontal="center" vertical="center"/>
      <protection locked="0"/>
    </xf>
    <xf numFmtId="0" fontId="21" fillId="0" borderId="268" xfId="26" applyFont="1" applyBorder="1" applyAlignment="1">
      <alignment horizontal="left" vertical="top" wrapText="1" shrinkToFit="1"/>
    </xf>
    <xf numFmtId="0" fontId="21" fillId="0" borderId="295" xfId="26" applyFont="1" applyBorder="1" applyAlignment="1">
      <alignment horizontal="left" vertical="top" wrapText="1" shrinkToFit="1"/>
    </xf>
    <xf numFmtId="0" fontId="21" fillId="0" borderId="223" xfId="26" applyFont="1" applyBorder="1" applyAlignment="1">
      <alignment horizontal="left" vertical="top" wrapText="1" shrinkToFit="1"/>
    </xf>
    <xf numFmtId="0" fontId="21" fillId="0" borderId="212" xfId="26" applyFont="1" applyBorder="1" applyAlignment="1">
      <alignment horizontal="left" vertical="top" wrapText="1" shrinkToFit="1"/>
    </xf>
    <xf numFmtId="0" fontId="31" fillId="0" borderId="0" xfId="43" applyFont="1" applyAlignment="1">
      <alignment horizontal="left" vertical="top"/>
    </xf>
    <xf numFmtId="0" fontId="32" fillId="0" borderId="0" xfId="43" applyFont="1" applyAlignment="1">
      <alignment horizontal="left" vertical="top"/>
    </xf>
    <xf numFmtId="0" fontId="18" fillId="0" borderId="0" xfId="43" applyFont="1" applyAlignment="1">
      <alignment horizontal="justify" vertical="top" wrapText="1"/>
    </xf>
    <xf numFmtId="0" fontId="19" fillId="0" borderId="0" xfId="43" applyFont="1" applyAlignment="1">
      <alignment horizontal="justify" vertical="top" wrapText="1"/>
    </xf>
    <xf numFmtId="0" fontId="19" fillId="0" borderId="268" xfId="26" applyFont="1" applyBorder="1" applyAlignment="1">
      <alignment horizontal="left" vertical="top" wrapText="1"/>
    </xf>
    <xf numFmtId="0" fontId="19" fillId="0" borderId="254" xfId="26" applyFont="1" applyBorder="1" applyAlignment="1">
      <alignment horizontal="left" vertical="top" wrapText="1"/>
    </xf>
    <xf numFmtId="0" fontId="31" fillId="0" borderId="0" xfId="43" applyFont="1" applyAlignment="1">
      <alignment horizontal="center" vertical="top"/>
    </xf>
    <xf numFmtId="0" fontId="21" fillId="0" borderId="104" xfId="26" applyFont="1" applyBorder="1" applyAlignment="1">
      <alignment horizontal="left" vertical="top" shrinkToFit="1"/>
    </xf>
    <xf numFmtId="0" fontId="21" fillId="0" borderId="111" xfId="26" applyFont="1" applyBorder="1" applyAlignment="1">
      <alignment horizontal="left" vertical="top" shrinkToFit="1"/>
    </xf>
    <xf numFmtId="0" fontId="21" fillId="0" borderId="107" xfId="26" applyFont="1" applyBorder="1" applyAlignment="1">
      <alignment horizontal="left" vertical="top" shrinkToFit="1"/>
    </xf>
    <xf numFmtId="43" fontId="21" fillId="0" borderId="19" xfId="18" applyFont="1" applyBorder="1" applyAlignment="1">
      <alignment horizontal="justify" vertical="top" wrapText="1"/>
    </xf>
    <xf numFmtId="43" fontId="21" fillId="0" borderId="22" xfId="18" applyFont="1" applyBorder="1" applyAlignment="1">
      <alignment horizontal="justify" vertical="top" wrapText="1"/>
    </xf>
    <xf numFmtId="43" fontId="21" fillId="0" borderId="23" xfId="18" applyFont="1" applyBorder="1" applyAlignment="1">
      <alignment horizontal="justify" vertical="top" wrapText="1"/>
    </xf>
    <xf numFmtId="0" fontId="21" fillId="0" borderId="184" xfId="26" applyFont="1" applyBorder="1" applyAlignment="1">
      <alignment horizontal="center" vertical="top" wrapText="1"/>
    </xf>
    <xf numFmtId="0" fontId="21" fillId="0" borderId="212" xfId="26" applyFont="1" applyBorder="1" applyAlignment="1">
      <alignment horizontal="center" vertical="top" wrapText="1"/>
    </xf>
    <xf numFmtId="0" fontId="21" fillId="0" borderId="124" xfId="26" applyFont="1" applyBorder="1" applyAlignment="1">
      <alignment horizontal="center" vertical="top" wrapText="1"/>
    </xf>
    <xf numFmtId="0" fontId="21" fillId="0" borderId="269" xfId="26" applyFont="1" applyBorder="1" applyAlignment="1">
      <alignment horizontal="center" vertical="top" wrapText="1"/>
    </xf>
    <xf numFmtId="0" fontId="21" fillId="0" borderId="238" xfId="26" applyFont="1" applyBorder="1" applyAlignment="1">
      <alignment horizontal="center" vertical="top" wrapText="1"/>
    </xf>
    <xf numFmtId="0" fontId="21" fillId="0" borderId="255" xfId="26" applyFont="1" applyBorder="1" applyAlignment="1">
      <alignment horizontal="center" vertical="top" wrapText="1"/>
    </xf>
    <xf numFmtId="0" fontId="21" fillId="0" borderId="19" xfId="26" applyFont="1" applyBorder="1" applyAlignment="1">
      <alignment horizontal="center" vertical="top"/>
    </xf>
    <xf numFmtId="0" fontId="21" fillId="0" borderId="66" xfId="26" applyFont="1" applyBorder="1" applyAlignment="1">
      <alignment horizontal="center" vertical="top"/>
    </xf>
    <xf numFmtId="0" fontId="21" fillId="0" borderId="243" xfId="26" applyFont="1" applyBorder="1" applyAlignment="1">
      <alignment horizontal="center" vertical="top"/>
    </xf>
    <xf numFmtId="0" fontId="21" fillId="0" borderId="242" xfId="26" applyFont="1" applyBorder="1" applyAlignment="1">
      <alignment horizontal="center" vertical="top"/>
    </xf>
    <xf numFmtId="4" fontId="411" fillId="0" borderId="0" xfId="45" applyNumberFormat="1" applyFont="1" applyFill="1" applyAlignment="1" applyProtection="1">
      <alignment horizontal="center" vertical="center"/>
      <protection locked="0"/>
    </xf>
    <xf numFmtId="1" fontId="278" fillId="0" borderId="685" xfId="30" applyNumberFormat="1" applyFont="1" applyFill="1" applyBorder="1" applyAlignment="1" applyProtection="1">
      <alignment horizontal="center" vertical="center" wrapText="1"/>
      <protection locked="0"/>
    </xf>
    <xf numFmtId="1" fontId="278" fillId="0" borderId="397" xfId="30" applyNumberFormat="1" applyFont="1" applyFill="1" applyBorder="1" applyAlignment="1" applyProtection="1">
      <alignment horizontal="center" vertical="center" wrapText="1"/>
      <protection locked="0"/>
    </xf>
    <xf numFmtId="1" fontId="278" fillId="0" borderId="672" xfId="30" applyNumberFormat="1" applyFont="1" applyFill="1" applyBorder="1" applyAlignment="1" applyProtection="1">
      <alignment horizontal="center" vertical="center" wrapText="1"/>
      <protection locked="0"/>
    </xf>
    <xf numFmtId="4" fontId="411" fillId="0" borderId="0" xfId="30" applyNumberFormat="1" applyFont="1" applyFill="1" applyAlignment="1" applyProtection="1">
      <alignment horizontal="center" vertical="center"/>
      <protection locked="0"/>
    </xf>
    <xf numFmtId="0" fontId="62" fillId="0" borderId="221" xfId="0" applyFont="1" applyBorder="1" applyAlignment="1">
      <alignment horizontal="center" vertical="top"/>
    </xf>
    <xf numFmtId="0" fontId="62" fillId="0" borderId="259" xfId="0" applyFont="1" applyBorder="1" applyAlignment="1">
      <alignment horizontal="center" vertical="top"/>
    </xf>
    <xf numFmtId="43" fontId="62" fillId="0" borderId="223" xfId="1" applyFont="1" applyBorder="1" applyAlignment="1">
      <alignment horizontal="center" vertical="top"/>
    </xf>
    <xf numFmtId="43" fontId="62" fillId="0" borderId="207" xfId="1" applyFont="1" applyBorder="1" applyAlignment="1">
      <alignment horizontal="center" vertical="top"/>
    </xf>
    <xf numFmtId="0" fontId="221" fillId="0" borderId="0" xfId="21" applyFont="1" applyAlignment="1">
      <alignment horizontal="center"/>
    </xf>
    <xf numFmtId="0" fontId="221" fillId="0" borderId="115" xfId="21" applyFont="1" applyBorder="1" applyAlignment="1">
      <alignment horizontal="center"/>
    </xf>
    <xf numFmtId="0" fontId="221" fillId="0" borderId="308" xfId="21" applyFont="1" applyBorder="1" applyAlignment="1">
      <alignment horizontal="center"/>
    </xf>
    <xf numFmtId="0" fontId="221" fillId="0" borderId="289" xfId="21" applyFont="1" applyBorder="1" applyAlignment="1">
      <alignment horizontal="left" vertical="top" wrapText="1"/>
    </xf>
    <xf numFmtId="0" fontId="221" fillId="0" borderId="290" xfId="21" applyFont="1" applyBorder="1" applyAlignment="1">
      <alignment horizontal="left" vertical="top" wrapText="1"/>
    </xf>
    <xf numFmtId="0" fontId="221" fillId="0" borderId="308" xfId="21" applyFont="1" applyBorder="1" applyAlignment="1">
      <alignment horizontal="left" vertical="top" wrapText="1"/>
    </xf>
    <xf numFmtId="0" fontId="221" fillId="0" borderId="289" xfId="21" applyFont="1" applyBorder="1" applyAlignment="1">
      <alignment horizontal="center" vertical="top" wrapText="1"/>
    </xf>
    <xf numFmtId="0" fontId="221" fillId="0" borderId="308" xfId="21" applyFont="1" applyBorder="1" applyAlignment="1">
      <alignment horizontal="center" vertical="top" wrapText="1"/>
    </xf>
    <xf numFmtId="0" fontId="220" fillId="0" borderId="34" xfId="21" applyFont="1" applyBorder="1" applyAlignment="1">
      <alignment horizontal="center" vertical="top" wrapText="1"/>
    </xf>
    <xf numFmtId="0" fontId="220" fillId="0" borderId="0" xfId="21" applyFont="1" applyAlignment="1">
      <alignment horizontal="center"/>
    </xf>
    <xf numFmtId="0" fontId="221" fillId="0" borderId="105" xfId="21" applyFont="1" applyBorder="1" applyAlignment="1">
      <alignment horizontal="center"/>
    </xf>
    <xf numFmtId="0" fontId="221" fillId="0" borderId="174" xfId="21" applyFont="1" applyBorder="1" applyAlignment="1">
      <alignment horizontal="center"/>
    </xf>
    <xf numFmtId="0" fontId="221" fillId="0" borderId="114" xfId="21" applyFont="1" applyBorder="1" applyAlignment="1">
      <alignment horizontal="left" vertical="top" wrapText="1"/>
    </xf>
    <xf numFmtId="0" fontId="221" fillId="0" borderId="106" xfId="21" applyFont="1" applyBorder="1" applyAlignment="1">
      <alignment horizontal="left" vertical="top" wrapText="1"/>
    </xf>
    <xf numFmtId="0" fontId="221" fillId="0" borderId="174" xfId="21" applyFont="1" applyBorder="1" applyAlignment="1">
      <alignment horizontal="left" vertical="top" wrapText="1"/>
    </xf>
    <xf numFmtId="0" fontId="220" fillId="0" borderId="0" xfId="21" applyFont="1" applyBorder="1" applyAlignment="1">
      <alignment horizontal="center"/>
    </xf>
    <xf numFmtId="0" fontId="221" fillId="0" borderId="0" xfId="21" applyFont="1" applyAlignment="1">
      <alignment horizontal="justify" wrapText="1"/>
    </xf>
    <xf numFmtId="0" fontId="221" fillId="0" borderId="0" xfId="21" applyFont="1" applyFill="1" applyBorder="1" applyAlignment="1">
      <alignment horizontal="left"/>
    </xf>
    <xf numFmtId="0" fontId="221" fillId="0" borderId="0" xfId="21" applyFont="1" applyFill="1" applyBorder="1" applyAlignment="1">
      <alignment horizontal="justify" vertical="top" wrapText="1"/>
    </xf>
    <xf numFmtId="0" fontId="221" fillId="0" borderId="261" xfId="21" applyFont="1" applyBorder="1" applyAlignment="1">
      <alignment horizontal="center" vertical="center" wrapText="1"/>
    </xf>
    <xf numFmtId="0" fontId="221" fillId="0" borderId="271" xfId="21" applyFont="1" applyBorder="1" applyAlignment="1">
      <alignment horizontal="center" vertical="center" wrapText="1"/>
    </xf>
    <xf numFmtId="0" fontId="221" fillId="0" borderId="23" xfId="21" applyFont="1" applyBorder="1" applyAlignment="1">
      <alignment horizontal="center" vertical="center" wrapText="1"/>
    </xf>
    <xf numFmtId="0" fontId="221" fillId="0" borderId="247" xfId="21" applyFont="1" applyBorder="1" applyAlignment="1">
      <alignment horizontal="center" vertical="center" wrapText="1"/>
    </xf>
    <xf numFmtId="0" fontId="220" fillId="0" borderId="270" xfId="21" applyFont="1" applyBorder="1" applyAlignment="1">
      <alignment horizontal="center" vertical="center" wrapText="1"/>
    </xf>
    <xf numFmtId="0" fontId="220" fillId="0" borderId="311" xfId="21" applyFont="1" applyBorder="1" applyAlignment="1">
      <alignment horizontal="center" vertical="center" wrapText="1"/>
    </xf>
    <xf numFmtId="0" fontId="220" fillId="0" borderId="271" xfId="21" applyFont="1" applyBorder="1" applyAlignment="1">
      <alignment horizontal="center" vertical="center" wrapText="1"/>
    </xf>
    <xf numFmtId="0" fontId="220" fillId="0" borderId="6" xfId="21" applyFont="1" applyBorder="1" applyAlignment="1">
      <alignment horizontal="center" vertical="center" wrapText="1"/>
    </xf>
    <xf numFmtId="0" fontId="220" fillId="0" borderId="195" xfId="21" applyFont="1" applyBorder="1" applyAlignment="1">
      <alignment horizontal="center" vertical="center" wrapText="1"/>
    </xf>
    <xf numFmtId="0" fontId="220" fillId="0" borderId="247" xfId="21" applyFont="1" applyBorder="1" applyAlignment="1">
      <alignment horizontal="center" vertical="center" wrapText="1"/>
    </xf>
    <xf numFmtId="0" fontId="220" fillId="0" borderId="313" xfId="21" applyFont="1" applyBorder="1" applyAlignment="1">
      <alignment horizontal="center" vertical="center" wrapText="1"/>
    </xf>
    <xf numFmtId="0" fontId="220" fillId="0" borderId="124" xfId="21" applyFont="1" applyBorder="1" applyAlignment="1">
      <alignment horizontal="center" vertical="center" wrapText="1"/>
    </xf>
    <xf numFmtId="0" fontId="221" fillId="0" borderId="270" xfId="21" applyFont="1" applyBorder="1" applyAlignment="1">
      <alignment horizontal="center" vertical="center" wrapText="1"/>
    </xf>
    <xf numFmtId="0" fontId="221" fillId="0" borderId="262" xfId="21" applyFont="1" applyBorder="1" applyAlignment="1">
      <alignment horizontal="center" vertical="center" wrapText="1"/>
    </xf>
    <xf numFmtId="0" fontId="27" fillId="0" borderId="301" xfId="21" applyFont="1" applyBorder="1" applyAlignment="1">
      <alignment horizontal="center" vertical="center" wrapText="1"/>
    </xf>
    <xf numFmtId="0" fontId="27" fillId="0" borderId="295" xfId="21" applyFont="1" applyBorder="1" applyAlignment="1">
      <alignment horizontal="center" vertical="center" wrapText="1"/>
    </xf>
    <xf numFmtId="0" fontId="27" fillId="0" borderId="303" xfId="21" applyFont="1" applyBorder="1" applyAlignment="1">
      <alignment horizontal="center" vertical="center" wrapText="1"/>
    </xf>
    <xf numFmtId="0" fontId="27" fillId="0" borderId="289" xfId="21" applyFont="1" applyBorder="1" applyAlignment="1">
      <alignment horizontal="center" wrapText="1"/>
    </xf>
    <xf numFmtId="0" fontId="27" fillId="0" borderId="308" xfId="21" applyFont="1" applyBorder="1" applyAlignment="1">
      <alignment horizontal="center" wrapText="1"/>
    </xf>
    <xf numFmtId="0" fontId="220" fillId="0" borderId="553" xfId="21" applyFont="1" applyFill="1" applyBorder="1" applyAlignment="1">
      <alignment horizontal="center" vertical="center"/>
    </xf>
    <xf numFmtId="0" fontId="220" fillId="0" borderId="703" xfId="21" applyFont="1" applyFill="1" applyBorder="1" applyAlignment="1">
      <alignment horizontal="center" vertical="center"/>
    </xf>
    <xf numFmtId="0" fontId="21" fillId="0" borderId="302" xfId="21" applyFont="1" applyBorder="1" applyAlignment="1">
      <alignment horizontal="center" vertical="top" wrapText="1"/>
    </xf>
    <xf numFmtId="43" fontId="21" fillId="0" borderId="302" xfId="1" applyFont="1" applyBorder="1" applyAlignment="1">
      <alignment horizontal="center" vertical="top" wrapText="1"/>
    </xf>
    <xf numFmtId="0" fontId="31" fillId="0" borderId="0" xfId="21" applyFont="1" applyAlignment="1">
      <alignment horizontal="center" vertical="top"/>
    </xf>
    <xf numFmtId="0" fontId="18" fillId="0" borderId="0" xfId="21" applyFont="1" applyAlignment="1">
      <alignment horizontal="left" vertical="top" wrapText="1"/>
    </xf>
    <xf numFmtId="0" fontId="18" fillId="0" borderId="289" xfId="21" applyFont="1" applyBorder="1" applyAlignment="1">
      <alignment horizontal="center" vertical="top"/>
    </xf>
    <xf numFmtId="0" fontId="18" fillId="0" borderId="290" xfId="21" applyFont="1" applyBorder="1" applyAlignment="1">
      <alignment horizontal="center" vertical="top"/>
    </xf>
    <xf numFmtId="0" fontId="18" fillId="0" borderId="308" xfId="21" applyFont="1" applyBorder="1" applyAlignment="1">
      <alignment horizontal="center" vertical="top"/>
    </xf>
    <xf numFmtId="0" fontId="18" fillId="0" borderId="301" xfId="21" applyFont="1" applyBorder="1" applyAlignment="1">
      <alignment horizontal="center" vertical="top" wrapText="1"/>
    </xf>
    <xf numFmtId="0" fontId="18" fillId="0" borderId="295" xfId="21" applyFont="1" applyBorder="1" applyAlignment="1">
      <alignment horizontal="center" vertical="top" wrapText="1"/>
    </xf>
    <xf numFmtId="0" fontId="18" fillId="0" borderId="303" xfId="21" applyFont="1" applyBorder="1" applyAlignment="1">
      <alignment horizontal="center" vertical="top" wrapText="1"/>
    </xf>
    <xf numFmtId="4" fontId="18" fillId="0" borderId="289" xfId="21" applyNumberFormat="1" applyFont="1" applyBorder="1" applyAlignment="1">
      <alignment horizontal="center" vertical="top" wrapText="1"/>
    </xf>
    <xf numFmtId="4" fontId="18" fillId="0" borderId="290" xfId="21" applyNumberFormat="1" applyFont="1" applyBorder="1" applyAlignment="1">
      <alignment horizontal="center" vertical="top" wrapText="1"/>
    </xf>
    <xf numFmtId="4" fontId="18" fillId="0" borderId="308" xfId="21" applyNumberFormat="1" applyFont="1" applyBorder="1" applyAlignment="1">
      <alignment horizontal="center" vertical="top" wrapText="1"/>
    </xf>
    <xf numFmtId="0" fontId="27" fillId="0" borderId="0" xfId="21" applyFont="1" applyAlignment="1">
      <alignment horizontal="center" vertical="top"/>
    </xf>
    <xf numFmtId="0" fontId="18" fillId="0" borderId="0" xfId="21" applyFont="1" applyAlignment="1">
      <alignment horizontal="center" vertical="top"/>
    </xf>
    <xf numFmtId="4" fontId="411" fillId="0" borderId="0" xfId="2" applyNumberFormat="1" applyFont="1" applyFill="1" applyAlignment="1" applyProtection="1">
      <alignment horizontal="center" vertical="center"/>
      <protection locked="0"/>
    </xf>
    <xf numFmtId="0" fontId="18" fillId="0" borderId="289" xfId="21" applyFont="1" applyBorder="1" applyAlignment="1">
      <alignment horizontal="center" vertical="center"/>
    </xf>
    <xf numFmtId="0" fontId="18" fillId="0" borderId="290" xfId="21" applyFont="1" applyBorder="1" applyAlignment="1">
      <alignment horizontal="center" vertical="center"/>
    </xf>
    <xf numFmtId="0" fontId="18" fillId="0" borderId="308" xfId="21" applyFont="1" applyBorder="1" applyAlignment="1">
      <alignment horizontal="center" vertical="center"/>
    </xf>
    <xf numFmtId="0" fontId="31" fillId="0" borderId="0" xfId="21" applyFont="1" applyAlignment="1">
      <alignment horizontal="left"/>
    </xf>
    <xf numFmtId="0" fontId="27" fillId="0" borderId="450" xfId="21" applyFont="1" applyBorder="1" applyAlignment="1">
      <alignment horizontal="center" vertical="center" wrapText="1"/>
    </xf>
    <xf numFmtId="0" fontId="27" fillId="0" borderId="448" xfId="21" applyFont="1" applyBorder="1" applyAlignment="1">
      <alignment horizontal="center" vertical="center" wrapText="1"/>
    </xf>
    <xf numFmtId="0" fontId="27" fillId="0" borderId="302" xfId="21" applyFont="1" applyBorder="1" applyAlignment="1">
      <alignment horizontal="center" vertical="center"/>
    </xf>
    <xf numFmtId="43" fontId="27" fillId="0" borderId="302" xfId="1" applyFont="1" applyBorder="1" applyAlignment="1">
      <alignment horizontal="center" vertical="center"/>
    </xf>
    <xf numFmtId="0" fontId="18" fillId="0" borderId="289" xfId="21" applyFont="1" applyBorder="1" applyAlignment="1">
      <alignment horizontal="center"/>
    </xf>
    <xf numFmtId="0" fontId="18" fillId="0" borderId="290" xfId="21" applyFont="1" applyBorder="1" applyAlignment="1">
      <alignment horizontal="center"/>
    </xf>
    <xf numFmtId="0" fontId="18" fillId="0" borderId="308" xfId="21" applyFont="1" applyBorder="1" applyAlignment="1">
      <alignment horizontal="center"/>
    </xf>
    <xf numFmtId="0" fontId="27" fillId="0" borderId="0" xfId="21" applyFont="1" applyAlignment="1">
      <alignment horizontal="center"/>
    </xf>
    <xf numFmtId="0" fontId="18" fillId="0" borderId="0" xfId="21" applyFont="1" applyAlignment="1">
      <alignment horizontal="center"/>
    </xf>
    <xf numFmtId="0" fontId="18" fillId="0" borderId="295" xfId="2" applyBorder="1" applyAlignment="1">
      <alignment horizontal="center" vertical="top" wrapText="1"/>
    </xf>
    <xf numFmtId="0" fontId="21" fillId="0" borderId="19" xfId="2" applyFont="1" applyBorder="1" applyAlignment="1">
      <alignment horizontal="center" vertical="top" shrinkToFit="1"/>
    </xf>
    <xf numFmtId="0" fontId="21" fillId="0" borderId="22" xfId="2" applyFont="1" applyBorder="1" applyAlignment="1">
      <alignment horizontal="center" vertical="top" shrinkToFit="1"/>
    </xf>
    <xf numFmtId="0" fontId="21" fillId="0" borderId="23" xfId="2" applyFont="1" applyBorder="1" applyAlignment="1">
      <alignment horizontal="center" vertical="top" shrinkToFit="1"/>
    </xf>
    <xf numFmtId="43" fontId="21" fillId="0" borderId="19" xfId="1" applyFont="1" applyBorder="1" applyAlignment="1">
      <alignment horizontal="center" vertical="top" wrapText="1"/>
    </xf>
    <xf numFmtId="43" fontId="21" fillId="0" borderId="22" xfId="1" applyFont="1" applyBorder="1" applyAlignment="1">
      <alignment horizontal="center" vertical="top" wrapText="1"/>
    </xf>
    <xf numFmtId="43" fontId="21" fillId="0" borderId="23" xfId="1" applyFont="1" applyBorder="1" applyAlignment="1">
      <alignment horizontal="center" vertical="top" wrapText="1"/>
    </xf>
    <xf numFmtId="0" fontId="21" fillId="0" borderId="66" xfId="2" applyFont="1" applyBorder="1" applyAlignment="1">
      <alignment horizontal="center" vertical="top" wrapText="1"/>
    </xf>
    <xf numFmtId="0" fontId="21" fillId="0" borderId="68" xfId="2" applyFont="1" applyBorder="1" applyAlignment="1">
      <alignment horizontal="center" vertical="top" wrapText="1"/>
    </xf>
    <xf numFmtId="0" fontId="21" fillId="0" borderId="1" xfId="2" applyFont="1" applyBorder="1" applyAlignment="1">
      <alignment horizontal="center" vertical="top" wrapText="1"/>
    </xf>
    <xf numFmtId="0" fontId="21" fillId="0" borderId="19" xfId="2" applyFont="1" applyBorder="1" applyAlignment="1">
      <alignment horizontal="center" vertical="top"/>
    </xf>
    <xf numFmtId="0" fontId="21" fillId="0" borderId="66" xfId="2" applyFont="1" applyBorder="1" applyAlignment="1">
      <alignment horizontal="center" vertical="top"/>
    </xf>
    <xf numFmtId="0" fontId="21" fillId="0" borderId="23" xfId="2" applyFont="1" applyBorder="1" applyAlignment="1">
      <alignment horizontal="center" vertical="top"/>
    </xf>
    <xf numFmtId="0" fontId="21" fillId="0" borderId="78" xfId="2" applyFont="1" applyBorder="1" applyAlignment="1">
      <alignment horizontal="center" vertical="top"/>
    </xf>
    <xf numFmtId="0" fontId="21" fillId="0" borderId="3" xfId="2" applyFont="1" applyBorder="1" applyAlignment="1">
      <alignment horizontal="center" vertical="top" wrapText="1"/>
    </xf>
    <xf numFmtId="0" fontId="21" fillId="0" borderId="5" xfId="2" applyFont="1" applyBorder="1" applyAlignment="1">
      <alignment horizontal="center" vertical="top" wrapText="1"/>
    </xf>
    <xf numFmtId="0" fontId="21" fillId="0" borderId="124" xfId="2" applyFont="1" applyBorder="1" applyAlignment="1">
      <alignment horizontal="center" vertical="top" wrapText="1"/>
    </xf>
    <xf numFmtId="0" fontId="19" fillId="0" borderId="0" xfId="2" applyFont="1" applyBorder="1" applyAlignment="1">
      <alignment horizontal="left" vertical="top" wrapText="1"/>
    </xf>
    <xf numFmtId="0" fontId="18" fillId="0" borderId="0" xfId="2" applyAlignment="1">
      <alignment horizontal="left" vertical="top" wrapText="1"/>
    </xf>
    <xf numFmtId="0" fontId="18" fillId="0" borderId="0" xfId="2" applyFont="1" applyAlignment="1">
      <alignment horizontal="left" vertical="top" wrapText="1"/>
    </xf>
    <xf numFmtId="0" fontId="18" fillId="0" borderId="0" xfId="2" applyAlignment="1">
      <alignment horizontal="left" vertical="top"/>
    </xf>
    <xf numFmtId="0" fontId="18" fillId="0" borderId="268" xfId="2" applyBorder="1" applyAlignment="1">
      <alignment horizontal="left" vertical="center" wrapText="1"/>
    </xf>
    <xf numFmtId="0" fontId="18" fillId="0" borderId="295" xfId="2" applyBorder="1" applyAlignment="1">
      <alignment horizontal="left" vertical="center" wrapText="1"/>
    </xf>
    <xf numFmtId="0" fontId="18" fillId="0" borderId="5" xfId="2" applyBorder="1" applyAlignment="1">
      <alignment horizontal="left" vertical="top" wrapText="1"/>
    </xf>
    <xf numFmtId="0" fontId="18" fillId="0" borderId="5" xfId="2" applyFont="1" applyBorder="1" applyAlignment="1">
      <alignment horizontal="left" vertical="top" wrapText="1"/>
    </xf>
    <xf numFmtId="0" fontId="18" fillId="0" borderId="5" xfId="2" applyBorder="1" applyAlignment="1">
      <alignment horizontal="center" vertical="top" wrapText="1"/>
    </xf>
    <xf numFmtId="0" fontId="18" fillId="0" borderId="254" xfId="2" applyBorder="1" applyAlignment="1">
      <alignment horizontal="center" vertical="top" wrapText="1"/>
    </xf>
    <xf numFmtId="0" fontId="18" fillId="0" borderId="212" xfId="2" applyBorder="1" applyAlignment="1">
      <alignment horizontal="left" vertical="top" wrapText="1"/>
    </xf>
    <xf numFmtId="0" fontId="18" fillId="0" borderId="212" xfId="2" applyBorder="1" applyAlignment="1">
      <alignment horizontal="center" vertical="top" wrapText="1"/>
    </xf>
    <xf numFmtId="0" fontId="320" fillId="0" borderId="0" xfId="2" applyFont="1" applyFill="1" applyAlignment="1" applyProtection="1">
      <alignment horizontal="center" vertical="center"/>
      <protection locked="0"/>
    </xf>
    <xf numFmtId="0" fontId="278" fillId="0" borderId="0" xfId="2" applyFont="1" applyFill="1" applyAlignment="1" applyProtection="1">
      <alignment horizontal="center" vertical="center"/>
      <protection locked="0"/>
    </xf>
    <xf numFmtId="0" fontId="321" fillId="0" borderId="0" xfId="0" applyFont="1" applyFill="1" applyBorder="1" applyAlignment="1">
      <alignment wrapText="1"/>
    </xf>
    <xf numFmtId="0" fontId="321" fillId="0" borderId="731" xfId="0" applyFont="1" applyFill="1" applyBorder="1" applyAlignment="1">
      <alignment wrapText="1"/>
    </xf>
    <xf numFmtId="0" fontId="62" fillId="0" borderId="188" xfId="0" applyFont="1" applyBorder="1" applyAlignment="1">
      <alignment horizontal="center" vertical="top"/>
    </xf>
    <xf numFmtId="0" fontId="62" fillId="0" borderId="214" xfId="0" applyFont="1" applyBorder="1" applyAlignment="1">
      <alignment horizontal="center" vertical="top"/>
    </xf>
    <xf numFmtId="0" fontId="71" fillId="0" borderId="0" xfId="33" applyFont="1" applyAlignment="1">
      <alignment horizontal="left" vertical="top" wrapText="1"/>
    </xf>
    <xf numFmtId="0" fontId="71" fillId="0" borderId="0" xfId="33" quotePrefix="1" applyFont="1" applyAlignment="1">
      <alignment horizontal="left" vertical="top" wrapText="1"/>
    </xf>
    <xf numFmtId="0" fontId="86" fillId="0" borderId="50" xfId="33" applyFont="1" applyBorder="1" applyAlignment="1">
      <alignment horizontal="center" vertical="top" wrapText="1"/>
    </xf>
    <xf numFmtId="0" fontId="86" fillId="0" borderId="25" xfId="33" applyFont="1" applyBorder="1" applyAlignment="1">
      <alignment horizontal="center" vertical="top" wrapText="1"/>
    </xf>
    <xf numFmtId="0" fontId="86" fillId="0" borderId="128" xfId="33" applyFont="1" applyBorder="1" applyAlignment="1">
      <alignment horizontal="center" vertical="top" wrapText="1"/>
    </xf>
    <xf numFmtId="0" fontId="86" fillId="0" borderId="9" xfId="33" applyFont="1" applyBorder="1" applyAlignment="1">
      <alignment horizontal="center" vertical="top" wrapText="1"/>
    </xf>
    <xf numFmtId="0" fontId="88" fillId="0" borderId="2" xfId="33" applyFont="1" applyBorder="1" applyAlignment="1">
      <alignment horizontal="center" vertical="top"/>
    </xf>
    <xf numFmtId="0" fontId="88" fillId="0" borderId="91" xfId="33" applyFont="1" applyBorder="1" applyAlignment="1">
      <alignment horizontal="center" vertical="top"/>
    </xf>
    <xf numFmtId="0" fontId="88" fillId="0" borderId="128" xfId="33" quotePrefix="1" applyFont="1" applyBorder="1" applyAlignment="1">
      <alignment horizontal="center" vertical="top"/>
    </xf>
    <xf numFmtId="0" fontId="88" fillId="0" borderId="9" xfId="33" quotePrefix="1" applyFont="1" applyBorder="1" applyAlignment="1">
      <alignment horizontal="center" vertical="top"/>
    </xf>
    <xf numFmtId="0" fontId="81" fillId="0" borderId="0" xfId="33" applyFont="1" applyAlignment="1">
      <alignment horizontal="center" vertical="top"/>
    </xf>
    <xf numFmtId="0" fontId="278" fillId="0" borderId="685" xfId="1" applyNumberFormat="1" applyFont="1" applyFill="1" applyBorder="1" applyAlignment="1" applyProtection="1">
      <alignment horizontal="center" vertical="center" wrapText="1"/>
      <protection locked="0"/>
    </xf>
    <xf numFmtId="0" fontId="278" fillId="0" borderId="397" xfId="1" applyNumberFormat="1" applyFont="1" applyFill="1" applyBorder="1" applyAlignment="1" applyProtection="1">
      <alignment horizontal="center" vertical="center" wrapText="1"/>
      <protection locked="0"/>
    </xf>
    <xf numFmtId="4" fontId="411" fillId="0" borderId="0" xfId="42" applyNumberFormat="1" applyFont="1" applyFill="1" applyAlignment="1" applyProtection="1">
      <alignment horizontal="center" vertical="center"/>
      <protection locked="0"/>
    </xf>
    <xf numFmtId="0" fontId="31" fillId="2" borderId="0" xfId="58" applyFont="1" applyFill="1" applyAlignment="1">
      <alignment horizontal="center"/>
    </xf>
    <xf numFmtId="0" fontId="19" fillId="2" borderId="295" xfId="58" applyFont="1" applyFill="1" applyBorder="1" applyAlignment="1">
      <alignment horizontal="left" vertical="top" wrapText="1"/>
    </xf>
    <xf numFmtId="0" fontId="36" fillId="2" borderId="202" xfId="58" applyFont="1" applyFill="1" applyBorder="1" applyAlignment="1">
      <alignment horizontal="left" wrapText="1"/>
    </xf>
    <xf numFmtId="0" fontId="36" fillId="2" borderId="444" xfId="58" applyFont="1" applyFill="1" applyBorder="1" applyAlignment="1">
      <alignment horizontal="left" wrapText="1"/>
    </xf>
    <xf numFmtId="0" fontId="19" fillId="2" borderId="202" xfId="58" applyFont="1" applyFill="1" applyBorder="1" applyAlignment="1">
      <alignment horizontal="left" vertical="center" wrapText="1"/>
    </xf>
    <xf numFmtId="0" fontId="19" fillId="2" borderId="444" xfId="58" applyFont="1" applyFill="1" applyBorder="1" applyAlignment="1">
      <alignment horizontal="left" vertical="center" wrapText="1"/>
    </xf>
    <xf numFmtId="0" fontId="21" fillId="2" borderId="453" xfId="58" applyFont="1" applyFill="1" applyBorder="1" applyAlignment="1">
      <alignment horizontal="center" vertical="center" shrinkToFit="1"/>
    </xf>
    <xf numFmtId="0" fontId="21" fillId="2" borderId="454" xfId="58" applyFont="1" applyFill="1" applyBorder="1" applyAlignment="1">
      <alignment horizontal="center" vertical="center" shrinkToFit="1"/>
    </xf>
    <xf numFmtId="0" fontId="21" fillId="2" borderId="202" xfId="58" applyFont="1" applyFill="1" applyBorder="1" applyAlignment="1">
      <alignment horizontal="center" vertical="center" shrinkToFit="1"/>
    </xf>
    <xf numFmtId="0" fontId="21" fillId="2" borderId="444" xfId="58" applyFont="1" applyFill="1" applyBorder="1" applyAlignment="1">
      <alignment horizontal="center" vertical="center" shrinkToFit="1"/>
    </xf>
    <xf numFmtId="0" fontId="21" fillId="2" borderId="258" xfId="58" applyFont="1" applyFill="1" applyBorder="1" applyAlignment="1">
      <alignment horizontal="center" vertical="center" shrinkToFit="1"/>
    </xf>
    <xf numFmtId="0" fontId="21" fillId="2" borderId="434" xfId="58" applyFont="1" applyFill="1" applyBorder="1" applyAlignment="1">
      <alignment horizontal="center" vertical="center" shrinkToFit="1"/>
    </xf>
    <xf numFmtId="0" fontId="21" fillId="2" borderId="202" xfId="58" applyFont="1" applyFill="1" applyBorder="1" applyAlignment="1">
      <alignment horizontal="left" wrapText="1"/>
    </xf>
    <xf numFmtId="0" fontId="21" fillId="2" borderId="444" xfId="58" applyFont="1" applyFill="1" applyBorder="1" applyAlignment="1">
      <alignment horizontal="left" wrapText="1"/>
    </xf>
    <xf numFmtId="0" fontId="27" fillId="2" borderId="187" xfId="58" applyFont="1" applyFill="1" applyBorder="1" applyAlignment="1">
      <alignment horizontal="center" vertical="center"/>
    </xf>
    <xf numFmtId="0" fontId="27" fillId="2" borderId="188" xfId="58" applyFont="1" applyFill="1" applyBorder="1" applyAlignment="1">
      <alignment horizontal="center" vertical="center"/>
    </xf>
    <xf numFmtId="0" fontId="27" fillId="2" borderId="451" xfId="58" applyFont="1" applyFill="1" applyBorder="1" applyAlignment="1">
      <alignment horizontal="center" vertical="center"/>
    </xf>
    <xf numFmtId="0" fontId="27" fillId="2" borderId="452" xfId="58" applyFont="1" applyFill="1" applyBorder="1" applyAlignment="1">
      <alignment horizontal="center" vertical="center"/>
    </xf>
    <xf numFmtId="0" fontId="19" fillId="2" borderId="202" xfId="58" applyFont="1" applyFill="1" applyBorder="1" applyAlignment="1">
      <alignment horizontal="left"/>
    </xf>
    <xf numFmtId="0" fontId="19" fillId="2" borderId="444" xfId="58" applyFont="1" applyFill="1" applyBorder="1" applyAlignment="1">
      <alignment horizontal="left"/>
    </xf>
    <xf numFmtId="0" fontId="251" fillId="2" borderId="202" xfId="58" applyFont="1" applyFill="1" applyBorder="1" applyAlignment="1">
      <alignment horizontal="center"/>
    </xf>
    <xf numFmtId="0" fontId="251" fillId="2" borderId="444" xfId="58" applyFont="1" applyFill="1" applyBorder="1" applyAlignment="1">
      <alignment horizontal="center"/>
    </xf>
    <xf numFmtId="0" fontId="77" fillId="2" borderId="202" xfId="58" applyFont="1" applyFill="1" applyBorder="1" applyAlignment="1">
      <alignment horizontal="left"/>
    </xf>
    <xf numFmtId="0" fontId="77" fillId="2" borderId="444" xfId="58" applyFont="1" applyFill="1" applyBorder="1" applyAlignment="1">
      <alignment horizontal="left"/>
    </xf>
    <xf numFmtId="43" fontId="27" fillId="2" borderId="450" xfId="1" applyFont="1" applyFill="1" applyBorder="1" applyAlignment="1">
      <alignment horizontal="center" vertical="center"/>
    </xf>
    <xf numFmtId="43" fontId="27" fillId="2" borderId="448" xfId="1" applyFont="1" applyFill="1" applyBorder="1" applyAlignment="1">
      <alignment horizontal="center" vertical="center"/>
    </xf>
    <xf numFmtId="0" fontId="21" fillId="2" borderId="270" xfId="58" applyFont="1" applyFill="1" applyBorder="1" applyAlignment="1">
      <alignment horizontal="center"/>
    </xf>
    <xf numFmtId="0" fontId="21" fillId="2" borderId="271" xfId="58" applyFont="1" applyFill="1" applyBorder="1" applyAlignment="1">
      <alignment horizontal="center"/>
    </xf>
    <xf numFmtId="0" fontId="21" fillId="2" borderId="306" xfId="58" applyFont="1" applyFill="1" applyBorder="1" applyAlignment="1">
      <alignment horizontal="center"/>
    </xf>
    <xf numFmtId="0" fontId="21" fillId="2" borderId="316" xfId="58" applyFont="1" applyFill="1" applyBorder="1" applyAlignment="1">
      <alignment horizontal="center"/>
    </xf>
    <xf numFmtId="0" fontId="91" fillId="2" borderId="300" xfId="58" applyFont="1" applyFill="1" applyBorder="1" applyAlignment="1">
      <alignment horizontal="left" wrapText="1"/>
    </xf>
    <xf numFmtId="0" fontId="21" fillId="2" borderId="313" xfId="58" applyFont="1" applyFill="1" applyBorder="1" applyAlignment="1">
      <alignment horizontal="center" vertical="center" wrapText="1"/>
    </xf>
    <xf numFmtId="0" fontId="21" fillId="2" borderId="295" xfId="58" applyFont="1" applyFill="1" applyBorder="1" applyAlignment="1">
      <alignment horizontal="center" vertical="center" wrapText="1"/>
    </xf>
    <xf numFmtId="0" fontId="21" fillId="2" borderId="124" xfId="58" applyFont="1" applyFill="1" applyBorder="1" applyAlignment="1">
      <alignment horizontal="center" vertical="center" wrapText="1"/>
    </xf>
    <xf numFmtId="0" fontId="21" fillId="2" borderId="270" xfId="58" applyFont="1" applyFill="1" applyBorder="1" applyAlignment="1">
      <alignment horizontal="center" vertical="center" wrapText="1"/>
    </xf>
    <xf numFmtId="0" fontId="21" fillId="2" borderId="300" xfId="58" applyFont="1" applyFill="1" applyBorder="1" applyAlignment="1">
      <alignment horizontal="center" vertical="center" wrapText="1"/>
    </xf>
    <xf numFmtId="0" fontId="21" fillId="2" borderId="6" xfId="58" applyFont="1" applyFill="1" applyBorder="1" applyAlignment="1">
      <alignment horizontal="center" vertical="center" wrapText="1"/>
    </xf>
    <xf numFmtId="0" fontId="91" fillId="2" borderId="300" xfId="58" applyFont="1" applyFill="1" applyBorder="1" applyAlignment="1">
      <alignment horizontal="left" vertical="top" wrapText="1"/>
    </xf>
    <xf numFmtId="0" fontId="278" fillId="0" borderId="685" xfId="30" applyFont="1" applyFill="1" applyBorder="1" applyAlignment="1" applyProtection="1">
      <alignment horizontal="center" vertical="center" wrapText="1"/>
      <protection locked="0"/>
    </xf>
    <xf numFmtId="0" fontId="278" fillId="0" borderId="397" xfId="30" applyFont="1" applyFill="1" applyBorder="1" applyAlignment="1" applyProtection="1">
      <alignment horizontal="center" vertical="center" wrapText="1"/>
      <protection locked="0"/>
    </xf>
    <xf numFmtId="0" fontId="212" fillId="0" borderId="0" xfId="0" applyFont="1" applyAlignment="1">
      <alignment horizontal="center"/>
    </xf>
    <xf numFmtId="0" fontId="253" fillId="0" borderId="0" xfId="0" applyFont="1" applyAlignment="1">
      <alignment horizontal="left" vertical="center" wrapText="1"/>
    </xf>
    <xf numFmtId="0" fontId="19" fillId="0" borderId="111" xfId="81" applyFont="1" applyBorder="1" applyAlignment="1">
      <alignment horizontal="left" vertical="top" wrapText="1"/>
    </xf>
    <xf numFmtId="0" fontId="19" fillId="0" borderId="111" xfId="81" applyFont="1" applyBorder="1" applyAlignment="1">
      <alignment horizontal="center" vertical="top" wrapText="1"/>
    </xf>
    <xf numFmtId="0" fontId="31" fillId="0" borderId="0" xfId="81" applyFont="1" applyAlignment="1">
      <alignment horizontal="center"/>
    </xf>
    <xf numFmtId="0" fontId="19" fillId="0" borderId="0" xfId="81" applyFont="1" applyAlignment="1">
      <alignment horizontal="left" wrapText="1"/>
    </xf>
    <xf numFmtId="0" fontId="19" fillId="0" borderId="0" xfId="81" applyFont="1" applyAlignment="1">
      <alignment horizontal="left"/>
    </xf>
    <xf numFmtId="0" fontId="21" fillId="0" borderId="104" xfId="81" applyFont="1" applyBorder="1" applyAlignment="1">
      <alignment horizontal="center" vertical="top" wrapText="1"/>
    </xf>
    <xf numFmtId="0" fontId="21" fillId="0" borderId="111" xfId="81" applyFont="1" applyBorder="1" applyAlignment="1">
      <alignment horizontal="center" vertical="top" wrapText="1"/>
    </xf>
    <xf numFmtId="0" fontId="33" fillId="0" borderId="104" xfId="81" applyFont="1" applyBorder="1" applyAlignment="1">
      <alignment horizontal="center" vertical="top" wrapText="1"/>
    </xf>
    <xf numFmtId="0" fontId="21" fillId="0" borderId="107" xfId="81" applyFont="1" applyBorder="1" applyAlignment="1">
      <alignment horizontal="center" vertical="top" wrapText="1"/>
    </xf>
    <xf numFmtId="0" fontId="19" fillId="0" borderId="186" xfId="81" applyFont="1" applyBorder="1" applyAlignment="1">
      <alignment horizontal="left" vertical="top" wrapText="1"/>
    </xf>
    <xf numFmtId="0" fontId="19" fillId="0" borderId="107" xfId="81" applyFont="1" applyBorder="1" applyAlignment="1">
      <alignment horizontal="left" vertical="top" wrapText="1"/>
    </xf>
    <xf numFmtId="0" fontId="19" fillId="0" borderId="107" xfId="81" applyFont="1" applyBorder="1" applyAlignment="1">
      <alignment horizontal="center" vertical="top" wrapText="1"/>
    </xf>
    <xf numFmtId="0" fontId="19" fillId="0" borderId="111" xfId="81" applyFont="1" applyBorder="1" applyAlignment="1">
      <alignment vertical="top" wrapText="1"/>
    </xf>
    <xf numFmtId="0" fontId="19" fillId="0" borderId="193" xfId="81" applyFont="1" applyBorder="1" applyAlignment="1">
      <alignment horizontal="left" vertical="top" wrapText="1"/>
    </xf>
    <xf numFmtId="0" fontId="19" fillId="0" borderId="357" xfId="81" applyFont="1" applyBorder="1" applyAlignment="1">
      <alignment horizontal="left" vertical="top" wrapText="1"/>
    </xf>
    <xf numFmtId="0" fontId="19" fillId="0" borderId="357" xfId="81" applyFont="1" applyBorder="1" applyAlignment="1">
      <alignment horizontal="center" vertical="top" wrapText="1"/>
    </xf>
    <xf numFmtId="0" fontId="180" fillId="0" borderId="0" xfId="101" applyBorder="1" applyAlignment="1">
      <alignment horizontal="left"/>
    </xf>
    <xf numFmtId="0" fontId="180" fillId="0" borderId="0" xfId="101" applyBorder="1" applyAlignment="1">
      <alignment horizontal="center"/>
    </xf>
    <xf numFmtId="0" fontId="27" fillId="0" borderId="0" xfId="101" applyFont="1" applyAlignment="1">
      <alignment horizontal="center"/>
    </xf>
    <xf numFmtId="0" fontId="18" fillId="0" borderId="0" xfId="101" applyFont="1" applyAlignment="1">
      <alignment horizontal="left"/>
    </xf>
    <xf numFmtId="0" fontId="21" fillId="0" borderId="301" xfId="101" applyFont="1" applyBorder="1" applyAlignment="1">
      <alignment horizontal="center" vertical="center" shrinkToFit="1"/>
    </xf>
    <xf numFmtId="0" fontId="21" fillId="0" borderId="295" xfId="101" applyFont="1" applyBorder="1" applyAlignment="1">
      <alignment horizontal="center" vertical="center" shrinkToFit="1"/>
    </xf>
    <xf numFmtId="0" fontId="21" fillId="0" borderId="303" xfId="101" applyFont="1" applyBorder="1" applyAlignment="1">
      <alignment horizontal="center" vertical="center" shrinkToFit="1"/>
    </xf>
    <xf numFmtId="0" fontId="21" fillId="0" borderId="301" xfId="101" applyFont="1" applyBorder="1" applyAlignment="1">
      <alignment horizontal="center" vertical="center" wrapText="1"/>
    </xf>
    <xf numFmtId="0" fontId="21" fillId="0" borderId="295" xfId="101" applyFont="1" applyBorder="1" applyAlignment="1">
      <alignment horizontal="center" vertical="center" wrapText="1"/>
    </xf>
    <xf numFmtId="0" fontId="21" fillId="0" borderId="303" xfId="101" applyFont="1" applyBorder="1" applyAlignment="1">
      <alignment horizontal="center" vertical="center" wrapText="1"/>
    </xf>
    <xf numFmtId="0" fontId="21" fillId="0" borderId="296" xfId="101" applyFont="1" applyBorder="1" applyAlignment="1">
      <alignment horizontal="center" vertical="center" wrapText="1"/>
    </xf>
    <xf numFmtId="0" fontId="21" fillId="0" borderId="0" xfId="101" applyFont="1" applyBorder="1" applyAlignment="1">
      <alignment horizontal="center" vertical="center" wrapText="1"/>
    </xf>
    <xf numFmtId="0" fontId="21" fillId="0" borderId="315" xfId="101" applyFont="1" applyBorder="1" applyAlignment="1">
      <alignment horizontal="center" vertical="center" wrapText="1"/>
    </xf>
    <xf numFmtId="0" fontId="21" fillId="0" borderId="304" xfId="101" applyFont="1" applyBorder="1" applyAlignment="1">
      <alignment horizontal="center"/>
    </xf>
    <xf numFmtId="0" fontId="21" fillId="0" borderId="287" xfId="101" applyFont="1" applyBorder="1" applyAlignment="1">
      <alignment horizontal="center"/>
    </xf>
    <xf numFmtId="0" fontId="21" fillId="0" borderId="306" xfId="101" applyFont="1" applyBorder="1" applyAlignment="1">
      <alignment horizontal="center"/>
    </xf>
    <xf numFmtId="0" fontId="21" fillId="0" borderId="316" xfId="101" applyFont="1" applyBorder="1" applyAlignment="1">
      <alignment horizontal="center"/>
    </xf>
    <xf numFmtId="0" fontId="278" fillId="0" borderId="5" xfId="30" applyFont="1" applyFill="1" applyBorder="1" applyAlignment="1" applyProtection="1">
      <alignment horizontal="center" vertical="center" wrapText="1"/>
      <protection locked="0"/>
    </xf>
    <xf numFmtId="0" fontId="278" fillId="0" borderId="7" xfId="30" applyFont="1" applyFill="1" applyBorder="1" applyAlignment="1" applyProtection="1">
      <alignment horizontal="center" vertical="center" wrapText="1"/>
      <protection locked="0"/>
    </xf>
    <xf numFmtId="0" fontId="278" fillId="0" borderId="643" xfId="30" applyFont="1" applyFill="1" applyBorder="1" applyAlignment="1" applyProtection="1">
      <alignment horizontal="center" vertical="center" wrapText="1"/>
      <protection locked="0"/>
    </xf>
    <xf numFmtId="0" fontId="278" fillId="0" borderId="246" xfId="30" applyFont="1" applyFill="1" applyBorder="1" applyAlignment="1" applyProtection="1">
      <alignment horizontal="center" vertical="center" wrapText="1"/>
      <protection locked="0"/>
    </xf>
    <xf numFmtId="4" fontId="278" fillId="0" borderId="644" xfId="30" applyNumberFormat="1" applyFont="1" applyFill="1" applyBorder="1" applyAlignment="1" applyProtection="1">
      <alignment horizontal="center" vertical="center"/>
      <protection locked="0"/>
    </xf>
    <xf numFmtId="4" fontId="278" fillId="0" borderId="0" xfId="30" applyNumberFormat="1" applyFont="1" applyFill="1" applyBorder="1" applyAlignment="1" applyProtection="1">
      <alignment horizontal="center" vertical="center"/>
      <protection locked="0"/>
    </xf>
    <xf numFmtId="4" fontId="278" fillId="0" borderId="665" xfId="30" applyNumberFormat="1" applyFont="1" applyFill="1" applyBorder="1" applyAlignment="1" applyProtection="1">
      <alignment horizontal="center" vertical="center"/>
      <protection locked="0"/>
    </xf>
    <xf numFmtId="4" fontId="278" fillId="0" borderId="570" xfId="30" applyNumberFormat="1" applyFont="1" applyFill="1" applyBorder="1" applyAlignment="1" applyProtection="1">
      <alignment horizontal="center" vertical="center"/>
      <protection locked="0"/>
    </xf>
    <xf numFmtId="4" fontId="278" fillId="0" borderId="246" xfId="30" applyNumberFormat="1" applyFont="1" applyFill="1" applyBorder="1" applyAlignment="1" applyProtection="1">
      <alignment horizontal="center" vertical="center"/>
      <protection locked="0"/>
    </xf>
    <xf numFmtId="4" fontId="278" fillId="0" borderId="669" xfId="30" applyNumberFormat="1" applyFont="1" applyFill="1" applyBorder="1" applyAlignment="1" applyProtection="1">
      <alignment horizontal="center" vertical="center"/>
      <protection locked="0"/>
    </xf>
    <xf numFmtId="4" fontId="278" fillId="0" borderId="667" xfId="30" applyNumberFormat="1" applyFont="1" applyFill="1" applyBorder="1" applyAlignment="1" applyProtection="1">
      <alignment horizontal="center" vertical="center"/>
      <protection locked="0"/>
    </xf>
    <xf numFmtId="4" fontId="278" fillId="0" borderId="664" xfId="30" applyNumberFormat="1" applyFont="1" applyFill="1" applyBorder="1" applyAlignment="1" applyProtection="1">
      <alignment horizontal="center" vertical="center"/>
      <protection locked="0"/>
    </xf>
    <xf numFmtId="0" fontId="278" fillId="0" borderId="295" xfId="30" applyFont="1" applyFill="1" applyBorder="1" applyAlignment="1" applyProtection="1">
      <alignment horizontal="center" vertical="center" wrapText="1"/>
      <protection locked="0"/>
    </xf>
    <xf numFmtId="0" fontId="21" fillId="0" borderId="261" xfId="101" applyFont="1" applyBorder="1" applyAlignment="1">
      <alignment horizontal="center" vertical="center" shrinkToFit="1"/>
    </xf>
    <xf numFmtId="0" fontId="21" fillId="0" borderId="314" xfId="101" applyFont="1" applyBorder="1" applyAlignment="1">
      <alignment horizontal="center" vertical="center" shrinkToFit="1"/>
    </xf>
    <xf numFmtId="0" fontId="21" fillId="0" borderId="23" xfId="101" applyFont="1" applyBorder="1" applyAlignment="1">
      <alignment horizontal="center" vertical="center" shrinkToFit="1"/>
    </xf>
    <xf numFmtId="0" fontId="21" fillId="0" borderId="293" xfId="101" applyFont="1" applyBorder="1" applyAlignment="1">
      <alignment horizontal="center"/>
    </xf>
    <xf numFmtId="0" fontId="21" fillId="0" borderId="294" xfId="101" applyFont="1" applyBorder="1" applyAlignment="1">
      <alignment horizontal="center"/>
    </xf>
    <xf numFmtId="0" fontId="21" fillId="0" borderId="292" xfId="101" applyFont="1" applyBorder="1" applyAlignment="1">
      <alignment horizontal="center"/>
    </xf>
    <xf numFmtId="0" fontId="180" fillId="0" borderId="0" xfId="101" applyAlignment="1">
      <alignment horizontal="center"/>
    </xf>
    <xf numFmtId="0" fontId="21" fillId="0" borderId="457" xfId="101" applyFont="1" applyBorder="1" applyAlignment="1">
      <alignment horizontal="center" vertical="center"/>
    </xf>
    <xf numFmtId="0" fontId="21" fillId="0" borderId="241" xfId="101" applyFont="1" applyBorder="1" applyAlignment="1">
      <alignment horizontal="center" vertical="center"/>
    </xf>
    <xf numFmtId="9" fontId="19" fillId="0" borderId="450" xfId="0" applyNumberFormat="1" applyFont="1" applyBorder="1" applyAlignment="1">
      <alignment horizontal="center" vertical="top" wrapText="1"/>
    </xf>
    <xf numFmtId="9" fontId="19" fillId="0" borderId="201" xfId="0" applyNumberFormat="1" applyFont="1" applyBorder="1" applyAlignment="1">
      <alignment horizontal="center" vertical="top" wrapText="1"/>
    </xf>
    <xf numFmtId="0" fontId="19" fillId="0" borderId="450" xfId="0" applyFont="1" applyBorder="1" applyAlignment="1">
      <alignment horizontal="center" vertical="top" wrapText="1"/>
    </xf>
    <xf numFmtId="0" fontId="19" fillId="0" borderId="201" xfId="0" applyFont="1" applyBorder="1" applyAlignment="1">
      <alignment horizontal="center" vertical="top" wrapText="1"/>
    </xf>
    <xf numFmtId="0" fontId="21" fillId="0" borderId="450" xfId="0" applyFont="1" applyBorder="1" applyAlignment="1">
      <alignment horizontal="left" vertical="top" wrapText="1"/>
    </xf>
    <xf numFmtId="0" fontId="21" fillId="0" borderId="201" xfId="0" applyFont="1" applyBorder="1" applyAlignment="1">
      <alignment horizontal="left" vertical="top" wrapText="1"/>
    </xf>
    <xf numFmtId="43" fontId="21" fillId="0" borderId="450" xfId="9" applyFont="1" applyFill="1" applyBorder="1" applyAlignment="1">
      <alignment horizontal="center" vertical="top" wrapText="1"/>
    </xf>
    <xf numFmtId="43" fontId="21" fillId="0" borderId="201" xfId="9" applyFont="1" applyFill="1" applyBorder="1" applyAlignment="1">
      <alignment horizontal="center" vertical="top" wrapText="1"/>
    </xf>
    <xf numFmtId="0" fontId="19" fillId="0" borderId="450" xfId="0" applyFont="1" applyBorder="1" applyAlignment="1">
      <alignment horizontal="left" vertical="top" wrapText="1"/>
    </xf>
    <xf numFmtId="0" fontId="19" fillId="0" borderId="201" xfId="0" applyFont="1" applyBorder="1" applyAlignment="1">
      <alignment horizontal="left" vertical="top" wrapText="1"/>
    </xf>
    <xf numFmtId="0" fontId="27" fillId="0" borderId="0" xfId="0" applyFont="1" applyAlignment="1">
      <alignment horizontal="center" vertical="top"/>
    </xf>
    <xf numFmtId="0" fontId="18" fillId="0" borderId="0" xfId="0" applyFont="1" applyAlignment="1">
      <alignment horizontal="center" vertical="top"/>
    </xf>
    <xf numFmtId="0" fontId="19" fillId="0" borderId="0" xfId="0" applyFont="1" applyAlignment="1">
      <alignment horizontal="left" vertical="top" wrapText="1"/>
    </xf>
    <xf numFmtId="0" fontId="21" fillId="0" borderId="346" xfId="0" applyFont="1" applyBorder="1" applyAlignment="1">
      <alignment horizontal="center" vertical="top" wrapText="1"/>
    </xf>
    <xf numFmtId="0" fontId="21" fillId="0" borderId="349" xfId="0" applyFont="1" applyBorder="1" applyAlignment="1">
      <alignment horizontal="center" vertical="top" wrapText="1"/>
    </xf>
    <xf numFmtId="0" fontId="21" fillId="0" borderId="347" xfId="0" applyFont="1" applyBorder="1" applyAlignment="1">
      <alignment horizontal="center" vertical="top" wrapText="1"/>
    </xf>
    <xf numFmtId="0" fontId="21" fillId="0" borderId="348" xfId="0" applyFont="1" applyBorder="1" applyAlignment="1">
      <alignment horizontal="center" vertical="top" wrapText="1"/>
    </xf>
    <xf numFmtId="0" fontId="21" fillId="0" borderId="350" xfId="0" applyFont="1" applyBorder="1" applyAlignment="1">
      <alignment horizontal="center" vertical="top" wrapText="1"/>
    </xf>
    <xf numFmtId="0" fontId="21" fillId="0" borderId="351" xfId="0" applyFont="1" applyBorder="1" applyAlignment="1">
      <alignment horizontal="center" vertical="top" wrapText="1"/>
    </xf>
    <xf numFmtId="0" fontId="319" fillId="0" borderId="0" xfId="55" applyFont="1" applyFill="1" applyAlignment="1" applyProtection="1">
      <alignment horizontal="center" vertical="center"/>
      <protection locked="0"/>
    </xf>
    <xf numFmtId="0" fontId="411" fillId="0" borderId="0" xfId="55" applyNumberFormat="1" applyFont="1" applyFill="1" applyAlignment="1" applyProtection="1">
      <alignment horizontal="center" vertical="center"/>
      <protection locked="0"/>
    </xf>
    <xf numFmtId="0" fontId="31" fillId="0" borderId="0" xfId="83" applyFont="1" applyAlignment="1">
      <alignment horizontal="center" vertical="top"/>
    </xf>
    <xf numFmtId="0" fontId="19" fillId="0" borderId="0" xfId="83" applyFont="1" applyAlignment="1">
      <alignment horizontal="justify" vertical="top" wrapText="1"/>
    </xf>
    <xf numFmtId="0" fontId="31" fillId="0" borderId="0" xfId="83" applyFont="1" applyAlignment="1">
      <alignment horizontal="left" vertical="top"/>
    </xf>
    <xf numFmtId="0" fontId="26" fillId="0" borderId="120" xfId="83" applyFont="1" applyBorder="1" applyAlignment="1">
      <alignment horizontal="center" vertical="top" wrapText="1"/>
    </xf>
    <xf numFmtId="0" fontId="278" fillId="0" borderId="5" xfId="42" applyFont="1" applyFill="1" applyBorder="1" applyAlignment="1" applyProtection="1">
      <alignment horizontal="center" vertical="center" wrapText="1"/>
      <protection locked="0"/>
    </xf>
    <xf numFmtId="0" fontId="278" fillId="0" borderId="7" xfId="42" applyFont="1" applyFill="1" applyBorder="1" applyAlignment="1" applyProtection="1">
      <alignment horizontal="center" vertical="center" wrapText="1"/>
      <protection locked="0"/>
    </xf>
    <xf numFmtId="4" fontId="278" fillId="0" borderId="627" xfId="30" applyNumberFormat="1" applyFont="1" applyFill="1" applyBorder="1" applyAlignment="1" applyProtection="1">
      <alignment horizontal="center" vertical="center"/>
      <protection locked="0"/>
    </xf>
    <xf numFmtId="4" fontId="278" fillId="0" borderId="663" xfId="30" applyNumberFormat="1" applyFont="1" applyFill="1" applyBorder="1" applyAlignment="1" applyProtection="1">
      <alignment horizontal="center" vertical="center"/>
      <protection locked="0"/>
    </xf>
    <xf numFmtId="4" fontId="278" fillId="0" borderId="598" xfId="30" applyNumberFormat="1" applyFont="1" applyFill="1" applyBorder="1" applyAlignment="1" applyProtection="1">
      <alignment horizontal="center" vertical="center"/>
      <protection locked="0"/>
    </xf>
    <xf numFmtId="0" fontId="62" fillId="0" borderId="450" xfId="0" applyFont="1" applyBorder="1" applyAlignment="1">
      <alignment horizontal="center" vertical="center" wrapText="1"/>
    </xf>
    <xf numFmtId="0" fontId="62" fillId="0" borderId="448" xfId="0" applyFont="1" applyBorder="1" applyAlignment="1">
      <alignment horizontal="center" vertical="center" wrapText="1"/>
    </xf>
    <xf numFmtId="43" fontId="62" fillId="0" borderId="224" xfId="1" applyFont="1" applyBorder="1" applyAlignment="1">
      <alignment horizontal="center" vertical="top" wrapText="1"/>
    </xf>
    <xf numFmtId="43" fontId="62" fillId="0" borderId="223" xfId="1" applyFont="1" applyBorder="1" applyAlignment="1">
      <alignment horizontal="center" vertical="top" wrapText="1"/>
    </xf>
    <xf numFmtId="43" fontId="62" fillId="0" borderId="207" xfId="1" applyFont="1" applyBorder="1" applyAlignment="1">
      <alignment horizontal="center" vertical="top" wrapText="1"/>
    </xf>
    <xf numFmtId="0" fontId="21" fillId="0" borderId="244" xfId="104" applyFont="1" applyBorder="1" applyAlignment="1">
      <alignment horizontal="left" vertical="top"/>
    </xf>
    <xf numFmtId="0" fontId="21" fillId="0" borderId="136" xfId="104" applyFont="1" applyBorder="1" applyAlignment="1">
      <alignment horizontal="left" vertical="top"/>
    </xf>
    <xf numFmtId="4" fontId="21" fillId="0" borderId="176" xfId="104" applyNumberFormat="1" applyFont="1" applyBorder="1" applyAlignment="1">
      <alignment horizontal="center" vertical="top" wrapText="1"/>
    </xf>
    <xf numFmtId="4" fontId="21" fillId="0" borderId="137" xfId="104" applyNumberFormat="1" applyFont="1" applyBorder="1" applyAlignment="1">
      <alignment horizontal="center" vertical="top" wrapText="1"/>
    </xf>
    <xf numFmtId="0" fontId="19" fillId="0" borderId="458" xfId="104" applyFont="1" applyBorder="1" applyAlignment="1">
      <alignment horizontal="left" vertical="top" wrapText="1"/>
    </xf>
    <xf numFmtId="0" fontId="19" fillId="0" borderId="137" xfId="104" applyFont="1" applyBorder="1" applyAlignment="1">
      <alignment horizontal="left" vertical="top" wrapText="1"/>
    </xf>
    <xf numFmtId="0" fontId="19" fillId="0" borderId="144" xfId="104" applyFont="1" applyBorder="1" applyAlignment="1">
      <alignment horizontal="left" vertical="top" wrapText="1"/>
    </xf>
    <xf numFmtId="0" fontId="21" fillId="0" borderId="244" xfId="104" applyFont="1" applyBorder="1" applyAlignment="1">
      <alignment horizontal="left" vertical="top" wrapText="1"/>
    </xf>
    <xf numFmtId="0" fontId="21" fillId="0" borderId="136" xfId="104" applyFont="1" applyBorder="1" applyAlignment="1">
      <alignment horizontal="left" vertical="top" wrapText="1"/>
    </xf>
    <xf numFmtId="0" fontId="21" fillId="0" borderId="143" xfId="104" applyFont="1" applyBorder="1" applyAlignment="1">
      <alignment horizontal="left" vertical="top" wrapText="1"/>
    </xf>
    <xf numFmtId="4" fontId="21" fillId="0" borderId="144" xfId="104" applyNumberFormat="1" applyFont="1" applyBorder="1" applyAlignment="1">
      <alignment horizontal="center" vertical="top" wrapText="1"/>
    </xf>
    <xf numFmtId="0" fontId="21" fillId="0" borderId="143" xfId="104" applyFont="1" applyBorder="1" applyAlignment="1">
      <alignment horizontal="left" vertical="top"/>
    </xf>
    <xf numFmtId="0" fontId="18" fillId="0" borderId="0" xfId="104" applyFont="1" applyAlignment="1">
      <alignment horizontal="left"/>
    </xf>
    <xf numFmtId="0" fontId="18" fillId="0" borderId="0" xfId="104" applyFont="1" applyAlignment="1">
      <alignment horizontal="left" wrapText="1"/>
    </xf>
    <xf numFmtId="0" fontId="21" fillId="0" borderId="312" xfId="104" applyFont="1" applyFill="1" applyBorder="1" applyAlignment="1">
      <alignment horizontal="center" vertical="center" wrapText="1"/>
    </xf>
    <xf numFmtId="0" fontId="21" fillId="0" borderId="107" xfId="104" applyFont="1" applyFill="1" applyBorder="1" applyAlignment="1">
      <alignment horizontal="center" vertical="center" wrapText="1"/>
    </xf>
    <xf numFmtId="0" fontId="21" fillId="0" borderId="135" xfId="104" applyFont="1" applyFill="1" applyBorder="1" applyAlignment="1">
      <alignment horizontal="center" vertical="center" wrapText="1"/>
    </xf>
    <xf numFmtId="0" fontId="31" fillId="0" borderId="0" xfId="104" applyFont="1" applyAlignment="1">
      <alignment horizontal="center"/>
    </xf>
    <xf numFmtId="0" fontId="31" fillId="0" borderId="0" xfId="104" applyFont="1" applyAlignment="1">
      <alignment horizontal="left"/>
    </xf>
    <xf numFmtId="0" fontId="27" fillId="0" borderId="0" xfId="104" applyFont="1" applyAlignment="1">
      <alignment horizontal="left"/>
    </xf>
    <xf numFmtId="0" fontId="18" fillId="0" borderId="0" xfId="104" applyFont="1" applyAlignment="1">
      <alignment horizontal="center"/>
    </xf>
    <xf numFmtId="0" fontId="18" fillId="0" borderId="0" xfId="104" quotePrefix="1" applyFont="1" applyAlignment="1">
      <alignment horizontal="left" wrapText="1"/>
    </xf>
    <xf numFmtId="43" fontId="62" fillId="0" borderId="224" xfId="1" applyFont="1" applyBorder="1" applyAlignment="1">
      <alignment horizontal="center" vertical="top"/>
    </xf>
    <xf numFmtId="4" fontId="278" fillId="0" borderId="0" xfId="2" applyNumberFormat="1" applyFont="1" applyFill="1" applyAlignment="1" applyProtection="1">
      <alignment vertical="center"/>
      <protection locked="0"/>
    </xf>
    <xf numFmtId="0" fontId="220" fillId="0" borderId="553" xfId="21" applyFont="1" applyFill="1" applyBorder="1" applyAlignment="1">
      <alignment horizontal="center"/>
    </xf>
    <xf numFmtId="0" fontId="220" fillId="0" borderId="703" xfId="21" applyFont="1" applyFill="1" applyBorder="1" applyAlignment="1">
      <alignment horizontal="center"/>
    </xf>
    <xf numFmtId="0" fontId="202" fillId="0" borderId="135" xfId="0" applyFont="1" applyFill="1" applyBorder="1" applyAlignment="1">
      <alignment horizontal="left" vertical="top" wrapText="1"/>
    </xf>
    <xf numFmtId="0" fontId="202" fillId="0" borderId="139" xfId="0" applyFont="1" applyFill="1" applyBorder="1" applyAlignment="1">
      <alignment horizontal="left" vertical="top" wrapText="1"/>
    </xf>
    <xf numFmtId="0" fontId="202" fillId="0" borderId="468" xfId="0" applyFont="1" applyFill="1" applyBorder="1" applyAlignment="1">
      <alignment horizontal="center" vertical="top" wrapText="1"/>
    </xf>
    <xf numFmtId="0" fontId="202" fillId="0" borderId="469" xfId="0" applyFont="1" applyFill="1" applyBorder="1" applyAlignment="1">
      <alignment horizontal="center" vertical="top" wrapText="1"/>
    </xf>
    <xf numFmtId="0" fontId="255" fillId="0" borderId="0" xfId="84" applyFont="1" applyFill="1" applyAlignment="1">
      <alignment horizontal="center" vertical="top"/>
    </xf>
    <xf numFmtId="0" fontId="202" fillId="0" borderId="135" xfId="0" applyFont="1" applyFill="1" applyBorder="1" applyAlignment="1">
      <alignment vertical="top" wrapText="1"/>
    </xf>
    <xf numFmtId="0" fontId="202" fillId="0" borderId="137" xfId="0" applyFont="1" applyFill="1" applyBorder="1" applyAlignment="1">
      <alignment vertical="top" wrapText="1"/>
    </xf>
    <xf numFmtId="0" fontId="202" fillId="0" borderId="139" xfId="0" applyFont="1" applyFill="1" applyBorder="1" applyAlignment="1">
      <alignment vertical="top" wrapText="1"/>
    </xf>
    <xf numFmtId="0" fontId="202" fillId="0" borderId="135" xfId="0" applyFont="1" applyFill="1" applyBorder="1" applyAlignment="1">
      <alignment horizontal="center" vertical="top" wrapText="1"/>
    </xf>
    <xf numFmtId="0" fontId="202" fillId="0" borderId="137" xfId="0" applyFont="1" applyFill="1" applyBorder="1" applyAlignment="1">
      <alignment horizontal="center" vertical="top" wrapText="1"/>
    </xf>
    <xf numFmtId="0" fontId="202" fillId="0" borderId="139" xfId="0" applyFont="1" applyFill="1" applyBorder="1" applyAlignment="1">
      <alignment horizontal="center" vertical="top" wrapText="1"/>
    </xf>
    <xf numFmtId="0" fontId="204" fillId="0" borderId="135" xfId="0" applyFont="1" applyFill="1" applyBorder="1" applyAlignment="1">
      <alignment horizontal="center" vertical="top" wrapText="1"/>
    </xf>
    <xf numFmtId="0" fontId="204" fillId="0" borderId="137" xfId="0" applyFont="1" applyFill="1" applyBorder="1" applyAlignment="1">
      <alignment horizontal="center" vertical="top" wrapText="1"/>
    </xf>
    <xf numFmtId="0" fontId="204" fillId="0" borderId="139" xfId="0" applyFont="1" applyFill="1" applyBorder="1" applyAlignment="1">
      <alignment horizontal="center" vertical="top" wrapText="1"/>
    </xf>
    <xf numFmtId="0" fontId="203" fillId="0" borderId="135" xfId="0" applyFont="1" applyFill="1" applyBorder="1" applyAlignment="1">
      <alignment horizontal="left" vertical="top" wrapText="1"/>
    </xf>
    <xf numFmtId="0" fontId="203" fillId="0" borderId="139" xfId="0" applyFont="1" applyFill="1" applyBorder="1" applyAlignment="1">
      <alignment horizontal="left" vertical="top" wrapText="1"/>
    </xf>
    <xf numFmtId="43" fontId="202" fillId="0" borderId="135" xfId="1" applyFont="1" applyFill="1" applyBorder="1" applyAlignment="1">
      <alignment horizontal="center" vertical="top" wrapText="1"/>
    </xf>
    <xf numFmtId="43" fontId="202" fillId="0" borderId="139" xfId="1" applyFont="1" applyFill="1" applyBorder="1" applyAlignment="1">
      <alignment horizontal="center" vertical="top" wrapText="1"/>
    </xf>
    <xf numFmtId="0" fontId="203" fillId="0" borderId="135" xfId="0" applyFont="1" applyFill="1" applyBorder="1" applyAlignment="1">
      <alignment horizontal="center" vertical="top" wrapText="1"/>
    </xf>
    <xf numFmtId="0" fontId="203" fillId="0" borderId="139" xfId="0" applyFont="1" applyFill="1" applyBorder="1" applyAlignment="1">
      <alignment horizontal="center" vertical="top" wrapText="1"/>
    </xf>
    <xf numFmtId="0" fontId="204" fillId="0" borderId="135" xfId="0" applyFont="1" applyFill="1" applyBorder="1" applyAlignment="1">
      <alignment vertical="top" wrapText="1"/>
    </xf>
    <xf numFmtId="0" fontId="204" fillId="0" borderId="139" xfId="0" applyFont="1" applyFill="1" applyBorder="1" applyAlignment="1">
      <alignment vertical="top" wrapText="1"/>
    </xf>
    <xf numFmtId="43" fontId="204" fillId="0" borderId="160" xfId="1" applyFont="1" applyFill="1" applyBorder="1" applyAlignment="1">
      <alignment horizontal="center" vertical="top" wrapText="1"/>
    </xf>
    <xf numFmtId="43" fontId="204" fillId="0" borderId="162" xfId="1" applyFont="1" applyFill="1" applyBorder="1" applyAlignment="1">
      <alignment horizontal="center" vertical="top" wrapText="1"/>
    </xf>
    <xf numFmtId="0" fontId="203" fillId="0" borderId="135" xfId="0" applyFont="1" applyFill="1" applyBorder="1" applyAlignment="1">
      <alignment vertical="top" wrapText="1"/>
    </xf>
    <xf numFmtId="0" fontId="203" fillId="0" borderId="137" xfId="0" applyFont="1" applyFill="1" applyBorder="1" applyAlignment="1">
      <alignment vertical="top" wrapText="1"/>
    </xf>
    <xf numFmtId="43" fontId="204" fillId="0" borderId="135" xfId="1" applyFont="1" applyFill="1" applyBorder="1" applyAlignment="1">
      <alignment horizontal="center" vertical="top" wrapText="1"/>
    </xf>
    <xf numFmtId="43" fontId="204" fillId="0" borderId="139" xfId="1" applyFont="1" applyFill="1" applyBorder="1" applyAlignment="1">
      <alignment horizontal="center" vertical="top" wrapText="1"/>
    </xf>
    <xf numFmtId="0" fontId="204" fillId="0" borderId="137" xfId="0" applyFont="1" applyFill="1" applyBorder="1" applyAlignment="1">
      <alignment vertical="top" wrapText="1"/>
    </xf>
    <xf numFmtId="0" fontId="203" fillId="0" borderId="162" xfId="0" applyFont="1" applyFill="1" applyBorder="1" applyAlignment="1">
      <alignment horizontal="center" vertical="top" wrapText="1"/>
    </xf>
    <xf numFmtId="0" fontId="203" fillId="0" borderId="141" xfId="0" applyFont="1" applyFill="1" applyBorder="1" applyAlignment="1">
      <alignment horizontal="center" vertical="top" wrapText="1"/>
    </xf>
    <xf numFmtId="0" fontId="204" fillId="0" borderId="135" xfId="0" applyFont="1" applyFill="1" applyBorder="1" applyAlignment="1">
      <alignment horizontal="left" vertical="top" wrapText="1"/>
    </xf>
    <xf numFmtId="0" fontId="204" fillId="0" borderId="139" xfId="0" applyFont="1" applyFill="1" applyBorder="1" applyAlignment="1">
      <alignment horizontal="left" vertical="top" wrapText="1"/>
    </xf>
    <xf numFmtId="43" fontId="204" fillId="0" borderId="161" xfId="1" applyFont="1" applyFill="1" applyBorder="1" applyAlignment="1">
      <alignment horizontal="center" vertical="top" wrapText="1"/>
    </xf>
    <xf numFmtId="43" fontId="204" fillId="0" borderId="137" xfId="1" applyFont="1" applyFill="1" applyBorder="1" applyAlignment="1">
      <alignment horizontal="center" vertical="top" wrapText="1"/>
    </xf>
    <xf numFmtId="0" fontId="202" fillId="0" borderId="137" xfId="0" applyFont="1" applyFill="1" applyBorder="1" applyAlignment="1">
      <alignment horizontal="left" vertical="top" wrapText="1"/>
    </xf>
    <xf numFmtId="43" fontId="202" fillId="0" borderId="137" xfId="1" applyFont="1" applyFill="1" applyBorder="1" applyAlignment="1">
      <alignment horizontal="center" vertical="top" wrapText="1"/>
    </xf>
    <xf numFmtId="0" fontId="202" fillId="0" borderId="160" xfId="0" applyFont="1" applyFill="1" applyBorder="1" applyAlignment="1">
      <alignment horizontal="left" vertical="top" wrapText="1"/>
    </xf>
    <xf numFmtId="0" fontId="202" fillId="0" borderId="162" xfId="0" applyFont="1" applyFill="1" applyBorder="1" applyAlignment="1">
      <alignment horizontal="left" vertical="top" wrapText="1"/>
    </xf>
    <xf numFmtId="0" fontId="202" fillId="0" borderId="161" xfId="0" applyFont="1" applyFill="1" applyBorder="1" applyAlignment="1">
      <alignment horizontal="left" vertical="top" wrapText="1"/>
    </xf>
    <xf numFmtId="0" fontId="204" fillId="0" borderId="137" xfId="0" applyFont="1" applyFill="1" applyBorder="1" applyAlignment="1">
      <alignment horizontal="left" vertical="top" wrapText="1"/>
    </xf>
    <xf numFmtId="0" fontId="209" fillId="0" borderId="159" xfId="0" applyFont="1" applyFill="1" applyBorder="1" applyAlignment="1">
      <alignment horizontal="center" vertical="top" wrapText="1"/>
    </xf>
    <xf numFmtId="0" fontId="209" fillId="0" borderId="317" xfId="0" applyFont="1" applyFill="1" applyBorder="1" applyAlignment="1">
      <alignment horizontal="center" vertical="top" wrapText="1"/>
    </xf>
    <xf numFmtId="0" fontId="204" fillId="0" borderId="160" xfId="0" applyFont="1" applyFill="1" applyBorder="1" applyAlignment="1">
      <alignment horizontal="center" vertical="top" wrapText="1"/>
    </xf>
    <xf numFmtId="0" fontId="204" fillId="0" borderId="161" xfId="0" applyFont="1" applyFill="1" applyBorder="1" applyAlignment="1">
      <alignment horizontal="center" vertical="top" wrapText="1"/>
    </xf>
    <xf numFmtId="0" fontId="204" fillId="0" borderId="160" xfId="0" applyFont="1" applyFill="1" applyBorder="1" applyAlignment="1">
      <alignment horizontal="left" vertical="top" wrapText="1"/>
    </xf>
    <xf numFmtId="0" fontId="204" fillId="0" borderId="162" xfId="0" applyFont="1" applyFill="1" applyBorder="1" applyAlignment="1">
      <alignment horizontal="left" vertical="top" wrapText="1"/>
    </xf>
    <xf numFmtId="0" fontId="202" fillId="0" borderId="160" xfId="0" applyFont="1" applyFill="1" applyBorder="1" applyAlignment="1">
      <alignment horizontal="center" vertical="top" wrapText="1"/>
    </xf>
    <xf numFmtId="0" fontId="202" fillId="0" borderId="161" xfId="0" applyFont="1" applyFill="1" applyBorder="1" applyAlignment="1">
      <alignment horizontal="center" vertical="top" wrapText="1"/>
    </xf>
    <xf numFmtId="0" fontId="202" fillId="0" borderId="162" xfId="0" applyFont="1" applyFill="1" applyBorder="1" applyAlignment="1">
      <alignment horizontal="center" vertical="top" wrapText="1"/>
    </xf>
    <xf numFmtId="0" fontId="203" fillId="0" borderId="139" xfId="0" applyFont="1" applyFill="1" applyBorder="1" applyAlignment="1">
      <alignment vertical="top" wrapText="1"/>
    </xf>
    <xf numFmtId="0" fontId="202" fillId="0" borderId="150" xfId="0" applyFont="1" applyFill="1" applyBorder="1" applyAlignment="1">
      <alignment horizontal="center" vertical="top" wrapText="1"/>
    </xf>
    <xf numFmtId="0" fontId="202" fillId="0" borderId="141" xfId="0" applyFont="1" applyFill="1" applyBorder="1" applyAlignment="1">
      <alignment horizontal="center" vertical="top" wrapText="1"/>
    </xf>
    <xf numFmtId="0" fontId="208" fillId="0" borderId="135" xfId="0" applyFont="1" applyFill="1" applyBorder="1" applyAlignment="1">
      <alignment horizontal="center" vertical="top" wrapText="1"/>
    </xf>
    <xf numFmtId="0" fontId="208" fillId="0" borderId="139" xfId="0" applyFont="1" applyFill="1" applyBorder="1" applyAlignment="1">
      <alignment horizontal="center" vertical="top" wrapText="1"/>
    </xf>
    <xf numFmtId="0" fontId="208" fillId="0" borderId="137" xfId="0" applyFont="1" applyFill="1" applyBorder="1" applyAlignment="1">
      <alignment horizontal="center" vertical="top" wrapText="1"/>
    </xf>
    <xf numFmtId="0" fontId="203" fillId="0" borderId="137" xfId="0" applyFont="1" applyFill="1" applyBorder="1" applyAlignment="1">
      <alignment horizontal="left" vertical="top" wrapText="1"/>
    </xf>
    <xf numFmtId="0" fontId="203" fillId="0" borderId="137" xfId="0" applyFont="1" applyFill="1" applyBorder="1" applyAlignment="1">
      <alignment horizontal="center" vertical="top" wrapText="1"/>
    </xf>
    <xf numFmtId="0" fontId="202" fillId="0" borderId="142" xfId="0" applyFont="1" applyFill="1" applyBorder="1" applyAlignment="1">
      <alignment horizontal="center" vertical="top" wrapText="1"/>
    </xf>
    <xf numFmtId="0" fontId="202" fillId="0" borderId="201" xfId="0" applyFont="1" applyFill="1" applyBorder="1" applyAlignment="1">
      <alignment horizontal="left" vertical="top" wrapText="1"/>
    </xf>
    <xf numFmtId="0" fontId="203" fillId="0" borderId="407" xfId="0" applyFont="1" applyFill="1" applyBorder="1" applyAlignment="1">
      <alignment horizontal="center" vertical="top" wrapText="1"/>
    </xf>
    <xf numFmtId="43" fontId="202" fillId="0" borderId="468" xfId="1" applyFont="1" applyFill="1" applyBorder="1" applyAlignment="1">
      <alignment horizontal="center" vertical="top" wrapText="1"/>
    </xf>
    <xf numFmtId="43" fontId="202" fillId="0" borderId="469" xfId="1" applyFont="1" applyFill="1" applyBorder="1" applyAlignment="1">
      <alignment horizontal="center" vertical="top" wrapText="1"/>
    </xf>
    <xf numFmtId="43" fontId="202" fillId="0" borderId="470" xfId="1" applyFont="1" applyFill="1" applyBorder="1" applyAlignment="1">
      <alignment horizontal="center" vertical="top" wrapText="1"/>
    </xf>
    <xf numFmtId="0" fontId="204" fillId="0" borderId="468" xfId="0" applyFont="1" applyFill="1" applyBorder="1" applyAlignment="1">
      <alignment horizontal="center" vertical="top" wrapText="1"/>
    </xf>
    <xf numFmtId="0" fontId="204" fillId="0" borderId="469" xfId="0" applyFont="1" applyFill="1" applyBorder="1" applyAlignment="1">
      <alignment horizontal="center" vertical="top" wrapText="1"/>
    </xf>
    <xf numFmtId="0" fontId="204" fillId="0" borderId="470" xfId="0" applyFont="1" applyFill="1" applyBorder="1" applyAlignment="1">
      <alignment horizontal="center" vertical="top" wrapText="1"/>
    </xf>
    <xf numFmtId="0" fontId="202" fillId="0" borderId="470" xfId="0" applyFont="1" applyFill="1" applyBorder="1" applyAlignment="1">
      <alignment horizontal="center" vertical="top" wrapText="1"/>
    </xf>
    <xf numFmtId="0" fontId="202" fillId="0" borderId="468" xfId="0" applyFont="1" applyFill="1" applyBorder="1" applyAlignment="1">
      <alignment horizontal="left" vertical="top" wrapText="1"/>
    </xf>
    <xf numFmtId="0" fontId="202" fillId="0" borderId="469" xfId="0" applyFont="1" applyFill="1" applyBorder="1" applyAlignment="1">
      <alignment horizontal="left" vertical="top" wrapText="1"/>
    </xf>
    <xf numFmtId="0" fontId="202" fillId="0" borderId="470" xfId="0" applyFont="1" applyFill="1" applyBorder="1" applyAlignment="1">
      <alignment horizontal="left" vertical="top" wrapText="1"/>
    </xf>
    <xf numFmtId="0" fontId="202" fillId="0" borderId="448" xfId="0" applyFont="1" applyFill="1" applyBorder="1" applyAlignment="1">
      <alignment horizontal="left" vertical="top" wrapText="1"/>
    </xf>
    <xf numFmtId="0" fontId="202" fillId="0" borderId="202" xfId="0" applyFont="1" applyFill="1" applyBorder="1" applyAlignment="1">
      <alignment horizontal="left" vertical="top" wrapText="1"/>
    </xf>
    <xf numFmtId="0" fontId="202" fillId="0" borderId="0" xfId="0" applyFont="1" applyFill="1" applyBorder="1" applyAlignment="1">
      <alignment horizontal="left" vertical="top" wrapText="1"/>
    </xf>
    <xf numFmtId="0" fontId="202" fillId="0" borderId="464" xfId="0" applyFont="1" applyFill="1" applyBorder="1" applyAlignment="1">
      <alignment horizontal="left" vertical="top" wrapText="1"/>
    </xf>
    <xf numFmtId="0" fontId="203" fillId="0" borderId="461" xfId="0" applyFont="1" applyFill="1" applyBorder="1" applyAlignment="1">
      <alignment horizontal="center" vertical="top" wrapText="1"/>
    </xf>
    <xf numFmtId="0" fontId="203" fillId="0" borderId="462" xfId="0" applyFont="1" applyFill="1" applyBorder="1" applyAlignment="1">
      <alignment horizontal="center" vertical="top" wrapText="1"/>
    </xf>
    <xf numFmtId="0" fontId="203" fillId="0" borderId="463" xfId="0" applyFont="1" applyFill="1" applyBorder="1" applyAlignment="1">
      <alignment horizontal="center" vertical="top" wrapText="1"/>
    </xf>
    <xf numFmtId="0" fontId="257" fillId="0" borderId="0" xfId="0" applyFont="1" applyFill="1" applyBorder="1" applyAlignment="1">
      <alignment horizontal="left" vertical="top" wrapText="1"/>
    </xf>
    <xf numFmtId="0" fontId="203" fillId="0" borderId="0" xfId="0" applyFont="1" applyFill="1" applyBorder="1" applyAlignment="1">
      <alignment horizontal="left" vertical="top" wrapText="1"/>
    </xf>
    <xf numFmtId="0" fontId="202" fillId="0" borderId="467" xfId="0" applyFont="1" applyFill="1" applyBorder="1" applyAlignment="1">
      <alignment horizontal="left" vertical="top" wrapText="1"/>
    </xf>
    <xf numFmtId="0" fontId="203" fillId="0" borderId="466" xfId="0" applyFont="1" applyFill="1" applyBorder="1" applyAlignment="1">
      <alignment horizontal="center" vertical="top" wrapText="1"/>
    </xf>
    <xf numFmtId="0" fontId="203" fillId="0" borderId="159" xfId="0" applyFont="1" applyFill="1" applyBorder="1" applyAlignment="1">
      <alignment horizontal="center" vertical="top" wrapText="1"/>
    </xf>
    <xf numFmtId="0" fontId="203" fillId="0" borderId="140" xfId="0" applyFont="1" applyFill="1" applyBorder="1" applyAlignment="1">
      <alignment horizontal="center" vertical="top" wrapText="1"/>
    </xf>
    <xf numFmtId="0" fontId="31" fillId="0" borderId="0" xfId="21" applyFont="1" applyFill="1" applyAlignment="1">
      <alignment horizontal="center"/>
    </xf>
    <xf numFmtId="0" fontId="41" fillId="0" borderId="304" xfId="21" applyFont="1" applyFill="1" applyBorder="1" applyAlignment="1">
      <alignment horizontal="center" wrapText="1"/>
    </xf>
    <xf numFmtId="0" fontId="41" fillId="0" borderId="305" xfId="21" applyFont="1" applyFill="1" applyBorder="1" applyAlignment="1">
      <alignment horizontal="center" wrapText="1"/>
    </xf>
    <xf numFmtId="0" fontId="41" fillId="0" borderId="315" xfId="21" applyFont="1" applyFill="1" applyBorder="1" applyAlignment="1">
      <alignment horizontal="center"/>
    </xf>
    <xf numFmtId="0" fontId="41" fillId="0" borderId="316" xfId="21" applyFont="1" applyFill="1" applyBorder="1" applyAlignment="1">
      <alignment horizontal="center"/>
    </xf>
    <xf numFmtId="0" fontId="183" fillId="0" borderId="0" xfId="21" applyFont="1" applyFill="1" applyAlignment="1">
      <alignment horizontal="center"/>
    </xf>
    <xf numFmtId="0" fontId="160" fillId="0" borderId="0" xfId="21" applyFont="1" applyFill="1" applyAlignment="1">
      <alignment horizontal="center"/>
    </xf>
    <xf numFmtId="0" fontId="32" fillId="0" borderId="0" xfId="21" applyFont="1" applyFill="1" applyAlignment="1">
      <alignment horizontal="left" wrapText="1"/>
    </xf>
    <xf numFmtId="0" fontId="410" fillId="0" borderId="0" xfId="2" applyNumberFormat="1" applyFont="1" applyFill="1" applyAlignment="1" applyProtection="1">
      <alignment horizontal="center" vertical="center"/>
      <protection locked="0"/>
    </xf>
    <xf numFmtId="0" fontId="27" fillId="0" borderId="0" xfId="21" applyFont="1" applyAlignment="1">
      <alignment horizontal="left"/>
    </xf>
    <xf numFmtId="0" fontId="19" fillId="0" borderId="312" xfId="21" applyBorder="1" applyAlignment="1">
      <alignment horizontal="center"/>
    </xf>
    <xf numFmtId="0" fontId="19" fillId="0" borderId="112" xfId="21" applyBorder="1" applyAlignment="1">
      <alignment horizontal="center"/>
    </xf>
    <xf numFmtId="0" fontId="19" fillId="0" borderId="294" xfId="21" applyBorder="1" applyAlignment="1">
      <alignment horizontal="center"/>
    </xf>
    <xf numFmtId="0" fontId="19" fillId="0" borderId="292" xfId="21" applyBorder="1" applyAlignment="1">
      <alignment horizontal="center"/>
    </xf>
    <xf numFmtId="0" fontId="220" fillId="0" borderId="131" xfId="85" applyFont="1" applyBorder="1" applyAlignment="1">
      <alignment horizontal="center" vertical="top" wrapText="1"/>
    </xf>
    <xf numFmtId="0" fontId="220" fillId="0" borderId="132" xfId="85" applyFont="1" applyBorder="1" applyAlignment="1">
      <alignment horizontal="center" vertical="top" wrapText="1"/>
    </xf>
    <xf numFmtId="0" fontId="220" fillId="0" borderId="2" xfId="65" applyFont="1" applyBorder="1" applyAlignment="1">
      <alignment vertical="top" wrapText="1"/>
    </xf>
    <xf numFmtId="0" fontId="220" fillId="0" borderId="91" xfId="65" applyFont="1" applyBorder="1" applyAlignment="1">
      <alignment vertical="top" wrapText="1"/>
    </xf>
    <xf numFmtId="0" fontId="220" fillId="0" borderId="130" xfId="85" applyFont="1" applyBorder="1" applyAlignment="1">
      <alignment horizontal="center" vertical="top" wrapText="1"/>
    </xf>
    <xf numFmtId="0" fontId="220" fillId="0" borderId="5" xfId="65" applyFont="1" applyBorder="1" applyAlignment="1">
      <alignment vertical="top" wrapText="1"/>
    </xf>
    <xf numFmtId="0" fontId="220" fillId="0" borderId="5" xfId="85" applyFont="1" applyBorder="1" applyAlignment="1">
      <alignment horizontal="center" vertical="top" wrapText="1"/>
    </xf>
    <xf numFmtId="173" fontId="220" fillId="0" borderId="130" xfId="85" applyNumberFormat="1" applyFont="1" applyBorder="1" applyAlignment="1">
      <alignment horizontal="center" vertical="top" wrapText="1"/>
    </xf>
    <xf numFmtId="173" fontId="220" fillId="0" borderId="121" xfId="85" applyNumberFormat="1" applyFont="1" applyBorder="1" applyAlignment="1">
      <alignment horizontal="center" vertical="top" wrapText="1"/>
    </xf>
    <xf numFmtId="0" fontId="221" fillId="0" borderId="129" xfId="85" quotePrefix="1" applyFont="1" applyBorder="1" applyAlignment="1">
      <alignment horizontal="center" vertical="top"/>
    </xf>
    <xf numFmtId="0" fontId="221" fillId="0" borderId="123" xfId="85" applyFont="1" applyBorder="1" applyAlignment="1">
      <alignment horizontal="center" vertical="top"/>
    </xf>
    <xf numFmtId="0" fontId="221" fillId="0" borderId="122" xfId="85" quotePrefix="1" applyFont="1" applyBorder="1" applyAlignment="1">
      <alignment horizontal="center" vertical="top"/>
    </xf>
    <xf numFmtId="0" fontId="221" fillId="0" borderId="122" xfId="85" applyFont="1" applyBorder="1" applyAlignment="1">
      <alignment horizontal="center" vertical="top"/>
    </xf>
    <xf numFmtId="0" fontId="220" fillId="0" borderId="2" xfId="65" applyFont="1" applyFill="1" applyBorder="1" applyAlignment="1">
      <alignment horizontal="left" vertical="top" wrapText="1"/>
    </xf>
    <xf numFmtId="0" fontId="220" fillId="0" borderId="91" xfId="65" applyFont="1" applyFill="1" applyBorder="1" applyAlignment="1">
      <alignment horizontal="left" vertical="top" wrapText="1"/>
    </xf>
    <xf numFmtId="0" fontId="221" fillId="0" borderId="300" xfId="65" applyFont="1" applyFill="1" applyBorder="1" applyAlignment="1">
      <alignment horizontal="left" vertical="top" wrapText="1"/>
    </xf>
    <xf numFmtId="0" fontId="221" fillId="0" borderId="199" xfId="65" applyFont="1" applyFill="1" applyBorder="1" applyAlignment="1">
      <alignment horizontal="left" vertical="top" wrapText="1"/>
    </xf>
    <xf numFmtId="175" fontId="221" fillId="0" borderId="5" xfId="85" applyNumberFormat="1" applyFont="1" applyBorder="1" applyAlignment="1">
      <alignment horizontal="left" vertical="top" wrapText="1" shrinkToFit="1"/>
    </xf>
    <xf numFmtId="0" fontId="221" fillId="0" borderId="2" xfId="65" applyFont="1" applyFill="1" applyBorder="1" applyAlignment="1">
      <alignment horizontal="left" vertical="top" wrapText="1"/>
    </xf>
    <xf numFmtId="0" fontId="221" fillId="0" borderId="91" xfId="65" applyFont="1" applyFill="1" applyBorder="1" applyAlignment="1">
      <alignment horizontal="left" vertical="top" wrapText="1"/>
    </xf>
    <xf numFmtId="175" fontId="221" fillId="0" borderId="295" xfId="85" applyNumberFormat="1" applyFont="1" applyBorder="1" applyAlignment="1">
      <alignment horizontal="left" vertical="top" wrapText="1" shrinkToFit="1"/>
    </xf>
    <xf numFmtId="175" fontId="221" fillId="0" borderId="303" xfId="85" applyNumberFormat="1" applyFont="1" applyBorder="1" applyAlignment="1">
      <alignment horizontal="left" vertical="top" wrapText="1" shrinkToFit="1"/>
    </xf>
    <xf numFmtId="0" fontId="221" fillId="0" borderId="592" xfId="65" applyFont="1" applyFill="1" applyBorder="1" applyAlignment="1">
      <alignment horizontal="left" vertical="top" wrapText="1"/>
    </xf>
    <xf numFmtId="0" fontId="221" fillId="0" borderId="306" xfId="65" applyFont="1" applyFill="1" applyBorder="1" applyAlignment="1">
      <alignment horizontal="left" vertical="top" wrapText="1"/>
    </xf>
    <xf numFmtId="0" fontId="221" fillId="0" borderId="316" xfId="65" applyFont="1" applyFill="1" applyBorder="1" applyAlignment="1">
      <alignment horizontal="left" vertical="top" wrapText="1"/>
    </xf>
    <xf numFmtId="0" fontId="221" fillId="0" borderId="381" xfId="65" applyFont="1" applyFill="1" applyBorder="1" applyAlignment="1">
      <alignment horizontal="left" vertical="top" wrapText="1"/>
    </xf>
    <xf numFmtId="0" fontId="221" fillId="0" borderId="126" xfId="85" applyFont="1" applyBorder="1" applyAlignment="1">
      <alignment horizontal="right" vertical="top" wrapText="1"/>
    </xf>
    <xf numFmtId="0" fontId="221" fillId="0" borderId="127" xfId="65" applyFont="1" applyBorder="1" applyAlignment="1">
      <alignment horizontal="right" vertical="top" wrapText="1"/>
    </xf>
    <xf numFmtId="0" fontId="220" fillId="0" borderId="126" xfId="65" applyFont="1" applyBorder="1" applyAlignment="1">
      <alignment vertical="top" wrapText="1"/>
    </xf>
    <xf numFmtId="0" fontId="220" fillId="0" borderId="127" xfId="65" applyFont="1" applyBorder="1" applyAlignment="1">
      <alignment vertical="top" wrapText="1"/>
    </xf>
    <xf numFmtId="0" fontId="220" fillId="0" borderId="300" xfId="65" applyFont="1" applyFill="1" applyBorder="1" applyAlignment="1">
      <alignment horizontal="left" vertical="top" wrapText="1"/>
    </xf>
    <xf numFmtId="0" fontId="220" fillId="0" borderId="14" xfId="65" applyFont="1" applyFill="1" applyBorder="1" applyAlignment="1">
      <alignment horizontal="left" vertical="top" wrapText="1"/>
    </xf>
    <xf numFmtId="0" fontId="220" fillId="0" borderId="17" xfId="65" applyFont="1" applyFill="1" applyBorder="1" applyAlignment="1">
      <alignment horizontal="left" vertical="top" wrapText="1"/>
    </xf>
    <xf numFmtId="0" fontId="221" fillId="0" borderId="2" xfId="65" applyFont="1" applyBorder="1" applyAlignment="1">
      <alignment horizontal="left" vertical="top" wrapText="1"/>
    </xf>
    <xf numFmtId="0" fontId="221" fillId="0" borderId="91" xfId="65" applyFont="1" applyBorder="1" applyAlignment="1">
      <alignment horizontal="left" vertical="top" wrapText="1"/>
    </xf>
    <xf numFmtId="0" fontId="221" fillId="0" borderId="2" xfId="85" applyFont="1" applyBorder="1" applyAlignment="1">
      <alignment vertical="top" wrapText="1"/>
    </xf>
    <xf numFmtId="0" fontId="221" fillId="0" borderId="91" xfId="65" applyFont="1" applyBorder="1" applyAlignment="1">
      <alignment vertical="top" wrapText="1"/>
    </xf>
    <xf numFmtId="0" fontId="220" fillId="0" borderId="588" xfId="21" applyFont="1" applyFill="1" applyBorder="1" applyAlignment="1">
      <alignment horizontal="center" vertical="center"/>
    </xf>
    <xf numFmtId="0" fontId="220" fillId="0" borderId="590" xfId="21" applyFont="1" applyFill="1" applyBorder="1" applyAlignment="1">
      <alignment horizontal="center" vertical="center"/>
    </xf>
    <xf numFmtId="0" fontId="31" fillId="0" borderId="0" xfId="34" applyFont="1" applyAlignment="1">
      <alignment horizontal="center"/>
    </xf>
    <xf numFmtId="0" fontId="21" fillId="0" borderId="368" xfId="34" applyFont="1" applyBorder="1" applyAlignment="1">
      <alignment horizontal="center"/>
    </xf>
    <xf numFmtId="0" fontId="21" fillId="0" borderId="68" xfId="34" applyFont="1" applyBorder="1" applyAlignment="1">
      <alignment horizontal="center"/>
    </xf>
    <xf numFmtId="0" fontId="21" fillId="0" borderId="243" xfId="34" applyFont="1" applyBorder="1" applyAlignment="1">
      <alignment horizontal="center"/>
    </xf>
    <xf numFmtId="0" fontId="21" fillId="0" borderId="437" xfId="34" applyFont="1" applyBorder="1" applyAlignment="1">
      <alignment horizontal="center"/>
    </xf>
    <xf numFmtId="1" fontId="278" fillId="0" borderId="685" xfId="36" applyNumberFormat="1" applyFont="1" applyFill="1" applyBorder="1" applyAlignment="1">
      <alignment horizontal="center" vertical="center" wrapText="1"/>
    </xf>
    <xf numFmtId="1" fontId="278" fillId="0" borderId="397" xfId="36" applyNumberFormat="1" applyFont="1" applyFill="1" applyBorder="1" applyAlignment="1">
      <alignment horizontal="center" vertical="center" wrapText="1"/>
    </xf>
    <xf numFmtId="0" fontId="411" fillId="0" borderId="0" xfId="36" applyNumberFormat="1" applyFont="1" applyFill="1" applyAlignment="1" applyProtection="1">
      <alignment horizontal="center" vertical="center"/>
      <protection locked="0"/>
    </xf>
    <xf numFmtId="0" fontId="319" fillId="0" borderId="0" xfId="36" applyFont="1" applyFill="1" applyAlignment="1" applyProtection="1">
      <alignment horizontal="center" vertical="center"/>
      <protection locked="0"/>
    </xf>
    <xf numFmtId="4" fontId="278" fillId="0" borderId="0" xfId="36" applyNumberFormat="1" applyFont="1" applyFill="1" applyAlignment="1" applyProtection="1">
      <alignment horizontal="center" vertical="center"/>
      <protection locked="0"/>
    </xf>
    <xf numFmtId="0" fontId="62" fillId="0" borderId="330" xfId="0" applyFont="1" applyBorder="1" applyAlignment="1">
      <alignment horizontal="center" vertical="center"/>
    </xf>
    <xf numFmtId="0" fontId="62" fillId="0" borderId="197" xfId="0" applyFont="1" applyBorder="1" applyAlignment="1">
      <alignment horizontal="center" vertical="center"/>
    </xf>
    <xf numFmtId="0" fontId="62" fillId="0" borderId="93" xfId="0" applyFont="1" applyBorder="1" applyAlignment="1">
      <alignment horizontal="center" vertical="center"/>
    </xf>
    <xf numFmtId="0" fontId="62" fillId="0" borderId="114" xfId="0" applyFont="1" applyBorder="1" applyAlignment="1">
      <alignment horizontal="center" vertical="center"/>
    </xf>
    <xf numFmtId="0" fontId="62" fillId="0" borderId="174" xfId="0" applyFont="1" applyBorder="1" applyAlignment="1">
      <alignment horizontal="center" vertical="center"/>
    </xf>
    <xf numFmtId="0" fontId="62" fillId="0" borderId="313" xfId="0" applyFont="1" applyBorder="1" applyAlignment="1">
      <alignment horizontal="center" vertical="center"/>
    </xf>
    <xf numFmtId="0" fontId="62" fillId="0" borderId="295" xfId="0" applyFont="1" applyBorder="1" applyAlignment="1">
      <alignment horizontal="center" vertical="center"/>
    </xf>
    <xf numFmtId="0" fontId="62" fillId="0" borderId="303" xfId="0" applyFont="1" applyBorder="1" applyAlignment="1">
      <alignment horizontal="center" vertical="center"/>
    </xf>
    <xf numFmtId="0" fontId="62" fillId="0" borderId="269" xfId="0" applyFont="1" applyBorder="1" applyAlignment="1">
      <alignment horizontal="center" vertical="center"/>
    </xf>
    <xf numFmtId="0" fontId="62" fillId="0" borderId="285" xfId="0" applyFont="1" applyBorder="1" applyAlignment="1">
      <alignment horizontal="center" vertical="center"/>
    </xf>
    <xf numFmtId="0" fontId="62" fillId="0" borderId="32" xfId="0" applyFont="1" applyBorder="1" applyAlignment="1">
      <alignment horizontal="center" vertical="center"/>
    </xf>
    <xf numFmtId="0" fontId="62" fillId="0" borderId="301" xfId="0" applyFont="1" applyBorder="1" applyAlignment="1">
      <alignment horizontal="center" vertical="center"/>
    </xf>
    <xf numFmtId="0" fontId="21" fillId="0" borderId="0" xfId="74" applyFont="1" applyFill="1" applyAlignment="1">
      <alignment horizontal="center" vertical="center" shrinkToFit="1"/>
    </xf>
    <xf numFmtId="43" fontId="34" fillId="0" borderId="229" xfId="74" applyNumberFormat="1" applyFont="1" applyFill="1" applyBorder="1" applyAlignment="1">
      <alignment horizontal="center" vertical="top" wrapText="1"/>
    </xf>
    <xf numFmtId="43" fontId="34" fillId="0" borderId="248" xfId="74" applyNumberFormat="1" applyFont="1" applyFill="1" applyBorder="1" applyAlignment="1">
      <alignment horizontal="center" vertical="top" wrapText="1"/>
    </xf>
    <xf numFmtId="0" fontId="21" fillId="0" borderId="129" xfId="35" applyFont="1" applyBorder="1" applyAlignment="1">
      <alignment horizontal="center" vertical="center"/>
    </xf>
    <xf numFmtId="0" fontId="26" fillId="0" borderId="123" xfId="35" applyFont="1" applyBorder="1" applyAlignment="1">
      <alignment horizontal="center" vertical="center"/>
    </xf>
    <xf numFmtId="0" fontId="21" fillId="0" borderId="3" xfId="35" applyFont="1" applyBorder="1" applyAlignment="1">
      <alignment horizontal="center"/>
    </xf>
    <xf numFmtId="0" fontId="21" fillId="0" borderId="5" xfId="35" applyFont="1" applyBorder="1" applyAlignment="1">
      <alignment horizontal="center"/>
    </xf>
    <xf numFmtId="0" fontId="21" fillId="0" borderId="121" xfId="35" applyFont="1" applyBorder="1" applyAlignment="1">
      <alignment horizontal="center"/>
    </xf>
    <xf numFmtId="0" fontId="20" fillId="0" borderId="0" xfId="35" applyFont="1" applyAlignment="1">
      <alignment horizontal="center"/>
    </xf>
    <xf numFmtId="0" fontId="319" fillId="0" borderId="0" xfId="2" applyFont="1" applyFill="1" applyAlignment="1" applyProtection="1">
      <alignment horizontal="center" vertical="top"/>
      <protection locked="0"/>
    </xf>
    <xf numFmtId="0" fontId="320" fillId="0" borderId="0" xfId="47" applyFont="1" applyFill="1" applyAlignment="1" applyProtection="1">
      <alignment horizontal="center"/>
      <protection locked="0"/>
    </xf>
    <xf numFmtId="43" fontId="320" fillId="0" borderId="0" xfId="47" applyNumberFormat="1" applyFont="1" applyFill="1" applyAlignment="1" applyProtection="1">
      <alignment horizontal="center"/>
      <protection locked="0"/>
    </xf>
    <xf numFmtId="0" fontId="278" fillId="0" borderId="0" xfId="2" applyNumberFormat="1" applyFont="1" applyFill="1" applyAlignment="1" applyProtection="1">
      <alignment horizontal="center" vertical="center"/>
      <protection locked="0"/>
    </xf>
    <xf numFmtId="43" fontId="278" fillId="0" borderId="0" xfId="2" applyNumberFormat="1" applyFont="1" applyFill="1" applyAlignment="1" applyProtection="1">
      <alignment horizontal="center" vertical="center"/>
      <protection locked="0"/>
    </xf>
    <xf numFmtId="43" fontId="320" fillId="0" borderId="0" xfId="2" applyNumberFormat="1" applyFont="1" applyFill="1" applyAlignment="1">
      <alignment horizontal="center" vertical="top"/>
    </xf>
    <xf numFmtId="43" fontId="278" fillId="0" borderId="0" xfId="47" applyNumberFormat="1" applyFont="1" applyFill="1" applyAlignment="1" applyProtection="1">
      <alignment horizontal="center" vertical="top"/>
      <protection locked="0"/>
    </xf>
    <xf numFmtId="182" fontId="21" fillId="0" borderId="0" xfId="59" applyNumberFormat="1" applyFont="1" applyFill="1" applyAlignment="1">
      <alignment horizontal="left" vertical="top" wrapText="1"/>
    </xf>
    <xf numFmtId="0" fontId="21" fillId="0" borderId="433" xfId="59" applyFont="1" applyFill="1" applyBorder="1" applyAlignment="1">
      <alignment horizontal="center"/>
    </xf>
    <xf numFmtId="3" fontId="320" fillId="0" borderId="0" xfId="32" applyFont="1" applyAlignment="1">
      <alignment horizontal="left" vertical="top" wrapText="1"/>
    </xf>
    <xf numFmtId="3" fontId="320" fillId="0" borderId="0" xfId="32" applyFont="1" applyAlignment="1">
      <alignment horizontal="justify" vertical="top" wrapText="1"/>
    </xf>
    <xf numFmtId="3" fontId="320" fillId="0" borderId="0" xfId="32" applyFont="1" applyAlignment="1">
      <alignment horizontal="left" vertical="top"/>
    </xf>
    <xf numFmtId="3" fontId="278" fillId="0" borderId="0" xfId="32" applyFont="1" applyAlignment="1">
      <alignment horizontal="left"/>
    </xf>
    <xf numFmtId="0" fontId="320" fillId="0" borderId="0" xfId="90" applyFont="1"/>
    <xf numFmtId="3" fontId="320" fillId="0" borderId="0" xfId="32" applyFont="1" applyAlignment="1">
      <alignment horizontal="left" wrapText="1"/>
    </xf>
    <xf numFmtId="3" fontId="320" fillId="0" borderId="0" xfId="32" applyFont="1" applyAlignment="1">
      <alignment horizontal="justify"/>
    </xf>
    <xf numFmtId="0" fontId="320" fillId="0" borderId="0" xfId="90" applyFont="1" applyAlignment="1">
      <alignment wrapText="1"/>
    </xf>
    <xf numFmtId="0" fontId="320" fillId="0" borderId="0" xfId="90" applyFont="1" applyAlignment="1">
      <alignment vertical="top" wrapText="1"/>
    </xf>
    <xf numFmtId="3" fontId="320" fillId="0" borderId="0" xfId="32" applyFont="1" applyAlignment="1">
      <alignment horizontal="left"/>
    </xf>
    <xf numFmtId="43" fontId="27" fillId="0" borderId="543" xfId="74" applyNumberFormat="1" applyFont="1" applyFill="1" applyBorder="1" applyAlignment="1">
      <alignment horizontal="center" vertical="center"/>
    </xf>
    <xf numFmtId="43" fontId="272" fillId="0" borderId="102" xfId="1" applyFont="1" applyBorder="1" applyAlignment="1">
      <alignment horizontal="center" vertical="center"/>
    </xf>
    <xf numFmtId="43" fontId="272" fillId="0" borderId="538" xfId="1" applyFont="1" applyBorder="1" applyAlignment="1">
      <alignment horizontal="center" vertical="center"/>
    </xf>
    <xf numFmtId="43" fontId="272" fillId="0" borderId="544" xfId="1" applyFont="1" applyBorder="1" applyAlignment="1">
      <alignment horizontal="center" vertical="center"/>
    </xf>
    <xf numFmtId="43" fontId="222" fillId="0" borderId="0" xfId="74" applyNumberFormat="1" applyFont="1" applyFill="1" applyAlignment="1">
      <alignment horizontal="center" vertical="center" shrinkToFit="1"/>
    </xf>
    <xf numFmtId="43" fontId="34" fillId="0" borderId="203" xfId="74" applyNumberFormat="1" applyFont="1" applyBorder="1" applyAlignment="1">
      <alignment horizontal="center" vertical="center"/>
    </xf>
    <xf numFmtId="43" fontId="34" fillId="0" borderId="124" xfId="74" applyNumberFormat="1" applyFont="1" applyBorder="1" applyAlignment="1">
      <alignment horizontal="center" vertical="center"/>
    </xf>
    <xf numFmtId="0" fontId="220" fillId="0" borderId="0" xfId="24" applyFont="1" applyAlignment="1">
      <alignment horizontal="center"/>
    </xf>
    <xf numFmtId="0" fontId="220" fillId="0" borderId="0" xfId="68" applyFont="1" applyAlignment="1">
      <alignment horizontal="center" wrapText="1"/>
    </xf>
    <xf numFmtId="0" fontId="220" fillId="0" borderId="0" xfId="68" applyFont="1" applyAlignment="1">
      <alignment horizontal="center"/>
    </xf>
    <xf numFmtId="0" fontId="221" fillId="0" borderId="0" xfId="58" applyFont="1" applyAlignment="1">
      <alignment horizontal="center"/>
    </xf>
    <xf numFmtId="0" fontId="220" fillId="0" borderId="0" xfId="68" applyFont="1" applyBorder="1" applyAlignment="1">
      <alignment horizontal="center"/>
    </xf>
    <xf numFmtId="0" fontId="220" fillId="6" borderId="92" xfId="68" applyFont="1" applyFill="1" applyBorder="1" applyAlignment="1">
      <alignment horizontal="center" vertical="center"/>
    </xf>
    <xf numFmtId="0" fontId="220" fillId="6" borderId="94" xfId="68" applyFont="1" applyFill="1" applyBorder="1" applyAlignment="1">
      <alignment horizontal="center" vertical="center"/>
    </xf>
    <xf numFmtId="0" fontId="220" fillId="6" borderId="734" xfId="68" applyFont="1" applyFill="1" applyBorder="1" applyAlignment="1">
      <alignment horizontal="center" vertical="center" wrapText="1"/>
    </xf>
    <xf numFmtId="0" fontId="220" fillId="6" borderId="735" xfId="68" applyFont="1" applyFill="1" applyBorder="1" applyAlignment="1">
      <alignment horizontal="center" vertical="center" wrapText="1"/>
    </xf>
    <xf numFmtId="0" fontId="220" fillId="6" borderId="3" xfId="68" applyFont="1" applyFill="1" applyBorder="1" applyAlignment="1">
      <alignment horizontal="center" vertical="center" wrapText="1"/>
    </xf>
    <xf numFmtId="0" fontId="220" fillId="6" borderId="28" xfId="68" applyFont="1" applyFill="1" applyBorder="1" applyAlignment="1">
      <alignment horizontal="center" vertical="center" wrapText="1"/>
    </xf>
    <xf numFmtId="0" fontId="221" fillId="0" borderId="0" xfId="68" applyFont="1"/>
    <xf numFmtId="0" fontId="10" fillId="0" borderId="0" xfId="71" applyFont="1" applyAlignment="1">
      <alignment horizontal="center" vertical="top"/>
    </xf>
    <xf numFmtId="0" fontId="350" fillId="0" borderId="0" xfId="0" applyFont="1" applyAlignment="1">
      <alignment horizontal="center" vertical="top"/>
    </xf>
    <xf numFmtId="0" fontId="344" fillId="0" borderId="0" xfId="0" applyFont="1" applyAlignment="1">
      <alignment horizontal="center" vertical="top"/>
    </xf>
    <xf numFmtId="0" fontId="345" fillId="0" borderId="0" xfId="68" applyFont="1" applyAlignment="1">
      <alignment horizontal="center" vertical="top"/>
    </xf>
    <xf numFmtId="0" fontId="346" fillId="0" borderId="0" xfId="68" applyFont="1" applyAlignment="1">
      <alignment horizontal="center" vertical="top"/>
    </xf>
    <xf numFmtId="0" fontId="56" fillId="0" borderId="625" xfId="71" applyFont="1" applyFill="1" applyBorder="1" applyAlignment="1">
      <alignment horizontal="center" vertical="center"/>
    </xf>
    <xf numFmtId="0" fontId="56" fillId="0" borderId="112" xfId="71" applyFont="1" applyFill="1" applyBorder="1" applyAlignment="1">
      <alignment horizontal="center" vertical="center"/>
    </xf>
    <xf numFmtId="0" fontId="56" fillId="0" borderId="625" xfId="71" applyFont="1" applyFill="1" applyBorder="1" applyAlignment="1">
      <alignment horizontal="center" vertical="top" wrapText="1"/>
    </xf>
    <xf numFmtId="0" fontId="56" fillId="0" borderId="112" xfId="71" applyFont="1" applyFill="1" applyBorder="1" applyAlignment="1">
      <alignment horizontal="center" vertical="top" wrapText="1"/>
    </xf>
    <xf numFmtId="0" fontId="56" fillId="0" borderId="677" xfId="71" applyFont="1" applyFill="1" applyBorder="1" applyAlignment="1">
      <alignment horizontal="center" vertical="top"/>
    </xf>
    <xf numFmtId="0" fontId="56" fillId="0" borderId="625" xfId="71" applyFont="1" applyFill="1" applyBorder="1" applyAlignment="1">
      <alignment horizontal="center" vertical="top"/>
    </xf>
    <xf numFmtId="0" fontId="56" fillId="0" borderId="112" xfId="71" applyFont="1" applyFill="1" applyBorder="1" applyAlignment="1">
      <alignment horizontal="center" vertical="top"/>
    </xf>
    <xf numFmtId="43" fontId="56" fillId="0" borderId="711" xfId="1" applyFont="1" applyFill="1" applyBorder="1" applyAlignment="1">
      <alignment horizontal="center" vertical="center" wrapText="1"/>
    </xf>
    <xf numFmtId="43" fontId="56" fillId="0" borderId="112" xfId="1" applyFont="1" applyFill="1" applyBorder="1" applyAlignment="1">
      <alignment horizontal="center" vertical="center" wrapText="1"/>
    </xf>
    <xf numFmtId="0" fontId="22" fillId="0" borderId="280" xfId="100" applyFont="1" applyBorder="1" applyAlignment="1">
      <alignment horizontal="center"/>
    </xf>
    <xf numFmtId="0" fontId="22" fillId="0" borderId="248" xfId="100" applyFont="1" applyBorder="1" applyAlignment="1">
      <alignment horizontal="center"/>
    </xf>
    <xf numFmtId="0" fontId="168" fillId="0" borderId="0" xfId="100" applyFont="1" applyFill="1" applyAlignment="1">
      <alignment horizontal="center" vertical="center" shrinkToFit="1"/>
    </xf>
    <xf numFmtId="168" fontId="103" fillId="0" borderId="280" xfId="100" applyNumberFormat="1" applyFont="1" applyFill="1" applyBorder="1" applyAlignment="1">
      <alignment horizontal="center" vertical="center" wrapText="1"/>
    </xf>
    <xf numFmtId="168" fontId="103" fillId="0" borderId="248" xfId="100" applyNumberFormat="1" applyFont="1" applyFill="1" applyBorder="1" applyAlignment="1">
      <alignment horizontal="center" vertical="center" wrapText="1"/>
    </xf>
    <xf numFmtId="0" fontId="211" fillId="0" borderId="300" xfId="0" applyFont="1" applyFill="1" applyBorder="1" applyAlignment="1">
      <alignment horizontal="center" vertical="center"/>
    </xf>
    <xf numFmtId="0" fontId="211" fillId="0" borderId="0" xfId="0" applyFont="1" applyFill="1" applyBorder="1" applyAlignment="1">
      <alignment horizontal="center" vertical="center"/>
    </xf>
    <xf numFmtId="0" fontId="211" fillId="0" borderId="419" xfId="0" applyFont="1" applyFill="1" applyBorder="1" applyAlignment="1">
      <alignment horizontal="center" vertical="center"/>
    </xf>
    <xf numFmtId="0" fontId="211" fillId="0" borderId="0" xfId="0" applyFont="1" applyFill="1" applyAlignment="1">
      <alignment horizontal="center"/>
    </xf>
    <xf numFmtId="0" fontId="11" fillId="0" borderId="0" xfId="0" applyFont="1" applyFill="1" applyAlignment="1">
      <alignment horizontal="center"/>
    </xf>
    <xf numFmtId="0" fontId="211" fillId="0" borderId="189" xfId="0" applyFont="1" applyFill="1" applyBorder="1" applyAlignment="1">
      <alignment horizontal="center" vertical="center"/>
    </xf>
    <xf numFmtId="0" fontId="211" fillId="0" borderId="660" xfId="0" applyFont="1" applyFill="1" applyBorder="1" applyAlignment="1">
      <alignment horizontal="center" vertical="center"/>
    </xf>
    <xf numFmtId="0" fontId="211" fillId="0" borderId="190" xfId="0" applyFont="1" applyFill="1" applyBorder="1" applyAlignment="1">
      <alignment horizontal="center" vertical="center"/>
    </xf>
    <xf numFmtId="3" fontId="278" fillId="6" borderId="192" xfId="66" applyFont="1" applyFill="1" applyBorder="1" applyAlignment="1">
      <alignment horizontal="center" vertical="center" wrapText="1"/>
    </xf>
    <xf numFmtId="3" fontId="278" fillId="6" borderId="29" xfId="66" applyFont="1" applyFill="1" applyBorder="1" applyAlignment="1">
      <alignment horizontal="center" vertical="center" wrapText="1"/>
    </xf>
    <xf numFmtId="3" fontId="278" fillId="6" borderId="32" xfId="66" applyFont="1" applyFill="1" applyBorder="1" applyAlignment="1">
      <alignment horizontal="center" vertical="center" wrapText="1"/>
    </xf>
    <xf numFmtId="3" fontId="278" fillId="6" borderId="193" xfId="66" applyFont="1" applyFill="1" applyBorder="1" applyAlignment="1">
      <alignment horizontal="center"/>
    </xf>
    <xf numFmtId="3" fontId="278" fillId="6" borderId="91" xfId="66" applyFont="1" applyFill="1" applyBorder="1" applyAlignment="1">
      <alignment horizontal="center"/>
    </xf>
    <xf numFmtId="0" fontId="320" fillId="0" borderId="0" xfId="24" applyFont="1" applyAlignment="1">
      <alignment horizontal="center"/>
    </xf>
    <xf numFmtId="0" fontId="278" fillId="0" borderId="0" xfId="24" applyFont="1" applyAlignment="1">
      <alignment horizontal="left"/>
    </xf>
    <xf numFmtId="3" fontId="278" fillId="0" borderId="0" xfId="66" applyFont="1" applyAlignment="1">
      <alignment horizontal="center"/>
    </xf>
    <xf numFmtId="3" fontId="320" fillId="0" borderId="0" xfId="66" applyFont="1" applyBorder="1" applyAlignment="1">
      <alignment horizontal="center"/>
    </xf>
    <xf numFmtId="3" fontId="278" fillId="6" borderId="184" xfId="66" applyFont="1" applyFill="1" applyBorder="1" applyAlignment="1">
      <alignment horizontal="center" vertical="center" wrapText="1"/>
    </xf>
    <xf numFmtId="3" fontId="278" fillId="6" borderId="5" xfId="66" applyFont="1" applyFill="1" applyBorder="1" applyAlignment="1">
      <alignment horizontal="center" vertical="center" wrapText="1"/>
    </xf>
    <xf numFmtId="3" fontId="278" fillId="6" borderId="121" xfId="66" applyFont="1" applyFill="1" applyBorder="1" applyAlignment="1">
      <alignment horizontal="center" vertical="center" wrapText="1"/>
    </xf>
    <xf numFmtId="0" fontId="320" fillId="0" borderId="0" xfId="24" applyFont="1" applyAlignment="1">
      <alignment horizontal="left"/>
    </xf>
    <xf numFmtId="0" fontId="278" fillId="0" borderId="0" xfId="0" applyFont="1" applyAlignment="1">
      <alignment horizontal="left" vertical="top"/>
    </xf>
    <xf numFmtId="0" fontId="44" fillId="0" borderId="0" xfId="74" applyFont="1" applyAlignment="1">
      <alignment horizontal="left"/>
    </xf>
    <xf numFmtId="0" fontId="45" fillId="0" borderId="0" xfId="74" applyFont="1" applyAlignment="1">
      <alignment horizontal="center" vertical="center" shrinkToFit="1"/>
    </xf>
    <xf numFmtId="0" fontId="280" fillId="0" borderId="0" xfId="0" applyFont="1" applyAlignment="1">
      <alignment horizontal="center"/>
    </xf>
    <xf numFmtId="0" fontId="18" fillId="0" borderId="0" xfId="58"/>
    <xf numFmtId="0" fontId="19" fillId="0" borderId="0" xfId="24" applyAlignment="1">
      <alignment horizontal="center" vertical="center"/>
    </xf>
    <xf numFmtId="0" fontId="220" fillId="0" borderId="660" xfId="109" applyFont="1" applyBorder="1" applyAlignment="1">
      <alignment horizontal="center"/>
    </xf>
    <xf numFmtId="0" fontId="220" fillId="0" borderId="641" xfId="109" applyFont="1" applyBorder="1" applyAlignment="1">
      <alignment horizontal="center"/>
    </xf>
    <xf numFmtId="0" fontId="220" fillId="0" borderId="684" xfId="109" applyFont="1" applyBorder="1" applyAlignment="1">
      <alignment horizontal="center" vertical="center"/>
    </xf>
    <xf numFmtId="0" fontId="220" fillId="0" borderId="553" xfId="109" applyFont="1" applyBorder="1" applyAlignment="1">
      <alignment horizontal="center" vertical="center"/>
    </xf>
    <xf numFmtId="0" fontId="220" fillId="0" borderId="0" xfId="109" applyFont="1" applyAlignment="1">
      <alignment horizontal="center"/>
    </xf>
    <xf numFmtId="0" fontId="220" fillId="0" borderId="0" xfId="109" applyFont="1" applyBorder="1" applyAlignment="1">
      <alignment horizontal="center"/>
    </xf>
    <xf numFmtId="0" fontId="405" fillId="0" borderId="0" xfId="79" applyFont="1" applyFill="1" applyAlignment="1">
      <alignment horizontal="center" vertical="center"/>
    </xf>
    <xf numFmtId="43" fontId="46" fillId="0" borderId="0" xfId="1" applyFont="1" applyFill="1" applyAlignment="1">
      <alignment horizontal="center" vertical="center"/>
    </xf>
    <xf numFmtId="0" fontId="41" fillId="0" borderId="229" xfId="74" applyFont="1" applyFill="1" applyBorder="1" applyAlignment="1">
      <alignment horizontal="center" vertical="center"/>
    </xf>
    <xf numFmtId="0" fontId="41" fillId="0" borderId="212" xfId="74" applyFont="1" applyFill="1" applyBorder="1" applyAlignment="1">
      <alignment horizontal="center" vertical="center"/>
    </xf>
    <xf numFmtId="0" fontId="41" fillId="0" borderId="246" xfId="74" applyFont="1" applyFill="1" applyBorder="1" applyAlignment="1">
      <alignment horizontal="center" vertical="center"/>
    </xf>
    <xf numFmtId="0" fontId="41" fillId="0" borderId="684" xfId="58" applyFont="1" applyFill="1" applyBorder="1" applyAlignment="1" applyProtection="1">
      <alignment horizontal="center" vertical="center" wrapText="1"/>
      <protection locked="0"/>
    </xf>
    <xf numFmtId="0" fontId="41" fillId="0" borderId="685" xfId="58" applyFont="1" applyFill="1" applyBorder="1" applyAlignment="1" applyProtection="1">
      <alignment horizontal="center" vertical="center" wrapText="1"/>
      <protection locked="0"/>
    </xf>
    <xf numFmtId="0" fontId="48" fillId="0" borderId="684" xfId="58" applyFont="1" applyFill="1" applyBorder="1" applyAlignment="1" applyProtection="1">
      <alignment horizontal="center" vertical="top" wrapText="1"/>
      <protection locked="0"/>
    </xf>
    <xf numFmtId="0" fontId="48" fillId="0" borderId="685" xfId="58" applyFont="1" applyFill="1" applyBorder="1" applyAlignment="1" applyProtection="1">
      <alignment horizontal="center" vertical="top" wrapText="1"/>
      <protection locked="0"/>
    </xf>
    <xf numFmtId="0" fontId="41" fillId="0" borderId="643" xfId="30" applyFont="1" applyFill="1" applyBorder="1" applyAlignment="1" applyProtection="1">
      <alignment horizontal="center" vertical="center" wrapText="1"/>
      <protection locked="0"/>
    </xf>
    <xf numFmtId="41" fontId="414" fillId="0" borderId="569" xfId="86" applyNumberFormat="1" applyFont="1" applyFill="1" applyBorder="1"/>
    <xf numFmtId="41" fontId="414" fillId="0" borderId="547" xfId="86" applyNumberFormat="1" applyFont="1" applyFill="1" applyBorder="1"/>
    <xf numFmtId="41" fontId="327" fillId="0" borderId="0" xfId="86" applyNumberFormat="1" applyFont="1" applyFill="1" applyAlignment="1">
      <alignment horizontal="center" vertical="center" shrinkToFit="1"/>
    </xf>
    <xf numFmtId="41" fontId="414" fillId="0" borderId="572" xfId="86" applyNumberFormat="1" applyFont="1" applyFill="1" applyBorder="1"/>
    <xf numFmtId="41" fontId="414" fillId="0" borderId="546" xfId="86" applyNumberFormat="1" applyFont="1" applyFill="1" applyBorder="1"/>
    <xf numFmtId="41" fontId="368" fillId="0" borderId="636" xfId="86" applyNumberFormat="1" applyFont="1" applyFill="1" applyBorder="1" applyAlignment="1">
      <alignment wrapText="1"/>
    </xf>
    <xf numFmtId="41" fontId="368" fillId="0" borderId="448" xfId="86" applyNumberFormat="1" applyFont="1" applyFill="1" applyBorder="1" applyAlignment="1">
      <alignment wrapText="1"/>
    </xf>
    <xf numFmtId="41" fontId="414" fillId="0" borderId="569" xfId="86" applyNumberFormat="1" applyFont="1" applyFill="1" applyBorder="1" applyAlignment="1">
      <alignment horizontal="center"/>
    </xf>
    <xf numFmtId="41" fontId="414" fillId="0" borderId="547" xfId="86" applyNumberFormat="1" applyFont="1" applyFill="1" applyBorder="1" applyAlignment="1">
      <alignment horizontal="center"/>
    </xf>
    <xf numFmtId="0" fontId="134" fillId="0" borderId="0" xfId="0" applyFont="1" applyAlignment="1">
      <alignment horizontal="center"/>
    </xf>
  </cellXfs>
  <cellStyles count="111">
    <cellStyle name="Comma" xfId="1" builtinId="3"/>
    <cellStyle name="Comma 10" xfId="3"/>
    <cellStyle name="Comma 10 2" xfId="61"/>
    <cellStyle name="Comma 11" xfId="4"/>
    <cellStyle name="Comma 11 2" xfId="62"/>
    <cellStyle name="Comma 11 3" xfId="78"/>
    <cellStyle name="Comma 12" xfId="75"/>
    <cellStyle name="Comma 13" xfId="93"/>
    <cellStyle name="Comma 14" xfId="99"/>
    <cellStyle name="Comma 15" xfId="102"/>
    <cellStyle name="Comma 16" xfId="110"/>
    <cellStyle name="Comma 17" xfId="108"/>
    <cellStyle name="Comma 2" xfId="5"/>
    <cellStyle name="Comma 2 2" xfId="6"/>
    <cellStyle name="Comma 2 3" xfId="7"/>
    <cellStyle name="Comma 2 4" xfId="8"/>
    <cellStyle name="Comma 2 4 2" xfId="63"/>
    <cellStyle name="Comma 2 5" xfId="69"/>
    <cellStyle name="Comma 3" xfId="9"/>
    <cellStyle name="Comma 3 2" xfId="10"/>
    <cellStyle name="Comma 3 2 2" xfId="57"/>
    <cellStyle name="Comma 3 3" xfId="11"/>
    <cellStyle name="Comma 3 4" xfId="12"/>
    <cellStyle name="Comma 3 5" xfId="49"/>
    <cellStyle name="Comma 3 5 2" xfId="80"/>
    <cellStyle name="Comma 3 6" xfId="95"/>
    <cellStyle name="Comma 4" xfId="13"/>
    <cellStyle name="Comma 4 2" xfId="14"/>
    <cellStyle name="Comma 4 2 2" xfId="56"/>
    <cellStyle name="Comma 5" xfId="15"/>
    <cellStyle name="Comma 6" xfId="16"/>
    <cellStyle name="Comma 6 2" xfId="17"/>
    <cellStyle name="Comma 6 2 2" xfId="64"/>
    <cellStyle name="Comma 7" xfId="18"/>
    <cellStyle name="Comma 8" xfId="19"/>
    <cellStyle name="Comma 9" xfId="20"/>
    <cellStyle name="Comma_151 2010.xls (2)" xfId="67"/>
    <cellStyle name="Normal" xfId="0" builtinId="0"/>
    <cellStyle name="Normal 10" xfId="21"/>
    <cellStyle name="Normal 11" xfId="22"/>
    <cellStyle name="Normal 11 2" xfId="70"/>
    <cellStyle name="Normal 11 3" xfId="71"/>
    <cellStyle name="Normal 12" xfId="23"/>
    <cellStyle name="Normal 12 2" xfId="58"/>
    <cellStyle name="Normal 13" xfId="24"/>
    <cellStyle name="Normal 14" xfId="25"/>
    <cellStyle name="Normal 14 2" xfId="65"/>
    <cellStyle name="Normal 14 3" xfId="82"/>
    <cellStyle name="Normal 15" xfId="50"/>
    <cellStyle name="Normal 15 2" xfId="54"/>
    <cellStyle name="Normal 15 3" xfId="81"/>
    <cellStyle name="Normal 15 4" xfId="83"/>
    <cellStyle name="Normal 16" xfId="51"/>
    <cellStyle name="Normal 16 2" xfId="92"/>
    <cellStyle name="Normal 17" xfId="52"/>
    <cellStyle name="Normal 17 2" xfId="91"/>
    <cellStyle name="Normal 18" xfId="53"/>
    <cellStyle name="Normal 19" xfId="68"/>
    <cellStyle name="Normal 19 2" xfId="84"/>
    <cellStyle name="Normal 2" xfId="26"/>
    <cellStyle name="Normal 2 2" xfId="2"/>
    <cellStyle name="Normal 2 3" xfId="27"/>
    <cellStyle name="Normal 2 4" xfId="28"/>
    <cellStyle name="Normal 2 5" xfId="94"/>
    <cellStyle name="Normal 2_LBPF FORM 151, 151-A, 2,6,7,8" xfId="29"/>
    <cellStyle name="Normal 20" xfId="74"/>
    <cellStyle name="Normal 21" xfId="77"/>
    <cellStyle name="Normal 21 2" xfId="79"/>
    <cellStyle name="Normal 22" xfId="86"/>
    <cellStyle name="Normal 22 2" xfId="100"/>
    <cellStyle name="Normal 23" xfId="89"/>
    <cellStyle name="Normal 24" xfId="90"/>
    <cellStyle name="Normal 25" xfId="97"/>
    <cellStyle name="Normal 26" xfId="98"/>
    <cellStyle name="Normal 27" xfId="101"/>
    <cellStyle name="Normal 28" xfId="104"/>
    <cellStyle name="Normal 29" xfId="107"/>
    <cellStyle name="Normal 3" xfId="30"/>
    <cellStyle name="Normal 3 2" xfId="31"/>
    <cellStyle name="Normal 3 3" xfId="32"/>
    <cellStyle name="Normal 3 4" xfId="33"/>
    <cellStyle name="Normal 3 5" xfId="34"/>
    <cellStyle name="Normal 3 6" xfId="72"/>
    <cellStyle name="Normal 30" xfId="109"/>
    <cellStyle name="Normal 4" xfId="35"/>
    <cellStyle name="Normal 4 2" xfId="36"/>
    <cellStyle name="Normal 4 3" xfId="37"/>
    <cellStyle name="Normal 5" xfId="38"/>
    <cellStyle name="Normal 5 2" xfId="39"/>
    <cellStyle name="Normal 5 3" xfId="40"/>
    <cellStyle name="Normal 5 4" xfId="41"/>
    <cellStyle name="Normal 6" xfId="42"/>
    <cellStyle name="Normal 6 2" xfId="43"/>
    <cellStyle name="Normal 6 2 2" xfId="55"/>
    <cellStyle name="Normal 7" xfId="44"/>
    <cellStyle name="Normal 7 2" xfId="73"/>
    <cellStyle name="Normal 8" xfId="45"/>
    <cellStyle name="Normal 8 2" xfId="46"/>
    <cellStyle name="Normal 8 3" xfId="47"/>
    <cellStyle name="Normal 9" xfId="48"/>
    <cellStyle name="Normal_151 2010.xls (2)" xfId="66"/>
    <cellStyle name="Normal_Budget - GF 2005" xfId="85"/>
    <cellStyle name="Normal_EXEC1" xfId="103"/>
    <cellStyle name="Normal_EXEC1 6" xfId="96"/>
    <cellStyle name="Normal_LBPF FORM 151, 151-A, 2,6,7,8" xfId="76"/>
    <cellStyle name="Normal_New Appropriations" xfId="105"/>
    <cellStyle name="Normal_PIE GRAPH BUDGET 2009-2010" xfId="87"/>
    <cellStyle name="Normal_Sheet1" xfId="59"/>
    <cellStyle name="Percent" xfId="88" builtinId="5"/>
    <cellStyle name="Percent 2" xfId="60"/>
    <cellStyle name="Percent 3" xfId="106"/>
  </cellStyles>
  <dxfs count="0"/>
  <tableStyles count="0" defaultTableStyle="TableStyleMedium9" defaultPivotStyle="PivotStyleLight16"/>
  <colors>
    <mruColors>
      <color rgb="FFFFFF00"/>
      <color rgb="FF00CC00"/>
      <color rgb="FFFF3300"/>
      <color rgb="FFF329E9"/>
      <color rgb="FF0000FF"/>
      <color rgb="FF00FF00"/>
      <color rgb="FF69FF69"/>
      <color rgb="FF299F34"/>
      <color rgb="FF4BCA36"/>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externalLink" Target="externalLinks/externalLink1.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styles" Target="styles.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haredStrings" Target="sharedString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calcChain" Target="calcChain.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PH" sz="1800" b="1" i="0" u="none" strike="noStrike" baseline="0">
                <a:solidFill>
                  <a:srgbClr val="000000"/>
                </a:solidFill>
                <a:latin typeface="Calibri"/>
                <a:ea typeface="Calibri"/>
                <a:cs typeface="Calibri"/>
              </a:defRPr>
            </a:pPr>
            <a:r>
              <a:rPr lang="en-US"/>
              <a:t>
</a:t>
            </a:r>
          </a:p>
        </c:rich>
      </c:tx>
      <c:layout>
        <c:manualLayout>
          <c:xMode val="edge"/>
          <c:yMode val="edge"/>
          <c:x val="0.21458575654223125"/>
          <c:y val="1.0684081540617053E-3"/>
        </c:manualLayout>
      </c:layout>
      <c:spPr>
        <a:noFill/>
        <a:ln w="25400">
          <a:noFill/>
        </a:ln>
      </c:spPr>
    </c:title>
    <c:plotArea>
      <c:layout>
        <c:manualLayout>
          <c:layoutTarget val="inner"/>
          <c:xMode val="edge"/>
          <c:yMode val="edge"/>
          <c:x val="0.17423678664748157"/>
          <c:y val="7.0172727557266584E-2"/>
          <c:w val="0.83488175729590064"/>
          <c:h val="0.51846275603961856"/>
        </c:manualLayout>
      </c:layout>
      <c:barChart>
        <c:barDir val="col"/>
        <c:grouping val="clustered"/>
        <c:ser>
          <c:idx val="0"/>
          <c:order val="0"/>
          <c:tx>
            <c:strRef>
              <c:f>'comparative budget'!$C$8</c:f>
              <c:strCache>
                <c:ptCount val="1"/>
                <c:pt idx="0">
                  <c:v>2015</c:v>
                </c:pt>
              </c:strCache>
            </c:strRef>
          </c:tx>
          <c:spPr>
            <a:solidFill>
              <a:srgbClr val="E74635"/>
            </a:solidFill>
            <a:effectLst>
              <a:outerShdw blurRad="50800" dist="50800" dir="5400000" algn="ctr" rotWithShape="0">
                <a:schemeClr val="bg1"/>
              </a:outerShdw>
            </a:effectLst>
          </c:spPr>
          <c:dLbls>
            <c:dLbl>
              <c:idx val="0"/>
              <c:layout>
                <c:manualLayout>
                  <c:x val="0"/>
                  <c:y val="3.7518053003170182E-2"/>
                </c:manualLayout>
              </c:layout>
              <c:dLblPos val="outEnd"/>
              <c:showVal val="1"/>
              <c:extLst xmlns:c16r2="http://schemas.microsoft.com/office/drawing/2015/06/chart">
                <c:ext xmlns:c16="http://schemas.microsoft.com/office/drawing/2014/chart" uri="{C3380CC4-5D6E-409C-BE32-E72D297353CC}">
                  <c16:uniqueId val="{00000000-87EE-4900-9765-B44CD6FE820D}"/>
                </c:ext>
                <c:ext xmlns:c15="http://schemas.microsoft.com/office/drawing/2012/chart" uri="{CE6537A1-D6FC-4f65-9D91-7224C49458BB}"/>
              </c:extLst>
            </c:dLbl>
            <c:spPr>
              <a:noFill/>
              <a:ln w="25400">
                <a:noFill/>
              </a:ln>
            </c:spPr>
            <c:txPr>
              <a:bodyPr rot="-5400000" vert="horz"/>
              <a:lstStyle/>
              <a:p>
                <a:pPr algn="ctr">
                  <a:defRPr lang="en-PH" sz="900" b="1" i="0" u="none" strike="noStrike" baseline="0">
                    <a:solidFill>
                      <a:sysClr val="windowText" lastClr="000000"/>
                    </a:solidFill>
                    <a:latin typeface="Candara" pitchFamily="34" charset="0"/>
                    <a:ea typeface="Calibri"/>
                    <a:cs typeface="Calibri"/>
                  </a:defRPr>
                </a:pPr>
                <a:endParaRPr lang="en-US"/>
              </a:p>
            </c:txPr>
            <c:showVal val="1"/>
            <c:extLst xmlns:c16r2="http://schemas.microsoft.com/office/drawing/2015/06/chart">
              <c:ext xmlns:c15="http://schemas.microsoft.com/office/drawing/2012/chart" uri="{CE6537A1-D6FC-4f65-9D91-7224C49458BB}">
                <c15:showLeaderLines val="0"/>
              </c:ext>
            </c:extLst>
          </c:dLbls>
          <c:cat>
            <c:strRef>
              <c:f>'comparative budget'!$B$9:$B$20</c:f>
              <c:strCache>
                <c:ptCount val="12"/>
                <c:pt idx="0">
                  <c:v>PS</c:v>
                </c:pt>
                <c:pt idx="1">
                  <c:v>MAINTENANCE</c:v>
                </c:pt>
                <c:pt idx="2">
                  <c:v>CAPITAL OUTLAY</c:v>
                </c:pt>
                <c:pt idx="3">
                  <c:v>NON-OFFICE by Office</c:v>
                </c:pt>
                <c:pt idx="4">
                  <c:v>20 % DF</c:v>
                </c:pt>
                <c:pt idx="5">
                  <c:v>Local Disaster Risk Reduction &amp; Management Fund</c:v>
                </c:pt>
                <c:pt idx="6">
                  <c:v>Aid to Barangays</c:v>
                </c:pt>
                <c:pt idx="7">
                  <c:v>Payment of Loans-Interest</c:v>
                </c:pt>
                <c:pt idx="8">
                  <c:v>Inter Government Aid</c:v>
                </c:pt>
                <c:pt idx="9">
                  <c:v>Gender and Development Program</c:v>
                </c:pt>
                <c:pt idx="10">
                  <c:v>Other Special Purpose w/ Terminal &amp; Monetization</c:v>
                </c:pt>
                <c:pt idx="11">
                  <c:v>Peace and Order Program</c:v>
                </c:pt>
              </c:strCache>
            </c:strRef>
          </c:cat>
          <c:val>
            <c:numRef>
              <c:f>'comparative budget'!$C$9:$C$20</c:f>
              <c:numCache>
                <c:formatCode>#,##0.00</c:formatCode>
                <c:ptCount val="12"/>
                <c:pt idx="0" formatCode="\P\ #,##0.00">
                  <c:v>520915137</c:v>
                </c:pt>
                <c:pt idx="1">
                  <c:v>465259030</c:v>
                </c:pt>
                <c:pt idx="2">
                  <c:v>19168030</c:v>
                </c:pt>
                <c:pt idx="3">
                  <c:v>86614000</c:v>
                </c:pt>
                <c:pt idx="4">
                  <c:v>282504624</c:v>
                </c:pt>
                <c:pt idx="5">
                  <c:v>81716504.400000006</c:v>
                </c:pt>
                <c:pt idx="6">
                  <c:v>11090000</c:v>
                </c:pt>
                <c:pt idx="7">
                  <c:v>337800</c:v>
                </c:pt>
                <c:pt idx="8">
                  <c:v>7843150</c:v>
                </c:pt>
                <c:pt idx="9">
                  <c:v>77621500</c:v>
                </c:pt>
                <c:pt idx="10">
                  <c:v>17291217.600000001</c:v>
                </c:pt>
                <c:pt idx="11">
                  <c:v>124382500</c:v>
                </c:pt>
              </c:numCache>
            </c:numRef>
          </c:val>
          <c:extLst xmlns:c16r2="http://schemas.microsoft.com/office/drawing/2015/06/chart">
            <c:ext xmlns:c16="http://schemas.microsoft.com/office/drawing/2014/chart" uri="{C3380CC4-5D6E-409C-BE32-E72D297353CC}">
              <c16:uniqueId val="{00000001-87EE-4900-9765-B44CD6FE820D}"/>
            </c:ext>
          </c:extLst>
        </c:ser>
        <c:ser>
          <c:idx val="1"/>
          <c:order val="1"/>
          <c:tx>
            <c:strRef>
              <c:f>'comparative budget'!$D$8</c:f>
              <c:strCache>
                <c:ptCount val="1"/>
                <c:pt idx="0">
                  <c:v>2016</c:v>
                </c:pt>
              </c:strCache>
            </c:strRef>
          </c:tx>
          <c:spPr>
            <a:solidFill>
              <a:srgbClr val="00FF00"/>
            </a:solidFill>
          </c:spPr>
          <c:dLbls>
            <c:dLbl>
              <c:idx val="0"/>
              <c:layout>
                <c:manualLayout>
                  <c:x val="2.1752226026691742E-3"/>
                  <c:y val="3.8191435610582747E-2"/>
                </c:manualLayout>
              </c:layout>
              <c:showVal val="1"/>
              <c:extLst xmlns:c16r2="http://schemas.microsoft.com/office/drawing/2015/06/chart">
                <c:ext xmlns:c16="http://schemas.microsoft.com/office/drawing/2014/chart" uri="{C3380CC4-5D6E-409C-BE32-E72D297353CC}">
                  <c16:uniqueId val="{00000002-87EE-4900-9765-B44CD6FE820D}"/>
                </c:ext>
                <c:ext xmlns:c15="http://schemas.microsoft.com/office/drawing/2012/chart" uri="{CE6537A1-D6FC-4f65-9D91-7224C49458BB}"/>
              </c:extLst>
            </c:dLbl>
            <c:numFmt formatCode="#,##0.00" sourceLinked="0"/>
            <c:spPr>
              <a:noFill/>
              <a:ln w="25400">
                <a:noFill/>
              </a:ln>
              <a:effectLst/>
            </c:spPr>
            <c:txPr>
              <a:bodyPr rot="-5400000" vert="horz"/>
              <a:lstStyle/>
              <a:p>
                <a:pPr algn="ctr">
                  <a:defRPr lang="en-PH" sz="900" b="1" i="0" u="none" strike="noStrike" baseline="0">
                    <a:solidFill>
                      <a:sysClr val="windowText" lastClr="000000"/>
                    </a:solidFill>
                    <a:latin typeface="Candara" pitchFamily="34" charset="0"/>
                    <a:ea typeface="Calibri"/>
                    <a:cs typeface="Calibri"/>
                  </a:defRPr>
                </a:pPr>
                <a:endParaRPr lang="en-US"/>
              </a:p>
            </c:txPr>
            <c:showVal val="1"/>
            <c:extLst xmlns:c16r2="http://schemas.microsoft.com/office/drawing/2015/06/chart">
              <c:ext xmlns:c15="http://schemas.microsoft.com/office/drawing/2012/chart" uri="{CE6537A1-D6FC-4f65-9D91-7224C49458BB}">
                <c15:showLeaderLines val="0"/>
              </c:ext>
            </c:extLst>
          </c:dLbls>
          <c:cat>
            <c:strRef>
              <c:f>'comparative budget'!$B$9:$B$20</c:f>
              <c:strCache>
                <c:ptCount val="12"/>
                <c:pt idx="0">
                  <c:v>PS</c:v>
                </c:pt>
                <c:pt idx="1">
                  <c:v>MAINTENANCE</c:v>
                </c:pt>
                <c:pt idx="2">
                  <c:v>CAPITAL OUTLAY</c:v>
                </c:pt>
                <c:pt idx="3">
                  <c:v>NON-OFFICE by Office</c:v>
                </c:pt>
                <c:pt idx="4">
                  <c:v>20 % DF</c:v>
                </c:pt>
                <c:pt idx="5">
                  <c:v>Local Disaster Risk Reduction &amp; Management Fund</c:v>
                </c:pt>
                <c:pt idx="6">
                  <c:v>Aid to Barangays</c:v>
                </c:pt>
                <c:pt idx="7">
                  <c:v>Payment of Loans-Interest</c:v>
                </c:pt>
                <c:pt idx="8">
                  <c:v>Inter Government Aid</c:v>
                </c:pt>
                <c:pt idx="9">
                  <c:v>Gender and Development Program</c:v>
                </c:pt>
                <c:pt idx="10">
                  <c:v>Other Special Purpose w/ Terminal &amp; Monetization</c:v>
                </c:pt>
                <c:pt idx="11">
                  <c:v>Peace and Order Program</c:v>
                </c:pt>
              </c:strCache>
            </c:strRef>
          </c:cat>
          <c:val>
            <c:numRef>
              <c:f>'comparative budget'!$D$9:$D$20</c:f>
              <c:numCache>
                <c:formatCode>#,##0.00</c:formatCode>
                <c:ptCount val="12"/>
                <c:pt idx="0" formatCode="\P\ #,##0.00">
                  <c:v>807934368.74999976</c:v>
                </c:pt>
                <c:pt idx="1">
                  <c:v>755106314</c:v>
                </c:pt>
                <c:pt idx="2">
                  <c:v>40919350.5</c:v>
                </c:pt>
                <c:pt idx="3">
                  <c:v>179790340</c:v>
                </c:pt>
                <c:pt idx="4">
                  <c:v>404379576.20000005</c:v>
                </c:pt>
                <c:pt idx="5">
                  <c:v>120267144.05000001</c:v>
                </c:pt>
                <c:pt idx="6">
                  <c:v>22180000</c:v>
                </c:pt>
                <c:pt idx="7">
                  <c:v>0</c:v>
                </c:pt>
                <c:pt idx="8">
                  <c:v>10645087.5</c:v>
                </c:pt>
                <c:pt idx="9">
                  <c:v>84600000</c:v>
                </c:pt>
                <c:pt idx="10">
                  <c:v>40829493.324999772</c:v>
                </c:pt>
                <c:pt idx="11">
                  <c:v>93070700</c:v>
                </c:pt>
              </c:numCache>
            </c:numRef>
          </c:val>
          <c:extLst xmlns:c16r2="http://schemas.microsoft.com/office/drawing/2015/06/chart">
            <c:ext xmlns:c16="http://schemas.microsoft.com/office/drawing/2014/chart" uri="{C3380CC4-5D6E-409C-BE32-E72D297353CC}">
              <c16:uniqueId val="{00000003-87EE-4900-9765-B44CD6FE820D}"/>
            </c:ext>
          </c:extLst>
        </c:ser>
        <c:gapWidth val="130"/>
        <c:overlap val="-23"/>
        <c:axId val="206595584"/>
        <c:axId val="206597120"/>
      </c:barChart>
      <c:catAx>
        <c:axId val="206595584"/>
        <c:scaling>
          <c:orientation val="minMax"/>
        </c:scaling>
        <c:axPos val="b"/>
        <c:numFmt formatCode="General" sourceLinked="1"/>
        <c:majorTickMark val="none"/>
        <c:tickLblPos val="nextTo"/>
        <c:txPr>
          <a:bodyPr rot="-5400000" vert="horz"/>
          <a:lstStyle/>
          <a:p>
            <a:pPr>
              <a:defRPr lang="en-PH" sz="900" b="0" i="0" u="none" strike="noStrike" baseline="0">
                <a:solidFill>
                  <a:srgbClr val="000000"/>
                </a:solidFill>
                <a:latin typeface="Calibri"/>
                <a:ea typeface="Calibri"/>
                <a:cs typeface="Calibri"/>
              </a:defRPr>
            </a:pPr>
            <a:endParaRPr lang="en-US"/>
          </a:p>
        </c:txPr>
        <c:crossAx val="206597120"/>
        <c:crosses val="autoZero"/>
        <c:lblAlgn val="ctr"/>
        <c:lblOffset val="100"/>
        <c:tickMarkSkip val="1"/>
      </c:catAx>
      <c:valAx>
        <c:axId val="206597120"/>
        <c:scaling>
          <c:orientation val="minMax"/>
          <c:max val="600000000"/>
          <c:min val="0"/>
        </c:scaling>
        <c:axPos val="l"/>
        <c:majorGridlines>
          <c:spPr>
            <a:ln w="9525" cap="flat" cmpd="sng" algn="ctr">
              <a:solidFill>
                <a:schemeClr val="accent5">
                  <a:shade val="95000"/>
                  <a:satMod val="105000"/>
                </a:schemeClr>
              </a:solidFill>
              <a:prstDash val="solid"/>
            </a:ln>
            <a:effectLst/>
          </c:spPr>
        </c:majorGridlines>
        <c:numFmt formatCode="\P\ #,##0.00" sourceLinked="1"/>
        <c:majorTickMark val="none"/>
        <c:tickLblPos val="nextTo"/>
        <c:txPr>
          <a:bodyPr rot="0" vert="horz"/>
          <a:lstStyle/>
          <a:p>
            <a:pPr>
              <a:defRPr lang="en-PH" sz="1000" b="0" i="0" u="none" strike="noStrike" baseline="0">
                <a:solidFill>
                  <a:srgbClr val="000000"/>
                </a:solidFill>
                <a:latin typeface="Calibri"/>
                <a:ea typeface="Calibri"/>
                <a:cs typeface="Calibri"/>
              </a:defRPr>
            </a:pPr>
            <a:endParaRPr lang="en-US"/>
          </a:p>
        </c:txPr>
        <c:crossAx val="206595584"/>
        <c:crosses val="autoZero"/>
        <c:crossBetween val="between"/>
        <c:majorUnit val="50000000"/>
        <c:minorUnit val="1000000"/>
      </c:valAx>
      <c:spPr>
        <a:noFill/>
      </c:spPr>
    </c:plotArea>
    <c:legend>
      <c:legendPos val="r"/>
      <c:legendEntry>
        <c:idx val="0"/>
        <c:txPr>
          <a:bodyPr/>
          <a:lstStyle/>
          <a:p>
            <a:pPr>
              <a:defRPr sz="1500"/>
            </a:pPr>
            <a:endParaRPr lang="en-US"/>
          </a:p>
        </c:txPr>
      </c:legendEntry>
      <c:legendEntry>
        <c:idx val="1"/>
        <c:txPr>
          <a:bodyPr/>
          <a:lstStyle/>
          <a:p>
            <a:pPr>
              <a:defRPr sz="1500"/>
            </a:pPr>
            <a:endParaRPr lang="en-US"/>
          </a:p>
        </c:txPr>
      </c:legendEntry>
      <c:layout>
        <c:manualLayout>
          <c:xMode val="edge"/>
          <c:yMode val="edge"/>
          <c:x val="2.2438366064782916E-2"/>
          <c:y val="0.89405181024532165"/>
          <c:w val="0.1292397952518379"/>
          <c:h val="0.10580082761483481"/>
        </c:manualLayout>
      </c:layout>
      <c:txPr>
        <a:bodyPr/>
        <a:lstStyle/>
        <a:p>
          <a:pPr>
            <a:defRPr lang="en-PH"/>
          </a:pPr>
          <a:endParaRPr lang="en-US"/>
        </a:p>
      </c:txPr>
    </c:legend>
    <c:plotVisOnly val="1"/>
    <c:dispBlanksAs val="gap"/>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25" l="0.25" r="0" t="1" header="0.5" footer="0.75000000000001565"/>
    <c:pageSetup paperSize="5" orientation="portrait"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PH"/>
            </a:pPr>
            <a:r>
              <a:rPr lang="en-US"/>
              <a:t>CONSOLIDATED BUDGET FOR FISCAL YEAR 2016</a:t>
            </a:r>
          </a:p>
          <a:p>
            <a:pPr>
              <a:defRPr lang="en-PH"/>
            </a:pPr>
            <a:endParaRPr lang="en-US"/>
          </a:p>
          <a:p>
            <a:pPr>
              <a:defRPr lang="en-PH"/>
            </a:pPr>
            <a:r>
              <a:rPr lang="en-US"/>
              <a:t>By Major Expense Class</a:t>
            </a:r>
          </a:p>
          <a:p>
            <a:pPr>
              <a:defRPr lang="en-PH"/>
            </a:pPr>
            <a:endParaRPr lang="en-US"/>
          </a:p>
        </c:rich>
      </c:tx>
    </c:title>
    <c:view3D>
      <c:rotX val="40"/>
      <c:hPercent val="140"/>
      <c:rotY val="220"/>
      <c:depthPercent val="380"/>
      <c:perspective val="30"/>
    </c:view3D>
    <c:plotArea>
      <c:layout>
        <c:manualLayout>
          <c:layoutTarget val="inner"/>
          <c:xMode val="edge"/>
          <c:yMode val="edge"/>
          <c:x val="3.0440014138441066E-2"/>
          <c:y val="0.13669998270274294"/>
          <c:w val="0.64412829491086065"/>
          <c:h val="0.78944626191067058"/>
        </c:manualLayout>
      </c:layout>
      <c:pie3DChart>
        <c:varyColors val="1"/>
        <c:ser>
          <c:idx val="0"/>
          <c:order val="0"/>
          <c:explosion val="7"/>
          <c:dLbls>
            <c:dLbl>
              <c:idx val="6"/>
              <c:layout>
                <c:manualLayout>
                  <c:x val="4.1237119778138945E-2"/>
                  <c:y val="1.7191977077363897E-2"/>
                </c:manualLayout>
              </c:layout>
              <c:dLblPos val="outEnd"/>
              <c:showPercent val="1"/>
              <c:extLst xmlns:c16r2="http://schemas.microsoft.com/office/drawing/2015/06/chart">
                <c:ext xmlns:c16="http://schemas.microsoft.com/office/drawing/2014/chart" uri="{C3380CC4-5D6E-409C-BE32-E72D297353CC}">
                  <c16:uniqueId val="{00000000-6F1B-4FD1-8E50-CBB5713C4B28}"/>
                </c:ext>
                <c:ext xmlns:c15="http://schemas.microsoft.com/office/drawing/2012/chart" uri="{CE6537A1-D6FC-4f65-9D91-7224C49458BB}"/>
              </c:extLst>
            </c:dLbl>
            <c:dLbl>
              <c:idx val="7"/>
              <c:layout>
                <c:manualLayout>
                  <c:x val="7.8546894815502994E-3"/>
                  <c:y val="2.8653295128939892E-2"/>
                </c:manualLayout>
              </c:layout>
              <c:dLblPos val="outEnd"/>
              <c:showPercent val="1"/>
              <c:extLst xmlns:c16r2="http://schemas.microsoft.com/office/drawing/2015/06/chart">
                <c:ext xmlns:c16="http://schemas.microsoft.com/office/drawing/2014/chart" uri="{C3380CC4-5D6E-409C-BE32-E72D297353CC}">
                  <c16:uniqueId val="{00000001-6F1B-4FD1-8E50-CBB5713C4B28}"/>
                </c:ext>
                <c:ext xmlns:c15="http://schemas.microsoft.com/office/drawing/2012/chart" uri="{CE6537A1-D6FC-4f65-9D91-7224C49458BB}"/>
              </c:extLst>
            </c:dLbl>
            <c:dLbl>
              <c:idx val="8"/>
              <c:layout>
                <c:manualLayout>
                  <c:x val="-3.5346102666976492E-2"/>
                  <c:y val="2.8653295128939892E-2"/>
                </c:manualLayout>
              </c:layout>
              <c:dLblPos val="outEnd"/>
              <c:showPercent val="1"/>
              <c:extLst xmlns:c16r2="http://schemas.microsoft.com/office/drawing/2015/06/chart">
                <c:ext xmlns:c16="http://schemas.microsoft.com/office/drawing/2014/chart" uri="{C3380CC4-5D6E-409C-BE32-E72D297353CC}">
                  <c16:uniqueId val="{00000002-6F1B-4FD1-8E50-CBB5713C4B28}"/>
                </c:ext>
                <c:ext xmlns:c15="http://schemas.microsoft.com/office/drawing/2012/chart" uri="{CE6537A1-D6FC-4f65-9D91-7224C49458BB}"/>
              </c:extLst>
            </c:dLbl>
            <c:numFmt formatCode="0%" sourceLinked="0"/>
            <c:spPr>
              <a:noFill/>
              <a:ln>
                <a:noFill/>
              </a:ln>
              <a:effectLst/>
            </c:spPr>
            <c:txPr>
              <a:bodyPr/>
              <a:lstStyle/>
              <a:p>
                <a:pPr>
                  <a:defRPr lang="en-PH"/>
                </a:pPr>
                <a:endParaRPr lang="en-US"/>
              </a:p>
            </c:txPr>
            <c:dLblPos val="outEnd"/>
            <c:showPercent val="1"/>
            <c:showLeaderLines val="1"/>
            <c:extLst xmlns:c16r2="http://schemas.microsoft.com/office/drawing/2015/06/chart">
              <c:ext xmlns:c15="http://schemas.microsoft.com/office/drawing/2012/chart" uri="{CE6537A1-D6FC-4f65-9D91-7224C49458BB}"/>
            </c:extLst>
          </c:dLbls>
          <c:cat>
            <c:strRef>
              <c:f>'consol budget'!$B$24:$B$35</c:f>
              <c:strCache>
                <c:ptCount val="11"/>
                <c:pt idx="0">
                  <c:v>PS</c:v>
                </c:pt>
                <c:pt idx="1">
                  <c:v>MAINTENANCE</c:v>
                </c:pt>
                <c:pt idx="2">
                  <c:v>CAPITAL OUTLAY</c:v>
                </c:pt>
                <c:pt idx="3">
                  <c:v>NON-OFFICE by Office</c:v>
                </c:pt>
                <c:pt idx="4">
                  <c:v>20 % DF</c:v>
                </c:pt>
                <c:pt idx="5">
                  <c:v>Local Disaster Risk Reduction &amp; Management Fund</c:v>
                </c:pt>
                <c:pt idx="6">
                  <c:v>Aid to Barangays</c:v>
                </c:pt>
                <c:pt idx="7">
                  <c:v>Inter Government Aid</c:v>
                </c:pt>
                <c:pt idx="8">
                  <c:v>Gender and Development Program</c:v>
                </c:pt>
                <c:pt idx="9">
                  <c:v>Other Special Purpose w/ Terminal &amp; Monetization</c:v>
                </c:pt>
                <c:pt idx="10">
                  <c:v>Peace and Order</c:v>
                </c:pt>
              </c:strCache>
            </c:strRef>
          </c:cat>
          <c:val>
            <c:numRef>
              <c:f>'consol budget'!$C$24:$C$35</c:f>
              <c:numCache>
                <c:formatCode>#,##0.00</c:formatCode>
                <c:ptCount val="11"/>
                <c:pt idx="0" formatCode="\P\ #,##0.00">
                  <c:v>807934368.74999976</c:v>
                </c:pt>
                <c:pt idx="1">
                  <c:v>755106314</c:v>
                </c:pt>
                <c:pt idx="2">
                  <c:v>40919350.5</c:v>
                </c:pt>
                <c:pt idx="3">
                  <c:v>179790340</c:v>
                </c:pt>
                <c:pt idx="4">
                  <c:v>404379576.20000005</c:v>
                </c:pt>
                <c:pt idx="5">
                  <c:v>120267144.05000001</c:v>
                </c:pt>
                <c:pt idx="6">
                  <c:v>22180000</c:v>
                </c:pt>
                <c:pt idx="7">
                  <c:v>10645087.5</c:v>
                </c:pt>
                <c:pt idx="8">
                  <c:v>84600000</c:v>
                </c:pt>
                <c:pt idx="9">
                  <c:v>40829493.324999772</c:v>
                </c:pt>
                <c:pt idx="10">
                  <c:v>93070700</c:v>
                </c:pt>
              </c:numCache>
            </c:numRef>
          </c:val>
          <c:extLst xmlns:c16r2="http://schemas.microsoft.com/office/drawing/2015/06/chart">
            <c:ext xmlns:c16="http://schemas.microsoft.com/office/drawing/2014/chart" uri="{C3380CC4-5D6E-409C-BE32-E72D297353CC}">
              <c16:uniqueId val="{00000003-6F1B-4FD1-8E50-CBB5713C4B28}"/>
            </c:ext>
          </c:extLst>
        </c:ser>
        <c:dLbls>
          <c:showPercent val="1"/>
        </c:dLbls>
      </c:pie3DChart>
    </c:plotArea>
    <c:legend>
      <c:legendPos val="r"/>
      <c:layout>
        <c:manualLayout>
          <c:xMode val="edge"/>
          <c:yMode val="edge"/>
          <c:x val="0.73585761612662381"/>
          <c:y val="0.19254638955017198"/>
          <c:w val="0.25236034965119303"/>
          <c:h val="0.79806949276689265"/>
        </c:manualLayout>
      </c:layout>
      <c:txPr>
        <a:bodyPr/>
        <a:lstStyle/>
        <a:p>
          <a:pPr>
            <a:defRPr lang="en-PH"/>
          </a:pPr>
          <a:endParaRPr lang="en-US"/>
        </a:p>
      </c:txPr>
    </c:legend>
    <c:plotVisOnly val="1"/>
    <c:dispBlanksAs val="zero"/>
  </c:chart>
  <c:printSettings>
    <c:headerFooter alignWithMargins="0"/>
    <c:pageMargins b="1" l="0.75000000000001465" r="0.75000000000001465" t="1" header="0.5" footer="0.5"/>
    <c:pageSetup orientation="landscape" horizontalDpi="180" verticalDpi="18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lang="en-PH" sz="1650" b="1" i="0" u="none" strike="noStrike" baseline="0">
                <a:solidFill>
                  <a:srgbClr val="000000"/>
                </a:solidFill>
                <a:latin typeface="Arial"/>
                <a:ea typeface="Arial"/>
                <a:cs typeface="Arial"/>
              </a:defRPr>
            </a:pPr>
            <a:r>
              <a:rPr lang="en-US"/>
              <a:t>CONSOLIDATED BUDGET FISCAL YEAR 2016
(by Sector)</a:t>
            </a:r>
          </a:p>
        </c:rich>
      </c:tx>
      <c:layout>
        <c:manualLayout>
          <c:xMode val="edge"/>
          <c:yMode val="edge"/>
          <c:x val="6.5787759279257632E-2"/>
          <c:y val="1.5310583326709661E-3"/>
        </c:manualLayout>
      </c:layout>
      <c:spPr>
        <a:noFill/>
        <a:ln w="25400">
          <a:noFill/>
        </a:ln>
      </c:spPr>
    </c:title>
    <c:view3D>
      <c:rotX val="50"/>
      <c:rotY val="210"/>
      <c:perspective val="0"/>
    </c:view3D>
    <c:plotArea>
      <c:layout>
        <c:manualLayout>
          <c:layoutTarget val="inner"/>
          <c:xMode val="edge"/>
          <c:yMode val="edge"/>
          <c:x val="5.1141035291681056E-2"/>
          <c:y val="0.30272997473432689"/>
          <c:w val="0.59138566794239456"/>
          <c:h val="0.50124130210106588"/>
        </c:manualLayout>
      </c:layout>
      <c:pie3DChart>
        <c:varyColors val="1"/>
        <c:ser>
          <c:idx val="0"/>
          <c:order val="0"/>
          <c:spPr>
            <a:solidFill>
              <a:srgbClr val="9999FF"/>
            </a:solidFill>
            <a:ln w="12700">
              <a:solidFill>
                <a:srgbClr val="000000"/>
              </a:solidFill>
              <a:prstDash val="solid"/>
            </a:ln>
          </c:spPr>
          <c:explosion val="13"/>
          <c:dPt>
            <c:idx val="0"/>
            <c:explosion val="12"/>
            <c:spPr>
              <a:solidFill>
                <a:schemeClr val="accent5"/>
              </a:solidFill>
              <a:ln w="12700">
                <a:solidFill>
                  <a:srgbClr val="000000"/>
                </a:solidFill>
                <a:prstDash val="solid"/>
              </a:ln>
            </c:spPr>
            <c:extLst xmlns:c16r2="http://schemas.microsoft.com/office/drawing/2015/06/chart">
              <c:ext xmlns:c16="http://schemas.microsoft.com/office/drawing/2014/chart" uri="{C3380CC4-5D6E-409C-BE32-E72D297353CC}">
                <c16:uniqueId val="{00000001-9A42-42BA-874F-4AFDA9472741}"/>
              </c:ext>
            </c:extLst>
          </c:dPt>
          <c:dPt>
            <c:idx val="1"/>
            <c:explosion val="12"/>
            <c:spPr>
              <a:solidFill>
                <a:schemeClr val="accent3"/>
              </a:solidFill>
              <a:ln w="12700">
                <a:solidFill>
                  <a:srgbClr val="000000"/>
                </a:solidFill>
                <a:prstDash val="solid"/>
              </a:ln>
            </c:spPr>
            <c:extLst xmlns:c16r2="http://schemas.microsoft.com/office/drawing/2015/06/chart">
              <c:ext xmlns:c16="http://schemas.microsoft.com/office/drawing/2014/chart" uri="{C3380CC4-5D6E-409C-BE32-E72D297353CC}">
                <c16:uniqueId val="{00000003-9A42-42BA-874F-4AFDA9472741}"/>
              </c:ext>
            </c:extLst>
          </c:dPt>
          <c:dPt>
            <c:idx val="2"/>
            <c:spPr>
              <a:solidFill>
                <a:schemeClr val="accent1"/>
              </a:solidFill>
              <a:ln w="12700">
                <a:solidFill>
                  <a:srgbClr val="000000"/>
                </a:solidFill>
                <a:prstDash val="solid"/>
              </a:ln>
            </c:spPr>
            <c:extLst xmlns:c16r2="http://schemas.microsoft.com/office/drawing/2015/06/chart">
              <c:ext xmlns:c16="http://schemas.microsoft.com/office/drawing/2014/chart" uri="{C3380CC4-5D6E-409C-BE32-E72D297353CC}">
                <c16:uniqueId val="{00000005-9A42-42BA-874F-4AFDA9472741}"/>
              </c:ext>
            </c:extLst>
          </c:dPt>
          <c:dPt>
            <c:idx val="3"/>
            <c:spPr>
              <a:solidFill>
                <a:srgbClr val="00B050"/>
              </a:solidFill>
              <a:ln w="12700">
                <a:solidFill>
                  <a:srgbClr val="000000"/>
                </a:solidFill>
                <a:prstDash val="solid"/>
              </a:ln>
            </c:spPr>
            <c:extLst xmlns:c16r2="http://schemas.microsoft.com/office/drawing/2015/06/chart">
              <c:ext xmlns:c16="http://schemas.microsoft.com/office/drawing/2014/chart" uri="{C3380CC4-5D6E-409C-BE32-E72D297353CC}">
                <c16:uniqueId val="{00000007-9A42-42BA-874F-4AFDA9472741}"/>
              </c:ext>
            </c:extLst>
          </c:dPt>
          <c:dPt>
            <c:idx val="4"/>
            <c:spPr>
              <a:solidFill>
                <a:schemeClr val="bg2">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9-9A42-42BA-874F-4AFDA9472741}"/>
              </c:ext>
            </c:extLst>
          </c:dPt>
          <c:dPt>
            <c:idx val="5"/>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B-9A42-42BA-874F-4AFDA9472741}"/>
              </c:ext>
            </c:extLst>
          </c:dPt>
          <c:dPt>
            <c:idx val="6"/>
            <c:spPr>
              <a:solidFill>
                <a:srgbClr val="FF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D-9A42-42BA-874F-4AFDA9472741}"/>
              </c:ext>
            </c:extLst>
          </c:dPt>
          <c:dPt>
            <c:idx val="7"/>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F-9A42-42BA-874F-4AFDA9472741}"/>
              </c:ext>
            </c:extLst>
          </c:dPt>
          <c:dPt>
            <c:idx val="8"/>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1-9A42-42BA-874F-4AFDA9472741}"/>
              </c:ext>
            </c:extLst>
          </c:dPt>
          <c:dPt>
            <c:idx val="9"/>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3-9A42-42BA-874F-4AFDA9472741}"/>
              </c:ext>
            </c:extLst>
          </c:dPt>
          <c:dLbls>
            <c:dLbl>
              <c:idx val="0"/>
              <c:layout>
                <c:manualLayout>
                  <c:x val="-4.8222381293247463E-2"/>
                  <c:y val="-9.1443569553805684E-2"/>
                </c:manualLayout>
              </c:layout>
              <c:showLegendKey val="1"/>
              <c:showPercent val="1"/>
              <c:extLst xmlns:c16r2="http://schemas.microsoft.com/office/drawing/2015/06/chart">
                <c:ext xmlns:c16="http://schemas.microsoft.com/office/drawing/2014/chart" uri="{C3380CC4-5D6E-409C-BE32-E72D297353CC}">
                  <c16:uniqueId val="{00000001-9A42-42BA-874F-4AFDA9472741}"/>
                </c:ext>
                <c:ext xmlns:c15="http://schemas.microsoft.com/office/drawing/2012/chart" uri="{CE6537A1-D6FC-4f65-9D91-7224C49458BB}"/>
              </c:extLst>
            </c:dLbl>
            <c:dLbl>
              <c:idx val="1"/>
              <c:dLblPos val="outEnd"/>
              <c:showLegendKey val="1"/>
              <c:showPercent val="1"/>
              <c:extLst xmlns:c16r2="http://schemas.microsoft.com/office/drawing/2015/06/chart">
                <c:ext xmlns:c16="http://schemas.microsoft.com/office/drawing/2014/chart" uri="{C3380CC4-5D6E-409C-BE32-E72D297353CC}">
                  <c16:uniqueId val="{00000003-9A42-42BA-874F-4AFDA9472741}"/>
                </c:ext>
                <c:ext xmlns:c15="http://schemas.microsoft.com/office/drawing/2012/chart" uri="{CE6537A1-D6FC-4f65-9D91-7224C49458BB}"/>
              </c:extLst>
            </c:dLbl>
            <c:dLbl>
              <c:idx val="2"/>
              <c:layout>
                <c:manualLayout>
                  <c:x val="-2.80566452458571E-2"/>
                  <c:y val="-5.2397004449474933E-2"/>
                </c:manualLayout>
              </c:layout>
              <c:showLegendKey val="1"/>
              <c:showPercent val="1"/>
              <c:extLst xmlns:c16r2="http://schemas.microsoft.com/office/drawing/2015/06/chart">
                <c:ext xmlns:c16="http://schemas.microsoft.com/office/drawing/2014/chart" uri="{C3380CC4-5D6E-409C-BE32-E72D297353CC}">
                  <c16:uniqueId val="{00000005-9A42-42BA-874F-4AFDA9472741}"/>
                </c:ext>
                <c:ext xmlns:c15="http://schemas.microsoft.com/office/drawing/2012/chart" uri="{CE6537A1-D6FC-4f65-9D91-7224C49458BB}"/>
              </c:extLst>
            </c:dLbl>
            <c:dLbl>
              <c:idx val="3"/>
              <c:layout>
                <c:manualLayout>
                  <c:x val="-1.4384817282455081E-2"/>
                  <c:y val="5.7677577933555928E-2"/>
                </c:manualLayout>
              </c:layout>
              <c:showLegendKey val="1"/>
              <c:showPercent val="1"/>
              <c:extLst xmlns:c16r2="http://schemas.microsoft.com/office/drawing/2015/06/chart">
                <c:ext xmlns:c16="http://schemas.microsoft.com/office/drawing/2014/chart" uri="{C3380CC4-5D6E-409C-BE32-E72D297353CC}">
                  <c16:uniqueId val="{00000007-9A42-42BA-874F-4AFDA9472741}"/>
                </c:ext>
                <c:ext xmlns:c15="http://schemas.microsoft.com/office/drawing/2012/chart" uri="{CE6537A1-D6FC-4f65-9D91-7224C49458BB}"/>
              </c:extLst>
            </c:dLbl>
            <c:dLbl>
              <c:idx val="4"/>
              <c:layout>
                <c:manualLayout>
                  <c:x val="5.0940301658043884E-2"/>
                  <c:y val="2.2403152881898612E-2"/>
                </c:manualLayout>
              </c:layout>
              <c:showLegendKey val="1"/>
              <c:showPercent val="1"/>
              <c:extLst xmlns:c16r2="http://schemas.microsoft.com/office/drawing/2015/06/chart">
                <c:ext xmlns:c16="http://schemas.microsoft.com/office/drawing/2014/chart" uri="{C3380CC4-5D6E-409C-BE32-E72D297353CC}">
                  <c16:uniqueId val="{00000009-9A42-42BA-874F-4AFDA9472741}"/>
                </c:ext>
                <c:ext xmlns:c15="http://schemas.microsoft.com/office/drawing/2012/chart" uri="{CE6537A1-D6FC-4f65-9D91-7224C49458BB}"/>
              </c:extLst>
            </c:dLbl>
            <c:dLbl>
              <c:idx val="5"/>
              <c:layout>
                <c:manualLayout>
                  <c:x val="7.0748728487846482E-2"/>
                  <c:y val="5.9589721042104124E-2"/>
                </c:manualLayout>
              </c:layout>
              <c:showLegendKey val="1"/>
              <c:showPercent val="1"/>
              <c:extLst xmlns:c16r2="http://schemas.microsoft.com/office/drawing/2015/06/chart">
                <c:ext xmlns:c16="http://schemas.microsoft.com/office/drawing/2014/chart" uri="{C3380CC4-5D6E-409C-BE32-E72D297353CC}">
                  <c16:uniqueId val="{0000000B-9A42-42BA-874F-4AFDA9472741}"/>
                </c:ext>
                <c:ext xmlns:c15="http://schemas.microsoft.com/office/drawing/2012/chart" uri="{CE6537A1-D6FC-4f65-9D91-7224C49458BB}"/>
              </c:extLst>
            </c:dLbl>
            <c:dLbl>
              <c:idx val="6"/>
              <c:layout>
                <c:manualLayout>
                  <c:x val="4.0269237968926924E-2"/>
                  <c:y val="9.8898177826515193E-2"/>
                </c:manualLayout>
              </c:layout>
              <c:showLegendKey val="1"/>
              <c:showPercent val="1"/>
              <c:extLst xmlns:c16r2="http://schemas.microsoft.com/office/drawing/2015/06/chart">
                <c:ext xmlns:c16="http://schemas.microsoft.com/office/drawing/2014/chart" uri="{C3380CC4-5D6E-409C-BE32-E72D297353CC}">
                  <c16:uniqueId val="{0000000D-9A42-42BA-874F-4AFDA9472741}"/>
                </c:ext>
                <c:ext xmlns:c15="http://schemas.microsoft.com/office/drawing/2012/chart" uri="{CE6537A1-D6FC-4f65-9D91-7224C49458BB}"/>
              </c:extLst>
            </c:dLbl>
            <c:dLbl>
              <c:idx val="7"/>
              <c:layout>
                <c:manualLayout>
                  <c:x val="-4.0174925023598151E-2"/>
                  <c:y val="7.1701742018625489E-2"/>
                </c:manualLayout>
              </c:layout>
              <c:showLegendKey val="1"/>
              <c:showPercent val="1"/>
              <c:extLst xmlns:c16r2="http://schemas.microsoft.com/office/drawing/2015/06/chart">
                <c:ext xmlns:c16="http://schemas.microsoft.com/office/drawing/2014/chart" uri="{C3380CC4-5D6E-409C-BE32-E72D297353CC}">
                  <c16:uniqueId val="{0000000F-9A42-42BA-874F-4AFDA9472741}"/>
                </c:ext>
                <c:ext xmlns:c15="http://schemas.microsoft.com/office/drawing/2012/chart" uri="{CE6537A1-D6FC-4f65-9D91-7224C49458BB}"/>
              </c:extLst>
            </c:dLbl>
            <c:dLbl>
              <c:idx val="8"/>
              <c:layout>
                <c:manualLayout>
                  <c:x val="-4.3524149769591645E-2"/>
                  <c:y val="2.7318920474504692E-2"/>
                </c:manualLayout>
              </c:layout>
              <c:showLegendKey val="1"/>
              <c:showPercent val="1"/>
              <c:extLst xmlns:c16r2="http://schemas.microsoft.com/office/drawing/2015/06/chart">
                <c:ext xmlns:c16="http://schemas.microsoft.com/office/drawing/2014/chart" uri="{C3380CC4-5D6E-409C-BE32-E72D297353CC}">
                  <c16:uniqueId val="{00000011-9A42-42BA-874F-4AFDA9472741}"/>
                </c:ext>
                <c:ext xmlns:c15="http://schemas.microsoft.com/office/drawing/2012/chart" uri="{CE6537A1-D6FC-4f65-9D91-7224C49458BB}"/>
              </c:extLst>
            </c:dLbl>
            <c:dLbl>
              <c:idx val="9"/>
              <c:layout>
                <c:manualLayout>
                  <c:x val="-5.8182803022156393E-2"/>
                  <c:y val="2.9948245574685412E-2"/>
                </c:manualLayout>
              </c:layout>
              <c:showLegendKey val="1"/>
              <c:showPercent val="1"/>
              <c:extLst xmlns:c16r2="http://schemas.microsoft.com/office/drawing/2015/06/chart">
                <c:ext xmlns:c16="http://schemas.microsoft.com/office/drawing/2014/chart" uri="{C3380CC4-5D6E-409C-BE32-E72D297353CC}">
                  <c16:uniqueId val="{00000013-9A42-42BA-874F-4AFDA9472741}"/>
                </c:ext>
                <c:ext xmlns:c15="http://schemas.microsoft.com/office/drawing/2012/chart" uri="{CE6537A1-D6FC-4f65-9D91-7224C49458BB}"/>
              </c:extLst>
            </c:dLbl>
            <c:dLbl>
              <c:idx val="10"/>
              <c:layout>
                <c:manualLayout>
                  <c:x val="-4.8155202147531322E-2"/>
                  <c:y val="2.8131451735549987E-2"/>
                </c:manualLayout>
              </c:layout>
              <c:showLegendKey val="1"/>
              <c:showPercent val="1"/>
              <c:extLst xmlns:c16r2="http://schemas.microsoft.com/office/drawing/2015/06/chart">
                <c:ext xmlns:c16="http://schemas.microsoft.com/office/drawing/2014/chart" uri="{C3380CC4-5D6E-409C-BE32-E72D297353CC}">
                  <c16:uniqueId val="{00000014-9A42-42BA-874F-4AFDA9472741}"/>
                </c:ext>
                <c:ext xmlns:c15="http://schemas.microsoft.com/office/drawing/2012/chart" uri="{CE6537A1-D6FC-4f65-9D91-7224C49458BB}"/>
              </c:extLst>
            </c:dLbl>
            <c:dLbl>
              <c:idx val="11"/>
              <c:layout>
                <c:manualLayout>
                  <c:x val="-3.8813964856984351E-2"/>
                  <c:y val="-0.16026355424069652"/>
                </c:manualLayout>
              </c:layout>
              <c:showLegendKey val="1"/>
              <c:showPercent val="1"/>
              <c:extLst xmlns:c16r2="http://schemas.microsoft.com/office/drawing/2015/06/chart">
                <c:ext xmlns:c16="http://schemas.microsoft.com/office/drawing/2014/chart" uri="{C3380CC4-5D6E-409C-BE32-E72D297353CC}">
                  <c16:uniqueId val="{00000015-9A42-42BA-874F-4AFDA9472741}"/>
                </c:ext>
                <c:ext xmlns:c15="http://schemas.microsoft.com/office/drawing/2012/chart" uri="{CE6537A1-D6FC-4f65-9D91-7224C49458BB}"/>
              </c:extLst>
            </c:dLbl>
            <c:dLbl>
              <c:idx val="12"/>
              <c:layout>
                <c:manualLayout>
                  <c:x val="5.4230547300106104E-2"/>
                  <c:y val="-0.14783191902013756"/>
                </c:manualLayout>
              </c:layout>
              <c:showLegendKey val="1"/>
              <c:showPercent val="1"/>
              <c:extLst xmlns:c16r2="http://schemas.microsoft.com/office/drawing/2015/06/chart">
                <c:ext xmlns:c16="http://schemas.microsoft.com/office/drawing/2014/chart" uri="{C3380CC4-5D6E-409C-BE32-E72D297353CC}">
                  <c16:uniqueId val="{00000016-9A42-42BA-874F-4AFDA9472741}"/>
                </c:ext>
                <c:ext xmlns:c15="http://schemas.microsoft.com/office/drawing/2012/chart" uri="{CE6537A1-D6FC-4f65-9D91-7224C49458BB}"/>
              </c:extLst>
            </c:dLbl>
            <c:dLbl>
              <c:idx val="13"/>
              <c:layout>
                <c:manualLayout>
                  <c:x val="8.6687008761752726E-2"/>
                  <c:y val="-5.5172641020710532E-2"/>
                </c:manualLayout>
              </c:layout>
              <c:dLblPos val="bestFit"/>
              <c:showLegendKey val="1"/>
              <c:showPercent val="1"/>
              <c:extLst xmlns:c16r2="http://schemas.microsoft.com/office/drawing/2015/06/chart">
                <c:ext xmlns:c16="http://schemas.microsoft.com/office/drawing/2014/chart" uri="{C3380CC4-5D6E-409C-BE32-E72D297353CC}">
                  <c16:uniqueId val="{00000017-9A42-42BA-874F-4AFDA9472741}"/>
                </c:ext>
                <c:ext xmlns:c15="http://schemas.microsoft.com/office/drawing/2012/chart" uri="{CE6537A1-D6FC-4f65-9D91-7224C49458BB}"/>
              </c:extLst>
            </c:dLbl>
            <c:dLbl>
              <c:idx val="14"/>
              <c:layout>
                <c:manualLayout>
                  <c:x val="6.0329910292537033E-3"/>
                  <c:y val="-9.5935091317158827E-2"/>
                </c:manualLayout>
              </c:layout>
              <c:showLegendKey val="1"/>
              <c:showPercent val="1"/>
              <c:extLst xmlns:c16r2="http://schemas.microsoft.com/office/drawing/2015/06/chart">
                <c:ext xmlns:c16="http://schemas.microsoft.com/office/drawing/2014/chart" uri="{C3380CC4-5D6E-409C-BE32-E72D297353CC}">
                  <c16:uniqueId val="{00000018-9A42-42BA-874F-4AFDA9472741}"/>
                </c:ext>
                <c:ext xmlns:c15="http://schemas.microsoft.com/office/drawing/2012/chart" uri="{CE6537A1-D6FC-4f65-9D91-7224C49458BB}"/>
              </c:extLst>
            </c:dLbl>
            <c:numFmt formatCode="0%" sourceLinked="0"/>
            <c:spPr>
              <a:noFill/>
              <a:ln w="25400">
                <a:noFill/>
              </a:ln>
            </c:spPr>
            <c:txPr>
              <a:bodyPr/>
              <a:lstStyle/>
              <a:p>
                <a:pPr>
                  <a:defRPr lang="en-PH" sz="1200" b="0" i="0" u="none" strike="noStrike" baseline="0">
                    <a:solidFill>
                      <a:srgbClr val="000000"/>
                    </a:solidFill>
                    <a:latin typeface="Arial"/>
                    <a:ea typeface="Arial"/>
                    <a:cs typeface="Arial"/>
                  </a:defRPr>
                </a:pPr>
                <a:endParaRPr lang="en-US"/>
              </a:p>
            </c:txPr>
            <c:showLegendKey val="1"/>
            <c:showPercent val="1"/>
            <c:showLeaderLines val="1"/>
            <c:extLst xmlns:c16r2="http://schemas.microsoft.com/office/drawing/2015/06/chart">
              <c:ext xmlns:c15="http://schemas.microsoft.com/office/drawing/2012/chart" uri="{CE6537A1-D6FC-4f65-9D91-7224C49458BB}"/>
            </c:extLst>
          </c:dLbls>
          <c:cat>
            <c:strRef>
              <c:f>'BY SECTOR'!$B$27:$B$37</c:f>
              <c:strCache>
                <c:ptCount val="10"/>
                <c:pt idx="0">
                  <c:v>General Administration Sector</c:v>
                </c:pt>
                <c:pt idx="1">
                  <c:v>Social Services Sector</c:v>
                </c:pt>
                <c:pt idx="2">
                  <c:v>Economic Services Sector</c:v>
                </c:pt>
                <c:pt idx="3">
                  <c:v>20 % DF</c:v>
                </c:pt>
                <c:pt idx="4">
                  <c:v>Local Disaster Risk Reduction &amp; Mgt. Fund</c:v>
                </c:pt>
                <c:pt idx="5">
                  <c:v>Aid to Barangays</c:v>
                </c:pt>
                <c:pt idx="6">
                  <c:v>Other Special Purpose w/ Terminal &amp; Monetization</c:v>
                </c:pt>
                <c:pt idx="7">
                  <c:v>Inter-Government Aid</c:v>
                </c:pt>
                <c:pt idx="8">
                  <c:v>Gender Development Program</c:v>
                </c:pt>
                <c:pt idx="9">
                  <c:v>Peace and Order</c:v>
                </c:pt>
              </c:strCache>
            </c:strRef>
          </c:cat>
          <c:val>
            <c:numRef>
              <c:f>'BY SECTOR'!$C$27:$C$37</c:f>
              <c:numCache>
                <c:formatCode>#,##0.00</c:formatCode>
                <c:ptCount val="10"/>
                <c:pt idx="0" formatCode="\P\ #,##0.00">
                  <c:v>686610014.23500001</c:v>
                </c:pt>
                <c:pt idx="1">
                  <c:v>758001411.41499984</c:v>
                </c:pt>
                <c:pt idx="2">
                  <c:v>309409454.27499998</c:v>
                </c:pt>
                <c:pt idx="3">
                  <c:v>404379576.20000005</c:v>
                </c:pt>
                <c:pt idx="4">
                  <c:v>120267144.05000001</c:v>
                </c:pt>
                <c:pt idx="5">
                  <c:v>22180000</c:v>
                </c:pt>
                <c:pt idx="6">
                  <c:v>40829493.324999772</c:v>
                </c:pt>
                <c:pt idx="7">
                  <c:v>10645087.5</c:v>
                </c:pt>
                <c:pt idx="8">
                  <c:v>84600000</c:v>
                </c:pt>
                <c:pt idx="9">
                  <c:v>93070700</c:v>
                </c:pt>
              </c:numCache>
            </c:numRef>
          </c:val>
          <c:extLst xmlns:c16r2="http://schemas.microsoft.com/office/drawing/2015/06/chart">
            <c:ext xmlns:c16="http://schemas.microsoft.com/office/drawing/2014/chart" uri="{C3380CC4-5D6E-409C-BE32-E72D297353CC}">
              <c16:uniqueId val="{00000019-9A42-42BA-874F-4AFDA9472741}"/>
            </c:ext>
          </c:extLst>
        </c:ser>
        <c:dLbls>
          <c:showLegendKey val="1"/>
          <c:showPercent val="1"/>
        </c:dLbls>
      </c:pie3DChart>
      <c:spPr>
        <a:noFill/>
        <a:ln w="25400">
          <a:noFill/>
        </a:ln>
      </c:spPr>
    </c:plotArea>
    <c:legend>
      <c:legendPos val="r"/>
      <c:layout>
        <c:manualLayout>
          <c:xMode val="edge"/>
          <c:yMode val="edge"/>
          <c:x val="0.6642675811198866"/>
          <c:y val="0.1250905372032283"/>
          <c:w val="0.32524026302490677"/>
          <c:h val="0.75253238909689957"/>
        </c:manualLayout>
      </c:layout>
      <c:spPr>
        <a:ln w="25400">
          <a:noFill/>
        </a:ln>
      </c:spPr>
      <c:txPr>
        <a:bodyPr/>
        <a:lstStyle/>
        <a:p>
          <a:pPr>
            <a:defRPr lang="en-PH" sz="1100" b="0" i="0" u="none" strike="noStrike" baseline="0">
              <a:solidFill>
                <a:srgbClr val="000000"/>
              </a:solidFill>
              <a:latin typeface="+mj-lt"/>
              <a:ea typeface="Arial"/>
              <a:cs typeface="Arial"/>
            </a:defRPr>
          </a:pPr>
          <a:endParaRPr lang="en-US"/>
        </a:p>
      </c:txPr>
    </c:legend>
    <c:plotVisOnly val="1"/>
    <c:dispBlanksAs val="zero"/>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0.5" l="0.5" r="0.75000000000001465" t="0.5" header="0.5" footer="0.5"/>
    <c:pageSetup paperSize="5" orientation="landscape" horizontalDpi="180" verticalDpi="18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PH" sz="925"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BUDGET YEAR 2016</a:t>
            </a:r>
          </a:p>
          <a:p>
            <a:pPr>
              <a:defRPr lang="en-PH" sz="925" b="0" i="0" u="none" strike="noStrike" baseline="0">
                <a:solidFill>
                  <a:srgbClr val="000000"/>
                </a:solidFill>
                <a:latin typeface="Arial"/>
                <a:ea typeface="Arial"/>
                <a:cs typeface="Arial"/>
              </a:defRPr>
            </a:pPr>
            <a:endParaRPr lang="en-US" sz="1200" b="1" i="0" u="none" strike="noStrike" baseline="0">
              <a:solidFill>
                <a:srgbClr val="000000"/>
              </a:solidFill>
              <a:latin typeface="Arial"/>
              <a:cs typeface="Arial"/>
            </a:endParaRPr>
          </a:p>
          <a:p>
            <a:pPr>
              <a:defRPr lang="en-PH" sz="925"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PERSONAL SERVICES DISTRIBUTED BY SECTOR</a:t>
            </a:r>
          </a:p>
          <a:p>
            <a:pPr>
              <a:defRPr lang="en-PH" sz="925" b="0" i="0" u="none" strike="noStrike" baseline="0">
                <a:solidFill>
                  <a:srgbClr val="000000"/>
                </a:solidFill>
                <a:latin typeface="Arial"/>
                <a:ea typeface="Arial"/>
                <a:cs typeface="Arial"/>
              </a:defRPr>
            </a:pPr>
            <a:endParaRPr lang="en-US" sz="1200" b="1" i="0" u="none" strike="noStrike" baseline="0">
              <a:solidFill>
                <a:srgbClr val="000000"/>
              </a:solidFill>
              <a:latin typeface="Arial"/>
              <a:cs typeface="Arial"/>
            </a:endParaRPr>
          </a:p>
        </c:rich>
      </c:tx>
      <c:layout>
        <c:manualLayout>
          <c:xMode val="edge"/>
          <c:yMode val="edge"/>
          <c:x val="0.19558545853410444"/>
          <c:y val="3.3240997229917052E-2"/>
        </c:manualLayout>
      </c:layout>
      <c:spPr>
        <a:noFill/>
        <a:ln w="25400">
          <a:noFill/>
        </a:ln>
      </c:spPr>
    </c:title>
    <c:view3D>
      <c:rotX val="30"/>
      <c:perspective val="0"/>
    </c:view3D>
    <c:plotArea>
      <c:layout>
        <c:manualLayout>
          <c:layoutTarget val="inner"/>
          <c:xMode val="edge"/>
          <c:yMode val="edge"/>
          <c:x val="3.8924471501765166E-2"/>
          <c:y val="0.24534915082299644"/>
          <c:w val="0.64181429398002565"/>
          <c:h val="0.53304522944162469"/>
        </c:manualLayout>
      </c:layout>
      <c:pie3DChart>
        <c:varyColors val="1"/>
        <c:ser>
          <c:idx val="0"/>
          <c:order val="0"/>
          <c:spPr>
            <a:solidFill>
              <a:srgbClr val="9999FF"/>
            </a:solidFill>
            <a:ln w="25400">
              <a:solidFill>
                <a:srgbClr val="000000"/>
              </a:solidFill>
              <a:prstDash val="solid"/>
            </a:ln>
          </c:spPr>
          <c:explosion val="3"/>
          <c:dPt>
            <c:idx val="0"/>
            <c:spPr>
              <a:solidFill>
                <a:srgbClr val="9999FF"/>
              </a:solidFill>
              <a:ln w="9525">
                <a:solidFill>
                  <a:srgbClr val="000000"/>
                </a:solidFill>
                <a:prstDash val="solid"/>
              </a:ln>
            </c:spPr>
            <c:extLst xmlns:c16r2="http://schemas.microsoft.com/office/drawing/2015/06/chart">
              <c:ext xmlns:c16="http://schemas.microsoft.com/office/drawing/2014/chart" uri="{C3380CC4-5D6E-409C-BE32-E72D297353CC}">
                <c16:uniqueId val="{00000001-0F9C-4F65-9856-01F8BF5B1007}"/>
              </c:ext>
            </c:extLst>
          </c:dPt>
          <c:dPt>
            <c:idx val="1"/>
            <c:spPr>
              <a:solidFill>
                <a:srgbClr val="FF0000"/>
              </a:solidFill>
              <a:ln w="9525">
                <a:solidFill>
                  <a:srgbClr val="000000"/>
                </a:solidFill>
                <a:prstDash val="solid"/>
              </a:ln>
            </c:spPr>
            <c:extLst xmlns:c16r2="http://schemas.microsoft.com/office/drawing/2015/06/chart">
              <c:ext xmlns:c16="http://schemas.microsoft.com/office/drawing/2014/chart" uri="{C3380CC4-5D6E-409C-BE32-E72D297353CC}">
                <c16:uniqueId val="{00000003-0F9C-4F65-9856-01F8BF5B1007}"/>
              </c:ext>
            </c:extLst>
          </c:dPt>
          <c:dPt>
            <c:idx val="2"/>
            <c:spPr>
              <a:solidFill>
                <a:srgbClr val="00B050"/>
              </a:solidFill>
              <a:ln w="9525">
                <a:solidFill>
                  <a:srgbClr val="000000"/>
                </a:solidFill>
                <a:prstDash val="solid"/>
              </a:ln>
            </c:spPr>
            <c:extLst xmlns:c16r2="http://schemas.microsoft.com/office/drawing/2015/06/chart">
              <c:ext xmlns:c16="http://schemas.microsoft.com/office/drawing/2014/chart" uri="{C3380CC4-5D6E-409C-BE32-E72D297353CC}">
                <c16:uniqueId val="{00000005-0F9C-4F65-9856-01F8BF5B1007}"/>
              </c:ext>
            </c:extLst>
          </c:dPt>
          <c:dLbls>
            <c:numFmt formatCode="0%" sourceLinked="0"/>
            <c:spPr>
              <a:noFill/>
              <a:ln w="25400">
                <a:noFill/>
              </a:ln>
            </c:spPr>
            <c:txPr>
              <a:bodyPr/>
              <a:lstStyle/>
              <a:p>
                <a:pPr>
                  <a:defRPr lang="en-PH" sz="925" b="1" i="0" u="none" strike="noStrike" baseline="0">
                    <a:solidFill>
                      <a:srgbClr val="000000"/>
                    </a:solidFill>
                    <a:latin typeface="Arial"/>
                    <a:ea typeface="Arial"/>
                    <a:cs typeface="Arial"/>
                  </a:defRPr>
                </a:pPr>
                <a:endParaRPr lang="en-US"/>
              </a:p>
            </c:txPr>
            <c:dLblPos val="outEnd"/>
            <c:showLegendKey val="1"/>
            <c:showPercent val="1"/>
            <c:showLeaderLines val="1"/>
            <c:extLst xmlns:c16r2="http://schemas.microsoft.com/office/drawing/2015/06/chart">
              <c:ext xmlns:c15="http://schemas.microsoft.com/office/drawing/2012/chart" uri="{CE6537A1-D6FC-4f65-9D91-7224C49458BB}"/>
            </c:extLst>
          </c:dLbls>
          <c:cat>
            <c:strRef>
              <c:f>'personal services'!$B$30:$D$30</c:f>
              <c:strCache>
                <c:ptCount val="3"/>
                <c:pt idx="0">
                  <c:v>General Administration Sector</c:v>
                </c:pt>
                <c:pt idx="1">
                  <c:v>Social Services Sector</c:v>
                </c:pt>
                <c:pt idx="2">
                  <c:v>Economic Services Sector</c:v>
                </c:pt>
              </c:strCache>
            </c:strRef>
          </c:cat>
          <c:val>
            <c:numRef>
              <c:f>'personal services'!$B$31:$D$31</c:f>
              <c:numCache>
                <c:formatCode>#,##0.00</c:formatCode>
                <c:ptCount val="3"/>
                <c:pt idx="0">
                  <c:v>285715344.23499995</c:v>
                </c:pt>
                <c:pt idx="1">
                  <c:v>342283038.91500008</c:v>
                </c:pt>
                <c:pt idx="2">
                  <c:v>150206492.27500001</c:v>
                </c:pt>
              </c:numCache>
            </c:numRef>
          </c:val>
          <c:extLst xmlns:c16r2="http://schemas.microsoft.com/office/drawing/2015/06/chart">
            <c:ext xmlns:c16="http://schemas.microsoft.com/office/drawing/2014/chart" uri="{C3380CC4-5D6E-409C-BE32-E72D297353CC}">
              <c16:uniqueId val="{00000006-0F9C-4F65-9856-01F8BF5B1007}"/>
            </c:ext>
          </c:extLst>
        </c:ser>
        <c:dLbls>
          <c:showLegendKey val="1"/>
          <c:showPercent val="1"/>
        </c:dLbls>
      </c:pie3DChart>
      <c:spPr>
        <a:noFill/>
        <a:ln w="25400">
          <a:noFill/>
        </a:ln>
      </c:spPr>
    </c:plotArea>
    <c:legend>
      <c:legendPos val="r"/>
      <c:layout>
        <c:manualLayout>
          <c:xMode val="edge"/>
          <c:yMode val="edge"/>
          <c:x val="0.64424358297065898"/>
          <c:y val="0.67133389071590011"/>
          <c:w val="0.30981040309272972"/>
          <c:h val="0.23244461186928544"/>
        </c:manualLayout>
      </c:layout>
      <c:spPr>
        <a:solidFill>
          <a:srgbClr val="FFFFFF"/>
        </a:solidFill>
        <a:ln w="1270">
          <a:solidFill>
            <a:schemeClr val="tx1"/>
          </a:solidFill>
        </a:ln>
      </c:spPr>
      <c:txPr>
        <a:bodyPr/>
        <a:lstStyle/>
        <a:p>
          <a:pPr>
            <a:defRPr lang="en-PH" sz="1100" b="0" i="0" u="none" strike="noStrike" baseline="0">
              <a:solidFill>
                <a:srgbClr val="000000"/>
              </a:solidFill>
              <a:latin typeface="Arial"/>
              <a:ea typeface="Arial"/>
              <a:cs typeface="Arial"/>
            </a:defRPr>
          </a:pPr>
          <a:endParaRPr lang="en-US"/>
        </a:p>
      </c:txPr>
    </c:legend>
    <c:plotVisOnly val="1"/>
    <c:dispBlanksAs val="zero"/>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180" verticalDpi="180"/>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PH" sz="1200" b="0" i="0" u="none" strike="noStrike" baseline="0">
                <a:solidFill>
                  <a:srgbClr val="000000"/>
                </a:solidFill>
                <a:latin typeface="Arial"/>
                <a:ea typeface="Arial"/>
                <a:cs typeface="Arial"/>
              </a:defRPr>
            </a:pPr>
            <a:r>
              <a:rPr lang="en-US" sz="1600" b="1" i="0" u="none" strike="noStrike" baseline="0">
                <a:solidFill>
                  <a:srgbClr val="000000"/>
                </a:solidFill>
                <a:latin typeface="Arial"/>
                <a:cs typeface="Arial"/>
              </a:rPr>
              <a:t>BUDGET YEAR 2016</a:t>
            </a:r>
          </a:p>
          <a:p>
            <a:pPr>
              <a:defRPr lang="en-PH" sz="1200" b="0" i="0" u="none" strike="noStrike" baseline="0">
                <a:solidFill>
                  <a:srgbClr val="000000"/>
                </a:solidFill>
                <a:latin typeface="Arial"/>
                <a:ea typeface="Arial"/>
                <a:cs typeface="Arial"/>
              </a:defRPr>
            </a:pPr>
            <a:endParaRPr lang="en-US" sz="1600" b="1" i="0" u="none" strike="noStrike" baseline="0">
              <a:solidFill>
                <a:srgbClr val="000000"/>
              </a:solidFill>
              <a:latin typeface="Arial"/>
              <a:cs typeface="Arial"/>
            </a:endParaRPr>
          </a:p>
          <a:p>
            <a:pPr>
              <a:defRPr lang="en-PH" sz="1200" b="0" i="0" u="none" strike="noStrike" baseline="0">
                <a:solidFill>
                  <a:srgbClr val="000000"/>
                </a:solidFill>
                <a:latin typeface="Arial"/>
                <a:ea typeface="Arial"/>
                <a:cs typeface="Arial"/>
              </a:defRPr>
            </a:pPr>
            <a:r>
              <a:rPr lang="en-US" sz="1600" b="1" i="0" u="none" strike="noStrike" baseline="0">
                <a:solidFill>
                  <a:srgbClr val="000000"/>
                </a:solidFill>
                <a:latin typeface="Arial"/>
                <a:cs typeface="Arial"/>
              </a:rPr>
              <a:t>MOOE DISTRIBUTED BY SECTOR</a:t>
            </a:r>
          </a:p>
        </c:rich>
      </c:tx>
      <c:layout>
        <c:manualLayout>
          <c:xMode val="edge"/>
          <c:yMode val="edge"/>
          <c:x val="0.22244691607684541"/>
          <c:y val="3.0567685589520412E-2"/>
        </c:manualLayout>
      </c:layout>
      <c:spPr>
        <a:noFill/>
        <a:ln w="25400">
          <a:noFill/>
        </a:ln>
      </c:spPr>
    </c:title>
    <c:view3D>
      <c:rotX val="30"/>
      <c:perspective val="0"/>
    </c:view3D>
    <c:plotArea>
      <c:layout>
        <c:manualLayout>
          <c:layoutTarget val="inner"/>
          <c:xMode val="edge"/>
          <c:yMode val="edge"/>
          <c:x val="6.1390920809473136E-3"/>
          <c:y val="0.26654029151545588"/>
          <c:w val="0.67102719408594635"/>
          <c:h val="0.5735578868061707"/>
        </c:manualLayout>
      </c:layout>
      <c:pie3DChart>
        <c:varyColors val="1"/>
        <c:ser>
          <c:idx val="0"/>
          <c:order val="0"/>
          <c:spPr>
            <a:solidFill>
              <a:srgbClr val="9999FF"/>
            </a:solidFill>
            <a:ln w="25400">
              <a:solidFill>
                <a:srgbClr val="000000"/>
              </a:solidFill>
              <a:prstDash val="solid"/>
            </a:ln>
          </c:spPr>
          <c:dPt>
            <c:idx val="0"/>
            <c:spPr>
              <a:solidFill>
                <a:srgbClr val="9999FF"/>
              </a:solidFill>
              <a:ln w="9525">
                <a:solidFill>
                  <a:srgbClr val="000000"/>
                </a:solidFill>
                <a:prstDash val="solid"/>
              </a:ln>
            </c:spPr>
            <c:extLst xmlns:c16r2="http://schemas.microsoft.com/office/drawing/2015/06/chart">
              <c:ext xmlns:c16="http://schemas.microsoft.com/office/drawing/2014/chart" uri="{C3380CC4-5D6E-409C-BE32-E72D297353CC}">
                <c16:uniqueId val="{00000001-14A1-4899-AB23-A21AC1B72B51}"/>
              </c:ext>
            </c:extLst>
          </c:dPt>
          <c:dPt>
            <c:idx val="1"/>
            <c:spPr>
              <a:solidFill>
                <a:srgbClr val="FF0000"/>
              </a:solidFill>
              <a:ln w="9525">
                <a:solidFill>
                  <a:srgbClr val="000000"/>
                </a:solidFill>
                <a:prstDash val="solid"/>
              </a:ln>
            </c:spPr>
            <c:extLst xmlns:c16r2="http://schemas.microsoft.com/office/drawing/2015/06/chart">
              <c:ext xmlns:c16="http://schemas.microsoft.com/office/drawing/2014/chart" uri="{C3380CC4-5D6E-409C-BE32-E72D297353CC}">
                <c16:uniqueId val="{00000003-14A1-4899-AB23-A21AC1B72B51}"/>
              </c:ext>
            </c:extLst>
          </c:dPt>
          <c:dPt>
            <c:idx val="2"/>
            <c:spPr>
              <a:solidFill>
                <a:srgbClr val="00B050"/>
              </a:solidFill>
              <a:ln w="9525">
                <a:solidFill>
                  <a:srgbClr val="000000"/>
                </a:solidFill>
                <a:prstDash val="solid"/>
              </a:ln>
            </c:spPr>
            <c:extLst xmlns:c16r2="http://schemas.microsoft.com/office/drawing/2015/06/chart">
              <c:ext xmlns:c16="http://schemas.microsoft.com/office/drawing/2014/chart" uri="{C3380CC4-5D6E-409C-BE32-E72D297353CC}">
                <c16:uniqueId val="{00000005-14A1-4899-AB23-A21AC1B72B51}"/>
              </c:ext>
            </c:extLst>
          </c:dPt>
          <c:dLbls>
            <c:dLbl>
              <c:idx val="0"/>
              <c:layout>
                <c:manualLayout>
                  <c:x val="-0.10037927848253272"/>
                  <c:y val="-0.24784960019537838"/>
                </c:manualLayout>
              </c:layout>
              <c:dLblPos val="bestFit"/>
              <c:showLegendKey val="1"/>
              <c:showPercent val="1"/>
              <c:extLst xmlns:c16r2="http://schemas.microsoft.com/office/drawing/2015/06/chart">
                <c:ext xmlns:c16="http://schemas.microsoft.com/office/drawing/2014/chart" uri="{C3380CC4-5D6E-409C-BE32-E72D297353CC}">
                  <c16:uniqueId val="{00000001-14A1-4899-AB23-A21AC1B72B51}"/>
                </c:ext>
                <c:ext xmlns:c15="http://schemas.microsoft.com/office/drawing/2012/chart" uri="{CE6537A1-D6FC-4f65-9D91-7224C49458BB}"/>
              </c:extLst>
            </c:dLbl>
            <c:dLbl>
              <c:idx val="1"/>
              <c:layout>
                <c:manualLayout>
                  <c:x val="2.3619765207252355E-2"/>
                  <c:y val="8.6770432765671743E-2"/>
                </c:manualLayout>
              </c:layout>
              <c:dLblPos val="bestFit"/>
              <c:showLegendKey val="1"/>
              <c:showPercent val="1"/>
              <c:extLst xmlns:c16r2="http://schemas.microsoft.com/office/drawing/2015/06/chart">
                <c:ext xmlns:c16="http://schemas.microsoft.com/office/drawing/2014/chart" uri="{C3380CC4-5D6E-409C-BE32-E72D297353CC}">
                  <c16:uniqueId val="{00000003-14A1-4899-AB23-A21AC1B72B51}"/>
                </c:ext>
                <c:ext xmlns:c15="http://schemas.microsoft.com/office/drawing/2012/chart" uri="{CE6537A1-D6FC-4f65-9D91-7224C49458BB}"/>
              </c:extLst>
            </c:dLbl>
            <c:dLbl>
              <c:idx val="2"/>
              <c:layout>
                <c:manualLayout>
                  <c:x val="0"/>
                  <c:y val="0"/>
                </c:manualLayout>
              </c:layout>
              <c:dLblPos val="bestFit"/>
              <c:showLegendKey val="1"/>
              <c:showPercent val="1"/>
              <c:extLst xmlns:c16r2="http://schemas.microsoft.com/office/drawing/2015/06/chart">
                <c:ext xmlns:c16="http://schemas.microsoft.com/office/drawing/2014/chart" uri="{C3380CC4-5D6E-409C-BE32-E72D297353CC}">
                  <c16:uniqueId val="{00000005-14A1-4899-AB23-A21AC1B72B51}"/>
                </c:ext>
                <c:ext xmlns:c15="http://schemas.microsoft.com/office/drawing/2012/chart" uri="{CE6537A1-D6FC-4f65-9D91-7224C49458BB}"/>
              </c:extLst>
            </c:dLbl>
            <c:numFmt formatCode="0%" sourceLinked="0"/>
            <c:spPr>
              <a:noFill/>
              <a:ln w="25400">
                <a:noFill/>
              </a:ln>
            </c:spPr>
            <c:txPr>
              <a:bodyPr/>
              <a:lstStyle/>
              <a:p>
                <a:pPr>
                  <a:defRPr lang="en-PH" sz="1200" b="1" i="0" u="none" strike="noStrike" baseline="0">
                    <a:solidFill>
                      <a:srgbClr val="000000"/>
                    </a:solidFill>
                    <a:latin typeface="Arial"/>
                    <a:ea typeface="Arial"/>
                    <a:cs typeface="Arial"/>
                  </a:defRPr>
                </a:pPr>
                <a:endParaRPr lang="en-US"/>
              </a:p>
            </c:txPr>
            <c:dLblPos val="outEnd"/>
            <c:showLegendKey val="1"/>
            <c:showPercent val="1"/>
            <c:showLeaderLines val="1"/>
            <c:extLst xmlns:c16r2="http://schemas.microsoft.com/office/drawing/2015/06/chart">
              <c:ext xmlns:c15="http://schemas.microsoft.com/office/drawing/2012/chart" uri="{CE6537A1-D6FC-4f65-9D91-7224C49458BB}"/>
            </c:extLst>
          </c:dLbls>
          <c:cat>
            <c:strRef>
              <c:f>MOOE!$B$31:$D$31</c:f>
              <c:strCache>
                <c:ptCount val="3"/>
                <c:pt idx="0">
                  <c:v>General Administration Sector</c:v>
                </c:pt>
                <c:pt idx="1">
                  <c:v>Social Services Sector</c:v>
                </c:pt>
                <c:pt idx="2">
                  <c:v>Economic Services Sector</c:v>
                </c:pt>
              </c:strCache>
            </c:strRef>
          </c:cat>
          <c:val>
            <c:numRef>
              <c:f>MOOE!$B$32:$D$32</c:f>
              <c:numCache>
                <c:formatCode>#,##0.00</c:formatCode>
                <c:ptCount val="3"/>
                <c:pt idx="0">
                  <c:v>295287634</c:v>
                </c:pt>
                <c:pt idx="1">
                  <c:v>343542885</c:v>
                </c:pt>
                <c:pt idx="2">
                  <c:v>116275795</c:v>
                </c:pt>
              </c:numCache>
            </c:numRef>
          </c:val>
          <c:extLst xmlns:c16r2="http://schemas.microsoft.com/office/drawing/2015/06/chart">
            <c:ext xmlns:c16="http://schemas.microsoft.com/office/drawing/2014/chart" uri="{C3380CC4-5D6E-409C-BE32-E72D297353CC}">
              <c16:uniqueId val="{00000006-14A1-4899-AB23-A21AC1B72B51}"/>
            </c:ext>
          </c:extLst>
        </c:ser>
        <c:dLbls>
          <c:showLegendKey val="1"/>
          <c:showPercent val="1"/>
        </c:dLbls>
      </c:pie3DChart>
      <c:spPr>
        <a:noFill/>
        <a:ln w="25400">
          <a:noFill/>
        </a:ln>
      </c:spPr>
    </c:plotArea>
    <c:legend>
      <c:legendPos val="r"/>
      <c:layout>
        <c:manualLayout>
          <c:xMode val="edge"/>
          <c:yMode val="edge"/>
          <c:x val="0.64735314265520005"/>
          <c:y val="0.72867794930726959"/>
          <c:w val="0.31189162745189397"/>
          <c:h val="0.22723781492404288"/>
        </c:manualLayout>
      </c:layout>
      <c:spPr>
        <a:solidFill>
          <a:srgbClr val="FFFFFF"/>
        </a:solidFill>
        <a:ln w="25400">
          <a:noFill/>
        </a:ln>
      </c:spPr>
      <c:txPr>
        <a:bodyPr/>
        <a:lstStyle/>
        <a:p>
          <a:pPr>
            <a:defRPr lang="en-PH" sz="1200" b="0" i="0" u="none" strike="noStrike" baseline="0">
              <a:solidFill>
                <a:srgbClr val="000000"/>
              </a:solidFill>
              <a:latin typeface="Arial"/>
              <a:ea typeface="Arial"/>
              <a:cs typeface="Arial"/>
            </a:defRPr>
          </a:pPr>
          <a:endParaRPr lang="en-US"/>
        </a:p>
      </c:txPr>
    </c:legend>
    <c:plotVisOnly val="1"/>
    <c:dispBlanksAs val="zero"/>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5"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style val="26"/>
  <c:chart>
    <c:title>
      <c:tx>
        <c:rich>
          <a:bodyPr/>
          <a:lstStyle/>
          <a:p>
            <a:pPr>
              <a:defRPr lang="en-PH"/>
            </a:pPr>
            <a:r>
              <a:rPr lang="en-US"/>
              <a:t>BUDGET YEAR 2016</a:t>
            </a:r>
          </a:p>
          <a:p>
            <a:pPr>
              <a:defRPr lang="en-PH"/>
            </a:pPr>
            <a:endParaRPr lang="en-US"/>
          </a:p>
          <a:p>
            <a:pPr>
              <a:defRPr lang="en-PH"/>
            </a:pPr>
            <a:r>
              <a:rPr lang="en-US"/>
              <a:t>     CAPITAL  OUTLAY  DISTRIBUTED  BY  SECTOR</a:t>
            </a:r>
          </a:p>
        </c:rich>
      </c:tx>
    </c:title>
    <c:view3D>
      <c:rotX val="50"/>
      <c:rotY val="60"/>
      <c:depthPercent val="190"/>
      <c:perspective val="30"/>
    </c:view3D>
    <c:plotArea>
      <c:layout>
        <c:manualLayout>
          <c:layoutTarget val="inner"/>
          <c:xMode val="edge"/>
          <c:yMode val="edge"/>
          <c:x val="6.0490099927951145E-2"/>
          <c:y val="0.16844349001833875"/>
          <c:w val="0.8233570249977773"/>
          <c:h val="0.64399117574420062"/>
        </c:manualLayout>
      </c:layout>
      <c:pie3DChart>
        <c:varyColors val="1"/>
        <c:ser>
          <c:idx val="0"/>
          <c:order val="0"/>
          <c:explosion val="28"/>
          <c:dPt>
            <c:idx val="0"/>
            <c:explosion val="14"/>
            <c:extLst xmlns:c16r2="http://schemas.microsoft.com/office/drawing/2015/06/chart">
              <c:ext xmlns:c16="http://schemas.microsoft.com/office/drawing/2014/chart" uri="{C3380CC4-5D6E-409C-BE32-E72D297353CC}">
                <c16:uniqueId val="{00000000-A3D4-4CFB-95EC-C359D0F7997C}"/>
              </c:ext>
            </c:extLst>
          </c:dPt>
          <c:dPt>
            <c:idx val="1"/>
            <c:explosion val="4"/>
            <c:spPr>
              <a:solidFill>
                <a:schemeClr val="accent6">
                  <a:lumMod val="75000"/>
                </a:schemeClr>
              </a:solidFill>
            </c:spPr>
            <c:extLst xmlns:c16r2="http://schemas.microsoft.com/office/drawing/2015/06/chart">
              <c:ext xmlns:c16="http://schemas.microsoft.com/office/drawing/2014/chart" uri="{C3380CC4-5D6E-409C-BE32-E72D297353CC}">
                <c16:uniqueId val="{00000002-A3D4-4CFB-95EC-C359D0F7997C}"/>
              </c:ext>
            </c:extLst>
          </c:dPt>
          <c:dPt>
            <c:idx val="2"/>
            <c:explosion val="7"/>
            <c:extLst xmlns:c16r2="http://schemas.microsoft.com/office/drawing/2015/06/chart">
              <c:ext xmlns:c16="http://schemas.microsoft.com/office/drawing/2014/chart" uri="{C3380CC4-5D6E-409C-BE32-E72D297353CC}">
                <c16:uniqueId val="{00000003-A3D4-4CFB-95EC-C359D0F7997C}"/>
              </c:ext>
            </c:extLst>
          </c:dPt>
          <c:dLbls>
            <c:numFmt formatCode="0%" sourceLinked="0"/>
            <c:spPr>
              <a:noFill/>
              <a:ln>
                <a:noFill/>
              </a:ln>
              <a:effectLst/>
            </c:spPr>
            <c:txPr>
              <a:bodyPr/>
              <a:lstStyle/>
              <a:p>
                <a:pPr>
                  <a:defRPr lang="en-PH"/>
                </a:pPr>
                <a:endParaRPr lang="en-US"/>
              </a:p>
            </c:txPr>
            <c:showPercent val="1"/>
            <c:showLeaderLines val="1"/>
            <c:extLst xmlns:c16r2="http://schemas.microsoft.com/office/drawing/2015/06/chart">
              <c:ext xmlns:c15="http://schemas.microsoft.com/office/drawing/2012/chart" uri="{CE6537A1-D6FC-4f65-9D91-7224C49458BB}"/>
            </c:extLst>
          </c:dLbls>
          <c:cat>
            <c:strRef>
              <c:f>'CAP-OUTLAY'!$C$42:$E$42</c:f>
              <c:strCache>
                <c:ptCount val="3"/>
                <c:pt idx="0">
                  <c:v>General Administration Sector</c:v>
                </c:pt>
                <c:pt idx="1">
                  <c:v>Social Services Sector</c:v>
                </c:pt>
                <c:pt idx="2">
                  <c:v>Economic Services Sector</c:v>
                </c:pt>
              </c:strCache>
            </c:strRef>
          </c:cat>
          <c:val>
            <c:numRef>
              <c:f>'CAP-OUTLAY'!$C$43:$E$43</c:f>
              <c:numCache>
                <c:formatCode>#,##0.00</c:formatCode>
                <c:ptCount val="3"/>
                <c:pt idx="0">
                  <c:v>19802036</c:v>
                </c:pt>
                <c:pt idx="1">
                  <c:v>14154487.5</c:v>
                </c:pt>
                <c:pt idx="2">
                  <c:v>6962827</c:v>
                </c:pt>
              </c:numCache>
            </c:numRef>
          </c:val>
          <c:extLst xmlns:c16r2="http://schemas.microsoft.com/office/drawing/2015/06/chart">
            <c:ext xmlns:c16="http://schemas.microsoft.com/office/drawing/2014/chart" uri="{C3380CC4-5D6E-409C-BE32-E72D297353CC}">
              <c16:uniqueId val="{00000004-A3D4-4CFB-95EC-C359D0F7997C}"/>
            </c:ext>
          </c:extLst>
        </c:ser>
        <c:dLbls>
          <c:showPercent val="1"/>
        </c:dLbls>
      </c:pie3DChart>
    </c:plotArea>
    <c:legend>
      <c:legendPos val="l"/>
      <c:layout>
        <c:manualLayout>
          <c:xMode val="edge"/>
          <c:yMode val="edge"/>
          <c:x val="0.63834411707356487"/>
          <c:y val="0.76907274150539795"/>
          <c:w val="0.33441608179105359"/>
          <c:h val="0.12309836868477535"/>
        </c:manualLayout>
      </c:layout>
      <c:txPr>
        <a:bodyPr/>
        <a:lstStyle/>
        <a:p>
          <a:pPr>
            <a:defRPr lang="en-PH" sz="1100" baseline="0"/>
          </a:pPr>
          <a:endParaRPr lang="en-US"/>
        </a:p>
      </c:txPr>
    </c:legend>
    <c:plotVisOnly val="1"/>
    <c:dispBlanksAs val="zero"/>
  </c:chart>
  <c:spPr>
    <a:ln>
      <a:noFill/>
    </a:ln>
  </c:spPr>
  <c:printSettings>
    <c:headerFooter alignWithMargins="0">
      <c:oddHeader>&amp;R&amp;"Arial Rounded MT Bold,Bold"&amp;12&amp;P</c:oddHeader>
    </c:headerFooter>
    <c:pageMargins b="1" l="0.75000000000001465" r="0.75000000000001465" t="1" header="0.5" footer="0.5"/>
    <c:pageSetup paperSize="5" firstPageNumber="361" orientation="portrait" useFirstPageNumber="1"/>
  </c:printSettings>
  <c:userShapes r:id="rId1"/>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2</xdr:col>
      <xdr:colOff>161925</xdr:colOff>
      <xdr:row>105</xdr:row>
      <xdr:rowOff>76200</xdr:rowOff>
    </xdr:from>
    <xdr:to>
      <xdr:col>2</xdr:col>
      <xdr:colOff>285750</xdr:colOff>
      <xdr:row>105</xdr:row>
      <xdr:rowOff>114300</xdr:rowOff>
    </xdr:to>
    <xdr:sp macro="" textlink="">
      <xdr:nvSpPr>
        <xdr:cNvPr id="2" name="AutoShape 1">
          <a:extLst>
            <a:ext uri="{FF2B5EF4-FFF2-40B4-BE49-F238E27FC236}">
              <a16:creationId xmlns="" xmlns:a16="http://schemas.microsoft.com/office/drawing/2014/main" id="{00000000-0008-0000-1500-000002000000}"/>
            </a:ext>
          </a:extLst>
        </xdr:cNvPr>
        <xdr:cNvSpPr>
          <a:spLocks noChangeArrowheads="1"/>
        </xdr:cNvSpPr>
      </xdr:nvSpPr>
      <xdr:spPr bwMode="auto">
        <a:xfrm>
          <a:off x="1228725" y="16725900"/>
          <a:ext cx="123825" cy="38100"/>
        </a:xfrm>
        <a:prstGeom prst="rightArrow">
          <a:avLst>
            <a:gd name="adj1" fmla="val 50000"/>
            <a:gd name="adj2" fmla="val 81250"/>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266701</xdr:colOff>
      <xdr:row>1</xdr:row>
      <xdr:rowOff>114300</xdr:rowOff>
    </xdr:from>
    <xdr:to>
      <xdr:col>9</xdr:col>
      <xdr:colOff>466726</xdr:colOff>
      <xdr:row>28</xdr:row>
      <xdr:rowOff>114300</xdr:rowOff>
    </xdr:to>
    <xdr:graphicFrame macro="">
      <xdr:nvGraphicFramePr>
        <xdr:cNvPr id="2" name="Chart 1">
          <a:extLst>
            <a:ext uri="{FF2B5EF4-FFF2-40B4-BE49-F238E27FC236}">
              <a16:creationId xmlns="" xmlns:a16="http://schemas.microsoft.com/office/drawing/2014/main" id="{00000000-0008-0000-D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114300</xdr:colOff>
      <xdr:row>15</xdr:row>
      <xdr:rowOff>85725</xdr:rowOff>
    </xdr:from>
    <xdr:to>
      <xdr:col>8</xdr:col>
      <xdr:colOff>171450</xdr:colOff>
      <xdr:row>16</xdr:row>
      <xdr:rowOff>133350</xdr:rowOff>
    </xdr:to>
    <xdr:sp macro="" textlink="">
      <xdr:nvSpPr>
        <xdr:cNvPr id="3" name="Text Box 2">
          <a:extLst>
            <a:ext uri="{FF2B5EF4-FFF2-40B4-BE49-F238E27FC236}">
              <a16:creationId xmlns="" xmlns:a16="http://schemas.microsoft.com/office/drawing/2014/main" id="{00000000-0008-0000-D600-000003000000}"/>
            </a:ext>
          </a:extLst>
        </xdr:cNvPr>
        <xdr:cNvSpPr txBox="1">
          <a:spLocks noChangeArrowheads="1"/>
        </xdr:cNvSpPr>
      </xdr:nvSpPr>
      <xdr:spPr bwMode="auto">
        <a:xfrm>
          <a:off x="4953000" y="2381250"/>
          <a:ext cx="590550"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1000" b="1" i="0" strike="noStrike">
              <a:solidFill>
                <a:srgbClr val="000000"/>
              </a:solidFill>
              <a:latin typeface="Arial"/>
              <a:cs typeface="Arial"/>
            </a:rPr>
            <a:t>LEGEND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85725</xdr:colOff>
      <xdr:row>0</xdr:row>
      <xdr:rowOff>19050</xdr:rowOff>
    </xdr:from>
    <xdr:to>
      <xdr:col>6</xdr:col>
      <xdr:colOff>257175</xdr:colOff>
      <xdr:row>28</xdr:row>
      <xdr:rowOff>76199</xdr:rowOff>
    </xdr:to>
    <xdr:graphicFrame macro="">
      <xdr:nvGraphicFramePr>
        <xdr:cNvPr id="2" name="Chart 1">
          <a:extLst>
            <a:ext uri="{FF2B5EF4-FFF2-40B4-BE49-F238E27FC236}">
              <a16:creationId xmlns="" xmlns:a16="http://schemas.microsoft.com/office/drawing/2014/main" id="{00000000-0008-0000-D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1247775</xdr:colOff>
      <xdr:row>22</xdr:row>
      <xdr:rowOff>57150</xdr:rowOff>
    </xdr:from>
    <xdr:to>
      <xdr:col>4</xdr:col>
      <xdr:colOff>514350</xdr:colOff>
      <xdr:row>23</xdr:row>
      <xdr:rowOff>133350</xdr:rowOff>
    </xdr:to>
    <xdr:sp macro="" textlink="">
      <xdr:nvSpPr>
        <xdr:cNvPr id="3" name="Text Box 2">
          <a:extLst>
            <a:ext uri="{FF2B5EF4-FFF2-40B4-BE49-F238E27FC236}">
              <a16:creationId xmlns="" xmlns:a16="http://schemas.microsoft.com/office/drawing/2014/main" id="{00000000-0008-0000-D700-000003000000}"/>
            </a:ext>
          </a:extLst>
        </xdr:cNvPr>
        <xdr:cNvSpPr txBox="1">
          <a:spLocks noChangeArrowheads="1"/>
        </xdr:cNvSpPr>
      </xdr:nvSpPr>
      <xdr:spPr bwMode="auto">
        <a:xfrm>
          <a:off x="4600575" y="3686175"/>
          <a:ext cx="561975"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1000" b="1" i="0" strike="noStrike">
              <a:solidFill>
                <a:srgbClr val="000000"/>
              </a:solidFill>
              <a:latin typeface="Arial"/>
              <a:cs typeface="Arial"/>
            </a:rPr>
            <a:t>LEGEND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209549</xdr:colOff>
      <xdr:row>2</xdr:row>
      <xdr:rowOff>85726</xdr:rowOff>
    </xdr:from>
    <xdr:to>
      <xdr:col>8</xdr:col>
      <xdr:colOff>333375</xdr:colOff>
      <xdr:row>38</xdr:row>
      <xdr:rowOff>133350</xdr:rowOff>
    </xdr:to>
    <xdr:graphicFrame macro="">
      <xdr:nvGraphicFramePr>
        <xdr:cNvPr id="2" name="Chart 1">
          <a:extLst>
            <a:ext uri="{FF2B5EF4-FFF2-40B4-BE49-F238E27FC236}">
              <a16:creationId xmlns="" xmlns:a16="http://schemas.microsoft.com/office/drawing/2014/main" id="{00000000-0008-0000-D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38100</xdr:colOff>
      <xdr:row>29</xdr:row>
      <xdr:rowOff>0</xdr:rowOff>
    </xdr:from>
    <xdr:to>
      <xdr:col>6</xdr:col>
      <xdr:colOff>19050</xdr:colOff>
      <xdr:row>30</xdr:row>
      <xdr:rowOff>47625</xdr:rowOff>
    </xdr:to>
    <xdr:sp macro="" textlink="">
      <xdr:nvSpPr>
        <xdr:cNvPr id="3" name="Text Box 2">
          <a:extLst>
            <a:ext uri="{FF2B5EF4-FFF2-40B4-BE49-F238E27FC236}">
              <a16:creationId xmlns="" xmlns:a16="http://schemas.microsoft.com/office/drawing/2014/main" id="{00000000-0008-0000-D800-000003000000}"/>
            </a:ext>
          </a:extLst>
        </xdr:cNvPr>
        <xdr:cNvSpPr txBox="1">
          <a:spLocks noChangeArrowheads="1"/>
        </xdr:cNvSpPr>
      </xdr:nvSpPr>
      <xdr:spPr bwMode="auto">
        <a:xfrm>
          <a:off x="4314825" y="4724400"/>
          <a:ext cx="5619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1000" b="1" i="0" strike="noStrike">
              <a:solidFill>
                <a:srgbClr val="000000"/>
              </a:solidFill>
              <a:latin typeface="Arial"/>
              <a:cs typeface="Arial"/>
            </a:rPr>
            <a:t>LEGEND :</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cdr:x>
      <cdr:y>0</cdr:y>
    </cdr:from>
    <cdr:to>
      <cdr:x>0.09204</cdr:x>
      <cdr:y>0.04052</cdr:y>
    </cdr:to>
    <cdr:sp macro="" textlink="">
      <cdr:nvSpPr>
        <cdr:cNvPr id="2" name="Text Box 2"/>
        <cdr:cNvSpPr txBox="1">
          <a:spLocks xmlns:a="http://schemas.openxmlformats.org/drawingml/2006/main" noChangeArrowheads="1"/>
        </cdr:cNvSpPr>
      </cdr:nvSpPr>
      <cdr:spPr bwMode="auto">
        <a:xfrm xmlns:a="http://schemas.openxmlformats.org/drawingml/2006/main">
          <a:off x="0" y="0"/>
          <a:ext cx="561975" cy="23812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square" lIns="27432" tIns="22860"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1000" b="1" i="0" strike="noStrike">
              <a:solidFill>
                <a:srgbClr val="000000"/>
              </a:solidFill>
              <a:latin typeface="Arial"/>
              <a:cs typeface="Arial"/>
            </a:rPr>
            <a:t>LEGEND :</a:t>
          </a:r>
        </a:p>
      </cdr:txBody>
    </cdr:sp>
  </cdr:relSizeAnchor>
</c:userShapes>
</file>

<file path=xl/drawings/drawing2.xml><?xml version="1.0" encoding="utf-8"?>
<xdr:wsDr xmlns:xdr="http://schemas.openxmlformats.org/drawingml/2006/spreadsheetDrawing" xmlns:a="http://schemas.openxmlformats.org/drawingml/2006/main">
  <xdr:twoCellAnchor>
    <xdr:from>
      <xdr:col>2</xdr:col>
      <xdr:colOff>161925</xdr:colOff>
      <xdr:row>222</xdr:row>
      <xdr:rowOff>76200</xdr:rowOff>
    </xdr:from>
    <xdr:to>
      <xdr:col>2</xdr:col>
      <xdr:colOff>285750</xdr:colOff>
      <xdr:row>222</xdr:row>
      <xdr:rowOff>114300</xdr:rowOff>
    </xdr:to>
    <xdr:sp macro="" textlink="">
      <xdr:nvSpPr>
        <xdr:cNvPr id="2" name="AutoShape 1">
          <a:extLst>
            <a:ext uri="{FF2B5EF4-FFF2-40B4-BE49-F238E27FC236}">
              <a16:creationId xmlns="" xmlns:a16="http://schemas.microsoft.com/office/drawing/2014/main" id="{00000000-0008-0000-1600-000002000000}"/>
            </a:ext>
          </a:extLst>
        </xdr:cNvPr>
        <xdr:cNvSpPr>
          <a:spLocks noChangeArrowheads="1"/>
        </xdr:cNvSpPr>
      </xdr:nvSpPr>
      <xdr:spPr bwMode="auto">
        <a:xfrm>
          <a:off x="2590800" y="31918275"/>
          <a:ext cx="123825" cy="38100"/>
        </a:xfrm>
        <a:prstGeom prst="rightArrow">
          <a:avLst>
            <a:gd name="adj1" fmla="val 50000"/>
            <a:gd name="adj2" fmla="val 81250"/>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638175</xdr:colOff>
      <xdr:row>46</xdr:row>
      <xdr:rowOff>57150</xdr:rowOff>
    </xdr:from>
    <xdr:to>
      <xdr:col>3</xdr:col>
      <xdr:colOff>809625</xdr:colOff>
      <xdr:row>51</xdr:row>
      <xdr:rowOff>514350</xdr:rowOff>
    </xdr:to>
    <xdr:sp macro="" textlink="">
      <xdr:nvSpPr>
        <xdr:cNvPr id="14337" name="AutoShape 1">
          <a:extLst>
            <a:ext uri="{FF2B5EF4-FFF2-40B4-BE49-F238E27FC236}">
              <a16:creationId xmlns="" xmlns:a16="http://schemas.microsoft.com/office/drawing/2014/main" id="{00000000-0008-0000-5F00-000001380000}"/>
            </a:ext>
          </a:extLst>
        </xdr:cNvPr>
        <xdr:cNvSpPr>
          <a:spLocks/>
        </xdr:cNvSpPr>
      </xdr:nvSpPr>
      <xdr:spPr bwMode="auto">
        <a:xfrm>
          <a:off x="2971800" y="15220950"/>
          <a:ext cx="171450" cy="4181475"/>
        </a:xfrm>
        <a:prstGeom prst="rightBrace">
          <a:avLst>
            <a:gd name="adj1" fmla="val 272222"/>
            <a:gd name="adj2" fmla="val 50000"/>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419100</xdr:colOff>
      <xdr:row>6</xdr:row>
      <xdr:rowOff>133350</xdr:rowOff>
    </xdr:from>
    <xdr:to>
      <xdr:col>0</xdr:col>
      <xdr:colOff>542925</xdr:colOff>
      <xdr:row>6</xdr:row>
      <xdr:rowOff>133350</xdr:rowOff>
    </xdr:to>
    <xdr:sp macro="" textlink="">
      <xdr:nvSpPr>
        <xdr:cNvPr id="8" name="Line 24">
          <a:extLst>
            <a:ext uri="{FF2B5EF4-FFF2-40B4-BE49-F238E27FC236}">
              <a16:creationId xmlns="" xmlns:a16="http://schemas.microsoft.com/office/drawing/2014/main" id="{00000000-0008-0000-6200-000008000000}"/>
            </a:ext>
          </a:extLst>
        </xdr:cNvPr>
        <xdr:cNvSpPr>
          <a:spLocks noChangeShapeType="1"/>
        </xdr:cNvSpPr>
      </xdr:nvSpPr>
      <xdr:spPr bwMode="auto">
        <a:xfrm>
          <a:off x="419100" y="30737175"/>
          <a:ext cx="123825" cy="0"/>
        </a:xfrm>
        <a:prstGeom prst="line">
          <a:avLst/>
        </a:prstGeom>
        <a:noFill/>
        <a:ln w="9525">
          <a:solidFill>
            <a:srgbClr val="000000"/>
          </a:solidFill>
          <a:round/>
          <a:headEnd/>
          <a:tailEnd type="triangle" w="med" len="med"/>
        </a:ln>
      </xdr:spPr>
    </xdr:sp>
    <xdr:clientData/>
  </xdr:twoCellAnchor>
  <xdr:twoCellAnchor>
    <xdr:from>
      <xdr:col>0</xdr:col>
      <xdr:colOff>419100</xdr:colOff>
      <xdr:row>12</xdr:row>
      <xdr:rowOff>133350</xdr:rowOff>
    </xdr:from>
    <xdr:to>
      <xdr:col>0</xdr:col>
      <xdr:colOff>542925</xdr:colOff>
      <xdr:row>12</xdr:row>
      <xdr:rowOff>133350</xdr:rowOff>
    </xdr:to>
    <xdr:sp macro="" textlink="">
      <xdr:nvSpPr>
        <xdr:cNvPr id="9" name="Line 25">
          <a:extLst>
            <a:ext uri="{FF2B5EF4-FFF2-40B4-BE49-F238E27FC236}">
              <a16:creationId xmlns="" xmlns:a16="http://schemas.microsoft.com/office/drawing/2014/main" id="{00000000-0008-0000-6200-000009000000}"/>
            </a:ext>
          </a:extLst>
        </xdr:cNvPr>
        <xdr:cNvSpPr>
          <a:spLocks noChangeShapeType="1"/>
        </xdr:cNvSpPr>
      </xdr:nvSpPr>
      <xdr:spPr bwMode="auto">
        <a:xfrm>
          <a:off x="419100" y="31708725"/>
          <a:ext cx="123825" cy="0"/>
        </a:xfrm>
        <a:prstGeom prst="line">
          <a:avLst/>
        </a:prstGeom>
        <a:noFill/>
        <a:ln w="9525">
          <a:solidFill>
            <a:srgbClr val="000000"/>
          </a:solidFill>
          <a:round/>
          <a:headEnd/>
          <a:tailEnd type="triangle" w="med" len="med"/>
        </a:ln>
      </xdr:spPr>
    </xdr:sp>
    <xdr:clientData/>
  </xdr:twoCellAnchor>
  <xdr:twoCellAnchor>
    <xdr:from>
      <xdr:col>0</xdr:col>
      <xdr:colOff>419100</xdr:colOff>
      <xdr:row>6</xdr:row>
      <xdr:rowOff>133350</xdr:rowOff>
    </xdr:from>
    <xdr:to>
      <xdr:col>0</xdr:col>
      <xdr:colOff>542925</xdr:colOff>
      <xdr:row>6</xdr:row>
      <xdr:rowOff>133350</xdr:rowOff>
    </xdr:to>
    <xdr:sp macro="" textlink="">
      <xdr:nvSpPr>
        <xdr:cNvPr id="10" name="Line 24">
          <a:extLst>
            <a:ext uri="{FF2B5EF4-FFF2-40B4-BE49-F238E27FC236}">
              <a16:creationId xmlns="" xmlns:a16="http://schemas.microsoft.com/office/drawing/2014/main" id="{00000000-0008-0000-6200-00000A000000}"/>
            </a:ext>
          </a:extLst>
        </xdr:cNvPr>
        <xdr:cNvSpPr>
          <a:spLocks noChangeShapeType="1"/>
        </xdr:cNvSpPr>
      </xdr:nvSpPr>
      <xdr:spPr bwMode="auto">
        <a:xfrm>
          <a:off x="419100" y="30737175"/>
          <a:ext cx="123825" cy="0"/>
        </a:xfrm>
        <a:prstGeom prst="line">
          <a:avLst/>
        </a:prstGeom>
        <a:noFill/>
        <a:ln w="9525">
          <a:solidFill>
            <a:srgbClr val="000000"/>
          </a:solidFill>
          <a:round/>
          <a:headEnd/>
          <a:tailEnd type="triangle" w="med" len="med"/>
        </a:ln>
      </xdr:spPr>
    </xdr:sp>
    <xdr:clientData/>
  </xdr:twoCellAnchor>
  <xdr:twoCellAnchor>
    <xdr:from>
      <xdr:col>0</xdr:col>
      <xdr:colOff>419100</xdr:colOff>
      <xdr:row>12</xdr:row>
      <xdr:rowOff>133350</xdr:rowOff>
    </xdr:from>
    <xdr:to>
      <xdr:col>0</xdr:col>
      <xdr:colOff>542925</xdr:colOff>
      <xdr:row>12</xdr:row>
      <xdr:rowOff>133350</xdr:rowOff>
    </xdr:to>
    <xdr:sp macro="" textlink="">
      <xdr:nvSpPr>
        <xdr:cNvPr id="11" name="Line 25">
          <a:extLst>
            <a:ext uri="{FF2B5EF4-FFF2-40B4-BE49-F238E27FC236}">
              <a16:creationId xmlns="" xmlns:a16="http://schemas.microsoft.com/office/drawing/2014/main" id="{00000000-0008-0000-6200-00000B000000}"/>
            </a:ext>
          </a:extLst>
        </xdr:cNvPr>
        <xdr:cNvSpPr>
          <a:spLocks noChangeShapeType="1"/>
        </xdr:cNvSpPr>
      </xdr:nvSpPr>
      <xdr:spPr bwMode="auto">
        <a:xfrm>
          <a:off x="419100" y="31708725"/>
          <a:ext cx="123825" cy="0"/>
        </a:xfrm>
        <a:prstGeom prst="line">
          <a:avLst/>
        </a:prstGeom>
        <a:noFill/>
        <a:ln w="9525">
          <a:solidFill>
            <a:srgbClr val="000000"/>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xdr:colOff>
      <xdr:row>2</xdr:row>
      <xdr:rowOff>76200</xdr:rowOff>
    </xdr:from>
    <xdr:to>
      <xdr:col>9</xdr:col>
      <xdr:colOff>514350</xdr:colOff>
      <xdr:row>3</xdr:row>
      <xdr:rowOff>828675</xdr:rowOff>
    </xdr:to>
    <xdr:graphicFrame macro="">
      <xdr:nvGraphicFramePr>
        <xdr:cNvPr id="4" name="Chart 2">
          <a:extLst>
            <a:ext uri="{FF2B5EF4-FFF2-40B4-BE49-F238E27FC236}">
              <a16:creationId xmlns="" xmlns:a16="http://schemas.microsoft.com/office/drawing/2014/main" id="{00000000-0008-0000-D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666750</xdr:colOff>
      <xdr:row>22</xdr:row>
      <xdr:rowOff>2647950</xdr:rowOff>
    </xdr:to>
    <xdr:graphicFrame macro="">
      <xdr:nvGraphicFramePr>
        <xdr:cNvPr id="2" name="Chart 2">
          <a:extLst>
            <a:ext uri="{FF2B5EF4-FFF2-40B4-BE49-F238E27FC236}">
              <a16:creationId xmlns="" xmlns:a16="http://schemas.microsoft.com/office/drawing/2014/main" id="{00000000-0008-0000-D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0.75848</cdr:x>
      <cdr:y>0.14833</cdr:y>
    </cdr:from>
    <cdr:to>
      <cdr:x>0.89345</cdr:x>
      <cdr:y>0.17878</cdr:y>
    </cdr:to>
    <cdr:sp macro="" textlink="">
      <cdr:nvSpPr>
        <cdr:cNvPr id="8193" name="Text Box 1"/>
        <cdr:cNvSpPr txBox="1">
          <a:spLocks xmlns:a="http://schemas.openxmlformats.org/drawingml/2006/main" noChangeArrowheads="1"/>
        </cdr:cNvSpPr>
      </cdr:nvSpPr>
      <cdr:spPr bwMode="auto">
        <a:xfrm xmlns:a="http://schemas.openxmlformats.org/drawingml/2006/main">
          <a:off x="4825981" y="972004"/>
          <a:ext cx="858773" cy="1995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1150" b="1" i="0" strike="noStrike">
              <a:solidFill>
                <a:srgbClr val="000000"/>
              </a:solidFill>
              <a:latin typeface="Arial"/>
              <a:cs typeface="Arial"/>
            </a:rPr>
            <a:t>LEGEND:</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19051</xdr:colOff>
      <xdr:row>1</xdr:row>
      <xdr:rowOff>123823</xdr:rowOff>
    </xdr:from>
    <xdr:to>
      <xdr:col>5</xdr:col>
      <xdr:colOff>419101</xdr:colOff>
      <xdr:row>23</xdr:row>
      <xdr:rowOff>2038350</xdr:rowOff>
    </xdr:to>
    <xdr:graphicFrame macro="">
      <xdr:nvGraphicFramePr>
        <xdr:cNvPr id="2" name="Chart 1">
          <a:extLst>
            <a:ext uri="{FF2B5EF4-FFF2-40B4-BE49-F238E27FC236}">
              <a16:creationId xmlns="" xmlns:a16="http://schemas.microsoft.com/office/drawing/2014/main" id="{00000000-0008-0000-D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0.76375</cdr:x>
      <cdr:y>0.08272</cdr:y>
    </cdr:from>
    <cdr:to>
      <cdr:x>0.90291</cdr:x>
      <cdr:y>0.12766</cdr:y>
    </cdr:to>
    <cdr:sp macro="" textlink="">
      <cdr:nvSpPr>
        <cdr:cNvPr id="10241" name="Text Box 1"/>
        <cdr:cNvSpPr txBox="1">
          <a:spLocks xmlns:a="http://schemas.openxmlformats.org/drawingml/2006/main" noChangeArrowheads="1"/>
        </cdr:cNvSpPr>
      </cdr:nvSpPr>
      <cdr:spPr bwMode="auto">
        <a:xfrm xmlns:a="http://schemas.openxmlformats.org/drawingml/2006/main">
          <a:off x="4677643" y="444382"/>
          <a:ext cx="852296" cy="2414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1150" b="1" i="0" strike="noStrike">
              <a:solidFill>
                <a:srgbClr val="000000"/>
              </a:solidFill>
              <a:latin typeface="Arial"/>
              <a:cs typeface="Arial"/>
            </a:rPr>
            <a:t>LEGEND:</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UDGET%20REVIEW\Desktop\OCT.%2015,%202018%20-%20PS%20COMPUTATION%20FOR%20CREATION.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S FOR CREATION"/>
      <sheetName val="PS FOR ABOLITION"/>
      <sheetName val="PLANTILLA"/>
      <sheetName val="PS FOR CREATION (2)"/>
    </sheetNames>
    <sheetDataSet>
      <sheetData sheetId="0">
        <row r="36">
          <cell r="J36">
            <v>29381509.759999998</v>
          </cell>
        </row>
      </sheetData>
      <sheetData sheetId="1">
        <row r="36">
          <cell r="J36">
            <v>12972313.4</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5.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6.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7.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8.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9.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0.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sheetPr codeName="Sheet11"/>
  <dimension ref="A1:F131"/>
  <sheetViews>
    <sheetView showGridLines="0" workbookViewId="0">
      <selection activeCell="H32" sqref="H32"/>
    </sheetView>
  </sheetViews>
  <sheetFormatPr defaultColWidth="9.109375" defaultRowHeight="15.9" customHeight="1"/>
  <cols>
    <col min="1" max="1" width="11.44140625" style="5093" customWidth="1"/>
    <col min="2" max="2" width="73.44140625" style="10178" customWidth="1"/>
    <col min="3" max="3" width="9.44140625" style="5095" customWidth="1"/>
    <col min="4" max="16384" width="9.109375" style="831"/>
  </cols>
  <sheetData>
    <row r="1" spans="1:6" ht="15.9" customHeight="1">
      <c r="A1" s="13978" t="s">
        <v>3212</v>
      </c>
      <c r="B1" s="13978"/>
      <c r="C1" s="13978"/>
    </row>
    <row r="3" spans="1:6" ht="15.9" customHeight="1">
      <c r="B3" s="5093"/>
    </row>
    <row r="4" spans="1:6" ht="15.9" hidden="1" customHeight="1">
      <c r="A4" s="10181" t="s">
        <v>11416</v>
      </c>
      <c r="B4" s="5093"/>
      <c r="C4" s="5093"/>
    </row>
    <row r="5" spans="1:6" ht="15.9" hidden="1" customHeight="1">
      <c r="A5" s="5093" t="s">
        <v>11417</v>
      </c>
      <c r="B5" s="5093" t="s">
        <v>11418</v>
      </c>
    </row>
    <row r="6" spans="1:6" ht="15.9" customHeight="1">
      <c r="A6" s="10177" t="s">
        <v>12186</v>
      </c>
      <c r="B6" s="5093" t="s">
        <v>12185</v>
      </c>
      <c r="D6" s="832" t="s">
        <v>1504</v>
      </c>
      <c r="E6" s="830"/>
      <c r="F6" s="6614">
        <v>3</v>
      </c>
    </row>
    <row r="7" spans="1:6" ht="15.9" hidden="1" customHeight="1"/>
    <row r="8" spans="1:6" ht="15.9" hidden="1" customHeight="1"/>
    <row r="9" spans="1:6" ht="15.9" hidden="1" customHeight="1"/>
    <row r="10" spans="1:6" ht="15.9" hidden="1" customHeight="1"/>
    <row r="11" spans="1:6" ht="15.9" hidden="1" customHeight="1"/>
    <row r="12" spans="1:6" ht="15.9" customHeight="1">
      <c r="A12" s="5093" t="s">
        <v>12188</v>
      </c>
    </row>
    <row r="13" spans="1:6" ht="15.9" hidden="1" customHeight="1">
      <c r="A13" s="5093" t="s">
        <v>11419</v>
      </c>
      <c r="B13" s="10177" t="s">
        <v>11420</v>
      </c>
    </row>
    <row r="14" spans="1:6" ht="15.9" hidden="1" customHeight="1">
      <c r="B14" s="10177"/>
    </row>
    <row r="15" spans="1:6" s="859" customFormat="1" ht="15.9" hidden="1" customHeight="1">
      <c r="A15" s="5093"/>
      <c r="B15" s="10178"/>
      <c r="C15" s="5095"/>
    </row>
    <row r="16" spans="1:6" ht="15.9" hidden="1" customHeight="1">
      <c r="D16" s="833" t="s">
        <v>3232</v>
      </c>
    </row>
    <row r="17" spans="1:4" ht="15.9" hidden="1" customHeight="1">
      <c r="B17" s="5093" t="s">
        <v>3213</v>
      </c>
      <c r="C17" s="5095" t="s">
        <v>10865</v>
      </c>
      <c r="D17" s="833" t="s">
        <v>3233</v>
      </c>
    </row>
    <row r="18" spans="1:4" ht="15.9" customHeight="1">
      <c r="A18" s="13765" t="s">
        <v>12187</v>
      </c>
      <c r="B18" s="10177" t="s">
        <v>12194</v>
      </c>
      <c r="C18" s="5095" t="s">
        <v>12124</v>
      </c>
      <c r="D18" s="833" t="s">
        <v>3235</v>
      </c>
    </row>
    <row r="19" spans="1:4" ht="15.9" hidden="1" customHeight="1">
      <c r="B19" s="10177"/>
      <c r="D19" s="833"/>
    </row>
    <row r="20" spans="1:4" ht="15.9" hidden="1" customHeight="1">
      <c r="B20" s="5093" t="s">
        <v>11421</v>
      </c>
      <c r="D20" s="833" t="s">
        <v>3234</v>
      </c>
    </row>
    <row r="21" spans="1:4" ht="15.9" hidden="1" customHeight="1">
      <c r="B21" s="5094" t="s">
        <v>3214</v>
      </c>
    </row>
    <row r="22" spans="1:4" ht="15.9" customHeight="1">
      <c r="A22" s="13765" t="s">
        <v>12126</v>
      </c>
      <c r="B22" s="10177" t="s">
        <v>11398</v>
      </c>
    </row>
    <row r="23" spans="1:4" ht="15.9" customHeight="1">
      <c r="A23" s="13765" t="s">
        <v>12127</v>
      </c>
      <c r="B23" s="10177" t="s">
        <v>12125</v>
      </c>
    </row>
    <row r="24" spans="1:4" ht="15.9" customHeight="1">
      <c r="A24" s="13765" t="s">
        <v>12128</v>
      </c>
      <c r="B24" s="10177" t="s">
        <v>11399</v>
      </c>
    </row>
    <row r="25" spans="1:4" ht="15.9" customHeight="1">
      <c r="B25" s="5093" t="s">
        <v>10867</v>
      </c>
    </row>
    <row r="26" spans="1:4" ht="15.9" hidden="1" customHeight="1">
      <c r="B26" s="10177" t="s">
        <v>10866</v>
      </c>
    </row>
    <row r="27" spans="1:4" ht="15.9" hidden="1" customHeight="1">
      <c r="B27" s="10177" t="s">
        <v>3215</v>
      </c>
    </row>
    <row r="28" spans="1:4" ht="15.9" customHeight="1">
      <c r="B28" s="10177"/>
    </row>
    <row r="29" spans="1:4" s="5093" customFormat="1" ht="15.9" customHeight="1">
      <c r="B29" s="5094" t="s">
        <v>12129</v>
      </c>
      <c r="C29" s="5095" t="s">
        <v>12134</v>
      </c>
    </row>
    <row r="30" spans="1:4" s="5093" customFormat="1" ht="15.9" customHeight="1">
      <c r="B30" s="5094" t="s">
        <v>12130</v>
      </c>
      <c r="C30" s="5095" t="s">
        <v>12135</v>
      </c>
    </row>
    <row r="31" spans="1:4" s="5093" customFormat="1" ht="15.9" customHeight="1">
      <c r="B31" s="5094" t="s">
        <v>10871</v>
      </c>
      <c r="C31" s="5095" t="s">
        <v>12136</v>
      </c>
    </row>
    <row r="32" spans="1:4" s="5093" customFormat="1" ht="15.9" customHeight="1">
      <c r="B32" s="5094" t="s">
        <v>10872</v>
      </c>
      <c r="C32" s="5095" t="s">
        <v>12137</v>
      </c>
    </row>
    <row r="33" spans="2:3" s="5093" customFormat="1" ht="15.9" customHeight="1">
      <c r="B33" s="5094" t="s">
        <v>10873</v>
      </c>
      <c r="C33" s="5095" t="s">
        <v>12138</v>
      </c>
    </row>
    <row r="34" spans="2:3" s="5093" customFormat="1" ht="15.9" customHeight="1">
      <c r="B34" s="5094" t="s">
        <v>12131</v>
      </c>
      <c r="C34" s="5095" t="s">
        <v>12139</v>
      </c>
    </row>
    <row r="35" spans="2:3" s="5093" customFormat="1" ht="15.9" customHeight="1">
      <c r="B35" s="5094" t="s">
        <v>12132</v>
      </c>
      <c r="C35" s="5095" t="s">
        <v>12140</v>
      </c>
    </row>
    <row r="36" spans="2:3" s="5093" customFormat="1" ht="15.75" customHeight="1">
      <c r="B36" s="5094" t="s">
        <v>10868</v>
      </c>
      <c r="C36" s="5095" t="s">
        <v>12141</v>
      </c>
    </row>
    <row r="37" spans="2:3" s="5093" customFormat="1" ht="15.9" customHeight="1">
      <c r="B37" s="5094" t="s">
        <v>10869</v>
      </c>
      <c r="C37" s="5095" t="s">
        <v>12142</v>
      </c>
    </row>
    <row r="38" spans="2:3" s="5093" customFormat="1" ht="15.9" customHeight="1">
      <c r="B38" s="5094" t="s">
        <v>10870</v>
      </c>
      <c r="C38" s="5095" t="s">
        <v>12143</v>
      </c>
    </row>
    <row r="39" spans="2:3" s="5093" customFormat="1" ht="15.9" customHeight="1">
      <c r="B39" s="5094" t="s">
        <v>11397</v>
      </c>
      <c r="C39" s="5095" t="s">
        <v>12144</v>
      </c>
    </row>
    <row r="40" spans="2:3" s="5093" customFormat="1" ht="15.9" customHeight="1">
      <c r="B40" s="5094" t="s">
        <v>12133</v>
      </c>
      <c r="C40" s="5095" t="s">
        <v>12145</v>
      </c>
    </row>
    <row r="41" spans="2:3" s="5093" customFormat="1" ht="15.9" customHeight="1">
      <c r="B41" s="5094" t="s">
        <v>10874</v>
      </c>
      <c r="C41" s="5095" t="s">
        <v>12146</v>
      </c>
    </row>
    <row r="42" spans="2:3" s="5093" customFormat="1" ht="15.9" customHeight="1">
      <c r="B42" s="5094" t="s">
        <v>10875</v>
      </c>
      <c r="C42" s="5095" t="s">
        <v>12147</v>
      </c>
    </row>
    <row r="43" spans="2:3" s="5093" customFormat="1" ht="15.9" customHeight="1">
      <c r="B43" s="5094" t="s">
        <v>10876</v>
      </c>
      <c r="C43" s="5095" t="s">
        <v>12148</v>
      </c>
    </row>
    <row r="44" spans="2:3" s="5093" customFormat="1" ht="15.9" customHeight="1">
      <c r="B44" s="5094" t="s">
        <v>10877</v>
      </c>
      <c r="C44" s="5095" t="s">
        <v>12149</v>
      </c>
    </row>
    <row r="45" spans="2:3" s="5093" customFormat="1" ht="15.9" customHeight="1">
      <c r="B45" s="5094" t="s">
        <v>10878</v>
      </c>
      <c r="C45" s="5095" t="s">
        <v>12150</v>
      </c>
    </row>
    <row r="46" spans="2:3" s="5093" customFormat="1" ht="15.9" customHeight="1">
      <c r="B46" s="5094" t="s">
        <v>10879</v>
      </c>
      <c r="C46" s="5095" t="s">
        <v>12151</v>
      </c>
    </row>
    <row r="47" spans="2:3" s="5093" customFormat="1" ht="15.9" customHeight="1">
      <c r="B47" s="5094" t="s">
        <v>10880</v>
      </c>
      <c r="C47" s="5095" t="s">
        <v>12152</v>
      </c>
    </row>
    <row r="48" spans="2:3" s="5093" customFormat="1" ht="15.9" customHeight="1">
      <c r="B48" s="5094" t="s">
        <v>10881</v>
      </c>
      <c r="C48" s="5095" t="s">
        <v>12153</v>
      </c>
    </row>
    <row r="49" spans="2:3" s="5093" customFormat="1" ht="15.9" customHeight="1">
      <c r="B49" s="5094" t="s">
        <v>10882</v>
      </c>
      <c r="C49" s="5095" t="s">
        <v>12154</v>
      </c>
    </row>
    <row r="50" spans="2:3" s="5093" customFormat="1" ht="15.9" customHeight="1">
      <c r="B50" s="6615" t="s">
        <v>10883</v>
      </c>
      <c r="C50" s="5095" t="s">
        <v>12155</v>
      </c>
    </row>
    <row r="51" spans="2:3" s="5093" customFormat="1" ht="15.9" customHeight="1">
      <c r="B51" s="5094" t="s">
        <v>10884</v>
      </c>
      <c r="C51" s="5095" t="s">
        <v>12156</v>
      </c>
    </row>
    <row r="52" spans="2:3" s="5093" customFormat="1" ht="15.9" customHeight="1">
      <c r="B52" s="5094" t="s">
        <v>10885</v>
      </c>
      <c r="C52" s="5095" t="s">
        <v>12157</v>
      </c>
    </row>
    <row r="53" spans="2:3" s="5093" customFormat="1" ht="15.9" customHeight="1">
      <c r="B53" s="5094" t="s">
        <v>10886</v>
      </c>
      <c r="C53" s="5095" t="s">
        <v>12158</v>
      </c>
    </row>
    <row r="54" spans="2:3" s="5093" customFormat="1" ht="15.9" customHeight="1">
      <c r="B54" s="5094" t="s">
        <v>10887</v>
      </c>
      <c r="C54" s="5095" t="s">
        <v>12159</v>
      </c>
    </row>
    <row r="55" spans="2:3" s="5093" customFormat="1" ht="15.9" customHeight="1">
      <c r="B55" s="5094" t="s">
        <v>10888</v>
      </c>
      <c r="C55" s="5095" t="s">
        <v>12160</v>
      </c>
    </row>
    <row r="56" spans="2:3" s="5093" customFormat="1" ht="15.9" customHeight="1">
      <c r="B56" s="5094" t="s">
        <v>10889</v>
      </c>
      <c r="C56" s="5095" t="s">
        <v>12161</v>
      </c>
    </row>
    <row r="57" spans="2:3" s="5093" customFormat="1" ht="15.9" customHeight="1">
      <c r="B57" s="5094" t="s">
        <v>10890</v>
      </c>
      <c r="C57" s="5095" t="s">
        <v>12162</v>
      </c>
    </row>
    <row r="58" spans="2:3" s="5093" customFormat="1" ht="15.9" customHeight="1">
      <c r="B58" s="5094" t="s">
        <v>10891</v>
      </c>
      <c r="C58" s="5095" t="s">
        <v>12163</v>
      </c>
    </row>
    <row r="59" spans="2:3" s="5093" customFormat="1" ht="15.9" customHeight="1">
      <c r="B59" s="5094" t="s">
        <v>10892</v>
      </c>
      <c r="C59" s="5095" t="s">
        <v>12164</v>
      </c>
    </row>
    <row r="60" spans="2:3" s="5093" customFormat="1" ht="15.9" customHeight="1">
      <c r="B60" s="5094" t="s">
        <v>10893</v>
      </c>
      <c r="C60" s="5095" t="s">
        <v>12165</v>
      </c>
    </row>
    <row r="61" spans="2:3" s="5093" customFormat="1" ht="15.9" customHeight="1">
      <c r="B61" s="5094" t="s">
        <v>10894</v>
      </c>
      <c r="C61" s="5095" t="s">
        <v>12166</v>
      </c>
    </row>
    <row r="62" spans="2:3" s="5093" customFormat="1" ht="15.9" customHeight="1">
      <c r="B62" s="5094" t="s">
        <v>10895</v>
      </c>
      <c r="C62" s="5095" t="s">
        <v>12167</v>
      </c>
    </row>
    <row r="63" spans="2:3" s="5093" customFormat="1" ht="15.9" customHeight="1">
      <c r="B63" s="5094" t="s">
        <v>10896</v>
      </c>
      <c r="C63" s="5095" t="s">
        <v>12168</v>
      </c>
    </row>
    <row r="64" spans="2:3" s="5093" customFormat="1" ht="15.9" customHeight="1">
      <c r="B64" s="5094" t="s">
        <v>10897</v>
      </c>
      <c r="C64" s="5095" t="s">
        <v>12169</v>
      </c>
    </row>
    <row r="65" spans="1:3" s="5093" customFormat="1" ht="15.9" customHeight="1">
      <c r="B65" s="5094"/>
      <c r="C65" s="5095"/>
    </row>
    <row r="66" spans="1:3" s="5093" customFormat="1" ht="15.9" customHeight="1">
      <c r="B66" s="5094"/>
      <c r="C66" s="5095"/>
    </row>
    <row r="67" spans="1:3" s="5093" customFormat="1" ht="15.9" customHeight="1">
      <c r="B67" s="5094"/>
      <c r="C67" s="5095"/>
    </row>
    <row r="68" spans="1:3" s="5093" customFormat="1" ht="15.9" customHeight="1">
      <c r="B68" s="5094"/>
      <c r="C68" s="5095"/>
    </row>
    <row r="69" spans="1:3" s="5093" customFormat="1" ht="15.9" customHeight="1">
      <c r="B69" s="5094"/>
      <c r="C69" s="5095"/>
    </row>
    <row r="70" spans="1:3" s="5093" customFormat="1" ht="15.9" customHeight="1">
      <c r="B70" s="5094"/>
      <c r="C70" s="5095"/>
    </row>
    <row r="71" spans="1:3" s="5093" customFormat="1" ht="15.9" customHeight="1">
      <c r="B71" s="5094"/>
      <c r="C71" s="5095"/>
    </row>
    <row r="72" spans="1:3" s="5093" customFormat="1" ht="15.9" customHeight="1">
      <c r="B72" s="5094"/>
      <c r="C72" s="5095"/>
    </row>
    <row r="73" spans="1:3" s="5093" customFormat="1" ht="15.9" customHeight="1">
      <c r="A73" s="6615" t="s">
        <v>10904</v>
      </c>
      <c r="B73" s="5094"/>
      <c r="C73" s="5095"/>
    </row>
    <row r="74" spans="1:3" s="5093" customFormat="1" ht="15.9" customHeight="1">
      <c r="B74" s="5094" t="s">
        <v>10898</v>
      </c>
      <c r="C74" s="5095" t="s">
        <v>12170</v>
      </c>
    </row>
    <row r="75" spans="1:3" s="5093" customFormat="1" ht="15.9" customHeight="1">
      <c r="B75" s="5094" t="s">
        <v>10899</v>
      </c>
      <c r="C75" s="5095" t="s">
        <v>12171</v>
      </c>
    </row>
    <row r="76" spans="1:3" s="5093" customFormat="1" ht="15.9" customHeight="1">
      <c r="B76" s="5094" t="s">
        <v>10900</v>
      </c>
      <c r="C76" s="5095" t="s">
        <v>12172</v>
      </c>
    </row>
    <row r="77" spans="1:3" s="5093" customFormat="1" ht="15.9" customHeight="1">
      <c r="B77" s="5094" t="s">
        <v>10901</v>
      </c>
      <c r="C77" s="5095" t="s">
        <v>12173</v>
      </c>
    </row>
    <row r="78" spans="1:3" s="5093" customFormat="1" ht="15.9" customHeight="1">
      <c r="B78" s="5094" t="s">
        <v>10902</v>
      </c>
      <c r="C78" s="5095" t="s">
        <v>12174</v>
      </c>
    </row>
    <row r="79" spans="1:3" s="5093" customFormat="1" ht="15.9" customHeight="1">
      <c r="B79" s="5094"/>
      <c r="C79" s="5095"/>
    </row>
    <row r="80" spans="1:3" s="5093" customFormat="1" ht="15.9" customHeight="1">
      <c r="A80" s="5093" t="s">
        <v>12189</v>
      </c>
      <c r="B80" s="10177" t="s">
        <v>11422</v>
      </c>
      <c r="C80" s="5095" t="s">
        <v>12175</v>
      </c>
    </row>
    <row r="81" spans="1:3" s="5093" customFormat="1" ht="15.9" customHeight="1">
      <c r="A81" s="5093" t="s">
        <v>12190</v>
      </c>
      <c r="B81" s="10177" t="s">
        <v>11423</v>
      </c>
      <c r="C81" s="5095" t="s">
        <v>12176</v>
      </c>
    </row>
    <row r="82" spans="1:3" s="5093" customFormat="1" ht="15.9" hidden="1" customHeight="1">
      <c r="A82" s="5093" t="s">
        <v>11424</v>
      </c>
      <c r="B82" s="10177" t="s">
        <v>11428</v>
      </c>
      <c r="C82" s="5095"/>
    </row>
    <row r="83" spans="1:3" s="5093" customFormat="1" ht="15.9" hidden="1" customHeight="1">
      <c r="A83" s="5093" t="s">
        <v>11425</v>
      </c>
      <c r="B83" s="10177" t="s">
        <v>11429</v>
      </c>
      <c r="C83" s="5095"/>
    </row>
    <row r="84" spans="1:3" s="5093" customFormat="1" ht="15.9" hidden="1" customHeight="1">
      <c r="A84" s="5093" t="s">
        <v>11426</v>
      </c>
      <c r="B84" s="10177" t="s">
        <v>11430</v>
      </c>
      <c r="C84" s="5095"/>
    </row>
    <row r="85" spans="1:3" s="5093" customFormat="1" ht="15.9" hidden="1" customHeight="1">
      <c r="A85" s="5093" t="s">
        <v>11427</v>
      </c>
      <c r="B85" s="10177" t="s">
        <v>11431</v>
      </c>
      <c r="C85" s="5095"/>
    </row>
    <row r="86" spans="1:3" ht="15.9" hidden="1" customHeight="1">
      <c r="B86" s="10177" t="s">
        <v>10903</v>
      </c>
    </row>
    <row r="87" spans="1:3" ht="15.9" hidden="1" customHeight="1">
      <c r="B87" s="10177"/>
    </row>
    <row r="88" spans="1:3" ht="15.9" customHeight="1">
      <c r="B88" s="10177"/>
    </row>
    <row r="89" spans="1:3" ht="15.9" customHeight="1">
      <c r="A89" s="13766" t="s">
        <v>12191</v>
      </c>
      <c r="B89" s="5093" t="s">
        <v>11432</v>
      </c>
      <c r="C89" s="5095" t="s">
        <v>12177</v>
      </c>
    </row>
    <row r="90" spans="1:3" ht="15.9" customHeight="1">
      <c r="A90" s="13766" t="s">
        <v>12192</v>
      </c>
      <c r="B90" s="5093" t="s">
        <v>11433</v>
      </c>
      <c r="C90" s="5095" t="s">
        <v>12178</v>
      </c>
    </row>
    <row r="91" spans="1:3" ht="15.9" customHeight="1">
      <c r="A91" s="13765"/>
      <c r="B91" s="10177" t="s">
        <v>11393</v>
      </c>
      <c r="C91" s="5093"/>
    </row>
    <row r="92" spans="1:3" ht="15.9" customHeight="1">
      <c r="A92" s="13766" t="s">
        <v>12193</v>
      </c>
      <c r="B92" s="5093" t="s">
        <v>11434</v>
      </c>
      <c r="C92" s="5095" t="s">
        <v>12179</v>
      </c>
    </row>
    <row r="93" spans="1:3" ht="18.75" customHeight="1">
      <c r="A93" s="10177" t="s">
        <v>12093</v>
      </c>
      <c r="B93" s="5093"/>
      <c r="C93" s="5095" t="s">
        <v>12180</v>
      </c>
    </row>
    <row r="94" spans="1:3" ht="18.75" customHeight="1">
      <c r="A94" s="10177" t="s">
        <v>11394</v>
      </c>
      <c r="B94" s="5093"/>
      <c r="C94" s="5095" t="s">
        <v>12181</v>
      </c>
    </row>
    <row r="95" spans="1:3" ht="18.75" customHeight="1">
      <c r="A95" s="10177" t="s">
        <v>11395</v>
      </c>
      <c r="B95" s="5093"/>
      <c r="C95" s="5095" t="s">
        <v>12182</v>
      </c>
    </row>
    <row r="96" spans="1:3" ht="18.75" customHeight="1">
      <c r="A96" s="10177" t="s">
        <v>11396</v>
      </c>
      <c r="B96" s="5093"/>
      <c r="C96" s="5095" t="s">
        <v>12183</v>
      </c>
    </row>
    <row r="97" spans="1:3" ht="15.9" customHeight="1">
      <c r="A97" s="831"/>
      <c r="B97" s="10177" t="s">
        <v>11436</v>
      </c>
    </row>
    <row r="98" spans="1:3" ht="15.9" hidden="1" customHeight="1">
      <c r="A98" s="10177" t="s">
        <v>3237</v>
      </c>
      <c r="B98" s="5093"/>
    </row>
    <row r="99" spans="1:3" ht="15.9" customHeight="1">
      <c r="A99" s="10177" t="s">
        <v>11435</v>
      </c>
      <c r="B99" s="5093"/>
      <c r="C99" s="5095" t="s">
        <v>12184</v>
      </c>
    </row>
    <row r="100" spans="1:3" ht="15.9" customHeight="1">
      <c r="B100" s="10177"/>
    </row>
    <row r="101" spans="1:3" ht="15.9" customHeight="1">
      <c r="B101" s="10177"/>
    </row>
    <row r="102" spans="1:3" ht="15.9" hidden="1" customHeight="1"/>
    <row r="103" spans="1:3" s="859" customFormat="1" ht="15.9" hidden="1" customHeight="1">
      <c r="A103" s="10178" t="s">
        <v>3216</v>
      </c>
      <c r="B103" s="10178"/>
      <c r="C103" s="5095"/>
    </row>
    <row r="104" spans="1:3" ht="15.9" hidden="1" customHeight="1">
      <c r="A104" s="10178"/>
    </row>
    <row r="105" spans="1:3" ht="15.9" hidden="1" customHeight="1">
      <c r="A105" s="5093" t="s">
        <v>3217</v>
      </c>
      <c r="B105" s="10178" t="s">
        <v>3218</v>
      </c>
    </row>
    <row r="106" spans="1:3" ht="15.9" hidden="1" customHeight="1"/>
    <row r="107" spans="1:3" ht="15.9" hidden="1" customHeight="1">
      <c r="A107" s="5093" t="s">
        <v>3219</v>
      </c>
      <c r="B107" s="10178" t="s">
        <v>3220</v>
      </c>
    </row>
    <row r="108" spans="1:3" ht="15.9" hidden="1" customHeight="1"/>
    <row r="109" spans="1:3" ht="15.9" hidden="1" customHeight="1">
      <c r="A109" s="5093" t="s">
        <v>3221</v>
      </c>
      <c r="B109" s="10178" t="s">
        <v>3222</v>
      </c>
    </row>
    <row r="110" spans="1:3" ht="15.9" hidden="1" customHeight="1"/>
    <row r="111" spans="1:3" ht="15.9" hidden="1" customHeight="1">
      <c r="A111" s="5093" t="s">
        <v>3223</v>
      </c>
      <c r="B111" s="10178" t="s">
        <v>3224</v>
      </c>
    </row>
    <row r="112" spans="1:3" ht="15.9" hidden="1" customHeight="1">
      <c r="A112" s="10182"/>
      <c r="B112" s="10179"/>
      <c r="C112" s="10184"/>
    </row>
    <row r="113" spans="1:3" ht="15.9" hidden="1" customHeight="1">
      <c r="A113" s="10183" t="s">
        <v>3225</v>
      </c>
      <c r="B113" s="10180" t="s">
        <v>3226</v>
      </c>
      <c r="C113" s="10185"/>
    </row>
    <row r="114" spans="1:3" ht="15.9" hidden="1" customHeight="1"/>
    <row r="115" spans="1:3" ht="15.9" hidden="1" customHeight="1">
      <c r="A115" s="5093" t="s">
        <v>3227</v>
      </c>
      <c r="B115" s="10178" t="s">
        <v>3228</v>
      </c>
    </row>
    <row r="116" spans="1:3" ht="15.9" hidden="1" customHeight="1"/>
    <row r="117" spans="1:3" ht="15.9" hidden="1" customHeight="1">
      <c r="A117" s="5093" t="s">
        <v>3231</v>
      </c>
      <c r="B117" s="10181" t="s">
        <v>10481</v>
      </c>
    </row>
    <row r="118" spans="1:3" ht="15.9" hidden="1" customHeight="1">
      <c r="B118" s="10178" t="s">
        <v>10482</v>
      </c>
    </row>
    <row r="119" spans="1:3" ht="15.9" hidden="1" customHeight="1">
      <c r="B119" s="10178" t="s">
        <v>10483</v>
      </c>
    </row>
    <row r="120" spans="1:3" ht="15.9" hidden="1" customHeight="1">
      <c r="B120" s="10178" t="s">
        <v>3229</v>
      </c>
    </row>
    <row r="121" spans="1:3" ht="15.9" hidden="1" customHeight="1">
      <c r="B121" s="10178" t="s">
        <v>3230</v>
      </c>
    </row>
    <row r="122" spans="1:3" ht="15.9" hidden="1" customHeight="1">
      <c r="B122" s="10181" t="s">
        <v>3266</v>
      </c>
    </row>
    <row r="123" spans="1:3" ht="15.9" hidden="1" customHeight="1">
      <c r="B123" s="5093"/>
    </row>
    <row r="124" spans="1:3" ht="15.9" hidden="1" customHeight="1"/>
    <row r="125" spans="1:3" ht="15.9" hidden="1" customHeight="1"/>
    <row r="126" spans="1:3" ht="15.9" hidden="1" customHeight="1"/>
    <row r="127" spans="1:3" ht="15.9" hidden="1" customHeight="1"/>
    <row r="128" spans="1:3" ht="15.9" hidden="1" customHeight="1"/>
    <row r="129" ht="15.9" hidden="1" customHeight="1"/>
    <row r="130" ht="15.9" hidden="1" customHeight="1"/>
    <row r="131" ht="15.9" hidden="1" customHeight="1"/>
  </sheetData>
  <mergeCells count="1">
    <mergeCell ref="A1:C1"/>
  </mergeCells>
  <pageMargins left="0.75" right="0.5" top="0.75" bottom="1.5" header="0.25" footer="0.25"/>
  <pageSetup paperSize="5" orientation="portrait" verticalDpi="300" r:id="rId1"/>
  <headerFooter alignWithMargins="0"/>
</worksheet>
</file>

<file path=xl/worksheets/sheet10.xml><?xml version="1.0" encoding="utf-8"?>
<worksheet xmlns="http://schemas.openxmlformats.org/spreadsheetml/2006/main" xmlns:r="http://schemas.openxmlformats.org/officeDocument/2006/relationships">
  <sheetPr codeName="Sheet30">
    <tabColor rgb="FFFFFF00"/>
  </sheetPr>
  <dimension ref="A1:F75"/>
  <sheetViews>
    <sheetView showGridLines="0" topLeftCell="A35" workbookViewId="0">
      <selection activeCell="F50" sqref="F50"/>
    </sheetView>
  </sheetViews>
  <sheetFormatPr defaultColWidth="41.44140625" defaultRowHeight="13.8"/>
  <cols>
    <col min="1" max="1" width="3.44140625" style="65" customWidth="1"/>
    <col min="2" max="2" width="41.44140625" style="65"/>
    <col min="3" max="3" width="10.44140625" style="65" customWidth="1"/>
    <col min="4" max="5" width="15.88671875" style="369" customWidth="1"/>
    <col min="6" max="16384" width="41.44140625" style="65"/>
  </cols>
  <sheetData>
    <row r="1" spans="1:5" ht="17.25" customHeight="1">
      <c r="A1" s="894" t="s">
        <v>0</v>
      </c>
      <c r="B1" s="894"/>
      <c r="C1" s="894"/>
    </row>
    <row r="2" spans="1:5">
      <c r="A2" s="894"/>
      <c r="B2" s="5540" t="s">
        <v>1</v>
      </c>
      <c r="C2" s="5541"/>
    </row>
    <row r="3" spans="1:5">
      <c r="A3" s="894" t="s">
        <v>2</v>
      </c>
      <c r="B3" s="5542" t="s">
        <v>8865</v>
      </c>
    </row>
    <row r="4" spans="1:5" hidden="1">
      <c r="A4" s="5543" t="s">
        <v>7</v>
      </c>
      <c r="B4" s="5543"/>
      <c r="C4" s="5543" t="s">
        <v>8</v>
      </c>
    </row>
    <row r="5" spans="1:5" ht="0.75" customHeight="1" thickBot="1">
      <c r="A5" s="5544"/>
      <c r="B5" s="5544"/>
      <c r="C5" s="5544"/>
    </row>
    <row r="6" spans="1:5">
      <c r="A6" s="93"/>
      <c r="B6" s="5545"/>
      <c r="C6" s="5546" t="s">
        <v>103</v>
      </c>
      <c r="D6" s="5547" t="s">
        <v>12</v>
      </c>
      <c r="E6" s="5547" t="s">
        <v>12</v>
      </c>
    </row>
    <row r="7" spans="1:5">
      <c r="A7" s="93"/>
      <c r="B7" s="5545" t="s">
        <v>13</v>
      </c>
      <c r="C7" s="5546" t="s">
        <v>94</v>
      </c>
      <c r="D7" s="5548" t="s">
        <v>16</v>
      </c>
      <c r="E7" s="5548" t="s">
        <v>16</v>
      </c>
    </row>
    <row r="8" spans="1:5" ht="14.4" thickBot="1">
      <c r="A8" s="5549"/>
      <c r="B8" s="5550"/>
      <c r="C8" s="5551"/>
      <c r="D8" s="6905">
        <v>2016</v>
      </c>
      <c r="E8" s="6905">
        <v>2016</v>
      </c>
    </row>
    <row r="9" spans="1:5" ht="14.4" hidden="1" thickBot="1">
      <c r="A9" s="93"/>
      <c r="B9" s="5545"/>
      <c r="C9" s="5546"/>
      <c r="D9" s="6906"/>
      <c r="E9" s="6906"/>
    </row>
    <row r="10" spans="1:5">
      <c r="A10" s="86" t="s">
        <v>17</v>
      </c>
      <c r="B10" s="5543" t="s">
        <v>18</v>
      </c>
      <c r="C10" s="5553"/>
      <c r="D10" s="6907"/>
      <c r="E10" s="6907"/>
    </row>
    <row r="11" spans="1:5">
      <c r="A11" s="86"/>
      <c r="B11" s="5554" t="s">
        <v>19</v>
      </c>
      <c r="C11" s="5553"/>
      <c r="D11" s="5552"/>
      <c r="E11" s="5552"/>
    </row>
    <row r="12" spans="1:5">
      <c r="A12" s="86"/>
      <c r="B12" s="5554" t="s">
        <v>10010</v>
      </c>
      <c r="C12" s="5553">
        <v>701</v>
      </c>
      <c r="D12" s="5552">
        <v>210000</v>
      </c>
      <c r="E12" s="5552">
        <v>262104</v>
      </c>
    </row>
    <row r="13" spans="1:5">
      <c r="A13" s="86"/>
      <c r="B13" s="5554" t="s">
        <v>58</v>
      </c>
      <c r="C13" s="5553">
        <v>711</v>
      </c>
      <c r="D13" s="5552"/>
      <c r="E13" s="5552"/>
    </row>
    <row r="14" spans="1:5" s="41" customFormat="1">
      <c r="A14" s="5555"/>
      <c r="B14" s="5556" t="s">
        <v>104</v>
      </c>
      <c r="C14" s="5557">
        <v>713</v>
      </c>
      <c r="D14" s="5552"/>
      <c r="E14" s="5552"/>
    </row>
    <row r="15" spans="1:5" s="41" customFormat="1">
      <c r="A15" s="5555"/>
      <c r="B15" s="5556" t="s">
        <v>105</v>
      </c>
      <c r="C15" s="5557">
        <v>714</v>
      </c>
      <c r="D15" s="5552"/>
      <c r="E15" s="5552"/>
    </row>
    <row r="16" spans="1:5">
      <c r="A16" s="86"/>
      <c r="B16" s="5554" t="s">
        <v>79</v>
      </c>
      <c r="C16" s="5553">
        <v>715</v>
      </c>
      <c r="D16" s="5552"/>
      <c r="E16" s="5552"/>
    </row>
    <row r="17" spans="1:5">
      <c r="A17" s="86"/>
      <c r="B17" s="5554" t="s">
        <v>23</v>
      </c>
      <c r="C17" s="5553">
        <v>717</v>
      </c>
      <c r="D17" s="5552"/>
      <c r="E17" s="5552"/>
    </row>
    <row r="18" spans="1:5">
      <c r="A18" s="86"/>
      <c r="B18" s="5554" t="s">
        <v>26</v>
      </c>
      <c r="C18" s="5553">
        <v>724</v>
      </c>
      <c r="D18" s="5552"/>
      <c r="E18" s="5552"/>
    </row>
    <row r="19" spans="1:5">
      <c r="A19" s="86"/>
      <c r="B19" s="5554" t="s">
        <v>27</v>
      </c>
      <c r="C19" s="5553">
        <v>725</v>
      </c>
      <c r="D19" s="5552"/>
      <c r="E19" s="5552"/>
    </row>
    <row r="20" spans="1:5">
      <c r="A20" s="86"/>
      <c r="B20" s="5554" t="s">
        <v>59</v>
      </c>
      <c r="C20" s="5553">
        <v>731</v>
      </c>
      <c r="D20" s="5552"/>
      <c r="E20" s="5552"/>
    </row>
    <row r="21" spans="1:5">
      <c r="A21" s="86"/>
      <c r="B21" s="5554" t="s">
        <v>28</v>
      </c>
      <c r="C21" s="5553">
        <v>732</v>
      </c>
      <c r="D21" s="5552"/>
      <c r="E21" s="5552"/>
    </row>
    <row r="22" spans="1:5">
      <c r="A22" s="86"/>
      <c r="B22" s="5554" t="s">
        <v>29</v>
      </c>
      <c r="C22" s="5553">
        <v>733</v>
      </c>
      <c r="D22" s="5552"/>
      <c r="E22" s="5552"/>
    </row>
    <row r="23" spans="1:5">
      <c r="A23" s="86"/>
      <c r="B23" s="5554" t="s">
        <v>30</v>
      </c>
      <c r="C23" s="5553">
        <v>734</v>
      </c>
      <c r="D23" s="5552"/>
      <c r="E23" s="5552"/>
    </row>
    <row r="24" spans="1:5">
      <c r="A24" s="86"/>
      <c r="B24" s="5554" t="s">
        <v>32</v>
      </c>
      <c r="C24" s="5553">
        <v>749</v>
      </c>
      <c r="D24" s="5552"/>
      <c r="E24" s="5552"/>
    </row>
    <row r="25" spans="1:5">
      <c r="A25" s="86"/>
      <c r="B25" s="5554" t="s">
        <v>60</v>
      </c>
      <c r="C25" s="5558" t="s">
        <v>133</v>
      </c>
      <c r="D25" s="5552"/>
      <c r="E25" s="5552"/>
    </row>
    <row r="26" spans="1:5" s="25" customFormat="1">
      <c r="A26" s="89"/>
      <c r="B26" s="5545" t="s">
        <v>182</v>
      </c>
      <c r="C26" s="5559"/>
      <c r="D26" s="5560">
        <f>SUM(D12:D25)</f>
        <v>210000</v>
      </c>
      <c r="E26" s="5560">
        <f>SUM(E12:E25)</f>
        <v>262104</v>
      </c>
    </row>
    <row r="27" spans="1:5" ht="6.75" customHeight="1">
      <c r="A27" s="86"/>
      <c r="B27" s="5543"/>
      <c r="C27" s="5553"/>
      <c r="D27" s="5552"/>
      <c r="E27" s="5552"/>
    </row>
    <row r="28" spans="1:5">
      <c r="A28" s="86"/>
      <c r="B28" s="5543" t="s">
        <v>38</v>
      </c>
      <c r="C28" s="5558"/>
      <c r="D28" s="5552"/>
      <c r="E28" s="5552"/>
    </row>
    <row r="29" spans="1:5">
      <c r="A29" s="93"/>
      <c r="B29" s="5543" t="s">
        <v>183</v>
      </c>
      <c r="C29" s="5558">
        <v>751</v>
      </c>
      <c r="D29" s="5552">
        <v>20000</v>
      </c>
      <c r="E29" s="5552">
        <v>25000</v>
      </c>
    </row>
    <row r="30" spans="1:5">
      <c r="A30" s="93"/>
      <c r="B30" s="5543" t="s">
        <v>41</v>
      </c>
      <c r="C30" s="5558">
        <v>753</v>
      </c>
      <c r="D30" s="5552">
        <v>70000</v>
      </c>
      <c r="E30" s="5552">
        <f>200000+138000</f>
        <v>338000</v>
      </c>
    </row>
    <row r="31" spans="1:5">
      <c r="A31" s="93"/>
      <c r="B31" s="5543" t="s">
        <v>42</v>
      </c>
      <c r="C31" s="5558">
        <v>755</v>
      </c>
      <c r="D31" s="5552">
        <v>30000</v>
      </c>
      <c r="E31" s="5552">
        <v>35000</v>
      </c>
    </row>
    <row r="32" spans="1:5">
      <c r="A32" s="93"/>
      <c r="B32" s="5561" t="s">
        <v>61</v>
      </c>
      <c r="C32" s="5558">
        <v>761</v>
      </c>
      <c r="D32" s="5552">
        <v>36000</v>
      </c>
      <c r="E32" s="5552">
        <v>35000</v>
      </c>
    </row>
    <row r="33" spans="1:6">
      <c r="A33" s="1266"/>
      <c r="B33" s="5561" t="s">
        <v>45</v>
      </c>
      <c r="C33" s="5562">
        <v>766</v>
      </c>
      <c r="D33" s="5552">
        <v>3500</v>
      </c>
      <c r="E33" s="5552">
        <v>2500</v>
      </c>
    </row>
    <row r="34" spans="1:6" ht="15.75" customHeight="1">
      <c r="A34" s="1266"/>
      <c r="B34" s="5561" t="s">
        <v>46</v>
      </c>
      <c r="C34" s="5562">
        <v>767</v>
      </c>
      <c r="D34" s="5552">
        <v>36000</v>
      </c>
      <c r="E34" s="5552">
        <v>45000</v>
      </c>
    </row>
    <row r="35" spans="1:6" ht="15.75" customHeight="1">
      <c r="A35" s="1266"/>
      <c r="B35" s="5561" t="s">
        <v>62</v>
      </c>
      <c r="C35" s="5562">
        <v>771</v>
      </c>
      <c r="D35" s="5552"/>
      <c r="E35" s="5552"/>
    </row>
    <row r="36" spans="1:6" s="5566" customFormat="1" ht="15.75" customHeight="1">
      <c r="A36" s="5563"/>
      <c r="B36" s="5564" t="s">
        <v>184</v>
      </c>
      <c r="C36" s="5565">
        <v>772</v>
      </c>
      <c r="D36" s="5539">
        <v>20000</v>
      </c>
      <c r="E36" s="5539">
        <v>16800</v>
      </c>
      <c r="F36" s="100"/>
    </row>
    <row r="37" spans="1:6" s="5566" customFormat="1" ht="15.75" customHeight="1">
      <c r="A37" s="5563"/>
      <c r="B37" s="5564" t="s">
        <v>136</v>
      </c>
      <c r="C37" s="5565">
        <v>774</v>
      </c>
      <c r="D37" s="5539"/>
      <c r="E37" s="5539"/>
      <c r="F37" s="100"/>
    </row>
    <row r="38" spans="1:6" s="5566" customFormat="1" ht="15.75" customHeight="1">
      <c r="A38" s="5567"/>
      <c r="B38" s="5564" t="s">
        <v>8861</v>
      </c>
      <c r="C38" s="5568"/>
      <c r="D38" s="5539">
        <v>5000</v>
      </c>
      <c r="E38" s="5539">
        <v>5000</v>
      </c>
      <c r="F38" s="100"/>
    </row>
    <row r="39" spans="1:6" ht="15.75" customHeight="1">
      <c r="A39" s="93"/>
      <c r="B39" s="5561" t="s">
        <v>10011</v>
      </c>
      <c r="C39" s="5558"/>
      <c r="D39" s="5539">
        <v>187500</v>
      </c>
      <c r="E39" s="5539">
        <v>200400</v>
      </c>
    </row>
    <row r="40" spans="1:6">
      <c r="A40" s="1266"/>
      <c r="B40" s="5561" t="s">
        <v>8862</v>
      </c>
      <c r="C40" s="5562"/>
      <c r="D40" s="5539">
        <v>20000</v>
      </c>
      <c r="E40" s="5539">
        <v>30000</v>
      </c>
    </row>
    <row r="41" spans="1:6">
      <c r="A41" s="1266"/>
      <c r="B41" s="5561" t="s">
        <v>8863</v>
      </c>
      <c r="C41" s="5562"/>
      <c r="D41" s="5539">
        <v>0</v>
      </c>
      <c r="E41" s="5539">
        <v>0</v>
      </c>
    </row>
    <row r="42" spans="1:6">
      <c r="A42" s="1266"/>
      <c r="B42" s="5561" t="s">
        <v>8864</v>
      </c>
      <c r="C42" s="5562"/>
      <c r="D42" s="5539">
        <v>75000</v>
      </c>
      <c r="E42" s="5539">
        <v>52500</v>
      </c>
    </row>
    <row r="43" spans="1:6">
      <c r="A43" s="5576"/>
      <c r="B43" s="5561" t="s">
        <v>10289</v>
      </c>
      <c r="C43" s="5577"/>
      <c r="D43" s="5539">
        <v>25000</v>
      </c>
      <c r="E43" s="5539">
        <v>50000</v>
      </c>
    </row>
    <row r="44" spans="1:6">
      <c r="A44" s="5576"/>
      <c r="B44" s="5561" t="s">
        <v>10001</v>
      </c>
      <c r="C44" s="5577"/>
      <c r="D44" s="5539">
        <v>40000</v>
      </c>
      <c r="E44" s="5539">
        <v>60000</v>
      </c>
    </row>
    <row r="45" spans="1:6">
      <c r="A45" s="5576"/>
      <c r="B45" s="5561" t="s">
        <v>10290</v>
      </c>
      <c r="C45" s="5577"/>
      <c r="D45" s="5539">
        <v>35000</v>
      </c>
      <c r="E45" s="5539">
        <v>0</v>
      </c>
    </row>
    <row r="46" spans="1:6">
      <c r="A46" s="5576"/>
      <c r="B46" s="5561" t="s">
        <v>10012</v>
      </c>
      <c r="C46" s="5577"/>
      <c r="D46" s="5539">
        <v>0</v>
      </c>
      <c r="E46" s="5539">
        <v>0</v>
      </c>
    </row>
    <row r="47" spans="1:6">
      <c r="A47" s="5576"/>
      <c r="B47" s="5561" t="s">
        <v>10013</v>
      </c>
      <c r="C47" s="5577"/>
      <c r="D47" s="5539">
        <v>20000</v>
      </c>
      <c r="E47" s="5539">
        <v>20000</v>
      </c>
    </row>
    <row r="48" spans="1:6" ht="15.75" customHeight="1">
      <c r="A48" s="93"/>
      <c r="B48" s="5543" t="s">
        <v>152</v>
      </c>
      <c r="C48" s="5558"/>
      <c r="D48" s="5552">
        <v>0</v>
      </c>
      <c r="E48" s="5552">
        <f>300000+200000+7000</f>
        <v>507000</v>
      </c>
    </row>
    <row r="49" spans="1:6">
      <c r="A49" s="93"/>
      <c r="B49" s="5569" t="s">
        <v>37</v>
      </c>
      <c r="C49" s="5558"/>
      <c r="D49" s="5621">
        <f>SUM(D29:D48)</f>
        <v>623000</v>
      </c>
      <c r="E49" s="6902">
        <f>SUM(E29:E48)</f>
        <v>1422200</v>
      </c>
      <c r="F49" s="5570"/>
    </row>
    <row r="50" spans="1:6" ht="20.25" customHeight="1">
      <c r="A50" s="93"/>
      <c r="B50" s="5543"/>
      <c r="C50" s="5558"/>
      <c r="D50" s="6901"/>
      <c r="E50" s="6901"/>
    </row>
    <row r="51" spans="1:6" s="25" customFormat="1" ht="20.25" customHeight="1">
      <c r="A51" s="6908"/>
      <c r="B51" s="5569" t="s">
        <v>10531</v>
      </c>
      <c r="C51" s="6909"/>
      <c r="D51" s="6910"/>
      <c r="E51" s="6910"/>
    </row>
    <row r="52" spans="1:6" ht="20.25" customHeight="1">
      <c r="A52" s="6899"/>
      <c r="B52" s="5543" t="s">
        <v>10532</v>
      </c>
      <c r="C52" s="6900"/>
      <c r="D52" s="6911"/>
      <c r="E52" s="6901">
        <v>200000</v>
      </c>
    </row>
    <row r="53" spans="1:6" s="25" customFormat="1" ht="20.25" customHeight="1">
      <c r="A53" s="6908"/>
      <c r="B53" s="5569" t="s">
        <v>37</v>
      </c>
      <c r="C53" s="6909"/>
      <c r="D53" s="6912"/>
      <c r="E53" s="6913">
        <f>SUM(E52)</f>
        <v>200000</v>
      </c>
    </row>
    <row r="54" spans="1:6" ht="20.25" customHeight="1">
      <c r="A54" s="6899"/>
      <c r="B54" s="5543"/>
      <c r="C54" s="6900"/>
      <c r="D54" s="6903"/>
      <c r="E54" s="6904"/>
    </row>
    <row r="55" spans="1:6" ht="18.75" customHeight="1">
      <c r="A55" s="93"/>
      <c r="B55" s="5569" t="s">
        <v>55</v>
      </c>
      <c r="C55" s="5558"/>
      <c r="D55" s="5326">
        <f>D49+D26</f>
        <v>833000</v>
      </c>
      <c r="E55" s="6914">
        <f>E49+E26+E53</f>
        <v>1884304</v>
      </c>
    </row>
    <row r="56" spans="1:6" ht="5.25" customHeight="1" thickBot="1">
      <c r="A56" s="5571"/>
      <c r="B56" s="5572"/>
      <c r="C56" s="5573"/>
      <c r="D56" s="5574"/>
      <c r="E56" s="5574"/>
    </row>
    <row r="57" spans="1:6" ht="14.4" thickTop="1">
      <c r="A57" s="894"/>
      <c r="B57" s="894"/>
      <c r="C57" s="894"/>
    </row>
    <row r="58" spans="1:6">
      <c r="A58" s="894"/>
      <c r="B58" s="894"/>
      <c r="C58" s="894"/>
    </row>
    <row r="59" spans="1:6">
      <c r="A59" s="894"/>
      <c r="B59" s="894"/>
      <c r="C59" s="894"/>
    </row>
    <row r="60" spans="1:6">
      <c r="A60" s="894"/>
      <c r="B60" s="894"/>
      <c r="C60" s="894"/>
    </row>
    <row r="61" spans="1:6">
      <c r="A61" s="894"/>
      <c r="B61" s="5542"/>
      <c r="C61" s="5542"/>
    </row>
    <row r="62" spans="1:6">
      <c r="A62" s="894"/>
      <c r="B62" s="5575"/>
      <c r="C62" s="5575"/>
    </row>
    <row r="63" spans="1:6">
      <c r="A63" s="894"/>
      <c r="B63" s="894"/>
      <c r="C63" s="894"/>
    </row>
    <row r="74" spans="1:1">
      <c r="A74" s="65" t="s">
        <v>9</v>
      </c>
    </row>
    <row r="75" spans="1:1">
      <c r="A75" s="65" t="s">
        <v>9</v>
      </c>
    </row>
  </sheetData>
  <pageMargins left="0.5" right="0.25" top="0.5" bottom="0.25" header="0.5" footer="0.25"/>
  <pageSetup paperSize="119" firstPageNumber="73" orientation="portrait" useFirstPageNumber="1" verticalDpi="300" r:id="rId1"/>
  <headerFooter alignWithMargins="0"/>
</worksheet>
</file>

<file path=xl/worksheets/sheet100.xml><?xml version="1.0" encoding="utf-8"?>
<worksheet xmlns="http://schemas.openxmlformats.org/spreadsheetml/2006/main" xmlns:r="http://schemas.openxmlformats.org/officeDocument/2006/relationships">
  <sheetPr codeName="Sheet135">
    <tabColor rgb="FFFFFF00"/>
  </sheetPr>
  <dimension ref="A1:L540"/>
  <sheetViews>
    <sheetView showGridLines="0" topLeftCell="A61" zoomScaleSheetLayoutView="100" workbookViewId="0">
      <selection activeCell="A5" sqref="A5"/>
    </sheetView>
  </sheetViews>
  <sheetFormatPr defaultRowHeight="12.75" customHeight="1"/>
  <cols>
    <col min="1" max="1" width="5.88671875" style="1662" customWidth="1"/>
    <col min="2" max="2" width="42.109375" style="1662" customWidth="1"/>
    <col min="3" max="3" width="13.44140625" style="1515" customWidth="1"/>
    <col min="4" max="4" width="25.88671875" style="1662" customWidth="1"/>
    <col min="5" max="5" width="15.109375" style="1719" customWidth="1"/>
    <col min="6" max="6" width="9.88671875" style="1662" customWidth="1"/>
    <col min="7" max="7" width="9.109375" style="1662" customWidth="1"/>
    <col min="8" max="229" width="9.109375" style="1662"/>
    <col min="230" max="230" width="8.88671875" style="1662" customWidth="1"/>
    <col min="231" max="231" width="44.109375" style="1662" customWidth="1"/>
    <col min="232" max="232" width="15.88671875" style="1662" customWidth="1"/>
    <col min="233" max="233" width="24" style="1662" customWidth="1"/>
    <col min="234" max="234" width="22.44140625" style="1662" customWidth="1"/>
    <col min="235" max="235" width="11.109375" style="1662" customWidth="1"/>
    <col min="236" max="236" width="11.44140625" style="1662" customWidth="1"/>
    <col min="237" max="237" width="1.44140625" style="1662" customWidth="1"/>
    <col min="238" max="238" width="26.44140625" style="1662" customWidth="1"/>
    <col min="239" max="485" width="9.109375" style="1662"/>
    <col min="486" max="486" width="8.88671875" style="1662" customWidth="1"/>
    <col min="487" max="487" width="44.109375" style="1662" customWidth="1"/>
    <col min="488" max="488" width="15.88671875" style="1662" customWidth="1"/>
    <col min="489" max="489" width="24" style="1662" customWidth="1"/>
    <col min="490" max="490" width="22.44140625" style="1662" customWidth="1"/>
    <col min="491" max="491" width="11.109375" style="1662" customWidth="1"/>
    <col min="492" max="492" width="11.44140625" style="1662" customWidth="1"/>
    <col min="493" max="493" width="1.44140625" style="1662" customWidth="1"/>
    <col min="494" max="494" width="26.44140625" style="1662" customWidth="1"/>
    <col min="495" max="741" width="9.109375" style="1662"/>
    <col min="742" max="742" width="8.88671875" style="1662" customWidth="1"/>
    <col min="743" max="743" width="44.109375" style="1662" customWidth="1"/>
    <col min="744" max="744" width="15.88671875" style="1662" customWidth="1"/>
    <col min="745" max="745" width="24" style="1662" customWidth="1"/>
    <col min="746" max="746" width="22.44140625" style="1662" customWidth="1"/>
    <col min="747" max="747" width="11.109375" style="1662" customWidth="1"/>
    <col min="748" max="748" width="11.44140625" style="1662" customWidth="1"/>
    <col min="749" max="749" width="1.44140625" style="1662" customWidth="1"/>
    <col min="750" max="750" width="26.44140625" style="1662" customWidth="1"/>
    <col min="751" max="997" width="9.109375" style="1662"/>
    <col min="998" max="998" width="8.88671875" style="1662" customWidth="1"/>
    <col min="999" max="999" width="44.109375" style="1662" customWidth="1"/>
    <col min="1000" max="1000" width="15.88671875" style="1662" customWidth="1"/>
    <col min="1001" max="1001" width="24" style="1662" customWidth="1"/>
    <col min="1002" max="1002" width="22.44140625" style="1662" customWidth="1"/>
    <col min="1003" max="1003" width="11.109375" style="1662" customWidth="1"/>
    <col min="1004" max="1004" width="11.44140625" style="1662" customWidth="1"/>
    <col min="1005" max="1005" width="1.44140625" style="1662" customWidth="1"/>
    <col min="1006" max="1006" width="26.44140625" style="1662" customWidth="1"/>
    <col min="1007" max="1253" width="9.109375" style="1662"/>
    <col min="1254" max="1254" width="8.88671875" style="1662" customWidth="1"/>
    <col min="1255" max="1255" width="44.109375" style="1662" customWidth="1"/>
    <col min="1256" max="1256" width="15.88671875" style="1662" customWidth="1"/>
    <col min="1257" max="1257" width="24" style="1662" customWidth="1"/>
    <col min="1258" max="1258" width="22.44140625" style="1662" customWidth="1"/>
    <col min="1259" max="1259" width="11.109375" style="1662" customWidth="1"/>
    <col min="1260" max="1260" width="11.44140625" style="1662" customWidth="1"/>
    <col min="1261" max="1261" width="1.44140625" style="1662" customWidth="1"/>
    <col min="1262" max="1262" width="26.44140625" style="1662" customWidth="1"/>
    <col min="1263" max="1509" width="9.109375" style="1662"/>
    <col min="1510" max="1510" width="8.88671875" style="1662" customWidth="1"/>
    <col min="1511" max="1511" width="44.109375" style="1662" customWidth="1"/>
    <col min="1512" max="1512" width="15.88671875" style="1662" customWidth="1"/>
    <col min="1513" max="1513" width="24" style="1662" customWidth="1"/>
    <col min="1514" max="1514" width="22.44140625" style="1662" customWidth="1"/>
    <col min="1515" max="1515" width="11.109375" style="1662" customWidth="1"/>
    <col min="1516" max="1516" width="11.44140625" style="1662" customWidth="1"/>
    <col min="1517" max="1517" width="1.44140625" style="1662" customWidth="1"/>
    <col min="1518" max="1518" width="26.44140625" style="1662" customWidth="1"/>
    <col min="1519" max="1765" width="9.109375" style="1662"/>
    <col min="1766" max="1766" width="8.88671875" style="1662" customWidth="1"/>
    <col min="1767" max="1767" width="44.109375" style="1662" customWidth="1"/>
    <col min="1768" max="1768" width="15.88671875" style="1662" customWidth="1"/>
    <col min="1769" max="1769" width="24" style="1662" customWidth="1"/>
    <col min="1770" max="1770" width="22.44140625" style="1662" customWidth="1"/>
    <col min="1771" max="1771" width="11.109375" style="1662" customWidth="1"/>
    <col min="1772" max="1772" width="11.44140625" style="1662" customWidth="1"/>
    <col min="1773" max="1773" width="1.44140625" style="1662" customWidth="1"/>
    <col min="1774" max="1774" width="26.44140625" style="1662" customWidth="1"/>
    <col min="1775" max="2021" width="9.109375" style="1662"/>
    <col min="2022" max="2022" width="8.88671875" style="1662" customWidth="1"/>
    <col min="2023" max="2023" width="44.109375" style="1662" customWidth="1"/>
    <col min="2024" max="2024" width="15.88671875" style="1662" customWidth="1"/>
    <col min="2025" max="2025" width="24" style="1662" customWidth="1"/>
    <col min="2026" max="2026" width="22.44140625" style="1662" customWidth="1"/>
    <col min="2027" max="2027" width="11.109375" style="1662" customWidth="1"/>
    <col min="2028" max="2028" width="11.44140625" style="1662" customWidth="1"/>
    <col min="2029" max="2029" width="1.44140625" style="1662" customWidth="1"/>
    <col min="2030" max="2030" width="26.44140625" style="1662" customWidth="1"/>
    <col min="2031" max="2277" width="9.109375" style="1662"/>
    <col min="2278" max="2278" width="8.88671875" style="1662" customWidth="1"/>
    <col min="2279" max="2279" width="44.109375" style="1662" customWidth="1"/>
    <col min="2280" max="2280" width="15.88671875" style="1662" customWidth="1"/>
    <col min="2281" max="2281" width="24" style="1662" customWidth="1"/>
    <col min="2282" max="2282" width="22.44140625" style="1662" customWidth="1"/>
    <col min="2283" max="2283" width="11.109375" style="1662" customWidth="1"/>
    <col min="2284" max="2284" width="11.44140625" style="1662" customWidth="1"/>
    <col min="2285" max="2285" width="1.44140625" style="1662" customWidth="1"/>
    <col min="2286" max="2286" width="26.44140625" style="1662" customWidth="1"/>
    <col min="2287" max="2533" width="9.109375" style="1662"/>
    <col min="2534" max="2534" width="8.88671875" style="1662" customWidth="1"/>
    <col min="2535" max="2535" width="44.109375" style="1662" customWidth="1"/>
    <col min="2536" max="2536" width="15.88671875" style="1662" customWidth="1"/>
    <col min="2537" max="2537" width="24" style="1662" customWidth="1"/>
    <col min="2538" max="2538" width="22.44140625" style="1662" customWidth="1"/>
    <col min="2539" max="2539" width="11.109375" style="1662" customWidth="1"/>
    <col min="2540" max="2540" width="11.44140625" style="1662" customWidth="1"/>
    <col min="2541" max="2541" width="1.44140625" style="1662" customWidth="1"/>
    <col min="2542" max="2542" width="26.44140625" style="1662" customWidth="1"/>
    <col min="2543" max="2789" width="9.109375" style="1662"/>
    <col min="2790" max="2790" width="8.88671875" style="1662" customWidth="1"/>
    <col min="2791" max="2791" width="44.109375" style="1662" customWidth="1"/>
    <col min="2792" max="2792" width="15.88671875" style="1662" customWidth="1"/>
    <col min="2793" max="2793" width="24" style="1662" customWidth="1"/>
    <col min="2794" max="2794" width="22.44140625" style="1662" customWidth="1"/>
    <col min="2795" max="2795" width="11.109375" style="1662" customWidth="1"/>
    <col min="2796" max="2796" width="11.44140625" style="1662" customWidth="1"/>
    <col min="2797" max="2797" width="1.44140625" style="1662" customWidth="1"/>
    <col min="2798" max="2798" width="26.44140625" style="1662" customWidth="1"/>
    <col min="2799" max="3045" width="9.109375" style="1662"/>
    <col min="3046" max="3046" width="8.88671875" style="1662" customWidth="1"/>
    <col min="3047" max="3047" width="44.109375" style="1662" customWidth="1"/>
    <col min="3048" max="3048" width="15.88671875" style="1662" customWidth="1"/>
    <col min="3049" max="3049" width="24" style="1662" customWidth="1"/>
    <col min="3050" max="3050" width="22.44140625" style="1662" customWidth="1"/>
    <col min="3051" max="3051" width="11.109375" style="1662" customWidth="1"/>
    <col min="3052" max="3052" width="11.44140625" style="1662" customWidth="1"/>
    <col min="3053" max="3053" width="1.44140625" style="1662" customWidth="1"/>
    <col min="3054" max="3054" width="26.44140625" style="1662" customWidth="1"/>
    <col min="3055" max="3301" width="9.109375" style="1662"/>
    <col min="3302" max="3302" width="8.88671875" style="1662" customWidth="1"/>
    <col min="3303" max="3303" width="44.109375" style="1662" customWidth="1"/>
    <col min="3304" max="3304" width="15.88671875" style="1662" customWidth="1"/>
    <col min="3305" max="3305" width="24" style="1662" customWidth="1"/>
    <col min="3306" max="3306" width="22.44140625" style="1662" customWidth="1"/>
    <col min="3307" max="3307" width="11.109375" style="1662" customWidth="1"/>
    <col min="3308" max="3308" width="11.44140625" style="1662" customWidth="1"/>
    <col min="3309" max="3309" width="1.44140625" style="1662" customWidth="1"/>
    <col min="3310" max="3310" width="26.44140625" style="1662" customWidth="1"/>
    <col min="3311" max="3557" width="9.109375" style="1662"/>
    <col min="3558" max="3558" width="8.88671875" style="1662" customWidth="1"/>
    <col min="3559" max="3559" width="44.109375" style="1662" customWidth="1"/>
    <col min="3560" max="3560" width="15.88671875" style="1662" customWidth="1"/>
    <col min="3561" max="3561" width="24" style="1662" customWidth="1"/>
    <col min="3562" max="3562" width="22.44140625" style="1662" customWidth="1"/>
    <col min="3563" max="3563" width="11.109375" style="1662" customWidth="1"/>
    <col min="3564" max="3564" width="11.44140625" style="1662" customWidth="1"/>
    <col min="3565" max="3565" width="1.44140625" style="1662" customWidth="1"/>
    <col min="3566" max="3566" width="26.44140625" style="1662" customWidth="1"/>
    <col min="3567" max="3813" width="9.109375" style="1662"/>
    <col min="3814" max="3814" width="8.88671875" style="1662" customWidth="1"/>
    <col min="3815" max="3815" width="44.109375" style="1662" customWidth="1"/>
    <col min="3816" max="3816" width="15.88671875" style="1662" customWidth="1"/>
    <col min="3817" max="3817" width="24" style="1662" customWidth="1"/>
    <col min="3818" max="3818" width="22.44140625" style="1662" customWidth="1"/>
    <col min="3819" max="3819" width="11.109375" style="1662" customWidth="1"/>
    <col min="3820" max="3820" width="11.44140625" style="1662" customWidth="1"/>
    <col min="3821" max="3821" width="1.44140625" style="1662" customWidth="1"/>
    <col min="3822" max="3822" width="26.44140625" style="1662" customWidth="1"/>
    <col min="3823" max="4069" width="9.109375" style="1662"/>
    <col min="4070" max="4070" width="8.88671875" style="1662" customWidth="1"/>
    <col min="4071" max="4071" width="44.109375" style="1662" customWidth="1"/>
    <col min="4072" max="4072" width="15.88671875" style="1662" customWidth="1"/>
    <col min="4073" max="4073" width="24" style="1662" customWidth="1"/>
    <col min="4074" max="4074" width="22.44140625" style="1662" customWidth="1"/>
    <col min="4075" max="4075" width="11.109375" style="1662" customWidth="1"/>
    <col min="4076" max="4076" width="11.44140625" style="1662" customWidth="1"/>
    <col min="4077" max="4077" width="1.44140625" style="1662" customWidth="1"/>
    <col min="4078" max="4078" width="26.44140625" style="1662" customWidth="1"/>
    <col min="4079" max="4325" width="9.109375" style="1662"/>
    <col min="4326" max="4326" width="8.88671875" style="1662" customWidth="1"/>
    <col min="4327" max="4327" width="44.109375" style="1662" customWidth="1"/>
    <col min="4328" max="4328" width="15.88671875" style="1662" customWidth="1"/>
    <col min="4329" max="4329" width="24" style="1662" customWidth="1"/>
    <col min="4330" max="4330" width="22.44140625" style="1662" customWidth="1"/>
    <col min="4331" max="4331" width="11.109375" style="1662" customWidth="1"/>
    <col min="4332" max="4332" width="11.44140625" style="1662" customWidth="1"/>
    <col min="4333" max="4333" width="1.44140625" style="1662" customWidth="1"/>
    <col min="4334" max="4334" width="26.44140625" style="1662" customWidth="1"/>
    <col min="4335" max="4581" width="9.109375" style="1662"/>
    <col min="4582" max="4582" width="8.88671875" style="1662" customWidth="1"/>
    <col min="4583" max="4583" width="44.109375" style="1662" customWidth="1"/>
    <col min="4584" max="4584" width="15.88671875" style="1662" customWidth="1"/>
    <col min="4585" max="4585" width="24" style="1662" customWidth="1"/>
    <col min="4586" max="4586" width="22.44140625" style="1662" customWidth="1"/>
    <col min="4587" max="4587" width="11.109375" style="1662" customWidth="1"/>
    <col min="4588" max="4588" width="11.44140625" style="1662" customWidth="1"/>
    <col min="4589" max="4589" width="1.44140625" style="1662" customWidth="1"/>
    <col min="4590" max="4590" width="26.44140625" style="1662" customWidth="1"/>
    <col min="4591" max="4837" width="9.109375" style="1662"/>
    <col min="4838" max="4838" width="8.88671875" style="1662" customWidth="1"/>
    <col min="4839" max="4839" width="44.109375" style="1662" customWidth="1"/>
    <col min="4840" max="4840" width="15.88671875" style="1662" customWidth="1"/>
    <col min="4841" max="4841" width="24" style="1662" customWidth="1"/>
    <col min="4842" max="4842" width="22.44140625" style="1662" customWidth="1"/>
    <col min="4843" max="4843" width="11.109375" style="1662" customWidth="1"/>
    <col min="4844" max="4844" width="11.44140625" style="1662" customWidth="1"/>
    <col min="4845" max="4845" width="1.44140625" style="1662" customWidth="1"/>
    <col min="4846" max="4846" width="26.44140625" style="1662" customWidth="1"/>
    <col min="4847" max="5093" width="9.109375" style="1662"/>
    <col min="5094" max="5094" width="8.88671875" style="1662" customWidth="1"/>
    <col min="5095" max="5095" width="44.109375" style="1662" customWidth="1"/>
    <col min="5096" max="5096" width="15.88671875" style="1662" customWidth="1"/>
    <col min="5097" max="5097" width="24" style="1662" customWidth="1"/>
    <col min="5098" max="5098" width="22.44140625" style="1662" customWidth="1"/>
    <col min="5099" max="5099" width="11.109375" style="1662" customWidth="1"/>
    <col min="5100" max="5100" width="11.44140625" style="1662" customWidth="1"/>
    <col min="5101" max="5101" width="1.44140625" style="1662" customWidth="1"/>
    <col min="5102" max="5102" width="26.44140625" style="1662" customWidth="1"/>
    <col min="5103" max="5349" width="9.109375" style="1662"/>
    <col min="5350" max="5350" width="8.88671875" style="1662" customWidth="1"/>
    <col min="5351" max="5351" width="44.109375" style="1662" customWidth="1"/>
    <col min="5352" max="5352" width="15.88671875" style="1662" customWidth="1"/>
    <col min="5353" max="5353" width="24" style="1662" customWidth="1"/>
    <col min="5354" max="5354" width="22.44140625" style="1662" customWidth="1"/>
    <col min="5355" max="5355" width="11.109375" style="1662" customWidth="1"/>
    <col min="5356" max="5356" width="11.44140625" style="1662" customWidth="1"/>
    <col min="5357" max="5357" width="1.44140625" style="1662" customWidth="1"/>
    <col min="5358" max="5358" width="26.44140625" style="1662" customWidth="1"/>
    <col min="5359" max="5605" width="9.109375" style="1662"/>
    <col min="5606" max="5606" width="8.88671875" style="1662" customWidth="1"/>
    <col min="5607" max="5607" width="44.109375" style="1662" customWidth="1"/>
    <col min="5608" max="5608" width="15.88671875" style="1662" customWidth="1"/>
    <col min="5609" max="5609" width="24" style="1662" customWidth="1"/>
    <col min="5610" max="5610" width="22.44140625" style="1662" customWidth="1"/>
    <col min="5611" max="5611" width="11.109375" style="1662" customWidth="1"/>
    <col min="5612" max="5612" width="11.44140625" style="1662" customWidth="1"/>
    <col min="5613" max="5613" width="1.44140625" style="1662" customWidth="1"/>
    <col min="5614" max="5614" width="26.44140625" style="1662" customWidth="1"/>
    <col min="5615" max="5861" width="9.109375" style="1662"/>
    <col min="5862" max="5862" width="8.88671875" style="1662" customWidth="1"/>
    <col min="5863" max="5863" width="44.109375" style="1662" customWidth="1"/>
    <col min="5864" max="5864" width="15.88671875" style="1662" customWidth="1"/>
    <col min="5865" max="5865" width="24" style="1662" customWidth="1"/>
    <col min="5866" max="5866" width="22.44140625" style="1662" customWidth="1"/>
    <col min="5867" max="5867" width="11.109375" style="1662" customWidth="1"/>
    <col min="5868" max="5868" width="11.44140625" style="1662" customWidth="1"/>
    <col min="5869" max="5869" width="1.44140625" style="1662" customWidth="1"/>
    <col min="5870" max="5870" width="26.44140625" style="1662" customWidth="1"/>
    <col min="5871" max="6117" width="9.109375" style="1662"/>
    <col min="6118" max="6118" width="8.88671875" style="1662" customWidth="1"/>
    <col min="6119" max="6119" width="44.109375" style="1662" customWidth="1"/>
    <col min="6120" max="6120" width="15.88671875" style="1662" customWidth="1"/>
    <col min="6121" max="6121" width="24" style="1662" customWidth="1"/>
    <col min="6122" max="6122" width="22.44140625" style="1662" customWidth="1"/>
    <col min="6123" max="6123" width="11.109375" style="1662" customWidth="1"/>
    <col min="6124" max="6124" width="11.44140625" style="1662" customWidth="1"/>
    <col min="6125" max="6125" width="1.44140625" style="1662" customWidth="1"/>
    <col min="6126" max="6126" width="26.44140625" style="1662" customWidth="1"/>
    <col min="6127" max="6373" width="9.109375" style="1662"/>
    <col min="6374" max="6374" width="8.88671875" style="1662" customWidth="1"/>
    <col min="6375" max="6375" width="44.109375" style="1662" customWidth="1"/>
    <col min="6376" max="6376" width="15.88671875" style="1662" customWidth="1"/>
    <col min="6377" max="6377" width="24" style="1662" customWidth="1"/>
    <col min="6378" max="6378" width="22.44140625" style="1662" customWidth="1"/>
    <col min="6379" max="6379" width="11.109375" style="1662" customWidth="1"/>
    <col min="6380" max="6380" width="11.44140625" style="1662" customWidth="1"/>
    <col min="6381" max="6381" width="1.44140625" style="1662" customWidth="1"/>
    <col min="6382" max="6382" width="26.44140625" style="1662" customWidth="1"/>
    <col min="6383" max="6629" width="9.109375" style="1662"/>
    <col min="6630" max="6630" width="8.88671875" style="1662" customWidth="1"/>
    <col min="6631" max="6631" width="44.109375" style="1662" customWidth="1"/>
    <col min="6632" max="6632" width="15.88671875" style="1662" customWidth="1"/>
    <col min="6633" max="6633" width="24" style="1662" customWidth="1"/>
    <col min="6634" max="6634" width="22.44140625" style="1662" customWidth="1"/>
    <col min="6635" max="6635" width="11.109375" style="1662" customWidth="1"/>
    <col min="6636" max="6636" width="11.44140625" style="1662" customWidth="1"/>
    <col min="6637" max="6637" width="1.44140625" style="1662" customWidth="1"/>
    <col min="6638" max="6638" width="26.44140625" style="1662" customWidth="1"/>
    <col min="6639" max="6885" width="9.109375" style="1662"/>
    <col min="6886" max="6886" width="8.88671875" style="1662" customWidth="1"/>
    <col min="6887" max="6887" width="44.109375" style="1662" customWidth="1"/>
    <col min="6888" max="6888" width="15.88671875" style="1662" customWidth="1"/>
    <col min="6889" max="6889" width="24" style="1662" customWidth="1"/>
    <col min="6890" max="6890" width="22.44140625" style="1662" customWidth="1"/>
    <col min="6891" max="6891" width="11.109375" style="1662" customWidth="1"/>
    <col min="6892" max="6892" width="11.44140625" style="1662" customWidth="1"/>
    <col min="6893" max="6893" width="1.44140625" style="1662" customWidth="1"/>
    <col min="6894" max="6894" width="26.44140625" style="1662" customWidth="1"/>
    <col min="6895" max="7141" width="9.109375" style="1662"/>
    <col min="7142" max="7142" width="8.88671875" style="1662" customWidth="1"/>
    <col min="7143" max="7143" width="44.109375" style="1662" customWidth="1"/>
    <col min="7144" max="7144" width="15.88671875" style="1662" customWidth="1"/>
    <col min="7145" max="7145" width="24" style="1662" customWidth="1"/>
    <col min="7146" max="7146" width="22.44140625" style="1662" customWidth="1"/>
    <col min="7147" max="7147" width="11.109375" style="1662" customWidth="1"/>
    <col min="7148" max="7148" width="11.44140625" style="1662" customWidth="1"/>
    <col min="7149" max="7149" width="1.44140625" style="1662" customWidth="1"/>
    <col min="7150" max="7150" width="26.44140625" style="1662" customWidth="1"/>
    <col min="7151" max="7397" width="9.109375" style="1662"/>
    <col min="7398" max="7398" width="8.88671875" style="1662" customWidth="1"/>
    <col min="7399" max="7399" width="44.109375" style="1662" customWidth="1"/>
    <col min="7400" max="7400" width="15.88671875" style="1662" customWidth="1"/>
    <col min="7401" max="7401" width="24" style="1662" customWidth="1"/>
    <col min="7402" max="7402" width="22.44140625" style="1662" customWidth="1"/>
    <col min="7403" max="7403" width="11.109375" style="1662" customWidth="1"/>
    <col min="7404" max="7404" width="11.44140625" style="1662" customWidth="1"/>
    <col min="7405" max="7405" width="1.44140625" style="1662" customWidth="1"/>
    <col min="7406" max="7406" width="26.44140625" style="1662" customWidth="1"/>
    <col min="7407" max="7653" width="9.109375" style="1662"/>
    <col min="7654" max="7654" width="8.88671875" style="1662" customWidth="1"/>
    <col min="7655" max="7655" width="44.109375" style="1662" customWidth="1"/>
    <col min="7656" max="7656" width="15.88671875" style="1662" customWidth="1"/>
    <col min="7657" max="7657" width="24" style="1662" customWidth="1"/>
    <col min="7658" max="7658" width="22.44140625" style="1662" customWidth="1"/>
    <col min="7659" max="7659" width="11.109375" style="1662" customWidth="1"/>
    <col min="7660" max="7660" width="11.44140625" style="1662" customWidth="1"/>
    <col min="7661" max="7661" width="1.44140625" style="1662" customWidth="1"/>
    <col min="7662" max="7662" width="26.44140625" style="1662" customWidth="1"/>
    <col min="7663" max="7909" width="9.109375" style="1662"/>
    <col min="7910" max="7910" width="8.88671875" style="1662" customWidth="1"/>
    <col min="7911" max="7911" width="44.109375" style="1662" customWidth="1"/>
    <col min="7912" max="7912" width="15.88671875" style="1662" customWidth="1"/>
    <col min="7913" max="7913" width="24" style="1662" customWidth="1"/>
    <col min="7914" max="7914" width="22.44140625" style="1662" customWidth="1"/>
    <col min="7915" max="7915" width="11.109375" style="1662" customWidth="1"/>
    <col min="7916" max="7916" width="11.44140625" style="1662" customWidth="1"/>
    <col min="7917" max="7917" width="1.44140625" style="1662" customWidth="1"/>
    <col min="7918" max="7918" width="26.44140625" style="1662" customWidth="1"/>
    <col min="7919" max="8165" width="9.109375" style="1662"/>
    <col min="8166" max="8166" width="8.88671875" style="1662" customWidth="1"/>
    <col min="8167" max="8167" width="44.109375" style="1662" customWidth="1"/>
    <col min="8168" max="8168" width="15.88671875" style="1662" customWidth="1"/>
    <col min="8169" max="8169" width="24" style="1662" customWidth="1"/>
    <col min="8170" max="8170" width="22.44140625" style="1662" customWidth="1"/>
    <col min="8171" max="8171" width="11.109375" style="1662" customWidth="1"/>
    <col min="8172" max="8172" width="11.44140625" style="1662" customWidth="1"/>
    <col min="8173" max="8173" width="1.44140625" style="1662" customWidth="1"/>
    <col min="8174" max="8174" width="26.44140625" style="1662" customWidth="1"/>
    <col min="8175" max="8421" width="9.109375" style="1662"/>
    <col min="8422" max="8422" width="8.88671875" style="1662" customWidth="1"/>
    <col min="8423" max="8423" width="44.109375" style="1662" customWidth="1"/>
    <col min="8424" max="8424" width="15.88671875" style="1662" customWidth="1"/>
    <col min="8425" max="8425" width="24" style="1662" customWidth="1"/>
    <col min="8426" max="8426" width="22.44140625" style="1662" customWidth="1"/>
    <col min="8427" max="8427" width="11.109375" style="1662" customWidth="1"/>
    <col min="8428" max="8428" width="11.44140625" style="1662" customWidth="1"/>
    <col min="8429" max="8429" width="1.44140625" style="1662" customWidth="1"/>
    <col min="8430" max="8430" width="26.44140625" style="1662" customWidth="1"/>
    <col min="8431" max="8677" width="9.109375" style="1662"/>
    <col min="8678" max="8678" width="8.88671875" style="1662" customWidth="1"/>
    <col min="8679" max="8679" width="44.109375" style="1662" customWidth="1"/>
    <col min="8680" max="8680" width="15.88671875" style="1662" customWidth="1"/>
    <col min="8681" max="8681" width="24" style="1662" customWidth="1"/>
    <col min="8682" max="8682" width="22.44140625" style="1662" customWidth="1"/>
    <col min="8683" max="8683" width="11.109375" style="1662" customWidth="1"/>
    <col min="8684" max="8684" width="11.44140625" style="1662" customWidth="1"/>
    <col min="8685" max="8685" width="1.44140625" style="1662" customWidth="1"/>
    <col min="8686" max="8686" width="26.44140625" style="1662" customWidth="1"/>
    <col min="8687" max="8933" width="9.109375" style="1662"/>
    <col min="8934" max="8934" width="8.88671875" style="1662" customWidth="1"/>
    <col min="8935" max="8935" width="44.109375" style="1662" customWidth="1"/>
    <col min="8936" max="8936" width="15.88671875" style="1662" customWidth="1"/>
    <col min="8937" max="8937" width="24" style="1662" customWidth="1"/>
    <col min="8938" max="8938" width="22.44140625" style="1662" customWidth="1"/>
    <col min="8939" max="8939" width="11.109375" style="1662" customWidth="1"/>
    <col min="8940" max="8940" width="11.44140625" style="1662" customWidth="1"/>
    <col min="8941" max="8941" width="1.44140625" style="1662" customWidth="1"/>
    <col min="8942" max="8942" width="26.44140625" style="1662" customWidth="1"/>
    <col min="8943" max="9189" width="9.109375" style="1662"/>
    <col min="9190" max="9190" width="8.88671875" style="1662" customWidth="1"/>
    <col min="9191" max="9191" width="44.109375" style="1662" customWidth="1"/>
    <col min="9192" max="9192" width="15.88671875" style="1662" customWidth="1"/>
    <col min="9193" max="9193" width="24" style="1662" customWidth="1"/>
    <col min="9194" max="9194" width="22.44140625" style="1662" customWidth="1"/>
    <col min="9195" max="9195" width="11.109375" style="1662" customWidth="1"/>
    <col min="9196" max="9196" width="11.44140625" style="1662" customWidth="1"/>
    <col min="9197" max="9197" width="1.44140625" style="1662" customWidth="1"/>
    <col min="9198" max="9198" width="26.44140625" style="1662" customWidth="1"/>
    <col min="9199" max="9445" width="9.109375" style="1662"/>
    <col min="9446" max="9446" width="8.88671875" style="1662" customWidth="1"/>
    <col min="9447" max="9447" width="44.109375" style="1662" customWidth="1"/>
    <col min="9448" max="9448" width="15.88671875" style="1662" customWidth="1"/>
    <col min="9449" max="9449" width="24" style="1662" customWidth="1"/>
    <col min="9450" max="9450" width="22.44140625" style="1662" customWidth="1"/>
    <col min="9451" max="9451" width="11.109375" style="1662" customWidth="1"/>
    <col min="9452" max="9452" width="11.44140625" style="1662" customWidth="1"/>
    <col min="9453" max="9453" width="1.44140625" style="1662" customWidth="1"/>
    <col min="9454" max="9454" width="26.44140625" style="1662" customWidth="1"/>
    <col min="9455" max="9701" width="9.109375" style="1662"/>
    <col min="9702" max="9702" width="8.88671875" style="1662" customWidth="1"/>
    <col min="9703" max="9703" width="44.109375" style="1662" customWidth="1"/>
    <col min="9704" max="9704" width="15.88671875" style="1662" customWidth="1"/>
    <col min="9705" max="9705" width="24" style="1662" customWidth="1"/>
    <col min="9706" max="9706" width="22.44140625" style="1662" customWidth="1"/>
    <col min="9707" max="9707" width="11.109375" style="1662" customWidth="1"/>
    <col min="9708" max="9708" width="11.44140625" style="1662" customWidth="1"/>
    <col min="9709" max="9709" width="1.44140625" style="1662" customWidth="1"/>
    <col min="9710" max="9710" width="26.44140625" style="1662" customWidth="1"/>
    <col min="9711" max="9957" width="9.109375" style="1662"/>
    <col min="9958" max="9958" width="8.88671875" style="1662" customWidth="1"/>
    <col min="9959" max="9959" width="44.109375" style="1662" customWidth="1"/>
    <col min="9960" max="9960" width="15.88671875" style="1662" customWidth="1"/>
    <col min="9961" max="9961" width="24" style="1662" customWidth="1"/>
    <col min="9962" max="9962" width="22.44140625" style="1662" customWidth="1"/>
    <col min="9963" max="9963" width="11.109375" style="1662" customWidth="1"/>
    <col min="9964" max="9964" width="11.44140625" style="1662" customWidth="1"/>
    <col min="9965" max="9965" width="1.44140625" style="1662" customWidth="1"/>
    <col min="9966" max="9966" width="26.44140625" style="1662" customWidth="1"/>
    <col min="9967" max="10213" width="9.109375" style="1662"/>
    <col min="10214" max="10214" width="8.88671875" style="1662" customWidth="1"/>
    <col min="10215" max="10215" width="44.109375" style="1662" customWidth="1"/>
    <col min="10216" max="10216" width="15.88671875" style="1662" customWidth="1"/>
    <col min="10217" max="10217" width="24" style="1662" customWidth="1"/>
    <col min="10218" max="10218" width="22.44140625" style="1662" customWidth="1"/>
    <col min="10219" max="10219" width="11.109375" style="1662" customWidth="1"/>
    <col min="10220" max="10220" width="11.44140625" style="1662" customWidth="1"/>
    <col min="10221" max="10221" width="1.44140625" style="1662" customWidth="1"/>
    <col min="10222" max="10222" width="26.44140625" style="1662" customWidth="1"/>
    <col min="10223" max="10469" width="9.109375" style="1662"/>
    <col min="10470" max="10470" width="8.88671875" style="1662" customWidth="1"/>
    <col min="10471" max="10471" width="44.109375" style="1662" customWidth="1"/>
    <col min="10472" max="10472" width="15.88671875" style="1662" customWidth="1"/>
    <col min="10473" max="10473" width="24" style="1662" customWidth="1"/>
    <col min="10474" max="10474" width="22.44140625" style="1662" customWidth="1"/>
    <col min="10475" max="10475" width="11.109375" style="1662" customWidth="1"/>
    <col min="10476" max="10476" width="11.44140625" style="1662" customWidth="1"/>
    <col min="10477" max="10477" width="1.44140625" style="1662" customWidth="1"/>
    <col min="10478" max="10478" width="26.44140625" style="1662" customWidth="1"/>
    <col min="10479" max="10725" width="9.109375" style="1662"/>
    <col min="10726" max="10726" width="8.88671875" style="1662" customWidth="1"/>
    <col min="10727" max="10727" width="44.109375" style="1662" customWidth="1"/>
    <col min="10728" max="10728" width="15.88671875" style="1662" customWidth="1"/>
    <col min="10729" max="10729" width="24" style="1662" customWidth="1"/>
    <col min="10730" max="10730" width="22.44140625" style="1662" customWidth="1"/>
    <col min="10731" max="10731" width="11.109375" style="1662" customWidth="1"/>
    <col min="10732" max="10732" width="11.44140625" style="1662" customWidth="1"/>
    <col min="10733" max="10733" width="1.44140625" style="1662" customWidth="1"/>
    <col min="10734" max="10734" width="26.44140625" style="1662" customWidth="1"/>
    <col min="10735" max="10981" width="9.109375" style="1662"/>
    <col min="10982" max="10982" width="8.88671875" style="1662" customWidth="1"/>
    <col min="10983" max="10983" width="44.109375" style="1662" customWidth="1"/>
    <col min="10984" max="10984" width="15.88671875" style="1662" customWidth="1"/>
    <col min="10985" max="10985" width="24" style="1662" customWidth="1"/>
    <col min="10986" max="10986" width="22.44140625" style="1662" customWidth="1"/>
    <col min="10987" max="10987" width="11.109375" style="1662" customWidth="1"/>
    <col min="10988" max="10988" width="11.44140625" style="1662" customWidth="1"/>
    <col min="10989" max="10989" width="1.44140625" style="1662" customWidth="1"/>
    <col min="10990" max="10990" width="26.44140625" style="1662" customWidth="1"/>
    <col min="10991" max="11237" width="9.109375" style="1662"/>
    <col min="11238" max="11238" width="8.88671875" style="1662" customWidth="1"/>
    <col min="11239" max="11239" width="44.109375" style="1662" customWidth="1"/>
    <col min="11240" max="11240" width="15.88671875" style="1662" customWidth="1"/>
    <col min="11241" max="11241" width="24" style="1662" customWidth="1"/>
    <col min="11242" max="11242" width="22.44140625" style="1662" customWidth="1"/>
    <col min="11243" max="11243" width="11.109375" style="1662" customWidth="1"/>
    <col min="11244" max="11244" width="11.44140625" style="1662" customWidth="1"/>
    <col min="11245" max="11245" width="1.44140625" style="1662" customWidth="1"/>
    <col min="11246" max="11246" width="26.44140625" style="1662" customWidth="1"/>
    <col min="11247" max="11493" width="9.109375" style="1662"/>
    <col min="11494" max="11494" width="8.88671875" style="1662" customWidth="1"/>
    <col min="11495" max="11495" width="44.109375" style="1662" customWidth="1"/>
    <col min="11496" max="11496" width="15.88671875" style="1662" customWidth="1"/>
    <col min="11497" max="11497" width="24" style="1662" customWidth="1"/>
    <col min="11498" max="11498" width="22.44140625" style="1662" customWidth="1"/>
    <col min="11499" max="11499" width="11.109375" style="1662" customWidth="1"/>
    <col min="11500" max="11500" width="11.44140625" style="1662" customWidth="1"/>
    <col min="11501" max="11501" width="1.44140625" style="1662" customWidth="1"/>
    <col min="11502" max="11502" width="26.44140625" style="1662" customWidth="1"/>
    <col min="11503" max="11749" width="9.109375" style="1662"/>
    <col min="11750" max="11750" width="8.88671875" style="1662" customWidth="1"/>
    <col min="11751" max="11751" width="44.109375" style="1662" customWidth="1"/>
    <col min="11752" max="11752" width="15.88671875" style="1662" customWidth="1"/>
    <col min="11753" max="11753" width="24" style="1662" customWidth="1"/>
    <col min="11754" max="11754" width="22.44140625" style="1662" customWidth="1"/>
    <col min="11755" max="11755" width="11.109375" style="1662" customWidth="1"/>
    <col min="11756" max="11756" width="11.44140625" style="1662" customWidth="1"/>
    <col min="11757" max="11757" width="1.44140625" style="1662" customWidth="1"/>
    <col min="11758" max="11758" width="26.44140625" style="1662" customWidth="1"/>
    <col min="11759" max="12005" width="9.109375" style="1662"/>
    <col min="12006" max="12006" width="8.88671875" style="1662" customWidth="1"/>
    <col min="12007" max="12007" width="44.109375" style="1662" customWidth="1"/>
    <col min="12008" max="12008" width="15.88671875" style="1662" customWidth="1"/>
    <col min="12009" max="12009" width="24" style="1662" customWidth="1"/>
    <col min="12010" max="12010" width="22.44140625" style="1662" customWidth="1"/>
    <col min="12011" max="12011" width="11.109375" style="1662" customWidth="1"/>
    <col min="12012" max="12012" width="11.44140625" style="1662" customWidth="1"/>
    <col min="12013" max="12013" width="1.44140625" style="1662" customWidth="1"/>
    <col min="12014" max="12014" width="26.44140625" style="1662" customWidth="1"/>
    <col min="12015" max="12261" width="9.109375" style="1662"/>
    <col min="12262" max="12262" width="8.88671875" style="1662" customWidth="1"/>
    <col min="12263" max="12263" width="44.109375" style="1662" customWidth="1"/>
    <col min="12264" max="12264" width="15.88671875" style="1662" customWidth="1"/>
    <col min="12265" max="12265" width="24" style="1662" customWidth="1"/>
    <col min="12266" max="12266" width="22.44140625" style="1662" customWidth="1"/>
    <col min="12267" max="12267" width="11.109375" style="1662" customWidth="1"/>
    <col min="12268" max="12268" width="11.44140625" style="1662" customWidth="1"/>
    <col min="12269" max="12269" width="1.44140625" style="1662" customWidth="1"/>
    <col min="12270" max="12270" width="26.44140625" style="1662" customWidth="1"/>
    <col min="12271" max="12517" width="9.109375" style="1662"/>
    <col min="12518" max="12518" width="8.88671875" style="1662" customWidth="1"/>
    <col min="12519" max="12519" width="44.109375" style="1662" customWidth="1"/>
    <col min="12520" max="12520" width="15.88671875" style="1662" customWidth="1"/>
    <col min="12521" max="12521" width="24" style="1662" customWidth="1"/>
    <col min="12522" max="12522" width="22.44140625" style="1662" customWidth="1"/>
    <col min="12523" max="12523" width="11.109375" style="1662" customWidth="1"/>
    <col min="12524" max="12524" width="11.44140625" style="1662" customWidth="1"/>
    <col min="12525" max="12525" width="1.44140625" style="1662" customWidth="1"/>
    <col min="12526" max="12526" width="26.44140625" style="1662" customWidth="1"/>
    <col min="12527" max="12773" width="9.109375" style="1662"/>
    <col min="12774" max="12774" width="8.88671875" style="1662" customWidth="1"/>
    <col min="12775" max="12775" width="44.109375" style="1662" customWidth="1"/>
    <col min="12776" max="12776" width="15.88671875" style="1662" customWidth="1"/>
    <col min="12777" max="12777" width="24" style="1662" customWidth="1"/>
    <col min="12778" max="12778" width="22.44140625" style="1662" customWidth="1"/>
    <col min="12779" max="12779" width="11.109375" style="1662" customWidth="1"/>
    <col min="12780" max="12780" width="11.44140625" style="1662" customWidth="1"/>
    <col min="12781" max="12781" width="1.44140625" style="1662" customWidth="1"/>
    <col min="12782" max="12782" width="26.44140625" style="1662" customWidth="1"/>
    <col min="12783" max="13029" width="9.109375" style="1662"/>
    <col min="13030" max="13030" width="8.88671875" style="1662" customWidth="1"/>
    <col min="13031" max="13031" width="44.109375" style="1662" customWidth="1"/>
    <col min="13032" max="13032" width="15.88671875" style="1662" customWidth="1"/>
    <col min="13033" max="13033" width="24" style="1662" customWidth="1"/>
    <col min="13034" max="13034" width="22.44140625" style="1662" customWidth="1"/>
    <col min="13035" max="13035" width="11.109375" style="1662" customWidth="1"/>
    <col min="13036" max="13036" width="11.44140625" style="1662" customWidth="1"/>
    <col min="13037" max="13037" width="1.44140625" style="1662" customWidth="1"/>
    <col min="13038" max="13038" width="26.44140625" style="1662" customWidth="1"/>
    <col min="13039" max="13285" width="9.109375" style="1662"/>
    <col min="13286" max="13286" width="8.88671875" style="1662" customWidth="1"/>
    <col min="13287" max="13287" width="44.109375" style="1662" customWidth="1"/>
    <col min="13288" max="13288" width="15.88671875" style="1662" customWidth="1"/>
    <col min="13289" max="13289" width="24" style="1662" customWidth="1"/>
    <col min="13290" max="13290" width="22.44140625" style="1662" customWidth="1"/>
    <col min="13291" max="13291" width="11.109375" style="1662" customWidth="1"/>
    <col min="13292" max="13292" width="11.44140625" style="1662" customWidth="1"/>
    <col min="13293" max="13293" width="1.44140625" style="1662" customWidth="1"/>
    <col min="13294" max="13294" width="26.44140625" style="1662" customWidth="1"/>
    <col min="13295" max="13541" width="9.109375" style="1662"/>
    <col min="13542" max="13542" width="8.88671875" style="1662" customWidth="1"/>
    <col min="13543" max="13543" width="44.109375" style="1662" customWidth="1"/>
    <col min="13544" max="13544" width="15.88671875" style="1662" customWidth="1"/>
    <col min="13545" max="13545" width="24" style="1662" customWidth="1"/>
    <col min="13546" max="13546" width="22.44140625" style="1662" customWidth="1"/>
    <col min="13547" max="13547" width="11.109375" style="1662" customWidth="1"/>
    <col min="13548" max="13548" width="11.44140625" style="1662" customWidth="1"/>
    <col min="13549" max="13549" width="1.44140625" style="1662" customWidth="1"/>
    <col min="13550" max="13550" width="26.44140625" style="1662" customWidth="1"/>
    <col min="13551" max="13797" width="9.109375" style="1662"/>
    <col min="13798" max="13798" width="8.88671875" style="1662" customWidth="1"/>
    <col min="13799" max="13799" width="44.109375" style="1662" customWidth="1"/>
    <col min="13800" max="13800" width="15.88671875" style="1662" customWidth="1"/>
    <col min="13801" max="13801" width="24" style="1662" customWidth="1"/>
    <col min="13802" max="13802" width="22.44140625" style="1662" customWidth="1"/>
    <col min="13803" max="13803" width="11.109375" style="1662" customWidth="1"/>
    <col min="13804" max="13804" width="11.44140625" style="1662" customWidth="1"/>
    <col min="13805" max="13805" width="1.44140625" style="1662" customWidth="1"/>
    <col min="13806" max="13806" width="26.44140625" style="1662" customWidth="1"/>
    <col min="13807" max="14053" width="9.109375" style="1662"/>
    <col min="14054" max="14054" width="8.88671875" style="1662" customWidth="1"/>
    <col min="14055" max="14055" width="44.109375" style="1662" customWidth="1"/>
    <col min="14056" max="14056" width="15.88671875" style="1662" customWidth="1"/>
    <col min="14057" max="14057" width="24" style="1662" customWidth="1"/>
    <col min="14058" max="14058" width="22.44140625" style="1662" customWidth="1"/>
    <col min="14059" max="14059" width="11.109375" style="1662" customWidth="1"/>
    <col min="14060" max="14060" width="11.44140625" style="1662" customWidth="1"/>
    <col min="14061" max="14061" width="1.44140625" style="1662" customWidth="1"/>
    <col min="14062" max="14062" width="26.44140625" style="1662" customWidth="1"/>
    <col min="14063" max="14309" width="9.109375" style="1662"/>
    <col min="14310" max="14310" width="8.88671875" style="1662" customWidth="1"/>
    <col min="14311" max="14311" width="44.109375" style="1662" customWidth="1"/>
    <col min="14312" max="14312" width="15.88671875" style="1662" customWidth="1"/>
    <col min="14313" max="14313" width="24" style="1662" customWidth="1"/>
    <col min="14314" max="14314" width="22.44140625" style="1662" customWidth="1"/>
    <col min="14315" max="14315" width="11.109375" style="1662" customWidth="1"/>
    <col min="14316" max="14316" width="11.44140625" style="1662" customWidth="1"/>
    <col min="14317" max="14317" width="1.44140625" style="1662" customWidth="1"/>
    <col min="14318" max="14318" width="26.44140625" style="1662" customWidth="1"/>
    <col min="14319" max="14565" width="9.109375" style="1662"/>
    <col min="14566" max="14566" width="8.88671875" style="1662" customWidth="1"/>
    <col min="14567" max="14567" width="44.109375" style="1662" customWidth="1"/>
    <col min="14568" max="14568" width="15.88671875" style="1662" customWidth="1"/>
    <col min="14569" max="14569" width="24" style="1662" customWidth="1"/>
    <col min="14570" max="14570" width="22.44140625" style="1662" customWidth="1"/>
    <col min="14571" max="14571" width="11.109375" style="1662" customWidth="1"/>
    <col min="14572" max="14572" width="11.44140625" style="1662" customWidth="1"/>
    <col min="14573" max="14573" width="1.44140625" style="1662" customWidth="1"/>
    <col min="14574" max="14574" width="26.44140625" style="1662" customWidth="1"/>
    <col min="14575" max="14821" width="9.109375" style="1662"/>
    <col min="14822" max="14822" width="8.88671875" style="1662" customWidth="1"/>
    <col min="14823" max="14823" width="44.109375" style="1662" customWidth="1"/>
    <col min="14824" max="14824" width="15.88671875" style="1662" customWidth="1"/>
    <col min="14825" max="14825" width="24" style="1662" customWidth="1"/>
    <col min="14826" max="14826" width="22.44140625" style="1662" customWidth="1"/>
    <col min="14827" max="14827" width="11.109375" style="1662" customWidth="1"/>
    <col min="14828" max="14828" width="11.44140625" style="1662" customWidth="1"/>
    <col min="14829" max="14829" width="1.44140625" style="1662" customWidth="1"/>
    <col min="14830" max="14830" width="26.44140625" style="1662" customWidth="1"/>
    <col min="14831" max="15077" width="9.109375" style="1662"/>
    <col min="15078" max="15078" width="8.88671875" style="1662" customWidth="1"/>
    <col min="15079" max="15079" width="44.109375" style="1662" customWidth="1"/>
    <col min="15080" max="15080" width="15.88671875" style="1662" customWidth="1"/>
    <col min="15081" max="15081" width="24" style="1662" customWidth="1"/>
    <col min="15082" max="15082" width="22.44140625" style="1662" customWidth="1"/>
    <col min="15083" max="15083" width="11.109375" style="1662" customWidth="1"/>
    <col min="15084" max="15084" width="11.44140625" style="1662" customWidth="1"/>
    <col min="15085" max="15085" width="1.44140625" style="1662" customWidth="1"/>
    <col min="15086" max="15086" width="26.44140625" style="1662" customWidth="1"/>
    <col min="15087" max="15333" width="9.109375" style="1662"/>
    <col min="15334" max="15334" width="8.88671875" style="1662" customWidth="1"/>
    <col min="15335" max="15335" width="44.109375" style="1662" customWidth="1"/>
    <col min="15336" max="15336" width="15.88671875" style="1662" customWidth="1"/>
    <col min="15337" max="15337" width="24" style="1662" customWidth="1"/>
    <col min="15338" max="15338" width="22.44140625" style="1662" customWidth="1"/>
    <col min="15339" max="15339" width="11.109375" style="1662" customWidth="1"/>
    <col min="15340" max="15340" width="11.44140625" style="1662" customWidth="1"/>
    <col min="15341" max="15341" width="1.44140625" style="1662" customWidth="1"/>
    <col min="15342" max="15342" width="26.44140625" style="1662" customWidth="1"/>
    <col min="15343" max="15589" width="9.109375" style="1662"/>
    <col min="15590" max="15590" width="8.88671875" style="1662" customWidth="1"/>
    <col min="15591" max="15591" width="44.109375" style="1662" customWidth="1"/>
    <col min="15592" max="15592" width="15.88671875" style="1662" customWidth="1"/>
    <col min="15593" max="15593" width="24" style="1662" customWidth="1"/>
    <col min="15594" max="15594" width="22.44140625" style="1662" customWidth="1"/>
    <col min="15595" max="15595" width="11.109375" style="1662" customWidth="1"/>
    <col min="15596" max="15596" width="11.44140625" style="1662" customWidth="1"/>
    <col min="15597" max="15597" width="1.44140625" style="1662" customWidth="1"/>
    <col min="15598" max="15598" width="26.44140625" style="1662" customWidth="1"/>
    <col min="15599" max="16384" width="9.109375" style="1662"/>
  </cols>
  <sheetData>
    <row r="1" spans="1:12" ht="12.75" customHeight="1">
      <c r="A1" s="1660"/>
      <c r="B1" s="1660"/>
      <c r="D1" s="1660"/>
      <c r="E1" s="1661"/>
      <c r="F1" s="1660"/>
      <c r="G1" s="1660"/>
    </row>
    <row r="2" spans="1:12" s="373" customFormat="1" ht="15" customHeight="1">
      <c r="A2" s="14620" t="s">
        <v>2138</v>
      </c>
      <c r="B2" s="14620"/>
      <c r="C2" s="14620"/>
      <c r="D2" s="14620"/>
      <c r="E2" s="14620"/>
      <c r="F2" s="14620"/>
      <c r="G2" s="14620"/>
      <c r="H2" s="14620"/>
      <c r="I2" s="14620"/>
      <c r="J2" s="5073"/>
      <c r="K2" s="5073"/>
      <c r="L2" s="5073"/>
    </row>
    <row r="3" spans="1:12" s="373" customFormat="1" ht="15" customHeight="1">
      <c r="A3" s="5029"/>
      <c r="B3" s="5029"/>
      <c r="C3" s="761"/>
      <c r="D3" s="5029"/>
      <c r="E3" s="5029"/>
      <c r="F3" s="5029"/>
      <c r="G3" s="5029"/>
      <c r="H3" s="5029"/>
      <c r="I3" s="5029"/>
      <c r="J3" s="5073"/>
      <c r="K3" s="5073"/>
      <c r="L3" s="5073"/>
    </row>
    <row r="4" spans="1:12" s="373" customFormat="1" ht="16.5" customHeight="1">
      <c r="A4" s="5074" t="s">
        <v>9921</v>
      </c>
      <c r="B4" s="5074"/>
      <c r="C4" s="5075"/>
      <c r="D4" s="5076"/>
      <c r="E4" s="5076"/>
      <c r="H4" s="475"/>
      <c r="I4" s="475"/>
    </row>
    <row r="5" spans="1:12" s="373" customFormat="1" ht="16.5" customHeight="1">
      <c r="A5" s="5074" t="s">
        <v>9920</v>
      </c>
      <c r="B5" s="5074"/>
      <c r="C5" s="5075"/>
      <c r="D5" s="5073"/>
      <c r="E5" s="5073"/>
      <c r="H5" s="475"/>
      <c r="I5" s="475"/>
    </row>
    <row r="6" spans="1:12" ht="12.75" customHeight="1">
      <c r="A6" s="1663"/>
      <c r="B6" s="1663"/>
      <c r="C6" s="2404"/>
      <c r="D6" s="1663"/>
      <c r="E6" s="1664"/>
      <c r="F6" s="1663"/>
      <c r="G6" s="1663"/>
    </row>
    <row r="7" spans="1:12" ht="12.75" customHeight="1">
      <c r="A7" s="1665"/>
      <c r="B7" s="1666" t="s">
        <v>2851</v>
      </c>
      <c r="D7" s="1660"/>
      <c r="E7" s="1661"/>
      <c r="F7" s="1660"/>
      <c r="G7" s="1660"/>
    </row>
    <row r="8" spans="1:12" ht="12.75" customHeight="1">
      <c r="A8" s="1660"/>
      <c r="B8" s="1660"/>
      <c r="D8" s="1660"/>
      <c r="E8" s="1661"/>
      <c r="F8" s="1660"/>
      <c r="G8" s="1660"/>
    </row>
    <row r="9" spans="1:12" ht="12.75" customHeight="1">
      <c r="A9" s="14908" t="s">
        <v>3882</v>
      </c>
      <c r="B9" s="14908"/>
      <c r="C9" s="14908"/>
      <c r="D9" s="14908"/>
      <c r="E9" s="14908"/>
      <c r="F9" s="14908"/>
      <c r="G9" s="14908"/>
    </row>
    <row r="10" spans="1:12" ht="12.75" customHeight="1">
      <c r="A10" s="14908" t="s">
        <v>3883</v>
      </c>
      <c r="B10" s="14908"/>
      <c r="C10" s="14908"/>
      <c r="D10" s="14908"/>
      <c r="E10" s="14908"/>
      <c r="F10" s="14908"/>
      <c r="G10" s="14908"/>
    </row>
    <row r="11" spans="1:12" ht="12.75" customHeight="1">
      <c r="A11" s="14908" t="s">
        <v>3884</v>
      </c>
      <c r="B11" s="14908"/>
      <c r="C11" s="14908"/>
      <c r="D11" s="14908"/>
      <c r="E11" s="14908"/>
      <c r="F11" s="14908"/>
      <c r="G11" s="14908"/>
    </row>
    <row r="12" spans="1:12" ht="12.75" customHeight="1">
      <c r="A12" s="1667"/>
      <c r="B12" s="1667"/>
      <c r="D12" s="1667"/>
      <c r="E12" s="1661"/>
      <c r="F12" s="1660"/>
      <c r="G12" s="1660"/>
    </row>
    <row r="13" spans="1:12" ht="14.25" customHeight="1">
      <c r="A13" s="1667"/>
      <c r="B13" s="1668" t="s">
        <v>3885</v>
      </c>
      <c r="D13" s="1667"/>
      <c r="E13" s="1661"/>
      <c r="F13" s="1660"/>
      <c r="G13" s="1660"/>
    </row>
    <row r="14" spans="1:12" ht="12.75" customHeight="1">
      <c r="A14" s="1667"/>
      <c r="B14" s="1668"/>
      <c r="D14" s="1667"/>
      <c r="E14" s="1661"/>
      <c r="F14" s="1660"/>
      <c r="G14" s="1660"/>
    </row>
    <row r="15" spans="1:12" ht="18" customHeight="1">
      <c r="A15" s="1667" t="s">
        <v>3888</v>
      </c>
      <c r="B15" s="1667"/>
      <c r="D15" s="1667"/>
      <c r="E15" s="1661"/>
      <c r="F15" s="1660"/>
      <c r="G15" s="1660"/>
    </row>
    <row r="16" spans="1:12" ht="18" customHeight="1">
      <c r="A16" s="1667" t="s">
        <v>3889</v>
      </c>
      <c r="B16" s="1667"/>
      <c r="D16" s="1667"/>
      <c r="E16" s="1661"/>
      <c r="F16" s="1660"/>
      <c r="G16" s="1660"/>
    </row>
    <row r="17" spans="1:7" ht="18" customHeight="1">
      <c r="A17" s="1667" t="s">
        <v>3890</v>
      </c>
      <c r="B17" s="1667"/>
      <c r="D17" s="1667"/>
      <c r="E17" s="1661"/>
      <c r="F17" s="1660"/>
      <c r="G17" s="1660"/>
    </row>
    <row r="18" spans="1:7" ht="18" customHeight="1">
      <c r="A18" s="1667" t="s">
        <v>3886</v>
      </c>
      <c r="B18" s="1667"/>
      <c r="D18" s="1667"/>
      <c r="E18" s="1661"/>
      <c r="F18" s="1660"/>
      <c r="G18" s="1660"/>
    </row>
    <row r="19" spans="1:7" ht="18" customHeight="1">
      <c r="A19" s="1667" t="s">
        <v>4796</v>
      </c>
      <c r="B19" s="1667"/>
      <c r="D19" s="1667"/>
      <c r="E19" s="1661"/>
      <c r="F19" s="1660"/>
      <c r="G19" s="1660"/>
    </row>
    <row r="20" spans="1:7" ht="18" customHeight="1">
      <c r="A20" s="1660" t="s">
        <v>4797</v>
      </c>
      <c r="B20" s="1660"/>
      <c r="D20" s="1660"/>
      <c r="E20" s="1661"/>
      <c r="F20" s="1660"/>
      <c r="G20" s="1660"/>
    </row>
    <row r="21" spans="1:7" ht="18" customHeight="1">
      <c r="A21" s="14909" t="s">
        <v>4098</v>
      </c>
      <c r="B21" s="14909"/>
      <c r="C21" s="14909"/>
      <c r="D21" s="14909"/>
      <c r="E21" s="14909"/>
      <c r="F21" s="1660"/>
      <c r="G21" s="1660"/>
    </row>
    <row r="22" spans="1:7" ht="12.75" customHeight="1">
      <c r="A22" s="1660"/>
      <c r="B22" s="1660"/>
      <c r="D22" s="1660"/>
      <c r="E22" s="1661"/>
      <c r="F22" s="1660"/>
      <c r="G22" s="1660"/>
    </row>
    <row r="23" spans="1:7" ht="16.5" customHeight="1">
      <c r="A23" s="1669" t="s">
        <v>4794</v>
      </c>
      <c r="B23" s="1669"/>
      <c r="D23" s="1670"/>
      <c r="E23" s="1671"/>
      <c r="F23" s="1670"/>
      <c r="G23" s="1670"/>
    </row>
    <row r="24" spans="1:7" s="1674" customFormat="1" ht="28.5" customHeight="1">
      <c r="A24" s="1672" t="s">
        <v>94</v>
      </c>
      <c r="B24" s="1672" t="s">
        <v>3891</v>
      </c>
      <c r="C24" s="1720" t="s">
        <v>3892</v>
      </c>
      <c r="D24" s="1672" t="s">
        <v>3893</v>
      </c>
      <c r="E24" s="1673" t="s">
        <v>4793</v>
      </c>
      <c r="F24" s="14906" t="s">
        <v>3887</v>
      </c>
      <c r="G24" s="14907"/>
    </row>
    <row r="25" spans="1:7" s="1674" customFormat="1" ht="12.75" customHeight="1">
      <c r="A25" s="1675" t="s">
        <v>1977</v>
      </c>
      <c r="B25" s="1676" t="s">
        <v>3894</v>
      </c>
      <c r="C25" s="1721"/>
      <c r="D25" s="1676" t="s">
        <v>3895</v>
      </c>
      <c r="E25" s="1677"/>
      <c r="F25" s="1678" t="s">
        <v>1789</v>
      </c>
      <c r="G25" s="1679" t="s">
        <v>2709</v>
      </c>
    </row>
    <row r="26" spans="1:7" s="1674" customFormat="1" ht="12.75" customHeight="1">
      <c r="A26" s="1680" t="s">
        <v>472</v>
      </c>
      <c r="B26" s="1680" t="s">
        <v>473</v>
      </c>
      <c r="C26" s="1722" t="s">
        <v>474</v>
      </c>
      <c r="D26" s="1680" t="s">
        <v>3896</v>
      </c>
      <c r="E26" s="1681">
        <v>-5</v>
      </c>
      <c r="F26" s="1682"/>
      <c r="G26" s="1683"/>
    </row>
    <row r="27" spans="1:7" s="1339" customFormat="1" ht="25.5" customHeight="1">
      <c r="A27" s="1684"/>
      <c r="B27" s="1685" t="s">
        <v>3897</v>
      </c>
      <c r="C27" s="1720">
        <v>3970836</v>
      </c>
      <c r="D27" s="1686"/>
      <c r="E27" s="1687"/>
      <c r="F27" s="1688"/>
      <c r="G27" s="1689"/>
    </row>
    <row r="28" spans="1:7" s="1339" customFormat="1" ht="15.9" customHeight="1">
      <c r="A28" s="1336"/>
      <c r="B28" s="1690" t="s">
        <v>3898</v>
      </c>
      <c r="C28" s="1721"/>
      <c r="D28" s="1691"/>
      <c r="E28" s="1338"/>
      <c r="F28" s="1336" t="s">
        <v>7079</v>
      </c>
      <c r="G28" s="1692" t="s">
        <v>5113</v>
      </c>
    </row>
    <row r="29" spans="1:7" s="1339" customFormat="1" ht="15.9" customHeight="1">
      <c r="A29" s="1336"/>
      <c r="B29" s="1690" t="s">
        <v>3899</v>
      </c>
      <c r="C29" s="1723"/>
      <c r="D29" s="1336"/>
      <c r="E29" s="1338"/>
      <c r="F29" s="1336"/>
      <c r="G29" s="1336"/>
    </row>
    <row r="30" spans="1:7" s="1339" customFormat="1" ht="15.9" customHeight="1">
      <c r="A30" s="1336"/>
      <c r="B30" s="1693" t="s">
        <v>3900</v>
      </c>
      <c r="C30" s="1723"/>
      <c r="D30" s="1336"/>
      <c r="E30" s="1338"/>
      <c r="F30" s="1336"/>
      <c r="G30" s="1336"/>
    </row>
    <row r="31" spans="1:7" s="1339" customFormat="1" ht="15.9" customHeight="1">
      <c r="A31" s="1336"/>
      <c r="B31" s="1691" t="s">
        <v>3901</v>
      </c>
      <c r="C31" s="1723"/>
      <c r="D31" s="1336" t="s">
        <v>3902</v>
      </c>
      <c r="E31" s="1338">
        <v>100</v>
      </c>
      <c r="F31" s="1336"/>
      <c r="G31" s="1336"/>
    </row>
    <row r="32" spans="1:7" s="1339" customFormat="1" ht="15.9" customHeight="1">
      <c r="A32" s="1336"/>
      <c r="B32" s="1691" t="s">
        <v>3903</v>
      </c>
      <c r="C32" s="1723"/>
      <c r="D32" s="1336" t="s">
        <v>3904</v>
      </c>
      <c r="E32" s="1338"/>
      <c r="F32" s="1336"/>
      <c r="G32" s="1692"/>
    </row>
    <row r="33" spans="1:7" s="1339" customFormat="1" ht="15.9" customHeight="1">
      <c r="A33" s="1336"/>
      <c r="B33" s="1336" t="s">
        <v>3905</v>
      </c>
      <c r="C33" s="1723"/>
      <c r="D33" s="1336"/>
      <c r="E33" s="1338"/>
      <c r="F33" s="1336"/>
      <c r="G33" s="1336"/>
    </row>
    <row r="34" spans="1:7" s="1339" customFormat="1" ht="15.9" customHeight="1">
      <c r="A34" s="1336"/>
      <c r="B34" s="1336" t="s">
        <v>3906</v>
      </c>
      <c r="C34" s="1723"/>
      <c r="D34" s="1336"/>
      <c r="E34" s="1338"/>
      <c r="F34" s="1336"/>
      <c r="G34" s="1336"/>
    </row>
    <row r="35" spans="1:7" s="1339" customFormat="1" ht="15.9" customHeight="1">
      <c r="A35" s="1336"/>
      <c r="B35" s="1336" t="s">
        <v>3907</v>
      </c>
      <c r="C35" s="1723"/>
      <c r="D35" s="1336" t="s">
        <v>3902</v>
      </c>
      <c r="E35" s="1338">
        <v>2400</v>
      </c>
      <c r="F35" s="1336"/>
      <c r="G35" s="1692"/>
    </row>
    <row r="36" spans="1:7" s="1339" customFormat="1" ht="15.9" customHeight="1">
      <c r="A36" s="1336"/>
      <c r="B36" s="1676" t="s">
        <v>4795</v>
      </c>
      <c r="C36" s="1723"/>
      <c r="D36" s="1336" t="s">
        <v>2588</v>
      </c>
      <c r="E36" s="1338"/>
      <c r="F36" s="1336"/>
      <c r="G36" s="1692"/>
    </row>
    <row r="37" spans="1:7" s="1339" customFormat="1" ht="15.9" customHeight="1">
      <c r="A37" s="1336"/>
      <c r="B37" s="1336" t="s">
        <v>3908</v>
      </c>
      <c r="C37" s="1723"/>
      <c r="D37" s="1336"/>
      <c r="E37" s="1338"/>
      <c r="F37" s="1336"/>
      <c r="G37" s="1336"/>
    </row>
    <row r="38" spans="1:7" s="1339" customFormat="1" ht="15.9" customHeight="1">
      <c r="A38" s="1336"/>
      <c r="B38" s="1336" t="s">
        <v>3909</v>
      </c>
      <c r="C38" s="1723"/>
      <c r="D38" s="1336"/>
      <c r="E38" s="1338"/>
      <c r="F38" s="1336"/>
      <c r="G38" s="1336"/>
    </row>
    <row r="39" spans="1:7" s="1339" customFormat="1" ht="15.9" customHeight="1">
      <c r="A39" s="1336"/>
      <c r="B39" s="1336" t="s">
        <v>3910</v>
      </c>
      <c r="C39" s="1723"/>
      <c r="D39" s="1336" t="s">
        <v>3911</v>
      </c>
      <c r="E39" s="1338">
        <v>200</v>
      </c>
      <c r="F39" s="1336"/>
      <c r="G39" s="1336"/>
    </row>
    <row r="40" spans="1:7" s="1339" customFormat="1" ht="15.9" customHeight="1">
      <c r="A40" s="1336"/>
      <c r="B40" s="1336" t="s">
        <v>3912</v>
      </c>
      <c r="C40" s="1723"/>
      <c r="D40" s="1336" t="s">
        <v>3913</v>
      </c>
      <c r="E40" s="1338"/>
      <c r="F40" s="1336"/>
      <c r="G40" s="1336"/>
    </row>
    <row r="41" spans="1:7" s="1339" customFormat="1" ht="15.9" customHeight="1">
      <c r="A41" s="1336"/>
      <c r="B41" s="1336" t="s">
        <v>3914</v>
      </c>
      <c r="C41" s="1723"/>
      <c r="D41" s="1336" t="s">
        <v>3915</v>
      </c>
      <c r="E41" s="1338">
        <v>2400</v>
      </c>
      <c r="F41" s="1336"/>
      <c r="G41" s="1336"/>
    </row>
    <row r="42" spans="1:7" s="1339" customFormat="1" ht="15.9" customHeight="1">
      <c r="A42" s="1336"/>
      <c r="B42" s="1336" t="s">
        <v>3916</v>
      </c>
      <c r="C42" s="1723"/>
      <c r="D42" s="1336" t="s">
        <v>3917</v>
      </c>
      <c r="E42" s="1338">
        <v>180000</v>
      </c>
      <c r="F42" s="1336"/>
      <c r="G42" s="1336"/>
    </row>
    <row r="43" spans="1:7" s="1339" customFormat="1" ht="15.9" customHeight="1">
      <c r="A43" s="1336"/>
      <c r="B43" s="1336" t="s">
        <v>3918</v>
      </c>
      <c r="C43" s="1723"/>
      <c r="D43" s="1336"/>
      <c r="E43" s="1338"/>
      <c r="F43" s="1336"/>
      <c r="G43" s="1336"/>
    </row>
    <row r="44" spans="1:7" s="1339" customFormat="1" ht="15.9" customHeight="1">
      <c r="A44" s="1336"/>
      <c r="B44" s="1336" t="s">
        <v>3919</v>
      </c>
      <c r="C44" s="1723"/>
      <c r="D44" s="1336"/>
      <c r="E44" s="1338"/>
      <c r="F44" s="1336"/>
      <c r="G44" s="1336"/>
    </row>
    <row r="45" spans="1:7" s="1339" customFormat="1" ht="15.9" customHeight="1">
      <c r="A45" s="1336"/>
      <c r="B45" s="1336" t="s">
        <v>4997</v>
      </c>
      <c r="C45" s="1723"/>
      <c r="D45" s="1336"/>
      <c r="E45" s="1338"/>
      <c r="F45" s="1336"/>
      <c r="G45" s="1336"/>
    </row>
    <row r="46" spans="1:7" s="1339" customFormat="1" ht="15.9" customHeight="1">
      <c r="A46" s="1336"/>
      <c r="B46" s="1336" t="s">
        <v>3920</v>
      </c>
      <c r="C46" s="1723"/>
      <c r="D46" s="1336" t="s">
        <v>3921</v>
      </c>
      <c r="E46" s="1338">
        <v>2400</v>
      </c>
      <c r="F46" s="1336"/>
      <c r="G46" s="1336"/>
    </row>
    <row r="47" spans="1:7" s="1339" customFormat="1" ht="15.9" customHeight="1">
      <c r="A47" s="1336"/>
      <c r="B47" s="1336" t="s">
        <v>3922</v>
      </c>
      <c r="C47" s="1723"/>
      <c r="D47" s="1336" t="s">
        <v>3923</v>
      </c>
      <c r="E47" s="1338">
        <v>1080</v>
      </c>
      <c r="F47" s="1336"/>
      <c r="G47" s="1336"/>
    </row>
    <row r="48" spans="1:7" s="1339" customFormat="1" ht="15.9" customHeight="1">
      <c r="A48" s="1336"/>
      <c r="B48" s="1336" t="s">
        <v>3924</v>
      </c>
      <c r="C48" s="1723"/>
      <c r="D48" s="1336" t="s">
        <v>3925</v>
      </c>
      <c r="E48" s="1338"/>
      <c r="F48" s="1336"/>
      <c r="G48" s="1336"/>
    </row>
    <row r="49" spans="1:7" s="1339" customFormat="1" ht="15.9" customHeight="1">
      <c r="A49" s="1336"/>
      <c r="B49" s="1336" t="s">
        <v>3926</v>
      </c>
      <c r="C49" s="1723"/>
      <c r="D49" s="1336" t="s">
        <v>3927</v>
      </c>
      <c r="E49" s="1338">
        <v>1080</v>
      </c>
      <c r="F49" s="1336"/>
      <c r="G49" s="1336"/>
    </row>
    <row r="50" spans="1:7" s="1339" customFormat="1" ht="15.9" customHeight="1">
      <c r="A50" s="1336"/>
      <c r="B50" s="1336" t="s">
        <v>3928</v>
      </c>
      <c r="C50" s="1723"/>
      <c r="D50" s="1336" t="s">
        <v>3929</v>
      </c>
      <c r="E50" s="1338"/>
      <c r="F50" s="1336"/>
      <c r="G50" s="1336"/>
    </row>
    <row r="51" spans="1:7" s="1339" customFormat="1" ht="15.9" customHeight="1">
      <c r="A51" s="1336"/>
      <c r="B51" s="1336" t="s">
        <v>3930</v>
      </c>
      <c r="C51" s="1723"/>
      <c r="D51" s="1336" t="s">
        <v>3931</v>
      </c>
      <c r="E51" s="1338">
        <v>1080</v>
      </c>
      <c r="F51" s="1336"/>
      <c r="G51" s="1336"/>
    </row>
    <row r="52" spans="1:7" s="1339" customFormat="1" ht="15.9" customHeight="1">
      <c r="A52" s="1336"/>
      <c r="B52" s="1336" t="s">
        <v>3932</v>
      </c>
      <c r="C52" s="1723"/>
      <c r="D52" s="1336"/>
      <c r="E52" s="1338"/>
      <c r="F52" s="1336"/>
      <c r="G52" s="1336"/>
    </row>
    <row r="53" spans="1:7" s="1339" customFormat="1" ht="15.9" customHeight="1">
      <c r="A53" s="1336"/>
      <c r="B53" s="1336" t="s">
        <v>3933</v>
      </c>
      <c r="C53" s="1723"/>
      <c r="D53" s="1336" t="s">
        <v>3934</v>
      </c>
      <c r="E53" s="1338">
        <v>60</v>
      </c>
      <c r="F53" s="1336"/>
      <c r="G53" s="1336"/>
    </row>
    <row r="54" spans="1:7" s="1339" customFormat="1" ht="14.25" customHeight="1">
      <c r="A54" s="1336"/>
      <c r="B54" s="1336" t="s">
        <v>3935</v>
      </c>
      <c r="C54" s="1723"/>
      <c r="D54" s="1336" t="s">
        <v>3936</v>
      </c>
      <c r="E54" s="1338"/>
      <c r="F54" s="1336"/>
      <c r="G54" s="1336"/>
    </row>
    <row r="55" spans="1:7" s="1339" customFormat="1" ht="13.5" customHeight="1">
      <c r="A55" s="1336"/>
      <c r="B55" s="1336"/>
      <c r="C55" s="1723"/>
      <c r="D55" s="1336" t="s">
        <v>4996</v>
      </c>
      <c r="E55" s="1338"/>
      <c r="F55" s="1336"/>
      <c r="G55" s="1336"/>
    </row>
    <row r="56" spans="1:7" s="1339" customFormat="1" ht="15.9" customHeight="1">
      <c r="A56" s="1336"/>
      <c r="B56" s="1336" t="s">
        <v>3938</v>
      </c>
      <c r="C56" s="1723"/>
      <c r="D56" s="1336" t="s">
        <v>3939</v>
      </c>
      <c r="E56" s="1338">
        <v>12</v>
      </c>
      <c r="F56" s="1336"/>
      <c r="G56" s="1336"/>
    </row>
    <row r="57" spans="1:7" s="1339" customFormat="1" ht="15.9" customHeight="1">
      <c r="A57" s="1336"/>
      <c r="B57" s="1336"/>
      <c r="C57" s="1723"/>
      <c r="D57" s="1336" t="s">
        <v>3940</v>
      </c>
      <c r="E57" s="1338"/>
      <c r="F57" s="1336"/>
      <c r="G57" s="1336"/>
    </row>
    <row r="58" spans="1:7" s="1339" customFormat="1" ht="15.9" customHeight="1">
      <c r="A58" s="1336"/>
      <c r="B58" s="1690" t="s">
        <v>3941</v>
      </c>
      <c r="C58" s="1723"/>
      <c r="D58" s="1336"/>
      <c r="E58" s="1338"/>
      <c r="F58" s="1336"/>
      <c r="G58" s="1336"/>
    </row>
    <row r="59" spans="1:7" s="1339" customFormat="1" ht="15.9" customHeight="1">
      <c r="A59" s="1336"/>
      <c r="B59" s="1336" t="s">
        <v>3942</v>
      </c>
      <c r="C59" s="1721"/>
      <c r="D59" s="1336"/>
      <c r="E59" s="1338"/>
      <c r="F59" s="1336"/>
      <c r="G59" s="1336"/>
    </row>
    <row r="60" spans="1:7" s="1339" customFormat="1" ht="15.9" customHeight="1">
      <c r="A60" s="1336"/>
      <c r="B60" s="1336" t="s">
        <v>3943</v>
      </c>
      <c r="C60" s="1723"/>
      <c r="D60" s="1336" t="s">
        <v>3944</v>
      </c>
      <c r="E60" s="1338">
        <v>1080</v>
      </c>
      <c r="F60" s="1336"/>
      <c r="G60" s="1336"/>
    </row>
    <row r="61" spans="1:7" s="1339" customFormat="1" ht="15.9" customHeight="1">
      <c r="A61" s="1336"/>
      <c r="B61" s="1336" t="s">
        <v>4099</v>
      </c>
      <c r="C61" s="1723"/>
      <c r="D61" s="1336" t="s">
        <v>3945</v>
      </c>
      <c r="E61" s="1338"/>
      <c r="F61" s="1336"/>
      <c r="G61" s="1336"/>
    </row>
    <row r="62" spans="1:7" s="1339" customFormat="1" ht="15.9" customHeight="1">
      <c r="A62" s="1336"/>
      <c r="B62" s="1336" t="s">
        <v>3946</v>
      </c>
      <c r="C62" s="1723"/>
      <c r="D62" s="1336"/>
      <c r="E62" s="1338"/>
      <c r="F62" s="1336"/>
      <c r="G62" s="1336"/>
    </row>
    <row r="63" spans="1:7" s="1339" customFormat="1" ht="15.9" customHeight="1">
      <c r="A63" s="1336"/>
      <c r="B63" s="1336" t="s">
        <v>3947</v>
      </c>
      <c r="C63" s="1723"/>
      <c r="D63" s="1336"/>
      <c r="E63" s="1338"/>
      <c r="F63" s="1336"/>
      <c r="G63" s="1336"/>
    </row>
    <row r="64" spans="1:7" s="1339" customFormat="1" ht="15.9" customHeight="1">
      <c r="A64" s="1336"/>
      <c r="B64" s="1336" t="s">
        <v>3948</v>
      </c>
      <c r="C64" s="1723"/>
      <c r="D64" s="1336" t="s">
        <v>3949</v>
      </c>
      <c r="E64" s="1338">
        <v>2400</v>
      </c>
      <c r="F64" s="1336"/>
      <c r="G64" s="1336"/>
    </row>
    <row r="65" spans="1:7" s="1339" customFormat="1" ht="15.9" customHeight="1">
      <c r="A65" s="1336"/>
      <c r="B65" s="1336" t="s">
        <v>3950</v>
      </c>
      <c r="C65" s="1723"/>
      <c r="D65" s="1336" t="s">
        <v>3951</v>
      </c>
      <c r="E65" s="1338"/>
      <c r="F65" s="1336"/>
      <c r="G65" s="1336"/>
    </row>
    <row r="66" spans="1:7" s="1339" customFormat="1" ht="15.9" customHeight="1">
      <c r="A66" s="1694"/>
      <c r="B66" s="1694"/>
      <c r="C66" s="1724"/>
      <c r="D66" s="1694"/>
      <c r="E66" s="1696"/>
      <c r="F66" s="1694"/>
      <c r="G66" s="1694"/>
    </row>
    <row r="67" spans="1:7" s="1339" customFormat="1" ht="15.9" customHeight="1">
      <c r="A67" s="1697"/>
      <c r="B67" s="1697"/>
      <c r="C67" s="1725"/>
      <c r="D67" s="1697"/>
      <c r="E67" s="1699"/>
      <c r="F67" s="1697"/>
      <c r="G67" s="1697"/>
    </row>
    <row r="68" spans="1:7" s="1339" customFormat="1" ht="15.9" customHeight="1">
      <c r="A68" s="1697"/>
      <c r="B68" s="1697"/>
      <c r="C68" s="1725"/>
      <c r="D68" s="1697"/>
      <c r="E68" s="1699"/>
      <c r="F68" s="1697"/>
      <c r="G68" s="1697"/>
    </row>
    <row r="69" spans="1:7" s="1339" customFormat="1" ht="15.9" customHeight="1">
      <c r="A69" s="1697"/>
      <c r="B69" s="1697"/>
      <c r="C69" s="1725"/>
      <c r="D69" s="1697"/>
      <c r="E69" s="1699"/>
      <c r="F69" s="1697"/>
      <c r="G69" s="1697"/>
    </row>
    <row r="70" spans="1:7" s="1339" customFormat="1" ht="15.9" customHeight="1">
      <c r="A70" s="1697"/>
      <c r="B70" s="1697"/>
      <c r="C70" s="1725"/>
      <c r="D70" s="1697"/>
      <c r="E70" s="1699"/>
      <c r="F70" s="1697"/>
      <c r="G70" s="1697"/>
    </row>
    <row r="71" spans="1:7" s="1674" customFormat="1" ht="28.5" customHeight="1">
      <c r="A71" s="1672" t="s">
        <v>94</v>
      </c>
      <c r="B71" s="1672" t="s">
        <v>3891</v>
      </c>
      <c r="C71" s="1720" t="s">
        <v>3892</v>
      </c>
      <c r="D71" s="1672" t="s">
        <v>3893</v>
      </c>
      <c r="E71" s="1673" t="s">
        <v>4793</v>
      </c>
      <c r="F71" s="14906" t="s">
        <v>3887</v>
      </c>
      <c r="G71" s="14907"/>
    </row>
    <row r="72" spans="1:7" s="1674" customFormat="1" ht="12.75" customHeight="1">
      <c r="A72" s="1675" t="s">
        <v>1977</v>
      </c>
      <c r="B72" s="1676" t="s">
        <v>3894</v>
      </c>
      <c r="C72" s="1721"/>
      <c r="D72" s="1676" t="s">
        <v>3895</v>
      </c>
      <c r="E72" s="1677"/>
      <c r="F72" s="1678" t="s">
        <v>1789</v>
      </c>
      <c r="G72" s="1679" t="s">
        <v>2709</v>
      </c>
    </row>
    <row r="73" spans="1:7" s="1674" customFormat="1" ht="12.75" customHeight="1">
      <c r="A73" s="1680" t="s">
        <v>472</v>
      </c>
      <c r="B73" s="1680" t="s">
        <v>473</v>
      </c>
      <c r="C73" s="1722" t="s">
        <v>474</v>
      </c>
      <c r="D73" s="1680" t="s">
        <v>3896</v>
      </c>
      <c r="E73" s="1681">
        <v>-5</v>
      </c>
      <c r="F73" s="1682"/>
      <c r="G73" s="1683"/>
    </row>
    <row r="74" spans="1:7" s="1697" customFormat="1" ht="15.9" customHeight="1">
      <c r="A74" s="1700"/>
      <c r="B74" s="1700" t="s">
        <v>3952</v>
      </c>
      <c r="C74" s="1726"/>
      <c r="D74" s="1700" t="s">
        <v>3953</v>
      </c>
      <c r="E74" s="1702">
        <v>216</v>
      </c>
      <c r="F74" s="1700"/>
      <c r="G74" s="1700"/>
    </row>
    <row r="75" spans="1:7" s="1339" customFormat="1" ht="15.9" customHeight="1">
      <c r="A75" s="1336"/>
      <c r="B75" s="1336" t="s">
        <v>3954</v>
      </c>
      <c r="C75" s="1723"/>
      <c r="D75" s="1336" t="s">
        <v>3955</v>
      </c>
      <c r="E75" s="1338"/>
      <c r="F75" s="1336"/>
      <c r="G75" s="1336"/>
    </row>
    <row r="76" spans="1:7" s="1339" customFormat="1" ht="15.9" customHeight="1">
      <c r="A76" s="1336"/>
      <c r="B76" s="1336" t="s">
        <v>3956</v>
      </c>
      <c r="C76" s="1723"/>
      <c r="D76" s="1336" t="s">
        <v>3957</v>
      </c>
      <c r="E76" s="1338"/>
      <c r="F76" s="1336"/>
      <c r="G76" s="1336"/>
    </row>
    <row r="77" spans="1:7" s="1339" customFormat="1" ht="15.9" customHeight="1">
      <c r="A77" s="1336"/>
      <c r="B77" s="1336"/>
      <c r="C77" s="1723"/>
      <c r="D77" s="1336" t="s">
        <v>3958</v>
      </c>
      <c r="E77" s="1338"/>
      <c r="F77" s="1336"/>
      <c r="G77" s="1336"/>
    </row>
    <row r="78" spans="1:7" s="1339" customFormat="1" ht="15.9" customHeight="1">
      <c r="A78" s="1336"/>
      <c r="B78" s="1336" t="s">
        <v>3959</v>
      </c>
      <c r="C78" s="1723"/>
      <c r="D78" s="1336" t="s">
        <v>3944</v>
      </c>
      <c r="E78" s="1338">
        <v>216</v>
      </c>
      <c r="F78" s="1336"/>
      <c r="G78" s="1336"/>
    </row>
    <row r="79" spans="1:7" s="1339" customFormat="1" ht="15.9" customHeight="1">
      <c r="A79" s="1336"/>
      <c r="B79" s="1336" t="s">
        <v>3960</v>
      </c>
      <c r="C79" s="1723"/>
      <c r="D79" s="1336" t="s">
        <v>3961</v>
      </c>
      <c r="E79" s="1338"/>
      <c r="F79" s="1336"/>
      <c r="G79" s="1336"/>
    </row>
    <row r="80" spans="1:7" s="1339" customFormat="1" ht="15.9" customHeight="1">
      <c r="A80" s="1336"/>
      <c r="B80" s="1690" t="s">
        <v>3962</v>
      </c>
      <c r="C80" s="1723"/>
      <c r="D80" s="1336"/>
      <c r="E80" s="1338"/>
      <c r="F80" s="1336"/>
      <c r="G80" s="1336"/>
    </row>
    <row r="81" spans="1:7" s="1339" customFormat="1" ht="15.9" customHeight="1">
      <c r="A81" s="1336"/>
      <c r="B81" s="1336" t="s">
        <v>3963</v>
      </c>
      <c r="C81" s="1723"/>
      <c r="D81" s="1336" t="s">
        <v>3964</v>
      </c>
      <c r="E81" s="1338">
        <v>864</v>
      </c>
      <c r="F81" s="1336"/>
      <c r="G81" s="1336"/>
    </row>
    <row r="82" spans="1:7" s="1339" customFormat="1" ht="15.9" customHeight="1">
      <c r="A82" s="1336"/>
      <c r="B82" s="1336" t="s">
        <v>3965</v>
      </c>
      <c r="C82" s="1723"/>
      <c r="D82" s="1336" t="s">
        <v>3966</v>
      </c>
      <c r="E82" s="1338"/>
      <c r="F82" s="1336"/>
      <c r="G82" s="1336"/>
    </row>
    <row r="83" spans="1:7" s="1339" customFormat="1" ht="15.9" customHeight="1">
      <c r="A83" s="1336"/>
      <c r="B83" s="1336" t="s">
        <v>3967</v>
      </c>
      <c r="C83" s="1723"/>
      <c r="D83" s="1336"/>
      <c r="E83" s="1338"/>
      <c r="F83" s="1336"/>
      <c r="G83" s="1336"/>
    </row>
    <row r="84" spans="1:7" s="1339" customFormat="1" ht="15.9" customHeight="1">
      <c r="A84" s="1336"/>
      <c r="B84" s="1336" t="s">
        <v>3968</v>
      </c>
      <c r="C84" s="1723"/>
      <c r="D84" s="1336" t="s">
        <v>3969</v>
      </c>
      <c r="E84" s="1338">
        <v>1080</v>
      </c>
      <c r="F84" s="1336"/>
      <c r="G84" s="1336"/>
    </row>
    <row r="85" spans="1:7" s="1339" customFormat="1" ht="15.9" customHeight="1">
      <c r="A85" s="1336"/>
      <c r="B85" s="1336" t="s">
        <v>3970</v>
      </c>
      <c r="C85" s="1723"/>
      <c r="D85" s="1336" t="s">
        <v>3971</v>
      </c>
      <c r="E85" s="1338"/>
      <c r="F85" s="1336"/>
      <c r="G85" s="1336"/>
    </row>
    <row r="86" spans="1:7" s="1339" customFormat="1" ht="15.9" customHeight="1">
      <c r="A86" s="1336"/>
      <c r="B86" s="1336" t="s">
        <v>3972</v>
      </c>
      <c r="C86" s="1723"/>
      <c r="D86" s="1336"/>
      <c r="E86" s="1338"/>
      <c r="F86" s="1336"/>
      <c r="G86" s="1336"/>
    </row>
    <row r="87" spans="1:7" s="1339" customFormat="1" ht="15.9" customHeight="1">
      <c r="A87" s="1336"/>
      <c r="B87" s="1336" t="s">
        <v>3973</v>
      </c>
      <c r="C87" s="1723"/>
      <c r="D87" s="1336" t="s">
        <v>3974</v>
      </c>
      <c r="E87" s="1338"/>
      <c r="F87" s="1336"/>
      <c r="G87" s="1336"/>
    </row>
    <row r="88" spans="1:7" s="1339" customFormat="1" ht="15.9" customHeight="1">
      <c r="A88" s="1336"/>
      <c r="B88" s="1336" t="s">
        <v>3975</v>
      </c>
      <c r="C88" s="1723"/>
      <c r="D88" s="1336" t="s">
        <v>3976</v>
      </c>
      <c r="E88" s="1338"/>
      <c r="F88" s="1336"/>
      <c r="G88" s="1336"/>
    </row>
    <row r="89" spans="1:7" s="1339" customFormat="1" ht="15.9" customHeight="1">
      <c r="A89" s="1336"/>
      <c r="B89" s="1336" t="s">
        <v>3977</v>
      </c>
      <c r="C89" s="1723"/>
      <c r="D89" s="1336" t="s">
        <v>3978</v>
      </c>
      <c r="E89" s="1338">
        <v>2800</v>
      </c>
      <c r="F89" s="1336"/>
      <c r="G89" s="1336"/>
    </row>
    <row r="90" spans="1:7" s="1339" customFormat="1" ht="15.9" customHeight="1">
      <c r="A90" s="1336"/>
      <c r="B90" s="1336" t="s">
        <v>3979</v>
      </c>
      <c r="C90" s="1723"/>
      <c r="D90" s="1336" t="s">
        <v>3980</v>
      </c>
      <c r="E90" s="1338"/>
      <c r="F90" s="1336"/>
      <c r="G90" s="1336"/>
    </row>
    <row r="91" spans="1:7" s="1339" customFormat="1" ht="15.9" customHeight="1">
      <c r="A91" s="1336"/>
      <c r="B91" s="1336" t="s">
        <v>3981</v>
      </c>
      <c r="C91" s="1723"/>
      <c r="D91" s="1336" t="s">
        <v>4994</v>
      </c>
      <c r="E91" s="1338">
        <v>216</v>
      </c>
      <c r="F91" s="1336"/>
      <c r="G91" s="1336"/>
    </row>
    <row r="92" spans="1:7" s="1339" customFormat="1" ht="15.9" customHeight="1">
      <c r="A92" s="1336"/>
      <c r="B92" s="1336" t="s">
        <v>3982</v>
      </c>
      <c r="C92" s="1723"/>
      <c r="D92" s="1336" t="s">
        <v>3983</v>
      </c>
      <c r="E92" s="1338">
        <v>480</v>
      </c>
      <c r="F92" s="1336"/>
      <c r="G92" s="1336"/>
    </row>
    <row r="93" spans="1:7" s="1339" customFormat="1" ht="15.9" customHeight="1">
      <c r="A93" s="1336"/>
      <c r="B93" s="1336" t="s">
        <v>3984</v>
      </c>
      <c r="C93" s="1723"/>
      <c r="D93" s="1336" t="s">
        <v>3985</v>
      </c>
      <c r="E93" s="1338">
        <v>200</v>
      </c>
      <c r="F93" s="1336"/>
      <c r="G93" s="1336"/>
    </row>
    <row r="94" spans="1:7" s="1339" customFormat="1" ht="15.9" customHeight="1">
      <c r="A94" s="1336"/>
      <c r="B94" s="1336"/>
      <c r="C94" s="1723"/>
      <c r="D94" s="1336" t="s">
        <v>3986</v>
      </c>
      <c r="E94" s="1338"/>
      <c r="F94" s="1336"/>
      <c r="G94" s="1336"/>
    </row>
    <row r="95" spans="1:7" s="1339" customFormat="1" ht="15.9" customHeight="1">
      <c r="A95" s="1336"/>
      <c r="B95" s="1336" t="s">
        <v>3987</v>
      </c>
      <c r="C95" s="1723"/>
      <c r="D95" s="1336" t="s">
        <v>3988</v>
      </c>
      <c r="E95" s="1338">
        <v>50</v>
      </c>
      <c r="F95" s="1336"/>
      <c r="G95" s="1336"/>
    </row>
    <row r="96" spans="1:7" s="1339" customFormat="1" ht="15.9" customHeight="1">
      <c r="A96" s="1336"/>
      <c r="B96" s="1336" t="s">
        <v>3989</v>
      </c>
      <c r="C96" s="1723"/>
      <c r="D96" s="1336" t="s">
        <v>3990</v>
      </c>
      <c r="E96" s="1338"/>
      <c r="F96" s="1336"/>
      <c r="G96" s="1336"/>
    </row>
    <row r="97" spans="1:7" s="1339" customFormat="1" ht="15.9" customHeight="1">
      <c r="A97" s="1336"/>
      <c r="B97" s="1336" t="s">
        <v>3991</v>
      </c>
      <c r="C97" s="1723"/>
      <c r="D97" s="1336" t="s">
        <v>3992</v>
      </c>
      <c r="E97" s="1338">
        <v>100</v>
      </c>
      <c r="F97" s="1336"/>
      <c r="G97" s="1336"/>
    </row>
    <row r="98" spans="1:7" s="1339" customFormat="1" ht="15.9" customHeight="1">
      <c r="A98" s="1336"/>
      <c r="B98" s="1336" t="s">
        <v>3993</v>
      </c>
      <c r="C98" s="1723"/>
      <c r="D98" s="1336" t="s">
        <v>3994</v>
      </c>
      <c r="E98" s="1338"/>
      <c r="F98" s="1336"/>
      <c r="G98" s="1336"/>
    </row>
    <row r="99" spans="1:7" s="1339" customFormat="1" ht="15.9" customHeight="1">
      <c r="A99" s="1336"/>
      <c r="B99" s="1336" t="s">
        <v>3995</v>
      </c>
      <c r="C99" s="1723"/>
      <c r="D99" s="1336" t="s">
        <v>3996</v>
      </c>
      <c r="E99" s="1338">
        <v>450</v>
      </c>
      <c r="F99" s="1336"/>
      <c r="G99" s="1336"/>
    </row>
    <row r="100" spans="1:7" s="1339" customFormat="1" ht="15.9" customHeight="1">
      <c r="A100" s="1336"/>
      <c r="B100" s="1336" t="s">
        <v>3997</v>
      </c>
      <c r="C100" s="1723"/>
      <c r="D100" s="1336" t="s">
        <v>3998</v>
      </c>
      <c r="E100" s="1338"/>
      <c r="F100" s="1336"/>
      <c r="G100" s="1336"/>
    </row>
    <row r="101" spans="1:7" s="1339" customFormat="1" ht="15.9" customHeight="1">
      <c r="A101" s="1336"/>
      <c r="B101" s="1336"/>
      <c r="C101" s="1723"/>
      <c r="D101" s="1336" t="s">
        <v>3980</v>
      </c>
      <c r="E101" s="1338"/>
      <c r="F101" s="1336"/>
      <c r="G101" s="1336"/>
    </row>
    <row r="102" spans="1:7" s="1339" customFormat="1" ht="15.9" customHeight="1">
      <c r="A102" s="1336"/>
      <c r="B102" s="1336" t="s">
        <v>3999</v>
      </c>
      <c r="C102" s="1723"/>
      <c r="D102" s="1336" t="s">
        <v>4000</v>
      </c>
      <c r="E102" s="1338">
        <v>125</v>
      </c>
      <c r="F102" s="1336"/>
      <c r="G102" s="1336"/>
    </row>
    <row r="103" spans="1:7" s="1339" customFormat="1" ht="15.9" customHeight="1">
      <c r="A103" s="1336"/>
      <c r="B103" s="1336" t="s">
        <v>4001</v>
      </c>
      <c r="C103" s="1723"/>
      <c r="D103" s="1336" t="s">
        <v>4002</v>
      </c>
      <c r="E103" s="1338"/>
      <c r="F103" s="1336"/>
      <c r="G103" s="1336"/>
    </row>
    <row r="104" spans="1:7" s="1339" customFormat="1" ht="15.9" customHeight="1">
      <c r="A104" s="1336"/>
      <c r="B104" s="1336"/>
      <c r="C104" s="1723"/>
      <c r="D104" s="1336" t="s">
        <v>4995</v>
      </c>
      <c r="E104" s="1338"/>
      <c r="F104" s="1336"/>
      <c r="G104" s="1336"/>
    </row>
    <row r="105" spans="1:7" s="1339" customFormat="1" ht="15.9" customHeight="1">
      <c r="A105" s="1336"/>
      <c r="B105" s="1336" t="s">
        <v>4003</v>
      </c>
      <c r="C105" s="1723"/>
      <c r="D105" s="1336" t="s">
        <v>4002</v>
      </c>
      <c r="E105" s="1338">
        <v>240</v>
      </c>
      <c r="F105" s="1336"/>
      <c r="G105" s="1336"/>
    </row>
    <row r="106" spans="1:7" s="1339" customFormat="1" ht="15.9" customHeight="1">
      <c r="A106" s="1336"/>
      <c r="B106" s="1336" t="s">
        <v>4004</v>
      </c>
      <c r="C106" s="1723"/>
      <c r="D106" s="1336" t="s">
        <v>4005</v>
      </c>
      <c r="E106" s="1338"/>
      <c r="F106" s="1336"/>
      <c r="G106" s="1336"/>
    </row>
    <row r="107" spans="1:7" s="1339" customFormat="1" ht="15.9" customHeight="1">
      <c r="A107" s="1336"/>
      <c r="B107" s="1336" t="s">
        <v>4006</v>
      </c>
      <c r="C107" s="1723"/>
      <c r="D107" s="1336" t="s">
        <v>4007</v>
      </c>
      <c r="E107" s="1338"/>
      <c r="F107" s="1336"/>
      <c r="G107" s="1336"/>
    </row>
    <row r="108" spans="1:7" s="1339" customFormat="1" ht="15.9" customHeight="1">
      <c r="A108" s="1336"/>
      <c r="B108" s="1336" t="s">
        <v>4008</v>
      </c>
      <c r="C108" s="1723"/>
      <c r="D108" s="1336" t="s">
        <v>4009</v>
      </c>
      <c r="E108" s="1338">
        <v>1128</v>
      </c>
      <c r="F108" s="1336"/>
      <c r="G108" s="1336"/>
    </row>
    <row r="109" spans="1:7" s="1339" customFormat="1" ht="15.9" customHeight="1">
      <c r="A109" s="1336"/>
      <c r="B109" s="1336" t="s">
        <v>4010</v>
      </c>
      <c r="C109" s="1723"/>
      <c r="D109" s="1336"/>
      <c r="E109" s="1338"/>
      <c r="F109" s="1336"/>
      <c r="G109" s="1336"/>
    </row>
    <row r="110" spans="1:7" s="1339" customFormat="1" ht="15.9" customHeight="1">
      <c r="A110" s="1336"/>
      <c r="B110" s="1336" t="s">
        <v>4011</v>
      </c>
      <c r="C110" s="1723"/>
      <c r="D110" s="1336"/>
      <c r="E110" s="1338"/>
      <c r="F110" s="1336"/>
      <c r="G110" s="1336"/>
    </row>
    <row r="111" spans="1:7" s="1339" customFormat="1" ht="15.9" customHeight="1">
      <c r="A111" s="1336"/>
      <c r="B111" s="1336" t="s">
        <v>4012</v>
      </c>
      <c r="C111" s="1723"/>
      <c r="D111" s="1336" t="s">
        <v>4013</v>
      </c>
      <c r="E111" s="1338">
        <v>2300</v>
      </c>
      <c r="F111" s="1336"/>
      <c r="G111" s="1336"/>
    </row>
    <row r="112" spans="1:7" s="1339" customFormat="1" ht="15.9" customHeight="1">
      <c r="A112" s="1336"/>
      <c r="B112" s="1336" t="s">
        <v>4014</v>
      </c>
      <c r="C112" s="1723"/>
      <c r="D112" s="1336" t="s">
        <v>4015</v>
      </c>
      <c r="E112" s="1338"/>
      <c r="F112" s="1336"/>
      <c r="G112" s="1336"/>
    </row>
    <row r="113" spans="1:7" s="1339" customFormat="1" ht="15.9" customHeight="1">
      <c r="A113" s="1336"/>
      <c r="B113" s="1336" t="s">
        <v>4016</v>
      </c>
      <c r="C113" s="1723"/>
      <c r="D113" s="1336" t="s">
        <v>4017</v>
      </c>
      <c r="E113" s="1338">
        <v>1000</v>
      </c>
      <c r="F113" s="1336"/>
      <c r="G113" s="1336"/>
    </row>
    <row r="114" spans="1:7" s="1339" customFormat="1" ht="15.9" customHeight="1">
      <c r="A114" s="1336"/>
      <c r="B114" s="1336" t="s">
        <v>4018</v>
      </c>
      <c r="C114" s="1723"/>
      <c r="D114" s="1336" t="s">
        <v>3937</v>
      </c>
      <c r="E114" s="1338"/>
      <c r="F114" s="1336"/>
      <c r="G114" s="1336"/>
    </row>
    <row r="115" spans="1:7" s="1339" customFormat="1" ht="15.9" customHeight="1">
      <c r="A115" s="1336"/>
      <c r="B115" s="1336" t="s">
        <v>4019</v>
      </c>
      <c r="C115" s="1723"/>
      <c r="D115" s="1336" t="s">
        <v>4020</v>
      </c>
      <c r="E115" s="1338">
        <v>100</v>
      </c>
      <c r="F115" s="1336"/>
      <c r="G115" s="1336"/>
    </row>
    <row r="116" spans="1:7" s="1339" customFormat="1" ht="15.9" customHeight="1">
      <c r="A116" s="1336"/>
      <c r="B116" s="1336" t="s">
        <v>4021</v>
      </c>
      <c r="C116" s="1723"/>
      <c r="D116" s="1336" t="s">
        <v>4022</v>
      </c>
      <c r="E116" s="1338">
        <v>215</v>
      </c>
      <c r="F116" s="1336"/>
      <c r="G116" s="1336"/>
    </row>
    <row r="117" spans="1:7" s="1339" customFormat="1" ht="15.9" customHeight="1">
      <c r="A117" s="1336"/>
      <c r="B117" s="1336" t="s">
        <v>4023</v>
      </c>
      <c r="C117" s="1723"/>
      <c r="D117" s="1336"/>
      <c r="E117" s="1338"/>
      <c r="F117" s="1336"/>
      <c r="G117" s="1336"/>
    </row>
    <row r="118" spans="1:7" s="1339" customFormat="1" ht="15.9" customHeight="1">
      <c r="A118" s="1336"/>
      <c r="B118" s="1336" t="s">
        <v>4024</v>
      </c>
      <c r="C118" s="1723"/>
      <c r="D118" s="1336" t="s">
        <v>4025</v>
      </c>
      <c r="E118" s="1338">
        <v>2100</v>
      </c>
      <c r="F118" s="1336"/>
      <c r="G118" s="1336"/>
    </row>
    <row r="119" spans="1:7" s="1339" customFormat="1" ht="15.9" customHeight="1">
      <c r="A119" s="1336"/>
      <c r="B119" s="1336" t="s">
        <v>4026</v>
      </c>
      <c r="C119" s="1723"/>
      <c r="D119" s="1336"/>
      <c r="E119" s="1338"/>
      <c r="F119" s="1336"/>
      <c r="G119" s="1336"/>
    </row>
    <row r="120" spans="1:7" s="1339" customFormat="1" ht="15.9" customHeight="1">
      <c r="A120" s="1336"/>
      <c r="B120" s="1336" t="s">
        <v>4027</v>
      </c>
      <c r="C120" s="1723"/>
      <c r="D120" s="1336" t="s">
        <v>4028</v>
      </c>
      <c r="E120" s="1338">
        <v>480</v>
      </c>
      <c r="F120" s="1336"/>
      <c r="G120" s="1336"/>
    </row>
    <row r="121" spans="1:7" s="1339" customFormat="1" ht="15.9" customHeight="1">
      <c r="A121" s="1336"/>
      <c r="B121" s="1336" t="s">
        <v>4029</v>
      </c>
      <c r="C121" s="1723"/>
      <c r="D121" s="1336" t="s">
        <v>511</v>
      </c>
      <c r="E121" s="1338"/>
      <c r="F121" s="1336"/>
      <c r="G121" s="1336"/>
    </row>
    <row r="122" spans="1:7" s="1339" customFormat="1" ht="15.9" customHeight="1">
      <c r="A122" s="1336"/>
      <c r="B122" s="1336" t="s">
        <v>4030</v>
      </c>
      <c r="C122" s="1723"/>
      <c r="D122" s="1336"/>
      <c r="E122" s="1338"/>
      <c r="F122" s="1336"/>
      <c r="G122" s="1336"/>
    </row>
    <row r="123" spans="1:7" s="1339" customFormat="1" ht="15.9" customHeight="1">
      <c r="A123" s="1336"/>
      <c r="B123" s="1336" t="s">
        <v>4100</v>
      </c>
      <c r="C123" s="1723"/>
      <c r="D123" s="1336"/>
      <c r="E123" s="1338"/>
      <c r="F123" s="1336"/>
      <c r="G123" s="1336"/>
    </row>
    <row r="124" spans="1:7" s="1339" customFormat="1" ht="15.9" customHeight="1">
      <c r="A124" s="1336"/>
      <c r="B124" s="1336" t="s">
        <v>4031</v>
      </c>
      <c r="C124" s="1723"/>
      <c r="D124" s="1336" t="s">
        <v>4032</v>
      </c>
      <c r="E124" s="1338">
        <v>24</v>
      </c>
      <c r="F124" s="1336"/>
      <c r="G124" s="1336"/>
    </row>
    <row r="125" spans="1:7" s="1339" customFormat="1" ht="15.9" customHeight="1">
      <c r="A125" s="1336"/>
      <c r="B125" s="1336" t="s">
        <v>4101</v>
      </c>
      <c r="C125" s="1723"/>
      <c r="D125" s="1336" t="s">
        <v>4102</v>
      </c>
      <c r="E125" s="1338"/>
      <c r="F125" s="1336"/>
      <c r="G125" s="1336"/>
    </row>
    <row r="126" spans="1:7" s="1339" customFormat="1" ht="15.9" customHeight="1">
      <c r="A126" s="1336"/>
      <c r="B126" s="1336" t="s">
        <v>4033</v>
      </c>
      <c r="C126" s="1723"/>
      <c r="D126" s="1336" t="s">
        <v>4103</v>
      </c>
      <c r="E126" s="1338"/>
      <c r="F126" s="1336"/>
      <c r="G126" s="1336"/>
    </row>
    <row r="127" spans="1:7" s="1339" customFormat="1" ht="15.9" customHeight="1">
      <c r="A127" s="1336"/>
      <c r="B127" s="1336"/>
      <c r="C127" s="1723"/>
      <c r="D127" s="1336" t="s">
        <v>4032</v>
      </c>
      <c r="E127" s="1338"/>
      <c r="F127" s="1336"/>
      <c r="G127" s="1336"/>
    </row>
    <row r="128" spans="1:7" s="1339" customFormat="1" ht="15.9" customHeight="1">
      <c r="A128" s="1336"/>
      <c r="B128" s="1336"/>
      <c r="C128" s="1723"/>
      <c r="D128" s="1336" t="s">
        <v>4034</v>
      </c>
      <c r="E128" s="1338"/>
      <c r="F128" s="1336"/>
      <c r="G128" s="1336"/>
    </row>
    <row r="129" spans="1:7" s="1339" customFormat="1" ht="15.9" customHeight="1">
      <c r="A129" s="1336"/>
      <c r="B129" s="1336"/>
      <c r="C129" s="1723"/>
      <c r="D129" s="1336" t="s">
        <v>4035</v>
      </c>
      <c r="E129" s="1338"/>
      <c r="F129" s="1336"/>
      <c r="G129" s="1336"/>
    </row>
    <row r="130" spans="1:7" s="1339" customFormat="1" ht="15.9" customHeight="1">
      <c r="A130" s="1336"/>
      <c r="B130" s="1336" t="s">
        <v>4036</v>
      </c>
      <c r="C130" s="1723"/>
      <c r="D130" s="1336" t="s">
        <v>4037</v>
      </c>
      <c r="E130" s="1338">
        <v>12</v>
      </c>
      <c r="F130" s="1336"/>
      <c r="G130" s="1336"/>
    </row>
    <row r="131" spans="1:7" s="1339" customFormat="1" ht="15.9" customHeight="1">
      <c r="A131" s="1336"/>
      <c r="B131" s="1336" t="s">
        <v>4038</v>
      </c>
      <c r="C131" s="1723"/>
      <c r="D131" s="1336" t="s">
        <v>4039</v>
      </c>
      <c r="E131" s="1338"/>
      <c r="F131" s="1336"/>
      <c r="G131" s="1336"/>
    </row>
    <row r="132" spans="1:7" s="1339" customFormat="1" ht="15.9" customHeight="1">
      <c r="A132" s="1336"/>
      <c r="B132" s="1336"/>
      <c r="C132" s="1723"/>
      <c r="D132" s="1336" t="s">
        <v>4040</v>
      </c>
      <c r="E132" s="1338"/>
      <c r="F132" s="1336"/>
      <c r="G132" s="1336"/>
    </row>
    <row r="133" spans="1:7" s="1339" customFormat="1" ht="15.9" customHeight="1">
      <c r="A133" s="1336"/>
      <c r="B133" s="1336" t="s">
        <v>4041</v>
      </c>
      <c r="C133" s="1723"/>
      <c r="D133" s="1336" t="s">
        <v>4042</v>
      </c>
      <c r="E133" s="1338">
        <v>12</v>
      </c>
      <c r="F133" s="1336"/>
      <c r="G133" s="1336"/>
    </row>
    <row r="134" spans="1:7" s="1339" customFormat="1" ht="15.9" customHeight="1">
      <c r="A134" s="1700"/>
      <c r="B134" s="1700" t="s">
        <v>4104</v>
      </c>
      <c r="C134" s="1726"/>
      <c r="D134" s="1700" t="s">
        <v>4043</v>
      </c>
      <c r="E134" s="1702"/>
      <c r="F134" s="1700"/>
      <c r="G134" s="1700"/>
    </row>
    <row r="135" spans="1:7" s="1339" customFormat="1" ht="15.9" customHeight="1">
      <c r="A135" s="1706"/>
      <c r="B135" s="1706"/>
      <c r="C135" s="1728"/>
      <c r="D135" s="1706"/>
      <c r="E135" s="1707"/>
      <c r="F135" s="1706"/>
      <c r="G135" s="1706"/>
    </row>
    <row r="136" spans="1:7" s="1697" customFormat="1" ht="15.9" customHeight="1">
      <c r="C136" s="1725"/>
      <c r="E136" s="1699"/>
    </row>
    <row r="137" spans="1:7" s="1697" customFormat="1" ht="15.9" customHeight="1">
      <c r="C137" s="1725"/>
      <c r="E137" s="1699"/>
    </row>
    <row r="138" spans="1:7" s="1697" customFormat="1" ht="15.9" customHeight="1">
      <c r="C138" s="1725"/>
      <c r="E138" s="1699"/>
    </row>
    <row r="139" spans="1:7" s="1674" customFormat="1" ht="28.5" customHeight="1">
      <c r="A139" s="1672" t="s">
        <v>94</v>
      </c>
      <c r="B139" s="1672" t="s">
        <v>3891</v>
      </c>
      <c r="C139" s="1720" t="s">
        <v>3892</v>
      </c>
      <c r="D139" s="1672" t="s">
        <v>3893</v>
      </c>
      <c r="E139" s="1673" t="s">
        <v>4793</v>
      </c>
      <c r="F139" s="14906" t="s">
        <v>3887</v>
      </c>
      <c r="G139" s="14907"/>
    </row>
    <row r="140" spans="1:7" s="1674" customFormat="1" ht="12.75" customHeight="1">
      <c r="A140" s="1675" t="s">
        <v>1977</v>
      </c>
      <c r="B140" s="1676" t="s">
        <v>3894</v>
      </c>
      <c r="C140" s="1721"/>
      <c r="D140" s="1676" t="s">
        <v>3895</v>
      </c>
      <c r="E140" s="1677"/>
      <c r="F140" s="1678" t="s">
        <v>1789</v>
      </c>
      <c r="G140" s="1679" t="s">
        <v>2709</v>
      </c>
    </row>
    <row r="141" spans="1:7" s="1674" customFormat="1" ht="12.75" customHeight="1">
      <c r="A141" s="1680" t="s">
        <v>472</v>
      </c>
      <c r="B141" s="1680" t="s">
        <v>473</v>
      </c>
      <c r="C141" s="1722" t="s">
        <v>474</v>
      </c>
      <c r="D141" s="1680" t="s">
        <v>3896</v>
      </c>
      <c r="E141" s="1681">
        <v>-5</v>
      </c>
      <c r="F141" s="1682"/>
      <c r="G141" s="1683"/>
    </row>
    <row r="142" spans="1:7" s="1697" customFormat="1" ht="15.9" customHeight="1">
      <c r="A142" s="1700"/>
      <c r="B142" s="1708" t="s">
        <v>4044</v>
      </c>
      <c r="C142" s="1729"/>
      <c r="D142" s="1700"/>
      <c r="E142" s="1702"/>
      <c r="F142" s="1700"/>
      <c r="G142" s="1700"/>
    </row>
    <row r="143" spans="1:7" s="1339" customFormat="1" ht="15.9" customHeight="1">
      <c r="A143" s="1336"/>
      <c r="B143" s="1709" t="s">
        <v>4045</v>
      </c>
      <c r="C143" s="1723"/>
      <c r="D143" s="1336" t="s">
        <v>4046</v>
      </c>
      <c r="E143" s="1338">
        <v>240</v>
      </c>
      <c r="F143" s="1336"/>
      <c r="G143" s="1336"/>
    </row>
    <row r="144" spans="1:7" s="1339" customFormat="1" ht="15.9" customHeight="1">
      <c r="A144" s="1336"/>
      <c r="B144" s="1336" t="s">
        <v>4047</v>
      </c>
      <c r="C144" s="1723"/>
      <c r="D144" s="1336" t="s">
        <v>4048</v>
      </c>
      <c r="E144" s="1338"/>
      <c r="F144" s="1336"/>
      <c r="G144" s="1336"/>
    </row>
    <row r="145" spans="1:7" s="1339" customFormat="1" ht="15.9" customHeight="1">
      <c r="A145" s="1336"/>
      <c r="B145" s="1336" t="s">
        <v>4049</v>
      </c>
      <c r="C145" s="1723"/>
      <c r="D145" s="1336" t="s">
        <v>4050</v>
      </c>
      <c r="E145" s="1338">
        <v>10</v>
      </c>
      <c r="F145" s="1336"/>
      <c r="G145" s="1336"/>
    </row>
    <row r="146" spans="1:7" s="1339" customFormat="1" ht="15.9" customHeight="1">
      <c r="A146" s="1336"/>
      <c r="B146" s="1336" t="s">
        <v>4051</v>
      </c>
      <c r="C146" s="1723"/>
      <c r="D146" s="1336" t="s">
        <v>4052</v>
      </c>
      <c r="E146" s="1338">
        <v>8</v>
      </c>
      <c r="F146" s="1336"/>
      <c r="G146" s="1336"/>
    </row>
    <row r="147" spans="1:7" s="1339" customFormat="1" ht="15.9" customHeight="1">
      <c r="A147" s="1336"/>
      <c r="B147" s="1336" t="s">
        <v>4053</v>
      </c>
      <c r="C147" s="1723"/>
      <c r="D147" s="1336" t="s">
        <v>4054</v>
      </c>
      <c r="E147" s="1338">
        <v>48</v>
      </c>
      <c r="F147" s="1336"/>
      <c r="G147" s="1336"/>
    </row>
    <row r="148" spans="1:7" s="1339" customFormat="1" ht="15.9" customHeight="1">
      <c r="A148" s="1336"/>
      <c r="B148" s="1336" t="s">
        <v>4055</v>
      </c>
      <c r="C148" s="1723"/>
      <c r="D148" s="1336" t="s">
        <v>4056</v>
      </c>
      <c r="E148" s="1338">
        <v>80</v>
      </c>
      <c r="F148" s="1336"/>
      <c r="G148" s="1336"/>
    </row>
    <row r="149" spans="1:7" s="1339" customFormat="1" ht="6.75" customHeight="1">
      <c r="A149" s="1703"/>
      <c r="B149" s="1703"/>
      <c r="C149" s="1727"/>
      <c r="D149" s="1703"/>
      <c r="E149" s="1705"/>
      <c r="F149" s="1703"/>
      <c r="G149" s="1703"/>
    </row>
    <row r="150" spans="1:7" s="1339" customFormat="1" ht="15.75" customHeight="1">
      <c r="A150" s="1336"/>
      <c r="B150" s="1710" t="s">
        <v>4057</v>
      </c>
      <c r="C150" s="1721">
        <v>4014160</v>
      </c>
      <c r="D150" s="1336"/>
      <c r="E150" s="1338"/>
      <c r="F150" s="1336"/>
      <c r="G150" s="1336"/>
    </row>
    <row r="151" spans="1:7" s="1339" customFormat="1" ht="15.9" customHeight="1">
      <c r="A151" s="1336"/>
      <c r="B151" s="1690" t="s">
        <v>4058</v>
      </c>
      <c r="C151" s="1721"/>
      <c r="D151" s="1336"/>
      <c r="E151" s="1338"/>
      <c r="F151" s="1336"/>
      <c r="G151" s="1336"/>
    </row>
    <row r="152" spans="1:7" s="1339" customFormat="1" ht="15.9" customHeight="1">
      <c r="A152" s="1336"/>
      <c r="B152" s="1711" t="s">
        <v>4059</v>
      </c>
      <c r="C152" s="1723"/>
      <c r="D152" s="1336"/>
      <c r="E152" s="1338"/>
      <c r="F152" s="1336" t="s">
        <v>1766</v>
      </c>
      <c r="G152" s="1336" t="s">
        <v>1767</v>
      </c>
    </row>
    <row r="153" spans="1:7" s="1339" customFormat="1" ht="15.9" customHeight="1">
      <c r="A153" s="1336"/>
      <c r="B153" s="1712" t="s">
        <v>4061</v>
      </c>
      <c r="C153" s="1723"/>
      <c r="D153" s="1336" t="s">
        <v>4060</v>
      </c>
      <c r="E153" s="1338">
        <v>800</v>
      </c>
      <c r="F153" s="1336"/>
      <c r="G153" s="1336"/>
    </row>
    <row r="154" spans="1:7" s="1339" customFormat="1" ht="15.9" customHeight="1">
      <c r="A154" s="1336"/>
      <c r="B154" s="1711" t="s">
        <v>4062</v>
      </c>
      <c r="C154" s="1723"/>
      <c r="D154" s="1336" t="s">
        <v>4063</v>
      </c>
      <c r="E154" s="1338">
        <v>252</v>
      </c>
      <c r="F154" s="1336"/>
      <c r="G154" s="1336"/>
    </row>
    <row r="155" spans="1:7" s="1339" customFormat="1" ht="15.9" customHeight="1">
      <c r="A155" s="1336"/>
      <c r="B155" s="1712" t="s">
        <v>4064</v>
      </c>
      <c r="C155" s="1723"/>
      <c r="D155" s="1336" t="s">
        <v>4065</v>
      </c>
      <c r="E155" s="1338"/>
      <c r="F155" s="1336"/>
      <c r="G155" s="1336"/>
    </row>
    <row r="156" spans="1:7" s="1339" customFormat="1" ht="15.9" customHeight="1">
      <c r="A156" s="1336"/>
      <c r="B156" s="1712" t="s">
        <v>4066</v>
      </c>
      <c r="C156" s="1723"/>
      <c r="D156" s="1336" t="s">
        <v>4067</v>
      </c>
      <c r="E156" s="1338">
        <v>108</v>
      </c>
      <c r="F156" s="1336"/>
      <c r="G156" s="1336"/>
    </row>
    <row r="157" spans="1:7" s="1339" customFormat="1" ht="15.9" customHeight="1">
      <c r="A157" s="1336"/>
      <c r="B157" s="1712" t="s">
        <v>4068</v>
      </c>
      <c r="C157" s="1723"/>
      <c r="D157" s="1336"/>
      <c r="E157" s="1338"/>
      <c r="F157" s="1336"/>
      <c r="G157" s="1336"/>
    </row>
    <row r="158" spans="1:7" s="1339" customFormat="1" ht="15.9" customHeight="1">
      <c r="A158" s="1336"/>
      <c r="B158" s="1697" t="s">
        <v>4069</v>
      </c>
      <c r="C158" s="1723"/>
      <c r="D158" s="1336" t="s">
        <v>4070</v>
      </c>
      <c r="E158" s="1338">
        <v>22000</v>
      </c>
      <c r="F158" s="1336"/>
      <c r="G158" s="1336"/>
    </row>
    <row r="159" spans="1:7" s="1339" customFormat="1" ht="15.9" customHeight="1">
      <c r="A159" s="1336"/>
      <c r="B159" s="1712" t="s">
        <v>4071</v>
      </c>
      <c r="C159" s="1723"/>
      <c r="D159" s="1336" t="s">
        <v>4072</v>
      </c>
      <c r="E159" s="1338"/>
      <c r="F159" s="1336"/>
      <c r="G159" s="1336"/>
    </row>
    <row r="160" spans="1:7" s="1339" customFormat="1" ht="15.9" customHeight="1">
      <c r="A160" s="1336"/>
      <c r="B160" s="1712" t="s">
        <v>4073</v>
      </c>
      <c r="C160" s="1723"/>
      <c r="D160" s="1336" t="s">
        <v>4074</v>
      </c>
      <c r="E160" s="1338">
        <v>22000</v>
      </c>
      <c r="F160" s="1336"/>
      <c r="G160" s="1336"/>
    </row>
    <row r="161" spans="1:7" s="1339" customFormat="1" ht="15.9" customHeight="1">
      <c r="A161" s="1336"/>
      <c r="B161" s="1712" t="s">
        <v>4075</v>
      </c>
      <c r="C161" s="1723"/>
      <c r="D161" s="1336"/>
      <c r="E161" s="1338"/>
      <c r="F161" s="1336"/>
      <c r="G161" s="1336"/>
    </row>
    <row r="162" spans="1:7" s="1339" customFormat="1" ht="15.9" customHeight="1">
      <c r="A162" s="1336"/>
      <c r="B162" s="1712" t="s">
        <v>4076</v>
      </c>
      <c r="C162" s="1723"/>
      <c r="D162" s="1336"/>
      <c r="E162" s="1338"/>
      <c r="F162" s="1336"/>
      <c r="G162" s="1336"/>
    </row>
    <row r="163" spans="1:7" s="1339" customFormat="1" ht="15.9" customHeight="1">
      <c r="A163" s="1336"/>
      <c r="B163" s="1336" t="s">
        <v>4077</v>
      </c>
      <c r="C163" s="1723"/>
      <c r="D163" s="1336" t="s">
        <v>4078</v>
      </c>
      <c r="E163" s="1338">
        <v>144</v>
      </c>
      <c r="F163" s="1336"/>
      <c r="G163" s="1336"/>
    </row>
    <row r="164" spans="1:7" s="1339" customFormat="1" ht="15.9" customHeight="1">
      <c r="A164" s="1336"/>
      <c r="B164" s="1336" t="s">
        <v>4079</v>
      </c>
      <c r="C164" s="1723"/>
      <c r="D164" s="1336" t="s">
        <v>4080</v>
      </c>
      <c r="E164" s="1338">
        <v>144</v>
      </c>
      <c r="F164" s="1336"/>
      <c r="G164" s="1336"/>
    </row>
    <row r="165" spans="1:7" s="1339" customFormat="1" ht="15.9" customHeight="1">
      <c r="A165" s="1336"/>
      <c r="B165" s="1336" t="s">
        <v>4081</v>
      </c>
      <c r="C165" s="1723"/>
      <c r="D165" s="1336" t="s">
        <v>4082</v>
      </c>
      <c r="E165" s="1338">
        <v>960</v>
      </c>
      <c r="F165" s="1336"/>
      <c r="G165" s="1336"/>
    </row>
    <row r="166" spans="1:7" s="1339" customFormat="1" ht="15.9" customHeight="1">
      <c r="A166" s="1336"/>
      <c r="B166" s="1336"/>
      <c r="C166" s="1723"/>
      <c r="D166" s="1336" t="s">
        <v>4083</v>
      </c>
      <c r="E166" s="1338"/>
      <c r="F166" s="1336"/>
      <c r="G166" s="1336"/>
    </row>
    <row r="167" spans="1:7" s="1339" customFormat="1" ht="15.9" customHeight="1">
      <c r="A167" s="1336"/>
      <c r="B167" s="1336"/>
      <c r="C167" s="1723"/>
      <c r="D167" s="1336" t="s">
        <v>4084</v>
      </c>
      <c r="E167" s="1338"/>
      <c r="F167" s="1336"/>
      <c r="G167" s="1336"/>
    </row>
    <row r="168" spans="1:7" s="1339" customFormat="1" ht="15.9" customHeight="1">
      <c r="A168" s="1336"/>
      <c r="B168" s="1336" t="s">
        <v>4085</v>
      </c>
      <c r="C168" s="1723"/>
      <c r="D168" s="1336" t="s">
        <v>4105</v>
      </c>
      <c r="E168" s="1338">
        <v>34500</v>
      </c>
      <c r="F168" s="1336"/>
      <c r="G168" s="1336"/>
    </row>
    <row r="169" spans="1:7" s="1339" customFormat="1" ht="15.9" customHeight="1">
      <c r="A169" s="1336"/>
      <c r="B169" s="1336" t="s">
        <v>4086</v>
      </c>
      <c r="C169" s="1723"/>
      <c r="D169" s="1336" t="s">
        <v>4087</v>
      </c>
      <c r="E169" s="1338">
        <v>5000</v>
      </c>
      <c r="F169" s="1336"/>
      <c r="G169" s="1336"/>
    </row>
    <row r="170" spans="1:7" s="1339" customFormat="1" ht="15.9" customHeight="1">
      <c r="A170" s="1336"/>
      <c r="B170" s="1336" t="s">
        <v>4088</v>
      </c>
      <c r="C170" s="1723"/>
      <c r="D170" s="1336"/>
      <c r="E170" s="1338"/>
      <c r="F170" s="1336"/>
      <c r="G170" s="1336"/>
    </row>
    <row r="171" spans="1:7" s="1339" customFormat="1" ht="15.9" customHeight="1">
      <c r="A171" s="1336"/>
      <c r="B171" s="1336" t="s">
        <v>4089</v>
      </c>
      <c r="C171" s="1723"/>
      <c r="D171" s="1336" t="s">
        <v>4087</v>
      </c>
      <c r="E171" s="1338">
        <v>288</v>
      </c>
      <c r="F171" s="1336"/>
      <c r="G171" s="1336"/>
    </row>
    <row r="172" spans="1:7" s="1339" customFormat="1" ht="15.9" customHeight="1">
      <c r="A172" s="1336"/>
      <c r="B172" s="1336" t="s">
        <v>4090</v>
      </c>
      <c r="C172" s="1723"/>
      <c r="D172" s="1336" t="s">
        <v>4091</v>
      </c>
      <c r="E172" s="1338">
        <v>144</v>
      </c>
      <c r="F172" s="1336"/>
      <c r="G172" s="1336"/>
    </row>
    <row r="173" spans="1:7" s="1339" customFormat="1" ht="15.9" customHeight="1">
      <c r="A173" s="1336"/>
      <c r="B173" s="1336"/>
      <c r="C173" s="1723"/>
      <c r="D173" s="1336" t="s">
        <v>4092</v>
      </c>
      <c r="E173" s="1338"/>
      <c r="F173" s="1336"/>
      <c r="G173" s="1336"/>
    </row>
    <row r="174" spans="1:7" s="1339" customFormat="1" ht="15.9" customHeight="1">
      <c r="A174" s="1336"/>
      <c r="B174" s="1336" t="s">
        <v>4093</v>
      </c>
      <c r="C174" s="1723"/>
      <c r="D174" s="1336" t="s">
        <v>4070</v>
      </c>
      <c r="E174" s="1338">
        <v>5000</v>
      </c>
      <c r="F174" s="1336"/>
      <c r="G174" s="1336"/>
    </row>
    <row r="175" spans="1:7" s="1339" customFormat="1" ht="15.9" customHeight="1">
      <c r="A175" s="1336"/>
      <c r="B175" s="1336" t="s">
        <v>4094</v>
      </c>
      <c r="C175" s="1515"/>
      <c r="D175" s="1336" t="s">
        <v>4095</v>
      </c>
      <c r="E175" s="1338">
        <v>9000</v>
      </c>
      <c r="F175" s="1336"/>
      <c r="G175" s="1336"/>
    </row>
    <row r="176" spans="1:7" s="1339" customFormat="1" ht="15.9" customHeight="1">
      <c r="A176" s="1336"/>
      <c r="B176" s="1336" t="s">
        <v>4096</v>
      </c>
      <c r="C176" s="1723"/>
      <c r="D176" s="1336"/>
      <c r="E176" s="1338"/>
      <c r="F176" s="1336"/>
      <c r="G176" s="1336"/>
    </row>
    <row r="177" spans="1:7" s="1339" customFormat="1" ht="15.9" customHeight="1">
      <c r="A177" s="1336"/>
      <c r="B177" s="1713" t="s">
        <v>4106</v>
      </c>
      <c r="C177" s="1723"/>
      <c r="D177" s="1336" t="s">
        <v>4097</v>
      </c>
      <c r="E177" s="1338">
        <v>9000</v>
      </c>
      <c r="F177" s="1336"/>
      <c r="G177" s="1336"/>
    </row>
    <row r="178" spans="1:7" s="1339" customFormat="1" ht="15.9" customHeight="1">
      <c r="A178" s="1336"/>
      <c r="B178" s="1336" t="s">
        <v>4107</v>
      </c>
      <c r="C178" s="1723"/>
      <c r="D178" s="1336" t="s">
        <v>4108</v>
      </c>
      <c r="E178" s="1338">
        <v>2400</v>
      </c>
      <c r="F178" s="1336"/>
      <c r="G178" s="1336"/>
    </row>
    <row r="179" spans="1:7" s="1339" customFormat="1" ht="15.9" customHeight="1">
      <c r="A179" s="1336"/>
      <c r="B179" s="1336" t="s">
        <v>4109</v>
      </c>
      <c r="C179" s="1723"/>
      <c r="D179" s="1336"/>
      <c r="E179" s="1338"/>
      <c r="F179" s="1336"/>
      <c r="G179" s="1336"/>
    </row>
    <row r="180" spans="1:7" s="1339" customFormat="1" ht="15.9" customHeight="1">
      <c r="A180" s="1336"/>
      <c r="B180" s="1336" t="s">
        <v>4110</v>
      </c>
      <c r="C180" s="1723"/>
      <c r="D180" s="1336"/>
      <c r="E180" s="1338"/>
      <c r="F180" s="1336"/>
      <c r="G180" s="1336"/>
    </row>
    <row r="181" spans="1:7" s="1339" customFormat="1" ht="15.9" customHeight="1">
      <c r="A181" s="1336"/>
      <c r="B181" s="1336" t="s">
        <v>4111</v>
      </c>
      <c r="C181" s="1723"/>
      <c r="D181" s="1336" t="s">
        <v>4112</v>
      </c>
      <c r="E181" s="1338">
        <v>9000</v>
      </c>
      <c r="F181" s="1336"/>
      <c r="G181" s="1336"/>
    </row>
    <row r="182" spans="1:7" s="1339" customFormat="1" ht="15.9" customHeight="1">
      <c r="A182" s="1336"/>
      <c r="B182" s="1336" t="s">
        <v>4113</v>
      </c>
      <c r="C182" s="1723"/>
      <c r="D182" s="1336" t="s">
        <v>4097</v>
      </c>
      <c r="E182" s="1338"/>
      <c r="F182" s="1336"/>
      <c r="G182" s="1336"/>
    </row>
    <row r="183" spans="1:7" s="1339" customFormat="1" ht="15.9" customHeight="1">
      <c r="A183" s="1336"/>
      <c r="B183" s="1336" t="s">
        <v>4114</v>
      </c>
      <c r="C183" s="1723"/>
      <c r="D183" s="1336" t="s">
        <v>4115</v>
      </c>
      <c r="E183" s="1338">
        <v>12</v>
      </c>
      <c r="F183" s="1336"/>
      <c r="G183" s="1336"/>
    </row>
    <row r="184" spans="1:7" s="1339" customFormat="1" ht="15.9" customHeight="1">
      <c r="A184" s="1336"/>
      <c r="B184" s="1336" t="s">
        <v>407</v>
      </c>
      <c r="C184" s="1723"/>
      <c r="D184" s="1336" t="s">
        <v>4116</v>
      </c>
      <c r="E184" s="1338">
        <v>504</v>
      </c>
      <c r="F184" s="1336"/>
      <c r="G184" s="1336"/>
    </row>
    <row r="185" spans="1:7" s="1339" customFormat="1" ht="15.9" customHeight="1">
      <c r="A185" s="1336"/>
      <c r="B185" s="1336"/>
      <c r="C185" s="1723"/>
      <c r="D185" s="1336" t="s">
        <v>4117</v>
      </c>
      <c r="E185" s="1338">
        <v>252</v>
      </c>
      <c r="F185" s="1336"/>
      <c r="G185" s="1336"/>
    </row>
    <row r="186" spans="1:7" s="1339" customFormat="1" ht="15.9" customHeight="1">
      <c r="A186" s="1336"/>
      <c r="B186" s="1336"/>
      <c r="C186" s="1723"/>
      <c r="D186" s="1336" t="s">
        <v>4118</v>
      </c>
      <c r="E186" s="1338">
        <v>4</v>
      </c>
      <c r="F186" s="1336"/>
      <c r="G186" s="1336"/>
    </row>
    <row r="187" spans="1:7" s="1339" customFormat="1" ht="15.9" customHeight="1">
      <c r="A187" s="1336"/>
      <c r="B187" s="1336" t="s">
        <v>4119</v>
      </c>
      <c r="C187" s="1723"/>
      <c r="D187" s="1336" t="s">
        <v>4120</v>
      </c>
      <c r="E187" s="1338">
        <v>36</v>
      </c>
      <c r="F187" s="1336"/>
      <c r="G187" s="1336"/>
    </row>
    <row r="188" spans="1:7" s="1339" customFormat="1" ht="15.9" customHeight="1">
      <c r="A188" s="1336"/>
      <c r="B188" s="1336" t="s">
        <v>4121</v>
      </c>
      <c r="C188" s="1723"/>
      <c r="D188" s="1336" t="s">
        <v>4122</v>
      </c>
      <c r="E188" s="1338"/>
      <c r="F188" s="1336"/>
      <c r="G188" s="1336"/>
    </row>
    <row r="189" spans="1:7" s="1339" customFormat="1" ht="15.9" customHeight="1">
      <c r="A189" s="1336"/>
      <c r="B189" s="1336" t="s">
        <v>4123</v>
      </c>
      <c r="C189" s="1723"/>
      <c r="D189" s="1336" t="s">
        <v>4124</v>
      </c>
      <c r="E189" s="1338">
        <v>700</v>
      </c>
      <c r="F189" s="1336"/>
      <c r="G189" s="1336"/>
    </row>
    <row r="190" spans="1:7" s="1339" customFormat="1" ht="15.9" customHeight="1">
      <c r="A190" s="1336"/>
      <c r="B190" s="1336" t="s">
        <v>4125</v>
      </c>
      <c r="C190" s="1723"/>
      <c r="D190" s="1336" t="s">
        <v>4126</v>
      </c>
      <c r="E190" s="1338"/>
      <c r="F190" s="1336"/>
      <c r="G190" s="1336"/>
    </row>
    <row r="191" spans="1:7" s="1339" customFormat="1" ht="15.9" customHeight="1">
      <c r="A191" s="1336"/>
      <c r="B191" s="1336" t="s">
        <v>4127</v>
      </c>
      <c r="C191" s="1723"/>
      <c r="D191" s="1336" t="s">
        <v>4128</v>
      </c>
      <c r="E191" s="1338">
        <v>9000</v>
      </c>
      <c r="F191" s="1336"/>
      <c r="G191" s="1336"/>
    </row>
    <row r="192" spans="1:7" s="1339" customFormat="1" ht="15.9" customHeight="1">
      <c r="A192" s="1336"/>
      <c r="B192" s="1336" t="s">
        <v>4129</v>
      </c>
      <c r="C192" s="1723"/>
      <c r="D192" s="1336"/>
      <c r="E192" s="1338"/>
      <c r="F192" s="1336"/>
      <c r="G192" s="1336"/>
    </row>
    <row r="193" spans="1:7" s="1339" customFormat="1" ht="15.9" customHeight="1">
      <c r="A193" s="1336"/>
      <c r="B193" s="1336" t="s">
        <v>4130</v>
      </c>
      <c r="C193" s="1723"/>
      <c r="D193" s="1336" t="s">
        <v>4131</v>
      </c>
      <c r="E193" s="1338">
        <v>36</v>
      </c>
      <c r="F193" s="1336"/>
      <c r="G193" s="1336"/>
    </row>
    <row r="194" spans="1:7" s="1339" customFormat="1" ht="15.9" customHeight="1">
      <c r="A194" s="1336"/>
      <c r="B194" s="1336" t="s">
        <v>4132</v>
      </c>
      <c r="C194" s="1723"/>
      <c r="D194" s="1336"/>
      <c r="E194" s="1338"/>
      <c r="F194" s="1336"/>
      <c r="G194" s="1336"/>
    </row>
    <row r="195" spans="1:7" s="1339" customFormat="1" ht="15.9" customHeight="1">
      <c r="A195" s="1336"/>
      <c r="B195" s="1336" t="s">
        <v>4133</v>
      </c>
      <c r="C195" s="1723"/>
      <c r="D195" s="1336"/>
      <c r="E195" s="1338"/>
      <c r="F195" s="1336"/>
      <c r="G195" s="1336"/>
    </row>
    <row r="196" spans="1:7" s="1339" customFormat="1" ht="15.9" customHeight="1">
      <c r="A196" s="1336"/>
      <c r="B196" s="1336" t="s">
        <v>4134</v>
      </c>
      <c r="C196" s="1723"/>
      <c r="D196" s="1336" t="s">
        <v>4135</v>
      </c>
      <c r="E196" s="1338">
        <v>4000</v>
      </c>
      <c r="F196" s="1336"/>
      <c r="G196" s="1336"/>
    </row>
    <row r="197" spans="1:7" s="1339" customFormat="1" ht="15.9" customHeight="1">
      <c r="A197" s="1336"/>
      <c r="B197" s="1336" t="s">
        <v>4136</v>
      </c>
      <c r="C197" s="1723"/>
      <c r="D197" s="1336" t="s">
        <v>4137</v>
      </c>
      <c r="E197" s="1338"/>
      <c r="F197" s="1336"/>
      <c r="G197" s="1336"/>
    </row>
    <row r="198" spans="1:7" s="1339" customFormat="1" ht="13.5" customHeight="1">
      <c r="A198" s="1336"/>
      <c r="B198" s="1336"/>
      <c r="C198" s="1723"/>
      <c r="D198" s="1336" t="s">
        <v>4138</v>
      </c>
      <c r="E198" s="1338"/>
      <c r="F198" s="1336"/>
      <c r="G198" s="1336"/>
    </row>
    <row r="199" spans="1:7" s="1339" customFormat="1" ht="15.9" customHeight="1">
      <c r="A199" s="1336"/>
      <c r="B199" s="1336" t="s">
        <v>4139</v>
      </c>
      <c r="C199" s="1723"/>
      <c r="D199" s="1336"/>
      <c r="E199" s="1338"/>
      <c r="F199" s="1336"/>
      <c r="G199" s="1336"/>
    </row>
    <row r="200" spans="1:7" s="1339" customFormat="1" ht="15.9" customHeight="1">
      <c r="A200" s="1700"/>
      <c r="B200" s="1700" t="s">
        <v>4140</v>
      </c>
      <c r="C200" s="1726"/>
      <c r="D200" s="1700" t="s">
        <v>4141</v>
      </c>
      <c r="E200" s="1702">
        <v>1200</v>
      </c>
      <c r="F200" s="1700"/>
      <c r="G200" s="1700"/>
    </row>
    <row r="201" spans="1:7" s="1697" customFormat="1" ht="15.9" customHeight="1">
      <c r="A201" s="1700"/>
      <c r="B201" s="1700" t="s">
        <v>4142</v>
      </c>
      <c r="C201" s="1726"/>
      <c r="D201" s="1700"/>
      <c r="E201" s="1702">
        <v>360</v>
      </c>
      <c r="F201" s="1700"/>
      <c r="G201" s="1700"/>
    </row>
    <row r="202" spans="1:7" s="1697" customFormat="1" ht="15.9" customHeight="1">
      <c r="A202" s="1700"/>
      <c r="B202" s="1700" t="s">
        <v>4143</v>
      </c>
      <c r="C202" s="1726"/>
      <c r="D202" s="1700" t="s">
        <v>4144</v>
      </c>
      <c r="E202" s="1702"/>
      <c r="F202" s="1700"/>
      <c r="G202" s="1700"/>
    </row>
    <row r="203" spans="1:7" s="1697" customFormat="1" ht="15.9" customHeight="1">
      <c r="A203" s="1700"/>
      <c r="B203" s="1700" t="s">
        <v>4145</v>
      </c>
      <c r="C203" s="1726"/>
      <c r="D203" s="1700" t="s">
        <v>4146</v>
      </c>
      <c r="E203" s="1702"/>
      <c r="F203" s="1700"/>
      <c r="G203" s="1700"/>
    </row>
    <row r="204" spans="1:7" s="1339" customFormat="1" ht="15.9" customHeight="1">
      <c r="A204" s="1694"/>
      <c r="B204" s="1694"/>
      <c r="C204" s="1724"/>
      <c r="D204" s="1694"/>
      <c r="E204" s="1696"/>
      <c r="F204" s="1694"/>
      <c r="G204" s="1694"/>
    </row>
    <row r="205" spans="1:7" s="1339" customFormat="1" ht="15.9" customHeight="1">
      <c r="A205" s="1697"/>
      <c r="B205" s="1697"/>
      <c r="C205" s="1725"/>
      <c r="D205" s="1697"/>
      <c r="E205" s="1699"/>
      <c r="F205" s="1697"/>
      <c r="G205" s="1697"/>
    </row>
    <row r="206" spans="1:7" s="1339" customFormat="1" ht="15.9" customHeight="1">
      <c r="A206" s="1697"/>
      <c r="B206" s="1697"/>
      <c r="C206" s="1725"/>
      <c r="D206" s="1697"/>
      <c r="E206" s="1699"/>
      <c r="F206" s="1697"/>
      <c r="G206" s="1697"/>
    </row>
    <row r="207" spans="1:7" s="1339" customFormat="1" ht="15.9" customHeight="1">
      <c r="A207" s="1697"/>
      <c r="B207" s="1697"/>
      <c r="C207" s="1725"/>
      <c r="D207" s="1697"/>
      <c r="E207" s="1699"/>
      <c r="F207" s="1697"/>
      <c r="G207" s="1697"/>
    </row>
    <row r="208" spans="1:7" s="1674" customFormat="1" ht="28.5" customHeight="1">
      <c r="A208" s="1672" t="s">
        <v>94</v>
      </c>
      <c r="B208" s="1672" t="s">
        <v>3891</v>
      </c>
      <c r="C208" s="1720" t="s">
        <v>3892</v>
      </c>
      <c r="D208" s="1672" t="s">
        <v>3893</v>
      </c>
      <c r="E208" s="1673" t="s">
        <v>4793</v>
      </c>
      <c r="F208" s="14906" t="s">
        <v>3887</v>
      </c>
      <c r="G208" s="14907"/>
    </row>
    <row r="209" spans="1:7" s="1674" customFormat="1" ht="12.75" customHeight="1">
      <c r="A209" s="1675" t="s">
        <v>1977</v>
      </c>
      <c r="B209" s="1676" t="s">
        <v>3894</v>
      </c>
      <c r="C209" s="1721"/>
      <c r="D209" s="1676" t="s">
        <v>3895</v>
      </c>
      <c r="E209" s="1677"/>
      <c r="F209" s="1678" t="s">
        <v>1789</v>
      </c>
      <c r="G209" s="1679" t="s">
        <v>2709</v>
      </c>
    </row>
    <row r="210" spans="1:7" s="1674" customFormat="1" ht="12.75" customHeight="1">
      <c r="A210" s="1680" t="s">
        <v>472</v>
      </c>
      <c r="B210" s="1680" t="s">
        <v>473</v>
      </c>
      <c r="C210" s="1722" t="s">
        <v>474</v>
      </c>
      <c r="D210" s="1680" t="s">
        <v>3896</v>
      </c>
      <c r="E210" s="1681">
        <v>-5</v>
      </c>
      <c r="F210" s="1682"/>
      <c r="G210" s="1683"/>
    </row>
    <row r="211" spans="1:7" s="1697" customFormat="1" ht="15.9" customHeight="1">
      <c r="A211" s="1700"/>
      <c r="B211" s="1700" t="s">
        <v>4147</v>
      </c>
      <c r="C211" s="1726"/>
      <c r="D211" s="1700"/>
      <c r="E211" s="1702">
        <v>360</v>
      </c>
      <c r="F211" s="1700"/>
      <c r="G211" s="1700"/>
    </row>
    <row r="212" spans="1:7" s="1697" customFormat="1" ht="15.9" customHeight="1">
      <c r="A212" s="1700"/>
      <c r="B212" s="1700" t="s">
        <v>4148</v>
      </c>
      <c r="C212" s="1726"/>
      <c r="D212" s="1700" t="s">
        <v>4149</v>
      </c>
      <c r="E212" s="1702"/>
      <c r="F212" s="1700"/>
      <c r="G212" s="1700"/>
    </row>
    <row r="213" spans="1:7" s="1697" customFormat="1" ht="15.9" customHeight="1">
      <c r="A213" s="1700"/>
      <c r="B213" s="1700" t="s">
        <v>4150</v>
      </c>
      <c r="C213" s="1726"/>
      <c r="D213" s="1700" t="s">
        <v>4151</v>
      </c>
      <c r="E213" s="1702"/>
      <c r="F213" s="1700"/>
      <c r="G213" s="1700"/>
    </row>
    <row r="214" spans="1:7" s="1697" customFormat="1" ht="15.9" customHeight="1">
      <c r="A214" s="1700"/>
      <c r="B214" s="1700" t="s">
        <v>4152</v>
      </c>
      <c r="C214" s="1726"/>
      <c r="D214" s="1700" t="s">
        <v>4153</v>
      </c>
      <c r="E214" s="1702">
        <v>360</v>
      </c>
      <c r="F214" s="1700"/>
      <c r="G214" s="1700"/>
    </row>
    <row r="215" spans="1:7" s="1697" customFormat="1" ht="15.9" customHeight="1">
      <c r="A215" s="1700"/>
      <c r="B215" s="1700" t="s">
        <v>4154</v>
      </c>
      <c r="C215" s="1726"/>
      <c r="D215" s="1700" t="s">
        <v>4155</v>
      </c>
      <c r="E215" s="1702">
        <v>360</v>
      </c>
      <c r="F215" s="1700"/>
      <c r="G215" s="1700"/>
    </row>
    <row r="216" spans="1:7" s="1339" customFormat="1" ht="15.9" customHeight="1">
      <c r="A216" s="1336"/>
      <c r="B216" s="1336" t="s">
        <v>4156</v>
      </c>
      <c r="C216" s="1723"/>
      <c r="D216" s="1336" t="s">
        <v>4157</v>
      </c>
      <c r="E216" s="1338">
        <v>12</v>
      </c>
      <c r="F216" s="1336"/>
      <c r="G216" s="1336"/>
    </row>
    <row r="217" spans="1:7" s="1339" customFormat="1" ht="15.9" customHeight="1">
      <c r="A217" s="1336"/>
      <c r="B217" s="1336" t="s">
        <v>4158</v>
      </c>
      <c r="C217" s="1723"/>
      <c r="D217" s="1336" t="s">
        <v>4159</v>
      </c>
      <c r="E217" s="1338"/>
      <c r="F217" s="1336"/>
      <c r="G217" s="1336"/>
    </row>
    <row r="218" spans="1:7" s="1339" customFormat="1" ht="15.9" customHeight="1">
      <c r="A218" s="1336"/>
      <c r="B218" s="1336" t="s">
        <v>4160</v>
      </c>
      <c r="C218" s="1723"/>
      <c r="D218" s="1336"/>
      <c r="E218" s="1338"/>
      <c r="F218" s="1336"/>
      <c r="G218" s="1336"/>
    </row>
    <row r="219" spans="1:7" s="1339" customFormat="1" ht="15.9" customHeight="1">
      <c r="A219" s="1336"/>
      <c r="B219" s="1336" t="s">
        <v>4161</v>
      </c>
      <c r="C219" s="1723"/>
      <c r="D219" s="1336" t="s">
        <v>4162</v>
      </c>
      <c r="E219" s="1338">
        <v>1650</v>
      </c>
      <c r="F219" s="1336"/>
      <c r="G219" s="1336"/>
    </row>
    <row r="220" spans="1:7" s="1339" customFormat="1" ht="15.9" customHeight="1">
      <c r="A220" s="1336"/>
      <c r="B220" s="1336" t="s">
        <v>4163</v>
      </c>
      <c r="C220" s="1723"/>
      <c r="D220" s="1336" t="s">
        <v>4164</v>
      </c>
      <c r="E220" s="1338"/>
      <c r="F220" s="1336"/>
      <c r="G220" s="1336"/>
    </row>
    <row r="221" spans="1:7" s="1339" customFormat="1" ht="15.9" customHeight="1">
      <c r="A221" s="1336"/>
      <c r="B221" s="1336" t="s">
        <v>4165</v>
      </c>
      <c r="C221" s="1723"/>
      <c r="D221" s="1336"/>
      <c r="E221" s="1338">
        <v>252</v>
      </c>
      <c r="F221" s="1336"/>
      <c r="G221" s="1336"/>
    </row>
    <row r="222" spans="1:7" s="1339" customFormat="1" ht="15.9" customHeight="1">
      <c r="A222" s="1336"/>
      <c r="B222" s="1336" t="s">
        <v>4166</v>
      </c>
      <c r="C222" s="1723"/>
      <c r="D222" s="1336" t="s">
        <v>4167</v>
      </c>
      <c r="E222" s="1338">
        <v>9000</v>
      </c>
      <c r="F222" s="1336"/>
      <c r="G222" s="1336"/>
    </row>
    <row r="223" spans="1:7" s="1339" customFormat="1" ht="13.5" customHeight="1">
      <c r="A223" s="1336"/>
      <c r="B223" s="1336" t="s">
        <v>4168</v>
      </c>
      <c r="C223" s="1723"/>
      <c r="D223" s="1336" t="s">
        <v>4169</v>
      </c>
      <c r="E223" s="1338">
        <v>9000</v>
      </c>
      <c r="F223" s="1336"/>
      <c r="G223" s="1336"/>
    </row>
    <row r="224" spans="1:7" s="1339" customFormat="1" ht="15.9" customHeight="1">
      <c r="A224" s="1336"/>
      <c r="B224" s="1336" t="s">
        <v>4170</v>
      </c>
      <c r="C224" s="1723"/>
      <c r="D224" s="1336" t="s">
        <v>4169</v>
      </c>
      <c r="E224" s="1338">
        <v>9000</v>
      </c>
      <c r="F224" s="1336"/>
      <c r="G224" s="1336"/>
    </row>
    <row r="225" spans="1:7" s="1339" customFormat="1" ht="15.9" customHeight="1">
      <c r="A225" s="1336"/>
      <c r="B225" s="1336" t="s">
        <v>4171</v>
      </c>
      <c r="C225" s="1723"/>
      <c r="D225" s="1336" t="s">
        <v>4172</v>
      </c>
      <c r="E225" s="1338">
        <v>3000</v>
      </c>
      <c r="F225" s="1336"/>
      <c r="G225" s="1336"/>
    </row>
    <row r="226" spans="1:7" s="1339" customFormat="1" ht="15.9" customHeight="1">
      <c r="A226" s="1336"/>
      <c r="B226" s="1336" t="s">
        <v>4173</v>
      </c>
      <c r="C226" s="1723"/>
      <c r="D226" s="1336" t="s">
        <v>1855</v>
      </c>
      <c r="E226" s="1338">
        <v>36</v>
      </c>
      <c r="F226" s="1336"/>
      <c r="G226" s="1336"/>
    </row>
    <row r="227" spans="1:7" s="1339" customFormat="1" ht="15.9" customHeight="1">
      <c r="A227" s="1336"/>
      <c r="B227" s="1336" t="s">
        <v>4174</v>
      </c>
      <c r="C227" s="1723"/>
      <c r="D227" s="1336"/>
      <c r="E227" s="1338"/>
      <c r="F227" s="1336"/>
      <c r="G227" s="1336"/>
    </row>
    <row r="228" spans="1:7" s="1339" customFormat="1" ht="15.9" customHeight="1">
      <c r="A228" s="1336"/>
      <c r="B228" s="1336" t="s">
        <v>4175</v>
      </c>
      <c r="C228" s="1723"/>
      <c r="D228" s="1336"/>
      <c r="E228" s="1338"/>
      <c r="F228" s="1336"/>
      <c r="G228" s="1336"/>
    </row>
    <row r="229" spans="1:7" s="1339" customFormat="1" ht="15.9" customHeight="1">
      <c r="A229" s="1336"/>
      <c r="B229" s="1336" t="s">
        <v>4176</v>
      </c>
      <c r="C229" s="1723"/>
      <c r="D229" s="1336" t="s">
        <v>1855</v>
      </c>
      <c r="E229" s="1338">
        <v>7000</v>
      </c>
      <c r="F229" s="1336"/>
      <c r="G229" s="1336"/>
    </row>
    <row r="230" spans="1:7" s="1339" customFormat="1" ht="15.9" customHeight="1">
      <c r="A230" s="1336"/>
      <c r="B230" s="1336" t="s">
        <v>4177</v>
      </c>
      <c r="C230" s="1723"/>
      <c r="D230" s="1336" t="s">
        <v>4178</v>
      </c>
      <c r="E230" s="1338">
        <v>2400</v>
      </c>
      <c r="F230" s="1336"/>
      <c r="G230" s="1336"/>
    </row>
    <row r="231" spans="1:7" s="1339" customFormat="1" ht="15.9" customHeight="1">
      <c r="A231" s="1336"/>
      <c r="B231" s="1336" t="s">
        <v>4179</v>
      </c>
      <c r="C231" s="1723"/>
      <c r="D231" s="1336" t="s">
        <v>4180</v>
      </c>
      <c r="E231" s="1338">
        <v>600</v>
      </c>
      <c r="F231" s="1336"/>
      <c r="G231" s="1336"/>
    </row>
    <row r="232" spans="1:7" s="1339" customFormat="1" ht="15.9" customHeight="1">
      <c r="A232" s="1336"/>
      <c r="B232" s="1336" t="s">
        <v>4181</v>
      </c>
      <c r="C232" s="1723"/>
      <c r="D232" s="1336"/>
      <c r="E232" s="1338"/>
      <c r="F232" s="1336"/>
      <c r="G232" s="1336"/>
    </row>
    <row r="233" spans="1:7" s="1339" customFormat="1" ht="15.9" customHeight="1">
      <c r="A233" s="1336"/>
      <c r="B233" s="1336" t="s">
        <v>4182</v>
      </c>
      <c r="C233" s="1723"/>
      <c r="D233" s="1336"/>
      <c r="E233" s="1338"/>
      <c r="F233" s="1336"/>
      <c r="G233" s="1336"/>
    </row>
    <row r="234" spans="1:7" s="1339" customFormat="1" ht="15.9" customHeight="1">
      <c r="A234" s="1336"/>
      <c r="B234" s="1336" t="s">
        <v>4183</v>
      </c>
      <c r="C234" s="1723"/>
      <c r="D234" s="1336" t="s">
        <v>4159</v>
      </c>
      <c r="E234" s="1338">
        <v>120</v>
      </c>
      <c r="F234" s="1336"/>
      <c r="G234" s="1336"/>
    </row>
    <row r="235" spans="1:7" s="1339" customFormat="1" ht="15.9" customHeight="1">
      <c r="A235" s="1336"/>
      <c r="B235" s="1336" t="s">
        <v>4184</v>
      </c>
      <c r="C235" s="1723"/>
      <c r="D235" s="1336"/>
      <c r="E235" s="1338"/>
      <c r="F235" s="1336"/>
      <c r="G235" s="1336"/>
    </row>
    <row r="236" spans="1:7" s="1339" customFormat="1" ht="15.9" customHeight="1">
      <c r="A236" s="1336"/>
      <c r="B236" s="1336" t="s">
        <v>4185</v>
      </c>
      <c r="C236" s="1723"/>
      <c r="D236" s="1336"/>
      <c r="E236" s="1338"/>
      <c r="F236" s="1336"/>
      <c r="G236" s="1336"/>
    </row>
    <row r="237" spans="1:7" s="1339" customFormat="1" ht="15.9" customHeight="1">
      <c r="A237" s="1336"/>
      <c r="B237" s="1336"/>
      <c r="C237" s="1723"/>
      <c r="D237" s="1336"/>
      <c r="E237" s="1338"/>
      <c r="F237" s="1336"/>
      <c r="G237" s="1336"/>
    </row>
    <row r="238" spans="1:7" s="1339" customFormat="1" ht="19.5" customHeight="1">
      <c r="A238" s="1336"/>
      <c r="B238" s="1710" t="s">
        <v>4186</v>
      </c>
      <c r="C238" s="1721">
        <v>5191371</v>
      </c>
      <c r="D238" s="1336"/>
      <c r="E238" s="1338"/>
      <c r="F238" s="1336"/>
      <c r="G238" s="1336"/>
    </row>
    <row r="239" spans="1:7" s="1339" customFormat="1" ht="6.75" customHeight="1">
      <c r="A239" s="1336"/>
      <c r="B239" s="1336"/>
      <c r="C239" s="1723"/>
      <c r="D239" s="1336"/>
      <c r="E239" s="1338"/>
      <c r="F239" s="1336"/>
      <c r="G239" s="1336"/>
    </row>
    <row r="240" spans="1:7" s="1339" customFormat="1" ht="15.9" customHeight="1">
      <c r="A240" s="1336"/>
      <c r="B240" s="1336" t="s">
        <v>4187</v>
      </c>
      <c r="C240" s="1723"/>
      <c r="D240" s="1336"/>
      <c r="E240" s="1338"/>
      <c r="F240" s="1336"/>
      <c r="G240" s="1336"/>
    </row>
    <row r="241" spans="1:7" s="1339" customFormat="1" ht="15.9" customHeight="1">
      <c r="A241" s="1336"/>
      <c r="B241" s="1336" t="s">
        <v>4188</v>
      </c>
      <c r="C241" s="1723"/>
      <c r="D241" s="1336"/>
      <c r="E241" s="1338"/>
      <c r="F241" s="1336"/>
      <c r="G241" s="1336"/>
    </row>
    <row r="242" spans="1:7" s="1339" customFormat="1" ht="15.9" customHeight="1">
      <c r="A242" s="1336"/>
      <c r="B242" s="1336" t="s">
        <v>4189</v>
      </c>
      <c r="C242" s="1723"/>
      <c r="D242" s="1336"/>
      <c r="E242" s="1338"/>
      <c r="F242" s="1336"/>
      <c r="G242" s="1336"/>
    </row>
    <row r="243" spans="1:7" s="1339" customFormat="1" ht="15.9" customHeight="1">
      <c r="A243" s="1336"/>
      <c r="B243" s="1336" t="s">
        <v>4190</v>
      </c>
      <c r="C243" s="1723"/>
      <c r="D243" s="1337" t="s">
        <v>4191</v>
      </c>
      <c r="E243" s="1338">
        <v>800</v>
      </c>
      <c r="F243" s="1336" t="s">
        <v>1766</v>
      </c>
      <c r="G243" s="1336" t="s">
        <v>1767</v>
      </c>
    </row>
    <row r="244" spans="1:7" s="1339" customFormat="1" ht="15.9" customHeight="1">
      <c r="A244" s="1336"/>
      <c r="B244" s="1336" t="s">
        <v>4192</v>
      </c>
      <c r="C244" s="1723"/>
      <c r="D244" s="1337" t="s">
        <v>4193</v>
      </c>
      <c r="E244" s="1338">
        <v>800</v>
      </c>
      <c r="F244" s="1336"/>
      <c r="G244" s="1336"/>
    </row>
    <row r="245" spans="1:7" s="1339" customFormat="1" ht="15.9" customHeight="1">
      <c r="A245" s="1336"/>
      <c r="B245" s="1336" t="s">
        <v>4194</v>
      </c>
      <c r="C245" s="1723"/>
      <c r="D245" s="1337"/>
      <c r="E245" s="1338"/>
      <c r="F245" s="1336"/>
      <c r="G245" s="1336"/>
    </row>
    <row r="246" spans="1:7" s="1339" customFormat="1" ht="15.9" customHeight="1">
      <c r="A246" s="1336"/>
      <c r="B246" s="1336" t="s">
        <v>4195</v>
      </c>
      <c r="C246" s="1723"/>
      <c r="D246" s="1337" t="s">
        <v>4196</v>
      </c>
      <c r="E246" s="1338">
        <v>150</v>
      </c>
      <c r="F246" s="1336"/>
      <c r="G246" s="1336"/>
    </row>
    <row r="247" spans="1:7" s="1339" customFormat="1" ht="15.9" customHeight="1">
      <c r="A247" s="1336"/>
      <c r="B247" s="1336" t="s">
        <v>4197</v>
      </c>
      <c r="C247" s="1723"/>
      <c r="D247" s="1337" t="s">
        <v>4198</v>
      </c>
      <c r="E247" s="1338" t="s">
        <v>4199</v>
      </c>
      <c r="F247" s="1336"/>
      <c r="G247" s="1336"/>
    </row>
    <row r="248" spans="1:7" s="1339" customFormat="1" ht="15.9" customHeight="1">
      <c r="A248" s="1336"/>
      <c r="B248" s="1336" t="s">
        <v>4200</v>
      </c>
      <c r="C248" s="1723"/>
      <c r="D248" s="1337"/>
      <c r="E248" s="1338"/>
      <c r="F248" s="1336"/>
      <c r="G248" s="1336"/>
    </row>
    <row r="249" spans="1:7" s="1339" customFormat="1" ht="15.9" customHeight="1">
      <c r="A249" s="1336"/>
      <c r="B249" s="1336" t="s">
        <v>4201</v>
      </c>
      <c r="C249" s="1723"/>
      <c r="D249" s="1336"/>
      <c r="E249" s="1338"/>
      <c r="F249" s="1336"/>
      <c r="G249" s="1336"/>
    </row>
    <row r="250" spans="1:7" s="1339" customFormat="1" ht="15.9" customHeight="1">
      <c r="A250" s="1703"/>
      <c r="B250" s="1703"/>
      <c r="C250" s="1727"/>
      <c r="D250" s="1703"/>
      <c r="E250" s="1705"/>
      <c r="F250" s="1703"/>
      <c r="G250" s="1703"/>
    </row>
    <row r="251" spans="1:7" s="1339" customFormat="1" ht="15.9" customHeight="1">
      <c r="A251" s="1336"/>
      <c r="B251" s="1336" t="s">
        <v>4202</v>
      </c>
      <c r="C251" s="1723"/>
      <c r="D251" s="1336"/>
      <c r="E251" s="1338"/>
      <c r="F251" s="1336"/>
      <c r="G251" s="1336"/>
    </row>
    <row r="252" spans="1:7" s="1339" customFormat="1" ht="15.9" customHeight="1">
      <c r="A252" s="1336"/>
      <c r="B252" s="1336" t="s">
        <v>4203</v>
      </c>
      <c r="C252" s="1723"/>
      <c r="D252" s="1336"/>
      <c r="E252" s="1338"/>
      <c r="F252" s="1336"/>
      <c r="G252" s="1336"/>
    </row>
    <row r="253" spans="1:7" s="1339" customFormat="1" ht="15.9" customHeight="1">
      <c r="A253" s="1336"/>
      <c r="B253" s="1336" t="s">
        <v>4204</v>
      </c>
      <c r="C253" s="1723"/>
      <c r="D253" s="1336"/>
      <c r="E253" s="1338"/>
      <c r="F253" s="1336"/>
      <c r="G253" s="1336"/>
    </row>
    <row r="254" spans="1:7" s="1339" customFormat="1" ht="15.9" customHeight="1">
      <c r="A254" s="1336"/>
      <c r="B254" s="1336" t="s">
        <v>4205</v>
      </c>
      <c r="C254" s="1723"/>
      <c r="D254" s="1336" t="s">
        <v>4206</v>
      </c>
      <c r="E254" s="1338" t="s">
        <v>4207</v>
      </c>
      <c r="F254" s="1336"/>
      <c r="G254" s="1336"/>
    </row>
    <row r="255" spans="1:7" s="1339" customFormat="1" ht="15.9" customHeight="1">
      <c r="A255" s="1336"/>
      <c r="B255" s="1336" t="s">
        <v>4208</v>
      </c>
      <c r="C255" s="1723"/>
      <c r="D255" s="1336" t="s">
        <v>4209</v>
      </c>
      <c r="E255" s="1338"/>
      <c r="F255" s="1336"/>
      <c r="G255" s="1336"/>
    </row>
    <row r="256" spans="1:7" s="1339" customFormat="1" ht="15.9" customHeight="1">
      <c r="A256" s="1336"/>
      <c r="B256" s="1336" t="s">
        <v>4210</v>
      </c>
      <c r="C256" s="1723"/>
      <c r="D256" s="1336" t="s">
        <v>4211</v>
      </c>
      <c r="E256" s="1338" t="s">
        <v>4207</v>
      </c>
      <c r="F256" s="1336"/>
      <c r="G256" s="1336"/>
    </row>
    <row r="257" spans="1:7" s="1339" customFormat="1" ht="15.9" customHeight="1">
      <c r="A257" s="1336"/>
      <c r="B257" s="1336" t="s">
        <v>4212</v>
      </c>
      <c r="C257" s="1723"/>
      <c r="D257" s="1336"/>
      <c r="E257" s="1338"/>
      <c r="F257" s="1336"/>
      <c r="G257" s="1336"/>
    </row>
    <row r="258" spans="1:7" s="1339" customFormat="1" ht="15.9" customHeight="1">
      <c r="A258" s="1336"/>
      <c r="B258" s="1336" t="s">
        <v>4213</v>
      </c>
      <c r="C258" s="1723"/>
      <c r="D258" s="1336" t="s">
        <v>4214</v>
      </c>
      <c r="E258" s="1338">
        <v>350</v>
      </c>
      <c r="F258" s="1336"/>
      <c r="G258" s="1336"/>
    </row>
    <row r="259" spans="1:7" s="1339" customFormat="1" ht="15.9" customHeight="1">
      <c r="A259" s="1336"/>
      <c r="B259" s="1336" t="s">
        <v>4215</v>
      </c>
      <c r="C259" s="1723"/>
      <c r="D259" s="1336"/>
      <c r="E259" s="1338"/>
      <c r="F259" s="1336"/>
      <c r="G259" s="1336"/>
    </row>
    <row r="260" spans="1:7" s="1339" customFormat="1" ht="15.9" customHeight="1">
      <c r="A260" s="1336"/>
      <c r="B260" s="1336" t="s">
        <v>4216</v>
      </c>
      <c r="C260" s="1723"/>
      <c r="D260" s="1336"/>
      <c r="E260" s="1338"/>
      <c r="F260" s="1336"/>
      <c r="G260" s="1336"/>
    </row>
    <row r="261" spans="1:7" s="1339" customFormat="1" ht="15.9" customHeight="1">
      <c r="A261" s="1336"/>
      <c r="B261" s="1336" t="s">
        <v>4217</v>
      </c>
      <c r="C261" s="1723"/>
      <c r="D261" s="1336" t="s">
        <v>4218</v>
      </c>
      <c r="E261" s="1338" t="s">
        <v>4219</v>
      </c>
      <c r="F261" s="1336"/>
      <c r="G261" s="1336"/>
    </row>
    <row r="262" spans="1:7" s="1339" customFormat="1" ht="15.9" customHeight="1">
      <c r="A262" s="1336"/>
      <c r="B262" s="1336"/>
      <c r="C262" s="1723"/>
      <c r="D262" s="1336" t="s">
        <v>4220</v>
      </c>
      <c r="E262" s="1338"/>
      <c r="F262" s="1336"/>
      <c r="G262" s="1336"/>
    </row>
    <row r="263" spans="1:7" s="1339" customFormat="1" ht="15.9" customHeight="1">
      <c r="A263" s="1336"/>
      <c r="B263" s="1336" t="s">
        <v>4221</v>
      </c>
      <c r="C263" s="1723"/>
      <c r="D263" s="1337" t="s">
        <v>4206</v>
      </c>
      <c r="E263" s="1338" t="s">
        <v>4222</v>
      </c>
      <c r="F263" s="1336"/>
      <c r="G263" s="1336"/>
    </row>
    <row r="264" spans="1:7" s="1339" customFormat="1" ht="15.9" customHeight="1">
      <c r="A264" s="1336"/>
      <c r="B264" s="1336" t="s">
        <v>4223</v>
      </c>
      <c r="C264" s="1723"/>
      <c r="D264" s="1337" t="s">
        <v>4224</v>
      </c>
      <c r="E264" s="1338"/>
      <c r="F264" s="1336"/>
      <c r="G264" s="1336"/>
    </row>
    <row r="265" spans="1:7" s="1339" customFormat="1" ht="15.9" customHeight="1">
      <c r="A265" s="1336"/>
      <c r="B265" s="1336" t="s">
        <v>4225</v>
      </c>
      <c r="C265" s="1723"/>
      <c r="D265" s="1337" t="s">
        <v>4226</v>
      </c>
      <c r="E265" s="1338" t="s">
        <v>4222</v>
      </c>
      <c r="F265" s="1336"/>
      <c r="G265" s="1336"/>
    </row>
    <row r="266" spans="1:7" s="1339" customFormat="1" ht="15.9" customHeight="1">
      <c r="A266" s="1336"/>
      <c r="B266" s="1336" t="s">
        <v>4227</v>
      </c>
      <c r="C266" s="1723"/>
      <c r="D266" s="1337" t="s">
        <v>4228</v>
      </c>
      <c r="E266" s="1338"/>
      <c r="F266" s="1336"/>
      <c r="G266" s="1336"/>
    </row>
    <row r="267" spans="1:7" s="1339" customFormat="1" ht="15.9" customHeight="1">
      <c r="A267" s="1336"/>
      <c r="B267" s="1336" t="s">
        <v>4229</v>
      </c>
      <c r="C267" s="1723"/>
      <c r="D267" s="1337" t="s">
        <v>4230</v>
      </c>
      <c r="E267" s="1338">
        <v>200</v>
      </c>
      <c r="F267" s="1336"/>
      <c r="G267" s="1336"/>
    </row>
    <row r="268" spans="1:7" s="1339" customFormat="1" ht="15.9" customHeight="1">
      <c r="A268" s="1336"/>
      <c r="B268" s="1336" t="s">
        <v>4231</v>
      </c>
      <c r="C268" s="1723"/>
      <c r="D268" s="1337" t="s">
        <v>4232</v>
      </c>
      <c r="E268" s="1338"/>
      <c r="F268" s="1336"/>
      <c r="G268" s="1336"/>
    </row>
    <row r="269" spans="1:7" s="1339" customFormat="1" ht="15.9" customHeight="1">
      <c r="A269" s="1700"/>
      <c r="B269" s="1700" t="s">
        <v>4233</v>
      </c>
      <c r="C269" s="1726"/>
      <c r="D269" s="1701" t="s">
        <v>4234</v>
      </c>
      <c r="E269" s="1702"/>
      <c r="F269" s="1700"/>
      <c r="G269" s="1700"/>
    </row>
    <row r="270" spans="1:7" s="1697" customFormat="1" ht="15.9" customHeight="1">
      <c r="A270" s="1700"/>
      <c r="B270" s="1700" t="s">
        <v>4235</v>
      </c>
      <c r="C270" s="1726"/>
      <c r="D270" s="1701" t="s">
        <v>4236</v>
      </c>
      <c r="E270" s="1702">
        <v>15</v>
      </c>
      <c r="F270" s="1700"/>
      <c r="G270" s="1700"/>
    </row>
    <row r="271" spans="1:7" s="1339" customFormat="1" ht="15.9" customHeight="1">
      <c r="A271" s="1694"/>
      <c r="B271" s="1694"/>
      <c r="C271" s="1724"/>
      <c r="D271" s="1694"/>
      <c r="E271" s="1696"/>
      <c r="F271" s="1694"/>
      <c r="G271" s="1694"/>
    </row>
    <row r="272" spans="1:7" s="1339" customFormat="1" ht="15.9" customHeight="1">
      <c r="A272" s="1697"/>
      <c r="B272" s="1697"/>
      <c r="C272" s="1725"/>
      <c r="D272" s="1697"/>
      <c r="E272" s="1699"/>
      <c r="F272" s="1697"/>
      <c r="G272" s="1697"/>
    </row>
    <row r="273" spans="1:7" s="1339" customFormat="1" ht="15.9" customHeight="1">
      <c r="A273" s="1697"/>
      <c r="B273" s="1697"/>
      <c r="C273" s="1725"/>
      <c r="D273" s="1697"/>
      <c r="E273" s="1699"/>
      <c r="F273" s="1697"/>
      <c r="G273" s="1697"/>
    </row>
    <row r="274" spans="1:7" s="1339" customFormat="1" ht="15.9" customHeight="1">
      <c r="A274" s="1697"/>
      <c r="B274" s="1697"/>
      <c r="C274" s="1725"/>
      <c r="D274" s="1697"/>
      <c r="E274" s="1699"/>
      <c r="F274" s="1697"/>
      <c r="G274" s="1697"/>
    </row>
    <row r="275" spans="1:7" s="1339" customFormat="1" ht="15.9" customHeight="1">
      <c r="A275" s="1697"/>
      <c r="B275" s="1697"/>
      <c r="C275" s="1725"/>
      <c r="D275" s="1697"/>
      <c r="E275" s="1699"/>
      <c r="F275" s="1697"/>
      <c r="G275" s="1697"/>
    </row>
    <row r="276" spans="1:7" s="1339" customFormat="1" ht="15.9" customHeight="1">
      <c r="A276" s="1697"/>
      <c r="B276" s="1697"/>
      <c r="C276" s="1725"/>
      <c r="D276" s="1697"/>
      <c r="E276" s="1699"/>
      <c r="F276" s="1697"/>
      <c r="G276" s="1697"/>
    </row>
    <row r="277" spans="1:7" s="1674" customFormat="1" ht="28.5" customHeight="1">
      <c r="A277" s="1672" t="s">
        <v>94</v>
      </c>
      <c r="B277" s="1672" t="s">
        <v>3891</v>
      </c>
      <c r="C277" s="1720" t="s">
        <v>3892</v>
      </c>
      <c r="D277" s="1672" t="s">
        <v>3893</v>
      </c>
      <c r="E277" s="1673" t="s">
        <v>4793</v>
      </c>
      <c r="F277" s="14906" t="s">
        <v>3887</v>
      </c>
      <c r="G277" s="14907"/>
    </row>
    <row r="278" spans="1:7" s="1674" customFormat="1" ht="12.75" customHeight="1">
      <c r="A278" s="1675" t="s">
        <v>1977</v>
      </c>
      <c r="B278" s="1676" t="s">
        <v>3894</v>
      </c>
      <c r="C278" s="1721"/>
      <c r="D278" s="1676" t="s">
        <v>3895</v>
      </c>
      <c r="E278" s="1677"/>
      <c r="F278" s="1678" t="s">
        <v>1789</v>
      </c>
      <c r="G278" s="1679" t="s">
        <v>2709</v>
      </c>
    </row>
    <row r="279" spans="1:7" s="1674" customFormat="1" ht="12.75" customHeight="1">
      <c r="A279" s="1680" t="s">
        <v>472</v>
      </c>
      <c r="B279" s="1680" t="s">
        <v>473</v>
      </c>
      <c r="C279" s="1722" t="s">
        <v>474</v>
      </c>
      <c r="D279" s="1680" t="s">
        <v>3896</v>
      </c>
      <c r="E279" s="1681">
        <v>-5</v>
      </c>
      <c r="F279" s="1682"/>
      <c r="G279" s="1683"/>
    </row>
    <row r="280" spans="1:7" s="1697" customFormat="1" ht="15.9" customHeight="1">
      <c r="A280" s="1700"/>
      <c r="B280" s="1700"/>
      <c r="C280" s="1726"/>
      <c r="D280" s="1701" t="s">
        <v>4237</v>
      </c>
      <c r="E280" s="1702"/>
      <c r="F280" s="1700"/>
      <c r="G280" s="1700"/>
    </row>
    <row r="281" spans="1:7" s="1339" customFormat="1" ht="15.9" customHeight="1">
      <c r="A281" s="1336"/>
      <c r="B281" s="1336" t="s">
        <v>4238</v>
      </c>
      <c r="C281" s="1723"/>
      <c r="D281" s="1337"/>
      <c r="E281" s="1338"/>
      <c r="F281" s="1336"/>
      <c r="G281" s="1336"/>
    </row>
    <row r="282" spans="1:7" s="1339" customFormat="1" ht="15.9" customHeight="1">
      <c r="A282" s="1336"/>
      <c r="B282" s="1336" t="s">
        <v>4239</v>
      </c>
      <c r="C282" s="1723"/>
      <c r="D282" s="1337" t="s">
        <v>4240</v>
      </c>
      <c r="E282" s="1338" t="s">
        <v>4241</v>
      </c>
      <c r="F282" s="1336"/>
      <c r="G282" s="1336"/>
    </row>
    <row r="283" spans="1:7" s="1339" customFormat="1" ht="15.9" customHeight="1">
      <c r="A283" s="1336"/>
      <c r="B283" s="1336" t="s">
        <v>4242</v>
      </c>
      <c r="C283" s="1723"/>
      <c r="D283" s="1337"/>
      <c r="E283" s="1338"/>
      <c r="F283" s="1336"/>
      <c r="G283" s="1336"/>
    </row>
    <row r="284" spans="1:7" s="1339" customFormat="1" ht="15.9" customHeight="1">
      <c r="A284" s="1336"/>
      <c r="B284" s="1336" t="s">
        <v>4243</v>
      </c>
      <c r="C284" s="1723"/>
      <c r="D284" s="1337" t="s">
        <v>4244</v>
      </c>
      <c r="E284" s="1338" t="s">
        <v>4245</v>
      </c>
      <c r="F284" s="1336"/>
      <c r="G284" s="1336"/>
    </row>
    <row r="285" spans="1:7" s="1339" customFormat="1" ht="15.9" customHeight="1">
      <c r="A285" s="1336"/>
      <c r="B285" s="1336" t="s">
        <v>4246</v>
      </c>
      <c r="C285" s="1723"/>
      <c r="D285" s="1337"/>
      <c r="E285" s="1338"/>
      <c r="F285" s="1336"/>
      <c r="G285" s="1336"/>
    </row>
    <row r="286" spans="1:7" s="1339" customFormat="1" ht="15.9" customHeight="1">
      <c r="A286" s="1336"/>
      <c r="B286" s="1336" t="s">
        <v>4247</v>
      </c>
      <c r="C286" s="1723"/>
      <c r="D286" s="1337" t="s">
        <v>4248</v>
      </c>
      <c r="E286" s="1338">
        <v>400</v>
      </c>
      <c r="F286" s="1336"/>
      <c r="G286" s="1336"/>
    </row>
    <row r="287" spans="1:7" s="1339" customFormat="1" ht="15.9" customHeight="1">
      <c r="A287" s="1336"/>
      <c r="B287" s="1336" t="s">
        <v>4249</v>
      </c>
      <c r="C287" s="1723"/>
      <c r="D287" s="1337" t="s">
        <v>4250</v>
      </c>
      <c r="E287" s="1338">
        <v>400</v>
      </c>
      <c r="F287" s="1336"/>
      <c r="G287" s="1336"/>
    </row>
    <row r="288" spans="1:7" s="1339" customFormat="1" ht="15.9" customHeight="1">
      <c r="A288" s="1336"/>
      <c r="B288" s="1336" t="s">
        <v>4251</v>
      </c>
      <c r="C288" s="1723"/>
      <c r="D288" s="1337" t="s">
        <v>4252</v>
      </c>
      <c r="E288" s="1338">
        <v>200</v>
      </c>
      <c r="F288" s="1336"/>
      <c r="G288" s="1336"/>
    </row>
    <row r="289" spans="1:7" s="1339" customFormat="1" ht="15.9" customHeight="1">
      <c r="A289" s="1336"/>
      <c r="B289" s="1336" t="s">
        <v>4253</v>
      </c>
      <c r="C289" s="1723"/>
      <c r="D289" s="1337"/>
      <c r="E289" s="1338"/>
      <c r="F289" s="1336"/>
      <c r="G289" s="1336"/>
    </row>
    <row r="290" spans="1:7" s="1339" customFormat="1" ht="15.9" customHeight="1">
      <c r="A290" s="1336"/>
      <c r="B290" s="1336" t="s">
        <v>4254</v>
      </c>
      <c r="C290" s="1723"/>
      <c r="D290" s="1337" t="s">
        <v>4255</v>
      </c>
      <c r="E290" s="1338">
        <v>200</v>
      </c>
      <c r="F290" s="1336"/>
      <c r="G290" s="1336"/>
    </row>
    <row r="291" spans="1:7" s="1339" customFormat="1" ht="15.9" customHeight="1">
      <c r="A291" s="1336"/>
      <c r="B291" s="1336"/>
      <c r="C291" s="1723"/>
      <c r="D291" s="1337"/>
      <c r="E291" s="1338"/>
      <c r="F291" s="1336"/>
      <c r="G291" s="1336"/>
    </row>
    <row r="292" spans="1:7" s="1339" customFormat="1" ht="15.9" customHeight="1">
      <c r="A292" s="1336"/>
      <c r="B292" s="1336" t="s">
        <v>4256</v>
      </c>
      <c r="C292" s="1723"/>
      <c r="D292" s="1337"/>
      <c r="E292" s="1338"/>
      <c r="F292" s="1336"/>
      <c r="G292" s="1336"/>
    </row>
    <row r="293" spans="1:7" s="1339" customFormat="1" ht="15.9" customHeight="1">
      <c r="A293" s="1336"/>
      <c r="B293" s="1336" t="s">
        <v>4257</v>
      </c>
      <c r="C293" s="1723"/>
      <c r="D293" s="1337"/>
      <c r="E293" s="1338"/>
      <c r="F293" s="1336"/>
      <c r="G293" s="1336"/>
    </row>
    <row r="294" spans="1:7" s="1339" customFormat="1" ht="15.9" customHeight="1">
      <c r="A294" s="1336"/>
      <c r="B294" s="1336" t="s">
        <v>4258</v>
      </c>
      <c r="C294" s="1723"/>
      <c r="D294" s="1337"/>
      <c r="E294" s="1338"/>
      <c r="F294" s="1336"/>
      <c r="G294" s="1336"/>
    </row>
    <row r="295" spans="1:7" s="1339" customFormat="1" ht="15.9" customHeight="1">
      <c r="A295" s="1336"/>
      <c r="B295" s="1336" t="s">
        <v>4259</v>
      </c>
      <c r="C295" s="1723"/>
      <c r="D295" s="1336" t="s">
        <v>4260</v>
      </c>
      <c r="E295" s="1338">
        <v>57</v>
      </c>
      <c r="F295" s="1336"/>
      <c r="G295" s="1336"/>
    </row>
    <row r="296" spans="1:7" s="1339" customFormat="1" ht="15.9" customHeight="1">
      <c r="A296" s="1336"/>
      <c r="B296" s="1336" t="s">
        <v>4261</v>
      </c>
      <c r="C296" s="1723"/>
      <c r="D296" s="1336" t="s">
        <v>4262</v>
      </c>
      <c r="E296" s="1338"/>
      <c r="F296" s="1336"/>
      <c r="G296" s="1336"/>
    </row>
    <row r="297" spans="1:7" s="1339" customFormat="1" ht="15.9" customHeight="1">
      <c r="A297" s="1336"/>
      <c r="B297" s="1336" t="s">
        <v>4263</v>
      </c>
      <c r="C297" s="1723"/>
      <c r="D297" s="1336"/>
      <c r="E297" s="1338"/>
      <c r="F297" s="1336"/>
      <c r="G297" s="1336"/>
    </row>
    <row r="298" spans="1:7" s="1339" customFormat="1" ht="15.9" customHeight="1">
      <c r="A298" s="1336"/>
      <c r="B298" s="1336" t="s">
        <v>4264</v>
      </c>
      <c r="C298" s="1723"/>
      <c r="D298" s="1336"/>
      <c r="E298" s="1338"/>
      <c r="F298" s="1336"/>
      <c r="G298" s="1336"/>
    </row>
    <row r="299" spans="1:7" s="1339" customFormat="1" ht="15.9" customHeight="1">
      <c r="A299" s="1336"/>
      <c r="B299" s="1336" t="s">
        <v>4265</v>
      </c>
      <c r="C299" s="1723"/>
      <c r="D299" s="1336"/>
      <c r="E299" s="1338"/>
      <c r="F299" s="1336"/>
      <c r="G299" s="1336"/>
    </row>
    <row r="300" spans="1:7" s="1339" customFormat="1" ht="15.9" customHeight="1">
      <c r="A300" s="1336"/>
      <c r="B300" s="1336" t="s">
        <v>4266</v>
      </c>
      <c r="C300" s="1723"/>
      <c r="D300" s="1336"/>
      <c r="E300" s="1338"/>
      <c r="F300" s="1336"/>
      <c r="G300" s="1336"/>
    </row>
    <row r="301" spans="1:7" s="1339" customFormat="1" ht="15.9" customHeight="1">
      <c r="A301" s="1336"/>
      <c r="B301" s="1336" t="s">
        <v>4266</v>
      </c>
      <c r="C301" s="1723"/>
      <c r="D301" s="1336"/>
      <c r="E301" s="1338"/>
      <c r="F301" s="1336"/>
      <c r="G301" s="1336"/>
    </row>
    <row r="302" spans="1:7" s="1339" customFormat="1" ht="15.9" customHeight="1">
      <c r="A302" s="1336"/>
      <c r="B302" s="1336" t="s">
        <v>4267</v>
      </c>
      <c r="C302" s="1723"/>
      <c r="D302" s="1337" t="s">
        <v>4268</v>
      </c>
      <c r="E302" s="1338">
        <v>30000</v>
      </c>
      <c r="F302" s="1336"/>
      <c r="G302" s="1336"/>
    </row>
    <row r="303" spans="1:7" s="1339" customFormat="1" ht="15.9" customHeight="1">
      <c r="A303" s="1336"/>
      <c r="B303" s="1336" t="s">
        <v>4269</v>
      </c>
      <c r="C303" s="1723"/>
      <c r="D303" s="1337" t="s">
        <v>701</v>
      </c>
      <c r="E303" s="1338"/>
      <c r="F303" s="1336"/>
      <c r="G303" s="1336"/>
    </row>
    <row r="304" spans="1:7" s="1339" customFormat="1" ht="15.9" customHeight="1">
      <c r="A304" s="1336"/>
      <c r="B304" s="1336" t="s">
        <v>4270</v>
      </c>
      <c r="C304" s="1723"/>
      <c r="D304" s="1336"/>
      <c r="E304" s="1338"/>
      <c r="F304" s="1336"/>
      <c r="G304" s="1336"/>
    </row>
    <row r="305" spans="1:7" s="1339" customFormat="1" ht="15.9" customHeight="1">
      <c r="A305" s="1336"/>
      <c r="B305" s="1336" t="s">
        <v>4271</v>
      </c>
      <c r="C305" s="1723"/>
      <c r="D305" s="1336"/>
      <c r="E305" s="1338"/>
      <c r="F305" s="1336"/>
      <c r="G305" s="1336"/>
    </row>
    <row r="306" spans="1:7" s="1339" customFormat="1" ht="15.9" customHeight="1">
      <c r="A306" s="1336"/>
      <c r="B306" s="1336" t="s">
        <v>4272</v>
      </c>
      <c r="C306" s="1723"/>
      <c r="D306" s="1336"/>
      <c r="E306" s="1338"/>
      <c r="F306" s="1336"/>
      <c r="G306" s="1336"/>
    </row>
    <row r="307" spans="1:7" s="1339" customFormat="1" ht="15.9" customHeight="1">
      <c r="A307" s="1336"/>
      <c r="B307" s="1336" t="s">
        <v>4273</v>
      </c>
      <c r="C307" s="1723"/>
      <c r="D307" s="1336"/>
      <c r="E307" s="1338"/>
      <c r="F307" s="1336"/>
      <c r="G307" s="1336"/>
    </row>
    <row r="308" spans="1:7" s="1339" customFormat="1" ht="15.9" customHeight="1">
      <c r="A308" s="1336"/>
      <c r="B308" s="1336" t="s">
        <v>4274</v>
      </c>
      <c r="C308" s="1723"/>
      <c r="D308" s="1336"/>
      <c r="E308" s="1338"/>
      <c r="F308" s="1336"/>
      <c r="G308" s="1336"/>
    </row>
    <row r="309" spans="1:7" s="1339" customFormat="1" ht="15.9" customHeight="1">
      <c r="A309" s="1336"/>
      <c r="B309" s="1336" t="s">
        <v>4275</v>
      </c>
      <c r="C309" s="1723"/>
      <c r="D309" s="1336"/>
      <c r="E309" s="1338"/>
      <c r="F309" s="1336"/>
      <c r="G309" s="1336"/>
    </row>
    <row r="310" spans="1:7" s="1339" customFormat="1" ht="15.9" customHeight="1">
      <c r="A310" s="1336"/>
      <c r="B310" s="1336" t="s">
        <v>4276</v>
      </c>
      <c r="C310" s="1723"/>
      <c r="D310" s="1336"/>
      <c r="E310" s="1338"/>
      <c r="F310" s="1336"/>
      <c r="G310" s="1336"/>
    </row>
    <row r="311" spans="1:7" s="1339" customFormat="1" ht="20.25" customHeight="1">
      <c r="A311" s="1336"/>
      <c r="B311" s="1336" t="s">
        <v>4277</v>
      </c>
      <c r="C311" s="1723"/>
      <c r="D311" s="1336"/>
      <c r="E311" s="1338"/>
      <c r="F311" s="1336"/>
      <c r="G311" s="1336"/>
    </row>
    <row r="312" spans="1:7" s="1339" customFormat="1" ht="15.9" customHeight="1">
      <c r="A312" s="1336"/>
      <c r="B312" s="1336" t="s">
        <v>4278</v>
      </c>
      <c r="C312" s="1723"/>
      <c r="D312" s="1337" t="s">
        <v>4279</v>
      </c>
      <c r="E312" s="1338">
        <v>42300</v>
      </c>
      <c r="F312" s="1336"/>
      <c r="G312" s="1336"/>
    </row>
    <row r="313" spans="1:7" s="1339" customFormat="1" ht="15.9" customHeight="1">
      <c r="A313" s="1336"/>
      <c r="B313" s="1336" t="s">
        <v>4280</v>
      </c>
      <c r="C313" s="1723"/>
      <c r="D313" s="1337"/>
      <c r="E313" s="1338"/>
      <c r="F313" s="1336"/>
      <c r="G313" s="1336"/>
    </row>
    <row r="314" spans="1:7" s="1339" customFormat="1" ht="21.75" customHeight="1">
      <c r="A314" s="1336"/>
      <c r="B314" s="1336" t="s">
        <v>4281</v>
      </c>
      <c r="C314" s="1723"/>
      <c r="D314" s="1337"/>
      <c r="E314" s="1338"/>
      <c r="F314" s="1336"/>
      <c r="G314" s="1336"/>
    </row>
    <row r="315" spans="1:7" s="1339" customFormat="1" ht="15.9" customHeight="1">
      <c r="A315" s="1336"/>
      <c r="B315" s="1336" t="s">
        <v>4282</v>
      </c>
      <c r="C315" s="1723"/>
      <c r="D315" s="1337" t="s">
        <v>4283</v>
      </c>
      <c r="E315" s="1338">
        <v>2880</v>
      </c>
      <c r="F315" s="1336"/>
      <c r="G315" s="1336"/>
    </row>
    <row r="316" spans="1:7" s="1339" customFormat="1" ht="15.9" customHeight="1">
      <c r="A316" s="1336"/>
      <c r="B316" s="1336" t="s">
        <v>4284</v>
      </c>
      <c r="C316" s="1723"/>
      <c r="D316" s="1337" t="s">
        <v>4285</v>
      </c>
      <c r="E316" s="1338"/>
      <c r="F316" s="1336"/>
      <c r="G316" s="1336"/>
    </row>
    <row r="317" spans="1:7" s="1339" customFormat="1" ht="18.75" customHeight="1">
      <c r="A317" s="1336"/>
      <c r="B317" s="1336" t="s">
        <v>4286</v>
      </c>
      <c r="C317" s="1723"/>
      <c r="D317" s="1336"/>
      <c r="E317" s="1338"/>
      <c r="F317" s="1336"/>
      <c r="G317" s="1336"/>
    </row>
    <row r="318" spans="1:7" s="1339" customFormat="1" ht="15.9" customHeight="1">
      <c r="A318" s="1336"/>
      <c r="B318" s="1336" t="s">
        <v>4287</v>
      </c>
      <c r="C318" s="1723"/>
      <c r="D318" s="1337" t="s">
        <v>4288</v>
      </c>
      <c r="E318" s="1338">
        <v>846</v>
      </c>
      <c r="F318" s="1336"/>
      <c r="G318" s="1336"/>
    </row>
    <row r="319" spans="1:7" s="1339" customFormat="1" ht="15.9" customHeight="1">
      <c r="A319" s="1336"/>
      <c r="B319" s="1336" t="s">
        <v>4289</v>
      </c>
      <c r="C319" s="1723"/>
      <c r="D319" s="1337" t="s">
        <v>4290</v>
      </c>
      <c r="E319" s="1338">
        <v>376</v>
      </c>
      <c r="F319" s="1336"/>
      <c r="G319" s="1336"/>
    </row>
    <row r="320" spans="1:7" s="1339" customFormat="1" ht="15.9" customHeight="1">
      <c r="A320" s="1336"/>
      <c r="B320" s="1336" t="s">
        <v>4291</v>
      </c>
      <c r="C320" s="1723"/>
      <c r="D320" s="1337"/>
      <c r="E320" s="1338"/>
      <c r="F320" s="1336"/>
      <c r="G320" s="1336"/>
    </row>
    <row r="321" spans="1:7" s="1339" customFormat="1" ht="15.9" customHeight="1">
      <c r="A321" s="1336"/>
      <c r="B321" s="1336" t="s">
        <v>4292</v>
      </c>
      <c r="C321" s="1723"/>
      <c r="D321" s="1337"/>
      <c r="E321" s="1338"/>
      <c r="F321" s="1336"/>
      <c r="G321" s="1336"/>
    </row>
    <row r="322" spans="1:7" s="1339" customFormat="1" ht="15.9" customHeight="1">
      <c r="A322" s="1336"/>
      <c r="B322" s="1336" t="s">
        <v>4293</v>
      </c>
      <c r="C322" s="1723"/>
      <c r="D322" s="1337" t="s">
        <v>4294</v>
      </c>
      <c r="E322" s="1338">
        <v>150</v>
      </c>
      <c r="F322" s="1336"/>
      <c r="G322" s="1336"/>
    </row>
    <row r="323" spans="1:7" s="1339" customFormat="1" ht="15.9" customHeight="1">
      <c r="A323" s="1336"/>
      <c r="B323" s="1336" t="s">
        <v>4295</v>
      </c>
      <c r="C323" s="1723"/>
      <c r="D323" s="1337" t="s">
        <v>4296</v>
      </c>
      <c r="E323" s="1338"/>
      <c r="F323" s="1336"/>
      <c r="G323" s="1336"/>
    </row>
    <row r="324" spans="1:7" s="1339" customFormat="1" ht="15.9" customHeight="1">
      <c r="A324" s="1336"/>
      <c r="B324" s="1336"/>
      <c r="C324" s="1723"/>
      <c r="D324" s="1337" t="s">
        <v>4297</v>
      </c>
      <c r="E324" s="1338"/>
      <c r="F324" s="1336"/>
      <c r="G324" s="1336"/>
    </row>
    <row r="325" spans="1:7" s="1339" customFormat="1" ht="26.25" customHeight="1">
      <c r="A325" s="1336"/>
      <c r="B325" s="1336" t="s">
        <v>4298</v>
      </c>
      <c r="C325" s="1723"/>
      <c r="D325" s="1337" t="s">
        <v>4299</v>
      </c>
      <c r="E325" s="1338">
        <v>470</v>
      </c>
      <c r="F325" s="1336"/>
      <c r="G325" s="1336"/>
    </row>
    <row r="326" spans="1:7" s="1339" customFormat="1" ht="15.9" customHeight="1">
      <c r="A326" s="1336"/>
      <c r="B326" s="1336" t="s">
        <v>4300</v>
      </c>
      <c r="C326" s="1723"/>
      <c r="D326" s="1337"/>
      <c r="E326" s="1338"/>
      <c r="F326" s="1336"/>
      <c r="G326" s="1336"/>
    </row>
    <row r="327" spans="1:7" s="1339" customFormat="1" ht="15.9" customHeight="1">
      <c r="A327" s="1336"/>
      <c r="B327" s="1336" t="s">
        <v>4977</v>
      </c>
      <c r="C327" s="1723"/>
      <c r="D327" s="1337" t="s">
        <v>4301</v>
      </c>
      <c r="E327" s="1338">
        <v>1200</v>
      </c>
      <c r="F327" s="1336"/>
      <c r="G327" s="1336"/>
    </row>
    <row r="328" spans="1:7" s="1339" customFormat="1" ht="15.9" customHeight="1">
      <c r="A328" s="1703"/>
      <c r="B328" s="1703"/>
      <c r="C328" s="1727"/>
      <c r="D328" s="1704"/>
      <c r="E328" s="1705"/>
      <c r="F328" s="1703"/>
      <c r="G328" s="1703"/>
    </row>
    <row r="329" spans="1:7" s="1339" customFormat="1" ht="15.9" customHeight="1">
      <c r="A329" s="1336"/>
      <c r="B329" s="1336" t="s">
        <v>4302</v>
      </c>
      <c r="C329" s="1723"/>
      <c r="D329" s="1337"/>
      <c r="E329" s="1338"/>
      <c r="F329" s="1336"/>
      <c r="G329" s="1336"/>
    </row>
    <row r="330" spans="1:7" s="1339" customFormat="1" ht="15.9" customHeight="1">
      <c r="A330" s="1336"/>
      <c r="B330" s="1336" t="s">
        <v>4303</v>
      </c>
      <c r="C330" s="1723"/>
      <c r="D330" s="1337"/>
      <c r="E330" s="1338"/>
      <c r="F330" s="1336"/>
      <c r="G330" s="1336"/>
    </row>
    <row r="331" spans="1:7" s="1339" customFormat="1" ht="15.9" customHeight="1">
      <c r="A331" s="1336"/>
      <c r="B331" s="1336" t="s">
        <v>4304</v>
      </c>
      <c r="C331" s="1723"/>
      <c r="D331" s="1337"/>
      <c r="E331" s="1338"/>
      <c r="F331" s="1336"/>
      <c r="G331" s="1336"/>
    </row>
    <row r="332" spans="1:7" s="1339" customFormat="1" ht="15.9" customHeight="1">
      <c r="A332" s="1336"/>
      <c r="B332" s="1336" t="s">
        <v>4305</v>
      </c>
      <c r="C332" s="1723"/>
      <c r="D332" s="1337"/>
      <c r="E332" s="1338"/>
      <c r="F332" s="1336"/>
      <c r="G332" s="1336"/>
    </row>
    <row r="333" spans="1:7" s="1339" customFormat="1" ht="15.9" customHeight="1">
      <c r="A333" s="1336"/>
      <c r="B333" s="1336" t="s">
        <v>4306</v>
      </c>
      <c r="C333" s="1723"/>
      <c r="D333" s="1337" t="s">
        <v>4307</v>
      </c>
      <c r="E333" s="1338">
        <v>2</v>
      </c>
      <c r="F333" s="1336"/>
      <c r="G333" s="1336"/>
    </row>
    <row r="334" spans="1:7" s="1339" customFormat="1" ht="15.9" customHeight="1">
      <c r="A334" s="1336"/>
      <c r="B334" s="1336"/>
      <c r="C334" s="1723"/>
      <c r="D334" s="1337" t="s">
        <v>4308</v>
      </c>
      <c r="E334" s="1338"/>
      <c r="F334" s="1336"/>
      <c r="G334" s="1336"/>
    </row>
    <row r="335" spans="1:7" s="1339" customFormat="1" ht="15.9" customHeight="1">
      <c r="A335" s="1336"/>
      <c r="B335" s="1336" t="s">
        <v>4309</v>
      </c>
      <c r="C335" s="1723"/>
      <c r="D335" s="1337" t="s">
        <v>4310</v>
      </c>
      <c r="E335" s="1338">
        <v>2</v>
      </c>
      <c r="F335" s="1336"/>
      <c r="G335" s="1336"/>
    </row>
    <row r="336" spans="1:7" s="1339" customFormat="1" ht="15.9" customHeight="1">
      <c r="A336" s="1336"/>
      <c r="B336" s="1336"/>
      <c r="C336" s="1723"/>
      <c r="D336" s="1337" t="s">
        <v>4311</v>
      </c>
      <c r="E336" s="1338"/>
      <c r="F336" s="1336"/>
      <c r="G336" s="1336"/>
    </row>
    <row r="337" spans="1:7" s="1339" customFormat="1" ht="15.9" customHeight="1">
      <c r="A337" s="1336"/>
      <c r="B337" s="1336" t="s">
        <v>4312</v>
      </c>
      <c r="C337" s="1723"/>
      <c r="D337" s="1337" t="s">
        <v>4313</v>
      </c>
      <c r="E337" s="1338">
        <v>2</v>
      </c>
      <c r="F337" s="1336"/>
      <c r="G337" s="1336"/>
    </row>
    <row r="338" spans="1:7" s="1339" customFormat="1" ht="15.9" customHeight="1">
      <c r="A338" s="1703"/>
      <c r="B338" s="1703"/>
      <c r="C338" s="1727"/>
      <c r="D338" s="1704" t="s">
        <v>4314</v>
      </c>
      <c r="E338" s="1705"/>
      <c r="F338" s="1703"/>
      <c r="G338" s="1703"/>
    </row>
    <row r="339" spans="1:7" s="1339" customFormat="1" ht="15.9" customHeight="1">
      <c r="A339" s="1694"/>
      <c r="B339" s="1694"/>
      <c r="C339" s="1724"/>
      <c r="D339" s="1695"/>
      <c r="E339" s="1696"/>
      <c r="F339" s="1694"/>
      <c r="G339" s="1694"/>
    </row>
    <row r="340" spans="1:7" s="1339" customFormat="1" ht="15.9" customHeight="1">
      <c r="A340" s="1697"/>
      <c r="B340" s="1697"/>
      <c r="C340" s="1725"/>
      <c r="D340" s="1698"/>
      <c r="E340" s="1699"/>
      <c r="F340" s="1697"/>
      <c r="G340" s="1697"/>
    </row>
    <row r="341" spans="1:7" s="1339" customFormat="1" ht="15.9" customHeight="1">
      <c r="A341" s="1697"/>
      <c r="B341" s="1697"/>
      <c r="C341" s="1725"/>
      <c r="D341" s="1698"/>
      <c r="E341" s="1699"/>
      <c r="F341" s="1697"/>
      <c r="G341" s="1697"/>
    </row>
    <row r="342" spans="1:7" s="1339" customFormat="1" ht="15.9" customHeight="1">
      <c r="A342" s="1697"/>
      <c r="B342" s="1697"/>
      <c r="C342" s="1725"/>
      <c r="D342" s="1698"/>
      <c r="E342" s="1699"/>
      <c r="F342" s="1697"/>
      <c r="G342" s="1697"/>
    </row>
    <row r="343" spans="1:7" s="1339" customFormat="1" ht="15.9" customHeight="1">
      <c r="A343" s="1697"/>
      <c r="B343" s="1697"/>
      <c r="C343" s="1725"/>
      <c r="D343" s="1698"/>
      <c r="E343" s="1699"/>
      <c r="F343" s="1697"/>
      <c r="G343" s="1697"/>
    </row>
    <row r="344" spans="1:7" s="1674" customFormat="1" ht="28.5" customHeight="1">
      <c r="A344" s="1672" t="s">
        <v>94</v>
      </c>
      <c r="B344" s="1672" t="s">
        <v>3891</v>
      </c>
      <c r="C344" s="1720" t="s">
        <v>3892</v>
      </c>
      <c r="D344" s="1672" t="s">
        <v>3893</v>
      </c>
      <c r="E344" s="1673" t="s">
        <v>4793</v>
      </c>
      <c r="F344" s="14906" t="s">
        <v>3887</v>
      </c>
      <c r="G344" s="14907"/>
    </row>
    <row r="345" spans="1:7" s="1674" customFormat="1" ht="12.75" customHeight="1">
      <c r="A345" s="1675" t="s">
        <v>1977</v>
      </c>
      <c r="B345" s="1676" t="s">
        <v>3894</v>
      </c>
      <c r="C345" s="1721"/>
      <c r="D345" s="1676" t="s">
        <v>3895</v>
      </c>
      <c r="E345" s="1677"/>
      <c r="F345" s="1678" t="s">
        <v>1789</v>
      </c>
      <c r="G345" s="1679" t="s">
        <v>2709</v>
      </c>
    </row>
    <row r="346" spans="1:7" s="1674" customFormat="1" ht="12.75" customHeight="1">
      <c r="A346" s="1680" t="s">
        <v>472</v>
      </c>
      <c r="B346" s="1680" t="s">
        <v>473</v>
      </c>
      <c r="C346" s="1722" t="s">
        <v>474</v>
      </c>
      <c r="D346" s="1680" t="s">
        <v>3896</v>
      </c>
      <c r="E346" s="1681">
        <v>-5</v>
      </c>
      <c r="F346" s="1682"/>
      <c r="G346" s="1683"/>
    </row>
    <row r="347" spans="1:7" s="1697" customFormat="1" ht="15.9" customHeight="1">
      <c r="A347" s="1703"/>
      <c r="B347" s="1703" t="s">
        <v>4315</v>
      </c>
      <c r="C347" s="1727"/>
      <c r="D347" s="1704" t="s">
        <v>4316</v>
      </c>
      <c r="E347" s="1705">
        <v>2</v>
      </c>
      <c r="F347" s="1703"/>
      <c r="G347" s="1703"/>
    </row>
    <row r="348" spans="1:7" s="1339" customFormat="1" ht="15.9" customHeight="1">
      <c r="A348" s="1336"/>
      <c r="B348" s="1336" t="s">
        <v>4317</v>
      </c>
      <c r="C348" s="1723"/>
      <c r="D348" s="1337" t="s">
        <v>4318</v>
      </c>
      <c r="E348" s="1338"/>
      <c r="F348" s="1336"/>
      <c r="G348" s="1336"/>
    </row>
    <row r="349" spans="1:7" s="1339" customFormat="1" ht="15.9" customHeight="1">
      <c r="A349" s="1336"/>
      <c r="B349" s="1336"/>
      <c r="C349" s="1723"/>
      <c r="D349" s="1337" t="s">
        <v>4319</v>
      </c>
      <c r="E349" s="1338"/>
      <c r="F349" s="1336"/>
      <c r="G349" s="1336"/>
    </row>
    <row r="350" spans="1:7" s="1339" customFormat="1" ht="15.9" customHeight="1">
      <c r="A350" s="1336"/>
      <c r="B350" s="1336" t="s">
        <v>4320</v>
      </c>
      <c r="C350" s="1723"/>
      <c r="D350" s="1336" t="s">
        <v>4321</v>
      </c>
      <c r="E350" s="1338">
        <v>18</v>
      </c>
      <c r="F350" s="1336"/>
      <c r="G350" s="1336"/>
    </row>
    <row r="351" spans="1:7" s="1339" customFormat="1" ht="15.9" customHeight="1">
      <c r="A351" s="1336"/>
      <c r="B351" s="1336" t="s">
        <v>4322</v>
      </c>
      <c r="C351" s="1723"/>
      <c r="D351" s="1336"/>
      <c r="E351" s="1338"/>
      <c r="F351" s="1336"/>
      <c r="G351" s="1336"/>
    </row>
    <row r="352" spans="1:7" s="1339" customFormat="1" ht="15.9" customHeight="1">
      <c r="A352" s="1336"/>
      <c r="B352" s="1336" t="s">
        <v>4323</v>
      </c>
      <c r="C352" s="1723"/>
      <c r="D352" s="1336"/>
      <c r="E352" s="1338"/>
      <c r="F352" s="1336"/>
      <c r="G352" s="1336"/>
    </row>
    <row r="353" spans="1:7" s="1339" customFormat="1" ht="15.9" customHeight="1">
      <c r="A353" s="1336"/>
      <c r="B353" s="1336" t="s">
        <v>4324</v>
      </c>
      <c r="C353" s="1723"/>
      <c r="D353" s="1336"/>
      <c r="E353" s="1338"/>
      <c r="F353" s="1336"/>
      <c r="G353" s="1336"/>
    </row>
    <row r="354" spans="1:7" s="1339" customFormat="1" ht="15.9" customHeight="1">
      <c r="A354" s="1336"/>
      <c r="B354" s="1336" t="s">
        <v>4325</v>
      </c>
      <c r="C354" s="1723"/>
      <c r="D354" s="1336" t="s">
        <v>4326</v>
      </c>
      <c r="E354" s="1338">
        <v>10</v>
      </c>
      <c r="F354" s="1336"/>
      <c r="G354" s="1336"/>
    </row>
    <row r="355" spans="1:7" s="1339" customFormat="1" ht="15.9" customHeight="1">
      <c r="A355" s="1336"/>
      <c r="B355" s="1336"/>
      <c r="C355" s="1723"/>
      <c r="D355" s="1336"/>
      <c r="E355" s="1338"/>
      <c r="F355" s="1336"/>
      <c r="G355" s="1336"/>
    </row>
    <row r="356" spans="1:7" s="1339" customFormat="1" ht="15.9" customHeight="1">
      <c r="A356" s="1336"/>
      <c r="B356" s="1336" t="s">
        <v>9541</v>
      </c>
      <c r="C356" s="1723"/>
      <c r="D356" s="1336"/>
      <c r="E356" s="1338"/>
      <c r="F356" s="1336"/>
      <c r="G356" s="1336"/>
    </row>
    <row r="357" spans="1:7" s="1339" customFormat="1" ht="15.9" customHeight="1">
      <c r="A357" s="1336"/>
      <c r="B357" s="1336" t="s">
        <v>4327</v>
      </c>
      <c r="C357" s="1723"/>
      <c r="D357" s="1336"/>
      <c r="E357" s="1338"/>
      <c r="F357" s="1336"/>
      <c r="G357" s="1336"/>
    </row>
    <row r="358" spans="1:7" s="1339" customFormat="1" ht="15.9" customHeight="1">
      <c r="A358" s="1336"/>
      <c r="B358" s="1336" t="s">
        <v>4328</v>
      </c>
      <c r="C358" s="1723"/>
      <c r="D358" s="1336" t="s">
        <v>4329</v>
      </c>
      <c r="E358" s="1338">
        <v>500</v>
      </c>
      <c r="F358" s="1336"/>
      <c r="G358" s="1336"/>
    </row>
    <row r="359" spans="1:7" s="1339" customFormat="1" ht="15.9" customHeight="1">
      <c r="A359" s="1336"/>
      <c r="B359" s="1336" t="s">
        <v>4330</v>
      </c>
      <c r="C359" s="1723"/>
      <c r="D359" s="1336" t="s">
        <v>4331</v>
      </c>
      <c r="E359" s="1338"/>
      <c r="F359" s="1336"/>
      <c r="G359" s="1336"/>
    </row>
    <row r="360" spans="1:7" s="1339" customFormat="1" ht="15.9" customHeight="1">
      <c r="A360" s="1336"/>
      <c r="B360" s="1336" t="s">
        <v>4332</v>
      </c>
      <c r="C360" s="1723"/>
      <c r="D360" s="1336" t="s">
        <v>4333</v>
      </c>
      <c r="E360" s="1338">
        <v>400</v>
      </c>
      <c r="F360" s="1336"/>
      <c r="G360" s="1336"/>
    </row>
    <row r="361" spans="1:7" s="1339" customFormat="1" ht="15.9" customHeight="1">
      <c r="A361" s="1336"/>
      <c r="B361" s="1336" t="s">
        <v>4334</v>
      </c>
      <c r="C361" s="1723"/>
      <c r="D361" s="1336" t="s">
        <v>4335</v>
      </c>
      <c r="E361" s="1338"/>
      <c r="F361" s="1336"/>
      <c r="G361" s="1336"/>
    </row>
    <row r="362" spans="1:7" s="1339" customFormat="1" ht="15.9" customHeight="1">
      <c r="A362" s="1336"/>
      <c r="B362" s="1336" t="s">
        <v>4336</v>
      </c>
      <c r="C362" s="1723"/>
      <c r="D362" s="1336" t="s">
        <v>4337</v>
      </c>
      <c r="E362" s="1338">
        <v>400</v>
      </c>
      <c r="F362" s="1336"/>
      <c r="G362" s="1336"/>
    </row>
    <row r="363" spans="1:7" s="1339" customFormat="1" ht="15.9" customHeight="1">
      <c r="A363" s="1336"/>
      <c r="B363" s="1336" t="s">
        <v>4338</v>
      </c>
      <c r="C363" s="1723"/>
      <c r="D363" s="1336" t="s">
        <v>4339</v>
      </c>
      <c r="E363" s="1338">
        <v>100</v>
      </c>
      <c r="F363" s="1336"/>
      <c r="G363" s="1336"/>
    </row>
    <row r="364" spans="1:7" s="1339" customFormat="1" ht="15.9" customHeight="1">
      <c r="A364" s="1336"/>
      <c r="B364" s="1336" t="s">
        <v>4340</v>
      </c>
      <c r="C364" s="1723"/>
      <c r="D364" s="1336"/>
      <c r="E364" s="1338"/>
      <c r="F364" s="1336"/>
      <c r="G364" s="1336"/>
    </row>
    <row r="365" spans="1:7" s="1339" customFormat="1" ht="15.9" customHeight="1">
      <c r="A365" s="1336"/>
      <c r="B365" s="1336"/>
      <c r="C365" s="1723"/>
      <c r="D365" s="1336"/>
      <c r="E365" s="1338"/>
      <c r="F365" s="1336"/>
      <c r="G365" s="1336"/>
    </row>
    <row r="366" spans="1:7" s="1339" customFormat="1" ht="15.9" customHeight="1">
      <c r="A366" s="1336"/>
      <c r="B366" s="1336" t="s">
        <v>4341</v>
      </c>
      <c r="C366" s="1723"/>
      <c r="D366" s="1336"/>
      <c r="E366" s="1338"/>
      <c r="F366" s="1336"/>
      <c r="G366" s="1336"/>
    </row>
    <row r="367" spans="1:7" s="1339" customFormat="1" ht="15.9" customHeight="1">
      <c r="A367" s="1336"/>
      <c r="B367" s="1336" t="s">
        <v>4342</v>
      </c>
      <c r="C367" s="1723"/>
      <c r="D367" s="1336"/>
      <c r="E367" s="1338"/>
      <c r="F367" s="1336"/>
      <c r="G367" s="1336"/>
    </row>
    <row r="368" spans="1:7" s="1339" customFormat="1" ht="15.9" customHeight="1">
      <c r="A368" s="1336"/>
      <c r="B368" s="1336" t="s">
        <v>4343</v>
      </c>
      <c r="C368" s="1723"/>
      <c r="D368" s="1336"/>
      <c r="E368" s="1338"/>
      <c r="F368" s="1336"/>
      <c r="G368" s="1336"/>
    </row>
    <row r="369" spans="1:7" s="1339" customFormat="1" ht="15.9" customHeight="1">
      <c r="A369" s="1336"/>
      <c r="B369" s="1336" t="s">
        <v>4344</v>
      </c>
      <c r="C369" s="1723"/>
      <c r="D369" s="1336" t="s">
        <v>4345</v>
      </c>
      <c r="E369" s="1338">
        <v>220</v>
      </c>
      <c r="F369" s="1336"/>
      <c r="G369" s="1336"/>
    </row>
    <row r="370" spans="1:7" s="1339" customFormat="1" ht="15.9" customHeight="1">
      <c r="A370" s="1336"/>
      <c r="B370" s="1336" t="s">
        <v>4346</v>
      </c>
      <c r="C370" s="1723"/>
      <c r="D370" s="1336" t="s">
        <v>4347</v>
      </c>
      <c r="E370" s="1338">
        <v>50</v>
      </c>
      <c r="F370" s="1336"/>
      <c r="G370" s="1336"/>
    </row>
    <row r="371" spans="1:7" s="1339" customFormat="1" ht="15.9" customHeight="1">
      <c r="A371" s="1336"/>
      <c r="B371" s="1336" t="s">
        <v>4348</v>
      </c>
      <c r="C371" s="1723"/>
      <c r="D371" s="1336" t="s">
        <v>4349</v>
      </c>
      <c r="E371" s="1338">
        <v>50</v>
      </c>
      <c r="F371" s="1336"/>
      <c r="G371" s="1336"/>
    </row>
    <row r="372" spans="1:7" s="1339" customFormat="1" ht="15.9" customHeight="1">
      <c r="A372" s="1336"/>
      <c r="B372" s="1336"/>
      <c r="C372" s="1723"/>
      <c r="D372" s="1336"/>
      <c r="E372" s="1338"/>
      <c r="F372" s="1336"/>
      <c r="G372" s="1336"/>
    </row>
    <row r="373" spans="1:7" s="1339" customFormat="1" ht="15.9" customHeight="1">
      <c r="A373" s="1336"/>
      <c r="B373" s="1336" t="s">
        <v>4350</v>
      </c>
      <c r="C373" s="1723"/>
      <c r="D373" s="1336"/>
      <c r="E373" s="1338"/>
      <c r="F373" s="1336"/>
      <c r="G373" s="1336"/>
    </row>
    <row r="374" spans="1:7" s="1339" customFormat="1" ht="15.9" customHeight="1">
      <c r="A374" s="1336"/>
      <c r="B374" s="1336" t="s">
        <v>4351</v>
      </c>
      <c r="C374" s="1723"/>
      <c r="D374" s="1336" t="s">
        <v>4352</v>
      </c>
      <c r="E374" s="1338">
        <v>4</v>
      </c>
      <c r="F374" s="1336"/>
      <c r="G374" s="1336"/>
    </row>
    <row r="375" spans="1:7" s="1339" customFormat="1" ht="15.9" customHeight="1">
      <c r="A375" s="1336"/>
      <c r="B375" s="1336" t="s">
        <v>4353</v>
      </c>
      <c r="C375" s="1723"/>
      <c r="D375" s="1336" t="s">
        <v>4354</v>
      </c>
      <c r="E375" s="1338"/>
      <c r="F375" s="1336"/>
      <c r="G375" s="1336"/>
    </row>
    <row r="376" spans="1:7" s="1339" customFormat="1" ht="15.9" customHeight="1">
      <c r="A376" s="1336"/>
      <c r="B376" s="1336" t="s">
        <v>4355</v>
      </c>
      <c r="C376" s="1723"/>
      <c r="D376" s="1336" t="s">
        <v>4356</v>
      </c>
      <c r="E376" s="1338"/>
      <c r="F376" s="1336"/>
      <c r="G376" s="1336"/>
    </row>
    <row r="377" spans="1:7" s="1339" customFormat="1" ht="15.9" customHeight="1">
      <c r="A377" s="1336"/>
      <c r="B377" s="1336" t="s">
        <v>4357</v>
      </c>
      <c r="C377" s="1723"/>
      <c r="D377" s="1336" t="s">
        <v>4358</v>
      </c>
      <c r="E377" s="1338"/>
      <c r="F377" s="1336"/>
      <c r="G377" s="1336"/>
    </row>
    <row r="378" spans="1:7" s="1339" customFormat="1" ht="15.9" customHeight="1">
      <c r="A378" s="1336"/>
      <c r="B378" s="1336" t="s">
        <v>4359</v>
      </c>
      <c r="C378" s="1723"/>
      <c r="D378" s="1336" t="s">
        <v>4360</v>
      </c>
      <c r="E378" s="1338">
        <v>35</v>
      </c>
      <c r="F378" s="1336"/>
      <c r="G378" s="1336"/>
    </row>
    <row r="379" spans="1:7" s="1339" customFormat="1" ht="15.9" customHeight="1">
      <c r="A379" s="1336"/>
      <c r="B379" s="1336" t="s">
        <v>4361</v>
      </c>
      <c r="C379" s="1723"/>
      <c r="D379" s="1336"/>
      <c r="E379" s="1338"/>
      <c r="F379" s="1336"/>
      <c r="G379" s="1336"/>
    </row>
    <row r="380" spans="1:7" s="1339" customFormat="1" ht="15.9" customHeight="1">
      <c r="A380" s="1336"/>
      <c r="B380" s="1336" t="s">
        <v>4362</v>
      </c>
      <c r="C380" s="1723"/>
      <c r="D380" s="1336" t="s">
        <v>4363</v>
      </c>
      <c r="E380" s="1338">
        <v>450</v>
      </c>
      <c r="F380" s="1336"/>
      <c r="G380" s="1336"/>
    </row>
    <row r="381" spans="1:7" s="1339" customFormat="1" ht="15.9" customHeight="1">
      <c r="A381" s="1336"/>
      <c r="B381" s="1336" t="s">
        <v>4364</v>
      </c>
      <c r="C381" s="1723"/>
      <c r="D381" s="1336" t="s">
        <v>4365</v>
      </c>
      <c r="E381" s="1338"/>
      <c r="F381" s="1336"/>
      <c r="G381" s="1336"/>
    </row>
    <row r="382" spans="1:7" s="1339" customFormat="1" ht="15.9" customHeight="1">
      <c r="A382" s="1336"/>
      <c r="B382" s="1336"/>
      <c r="C382" s="1723"/>
      <c r="D382" s="1336" t="s">
        <v>4366</v>
      </c>
      <c r="E382" s="1338"/>
      <c r="F382" s="1336"/>
      <c r="G382" s="1336"/>
    </row>
    <row r="383" spans="1:7" s="1339" customFormat="1" ht="15.9" customHeight="1">
      <c r="A383" s="1336"/>
      <c r="B383" s="1336" t="s">
        <v>4367</v>
      </c>
      <c r="C383" s="1723"/>
      <c r="D383" s="1336" t="s">
        <v>4368</v>
      </c>
      <c r="E383" s="1338">
        <v>10000</v>
      </c>
      <c r="F383" s="1336"/>
      <c r="G383" s="1336"/>
    </row>
    <row r="384" spans="1:7" s="1339" customFormat="1" ht="15.9" customHeight="1">
      <c r="A384" s="1336"/>
      <c r="B384" s="1336" t="s">
        <v>4369</v>
      </c>
      <c r="C384" s="1723"/>
      <c r="D384" s="1336" t="s">
        <v>4370</v>
      </c>
      <c r="E384" s="1338"/>
      <c r="F384" s="1336"/>
      <c r="G384" s="1336"/>
    </row>
    <row r="385" spans="1:7" s="1339" customFormat="1" ht="15.9" customHeight="1">
      <c r="A385" s="1336"/>
      <c r="B385" s="1336" t="s">
        <v>4371</v>
      </c>
      <c r="C385" s="1723"/>
      <c r="D385" s="1336"/>
      <c r="E385" s="1338"/>
      <c r="F385" s="1336"/>
      <c r="G385" s="1336"/>
    </row>
    <row r="386" spans="1:7" s="1339" customFormat="1" ht="15.9" customHeight="1">
      <c r="A386" s="1336"/>
      <c r="B386" s="1336" t="s">
        <v>4372</v>
      </c>
      <c r="C386" s="1723"/>
      <c r="D386" s="1336" t="s">
        <v>4373</v>
      </c>
      <c r="E386" s="1338">
        <v>47</v>
      </c>
      <c r="F386" s="1336" t="s">
        <v>4374</v>
      </c>
      <c r="G386" s="1336" t="s">
        <v>1767</v>
      </c>
    </row>
    <row r="387" spans="1:7" s="1339" customFormat="1" ht="15.9" customHeight="1">
      <c r="A387" s="1336"/>
      <c r="B387" s="1336" t="s">
        <v>4375</v>
      </c>
      <c r="C387" s="1723"/>
      <c r="D387" s="1336" t="s">
        <v>2588</v>
      </c>
      <c r="E387" s="1338"/>
      <c r="F387" s="1336"/>
      <c r="G387" s="1336"/>
    </row>
    <row r="388" spans="1:7" s="1339" customFormat="1" ht="15.9" customHeight="1">
      <c r="A388" s="1336"/>
      <c r="B388" s="1336" t="s">
        <v>4376</v>
      </c>
      <c r="C388" s="1723"/>
      <c r="D388" s="1336" t="s">
        <v>4377</v>
      </c>
      <c r="E388" s="1338">
        <v>10</v>
      </c>
      <c r="F388" s="1336" t="s">
        <v>4374</v>
      </c>
      <c r="G388" s="1336" t="s">
        <v>1767</v>
      </c>
    </row>
    <row r="389" spans="1:7" s="1339" customFormat="1" ht="15.9" customHeight="1">
      <c r="A389" s="1336"/>
      <c r="B389" s="1336" t="s">
        <v>4378</v>
      </c>
      <c r="C389" s="1723"/>
      <c r="D389" s="1336"/>
      <c r="E389" s="1338"/>
      <c r="F389" s="1336"/>
      <c r="G389" s="1336"/>
    </row>
    <row r="390" spans="1:7" s="1339" customFormat="1" ht="15.9" customHeight="1">
      <c r="A390" s="1336"/>
      <c r="B390" s="1336" t="s">
        <v>4379</v>
      </c>
      <c r="C390" s="1723"/>
      <c r="D390" s="1336" t="s">
        <v>4380</v>
      </c>
      <c r="E390" s="1338">
        <v>50</v>
      </c>
      <c r="F390" s="1336" t="s">
        <v>2818</v>
      </c>
      <c r="G390" s="1336" t="s">
        <v>2819</v>
      </c>
    </row>
    <row r="391" spans="1:7" s="1339" customFormat="1" ht="15.9" customHeight="1">
      <c r="A391" s="1336"/>
      <c r="B391" s="1336" t="s">
        <v>4381</v>
      </c>
      <c r="C391" s="1723"/>
      <c r="D391" s="1336"/>
      <c r="E391" s="1338"/>
      <c r="F391" s="1336"/>
      <c r="G391" s="1336"/>
    </row>
    <row r="392" spans="1:7" s="1339" customFormat="1" ht="15.9" customHeight="1">
      <c r="A392" s="1336"/>
      <c r="B392" s="1336" t="s">
        <v>4382</v>
      </c>
      <c r="C392" s="1723"/>
      <c r="D392" s="1336" t="s">
        <v>4383</v>
      </c>
      <c r="E392" s="1338">
        <v>145</v>
      </c>
      <c r="F392" s="1336"/>
      <c r="G392" s="1336"/>
    </row>
    <row r="393" spans="1:7" s="1339" customFormat="1" ht="15.9" customHeight="1">
      <c r="A393" s="1336"/>
      <c r="B393" s="1336"/>
      <c r="C393" s="1723"/>
      <c r="D393" s="1336" t="s">
        <v>4384</v>
      </c>
      <c r="E393" s="1338">
        <v>800</v>
      </c>
      <c r="F393" s="1336"/>
      <c r="G393" s="1336"/>
    </row>
    <row r="394" spans="1:7" s="1339" customFormat="1" ht="15.9" customHeight="1">
      <c r="A394" s="1336"/>
      <c r="B394" s="1336" t="s">
        <v>4385</v>
      </c>
      <c r="C394" s="1723"/>
      <c r="D394" s="1336" t="s">
        <v>4386</v>
      </c>
      <c r="E394" s="1338">
        <v>24</v>
      </c>
      <c r="F394" s="1336"/>
      <c r="G394" s="1336"/>
    </row>
    <row r="395" spans="1:7" s="1339" customFormat="1" ht="15.9" customHeight="1">
      <c r="A395" s="1336"/>
      <c r="B395" s="1336"/>
      <c r="C395" s="1723"/>
      <c r="D395" s="1336" t="s">
        <v>4387</v>
      </c>
      <c r="E395" s="1338">
        <v>24</v>
      </c>
      <c r="F395" s="1336"/>
      <c r="G395" s="1336"/>
    </row>
    <row r="396" spans="1:7" s="1339" customFormat="1" ht="15.9" customHeight="1">
      <c r="A396" s="1336"/>
      <c r="B396" s="1336"/>
      <c r="C396" s="1723"/>
      <c r="D396" s="1336" t="s">
        <v>4388</v>
      </c>
      <c r="E396" s="1338">
        <v>18</v>
      </c>
      <c r="F396" s="1336"/>
      <c r="G396" s="1336"/>
    </row>
    <row r="397" spans="1:7" s="1339" customFormat="1" ht="15.9" customHeight="1">
      <c r="A397" s="1336"/>
      <c r="B397" s="1336"/>
      <c r="C397" s="1723"/>
      <c r="D397" s="1336" t="s">
        <v>4389</v>
      </c>
      <c r="E397" s="1338"/>
      <c r="F397" s="1336"/>
      <c r="G397" s="1336"/>
    </row>
    <row r="398" spans="1:7" s="1339" customFormat="1" ht="15.9" customHeight="1">
      <c r="A398" s="1336"/>
      <c r="B398" s="1336" t="s">
        <v>4390</v>
      </c>
      <c r="C398" s="1723"/>
      <c r="D398" s="1336" t="s">
        <v>4391</v>
      </c>
      <c r="E398" s="1338">
        <v>18000</v>
      </c>
      <c r="F398" s="1336"/>
      <c r="G398" s="1336"/>
    </row>
    <row r="399" spans="1:7" s="1339" customFormat="1" ht="15.9" customHeight="1">
      <c r="A399" s="1336"/>
      <c r="B399" s="1336" t="s">
        <v>4392</v>
      </c>
      <c r="C399" s="1723"/>
      <c r="D399" s="1336" t="s">
        <v>4393</v>
      </c>
      <c r="E399" s="1338">
        <v>70</v>
      </c>
      <c r="F399" s="1336"/>
      <c r="G399" s="1336"/>
    </row>
    <row r="400" spans="1:7" s="1339" customFormat="1" ht="15.9" customHeight="1">
      <c r="A400" s="1336"/>
      <c r="B400" s="1336" t="s">
        <v>4394</v>
      </c>
      <c r="C400" s="1723"/>
      <c r="D400" s="1336"/>
      <c r="E400" s="1338"/>
      <c r="F400" s="1336"/>
      <c r="G400" s="1336"/>
    </row>
    <row r="401" spans="1:7" s="1339" customFormat="1" ht="15.9" customHeight="1">
      <c r="A401" s="1336"/>
      <c r="B401" s="1336" t="s">
        <v>4395</v>
      </c>
      <c r="C401" s="1723"/>
      <c r="D401" s="1336"/>
      <c r="E401" s="1338"/>
      <c r="F401" s="1336"/>
      <c r="G401" s="1336"/>
    </row>
    <row r="402" spans="1:7" s="1339" customFormat="1" ht="15.9" customHeight="1">
      <c r="A402" s="1700"/>
      <c r="B402" s="1700" t="s">
        <v>4396</v>
      </c>
      <c r="C402" s="1726"/>
      <c r="D402" s="1700"/>
      <c r="E402" s="1702"/>
      <c r="F402" s="1700"/>
      <c r="G402" s="1700"/>
    </row>
    <row r="403" spans="1:7" s="1697" customFormat="1" ht="15.9" customHeight="1">
      <c r="A403" s="1700"/>
      <c r="B403" s="1700" t="s">
        <v>4397</v>
      </c>
      <c r="C403" s="1726"/>
      <c r="D403" s="1700" t="s">
        <v>4290</v>
      </c>
      <c r="E403" s="1702">
        <v>160</v>
      </c>
      <c r="F403" s="1700"/>
      <c r="G403" s="1700"/>
    </row>
    <row r="404" spans="1:7" s="1339" customFormat="1" ht="15.9" customHeight="1">
      <c r="A404" s="1336"/>
      <c r="B404" s="1336" t="s">
        <v>4398</v>
      </c>
      <c r="C404" s="1723"/>
      <c r="D404" s="1336"/>
      <c r="E404" s="1338"/>
      <c r="F404" s="1336"/>
      <c r="G404" s="1336"/>
    </row>
    <row r="405" spans="1:7" s="1339" customFormat="1" ht="15.9" customHeight="1">
      <c r="A405" s="1336"/>
      <c r="B405" s="1336" t="s">
        <v>4399</v>
      </c>
      <c r="C405" s="1723"/>
      <c r="D405" s="1336"/>
      <c r="E405" s="1338"/>
      <c r="F405" s="1336"/>
      <c r="G405" s="1336"/>
    </row>
    <row r="406" spans="1:7" s="1339" customFormat="1" ht="15.9" customHeight="1">
      <c r="A406" s="1336"/>
      <c r="B406" s="1336" t="s">
        <v>4400</v>
      </c>
      <c r="C406" s="1723"/>
      <c r="D406" s="1336"/>
      <c r="E406" s="1338"/>
      <c r="F406" s="1336"/>
      <c r="G406" s="1336"/>
    </row>
    <row r="407" spans="1:7" s="1339" customFormat="1" ht="15.9" customHeight="1">
      <c r="A407" s="1336"/>
      <c r="B407" s="1336"/>
      <c r="C407" s="1723"/>
      <c r="D407" s="1336"/>
      <c r="E407" s="1338"/>
      <c r="F407" s="1336"/>
      <c r="G407" s="1336"/>
    </row>
    <row r="408" spans="1:7" s="1339" customFormat="1" ht="15.9" customHeight="1">
      <c r="A408" s="1694"/>
      <c r="B408" s="1694"/>
      <c r="C408" s="1724"/>
      <c r="D408" s="1694"/>
      <c r="E408" s="1696"/>
      <c r="F408" s="1694"/>
      <c r="G408" s="1694"/>
    </row>
    <row r="409" spans="1:7" s="1339" customFormat="1" ht="15.9" customHeight="1">
      <c r="A409" s="1697"/>
      <c r="B409" s="1697"/>
      <c r="C409" s="1725"/>
      <c r="D409" s="1697"/>
      <c r="E409" s="1699"/>
      <c r="F409" s="1697"/>
      <c r="G409" s="1697"/>
    </row>
    <row r="410" spans="1:7" s="1339" customFormat="1" ht="15.9" customHeight="1">
      <c r="A410" s="1697"/>
      <c r="B410" s="1697"/>
      <c r="C410" s="1725"/>
      <c r="D410" s="1697"/>
      <c r="E410" s="1699"/>
      <c r="F410" s="1697"/>
      <c r="G410" s="1697"/>
    </row>
    <row r="411" spans="1:7" s="1697" customFormat="1" ht="15.9" customHeight="1">
      <c r="C411" s="1725"/>
      <c r="E411" s="1699"/>
    </row>
    <row r="412" spans="1:7" s="1674" customFormat="1" ht="28.5" customHeight="1">
      <c r="A412" s="1672" t="s">
        <v>94</v>
      </c>
      <c r="B412" s="1672" t="s">
        <v>3891</v>
      </c>
      <c r="C412" s="1720" t="s">
        <v>3892</v>
      </c>
      <c r="D412" s="1672" t="s">
        <v>3893</v>
      </c>
      <c r="E412" s="1673" t="s">
        <v>4793</v>
      </c>
      <c r="F412" s="14906" t="s">
        <v>3887</v>
      </c>
      <c r="G412" s="14907"/>
    </row>
    <row r="413" spans="1:7" s="1674" customFormat="1" ht="12.75" customHeight="1">
      <c r="A413" s="1675" t="s">
        <v>1977</v>
      </c>
      <c r="B413" s="1676" t="s">
        <v>3894</v>
      </c>
      <c r="C413" s="1721"/>
      <c r="D413" s="1676" t="s">
        <v>3895</v>
      </c>
      <c r="E413" s="1677"/>
      <c r="F413" s="1678" t="s">
        <v>1789</v>
      </c>
      <c r="G413" s="1679" t="s">
        <v>2709</v>
      </c>
    </row>
    <row r="414" spans="1:7" s="1674" customFormat="1" ht="12.75" customHeight="1">
      <c r="A414" s="1680" t="s">
        <v>472</v>
      </c>
      <c r="B414" s="1680" t="s">
        <v>473</v>
      </c>
      <c r="C414" s="1722" t="s">
        <v>474</v>
      </c>
      <c r="D414" s="1680" t="s">
        <v>3896</v>
      </c>
      <c r="E414" s="1681">
        <v>-5</v>
      </c>
      <c r="F414" s="1682"/>
      <c r="G414" s="1683"/>
    </row>
    <row r="415" spans="1:7" s="1339" customFormat="1" ht="15" customHeight="1">
      <c r="A415" s="1336"/>
      <c r="B415" s="1710" t="s">
        <v>4401</v>
      </c>
      <c r="C415" s="1721">
        <f>6725026-238164</f>
        <v>6486862</v>
      </c>
      <c r="D415" s="1336"/>
      <c r="E415" s="1338"/>
      <c r="F415" s="1336"/>
      <c r="G415" s="1336"/>
    </row>
    <row r="416" spans="1:7" s="1339" customFormat="1" ht="17.25" customHeight="1">
      <c r="A416" s="1336"/>
      <c r="B416" s="1710" t="s">
        <v>4402</v>
      </c>
      <c r="C416" s="1721"/>
      <c r="D416" s="1336"/>
      <c r="E416" s="1338"/>
      <c r="F416" s="1336"/>
      <c r="G416" s="1336"/>
    </row>
    <row r="417" spans="1:7" s="1339" customFormat="1" ht="15.9" customHeight="1">
      <c r="A417" s="1336"/>
      <c r="B417" s="1690" t="s">
        <v>4403</v>
      </c>
      <c r="C417" s="1723"/>
      <c r="D417" s="1336"/>
      <c r="E417" s="1338"/>
      <c r="F417" s="1336"/>
      <c r="G417" s="1336"/>
    </row>
    <row r="418" spans="1:7" s="1339" customFormat="1" ht="15.9" customHeight="1">
      <c r="A418" s="1336"/>
      <c r="B418" s="1336" t="s">
        <v>4404</v>
      </c>
      <c r="C418" s="1723"/>
      <c r="D418" s="1336" t="s">
        <v>4405</v>
      </c>
      <c r="E418" s="1338">
        <v>15</v>
      </c>
      <c r="F418" s="1336"/>
      <c r="G418" s="1336"/>
    </row>
    <row r="419" spans="1:7" s="1339" customFormat="1" ht="15.9" customHeight="1">
      <c r="A419" s="1336"/>
      <c r="B419" s="1336"/>
      <c r="C419" s="1723"/>
      <c r="D419" s="1336" t="s">
        <v>4406</v>
      </c>
      <c r="E419" s="1338">
        <v>30</v>
      </c>
      <c r="F419" s="1336"/>
      <c r="G419" s="1336"/>
    </row>
    <row r="420" spans="1:7" s="1339" customFormat="1" ht="15.9" customHeight="1">
      <c r="A420" s="1336"/>
      <c r="B420" s="1336"/>
      <c r="C420" s="1723"/>
      <c r="D420" s="1336" t="s">
        <v>4407</v>
      </c>
      <c r="E420" s="1338">
        <v>20</v>
      </c>
      <c r="F420" s="1336"/>
      <c r="G420" s="1336"/>
    </row>
    <row r="421" spans="1:7" s="1339" customFormat="1" ht="15.9" customHeight="1">
      <c r="A421" s="1336"/>
      <c r="B421" s="1336" t="s">
        <v>4408</v>
      </c>
      <c r="C421" s="1723"/>
      <c r="D421" s="1336" t="s">
        <v>4409</v>
      </c>
      <c r="E421" s="1338">
        <v>2</v>
      </c>
      <c r="F421" s="1336"/>
      <c r="G421" s="1336"/>
    </row>
    <row r="422" spans="1:7" s="1339" customFormat="1" ht="15.9" customHeight="1">
      <c r="A422" s="1336"/>
      <c r="B422" s="1336"/>
      <c r="C422" s="1723"/>
      <c r="D422" s="1336" t="s">
        <v>4410</v>
      </c>
      <c r="E422" s="1338">
        <v>10</v>
      </c>
      <c r="F422" s="1336"/>
      <c r="G422" s="1336"/>
    </row>
    <row r="423" spans="1:7" s="1339" customFormat="1" ht="15.9" customHeight="1">
      <c r="A423" s="1336"/>
      <c r="B423" s="1336"/>
      <c r="C423" s="1723"/>
      <c r="D423" s="1336" t="s">
        <v>4411</v>
      </c>
      <c r="E423" s="1338">
        <v>10</v>
      </c>
      <c r="F423" s="1336"/>
      <c r="G423" s="1336"/>
    </row>
    <row r="424" spans="1:7" s="1339" customFormat="1" ht="15.9" customHeight="1">
      <c r="A424" s="1336"/>
      <c r="B424" s="1690" t="s">
        <v>4412</v>
      </c>
      <c r="C424" s="1721">
        <v>12000</v>
      </c>
      <c r="D424" s="1336"/>
      <c r="E424" s="1338"/>
      <c r="F424" s="1336"/>
      <c r="G424" s="1336"/>
    </row>
    <row r="425" spans="1:7" s="1339" customFormat="1" ht="15.9" customHeight="1">
      <c r="A425" s="1336"/>
      <c r="B425" s="1336" t="s">
        <v>4413</v>
      </c>
      <c r="C425" s="1723"/>
      <c r="D425" s="1336" t="s">
        <v>4414</v>
      </c>
      <c r="E425" s="1338">
        <v>140</v>
      </c>
      <c r="F425" s="1336"/>
      <c r="G425" s="1336"/>
    </row>
    <row r="426" spans="1:7" s="1339" customFormat="1" ht="15.9" customHeight="1">
      <c r="A426" s="1336"/>
      <c r="B426" s="1336"/>
      <c r="C426" s="1723"/>
      <c r="D426" s="1336" t="s">
        <v>4415</v>
      </c>
      <c r="E426" s="1338">
        <v>300</v>
      </c>
      <c r="F426" s="1336"/>
      <c r="G426" s="1336"/>
    </row>
    <row r="427" spans="1:7" s="1339" customFormat="1" ht="15.9" customHeight="1">
      <c r="A427" s="1336"/>
      <c r="B427" s="1336"/>
      <c r="C427" s="1723"/>
      <c r="D427" s="1336" t="s">
        <v>4416</v>
      </c>
      <c r="E427" s="1338"/>
      <c r="F427" s="1336"/>
      <c r="G427" s="1336"/>
    </row>
    <row r="428" spans="1:7" s="1339" customFormat="1" ht="15.9" customHeight="1">
      <c r="A428" s="1336"/>
      <c r="B428" s="1336"/>
      <c r="C428" s="1723"/>
      <c r="D428" s="1336" t="s">
        <v>4417</v>
      </c>
      <c r="E428" s="1338">
        <v>50</v>
      </c>
      <c r="F428" s="1336"/>
      <c r="G428" s="1336"/>
    </row>
    <row r="429" spans="1:7" s="1339" customFormat="1" ht="15.9" customHeight="1">
      <c r="A429" s="1336"/>
      <c r="B429" s="1336"/>
      <c r="C429" s="1723"/>
      <c r="D429" s="1336" t="s">
        <v>4418</v>
      </c>
      <c r="E429" s="1338">
        <v>1300</v>
      </c>
      <c r="F429" s="1336"/>
      <c r="G429" s="1336"/>
    </row>
    <row r="430" spans="1:7" s="1339" customFormat="1" ht="15.9" customHeight="1">
      <c r="A430" s="1336"/>
      <c r="B430" s="1336" t="s">
        <v>4419</v>
      </c>
      <c r="C430" s="1723"/>
      <c r="D430" s="1336" t="s">
        <v>4420</v>
      </c>
      <c r="E430" s="1338">
        <v>340</v>
      </c>
      <c r="F430" s="1336"/>
      <c r="G430" s="1336"/>
    </row>
    <row r="431" spans="1:7" s="1339" customFormat="1" ht="15.9" customHeight="1">
      <c r="A431" s="1336"/>
      <c r="B431" s="1336" t="s">
        <v>4421</v>
      </c>
      <c r="C431" s="1723"/>
      <c r="D431" s="1336" t="s">
        <v>4422</v>
      </c>
      <c r="E431" s="1338"/>
      <c r="F431" s="1336"/>
      <c r="G431" s="1336"/>
    </row>
    <row r="432" spans="1:7" s="1339" customFormat="1" ht="15.9" customHeight="1">
      <c r="A432" s="1336"/>
      <c r="B432" s="1336" t="s">
        <v>4423</v>
      </c>
      <c r="C432" s="1723"/>
      <c r="D432" s="1336" t="s">
        <v>4424</v>
      </c>
      <c r="E432" s="1338">
        <v>24</v>
      </c>
      <c r="F432" s="1336"/>
      <c r="G432" s="1336"/>
    </row>
    <row r="433" spans="1:7" s="1339" customFormat="1" ht="15.9" customHeight="1">
      <c r="A433" s="1336"/>
      <c r="B433" s="1336"/>
      <c r="C433" s="1723"/>
      <c r="D433" s="1336" t="s">
        <v>4425</v>
      </c>
      <c r="E433" s="1338"/>
      <c r="F433" s="1336"/>
      <c r="G433" s="1336"/>
    </row>
    <row r="434" spans="1:7" s="1339" customFormat="1" ht="15.9" customHeight="1">
      <c r="A434" s="1336"/>
      <c r="B434" s="1336" t="s">
        <v>4426</v>
      </c>
      <c r="C434" s="1723"/>
      <c r="D434" s="1336"/>
      <c r="E434" s="1338"/>
      <c r="F434" s="1336"/>
      <c r="G434" s="1336"/>
    </row>
    <row r="435" spans="1:7" s="1339" customFormat="1" ht="15.9" customHeight="1">
      <c r="A435" s="1336"/>
      <c r="B435" s="1336" t="s">
        <v>4427</v>
      </c>
      <c r="C435" s="1723"/>
      <c r="D435" s="1336" t="s">
        <v>2673</v>
      </c>
      <c r="E435" s="1338">
        <v>4000</v>
      </c>
      <c r="F435" s="1336"/>
      <c r="G435" s="1336"/>
    </row>
    <row r="436" spans="1:7" s="1339" customFormat="1" ht="15.9" customHeight="1">
      <c r="A436" s="1336"/>
      <c r="B436" s="1336" t="s">
        <v>4428</v>
      </c>
      <c r="C436" s="1723"/>
      <c r="D436" s="1336" t="s">
        <v>4429</v>
      </c>
      <c r="E436" s="1338">
        <v>4000</v>
      </c>
      <c r="F436" s="1336"/>
      <c r="G436" s="1336"/>
    </row>
    <row r="437" spans="1:7" s="1339" customFormat="1" ht="15.9" customHeight="1">
      <c r="A437" s="1336"/>
      <c r="B437" s="1336" t="s">
        <v>4430</v>
      </c>
      <c r="C437" s="1723"/>
      <c r="D437" s="1336" t="s">
        <v>4431</v>
      </c>
      <c r="E437" s="1338">
        <v>22000</v>
      </c>
      <c r="F437" s="1336"/>
      <c r="G437" s="1336"/>
    </row>
    <row r="438" spans="1:7" s="1339" customFormat="1" ht="15.9" customHeight="1">
      <c r="A438" s="1336"/>
      <c r="B438" s="1336" t="s">
        <v>4432</v>
      </c>
      <c r="C438" s="1723"/>
      <c r="D438" s="1336" t="s">
        <v>4433</v>
      </c>
      <c r="E438" s="1338"/>
      <c r="F438" s="1336"/>
      <c r="G438" s="1336"/>
    </row>
    <row r="439" spans="1:7" s="1339" customFormat="1" ht="15.9" customHeight="1">
      <c r="A439" s="1336"/>
      <c r="B439" s="1336" t="s">
        <v>4434</v>
      </c>
      <c r="C439" s="1723"/>
      <c r="D439" s="1336" t="s">
        <v>4435</v>
      </c>
      <c r="E439" s="1338">
        <v>3640</v>
      </c>
      <c r="F439" s="1336"/>
      <c r="G439" s="1336"/>
    </row>
    <row r="440" spans="1:7" s="1339" customFormat="1" ht="15.9" customHeight="1">
      <c r="A440" s="1336"/>
      <c r="B440" s="1336" t="s">
        <v>4436</v>
      </c>
      <c r="C440" s="1723"/>
      <c r="D440" s="1336" t="s">
        <v>4437</v>
      </c>
      <c r="E440" s="1338"/>
      <c r="F440" s="1336"/>
      <c r="G440" s="1336"/>
    </row>
    <row r="441" spans="1:7" s="1339" customFormat="1" ht="15.9" customHeight="1">
      <c r="A441" s="1336"/>
      <c r="B441" s="1336" t="s">
        <v>4438</v>
      </c>
      <c r="C441" s="1723"/>
      <c r="D441" s="1336" t="s">
        <v>4439</v>
      </c>
      <c r="E441" s="1338"/>
      <c r="F441" s="1336"/>
      <c r="G441" s="1336"/>
    </row>
    <row r="442" spans="1:7" s="1339" customFormat="1" ht="15.9" customHeight="1">
      <c r="A442" s="1336"/>
      <c r="B442" s="1336" t="s">
        <v>4428</v>
      </c>
      <c r="C442" s="1723"/>
      <c r="D442" s="1336" t="s">
        <v>4429</v>
      </c>
      <c r="E442" s="1338">
        <v>4000</v>
      </c>
      <c r="F442" s="1336"/>
      <c r="G442" s="1336"/>
    </row>
    <row r="443" spans="1:7" s="1339" customFormat="1" ht="15.9" customHeight="1">
      <c r="A443" s="1336"/>
      <c r="B443" s="1336" t="s">
        <v>4440</v>
      </c>
      <c r="C443" s="1723"/>
      <c r="D443" s="1336" t="s">
        <v>2065</v>
      </c>
      <c r="E443" s="1338">
        <v>12</v>
      </c>
      <c r="F443" s="1336"/>
      <c r="G443" s="1336"/>
    </row>
    <row r="444" spans="1:7" s="1339" customFormat="1" ht="15.9" customHeight="1">
      <c r="A444" s="1336"/>
      <c r="B444" s="1336" t="s">
        <v>4441</v>
      </c>
      <c r="C444" s="1723"/>
      <c r="D444" s="1336" t="s">
        <v>4442</v>
      </c>
      <c r="E444" s="1338">
        <v>22000</v>
      </c>
      <c r="F444" s="1336"/>
      <c r="G444" s="1336"/>
    </row>
    <row r="445" spans="1:7" s="1339" customFormat="1" ht="15.9" customHeight="1">
      <c r="A445" s="1336"/>
      <c r="B445" s="1336" t="s">
        <v>4443</v>
      </c>
      <c r="C445" s="1723"/>
      <c r="D445" s="1336" t="s">
        <v>4444</v>
      </c>
      <c r="E445" s="1338"/>
      <c r="F445" s="1336"/>
      <c r="G445" s="1336"/>
    </row>
    <row r="446" spans="1:7" s="1339" customFormat="1" ht="15.9" customHeight="1">
      <c r="A446" s="1336"/>
      <c r="B446" s="1336" t="s">
        <v>4445</v>
      </c>
      <c r="C446" s="1723"/>
      <c r="D446" s="1336" t="s">
        <v>4446</v>
      </c>
      <c r="E446" s="1338">
        <v>3640</v>
      </c>
      <c r="F446" s="1336"/>
      <c r="G446" s="1336"/>
    </row>
    <row r="447" spans="1:7" s="1339" customFormat="1" ht="15.9" customHeight="1">
      <c r="A447" s="1336"/>
      <c r="B447" s="1336" t="s">
        <v>4447</v>
      </c>
      <c r="C447" s="1723"/>
      <c r="D447" s="1336" t="s">
        <v>4448</v>
      </c>
      <c r="E447" s="1338"/>
      <c r="F447" s="1336"/>
      <c r="G447" s="1336"/>
    </row>
    <row r="448" spans="1:7" s="1339" customFormat="1" ht="15.9" customHeight="1">
      <c r="A448" s="1336"/>
      <c r="B448" s="1336"/>
      <c r="C448" s="1723"/>
      <c r="D448" s="1336" t="s">
        <v>4449</v>
      </c>
      <c r="E448" s="1338"/>
      <c r="F448" s="1336"/>
      <c r="G448" s="1336"/>
    </row>
    <row r="449" spans="1:7" s="1339" customFormat="1" ht="15.9" customHeight="1">
      <c r="A449" s="1336"/>
      <c r="B449" s="1336" t="s">
        <v>4450</v>
      </c>
      <c r="C449" s="1723"/>
      <c r="D449" s="1336" t="s">
        <v>4451</v>
      </c>
      <c r="E449" s="1338">
        <v>72</v>
      </c>
      <c r="F449" s="1336"/>
      <c r="G449" s="1336"/>
    </row>
    <row r="450" spans="1:7" s="1339" customFormat="1" ht="15.9" customHeight="1">
      <c r="A450" s="1336"/>
      <c r="B450" s="1336" t="s">
        <v>4452</v>
      </c>
      <c r="C450" s="1723"/>
      <c r="D450" s="1336" t="s">
        <v>4097</v>
      </c>
      <c r="E450" s="1338"/>
      <c r="F450" s="1336"/>
      <c r="G450" s="1336"/>
    </row>
    <row r="451" spans="1:7" s="1339" customFormat="1" ht="15.9" customHeight="1">
      <c r="A451" s="1336"/>
      <c r="B451" s="1336" t="s">
        <v>4453</v>
      </c>
      <c r="C451" s="1723"/>
      <c r="D451" s="1336" t="s">
        <v>4454</v>
      </c>
      <c r="E451" s="1338">
        <v>1400</v>
      </c>
      <c r="F451" s="1336"/>
      <c r="G451" s="1336"/>
    </row>
    <row r="452" spans="1:7" s="1339" customFormat="1" ht="15.9" customHeight="1">
      <c r="A452" s="1336"/>
      <c r="B452" s="1336" t="s">
        <v>4455</v>
      </c>
      <c r="C452" s="1723"/>
      <c r="D452" s="1336"/>
      <c r="E452" s="1338"/>
      <c r="F452" s="1336"/>
      <c r="G452" s="1336"/>
    </row>
    <row r="453" spans="1:7" s="1339" customFormat="1" ht="15.9" customHeight="1">
      <c r="A453" s="1336"/>
      <c r="B453" s="1336" t="s">
        <v>4456</v>
      </c>
      <c r="C453" s="1723"/>
      <c r="D453" s="1336" t="s">
        <v>4457</v>
      </c>
      <c r="E453" s="1338">
        <v>500</v>
      </c>
      <c r="F453" s="1336"/>
      <c r="G453" s="1336"/>
    </row>
    <row r="454" spans="1:7" s="1339" customFormat="1" ht="15.9" customHeight="1">
      <c r="A454" s="1336"/>
      <c r="B454" s="1336" t="s">
        <v>4458</v>
      </c>
      <c r="C454" s="1723"/>
      <c r="D454" s="1336"/>
      <c r="E454" s="1338"/>
      <c r="F454" s="1336"/>
      <c r="G454" s="1336"/>
    </row>
    <row r="455" spans="1:7" s="1339" customFormat="1" ht="15.9" customHeight="1">
      <c r="A455" s="1336"/>
      <c r="B455" s="1336" t="s">
        <v>4459</v>
      </c>
      <c r="C455" s="1721">
        <v>17000</v>
      </c>
      <c r="D455" s="1336" t="s">
        <v>4457</v>
      </c>
      <c r="E455" s="1338">
        <v>500</v>
      </c>
      <c r="F455" s="1336"/>
      <c r="G455" s="1336"/>
    </row>
    <row r="456" spans="1:7" s="1339" customFormat="1" ht="15.9" customHeight="1">
      <c r="A456" s="1336"/>
      <c r="B456" s="1336" t="s">
        <v>4460</v>
      </c>
      <c r="C456" s="1723"/>
      <c r="D456" s="1336"/>
      <c r="E456" s="1338"/>
      <c r="F456" s="1336"/>
      <c r="G456" s="1336"/>
    </row>
    <row r="457" spans="1:7" s="1339" customFormat="1" ht="15.9" customHeight="1">
      <c r="A457" s="1336"/>
      <c r="B457" s="1336" t="s">
        <v>4461</v>
      </c>
      <c r="C457" s="1723"/>
      <c r="D457" s="1336" t="s">
        <v>4457</v>
      </c>
      <c r="E457" s="1338">
        <v>2500</v>
      </c>
      <c r="F457" s="1336"/>
      <c r="G457" s="1336"/>
    </row>
    <row r="458" spans="1:7" s="1339" customFormat="1" ht="15.9" customHeight="1">
      <c r="A458" s="1336"/>
      <c r="B458" s="1336" t="s">
        <v>4462</v>
      </c>
      <c r="C458" s="1723"/>
      <c r="D458" s="1336" t="s">
        <v>4463</v>
      </c>
      <c r="E458" s="1338">
        <v>100</v>
      </c>
      <c r="F458" s="1336"/>
      <c r="G458" s="1336"/>
    </row>
    <row r="459" spans="1:7" s="1339" customFormat="1" ht="15.9" customHeight="1">
      <c r="A459" s="1336"/>
      <c r="B459" s="1336" t="s">
        <v>4464</v>
      </c>
      <c r="C459" s="1723"/>
      <c r="D459" s="1336" t="s">
        <v>4465</v>
      </c>
      <c r="E459" s="1338">
        <v>150</v>
      </c>
      <c r="F459" s="1336"/>
      <c r="G459" s="1336"/>
    </row>
    <row r="460" spans="1:7" s="1339" customFormat="1" ht="15.9" customHeight="1">
      <c r="A460" s="1336"/>
      <c r="B460" s="1336" t="s">
        <v>1866</v>
      </c>
      <c r="C460" s="1723"/>
      <c r="D460" s="1336"/>
      <c r="E460" s="1338"/>
      <c r="F460" s="1336"/>
      <c r="G460" s="1336"/>
    </row>
    <row r="461" spans="1:7" s="1339" customFormat="1" ht="15.9" customHeight="1">
      <c r="A461" s="1336"/>
      <c r="B461" s="1336" t="s">
        <v>4466</v>
      </c>
      <c r="C461" s="1723"/>
      <c r="D461" s="1336" t="s">
        <v>4467</v>
      </c>
      <c r="E461" s="1338">
        <v>3</v>
      </c>
      <c r="F461" s="1336"/>
      <c r="G461" s="1336"/>
    </row>
    <row r="462" spans="1:7" s="1339" customFormat="1" ht="15.9" customHeight="1">
      <c r="A462" s="1336"/>
      <c r="B462" s="1336" t="s">
        <v>4468</v>
      </c>
      <c r="C462" s="1723"/>
      <c r="D462" s="1336"/>
      <c r="E462" s="1338"/>
      <c r="F462" s="1336"/>
      <c r="G462" s="1336"/>
    </row>
    <row r="463" spans="1:7" s="1339" customFormat="1" ht="15.9" customHeight="1">
      <c r="A463" s="1336"/>
      <c r="B463" s="1336" t="s">
        <v>4469</v>
      </c>
      <c r="C463" s="1723"/>
      <c r="D463" s="1336" t="s">
        <v>4457</v>
      </c>
      <c r="E463" s="1338">
        <v>20</v>
      </c>
      <c r="F463" s="1336"/>
      <c r="G463" s="1336"/>
    </row>
    <row r="464" spans="1:7" s="1339" customFormat="1" ht="15.9" customHeight="1">
      <c r="A464" s="1336"/>
      <c r="B464" s="1690" t="s">
        <v>4470</v>
      </c>
      <c r="C464" s="1723"/>
      <c r="D464" s="1336"/>
      <c r="E464" s="1338"/>
      <c r="F464" s="1336"/>
      <c r="G464" s="1336"/>
    </row>
    <row r="465" spans="1:7" s="1339" customFormat="1" ht="15.9" customHeight="1">
      <c r="A465" s="1336"/>
      <c r="B465" s="1336" t="s">
        <v>4471</v>
      </c>
      <c r="C465" s="1723"/>
      <c r="D465" s="1336" t="s">
        <v>2211</v>
      </c>
      <c r="E465" s="1338">
        <v>1</v>
      </c>
      <c r="F465" s="1336"/>
      <c r="G465" s="1336"/>
    </row>
    <row r="466" spans="1:7" s="1339" customFormat="1" ht="15.9" customHeight="1">
      <c r="A466" s="1336"/>
      <c r="B466" s="1336" t="s">
        <v>4472</v>
      </c>
      <c r="C466" s="1723"/>
      <c r="D466" s="1336" t="s">
        <v>3601</v>
      </c>
      <c r="E466" s="1338">
        <v>1</v>
      </c>
      <c r="F466" s="1336"/>
      <c r="G466" s="1336"/>
    </row>
    <row r="467" spans="1:7" s="1339" customFormat="1" ht="15.9" customHeight="1">
      <c r="A467" s="1336"/>
      <c r="B467" s="1336" t="s">
        <v>4473</v>
      </c>
      <c r="C467" s="1723"/>
      <c r="D467" s="1336" t="s">
        <v>3604</v>
      </c>
      <c r="E467" s="1338">
        <v>1</v>
      </c>
      <c r="F467" s="1336"/>
      <c r="G467" s="1336"/>
    </row>
    <row r="468" spans="1:7" s="1339" customFormat="1" ht="15.9" customHeight="1">
      <c r="A468" s="1700"/>
      <c r="B468" s="1700" t="s">
        <v>4474</v>
      </c>
      <c r="C468" s="1726"/>
      <c r="D468" s="1700" t="s">
        <v>4475</v>
      </c>
      <c r="E468" s="1702">
        <v>1</v>
      </c>
      <c r="F468" s="1700"/>
      <c r="G468" s="1700"/>
    </row>
    <row r="469" spans="1:7" s="1697" customFormat="1" ht="15.9" customHeight="1">
      <c r="A469" s="1700"/>
      <c r="B469" s="1700" t="s">
        <v>4476</v>
      </c>
      <c r="C469" s="1726"/>
      <c r="D469" s="1700" t="s">
        <v>4477</v>
      </c>
      <c r="E469" s="1702">
        <v>42</v>
      </c>
      <c r="F469" s="1700"/>
      <c r="G469" s="1700"/>
    </row>
    <row r="470" spans="1:7" s="1339" customFormat="1" ht="15.9" customHeight="1">
      <c r="A470" s="1336"/>
      <c r="B470" s="1336"/>
      <c r="C470" s="1723"/>
      <c r="D470" s="1336" t="s">
        <v>4478</v>
      </c>
      <c r="E470" s="1338"/>
      <c r="F470" s="1336"/>
      <c r="G470" s="1336"/>
    </row>
    <row r="471" spans="1:7" s="1339" customFormat="1" ht="15.9" customHeight="1">
      <c r="A471" s="1336"/>
      <c r="B471" s="1336"/>
      <c r="C471" s="1723"/>
      <c r="D471" s="1336" t="s">
        <v>4479</v>
      </c>
      <c r="E471" s="1338"/>
      <c r="F471" s="1336"/>
      <c r="G471" s="1336"/>
    </row>
    <row r="472" spans="1:7" s="1339" customFormat="1" ht="15.9" customHeight="1">
      <c r="A472" s="1336"/>
      <c r="B472" s="1336"/>
      <c r="C472" s="1723"/>
      <c r="D472" s="1336" t="s">
        <v>4480</v>
      </c>
      <c r="E472" s="1338">
        <v>30</v>
      </c>
      <c r="F472" s="1336"/>
      <c r="G472" s="1336"/>
    </row>
    <row r="473" spans="1:7" s="1339" customFormat="1" ht="15.9" customHeight="1">
      <c r="A473" s="1336"/>
      <c r="B473" s="1336"/>
      <c r="C473" s="1723"/>
      <c r="D473" s="1336" t="s">
        <v>4481</v>
      </c>
      <c r="E473" s="1338"/>
      <c r="F473" s="1336"/>
      <c r="G473" s="1336"/>
    </row>
    <row r="474" spans="1:7" s="1339" customFormat="1" ht="15.9" customHeight="1">
      <c r="A474" s="1694"/>
      <c r="B474" s="1694"/>
      <c r="C474" s="1724"/>
      <c r="D474" s="1694"/>
      <c r="E474" s="1696"/>
      <c r="F474" s="1694"/>
      <c r="G474" s="1694"/>
    </row>
    <row r="475" spans="1:7" s="1339" customFormat="1" ht="15.9" customHeight="1">
      <c r="A475" s="1697"/>
      <c r="B475" s="1697"/>
      <c r="C475" s="1725"/>
      <c r="D475" s="1697"/>
      <c r="E475" s="1699"/>
      <c r="F475" s="1697"/>
      <c r="G475" s="1697"/>
    </row>
    <row r="476" spans="1:7" s="1339" customFormat="1" ht="15.9" customHeight="1">
      <c r="A476" s="1697"/>
      <c r="B476" s="1697"/>
      <c r="C476" s="1725"/>
      <c r="D476" s="1697"/>
      <c r="E476" s="1699"/>
      <c r="F476" s="1697"/>
      <c r="G476" s="1697"/>
    </row>
    <row r="477" spans="1:7" s="1339" customFormat="1" ht="15.9" customHeight="1">
      <c r="A477" s="1697"/>
      <c r="B477" s="1697"/>
      <c r="C477" s="1725"/>
      <c r="D477" s="1697"/>
      <c r="E477" s="1699"/>
      <c r="F477" s="1697"/>
      <c r="G477" s="1697"/>
    </row>
    <row r="478" spans="1:7" s="1339" customFormat="1" ht="15.9" customHeight="1">
      <c r="A478" s="1697"/>
      <c r="B478" s="1697"/>
      <c r="C478" s="1725"/>
      <c r="D478" s="1697"/>
      <c r="E478" s="1699"/>
      <c r="F478" s="1697"/>
      <c r="G478" s="1697"/>
    </row>
    <row r="479" spans="1:7" s="1339" customFormat="1" ht="15.9" customHeight="1">
      <c r="A479" s="1697"/>
      <c r="B479" s="1697"/>
      <c r="C479" s="1725"/>
      <c r="D479" s="1697"/>
      <c r="E479" s="1699"/>
      <c r="F479" s="1697"/>
      <c r="G479" s="1697"/>
    </row>
    <row r="480" spans="1:7" s="1674" customFormat="1" ht="28.5" customHeight="1">
      <c r="A480" s="1672" t="s">
        <v>94</v>
      </c>
      <c r="B480" s="1672" t="s">
        <v>3891</v>
      </c>
      <c r="C480" s="1720" t="s">
        <v>3892</v>
      </c>
      <c r="D480" s="1672" t="s">
        <v>3893</v>
      </c>
      <c r="E480" s="1673" t="s">
        <v>4793</v>
      </c>
      <c r="F480" s="14906" t="s">
        <v>3887</v>
      </c>
      <c r="G480" s="14907"/>
    </row>
    <row r="481" spans="1:7" s="1674" customFormat="1" ht="12.75" customHeight="1">
      <c r="A481" s="1675" t="s">
        <v>1977</v>
      </c>
      <c r="B481" s="1676" t="s">
        <v>3894</v>
      </c>
      <c r="C481" s="1721"/>
      <c r="D481" s="1676" t="s">
        <v>3895</v>
      </c>
      <c r="E481" s="1677"/>
      <c r="F481" s="1678" t="s">
        <v>1789</v>
      </c>
      <c r="G481" s="1679" t="s">
        <v>2709</v>
      </c>
    </row>
    <row r="482" spans="1:7" s="1674" customFormat="1" ht="12.75" customHeight="1">
      <c r="A482" s="1680" t="s">
        <v>472</v>
      </c>
      <c r="B482" s="1680" t="s">
        <v>473</v>
      </c>
      <c r="C482" s="1722" t="s">
        <v>474</v>
      </c>
      <c r="D482" s="1680" t="s">
        <v>3896</v>
      </c>
      <c r="E482" s="1681">
        <v>-5</v>
      </c>
      <c r="F482" s="1682"/>
      <c r="G482" s="1683"/>
    </row>
    <row r="483" spans="1:7" s="1339" customFormat="1" ht="15.9" customHeight="1">
      <c r="A483" s="1336"/>
      <c r="B483" s="1336"/>
      <c r="C483" s="1723"/>
      <c r="D483" s="1336" t="s">
        <v>4482</v>
      </c>
      <c r="E483" s="1338">
        <v>10</v>
      </c>
      <c r="F483" s="1336"/>
      <c r="G483" s="1336"/>
    </row>
    <row r="484" spans="1:7" s="1339" customFormat="1" ht="15.9" customHeight="1">
      <c r="A484" s="1336"/>
      <c r="B484" s="1336"/>
      <c r="C484" s="1723"/>
      <c r="D484" s="1336" t="s">
        <v>4483</v>
      </c>
      <c r="E484" s="1338">
        <v>70</v>
      </c>
      <c r="F484" s="1336"/>
      <c r="G484" s="1336"/>
    </row>
    <row r="485" spans="1:7" s="1339" customFormat="1" ht="15.9" customHeight="1">
      <c r="A485" s="1336"/>
      <c r="B485" s="1336"/>
      <c r="C485" s="1723"/>
      <c r="D485" s="1336" t="s">
        <v>4484</v>
      </c>
      <c r="E485" s="1338"/>
      <c r="F485" s="1336"/>
      <c r="G485" s="1336"/>
    </row>
    <row r="486" spans="1:7" s="1339" customFormat="1" ht="15.9" customHeight="1">
      <c r="A486" s="1336"/>
      <c r="B486" s="1336"/>
      <c r="C486" s="1723"/>
      <c r="D486" s="1336" t="s">
        <v>4485</v>
      </c>
      <c r="E486" s="1338"/>
      <c r="F486" s="1336"/>
      <c r="G486" s="1336"/>
    </row>
    <row r="487" spans="1:7" s="1339" customFormat="1" ht="15.9" customHeight="1">
      <c r="A487" s="1336"/>
      <c r="B487" s="1336"/>
      <c r="C487" s="1723"/>
      <c r="D487" s="1336" t="s">
        <v>4486</v>
      </c>
      <c r="E487" s="1338"/>
      <c r="F487" s="1336"/>
      <c r="G487" s="1336"/>
    </row>
    <row r="488" spans="1:7" s="1339" customFormat="1" ht="15.9" customHeight="1">
      <c r="A488" s="1336"/>
      <c r="B488" s="1336"/>
      <c r="C488" s="1723"/>
      <c r="D488" s="1336" t="s">
        <v>4487</v>
      </c>
      <c r="E488" s="1338">
        <v>12</v>
      </c>
      <c r="F488" s="1336"/>
      <c r="G488" s="1336"/>
    </row>
    <row r="489" spans="1:7" s="1339" customFormat="1" ht="15.9" customHeight="1">
      <c r="A489" s="1336"/>
      <c r="B489" s="1336"/>
      <c r="C489" s="1723"/>
      <c r="D489" s="1336" t="s">
        <v>4488</v>
      </c>
      <c r="E489" s="1338">
        <v>2</v>
      </c>
      <c r="F489" s="1336"/>
      <c r="G489" s="1336"/>
    </row>
    <row r="490" spans="1:7" s="1339" customFormat="1" ht="15.9" customHeight="1">
      <c r="A490" s="1336"/>
      <c r="B490" s="1336"/>
      <c r="C490" s="1723"/>
      <c r="D490" s="1336" t="s">
        <v>4489</v>
      </c>
      <c r="E490" s="1338"/>
      <c r="F490" s="1336"/>
      <c r="G490" s="1336"/>
    </row>
    <row r="491" spans="1:7" s="1339" customFormat="1" ht="15.9" customHeight="1">
      <c r="A491" s="1336"/>
      <c r="B491" s="1336"/>
      <c r="C491" s="1723"/>
      <c r="D491" s="1336" t="s">
        <v>4490</v>
      </c>
      <c r="E491" s="1338"/>
      <c r="F491" s="1336"/>
      <c r="G491" s="1336"/>
    </row>
    <row r="492" spans="1:7" s="1339" customFormat="1" ht="15.9" customHeight="1">
      <c r="A492" s="1336"/>
      <c r="B492" s="1336" t="s">
        <v>4491</v>
      </c>
      <c r="C492" s="1721">
        <v>12000</v>
      </c>
      <c r="D492" s="1336" t="s">
        <v>1855</v>
      </c>
      <c r="E492" s="1338">
        <v>220</v>
      </c>
      <c r="F492" s="1336"/>
      <c r="G492" s="1336"/>
    </row>
    <row r="493" spans="1:7" s="1339" customFormat="1" ht="15.9" customHeight="1">
      <c r="A493" s="1336"/>
      <c r="B493" s="1336" t="s">
        <v>4492</v>
      </c>
      <c r="C493" s="1723"/>
      <c r="D493" s="1336"/>
      <c r="E493" s="1338"/>
      <c r="F493" s="1336"/>
      <c r="G493" s="1336"/>
    </row>
    <row r="494" spans="1:7" s="1339" customFormat="1" ht="15.9" customHeight="1">
      <c r="A494" s="1336"/>
      <c r="B494" s="1336" t="s">
        <v>4493</v>
      </c>
      <c r="C494" s="1723"/>
      <c r="D494" s="1336"/>
      <c r="E494" s="1338"/>
      <c r="F494" s="1336"/>
      <c r="G494" s="1336"/>
    </row>
    <row r="495" spans="1:7" s="1339" customFormat="1" ht="15.9" customHeight="1">
      <c r="A495" s="1336"/>
      <c r="B495" s="1336" t="s">
        <v>4494</v>
      </c>
      <c r="C495" s="1723"/>
      <c r="D495" s="1336" t="s">
        <v>4495</v>
      </c>
      <c r="E495" s="1338">
        <v>163</v>
      </c>
      <c r="F495" s="1336"/>
      <c r="G495" s="1336"/>
    </row>
    <row r="496" spans="1:7" s="1339" customFormat="1" ht="15.9" customHeight="1">
      <c r="A496" s="1336"/>
      <c r="B496" s="1336" t="s">
        <v>4496</v>
      </c>
      <c r="C496" s="1723"/>
      <c r="D496" s="1336" t="s">
        <v>4497</v>
      </c>
      <c r="E496" s="1338">
        <v>3640</v>
      </c>
      <c r="F496" s="1336"/>
      <c r="G496" s="1336"/>
    </row>
    <row r="497" spans="1:7" s="1339" customFormat="1" ht="15.9" customHeight="1">
      <c r="A497" s="1336"/>
      <c r="B497" s="1336" t="s">
        <v>4498</v>
      </c>
      <c r="C497" s="1723"/>
      <c r="D497" s="1336"/>
      <c r="E497" s="1338"/>
      <c r="F497" s="1336"/>
      <c r="G497" s="1336"/>
    </row>
    <row r="498" spans="1:7" s="1339" customFormat="1" ht="15.9" customHeight="1">
      <c r="A498" s="1336"/>
      <c r="B498" s="1336" t="s">
        <v>4499</v>
      </c>
      <c r="C498" s="1723"/>
      <c r="D498" s="1336" t="s">
        <v>4178</v>
      </c>
      <c r="E498" s="1338">
        <v>3640</v>
      </c>
      <c r="F498" s="1336"/>
      <c r="G498" s="1336"/>
    </row>
    <row r="499" spans="1:7" s="1339" customFormat="1" ht="15.9" customHeight="1">
      <c r="A499" s="1336"/>
      <c r="B499" s="1336" t="s">
        <v>4500</v>
      </c>
      <c r="C499" s="1723"/>
      <c r="D499" s="1336"/>
      <c r="E499" s="1338"/>
      <c r="F499" s="1336"/>
      <c r="G499" s="1336"/>
    </row>
    <row r="500" spans="1:7" s="1339" customFormat="1" ht="15.9" customHeight="1">
      <c r="A500" s="1336"/>
      <c r="B500" s="1336" t="s">
        <v>4501</v>
      </c>
      <c r="C500" s="1723"/>
      <c r="D500" s="1336"/>
      <c r="E500" s="1338"/>
      <c r="F500" s="1336"/>
      <c r="G500" s="1336"/>
    </row>
    <row r="501" spans="1:7" s="1339" customFormat="1" ht="15.9" customHeight="1">
      <c r="A501" s="1697"/>
      <c r="B501" s="1336" t="s">
        <v>4502</v>
      </c>
      <c r="C501" s="1723"/>
      <c r="D501" s="1336" t="s">
        <v>4503</v>
      </c>
      <c r="E501" s="1338">
        <v>200</v>
      </c>
      <c r="F501" s="1336"/>
      <c r="G501" s="1336"/>
    </row>
    <row r="502" spans="1:7" s="1339" customFormat="1" ht="15.9" customHeight="1">
      <c r="A502" s="1336"/>
      <c r="B502" s="1336" t="s">
        <v>4504</v>
      </c>
      <c r="C502" s="1723"/>
      <c r="D502" s="1336"/>
      <c r="E502" s="1338"/>
      <c r="F502" s="1336"/>
      <c r="G502" s="1336"/>
    </row>
    <row r="503" spans="1:7" s="1339" customFormat="1" ht="15.9" customHeight="1">
      <c r="A503" s="1336"/>
      <c r="B503" s="1336" t="s">
        <v>4505</v>
      </c>
      <c r="C503" s="1723"/>
      <c r="D503" s="1336" t="s">
        <v>4506</v>
      </c>
      <c r="E503" s="1338">
        <v>624</v>
      </c>
      <c r="F503" s="1336"/>
      <c r="G503" s="1336"/>
    </row>
    <row r="504" spans="1:7" s="1339" customFormat="1" ht="15.9" customHeight="1">
      <c r="A504" s="1336"/>
      <c r="B504" s="1336" t="s">
        <v>4507</v>
      </c>
      <c r="C504" s="1723"/>
      <c r="D504" s="1336" t="s">
        <v>4508</v>
      </c>
      <c r="E504" s="1338">
        <v>767</v>
      </c>
      <c r="F504" s="1336"/>
      <c r="G504" s="1336"/>
    </row>
    <row r="505" spans="1:7" s="1339" customFormat="1" ht="15.9" customHeight="1">
      <c r="A505" s="1336"/>
      <c r="B505" s="1336" t="s">
        <v>4509</v>
      </c>
      <c r="C505" s="1723"/>
      <c r="D505" s="1336" t="s">
        <v>4508</v>
      </c>
      <c r="E505" s="1338">
        <v>767</v>
      </c>
      <c r="F505" s="1336"/>
      <c r="G505" s="1336"/>
    </row>
    <row r="506" spans="1:7" s="1339" customFormat="1" ht="15.9" customHeight="1">
      <c r="A506" s="1336"/>
      <c r="B506" s="1336" t="s">
        <v>4510</v>
      </c>
      <c r="C506" s="1723"/>
      <c r="D506" s="1336" t="s">
        <v>4511</v>
      </c>
      <c r="E506" s="1338">
        <v>480</v>
      </c>
      <c r="F506" s="1336"/>
      <c r="G506" s="1336"/>
    </row>
    <row r="507" spans="1:7" s="1339" customFormat="1" ht="15.9" customHeight="1">
      <c r="A507" s="1336"/>
      <c r="B507" s="1336" t="s">
        <v>4512</v>
      </c>
      <c r="C507" s="1723"/>
      <c r="D507" s="1336" t="s">
        <v>1855</v>
      </c>
      <c r="E507" s="1338">
        <v>300</v>
      </c>
      <c r="F507" s="1336"/>
      <c r="G507" s="1336"/>
    </row>
    <row r="508" spans="1:7" s="1339" customFormat="1" ht="15.9" customHeight="1">
      <c r="A508" s="1336"/>
      <c r="B508" s="1336" t="s">
        <v>4513</v>
      </c>
      <c r="C508" s="1723"/>
      <c r="D508" s="1336" t="s">
        <v>4514</v>
      </c>
      <c r="E508" s="1338">
        <v>48</v>
      </c>
      <c r="F508" s="1336"/>
      <c r="G508" s="1336"/>
    </row>
    <row r="509" spans="1:7" s="1339" customFormat="1" ht="15.9" customHeight="1">
      <c r="A509" s="1336"/>
      <c r="B509" s="1336" t="s">
        <v>4515</v>
      </c>
      <c r="C509" s="1723"/>
      <c r="D509" s="1336" t="s">
        <v>4516</v>
      </c>
      <c r="E509" s="1338">
        <v>52</v>
      </c>
      <c r="F509" s="1336"/>
      <c r="G509" s="1336"/>
    </row>
    <row r="510" spans="1:7" s="1339" customFormat="1" ht="15.9" customHeight="1">
      <c r="A510" s="1336"/>
      <c r="B510" s="1336"/>
      <c r="C510" s="1723"/>
      <c r="D510" s="1336" t="s">
        <v>4517</v>
      </c>
      <c r="E510" s="1338"/>
      <c r="F510" s="1336"/>
      <c r="G510" s="1336"/>
    </row>
    <row r="511" spans="1:7" s="1339" customFormat="1" ht="15.9" customHeight="1">
      <c r="A511" s="1336"/>
      <c r="B511" s="1336"/>
      <c r="C511" s="1723"/>
      <c r="D511" s="1336" t="s">
        <v>4518</v>
      </c>
      <c r="E511" s="1338"/>
      <c r="F511" s="1336"/>
      <c r="G511" s="1336"/>
    </row>
    <row r="512" spans="1:7" s="1339" customFormat="1" ht="15.9" customHeight="1">
      <c r="A512" s="1336"/>
      <c r="B512" s="1336" t="s">
        <v>4519</v>
      </c>
      <c r="C512" s="1723"/>
      <c r="D512" s="1336" t="s">
        <v>4520</v>
      </c>
      <c r="E512" s="1338">
        <v>611</v>
      </c>
      <c r="F512" s="1336"/>
      <c r="G512" s="1336"/>
    </row>
    <row r="513" spans="1:8" s="1339" customFormat="1" ht="15.9" customHeight="1">
      <c r="A513" s="1336"/>
      <c r="B513" s="1336"/>
      <c r="C513" s="1723"/>
      <c r="D513" s="1336" t="s">
        <v>4521</v>
      </c>
      <c r="E513" s="1338"/>
      <c r="F513" s="1336"/>
      <c r="G513" s="1336"/>
    </row>
    <row r="514" spans="1:8" s="1339" customFormat="1" ht="15.9" customHeight="1">
      <c r="A514" s="1336"/>
      <c r="B514" s="1336" t="s">
        <v>4522</v>
      </c>
      <c r="C514" s="1723"/>
      <c r="D514" s="1336" t="s">
        <v>4523</v>
      </c>
      <c r="E514" s="1338">
        <v>47</v>
      </c>
      <c r="F514" s="1336"/>
      <c r="G514" s="1336"/>
    </row>
    <row r="515" spans="1:8" s="1339" customFormat="1" ht="15.9" customHeight="1">
      <c r="A515" s="1336"/>
      <c r="B515" s="1336"/>
      <c r="C515" s="1723"/>
      <c r="D515" s="1336" t="s">
        <v>4524</v>
      </c>
      <c r="E515" s="1338"/>
      <c r="F515" s="1336"/>
      <c r="G515" s="1336"/>
    </row>
    <row r="516" spans="1:8" s="1339" customFormat="1" ht="15.9" customHeight="1">
      <c r="A516" s="1336"/>
      <c r="B516" s="1336"/>
      <c r="C516" s="1723"/>
      <c r="D516" s="1336" t="s">
        <v>4525</v>
      </c>
      <c r="E516" s="1338"/>
      <c r="F516" s="1336"/>
      <c r="G516" s="1336"/>
    </row>
    <row r="517" spans="1:8" s="1339" customFormat="1" ht="15.9" customHeight="1">
      <c r="A517" s="1336"/>
      <c r="B517" s="1336"/>
      <c r="C517" s="1723"/>
      <c r="D517" s="1336" t="s">
        <v>4526</v>
      </c>
      <c r="E517" s="1338"/>
      <c r="F517" s="1336"/>
      <c r="G517" s="1336"/>
    </row>
    <row r="518" spans="1:8" s="1339" customFormat="1" ht="15.9" customHeight="1">
      <c r="A518" s="1336"/>
      <c r="B518" s="1336" t="s">
        <v>4527</v>
      </c>
      <c r="C518" s="1723"/>
      <c r="D518" s="1336"/>
      <c r="E518" s="1338"/>
      <c r="F518" s="1336"/>
      <c r="G518" s="1336"/>
    </row>
    <row r="519" spans="1:8" s="1339" customFormat="1" ht="15.9" customHeight="1">
      <c r="A519" s="1336"/>
      <c r="B519" s="1336" t="s">
        <v>4528</v>
      </c>
      <c r="C519" s="1723"/>
      <c r="D519" s="1336" t="s">
        <v>4529</v>
      </c>
      <c r="E519" s="1338">
        <v>24000</v>
      </c>
      <c r="F519" s="1336"/>
      <c r="G519" s="1336"/>
    </row>
    <row r="520" spans="1:8" s="1339" customFormat="1" ht="15.9" customHeight="1">
      <c r="A520" s="1336"/>
      <c r="B520" s="1336" t="s">
        <v>4530</v>
      </c>
      <c r="C520" s="1721">
        <v>12000</v>
      </c>
      <c r="D520" s="1336" t="s">
        <v>4531</v>
      </c>
      <c r="E520" s="1338"/>
      <c r="F520" s="1336"/>
      <c r="G520" s="1336"/>
    </row>
    <row r="521" spans="1:8" s="2390" customFormat="1" ht="15.9" customHeight="1">
      <c r="A521" s="2401"/>
      <c r="B521" s="2234" t="s">
        <v>7080</v>
      </c>
      <c r="C521" s="1979">
        <v>330000</v>
      </c>
      <c r="D521" s="2234" t="s">
        <v>4532</v>
      </c>
      <c r="E521" s="2234"/>
      <c r="F521" s="2279"/>
      <c r="G521" s="2279"/>
      <c r="H521" s="2231"/>
    </row>
    <row r="522" spans="1:8" s="2390" customFormat="1" ht="15.9" customHeight="1">
      <c r="A522" s="2401"/>
      <c r="B522" s="2234" t="s">
        <v>7081</v>
      </c>
      <c r="C522" s="1979">
        <v>141000</v>
      </c>
      <c r="D522" s="2234"/>
      <c r="E522" s="2234"/>
      <c r="F522" s="2279"/>
      <c r="G522" s="2279"/>
      <c r="H522" s="2231"/>
    </row>
    <row r="523" spans="1:8" s="2390" customFormat="1" ht="15.9" customHeight="1">
      <c r="A523" s="2401"/>
      <c r="B523" s="2234" t="s">
        <v>7082</v>
      </c>
      <c r="C523" s="1979">
        <v>130000</v>
      </c>
      <c r="D523" s="2234"/>
      <c r="E523" s="2234"/>
      <c r="F523" s="2279"/>
      <c r="G523" s="2279"/>
      <c r="H523" s="2231"/>
    </row>
    <row r="524" spans="1:8" s="2390" customFormat="1" ht="15.9" customHeight="1">
      <c r="A524" s="2401"/>
      <c r="B524" s="2234" t="s">
        <v>7083</v>
      </c>
      <c r="C524" s="1979">
        <v>50000</v>
      </c>
      <c r="D524" s="2234"/>
      <c r="E524" s="2234"/>
      <c r="F524" s="2279"/>
      <c r="G524" s="2279"/>
      <c r="H524" s="2231"/>
    </row>
    <row r="525" spans="1:8" s="2390" customFormat="1" ht="15.9" customHeight="1">
      <c r="A525" s="2401"/>
      <c r="B525" s="2234" t="s">
        <v>7084</v>
      </c>
      <c r="C525" s="1979">
        <v>90000</v>
      </c>
      <c r="D525" s="2234"/>
      <c r="E525" s="2234"/>
      <c r="F525" s="2279"/>
      <c r="G525" s="2279"/>
      <c r="H525" s="2231"/>
    </row>
    <row r="526" spans="1:8" s="2390" customFormat="1" ht="15.9" customHeight="1">
      <c r="A526" s="2401"/>
      <c r="B526" s="2401" t="s">
        <v>7085</v>
      </c>
      <c r="C526" s="1979">
        <v>80000</v>
      </c>
      <c r="D526" s="2234"/>
      <c r="E526" s="2234"/>
      <c r="F526" s="2279"/>
      <c r="G526" s="2279"/>
      <c r="H526" s="2231"/>
    </row>
    <row r="527" spans="1:8" s="2390" customFormat="1" ht="15.9" customHeight="1">
      <c r="A527" s="2401"/>
      <c r="B527" s="2234" t="s">
        <v>7086</v>
      </c>
      <c r="C527" s="1979">
        <v>40000</v>
      </c>
      <c r="D527" s="2234"/>
      <c r="E527" s="2234"/>
      <c r="F527" s="2279"/>
      <c r="G527" s="2279"/>
      <c r="H527" s="2231"/>
    </row>
    <row r="528" spans="1:8" s="2390" customFormat="1" ht="15.9" customHeight="1">
      <c r="A528" s="2401"/>
      <c r="B528" s="2401" t="s">
        <v>7087</v>
      </c>
      <c r="C528" s="1979">
        <v>177000</v>
      </c>
      <c r="D528" s="2234"/>
      <c r="E528" s="2234"/>
      <c r="F528" s="2279"/>
      <c r="G528" s="2279"/>
      <c r="H528" s="2231"/>
    </row>
    <row r="529" spans="1:8" s="2390" customFormat="1" ht="15.9" customHeight="1">
      <c r="A529" s="2401"/>
      <c r="B529" s="2401" t="s">
        <v>7088</v>
      </c>
      <c r="C529" s="1979">
        <v>300000</v>
      </c>
      <c r="D529" s="2234"/>
      <c r="E529" s="2234"/>
      <c r="F529" s="2279"/>
      <c r="G529" s="2279"/>
      <c r="H529" s="2231"/>
    </row>
    <row r="530" spans="1:8" s="2390" customFormat="1" ht="15.9" customHeight="1">
      <c r="A530" s="2401"/>
      <c r="B530" s="2401" t="s">
        <v>720</v>
      </c>
      <c r="C530" s="1979">
        <v>300000</v>
      </c>
      <c r="D530" s="2234"/>
      <c r="E530" s="2234"/>
      <c r="F530" s="2279"/>
      <c r="G530" s="2279"/>
      <c r="H530" s="2231"/>
    </row>
    <row r="531" spans="1:8" s="3802" customFormat="1" ht="15.9" customHeight="1">
      <c r="A531" s="2401"/>
      <c r="B531" s="2401" t="s">
        <v>701</v>
      </c>
      <c r="C531" s="1979">
        <v>7444000</v>
      </c>
      <c r="D531" s="2234"/>
      <c r="E531" s="2234"/>
      <c r="F531" s="2279"/>
      <c r="G531" s="2279"/>
      <c r="H531" s="2231"/>
    </row>
    <row r="532" spans="1:8" s="2390" customFormat="1" ht="15.9" customHeight="1">
      <c r="A532" s="2401"/>
      <c r="B532" s="2401"/>
      <c r="C532" s="1979"/>
      <c r="D532" s="2234"/>
      <c r="E532" s="2234"/>
      <c r="F532" s="2279"/>
      <c r="G532" s="2279"/>
      <c r="H532" s="2231"/>
    </row>
    <row r="533" spans="1:8" s="2390" customFormat="1" ht="15.9" customHeight="1">
      <c r="A533" s="2401"/>
      <c r="B533" s="2402" t="s">
        <v>4533</v>
      </c>
      <c r="C533" s="1979"/>
      <c r="D533" s="2234"/>
      <c r="E533" s="2234"/>
      <c r="F533" s="2279"/>
      <c r="G533" s="2279"/>
      <c r="H533" s="2231"/>
    </row>
    <row r="534" spans="1:8" s="2390" customFormat="1" ht="15.9" customHeight="1">
      <c r="A534" s="2401"/>
      <c r="B534" s="2234" t="s">
        <v>7089</v>
      </c>
      <c r="C534" s="1979"/>
      <c r="D534" s="2234"/>
      <c r="E534" s="2237"/>
      <c r="F534" s="2279"/>
      <c r="G534" s="2279"/>
      <c r="H534" s="2231"/>
    </row>
    <row r="535" spans="1:8" s="2390" customFormat="1" ht="15.9" customHeight="1">
      <c r="A535" s="2401"/>
      <c r="B535" s="2403" t="s">
        <v>7090</v>
      </c>
      <c r="C535" s="1979">
        <v>0</v>
      </c>
      <c r="D535" s="2234"/>
      <c r="E535" s="2237"/>
      <c r="F535" s="2279"/>
      <c r="G535" s="2279"/>
      <c r="H535" s="2231"/>
    </row>
    <row r="536" spans="1:8" s="2390" customFormat="1" ht="15.9" customHeight="1">
      <c r="A536" s="2401"/>
      <c r="B536" s="2403" t="s">
        <v>7091</v>
      </c>
      <c r="C536" s="1979">
        <v>0</v>
      </c>
      <c r="D536" s="2234"/>
      <c r="E536" s="2237"/>
      <c r="F536" s="2279"/>
      <c r="G536" s="2279"/>
      <c r="H536" s="2231"/>
    </row>
    <row r="537" spans="1:8" s="2390" customFormat="1" ht="15.9" customHeight="1" thickBot="1">
      <c r="A537" s="2401"/>
      <c r="B537" s="2234" t="s">
        <v>7092</v>
      </c>
      <c r="C537" s="1979">
        <v>60000</v>
      </c>
      <c r="D537" s="2234"/>
      <c r="E537" s="2237"/>
      <c r="F537" s="2279"/>
      <c r="G537" s="2279"/>
      <c r="H537" s="2231"/>
    </row>
    <row r="538" spans="1:8" s="1339" customFormat="1" ht="17.100000000000001" customHeight="1" thickBot="1">
      <c r="A538" s="1714" t="s">
        <v>220</v>
      </c>
      <c r="B538" s="1715"/>
      <c r="C538" s="1730">
        <f>SUM(C415:C473)+SUM(C211:C270)+SUM(C142:C203)+SUM(C27:C65)+SUM(C483:C537)</f>
        <v>28858229</v>
      </c>
      <c r="D538" s="1716"/>
      <c r="E538" s="1717"/>
      <c r="F538" s="1716"/>
      <c r="G538" s="1716"/>
    </row>
    <row r="539" spans="1:8" s="1339" customFormat="1" ht="12.75" customHeight="1">
      <c r="C539" s="1515"/>
      <c r="E539" s="1718"/>
    </row>
    <row r="540" spans="1:8" s="1339" customFormat="1" ht="12.75" customHeight="1">
      <c r="C540" s="1515"/>
      <c r="E540" s="1718"/>
    </row>
  </sheetData>
  <mergeCells count="13">
    <mergeCell ref="A2:I2"/>
    <mergeCell ref="F412:G412"/>
    <mergeCell ref="F480:G480"/>
    <mergeCell ref="F71:G71"/>
    <mergeCell ref="F139:G139"/>
    <mergeCell ref="F208:G208"/>
    <mergeCell ref="F277:G277"/>
    <mergeCell ref="F344:G344"/>
    <mergeCell ref="A11:G11"/>
    <mergeCell ref="A21:E21"/>
    <mergeCell ref="F24:G24"/>
    <mergeCell ref="A9:G9"/>
    <mergeCell ref="A10:G10"/>
  </mergeCells>
  <pageMargins left="0.5" right="0.25" top="0.75" bottom="0.5" header="0.5" footer="0.25"/>
  <pageSetup paperSize="119" scale="80" firstPageNumber="186" orientation="portrait" useFirstPageNumber="1" verticalDpi="300" r:id="rId1"/>
  <headerFooter alignWithMargins="0"/>
  <drawing r:id="rId2"/>
</worksheet>
</file>

<file path=xl/worksheets/sheet101.xml><?xml version="1.0" encoding="utf-8"?>
<worksheet xmlns="http://schemas.openxmlformats.org/spreadsheetml/2006/main" xmlns:r="http://schemas.openxmlformats.org/officeDocument/2006/relationships">
  <sheetPr codeName="Sheet70">
    <tabColor rgb="FFFFFF00"/>
  </sheetPr>
  <dimension ref="A1:H93"/>
  <sheetViews>
    <sheetView showGridLines="0" topLeftCell="A38" workbookViewId="0">
      <selection activeCell="F38" sqref="F1:M1048576"/>
    </sheetView>
  </sheetViews>
  <sheetFormatPr defaultRowHeight="12.9" customHeight="1"/>
  <cols>
    <col min="1" max="1" width="40.5546875" style="7001" customWidth="1"/>
    <col min="2" max="3" width="8.5546875" style="7001" customWidth="1"/>
    <col min="4" max="6" width="14.5546875" style="7001" customWidth="1"/>
    <col min="7" max="7" width="8.88671875" style="7001" customWidth="1"/>
    <col min="8" max="8" width="14.44140625" style="7001" customWidth="1"/>
    <col min="9" max="12" width="8.88671875" style="7001" customWidth="1"/>
    <col min="13" max="256" width="9.109375" style="7001"/>
    <col min="257" max="257" width="33.109375" style="7001" customWidth="1"/>
    <col min="258" max="258" width="8.109375" style="7001" customWidth="1"/>
    <col min="259" max="259" width="9.88671875" style="7001" customWidth="1"/>
    <col min="260" max="260" width="10.109375" style="7001" customWidth="1"/>
    <col min="261" max="261" width="13.88671875" style="7001" customWidth="1"/>
    <col min="262" max="262" width="17.44140625" style="7001" customWidth="1"/>
    <col min="263" max="512" width="9.109375" style="7001"/>
    <col min="513" max="513" width="33.109375" style="7001" customWidth="1"/>
    <col min="514" max="514" width="8.109375" style="7001" customWidth="1"/>
    <col min="515" max="515" width="9.88671875" style="7001" customWidth="1"/>
    <col min="516" max="516" width="10.109375" style="7001" customWidth="1"/>
    <col min="517" max="517" width="13.88671875" style="7001" customWidth="1"/>
    <col min="518" max="518" width="17.44140625" style="7001" customWidth="1"/>
    <col min="519" max="768" width="9.109375" style="7001"/>
    <col min="769" max="769" width="33.109375" style="7001" customWidth="1"/>
    <col min="770" max="770" width="8.109375" style="7001" customWidth="1"/>
    <col min="771" max="771" width="9.88671875" style="7001" customWidth="1"/>
    <col min="772" max="772" width="10.109375" style="7001" customWidth="1"/>
    <col min="773" max="773" width="13.88671875" style="7001" customWidth="1"/>
    <col min="774" max="774" width="17.44140625" style="7001" customWidth="1"/>
    <col min="775" max="1024" width="9.109375" style="7001"/>
    <col min="1025" max="1025" width="33.109375" style="7001" customWidth="1"/>
    <col min="1026" max="1026" width="8.109375" style="7001" customWidth="1"/>
    <col min="1027" max="1027" width="9.88671875" style="7001" customWidth="1"/>
    <col min="1028" max="1028" width="10.109375" style="7001" customWidth="1"/>
    <col min="1029" max="1029" width="13.88671875" style="7001" customWidth="1"/>
    <col min="1030" max="1030" width="17.44140625" style="7001" customWidth="1"/>
    <col min="1031" max="1280" width="9.109375" style="7001"/>
    <col min="1281" max="1281" width="33.109375" style="7001" customWidth="1"/>
    <col min="1282" max="1282" width="8.109375" style="7001" customWidth="1"/>
    <col min="1283" max="1283" width="9.88671875" style="7001" customWidth="1"/>
    <col min="1284" max="1284" width="10.109375" style="7001" customWidth="1"/>
    <col min="1285" max="1285" width="13.88671875" style="7001" customWidth="1"/>
    <col min="1286" max="1286" width="17.44140625" style="7001" customWidth="1"/>
    <col min="1287" max="1536" width="9.109375" style="7001"/>
    <col min="1537" max="1537" width="33.109375" style="7001" customWidth="1"/>
    <col min="1538" max="1538" width="8.109375" style="7001" customWidth="1"/>
    <col min="1539" max="1539" width="9.88671875" style="7001" customWidth="1"/>
    <col min="1540" max="1540" width="10.109375" style="7001" customWidth="1"/>
    <col min="1541" max="1541" width="13.88671875" style="7001" customWidth="1"/>
    <col min="1542" max="1542" width="17.44140625" style="7001" customWidth="1"/>
    <col min="1543" max="1792" width="9.109375" style="7001"/>
    <col min="1793" max="1793" width="33.109375" style="7001" customWidth="1"/>
    <col min="1794" max="1794" width="8.109375" style="7001" customWidth="1"/>
    <col min="1795" max="1795" width="9.88671875" style="7001" customWidth="1"/>
    <col min="1796" max="1796" width="10.109375" style="7001" customWidth="1"/>
    <col min="1797" max="1797" width="13.88671875" style="7001" customWidth="1"/>
    <col min="1798" max="1798" width="17.44140625" style="7001" customWidth="1"/>
    <col min="1799" max="2048" width="9.109375" style="7001"/>
    <col min="2049" max="2049" width="33.109375" style="7001" customWidth="1"/>
    <col min="2050" max="2050" width="8.109375" style="7001" customWidth="1"/>
    <col min="2051" max="2051" width="9.88671875" style="7001" customWidth="1"/>
    <col min="2052" max="2052" width="10.109375" style="7001" customWidth="1"/>
    <col min="2053" max="2053" width="13.88671875" style="7001" customWidth="1"/>
    <col min="2054" max="2054" width="17.44140625" style="7001" customWidth="1"/>
    <col min="2055" max="2304" width="9.109375" style="7001"/>
    <col min="2305" max="2305" width="33.109375" style="7001" customWidth="1"/>
    <col min="2306" max="2306" width="8.109375" style="7001" customWidth="1"/>
    <col min="2307" max="2307" width="9.88671875" style="7001" customWidth="1"/>
    <col min="2308" max="2308" width="10.109375" style="7001" customWidth="1"/>
    <col min="2309" max="2309" width="13.88671875" style="7001" customWidth="1"/>
    <col min="2310" max="2310" width="17.44140625" style="7001" customWidth="1"/>
    <col min="2311" max="2560" width="9.109375" style="7001"/>
    <col min="2561" max="2561" width="33.109375" style="7001" customWidth="1"/>
    <col min="2562" max="2562" width="8.109375" style="7001" customWidth="1"/>
    <col min="2563" max="2563" width="9.88671875" style="7001" customWidth="1"/>
    <col min="2564" max="2564" width="10.109375" style="7001" customWidth="1"/>
    <col min="2565" max="2565" width="13.88671875" style="7001" customWidth="1"/>
    <col min="2566" max="2566" width="17.44140625" style="7001" customWidth="1"/>
    <col min="2567" max="2816" width="9.109375" style="7001"/>
    <col min="2817" max="2817" width="33.109375" style="7001" customWidth="1"/>
    <col min="2818" max="2818" width="8.109375" style="7001" customWidth="1"/>
    <col min="2819" max="2819" width="9.88671875" style="7001" customWidth="1"/>
    <col min="2820" max="2820" width="10.109375" style="7001" customWidth="1"/>
    <col min="2821" max="2821" width="13.88671875" style="7001" customWidth="1"/>
    <col min="2822" max="2822" width="17.44140625" style="7001" customWidth="1"/>
    <col min="2823" max="3072" width="9.109375" style="7001"/>
    <col min="3073" max="3073" width="33.109375" style="7001" customWidth="1"/>
    <col min="3074" max="3074" width="8.109375" style="7001" customWidth="1"/>
    <col min="3075" max="3075" width="9.88671875" style="7001" customWidth="1"/>
    <col min="3076" max="3076" width="10.109375" style="7001" customWidth="1"/>
    <col min="3077" max="3077" width="13.88671875" style="7001" customWidth="1"/>
    <col min="3078" max="3078" width="17.44140625" style="7001" customWidth="1"/>
    <col min="3079" max="3328" width="9.109375" style="7001"/>
    <col min="3329" max="3329" width="33.109375" style="7001" customWidth="1"/>
    <col min="3330" max="3330" width="8.109375" style="7001" customWidth="1"/>
    <col min="3331" max="3331" width="9.88671875" style="7001" customWidth="1"/>
    <col min="3332" max="3332" width="10.109375" style="7001" customWidth="1"/>
    <col min="3333" max="3333" width="13.88671875" style="7001" customWidth="1"/>
    <col min="3334" max="3334" width="17.44140625" style="7001" customWidth="1"/>
    <col min="3335" max="3584" width="9.109375" style="7001"/>
    <col min="3585" max="3585" width="33.109375" style="7001" customWidth="1"/>
    <col min="3586" max="3586" width="8.109375" style="7001" customWidth="1"/>
    <col min="3587" max="3587" width="9.88671875" style="7001" customWidth="1"/>
    <col min="3588" max="3588" width="10.109375" style="7001" customWidth="1"/>
    <col min="3589" max="3589" width="13.88671875" style="7001" customWidth="1"/>
    <col min="3590" max="3590" width="17.44140625" style="7001" customWidth="1"/>
    <col min="3591" max="3840" width="9.109375" style="7001"/>
    <col min="3841" max="3841" width="33.109375" style="7001" customWidth="1"/>
    <col min="3842" max="3842" width="8.109375" style="7001" customWidth="1"/>
    <col min="3843" max="3843" width="9.88671875" style="7001" customWidth="1"/>
    <col min="3844" max="3844" width="10.109375" style="7001" customWidth="1"/>
    <col min="3845" max="3845" width="13.88671875" style="7001" customWidth="1"/>
    <col min="3846" max="3846" width="17.44140625" style="7001" customWidth="1"/>
    <col min="3847" max="4096" width="9.109375" style="7001"/>
    <col min="4097" max="4097" width="33.109375" style="7001" customWidth="1"/>
    <col min="4098" max="4098" width="8.109375" style="7001" customWidth="1"/>
    <col min="4099" max="4099" width="9.88671875" style="7001" customWidth="1"/>
    <col min="4100" max="4100" width="10.109375" style="7001" customWidth="1"/>
    <col min="4101" max="4101" width="13.88671875" style="7001" customWidth="1"/>
    <col min="4102" max="4102" width="17.44140625" style="7001" customWidth="1"/>
    <col min="4103" max="4352" width="9.109375" style="7001"/>
    <col min="4353" max="4353" width="33.109375" style="7001" customWidth="1"/>
    <col min="4354" max="4354" width="8.109375" style="7001" customWidth="1"/>
    <col min="4355" max="4355" width="9.88671875" style="7001" customWidth="1"/>
    <col min="4356" max="4356" width="10.109375" style="7001" customWidth="1"/>
    <col min="4357" max="4357" width="13.88671875" style="7001" customWidth="1"/>
    <col min="4358" max="4358" width="17.44140625" style="7001" customWidth="1"/>
    <col min="4359" max="4608" width="9.109375" style="7001"/>
    <col min="4609" max="4609" width="33.109375" style="7001" customWidth="1"/>
    <col min="4610" max="4610" width="8.109375" style="7001" customWidth="1"/>
    <col min="4611" max="4611" width="9.88671875" style="7001" customWidth="1"/>
    <col min="4612" max="4612" width="10.109375" style="7001" customWidth="1"/>
    <col min="4613" max="4613" width="13.88671875" style="7001" customWidth="1"/>
    <col min="4614" max="4614" width="17.44140625" style="7001" customWidth="1"/>
    <col min="4615" max="4864" width="9.109375" style="7001"/>
    <col min="4865" max="4865" width="33.109375" style="7001" customWidth="1"/>
    <col min="4866" max="4866" width="8.109375" style="7001" customWidth="1"/>
    <col min="4867" max="4867" width="9.88671875" style="7001" customWidth="1"/>
    <col min="4868" max="4868" width="10.109375" style="7001" customWidth="1"/>
    <col min="4869" max="4869" width="13.88671875" style="7001" customWidth="1"/>
    <col min="4870" max="4870" width="17.44140625" style="7001" customWidth="1"/>
    <col min="4871" max="5120" width="9.109375" style="7001"/>
    <col min="5121" max="5121" width="33.109375" style="7001" customWidth="1"/>
    <col min="5122" max="5122" width="8.109375" style="7001" customWidth="1"/>
    <col min="5123" max="5123" width="9.88671875" style="7001" customWidth="1"/>
    <col min="5124" max="5124" width="10.109375" style="7001" customWidth="1"/>
    <col min="5125" max="5125" width="13.88671875" style="7001" customWidth="1"/>
    <col min="5126" max="5126" width="17.44140625" style="7001" customWidth="1"/>
    <col min="5127" max="5376" width="9.109375" style="7001"/>
    <col min="5377" max="5377" width="33.109375" style="7001" customWidth="1"/>
    <col min="5378" max="5378" width="8.109375" style="7001" customWidth="1"/>
    <col min="5379" max="5379" width="9.88671875" style="7001" customWidth="1"/>
    <col min="5380" max="5380" width="10.109375" style="7001" customWidth="1"/>
    <col min="5381" max="5381" width="13.88671875" style="7001" customWidth="1"/>
    <col min="5382" max="5382" width="17.44140625" style="7001" customWidth="1"/>
    <col min="5383" max="5632" width="9.109375" style="7001"/>
    <col min="5633" max="5633" width="33.109375" style="7001" customWidth="1"/>
    <col min="5634" max="5634" width="8.109375" style="7001" customWidth="1"/>
    <col min="5635" max="5635" width="9.88671875" style="7001" customWidth="1"/>
    <col min="5636" max="5636" width="10.109375" style="7001" customWidth="1"/>
    <col min="5637" max="5637" width="13.88671875" style="7001" customWidth="1"/>
    <col min="5638" max="5638" width="17.44140625" style="7001" customWidth="1"/>
    <col min="5639" max="5888" width="9.109375" style="7001"/>
    <col min="5889" max="5889" width="33.109375" style="7001" customWidth="1"/>
    <col min="5890" max="5890" width="8.109375" style="7001" customWidth="1"/>
    <col min="5891" max="5891" width="9.88671875" style="7001" customWidth="1"/>
    <col min="5892" max="5892" width="10.109375" style="7001" customWidth="1"/>
    <col min="5893" max="5893" width="13.88671875" style="7001" customWidth="1"/>
    <col min="5894" max="5894" width="17.44140625" style="7001" customWidth="1"/>
    <col min="5895" max="6144" width="9.109375" style="7001"/>
    <col min="6145" max="6145" width="33.109375" style="7001" customWidth="1"/>
    <col min="6146" max="6146" width="8.109375" style="7001" customWidth="1"/>
    <col min="6147" max="6147" width="9.88671875" style="7001" customWidth="1"/>
    <col min="6148" max="6148" width="10.109375" style="7001" customWidth="1"/>
    <col min="6149" max="6149" width="13.88671875" style="7001" customWidth="1"/>
    <col min="6150" max="6150" width="17.44140625" style="7001" customWidth="1"/>
    <col min="6151" max="6400" width="9.109375" style="7001"/>
    <col min="6401" max="6401" width="33.109375" style="7001" customWidth="1"/>
    <col min="6402" max="6402" width="8.109375" style="7001" customWidth="1"/>
    <col min="6403" max="6403" width="9.88671875" style="7001" customWidth="1"/>
    <col min="6404" max="6404" width="10.109375" style="7001" customWidth="1"/>
    <col min="6405" max="6405" width="13.88671875" style="7001" customWidth="1"/>
    <col min="6406" max="6406" width="17.44140625" style="7001" customWidth="1"/>
    <col min="6407" max="6656" width="9.109375" style="7001"/>
    <col min="6657" max="6657" width="33.109375" style="7001" customWidth="1"/>
    <col min="6658" max="6658" width="8.109375" style="7001" customWidth="1"/>
    <col min="6659" max="6659" width="9.88671875" style="7001" customWidth="1"/>
    <col min="6660" max="6660" width="10.109375" style="7001" customWidth="1"/>
    <col min="6661" max="6661" width="13.88671875" style="7001" customWidth="1"/>
    <col min="6662" max="6662" width="17.44140625" style="7001" customWidth="1"/>
    <col min="6663" max="6912" width="9.109375" style="7001"/>
    <col min="6913" max="6913" width="33.109375" style="7001" customWidth="1"/>
    <col min="6914" max="6914" width="8.109375" style="7001" customWidth="1"/>
    <col min="6915" max="6915" width="9.88671875" style="7001" customWidth="1"/>
    <col min="6916" max="6916" width="10.109375" style="7001" customWidth="1"/>
    <col min="6917" max="6917" width="13.88671875" style="7001" customWidth="1"/>
    <col min="6918" max="6918" width="17.44140625" style="7001" customWidth="1"/>
    <col min="6919" max="7168" width="9.109375" style="7001"/>
    <col min="7169" max="7169" width="33.109375" style="7001" customWidth="1"/>
    <col min="7170" max="7170" width="8.109375" style="7001" customWidth="1"/>
    <col min="7171" max="7171" width="9.88671875" style="7001" customWidth="1"/>
    <col min="7172" max="7172" width="10.109375" style="7001" customWidth="1"/>
    <col min="7173" max="7173" width="13.88671875" style="7001" customWidth="1"/>
    <col min="7174" max="7174" width="17.44140625" style="7001" customWidth="1"/>
    <col min="7175" max="7424" width="9.109375" style="7001"/>
    <col min="7425" max="7425" width="33.109375" style="7001" customWidth="1"/>
    <col min="7426" max="7426" width="8.109375" style="7001" customWidth="1"/>
    <col min="7427" max="7427" width="9.88671875" style="7001" customWidth="1"/>
    <col min="7428" max="7428" width="10.109375" style="7001" customWidth="1"/>
    <col min="7429" max="7429" width="13.88671875" style="7001" customWidth="1"/>
    <col min="7430" max="7430" width="17.44140625" style="7001" customWidth="1"/>
    <col min="7431" max="7680" width="9.109375" style="7001"/>
    <col min="7681" max="7681" width="33.109375" style="7001" customWidth="1"/>
    <col min="7682" max="7682" width="8.109375" style="7001" customWidth="1"/>
    <col min="7683" max="7683" width="9.88671875" style="7001" customWidth="1"/>
    <col min="7684" max="7684" width="10.109375" style="7001" customWidth="1"/>
    <col min="7685" max="7685" width="13.88671875" style="7001" customWidth="1"/>
    <col min="7686" max="7686" width="17.44140625" style="7001" customWidth="1"/>
    <col min="7687" max="7936" width="9.109375" style="7001"/>
    <col min="7937" max="7937" width="33.109375" style="7001" customWidth="1"/>
    <col min="7938" max="7938" width="8.109375" style="7001" customWidth="1"/>
    <col min="7939" max="7939" width="9.88671875" style="7001" customWidth="1"/>
    <col min="7940" max="7940" width="10.109375" style="7001" customWidth="1"/>
    <col min="7941" max="7941" width="13.88671875" style="7001" customWidth="1"/>
    <col min="7942" max="7942" width="17.44140625" style="7001" customWidth="1"/>
    <col min="7943" max="8192" width="9.109375" style="7001"/>
    <col min="8193" max="8193" width="33.109375" style="7001" customWidth="1"/>
    <col min="8194" max="8194" width="8.109375" style="7001" customWidth="1"/>
    <col min="8195" max="8195" width="9.88671875" style="7001" customWidth="1"/>
    <col min="8196" max="8196" width="10.109375" style="7001" customWidth="1"/>
    <col min="8197" max="8197" width="13.88671875" style="7001" customWidth="1"/>
    <col min="8198" max="8198" width="17.44140625" style="7001" customWidth="1"/>
    <col min="8199" max="8448" width="9.109375" style="7001"/>
    <col min="8449" max="8449" width="33.109375" style="7001" customWidth="1"/>
    <col min="8450" max="8450" width="8.109375" style="7001" customWidth="1"/>
    <col min="8451" max="8451" width="9.88671875" style="7001" customWidth="1"/>
    <col min="8452" max="8452" width="10.109375" style="7001" customWidth="1"/>
    <col min="8453" max="8453" width="13.88671875" style="7001" customWidth="1"/>
    <col min="8454" max="8454" width="17.44140625" style="7001" customWidth="1"/>
    <col min="8455" max="8704" width="9.109375" style="7001"/>
    <col min="8705" max="8705" width="33.109375" style="7001" customWidth="1"/>
    <col min="8706" max="8706" width="8.109375" style="7001" customWidth="1"/>
    <col min="8707" max="8707" width="9.88671875" style="7001" customWidth="1"/>
    <col min="8708" max="8708" width="10.109375" style="7001" customWidth="1"/>
    <col min="8709" max="8709" width="13.88671875" style="7001" customWidth="1"/>
    <col min="8710" max="8710" width="17.44140625" style="7001" customWidth="1"/>
    <col min="8711" max="8960" width="9.109375" style="7001"/>
    <col min="8961" max="8961" width="33.109375" style="7001" customWidth="1"/>
    <col min="8962" max="8962" width="8.109375" style="7001" customWidth="1"/>
    <col min="8963" max="8963" width="9.88671875" style="7001" customWidth="1"/>
    <col min="8964" max="8964" width="10.109375" style="7001" customWidth="1"/>
    <col min="8965" max="8965" width="13.88671875" style="7001" customWidth="1"/>
    <col min="8966" max="8966" width="17.44140625" style="7001" customWidth="1"/>
    <col min="8967" max="9216" width="9.109375" style="7001"/>
    <col min="9217" max="9217" width="33.109375" style="7001" customWidth="1"/>
    <col min="9218" max="9218" width="8.109375" style="7001" customWidth="1"/>
    <col min="9219" max="9219" width="9.88671875" style="7001" customWidth="1"/>
    <col min="9220" max="9220" width="10.109375" style="7001" customWidth="1"/>
    <col min="9221" max="9221" width="13.88671875" style="7001" customWidth="1"/>
    <col min="9222" max="9222" width="17.44140625" style="7001" customWidth="1"/>
    <col min="9223" max="9472" width="9.109375" style="7001"/>
    <col min="9473" max="9473" width="33.109375" style="7001" customWidth="1"/>
    <col min="9474" max="9474" width="8.109375" style="7001" customWidth="1"/>
    <col min="9475" max="9475" width="9.88671875" style="7001" customWidth="1"/>
    <col min="9476" max="9476" width="10.109375" style="7001" customWidth="1"/>
    <col min="9477" max="9477" width="13.88671875" style="7001" customWidth="1"/>
    <col min="9478" max="9478" width="17.44140625" style="7001" customWidth="1"/>
    <col min="9479" max="9728" width="9.109375" style="7001"/>
    <col min="9729" max="9729" width="33.109375" style="7001" customWidth="1"/>
    <col min="9730" max="9730" width="8.109375" style="7001" customWidth="1"/>
    <col min="9731" max="9731" width="9.88671875" style="7001" customWidth="1"/>
    <col min="9732" max="9732" width="10.109375" style="7001" customWidth="1"/>
    <col min="9733" max="9733" width="13.88671875" style="7001" customWidth="1"/>
    <col min="9734" max="9734" width="17.44140625" style="7001" customWidth="1"/>
    <col min="9735" max="9984" width="9.109375" style="7001"/>
    <col min="9985" max="9985" width="33.109375" style="7001" customWidth="1"/>
    <col min="9986" max="9986" width="8.109375" style="7001" customWidth="1"/>
    <col min="9987" max="9987" width="9.88671875" style="7001" customWidth="1"/>
    <col min="9988" max="9988" width="10.109375" style="7001" customWidth="1"/>
    <col min="9989" max="9989" width="13.88671875" style="7001" customWidth="1"/>
    <col min="9990" max="9990" width="17.44140625" style="7001" customWidth="1"/>
    <col min="9991" max="10240" width="9.109375" style="7001"/>
    <col min="10241" max="10241" width="33.109375" style="7001" customWidth="1"/>
    <col min="10242" max="10242" width="8.109375" style="7001" customWidth="1"/>
    <col min="10243" max="10243" width="9.88671875" style="7001" customWidth="1"/>
    <col min="10244" max="10244" width="10.109375" style="7001" customWidth="1"/>
    <col min="10245" max="10245" width="13.88671875" style="7001" customWidth="1"/>
    <col min="10246" max="10246" width="17.44140625" style="7001" customWidth="1"/>
    <col min="10247" max="10496" width="9.109375" style="7001"/>
    <col min="10497" max="10497" width="33.109375" style="7001" customWidth="1"/>
    <col min="10498" max="10498" width="8.109375" style="7001" customWidth="1"/>
    <col min="10499" max="10499" width="9.88671875" style="7001" customWidth="1"/>
    <col min="10500" max="10500" width="10.109375" style="7001" customWidth="1"/>
    <col min="10501" max="10501" width="13.88671875" style="7001" customWidth="1"/>
    <col min="10502" max="10502" width="17.44140625" style="7001" customWidth="1"/>
    <col min="10503" max="10752" width="9.109375" style="7001"/>
    <col min="10753" max="10753" width="33.109375" style="7001" customWidth="1"/>
    <col min="10754" max="10754" width="8.109375" style="7001" customWidth="1"/>
    <col min="10755" max="10755" width="9.88671875" style="7001" customWidth="1"/>
    <col min="10756" max="10756" width="10.109375" style="7001" customWidth="1"/>
    <col min="10757" max="10757" width="13.88671875" style="7001" customWidth="1"/>
    <col min="10758" max="10758" width="17.44140625" style="7001" customWidth="1"/>
    <col min="10759" max="11008" width="9.109375" style="7001"/>
    <col min="11009" max="11009" width="33.109375" style="7001" customWidth="1"/>
    <col min="11010" max="11010" width="8.109375" style="7001" customWidth="1"/>
    <col min="11011" max="11011" width="9.88671875" style="7001" customWidth="1"/>
    <col min="11012" max="11012" width="10.109375" style="7001" customWidth="1"/>
    <col min="11013" max="11013" width="13.88671875" style="7001" customWidth="1"/>
    <col min="11014" max="11014" width="17.44140625" style="7001" customWidth="1"/>
    <col min="11015" max="11264" width="9.109375" style="7001"/>
    <col min="11265" max="11265" width="33.109375" style="7001" customWidth="1"/>
    <col min="11266" max="11266" width="8.109375" style="7001" customWidth="1"/>
    <col min="11267" max="11267" width="9.88671875" style="7001" customWidth="1"/>
    <col min="11268" max="11268" width="10.109375" style="7001" customWidth="1"/>
    <col min="11269" max="11269" width="13.88671875" style="7001" customWidth="1"/>
    <col min="11270" max="11270" width="17.44140625" style="7001" customWidth="1"/>
    <col min="11271" max="11520" width="9.109375" style="7001"/>
    <col min="11521" max="11521" width="33.109375" style="7001" customWidth="1"/>
    <col min="11522" max="11522" width="8.109375" style="7001" customWidth="1"/>
    <col min="11523" max="11523" width="9.88671875" style="7001" customWidth="1"/>
    <col min="11524" max="11524" width="10.109375" style="7001" customWidth="1"/>
    <col min="11525" max="11525" width="13.88671875" style="7001" customWidth="1"/>
    <col min="11526" max="11526" width="17.44140625" style="7001" customWidth="1"/>
    <col min="11527" max="11776" width="9.109375" style="7001"/>
    <col min="11777" max="11777" width="33.109375" style="7001" customWidth="1"/>
    <col min="11778" max="11778" width="8.109375" style="7001" customWidth="1"/>
    <col min="11779" max="11779" width="9.88671875" style="7001" customWidth="1"/>
    <col min="11780" max="11780" width="10.109375" style="7001" customWidth="1"/>
    <col min="11781" max="11781" width="13.88671875" style="7001" customWidth="1"/>
    <col min="11782" max="11782" width="17.44140625" style="7001" customWidth="1"/>
    <col min="11783" max="12032" width="9.109375" style="7001"/>
    <col min="12033" max="12033" width="33.109375" style="7001" customWidth="1"/>
    <col min="12034" max="12034" width="8.109375" style="7001" customWidth="1"/>
    <col min="12035" max="12035" width="9.88671875" style="7001" customWidth="1"/>
    <col min="12036" max="12036" width="10.109375" style="7001" customWidth="1"/>
    <col min="12037" max="12037" width="13.88671875" style="7001" customWidth="1"/>
    <col min="12038" max="12038" width="17.44140625" style="7001" customWidth="1"/>
    <col min="12039" max="12288" width="9.109375" style="7001"/>
    <col min="12289" max="12289" width="33.109375" style="7001" customWidth="1"/>
    <col min="12290" max="12290" width="8.109375" style="7001" customWidth="1"/>
    <col min="12291" max="12291" width="9.88671875" style="7001" customWidth="1"/>
    <col min="12292" max="12292" width="10.109375" style="7001" customWidth="1"/>
    <col min="12293" max="12293" width="13.88671875" style="7001" customWidth="1"/>
    <col min="12294" max="12294" width="17.44140625" style="7001" customWidth="1"/>
    <col min="12295" max="12544" width="9.109375" style="7001"/>
    <col min="12545" max="12545" width="33.109375" style="7001" customWidth="1"/>
    <col min="12546" max="12546" width="8.109375" style="7001" customWidth="1"/>
    <col min="12547" max="12547" width="9.88671875" style="7001" customWidth="1"/>
    <col min="12548" max="12548" width="10.109375" style="7001" customWidth="1"/>
    <col min="12549" max="12549" width="13.88671875" style="7001" customWidth="1"/>
    <col min="12550" max="12550" width="17.44140625" style="7001" customWidth="1"/>
    <col min="12551" max="12800" width="9.109375" style="7001"/>
    <col min="12801" max="12801" width="33.109375" style="7001" customWidth="1"/>
    <col min="12802" max="12802" width="8.109375" style="7001" customWidth="1"/>
    <col min="12803" max="12803" width="9.88671875" style="7001" customWidth="1"/>
    <col min="12804" max="12804" width="10.109375" style="7001" customWidth="1"/>
    <col min="12805" max="12805" width="13.88671875" style="7001" customWidth="1"/>
    <col min="12806" max="12806" width="17.44140625" style="7001" customWidth="1"/>
    <col min="12807" max="13056" width="9.109375" style="7001"/>
    <col min="13057" max="13057" width="33.109375" style="7001" customWidth="1"/>
    <col min="13058" max="13058" width="8.109375" style="7001" customWidth="1"/>
    <col min="13059" max="13059" width="9.88671875" style="7001" customWidth="1"/>
    <col min="13060" max="13060" width="10.109375" style="7001" customWidth="1"/>
    <col min="13061" max="13061" width="13.88671875" style="7001" customWidth="1"/>
    <col min="13062" max="13062" width="17.44140625" style="7001" customWidth="1"/>
    <col min="13063" max="13312" width="9.109375" style="7001"/>
    <col min="13313" max="13313" width="33.109375" style="7001" customWidth="1"/>
    <col min="13314" max="13314" width="8.109375" style="7001" customWidth="1"/>
    <col min="13315" max="13315" width="9.88671875" style="7001" customWidth="1"/>
    <col min="13316" max="13316" width="10.109375" style="7001" customWidth="1"/>
    <col min="13317" max="13317" width="13.88671875" style="7001" customWidth="1"/>
    <col min="13318" max="13318" width="17.44140625" style="7001" customWidth="1"/>
    <col min="13319" max="13568" width="9.109375" style="7001"/>
    <col min="13569" max="13569" width="33.109375" style="7001" customWidth="1"/>
    <col min="13570" max="13570" width="8.109375" style="7001" customWidth="1"/>
    <col min="13571" max="13571" width="9.88671875" style="7001" customWidth="1"/>
    <col min="13572" max="13572" width="10.109375" style="7001" customWidth="1"/>
    <col min="13573" max="13573" width="13.88671875" style="7001" customWidth="1"/>
    <col min="13574" max="13574" width="17.44140625" style="7001" customWidth="1"/>
    <col min="13575" max="13824" width="9.109375" style="7001"/>
    <col min="13825" max="13825" width="33.109375" style="7001" customWidth="1"/>
    <col min="13826" max="13826" width="8.109375" style="7001" customWidth="1"/>
    <col min="13827" max="13827" width="9.88671875" style="7001" customWidth="1"/>
    <col min="13828" max="13828" width="10.109375" style="7001" customWidth="1"/>
    <col min="13829" max="13829" width="13.88671875" style="7001" customWidth="1"/>
    <col min="13830" max="13830" width="17.44140625" style="7001" customWidth="1"/>
    <col min="13831" max="14080" width="9.109375" style="7001"/>
    <col min="14081" max="14081" width="33.109375" style="7001" customWidth="1"/>
    <col min="14082" max="14082" width="8.109375" style="7001" customWidth="1"/>
    <col min="14083" max="14083" width="9.88671875" style="7001" customWidth="1"/>
    <col min="14084" max="14084" width="10.109375" style="7001" customWidth="1"/>
    <col min="14085" max="14085" width="13.88671875" style="7001" customWidth="1"/>
    <col min="14086" max="14086" width="17.44140625" style="7001" customWidth="1"/>
    <col min="14087" max="14336" width="9.109375" style="7001"/>
    <col min="14337" max="14337" width="33.109375" style="7001" customWidth="1"/>
    <col min="14338" max="14338" width="8.109375" style="7001" customWidth="1"/>
    <col min="14339" max="14339" width="9.88671875" style="7001" customWidth="1"/>
    <col min="14340" max="14340" width="10.109375" style="7001" customWidth="1"/>
    <col min="14341" max="14341" width="13.88671875" style="7001" customWidth="1"/>
    <col min="14342" max="14342" width="17.44140625" style="7001" customWidth="1"/>
    <col min="14343" max="14592" width="9.109375" style="7001"/>
    <col min="14593" max="14593" width="33.109375" style="7001" customWidth="1"/>
    <col min="14594" max="14594" width="8.109375" style="7001" customWidth="1"/>
    <col min="14595" max="14595" width="9.88671875" style="7001" customWidth="1"/>
    <col min="14596" max="14596" width="10.109375" style="7001" customWidth="1"/>
    <col min="14597" max="14597" width="13.88671875" style="7001" customWidth="1"/>
    <col min="14598" max="14598" width="17.44140625" style="7001" customWidth="1"/>
    <col min="14599" max="14848" width="9.109375" style="7001"/>
    <col min="14849" max="14849" width="33.109375" style="7001" customWidth="1"/>
    <col min="14850" max="14850" width="8.109375" style="7001" customWidth="1"/>
    <col min="14851" max="14851" width="9.88671875" style="7001" customWidth="1"/>
    <col min="14852" max="14852" width="10.109375" style="7001" customWidth="1"/>
    <col min="14853" max="14853" width="13.88671875" style="7001" customWidth="1"/>
    <col min="14854" max="14854" width="17.44140625" style="7001" customWidth="1"/>
    <col min="14855" max="15104" width="9.109375" style="7001"/>
    <col min="15105" max="15105" width="33.109375" style="7001" customWidth="1"/>
    <col min="15106" max="15106" width="8.109375" style="7001" customWidth="1"/>
    <col min="15107" max="15107" width="9.88671875" style="7001" customWidth="1"/>
    <col min="15108" max="15108" width="10.109375" style="7001" customWidth="1"/>
    <col min="15109" max="15109" width="13.88671875" style="7001" customWidth="1"/>
    <col min="15110" max="15110" width="17.44140625" style="7001" customWidth="1"/>
    <col min="15111" max="15360" width="9.109375" style="7001"/>
    <col min="15361" max="15361" width="33.109375" style="7001" customWidth="1"/>
    <col min="15362" max="15362" width="8.109375" style="7001" customWidth="1"/>
    <col min="15363" max="15363" width="9.88671875" style="7001" customWidth="1"/>
    <col min="15364" max="15364" width="10.109375" style="7001" customWidth="1"/>
    <col min="15365" max="15365" width="13.88671875" style="7001" customWidth="1"/>
    <col min="15366" max="15366" width="17.44140625" style="7001" customWidth="1"/>
    <col min="15367" max="15616" width="9.109375" style="7001"/>
    <col min="15617" max="15617" width="33.109375" style="7001" customWidth="1"/>
    <col min="15618" max="15618" width="8.109375" style="7001" customWidth="1"/>
    <col min="15619" max="15619" width="9.88671875" style="7001" customWidth="1"/>
    <col min="15620" max="15620" width="10.109375" style="7001" customWidth="1"/>
    <col min="15621" max="15621" width="13.88671875" style="7001" customWidth="1"/>
    <col min="15622" max="15622" width="17.44140625" style="7001" customWidth="1"/>
    <col min="15623" max="15872" width="9.109375" style="7001"/>
    <col min="15873" max="15873" width="33.109375" style="7001" customWidth="1"/>
    <col min="15874" max="15874" width="8.109375" style="7001" customWidth="1"/>
    <col min="15875" max="15875" width="9.88671875" style="7001" customWidth="1"/>
    <col min="15876" max="15876" width="10.109375" style="7001" customWidth="1"/>
    <col min="15877" max="15877" width="13.88671875" style="7001" customWidth="1"/>
    <col min="15878" max="15878" width="17.44140625" style="7001" customWidth="1"/>
    <col min="15879" max="16128" width="9.109375" style="7001"/>
    <col min="16129" max="16129" width="33.109375" style="7001" customWidth="1"/>
    <col min="16130" max="16130" width="8.109375" style="7001" customWidth="1"/>
    <col min="16131" max="16131" width="9.88671875" style="7001" customWidth="1"/>
    <col min="16132" max="16132" width="10.109375" style="7001" customWidth="1"/>
    <col min="16133" max="16133" width="13.88671875" style="7001" customWidth="1"/>
    <col min="16134" max="16134" width="17.44140625" style="7001" customWidth="1"/>
    <col min="16135" max="16384" width="9.109375" style="7001"/>
  </cols>
  <sheetData>
    <row r="1" spans="1:8" ht="12.9" customHeight="1">
      <c r="A1" s="14395" t="s">
        <v>1087</v>
      </c>
      <c r="B1" s="14395"/>
      <c r="C1" s="14395"/>
      <c r="D1" s="14395"/>
      <c r="E1" s="14395"/>
      <c r="F1" s="14395"/>
    </row>
    <row r="3" spans="1:8" ht="12.9" customHeight="1">
      <c r="A3" s="7162" t="s">
        <v>10197</v>
      </c>
    </row>
    <row r="4" spans="1:8" ht="12.9" customHeight="1" thickBot="1"/>
    <row r="5" spans="1:8" ht="12.9" customHeight="1">
      <c r="A5" s="9675" t="s">
        <v>842</v>
      </c>
      <c r="B5" s="10713" t="s">
        <v>1035</v>
      </c>
      <c r="C5" s="10713" t="s">
        <v>1036</v>
      </c>
      <c r="D5" s="14393" t="s">
        <v>1037</v>
      </c>
      <c r="E5" s="14393"/>
      <c r="F5" s="14394"/>
    </row>
    <row r="6" spans="1:8" ht="12.9" customHeight="1">
      <c r="A6" s="7230" t="s">
        <v>1088</v>
      </c>
      <c r="B6" s="10720" t="s">
        <v>9</v>
      </c>
      <c r="C6" s="10720" t="s">
        <v>1039</v>
      </c>
      <c r="D6" s="10720" t="s">
        <v>10</v>
      </c>
      <c r="E6" s="10720" t="s">
        <v>11</v>
      </c>
      <c r="F6" s="10721" t="s">
        <v>11621</v>
      </c>
    </row>
    <row r="7" spans="1:8" ht="12.9" customHeight="1">
      <c r="A7" s="9682" t="s">
        <v>806</v>
      </c>
      <c r="B7" s="10411"/>
      <c r="C7" s="10411"/>
      <c r="D7" s="10411"/>
      <c r="E7" s="10411"/>
      <c r="F7" s="10412"/>
    </row>
    <row r="8" spans="1:8" ht="12.9" customHeight="1">
      <c r="A8" s="6230" t="s">
        <v>1149</v>
      </c>
      <c r="B8" s="9636"/>
      <c r="C8" s="9636"/>
      <c r="D8" s="9636"/>
      <c r="E8" s="9636"/>
      <c r="F8" s="10413"/>
    </row>
    <row r="9" spans="1:8" ht="12.9" customHeight="1">
      <c r="A9" s="7231" t="s">
        <v>1265</v>
      </c>
      <c r="B9" s="9403">
        <v>1</v>
      </c>
      <c r="C9" s="9403">
        <v>26</v>
      </c>
      <c r="D9" s="9608">
        <v>1041900</v>
      </c>
      <c r="E9" s="9608">
        <v>1226604</v>
      </c>
      <c r="F9" s="9948">
        <v>1444044</v>
      </c>
    </row>
    <row r="10" spans="1:8" ht="12.9" customHeight="1">
      <c r="A10" s="7231" t="s">
        <v>1266</v>
      </c>
      <c r="B10" s="9403">
        <v>1</v>
      </c>
      <c r="C10" s="9403">
        <v>24</v>
      </c>
      <c r="D10" s="9609">
        <v>772992</v>
      </c>
      <c r="E10" s="9609">
        <v>892764</v>
      </c>
      <c r="F10" s="10401">
        <v>1017204</v>
      </c>
      <c r="G10" s="7001">
        <f>SUM(B9:B10)</f>
        <v>2</v>
      </c>
      <c r="H10" s="7164">
        <f>SUM(F9:F10)</f>
        <v>2461248</v>
      </c>
    </row>
    <row r="11" spans="1:8" ht="12.9" customHeight="1">
      <c r="A11" s="7231"/>
      <c r="B11" s="9636"/>
      <c r="C11" s="9636"/>
      <c r="D11" s="9636"/>
      <c r="E11" s="9636"/>
      <c r="F11" s="10413"/>
    </row>
    <row r="12" spans="1:8" ht="12.9" customHeight="1">
      <c r="A12" s="6230" t="s">
        <v>1267</v>
      </c>
      <c r="B12" s="9636"/>
      <c r="C12" s="9636"/>
      <c r="D12" s="9636"/>
      <c r="E12" s="9636"/>
      <c r="F12" s="10413"/>
    </row>
    <row r="13" spans="1:8" ht="12.9" customHeight="1">
      <c r="A13" s="6230" t="s">
        <v>1268</v>
      </c>
      <c r="B13" s="9636"/>
      <c r="C13" s="9636"/>
      <c r="D13" s="9636"/>
      <c r="E13" s="9636"/>
      <c r="F13" s="10413"/>
    </row>
    <row r="14" spans="1:8" ht="12.9" customHeight="1">
      <c r="A14" s="7231" t="s">
        <v>1269</v>
      </c>
      <c r="B14" s="9403">
        <v>1</v>
      </c>
      <c r="C14" s="9403">
        <v>22</v>
      </c>
      <c r="D14" s="9608">
        <v>677844</v>
      </c>
      <c r="E14" s="9608">
        <v>770400</v>
      </c>
      <c r="F14" s="9948">
        <v>783828</v>
      </c>
      <c r="G14" s="7001">
        <f>SUM(B14:B15)</f>
        <v>1</v>
      </c>
      <c r="H14" s="7164">
        <f>SUM(F14:F15)</f>
        <v>783828</v>
      </c>
    </row>
    <row r="15" spans="1:8" ht="12.9" customHeight="1">
      <c r="A15" s="7231"/>
      <c r="B15" s="9403"/>
      <c r="C15" s="9403"/>
      <c r="D15" s="9608"/>
      <c r="E15" s="9608"/>
      <c r="F15" s="9948"/>
    </row>
    <row r="16" spans="1:8" ht="12.9" customHeight="1">
      <c r="A16" s="6230" t="s">
        <v>1137</v>
      </c>
      <c r="B16" s="9403" t="s">
        <v>9</v>
      </c>
      <c r="C16" s="9403"/>
      <c r="D16" s="9608"/>
      <c r="E16" s="9608"/>
      <c r="F16" s="9948"/>
    </row>
    <row r="17" spans="1:8" ht="12.9" customHeight="1">
      <c r="A17" s="7231" t="s">
        <v>11642</v>
      </c>
      <c r="B17" s="9403">
        <v>1</v>
      </c>
      <c r="C17" s="9403">
        <v>22</v>
      </c>
      <c r="D17" s="9612">
        <v>0</v>
      </c>
      <c r="E17" s="9612">
        <v>0</v>
      </c>
      <c r="F17" s="9948">
        <v>783828</v>
      </c>
    </row>
    <row r="18" spans="1:8" ht="12.9" customHeight="1">
      <c r="A18" s="7231" t="s">
        <v>4792</v>
      </c>
      <c r="B18" s="9403">
        <v>0</v>
      </c>
      <c r="C18" s="9403">
        <v>18</v>
      </c>
      <c r="D18" s="9608">
        <v>464628</v>
      </c>
      <c r="E18" s="9608">
        <v>496956</v>
      </c>
      <c r="F18" s="9949">
        <v>0</v>
      </c>
    </row>
    <row r="19" spans="1:8" ht="12.9" customHeight="1">
      <c r="A19" s="7231" t="s">
        <v>4791</v>
      </c>
      <c r="B19" s="9403">
        <v>1</v>
      </c>
      <c r="C19" s="9403">
        <v>15</v>
      </c>
      <c r="D19" s="9608">
        <v>354684</v>
      </c>
      <c r="E19" s="9608">
        <v>374040</v>
      </c>
      <c r="F19" s="9948">
        <v>399348</v>
      </c>
    </row>
    <row r="20" spans="1:8" ht="12.9" customHeight="1">
      <c r="A20" s="7231" t="s">
        <v>10404</v>
      </c>
      <c r="B20" s="9403">
        <v>1</v>
      </c>
      <c r="C20" s="9403">
        <v>13</v>
      </c>
      <c r="D20" s="9612">
        <v>282204</v>
      </c>
      <c r="E20" s="9612">
        <v>290688</v>
      </c>
      <c r="F20" s="9949">
        <v>302784</v>
      </c>
    </row>
    <row r="21" spans="1:8" ht="12.9" customHeight="1">
      <c r="A21" s="7231" t="s">
        <v>4790</v>
      </c>
      <c r="B21" s="9403">
        <v>3</v>
      </c>
      <c r="C21" s="9403">
        <v>11</v>
      </c>
      <c r="D21" s="9608">
        <v>508380</v>
      </c>
      <c r="E21" s="9608">
        <v>525984</v>
      </c>
      <c r="F21" s="9948">
        <v>796944</v>
      </c>
    </row>
    <row r="22" spans="1:8" ht="12.9" customHeight="1">
      <c r="A22" s="7231" t="s">
        <v>10566</v>
      </c>
      <c r="B22" s="9403">
        <v>1</v>
      </c>
      <c r="C22" s="9403">
        <v>19</v>
      </c>
      <c r="D22" s="9608">
        <v>469812</v>
      </c>
      <c r="E22" s="9608">
        <v>505188</v>
      </c>
      <c r="F22" s="9948">
        <v>552096</v>
      </c>
    </row>
    <row r="23" spans="1:8" ht="12.9" customHeight="1">
      <c r="A23" s="7231" t="s">
        <v>4789</v>
      </c>
      <c r="B23" s="9403">
        <v>3</v>
      </c>
      <c r="C23" s="9403">
        <v>16</v>
      </c>
      <c r="D23" s="9608">
        <v>382116</v>
      </c>
      <c r="E23" s="9608">
        <v>1143540</v>
      </c>
      <c r="F23" s="9948">
        <v>1219008</v>
      </c>
    </row>
    <row r="24" spans="1:8" ht="12.9" customHeight="1">
      <c r="A24" s="7231" t="s">
        <v>7229</v>
      </c>
      <c r="B24" s="9403">
        <v>2</v>
      </c>
      <c r="C24" s="9403">
        <v>12</v>
      </c>
      <c r="D24" s="9608">
        <v>259512</v>
      </c>
      <c r="E24" s="9608">
        <v>265788</v>
      </c>
      <c r="F24" s="9948">
        <v>550512</v>
      </c>
    </row>
    <row r="25" spans="1:8" ht="12.9" customHeight="1">
      <c r="A25" s="7231" t="s">
        <v>4788</v>
      </c>
      <c r="B25" s="9403">
        <v>1</v>
      </c>
      <c r="C25" s="9403">
        <v>9</v>
      </c>
      <c r="D25" s="9608">
        <v>211416</v>
      </c>
      <c r="E25" s="9608">
        <v>217140</v>
      </c>
      <c r="F25" s="9948">
        <v>224868</v>
      </c>
    </row>
    <row r="26" spans="1:8" ht="12.9" customHeight="1">
      <c r="A26" s="7231" t="s">
        <v>4787</v>
      </c>
      <c r="B26" s="9403">
        <v>4</v>
      </c>
      <c r="C26" s="9403">
        <v>8</v>
      </c>
      <c r="D26" s="9608">
        <v>775812</v>
      </c>
      <c r="E26" s="9608">
        <v>803568</v>
      </c>
      <c r="F26" s="9948">
        <v>828444</v>
      </c>
    </row>
    <row r="27" spans="1:8" ht="12.9" customHeight="1">
      <c r="A27" s="7231" t="s">
        <v>4786</v>
      </c>
      <c r="B27" s="9403">
        <v>2</v>
      </c>
      <c r="C27" s="9403">
        <v>8</v>
      </c>
      <c r="D27" s="9608">
        <v>392652</v>
      </c>
      <c r="E27" s="9608">
        <v>403812</v>
      </c>
      <c r="F27" s="9948">
        <v>417096</v>
      </c>
    </row>
    <row r="28" spans="1:8" ht="12.9" customHeight="1">
      <c r="A28" s="7231" t="s">
        <v>4785</v>
      </c>
      <c r="B28" s="9403">
        <v>4</v>
      </c>
      <c r="C28" s="9403">
        <v>6</v>
      </c>
      <c r="D28" s="9608">
        <v>847524</v>
      </c>
      <c r="E28" s="9608">
        <v>699948</v>
      </c>
      <c r="F28" s="9948">
        <v>725196</v>
      </c>
    </row>
    <row r="29" spans="1:8" ht="12.9" customHeight="1">
      <c r="A29" s="7231" t="s">
        <v>4784</v>
      </c>
      <c r="B29" s="9403">
        <v>2</v>
      </c>
      <c r="C29" s="9403">
        <v>4</v>
      </c>
      <c r="D29" s="9608">
        <v>446664</v>
      </c>
      <c r="E29" s="9608">
        <v>467664</v>
      </c>
      <c r="F29" s="9948">
        <v>323292</v>
      </c>
    </row>
    <row r="30" spans="1:8" ht="12.9" customHeight="1">
      <c r="A30" s="7231" t="s">
        <v>4783</v>
      </c>
      <c r="B30" s="9403">
        <v>1</v>
      </c>
      <c r="C30" s="9403">
        <v>7</v>
      </c>
      <c r="D30" s="9608">
        <v>374088</v>
      </c>
      <c r="E30" s="9608">
        <v>384624</v>
      </c>
      <c r="F30" s="9948">
        <v>199248</v>
      </c>
    </row>
    <row r="31" spans="1:8" ht="12.9" customHeight="1">
      <c r="A31" s="7231"/>
      <c r="B31" s="9403"/>
      <c r="C31" s="9403"/>
      <c r="D31" s="9608"/>
      <c r="E31" s="9608"/>
      <c r="F31" s="9948"/>
    </row>
    <row r="32" spans="1:8" ht="12.9" customHeight="1">
      <c r="A32" s="6230" t="s">
        <v>1270</v>
      </c>
      <c r="B32" s="9403"/>
      <c r="C32" s="9403"/>
      <c r="D32" s="9608"/>
      <c r="E32" s="9608"/>
      <c r="F32" s="9948"/>
      <c r="G32" s="7001">
        <f>SUM(B17:B31)</f>
        <v>26</v>
      </c>
      <c r="H32" s="7164">
        <f>SUM(F17:F31)</f>
        <v>7322664</v>
      </c>
    </row>
    <row r="33" spans="1:8" ht="12.9" customHeight="1">
      <c r="A33" s="7231" t="s">
        <v>1255</v>
      </c>
      <c r="B33" s="9403">
        <v>1</v>
      </c>
      <c r="C33" s="9403">
        <v>18</v>
      </c>
      <c r="D33" s="9612">
        <v>0</v>
      </c>
      <c r="E33" s="9612">
        <v>0</v>
      </c>
      <c r="F33" s="9948">
        <v>487644</v>
      </c>
    </row>
    <row r="34" spans="1:8" ht="12.9" customHeight="1">
      <c r="A34" s="7231" t="s">
        <v>1256</v>
      </c>
      <c r="B34" s="9403">
        <v>0</v>
      </c>
      <c r="C34" s="9403">
        <v>15</v>
      </c>
      <c r="D34" s="9608">
        <v>346524</v>
      </c>
      <c r="E34" s="9608">
        <v>365184</v>
      </c>
      <c r="F34" s="9949">
        <v>0</v>
      </c>
    </row>
    <row r="35" spans="1:8" ht="12.9" customHeight="1">
      <c r="A35" s="7231" t="s">
        <v>1271</v>
      </c>
      <c r="B35" s="9403">
        <v>1</v>
      </c>
      <c r="C35" s="9403">
        <v>10</v>
      </c>
      <c r="D35" s="9608">
        <v>233052</v>
      </c>
      <c r="E35" s="9608">
        <v>238776</v>
      </c>
      <c r="F35" s="9948">
        <v>244644</v>
      </c>
    </row>
    <row r="36" spans="1:8" ht="12.9" customHeight="1">
      <c r="A36" s="7231" t="s">
        <v>1258</v>
      </c>
      <c r="B36" s="9403">
        <v>0</v>
      </c>
      <c r="C36" s="9403">
        <v>8</v>
      </c>
      <c r="D36" s="9608">
        <v>202836</v>
      </c>
      <c r="E36" s="9608">
        <v>206508</v>
      </c>
      <c r="F36" s="9949">
        <v>0</v>
      </c>
    </row>
    <row r="37" spans="1:8" ht="12.9" customHeight="1">
      <c r="A37" s="7231" t="s">
        <v>3404</v>
      </c>
      <c r="B37" s="9403">
        <v>0</v>
      </c>
      <c r="C37" s="9403">
        <v>7</v>
      </c>
      <c r="D37" s="9608"/>
      <c r="E37" s="9608"/>
      <c r="F37" s="9948"/>
    </row>
    <row r="38" spans="1:8" ht="12.9" customHeight="1">
      <c r="A38" s="7231" t="s">
        <v>1259</v>
      </c>
      <c r="B38" s="9403">
        <v>2</v>
      </c>
      <c r="C38" s="9403">
        <v>6</v>
      </c>
      <c r="D38" s="9608">
        <v>353544</v>
      </c>
      <c r="E38" s="9608">
        <v>364560</v>
      </c>
      <c r="F38" s="9948">
        <v>375936</v>
      </c>
    </row>
    <row r="39" spans="1:8" ht="12.9" customHeight="1">
      <c r="A39" s="7231" t="s">
        <v>1260</v>
      </c>
      <c r="B39" s="9403">
        <v>3</v>
      </c>
      <c r="C39" s="9403">
        <v>4</v>
      </c>
      <c r="D39" s="9608">
        <v>462672</v>
      </c>
      <c r="E39" s="9608">
        <v>481956</v>
      </c>
      <c r="F39" s="9948">
        <v>491880</v>
      </c>
    </row>
    <row r="40" spans="1:8" ht="12.9" customHeight="1">
      <c r="A40" s="7231" t="s">
        <v>1261</v>
      </c>
      <c r="B40" s="9403">
        <v>1</v>
      </c>
      <c r="C40" s="9403">
        <v>3</v>
      </c>
      <c r="D40" s="9608">
        <v>141540</v>
      </c>
      <c r="E40" s="9608">
        <v>147756</v>
      </c>
      <c r="F40" s="9948">
        <v>155424</v>
      </c>
    </row>
    <row r="41" spans="1:8" ht="12.9" customHeight="1">
      <c r="A41" s="7231" t="s">
        <v>1263</v>
      </c>
      <c r="B41" s="9403">
        <v>5</v>
      </c>
      <c r="C41" s="9403">
        <v>1</v>
      </c>
      <c r="D41" s="9608">
        <v>634944</v>
      </c>
      <c r="E41" s="9608">
        <v>666912</v>
      </c>
      <c r="F41" s="9948">
        <v>693624</v>
      </c>
    </row>
    <row r="42" spans="1:8" s="7165" customFormat="1" ht="12.9" customHeight="1">
      <c r="A42" s="7209" t="s">
        <v>1159</v>
      </c>
      <c r="B42" s="9613">
        <f>SUM(B9:B41)</f>
        <v>42</v>
      </c>
      <c r="C42" s="9630"/>
      <c r="D42" s="9619">
        <f>SUM(D9:D41)</f>
        <v>10637340</v>
      </c>
      <c r="E42" s="9619">
        <f>SUM(E9:E41)</f>
        <v>11940360</v>
      </c>
      <c r="F42" s="7221">
        <f>SUM(F9:F41)</f>
        <v>13016892</v>
      </c>
      <c r="G42" s="7165">
        <f>SUM(B33:B41)</f>
        <v>13</v>
      </c>
      <c r="H42" s="7198">
        <f>SUM(F33:F41)</f>
        <v>2449152</v>
      </c>
    </row>
    <row r="43" spans="1:8" ht="12.9" customHeight="1">
      <c r="A43" s="6230"/>
      <c r="B43" s="9648"/>
      <c r="C43" s="9403"/>
      <c r="D43" s="10407"/>
      <c r="E43" s="10407"/>
      <c r="F43" s="10409"/>
    </row>
    <row r="44" spans="1:8" ht="12.9" customHeight="1">
      <c r="A44" s="7231" t="s">
        <v>1272</v>
      </c>
      <c r="B44" s="9648" t="s">
        <v>9</v>
      </c>
      <c r="C44" s="9636"/>
      <c r="D44" s="9636"/>
      <c r="E44" s="9636"/>
      <c r="F44" s="10413"/>
    </row>
    <row r="45" spans="1:8" ht="12.9" customHeight="1">
      <c r="A45" s="7231"/>
      <c r="B45" s="9636"/>
      <c r="C45" s="9636"/>
      <c r="D45" s="9636"/>
      <c r="E45" s="9636"/>
      <c r="F45" s="10413"/>
    </row>
    <row r="46" spans="1:8" ht="12.9" hidden="1" customHeight="1">
      <c r="A46" s="7231" t="s">
        <v>1266</v>
      </c>
      <c r="B46" s="9403">
        <v>0</v>
      </c>
      <c r="C46" s="9403">
        <v>24</v>
      </c>
      <c r="D46" s="9608">
        <v>0</v>
      </c>
      <c r="E46" s="9608">
        <v>0</v>
      </c>
      <c r="F46" s="9948">
        <v>0</v>
      </c>
    </row>
    <row r="47" spans="1:8" ht="12.9" customHeight="1">
      <c r="A47" s="7231" t="s">
        <v>11643</v>
      </c>
      <c r="B47" s="9403">
        <v>0</v>
      </c>
      <c r="C47" s="9403">
        <v>22</v>
      </c>
      <c r="D47" s="9608">
        <v>633396</v>
      </c>
      <c r="E47" s="9608">
        <v>704604</v>
      </c>
      <c r="F47" s="9949">
        <v>0</v>
      </c>
    </row>
    <row r="48" spans="1:8" ht="12.9" customHeight="1">
      <c r="A48" s="7231" t="s">
        <v>8857</v>
      </c>
      <c r="B48" s="9403">
        <v>1</v>
      </c>
      <c r="C48" s="9403">
        <v>19</v>
      </c>
      <c r="D48" s="9612">
        <v>0</v>
      </c>
      <c r="E48" s="9612">
        <v>0</v>
      </c>
      <c r="F48" s="9949">
        <v>543228</v>
      </c>
    </row>
    <row r="49" spans="1:6" ht="12.9" customHeight="1">
      <c r="A49" s="7231" t="s">
        <v>11644</v>
      </c>
      <c r="B49" s="9403">
        <v>1</v>
      </c>
      <c r="C49" s="9403">
        <v>18</v>
      </c>
      <c r="D49" s="9612">
        <v>0</v>
      </c>
      <c r="E49" s="9612">
        <v>0</v>
      </c>
      <c r="F49" s="9948">
        <v>487644</v>
      </c>
    </row>
    <row r="50" spans="1:6" ht="12.9" customHeight="1">
      <c r="A50" s="7231" t="s">
        <v>1182</v>
      </c>
      <c r="B50" s="9403">
        <v>0</v>
      </c>
      <c r="C50" s="9403">
        <v>18</v>
      </c>
      <c r="D50" s="9612">
        <v>428316</v>
      </c>
      <c r="E50" s="9612">
        <v>457020</v>
      </c>
      <c r="F50" s="9949">
        <v>0</v>
      </c>
    </row>
    <row r="51" spans="1:6" ht="12.9" customHeight="1">
      <c r="A51" s="7231" t="s">
        <v>10405</v>
      </c>
      <c r="B51" s="9403">
        <v>1</v>
      </c>
      <c r="C51" s="9403">
        <v>16</v>
      </c>
      <c r="D51" s="9612">
        <v>721056</v>
      </c>
      <c r="E51" s="9612">
        <v>381180</v>
      </c>
      <c r="F51" s="9949">
        <v>403008</v>
      </c>
    </row>
    <row r="52" spans="1:6" ht="12.9" hidden="1" customHeight="1">
      <c r="A52" s="7231" t="s">
        <v>8858</v>
      </c>
      <c r="B52" s="9403">
        <v>0</v>
      </c>
      <c r="C52" s="9403">
        <v>13</v>
      </c>
      <c r="D52" s="9612">
        <v>0</v>
      </c>
      <c r="E52" s="9612">
        <v>0</v>
      </c>
      <c r="F52" s="9949">
        <v>0</v>
      </c>
    </row>
    <row r="53" spans="1:6" ht="12.9" customHeight="1">
      <c r="A53" s="7231" t="s">
        <v>1183</v>
      </c>
      <c r="B53" s="9403">
        <v>1</v>
      </c>
      <c r="C53" s="9403">
        <v>15</v>
      </c>
      <c r="D53" s="9612">
        <v>0</v>
      </c>
      <c r="E53" s="9612">
        <v>0</v>
      </c>
      <c r="F53" s="9949">
        <v>366372</v>
      </c>
    </row>
    <row r="54" spans="1:6" ht="12.9" customHeight="1">
      <c r="A54" s="7231" t="s">
        <v>1273</v>
      </c>
      <c r="B54" s="9403">
        <v>1</v>
      </c>
      <c r="C54" s="9403">
        <v>12</v>
      </c>
      <c r="D54" s="9608">
        <v>256644</v>
      </c>
      <c r="E54" s="9608">
        <v>531576</v>
      </c>
      <c r="F54" s="9948">
        <v>275256</v>
      </c>
    </row>
    <row r="55" spans="1:6" ht="12.9" customHeight="1">
      <c r="A55" s="7231" t="s">
        <v>10694</v>
      </c>
      <c r="B55" s="9403">
        <v>1</v>
      </c>
      <c r="C55" s="9403">
        <v>11</v>
      </c>
      <c r="D55" s="9608">
        <v>470880</v>
      </c>
      <c r="E55" s="9608">
        <v>484296</v>
      </c>
      <c r="F55" s="9948">
        <f>249048*B55</f>
        <v>249048</v>
      </c>
    </row>
    <row r="56" spans="1:6" ht="12.9" customHeight="1">
      <c r="A56" s="7231" t="s">
        <v>1186</v>
      </c>
      <c r="B56" s="9403">
        <v>1</v>
      </c>
      <c r="C56" s="9403">
        <v>8</v>
      </c>
      <c r="D56" s="9608">
        <v>0</v>
      </c>
      <c r="E56" s="9608">
        <v>0</v>
      </c>
      <c r="F56" s="9948">
        <v>201096</v>
      </c>
    </row>
    <row r="57" spans="1:6" ht="12.9" hidden="1" customHeight="1">
      <c r="A57" s="7231" t="s">
        <v>10406</v>
      </c>
      <c r="B57" s="9403">
        <v>0</v>
      </c>
      <c r="C57" s="9403">
        <v>8</v>
      </c>
      <c r="D57" s="9608">
        <v>0</v>
      </c>
      <c r="E57" s="9608">
        <v>0</v>
      </c>
      <c r="F57" s="9948">
        <v>0</v>
      </c>
    </row>
    <row r="58" spans="1:6" ht="12.9" customHeight="1">
      <c r="A58" s="7231" t="s">
        <v>11645</v>
      </c>
      <c r="B58" s="9403"/>
      <c r="C58" s="9403">
        <v>7</v>
      </c>
      <c r="D58" s="9608">
        <v>0</v>
      </c>
      <c r="E58" s="9608">
        <v>0</v>
      </c>
      <c r="F58" s="9948" t="s">
        <v>12022</v>
      </c>
    </row>
    <row r="59" spans="1:6" ht="12.9" customHeight="1">
      <c r="A59" s="7231" t="s">
        <v>1274</v>
      </c>
      <c r="B59" s="9403">
        <v>2</v>
      </c>
      <c r="C59" s="9403">
        <v>6</v>
      </c>
      <c r="D59" s="9608">
        <v>166212</v>
      </c>
      <c r="E59" s="9608">
        <v>344160</v>
      </c>
      <c r="F59" s="9948">
        <v>356328</v>
      </c>
    </row>
    <row r="60" spans="1:6" ht="12.9" customHeight="1">
      <c r="A60" s="7231" t="s">
        <v>1187</v>
      </c>
      <c r="B60" s="9403">
        <v>0</v>
      </c>
      <c r="C60" s="9403">
        <v>6</v>
      </c>
      <c r="D60" s="9608"/>
      <c r="E60" s="9608"/>
      <c r="F60" s="9948"/>
    </row>
    <row r="61" spans="1:6" ht="12.9" customHeight="1">
      <c r="A61" s="7231" t="s">
        <v>10151</v>
      </c>
      <c r="B61" s="9403"/>
      <c r="C61" s="9403">
        <v>4</v>
      </c>
      <c r="D61" s="9608">
        <v>0</v>
      </c>
      <c r="E61" s="9608">
        <v>0</v>
      </c>
      <c r="F61" s="9948" t="s">
        <v>12022</v>
      </c>
    </row>
    <row r="62" spans="1:6" ht="12.9" customHeight="1">
      <c r="A62" s="7231" t="s">
        <v>3405</v>
      </c>
      <c r="B62" s="9403">
        <v>0</v>
      </c>
      <c r="C62" s="9403">
        <v>4</v>
      </c>
      <c r="D62" s="9608"/>
      <c r="E62" s="9608"/>
      <c r="F62" s="9948"/>
    </row>
    <row r="63" spans="1:6" ht="12.9" customHeight="1">
      <c r="A63" s="6230" t="s">
        <v>4774</v>
      </c>
      <c r="B63" s="9742">
        <f>SUM(B45:B62)</f>
        <v>9</v>
      </c>
      <c r="C63" s="9676"/>
      <c r="D63" s="9643">
        <f>SUM(D45:D62)</f>
        <v>2676504</v>
      </c>
      <c r="E63" s="9643">
        <f>SUM(E45:E62)</f>
        <v>2902836</v>
      </c>
      <c r="F63" s="9656">
        <f>SUM(F45:F62)</f>
        <v>2881980</v>
      </c>
    </row>
    <row r="64" spans="1:6" ht="12.9" customHeight="1" thickBot="1">
      <c r="A64" s="7235"/>
      <c r="B64" s="9758"/>
      <c r="C64" s="9758"/>
      <c r="D64" s="9758"/>
      <c r="E64" s="9758"/>
      <c r="F64" s="9759"/>
    </row>
    <row r="65" spans="1:8" s="7165" customFormat="1" ht="12.9" customHeight="1" thickBot="1">
      <c r="A65" s="9712" t="s">
        <v>1101</v>
      </c>
      <c r="B65" s="10725">
        <f>SUM(B42+B63)</f>
        <v>51</v>
      </c>
      <c r="C65" s="10414"/>
      <c r="D65" s="10415">
        <f>SUM(D42+D63)</f>
        <v>13313844</v>
      </c>
      <c r="E65" s="10415">
        <f>SUM(E42+E63)</f>
        <v>14843196</v>
      </c>
      <c r="F65" s="10722">
        <f>SUM(F42+F63)</f>
        <v>15898872</v>
      </c>
      <c r="H65" s="7198">
        <f>F65-10536072</f>
        <v>5362800</v>
      </c>
    </row>
    <row r="66" spans="1:8" s="6330" customFormat="1" ht="12.9" customHeight="1">
      <c r="A66" s="7257"/>
      <c r="B66" s="7257"/>
      <c r="C66" s="7257"/>
      <c r="D66" s="7257"/>
      <c r="E66" s="7257"/>
      <c r="F66" s="7257"/>
    </row>
    <row r="67" spans="1:8" s="6330" customFormat="1" ht="12.9" customHeight="1"/>
    <row r="68" spans="1:8" s="6330" customFormat="1" ht="12.9" customHeight="1"/>
    <row r="69" spans="1:8" s="6330" customFormat="1" ht="12.9" customHeight="1"/>
    <row r="70" spans="1:8" s="6330" customFormat="1" ht="12.9" customHeight="1"/>
    <row r="71" spans="1:8" s="6330" customFormat="1" ht="12.9" customHeight="1"/>
    <row r="72" spans="1:8" s="6330" customFormat="1" ht="12.9" customHeight="1"/>
    <row r="73" spans="1:8" s="6330" customFormat="1" ht="12.9" customHeight="1"/>
    <row r="74" spans="1:8" s="6330" customFormat="1" ht="12.9" customHeight="1" thickBot="1">
      <c r="A74" s="6330" t="s">
        <v>11288</v>
      </c>
    </row>
    <row r="75" spans="1:8" ht="12.9" customHeight="1">
      <c r="A75" s="9675" t="s">
        <v>842</v>
      </c>
      <c r="B75" s="10713" t="s">
        <v>1035</v>
      </c>
      <c r="C75" s="10713" t="s">
        <v>1036</v>
      </c>
      <c r="D75" s="14393" t="s">
        <v>1037</v>
      </c>
      <c r="E75" s="14393"/>
      <c r="F75" s="14394"/>
    </row>
    <row r="76" spans="1:8" ht="12.9" customHeight="1">
      <c r="A76" s="7230" t="s">
        <v>1088</v>
      </c>
      <c r="B76" s="10720" t="s">
        <v>9</v>
      </c>
      <c r="C76" s="10720" t="s">
        <v>1039</v>
      </c>
      <c r="D76" s="10720" t="s">
        <v>10</v>
      </c>
      <c r="E76" s="10720" t="s">
        <v>11</v>
      </c>
      <c r="F76" s="10721" t="s">
        <v>11621</v>
      </c>
    </row>
    <row r="77" spans="1:8" ht="12.9" customHeight="1">
      <c r="A77" s="6230" t="s">
        <v>1075</v>
      </c>
      <c r="B77" s="7174"/>
      <c r="C77" s="7174"/>
      <c r="D77" s="7174"/>
      <c r="E77" s="7174"/>
      <c r="F77" s="7242"/>
    </row>
    <row r="78" spans="1:8" ht="12.9" customHeight="1">
      <c r="A78" s="6230" t="s">
        <v>1102</v>
      </c>
      <c r="B78" s="7174"/>
      <c r="C78" s="7174"/>
      <c r="D78" s="7174"/>
      <c r="E78" s="7174"/>
      <c r="F78" s="7242"/>
    </row>
    <row r="79" spans="1:8" ht="12.9" customHeight="1">
      <c r="A79" s="7231" t="s">
        <v>1103</v>
      </c>
      <c r="B79" s="7172">
        <v>1</v>
      </c>
      <c r="C79" s="7174"/>
      <c r="D79" s="7174"/>
      <c r="E79" s="7174"/>
      <c r="F79" s="7242"/>
    </row>
    <row r="80" spans="1:8" ht="12.9" customHeight="1">
      <c r="A80" s="7231" t="s">
        <v>1078</v>
      </c>
      <c r="B80" s="7172">
        <v>2</v>
      </c>
      <c r="C80" s="7174"/>
      <c r="D80" s="9694"/>
      <c r="E80" s="7174"/>
      <c r="F80" s="7242"/>
    </row>
    <row r="81" spans="1:6" ht="12.9" customHeight="1">
      <c r="A81" s="7231" t="s">
        <v>1079</v>
      </c>
      <c r="B81" s="7172"/>
      <c r="C81" s="7174"/>
      <c r="D81" s="7174"/>
      <c r="E81" s="7174"/>
      <c r="F81" s="7242"/>
    </row>
    <row r="82" spans="1:6" ht="12.9" customHeight="1">
      <c r="A82" s="7231" t="s">
        <v>168</v>
      </c>
      <c r="B82" s="7174"/>
      <c r="C82" s="7174"/>
      <c r="D82" s="7174"/>
      <c r="E82" s="7174"/>
      <c r="F82" s="7242"/>
    </row>
    <row r="83" spans="1:6" ht="12.9" customHeight="1">
      <c r="A83" s="7231" t="s">
        <v>1080</v>
      </c>
      <c r="B83" s="7174"/>
      <c r="C83" s="7174"/>
      <c r="D83" s="7174"/>
      <c r="E83" s="7174"/>
      <c r="F83" s="7242"/>
    </row>
    <row r="84" spans="1:6" ht="12.9" customHeight="1">
      <c r="A84" s="7231" t="s">
        <v>1104</v>
      </c>
      <c r="B84" s="7174"/>
      <c r="C84" s="7174"/>
      <c r="D84" s="7174"/>
      <c r="E84" s="7174"/>
      <c r="F84" s="7242"/>
    </row>
    <row r="85" spans="1:6" ht="12.9" customHeight="1">
      <c r="A85" s="7231" t="s">
        <v>1105</v>
      </c>
      <c r="B85" s="7174"/>
      <c r="C85" s="7174"/>
      <c r="D85" s="7174"/>
      <c r="E85" s="7174"/>
      <c r="F85" s="7242"/>
    </row>
    <row r="86" spans="1:6" ht="12.9" customHeight="1">
      <c r="A86" s="7231"/>
      <c r="B86" s="7174"/>
      <c r="C86" s="7174"/>
      <c r="D86" s="7174"/>
      <c r="E86" s="7174"/>
      <c r="F86" s="7242"/>
    </row>
    <row r="87" spans="1:6" ht="12.9" customHeight="1">
      <c r="A87" s="6230" t="s">
        <v>1083</v>
      </c>
      <c r="B87" s="9676"/>
      <c r="C87" s="9676"/>
      <c r="D87" s="9676"/>
      <c r="E87" s="9676"/>
      <c r="F87" s="9744"/>
    </row>
    <row r="88" spans="1:6" ht="12.9" customHeight="1">
      <c r="A88" s="6230"/>
      <c r="B88" s="7174"/>
      <c r="C88" s="7174"/>
      <c r="D88" s="7174"/>
      <c r="E88" s="7174"/>
      <c r="F88" s="7242"/>
    </row>
    <row r="89" spans="1:6" ht="12.9" customHeight="1">
      <c r="A89" s="7231" t="s">
        <v>1106</v>
      </c>
      <c r="B89" s="7174"/>
      <c r="C89" s="7174"/>
      <c r="D89" s="7174"/>
      <c r="E89" s="7174"/>
      <c r="F89" s="7242"/>
    </row>
    <row r="90" spans="1:6" ht="12.9" customHeight="1" thickBot="1">
      <c r="A90" s="7231"/>
      <c r="B90" s="7174"/>
      <c r="C90" s="7174"/>
      <c r="D90" s="7174"/>
      <c r="E90" s="7174"/>
      <c r="F90" s="7242"/>
    </row>
    <row r="91" spans="1:6" ht="12.9" customHeight="1">
      <c r="A91" s="7248"/>
      <c r="B91" s="9665"/>
      <c r="C91" s="9665"/>
      <c r="D91" s="9665"/>
      <c r="E91" s="9665"/>
      <c r="F91" s="9729"/>
    </row>
    <row r="92" spans="1:6" ht="12.9" customHeight="1">
      <c r="A92" s="6230" t="s">
        <v>1086</v>
      </c>
      <c r="B92" s="10751"/>
      <c r="C92" s="10751"/>
      <c r="D92" s="10751"/>
      <c r="E92" s="10751"/>
      <c r="F92" s="7242"/>
    </row>
    <row r="93" spans="1:6" ht="12.9" customHeight="1" thickBot="1">
      <c r="A93" s="7235"/>
      <c r="B93" s="9758"/>
      <c r="C93" s="9758"/>
      <c r="D93" s="9758"/>
      <c r="E93" s="9758"/>
      <c r="F93" s="9759"/>
    </row>
  </sheetData>
  <mergeCells count="3">
    <mergeCell ref="D5:F5"/>
    <mergeCell ref="D75:F75"/>
    <mergeCell ref="A1:F1"/>
  </mergeCells>
  <pageMargins left="0.25" right="0.25" top="0.5" bottom="0.5" header="0.3" footer="0.3"/>
  <pageSetup paperSize="136" firstPageNumber="198" orientation="portrait" useFirstPageNumber="1" r:id="rId1"/>
  <headerFooter alignWithMargins="0"/>
</worksheet>
</file>

<file path=xl/worksheets/sheet102.xml><?xml version="1.0" encoding="utf-8"?>
<worksheet xmlns="http://schemas.openxmlformats.org/spreadsheetml/2006/main" xmlns:r="http://schemas.openxmlformats.org/officeDocument/2006/relationships">
  <sheetPr codeName="Sheet73">
    <tabColor theme="8" tint="-0.249977111117893"/>
  </sheetPr>
  <dimension ref="A1:P113"/>
  <sheetViews>
    <sheetView showGridLines="0" topLeftCell="B97" workbookViewId="0">
      <selection activeCell="J97" sqref="J1:Q1048576"/>
    </sheetView>
  </sheetViews>
  <sheetFormatPr defaultRowHeight="15" customHeight="1"/>
  <cols>
    <col min="1" max="1" width="3.88671875" style="7508" customWidth="1"/>
    <col min="2" max="2" width="55.5546875" style="7508" customWidth="1"/>
    <col min="3" max="3" width="12.5546875" style="9336" customWidth="1"/>
    <col min="4" max="7" width="15.5546875" style="7599" customWidth="1"/>
    <col min="8" max="8" width="13.6640625" style="7599" hidden="1" customWidth="1"/>
    <col min="9" max="9" width="7.6640625" style="7348" hidden="1" customWidth="1"/>
    <col min="10" max="10" width="15.5546875" style="7599" customWidth="1"/>
    <col min="11" max="11" width="17.44140625" style="7310" customWidth="1"/>
    <col min="12" max="12" width="7.44140625" style="7310" customWidth="1"/>
    <col min="13" max="13" width="15.44140625" style="7508" customWidth="1"/>
    <col min="14" max="14" width="7.109375" style="7749" customWidth="1"/>
    <col min="15" max="16" width="12.44140625" style="7508" customWidth="1"/>
    <col min="17" max="257" width="9.109375" style="7508"/>
    <col min="258" max="258" width="3.88671875" style="7508" customWidth="1"/>
    <col min="259" max="259" width="38.44140625" style="7508" customWidth="1"/>
    <col min="260" max="260" width="12" style="7508" customWidth="1"/>
    <col min="261" max="261" width="15.109375" style="7508" customWidth="1"/>
    <col min="262" max="262" width="15" style="7508" customWidth="1"/>
    <col min="263" max="263" width="16.44140625" style="7508" customWidth="1"/>
    <col min="264" max="513" width="9.109375" style="7508"/>
    <col min="514" max="514" width="3.88671875" style="7508" customWidth="1"/>
    <col min="515" max="515" width="38.44140625" style="7508" customWidth="1"/>
    <col min="516" max="516" width="12" style="7508" customWidth="1"/>
    <col min="517" max="517" width="15.109375" style="7508" customWidth="1"/>
    <col min="518" max="518" width="15" style="7508" customWidth="1"/>
    <col min="519" max="519" width="16.44140625" style="7508" customWidth="1"/>
    <col min="520" max="769" width="9.109375" style="7508"/>
    <col min="770" max="770" width="3.88671875" style="7508" customWidth="1"/>
    <col min="771" max="771" width="38.44140625" style="7508" customWidth="1"/>
    <col min="772" max="772" width="12" style="7508" customWidth="1"/>
    <col min="773" max="773" width="15.109375" style="7508" customWidth="1"/>
    <col min="774" max="774" width="15" style="7508" customWidth="1"/>
    <col min="775" max="775" width="16.44140625" style="7508" customWidth="1"/>
    <col min="776" max="1025" width="9.109375" style="7508"/>
    <col min="1026" max="1026" width="3.88671875" style="7508" customWidth="1"/>
    <col min="1027" max="1027" width="38.44140625" style="7508" customWidth="1"/>
    <col min="1028" max="1028" width="12" style="7508" customWidth="1"/>
    <col min="1029" max="1029" width="15.109375" style="7508" customWidth="1"/>
    <col min="1030" max="1030" width="15" style="7508" customWidth="1"/>
    <col min="1031" max="1031" width="16.44140625" style="7508" customWidth="1"/>
    <col min="1032" max="1281" width="9.109375" style="7508"/>
    <col min="1282" max="1282" width="3.88671875" style="7508" customWidth="1"/>
    <col min="1283" max="1283" width="38.44140625" style="7508" customWidth="1"/>
    <col min="1284" max="1284" width="12" style="7508" customWidth="1"/>
    <col min="1285" max="1285" width="15.109375" style="7508" customWidth="1"/>
    <col min="1286" max="1286" width="15" style="7508" customWidth="1"/>
    <col min="1287" max="1287" width="16.44140625" style="7508" customWidth="1"/>
    <col min="1288" max="1537" width="9.109375" style="7508"/>
    <col min="1538" max="1538" width="3.88671875" style="7508" customWidth="1"/>
    <col min="1539" max="1539" width="38.44140625" style="7508" customWidth="1"/>
    <col min="1540" max="1540" width="12" style="7508" customWidth="1"/>
    <col min="1541" max="1541" width="15.109375" style="7508" customWidth="1"/>
    <col min="1542" max="1542" width="15" style="7508" customWidth="1"/>
    <col min="1543" max="1543" width="16.44140625" style="7508" customWidth="1"/>
    <col min="1544" max="1793" width="9.109375" style="7508"/>
    <col min="1794" max="1794" width="3.88671875" style="7508" customWidth="1"/>
    <col min="1795" max="1795" width="38.44140625" style="7508" customWidth="1"/>
    <col min="1796" max="1796" width="12" style="7508" customWidth="1"/>
    <col min="1797" max="1797" width="15.109375" style="7508" customWidth="1"/>
    <col min="1798" max="1798" width="15" style="7508" customWidth="1"/>
    <col min="1799" max="1799" width="16.44140625" style="7508" customWidth="1"/>
    <col min="1800" max="2049" width="9.109375" style="7508"/>
    <col min="2050" max="2050" width="3.88671875" style="7508" customWidth="1"/>
    <col min="2051" max="2051" width="38.44140625" style="7508" customWidth="1"/>
    <col min="2052" max="2052" width="12" style="7508" customWidth="1"/>
    <col min="2053" max="2053" width="15.109375" style="7508" customWidth="1"/>
    <col min="2054" max="2054" width="15" style="7508" customWidth="1"/>
    <col min="2055" max="2055" width="16.44140625" style="7508" customWidth="1"/>
    <col min="2056" max="2305" width="9.109375" style="7508"/>
    <col min="2306" max="2306" width="3.88671875" style="7508" customWidth="1"/>
    <col min="2307" max="2307" width="38.44140625" style="7508" customWidth="1"/>
    <col min="2308" max="2308" width="12" style="7508" customWidth="1"/>
    <col min="2309" max="2309" width="15.109375" style="7508" customWidth="1"/>
    <col min="2310" max="2310" width="15" style="7508" customWidth="1"/>
    <col min="2311" max="2311" width="16.44140625" style="7508" customWidth="1"/>
    <col min="2312" max="2561" width="9.109375" style="7508"/>
    <col min="2562" max="2562" width="3.88671875" style="7508" customWidth="1"/>
    <col min="2563" max="2563" width="38.44140625" style="7508" customWidth="1"/>
    <col min="2564" max="2564" width="12" style="7508" customWidth="1"/>
    <col min="2565" max="2565" width="15.109375" style="7508" customWidth="1"/>
    <col min="2566" max="2566" width="15" style="7508" customWidth="1"/>
    <col min="2567" max="2567" width="16.44140625" style="7508" customWidth="1"/>
    <col min="2568" max="2817" width="9.109375" style="7508"/>
    <col min="2818" max="2818" width="3.88671875" style="7508" customWidth="1"/>
    <col min="2819" max="2819" width="38.44140625" style="7508" customWidth="1"/>
    <col min="2820" max="2820" width="12" style="7508" customWidth="1"/>
    <col min="2821" max="2821" width="15.109375" style="7508" customWidth="1"/>
    <col min="2822" max="2822" width="15" style="7508" customWidth="1"/>
    <col min="2823" max="2823" width="16.44140625" style="7508" customWidth="1"/>
    <col min="2824" max="3073" width="9.109375" style="7508"/>
    <col min="3074" max="3074" width="3.88671875" style="7508" customWidth="1"/>
    <col min="3075" max="3075" width="38.44140625" style="7508" customWidth="1"/>
    <col min="3076" max="3076" width="12" style="7508" customWidth="1"/>
    <col min="3077" max="3077" width="15.109375" style="7508" customWidth="1"/>
    <col min="3078" max="3078" width="15" style="7508" customWidth="1"/>
    <col min="3079" max="3079" width="16.44140625" style="7508" customWidth="1"/>
    <col min="3080" max="3329" width="9.109375" style="7508"/>
    <col min="3330" max="3330" width="3.88671875" style="7508" customWidth="1"/>
    <col min="3331" max="3331" width="38.44140625" style="7508" customWidth="1"/>
    <col min="3332" max="3332" width="12" style="7508" customWidth="1"/>
    <col min="3333" max="3333" width="15.109375" style="7508" customWidth="1"/>
    <col min="3334" max="3334" width="15" style="7508" customWidth="1"/>
    <col min="3335" max="3335" width="16.44140625" style="7508" customWidth="1"/>
    <col min="3336" max="3585" width="9.109375" style="7508"/>
    <col min="3586" max="3586" width="3.88671875" style="7508" customWidth="1"/>
    <col min="3587" max="3587" width="38.44140625" style="7508" customWidth="1"/>
    <col min="3588" max="3588" width="12" style="7508" customWidth="1"/>
    <col min="3589" max="3589" width="15.109375" style="7508" customWidth="1"/>
    <col min="3590" max="3590" width="15" style="7508" customWidth="1"/>
    <col min="3591" max="3591" width="16.44140625" style="7508" customWidth="1"/>
    <col min="3592" max="3841" width="9.109375" style="7508"/>
    <col min="3842" max="3842" width="3.88671875" style="7508" customWidth="1"/>
    <col min="3843" max="3843" width="38.44140625" style="7508" customWidth="1"/>
    <col min="3844" max="3844" width="12" style="7508" customWidth="1"/>
    <col min="3845" max="3845" width="15.109375" style="7508" customWidth="1"/>
    <col min="3846" max="3846" width="15" style="7508" customWidth="1"/>
    <col min="3847" max="3847" width="16.44140625" style="7508" customWidth="1"/>
    <col min="3848" max="4097" width="9.109375" style="7508"/>
    <col min="4098" max="4098" width="3.88671875" style="7508" customWidth="1"/>
    <col min="4099" max="4099" width="38.44140625" style="7508" customWidth="1"/>
    <col min="4100" max="4100" width="12" style="7508" customWidth="1"/>
    <col min="4101" max="4101" width="15.109375" style="7508" customWidth="1"/>
    <col min="4102" max="4102" width="15" style="7508" customWidth="1"/>
    <col min="4103" max="4103" width="16.44140625" style="7508" customWidth="1"/>
    <col min="4104" max="4353" width="9.109375" style="7508"/>
    <col min="4354" max="4354" width="3.88671875" style="7508" customWidth="1"/>
    <col min="4355" max="4355" width="38.44140625" style="7508" customWidth="1"/>
    <col min="4356" max="4356" width="12" style="7508" customWidth="1"/>
    <col min="4357" max="4357" width="15.109375" style="7508" customWidth="1"/>
    <col min="4358" max="4358" width="15" style="7508" customWidth="1"/>
    <col min="4359" max="4359" width="16.44140625" style="7508" customWidth="1"/>
    <col min="4360" max="4609" width="9.109375" style="7508"/>
    <col min="4610" max="4610" width="3.88671875" style="7508" customWidth="1"/>
    <col min="4611" max="4611" width="38.44140625" style="7508" customWidth="1"/>
    <col min="4612" max="4612" width="12" style="7508" customWidth="1"/>
    <col min="4613" max="4613" width="15.109375" style="7508" customWidth="1"/>
    <col min="4614" max="4614" width="15" style="7508" customWidth="1"/>
    <col min="4615" max="4615" width="16.44140625" style="7508" customWidth="1"/>
    <col min="4616" max="4865" width="9.109375" style="7508"/>
    <col min="4866" max="4866" width="3.88671875" style="7508" customWidth="1"/>
    <col min="4867" max="4867" width="38.44140625" style="7508" customWidth="1"/>
    <col min="4868" max="4868" width="12" style="7508" customWidth="1"/>
    <col min="4869" max="4869" width="15.109375" style="7508" customWidth="1"/>
    <col min="4870" max="4870" width="15" style="7508" customWidth="1"/>
    <col min="4871" max="4871" width="16.44140625" style="7508" customWidth="1"/>
    <col min="4872" max="5121" width="9.109375" style="7508"/>
    <col min="5122" max="5122" width="3.88671875" style="7508" customWidth="1"/>
    <col min="5123" max="5123" width="38.44140625" style="7508" customWidth="1"/>
    <col min="5124" max="5124" width="12" style="7508" customWidth="1"/>
    <col min="5125" max="5125" width="15.109375" style="7508" customWidth="1"/>
    <col min="5126" max="5126" width="15" style="7508" customWidth="1"/>
    <col min="5127" max="5127" width="16.44140625" style="7508" customWidth="1"/>
    <col min="5128" max="5377" width="9.109375" style="7508"/>
    <col min="5378" max="5378" width="3.88671875" style="7508" customWidth="1"/>
    <col min="5379" max="5379" width="38.44140625" style="7508" customWidth="1"/>
    <col min="5380" max="5380" width="12" style="7508" customWidth="1"/>
    <col min="5381" max="5381" width="15.109375" style="7508" customWidth="1"/>
    <col min="5382" max="5382" width="15" style="7508" customWidth="1"/>
    <col min="5383" max="5383" width="16.44140625" style="7508" customWidth="1"/>
    <col min="5384" max="5633" width="9.109375" style="7508"/>
    <col min="5634" max="5634" width="3.88671875" style="7508" customWidth="1"/>
    <col min="5635" max="5635" width="38.44140625" style="7508" customWidth="1"/>
    <col min="5636" max="5636" width="12" style="7508" customWidth="1"/>
    <col min="5637" max="5637" width="15.109375" style="7508" customWidth="1"/>
    <col min="5638" max="5638" width="15" style="7508" customWidth="1"/>
    <col min="5639" max="5639" width="16.44140625" style="7508" customWidth="1"/>
    <col min="5640" max="5889" width="9.109375" style="7508"/>
    <col min="5890" max="5890" width="3.88671875" style="7508" customWidth="1"/>
    <col min="5891" max="5891" width="38.44140625" style="7508" customWidth="1"/>
    <col min="5892" max="5892" width="12" style="7508" customWidth="1"/>
    <col min="5893" max="5893" width="15.109375" style="7508" customWidth="1"/>
    <col min="5894" max="5894" width="15" style="7508" customWidth="1"/>
    <col min="5895" max="5895" width="16.44140625" style="7508" customWidth="1"/>
    <col min="5896" max="6145" width="9.109375" style="7508"/>
    <col min="6146" max="6146" width="3.88671875" style="7508" customWidth="1"/>
    <col min="6147" max="6147" width="38.44140625" style="7508" customWidth="1"/>
    <col min="6148" max="6148" width="12" style="7508" customWidth="1"/>
    <col min="6149" max="6149" width="15.109375" style="7508" customWidth="1"/>
    <col min="6150" max="6150" width="15" style="7508" customWidth="1"/>
    <col min="6151" max="6151" width="16.44140625" style="7508" customWidth="1"/>
    <col min="6152" max="6401" width="9.109375" style="7508"/>
    <col min="6402" max="6402" width="3.88671875" style="7508" customWidth="1"/>
    <col min="6403" max="6403" width="38.44140625" style="7508" customWidth="1"/>
    <col min="6404" max="6404" width="12" style="7508" customWidth="1"/>
    <col min="6405" max="6405" width="15.109375" style="7508" customWidth="1"/>
    <col min="6406" max="6406" width="15" style="7508" customWidth="1"/>
    <col min="6407" max="6407" width="16.44140625" style="7508" customWidth="1"/>
    <col min="6408" max="6657" width="9.109375" style="7508"/>
    <col min="6658" max="6658" width="3.88671875" style="7508" customWidth="1"/>
    <col min="6659" max="6659" width="38.44140625" style="7508" customWidth="1"/>
    <col min="6660" max="6660" width="12" style="7508" customWidth="1"/>
    <col min="6661" max="6661" width="15.109375" style="7508" customWidth="1"/>
    <col min="6662" max="6662" width="15" style="7508" customWidth="1"/>
    <col min="6663" max="6663" width="16.44140625" style="7508" customWidth="1"/>
    <col min="6664" max="6913" width="9.109375" style="7508"/>
    <col min="6914" max="6914" width="3.88671875" style="7508" customWidth="1"/>
    <col min="6915" max="6915" width="38.44140625" style="7508" customWidth="1"/>
    <col min="6916" max="6916" width="12" style="7508" customWidth="1"/>
    <col min="6917" max="6917" width="15.109375" style="7508" customWidth="1"/>
    <col min="6918" max="6918" width="15" style="7508" customWidth="1"/>
    <col min="6919" max="6919" width="16.44140625" style="7508" customWidth="1"/>
    <col min="6920" max="7169" width="9.109375" style="7508"/>
    <col min="7170" max="7170" width="3.88671875" style="7508" customWidth="1"/>
    <col min="7171" max="7171" width="38.44140625" style="7508" customWidth="1"/>
    <col min="7172" max="7172" width="12" style="7508" customWidth="1"/>
    <col min="7173" max="7173" width="15.109375" style="7508" customWidth="1"/>
    <col min="7174" max="7174" width="15" style="7508" customWidth="1"/>
    <col min="7175" max="7175" width="16.44140625" style="7508" customWidth="1"/>
    <col min="7176" max="7425" width="9.109375" style="7508"/>
    <col min="7426" max="7426" width="3.88671875" style="7508" customWidth="1"/>
    <col min="7427" max="7427" width="38.44140625" style="7508" customWidth="1"/>
    <col min="7428" max="7428" width="12" style="7508" customWidth="1"/>
    <col min="7429" max="7429" width="15.109375" style="7508" customWidth="1"/>
    <col min="7430" max="7430" width="15" style="7508" customWidth="1"/>
    <col min="7431" max="7431" width="16.44140625" style="7508" customWidth="1"/>
    <col min="7432" max="7681" width="9.109375" style="7508"/>
    <col min="7682" max="7682" width="3.88671875" style="7508" customWidth="1"/>
    <col min="7683" max="7683" width="38.44140625" style="7508" customWidth="1"/>
    <col min="7684" max="7684" width="12" style="7508" customWidth="1"/>
    <col min="7685" max="7685" width="15.109375" style="7508" customWidth="1"/>
    <col min="7686" max="7686" width="15" style="7508" customWidth="1"/>
    <col min="7687" max="7687" width="16.44140625" style="7508" customWidth="1"/>
    <col min="7688" max="7937" width="9.109375" style="7508"/>
    <col min="7938" max="7938" width="3.88671875" style="7508" customWidth="1"/>
    <col min="7939" max="7939" width="38.44140625" style="7508" customWidth="1"/>
    <col min="7940" max="7940" width="12" style="7508" customWidth="1"/>
    <col min="7941" max="7941" width="15.109375" style="7508" customWidth="1"/>
    <col min="7942" max="7942" width="15" style="7508" customWidth="1"/>
    <col min="7943" max="7943" width="16.44140625" style="7508" customWidth="1"/>
    <col min="7944" max="8193" width="9.109375" style="7508"/>
    <col min="8194" max="8194" width="3.88671875" style="7508" customWidth="1"/>
    <col min="8195" max="8195" width="38.44140625" style="7508" customWidth="1"/>
    <col min="8196" max="8196" width="12" style="7508" customWidth="1"/>
    <col min="8197" max="8197" width="15.109375" style="7508" customWidth="1"/>
    <col min="8198" max="8198" width="15" style="7508" customWidth="1"/>
    <col min="8199" max="8199" width="16.44140625" style="7508" customWidth="1"/>
    <col min="8200" max="8449" width="9.109375" style="7508"/>
    <col min="8450" max="8450" width="3.88671875" style="7508" customWidth="1"/>
    <col min="8451" max="8451" width="38.44140625" style="7508" customWidth="1"/>
    <col min="8452" max="8452" width="12" style="7508" customWidth="1"/>
    <col min="8453" max="8453" width="15.109375" style="7508" customWidth="1"/>
    <col min="8454" max="8454" width="15" style="7508" customWidth="1"/>
    <col min="8455" max="8455" width="16.44140625" style="7508" customWidth="1"/>
    <col min="8456" max="8705" width="9.109375" style="7508"/>
    <col min="8706" max="8706" width="3.88671875" style="7508" customWidth="1"/>
    <col min="8707" max="8707" width="38.44140625" style="7508" customWidth="1"/>
    <col min="8708" max="8708" width="12" style="7508" customWidth="1"/>
    <col min="8709" max="8709" width="15.109375" style="7508" customWidth="1"/>
    <col min="8710" max="8710" width="15" style="7508" customWidth="1"/>
    <col min="8711" max="8711" width="16.44140625" style="7508" customWidth="1"/>
    <col min="8712" max="8961" width="9.109375" style="7508"/>
    <col min="8962" max="8962" width="3.88671875" style="7508" customWidth="1"/>
    <col min="8963" max="8963" width="38.44140625" style="7508" customWidth="1"/>
    <col min="8964" max="8964" width="12" style="7508" customWidth="1"/>
    <col min="8965" max="8965" width="15.109375" style="7508" customWidth="1"/>
    <col min="8966" max="8966" width="15" style="7508" customWidth="1"/>
    <col min="8967" max="8967" width="16.44140625" style="7508" customWidth="1"/>
    <col min="8968" max="9217" width="9.109375" style="7508"/>
    <col min="9218" max="9218" width="3.88671875" style="7508" customWidth="1"/>
    <col min="9219" max="9219" width="38.44140625" style="7508" customWidth="1"/>
    <col min="9220" max="9220" width="12" style="7508" customWidth="1"/>
    <col min="9221" max="9221" width="15.109375" style="7508" customWidth="1"/>
    <col min="9222" max="9222" width="15" style="7508" customWidth="1"/>
    <col min="9223" max="9223" width="16.44140625" style="7508" customWidth="1"/>
    <col min="9224" max="9473" width="9.109375" style="7508"/>
    <col min="9474" max="9474" width="3.88671875" style="7508" customWidth="1"/>
    <col min="9475" max="9475" width="38.44140625" style="7508" customWidth="1"/>
    <col min="9476" max="9476" width="12" style="7508" customWidth="1"/>
    <col min="9477" max="9477" width="15.109375" style="7508" customWidth="1"/>
    <col min="9478" max="9478" width="15" style="7508" customWidth="1"/>
    <col min="9479" max="9479" width="16.44140625" style="7508" customWidth="1"/>
    <col min="9480" max="9729" width="9.109375" style="7508"/>
    <col min="9730" max="9730" width="3.88671875" style="7508" customWidth="1"/>
    <col min="9731" max="9731" width="38.44140625" style="7508" customWidth="1"/>
    <col min="9732" max="9732" width="12" style="7508" customWidth="1"/>
    <col min="9733" max="9733" width="15.109375" style="7508" customWidth="1"/>
    <col min="9734" max="9734" width="15" style="7508" customWidth="1"/>
    <col min="9735" max="9735" width="16.44140625" style="7508" customWidth="1"/>
    <col min="9736" max="9985" width="9.109375" style="7508"/>
    <col min="9986" max="9986" width="3.88671875" style="7508" customWidth="1"/>
    <col min="9987" max="9987" width="38.44140625" style="7508" customWidth="1"/>
    <col min="9988" max="9988" width="12" style="7508" customWidth="1"/>
    <col min="9989" max="9989" width="15.109375" style="7508" customWidth="1"/>
    <col min="9990" max="9990" width="15" style="7508" customWidth="1"/>
    <col min="9991" max="9991" width="16.44140625" style="7508" customWidth="1"/>
    <col min="9992" max="10241" width="9.109375" style="7508"/>
    <col min="10242" max="10242" width="3.88671875" style="7508" customWidth="1"/>
    <col min="10243" max="10243" width="38.44140625" style="7508" customWidth="1"/>
    <col min="10244" max="10244" width="12" style="7508" customWidth="1"/>
    <col min="10245" max="10245" width="15.109375" style="7508" customWidth="1"/>
    <col min="10246" max="10246" width="15" style="7508" customWidth="1"/>
    <col min="10247" max="10247" width="16.44140625" style="7508" customWidth="1"/>
    <col min="10248" max="10497" width="9.109375" style="7508"/>
    <col min="10498" max="10498" width="3.88671875" style="7508" customWidth="1"/>
    <col min="10499" max="10499" width="38.44140625" style="7508" customWidth="1"/>
    <col min="10500" max="10500" width="12" style="7508" customWidth="1"/>
    <col min="10501" max="10501" width="15.109375" style="7508" customWidth="1"/>
    <col min="10502" max="10502" width="15" style="7508" customWidth="1"/>
    <col min="10503" max="10503" width="16.44140625" style="7508" customWidth="1"/>
    <col min="10504" max="10753" width="9.109375" style="7508"/>
    <col min="10754" max="10754" width="3.88671875" style="7508" customWidth="1"/>
    <col min="10755" max="10755" width="38.44140625" style="7508" customWidth="1"/>
    <col min="10756" max="10756" width="12" style="7508" customWidth="1"/>
    <col min="10757" max="10757" width="15.109375" style="7508" customWidth="1"/>
    <col min="10758" max="10758" width="15" style="7508" customWidth="1"/>
    <col min="10759" max="10759" width="16.44140625" style="7508" customWidth="1"/>
    <col min="10760" max="11009" width="9.109375" style="7508"/>
    <col min="11010" max="11010" width="3.88671875" style="7508" customWidth="1"/>
    <col min="11011" max="11011" width="38.44140625" style="7508" customWidth="1"/>
    <col min="11012" max="11012" width="12" style="7508" customWidth="1"/>
    <col min="11013" max="11013" width="15.109375" style="7508" customWidth="1"/>
    <col min="11014" max="11014" width="15" style="7508" customWidth="1"/>
    <col min="11015" max="11015" width="16.44140625" style="7508" customWidth="1"/>
    <col min="11016" max="11265" width="9.109375" style="7508"/>
    <col min="11266" max="11266" width="3.88671875" style="7508" customWidth="1"/>
    <col min="11267" max="11267" width="38.44140625" style="7508" customWidth="1"/>
    <col min="11268" max="11268" width="12" style="7508" customWidth="1"/>
    <col min="11269" max="11269" width="15.109375" style="7508" customWidth="1"/>
    <col min="11270" max="11270" width="15" style="7508" customWidth="1"/>
    <col min="11271" max="11271" width="16.44140625" style="7508" customWidth="1"/>
    <col min="11272" max="11521" width="9.109375" style="7508"/>
    <col min="11522" max="11522" width="3.88671875" style="7508" customWidth="1"/>
    <col min="11523" max="11523" width="38.44140625" style="7508" customWidth="1"/>
    <col min="11524" max="11524" width="12" style="7508" customWidth="1"/>
    <col min="11525" max="11525" width="15.109375" style="7508" customWidth="1"/>
    <col min="11526" max="11526" width="15" style="7508" customWidth="1"/>
    <col min="11527" max="11527" width="16.44140625" style="7508" customWidth="1"/>
    <col min="11528" max="11777" width="9.109375" style="7508"/>
    <col min="11778" max="11778" width="3.88671875" style="7508" customWidth="1"/>
    <col min="11779" max="11779" width="38.44140625" style="7508" customWidth="1"/>
    <col min="11780" max="11780" width="12" style="7508" customWidth="1"/>
    <col min="11781" max="11781" width="15.109375" style="7508" customWidth="1"/>
    <col min="11782" max="11782" width="15" style="7508" customWidth="1"/>
    <col min="11783" max="11783" width="16.44140625" style="7508" customWidth="1"/>
    <col min="11784" max="12033" width="9.109375" style="7508"/>
    <col min="12034" max="12034" width="3.88671875" style="7508" customWidth="1"/>
    <col min="12035" max="12035" width="38.44140625" style="7508" customWidth="1"/>
    <col min="12036" max="12036" width="12" style="7508" customWidth="1"/>
    <col min="12037" max="12037" width="15.109375" style="7508" customWidth="1"/>
    <col min="12038" max="12038" width="15" style="7508" customWidth="1"/>
    <col min="12039" max="12039" width="16.44140625" style="7508" customWidth="1"/>
    <col min="12040" max="12289" width="9.109375" style="7508"/>
    <col min="12290" max="12290" width="3.88671875" style="7508" customWidth="1"/>
    <col min="12291" max="12291" width="38.44140625" style="7508" customWidth="1"/>
    <col min="12292" max="12292" width="12" style="7508" customWidth="1"/>
    <col min="12293" max="12293" width="15.109375" style="7508" customWidth="1"/>
    <col min="12294" max="12294" width="15" style="7508" customWidth="1"/>
    <col min="12295" max="12295" width="16.44140625" style="7508" customWidth="1"/>
    <col min="12296" max="12545" width="9.109375" style="7508"/>
    <col min="12546" max="12546" width="3.88671875" style="7508" customWidth="1"/>
    <col min="12547" max="12547" width="38.44140625" style="7508" customWidth="1"/>
    <col min="12548" max="12548" width="12" style="7508" customWidth="1"/>
    <col min="12549" max="12549" width="15.109375" style="7508" customWidth="1"/>
    <col min="12550" max="12550" width="15" style="7508" customWidth="1"/>
    <col min="12551" max="12551" width="16.44140625" style="7508" customWidth="1"/>
    <col min="12552" max="12801" width="9.109375" style="7508"/>
    <col min="12802" max="12802" width="3.88671875" style="7508" customWidth="1"/>
    <col min="12803" max="12803" width="38.44140625" style="7508" customWidth="1"/>
    <col min="12804" max="12804" width="12" style="7508" customWidth="1"/>
    <col min="12805" max="12805" width="15.109375" style="7508" customWidth="1"/>
    <col min="12806" max="12806" width="15" style="7508" customWidth="1"/>
    <col min="12807" max="12807" width="16.44140625" style="7508" customWidth="1"/>
    <col min="12808" max="13057" width="9.109375" style="7508"/>
    <col min="13058" max="13058" width="3.88671875" style="7508" customWidth="1"/>
    <col min="13059" max="13059" width="38.44140625" style="7508" customWidth="1"/>
    <col min="13060" max="13060" width="12" style="7508" customWidth="1"/>
    <col min="13061" max="13061" width="15.109375" style="7508" customWidth="1"/>
    <col min="13062" max="13062" width="15" style="7508" customWidth="1"/>
    <col min="13063" max="13063" width="16.44140625" style="7508" customWidth="1"/>
    <col min="13064" max="13313" width="9.109375" style="7508"/>
    <col min="13314" max="13314" width="3.88671875" style="7508" customWidth="1"/>
    <col min="13315" max="13315" width="38.44140625" style="7508" customWidth="1"/>
    <col min="13316" max="13316" width="12" style="7508" customWidth="1"/>
    <col min="13317" max="13317" width="15.109375" style="7508" customWidth="1"/>
    <col min="13318" max="13318" width="15" style="7508" customWidth="1"/>
    <col min="13319" max="13319" width="16.44140625" style="7508" customWidth="1"/>
    <col min="13320" max="13569" width="9.109375" style="7508"/>
    <col min="13570" max="13570" width="3.88671875" style="7508" customWidth="1"/>
    <col min="13571" max="13571" width="38.44140625" style="7508" customWidth="1"/>
    <col min="13572" max="13572" width="12" style="7508" customWidth="1"/>
    <col min="13573" max="13573" width="15.109375" style="7508" customWidth="1"/>
    <col min="13574" max="13574" width="15" style="7508" customWidth="1"/>
    <col min="13575" max="13575" width="16.44140625" style="7508" customWidth="1"/>
    <col min="13576" max="13825" width="9.109375" style="7508"/>
    <col min="13826" max="13826" width="3.88671875" style="7508" customWidth="1"/>
    <col min="13827" max="13827" width="38.44140625" style="7508" customWidth="1"/>
    <col min="13828" max="13828" width="12" style="7508" customWidth="1"/>
    <col min="13829" max="13829" width="15.109375" style="7508" customWidth="1"/>
    <col min="13830" max="13830" width="15" style="7508" customWidth="1"/>
    <col min="13831" max="13831" width="16.44140625" style="7508" customWidth="1"/>
    <col min="13832" max="14081" width="9.109375" style="7508"/>
    <col min="14082" max="14082" width="3.88671875" style="7508" customWidth="1"/>
    <col min="14083" max="14083" width="38.44140625" style="7508" customWidth="1"/>
    <col min="14084" max="14084" width="12" style="7508" customWidth="1"/>
    <col min="14085" max="14085" width="15.109375" style="7508" customWidth="1"/>
    <col min="14086" max="14086" width="15" style="7508" customWidth="1"/>
    <col min="14087" max="14087" width="16.44140625" style="7508" customWidth="1"/>
    <col min="14088" max="14337" width="9.109375" style="7508"/>
    <col min="14338" max="14338" width="3.88671875" style="7508" customWidth="1"/>
    <col min="14339" max="14339" width="38.44140625" style="7508" customWidth="1"/>
    <col min="14340" max="14340" width="12" style="7508" customWidth="1"/>
    <col min="14341" max="14341" width="15.109375" style="7508" customWidth="1"/>
    <col min="14342" max="14342" width="15" style="7508" customWidth="1"/>
    <col min="14343" max="14343" width="16.44140625" style="7508" customWidth="1"/>
    <col min="14344" max="14593" width="9.109375" style="7508"/>
    <col min="14594" max="14594" width="3.88671875" style="7508" customWidth="1"/>
    <col min="14595" max="14595" width="38.44140625" style="7508" customWidth="1"/>
    <col min="14596" max="14596" width="12" style="7508" customWidth="1"/>
    <col min="14597" max="14597" width="15.109375" style="7508" customWidth="1"/>
    <col min="14598" max="14598" width="15" style="7508" customWidth="1"/>
    <col min="14599" max="14599" width="16.44140625" style="7508" customWidth="1"/>
    <col min="14600" max="14849" width="9.109375" style="7508"/>
    <col min="14850" max="14850" width="3.88671875" style="7508" customWidth="1"/>
    <col min="14851" max="14851" width="38.44140625" style="7508" customWidth="1"/>
    <col min="14852" max="14852" width="12" style="7508" customWidth="1"/>
    <col min="14853" max="14853" width="15.109375" style="7508" customWidth="1"/>
    <col min="14854" max="14854" width="15" style="7508" customWidth="1"/>
    <col min="14855" max="14855" width="16.44140625" style="7508" customWidth="1"/>
    <col min="14856" max="15105" width="9.109375" style="7508"/>
    <col min="15106" max="15106" width="3.88671875" style="7508" customWidth="1"/>
    <col min="15107" max="15107" width="38.44140625" style="7508" customWidth="1"/>
    <col min="15108" max="15108" width="12" style="7508" customWidth="1"/>
    <col min="15109" max="15109" width="15.109375" style="7508" customWidth="1"/>
    <col min="15110" max="15110" width="15" style="7508" customWidth="1"/>
    <col min="15111" max="15111" width="16.44140625" style="7508" customWidth="1"/>
    <col min="15112" max="15361" width="9.109375" style="7508"/>
    <col min="15362" max="15362" width="3.88671875" style="7508" customWidth="1"/>
    <col min="15363" max="15363" width="38.44140625" style="7508" customWidth="1"/>
    <col min="15364" max="15364" width="12" style="7508" customWidth="1"/>
    <col min="15365" max="15365" width="15.109375" style="7508" customWidth="1"/>
    <col min="15366" max="15366" width="15" style="7508" customWidth="1"/>
    <col min="15367" max="15367" width="16.44140625" style="7508" customWidth="1"/>
    <col min="15368" max="15617" width="9.109375" style="7508"/>
    <col min="15618" max="15618" width="3.88671875" style="7508" customWidth="1"/>
    <col min="15619" max="15619" width="38.44140625" style="7508" customWidth="1"/>
    <col min="15620" max="15620" width="12" style="7508" customWidth="1"/>
    <col min="15621" max="15621" width="15.109375" style="7508" customWidth="1"/>
    <col min="15622" max="15622" width="15" style="7508" customWidth="1"/>
    <col min="15623" max="15623" width="16.44140625" style="7508" customWidth="1"/>
    <col min="15624" max="15873" width="9.109375" style="7508"/>
    <col min="15874" max="15874" width="3.88671875" style="7508" customWidth="1"/>
    <col min="15875" max="15875" width="38.44140625" style="7508" customWidth="1"/>
    <col min="15876" max="15876" width="12" style="7508" customWidth="1"/>
    <col min="15877" max="15877" width="15.109375" style="7508" customWidth="1"/>
    <col min="15878" max="15878" width="15" style="7508" customWidth="1"/>
    <col min="15879" max="15879" width="16.44140625" style="7508" customWidth="1"/>
    <col min="15880" max="16129" width="9.109375" style="7508"/>
    <col min="16130" max="16130" width="3.88671875" style="7508" customWidth="1"/>
    <col min="16131" max="16131" width="38.44140625" style="7508" customWidth="1"/>
    <col min="16132" max="16132" width="12" style="7508" customWidth="1"/>
    <col min="16133" max="16133" width="15.109375" style="7508" customWidth="1"/>
    <col min="16134" max="16134" width="15" style="7508" customWidth="1"/>
    <col min="16135" max="16135" width="16.44140625" style="7508" customWidth="1"/>
    <col min="16136" max="16384" width="9.109375" style="7508"/>
  </cols>
  <sheetData>
    <row r="1" spans="1:12" ht="15" customHeight="1">
      <c r="A1" s="14912" t="s">
        <v>1</v>
      </c>
      <c r="B1" s="14912"/>
      <c r="C1" s="14912"/>
      <c r="D1" s="14912"/>
      <c r="E1" s="14912"/>
      <c r="F1" s="14912"/>
      <c r="G1" s="14912"/>
      <c r="H1" s="14912"/>
      <c r="I1" s="14912"/>
      <c r="J1" s="14912"/>
    </row>
    <row r="2" spans="1:12" ht="15" customHeight="1">
      <c r="A2" s="7509"/>
      <c r="B2" s="7509"/>
      <c r="C2" s="9330"/>
      <c r="D2" s="7516"/>
      <c r="E2" s="7516"/>
      <c r="F2" s="7516"/>
      <c r="G2" s="7516"/>
      <c r="H2" s="7516"/>
      <c r="I2" s="7286"/>
      <c r="J2" s="7516"/>
    </row>
    <row r="3" spans="1:12" ht="15" customHeight="1">
      <c r="A3" s="7509" t="s">
        <v>2</v>
      </c>
      <c r="B3" s="7513"/>
      <c r="C3" s="9331" t="s">
        <v>10072</v>
      </c>
      <c r="D3" s="7515"/>
      <c r="E3" s="7515"/>
      <c r="F3" s="7515"/>
      <c r="G3" s="14911"/>
      <c r="H3" s="7515"/>
      <c r="I3" s="7284"/>
      <c r="J3" s="14910"/>
    </row>
    <row r="4" spans="1:12" ht="15" customHeight="1">
      <c r="A4" s="7509" t="s">
        <v>10713</v>
      </c>
      <c r="B4" s="7509"/>
      <c r="C4" s="9330" t="s">
        <v>200</v>
      </c>
      <c r="D4" s="7516"/>
      <c r="E4" s="7516"/>
      <c r="F4" s="7516"/>
      <c r="G4" s="14911"/>
      <c r="H4" s="7283"/>
      <c r="I4" s="7286"/>
      <c r="J4" s="14910"/>
    </row>
    <row r="5" spans="1:12" ht="15" customHeight="1">
      <c r="A5" s="7536" t="s">
        <v>7</v>
      </c>
      <c r="B5" s="7536"/>
      <c r="C5" s="9332" t="s">
        <v>8</v>
      </c>
      <c r="D5" s="7574"/>
      <c r="E5" s="7574"/>
      <c r="F5" s="7574"/>
      <c r="G5" s="7574"/>
      <c r="H5" s="7574"/>
      <c r="I5" s="7290"/>
      <c r="J5" s="14913"/>
    </row>
    <row r="6" spans="1:12" ht="15" customHeight="1" thickBot="1">
      <c r="A6" s="7561"/>
      <c r="B6" s="7561"/>
      <c r="C6" s="9333"/>
      <c r="D6" s="7520"/>
      <c r="E6" s="7520"/>
      <c r="F6" s="7520"/>
      <c r="G6" s="7520"/>
      <c r="H6" s="7520"/>
      <c r="I6" s="7294"/>
      <c r="J6" s="14914"/>
    </row>
    <row r="7" spans="1:12" ht="15" customHeight="1">
      <c r="A7" s="11781"/>
      <c r="B7" s="11782"/>
      <c r="C7" s="12419" t="s">
        <v>103</v>
      </c>
      <c r="D7" s="11784" t="s">
        <v>10</v>
      </c>
      <c r="E7" s="14188" t="s">
        <v>10711</v>
      </c>
      <c r="F7" s="14189"/>
      <c r="G7" s="14190"/>
      <c r="H7" s="11769" t="s">
        <v>9985</v>
      </c>
      <c r="I7" s="9462"/>
      <c r="J7" s="11785" t="s">
        <v>12</v>
      </c>
    </row>
    <row r="8" spans="1:12" ht="15" customHeight="1">
      <c r="A8" s="7548"/>
      <c r="B8" s="7526" t="s">
        <v>13</v>
      </c>
      <c r="C8" s="12420" t="s">
        <v>94</v>
      </c>
      <c r="D8" s="11786" t="s">
        <v>15</v>
      </c>
      <c r="E8" s="9502" t="s">
        <v>10709</v>
      </c>
      <c r="F8" s="9503" t="s">
        <v>10710</v>
      </c>
      <c r="G8" s="14191" t="s">
        <v>458</v>
      </c>
      <c r="H8" s="8118" t="s">
        <v>11747</v>
      </c>
      <c r="I8" s="11108"/>
      <c r="J8" s="11787" t="s">
        <v>16</v>
      </c>
    </row>
    <row r="9" spans="1:12" ht="15" customHeight="1" thickBot="1">
      <c r="A9" s="11799"/>
      <c r="B9" s="11804"/>
      <c r="C9" s="12421"/>
      <c r="D9" s="7852">
        <v>2017</v>
      </c>
      <c r="E9" s="9467" t="s">
        <v>457</v>
      </c>
      <c r="F9" s="11661" t="s">
        <v>456</v>
      </c>
      <c r="G9" s="14192"/>
      <c r="H9" s="7496">
        <v>2018</v>
      </c>
      <c r="I9" s="7303"/>
      <c r="J9" s="11790">
        <v>2019</v>
      </c>
    </row>
    <row r="10" spans="1:12" ht="15" customHeight="1">
      <c r="A10" s="11791" t="s">
        <v>17</v>
      </c>
      <c r="B10" s="7536" t="s">
        <v>18</v>
      </c>
      <c r="C10" s="10145"/>
      <c r="D10" s="11792"/>
      <c r="E10" s="11792"/>
      <c r="F10" s="11792"/>
      <c r="G10" s="11792"/>
      <c r="H10" s="11792"/>
      <c r="I10" s="11163"/>
      <c r="J10" s="11793"/>
    </row>
    <row r="11" spans="1:12" ht="15" customHeight="1">
      <c r="A11" s="7548"/>
      <c r="B11" s="7536" t="s">
        <v>19</v>
      </c>
      <c r="C11" s="10145"/>
      <c r="D11" s="11792"/>
      <c r="E11" s="11792"/>
      <c r="F11" s="11792"/>
      <c r="G11" s="11792"/>
      <c r="H11" s="11792"/>
      <c r="I11" s="11163"/>
      <c r="J11" s="11793"/>
    </row>
    <row r="12" spans="1:12" ht="15" customHeight="1">
      <c r="A12" s="7548"/>
      <c r="B12" s="7536" t="s">
        <v>20</v>
      </c>
      <c r="C12" s="10145">
        <v>50101010</v>
      </c>
      <c r="D12" s="11794">
        <f>'WS-PS 2017'!B18</f>
        <v>10961639.529999999</v>
      </c>
      <c r="E12" s="11794">
        <f>'WS-PS ACTUAL JUNE 2018'!B18</f>
        <v>6100673.0999999996</v>
      </c>
      <c r="F12" s="11794">
        <f>G12-E12</f>
        <v>8664942.9000000004</v>
      </c>
      <c r="G12" s="8882">
        <v>14765616</v>
      </c>
      <c r="H12" s="8882"/>
      <c r="I12" s="9413"/>
      <c r="J12" s="11251">
        <f>K12</f>
        <v>16315284</v>
      </c>
      <c r="K12" s="11928">
        <f>'staffing-pto'!F57</f>
        <v>16315284</v>
      </c>
      <c r="L12" s="7780">
        <f>'staffing-pto'!B57</f>
        <v>60</v>
      </c>
    </row>
    <row r="13" spans="1:12" ht="15" customHeight="1">
      <c r="A13" s="7548"/>
      <c r="B13" s="7536" t="s">
        <v>21</v>
      </c>
      <c r="C13" s="10145">
        <v>50102010</v>
      </c>
      <c r="D13" s="11792">
        <f>'WS-PS 2017'!F18</f>
        <v>1107361.93</v>
      </c>
      <c r="E13" s="11792">
        <f>'WS-PS ACTUAL JUNE 2018'!D18</f>
        <v>556515.76</v>
      </c>
      <c r="F13" s="11794">
        <f t="shared" ref="F13:F28" si="0">G13-E13</f>
        <v>787484.24</v>
      </c>
      <c r="G13" s="8882">
        <v>1344000</v>
      </c>
      <c r="H13" s="8882"/>
      <c r="I13" s="9413"/>
      <c r="J13" s="11251">
        <f t="shared" ref="J13:J28" si="1">K13</f>
        <v>1440000</v>
      </c>
      <c r="K13" s="7310">
        <f>24000*L12</f>
        <v>1440000</v>
      </c>
    </row>
    <row r="14" spans="1:12" ht="15" customHeight="1">
      <c r="A14" s="7548"/>
      <c r="B14" s="7536" t="s">
        <v>104</v>
      </c>
      <c r="C14" s="10145">
        <v>50102020</v>
      </c>
      <c r="D14" s="11792">
        <f>'WS-PS 2017'!G18</f>
        <v>192000</v>
      </c>
      <c r="E14" s="11792">
        <f>'WS-PS ACTUAL JUNE 2018'!E18</f>
        <v>80000</v>
      </c>
      <c r="F14" s="11794">
        <f t="shared" si="0"/>
        <v>112000</v>
      </c>
      <c r="G14" s="8882">
        <v>192000</v>
      </c>
      <c r="H14" s="8882"/>
      <c r="I14" s="9413"/>
      <c r="J14" s="11251">
        <f t="shared" si="1"/>
        <v>192000</v>
      </c>
      <c r="K14" s="7310">
        <v>192000</v>
      </c>
    </row>
    <row r="15" spans="1:12" ht="15" customHeight="1">
      <c r="A15" s="7548"/>
      <c r="B15" s="7536" t="s">
        <v>105</v>
      </c>
      <c r="C15" s="10145">
        <v>50102030</v>
      </c>
      <c r="D15" s="11792">
        <f>'WS-PS 2017'!H18</f>
        <v>192000</v>
      </c>
      <c r="E15" s="11792">
        <f>'WS-PS ACTUAL JUNE 2018'!F18</f>
        <v>80000</v>
      </c>
      <c r="F15" s="11794">
        <f t="shared" si="0"/>
        <v>112000</v>
      </c>
      <c r="G15" s="8882">
        <v>192000</v>
      </c>
      <c r="H15" s="8882"/>
      <c r="I15" s="9413"/>
      <c r="J15" s="11251">
        <f t="shared" si="1"/>
        <v>192000</v>
      </c>
      <c r="K15" s="7310">
        <v>192000</v>
      </c>
    </row>
    <row r="16" spans="1:12" ht="15" customHeight="1">
      <c r="A16" s="7548"/>
      <c r="B16" s="7536" t="s">
        <v>22</v>
      </c>
      <c r="C16" s="10145">
        <v>50102040</v>
      </c>
      <c r="D16" s="11792">
        <f>'WS-PS 2017'!I18</f>
        <v>235000</v>
      </c>
      <c r="E16" s="11792">
        <f>'WS-PS ACTUAL JUNE 2018'!G18</f>
        <v>282000</v>
      </c>
      <c r="F16" s="11794">
        <f t="shared" si="0"/>
        <v>-2000</v>
      </c>
      <c r="G16" s="8882">
        <v>280000</v>
      </c>
      <c r="H16" s="8882"/>
      <c r="I16" s="9413"/>
      <c r="J16" s="11251">
        <f t="shared" si="1"/>
        <v>360000</v>
      </c>
      <c r="K16" s="7310">
        <f>6000*L12</f>
        <v>360000</v>
      </c>
    </row>
    <row r="17" spans="1:14" ht="15" customHeight="1">
      <c r="A17" s="7548"/>
      <c r="B17" s="7488" t="s">
        <v>10932</v>
      </c>
      <c r="C17" s="10368">
        <v>50102080</v>
      </c>
      <c r="D17" s="11792">
        <f>'WS-PS 2017'!L18</f>
        <v>235000</v>
      </c>
      <c r="E17" s="11792">
        <f>'WS-PS ACTUAL JUNE 2018'!J18</f>
        <v>0</v>
      </c>
      <c r="F17" s="11794">
        <f t="shared" si="0"/>
        <v>280000</v>
      </c>
      <c r="G17" s="8882">
        <v>280000</v>
      </c>
      <c r="H17" s="8882"/>
      <c r="I17" s="9413"/>
      <c r="J17" s="11251">
        <f t="shared" si="1"/>
        <v>300000</v>
      </c>
      <c r="K17" s="7310">
        <f>5000*L12</f>
        <v>300000</v>
      </c>
    </row>
    <row r="18" spans="1:14" ht="15" customHeight="1">
      <c r="A18" s="7548"/>
      <c r="B18" s="7488" t="s">
        <v>10934</v>
      </c>
      <c r="C18" s="8872">
        <v>50102120</v>
      </c>
      <c r="D18" s="11792">
        <f>'WS-PS 2017'!O18</f>
        <v>105000</v>
      </c>
      <c r="E18" s="11792">
        <f>'WS-PS ACTUAL JUNE 2018'!M18</f>
        <v>25000</v>
      </c>
      <c r="F18" s="11794">
        <f>G18-E18</f>
        <v>5000</v>
      </c>
      <c r="G18" s="8882">
        <v>30000</v>
      </c>
      <c r="H18" s="8882"/>
      <c r="I18" s="9413"/>
      <c r="J18" s="11251">
        <f t="shared" si="1"/>
        <v>15000</v>
      </c>
      <c r="K18" s="7310">
        <v>15000</v>
      </c>
    </row>
    <row r="19" spans="1:14" ht="15" customHeight="1">
      <c r="A19" s="7548"/>
      <c r="B19" s="7536" t="s">
        <v>141</v>
      </c>
      <c r="C19" s="10145">
        <v>50102130</v>
      </c>
      <c r="D19" s="11792">
        <f>'WS-PS 2017'!R18</f>
        <v>0</v>
      </c>
      <c r="E19" s="11792">
        <f>'WS-PS ACTUAL JUNE 2018'!N18</f>
        <v>0</v>
      </c>
      <c r="F19" s="11794">
        <f t="shared" si="0"/>
        <v>24200</v>
      </c>
      <c r="G19" s="8882">
        <v>24200</v>
      </c>
      <c r="H19" s="8882"/>
      <c r="I19" s="9413"/>
      <c r="J19" s="11251">
        <v>24200</v>
      </c>
      <c r="K19" s="7347">
        <v>24200</v>
      </c>
    </row>
    <row r="20" spans="1:14" ht="15" customHeight="1">
      <c r="A20" s="7548"/>
      <c r="B20" s="7488" t="s">
        <v>10933</v>
      </c>
      <c r="C20" s="8872">
        <v>50102140</v>
      </c>
      <c r="D20" s="11794">
        <f>'WS-PS 2017'!U18+'WS-PS 2017'!S18</f>
        <v>1821353</v>
      </c>
      <c r="E20" s="11794">
        <f>'WS-PS ACTUAL JUNE 2018'!O18</f>
        <v>998147</v>
      </c>
      <c r="F20" s="11794">
        <f t="shared" si="0"/>
        <v>1462789</v>
      </c>
      <c r="G20" s="8882">
        <v>2460936</v>
      </c>
      <c r="H20" s="8882"/>
      <c r="I20" s="9413"/>
      <c r="J20" s="11251">
        <f t="shared" si="1"/>
        <v>2719214</v>
      </c>
      <c r="K20" s="7310">
        <f>SUM(K11:K12)/12*2</f>
        <v>2719214</v>
      </c>
    </row>
    <row r="21" spans="1:14" ht="15" customHeight="1">
      <c r="A21" s="7548"/>
      <c r="B21" s="7536" t="s">
        <v>26</v>
      </c>
      <c r="C21" s="10145">
        <v>50102150</v>
      </c>
      <c r="D21" s="11792">
        <f>'WS-PS 2017'!T18</f>
        <v>232000</v>
      </c>
      <c r="E21" s="11792">
        <f>'WS-PS ACTUAL JUNE 2018'!Q18</f>
        <v>0</v>
      </c>
      <c r="F21" s="11794">
        <f>G21-E21</f>
        <v>280000</v>
      </c>
      <c r="G21" s="8882">
        <v>280000</v>
      </c>
      <c r="H21" s="8882"/>
      <c r="I21" s="9413"/>
      <c r="J21" s="11251">
        <f t="shared" si="1"/>
        <v>300000</v>
      </c>
      <c r="K21" s="7371">
        <f>K17</f>
        <v>300000</v>
      </c>
    </row>
    <row r="22" spans="1:14" ht="15" customHeight="1">
      <c r="A22" s="7548"/>
      <c r="B22" s="7488" t="s">
        <v>11497</v>
      </c>
      <c r="C22" s="11257">
        <v>50102990</v>
      </c>
      <c r="D22" s="11792">
        <v>0</v>
      </c>
      <c r="E22" s="11792">
        <f>'WS-PS ACTUAL JUNE 2018'!R18</f>
        <v>0</v>
      </c>
      <c r="F22" s="11794">
        <f>G22-E22</f>
        <v>707519</v>
      </c>
      <c r="G22" s="8882">
        <v>707519</v>
      </c>
      <c r="H22" s="8882"/>
      <c r="I22" s="9413"/>
      <c r="J22" s="11251">
        <v>0</v>
      </c>
      <c r="K22" s="7310">
        <f>K12/12*0.575</f>
        <v>781774.02499999991</v>
      </c>
    </row>
    <row r="23" spans="1:14" ht="15" customHeight="1">
      <c r="A23" s="7548"/>
      <c r="B23" s="7803" t="s">
        <v>11499</v>
      </c>
      <c r="C23" s="11059" t="s">
        <v>11495</v>
      </c>
      <c r="D23" s="11792">
        <f>'WS-PS 2017'!Q18</f>
        <v>0</v>
      </c>
      <c r="E23" s="11792">
        <f>'WS-PS ACTUAL JUNE 2018'!S18</f>
        <v>0</v>
      </c>
      <c r="F23" s="11794">
        <f>G23-E23</f>
        <v>0</v>
      </c>
      <c r="G23" s="8882">
        <v>0</v>
      </c>
      <c r="H23" s="8882"/>
      <c r="I23" s="9413"/>
      <c r="J23" s="11251">
        <f t="shared" si="1"/>
        <v>180000</v>
      </c>
      <c r="K23" s="7310">
        <f>3000*L12</f>
        <v>180000</v>
      </c>
    </row>
    <row r="24" spans="1:14" ht="15" customHeight="1">
      <c r="A24" s="7548"/>
      <c r="B24" s="11518" t="s">
        <v>59</v>
      </c>
      <c r="C24" s="8872">
        <v>50103010</v>
      </c>
      <c r="D24" s="11792">
        <f>'WS-PS 2017'!V18</f>
        <v>1315396.74</v>
      </c>
      <c r="E24" s="11792">
        <f>'WS-PS ACTUAL JUNE 2018'!T18</f>
        <v>732080.76</v>
      </c>
      <c r="F24" s="11794">
        <f t="shared" si="0"/>
        <v>1039793.24</v>
      </c>
      <c r="G24" s="8882">
        <v>1771874</v>
      </c>
      <c r="H24" s="8882"/>
      <c r="I24" s="9413"/>
      <c r="J24" s="11251">
        <f t="shared" si="1"/>
        <v>1957834.0799999998</v>
      </c>
      <c r="K24" s="11720">
        <f>SUM(K11:K12)*12%</f>
        <v>1957834.0799999998</v>
      </c>
      <c r="L24" s="7483"/>
      <c r="M24" s="8063"/>
      <c r="N24" s="10255"/>
    </row>
    <row r="25" spans="1:14" ht="15" customHeight="1">
      <c r="A25" s="7548"/>
      <c r="B25" s="7803" t="s">
        <v>28</v>
      </c>
      <c r="C25" s="8872">
        <v>50103020</v>
      </c>
      <c r="D25" s="11792">
        <f>'WS-PS 2017'!W18</f>
        <v>55800</v>
      </c>
      <c r="E25" s="11792">
        <f>'WS-PS ACTUAL JUNE 2018'!U18</f>
        <v>28351.96</v>
      </c>
      <c r="F25" s="11794">
        <f t="shared" si="0"/>
        <v>38848.04</v>
      </c>
      <c r="G25" s="8882">
        <v>67200</v>
      </c>
      <c r="H25" s="8882"/>
      <c r="I25" s="9413"/>
      <c r="J25" s="11251">
        <f t="shared" si="1"/>
        <v>72000</v>
      </c>
      <c r="K25" s="7310">
        <f>1200*L12</f>
        <v>72000</v>
      </c>
    </row>
    <row r="26" spans="1:14" ht="15" customHeight="1">
      <c r="A26" s="7548"/>
      <c r="B26" s="7803" t="s">
        <v>29</v>
      </c>
      <c r="C26" s="8872">
        <v>50103030</v>
      </c>
      <c r="D26" s="11792">
        <f>'WS-PS 2017'!X18</f>
        <v>114287.5</v>
      </c>
      <c r="E26" s="11792">
        <f>'WS-PS ACTUAL JUNE 2018'!V18</f>
        <v>71544.639999999999</v>
      </c>
      <c r="F26" s="11794">
        <f t="shared" si="0"/>
        <v>130055.36</v>
      </c>
      <c r="G26" s="8882">
        <v>201600</v>
      </c>
      <c r="H26" s="8882"/>
      <c r="I26" s="9413"/>
      <c r="J26" s="11251">
        <v>189279.09000000005</v>
      </c>
      <c r="K26" s="7310">
        <f>3600*L12</f>
        <v>216000</v>
      </c>
    </row>
    <row r="27" spans="1:14" ht="15" customHeight="1">
      <c r="A27" s="7548"/>
      <c r="B27" s="7803" t="s">
        <v>30</v>
      </c>
      <c r="C27" s="8872">
        <v>50103040</v>
      </c>
      <c r="D27" s="11792">
        <f>'WS-PS 2017'!Y18</f>
        <v>55492.83</v>
      </c>
      <c r="E27" s="11792">
        <f>'WS-PS ACTUAL JUNE 2018'!W18</f>
        <v>27931.87</v>
      </c>
      <c r="F27" s="11794">
        <f t="shared" si="0"/>
        <v>39268.130000000005</v>
      </c>
      <c r="G27" s="8882">
        <v>67200</v>
      </c>
      <c r="H27" s="8882"/>
      <c r="I27" s="9413"/>
      <c r="J27" s="11251">
        <f t="shared" si="1"/>
        <v>72000</v>
      </c>
      <c r="K27" s="7310">
        <f>K25</f>
        <v>72000</v>
      </c>
    </row>
    <row r="28" spans="1:14" ht="15" customHeight="1">
      <c r="A28" s="7548"/>
      <c r="B28" s="7488" t="s">
        <v>5025</v>
      </c>
      <c r="C28" s="11258">
        <v>50104990</v>
      </c>
      <c r="D28" s="11792">
        <f>'WS-PS 2017'!Z18</f>
        <v>1160000</v>
      </c>
      <c r="E28" s="11792"/>
      <c r="F28" s="11794">
        <f t="shared" si="0"/>
        <v>0</v>
      </c>
      <c r="G28" s="8882">
        <v>0</v>
      </c>
      <c r="H28" s="8882"/>
      <c r="I28" s="9413"/>
      <c r="J28" s="11251">
        <f t="shared" si="1"/>
        <v>0</v>
      </c>
    </row>
    <row r="29" spans="1:14" ht="15" customHeight="1">
      <c r="A29" s="7548"/>
      <c r="B29" s="10374"/>
      <c r="C29" s="10145" t="s">
        <v>168</v>
      </c>
      <c r="D29" s="11792" t="s">
        <v>9</v>
      </c>
      <c r="E29" s="11792"/>
      <c r="F29" s="11792"/>
      <c r="G29" s="10376" t="s">
        <v>9</v>
      </c>
      <c r="H29" s="10376"/>
      <c r="I29" s="9413"/>
      <c r="J29" s="12422" t="s">
        <v>9</v>
      </c>
    </row>
    <row r="30" spans="1:14" ht="15" customHeight="1">
      <c r="A30" s="7548"/>
      <c r="B30" s="7552" t="s">
        <v>37</v>
      </c>
      <c r="C30" s="12423"/>
      <c r="D30" s="11812">
        <f>SUM(D11:D29)</f>
        <v>17782331.530000001</v>
      </c>
      <c r="E30" s="11812">
        <f>SUM(E11:E29)</f>
        <v>8982245.0899999999</v>
      </c>
      <c r="F30" s="11812">
        <f>SUM(F11:F29)</f>
        <v>13681899.91</v>
      </c>
      <c r="G30" s="11812">
        <f>SUM(G11:G29)</f>
        <v>22664145</v>
      </c>
      <c r="H30" s="11812"/>
      <c r="I30" s="9466"/>
      <c r="J30" s="12424">
        <f>SUM(J11:J29)</f>
        <v>24328811.169999998</v>
      </c>
      <c r="K30" s="12138">
        <f>SUM(K12:K29)</f>
        <v>25137306.104999997</v>
      </c>
    </row>
    <row r="31" spans="1:14" ht="15" customHeight="1" thickBot="1">
      <c r="A31" s="11799"/>
      <c r="B31" s="7850"/>
      <c r="C31" s="12425"/>
      <c r="D31" s="11801"/>
      <c r="E31" s="11801"/>
      <c r="F31" s="11801"/>
      <c r="G31" s="11801"/>
      <c r="H31" s="11801"/>
      <c r="I31" s="11449"/>
      <c r="J31" s="12426"/>
    </row>
    <row r="32" spans="1:14" ht="15" customHeight="1">
      <c r="A32" s="7536"/>
      <c r="B32" s="7552"/>
      <c r="C32" s="9332"/>
      <c r="D32" s="7560"/>
      <c r="E32" s="7560"/>
      <c r="F32" s="7560"/>
      <c r="G32" s="7560"/>
      <c r="H32" s="7560"/>
      <c r="I32" s="7350"/>
      <c r="J32" s="7560"/>
    </row>
    <row r="33" spans="1:14" ht="15" customHeight="1">
      <c r="A33" s="7536"/>
      <c r="B33" s="7552"/>
      <c r="C33" s="9332"/>
      <c r="D33" s="7560"/>
      <c r="E33" s="7560"/>
      <c r="F33" s="7560"/>
      <c r="G33" s="7560"/>
      <c r="H33" s="7560"/>
      <c r="I33" s="7350"/>
      <c r="J33" s="7560"/>
    </row>
    <row r="34" spans="1:14" ht="15" customHeight="1">
      <c r="A34" s="7536"/>
      <c r="B34" s="7552"/>
      <c r="C34" s="9332"/>
      <c r="D34" s="7560"/>
      <c r="E34" s="7560"/>
      <c r="F34" s="7560"/>
      <c r="G34" s="7560"/>
      <c r="H34" s="7560"/>
      <c r="I34" s="7350"/>
      <c r="J34" s="7560"/>
    </row>
    <row r="35" spans="1:14" ht="15" customHeight="1">
      <c r="A35" s="7536"/>
      <c r="B35" s="7552"/>
      <c r="C35" s="9332"/>
      <c r="D35" s="7560"/>
      <c r="E35" s="7560"/>
      <c r="F35" s="7560"/>
      <c r="G35" s="7560"/>
      <c r="H35" s="7560"/>
      <c r="I35" s="7350"/>
      <c r="J35" s="7560"/>
    </row>
    <row r="36" spans="1:14" ht="15" customHeight="1">
      <c r="A36" s="7536"/>
      <c r="B36" s="7552"/>
      <c r="C36" s="9332"/>
      <c r="D36" s="7560"/>
      <c r="E36" s="7560"/>
      <c r="F36" s="7560"/>
      <c r="G36" s="7560"/>
      <c r="H36" s="7560"/>
      <c r="I36" s="7350"/>
      <c r="J36" s="14915"/>
    </row>
    <row r="37" spans="1:14" ht="15" customHeight="1">
      <c r="A37" s="7536"/>
      <c r="B37" s="7552"/>
      <c r="C37" s="9332"/>
      <c r="D37" s="7560"/>
      <c r="E37" s="7560"/>
      <c r="F37" s="7560"/>
      <c r="G37" s="7560"/>
      <c r="H37" s="7560"/>
      <c r="I37" s="7350"/>
      <c r="J37" s="14915"/>
    </row>
    <row r="38" spans="1:14" ht="15" customHeight="1" thickBot="1">
      <c r="A38" s="7561" t="s">
        <v>6517</v>
      </c>
      <c r="B38" s="7850"/>
      <c r="C38" s="9333"/>
      <c r="D38" s="7851"/>
      <c r="E38" s="7851"/>
      <c r="F38" s="7851"/>
      <c r="G38" s="7851"/>
      <c r="H38" s="7851"/>
      <c r="I38" s="7394"/>
      <c r="J38" s="14916"/>
      <c r="L38" s="7508"/>
      <c r="N38" s="7600"/>
    </row>
    <row r="39" spans="1:14" ht="15" customHeight="1">
      <c r="A39" s="11781"/>
      <c r="B39" s="11782"/>
      <c r="C39" s="12419" t="s">
        <v>103</v>
      </c>
      <c r="D39" s="11784" t="s">
        <v>10</v>
      </c>
      <c r="E39" s="14188" t="s">
        <v>10711</v>
      </c>
      <c r="F39" s="14189"/>
      <c r="G39" s="14190"/>
      <c r="H39" s="11784"/>
      <c r="I39" s="9462"/>
      <c r="J39" s="11785" t="s">
        <v>12</v>
      </c>
      <c r="L39" s="7508"/>
      <c r="N39" s="7600"/>
    </row>
    <row r="40" spans="1:14" ht="15" customHeight="1">
      <c r="A40" s="7548"/>
      <c r="B40" s="7526" t="s">
        <v>13</v>
      </c>
      <c r="C40" s="12420" t="s">
        <v>94</v>
      </c>
      <c r="D40" s="11786" t="s">
        <v>15</v>
      </c>
      <c r="E40" s="9502" t="s">
        <v>10709</v>
      </c>
      <c r="F40" s="9503" t="s">
        <v>10710</v>
      </c>
      <c r="G40" s="14191" t="s">
        <v>458</v>
      </c>
      <c r="H40" s="11786"/>
      <c r="I40" s="11108"/>
      <c r="J40" s="11787" t="s">
        <v>16</v>
      </c>
      <c r="L40" s="7508"/>
      <c r="N40" s="7600"/>
    </row>
    <row r="41" spans="1:14" s="7776" customFormat="1" ht="15" customHeight="1" thickBot="1">
      <c r="A41" s="11788"/>
      <c r="B41" s="11789"/>
      <c r="C41" s="12421"/>
      <c r="D41" s="7852">
        <v>2017</v>
      </c>
      <c r="E41" s="9467" t="s">
        <v>457</v>
      </c>
      <c r="F41" s="11661" t="s">
        <v>456</v>
      </c>
      <c r="G41" s="14192"/>
      <c r="H41" s="7852"/>
      <c r="I41" s="7322"/>
      <c r="J41" s="11790">
        <v>2019</v>
      </c>
      <c r="K41" s="7853"/>
      <c r="N41" s="7854"/>
    </row>
    <row r="42" spans="1:14" s="7776" customFormat="1" ht="15" customHeight="1">
      <c r="A42" s="12427"/>
      <c r="B42" s="7855"/>
      <c r="C42" s="12420"/>
      <c r="D42" s="11806"/>
      <c r="E42" s="11123"/>
      <c r="F42" s="11123"/>
      <c r="G42" s="11123"/>
      <c r="H42" s="11806"/>
      <c r="I42" s="11108"/>
      <c r="J42" s="11807"/>
      <c r="K42" s="7853"/>
      <c r="N42" s="7854"/>
    </row>
    <row r="43" spans="1:14" ht="15" customHeight="1">
      <c r="A43" s="11791"/>
      <c r="B43" s="7536" t="s">
        <v>38</v>
      </c>
      <c r="C43" s="10145"/>
      <c r="D43" s="12428"/>
      <c r="E43" s="12428"/>
      <c r="F43" s="12428"/>
      <c r="G43" s="11792"/>
      <c r="H43" s="11792"/>
      <c r="I43" s="11163"/>
      <c r="J43" s="11793"/>
    </row>
    <row r="44" spans="1:14" ht="15" customHeight="1">
      <c r="A44" s="7548"/>
      <c r="B44" s="7536" t="s">
        <v>39</v>
      </c>
      <c r="C44" s="10145">
        <v>50201010</v>
      </c>
      <c r="D44" s="11792">
        <f>'WS-MOOE 2017'!B18</f>
        <v>322340</v>
      </c>
      <c r="E44" s="11792">
        <f>'WS-MOOE ACTUAL JUNE 2018'!B19</f>
        <v>141973</v>
      </c>
      <c r="F44" s="11794">
        <f t="shared" ref="F44:F64" si="2">G44-E44</f>
        <v>258027</v>
      </c>
      <c r="G44" s="11792">
        <v>400000</v>
      </c>
      <c r="H44" s="11792">
        <v>182922</v>
      </c>
      <c r="I44" s="12429">
        <f>H44/G44</f>
        <v>0.45730500000000002</v>
      </c>
      <c r="J44" s="11793">
        <v>400000</v>
      </c>
    </row>
    <row r="45" spans="1:14" ht="15" customHeight="1">
      <c r="A45" s="7548"/>
      <c r="B45" s="7536" t="s">
        <v>41</v>
      </c>
      <c r="C45" s="10145">
        <v>50202010</v>
      </c>
      <c r="D45" s="11792">
        <f>'WS-MOOE 2017'!H18</f>
        <v>193474</v>
      </c>
      <c r="E45" s="8804">
        <f>'WS-MOOE ACTUAL JUNE 2018'!G19</f>
        <v>24217</v>
      </c>
      <c r="F45" s="11794">
        <f t="shared" si="2"/>
        <v>425783</v>
      </c>
      <c r="G45" s="11792">
        <v>450000</v>
      </c>
      <c r="H45" s="11792">
        <v>29917</v>
      </c>
      <c r="I45" s="12429">
        <f t="shared" ref="I45:I64" si="3">H45/G45</f>
        <v>6.648222222222222E-2</v>
      </c>
      <c r="J45" s="11793">
        <v>400000</v>
      </c>
    </row>
    <row r="46" spans="1:14" ht="15" customHeight="1">
      <c r="A46" s="7548"/>
      <c r="B46" s="7536" t="s">
        <v>11532</v>
      </c>
      <c r="C46" s="10145">
        <v>50203010</v>
      </c>
      <c r="D46" s="11792">
        <f>'WS-MOOE 2017'!J18</f>
        <v>269784.64</v>
      </c>
      <c r="E46" s="8804">
        <f>'WS-MOOE ACTUAL JUNE 2018'!H19</f>
        <v>64627.88</v>
      </c>
      <c r="F46" s="11794">
        <f t="shared" si="2"/>
        <v>535372.12</v>
      </c>
      <c r="G46" s="11792">
        <v>600000</v>
      </c>
      <c r="H46" s="11792">
        <v>294264.59999999998</v>
      </c>
      <c r="I46" s="12429">
        <f t="shared" si="3"/>
        <v>0.49044099999999996</v>
      </c>
      <c r="J46" s="11793">
        <v>600000</v>
      </c>
    </row>
    <row r="47" spans="1:14" ht="15" customHeight="1">
      <c r="A47" s="7548"/>
      <c r="B47" s="7536" t="s">
        <v>10965</v>
      </c>
      <c r="C47" s="10145">
        <v>50203020</v>
      </c>
      <c r="D47" s="11792">
        <f>'WS-MOOE 2017'!M18</f>
        <v>6740425</v>
      </c>
      <c r="E47" s="8804">
        <f>'WS-MOOE ACTUAL JUNE 2018'!J19</f>
        <v>5356700</v>
      </c>
      <c r="F47" s="11794">
        <f>G47-E47</f>
        <v>2563300</v>
      </c>
      <c r="G47" s="11792">
        <v>7920000</v>
      </c>
      <c r="H47" s="11792">
        <v>6789200</v>
      </c>
      <c r="I47" s="12429">
        <f t="shared" si="3"/>
        <v>0.85722222222222222</v>
      </c>
      <c r="J47" s="11793">
        <v>8000000</v>
      </c>
    </row>
    <row r="48" spans="1:14" ht="15" customHeight="1">
      <c r="A48" s="7548"/>
      <c r="B48" s="7536" t="s">
        <v>10966</v>
      </c>
      <c r="C48" s="10487"/>
      <c r="D48" s="11792"/>
      <c r="E48" s="10375"/>
      <c r="F48" s="11794">
        <f>G48-E48</f>
        <v>125000</v>
      </c>
      <c r="G48" s="11792">
        <v>125000</v>
      </c>
      <c r="H48" s="11792"/>
      <c r="I48" s="12429"/>
      <c r="J48" s="11793">
        <v>125000</v>
      </c>
    </row>
    <row r="49" spans="1:14" ht="15" customHeight="1">
      <c r="A49" s="7548"/>
      <c r="B49" s="7536" t="s">
        <v>44</v>
      </c>
      <c r="C49" s="10145">
        <v>50203090</v>
      </c>
      <c r="D49" s="11792">
        <f>'WS-MOOE 2017'!R18</f>
        <v>126307.07</v>
      </c>
      <c r="E49" s="8804">
        <f>'WS-MOOE ACTUAL JUNE 2018'!O19</f>
        <v>110751.03</v>
      </c>
      <c r="F49" s="11794">
        <f t="shared" si="2"/>
        <v>209248.97</v>
      </c>
      <c r="G49" s="11792">
        <v>320000</v>
      </c>
      <c r="H49" s="11792">
        <v>240751.03</v>
      </c>
      <c r="I49" s="12429">
        <f t="shared" si="3"/>
        <v>0.75234696874999996</v>
      </c>
      <c r="J49" s="11793">
        <v>400000</v>
      </c>
    </row>
    <row r="50" spans="1:14" ht="15" customHeight="1">
      <c r="A50" s="7548"/>
      <c r="B50" s="7536" t="s">
        <v>46</v>
      </c>
      <c r="C50" s="10145">
        <v>50204020</v>
      </c>
      <c r="D50" s="11792">
        <f>'WS-MOOE 2017'!X18</f>
        <v>213020.42</v>
      </c>
      <c r="E50" s="11792">
        <f>'WS-MOOE ACTUAL JUNE 2018'!S19</f>
        <v>99135.72</v>
      </c>
      <c r="F50" s="11794">
        <f t="shared" si="2"/>
        <v>250864.28</v>
      </c>
      <c r="G50" s="11792">
        <v>350000</v>
      </c>
      <c r="H50" s="11792">
        <v>145321.39000000001</v>
      </c>
      <c r="I50" s="12429">
        <f t="shared" si="3"/>
        <v>0.41520397142857146</v>
      </c>
      <c r="J50" s="12430"/>
      <c r="K50" s="8903">
        <v>400000</v>
      </c>
    </row>
    <row r="51" spans="1:14" ht="15" customHeight="1">
      <c r="A51" s="7548"/>
      <c r="B51" s="7536" t="s">
        <v>62</v>
      </c>
      <c r="C51" s="10145">
        <v>50205010</v>
      </c>
      <c r="D51" s="11792">
        <f>'WS-MOOE 2017'!Z18</f>
        <v>31570.799999999999</v>
      </c>
      <c r="E51" s="11792">
        <f>'WS-MOOE ACTUAL JUNE 2018'!U19</f>
        <v>13842.8</v>
      </c>
      <c r="F51" s="11794">
        <f t="shared" si="2"/>
        <v>53157.2</v>
      </c>
      <c r="G51" s="11792">
        <v>67000</v>
      </c>
      <c r="H51" s="11792">
        <v>14622.8</v>
      </c>
      <c r="I51" s="12429">
        <f t="shared" si="3"/>
        <v>0.2182507462686567</v>
      </c>
      <c r="J51" s="11793">
        <v>40000</v>
      </c>
    </row>
    <row r="52" spans="1:14" ht="15" customHeight="1">
      <c r="A52" s="7548"/>
      <c r="B52" s="7536" t="s">
        <v>155</v>
      </c>
      <c r="C52" s="10145">
        <v>50205020</v>
      </c>
      <c r="D52" s="11792">
        <f>'WS-MOOE 2017'!AA18+'WS-MOOE 2017'!AC18</f>
        <v>117588.63</v>
      </c>
      <c r="E52" s="11792">
        <f>'WS-MOOE ACTUAL JUNE 2018'!V19</f>
        <v>56772.72</v>
      </c>
      <c r="F52" s="11794">
        <f t="shared" si="2"/>
        <v>84227.28</v>
      </c>
      <c r="G52" s="11792">
        <v>141000</v>
      </c>
      <c r="H52" s="11792">
        <v>76870.929999999993</v>
      </c>
      <c r="I52" s="12429">
        <f t="shared" si="3"/>
        <v>0.54518390070921985</v>
      </c>
      <c r="J52" s="11793">
        <f>75000+66000</f>
        <v>141000</v>
      </c>
    </row>
    <row r="53" spans="1:14" ht="15" customHeight="1">
      <c r="A53" s="7548"/>
      <c r="B53" s="7536" t="s">
        <v>193</v>
      </c>
      <c r="C53" s="10145"/>
      <c r="D53" s="11792"/>
      <c r="E53" s="11792"/>
      <c r="F53" s="11794">
        <f t="shared" si="2"/>
        <v>0</v>
      </c>
      <c r="G53" s="11792"/>
      <c r="H53" s="11792"/>
      <c r="I53" s="12429" t="e">
        <f t="shared" si="3"/>
        <v>#DIV/0!</v>
      </c>
      <c r="J53" s="11793"/>
    </row>
    <row r="54" spans="1:14" ht="15" customHeight="1">
      <c r="A54" s="7548"/>
      <c r="B54" s="7536" t="s">
        <v>201</v>
      </c>
      <c r="C54" s="10145">
        <v>50205040</v>
      </c>
      <c r="D54" s="11792">
        <f>'WS-MOOE 2017'!AF18</f>
        <v>5280</v>
      </c>
      <c r="E54" s="11792">
        <f>'WS-MOOE ACTUAL JUNE 2018'!AB19</f>
        <v>0</v>
      </c>
      <c r="F54" s="11794">
        <f t="shared" si="2"/>
        <v>5400</v>
      </c>
      <c r="G54" s="11792">
        <v>5400</v>
      </c>
      <c r="H54" s="11792">
        <v>0</v>
      </c>
      <c r="I54" s="12429">
        <f t="shared" si="3"/>
        <v>0</v>
      </c>
      <c r="J54" s="11793">
        <v>5400</v>
      </c>
    </row>
    <row r="55" spans="1:14" ht="15" customHeight="1">
      <c r="A55" s="7548"/>
      <c r="B55" s="7352" t="s">
        <v>10956</v>
      </c>
      <c r="C55" s="8872">
        <v>50212990</v>
      </c>
      <c r="D55" s="11792">
        <f>'WS-MOOE 2017'!AO18</f>
        <v>329120.65000000002</v>
      </c>
      <c r="E55" s="11792">
        <f>'WS-MOOE ACTUAL JUNE 2018'!AJ19</f>
        <v>109167.2</v>
      </c>
      <c r="F55" s="11794">
        <f t="shared" si="2"/>
        <v>490832.8</v>
      </c>
      <c r="G55" s="11792">
        <v>600000</v>
      </c>
      <c r="H55" s="11792">
        <v>188222.83</v>
      </c>
      <c r="I55" s="12429">
        <f t="shared" si="3"/>
        <v>0.31370471666666666</v>
      </c>
      <c r="J55" s="11793">
        <v>730000</v>
      </c>
    </row>
    <row r="56" spans="1:14" ht="15" customHeight="1">
      <c r="A56" s="7548"/>
      <c r="B56" s="7488" t="s">
        <v>10959</v>
      </c>
      <c r="C56" s="10377">
        <v>50213040</v>
      </c>
      <c r="D56" s="11792">
        <f>'WS-MOOE 2017'!AS18</f>
        <v>0</v>
      </c>
      <c r="E56" s="11792">
        <f>'WS-MOOE ACTUAL JUNE 2018'!AN19</f>
        <v>0</v>
      </c>
      <c r="F56" s="11794">
        <f t="shared" si="2"/>
        <v>100000</v>
      </c>
      <c r="G56" s="11792">
        <v>100000</v>
      </c>
      <c r="H56" s="11792">
        <v>0</v>
      </c>
      <c r="I56" s="12429">
        <f t="shared" si="3"/>
        <v>0</v>
      </c>
      <c r="J56" s="11793">
        <v>50000</v>
      </c>
    </row>
    <row r="57" spans="1:14" ht="15" customHeight="1">
      <c r="A57" s="7548"/>
      <c r="B57" s="7536" t="s">
        <v>204</v>
      </c>
      <c r="C57" s="10145"/>
      <c r="D57" s="11792"/>
      <c r="E57" s="11792"/>
      <c r="F57" s="11794">
        <f t="shared" si="2"/>
        <v>0</v>
      </c>
      <c r="G57" s="11792"/>
      <c r="H57" s="11792"/>
      <c r="I57" s="12429" t="e">
        <f t="shared" si="3"/>
        <v>#DIV/0!</v>
      </c>
      <c r="J57" s="11793"/>
    </row>
    <row r="58" spans="1:14" ht="15" customHeight="1">
      <c r="A58" s="7548"/>
      <c r="B58" s="7488" t="s">
        <v>10938</v>
      </c>
      <c r="C58" s="8872">
        <v>50213050</v>
      </c>
      <c r="D58" s="11792">
        <f>'WS-MOOE 2017'!AW18</f>
        <v>45669.919999999998</v>
      </c>
      <c r="E58" s="11792">
        <f>'WS-MOOE ACTUAL JUNE 2018'!AS19</f>
        <v>6432</v>
      </c>
      <c r="F58" s="11794">
        <f t="shared" si="2"/>
        <v>93568</v>
      </c>
      <c r="G58" s="11792">
        <v>100000</v>
      </c>
      <c r="H58" s="11792">
        <v>46709.96</v>
      </c>
      <c r="I58" s="12429">
        <f t="shared" si="3"/>
        <v>0.4670996</v>
      </c>
      <c r="J58" s="11793">
        <v>100000</v>
      </c>
    </row>
    <row r="59" spans="1:14" ht="15" customHeight="1">
      <c r="A59" s="7548"/>
      <c r="B59" s="7488" t="s">
        <v>10937</v>
      </c>
      <c r="C59" s="11258">
        <v>50213060</v>
      </c>
      <c r="D59" s="11792">
        <f>'WS-MOOE 2017'!BB18</f>
        <v>61949</v>
      </c>
      <c r="E59" s="11792">
        <f>'WS-MOOE ACTUAL JUNE 2018'!AT19</f>
        <v>9020</v>
      </c>
      <c r="F59" s="11794">
        <f t="shared" si="2"/>
        <v>190980</v>
      </c>
      <c r="G59" s="11792">
        <v>200000</v>
      </c>
      <c r="H59" s="11792">
        <v>155410</v>
      </c>
      <c r="I59" s="12429">
        <f t="shared" si="3"/>
        <v>0.77705000000000002</v>
      </c>
      <c r="J59" s="11793">
        <v>250000</v>
      </c>
    </row>
    <row r="60" spans="1:14" ht="15" customHeight="1">
      <c r="A60" s="7548"/>
      <c r="B60" s="7536" t="s">
        <v>72</v>
      </c>
      <c r="C60" s="10145">
        <v>50215020</v>
      </c>
      <c r="D60" s="11792">
        <f>'WS-MOOE 2017'!BH18</f>
        <v>157837.5</v>
      </c>
      <c r="E60" s="11792">
        <f>'WS-MOOE ACTUAL JUNE 2018'!AZ19</f>
        <v>62025</v>
      </c>
      <c r="F60" s="11794">
        <f t="shared" si="2"/>
        <v>127975</v>
      </c>
      <c r="G60" s="11792">
        <v>190000</v>
      </c>
      <c r="H60" s="11792">
        <v>68025</v>
      </c>
      <c r="I60" s="12429">
        <f t="shared" si="3"/>
        <v>0.35802631578947369</v>
      </c>
      <c r="J60" s="11793">
        <v>190000</v>
      </c>
      <c r="L60" s="7508"/>
      <c r="N60" s="7600"/>
    </row>
    <row r="61" spans="1:14" ht="15" customHeight="1">
      <c r="A61" s="7548"/>
      <c r="B61" s="7536" t="s">
        <v>202</v>
      </c>
      <c r="C61" s="10145">
        <v>50299010</v>
      </c>
      <c r="D61" s="11792">
        <f>'WS-MOOE 2017'!BI18</f>
        <v>123470</v>
      </c>
      <c r="E61" s="11792">
        <f>'WS-MOOE ACTUAL JUNE 2018'!BB19</f>
        <v>60500</v>
      </c>
      <c r="F61" s="11794">
        <f>G61-E61</f>
        <v>339500</v>
      </c>
      <c r="G61" s="11792">
        <v>400000</v>
      </c>
      <c r="H61" s="11792">
        <v>60500</v>
      </c>
      <c r="I61" s="12429">
        <f>H61/G61</f>
        <v>0.15125</v>
      </c>
      <c r="J61" s="11793">
        <v>300000</v>
      </c>
    </row>
    <row r="62" spans="1:14" ht="15" customHeight="1">
      <c r="A62" s="7548"/>
      <c r="B62" s="7536" t="s">
        <v>203</v>
      </c>
      <c r="C62" s="10145">
        <v>50299030</v>
      </c>
      <c r="D62" s="11792">
        <f>'WS-MOOE 2017'!BK18</f>
        <v>9445</v>
      </c>
      <c r="E62" s="11792">
        <f>'WS-MOOE ACTUAL JUNE 2018'!BE19</f>
        <v>8010</v>
      </c>
      <c r="F62" s="11794">
        <f>G62-E62</f>
        <v>21990</v>
      </c>
      <c r="G62" s="11792">
        <v>30000</v>
      </c>
      <c r="H62" s="11792">
        <v>10235</v>
      </c>
      <c r="I62" s="12429">
        <f>H62/G62</f>
        <v>0.34116666666666667</v>
      </c>
      <c r="J62" s="11793">
        <v>30000</v>
      </c>
    </row>
    <row r="63" spans="1:14" ht="15" customHeight="1">
      <c r="A63" s="7548"/>
      <c r="B63" s="7536" t="s">
        <v>128</v>
      </c>
      <c r="C63" s="10145">
        <v>50299070</v>
      </c>
      <c r="D63" s="11792"/>
      <c r="E63" s="11792">
        <f>'WS-MOOE ACTUAL JUNE 2018'!BF19</f>
        <v>0</v>
      </c>
      <c r="F63" s="11794">
        <f t="shared" si="2"/>
        <v>10000</v>
      </c>
      <c r="G63" s="11792">
        <v>10000</v>
      </c>
      <c r="H63" s="11792">
        <v>0</v>
      </c>
      <c r="I63" s="12429">
        <f t="shared" si="3"/>
        <v>0</v>
      </c>
      <c r="J63" s="11793">
        <v>10000</v>
      </c>
      <c r="L63" s="7508"/>
      <c r="N63" s="7600"/>
    </row>
    <row r="64" spans="1:14" ht="15" customHeight="1">
      <c r="A64" s="7548"/>
      <c r="B64" s="7536" t="s">
        <v>73</v>
      </c>
      <c r="C64" s="10145">
        <v>50299990</v>
      </c>
      <c r="D64" s="11792">
        <f>'WS-MOOE 2017'!BO18</f>
        <v>57666.61</v>
      </c>
      <c r="E64" s="11792">
        <f>'WS-MOOE ACTUAL JUNE 2018'!BI19</f>
        <v>794</v>
      </c>
      <c r="F64" s="11794">
        <f t="shared" si="2"/>
        <v>99206</v>
      </c>
      <c r="G64" s="11792">
        <v>100000</v>
      </c>
      <c r="H64" s="11792">
        <v>794</v>
      </c>
      <c r="I64" s="12429">
        <f t="shared" si="3"/>
        <v>7.9399999999999991E-3</v>
      </c>
      <c r="J64" s="11793">
        <v>100000</v>
      </c>
      <c r="L64" s="7508"/>
      <c r="N64" s="7600"/>
    </row>
    <row r="65" spans="1:14" ht="15" customHeight="1">
      <c r="A65" s="7548"/>
      <c r="B65" s="7552" t="s">
        <v>37</v>
      </c>
      <c r="C65" s="12423"/>
      <c r="D65" s="11812">
        <f>SUM(D44:D64)</f>
        <v>8804949.2400000002</v>
      </c>
      <c r="E65" s="11812">
        <f>SUM(E44:E64)</f>
        <v>6123968.3499999996</v>
      </c>
      <c r="F65" s="11812">
        <f>SUM(F44:F64)</f>
        <v>5984431.6500000004</v>
      </c>
      <c r="G65" s="11812">
        <f>SUM(G44:G64)</f>
        <v>12108400</v>
      </c>
      <c r="H65" s="11812">
        <f>SUM(H44:H64)</f>
        <v>8303766.5399999991</v>
      </c>
      <c r="I65" s="9466"/>
      <c r="J65" s="12424">
        <f>SUM(J44:J64)</f>
        <v>11871400</v>
      </c>
      <c r="K65" s="10372">
        <f>(J65-G65)/G65</f>
        <v>-1.957318886062568E-2</v>
      </c>
      <c r="L65" s="7508"/>
      <c r="N65" s="7600"/>
    </row>
    <row r="66" spans="1:14" ht="15" customHeight="1" thickBot="1">
      <c r="A66" s="11799"/>
      <c r="B66" s="7850"/>
      <c r="C66" s="12425"/>
      <c r="D66" s="11801"/>
      <c r="E66" s="11801"/>
      <c r="F66" s="11801"/>
      <c r="G66" s="11801"/>
      <c r="H66" s="11801"/>
      <c r="I66" s="11449"/>
      <c r="J66" s="12426"/>
      <c r="L66" s="7508"/>
      <c r="N66" s="7600"/>
    </row>
    <row r="67" spans="1:14" ht="15" customHeight="1">
      <c r="A67" s="7536"/>
      <c r="B67" s="7552"/>
      <c r="C67" s="9332"/>
      <c r="D67" s="7560"/>
      <c r="E67" s="7560"/>
      <c r="F67" s="7560"/>
      <c r="G67" s="7560"/>
      <c r="H67" s="7560"/>
      <c r="I67" s="7350"/>
      <c r="J67" s="7560"/>
      <c r="L67" s="7508"/>
      <c r="N67" s="7600"/>
    </row>
    <row r="68" spans="1:14" ht="15" customHeight="1">
      <c r="A68" s="7536"/>
      <c r="B68" s="7552"/>
      <c r="C68" s="9332"/>
      <c r="D68" s="7560"/>
      <c r="E68" s="7560"/>
      <c r="F68" s="7560"/>
      <c r="G68" s="7560"/>
      <c r="H68" s="7560"/>
      <c r="I68" s="7350"/>
      <c r="J68" s="7560"/>
      <c r="L68" s="7508"/>
      <c r="N68" s="7600"/>
    </row>
    <row r="69" spans="1:14" ht="15" customHeight="1">
      <c r="A69" s="7536"/>
      <c r="B69" s="7552"/>
      <c r="C69" s="9332"/>
      <c r="D69" s="7560"/>
      <c r="E69" s="7560"/>
      <c r="F69" s="7560"/>
      <c r="G69" s="7560"/>
      <c r="H69" s="7560"/>
      <c r="I69" s="7350"/>
      <c r="J69" s="7560"/>
      <c r="L69" s="7508"/>
      <c r="N69" s="7600"/>
    </row>
    <row r="70" spans="1:14" ht="15" customHeight="1">
      <c r="A70" s="7536"/>
      <c r="B70" s="7552"/>
      <c r="C70" s="9332"/>
      <c r="D70" s="7560"/>
      <c r="E70" s="7560"/>
      <c r="F70" s="7560"/>
      <c r="G70" s="7560"/>
      <c r="H70" s="7560"/>
      <c r="I70" s="7350"/>
      <c r="J70" s="14915"/>
      <c r="L70" s="7508"/>
      <c r="N70" s="7600"/>
    </row>
    <row r="71" spans="1:14" ht="15" customHeight="1">
      <c r="A71" s="7536"/>
      <c r="B71" s="7552"/>
      <c r="C71" s="9332"/>
      <c r="D71" s="7560"/>
      <c r="E71" s="7560"/>
      <c r="F71" s="7560"/>
      <c r="G71" s="7560"/>
      <c r="H71" s="7560"/>
      <c r="I71" s="7350"/>
      <c r="J71" s="14915"/>
      <c r="L71" s="7508"/>
      <c r="N71" s="7600"/>
    </row>
    <row r="72" spans="1:14" ht="15" customHeight="1">
      <c r="A72" s="7536"/>
      <c r="B72" s="7552"/>
      <c r="C72" s="9332"/>
      <c r="D72" s="7560"/>
      <c r="E72" s="7560"/>
      <c r="F72" s="7560"/>
      <c r="G72" s="7560"/>
      <c r="H72" s="7560"/>
      <c r="I72" s="7350"/>
      <c r="J72" s="14915"/>
      <c r="L72" s="7508"/>
      <c r="N72" s="7600"/>
    </row>
    <row r="73" spans="1:14" ht="15" customHeight="1">
      <c r="A73" s="7536"/>
      <c r="B73" s="7552"/>
      <c r="C73" s="9332"/>
      <c r="D73" s="7560"/>
      <c r="E73" s="7560"/>
      <c r="F73" s="7560"/>
      <c r="G73" s="7560"/>
      <c r="H73" s="7560"/>
      <c r="I73" s="7350"/>
      <c r="J73" s="14915"/>
      <c r="L73" s="7508"/>
      <c r="N73" s="7600"/>
    </row>
    <row r="74" spans="1:14" ht="15" customHeight="1">
      <c r="A74" s="7536"/>
      <c r="B74" s="7552"/>
      <c r="C74" s="9332"/>
      <c r="D74" s="7560"/>
      <c r="E74" s="7560"/>
      <c r="F74" s="7560"/>
      <c r="G74" s="7560"/>
      <c r="H74" s="7560"/>
      <c r="I74" s="7350"/>
      <c r="J74" s="14915"/>
      <c r="L74" s="7508"/>
      <c r="N74" s="7600"/>
    </row>
    <row r="75" spans="1:14" ht="15" customHeight="1" thickBot="1">
      <c r="A75" s="7561" t="s">
        <v>10757</v>
      </c>
      <c r="B75" s="7850"/>
      <c r="C75" s="9333"/>
      <c r="D75" s="7851"/>
      <c r="E75" s="7851"/>
      <c r="F75" s="7851"/>
      <c r="G75" s="7851"/>
      <c r="H75" s="7851"/>
      <c r="I75" s="7394"/>
      <c r="J75" s="14916"/>
      <c r="L75" s="7508"/>
      <c r="N75" s="7600"/>
    </row>
    <row r="76" spans="1:14" ht="15" customHeight="1">
      <c r="A76" s="11781"/>
      <c r="B76" s="11782"/>
      <c r="C76" s="12419" t="s">
        <v>103</v>
      </c>
      <c r="D76" s="11784" t="s">
        <v>10</v>
      </c>
      <c r="E76" s="14188" t="s">
        <v>10711</v>
      </c>
      <c r="F76" s="14189"/>
      <c r="G76" s="14190"/>
      <c r="H76" s="11784"/>
      <c r="I76" s="9462"/>
      <c r="J76" s="9368" t="s">
        <v>12</v>
      </c>
      <c r="L76" s="7508"/>
      <c r="N76" s="7600"/>
    </row>
    <row r="77" spans="1:14" ht="15" customHeight="1">
      <c r="A77" s="7548"/>
      <c r="B77" s="7526" t="s">
        <v>13</v>
      </c>
      <c r="C77" s="12420" t="s">
        <v>94</v>
      </c>
      <c r="D77" s="11786" t="s">
        <v>15</v>
      </c>
      <c r="E77" s="9502" t="s">
        <v>10709</v>
      </c>
      <c r="F77" s="9503" t="s">
        <v>10710</v>
      </c>
      <c r="G77" s="14191" t="s">
        <v>458</v>
      </c>
      <c r="H77" s="11786"/>
      <c r="I77" s="11108"/>
      <c r="J77" s="12433" t="s">
        <v>16</v>
      </c>
      <c r="L77" s="7508"/>
      <c r="N77" s="7600"/>
    </row>
    <row r="78" spans="1:14" s="7776" customFormat="1" ht="15" customHeight="1" thickBot="1">
      <c r="A78" s="11788"/>
      <c r="B78" s="11789"/>
      <c r="C78" s="12421"/>
      <c r="D78" s="7852">
        <v>2017</v>
      </c>
      <c r="E78" s="9467" t="s">
        <v>457</v>
      </c>
      <c r="F78" s="11661" t="s">
        <v>456</v>
      </c>
      <c r="G78" s="14192"/>
      <c r="H78" s="7852"/>
      <c r="I78" s="7322"/>
      <c r="J78" s="9369">
        <v>2019</v>
      </c>
      <c r="K78" s="7853"/>
      <c r="N78" s="7854"/>
    </row>
    <row r="79" spans="1:14" ht="15" customHeight="1">
      <c r="A79" s="7548"/>
      <c r="B79" s="7526"/>
      <c r="C79" s="12420"/>
      <c r="D79" s="11786"/>
      <c r="E79" s="11786"/>
      <c r="F79" s="11786"/>
      <c r="G79" s="11786"/>
      <c r="H79" s="11786"/>
      <c r="I79" s="11108"/>
      <c r="J79" s="9368"/>
      <c r="L79" s="7508"/>
      <c r="N79" s="7600"/>
    </row>
    <row r="80" spans="1:14" ht="15" customHeight="1">
      <c r="A80" s="11791" t="s">
        <v>51</v>
      </c>
      <c r="B80" s="7536" t="s">
        <v>205</v>
      </c>
      <c r="C80" s="10145"/>
      <c r="D80" s="11792" t="s">
        <v>9</v>
      </c>
      <c r="E80" s="11792"/>
      <c r="F80" s="11792"/>
      <c r="G80" s="11792" t="s">
        <v>9</v>
      </c>
      <c r="H80" s="11792"/>
      <c r="I80" s="11163"/>
      <c r="J80" s="11818" t="s">
        <v>9</v>
      </c>
      <c r="L80" s="7508"/>
      <c r="N80" s="7600"/>
    </row>
    <row r="81" spans="1:14" ht="15" customHeight="1">
      <c r="A81" s="11791"/>
      <c r="B81" s="7536"/>
      <c r="C81" s="10145"/>
      <c r="D81" s="11792"/>
      <c r="E81" s="11792"/>
      <c r="F81" s="11792"/>
      <c r="G81" s="11792"/>
      <c r="H81" s="11792"/>
      <c r="I81" s="11163"/>
      <c r="J81" s="11818"/>
      <c r="K81" s="7483"/>
      <c r="L81" s="10374"/>
      <c r="N81" s="7600"/>
    </row>
    <row r="82" spans="1:14" ht="15" customHeight="1">
      <c r="A82" s="11791"/>
      <c r="B82" s="7536" t="s">
        <v>11460</v>
      </c>
      <c r="C82" s="10145">
        <v>50601010</v>
      </c>
      <c r="D82" s="11792">
        <f>'WS-CO 2017'!C17</f>
        <v>3385783.62</v>
      </c>
      <c r="E82" s="11792"/>
      <c r="F82" s="11794"/>
      <c r="G82" s="12434"/>
      <c r="H82" s="12434"/>
      <c r="I82" s="11413"/>
      <c r="J82" s="12422"/>
      <c r="L82" s="7508"/>
      <c r="N82" s="7600"/>
    </row>
    <row r="83" spans="1:14" ht="15" customHeight="1">
      <c r="A83" s="11791"/>
      <c r="B83" s="7810" t="s">
        <v>176</v>
      </c>
      <c r="C83" s="10377">
        <v>50705020</v>
      </c>
      <c r="D83" s="11792">
        <f>'WS-CO 2017'!F17</f>
        <v>7498</v>
      </c>
      <c r="E83" s="11792"/>
      <c r="F83" s="11794">
        <f>G83-E83</f>
        <v>165000</v>
      </c>
      <c r="G83" s="10376">
        <v>165000</v>
      </c>
      <c r="H83" s="10376">
        <v>151344</v>
      </c>
      <c r="I83" s="11163">
        <f>H83/G83</f>
        <v>0.91723636363636363</v>
      </c>
      <c r="J83" s="11824">
        <v>22000</v>
      </c>
      <c r="K83" s="12431"/>
      <c r="L83" s="10374"/>
      <c r="N83" s="7600"/>
    </row>
    <row r="84" spans="1:14" ht="15" hidden="1" customHeight="1">
      <c r="A84" s="11791"/>
      <c r="B84" s="12435" t="s">
        <v>11536</v>
      </c>
      <c r="C84" s="10377"/>
      <c r="D84" s="11792"/>
      <c r="E84" s="11792"/>
      <c r="F84" s="11794"/>
      <c r="G84" s="12434"/>
      <c r="H84" s="12434"/>
      <c r="I84" s="11413"/>
      <c r="J84" s="11824"/>
      <c r="K84" s="12431"/>
      <c r="L84" s="10374"/>
      <c r="N84" s="7600"/>
    </row>
    <row r="85" spans="1:14" ht="15" customHeight="1">
      <c r="A85" s="11791"/>
      <c r="B85" s="7488" t="s">
        <v>10947</v>
      </c>
      <c r="C85" s="10144">
        <v>50705030</v>
      </c>
      <c r="D85" s="11792">
        <f>'WS-CO 2017'!H17</f>
        <v>252100</v>
      </c>
      <c r="E85" s="11792"/>
      <c r="F85" s="11794">
        <f>G85-E85</f>
        <v>500000</v>
      </c>
      <c r="G85" s="12434">
        <v>500000</v>
      </c>
      <c r="H85" s="12434">
        <v>186000</v>
      </c>
      <c r="I85" s="11163">
        <f>H85/G85</f>
        <v>0.372</v>
      </c>
      <c r="J85" s="12422">
        <v>300000</v>
      </c>
      <c r="K85" s="7483"/>
      <c r="L85" s="10374"/>
      <c r="N85" s="7600"/>
    </row>
    <row r="86" spans="1:14" ht="15" customHeight="1">
      <c r="A86" s="11791"/>
      <c r="B86" s="7536" t="s">
        <v>11211</v>
      </c>
      <c r="C86" s="10145">
        <v>50706010</v>
      </c>
      <c r="D86" s="11792"/>
      <c r="E86" s="11792"/>
      <c r="F86" s="11794">
        <f>G86-E86</f>
        <v>0</v>
      </c>
      <c r="G86" s="12434"/>
      <c r="H86" s="12434"/>
      <c r="I86" s="11413"/>
      <c r="J86" s="11251">
        <v>1500000</v>
      </c>
      <c r="K86" s="12432"/>
      <c r="L86" s="10374"/>
      <c r="N86" s="7600"/>
    </row>
    <row r="87" spans="1:14" ht="15" customHeight="1">
      <c r="A87" s="11791"/>
      <c r="B87" s="7536" t="s">
        <v>162</v>
      </c>
      <c r="C87" s="10145">
        <v>50707010</v>
      </c>
      <c r="D87" s="11792"/>
      <c r="E87" s="11792"/>
      <c r="F87" s="11792"/>
      <c r="G87" s="12434"/>
      <c r="H87" s="12434"/>
      <c r="I87" s="11163"/>
      <c r="J87" s="11824">
        <v>200000</v>
      </c>
      <c r="K87" s="12431"/>
      <c r="L87" s="10374"/>
      <c r="N87" s="7600"/>
    </row>
    <row r="88" spans="1:14" ht="15" hidden="1" customHeight="1">
      <c r="A88" s="11791"/>
      <c r="B88" s="10378" t="s">
        <v>11533</v>
      </c>
      <c r="C88" s="10145"/>
      <c r="D88" s="11792"/>
      <c r="E88" s="11792"/>
      <c r="F88" s="11792"/>
      <c r="G88" s="12434"/>
      <c r="H88" s="12434"/>
      <c r="I88" s="11163"/>
      <c r="J88" s="11824"/>
      <c r="K88" s="12431"/>
      <c r="L88" s="10374"/>
      <c r="N88" s="7600"/>
    </row>
    <row r="89" spans="1:14" ht="15" hidden="1" customHeight="1">
      <c r="A89" s="11791"/>
      <c r="B89" s="10378" t="s">
        <v>11534</v>
      </c>
      <c r="C89" s="10145"/>
      <c r="D89" s="11792"/>
      <c r="E89" s="11792"/>
      <c r="F89" s="11792"/>
      <c r="G89" s="12434"/>
      <c r="H89" s="12434"/>
      <c r="I89" s="11413"/>
      <c r="J89" s="12422"/>
    </row>
    <row r="90" spans="1:14" ht="15" hidden="1" customHeight="1">
      <c r="A90" s="11791"/>
      <c r="B90" s="10378" t="s">
        <v>11535</v>
      </c>
      <c r="C90" s="10145"/>
      <c r="D90" s="11792"/>
      <c r="E90" s="11792"/>
      <c r="F90" s="11792"/>
      <c r="G90" s="12434"/>
      <c r="H90" s="12434"/>
      <c r="I90" s="11413"/>
      <c r="J90" s="12422"/>
    </row>
    <row r="91" spans="1:14" ht="15" customHeight="1">
      <c r="A91" s="11791"/>
      <c r="B91" s="7536"/>
      <c r="C91" s="10145"/>
      <c r="D91" s="11792"/>
      <c r="E91" s="11792"/>
      <c r="F91" s="11792"/>
      <c r="G91" s="12434"/>
      <c r="H91" s="12434"/>
      <c r="I91" s="11413"/>
      <c r="J91" s="12422"/>
    </row>
    <row r="92" spans="1:14" s="7588" customFormat="1" ht="15" customHeight="1">
      <c r="A92" s="12436"/>
      <c r="B92" s="7552" t="s">
        <v>206</v>
      </c>
      <c r="C92" s="12420"/>
      <c r="D92" s="11812">
        <f>SUM(D80:D91)</f>
        <v>3645381.62</v>
      </c>
      <c r="E92" s="11812">
        <f>SUM(E80:E91)</f>
        <v>0</v>
      </c>
      <c r="F92" s="11812">
        <f>SUM(F80:F91)</f>
        <v>665000</v>
      </c>
      <c r="G92" s="11813">
        <f>SUM(G80:G91)</f>
        <v>665000</v>
      </c>
      <c r="H92" s="11813">
        <f>SUM(H80:H89)</f>
        <v>337344</v>
      </c>
      <c r="I92" s="11206"/>
      <c r="J92" s="12424">
        <f>SUM(J80:J91)</f>
        <v>2022000</v>
      </c>
      <c r="K92" s="10372">
        <f>(J92-G92)/G92</f>
        <v>2.0406015037593983</v>
      </c>
      <c r="L92" s="7502"/>
      <c r="N92" s="7856"/>
    </row>
    <row r="93" spans="1:14" s="7588" customFormat="1" ht="15" customHeight="1">
      <c r="A93" s="12436"/>
      <c r="B93" s="7552"/>
      <c r="C93" s="12420"/>
      <c r="D93" s="11816"/>
      <c r="E93" s="11816"/>
      <c r="F93" s="11816"/>
      <c r="G93" s="11816"/>
      <c r="H93" s="11816"/>
      <c r="I93" s="11210"/>
      <c r="J93" s="12437"/>
      <c r="K93" s="7502"/>
      <c r="L93" s="7502"/>
      <c r="N93" s="7856"/>
    </row>
    <row r="94" spans="1:14" ht="15" customHeight="1">
      <c r="A94" s="11791" t="s">
        <v>53</v>
      </c>
      <c r="B94" s="7536" t="s">
        <v>54</v>
      </c>
      <c r="C94" s="10145"/>
      <c r="D94" s="11792"/>
      <c r="E94" s="11792"/>
      <c r="F94" s="11792"/>
      <c r="G94" s="11792"/>
      <c r="H94" s="11792"/>
      <c r="I94" s="11163"/>
      <c r="J94" s="11818"/>
    </row>
    <row r="95" spans="1:14" ht="15" hidden="1" customHeight="1">
      <c r="A95" s="11791"/>
      <c r="B95" s="7536" t="s">
        <v>4683</v>
      </c>
      <c r="C95" s="10145">
        <v>19917</v>
      </c>
      <c r="D95" s="11792">
        <v>0</v>
      </c>
      <c r="E95" s="11792">
        <v>0</v>
      </c>
      <c r="F95" s="11794">
        <f>G95-E95</f>
        <v>0</v>
      </c>
      <c r="G95" s="11792">
        <v>0</v>
      </c>
      <c r="H95" s="11792">
        <v>0</v>
      </c>
      <c r="I95" s="11163" t="e">
        <f>H95/G95</f>
        <v>#DIV/0!</v>
      </c>
      <c r="J95" s="11818">
        <v>0</v>
      </c>
    </row>
    <row r="96" spans="1:14" ht="15" hidden="1" customHeight="1">
      <c r="A96" s="11791"/>
      <c r="B96" s="7536"/>
      <c r="C96" s="10145"/>
      <c r="D96" s="11792"/>
      <c r="E96" s="11792"/>
      <c r="F96" s="11794"/>
      <c r="G96" s="11792"/>
      <c r="H96" s="11792"/>
      <c r="I96" s="11163"/>
      <c r="J96" s="11818"/>
    </row>
    <row r="97" spans="1:14" ht="15" customHeight="1">
      <c r="A97" s="11791"/>
      <c r="B97" s="7536"/>
      <c r="C97" s="10145"/>
      <c r="D97" s="11792"/>
      <c r="E97" s="11792"/>
      <c r="F97" s="11792"/>
      <c r="G97" s="11792"/>
      <c r="H97" s="11792"/>
      <c r="I97" s="11163"/>
      <c r="J97" s="11818"/>
    </row>
    <row r="98" spans="1:14" s="7588" customFormat="1" ht="15" customHeight="1">
      <c r="A98" s="12436"/>
      <c r="B98" s="7552" t="s">
        <v>37</v>
      </c>
      <c r="C98" s="12420"/>
      <c r="D98" s="11813">
        <f>D95</f>
        <v>0</v>
      </c>
      <c r="E98" s="11813">
        <f>E95</f>
        <v>0</v>
      </c>
      <c r="F98" s="11813">
        <f>F95</f>
        <v>0</v>
      </c>
      <c r="G98" s="11813">
        <f>G95</f>
        <v>0</v>
      </c>
      <c r="H98" s="11813"/>
      <c r="I98" s="11206"/>
      <c r="J98" s="12424">
        <f>J95</f>
        <v>0</v>
      </c>
      <c r="K98" s="7502"/>
      <c r="L98" s="7502"/>
      <c r="N98" s="7856"/>
    </row>
    <row r="99" spans="1:14" s="7588" customFormat="1" ht="15" customHeight="1">
      <c r="A99" s="12438"/>
      <c r="B99" s="12439"/>
      <c r="C99" s="9334"/>
      <c r="D99" s="11813"/>
      <c r="E99" s="11813"/>
      <c r="F99" s="11813"/>
      <c r="G99" s="11813"/>
      <c r="H99" s="11813"/>
      <c r="I99" s="11206"/>
      <c r="J99" s="12424"/>
      <c r="K99" s="7502"/>
      <c r="L99" s="7502"/>
      <c r="N99" s="7856"/>
    </row>
    <row r="100" spans="1:14" ht="15" customHeight="1" thickBot="1">
      <c r="A100" s="11799"/>
      <c r="B100" s="7850" t="s">
        <v>55</v>
      </c>
      <c r="C100" s="12440"/>
      <c r="D100" s="11837">
        <f>(D30+D65+D92+D98)</f>
        <v>30232662.390000004</v>
      </c>
      <c r="E100" s="11837">
        <f>(E30+E65+E92+E98)</f>
        <v>15106213.439999999</v>
      </c>
      <c r="F100" s="11837">
        <f>(F30+F65+F92+F98)</f>
        <v>20331331.560000002</v>
      </c>
      <c r="G100" s="11837">
        <f>(G30+G65+G92+G98)</f>
        <v>35437545</v>
      </c>
      <c r="H100" s="11837"/>
      <c r="I100" s="11176"/>
      <c r="J100" s="12441">
        <f>(J30+J65+J92+J98)</f>
        <v>38222211.170000002</v>
      </c>
      <c r="K100" s="10372">
        <f>(J100-G100)/G100</f>
        <v>7.8579545225268901E-2</v>
      </c>
    </row>
    <row r="101" spans="1:14" s="7333" customFormat="1" ht="15" customHeight="1">
      <c r="A101" s="7738" t="s">
        <v>4763</v>
      </c>
      <c r="B101" s="7738"/>
      <c r="C101" s="9346"/>
      <c r="D101" s="7740"/>
      <c r="E101" s="7740"/>
      <c r="F101" s="7740"/>
      <c r="G101" s="7741"/>
      <c r="H101" s="7740"/>
      <c r="I101" s="7742"/>
      <c r="J101" s="7741"/>
      <c r="K101" s="7505"/>
      <c r="L101" s="7505"/>
      <c r="N101" s="7858"/>
    </row>
    <row r="102" spans="1:14" ht="15" customHeight="1">
      <c r="A102" s="7509"/>
      <c r="B102" s="7509"/>
      <c r="C102" s="9330"/>
      <c r="D102" s="7516"/>
      <c r="E102" s="7516"/>
      <c r="F102" s="7516"/>
      <c r="H102" s="7516"/>
      <c r="I102" s="7286"/>
    </row>
    <row r="103" spans="1:14" ht="15" hidden="1" customHeight="1">
      <c r="A103" s="7761" t="s">
        <v>3483</v>
      </c>
      <c r="B103" s="7761"/>
      <c r="C103" s="10870" t="s">
        <v>3484</v>
      </c>
      <c r="D103" s="7508"/>
      <c r="E103" s="7762"/>
      <c r="F103" s="9459" t="s">
        <v>10666</v>
      </c>
      <c r="G103" s="7508"/>
      <c r="H103" s="7763"/>
      <c r="I103" s="7286"/>
      <c r="J103" s="7762"/>
    </row>
    <row r="104" spans="1:14" ht="15" hidden="1" customHeight="1">
      <c r="A104" s="7761"/>
      <c r="B104" s="7761"/>
      <c r="C104" s="9335"/>
      <c r="D104" s="10870"/>
      <c r="E104" s="7764"/>
      <c r="F104" s="7764"/>
      <c r="G104" s="7339"/>
      <c r="H104" s="7763"/>
      <c r="I104" s="7286"/>
      <c r="J104" s="7764"/>
    </row>
    <row r="105" spans="1:14" ht="15" hidden="1" customHeight="1">
      <c r="A105" s="7761"/>
      <c r="B105" s="7761"/>
      <c r="C105" s="9335"/>
      <c r="D105" s="10870"/>
      <c r="E105" s="7762"/>
      <c r="F105" s="7762"/>
      <c r="G105" s="7339"/>
      <c r="H105" s="7763"/>
      <c r="I105" s="7286"/>
      <c r="J105" s="7762"/>
    </row>
    <row r="106" spans="1:14" ht="15" hidden="1" customHeight="1">
      <c r="B106" s="10874" t="s">
        <v>10756</v>
      </c>
      <c r="C106" s="9335"/>
      <c r="D106" s="10874" t="s">
        <v>12059</v>
      </c>
      <c r="E106" s="7762"/>
      <c r="F106" s="7762"/>
      <c r="G106" s="7342" t="s">
        <v>10667</v>
      </c>
      <c r="H106" s="7766"/>
      <c r="I106" s="7284"/>
      <c r="J106" s="7762"/>
    </row>
    <row r="107" spans="1:14" ht="15" hidden="1" customHeight="1">
      <c r="B107" s="10878" t="s">
        <v>6898</v>
      </c>
      <c r="C107" s="9335"/>
      <c r="D107" s="10878" t="s">
        <v>3486</v>
      </c>
      <c r="E107" s="7762"/>
      <c r="F107" s="7762"/>
      <c r="G107" s="7344" t="s">
        <v>10668</v>
      </c>
      <c r="H107" s="7763"/>
      <c r="I107" s="7763"/>
      <c r="J107" s="7763"/>
    </row>
    <row r="108" spans="1:14" ht="15" customHeight="1">
      <c r="A108" s="7509"/>
      <c r="B108" s="7509"/>
      <c r="C108" s="9330"/>
      <c r="D108" s="7516"/>
      <c r="E108" s="7516"/>
      <c r="F108" s="7516"/>
      <c r="G108" s="7516"/>
      <c r="H108" s="7516"/>
      <c r="I108" s="7286"/>
      <c r="J108" s="7516"/>
    </row>
    <row r="109" spans="1:14" ht="15" hidden="1" customHeight="1">
      <c r="A109" s="7509"/>
      <c r="B109" s="7509"/>
      <c r="C109" s="9330"/>
      <c r="D109" s="7516"/>
      <c r="E109" s="7516"/>
      <c r="F109" s="7516"/>
      <c r="G109" s="7516"/>
      <c r="H109" s="7516"/>
      <c r="I109" s="7286"/>
      <c r="J109" s="7516">
        <f>J100-G100</f>
        <v>2784666.1700000018</v>
      </c>
    </row>
    <row r="110" spans="1:14" ht="15" hidden="1" customHeight="1">
      <c r="G110" s="7334"/>
      <c r="H110" s="7334"/>
      <c r="J110" s="7334">
        <f>J109/G100</f>
        <v>7.8579545225268901E-2</v>
      </c>
    </row>
    <row r="112" spans="1:14" ht="15" customHeight="1">
      <c r="H112" s="7599">
        <f>J100-G100</f>
        <v>2784666.1700000018</v>
      </c>
      <c r="I112" s="7348">
        <f>H112/G100</f>
        <v>7.8579545225268901E-2</v>
      </c>
    </row>
    <row r="113" spans="8:8" ht="15" customHeight="1">
      <c r="H113" s="7334"/>
    </row>
  </sheetData>
  <mergeCells count="12">
    <mergeCell ref="J3:J4"/>
    <mergeCell ref="G3:G4"/>
    <mergeCell ref="A1:J1"/>
    <mergeCell ref="E76:G76"/>
    <mergeCell ref="G77:G78"/>
    <mergeCell ref="E7:G7"/>
    <mergeCell ref="G8:G9"/>
    <mergeCell ref="E39:G39"/>
    <mergeCell ref="G40:G41"/>
    <mergeCell ref="J5:J6"/>
    <mergeCell ref="J36:J38"/>
    <mergeCell ref="J70:J75"/>
  </mergeCells>
  <printOptions horizontalCentered="1" gridLinesSet="0"/>
  <pageMargins left="0.25" right="0.25" top="0.5" bottom="0.25" header="0.25" footer="0.25"/>
  <pageSetup paperSize="119" firstPageNumber="194" orientation="landscape" useFirstPageNumber="1" r:id="rId1"/>
  <headerFooter alignWithMargins="0"/>
</worksheet>
</file>

<file path=xl/worksheets/sheet103.xml><?xml version="1.0" encoding="utf-8"?>
<worksheet xmlns="http://schemas.openxmlformats.org/spreadsheetml/2006/main" xmlns:r="http://schemas.openxmlformats.org/officeDocument/2006/relationships">
  <sheetPr codeName="Sheet138">
    <tabColor rgb="FFFFFF00"/>
  </sheetPr>
  <dimension ref="A1:E21"/>
  <sheetViews>
    <sheetView topLeftCell="A4" workbookViewId="0">
      <selection activeCell="D19" sqref="D19"/>
    </sheetView>
  </sheetViews>
  <sheetFormatPr defaultColWidth="9.109375" defaultRowHeight="14.4"/>
  <cols>
    <col min="1" max="1" width="35.44140625" style="818" customWidth="1"/>
    <col min="2" max="2" width="16.44140625" style="2409" customWidth="1"/>
    <col min="3" max="3" width="16.109375" style="2409" customWidth="1"/>
    <col min="4" max="4" width="13.44140625" style="2409" customWidth="1"/>
    <col min="5" max="5" width="14.88671875" style="2409" customWidth="1"/>
    <col min="6" max="16384" width="9.109375" style="818"/>
  </cols>
  <sheetData>
    <row r="1" spans="1:5" s="881" customFormat="1" ht="40.5" customHeight="1">
      <c r="A1" s="881" t="s">
        <v>3426</v>
      </c>
      <c r="B1" s="884"/>
      <c r="C1" s="884"/>
      <c r="D1" s="884"/>
      <c r="E1" s="884"/>
    </row>
    <row r="2" spans="1:5" s="881" customFormat="1" ht="15" customHeight="1">
      <c r="A2" s="881" t="s">
        <v>1288</v>
      </c>
      <c r="B2" s="884"/>
      <c r="C2" s="884"/>
      <c r="D2" s="884"/>
      <c r="E2" s="884"/>
    </row>
    <row r="3" spans="1:5" s="881" customFormat="1" ht="15" customHeight="1">
      <c r="B3" s="884"/>
      <c r="C3" s="884"/>
      <c r="D3" s="884"/>
      <c r="E3" s="884"/>
    </row>
    <row r="4" spans="1:5" s="881" customFormat="1">
      <c r="A4" s="14205" t="s">
        <v>3427</v>
      </c>
      <c r="B4" s="14207" t="s">
        <v>18</v>
      </c>
      <c r="C4" s="14207"/>
      <c r="D4" s="14207"/>
      <c r="E4" s="14208" t="s">
        <v>220</v>
      </c>
    </row>
    <row r="5" spans="1:5" s="882" customFormat="1">
      <c r="A5" s="14206"/>
      <c r="B5" s="2389" t="s">
        <v>2151</v>
      </c>
      <c r="C5" s="2389" t="s">
        <v>1973</v>
      </c>
      <c r="D5" s="2389" t="s">
        <v>52</v>
      </c>
      <c r="E5" s="14209"/>
    </row>
    <row r="6" spans="1:5" s="881" customFormat="1">
      <c r="A6" s="883" t="s">
        <v>2048</v>
      </c>
      <c r="B6" s="886"/>
      <c r="C6" s="886"/>
      <c r="D6" s="886"/>
      <c r="E6" s="886"/>
    </row>
    <row r="7" spans="1:5">
      <c r="A7" s="879" t="s">
        <v>4595</v>
      </c>
      <c r="B7" s="1128">
        <v>3556223</v>
      </c>
      <c r="C7" s="1128">
        <f>SUM('lbpf 5-PTO'!C415:C473,'lbpf 5-PTO'!C483:C532)-B7</f>
        <v>12065639</v>
      </c>
      <c r="D7" s="1128"/>
      <c r="E7" s="1128">
        <f>SUM(B7:D7)</f>
        <v>15621862</v>
      </c>
    </row>
    <row r="8" spans="1:5">
      <c r="A8" s="996" t="s">
        <v>4596</v>
      </c>
      <c r="B8" s="1128">
        <v>2268516</v>
      </c>
      <c r="C8" s="1128">
        <f>SUM('lbpf 5-PTO'!C150)-B8</f>
        <v>1745644</v>
      </c>
      <c r="D8" s="1128"/>
      <c r="E8" s="1128">
        <f t="shared" ref="E8:E13" si="0">SUM(B8:D8)</f>
        <v>4014160</v>
      </c>
    </row>
    <row r="9" spans="1:5">
      <c r="A9" s="996" t="s">
        <v>4597</v>
      </c>
      <c r="B9" s="1128">
        <v>2531004</v>
      </c>
      <c r="C9" s="1128">
        <f>'lbpf 5-PTO'!C27-B9</f>
        <v>1439832</v>
      </c>
      <c r="D9" s="1128"/>
      <c r="E9" s="1128">
        <f t="shared" si="0"/>
        <v>3970836</v>
      </c>
    </row>
    <row r="10" spans="1:5" s="951" customFormat="1" ht="35.25" customHeight="1">
      <c r="A10" s="998" t="s">
        <v>4598</v>
      </c>
      <c r="B10" s="1129">
        <v>2503570</v>
      </c>
      <c r="C10" s="1129">
        <f>'lbpf 5-PTO'!C238-B10</f>
        <v>2687801</v>
      </c>
      <c r="D10" s="1129"/>
      <c r="E10" s="1129">
        <f t="shared" si="0"/>
        <v>5191371</v>
      </c>
    </row>
    <row r="11" spans="1:5" ht="22.5" customHeight="1">
      <c r="A11" s="1139" t="s">
        <v>182</v>
      </c>
      <c r="B11" s="2406">
        <f>SUM(B7:B10)</f>
        <v>10859313</v>
      </c>
      <c r="C11" s="2406">
        <f>SUM(C7:C10)</f>
        <v>17938916</v>
      </c>
      <c r="D11" s="2406">
        <f>SUM(D7:D10)</f>
        <v>0</v>
      </c>
      <c r="E11" s="2406">
        <f>SUM(E7:E10)</f>
        <v>28798229</v>
      </c>
    </row>
    <row r="12" spans="1:5">
      <c r="A12" s="1304"/>
      <c r="B12" s="2407"/>
      <c r="C12" s="2407"/>
      <c r="D12" s="2407"/>
      <c r="E12" s="2407"/>
    </row>
    <row r="13" spans="1:5">
      <c r="A13" s="883" t="s">
        <v>3429</v>
      </c>
      <c r="B13" s="2407"/>
      <c r="C13" s="1128"/>
      <c r="D13" s="1128"/>
      <c r="E13" s="1128">
        <f t="shared" si="0"/>
        <v>0</v>
      </c>
    </row>
    <row r="14" spans="1:5" s="2390" customFormat="1" ht="18.899999999999999" customHeight="1">
      <c r="A14" s="2405" t="s">
        <v>7093</v>
      </c>
      <c r="B14" s="2234"/>
      <c r="C14" s="2234"/>
      <c r="D14" s="4012">
        <v>0</v>
      </c>
      <c r="E14" s="4012">
        <f>SUM(B14:D14)</f>
        <v>0</v>
      </c>
    </row>
    <row r="15" spans="1:5" s="2390" customFormat="1" ht="18.899999999999999" customHeight="1">
      <c r="A15" s="2405" t="s">
        <v>7094</v>
      </c>
      <c r="B15" s="2234"/>
      <c r="C15" s="2234"/>
      <c r="D15" s="4012">
        <v>0</v>
      </c>
      <c r="E15" s="4012">
        <f>SUM(B15:D15)</f>
        <v>0</v>
      </c>
    </row>
    <row r="16" spans="1:5" s="2390" customFormat="1" ht="18.899999999999999" customHeight="1">
      <c r="A16" s="2405" t="s">
        <v>7095</v>
      </c>
      <c r="B16" s="2234"/>
      <c r="C16" s="2234"/>
      <c r="D16" s="2237">
        <v>60000</v>
      </c>
      <c r="E16" s="2237">
        <v>60000</v>
      </c>
    </row>
    <row r="17" spans="1:5">
      <c r="A17" s="1131"/>
      <c r="B17" s="2407"/>
      <c r="C17" s="2408"/>
      <c r="D17" s="2408"/>
      <c r="E17" s="1128"/>
    </row>
    <row r="18" spans="1:5" ht="30" customHeight="1">
      <c r="A18" s="1131"/>
      <c r="B18" s="2407"/>
      <c r="C18" s="2408"/>
      <c r="D18" s="2408"/>
      <c r="E18" s="1128"/>
    </row>
    <row r="19" spans="1:5">
      <c r="A19" s="1131"/>
      <c r="B19" s="2407"/>
      <c r="C19" s="2408"/>
      <c r="D19" s="2408"/>
      <c r="E19" s="1128"/>
    </row>
    <row r="20" spans="1:5">
      <c r="A20" s="879"/>
      <c r="B20" s="1128"/>
      <c r="C20" s="1128"/>
      <c r="D20" s="1128"/>
      <c r="E20" s="1128"/>
    </row>
    <row r="21" spans="1:5" ht="21.75" customHeight="1">
      <c r="A21" s="891" t="s">
        <v>2850</v>
      </c>
      <c r="B21" s="892">
        <f>SUM(B17:B20)+B11</f>
        <v>10859313</v>
      </c>
      <c r="C21" s="892">
        <f>SUM(C17:C20)+C11</f>
        <v>17938916</v>
      </c>
      <c r="D21" s="892">
        <f>SUM(D12:D20)+D11</f>
        <v>60000</v>
      </c>
      <c r="E21" s="892">
        <f>SUM(E13:E20)+E11</f>
        <v>28858229</v>
      </c>
    </row>
  </sheetData>
  <mergeCells count="3">
    <mergeCell ref="A4:A5"/>
    <mergeCell ref="B4:D4"/>
    <mergeCell ref="E4:E5"/>
  </mergeCells>
  <printOptions horizontalCentered="1"/>
  <pageMargins left="0.5" right="0.25" top="0.75" bottom="0.5" header="0.3" footer="0.25"/>
  <pageSetup paperSize="119" firstPageNumber="195" orientation="portrait" useFirstPageNumber="1" verticalDpi="300" r:id="rId1"/>
</worksheet>
</file>

<file path=xl/worksheets/sheet104.xml><?xml version="1.0" encoding="utf-8"?>
<worksheet xmlns="http://schemas.openxmlformats.org/spreadsheetml/2006/main" xmlns:r="http://schemas.openxmlformats.org/officeDocument/2006/relationships">
  <sheetPr codeName="Sheet74">
    <tabColor rgb="FFFFFF00"/>
  </sheetPr>
  <dimension ref="A1:I71"/>
  <sheetViews>
    <sheetView showGridLines="0" workbookViewId="0">
      <selection activeCell="F2" sqref="F1:Q1048576"/>
    </sheetView>
  </sheetViews>
  <sheetFormatPr defaultRowHeight="12.9" customHeight="1"/>
  <cols>
    <col min="1" max="1" width="40.5546875" style="7001" customWidth="1"/>
    <col min="2" max="3" width="8.5546875" style="7001" customWidth="1"/>
    <col min="4" max="6" width="14.5546875" style="7001" customWidth="1"/>
    <col min="7" max="7" width="9.33203125" style="7001" customWidth="1"/>
    <col min="8" max="8" width="14.5546875" style="7001" customWidth="1"/>
    <col min="9" max="9" width="15" style="7001" customWidth="1"/>
    <col min="10" max="16" width="8.88671875" style="7001" customWidth="1"/>
    <col min="17" max="231" width="9.109375" style="7001"/>
    <col min="232" max="232" width="34.44140625" style="7001" customWidth="1"/>
    <col min="233" max="233" width="7.88671875" style="7001" customWidth="1"/>
    <col min="234" max="234" width="9.109375" style="7001"/>
    <col min="235" max="235" width="7.88671875" style="7001" customWidth="1"/>
    <col min="236" max="236" width="14" style="7001" customWidth="1"/>
    <col min="237" max="237" width="13.88671875" style="7001" customWidth="1"/>
    <col min="238" max="238" width="9.109375" style="7001"/>
    <col min="239" max="239" width="11.109375" style="7001" bestFit="1" customWidth="1"/>
    <col min="240" max="487" width="9.109375" style="7001"/>
    <col min="488" max="488" width="34.44140625" style="7001" customWidth="1"/>
    <col min="489" max="489" width="7.88671875" style="7001" customWidth="1"/>
    <col min="490" max="490" width="9.109375" style="7001"/>
    <col min="491" max="491" width="7.88671875" style="7001" customWidth="1"/>
    <col min="492" max="492" width="14" style="7001" customWidth="1"/>
    <col min="493" max="493" width="13.88671875" style="7001" customWidth="1"/>
    <col min="494" max="494" width="9.109375" style="7001"/>
    <col min="495" max="495" width="11.109375" style="7001" bestFit="1" customWidth="1"/>
    <col min="496" max="743" width="9.109375" style="7001"/>
    <col min="744" max="744" width="34.44140625" style="7001" customWidth="1"/>
    <col min="745" max="745" width="7.88671875" style="7001" customWidth="1"/>
    <col min="746" max="746" width="9.109375" style="7001"/>
    <col min="747" max="747" width="7.88671875" style="7001" customWidth="1"/>
    <col min="748" max="748" width="14" style="7001" customWidth="1"/>
    <col min="749" max="749" width="13.88671875" style="7001" customWidth="1"/>
    <col min="750" max="750" width="9.109375" style="7001"/>
    <col min="751" max="751" width="11.109375" style="7001" bestFit="1" customWidth="1"/>
    <col min="752" max="999" width="9.109375" style="7001"/>
    <col min="1000" max="1000" width="34.44140625" style="7001" customWidth="1"/>
    <col min="1001" max="1001" width="7.88671875" style="7001" customWidth="1"/>
    <col min="1002" max="1002" width="9.109375" style="7001"/>
    <col min="1003" max="1003" width="7.88671875" style="7001" customWidth="1"/>
    <col min="1004" max="1004" width="14" style="7001" customWidth="1"/>
    <col min="1005" max="1005" width="13.88671875" style="7001" customWidth="1"/>
    <col min="1006" max="1006" width="9.109375" style="7001"/>
    <col min="1007" max="1007" width="11.109375" style="7001" bestFit="1" customWidth="1"/>
    <col min="1008" max="1255" width="9.109375" style="7001"/>
    <col min="1256" max="1256" width="34.44140625" style="7001" customWidth="1"/>
    <col min="1257" max="1257" width="7.88671875" style="7001" customWidth="1"/>
    <col min="1258" max="1258" width="9.109375" style="7001"/>
    <col min="1259" max="1259" width="7.88671875" style="7001" customWidth="1"/>
    <col min="1260" max="1260" width="14" style="7001" customWidth="1"/>
    <col min="1261" max="1261" width="13.88671875" style="7001" customWidth="1"/>
    <col min="1262" max="1262" width="9.109375" style="7001"/>
    <col min="1263" max="1263" width="11.109375" style="7001" bestFit="1" customWidth="1"/>
    <col min="1264" max="1511" width="9.109375" style="7001"/>
    <col min="1512" max="1512" width="34.44140625" style="7001" customWidth="1"/>
    <col min="1513" max="1513" width="7.88671875" style="7001" customWidth="1"/>
    <col min="1514" max="1514" width="9.109375" style="7001"/>
    <col min="1515" max="1515" width="7.88671875" style="7001" customWidth="1"/>
    <col min="1516" max="1516" width="14" style="7001" customWidth="1"/>
    <col min="1517" max="1517" width="13.88671875" style="7001" customWidth="1"/>
    <col min="1518" max="1518" width="9.109375" style="7001"/>
    <col min="1519" max="1519" width="11.109375" style="7001" bestFit="1" customWidth="1"/>
    <col min="1520" max="1767" width="9.109375" style="7001"/>
    <col min="1768" max="1768" width="34.44140625" style="7001" customWidth="1"/>
    <col min="1769" max="1769" width="7.88671875" style="7001" customWidth="1"/>
    <col min="1770" max="1770" width="9.109375" style="7001"/>
    <col min="1771" max="1771" width="7.88671875" style="7001" customWidth="1"/>
    <col min="1772" max="1772" width="14" style="7001" customWidth="1"/>
    <col min="1773" max="1773" width="13.88671875" style="7001" customWidth="1"/>
    <col min="1774" max="1774" width="9.109375" style="7001"/>
    <col min="1775" max="1775" width="11.109375" style="7001" bestFit="1" customWidth="1"/>
    <col min="1776" max="2023" width="9.109375" style="7001"/>
    <col min="2024" max="2024" width="34.44140625" style="7001" customWidth="1"/>
    <col min="2025" max="2025" width="7.88671875" style="7001" customWidth="1"/>
    <col min="2026" max="2026" width="9.109375" style="7001"/>
    <col min="2027" max="2027" width="7.88671875" style="7001" customWidth="1"/>
    <col min="2028" max="2028" width="14" style="7001" customWidth="1"/>
    <col min="2029" max="2029" width="13.88671875" style="7001" customWidth="1"/>
    <col min="2030" max="2030" width="9.109375" style="7001"/>
    <col min="2031" max="2031" width="11.109375" style="7001" bestFit="1" customWidth="1"/>
    <col min="2032" max="2279" width="9.109375" style="7001"/>
    <col min="2280" max="2280" width="34.44140625" style="7001" customWidth="1"/>
    <col min="2281" max="2281" width="7.88671875" style="7001" customWidth="1"/>
    <col min="2282" max="2282" width="9.109375" style="7001"/>
    <col min="2283" max="2283" width="7.88671875" style="7001" customWidth="1"/>
    <col min="2284" max="2284" width="14" style="7001" customWidth="1"/>
    <col min="2285" max="2285" width="13.88671875" style="7001" customWidth="1"/>
    <col min="2286" max="2286" width="9.109375" style="7001"/>
    <col min="2287" max="2287" width="11.109375" style="7001" bestFit="1" customWidth="1"/>
    <col min="2288" max="2535" width="9.109375" style="7001"/>
    <col min="2536" max="2536" width="34.44140625" style="7001" customWidth="1"/>
    <col min="2537" max="2537" width="7.88671875" style="7001" customWidth="1"/>
    <col min="2538" max="2538" width="9.109375" style="7001"/>
    <col min="2539" max="2539" width="7.88671875" style="7001" customWidth="1"/>
    <col min="2540" max="2540" width="14" style="7001" customWidth="1"/>
    <col min="2541" max="2541" width="13.88671875" style="7001" customWidth="1"/>
    <col min="2542" max="2542" width="9.109375" style="7001"/>
    <col min="2543" max="2543" width="11.109375" style="7001" bestFit="1" customWidth="1"/>
    <col min="2544" max="2791" width="9.109375" style="7001"/>
    <col min="2792" max="2792" width="34.44140625" style="7001" customWidth="1"/>
    <col min="2793" max="2793" width="7.88671875" style="7001" customWidth="1"/>
    <col min="2794" max="2794" width="9.109375" style="7001"/>
    <col min="2795" max="2795" width="7.88671875" style="7001" customWidth="1"/>
    <col min="2796" max="2796" width="14" style="7001" customWidth="1"/>
    <col min="2797" max="2797" width="13.88671875" style="7001" customWidth="1"/>
    <col min="2798" max="2798" width="9.109375" style="7001"/>
    <col min="2799" max="2799" width="11.109375" style="7001" bestFit="1" customWidth="1"/>
    <col min="2800" max="3047" width="9.109375" style="7001"/>
    <col min="3048" max="3048" width="34.44140625" style="7001" customWidth="1"/>
    <col min="3049" max="3049" width="7.88671875" style="7001" customWidth="1"/>
    <col min="3050" max="3050" width="9.109375" style="7001"/>
    <col min="3051" max="3051" width="7.88671875" style="7001" customWidth="1"/>
    <col min="3052" max="3052" width="14" style="7001" customWidth="1"/>
    <col min="3053" max="3053" width="13.88671875" style="7001" customWidth="1"/>
    <col min="3054" max="3054" width="9.109375" style="7001"/>
    <col min="3055" max="3055" width="11.109375" style="7001" bestFit="1" customWidth="1"/>
    <col min="3056" max="3303" width="9.109375" style="7001"/>
    <col min="3304" max="3304" width="34.44140625" style="7001" customWidth="1"/>
    <col min="3305" max="3305" width="7.88671875" style="7001" customWidth="1"/>
    <col min="3306" max="3306" width="9.109375" style="7001"/>
    <col min="3307" max="3307" width="7.88671875" style="7001" customWidth="1"/>
    <col min="3308" max="3308" width="14" style="7001" customWidth="1"/>
    <col min="3309" max="3309" width="13.88671875" style="7001" customWidth="1"/>
    <col min="3310" max="3310" width="9.109375" style="7001"/>
    <col min="3311" max="3311" width="11.109375" style="7001" bestFit="1" customWidth="1"/>
    <col min="3312" max="3559" width="9.109375" style="7001"/>
    <col min="3560" max="3560" width="34.44140625" style="7001" customWidth="1"/>
    <col min="3561" max="3561" width="7.88671875" style="7001" customWidth="1"/>
    <col min="3562" max="3562" width="9.109375" style="7001"/>
    <col min="3563" max="3563" width="7.88671875" style="7001" customWidth="1"/>
    <col min="3564" max="3564" width="14" style="7001" customWidth="1"/>
    <col min="3565" max="3565" width="13.88671875" style="7001" customWidth="1"/>
    <col min="3566" max="3566" width="9.109375" style="7001"/>
    <col min="3567" max="3567" width="11.109375" style="7001" bestFit="1" customWidth="1"/>
    <col min="3568" max="3815" width="9.109375" style="7001"/>
    <col min="3816" max="3816" width="34.44140625" style="7001" customWidth="1"/>
    <col min="3817" max="3817" width="7.88671875" style="7001" customWidth="1"/>
    <col min="3818" max="3818" width="9.109375" style="7001"/>
    <col min="3819" max="3819" width="7.88671875" style="7001" customWidth="1"/>
    <col min="3820" max="3820" width="14" style="7001" customWidth="1"/>
    <col min="3821" max="3821" width="13.88671875" style="7001" customWidth="1"/>
    <col min="3822" max="3822" width="9.109375" style="7001"/>
    <col min="3823" max="3823" width="11.109375" style="7001" bestFit="1" customWidth="1"/>
    <col min="3824" max="4071" width="9.109375" style="7001"/>
    <col min="4072" max="4072" width="34.44140625" style="7001" customWidth="1"/>
    <col min="4073" max="4073" width="7.88671875" style="7001" customWidth="1"/>
    <col min="4074" max="4074" width="9.109375" style="7001"/>
    <col min="4075" max="4075" width="7.88671875" style="7001" customWidth="1"/>
    <col min="4076" max="4076" width="14" style="7001" customWidth="1"/>
    <col min="4077" max="4077" width="13.88671875" style="7001" customWidth="1"/>
    <col min="4078" max="4078" width="9.109375" style="7001"/>
    <col min="4079" max="4079" width="11.109375" style="7001" bestFit="1" customWidth="1"/>
    <col min="4080" max="4327" width="9.109375" style="7001"/>
    <col min="4328" max="4328" width="34.44140625" style="7001" customWidth="1"/>
    <col min="4329" max="4329" width="7.88671875" style="7001" customWidth="1"/>
    <col min="4330" max="4330" width="9.109375" style="7001"/>
    <col min="4331" max="4331" width="7.88671875" style="7001" customWidth="1"/>
    <col min="4332" max="4332" width="14" style="7001" customWidth="1"/>
    <col min="4333" max="4333" width="13.88671875" style="7001" customWidth="1"/>
    <col min="4334" max="4334" width="9.109375" style="7001"/>
    <col min="4335" max="4335" width="11.109375" style="7001" bestFit="1" customWidth="1"/>
    <col min="4336" max="4583" width="9.109375" style="7001"/>
    <col min="4584" max="4584" width="34.44140625" style="7001" customWidth="1"/>
    <col min="4585" max="4585" width="7.88671875" style="7001" customWidth="1"/>
    <col min="4586" max="4586" width="9.109375" style="7001"/>
    <col min="4587" max="4587" width="7.88671875" style="7001" customWidth="1"/>
    <col min="4588" max="4588" width="14" style="7001" customWidth="1"/>
    <col min="4589" max="4589" width="13.88671875" style="7001" customWidth="1"/>
    <col min="4590" max="4590" width="9.109375" style="7001"/>
    <col min="4591" max="4591" width="11.109375" style="7001" bestFit="1" customWidth="1"/>
    <col min="4592" max="4839" width="9.109375" style="7001"/>
    <col min="4840" max="4840" width="34.44140625" style="7001" customWidth="1"/>
    <col min="4841" max="4841" width="7.88671875" style="7001" customWidth="1"/>
    <col min="4842" max="4842" width="9.109375" style="7001"/>
    <col min="4843" max="4843" width="7.88671875" style="7001" customWidth="1"/>
    <col min="4844" max="4844" width="14" style="7001" customWidth="1"/>
    <col min="4845" max="4845" width="13.88671875" style="7001" customWidth="1"/>
    <col min="4846" max="4846" width="9.109375" style="7001"/>
    <col min="4847" max="4847" width="11.109375" style="7001" bestFit="1" customWidth="1"/>
    <col min="4848" max="5095" width="9.109375" style="7001"/>
    <col min="5096" max="5096" width="34.44140625" style="7001" customWidth="1"/>
    <col min="5097" max="5097" width="7.88671875" style="7001" customWidth="1"/>
    <col min="5098" max="5098" width="9.109375" style="7001"/>
    <col min="5099" max="5099" width="7.88671875" style="7001" customWidth="1"/>
    <col min="5100" max="5100" width="14" style="7001" customWidth="1"/>
    <col min="5101" max="5101" width="13.88671875" style="7001" customWidth="1"/>
    <col min="5102" max="5102" width="9.109375" style="7001"/>
    <col min="5103" max="5103" width="11.109375" style="7001" bestFit="1" customWidth="1"/>
    <col min="5104" max="5351" width="9.109375" style="7001"/>
    <col min="5352" max="5352" width="34.44140625" style="7001" customWidth="1"/>
    <col min="5353" max="5353" width="7.88671875" style="7001" customWidth="1"/>
    <col min="5354" max="5354" width="9.109375" style="7001"/>
    <col min="5355" max="5355" width="7.88671875" style="7001" customWidth="1"/>
    <col min="5356" max="5356" width="14" style="7001" customWidth="1"/>
    <col min="5357" max="5357" width="13.88671875" style="7001" customWidth="1"/>
    <col min="5358" max="5358" width="9.109375" style="7001"/>
    <col min="5359" max="5359" width="11.109375" style="7001" bestFit="1" customWidth="1"/>
    <col min="5360" max="5607" width="9.109375" style="7001"/>
    <col min="5608" max="5608" width="34.44140625" style="7001" customWidth="1"/>
    <col min="5609" max="5609" width="7.88671875" style="7001" customWidth="1"/>
    <col min="5610" max="5610" width="9.109375" style="7001"/>
    <col min="5611" max="5611" width="7.88671875" style="7001" customWidth="1"/>
    <col min="5612" max="5612" width="14" style="7001" customWidth="1"/>
    <col min="5613" max="5613" width="13.88671875" style="7001" customWidth="1"/>
    <col min="5614" max="5614" width="9.109375" style="7001"/>
    <col min="5615" max="5615" width="11.109375" style="7001" bestFit="1" customWidth="1"/>
    <col min="5616" max="5863" width="9.109375" style="7001"/>
    <col min="5864" max="5864" width="34.44140625" style="7001" customWidth="1"/>
    <col min="5865" max="5865" width="7.88671875" style="7001" customWidth="1"/>
    <col min="5866" max="5866" width="9.109375" style="7001"/>
    <col min="5867" max="5867" width="7.88671875" style="7001" customWidth="1"/>
    <col min="5868" max="5868" width="14" style="7001" customWidth="1"/>
    <col min="5869" max="5869" width="13.88671875" style="7001" customWidth="1"/>
    <col min="5870" max="5870" width="9.109375" style="7001"/>
    <col min="5871" max="5871" width="11.109375" style="7001" bestFit="1" customWidth="1"/>
    <col min="5872" max="6119" width="9.109375" style="7001"/>
    <col min="6120" max="6120" width="34.44140625" style="7001" customWidth="1"/>
    <col min="6121" max="6121" width="7.88671875" style="7001" customWidth="1"/>
    <col min="6122" max="6122" width="9.109375" style="7001"/>
    <col min="6123" max="6123" width="7.88671875" style="7001" customWidth="1"/>
    <col min="6124" max="6124" width="14" style="7001" customWidth="1"/>
    <col min="6125" max="6125" width="13.88671875" style="7001" customWidth="1"/>
    <col min="6126" max="6126" width="9.109375" style="7001"/>
    <col min="6127" max="6127" width="11.109375" style="7001" bestFit="1" customWidth="1"/>
    <col min="6128" max="6375" width="9.109375" style="7001"/>
    <col min="6376" max="6376" width="34.44140625" style="7001" customWidth="1"/>
    <col min="6377" max="6377" width="7.88671875" style="7001" customWidth="1"/>
    <col min="6378" max="6378" width="9.109375" style="7001"/>
    <col min="6379" max="6379" width="7.88671875" style="7001" customWidth="1"/>
    <col min="6380" max="6380" width="14" style="7001" customWidth="1"/>
    <col min="6381" max="6381" width="13.88671875" style="7001" customWidth="1"/>
    <col min="6382" max="6382" width="9.109375" style="7001"/>
    <col min="6383" max="6383" width="11.109375" style="7001" bestFit="1" customWidth="1"/>
    <col min="6384" max="6631" width="9.109375" style="7001"/>
    <col min="6632" max="6632" width="34.44140625" style="7001" customWidth="1"/>
    <col min="6633" max="6633" width="7.88671875" style="7001" customWidth="1"/>
    <col min="6634" max="6634" width="9.109375" style="7001"/>
    <col min="6635" max="6635" width="7.88671875" style="7001" customWidth="1"/>
    <col min="6636" max="6636" width="14" style="7001" customWidth="1"/>
    <col min="6637" max="6637" width="13.88671875" style="7001" customWidth="1"/>
    <col min="6638" max="6638" width="9.109375" style="7001"/>
    <col min="6639" max="6639" width="11.109375" style="7001" bestFit="1" customWidth="1"/>
    <col min="6640" max="6887" width="9.109375" style="7001"/>
    <col min="6888" max="6888" width="34.44140625" style="7001" customWidth="1"/>
    <col min="6889" max="6889" width="7.88671875" style="7001" customWidth="1"/>
    <col min="6890" max="6890" width="9.109375" style="7001"/>
    <col min="6891" max="6891" width="7.88671875" style="7001" customWidth="1"/>
    <col min="6892" max="6892" width="14" style="7001" customWidth="1"/>
    <col min="6893" max="6893" width="13.88671875" style="7001" customWidth="1"/>
    <col min="6894" max="6894" width="9.109375" style="7001"/>
    <col min="6895" max="6895" width="11.109375" style="7001" bestFit="1" customWidth="1"/>
    <col min="6896" max="7143" width="9.109375" style="7001"/>
    <col min="7144" max="7144" width="34.44140625" style="7001" customWidth="1"/>
    <col min="7145" max="7145" width="7.88671875" style="7001" customWidth="1"/>
    <col min="7146" max="7146" width="9.109375" style="7001"/>
    <col min="7147" max="7147" width="7.88671875" style="7001" customWidth="1"/>
    <col min="7148" max="7148" width="14" style="7001" customWidth="1"/>
    <col min="7149" max="7149" width="13.88671875" style="7001" customWidth="1"/>
    <col min="7150" max="7150" width="9.109375" style="7001"/>
    <col min="7151" max="7151" width="11.109375" style="7001" bestFit="1" customWidth="1"/>
    <col min="7152" max="7399" width="9.109375" style="7001"/>
    <col min="7400" max="7400" width="34.44140625" style="7001" customWidth="1"/>
    <col min="7401" max="7401" width="7.88671875" style="7001" customWidth="1"/>
    <col min="7402" max="7402" width="9.109375" style="7001"/>
    <col min="7403" max="7403" width="7.88671875" style="7001" customWidth="1"/>
    <col min="7404" max="7404" width="14" style="7001" customWidth="1"/>
    <col min="7405" max="7405" width="13.88671875" style="7001" customWidth="1"/>
    <col min="7406" max="7406" width="9.109375" style="7001"/>
    <col min="7407" max="7407" width="11.109375" style="7001" bestFit="1" customWidth="1"/>
    <col min="7408" max="7655" width="9.109375" style="7001"/>
    <col min="7656" max="7656" width="34.44140625" style="7001" customWidth="1"/>
    <col min="7657" max="7657" width="7.88671875" style="7001" customWidth="1"/>
    <col min="7658" max="7658" width="9.109375" style="7001"/>
    <col min="7659" max="7659" width="7.88671875" style="7001" customWidth="1"/>
    <col min="7660" max="7660" width="14" style="7001" customWidth="1"/>
    <col min="7661" max="7661" width="13.88671875" style="7001" customWidth="1"/>
    <col min="7662" max="7662" width="9.109375" style="7001"/>
    <col min="7663" max="7663" width="11.109375" style="7001" bestFit="1" customWidth="1"/>
    <col min="7664" max="7911" width="9.109375" style="7001"/>
    <col min="7912" max="7912" width="34.44140625" style="7001" customWidth="1"/>
    <col min="7913" max="7913" width="7.88671875" style="7001" customWidth="1"/>
    <col min="7914" max="7914" width="9.109375" style="7001"/>
    <col min="7915" max="7915" width="7.88671875" style="7001" customWidth="1"/>
    <col min="7916" max="7916" width="14" style="7001" customWidth="1"/>
    <col min="7917" max="7917" width="13.88671875" style="7001" customWidth="1"/>
    <col min="7918" max="7918" width="9.109375" style="7001"/>
    <col min="7919" max="7919" width="11.109375" style="7001" bestFit="1" customWidth="1"/>
    <col min="7920" max="8167" width="9.109375" style="7001"/>
    <col min="8168" max="8168" width="34.44140625" style="7001" customWidth="1"/>
    <col min="8169" max="8169" width="7.88671875" style="7001" customWidth="1"/>
    <col min="8170" max="8170" width="9.109375" style="7001"/>
    <col min="8171" max="8171" width="7.88671875" style="7001" customWidth="1"/>
    <col min="8172" max="8172" width="14" style="7001" customWidth="1"/>
    <col min="8173" max="8173" width="13.88671875" style="7001" customWidth="1"/>
    <col min="8174" max="8174" width="9.109375" style="7001"/>
    <col min="8175" max="8175" width="11.109375" style="7001" bestFit="1" customWidth="1"/>
    <col min="8176" max="8423" width="9.109375" style="7001"/>
    <col min="8424" max="8424" width="34.44140625" style="7001" customWidth="1"/>
    <col min="8425" max="8425" width="7.88671875" style="7001" customWidth="1"/>
    <col min="8426" max="8426" width="9.109375" style="7001"/>
    <col min="8427" max="8427" width="7.88671875" style="7001" customWidth="1"/>
    <col min="8428" max="8428" width="14" style="7001" customWidth="1"/>
    <col min="8429" max="8429" width="13.88671875" style="7001" customWidth="1"/>
    <col min="8430" max="8430" width="9.109375" style="7001"/>
    <col min="8431" max="8431" width="11.109375" style="7001" bestFit="1" customWidth="1"/>
    <col min="8432" max="8679" width="9.109375" style="7001"/>
    <col min="8680" max="8680" width="34.44140625" style="7001" customWidth="1"/>
    <col min="8681" max="8681" width="7.88671875" style="7001" customWidth="1"/>
    <col min="8682" max="8682" width="9.109375" style="7001"/>
    <col min="8683" max="8683" width="7.88671875" style="7001" customWidth="1"/>
    <col min="8684" max="8684" width="14" style="7001" customWidth="1"/>
    <col min="8685" max="8685" width="13.88671875" style="7001" customWidth="1"/>
    <col min="8686" max="8686" width="9.109375" style="7001"/>
    <col min="8687" max="8687" width="11.109375" style="7001" bestFit="1" customWidth="1"/>
    <col min="8688" max="8935" width="9.109375" style="7001"/>
    <col min="8936" max="8936" width="34.44140625" style="7001" customWidth="1"/>
    <col min="8937" max="8937" width="7.88671875" style="7001" customWidth="1"/>
    <col min="8938" max="8938" width="9.109375" style="7001"/>
    <col min="8939" max="8939" width="7.88671875" style="7001" customWidth="1"/>
    <col min="8940" max="8940" width="14" style="7001" customWidth="1"/>
    <col min="8941" max="8941" width="13.88671875" style="7001" customWidth="1"/>
    <col min="8942" max="8942" width="9.109375" style="7001"/>
    <col min="8943" max="8943" width="11.109375" style="7001" bestFit="1" customWidth="1"/>
    <col min="8944" max="9191" width="9.109375" style="7001"/>
    <col min="9192" max="9192" width="34.44140625" style="7001" customWidth="1"/>
    <col min="9193" max="9193" width="7.88671875" style="7001" customWidth="1"/>
    <col min="9194" max="9194" width="9.109375" style="7001"/>
    <col min="9195" max="9195" width="7.88671875" style="7001" customWidth="1"/>
    <col min="9196" max="9196" width="14" style="7001" customWidth="1"/>
    <col min="9197" max="9197" width="13.88671875" style="7001" customWidth="1"/>
    <col min="9198" max="9198" width="9.109375" style="7001"/>
    <col min="9199" max="9199" width="11.109375" style="7001" bestFit="1" customWidth="1"/>
    <col min="9200" max="9447" width="9.109375" style="7001"/>
    <col min="9448" max="9448" width="34.44140625" style="7001" customWidth="1"/>
    <col min="9449" max="9449" width="7.88671875" style="7001" customWidth="1"/>
    <col min="9450" max="9450" width="9.109375" style="7001"/>
    <col min="9451" max="9451" width="7.88671875" style="7001" customWidth="1"/>
    <col min="9452" max="9452" width="14" style="7001" customWidth="1"/>
    <col min="9453" max="9453" width="13.88671875" style="7001" customWidth="1"/>
    <col min="9454" max="9454" width="9.109375" style="7001"/>
    <col min="9455" max="9455" width="11.109375" style="7001" bestFit="1" customWidth="1"/>
    <col min="9456" max="9703" width="9.109375" style="7001"/>
    <col min="9704" max="9704" width="34.44140625" style="7001" customWidth="1"/>
    <col min="9705" max="9705" width="7.88671875" style="7001" customWidth="1"/>
    <col min="9706" max="9706" width="9.109375" style="7001"/>
    <col min="9707" max="9707" width="7.88671875" style="7001" customWidth="1"/>
    <col min="9708" max="9708" width="14" style="7001" customWidth="1"/>
    <col min="9709" max="9709" width="13.88671875" style="7001" customWidth="1"/>
    <col min="9710" max="9710" width="9.109375" style="7001"/>
    <col min="9711" max="9711" width="11.109375" style="7001" bestFit="1" customWidth="1"/>
    <col min="9712" max="9959" width="9.109375" style="7001"/>
    <col min="9960" max="9960" width="34.44140625" style="7001" customWidth="1"/>
    <col min="9961" max="9961" width="7.88671875" style="7001" customWidth="1"/>
    <col min="9962" max="9962" width="9.109375" style="7001"/>
    <col min="9963" max="9963" width="7.88671875" style="7001" customWidth="1"/>
    <col min="9964" max="9964" width="14" style="7001" customWidth="1"/>
    <col min="9965" max="9965" width="13.88671875" style="7001" customWidth="1"/>
    <col min="9966" max="9966" width="9.109375" style="7001"/>
    <col min="9967" max="9967" width="11.109375" style="7001" bestFit="1" customWidth="1"/>
    <col min="9968" max="10215" width="9.109375" style="7001"/>
    <col min="10216" max="10216" width="34.44140625" style="7001" customWidth="1"/>
    <col min="10217" max="10217" width="7.88671875" style="7001" customWidth="1"/>
    <col min="10218" max="10218" width="9.109375" style="7001"/>
    <col min="10219" max="10219" width="7.88671875" style="7001" customWidth="1"/>
    <col min="10220" max="10220" width="14" style="7001" customWidth="1"/>
    <col min="10221" max="10221" width="13.88671875" style="7001" customWidth="1"/>
    <col min="10222" max="10222" width="9.109375" style="7001"/>
    <col min="10223" max="10223" width="11.109375" style="7001" bestFit="1" customWidth="1"/>
    <col min="10224" max="10471" width="9.109375" style="7001"/>
    <col min="10472" max="10472" width="34.44140625" style="7001" customWidth="1"/>
    <col min="10473" max="10473" width="7.88671875" style="7001" customWidth="1"/>
    <col min="10474" max="10474" width="9.109375" style="7001"/>
    <col min="10475" max="10475" width="7.88671875" style="7001" customWidth="1"/>
    <col min="10476" max="10476" width="14" style="7001" customWidth="1"/>
    <col min="10477" max="10477" width="13.88671875" style="7001" customWidth="1"/>
    <col min="10478" max="10478" width="9.109375" style="7001"/>
    <col min="10479" max="10479" width="11.109375" style="7001" bestFit="1" customWidth="1"/>
    <col min="10480" max="10727" width="9.109375" style="7001"/>
    <col min="10728" max="10728" width="34.44140625" style="7001" customWidth="1"/>
    <col min="10729" max="10729" width="7.88671875" style="7001" customWidth="1"/>
    <col min="10730" max="10730" width="9.109375" style="7001"/>
    <col min="10731" max="10731" width="7.88671875" style="7001" customWidth="1"/>
    <col min="10732" max="10732" width="14" style="7001" customWidth="1"/>
    <col min="10733" max="10733" width="13.88671875" style="7001" customWidth="1"/>
    <col min="10734" max="10734" width="9.109375" style="7001"/>
    <col min="10735" max="10735" width="11.109375" style="7001" bestFit="1" customWidth="1"/>
    <col min="10736" max="10983" width="9.109375" style="7001"/>
    <col min="10984" max="10984" width="34.44140625" style="7001" customWidth="1"/>
    <col min="10985" max="10985" width="7.88671875" style="7001" customWidth="1"/>
    <col min="10986" max="10986" width="9.109375" style="7001"/>
    <col min="10987" max="10987" width="7.88671875" style="7001" customWidth="1"/>
    <col min="10988" max="10988" width="14" style="7001" customWidth="1"/>
    <col min="10989" max="10989" width="13.88671875" style="7001" customWidth="1"/>
    <col min="10990" max="10990" width="9.109375" style="7001"/>
    <col min="10991" max="10991" width="11.109375" style="7001" bestFit="1" customWidth="1"/>
    <col min="10992" max="11239" width="9.109375" style="7001"/>
    <col min="11240" max="11240" width="34.44140625" style="7001" customWidth="1"/>
    <col min="11241" max="11241" width="7.88671875" style="7001" customWidth="1"/>
    <col min="11242" max="11242" width="9.109375" style="7001"/>
    <col min="11243" max="11243" width="7.88671875" style="7001" customWidth="1"/>
    <col min="11244" max="11244" width="14" style="7001" customWidth="1"/>
    <col min="11245" max="11245" width="13.88671875" style="7001" customWidth="1"/>
    <col min="11246" max="11246" width="9.109375" style="7001"/>
    <col min="11247" max="11247" width="11.109375" style="7001" bestFit="1" customWidth="1"/>
    <col min="11248" max="11495" width="9.109375" style="7001"/>
    <col min="11496" max="11496" width="34.44140625" style="7001" customWidth="1"/>
    <col min="11497" max="11497" width="7.88671875" style="7001" customWidth="1"/>
    <col min="11498" max="11498" width="9.109375" style="7001"/>
    <col min="11499" max="11499" width="7.88671875" style="7001" customWidth="1"/>
    <col min="11500" max="11500" width="14" style="7001" customWidth="1"/>
    <col min="11501" max="11501" width="13.88671875" style="7001" customWidth="1"/>
    <col min="11502" max="11502" width="9.109375" style="7001"/>
    <col min="11503" max="11503" width="11.109375" style="7001" bestFit="1" customWidth="1"/>
    <col min="11504" max="11751" width="9.109375" style="7001"/>
    <col min="11752" max="11752" width="34.44140625" style="7001" customWidth="1"/>
    <col min="11753" max="11753" width="7.88671875" style="7001" customWidth="1"/>
    <col min="11754" max="11754" width="9.109375" style="7001"/>
    <col min="11755" max="11755" width="7.88671875" style="7001" customWidth="1"/>
    <col min="11756" max="11756" width="14" style="7001" customWidth="1"/>
    <col min="11757" max="11757" width="13.88671875" style="7001" customWidth="1"/>
    <col min="11758" max="11758" width="9.109375" style="7001"/>
    <col min="11759" max="11759" width="11.109375" style="7001" bestFit="1" customWidth="1"/>
    <col min="11760" max="12007" width="9.109375" style="7001"/>
    <col min="12008" max="12008" width="34.44140625" style="7001" customWidth="1"/>
    <col min="12009" max="12009" width="7.88671875" style="7001" customWidth="1"/>
    <col min="12010" max="12010" width="9.109375" style="7001"/>
    <col min="12011" max="12011" width="7.88671875" style="7001" customWidth="1"/>
    <col min="12012" max="12012" width="14" style="7001" customWidth="1"/>
    <col min="12013" max="12013" width="13.88671875" style="7001" customWidth="1"/>
    <col min="12014" max="12014" width="9.109375" style="7001"/>
    <col min="12015" max="12015" width="11.109375" style="7001" bestFit="1" customWidth="1"/>
    <col min="12016" max="12263" width="9.109375" style="7001"/>
    <col min="12264" max="12264" width="34.44140625" style="7001" customWidth="1"/>
    <col min="12265" max="12265" width="7.88671875" style="7001" customWidth="1"/>
    <col min="12266" max="12266" width="9.109375" style="7001"/>
    <col min="12267" max="12267" width="7.88671875" style="7001" customWidth="1"/>
    <col min="12268" max="12268" width="14" style="7001" customWidth="1"/>
    <col min="12269" max="12269" width="13.88671875" style="7001" customWidth="1"/>
    <col min="12270" max="12270" width="9.109375" style="7001"/>
    <col min="12271" max="12271" width="11.109375" style="7001" bestFit="1" customWidth="1"/>
    <col min="12272" max="12519" width="9.109375" style="7001"/>
    <col min="12520" max="12520" width="34.44140625" style="7001" customWidth="1"/>
    <col min="12521" max="12521" width="7.88671875" style="7001" customWidth="1"/>
    <col min="12522" max="12522" width="9.109375" style="7001"/>
    <col min="12523" max="12523" width="7.88671875" style="7001" customWidth="1"/>
    <col min="12524" max="12524" width="14" style="7001" customWidth="1"/>
    <col min="12525" max="12525" width="13.88671875" style="7001" customWidth="1"/>
    <col min="12526" max="12526" width="9.109375" style="7001"/>
    <col min="12527" max="12527" width="11.109375" style="7001" bestFit="1" customWidth="1"/>
    <col min="12528" max="12775" width="9.109375" style="7001"/>
    <col min="12776" max="12776" width="34.44140625" style="7001" customWidth="1"/>
    <col min="12777" max="12777" width="7.88671875" style="7001" customWidth="1"/>
    <col min="12778" max="12778" width="9.109375" style="7001"/>
    <col min="12779" max="12779" width="7.88671875" style="7001" customWidth="1"/>
    <col min="12780" max="12780" width="14" style="7001" customWidth="1"/>
    <col min="12781" max="12781" width="13.88671875" style="7001" customWidth="1"/>
    <col min="12782" max="12782" width="9.109375" style="7001"/>
    <col min="12783" max="12783" width="11.109375" style="7001" bestFit="1" customWidth="1"/>
    <col min="12784" max="13031" width="9.109375" style="7001"/>
    <col min="13032" max="13032" width="34.44140625" style="7001" customWidth="1"/>
    <col min="13033" max="13033" width="7.88671875" style="7001" customWidth="1"/>
    <col min="13034" max="13034" width="9.109375" style="7001"/>
    <col min="13035" max="13035" width="7.88671875" style="7001" customWidth="1"/>
    <col min="13036" max="13036" width="14" style="7001" customWidth="1"/>
    <col min="13037" max="13037" width="13.88671875" style="7001" customWidth="1"/>
    <col min="13038" max="13038" width="9.109375" style="7001"/>
    <col min="13039" max="13039" width="11.109375" style="7001" bestFit="1" customWidth="1"/>
    <col min="13040" max="13287" width="9.109375" style="7001"/>
    <col min="13288" max="13288" width="34.44140625" style="7001" customWidth="1"/>
    <col min="13289" max="13289" width="7.88671875" style="7001" customWidth="1"/>
    <col min="13290" max="13290" width="9.109375" style="7001"/>
    <col min="13291" max="13291" width="7.88671875" style="7001" customWidth="1"/>
    <col min="13292" max="13292" width="14" style="7001" customWidth="1"/>
    <col min="13293" max="13293" width="13.88671875" style="7001" customWidth="1"/>
    <col min="13294" max="13294" width="9.109375" style="7001"/>
    <col min="13295" max="13295" width="11.109375" style="7001" bestFit="1" customWidth="1"/>
    <col min="13296" max="13543" width="9.109375" style="7001"/>
    <col min="13544" max="13544" width="34.44140625" style="7001" customWidth="1"/>
    <col min="13545" max="13545" width="7.88671875" style="7001" customWidth="1"/>
    <col min="13546" max="13546" width="9.109375" style="7001"/>
    <col min="13547" max="13547" width="7.88671875" style="7001" customWidth="1"/>
    <col min="13548" max="13548" width="14" style="7001" customWidth="1"/>
    <col min="13549" max="13549" width="13.88671875" style="7001" customWidth="1"/>
    <col min="13550" max="13550" width="9.109375" style="7001"/>
    <col min="13551" max="13551" width="11.109375" style="7001" bestFit="1" customWidth="1"/>
    <col min="13552" max="13799" width="9.109375" style="7001"/>
    <col min="13800" max="13800" width="34.44140625" style="7001" customWidth="1"/>
    <col min="13801" max="13801" width="7.88671875" style="7001" customWidth="1"/>
    <col min="13802" max="13802" width="9.109375" style="7001"/>
    <col min="13803" max="13803" width="7.88671875" style="7001" customWidth="1"/>
    <col min="13804" max="13804" width="14" style="7001" customWidth="1"/>
    <col min="13805" max="13805" width="13.88671875" style="7001" customWidth="1"/>
    <col min="13806" max="13806" width="9.109375" style="7001"/>
    <col min="13807" max="13807" width="11.109375" style="7001" bestFit="1" customWidth="1"/>
    <col min="13808" max="14055" width="9.109375" style="7001"/>
    <col min="14056" max="14056" width="34.44140625" style="7001" customWidth="1"/>
    <col min="14057" max="14057" width="7.88671875" style="7001" customWidth="1"/>
    <col min="14058" max="14058" width="9.109375" style="7001"/>
    <col min="14059" max="14059" width="7.88671875" style="7001" customWidth="1"/>
    <col min="14060" max="14060" width="14" style="7001" customWidth="1"/>
    <col min="14061" max="14061" width="13.88671875" style="7001" customWidth="1"/>
    <col min="14062" max="14062" width="9.109375" style="7001"/>
    <col min="14063" max="14063" width="11.109375" style="7001" bestFit="1" customWidth="1"/>
    <col min="14064" max="14311" width="9.109375" style="7001"/>
    <col min="14312" max="14312" width="34.44140625" style="7001" customWidth="1"/>
    <col min="14313" max="14313" width="7.88671875" style="7001" customWidth="1"/>
    <col min="14314" max="14314" width="9.109375" style="7001"/>
    <col min="14315" max="14315" width="7.88671875" style="7001" customWidth="1"/>
    <col min="14316" max="14316" width="14" style="7001" customWidth="1"/>
    <col min="14317" max="14317" width="13.88671875" style="7001" customWidth="1"/>
    <col min="14318" max="14318" width="9.109375" style="7001"/>
    <col min="14319" max="14319" width="11.109375" style="7001" bestFit="1" customWidth="1"/>
    <col min="14320" max="14567" width="9.109375" style="7001"/>
    <col min="14568" max="14568" width="34.44140625" style="7001" customWidth="1"/>
    <col min="14569" max="14569" width="7.88671875" style="7001" customWidth="1"/>
    <col min="14570" max="14570" width="9.109375" style="7001"/>
    <col min="14571" max="14571" width="7.88671875" style="7001" customWidth="1"/>
    <col min="14572" max="14572" width="14" style="7001" customWidth="1"/>
    <col min="14573" max="14573" width="13.88671875" style="7001" customWidth="1"/>
    <col min="14574" max="14574" width="9.109375" style="7001"/>
    <col min="14575" max="14575" width="11.109375" style="7001" bestFit="1" customWidth="1"/>
    <col min="14576" max="14823" width="9.109375" style="7001"/>
    <col min="14824" max="14824" width="34.44140625" style="7001" customWidth="1"/>
    <col min="14825" max="14825" width="7.88671875" style="7001" customWidth="1"/>
    <col min="14826" max="14826" width="9.109375" style="7001"/>
    <col min="14827" max="14827" width="7.88671875" style="7001" customWidth="1"/>
    <col min="14828" max="14828" width="14" style="7001" customWidth="1"/>
    <col min="14829" max="14829" width="13.88671875" style="7001" customWidth="1"/>
    <col min="14830" max="14830" width="9.109375" style="7001"/>
    <col min="14831" max="14831" width="11.109375" style="7001" bestFit="1" customWidth="1"/>
    <col min="14832" max="15079" width="9.109375" style="7001"/>
    <col min="15080" max="15080" width="34.44140625" style="7001" customWidth="1"/>
    <col min="15081" max="15081" width="7.88671875" style="7001" customWidth="1"/>
    <col min="15082" max="15082" width="9.109375" style="7001"/>
    <col min="15083" max="15083" width="7.88671875" style="7001" customWidth="1"/>
    <col min="15084" max="15084" width="14" style="7001" customWidth="1"/>
    <col min="15085" max="15085" width="13.88671875" style="7001" customWidth="1"/>
    <col min="15086" max="15086" width="9.109375" style="7001"/>
    <col min="15087" max="15087" width="11.109375" style="7001" bestFit="1" customWidth="1"/>
    <col min="15088" max="15335" width="9.109375" style="7001"/>
    <col min="15336" max="15336" width="34.44140625" style="7001" customWidth="1"/>
    <col min="15337" max="15337" width="7.88671875" style="7001" customWidth="1"/>
    <col min="15338" max="15338" width="9.109375" style="7001"/>
    <col min="15339" max="15339" width="7.88671875" style="7001" customWidth="1"/>
    <col min="15340" max="15340" width="14" style="7001" customWidth="1"/>
    <col min="15341" max="15341" width="13.88671875" style="7001" customWidth="1"/>
    <col min="15342" max="15342" width="9.109375" style="7001"/>
    <col min="15343" max="15343" width="11.109375" style="7001" bestFit="1" customWidth="1"/>
    <col min="15344" max="15591" width="9.109375" style="7001"/>
    <col min="15592" max="15592" width="34.44140625" style="7001" customWidth="1"/>
    <col min="15593" max="15593" width="7.88671875" style="7001" customWidth="1"/>
    <col min="15594" max="15594" width="9.109375" style="7001"/>
    <col min="15595" max="15595" width="7.88671875" style="7001" customWidth="1"/>
    <col min="15596" max="15596" width="14" style="7001" customWidth="1"/>
    <col min="15597" max="15597" width="13.88671875" style="7001" customWidth="1"/>
    <col min="15598" max="15598" width="9.109375" style="7001"/>
    <col min="15599" max="15599" width="11.109375" style="7001" bestFit="1" customWidth="1"/>
    <col min="15600" max="15847" width="9.109375" style="7001"/>
    <col min="15848" max="15848" width="34.44140625" style="7001" customWidth="1"/>
    <col min="15849" max="15849" width="7.88671875" style="7001" customWidth="1"/>
    <col min="15850" max="15850" width="9.109375" style="7001"/>
    <col min="15851" max="15851" width="7.88671875" style="7001" customWidth="1"/>
    <col min="15852" max="15852" width="14" style="7001" customWidth="1"/>
    <col min="15853" max="15853" width="13.88671875" style="7001" customWidth="1"/>
    <col min="15854" max="15854" width="9.109375" style="7001"/>
    <col min="15855" max="15855" width="11.109375" style="7001" bestFit="1" customWidth="1"/>
    <col min="15856" max="16103" width="9.109375" style="7001"/>
    <col min="16104" max="16104" width="34.44140625" style="7001" customWidth="1"/>
    <col min="16105" max="16105" width="7.88671875" style="7001" customWidth="1"/>
    <col min="16106" max="16106" width="9.109375" style="7001"/>
    <col min="16107" max="16107" width="7.88671875" style="7001" customWidth="1"/>
    <col min="16108" max="16108" width="14" style="7001" customWidth="1"/>
    <col min="16109" max="16109" width="13.88671875" style="7001" customWidth="1"/>
    <col min="16110" max="16110" width="9.109375" style="7001"/>
    <col min="16111" max="16111" width="11.109375" style="7001" bestFit="1" customWidth="1"/>
    <col min="16112" max="16384" width="9.109375" style="7001"/>
  </cols>
  <sheetData>
    <row r="1" spans="1:8" ht="12.9" customHeight="1">
      <c r="A1" s="14395" t="s">
        <v>1087</v>
      </c>
      <c r="B1" s="14395"/>
      <c r="C1" s="14395"/>
      <c r="D1" s="14395"/>
      <c r="E1" s="14395"/>
      <c r="F1" s="14395"/>
    </row>
    <row r="3" spans="1:8" ht="12.9" customHeight="1" thickBot="1">
      <c r="A3" s="7162" t="s">
        <v>10072</v>
      </c>
    </row>
    <row r="4" spans="1:8" ht="12.9" customHeight="1" thickBot="1">
      <c r="A4" s="9675" t="s">
        <v>842</v>
      </c>
      <c r="B4" s="10713" t="s">
        <v>1035</v>
      </c>
      <c r="C4" s="10713" t="s">
        <v>1036</v>
      </c>
      <c r="D4" s="14917" t="s">
        <v>1037</v>
      </c>
      <c r="E4" s="14917"/>
      <c r="F4" s="14918"/>
    </row>
    <row r="5" spans="1:8" ht="12.9" customHeight="1" thickBot="1">
      <c r="A5" s="9679" t="s">
        <v>1088</v>
      </c>
      <c r="B5" s="7182"/>
      <c r="C5" s="7182" t="s">
        <v>1039</v>
      </c>
      <c r="D5" s="9728" t="s">
        <v>10</v>
      </c>
      <c r="E5" s="9728" t="s">
        <v>11</v>
      </c>
      <c r="F5" s="9745" t="s">
        <v>11621</v>
      </c>
    </row>
    <row r="6" spans="1:8" ht="12.9" customHeight="1">
      <c r="A6" s="9682" t="s">
        <v>806</v>
      </c>
      <c r="B6" s="7174"/>
      <c r="C6" s="7174"/>
      <c r="D6" s="7174"/>
      <c r="E6" s="7174"/>
      <c r="F6" s="7242"/>
    </row>
    <row r="7" spans="1:8" ht="12.9" customHeight="1">
      <c r="A7" s="7231" t="s">
        <v>1149</v>
      </c>
      <c r="B7" s="7174"/>
      <c r="C7" s="7174"/>
      <c r="D7" s="7174"/>
      <c r="E7" s="7174"/>
      <c r="F7" s="7242"/>
    </row>
    <row r="8" spans="1:8" ht="12.9" customHeight="1">
      <c r="A8" s="7231" t="s">
        <v>1289</v>
      </c>
      <c r="B8" s="7172">
        <v>1</v>
      </c>
      <c r="C8" s="7172">
        <v>26</v>
      </c>
      <c r="D8" s="7177">
        <v>986880</v>
      </c>
      <c r="E8" s="7177">
        <v>1155744</v>
      </c>
      <c r="F8" s="7245">
        <v>1375584</v>
      </c>
    </row>
    <row r="9" spans="1:8" ht="12.9" customHeight="1">
      <c r="A9" s="7231" t="s">
        <v>1290</v>
      </c>
      <c r="B9" s="7172">
        <v>1</v>
      </c>
      <c r="C9" s="7172">
        <v>24</v>
      </c>
      <c r="D9" s="7177">
        <v>0</v>
      </c>
      <c r="E9" s="7177">
        <v>0</v>
      </c>
      <c r="F9" s="7245">
        <v>1000872</v>
      </c>
      <c r="G9" s="7001">
        <f>SUM(B8:B9)</f>
        <v>2</v>
      </c>
      <c r="H9" s="7164">
        <f>SUM(F8:F9)</f>
        <v>2376456</v>
      </c>
    </row>
    <row r="10" spans="1:8" ht="12.9" customHeight="1">
      <c r="A10" s="7231"/>
      <c r="B10" s="9403"/>
      <c r="C10" s="9403"/>
      <c r="D10" s="9608"/>
      <c r="E10" s="9608"/>
      <c r="F10" s="9948"/>
    </row>
    <row r="11" spans="1:8" ht="12.9" customHeight="1">
      <c r="A11" s="6230" t="s">
        <v>1280</v>
      </c>
      <c r="B11" s="7174"/>
      <c r="C11" s="7174"/>
      <c r="D11" s="7174"/>
      <c r="E11" s="7174"/>
      <c r="F11" s="7242"/>
    </row>
    <row r="12" spans="1:8" ht="12.9" customHeight="1">
      <c r="A12" s="6230" t="s">
        <v>1291</v>
      </c>
      <c r="B12" s="7174"/>
      <c r="C12" s="7174"/>
      <c r="D12" s="7174"/>
      <c r="E12" s="7174"/>
      <c r="F12" s="7242"/>
    </row>
    <row r="13" spans="1:8" ht="12.9" customHeight="1">
      <c r="A13" s="7231" t="s">
        <v>1292</v>
      </c>
      <c r="B13" s="7172">
        <v>1</v>
      </c>
      <c r="C13" s="7172">
        <v>22</v>
      </c>
      <c r="D13" s="7177">
        <v>687096</v>
      </c>
      <c r="E13" s="7177">
        <v>770400</v>
      </c>
      <c r="F13" s="7245">
        <v>877884</v>
      </c>
    </row>
    <row r="14" spans="1:8" ht="12.9" customHeight="1">
      <c r="A14" s="7231" t="s">
        <v>1293</v>
      </c>
      <c r="B14" s="7172">
        <v>1</v>
      </c>
      <c r="C14" s="7172">
        <v>22</v>
      </c>
      <c r="D14" s="7177">
        <v>687096</v>
      </c>
      <c r="E14" s="7177">
        <v>770400</v>
      </c>
      <c r="F14" s="7245">
        <v>877884</v>
      </c>
      <c r="G14" s="7001">
        <f>SUM(B13:B14)</f>
        <v>2</v>
      </c>
      <c r="H14" s="7164">
        <f>SUM(F13:F14)</f>
        <v>1755768</v>
      </c>
    </row>
    <row r="15" spans="1:8" ht="12.9" customHeight="1">
      <c r="A15" s="7231"/>
      <c r="B15" s="7172"/>
      <c r="C15" s="7172"/>
      <c r="D15" s="7177"/>
      <c r="E15" s="7177"/>
      <c r="F15" s="7245"/>
    </row>
    <row r="16" spans="1:8" ht="12.9" customHeight="1">
      <c r="A16" s="6230" t="s">
        <v>1294</v>
      </c>
      <c r="B16" s="7172"/>
      <c r="C16" s="7172"/>
      <c r="D16" s="7177"/>
      <c r="E16" s="7177"/>
      <c r="F16" s="7245"/>
    </row>
    <row r="17" spans="1:9" ht="12.9" customHeight="1">
      <c r="A17" s="7231" t="s">
        <v>10423</v>
      </c>
      <c r="B17" s="7172">
        <v>1</v>
      </c>
      <c r="C17" s="7172">
        <v>15</v>
      </c>
      <c r="D17" s="7177">
        <v>358824</v>
      </c>
      <c r="E17" s="7177">
        <v>378540</v>
      </c>
      <c r="F17" s="7245">
        <v>399348</v>
      </c>
    </row>
    <row r="18" spans="1:9" ht="12.9" customHeight="1">
      <c r="A18" s="7231" t="s">
        <v>10422</v>
      </c>
      <c r="B18" s="7172">
        <v>1</v>
      </c>
      <c r="C18" s="7172">
        <v>11</v>
      </c>
      <c r="D18" s="7177">
        <v>241056</v>
      </c>
      <c r="E18" s="7177">
        <v>248376</v>
      </c>
      <c r="F18" s="7245">
        <v>259428</v>
      </c>
      <c r="I18" s="7173">
        <v>241056</v>
      </c>
    </row>
    <row r="19" spans="1:9" ht="12.9" customHeight="1">
      <c r="A19" s="7231" t="s">
        <v>1296</v>
      </c>
      <c r="B19" s="7172">
        <v>3</v>
      </c>
      <c r="C19" s="7172">
        <v>15</v>
      </c>
      <c r="D19" s="7177">
        <v>689136</v>
      </c>
      <c r="E19" s="7177">
        <v>730596</v>
      </c>
      <c r="F19" s="7245">
        <v>1112904</v>
      </c>
    </row>
    <row r="20" spans="1:9" ht="12.9" customHeight="1">
      <c r="A20" s="7231" t="s">
        <v>1297</v>
      </c>
      <c r="B20" s="7172">
        <v>4</v>
      </c>
      <c r="C20" s="7172">
        <v>8</v>
      </c>
      <c r="D20" s="7177">
        <v>1179588</v>
      </c>
      <c r="E20" s="7177">
        <v>1218600</v>
      </c>
      <c r="F20" s="7245">
        <v>843528</v>
      </c>
    </row>
    <row r="21" spans="1:9" ht="12.9" customHeight="1">
      <c r="A21" s="7231" t="s">
        <v>1298</v>
      </c>
      <c r="B21" s="7172">
        <v>3</v>
      </c>
      <c r="C21" s="7172">
        <v>8</v>
      </c>
      <c r="D21" s="7177">
        <v>593496</v>
      </c>
      <c r="E21" s="7177">
        <v>610320</v>
      </c>
      <c r="F21" s="7245">
        <v>631188</v>
      </c>
    </row>
    <row r="22" spans="1:9" ht="12.9" customHeight="1">
      <c r="A22" s="7231" t="s">
        <v>1299</v>
      </c>
      <c r="B22" s="7172">
        <v>1</v>
      </c>
      <c r="C22" s="7172">
        <v>9</v>
      </c>
      <c r="D22" s="7177">
        <v>205704</v>
      </c>
      <c r="E22" s="7177">
        <v>213372</v>
      </c>
      <c r="F22" s="7245">
        <v>219324</v>
      </c>
    </row>
    <row r="23" spans="1:9" ht="12.9" customHeight="1">
      <c r="A23" s="7231" t="s">
        <v>10421</v>
      </c>
      <c r="B23" s="7172">
        <v>4</v>
      </c>
      <c r="C23" s="7172">
        <v>7</v>
      </c>
      <c r="D23" s="7177">
        <v>736896</v>
      </c>
      <c r="E23" s="7177">
        <v>758376</v>
      </c>
      <c r="F23" s="7245">
        <v>783468</v>
      </c>
    </row>
    <row r="24" spans="1:9" ht="12.9" customHeight="1">
      <c r="A24" s="7231" t="s">
        <v>1300</v>
      </c>
      <c r="B24" s="7172">
        <v>1</v>
      </c>
      <c r="C24" s="7172">
        <v>6</v>
      </c>
      <c r="D24" s="7177">
        <v>167676</v>
      </c>
      <c r="E24" s="7177">
        <v>174936</v>
      </c>
      <c r="F24" s="7245">
        <v>180912</v>
      </c>
    </row>
    <row r="25" spans="1:9" ht="12.9" customHeight="1">
      <c r="A25" s="7231" t="s">
        <v>1303</v>
      </c>
      <c r="B25" s="7206">
        <v>1</v>
      </c>
      <c r="C25" s="7206">
        <v>5</v>
      </c>
      <c r="D25" s="7176">
        <v>314808</v>
      </c>
      <c r="E25" s="7176">
        <v>328920</v>
      </c>
      <c r="F25" s="7175">
        <v>170676</v>
      </c>
    </row>
    <row r="26" spans="1:9" ht="12.9" customHeight="1">
      <c r="A26" s="6230" t="s">
        <v>1286</v>
      </c>
      <c r="B26" s="7172"/>
      <c r="C26" s="7172"/>
      <c r="D26" s="7177"/>
      <c r="E26" s="7177"/>
      <c r="F26" s="7245"/>
      <c r="G26" s="7001">
        <f>SUM(B17:B26)</f>
        <v>19</v>
      </c>
      <c r="H26" s="7164">
        <f>SUM(F17:F26)</f>
        <v>4600776</v>
      </c>
    </row>
    <row r="27" spans="1:9" ht="12.9" customHeight="1">
      <c r="A27" s="7231" t="s">
        <v>9208</v>
      </c>
      <c r="B27" s="7172">
        <v>1</v>
      </c>
      <c r="C27" s="7172">
        <v>22</v>
      </c>
      <c r="D27" s="7177">
        <v>633396</v>
      </c>
      <c r="E27" s="7177">
        <v>704604</v>
      </c>
      <c r="F27" s="7245">
        <v>783828</v>
      </c>
    </row>
    <row r="28" spans="1:9" ht="12.9" customHeight="1">
      <c r="A28" s="7231" t="s">
        <v>1095</v>
      </c>
      <c r="B28" s="7172">
        <v>2</v>
      </c>
      <c r="C28" s="7172">
        <v>18</v>
      </c>
      <c r="D28" s="7177">
        <v>866700</v>
      </c>
      <c r="E28" s="7177">
        <v>925104</v>
      </c>
      <c r="F28" s="7245">
        <v>993480</v>
      </c>
    </row>
    <row r="29" spans="1:9" ht="12.9" customHeight="1">
      <c r="A29" s="7231" t="s">
        <v>1301</v>
      </c>
      <c r="B29" s="7172">
        <v>2</v>
      </c>
      <c r="C29" s="7172">
        <v>14</v>
      </c>
      <c r="D29" s="7177">
        <v>303480</v>
      </c>
      <c r="E29" s="7177">
        <v>317928</v>
      </c>
      <c r="F29" s="7245">
        <v>666120</v>
      </c>
    </row>
    <row r="30" spans="1:9" ht="12.9" customHeight="1">
      <c r="A30" s="7231" t="s">
        <v>1172</v>
      </c>
      <c r="B30" s="7172">
        <v>1</v>
      </c>
      <c r="C30" s="7172">
        <v>10</v>
      </c>
      <c r="D30" s="7177">
        <v>220620</v>
      </c>
      <c r="E30" s="7177">
        <v>228576</v>
      </c>
      <c r="F30" s="7245">
        <v>234672</v>
      </c>
    </row>
    <row r="31" spans="1:9" ht="12.9" customHeight="1">
      <c r="A31" s="7231" t="s">
        <v>1096</v>
      </c>
      <c r="B31" s="7172">
        <v>1</v>
      </c>
      <c r="C31" s="7172">
        <v>8</v>
      </c>
      <c r="D31" s="7177">
        <v>199032</v>
      </c>
      <c r="E31" s="7177">
        <v>204612</v>
      </c>
      <c r="F31" s="7245">
        <v>212256</v>
      </c>
    </row>
    <row r="32" spans="1:9" ht="12.9" customHeight="1">
      <c r="A32" s="7231" t="s">
        <v>1097</v>
      </c>
      <c r="B32" s="7172">
        <v>1</v>
      </c>
      <c r="C32" s="7172">
        <v>6</v>
      </c>
      <c r="D32" s="7177">
        <v>172164</v>
      </c>
      <c r="E32" s="7177">
        <v>177840</v>
      </c>
      <c r="F32" s="7245">
        <v>183708</v>
      </c>
    </row>
    <row r="33" spans="1:9" ht="12.9" customHeight="1">
      <c r="A33" s="7231" t="s">
        <v>1302</v>
      </c>
      <c r="B33" s="7172">
        <v>3</v>
      </c>
      <c r="C33" s="7172">
        <v>4</v>
      </c>
      <c r="D33" s="7177">
        <v>454692</v>
      </c>
      <c r="E33" s="7177">
        <v>626256</v>
      </c>
      <c r="F33" s="7245">
        <v>478152</v>
      </c>
    </row>
    <row r="34" spans="1:9" ht="12.9" customHeight="1">
      <c r="A34" s="7231" t="s">
        <v>10420</v>
      </c>
      <c r="B34" s="7172">
        <v>1</v>
      </c>
      <c r="C34" s="7172">
        <v>4</v>
      </c>
      <c r="D34" s="7177">
        <v>153768</v>
      </c>
      <c r="E34" s="7177">
        <v>159780</v>
      </c>
      <c r="F34" s="7245">
        <v>167292</v>
      </c>
    </row>
    <row r="35" spans="1:9" ht="12.9" customHeight="1">
      <c r="A35" s="7231" t="s">
        <v>1174</v>
      </c>
      <c r="B35" s="7172">
        <v>1</v>
      </c>
      <c r="C35" s="7172">
        <v>3</v>
      </c>
      <c r="D35" s="7177">
        <v>137856</v>
      </c>
      <c r="E35" s="7177">
        <v>145344</v>
      </c>
      <c r="F35" s="7245">
        <v>151896</v>
      </c>
    </row>
    <row r="36" spans="1:9" ht="12.9" customHeight="1">
      <c r="A36" s="7231" t="s">
        <v>1420</v>
      </c>
      <c r="B36" s="7172">
        <v>3</v>
      </c>
      <c r="C36" s="7172">
        <v>2</v>
      </c>
      <c r="D36" s="7177">
        <v>393216</v>
      </c>
      <c r="E36" s="7177">
        <v>413400</v>
      </c>
      <c r="F36" s="7245">
        <v>435504</v>
      </c>
    </row>
    <row r="37" spans="1:9" ht="12.9" customHeight="1">
      <c r="A37" s="7231" t="s">
        <v>1175</v>
      </c>
      <c r="B37" s="9683">
        <v>8</v>
      </c>
      <c r="C37" s="9683">
        <v>1</v>
      </c>
      <c r="D37" s="9641">
        <v>867612</v>
      </c>
      <c r="E37" s="9641">
        <v>1044000</v>
      </c>
      <c r="F37" s="9746">
        <v>1101000</v>
      </c>
    </row>
    <row r="38" spans="1:9" s="7165" customFormat="1" ht="12.9" customHeight="1">
      <c r="A38" s="7209" t="s">
        <v>1159</v>
      </c>
      <c r="B38" s="9613">
        <f>SUM(B7:B37)</f>
        <v>47</v>
      </c>
      <c r="C38" s="9613"/>
      <c r="D38" s="9619">
        <f>SUM(D8:D37)</f>
        <v>11250792</v>
      </c>
      <c r="E38" s="9619">
        <f>SUM(E8:E37)</f>
        <v>12306024</v>
      </c>
      <c r="F38" s="7221">
        <f>SUM(F8:F37)</f>
        <v>14140908</v>
      </c>
      <c r="G38" s="7165">
        <f>SUM(B27:B37)</f>
        <v>24</v>
      </c>
      <c r="H38" s="7198">
        <f>SUM(F27:F37)</f>
        <v>5407908</v>
      </c>
      <c r="I38" s="7198"/>
    </row>
    <row r="39" spans="1:9" ht="12.9" customHeight="1">
      <c r="A39" s="7231" t="s">
        <v>1113</v>
      </c>
      <c r="B39" s="7168" t="s">
        <v>9</v>
      </c>
      <c r="C39" s="7174"/>
      <c r="D39" s="7174"/>
      <c r="E39" s="7174"/>
      <c r="F39" s="7242"/>
    </row>
    <row r="40" spans="1:9" ht="12.9" customHeight="1">
      <c r="A40" s="7231" t="s">
        <v>1290</v>
      </c>
      <c r="B40" s="7172">
        <v>0</v>
      </c>
      <c r="C40" s="7172">
        <v>24</v>
      </c>
      <c r="D40" s="7177">
        <v>772992</v>
      </c>
      <c r="E40" s="7177">
        <v>879588</v>
      </c>
      <c r="F40" s="7245">
        <v>0</v>
      </c>
    </row>
    <row r="41" spans="1:9" ht="12.9" hidden="1" customHeight="1">
      <c r="A41" s="7231" t="s">
        <v>9208</v>
      </c>
      <c r="B41" s="7172">
        <v>0</v>
      </c>
      <c r="C41" s="7172">
        <v>22</v>
      </c>
      <c r="D41" s="7177">
        <v>0</v>
      </c>
      <c r="E41" s="7177">
        <v>0</v>
      </c>
      <c r="F41" s="7245">
        <v>0</v>
      </c>
    </row>
    <row r="42" spans="1:9" ht="12.9" customHeight="1">
      <c r="A42" s="7231" t="s">
        <v>1296</v>
      </c>
      <c r="B42" s="7172">
        <v>0</v>
      </c>
      <c r="C42" s="7172">
        <v>15</v>
      </c>
      <c r="D42" s="7177">
        <v>330780</v>
      </c>
      <c r="E42" s="7177">
        <v>348120</v>
      </c>
      <c r="F42" s="7245">
        <v>0</v>
      </c>
    </row>
    <row r="43" spans="1:9" ht="12.9" hidden="1" customHeight="1">
      <c r="A43" s="7231" t="s">
        <v>1297</v>
      </c>
      <c r="B43" s="7172">
        <v>0</v>
      </c>
      <c r="C43" s="7172">
        <v>8</v>
      </c>
      <c r="D43" s="7178">
        <v>0</v>
      </c>
      <c r="E43" s="7178">
        <v>0</v>
      </c>
      <c r="F43" s="7246">
        <v>0</v>
      </c>
    </row>
    <row r="44" spans="1:9" ht="12.9" customHeight="1">
      <c r="A44" s="7231" t="s">
        <v>11641</v>
      </c>
      <c r="B44" s="9403">
        <v>2</v>
      </c>
      <c r="C44" s="9403">
        <v>18</v>
      </c>
      <c r="D44" s="9609"/>
      <c r="E44" s="9609"/>
      <c r="F44" s="10401">
        <v>402192</v>
      </c>
    </row>
    <row r="45" spans="1:9" ht="12.9" customHeight="1">
      <c r="A45" s="7231" t="s">
        <v>1298</v>
      </c>
      <c r="B45" s="7172">
        <v>2</v>
      </c>
      <c r="C45" s="7172">
        <v>8</v>
      </c>
      <c r="D45" s="7177">
        <v>379632</v>
      </c>
      <c r="E45" s="7177">
        <v>394404</v>
      </c>
      <c r="F45" s="7245">
        <v>402192</v>
      </c>
    </row>
    <row r="46" spans="1:9" ht="12.9" hidden="1" customHeight="1">
      <c r="A46" s="7231" t="s">
        <v>1299</v>
      </c>
      <c r="B46" s="7172">
        <v>0</v>
      </c>
      <c r="C46" s="7172">
        <v>9</v>
      </c>
      <c r="D46" s="7177">
        <v>0</v>
      </c>
      <c r="E46" s="7177">
        <v>0</v>
      </c>
      <c r="F46" s="7245">
        <v>0</v>
      </c>
    </row>
    <row r="47" spans="1:9" ht="12.9" hidden="1" customHeight="1">
      <c r="A47" s="7231" t="s">
        <v>1300</v>
      </c>
      <c r="B47" s="7172">
        <v>0</v>
      </c>
      <c r="C47" s="7172">
        <v>6</v>
      </c>
      <c r="D47" s="7177"/>
      <c r="E47" s="7177"/>
      <c r="F47" s="7245"/>
    </row>
    <row r="48" spans="1:9" ht="12.9" customHeight="1">
      <c r="A48" s="7231" t="s">
        <v>1301</v>
      </c>
      <c r="B48" s="7172">
        <v>0</v>
      </c>
      <c r="C48" s="7172">
        <v>14</v>
      </c>
      <c r="D48" s="7177">
        <v>303480</v>
      </c>
      <c r="E48" s="7177">
        <v>317928</v>
      </c>
      <c r="F48" s="7245">
        <v>0</v>
      </c>
    </row>
    <row r="49" spans="1:9" ht="12.9" hidden="1" customHeight="1">
      <c r="A49" s="7231" t="s">
        <v>1172</v>
      </c>
      <c r="B49" s="7172">
        <v>0</v>
      </c>
      <c r="C49" s="7172">
        <v>10</v>
      </c>
      <c r="D49" s="7177"/>
      <c r="E49" s="7177"/>
      <c r="F49" s="7245"/>
    </row>
    <row r="50" spans="1:9" ht="12.9" customHeight="1">
      <c r="A50" s="7231" t="s">
        <v>1096</v>
      </c>
      <c r="B50" s="7172">
        <v>1</v>
      </c>
      <c r="C50" s="7172">
        <v>8</v>
      </c>
      <c r="D50" s="7177">
        <v>189816</v>
      </c>
      <c r="E50" s="7177">
        <v>195384</v>
      </c>
      <c r="F50" s="7245">
        <v>201096</v>
      </c>
    </row>
    <row r="51" spans="1:9" ht="12.9" customHeight="1">
      <c r="A51" s="7231" t="s">
        <v>1097</v>
      </c>
      <c r="B51" s="7172">
        <v>1</v>
      </c>
      <c r="C51" s="7172">
        <v>6</v>
      </c>
      <c r="D51" s="7177">
        <v>166212</v>
      </c>
      <c r="E51" s="7177">
        <v>172080</v>
      </c>
      <c r="F51" s="7245">
        <v>178164</v>
      </c>
    </row>
    <row r="52" spans="1:9" ht="12.9" customHeight="1">
      <c r="A52" s="7231" t="s">
        <v>1303</v>
      </c>
      <c r="B52" s="7206">
        <v>1</v>
      </c>
      <c r="C52" s="7206">
        <v>5</v>
      </c>
      <c r="D52" s="9608"/>
      <c r="E52" s="9608"/>
      <c r="F52" s="9948">
        <v>168084</v>
      </c>
    </row>
    <row r="53" spans="1:9" ht="12.9" customHeight="1">
      <c r="A53" s="7231" t="s">
        <v>1302</v>
      </c>
      <c r="B53" s="7172">
        <v>1</v>
      </c>
      <c r="C53" s="7172">
        <v>4</v>
      </c>
      <c r="D53" s="7177">
        <v>291720</v>
      </c>
      <c r="E53" s="7177">
        <v>152088</v>
      </c>
      <c r="F53" s="7245">
        <v>158568</v>
      </c>
      <c r="G53" s="7001" t="s">
        <v>12023</v>
      </c>
    </row>
    <row r="54" spans="1:9" ht="12.9" hidden="1" customHeight="1">
      <c r="A54" s="7231" t="s">
        <v>1420</v>
      </c>
      <c r="B54" s="7172">
        <v>0</v>
      </c>
      <c r="C54" s="7172">
        <v>2</v>
      </c>
      <c r="D54" s="7177">
        <v>0</v>
      </c>
      <c r="E54" s="7177">
        <v>0</v>
      </c>
      <c r="F54" s="7245">
        <v>0</v>
      </c>
    </row>
    <row r="55" spans="1:9" ht="12.9" customHeight="1">
      <c r="A55" s="7231" t="s">
        <v>1175</v>
      </c>
      <c r="B55" s="7172">
        <v>5</v>
      </c>
      <c r="C55" s="7172">
        <v>1</v>
      </c>
      <c r="D55" s="7177">
        <v>119772</v>
      </c>
      <c r="E55" s="7177">
        <v>0</v>
      </c>
      <c r="F55" s="7245">
        <f>132816*B55</f>
        <v>664080</v>
      </c>
    </row>
    <row r="56" spans="1:9" ht="12.9" customHeight="1" thickBot="1">
      <c r="A56" s="9690" t="s">
        <v>1249</v>
      </c>
      <c r="B56" s="9747">
        <f>SUM(B40:B55)</f>
        <v>13</v>
      </c>
      <c r="C56" s="9748"/>
      <c r="D56" s="9692">
        <f>SUM(D40:D55)</f>
        <v>2554404</v>
      </c>
      <c r="E56" s="9692">
        <f>SUM(E40:E55)</f>
        <v>2459592</v>
      </c>
      <c r="F56" s="9693">
        <f>SUM(F40:F55)</f>
        <v>2174376</v>
      </c>
      <c r="I56" s="7164"/>
    </row>
    <row r="57" spans="1:9" ht="12.9" customHeight="1" thickBot="1">
      <c r="A57" s="7251" t="s">
        <v>1074</v>
      </c>
      <c r="B57" s="9728">
        <f>SUM(B38+B56)</f>
        <v>60</v>
      </c>
      <c r="C57" s="9749"/>
      <c r="D57" s="9743">
        <f>SUM(D38+D56)</f>
        <v>13805196</v>
      </c>
      <c r="E57" s="9743">
        <f>SUM(E38+E56)</f>
        <v>14765616</v>
      </c>
      <c r="F57" s="10838">
        <f>SUM(F38+F56)</f>
        <v>16315284</v>
      </c>
      <c r="H57" s="7164">
        <f>F57-12466812</f>
        <v>3848472</v>
      </c>
    </row>
    <row r="58" spans="1:9" ht="12.9" customHeight="1">
      <c r="A58" s="7231" t="s">
        <v>1075</v>
      </c>
      <c r="B58" s="7174"/>
      <c r="C58" s="7174"/>
      <c r="D58" s="7174"/>
      <c r="E58" s="7174"/>
      <c r="F58" s="7242"/>
    </row>
    <row r="59" spans="1:9" ht="12.9" customHeight="1">
      <c r="A59" s="7231" t="s">
        <v>1102</v>
      </c>
      <c r="B59" s="7172"/>
      <c r="C59" s="7174"/>
      <c r="D59" s="7174"/>
      <c r="E59" s="7186"/>
      <c r="F59" s="7244"/>
      <c r="H59" s="7164">
        <f>F57-14046252</f>
        <v>2269032</v>
      </c>
    </row>
    <row r="60" spans="1:9" ht="12.9" customHeight="1">
      <c r="A60" s="7231" t="s">
        <v>1103</v>
      </c>
      <c r="B60" s="7172">
        <v>5</v>
      </c>
      <c r="C60" s="7174"/>
      <c r="D60" s="7174"/>
      <c r="E60" s="7174"/>
      <c r="F60" s="7242"/>
    </row>
    <row r="61" spans="1:9" ht="12.9" customHeight="1">
      <c r="A61" s="7231" t="s">
        <v>1078</v>
      </c>
      <c r="B61" s="7172">
        <v>1</v>
      </c>
      <c r="C61" s="7174"/>
      <c r="D61" s="7174"/>
      <c r="E61" s="7174"/>
      <c r="F61" s="7242"/>
    </row>
    <row r="62" spans="1:9" ht="12.9" customHeight="1">
      <c r="A62" s="7231" t="s">
        <v>1079</v>
      </c>
      <c r="B62" s="7172"/>
      <c r="C62" s="7174"/>
      <c r="D62" s="7174"/>
      <c r="E62" s="7174"/>
      <c r="F62" s="7242"/>
    </row>
    <row r="63" spans="1:9" ht="12.9" customHeight="1">
      <c r="A63" s="7231" t="s">
        <v>10697</v>
      </c>
      <c r="B63" s="7172"/>
      <c r="C63" s="7174"/>
      <c r="D63" s="7174"/>
      <c r="E63" s="7174"/>
      <c r="F63" s="7242"/>
    </row>
    <row r="64" spans="1:9" ht="12.9" customHeight="1">
      <c r="A64" s="7231" t="s">
        <v>1080</v>
      </c>
      <c r="B64" s="7172"/>
      <c r="C64" s="7174"/>
      <c r="D64" s="7174"/>
      <c r="E64" s="7174"/>
      <c r="F64" s="7242"/>
    </row>
    <row r="65" spans="1:6" ht="12.9" customHeight="1">
      <c r="A65" s="7231" t="s">
        <v>1104</v>
      </c>
      <c r="B65" s="7172"/>
      <c r="C65" s="7174"/>
      <c r="D65" s="7174"/>
      <c r="E65" s="7174"/>
      <c r="F65" s="7242"/>
    </row>
    <row r="66" spans="1:6" ht="12.9" customHeight="1">
      <c r="A66" s="7231" t="s">
        <v>1105</v>
      </c>
      <c r="B66" s="7172"/>
      <c r="C66" s="7174"/>
      <c r="D66" s="7174"/>
      <c r="E66" s="7174"/>
      <c r="F66" s="7242"/>
    </row>
    <row r="67" spans="1:6" ht="12.9" customHeight="1">
      <c r="A67" s="7231"/>
      <c r="B67" s="7172"/>
      <c r="C67" s="7174"/>
      <c r="D67" s="7174"/>
      <c r="E67" s="7174"/>
      <c r="F67" s="7242"/>
    </row>
    <row r="68" spans="1:6" ht="12.9" customHeight="1">
      <c r="A68" s="6230" t="s">
        <v>1083</v>
      </c>
      <c r="B68" s="9676"/>
      <c r="C68" s="9676"/>
      <c r="D68" s="9676"/>
      <c r="E68" s="9676"/>
      <c r="F68" s="9744"/>
    </row>
    <row r="69" spans="1:6" ht="12.9" customHeight="1">
      <c r="A69" s="7231" t="s">
        <v>1106</v>
      </c>
      <c r="B69" s="7174"/>
      <c r="C69" s="7174"/>
      <c r="D69" s="7174"/>
      <c r="E69" s="7174"/>
      <c r="F69" s="7242"/>
    </row>
    <row r="70" spans="1:6" ht="12.9" customHeight="1" thickBot="1">
      <c r="A70" s="7235"/>
      <c r="B70" s="7192"/>
      <c r="C70" s="7192"/>
      <c r="D70" s="7192"/>
      <c r="E70" s="7192"/>
      <c r="F70" s="9695"/>
    </row>
    <row r="71" spans="1:6" ht="12.9" customHeight="1" thickBot="1">
      <c r="A71" s="7251" t="s">
        <v>1086</v>
      </c>
      <c r="B71" s="7185"/>
      <c r="C71" s="7185"/>
      <c r="D71" s="7185"/>
      <c r="E71" s="7185"/>
      <c r="F71" s="9696"/>
    </row>
  </sheetData>
  <mergeCells count="2">
    <mergeCell ref="D4:F4"/>
    <mergeCell ref="A1:F1"/>
  </mergeCells>
  <pageMargins left="0.25" right="0.25" top="0.5" bottom="0.5" header="0.3" footer="0.3"/>
  <pageSetup paperSize="119" firstPageNumber="214" orientation="portrait" useFirstPageNumber="1" r:id="rId1"/>
  <headerFooter alignWithMargins="0"/>
</worksheet>
</file>

<file path=xl/worksheets/sheet105.xml><?xml version="1.0" encoding="utf-8"?>
<worksheet xmlns="http://schemas.openxmlformats.org/spreadsheetml/2006/main" xmlns:r="http://schemas.openxmlformats.org/officeDocument/2006/relationships">
  <sheetPr codeName="Sheet162">
    <tabColor rgb="FFFFFF00"/>
  </sheetPr>
  <dimension ref="A1:J93"/>
  <sheetViews>
    <sheetView showGridLines="0" topLeftCell="A87" workbookViewId="0">
      <selection activeCell="C90" sqref="C90"/>
    </sheetView>
  </sheetViews>
  <sheetFormatPr defaultRowHeight="13.2"/>
  <cols>
    <col min="1" max="1" width="7.88671875" style="433" customWidth="1"/>
    <col min="2" max="2" width="28.88671875" style="433" customWidth="1"/>
    <col min="3" max="3" width="12.109375" style="970" customWidth="1"/>
    <col min="4" max="4" width="17.88671875" style="433" customWidth="1"/>
    <col min="5" max="5" width="18.109375" style="433" customWidth="1"/>
    <col min="6" max="6" width="15.44140625" style="433" customWidth="1"/>
    <col min="7" max="247" width="9.109375" style="433"/>
    <col min="248" max="248" width="6.88671875" style="433" customWidth="1"/>
    <col min="249" max="249" width="25.88671875" style="433" customWidth="1"/>
    <col min="250" max="250" width="17.88671875" style="433" customWidth="1"/>
    <col min="251" max="251" width="23.109375" style="433" customWidth="1"/>
    <col min="252" max="252" width="11.44140625" style="433" customWidth="1"/>
    <col min="253" max="253" width="6.109375" style="433" customWidth="1"/>
    <col min="254" max="254" width="6.44140625" style="433" customWidth="1"/>
    <col min="255" max="255" width="9.109375" style="433"/>
    <col min="256" max="257" width="13.109375" style="433" bestFit="1" customWidth="1"/>
    <col min="258" max="503" width="9.109375" style="433"/>
    <col min="504" max="504" width="6.88671875" style="433" customWidth="1"/>
    <col min="505" max="505" width="25.88671875" style="433" customWidth="1"/>
    <col min="506" max="506" width="17.88671875" style="433" customWidth="1"/>
    <col min="507" max="507" width="23.109375" style="433" customWidth="1"/>
    <col min="508" max="508" width="11.44140625" style="433" customWidth="1"/>
    <col min="509" max="509" width="6.109375" style="433" customWidth="1"/>
    <col min="510" max="510" width="6.44140625" style="433" customWidth="1"/>
    <col min="511" max="511" width="9.109375" style="433"/>
    <col min="512" max="513" width="13.109375" style="433" bestFit="1" customWidth="1"/>
    <col min="514" max="759" width="9.109375" style="433"/>
    <col min="760" max="760" width="6.88671875" style="433" customWidth="1"/>
    <col min="761" max="761" width="25.88671875" style="433" customWidth="1"/>
    <col min="762" max="762" width="17.88671875" style="433" customWidth="1"/>
    <col min="763" max="763" width="23.109375" style="433" customWidth="1"/>
    <col min="764" max="764" width="11.44140625" style="433" customWidth="1"/>
    <col min="765" max="765" width="6.109375" style="433" customWidth="1"/>
    <col min="766" max="766" width="6.44140625" style="433" customWidth="1"/>
    <col min="767" max="767" width="9.109375" style="433"/>
    <col min="768" max="769" width="13.109375" style="433" bestFit="1" customWidth="1"/>
    <col min="770" max="1015" width="9.109375" style="433"/>
    <col min="1016" max="1016" width="6.88671875" style="433" customWidth="1"/>
    <col min="1017" max="1017" width="25.88671875" style="433" customWidth="1"/>
    <col min="1018" max="1018" width="17.88671875" style="433" customWidth="1"/>
    <col min="1019" max="1019" width="23.109375" style="433" customWidth="1"/>
    <col min="1020" max="1020" width="11.44140625" style="433" customWidth="1"/>
    <col min="1021" max="1021" width="6.109375" style="433" customWidth="1"/>
    <col min="1022" max="1022" width="6.44140625" style="433" customWidth="1"/>
    <col min="1023" max="1023" width="9.109375" style="433"/>
    <col min="1024" max="1025" width="13.109375" style="433" bestFit="1" customWidth="1"/>
    <col min="1026" max="1271" width="9.109375" style="433"/>
    <col min="1272" max="1272" width="6.88671875" style="433" customWidth="1"/>
    <col min="1273" max="1273" width="25.88671875" style="433" customWidth="1"/>
    <col min="1274" max="1274" width="17.88671875" style="433" customWidth="1"/>
    <col min="1275" max="1275" width="23.109375" style="433" customWidth="1"/>
    <col min="1276" max="1276" width="11.44140625" style="433" customWidth="1"/>
    <col min="1277" max="1277" width="6.109375" style="433" customWidth="1"/>
    <col min="1278" max="1278" width="6.44140625" style="433" customWidth="1"/>
    <col min="1279" max="1279" width="9.109375" style="433"/>
    <col min="1280" max="1281" width="13.109375" style="433" bestFit="1" customWidth="1"/>
    <col min="1282" max="1527" width="9.109375" style="433"/>
    <col min="1528" max="1528" width="6.88671875" style="433" customWidth="1"/>
    <col min="1529" max="1529" width="25.88671875" style="433" customWidth="1"/>
    <col min="1530" max="1530" width="17.88671875" style="433" customWidth="1"/>
    <col min="1531" max="1531" width="23.109375" style="433" customWidth="1"/>
    <col min="1532" max="1532" width="11.44140625" style="433" customWidth="1"/>
    <col min="1533" max="1533" width="6.109375" style="433" customWidth="1"/>
    <col min="1534" max="1534" width="6.44140625" style="433" customWidth="1"/>
    <col min="1535" max="1535" width="9.109375" style="433"/>
    <col min="1536" max="1537" width="13.109375" style="433" bestFit="1" customWidth="1"/>
    <col min="1538" max="1783" width="9.109375" style="433"/>
    <col min="1784" max="1784" width="6.88671875" style="433" customWidth="1"/>
    <col min="1785" max="1785" width="25.88671875" style="433" customWidth="1"/>
    <col min="1786" max="1786" width="17.88671875" style="433" customWidth="1"/>
    <col min="1787" max="1787" width="23.109375" style="433" customWidth="1"/>
    <col min="1788" max="1788" width="11.44140625" style="433" customWidth="1"/>
    <col min="1789" max="1789" width="6.109375" style="433" customWidth="1"/>
    <col min="1790" max="1790" width="6.44140625" style="433" customWidth="1"/>
    <col min="1791" max="1791" width="9.109375" style="433"/>
    <col min="1792" max="1793" width="13.109375" style="433" bestFit="1" customWidth="1"/>
    <col min="1794" max="2039" width="9.109375" style="433"/>
    <col min="2040" max="2040" width="6.88671875" style="433" customWidth="1"/>
    <col min="2041" max="2041" width="25.88671875" style="433" customWidth="1"/>
    <col min="2042" max="2042" width="17.88671875" style="433" customWidth="1"/>
    <col min="2043" max="2043" width="23.109375" style="433" customWidth="1"/>
    <col min="2044" max="2044" width="11.44140625" style="433" customWidth="1"/>
    <col min="2045" max="2045" width="6.109375" style="433" customWidth="1"/>
    <col min="2046" max="2046" width="6.44140625" style="433" customWidth="1"/>
    <col min="2047" max="2047" width="9.109375" style="433"/>
    <col min="2048" max="2049" width="13.109375" style="433" bestFit="1" customWidth="1"/>
    <col min="2050" max="2295" width="9.109375" style="433"/>
    <col min="2296" max="2296" width="6.88671875" style="433" customWidth="1"/>
    <col min="2297" max="2297" width="25.88671875" style="433" customWidth="1"/>
    <col min="2298" max="2298" width="17.88671875" style="433" customWidth="1"/>
    <col min="2299" max="2299" width="23.109375" style="433" customWidth="1"/>
    <col min="2300" max="2300" width="11.44140625" style="433" customWidth="1"/>
    <col min="2301" max="2301" width="6.109375" style="433" customWidth="1"/>
    <col min="2302" max="2302" width="6.44140625" style="433" customWidth="1"/>
    <col min="2303" max="2303" width="9.109375" style="433"/>
    <col min="2304" max="2305" width="13.109375" style="433" bestFit="1" customWidth="1"/>
    <col min="2306" max="2551" width="9.109375" style="433"/>
    <col min="2552" max="2552" width="6.88671875" style="433" customWidth="1"/>
    <col min="2553" max="2553" width="25.88671875" style="433" customWidth="1"/>
    <col min="2554" max="2554" width="17.88671875" style="433" customWidth="1"/>
    <col min="2555" max="2555" width="23.109375" style="433" customWidth="1"/>
    <col min="2556" max="2556" width="11.44140625" style="433" customWidth="1"/>
    <col min="2557" max="2557" width="6.109375" style="433" customWidth="1"/>
    <col min="2558" max="2558" width="6.44140625" style="433" customWidth="1"/>
    <col min="2559" max="2559" width="9.109375" style="433"/>
    <col min="2560" max="2561" width="13.109375" style="433" bestFit="1" customWidth="1"/>
    <col min="2562" max="2807" width="9.109375" style="433"/>
    <col min="2808" max="2808" width="6.88671875" style="433" customWidth="1"/>
    <col min="2809" max="2809" width="25.88671875" style="433" customWidth="1"/>
    <col min="2810" max="2810" width="17.88671875" style="433" customWidth="1"/>
    <col min="2811" max="2811" width="23.109375" style="433" customWidth="1"/>
    <col min="2812" max="2812" width="11.44140625" style="433" customWidth="1"/>
    <col min="2813" max="2813" width="6.109375" style="433" customWidth="1"/>
    <col min="2814" max="2814" width="6.44140625" style="433" customWidth="1"/>
    <col min="2815" max="2815" width="9.109375" style="433"/>
    <col min="2816" max="2817" width="13.109375" style="433" bestFit="1" customWidth="1"/>
    <col min="2818" max="3063" width="9.109375" style="433"/>
    <col min="3064" max="3064" width="6.88671875" style="433" customWidth="1"/>
    <col min="3065" max="3065" width="25.88671875" style="433" customWidth="1"/>
    <col min="3066" max="3066" width="17.88671875" style="433" customWidth="1"/>
    <col min="3067" max="3067" width="23.109375" style="433" customWidth="1"/>
    <col min="3068" max="3068" width="11.44140625" style="433" customWidth="1"/>
    <col min="3069" max="3069" width="6.109375" style="433" customWidth="1"/>
    <col min="3070" max="3070" width="6.44140625" style="433" customWidth="1"/>
    <col min="3071" max="3071" width="9.109375" style="433"/>
    <col min="3072" max="3073" width="13.109375" style="433" bestFit="1" customWidth="1"/>
    <col min="3074" max="3319" width="9.109375" style="433"/>
    <col min="3320" max="3320" width="6.88671875" style="433" customWidth="1"/>
    <col min="3321" max="3321" width="25.88671875" style="433" customWidth="1"/>
    <col min="3322" max="3322" width="17.88671875" style="433" customWidth="1"/>
    <col min="3323" max="3323" width="23.109375" style="433" customWidth="1"/>
    <col min="3324" max="3324" width="11.44140625" style="433" customWidth="1"/>
    <col min="3325" max="3325" width="6.109375" style="433" customWidth="1"/>
    <col min="3326" max="3326" width="6.44140625" style="433" customWidth="1"/>
    <col min="3327" max="3327" width="9.109375" style="433"/>
    <col min="3328" max="3329" width="13.109375" style="433" bestFit="1" customWidth="1"/>
    <col min="3330" max="3575" width="9.109375" style="433"/>
    <col min="3576" max="3576" width="6.88671875" style="433" customWidth="1"/>
    <col min="3577" max="3577" width="25.88671875" style="433" customWidth="1"/>
    <col min="3578" max="3578" width="17.88671875" style="433" customWidth="1"/>
    <col min="3579" max="3579" width="23.109375" style="433" customWidth="1"/>
    <col min="3580" max="3580" width="11.44140625" style="433" customWidth="1"/>
    <col min="3581" max="3581" width="6.109375" style="433" customWidth="1"/>
    <col min="3582" max="3582" width="6.44140625" style="433" customWidth="1"/>
    <col min="3583" max="3583" width="9.109375" style="433"/>
    <col min="3584" max="3585" width="13.109375" style="433" bestFit="1" customWidth="1"/>
    <col min="3586" max="3831" width="9.109375" style="433"/>
    <col min="3832" max="3832" width="6.88671875" style="433" customWidth="1"/>
    <col min="3833" max="3833" width="25.88671875" style="433" customWidth="1"/>
    <col min="3834" max="3834" width="17.88671875" style="433" customWidth="1"/>
    <col min="3835" max="3835" width="23.109375" style="433" customWidth="1"/>
    <col min="3836" max="3836" width="11.44140625" style="433" customWidth="1"/>
    <col min="3837" max="3837" width="6.109375" style="433" customWidth="1"/>
    <col min="3838" max="3838" width="6.44140625" style="433" customWidth="1"/>
    <col min="3839" max="3839" width="9.109375" style="433"/>
    <col min="3840" max="3841" width="13.109375" style="433" bestFit="1" customWidth="1"/>
    <col min="3842" max="4087" width="9.109375" style="433"/>
    <col min="4088" max="4088" width="6.88671875" style="433" customWidth="1"/>
    <col min="4089" max="4089" width="25.88671875" style="433" customWidth="1"/>
    <col min="4090" max="4090" width="17.88671875" style="433" customWidth="1"/>
    <col min="4091" max="4091" width="23.109375" style="433" customWidth="1"/>
    <col min="4092" max="4092" width="11.44140625" style="433" customWidth="1"/>
    <col min="4093" max="4093" width="6.109375" style="433" customWidth="1"/>
    <col min="4094" max="4094" width="6.44140625" style="433" customWidth="1"/>
    <col min="4095" max="4095" width="9.109375" style="433"/>
    <col min="4096" max="4097" width="13.109375" style="433" bestFit="1" customWidth="1"/>
    <col min="4098" max="4343" width="9.109375" style="433"/>
    <col min="4344" max="4344" width="6.88671875" style="433" customWidth="1"/>
    <col min="4345" max="4345" width="25.88671875" style="433" customWidth="1"/>
    <col min="4346" max="4346" width="17.88671875" style="433" customWidth="1"/>
    <col min="4347" max="4347" width="23.109375" style="433" customWidth="1"/>
    <col min="4348" max="4348" width="11.44140625" style="433" customWidth="1"/>
    <col min="4349" max="4349" width="6.109375" style="433" customWidth="1"/>
    <col min="4350" max="4350" width="6.44140625" style="433" customWidth="1"/>
    <col min="4351" max="4351" width="9.109375" style="433"/>
    <col min="4352" max="4353" width="13.109375" style="433" bestFit="1" customWidth="1"/>
    <col min="4354" max="4599" width="9.109375" style="433"/>
    <col min="4600" max="4600" width="6.88671875" style="433" customWidth="1"/>
    <col min="4601" max="4601" width="25.88671875" style="433" customWidth="1"/>
    <col min="4602" max="4602" width="17.88671875" style="433" customWidth="1"/>
    <col min="4603" max="4603" width="23.109375" style="433" customWidth="1"/>
    <col min="4604" max="4604" width="11.44140625" style="433" customWidth="1"/>
    <col min="4605" max="4605" width="6.109375" style="433" customWidth="1"/>
    <col min="4606" max="4606" width="6.44140625" style="433" customWidth="1"/>
    <col min="4607" max="4607" width="9.109375" style="433"/>
    <col min="4608" max="4609" width="13.109375" style="433" bestFit="1" customWidth="1"/>
    <col min="4610" max="4855" width="9.109375" style="433"/>
    <col min="4856" max="4856" width="6.88671875" style="433" customWidth="1"/>
    <col min="4857" max="4857" width="25.88671875" style="433" customWidth="1"/>
    <col min="4858" max="4858" width="17.88671875" style="433" customWidth="1"/>
    <col min="4859" max="4859" width="23.109375" style="433" customWidth="1"/>
    <col min="4860" max="4860" width="11.44140625" style="433" customWidth="1"/>
    <col min="4861" max="4861" width="6.109375" style="433" customWidth="1"/>
    <col min="4862" max="4862" width="6.44140625" style="433" customWidth="1"/>
    <col min="4863" max="4863" width="9.109375" style="433"/>
    <col min="4864" max="4865" width="13.109375" style="433" bestFit="1" customWidth="1"/>
    <col min="4866" max="5111" width="9.109375" style="433"/>
    <col min="5112" max="5112" width="6.88671875" style="433" customWidth="1"/>
    <col min="5113" max="5113" width="25.88671875" style="433" customWidth="1"/>
    <col min="5114" max="5114" width="17.88671875" style="433" customWidth="1"/>
    <col min="5115" max="5115" width="23.109375" style="433" customWidth="1"/>
    <col min="5116" max="5116" width="11.44140625" style="433" customWidth="1"/>
    <col min="5117" max="5117" width="6.109375" style="433" customWidth="1"/>
    <col min="5118" max="5118" width="6.44140625" style="433" customWidth="1"/>
    <col min="5119" max="5119" width="9.109375" style="433"/>
    <col min="5120" max="5121" width="13.109375" style="433" bestFit="1" customWidth="1"/>
    <col min="5122" max="5367" width="9.109375" style="433"/>
    <col min="5368" max="5368" width="6.88671875" style="433" customWidth="1"/>
    <col min="5369" max="5369" width="25.88671875" style="433" customWidth="1"/>
    <col min="5370" max="5370" width="17.88671875" style="433" customWidth="1"/>
    <col min="5371" max="5371" width="23.109375" style="433" customWidth="1"/>
    <col min="5372" max="5372" width="11.44140625" style="433" customWidth="1"/>
    <col min="5373" max="5373" width="6.109375" style="433" customWidth="1"/>
    <col min="5374" max="5374" width="6.44140625" style="433" customWidth="1"/>
    <col min="5375" max="5375" width="9.109375" style="433"/>
    <col min="5376" max="5377" width="13.109375" style="433" bestFit="1" customWidth="1"/>
    <col min="5378" max="5623" width="9.109375" style="433"/>
    <col min="5624" max="5624" width="6.88671875" style="433" customWidth="1"/>
    <col min="5625" max="5625" width="25.88671875" style="433" customWidth="1"/>
    <col min="5626" max="5626" width="17.88671875" style="433" customWidth="1"/>
    <col min="5627" max="5627" width="23.109375" style="433" customWidth="1"/>
    <col min="5628" max="5628" width="11.44140625" style="433" customWidth="1"/>
    <col min="5629" max="5629" width="6.109375" style="433" customWidth="1"/>
    <col min="5630" max="5630" width="6.44140625" style="433" customWidth="1"/>
    <col min="5631" max="5631" width="9.109375" style="433"/>
    <col min="5632" max="5633" width="13.109375" style="433" bestFit="1" customWidth="1"/>
    <col min="5634" max="5879" width="9.109375" style="433"/>
    <col min="5880" max="5880" width="6.88671875" style="433" customWidth="1"/>
    <col min="5881" max="5881" width="25.88671875" style="433" customWidth="1"/>
    <col min="5882" max="5882" width="17.88671875" style="433" customWidth="1"/>
    <col min="5883" max="5883" width="23.109375" style="433" customWidth="1"/>
    <col min="5884" max="5884" width="11.44140625" style="433" customWidth="1"/>
    <col min="5885" max="5885" width="6.109375" style="433" customWidth="1"/>
    <col min="5886" max="5886" width="6.44140625" style="433" customWidth="1"/>
    <col min="5887" max="5887" width="9.109375" style="433"/>
    <col min="5888" max="5889" width="13.109375" style="433" bestFit="1" customWidth="1"/>
    <col min="5890" max="6135" width="9.109375" style="433"/>
    <col min="6136" max="6136" width="6.88671875" style="433" customWidth="1"/>
    <col min="6137" max="6137" width="25.88671875" style="433" customWidth="1"/>
    <col min="6138" max="6138" width="17.88671875" style="433" customWidth="1"/>
    <col min="6139" max="6139" width="23.109375" style="433" customWidth="1"/>
    <col min="6140" max="6140" width="11.44140625" style="433" customWidth="1"/>
    <col min="6141" max="6141" width="6.109375" style="433" customWidth="1"/>
    <col min="6142" max="6142" width="6.44140625" style="433" customWidth="1"/>
    <col min="6143" max="6143" width="9.109375" style="433"/>
    <col min="6144" max="6145" width="13.109375" style="433" bestFit="1" customWidth="1"/>
    <col min="6146" max="6391" width="9.109375" style="433"/>
    <col min="6392" max="6392" width="6.88671875" style="433" customWidth="1"/>
    <col min="6393" max="6393" width="25.88671875" style="433" customWidth="1"/>
    <col min="6394" max="6394" width="17.88671875" style="433" customWidth="1"/>
    <col min="6395" max="6395" width="23.109375" style="433" customWidth="1"/>
    <col min="6396" max="6396" width="11.44140625" style="433" customWidth="1"/>
    <col min="6397" max="6397" width="6.109375" style="433" customWidth="1"/>
    <col min="6398" max="6398" width="6.44140625" style="433" customWidth="1"/>
    <col min="6399" max="6399" width="9.109375" style="433"/>
    <col min="6400" max="6401" width="13.109375" style="433" bestFit="1" customWidth="1"/>
    <col min="6402" max="6647" width="9.109375" style="433"/>
    <col min="6648" max="6648" width="6.88671875" style="433" customWidth="1"/>
    <col min="6649" max="6649" width="25.88671875" style="433" customWidth="1"/>
    <col min="6650" max="6650" width="17.88671875" style="433" customWidth="1"/>
    <col min="6651" max="6651" width="23.109375" style="433" customWidth="1"/>
    <col min="6652" max="6652" width="11.44140625" style="433" customWidth="1"/>
    <col min="6653" max="6653" width="6.109375" style="433" customWidth="1"/>
    <col min="6654" max="6654" width="6.44140625" style="433" customWidth="1"/>
    <col min="6655" max="6655" width="9.109375" style="433"/>
    <col min="6656" max="6657" width="13.109375" style="433" bestFit="1" customWidth="1"/>
    <col min="6658" max="6903" width="9.109375" style="433"/>
    <col min="6904" max="6904" width="6.88671875" style="433" customWidth="1"/>
    <col min="6905" max="6905" width="25.88671875" style="433" customWidth="1"/>
    <col min="6906" max="6906" width="17.88671875" style="433" customWidth="1"/>
    <col min="6907" max="6907" width="23.109375" style="433" customWidth="1"/>
    <col min="6908" max="6908" width="11.44140625" style="433" customWidth="1"/>
    <col min="6909" max="6909" width="6.109375" style="433" customWidth="1"/>
    <col min="6910" max="6910" width="6.44140625" style="433" customWidth="1"/>
    <col min="6911" max="6911" width="9.109375" style="433"/>
    <col min="6912" max="6913" width="13.109375" style="433" bestFit="1" customWidth="1"/>
    <col min="6914" max="7159" width="9.109375" style="433"/>
    <col min="7160" max="7160" width="6.88671875" style="433" customWidth="1"/>
    <col min="7161" max="7161" width="25.88671875" style="433" customWidth="1"/>
    <col min="7162" max="7162" width="17.88671875" style="433" customWidth="1"/>
    <col min="7163" max="7163" width="23.109375" style="433" customWidth="1"/>
    <col min="7164" max="7164" width="11.44140625" style="433" customWidth="1"/>
    <col min="7165" max="7165" width="6.109375" style="433" customWidth="1"/>
    <col min="7166" max="7166" width="6.44140625" style="433" customWidth="1"/>
    <col min="7167" max="7167" width="9.109375" style="433"/>
    <col min="7168" max="7169" width="13.109375" style="433" bestFit="1" customWidth="1"/>
    <col min="7170" max="7415" width="9.109375" style="433"/>
    <col min="7416" max="7416" width="6.88671875" style="433" customWidth="1"/>
    <col min="7417" max="7417" width="25.88671875" style="433" customWidth="1"/>
    <col min="7418" max="7418" width="17.88671875" style="433" customWidth="1"/>
    <col min="7419" max="7419" width="23.109375" style="433" customWidth="1"/>
    <col min="7420" max="7420" width="11.44140625" style="433" customWidth="1"/>
    <col min="7421" max="7421" width="6.109375" style="433" customWidth="1"/>
    <col min="7422" max="7422" width="6.44140625" style="433" customWidth="1"/>
    <col min="7423" max="7423" width="9.109375" style="433"/>
    <col min="7424" max="7425" width="13.109375" style="433" bestFit="1" customWidth="1"/>
    <col min="7426" max="7671" width="9.109375" style="433"/>
    <col min="7672" max="7672" width="6.88671875" style="433" customWidth="1"/>
    <col min="7673" max="7673" width="25.88671875" style="433" customWidth="1"/>
    <col min="7674" max="7674" width="17.88671875" style="433" customWidth="1"/>
    <col min="7675" max="7675" width="23.109375" style="433" customWidth="1"/>
    <col min="7676" max="7676" width="11.44140625" style="433" customWidth="1"/>
    <col min="7677" max="7677" width="6.109375" style="433" customWidth="1"/>
    <col min="7678" max="7678" width="6.44140625" style="433" customWidth="1"/>
    <col min="7679" max="7679" width="9.109375" style="433"/>
    <col min="7680" max="7681" width="13.109375" style="433" bestFit="1" customWidth="1"/>
    <col min="7682" max="7927" width="9.109375" style="433"/>
    <col min="7928" max="7928" width="6.88671875" style="433" customWidth="1"/>
    <col min="7929" max="7929" width="25.88671875" style="433" customWidth="1"/>
    <col min="7930" max="7930" width="17.88671875" style="433" customWidth="1"/>
    <col min="7931" max="7931" width="23.109375" style="433" customWidth="1"/>
    <col min="7932" max="7932" width="11.44140625" style="433" customWidth="1"/>
    <col min="7933" max="7933" width="6.109375" style="433" customWidth="1"/>
    <col min="7934" max="7934" width="6.44140625" style="433" customWidth="1"/>
    <col min="7935" max="7935" width="9.109375" style="433"/>
    <col min="7936" max="7937" width="13.109375" style="433" bestFit="1" customWidth="1"/>
    <col min="7938" max="8183" width="9.109375" style="433"/>
    <col min="8184" max="8184" width="6.88671875" style="433" customWidth="1"/>
    <col min="8185" max="8185" width="25.88671875" style="433" customWidth="1"/>
    <col min="8186" max="8186" width="17.88671875" style="433" customWidth="1"/>
    <col min="8187" max="8187" width="23.109375" style="433" customWidth="1"/>
    <col min="8188" max="8188" width="11.44140625" style="433" customWidth="1"/>
    <col min="8189" max="8189" width="6.109375" style="433" customWidth="1"/>
    <col min="8190" max="8190" width="6.44140625" style="433" customWidth="1"/>
    <col min="8191" max="8191" width="9.109375" style="433"/>
    <col min="8192" max="8193" width="13.109375" style="433" bestFit="1" customWidth="1"/>
    <col min="8194" max="8439" width="9.109375" style="433"/>
    <col min="8440" max="8440" width="6.88671875" style="433" customWidth="1"/>
    <col min="8441" max="8441" width="25.88671875" style="433" customWidth="1"/>
    <col min="8442" max="8442" width="17.88671875" style="433" customWidth="1"/>
    <col min="8443" max="8443" width="23.109375" style="433" customWidth="1"/>
    <col min="8444" max="8444" width="11.44140625" style="433" customWidth="1"/>
    <col min="8445" max="8445" width="6.109375" style="433" customWidth="1"/>
    <col min="8446" max="8446" width="6.44140625" style="433" customWidth="1"/>
    <col min="8447" max="8447" width="9.109375" style="433"/>
    <col min="8448" max="8449" width="13.109375" style="433" bestFit="1" customWidth="1"/>
    <col min="8450" max="8695" width="9.109375" style="433"/>
    <col min="8696" max="8696" width="6.88671875" style="433" customWidth="1"/>
    <col min="8697" max="8697" width="25.88671875" style="433" customWidth="1"/>
    <col min="8698" max="8698" width="17.88671875" style="433" customWidth="1"/>
    <col min="8699" max="8699" width="23.109375" style="433" customWidth="1"/>
    <col min="8700" max="8700" width="11.44140625" style="433" customWidth="1"/>
    <col min="8701" max="8701" width="6.109375" style="433" customWidth="1"/>
    <col min="8702" max="8702" width="6.44140625" style="433" customWidth="1"/>
    <col min="8703" max="8703" width="9.109375" style="433"/>
    <col min="8704" max="8705" width="13.109375" style="433" bestFit="1" customWidth="1"/>
    <col min="8706" max="8951" width="9.109375" style="433"/>
    <col min="8952" max="8952" width="6.88671875" style="433" customWidth="1"/>
    <col min="8953" max="8953" width="25.88671875" style="433" customWidth="1"/>
    <col min="8954" max="8954" width="17.88671875" style="433" customWidth="1"/>
    <col min="8955" max="8955" width="23.109375" style="433" customWidth="1"/>
    <col min="8956" max="8956" width="11.44140625" style="433" customWidth="1"/>
    <col min="8957" max="8957" width="6.109375" style="433" customWidth="1"/>
    <col min="8958" max="8958" width="6.44140625" style="433" customWidth="1"/>
    <col min="8959" max="8959" width="9.109375" style="433"/>
    <col min="8960" max="8961" width="13.109375" style="433" bestFit="1" customWidth="1"/>
    <col min="8962" max="9207" width="9.109375" style="433"/>
    <col min="9208" max="9208" width="6.88671875" style="433" customWidth="1"/>
    <col min="9209" max="9209" width="25.88671875" style="433" customWidth="1"/>
    <col min="9210" max="9210" width="17.88671875" style="433" customWidth="1"/>
    <col min="9211" max="9211" width="23.109375" style="433" customWidth="1"/>
    <col min="9212" max="9212" width="11.44140625" style="433" customWidth="1"/>
    <col min="9213" max="9213" width="6.109375" style="433" customWidth="1"/>
    <col min="9214" max="9214" width="6.44140625" style="433" customWidth="1"/>
    <col min="9215" max="9215" width="9.109375" style="433"/>
    <col min="9216" max="9217" width="13.109375" style="433" bestFit="1" customWidth="1"/>
    <col min="9218" max="9463" width="9.109375" style="433"/>
    <col min="9464" max="9464" width="6.88671875" style="433" customWidth="1"/>
    <col min="9465" max="9465" width="25.88671875" style="433" customWidth="1"/>
    <col min="9466" max="9466" width="17.88671875" style="433" customWidth="1"/>
    <col min="9467" max="9467" width="23.109375" style="433" customWidth="1"/>
    <col min="9468" max="9468" width="11.44140625" style="433" customWidth="1"/>
    <col min="9469" max="9469" width="6.109375" style="433" customWidth="1"/>
    <col min="9470" max="9470" width="6.44140625" style="433" customWidth="1"/>
    <col min="9471" max="9471" width="9.109375" style="433"/>
    <col min="9472" max="9473" width="13.109375" style="433" bestFit="1" customWidth="1"/>
    <col min="9474" max="9719" width="9.109375" style="433"/>
    <col min="9720" max="9720" width="6.88671875" style="433" customWidth="1"/>
    <col min="9721" max="9721" width="25.88671875" style="433" customWidth="1"/>
    <col min="9722" max="9722" width="17.88671875" style="433" customWidth="1"/>
    <col min="9723" max="9723" width="23.109375" style="433" customWidth="1"/>
    <col min="9724" max="9724" width="11.44140625" style="433" customWidth="1"/>
    <col min="9725" max="9725" width="6.109375" style="433" customWidth="1"/>
    <col min="9726" max="9726" width="6.44140625" style="433" customWidth="1"/>
    <col min="9727" max="9727" width="9.109375" style="433"/>
    <col min="9728" max="9729" width="13.109375" style="433" bestFit="1" customWidth="1"/>
    <col min="9730" max="9975" width="9.109375" style="433"/>
    <col min="9976" max="9976" width="6.88671875" style="433" customWidth="1"/>
    <col min="9977" max="9977" width="25.88671875" style="433" customWidth="1"/>
    <col min="9978" max="9978" width="17.88671875" style="433" customWidth="1"/>
    <col min="9979" max="9979" width="23.109375" style="433" customWidth="1"/>
    <col min="9980" max="9980" width="11.44140625" style="433" customWidth="1"/>
    <col min="9981" max="9981" width="6.109375" style="433" customWidth="1"/>
    <col min="9982" max="9982" width="6.44140625" style="433" customWidth="1"/>
    <col min="9983" max="9983" width="9.109375" style="433"/>
    <col min="9984" max="9985" width="13.109375" style="433" bestFit="1" customWidth="1"/>
    <col min="9986" max="10231" width="9.109375" style="433"/>
    <col min="10232" max="10232" width="6.88671875" style="433" customWidth="1"/>
    <col min="10233" max="10233" width="25.88671875" style="433" customWidth="1"/>
    <col min="10234" max="10234" width="17.88671875" style="433" customWidth="1"/>
    <col min="10235" max="10235" width="23.109375" style="433" customWidth="1"/>
    <col min="10236" max="10236" width="11.44140625" style="433" customWidth="1"/>
    <col min="10237" max="10237" width="6.109375" style="433" customWidth="1"/>
    <col min="10238" max="10238" width="6.44140625" style="433" customWidth="1"/>
    <col min="10239" max="10239" width="9.109375" style="433"/>
    <col min="10240" max="10241" width="13.109375" style="433" bestFit="1" customWidth="1"/>
    <col min="10242" max="10487" width="9.109375" style="433"/>
    <col min="10488" max="10488" width="6.88671875" style="433" customWidth="1"/>
    <col min="10489" max="10489" width="25.88671875" style="433" customWidth="1"/>
    <col min="10490" max="10490" width="17.88671875" style="433" customWidth="1"/>
    <col min="10491" max="10491" width="23.109375" style="433" customWidth="1"/>
    <col min="10492" max="10492" width="11.44140625" style="433" customWidth="1"/>
    <col min="10493" max="10493" width="6.109375" style="433" customWidth="1"/>
    <col min="10494" max="10494" width="6.44140625" style="433" customWidth="1"/>
    <col min="10495" max="10495" width="9.109375" style="433"/>
    <col min="10496" max="10497" width="13.109375" style="433" bestFit="1" customWidth="1"/>
    <col min="10498" max="10743" width="9.109375" style="433"/>
    <col min="10744" max="10744" width="6.88671875" style="433" customWidth="1"/>
    <col min="10745" max="10745" width="25.88671875" style="433" customWidth="1"/>
    <col min="10746" max="10746" width="17.88671875" style="433" customWidth="1"/>
    <col min="10747" max="10747" width="23.109375" style="433" customWidth="1"/>
    <col min="10748" max="10748" width="11.44140625" style="433" customWidth="1"/>
    <col min="10749" max="10749" width="6.109375" style="433" customWidth="1"/>
    <col min="10750" max="10750" width="6.44140625" style="433" customWidth="1"/>
    <col min="10751" max="10751" width="9.109375" style="433"/>
    <col min="10752" max="10753" width="13.109375" style="433" bestFit="1" customWidth="1"/>
    <col min="10754" max="10999" width="9.109375" style="433"/>
    <col min="11000" max="11000" width="6.88671875" style="433" customWidth="1"/>
    <col min="11001" max="11001" width="25.88671875" style="433" customWidth="1"/>
    <col min="11002" max="11002" width="17.88671875" style="433" customWidth="1"/>
    <col min="11003" max="11003" width="23.109375" style="433" customWidth="1"/>
    <col min="11004" max="11004" width="11.44140625" style="433" customWidth="1"/>
    <col min="11005" max="11005" width="6.109375" style="433" customWidth="1"/>
    <col min="11006" max="11006" width="6.44140625" style="433" customWidth="1"/>
    <col min="11007" max="11007" width="9.109375" style="433"/>
    <col min="11008" max="11009" width="13.109375" style="433" bestFit="1" customWidth="1"/>
    <col min="11010" max="11255" width="9.109375" style="433"/>
    <col min="11256" max="11256" width="6.88671875" style="433" customWidth="1"/>
    <col min="11257" max="11257" width="25.88671875" style="433" customWidth="1"/>
    <col min="11258" max="11258" width="17.88671875" style="433" customWidth="1"/>
    <col min="11259" max="11259" width="23.109375" style="433" customWidth="1"/>
    <col min="11260" max="11260" width="11.44140625" style="433" customWidth="1"/>
    <col min="11261" max="11261" width="6.109375" style="433" customWidth="1"/>
    <col min="11262" max="11262" width="6.44140625" style="433" customWidth="1"/>
    <col min="11263" max="11263" width="9.109375" style="433"/>
    <col min="11264" max="11265" width="13.109375" style="433" bestFit="1" customWidth="1"/>
    <col min="11266" max="11511" width="9.109375" style="433"/>
    <col min="11512" max="11512" width="6.88671875" style="433" customWidth="1"/>
    <col min="11513" max="11513" width="25.88671875" style="433" customWidth="1"/>
    <col min="11514" max="11514" width="17.88671875" style="433" customWidth="1"/>
    <col min="11515" max="11515" width="23.109375" style="433" customWidth="1"/>
    <col min="11516" max="11516" width="11.44140625" style="433" customWidth="1"/>
    <col min="11517" max="11517" width="6.109375" style="433" customWidth="1"/>
    <col min="11518" max="11518" width="6.44140625" style="433" customWidth="1"/>
    <col min="11519" max="11519" width="9.109375" style="433"/>
    <col min="11520" max="11521" width="13.109375" style="433" bestFit="1" customWidth="1"/>
    <col min="11522" max="11767" width="9.109375" style="433"/>
    <col min="11768" max="11768" width="6.88671875" style="433" customWidth="1"/>
    <col min="11769" max="11769" width="25.88671875" style="433" customWidth="1"/>
    <col min="11770" max="11770" width="17.88671875" style="433" customWidth="1"/>
    <col min="11771" max="11771" width="23.109375" style="433" customWidth="1"/>
    <col min="11772" max="11772" width="11.44140625" style="433" customWidth="1"/>
    <col min="11773" max="11773" width="6.109375" style="433" customWidth="1"/>
    <col min="11774" max="11774" width="6.44140625" style="433" customWidth="1"/>
    <col min="11775" max="11775" width="9.109375" style="433"/>
    <col min="11776" max="11777" width="13.109375" style="433" bestFit="1" customWidth="1"/>
    <col min="11778" max="12023" width="9.109375" style="433"/>
    <col min="12024" max="12024" width="6.88671875" style="433" customWidth="1"/>
    <col min="12025" max="12025" width="25.88671875" style="433" customWidth="1"/>
    <col min="12026" max="12026" width="17.88671875" style="433" customWidth="1"/>
    <col min="12027" max="12027" width="23.109375" style="433" customWidth="1"/>
    <col min="12028" max="12028" width="11.44140625" style="433" customWidth="1"/>
    <col min="12029" max="12029" width="6.109375" style="433" customWidth="1"/>
    <col min="12030" max="12030" width="6.44140625" style="433" customWidth="1"/>
    <col min="12031" max="12031" width="9.109375" style="433"/>
    <col min="12032" max="12033" width="13.109375" style="433" bestFit="1" customWidth="1"/>
    <col min="12034" max="12279" width="9.109375" style="433"/>
    <col min="12280" max="12280" width="6.88671875" style="433" customWidth="1"/>
    <col min="12281" max="12281" width="25.88671875" style="433" customWidth="1"/>
    <col min="12282" max="12282" width="17.88671875" style="433" customWidth="1"/>
    <col min="12283" max="12283" width="23.109375" style="433" customWidth="1"/>
    <col min="12284" max="12284" width="11.44140625" style="433" customWidth="1"/>
    <col min="12285" max="12285" width="6.109375" style="433" customWidth="1"/>
    <col min="12286" max="12286" width="6.44140625" style="433" customWidth="1"/>
    <col min="12287" max="12287" width="9.109375" style="433"/>
    <col min="12288" max="12289" width="13.109375" style="433" bestFit="1" customWidth="1"/>
    <col min="12290" max="12535" width="9.109375" style="433"/>
    <col min="12536" max="12536" width="6.88671875" style="433" customWidth="1"/>
    <col min="12537" max="12537" width="25.88671875" style="433" customWidth="1"/>
    <col min="12538" max="12538" width="17.88671875" style="433" customWidth="1"/>
    <col min="12539" max="12539" width="23.109375" style="433" customWidth="1"/>
    <col min="12540" max="12540" width="11.44140625" style="433" customWidth="1"/>
    <col min="12541" max="12541" width="6.109375" style="433" customWidth="1"/>
    <col min="12542" max="12542" width="6.44140625" style="433" customWidth="1"/>
    <col min="12543" max="12543" width="9.109375" style="433"/>
    <col min="12544" max="12545" width="13.109375" style="433" bestFit="1" customWidth="1"/>
    <col min="12546" max="12791" width="9.109375" style="433"/>
    <col min="12792" max="12792" width="6.88671875" style="433" customWidth="1"/>
    <col min="12793" max="12793" width="25.88671875" style="433" customWidth="1"/>
    <col min="12794" max="12794" width="17.88671875" style="433" customWidth="1"/>
    <col min="12795" max="12795" width="23.109375" style="433" customWidth="1"/>
    <col min="12796" max="12796" width="11.44140625" style="433" customWidth="1"/>
    <col min="12797" max="12797" width="6.109375" style="433" customWidth="1"/>
    <col min="12798" max="12798" width="6.44140625" style="433" customWidth="1"/>
    <col min="12799" max="12799" width="9.109375" style="433"/>
    <col min="12800" max="12801" width="13.109375" style="433" bestFit="1" customWidth="1"/>
    <col min="12802" max="13047" width="9.109375" style="433"/>
    <col min="13048" max="13048" width="6.88671875" style="433" customWidth="1"/>
    <col min="13049" max="13049" width="25.88671875" style="433" customWidth="1"/>
    <col min="13050" max="13050" width="17.88671875" style="433" customWidth="1"/>
    <col min="13051" max="13051" width="23.109375" style="433" customWidth="1"/>
    <col min="13052" max="13052" width="11.44140625" style="433" customWidth="1"/>
    <col min="13053" max="13053" width="6.109375" style="433" customWidth="1"/>
    <col min="13054" max="13054" width="6.44140625" style="433" customWidth="1"/>
    <col min="13055" max="13055" width="9.109375" style="433"/>
    <col min="13056" max="13057" width="13.109375" style="433" bestFit="1" customWidth="1"/>
    <col min="13058" max="13303" width="9.109375" style="433"/>
    <col min="13304" max="13304" width="6.88671875" style="433" customWidth="1"/>
    <col min="13305" max="13305" width="25.88671875" style="433" customWidth="1"/>
    <col min="13306" max="13306" width="17.88671875" style="433" customWidth="1"/>
    <col min="13307" max="13307" width="23.109375" style="433" customWidth="1"/>
    <col min="13308" max="13308" width="11.44140625" style="433" customWidth="1"/>
    <col min="13309" max="13309" width="6.109375" style="433" customWidth="1"/>
    <col min="13310" max="13310" width="6.44140625" style="433" customWidth="1"/>
    <col min="13311" max="13311" width="9.109375" style="433"/>
    <col min="13312" max="13313" width="13.109375" style="433" bestFit="1" customWidth="1"/>
    <col min="13314" max="13559" width="9.109375" style="433"/>
    <col min="13560" max="13560" width="6.88671875" style="433" customWidth="1"/>
    <col min="13561" max="13561" width="25.88671875" style="433" customWidth="1"/>
    <col min="13562" max="13562" width="17.88671875" style="433" customWidth="1"/>
    <col min="13563" max="13563" width="23.109375" style="433" customWidth="1"/>
    <col min="13564" max="13564" width="11.44140625" style="433" customWidth="1"/>
    <col min="13565" max="13565" width="6.109375" style="433" customWidth="1"/>
    <col min="13566" max="13566" width="6.44140625" style="433" customWidth="1"/>
    <col min="13567" max="13567" width="9.109375" style="433"/>
    <col min="13568" max="13569" width="13.109375" style="433" bestFit="1" customWidth="1"/>
    <col min="13570" max="13815" width="9.109375" style="433"/>
    <col min="13816" max="13816" width="6.88671875" style="433" customWidth="1"/>
    <col min="13817" max="13817" width="25.88671875" style="433" customWidth="1"/>
    <col min="13818" max="13818" width="17.88671875" style="433" customWidth="1"/>
    <col min="13819" max="13819" width="23.109375" style="433" customWidth="1"/>
    <col min="13820" max="13820" width="11.44140625" style="433" customWidth="1"/>
    <col min="13821" max="13821" width="6.109375" style="433" customWidth="1"/>
    <col min="13822" max="13822" width="6.44140625" style="433" customWidth="1"/>
    <col min="13823" max="13823" width="9.109375" style="433"/>
    <col min="13824" max="13825" width="13.109375" style="433" bestFit="1" customWidth="1"/>
    <col min="13826" max="14071" width="9.109375" style="433"/>
    <col min="14072" max="14072" width="6.88671875" style="433" customWidth="1"/>
    <col min="14073" max="14073" width="25.88671875" style="433" customWidth="1"/>
    <col min="14074" max="14074" width="17.88671875" style="433" customWidth="1"/>
    <col min="14075" max="14075" width="23.109375" style="433" customWidth="1"/>
    <col min="14076" max="14076" width="11.44140625" style="433" customWidth="1"/>
    <col min="14077" max="14077" width="6.109375" style="433" customWidth="1"/>
    <col min="14078" max="14078" width="6.44140625" style="433" customWidth="1"/>
    <col min="14079" max="14079" width="9.109375" style="433"/>
    <col min="14080" max="14081" width="13.109375" style="433" bestFit="1" customWidth="1"/>
    <col min="14082" max="14327" width="9.109375" style="433"/>
    <col min="14328" max="14328" width="6.88671875" style="433" customWidth="1"/>
    <col min="14329" max="14329" width="25.88671875" style="433" customWidth="1"/>
    <col min="14330" max="14330" width="17.88671875" style="433" customWidth="1"/>
    <col min="14331" max="14331" width="23.109375" style="433" customWidth="1"/>
    <col min="14332" max="14332" width="11.44140625" style="433" customWidth="1"/>
    <col min="14333" max="14333" width="6.109375" style="433" customWidth="1"/>
    <col min="14334" max="14334" width="6.44140625" style="433" customWidth="1"/>
    <col min="14335" max="14335" width="9.109375" style="433"/>
    <col min="14336" max="14337" width="13.109375" style="433" bestFit="1" customWidth="1"/>
    <col min="14338" max="14583" width="9.109375" style="433"/>
    <col min="14584" max="14584" width="6.88671875" style="433" customWidth="1"/>
    <col min="14585" max="14585" width="25.88671875" style="433" customWidth="1"/>
    <col min="14586" max="14586" width="17.88671875" style="433" customWidth="1"/>
    <col min="14587" max="14587" width="23.109375" style="433" customWidth="1"/>
    <col min="14588" max="14588" width="11.44140625" style="433" customWidth="1"/>
    <col min="14589" max="14589" width="6.109375" style="433" customWidth="1"/>
    <col min="14590" max="14590" width="6.44140625" style="433" customWidth="1"/>
    <col min="14591" max="14591" width="9.109375" style="433"/>
    <col min="14592" max="14593" width="13.109375" style="433" bestFit="1" customWidth="1"/>
    <col min="14594" max="14839" width="9.109375" style="433"/>
    <col min="14840" max="14840" width="6.88671875" style="433" customWidth="1"/>
    <col min="14841" max="14841" width="25.88671875" style="433" customWidth="1"/>
    <col min="14842" max="14842" width="17.88671875" style="433" customWidth="1"/>
    <col min="14843" max="14843" width="23.109375" style="433" customWidth="1"/>
    <col min="14844" max="14844" width="11.44140625" style="433" customWidth="1"/>
    <col min="14845" max="14845" width="6.109375" style="433" customWidth="1"/>
    <col min="14846" max="14846" width="6.44140625" style="433" customWidth="1"/>
    <col min="14847" max="14847" width="9.109375" style="433"/>
    <col min="14848" max="14849" width="13.109375" style="433" bestFit="1" customWidth="1"/>
    <col min="14850" max="15095" width="9.109375" style="433"/>
    <col min="15096" max="15096" width="6.88671875" style="433" customWidth="1"/>
    <col min="15097" max="15097" width="25.88671875" style="433" customWidth="1"/>
    <col min="15098" max="15098" width="17.88671875" style="433" customWidth="1"/>
    <col min="15099" max="15099" width="23.109375" style="433" customWidth="1"/>
    <col min="15100" max="15100" width="11.44140625" style="433" customWidth="1"/>
    <col min="15101" max="15101" width="6.109375" style="433" customWidth="1"/>
    <col min="15102" max="15102" width="6.44140625" style="433" customWidth="1"/>
    <col min="15103" max="15103" width="9.109375" style="433"/>
    <col min="15104" max="15105" width="13.109375" style="433" bestFit="1" customWidth="1"/>
    <col min="15106" max="15351" width="9.109375" style="433"/>
    <col min="15352" max="15352" width="6.88671875" style="433" customWidth="1"/>
    <col min="15353" max="15353" width="25.88671875" style="433" customWidth="1"/>
    <col min="15354" max="15354" width="17.88671875" style="433" customWidth="1"/>
    <col min="15355" max="15355" width="23.109375" style="433" customWidth="1"/>
    <col min="15356" max="15356" width="11.44140625" style="433" customWidth="1"/>
    <col min="15357" max="15357" width="6.109375" style="433" customWidth="1"/>
    <col min="15358" max="15358" width="6.44140625" style="433" customWidth="1"/>
    <col min="15359" max="15359" width="9.109375" style="433"/>
    <col min="15360" max="15361" width="13.109375" style="433" bestFit="1" customWidth="1"/>
    <col min="15362" max="15607" width="9.109375" style="433"/>
    <col min="15608" max="15608" width="6.88671875" style="433" customWidth="1"/>
    <col min="15609" max="15609" width="25.88671875" style="433" customWidth="1"/>
    <col min="15610" max="15610" width="17.88671875" style="433" customWidth="1"/>
    <col min="15611" max="15611" width="23.109375" style="433" customWidth="1"/>
    <col min="15612" max="15612" width="11.44140625" style="433" customWidth="1"/>
    <col min="15613" max="15613" width="6.109375" style="433" customWidth="1"/>
    <col min="15614" max="15614" width="6.44140625" style="433" customWidth="1"/>
    <col min="15615" max="15615" width="9.109375" style="433"/>
    <col min="15616" max="15617" width="13.109375" style="433" bestFit="1" customWidth="1"/>
    <col min="15618" max="15863" width="9.109375" style="433"/>
    <col min="15864" max="15864" width="6.88671875" style="433" customWidth="1"/>
    <col min="15865" max="15865" width="25.88671875" style="433" customWidth="1"/>
    <col min="15866" max="15866" width="17.88671875" style="433" customWidth="1"/>
    <col min="15867" max="15867" width="23.109375" style="433" customWidth="1"/>
    <col min="15868" max="15868" width="11.44140625" style="433" customWidth="1"/>
    <col min="15869" max="15869" width="6.109375" style="433" customWidth="1"/>
    <col min="15870" max="15870" width="6.44140625" style="433" customWidth="1"/>
    <col min="15871" max="15871" width="9.109375" style="433"/>
    <col min="15872" max="15873" width="13.109375" style="433" bestFit="1" customWidth="1"/>
    <col min="15874" max="16119" width="9.109375" style="433"/>
    <col min="16120" max="16120" width="6.88671875" style="433" customWidth="1"/>
    <col min="16121" max="16121" width="25.88671875" style="433" customWidth="1"/>
    <col min="16122" max="16122" width="17.88671875" style="433" customWidth="1"/>
    <col min="16123" max="16123" width="23.109375" style="433" customWidth="1"/>
    <col min="16124" max="16124" width="11.44140625" style="433" customWidth="1"/>
    <col min="16125" max="16125" width="6.109375" style="433" customWidth="1"/>
    <col min="16126" max="16126" width="6.44140625" style="433" customWidth="1"/>
    <col min="16127" max="16127" width="9.109375" style="433"/>
    <col min="16128" max="16129" width="13.109375" style="433" bestFit="1" customWidth="1"/>
    <col min="16130" max="16384" width="9.109375" style="433"/>
  </cols>
  <sheetData>
    <row r="1" spans="1:10" s="373" customFormat="1" ht="15.75" customHeight="1">
      <c r="A1" s="14919" t="s">
        <v>2138</v>
      </c>
      <c r="B1" s="14919"/>
      <c r="C1" s="14919"/>
      <c r="D1" s="14919"/>
      <c r="E1" s="14919"/>
      <c r="F1" s="14919"/>
    </row>
    <row r="2" spans="1:10" s="373" customFormat="1" ht="23.25" customHeight="1">
      <c r="A2" s="4013"/>
      <c r="B2" s="4014"/>
      <c r="C2" s="4015"/>
      <c r="D2" s="4014"/>
      <c r="E2" s="4014"/>
      <c r="F2" s="4014"/>
    </row>
    <row r="3" spans="1:10" s="373" customFormat="1" ht="19.5" customHeight="1">
      <c r="A3" s="4013" t="s">
        <v>734</v>
      </c>
      <c r="C3" s="4013" t="s">
        <v>5380</v>
      </c>
      <c r="D3" s="4014"/>
      <c r="E3" s="4014"/>
      <c r="F3" s="4014"/>
    </row>
    <row r="4" spans="1:10" s="373" customFormat="1" ht="15" customHeight="1">
      <c r="A4" s="4013" t="s">
        <v>12</v>
      </c>
      <c r="B4" s="4014"/>
      <c r="C4" s="4016" t="s">
        <v>5381</v>
      </c>
      <c r="D4" s="4014"/>
      <c r="E4" s="4014"/>
      <c r="F4" s="4014"/>
    </row>
    <row r="5" spans="1:10" s="373" customFormat="1" ht="14.25" customHeight="1">
      <c r="A5" s="4013" t="s">
        <v>5382</v>
      </c>
      <c r="B5" s="4014"/>
      <c r="C5" s="4016" t="s">
        <v>841</v>
      </c>
      <c r="D5" s="4014"/>
      <c r="E5" s="4014"/>
      <c r="F5" s="4014"/>
    </row>
    <row r="6" spans="1:10" ht="6.75" customHeight="1">
      <c r="A6" s="1982"/>
      <c r="B6" s="692"/>
      <c r="C6" s="1983"/>
      <c r="D6" s="692"/>
      <c r="E6" s="692"/>
      <c r="F6" s="692"/>
    </row>
    <row r="7" spans="1:10" ht="12.75" customHeight="1">
      <c r="A7" s="1982"/>
      <c r="B7" s="692"/>
      <c r="C7" s="1983"/>
      <c r="D7" s="692"/>
      <c r="E7" s="692"/>
      <c r="F7" s="692"/>
    </row>
    <row r="8" spans="1:10" ht="16.5" customHeight="1">
      <c r="A8" s="1982" t="s">
        <v>5383</v>
      </c>
      <c r="B8" s="692"/>
      <c r="C8" s="1983"/>
      <c r="D8" s="692"/>
      <c r="E8" s="692"/>
      <c r="F8" s="692"/>
    </row>
    <row r="9" spans="1:10" ht="60.75" customHeight="1">
      <c r="A9" s="14920" t="s">
        <v>5393</v>
      </c>
      <c r="B9" s="14920"/>
      <c r="C9" s="14920"/>
      <c r="D9" s="14920"/>
      <c r="E9" s="14920"/>
      <c r="F9" s="14920"/>
      <c r="G9" s="1937"/>
      <c r="H9" s="1937"/>
      <c r="I9" s="1937"/>
      <c r="J9" s="1937"/>
    </row>
    <row r="10" spans="1:10" ht="14.25" customHeight="1">
      <c r="A10" s="1982"/>
      <c r="B10" s="692"/>
      <c r="C10" s="1983"/>
      <c r="D10" s="692"/>
      <c r="E10" s="692"/>
      <c r="F10" s="692"/>
    </row>
    <row r="11" spans="1:10" ht="14.25" customHeight="1">
      <c r="A11" s="1982" t="s">
        <v>5384</v>
      </c>
      <c r="B11" s="692"/>
      <c r="C11" s="1983"/>
      <c r="D11" s="692"/>
      <c r="E11" s="692"/>
      <c r="F11" s="692"/>
    </row>
    <row r="12" spans="1:10" ht="17.25" customHeight="1">
      <c r="A12" s="692" t="s">
        <v>5385</v>
      </c>
      <c r="B12" s="692"/>
      <c r="C12" s="1983"/>
      <c r="D12" s="692"/>
      <c r="E12" s="692"/>
      <c r="F12" s="692"/>
    </row>
    <row r="13" spans="1:10" ht="18" customHeight="1">
      <c r="A13" s="692" t="s">
        <v>5386</v>
      </c>
      <c r="B13" s="692"/>
      <c r="C13" s="1983"/>
      <c r="D13" s="692"/>
      <c r="E13" s="692"/>
      <c r="F13" s="692"/>
    </row>
    <row r="14" spans="1:10" ht="15.75" customHeight="1">
      <c r="A14" s="692" t="s">
        <v>5387</v>
      </c>
      <c r="B14" s="692"/>
      <c r="C14" s="1983"/>
      <c r="D14" s="692"/>
      <c r="E14" s="692"/>
      <c r="F14" s="692"/>
    </row>
    <row r="15" spans="1:10" ht="19.5" customHeight="1">
      <c r="A15" s="692" t="s">
        <v>5388</v>
      </c>
      <c r="B15" s="692"/>
      <c r="C15" s="1983"/>
      <c r="D15" s="692"/>
      <c r="E15" s="692"/>
      <c r="F15" s="692"/>
    </row>
    <row r="16" spans="1:10" ht="15" customHeight="1">
      <c r="A16" s="1982"/>
      <c r="B16" s="692"/>
      <c r="C16" s="1983"/>
      <c r="D16" s="692"/>
      <c r="E16" s="692"/>
      <c r="F16" s="692"/>
    </row>
    <row r="17" spans="1:6" ht="42" customHeight="1" thickBot="1">
      <c r="A17" s="1982" t="s">
        <v>5389</v>
      </c>
      <c r="B17" s="692"/>
      <c r="C17" s="1983"/>
      <c r="D17" s="692"/>
      <c r="E17" s="692"/>
      <c r="F17" s="692"/>
    </row>
    <row r="18" spans="1:6" s="1026" customFormat="1" ht="39.75" customHeight="1" thickBot="1">
      <c r="A18" s="1989" t="s">
        <v>2854</v>
      </c>
      <c r="B18" s="1981" t="s">
        <v>5390</v>
      </c>
      <c r="C18" s="1988" t="s">
        <v>1763</v>
      </c>
      <c r="D18" s="4017" t="s">
        <v>2029</v>
      </c>
      <c r="E18" s="4018" t="s">
        <v>2030</v>
      </c>
      <c r="F18" s="1981" t="s">
        <v>5472</v>
      </c>
    </row>
    <row r="19" spans="1:6" ht="12.75" customHeight="1">
      <c r="A19" s="4020"/>
      <c r="B19" s="1984"/>
      <c r="C19" s="1985"/>
      <c r="D19" s="3803"/>
      <c r="E19" s="3803"/>
      <c r="F19" s="1984"/>
    </row>
    <row r="20" spans="1:6" ht="15.75" customHeight="1">
      <c r="A20" s="4019"/>
      <c r="B20" s="1659" t="s">
        <v>5394</v>
      </c>
      <c r="C20" s="1986"/>
      <c r="D20" s="3804"/>
      <c r="E20" s="3804"/>
      <c r="F20" s="1650"/>
    </row>
    <row r="21" spans="1:6" ht="14.25" customHeight="1">
      <c r="A21" s="4019"/>
      <c r="B21" s="1659" t="s">
        <v>5395</v>
      </c>
      <c r="C21" s="1986"/>
      <c r="D21" s="3804"/>
      <c r="E21" s="3804"/>
      <c r="F21" s="1650"/>
    </row>
    <row r="22" spans="1:6" s="476" customFormat="1" ht="42.75" customHeight="1">
      <c r="A22" s="4019"/>
      <c r="B22" s="1650" t="s">
        <v>5396</v>
      </c>
      <c r="C22" s="1986">
        <v>250000</v>
      </c>
      <c r="D22" s="3804" t="s">
        <v>5397</v>
      </c>
      <c r="E22" s="3804" t="s">
        <v>5398</v>
      </c>
      <c r="F22" s="1650" t="s">
        <v>5399</v>
      </c>
    </row>
    <row r="23" spans="1:6" s="476" customFormat="1" ht="36" customHeight="1">
      <c r="A23" s="4019"/>
      <c r="B23" s="1650"/>
      <c r="C23" s="1986"/>
      <c r="D23" s="3804" t="s">
        <v>5400</v>
      </c>
      <c r="E23" s="3804" t="s">
        <v>5401</v>
      </c>
      <c r="F23" s="1650"/>
    </row>
    <row r="24" spans="1:6" s="476" customFormat="1" ht="14.25" customHeight="1">
      <c r="A24" s="4019"/>
      <c r="B24" s="14921" t="s">
        <v>5403</v>
      </c>
      <c r="C24" s="1986">
        <v>75000</v>
      </c>
      <c r="D24" s="3804" t="s">
        <v>5402</v>
      </c>
      <c r="E24" s="14921" t="s">
        <v>5406</v>
      </c>
      <c r="F24" s="1650"/>
    </row>
    <row r="25" spans="1:6" ht="18" customHeight="1">
      <c r="A25" s="4019"/>
      <c r="B25" s="14921"/>
      <c r="C25" s="1986"/>
      <c r="D25" s="3804" t="s">
        <v>5404</v>
      </c>
      <c r="E25" s="14921"/>
      <c r="F25" s="1650"/>
    </row>
    <row r="26" spans="1:6" ht="30.75" customHeight="1">
      <c r="A26" s="4019"/>
      <c r="B26" s="14921"/>
      <c r="C26" s="1986"/>
      <c r="D26" s="3804" t="s">
        <v>5405</v>
      </c>
      <c r="E26" s="14921"/>
      <c r="F26" s="1650"/>
    </row>
    <row r="27" spans="1:6" ht="13.5" customHeight="1">
      <c r="A27" s="4019"/>
      <c r="B27" s="1650"/>
      <c r="C27" s="1986"/>
      <c r="D27" s="3804"/>
      <c r="E27" s="3804"/>
      <c r="F27" s="1650"/>
    </row>
    <row r="28" spans="1:6" ht="27.75" customHeight="1">
      <c r="A28" s="4019"/>
      <c r="B28" s="1650" t="s">
        <v>5407</v>
      </c>
      <c r="C28" s="1986">
        <v>20000</v>
      </c>
      <c r="D28" s="3804" t="s">
        <v>5408</v>
      </c>
      <c r="E28" s="3804" t="s">
        <v>5409</v>
      </c>
      <c r="F28" s="1650" t="s">
        <v>5399</v>
      </c>
    </row>
    <row r="29" spans="1:6" ht="42.75" customHeight="1">
      <c r="A29" s="4019"/>
      <c r="B29" s="1650" t="s">
        <v>9</v>
      </c>
      <c r="C29" s="1986"/>
      <c r="D29" s="3804" t="s">
        <v>5410</v>
      </c>
      <c r="E29" s="3804" t="s">
        <v>5411</v>
      </c>
      <c r="F29" s="1650"/>
    </row>
    <row r="30" spans="1:6" ht="14.25" customHeight="1">
      <c r="A30" s="4019"/>
      <c r="B30" s="1650"/>
      <c r="C30" s="1986"/>
      <c r="D30" s="3804"/>
      <c r="E30" s="3804"/>
      <c r="F30" s="1650"/>
    </row>
    <row r="31" spans="1:6" ht="41.25" customHeight="1">
      <c r="A31" s="4019"/>
      <c r="B31" s="1650" t="s">
        <v>5413</v>
      </c>
      <c r="C31" s="1986">
        <v>150000</v>
      </c>
      <c r="D31" s="3804" t="s">
        <v>5414</v>
      </c>
      <c r="E31" s="3804" t="s">
        <v>5412</v>
      </c>
      <c r="F31" s="1650" t="s">
        <v>5420</v>
      </c>
    </row>
    <row r="32" spans="1:6" ht="27.75" customHeight="1">
      <c r="A32" s="4019"/>
      <c r="B32" s="1659"/>
      <c r="C32" s="1993"/>
      <c r="D32" s="3804" t="s">
        <v>5416</v>
      </c>
      <c r="E32" s="3804" t="s">
        <v>5415</v>
      </c>
      <c r="F32" s="1650"/>
    </row>
    <row r="33" spans="1:6" ht="13.5" customHeight="1">
      <c r="A33" s="4019"/>
      <c r="B33" s="1650"/>
      <c r="C33" s="1986"/>
      <c r="D33" s="3804"/>
      <c r="E33" s="1991"/>
      <c r="F33" s="1650"/>
    </row>
    <row r="34" spans="1:6" ht="94.5" customHeight="1" thickBot="1">
      <c r="A34" s="4019"/>
      <c r="B34" s="1659" t="s">
        <v>5473</v>
      </c>
      <c r="C34" s="1986">
        <v>241500</v>
      </c>
      <c r="D34" s="3804" t="s">
        <v>5419</v>
      </c>
      <c r="E34" s="3804" t="s">
        <v>5418</v>
      </c>
      <c r="F34" s="1650" t="s">
        <v>5417</v>
      </c>
    </row>
    <row r="35" spans="1:6" ht="17.25" customHeight="1">
      <c r="A35" s="3823"/>
      <c r="B35" s="3821"/>
      <c r="C35" s="4021"/>
      <c r="D35" s="3823"/>
      <c r="E35" s="3823"/>
      <c r="F35" s="3823"/>
    </row>
    <row r="36" spans="1:6" ht="17.25" customHeight="1">
      <c r="A36" s="877"/>
      <c r="B36" s="1658"/>
      <c r="C36" s="4022"/>
      <c r="D36" s="877"/>
      <c r="E36" s="877"/>
      <c r="F36" s="877"/>
    </row>
    <row r="37" spans="1:6" ht="17.25" customHeight="1">
      <c r="A37" s="877"/>
      <c r="B37" s="1658"/>
      <c r="C37" s="4022"/>
      <c r="D37" s="877"/>
      <c r="E37" s="877"/>
      <c r="F37" s="877"/>
    </row>
    <row r="38" spans="1:6" ht="17.25" customHeight="1">
      <c r="A38" s="877"/>
      <c r="B38" s="1658"/>
      <c r="C38" s="4022"/>
      <c r="D38" s="877"/>
      <c r="E38" s="877"/>
      <c r="F38" s="877"/>
    </row>
    <row r="39" spans="1:6" ht="17.25" customHeight="1" thickBot="1">
      <c r="A39" s="877"/>
      <c r="B39" s="1658"/>
      <c r="C39" s="4022"/>
      <c r="D39" s="877"/>
      <c r="E39" s="877"/>
      <c r="F39" s="877"/>
    </row>
    <row r="40" spans="1:6" s="1026" customFormat="1" ht="39.75" customHeight="1" thickBot="1">
      <c r="A40" s="1989" t="s">
        <v>2854</v>
      </c>
      <c r="B40" s="1981" t="s">
        <v>5390</v>
      </c>
      <c r="C40" s="1988" t="s">
        <v>1763</v>
      </c>
      <c r="D40" s="4017" t="s">
        <v>2029</v>
      </c>
      <c r="E40" s="4018" t="s">
        <v>2030</v>
      </c>
      <c r="F40" s="1981" t="s">
        <v>5472</v>
      </c>
    </row>
    <row r="41" spans="1:6" s="476" customFormat="1" ht="15" customHeight="1">
      <c r="A41" s="4019"/>
      <c r="B41" s="1659" t="s">
        <v>5426</v>
      </c>
      <c r="C41" s="1986"/>
      <c r="D41" s="3804"/>
      <c r="E41" s="1991"/>
      <c r="F41" s="1650"/>
    </row>
    <row r="42" spans="1:6" s="476" customFormat="1" ht="8.25" customHeight="1">
      <c r="A42" s="4019"/>
      <c r="B42" s="1659"/>
      <c r="C42" s="1986"/>
      <c r="D42" s="3804"/>
      <c r="E42" s="1991"/>
      <c r="F42" s="1650"/>
    </row>
    <row r="43" spans="1:6" s="476" customFormat="1" ht="31.5" customHeight="1">
      <c r="A43" s="4019"/>
      <c r="B43" s="1659" t="s">
        <v>5474</v>
      </c>
      <c r="C43" s="1986">
        <v>10000</v>
      </c>
      <c r="D43" s="3804" t="s">
        <v>5422</v>
      </c>
      <c r="E43" s="14921" t="s">
        <v>5421</v>
      </c>
      <c r="F43" s="1650" t="s">
        <v>5431</v>
      </c>
    </row>
    <row r="44" spans="1:6" s="476" customFormat="1" ht="44.25" customHeight="1">
      <c r="A44" s="4019"/>
      <c r="B44" s="1659"/>
      <c r="C44" s="1986"/>
      <c r="D44" s="3804" t="s">
        <v>5423</v>
      </c>
      <c r="E44" s="14921"/>
      <c r="F44" s="1650"/>
    </row>
    <row r="45" spans="1:6" s="476" customFormat="1" ht="44.25" customHeight="1">
      <c r="A45" s="4019"/>
      <c r="B45" s="1659" t="s">
        <v>5475</v>
      </c>
      <c r="C45" s="1986">
        <v>24000</v>
      </c>
      <c r="D45" s="3804" t="s">
        <v>5425</v>
      </c>
      <c r="E45" s="3804" t="s">
        <v>5424</v>
      </c>
      <c r="F45" s="1650" t="s">
        <v>5439</v>
      </c>
    </row>
    <row r="46" spans="1:6" s="476" customFormat="1" ht="23.25" customHeight="1">
      <c r="A46" s="4019"/>
      <c r="B46" s="1659" t="s">
        <v>5437</v>
      </c>
      <c r="C46" s="1986"/>
      <c r="D46" s="3804"/>
      <c r="E46" s="3804"/>
      <c r="F46" s="1650"/>
    </row>
    <row r="47" spans="1:6" ht="26.25" customHeight="1">
      <c r="A47" s="4019"/>
      <c r="B47" s="1650" t="s">
        <v>5476</v>
      </c>
      <c r="C47" s="1993"/>
      <c r="D47" s="1991"/>
      <c r="E47" s="1991"/>
      <c r="F47" s="1650" t="s">
        <v>5446</v>
      </c>
    </row>
    <row r="48" spans="1:6" ht="13.5" customHeight="1">
      <c r="A48" s="4019"/>
      <c r="B48" s="1991"/>
      <c r="C48" s="1993"/>
      <c r="D48" s="1991"/>
      <c r="E48" s="1991"/>
      <c r="F48" s="1650"/>
    </row>
    <row r="49" spans="1:6" ht="39.75" customHeight="1">
      <c r="A49" s="4019"/>
      <c r="B49" s="1650" t="s">
        <v>5477</v>
      </c>
      <c r="C49" s="1986">
        <v>80000</v>
      </c>
      <c r="D49" s="3804" t="s">
        <v>5429</v>
      </c>
      <c r="E49" s="3804" t="s">
        <v>5427</v>
      </c>
      <c r="F49" s="1650"/>
    </row>
    <row r="50" spans="1:6" ht="31.5" customHeight="1">
      <c r="A50" s="4019"/>
      <c r="B50" s="1650" t="s">
        <v>5478</v>
      </c>
      <c r="C50" s="1986"/>
      <c r="D50" s="3804" t="s">
        <v>5430</v>
      </c>
      <c r="E50" s="3804" t="s">
        <v>5428</v>
      </c>
      <c r="F50" s="1650"/>
    </row>
    <row r="51" spans="1:6" ht="57" customHeight="1">
      <c r="A51" s="4019"/>
      <c r="B51" s="1650" t="s">
        <v>5445</v>
      </c>
      <c r="C51" s="1986"/>
      <c r="D51" s="3804"/>
      <c r="E51" s="3804"/>
      <c r="F51" s="1650"/>
    </row>
    <row r="52" spans="1:6" ht="49.5" customHeight="1">
      <c r="A52" s="4019"/>
      <c r="B52" s="1650" t="s">
        <v>5448</v>
      </c>
      <c r="C52" s="1986">
        <v>5000</v>
      </c>
      <c r="D52" s="3804" t="s">
        <v>5433</v>
      </c>
      <c r="E52" s="3804" t="s">
        <v>5432</v>
      </c>
      <c r="F52" s="1650"/>
    </row>
    <row r="53" spans="1:6" ht="29.25" customHeight="1">
      <c r="A53" s="4019"/>
      <c r="B53" s="1650" t="s">
        <v>5450</v>
      </c>
      <c r="C53" s="1986"/>
      <c r="D53" s="1991"/>
      <c r="E53" s="3804"/>
      <c r="F53" s="1650"/>
    </row>
    <row r="54" spans="1:6" ht="52.8">
      <c r="A54" s="4019"/>
      <c r="B54" s="1990" t="s">
        <v>5479</v>
      </c>
      <c r="C54" s="1986">
        <v>500000</v>
      </c>
      <c r="D54" s="3804" t="s">
        <v>5434</v>
      </c>
      <c r="E54" s="3804" t="s">
        <v>5436</v>
      </c>
      <c r="F54" s="1650"/>
    </row>
    <row r="55" spans="1:6" ht="39.6">
      <c r="A55" s="4019"/>
      <c r="B55" s="1990" t="s">
        <v>5480</v>
      </c>
      <c r="C55" s="1986"/>
      <c r="D55" s="3804" t="s">
        <v>5435</v>
      </c>
      <c r="E55" s="3804" t="s">
        <v>5440</v>
      </c>
      <c r="F55" s="1650"/>
    </row>
    <row r="56" spans="1:6" ht="81" customHeight="1">
      <c r="A56" s="4019"/>
      <c r="B56" s="1650" t="s">
        <v>5451</v>
      </c>
      <c r="C56" s="1986">
        <v>20000</v>
      </c>
      <c r="D56" s="3804" t="s">
        <v>5438</v>
      </c>
      <c r="E56" s="3804" t="s">
        <v>5442</v>
      </c>
      <c r="F56" s="1650"/>
    </row>
    <row r="57" spans="1:6" ht="39.6">
      <c r="A57" s="4019"/>
      <c r="B57" s="1650" t="s">
        <v>5452</v>
      </c>
      <c r="C57" s="1986"/>
      <c r="D57" s="3804" t="s">
        <v>5441</v>
      </c>
      <c r="E57" s="3804" t="s">
        <v>5443</v>
      </c>
      <c r="F57" s="1650"/>
    </row>
    <row r="58" spans="1:6">
      <c r="A58" s="4019"/>
      <c r="B58" s="1650"/>
      <c r="C58" s="1986"/>
      <c r="D58" s="3804"/>
      <c r="E58" s="3804"/>
      <c r="F58" s="1650"/>
    </row>
    <row r="59" spans="1:6" ht="15.75" customHeight="1">
      <c r="A59" s="4019"/>
      <c r="B59" s="1659" t="s">
        <v>5486</v>
      </c>
      <c r="C59" s="1986">
        <v>300000</v>
      </c>
      <c r="D59" s="3804"/>
      <c r="E59" s="1991"/>
      <c r="F59" s="1650"/>
    </row>
    <row r="60" spans="1:6" ht="26.4">
      <c r="A60" s="4019"/>
      <c r="B60" s="1650" t="s">
        <v>5454</v>
      </c>
      <c r="C60" s="1986"/>
      <c r="D60" s="3804" t="s">
        <v>5444</v>
      </c>
      <c r="E60" s="3804" t="s">
        <v>5449</v>
      </c>
      <c r="F60" s="1650"/>
    </row>
    <row r="61" spans="1:6">
      <c r="A61" s="4019"/>
      <c r="B61" s="1650"/>
      <c r="C61" s="1986"/>
      <c r="D61" s="3804"/>
      <c r="E61" s="3804"/>
      <c r="F61" s="1650"/>
    </row>
    <row r="62" spans="1:6" ht="66">
      <c r="A62" s="4019"/>
      <c r="B62" s="1650" t="s">
        <v>5456</v>
      </c>
      <c r="C62" s="1986"/>
      <c r="D62" s="3804" t="s">
        <v>5447</v>
      </c>
      <c r="E62" s="3804" t="s">
        <v>5481</v>
      </c>
      <c r="F62" s="1650"/>
    </row>
    <row r="63" spans="1:6" ht="26.4">
      <c r="A63" s="4019"/>
      <c r="B63" s="1650" t="s">
        <v>5457</v>
      </c>
      <c r="C63" s="1986">
        <v>50000</v>
      </c>
      <c r="D63" s="3804"/>
      <c r="E63" s="1991"/>
      <c r="F63" s="1650"/>
    </row>
    <row r="64" spans="1:6" ht="27" thickBot="1">
      <c r="A64" s="4019"/>
      <c r="B64" s="1650" t="s">
        <v>5458</v>
      </c>
      <c r="C64" s="1986"/>
      <c r="D64" s="3804"/>
      <c r="E64" s="1991"/>
      <c r="F64" s="1650"/>
    </row>
    <row r="65" spans="1:6">
      <c r="A65" s="3823"/>
      <c r="B65" s="3822"/>
      <c r="C65" s="4021"/>
      <c r="D65" s="3823"/>
      <c r="E65" s="3822"/>
      <c r="F65" s="3823"/>
    </row>
    <row r="66" spans="1:6">
      <c r="A66" s="877"/>
      <c r="B66" s="877"/>
      <c r="C66" s="4022"/>
      <c r="D66" s="877"/>
      <c r="E66" s="877"/>
      <c r="F66" s="877"/>
    </row>
    <row r="67" spans="1:6">
      <c r="A67" s="877"/>
      <c r="B67" s="877"/>
      <c r="C67" s="4022"/>
      <c r="D67" s="877"/>
      <c r="E67" s="877"/>
      <c r="F67" s="877"/>
    </row>
    <row r="68" spans="1:6">
      <c r="A68" s="877"/>
      <c r="B68" s="877"/>
      <c r="C68" s="4022"/>
      <c r="D68" s="877"/>
      <c r="E68" s="877"/>
      <c r="F68" s="877"/>
    </row>
    <row r="69" spans="1:6" ht="13.8" thickBot="1">
      <c r="A69" s="877"/>
      <c r="B69" s="476"/>
      <c r="C69" s="4022"/>
      <c r="D69" s="877"/>
      <c r="E69" s="877"/>
      <c r="F69" s="877"/>
    </row>
    <row r="70" spans="1:6" s="1026" customFormat="1" ht="39.75" customHeight="1" thickBot="1">
      <c r="A70" s="1989" t="s">
        <v>2854</v>
      </c>
      <c r="B70" s="1981" t="s">
        <v>5390</v>
      </c>
      <c r="C70" s="1988" t="s">
        <v>1763</v>
      </c>
      <c r="D70" s="4017" t="s">
        <v>2029</v>
      </c>
      <c r="E70" s="4018" t="s">
        <v>2030</v>
      </c>
      <c r="F70" s="1981" t="s">
        <v>5472</v>
      </c>
    </row>
    <row r="71" spans="1:6" ht="26.4">
      <c r="A71" s="4019"/>
      <c r="B71" s="1650" t="s">
        <v>5460</v>
      </c>
      <c r="C71" s="1986"/>
      <c r="D71" s="3804"/>
      <c r="E71" s="3804"/>
      <c r="F71" s="1650"/>
    </row>
    <row r="72" spans="1:6" ht="52.8">
      <c r="A72" s="4019"/>
      <c r="B72" s="1650" t="s">
        <v>5391</v>
      </c>
      <c r="C72" s="1986">
        <v>70000</v>
      </c>
      <c r="D72" s="3804" t="s">
        <v>5482</v>
      </c>
      <c r="E72" s="3804"/>
      <c r="F72" s="1650"/>
    </row>
    <row r="73" spans="1:6" ht="30" customHeight="1">
      <c r="A73" s="4019"/>
      <c r="B73" s="1650" t="s">
        <v>5461</v>
      </c>
      <c r="C73" s="1986">
        <v>20000</v>
      </c>
      <c r="D73" s="3804"/>
      <c r="E73" s="3804"/>
      <c r="F73" s="1650"/>
    </row>
    <row r="74" spans="1:6" ht="79.2">
      <c r="A74" s="4019"/>
      <c r="B74" s="1990" t="s">
        <v>5483</v>
      </c>
      <c r="C74" s="1986"/>
      <c r="D74" s="3804" t="s">
        <v>5482</v>
      </c>
      <c r="E74" s="3804" t="s">
        <v>5484</v>
      </c>
      <c r="F74" s="1650"/>
    </row>
    <row r="75" spans="1:6">
      <c r="A75" s="4019"/>
      <c r="B75" s="1991"/>
      <c r="C75" s="1986"/>
      <c r="D75" s="3804"/>
      <c r="E75" s="3804"/>
      <c r="F75" s="1650"/>
    </row>
    <row r="76" spans="1:6" ht="39.6">
      <c r="A76" s="4019"/>
      <c r="B76" s="1650" t="s">
        <v>5464</v>
      </c>
      <c r="C76" s="1986"/>
      <c r="D76" s="3804" t="s">
        <v>5485</v>
      </c>
      <c r="E76" s="3804"/>
      <c r="F76" s="1650"/>
    </row>
    <row r="77" spans="1:6">
      <c r="A77" s="4019"/>
      <c r="B77" s="1650"/>
      <c r="C77" s="1986"/>
      <c r="D77" s="1991"/>
      <c r="E77" s="3804"/>
      <c r="F77" s="1650"/>
    </row>
    <row r="78" spans="1:6" ht="26.4">
      <c r="A78" s="4019"/>
      <c r="B78" s="1650" t="s">
        <v>5466</v>
      </c>
      <c r="C78" s="1986"/>
      <c r="D78" s="3804" t="s">
        <v>5430</v>
      </c>
      <c r="E78" s="3804"/>
      <c r="F78" s="1650"/>
    </row>
    <row r="79" spans="1:6">
      <c r="A79" s="4019"/>
      <c r="B79" s="1650"/>
      <c r="C79" s="1986"/>
      <c r="D79" s="3804"/>
      <c r="E79" s="3804"/>
      <c r="F79" s="1650"/>
    </row>
    <row r="80" spans="1:6">
      <c r="A80" s="4019"/>
      <c r="B80" s="1650" t="s">
        <v>5392</v>
      </c>
      <c r="C80" s="1986"/>
      <c r="D80" s="3804"/>
      <c r="E80" s="3804"/>
      <c r="F80" s="1650"/>
    </row>
    <row r="81" spans="1:6">
      <c r="A81" s="4019"/>
      <c r="B81" s="1990" t="s">
        <v>5467</v>
      </c>
      <c r="C81" s="1986"/>
      <c r="D81" s="3804"/>
      <c r="E81" s="3804"/>
      <c r="F81" s="1650"/>
    </row>
    <row r="82" spans="1:6">
      <c r="A82" s="4019"/>
      <c r="B82" s="1650"/>
      <c r="C82" s="1986"/>
      <c r="D82" s="3804"/>
      <c r="E82" s="3804"/>
      <c r="F82" s="1650"/>
    </row>
    <row r="83" spans="1:6" ht="39.6">
      <c r="A83" s="4019"/>
      <c r="B83" s="1650" t="s">
        <v>5468</v>
      </c>
      <c r="C83" s="1986">
        <v>150000</v>
      </c>
      <c r="D83" s="3804" t="s">
        <v>5453</v>
      </c>
      <c r="E83" s="3804" t="s">
        <v>5462</v>
      </c>
      <c r="F83" s="1650"/>
    </row>
    <row r="84" spans="1:6">
      <c r="A84" s="4019"/>
      <c r="B84" s="1991"/>
      <c r="C84" s="1986"/>
      <c r="D84" s="3804"/>
      <c r="E84" s="3804"/>
      <c r="F84" s="1650"/>
    </row>
    <row r="85" spans="1:6" ht="26.4">
      <c r="A85" s="4019"/>
      <c r="B85" s="1650" t="s">
        <v>5487</v>
      </c>
      <c r="C85" s="1986">
        <v>36000</v>
      </c>
      <c r="D85" s="3804" t="s">
        <v>5455</v>
      </c>
      <c r="E85" s="3804"/>
      <c r="F85" s="1650"/>
    </row>
    <row r="86" spans="1:6">
      <c r="A86" s="4019"/>
      <c r="B86" s="1650"/>
      <c r="C86" s="1993"/>
      <c r="D86" s="3804"/>
      <c r="E86" s="3804"/>
      <c r="F86" s="1650"/>
    </row>
    <row r="87" spans="1:6" ht="39.6">
      <c r="A87" s="4019"/>
      <c r="B87" s="1650" t="s">
        <v>5469</v>
      </c>
      <c r="C87" s="1986"/>
      <c r="D87" s="3804"/>
      <c r="E87" s="3804"/>
      <c r="F87" s="1650"/>
    </row>
    <row r="88" spans="1:6">
      <c r="A88" s="4019"/>
      <c r="B88" s="1650"/>
      <c r="C88" s="1986"/>
      <c r="D88" s="3804"/>
      <c r="E88" s="3804"/>
      <c r="F88" s="1650"/>
    </row>
    <row r="89" spans="1:6">
      <c r="A89" s="4019"/>
      <c r="B89" s="1650"/>
      <c r="C89" s="1993"/>
      <c r="D89" s="3804"/>
      <c r="E89" s="1991"/>
      <c r="F89" s="1650"/>
    </row>
    <row r="90" spans="1:6" ht="52.8">
      <c r="A90" s="4019"/>
      <c r="B90" s="1650" t="s">
        <v>5470</v>
      </c>
      <c r="C90" s="1986">
        <v>150000</v>
      </c>
      <c r="D90" s="3804" t="s">
        <v>5459</v>
      </c>
      <c r="E90" s="3804" t="s">
        <v>5463</v>
      </c>
      <c r="F90" s="1650"/>
    </row>
    <row r="91" spans="1:6" ht="39.6">
      <c r="A91" s="4019"/>
      <c r="B91" s="1650" t="s">
        <v>5471</v>
      </c>
      <c r="C91" s="1986"/>
      <c r="D91" s="3804"/>
      <c r="E91" s="3804" t="s">
        <v>5465</v>
      </c>
      <c r="F91" s="1650"/>
    </row>
    <row r="92" spans="1:6" ht="13.8" thickBot="1">
      <c r="A92" s="3805"/>
      <c r="B92" s="1980" t="s">
        <v>220</v>
      </c>
      <c r="C92" s="1987"/>
      <c r="D92" s="3805"/>
      <c r="E92" s="3805"/>
      <c r="F92" s="1992"/>
    </row>
    <row r="93" spans="1:6">
      <c r="A93" s="692"/>
      <c r="B93" s="692"/>
      <c r="C93" s="1983"/>
      <c r="D93" s="692"/>
      <c r="E93" s="692"/>
      <c r="F93" s="692"/>
    </row>
  </sheetData>
  <mergeCells count="5">
    <mergeCell ref="A1:F1"/>
    <mergeCell ref="A9:F9"/>
    <mergeCell ref="B24:B26"/>
    <mergeCell ref="E24:E26"/>
    <mergeCell ref="E43:E44"/>
  </mergeCells>
  <pageMargins left="0.5" right="0.25" top="0.75" bottom="0.5" header="0.5" footer="0.25"/>
  <pageSetup paperSize="119" scale="95" firstPageNumber="201" orientation="portrait" useFirstPageNumber="1" verticalDpi="300" r:id="rId1"/>
  <headerFooter alignWithMargins="0"/>
</worksheet>
</file>

<file path=xl/worksheets/sheet106.xml><?xml version="1.0" encoding="utf-8"?>
<worksheet xmlns="http://schemas.openxmlformats.org/spreadsheetml/2006/main" xmlns:r="http://schemas.openxmlformats.org/officeDocument/2006/relationships">
  <sheetPr codeName="Sheet139">
    <tabColor rgb="FFFFFF00"/>
  </sheetPr>
  <dimension ref="A1:F30"/>
  <sheetViews>
    <sheetView topLeftCell="A13" workbookViewId="0">
      <selection activeCell="C14" sqref="C14"/>
    </sheetView>
  </sheetViews>
  <sheetFormatPr defaultColWidth="9.109375" defaultRowHeight="14.4"/>
  <cols>
    <col min="1" max="1" width="34.88671875" style="818" customWidth="1"/>
    <col min="2" max="2" width="13.109375" style="818" customWidth="1"/>
    <col min="3" max="3" width="13" style="818" customWidth="1"/>
    <col min="4" max="4" width="10.44140625" style="818" customWidth="1"/>
    <col min="5" max="5" width="11.109375" style="818" customWidth="1"/>
    <col min="6" max="6" width="13.88671875" style="818" customWidth="1"/>
    <col min="7" max="16384" width="9.109375" style="818"/>
  </cols>
  <sheetData>
    <row r="1" spans="1:6" s="881" customFormat="1" ht="25.5" customHeight="1">
      <c r="A1" s="4033" t="s">
        <v>3426</v>
      </c>
    </row>
    <row r="2" spans="1:6" s="881" customFormat="1" ht="16.5" customHeight="1">
      <c r="A2" s="47" t="s">
        <v>1276</v>
      </c>
    </row>
    <row r="3" spans="1:6" s="881" customFormat="1" ht="16.5" customHeight="1" thickBot="1"/>
    <row r="4" spans="1:6" s="881" customFormat="1" ht="3" customHeight="1">
      <c r="A4" s="1994"/>
      <c r="B4" s="14928" t="s">
        <v>18</v>
      </c>
      <c r="C4" s="14929"/>
      <c r="D4" s="1997"/>
      <c r="E4" s="4024"/>
      <c r="F4" s="1999"/>
    </row>
    <row r="5" spans="1:6" s="882" customFormat="1" ht="14.25" customHeight="1" thickBot="1">
      <c r="A5" s="1995" t="s">
        <v>5488</v>
      </c>
      <c r="B5" s="14930"/>
      <c r="C5" s="14931"/>
      <c r="D5" s="14924" t="s">
        <v>52</v>
      </c>
      <c r="E5" s="14922" t="s">
        <v>3445</v>
      </c>
      <c r="F5" s="2000" t="s">
        <v>458</v>
      </c>
    </row>
    <row r="6" spans="1:6" s="881" customFormat="1" ht="40.5" customHeight="1" thickBot="1">
      <c r="A6" s="1996"/>
      <c r="B6" s="2001" t="s">
        <v>2151</v>
      </c>
      <c r="C6" s="2001" t="s">
        <v>5489</v>
      </c>
      <c r="D6" s="14925"/>
      <c r="E6" s="14923"/>
      <c r="F6" s="1132"/>
    </row>
    <row r="7" spans="1:6" ht="26.25" customHeight="1" thickBot="1">
      <c r="A7" s="2002" t="s">
        <v>5490</v>
      </c>
      <c r="B7" s="1132"/>
      <c r="C7" s="1132"/>
      <c r="D7" s="1998"/>
      <c r="E7" s="4026"/>
      <c r="F7" s="1132"/>
    </row>
    <row r="8" spans="1:6" ht="9" customHeight="1">
      <c r="A8" s="14932" t="s">
        <v>5491</v>
      </c>
      <c r="B8" s="1152"/>
      <c r="C8" s="14934"/>
      <c r="D8" s="14935"/>
      <c r="E8" s="4027"/>
      <c r="F8" s="1152"/>
    </row>
    <row r="9" spans="1:6" ht="23.25" customHeight="1">
      <c r="A9" s="14933"/>
      <c r="B9" s="2011">
        <f>'lbpf 3-PAssO'!J30</f>
        <v>15038925.67</v>
      </c>
      <c r="C9" s="14927"/>
      <c r="D9" s="14936"/>
      <c r="E9" s="4028"/>
      <c r="F9" s="2011">
        <f>SUM(B8:D9)</f>
        <v>15038925.67</v>
      </c>
    </row>
    <row r="10" spans="1:6" ht="15" customHeight="1">
      <c r="A10" s="14933" t="s">
        <v>5492</v>
      </c>
      <c r="B10" s="14927"/>
      <c r="C10" s="1149"/>
      <c r="D10" s="14936"/>
      <c r="E10" s="4028"/>
      <c r="F10" s="1149"/>
    </row>
    <row r="11" spans="1:6" ht="21" customHeight="1">
      <c r="A11" s="14933"/>
      <c r="B11" s="14927"/>
      <c r="C11" s="2011">
        <f>'lbpf 3-PAssO'!J62</f>
        <v>2248000</v>
      </c>
      <c r="D11" s="14936"/>
      <c r="E11" s="4029">
        <f>'lbpf 3-PAssO'!J103</f>
        <v>2685000</v>
      </c>
      <c r="F11" s="2011">
        <f>SUM(B10:E11)</f>
        <v>4933000</v>
      </c>
    </row>
    <row r="12" spans="1:6" ht="21.75" customHeight="1" thickBot="1">
      <c r="A12" s="5335" t="s">
        <v>5493</v>
      </c>
      <c r="B12" s="3801"/>
      <c r="C12" s="3801"/>
      <c r="D12" s="4031">
        <f>'lbpf 3-PAssO'!J94</f>
        <v>510000</v>
      </c>
      <c r="E12" s="4029"/>
      <c r="F12" s="2011">
        <f>SUM(B12:D12)</f>
        <v>510000</v>
      </c>
    </row>
    <row r="13" spans="1:6" ht="21" customHeight="1" thickBot="1">
      <c r="A13" s="1291" t="s">
        <v>5494</v>
      </c>
      <c r="B13" s="3806"/>
      <c r="C13" s="3801"/>
      <c r="D13" s="4032"/>
      <c r="E13" s="4028"/>
      <c r="F13" s="4025">
        <f>SUM(F9:F12)</f>
        <v>20481925.670000002</v>
      </c>
    </row>
    <row r="14" spans="1:6" ht="15" thickBot="1">
      <c r="A14" s="1936"/>
      <c r="B14" s="3807"/>
      <c r="C14" s="1132"/>
      <c r="D14" s="1998"/>
      <c r="E14" s="4026"/>
      <c r="F14" s="1132"/>
    </row>
    <row r="15" spans="1:6" ht="18.75" customHeight="1">
      <c r="A15" s="2008" t="s">
        <v>5495</v>
      </c>
      <c r="B15" s="1152"/>
      <c r="C15" s="1152"/>
      <c r="D15" s="2009"/>
      <c r="E15" s="4027"/>
      <c r="F15" s="1152"/>
    </row>
    <row r="16" spans="1:6" ht="18.75" customHeight="1">
      <c r="A16" s="1291" t="s">
        <v>5496</v>
      </c>
      <c r="B16" s="1149"/>
      <c r="C16" s="1149"/>
      <c r="D16" s="1138"/>
      <c r="E16" s="4028"/>
      <c r="F16" s="1149"/>
    </row>
    <row r="17" spans="1:6" ht="19.5" customHeight="1">
      <c r="A17" s="2005" t="s">
        <v>5497</v>
      </c>
      <c r="B17" s="1149"/>
      <c r="C17" s="1149"/>
      <c r="D17" s="2010"/>
      <c r="E17" s="4029"/>
      <c r="F17" s="2011"/>
    </row>
    <row r="18" spans="1:6" ht="33" customHeight="1">
      <c r="A18" s="14926" t="s">
        <v>5498</v>
      </c>
      <c r="B18" s="14927"/>
      <c r="C18" s="14927"/>
      <c r="D18" s="1138"/>
      <c r="E18" s="4028"/>
      <c r="F18" s="1149"/>
    </row>
    <row r="19" spans="1:6">
      <c r="A19" s="14926"/>
      <c r="B19" s="14927"/>
      <c r="C19" s="14927"/>
      <c r="D19" s="2010"/>
      <c r="E19" s="4029"/>
      <c r="F19" s="2011"/>
    </row>
    <row r="20" spans="1:6" ht="47.25" customHeight="1">
      <c r="A20" s="14926" t="s">
        <v>5499</v>
      </c>
      <c r="B20" s="14927"/>
      <c r="C20" s="14927"/>
      <c r="D20" s="1138"/>
      <c r="E20" s="4028"/>
      <c r="F20" s="1149"/>
    </row>
    <row r="21" spans="1:6" ht="9.75" customHeight="1">
      <c r="A21" s="14926"/>
      <c r="B21" s="14927"/>
      <c r="C21" s="14927"/>
      <c r="D21" s="2010"/>
      <c r="E21" s="4029"/>
      <c r="F21" s="2011"/>
    </row>
    <row r="22" spans="1:6" ht="47.25" customHeight="1">
      <c r="A22" s="14926" t="s">
        <v>5500</v>
      </c>
      <c r="B22" s="14927"/>
      <c r="C22" s="14927"/>
      <c r="D22" s="1138"/>
      <c r="E22" s="4028"/>
      <c r="F22" s="1149"/>
    </row>
    <row r="23" spans="1:6">
      <c r="A23" s="14926"/>
      <c r="B23" s="14927"/>
      <c r="C23" s="14927"/>
      <c r="D23" s="2010"/>
      <c r="E23" s="4029"/>
      <c r="F23" s="2011"/>
    </row>
    <row r="24" spans="1:6" ht="30" customHeight="1">
      <c r="A24" s="14926" t="s">
        <v>5501</v>
      </c>
      <c r="B24" s="14927"/>
      <c r="C24" s="14927"/>
      <c r="D24" s="1138"/>
      <c r="E24" s="4028"/>
      <c r="F24" s="1149"/>
    </row>
    <row r="25" spans="1:6" ht="15" thickBot="1">
      <c r="A25" s="14937"/>
      <c r="B25" s="14938"/>
      <c r="C25" s="14938"/>
      <c r="D25" s="2004"/>
      <c r="E25" s="4030"/>
      <c r="F25" s="2003"/>
    </row>
    <row r="26" spans="1:6" ht="17.25" customHeight="1" thickBot="1">
      <c r="A26" s="2006" t="s">
        <v>5502</v>
      </c>
      <c r="B26" s="2007">
        <f>SUM(B8:B25)</f>
        <v>15038925.67</v>
      </c>
      <c r="C26" s="2007">
        <f>SUM(C8:C25)</f>
        <v>2248000</v>
      </c>
      <c r="D26" s="2007">
        <f>SUM(D8:D25)</f>
        <v>510000</v>
      </c>
      <c r="E26" s="2007">
        <f>SUM(E8:E25)</f>
        <v>2685000</v>
      </c>
      <c r="F26" s="2007">
        <f>SUM(F13:F25)</f>
        <v>20481925.670000002</v>
      </c>
    </row>
    <row r="30" spans="1:6">
      <c r="F30" s="4023"/>
    </row>
  </sheetData>
  <mergeCells count="21">
    <mergeCell ref="A24:A25"/>
    <mergeCell ref="B24:B25"/>
    <mergeCell ref="C24:C25"/>
    <mergeCell ref="A20:A21"/>
    <mergeCell ref="B20:B21"/>
    <mergeCell ref="C20:C21"/>
    <mergeCell ref="A22:A23"/>
    <mergeCell ref="B22:B23"/>
    <mergeCell ref="C22:C23"/>
    <mergeCell ref="E5:E6"/>
    <mergeCell ref="D5:D6"/>
    <mergeCell ref="A18:A19"/>
    <mergeCell ref="B18:B19"/>
    <mergeCell ref="C18:C19"/>
    <mergeCell ref="B4:C5"/>
    <mergeCell ref="A8:A9"/>
    <mergeCell ref="C8:C9"/>
    <mergeCell ref="D8:D9"/>
    <mergeCell ref="A10:A11"/>
    <mergeCell ref="B10:B11"/>
    <mergeCell ref="D10:D11"/>
  </mergeCells>
  <printOptions horizontalCentered="1"/>
  <pageMargins left="0.5" right="0.25" top="0.75" bottom="0.5" header="0.3" footer="0.25"/>
  <pageSetup paperSize="119" firstPageNumber="205" orientation="portrait" useFirstPageNumber="1" verticalDpi="300" r:id="rId1"/>
</worksheet>
</file>

<file path=xl/worksheets/sheet107.xml><?xml version="1.0" encoding="utf-8"?>
<worksheet xmlns="http://schemas.openxmlformats.org/spreadsheetml/2006/main" xmlns:r="http://schemas.openxmlformats.org/officeDocument/2006/relationships">
  <sheetPr codeName="Sheet142">
    <tabColor rgb="FFFFFF00"/>
  </sheetPr>
  <dimension ref="A1:G48"/>
  <sheetViews>
    <sheetView topLeftCell="A31" workbookViewId="0">
      <selection activeCell="B37" sqref="B37"/>
    </sheetView>
  </sheetViews>
  <sheetFormatPr defaultColWidth="9.109375" defaultRowHeight="13.8"/>
  <cols>
    <col min="1" max="1" width="5.88671875" style="109" customWidth="1"/>
    <col min="2" max="2" width="40.44140625" style="109" customWidth="1"/>
    <col min="3" max="3" width="14.88671875" style="660" customWidth="1"/>
    <col min="4" max="4" width="24.109375" style="109" customWidth="1"/>
    <col min="5" max="5" width="10.44140625" style="109" customWidth="1"/>
    <col min="6" max="6" width="7" style="109" customWidth="1"/>
    <col min="7" max="7" width="6.44140625" style="109" customWidth="1"/>
    <col min="8" max="16384" width="9.109375" style="109"/>
  </cols>
  <sheetData>
    <row r="1" spans="1:7" s="665" customFormat="1" ht="15.6">
      <c r="C1" s="666"/>
    </row>
    <row r="2" spans="1:7" s="665" customFormat="1" ht="15.6">
      <c r="A2" s="14942" t="s">
        <v>2138</v>
      </c>
      <c r="B2" s="14942"/>
      <c r="C2" s="14942"/>
      <c r="D2" s="14942"/>
      <c r="E2" s="14942"/>
      <c r="F2" s="14942"/>
      <c r="G2" s="14942"/>
    </row>
    <row r="3" spans="1:7" s="665" customFormat="1" ht="15.6">
      <c r="C3" s="666"/>
    </row>
    <row r="4" spans="1:7" s="481" customFormat="1" ht="15.6">
      <c r="A4" s="479" t="s">
        <v>4547</v>
      </c>
      <c r="B4" s="480"/>
      <c r="C4" s="480" t="s">
        <v>181</v>
      </c>
      <c r="D4" s="480"/>
      <c r="E4" s="480"/>
      <c r="F4" s="667"/>
    </row>
    <row r="5" spans="1:7" s="665" customFormat="1" ht="15.6">
      <c r="A5" s="665" t="s">
        <v>6487</v>
      </c>
      <c r="C5" s="666"/>
    </row>
    <row r="6" spans="1:7" s="665" customFormat="1" ht="15.6">
      <c r="A6" s="665" t="s">
        <v>2555</v>
      </c>
      <c r="C6" s="666"/>
    </row>
    <row r="7" spans="1:7" s="665" customFormat="1" ht="15.6">
      <c r="C7" s="666"/>
    </row>
    <row r="8" spans="1:7" s="665" customFormat="1" ht="15.6">
      <c r="A8" s="668" t="s">
        <v>2054</v>
      </c>
      <c r="C8" s="666"/>
    </row>
    <row r="9" spans="1:7">
      <c r="A9" s="638"/>
    </row>
    <row r="10" spans="1:7">
      <c r="A10" s="638" t="s">
        <v>2554</v>
      </c>
    </row>
    <row r="11" spans="1:7" ht="30.75" customHeight="1">
      <c r="A11" s="14943" t="s">
        <v>4772</v>
      </c>
      <c r="B11" s="14943"/>
      <c r="C11" s="14943"/>
      <c r="D11" s="14943"/>
      <c r="E11" s="14943"/>
      <c r="F11" s="14943"/>
      <c r="G11" s="14943"/>
    </row>
    <row r="13" spans="1:7">
      <c r="A13" s="638" t="s">
        <v>2553</v>
      </c>
    </row>
    <row r="14" spans="1:7" ht="45" customHeight="1">
      <c r="A14" s="14943" t="s">
        <v>2552</v>
      </c>
      <c r="B14" s="14943"/>
      <c r="C14" s="14943"/>
      <c r="D14" s="14943"/>
      <c r="E14" s="14943"/>
      <c r="F14" s="14943"/>
      <c r="G14" s="14943"/>
    </row>
    <row r="16" spans="1:7" s="665" customFormat="1" ht="15.6">
      <c r="A16" s="668" t="s">
        <v>1753</v>
      </c>
      <c r="C16" s="666"/>
    </row>
    <row r="17" spans="1:7" s="665" customFormat="1" ht="15.6">
      <c r="A17" s="668"/>
      <c r="C17" s="666"/>
    </row>
    <row r="18" spans="1:7" ht="30" customHeight="1">
      <c r="A18" s="661" t="s">
        <v>2060</v>
      </c>
      <c r="B18" s="14939" t="s">
        <v>6488</v>
      </c>
      <c r="C18" s="14939"/>
      <c r="D18" s="14939"/>
      <c r="E18" s="14939"/>
      <c r="F18" s="14939"/>
      <c r="G18" s="14939"/>
    </row>
    <row r="19" spans="1:7" ht="17.25" customHeight="1">
      <c r="A19" s="661" t="s">
        <v>2060</v>
      </c>
      <c r="B19" s="14939" t="s">
        <v>6489</v>
      </c>
      <c r="C19" s="14939"/>
      <c r="D19" s="14939"/>
      <c r="E19" s="14939"/>
      <c r="F19" s="14939"/>
      <c r="G19" s="14939"/>
    </row>
    <row r="20" spans="1:7" ht="18" customHeight="1">
      <c r="A20" s="661" t="s">
        <v>2060</v>
      </c>
      <c r="B20" s="14939" t="s">
        <v>6490</v>
      </c>
      <c r="C20" s="14939"/>
      <c r="D20" s="14939"/>
      <c r="E20" s="14939"/>
      <c r="F20" s="14939"/>
      <c r="G20" s="14939"/>
    </row>
    <row r="21" spans="1:7" ht="42" customHeight="1">
      <c r="A21" s="661" t="s">
        <v>2060</v>
      </c>
      <c r="B21" s="14939" t="s">
        <v>6491</v>
      </c>
      <c r="C21" s="14939"/>
      <c r="D21" s="14939"/>
      <c r="E21" s="14939"/>
      <c r="F21" s="14939"/>
      <c r="G21" s="14939"/>
    </row>
    <row r="22" spans="1:7" ht="18" customHeight="1">
      <c r="A22" s="661" t="s">
        <v>2060</v>
      </c>
      <c r="B22" s="14939" t="s">
        <v>6492</v>
      </c>
      <c r="C22" s="14939"/>
      <c r="D22" s="14939"/>
      <c r="E22" s="14939"/>
      <c r="F22" s="14939"/>
      <c r="G22" s="14939"/>
    </row>
    <row r="23" spans="1:7" ht="19.5" customHeight="1"/>
    <row r="24" spans="1:7" s="665" customFormat="1" ht="15.6">
      <c r="A24" s="668" t="s">
        <v>2551</v>
      </c>
      <c r="C24" s="666"/>
    </row>
    <row r="25" spans="1:7" s="665" customFormat="1" ht="15.6">
      <c r="A25" s="668"/>
      <c r="C25" s="666"/>
    </row>
    <row r="26" spans="1:7" s="669" customFormat="1" ht="26.4">
      <c r="A26" s="2255" t="s">
        <v>2550</v>
      </c>
      <c r="B26" s="2255" t="s">
        <v>2549</v>
      </c>
      <c r="C26" s="2256" t="s">
        <v>1736</v>
      </c>
      <c r="D26" s="2255" t="s">
        <v>1760</v>
      </c>
      <c r="E26" s="2255" t="s">
        <v>1764</v>
      </c>
      <c r="F26" s="14940" t="s">
        <v>2071</v>
      </c>
      <c r="G26" s="14940"/>
    </row>
    <row r="27" spans="1:7" s="670" customFormat="1">
      <c r="A27" s="2257">
        <v>-1</v>
      </c>
      <c r="B27" s="2257">
        <v>-2</v>
      </c>
      <c r="C27" s="2258">
        <v>-3</v>
      </c>
      <c r="D27" s="2257">
        <v>-4</v>
      </c>
      <c r="E27" s="2257">
        <v>-5</v>
      </c>
      <c r="F27" s="14941">
        <v>-6</v>
      </c>
      <c r="G27" s="14941"/>
    </row>
    <row r="28" spans="1:7" s="662" customFormat="1" ht="17.25" customHeight="1">
      <c r="A28" s="2259"/>
      <c r="B28" s="2259" t="s">
        <v>6493</v>
      </c>
      <c r="C28" s="2260">
        <f>'lbpf 3-PIAO'!J29+'lbpf 3-PIAO'!J56</f>
        <v>6888721.1849999996</v>
      </c>
      <c r="D28" s="2259"/>
      <c r="E28" s="2259"/>
      <c r="F28" s="2259"/>
      <c r="G28" s="2259"/>
    </row>
    <row r="29" spans="1:7" s="663" customFormat="1" ht="52.5" customHeight="1">
      <c r="A29" s="2261"/>
      <c r="B29" s="1651" t="s">
        <v>6494</v>
      </c>
      <c r="C29" s="2262"/>
      <c r="D29" s="1651" t="s">
        <v>6495</v>
      </c>
      <c r="E29" s="2263" t="s">
        <v>6496</v>
      </c>
      <c r="F29" s="2263" t="s">
        <v>1814</v>
      </c>
      <c r="G29" s="2263" t="s">
        <v>1743</v>
      </c>
    </row>
    <row r="30" spans="1:7" s="663" customFormat="1" ht="27" customHeight="1">
      <c r="A30" s="2261"/>
      <c r="B30" s="1651" t="s">
        <v>6497</v>
      </c>
      <c r="C30" s="2264"/>
      <c r="D30" s="1651" t="s">
        <v>6498</v>
      </c>
      <c r="E30" s="2263" t="s">
        <v>6499</v>
      </c>
      <c r="F30" s="2263" t="s">
        <v>1814</v>
      </c>
      <c r="G30" s="2263" t="s">
        <v>1743</v>
      </c>
    </row>
    <row r="31" spans="1:7" s="663" customFormat="1" ht="18" customHeight="1">
      <c r="A31" s="2261"/>
      <c r="B31" s="1651" t="s">
        <v>6500</v>
      </c>
      <c r="C31" s="2264"/>
      <c r="D31" s="1651" t="s">
        <v>6501</v>
      </c>
      <c r="E31" s="2263" t="s">
        <v>6499</v>
      </c>
      <c r="F31" s="2263" t="s">
        <v>1814</v>
      </c>
      <c r="G31" s="2263" t="s">
        <v>1743</v>
      </c>
    </row>
    <row r="32" spans="1:7" s="663" customFormat="1" ht="30.75" customHeight="1">
      <c r="A32" s="2261"/>
      <c r="B32" s="1651" t="s">
        <v>6502</v>
      </c>
      <c r="C32" s="2265"/>
      <c r="D32" s="2266" t="s">
        <v>4299</v>
      </c>
      <c r="E32" s="2267" t="s">
        <v>6503</v>
      </c>
      <c r="F32" s="2263" t="s">
        <v>1814</v>
      </c>
      <c r="G32" s="2263" t="s">
        <v>1743</v>
      </c>
    </row>
    <row r="33" spans="1:7" s="663" customFormat="1" ht="29.25" customHeight="1">
      <c r="A33" s="2261"/>
      <c r="B33" s="1651" t="s">
        <v>6504</v>
      </c>
      <c r="C33" s="2265"/>
      <c r="D33" s="2266" t="s">
        <v>4299</v>
      </c>
      <c r="E33" s="2263" t="s">
        <v>2548</v>
      </c>
      <c r="F33" s="2263" t="s">
        <v>1814</v>
      </c>
      <c r="G33" s="2263" t="s">
        <v>1743</v>
      </c>
    </row>
    <row r="34" spans="1:7" s="663" customFormat="1" ht="32.25" customHeight="1">
      <c r="A34" s="2261"/>
      <c r="B34" s="1651" t="s">
        <v>6505</v>
      </c>
      <c r="C34" s="2265"/>
      <c r="D34" s="2266" t="s">
        <v>6506</v>
      </c>
      <c r="E34" s="2268"/>
      <c r="F34" s="2263" t="s">
        <v>1814</v>
      </c>
      <c r="G34" s="2263" t="s">
        <v>1743</v>
      </c>
    </row>
    <row r="35" spans="1:7" s="663" customFormat="1" ht="28.5" customHeight="1">
      <c r="A35" s="2261"/>
      <c r="B35" s="1651" t="s">
        <v>6507</v>
      </c>
      <c r="C35" s="2265"/>
      <c r="D35" s="2266" t="s">
        <v>6508</v>
      </c>
      <c r="E35" s="2268"/>
      <c r="F35" s="2263" t="s">
        <v>1814</v>
      </c>
      <c r="G35" s="2263" t="s">
        <v>1743</v>
      </c>
    </row>
    <row r="36" spans="1:7" s="663" customFormat="1" ht="27.75" customHeight="1">
      <c r="A36" s="2261"/>
      <c r="B36" s="1651" t="s">
        <v>6509</v>
      </c>
      <c r="C36" s="2265"/>
      <c r="D36" s="2266" t="s">
        <v>6510</v>
      </c>
      <c r="E36" s="2268"/>
      <c r="F36" s="2263" t="s">
        <v>1814</v>
      </c>
      <c r="G36" s="2263" t="s">
        <v>1743</v>
      </c>
    </row>
    <row r="37" spans="1:7" s="662" customFormat="1" ht="30" customHeight="1">
      <c r="A37" s="2259"/>
      <c r="B37" s="2269" t="s">
        <v>2547</v>
      </c>
      <c r="C37" s="2270">
        <f>'lbpf 3-PIAO'!J63</f>
        <v>50000</v>
      </c>
      <c r="D37" s="2269"/>
      <c r="E37" s="2271"/>
      <c r="F37" s="2263"/>
      <c r="G37" s="2263"/>
    </row>
    <row r="38" spans="1:7" s="663" customFormat="1" ht="29.25" customHeight="1">
      <c r="A38" s="2261"/>
      <c r="B38" s="1651" t="s">
        <v>6511</v>
      </c>
      <c r="C38" s="2270"/>
      <c r="D38" s="2266" t="s">
        <v>6512</v>
      </c>
      <c r="E38" s="2268"/>
      <c r="F38" s="2263" t="s">
        <v>1814</v>
      </c>
      <c r="G38" s="2263" t="s">
        <v>1743</v>
      </c>
    </row>
    <row r="39" spans="1:7" s="663" customFormat="1" ht="29.25" customHeight="1">
      <c r="A39" s="2261"/>
      <c r="B39" s="1651" t="s">
        <v>6513</v>
      </c>
      <c r="C39" s="2265"/>
      <c r="D39" s="2266" t="s">
        <v>6514</v>
      </c>
      <c r="E39" s="2268"/>
      <c r="F39" s="2263" t="s">
        <v>1814</v>
      </c>
      <c r="G39" s="2263" t="s">
        <v>1743</v>
      </c>
    </row>
    <row r="40" spans="1:7" s="663" customFormat="1" ht="24.75" customHeight="1">
      <c r="A40" s="2272"/>
      <c r="B40" s="1651" t="s">
        <v>6515</v>
      </c>
      <c r="C40" s="2273"/>
      <c r="D40" s="2274" t="s">
        <v>6514</v>
      </c>
      <c r="E40" s="2275"/>
      <c r="F40" s="2263" t="s">
        <v>1814</v>
      </c>
      <c r="G40" s="2263" t="s">
        <v>1743</v>
      </c>
    </row>
    <row r="41" spans="1:7" s="1805" customFormat="1" ht="20.25" customHeight="1">
      <c r="A41" s="2276"/>
      <c r="B41" s="2276" t="s">
        <v>220</v>
      </c>
      <c r="C41" s="2277">
        <f>SUM(C28:C40)</f>
        <v>6938721.1849999996</v>
      </c>
      <c r="D41" s="2278"/>
      <c r="E41" s="2276"/>
      <c r="F41" s="2276"/>
      <c r="G41" s="2276"/>
    </row>
    <row r="42" spans="1:7" s="663" customFormat="1">
      <c r="C42" s="664"/>
    </row>
    <row r="43" spans="1:7" s="663" customFormat="1">
      <c r="C43" s="664"/>
    </row>
    <row r="44" spans="1:7" s="663" customFormat="1">
      <c r="C44" s="664"/>
    </row>
    <row r="45" spans="1:7" s="663" customFormat="1">
      <c r="C45" s="664"/>
    </row>
    <row r="46" spans="1:7" s="663" customFormat="1">
      <c r="C46" s="664"/>
    </row>
    <row r="47" spans="1:7" s="663" customFormat="1">
      <c r="C47" s="664"/>
    </row>
    <row r="48" spans="1:7" s="663" customFormat="1">
      <c r="C48" s="664"/>
    </row>
  </sheetData>
  <mergeCells count="10">
    <mergeCell ref="B21:G21"/>
    <mergeCell ref="B22:G22"/>
    <mergeCell ref="F26:G26"/>
    <mergeCell ref="F27:G27"/>
    <mergeCell ref="A2:G2"/>
    <mergeCell ref="A11:G11"/>
    <mergeCell ref="A14:G14"/>
    <mergeCell ref="B18:G18"/>
    <mergeCell ref="B19:G19"/>
    <mergeCell ref="B20:G20"/>
  </mergeCells>
  <pageMargins left="0.5" right="0.25" top="0.75" bottom="0.5" header="0.3" footer="0.25"/>
  <pageSetup paperSize="119" scale="90" orientation="portrait" r:id="rId1"/>
</worksheet>
</file>

<file path=xl/worksheets/sheet108.xml><?xml version="1.0" encoding="utf-8"?>
<worksheet xmlns="http://schemas.openxmlformats.org/spreadsheetml/2006/main" xmlns:r="http://schemas.openxmlformats.org/officeDocument/2006/relationships">
  <sheetPr codeName="Sheet76">
    <tabColor theme="8" tint="-0.249977111117893"/>
  </sheetPr>
  <dimension ref="A1:P117"/>
  <sheetViews>
    <sheetView showGridLines="0" topLeftCell="B38" workbookViewId="0">
      <selection activeCell="J38" sqref="J1:Q1048576"/>
    </sheetView>
  </sheetViews>
  <sheetFormatPr defaultColWidth="9.109375" defaultRowHeight="15" customHeight="1"/>
  <cols>
    <col min="1" max="1" width="3.88671875" style="7275" customWidth="1"/>
    <col min="2" max="2" width="55.5546875" style="7275" customWidth="1"/>
    <col min="3" max="3" width="12.5546875" style="9345" customWidth="1"/>
    <col min="4" max="7" width="15.5546875" style="7347" customWidth="1"/>
    <col min="8" max="8" width="14" style="7347" hidden="1" customWidth="1"/>
    <col min="9" max="9" width="9" style="7348" hidden="1" customWidth="1"/>
    <col min="10" max="10" width="15.5546875" style="7347" customWidth="1"/>
    <col min="11" max="11" width="18.109375" style="7275" customWidth="1"/>
    <col min="12" max="12" width="4.88671875" style="7310" customWidth="1"/>
    <col min="13" max="13" width="14.5546875" style="7275" customWidth="1"/>
    <col min="14" max="15" width="13" style="7275" customWidth="1"/>
    <col min="16" max="16" width="10.88671875" style="7275" customWidth="1"/>
    <col min="17" max="16384" width="9.109375" style="7275"/>
  </cols>
  <sheetData>
    <row r="1" spans="1:12" ht="15" customHeight="1">
      <c r="A1" s="14807" t="s">
        <v>1</v>
      </c>
      <c r="B1" s="14807"/>
      <c r="C1" s="14807"/>
      <c r="D1" s="14807"/>
      <c r="E1" s="14807"/>
      <c r="F1" s="14807"/>
      <c r="G1" s="14807"/>
      <c r="H1" s="14807"/>
      <c r="I1" s="14807"/>
      <c r="J1" s="14807"/>
    </row>
    <row r="2" spans="1:12" ht="15" customHeight="1">
      <c r="A2" s="7276"/>
      <c r="B2" s="7276"/>
      <c r="C2" s="9337"/>
      <c r="D2" s="7285"/>
      <c r="E2" s="7285"/>
      <c r="F2" s="7285"/>
      <c r="G2" s="7285"/>
      <c r="H2" s="7285"/>
      <c r="I2" s="7286"/>
      <c r="J2" s="7285"/>
    </row>
    <row r="3" spans="1:12" ht="15" customHeight="1">
      <c r="A3" s="7276" t="s">
        <v>2</v>
      </c>
      <c r="B3" s="7281"/>
      <c r="C3" s="9338" t="s">
        <v>1276</v>
      </c>
      <c r="D3" s="7283"/>
      <c r="E3" s="7283"/>
      <c r="F3" s="7283"/>
      <c r="G3" s="14809"/>
      <c r="H3" s="7283"/>
      <c r="I3" s="7284"/>
      <c r="J3" s="14882"/>
    </row>
    <row r="4" spans="1:12" ht="15" customHeight="1">
      <c r="A4" s="7276" t="s">
        <v>4</v>
      </c>
      <c r="B4" s="7276"/>
      <c r="C4" s="9337" t="s">
        <v>167</v>
      </c>
      <c r="D4" s="7285"/>
      <c r="E4" s="7285"/>
      <c r="F4" s="7285"/>
      <c r="G4" s="14809"/>
      <c r="H4" s="7285"/>
      <c r="I4" s="7286"/>
      <c r="J4" s="14882"/>
    </row>
    <row r="5" spans="1:12" ht="15" customHeight="1">
      <c r="A5" s="7287" t="s">
        <v>7</v>
      </c>
      <c r="B5" s="7287"/>
      <c r="C5" s="9339" t="s">
        <v>8</v>
      </c>
      <c r="D5" s="7289"/>
      <c r="E5" s="7289"/>
      <c r="F5" s="7289"/>
      <c r="G5" s="7349"/>
      <c r="H5" s="7283"/>
      <c r="I5" s="7290"/>
      <c r="J5" s="7349"/>
    </row>
    <row r="6" spans="1:12" ht="15" customHeight="1" thickBot="1">
      <c r="A6" s="7397"/>
      <c r="B6" s="7397"/>
      <c r="C6" s="9340"/>
      <c r="D6" s="7399"/>
      <c r="E6" s="7293"/>
      <c r="F6" s="7293"/>
      <c r="G6" s="7399"/>
      <c r="H6" s="7399"/>
      <c r="I6" s="7849"/>
      <c r="J6" s="7399"/>
    </row>
    <row r="7" spans="1:12" ht="15" customHeight="1">
      <c r="A7" s="7694"/>
      <c r="B7" s="11658"/>
      <c r="C7" s="11675" t="s">
        <v>103</v>
      </c>
      <c r="D7" s="10868" t="s">
        <v>10</v>
      </c>
      <c r="E7" s="14188" t="s">
        <v>10711</v>
      </c>
      <c r="F7" s="14189"/>
      <c r="G7" s="14190"/>
      <c r="H7" s="11769" t="s">
        <v>9985</v>
      </c>
      <c r="I7" s="9462"/>
      <c r="J7" s="11659" t="s">
        <v>12</v>
      </c>
    </row>
    <row r="8" spans="1:12" ht="15" customHeight="1">
      <c r="A8" s="7657"/>
      <c r="B8" s="7295" t="s">
        <v>13</v>
      </c>
      <c r="C8" s="11711" t="s">
        <v>94</v>
      </c>
      <c r="D8" s="11123" t="s">
        <v>15</v>
      </c>
      <c r="E8" s="9502" t="s">
        <v>10709</v>
      </c>
      <c r="F8" s="9503" t="s">
        <v>10710</v>
      </c>
      <c r="G8" s="14191" t="s">
        <v>458</v>
      </c>
      <c r="H8" s="8118" t="s">
        <v>11747</v>
      </c>
      <c r="I8" s="11108"/>
      <c r="J8" s="11660" t="s">
        <v>16</v>
      </c>
    </row>
    <row r="9" spans="1:12" ht="15" customHeight="1" thickBot="1">
      <c r="A9" s="7699"/>
      <c r="B9" s="7897"/>
      <c r="C9" s="12442"/>
      <c r="D9" s="9455">
        <v>2017</v>
      </c>
      <c r="E9" s="9467" t="s">
        <v>457</v>
      </c>
      <c r="F9" s="11661" t="s">
        <v>456</v>
      </c>
      <c r="G9" s="14192"/>
      <c r="H9" s="7496">
        <v>2018</v>
      </c>
      <c r="I9" s="7303"/>
      <c r="J9" s="11662">
        <v>2019</v>
      </c>
    </row>
    <row r="10" spans="1:12" ht="15" customHeight="1">
      <c r="A10" s="11663" t="s">
        <v>17</v>
      </c>
      <c r="B10" s="7287" t="s">
        <v>18</v>
      </c>
      <c r="C10" s="8802"/>
      <c r="D10" s="11664"/>
      <c r="E10" s="11664"/>
      <c r="F10" s="11664"/>
      <c r="G10" s="11664"/>
      <c r="H10" s="11664"/>
      <c r="I10" s="11163"/>
      <c r="J10" s="11665"/>
    </row>
    <row r="11" spans="1:12" ht="15" customHeight="1">
      <c r="A11" s="7657"/>
      <c r="B11" s="7287" t="s">
        <v>19</v>
      </c>
      <c r="C11" s="8802"/>
      <c r="D11" s="11664"/>
      <c r="E11" s="11664"/>
      <c r="F11" s="11664"/>
      <c r="G11" s="11664"/>
      <c r="H11" s="11664"/>
      <c r="I11" s="11163"/>
      <c r="J11" s="11665"/>
    </row>
    <row r="12" spans="1:12" ht="15" customHeight="1">
      <c r="A12" s="7657"/>
      <c r="B12" s="7287" t="s">
        <v>20</v>
      </c>
      <c r="C12" s="8802">
        <v>50101010</v>
      </c>
      <c r="D12" s="11667">
        <f>'WS-PS 2017'!B19</f>
        <v>7749445.5700000003</v>
      </c>
      <c r="E12" s="11667">
        <f>'WS-PS ACTUAL JUNE 2018'!B19</f>
        <v>4335526.45</v>
      </c>
      <c r="F12" s="11667">
        <f>G12-E12</f>
        <v>5175409.55</v>
      </c>
      <c r="G12" s="11667">
        <v>9510936</v>
      </c>
      <c r="H12" s="11667"/>
      <c r="I12" s="11165"/>
      <c r="J12" s="11670">
        <f>K12</f>
        <v>10275816</v>
      </c>
      <c r="K12" s="11719">
        <f>'staffing-passo'!F48</f>
        <v>10275816</v>
      </c>
      <c r="L12" s="7780">
        <f>'staffing-passo'!B48</f>
        <v>28</v>
      </c>
    </row>
    <row r="13" spans="1:12" ht="15" customHeight="1">
      <c r="A13" s="7657"/>
      <c r="B13" s="7287" t="s">
        <v>21</v>
      </c>
      <c r="C13" s="8802">
        <v>50102010</v>
      </c>
      <c r="D13" s="11664">
        <f>'WS-PS 2017'!F19</f>
        <v>603570.34</v>
      </c>
      <c r="E13" s="11664">
        <f>'WS-PS ACTUAL JUNE 2018'!D19</f>
        <v>300581.42</v>
      </c>
      <c r="F13" s="11667">
        <f t="shared" ref="F13:F28" si="0">G13-E13</f>
        <v>371418.58</v>
      </c>
      <c r="G13" s="11664">
        <v>672000</v>
      </c>
      <c r="H13" s="11664"/>
      <c r="I13" s="11163"/>
      <c r="J13" s="11670">
        <f t="shared" ref="J13:J28" si="1">K13</f>
        <v>672000</v>
      </c>
      <c r="K13" s="7310">
        <f>24000*L12</f>
        <v>672000</v>
      </c>
    </row>
    <row r="14" spans="1:12" ht="15" customHeight="1">
      <c r="A14" s="7657"/>
      <c r="B14" s="7287" t="s">
        <v>104</v>
      </c>
      <c r="C14" s="8802">
        <v>50102020</v>
      </c>
      <c r="D14" s="11664">
        <f>'WS-PS 2017'!G19</f>
        <v>192000</v>
      </c>
      <c r="E14" s="11664">
        <f>'WS-PS ACTUAL JUNE 2018'!E19</f>
        <v>80000</v>
      </c>
      <c r="F14" s="11667">
        <f t="shared" si="0"/>
        <v>112000</v>
      </c>
      <c r="G14" s="11664">
        <v>192000</v>
      </c>
      <c r="H14" s="11664"/>
      <c r="I14" s="11163"/>
      <c r="J14" s="11670">
        <f t="shared" si="1"/>
        <v>192000</v>
      </c>
      <c r="K14" s="7310">
        <v>192000</v>
      </c>
    </row>
    <row r="15" spans="1:12" ht="15" customHeight="1">
      <c r="A15" s="7657"/>
      <c r="B15" s="7287" t="s">
        <v>105</v>
      </c>
      <c r="C15" s="8802">
        <v>50102030</v>
      </c>
      <c r="D15" s="11664">
        <f>'WS-PS 2017'!H19</f>
        <v>192000</v>
      </c>
      <c r="E15" s="11664">
        <f>'WS-PS ACTUAL JUNE 2018'!F19</f>
        <v>80000</v>
      </c>
      <c r="F15" s="11667">
        <f t="shared" si="0"/>
        <v>112000</v>
      </c>
      <c r="G15" s="11664">
        <v>192000</v>
      </c>
      <c r="H15" s="11664"/>
      <c r="I15" s="11163"/>
      <c r="J15" s="11670">
        <f t="shared" si="1"/>
        <v>192000</v>
      </c>
      <c r="K15" s="7310">
        <v>192000</v>
      </c>
    </row>
    <row r="16" spans="1:12" ht="15" customHeight="1">
      <c r="A16" s="7657"/>
      <c r="B16" s="7287" t="s">
        <v>22</v>
      </c>
      <c r="C16" s="8802">
        <v>50102040</v>
      </c>
      <c r="D16" s="11664">
        <f>'WS-PS 2017'!I19</f>
        <v>130000</v>
      </c>
      <c r="E16" s="11664">
        <f>'WS-PS ACTUAL JUNE 2018'!G19</f>
        <v>150000</v>
      </c>
      <c r="F16" s="11667">
        <f t="shared" si="0"/>
        <v>-10000</v>
      </c>
      <c r="G16" s="11664">
        <v>140000</v>
      </c>
      <c r="H16" s="11664"/>
      <c r="I16" s="11163"/>
      <c r="J16" s="11670">
        <f t="shared" si="1"/>
        <v>168000</v>
      </c>
      <c r="K16" s="7310">
        <f>6000*L12</f>
        <v>168000</v>
      </c>
    </row>
    <row r="17" spans="1:11" ht="15" customHeight="1">
      <c r="A17" s="7657"/>
      <c r="B17" s="7488" t="s">
        <v>10932</v>
      </c>
      <c r="C17" s="10368">
        <v>50102080</v>
      </c>
      <c r="D17" s="11664">
        <f>'WS-PS 2017'!L19</f>
        <v>125000</v>
      </c>
      <c r="E17" s="11664">
        <f>'WS-PS ACTUAL JUNE 2018'!J19</f>
        <v>0</v>
      </c>
      <c r="F17" s="11667">
        <f t="shared" si="0"/>
        <v>140000</v>
      </c>
      <c r="G17" s="11664">
        <v>140000</v>
      </c>
      <c r="H17" s="11664"/>
      <c r="I17" s="11163"/>
      <c r="J17" s="11670">
        <f t="shared" si="1"/>
        <v>140000</v>
      </c>
      <c r="K17" s="7310">
        <f>5000*L12</f>
        <v>140000</v>
      </c>
    </row>
    <row r="18" spans="1:11" ht="15" customHeight="1">
      <c r="A18" s="7657"/>
      <c r="B18" s="7488" t="s">
        <v>10934</v>
      </c>
      <c r="C18" s="8872">
        <v>50102120</v>
      </c>
      <c r="D18" s="11664">
        <f>'WS-PS 2017'!O19</f>
        <v>20000</v>
      </c>
      <c r="E18" s="11664">
        <f>'WS-PS ACTUAL JUNE 2018'!M19</f>
        <v>15000</v>
      </c>
      <c r="F18" s="11667">
        <f>G18-E18</f>
        <v>15000</v>
      </c>
      <c r="G18" s="11664">
        <v>30000</v>
      </c>
      <c r="H18" s="11664"/>
      <c r="I18" s="11163"/>
      <c r="J18" s="11670">
        <f t="shared" si="1"/>
        <v>15000</v>
      </c>
      <c r="K18" s="7310">
        <v>15000</v>
      </c>
    </row>
    <row r="19" spans="1:11" ht="15" customHeight="1">
      <c r="A19" s="7657"/>
      <c r="B19" s="7287" t="s">
        <v>141</v>
      </c>
      <c r="C19" s="8802">
        <v>50102130</v>
      </c>
      <c r="D19" s="11664">
        <f>'WS-PS 2017'!R19</f>
        <v>20308.3</v>
      </c>
      <c r="E19" s="11664">
        <f>'WS-PS ACTUAL JUNE 2018'!N19</f>
        <v>0</v>
      </c>
      <c r="F19" s="11667">
        <f t="shared" si="0"/>
        <v>40000</v>
      </c>
      <c r="G19" s="11664">
        <v>40000</v>
      </c>
      <c r="H19" s="11664"/>
      <c r="I19" s="11163"/>
      <c r="J19" s="11670">
        <v>40000</v>
      </c>
      <c r="K19" s="7915">
        <v>40000</v>
      </c>
    </row>
    <row r="20" spans="1:11" ht="15" customHeight="1">
      <c r="A20" s="7657"/>
      <c r="B20" s="7488" t="s">
        <v>10933</v>
      </c>
      <c r="C20" s="8872">
        <v>50102140</v>
      </c>
      <c r="D20" s="11730">
        <f>'WS-PS 2017'!U19+'WS-PS 2017'!S19</f>
        <v>1267149</v>
      </c>
      <c r="E20" s="11730">
        <f>'WS-PS ACTUAL JUNE 2018'!O19</f>
        <v>738264</v>
      </c>
      <c r="F20" s="11667">
        <f t="shared" si="0"/>
        <v>846892</v>
      </c>
      <c r="G20" s="11730">
        <v>1585156</v>
      </c>
      <c r="H20" s="11730"/>
      <c r="I20" s="11731"/>
      <c r="J20" s="11670">
        <f t="shared" si="1"/>
        <v>1712636</v>
      </c>
      <c r="K20" s="7310">
        <f>SUM(K11:K12)/12*2</f>
        <v>1712636</v>
      </c>
    </row>
    <row r="21" spans="1:11" ht="15" customHeight="1">
      <c r="A21" s="7657"/>
      <c r="B21" s="7287" t="s">
        <v>26</v>
      </c>
      <c r="C21" s="8802">
        <v>50102150</v>
      </c>
      <c r="D21" s="11664">
        <f>'WS-PS 2017'!T19</f>
        <v>125000</v>
      </c>
      <c r="E21" s="11664">
        <f>'WS-PS ACTUAL JUNE 2018'!Q19</f>
        <v>0</v>
      </c>
      <c r="F21" s="11667">
        <f>G21-E21</f>
        <v>140000</v>
      </c>
      <c r="G21" s="11664">
        <v>140000</v>
      </c>
      <c r="H21" s="11664"/>
      <c r="I21" s="11163"/>
      <c r="J21" s="11670">
        <f t="shared" si="1"/>
        <v>140000</v>
      </c>
      <c r="K21" s="7371">
        <f>K17</f>
        <v>140000</v>
      </c>
    </row>
    <row r="22" spans="1:11" ht="15" customHeight="1">
      <c r="A22" s="7657"/>
      <c r="B22" s="7488" t="s">
        <v>11497</v>
      </c>
      <c r="C22" s="11257">
        <v>50102990</v>
      </c>
      <c r="D22" s="11664">
        <v>0</v>
      </c>
      <c r="E22" s="11664">
        <f>'WS-PS ACTUAL JUNE 2018'!R19</f>
        <v>0</v>
      </c>
      <c r="F22" s="11667">
        <f>G22-E22</f>
        <v>455732</v>
      </c>
      <c r="G22" s="11664">
        <v>455732</v>
      </c>
      <c r="H22" s="11664"/>
      <c r="I22" s="11163"/>
      <c r="J22" s="11670">
        <v>0</v>
      </c>
      <c r="K22" s="7310">
        <f>K12/12*0.575</f>
        <v>492382.85</v>
      </c>
    </row>
    <row r="23" spans="1:11" ht="15" customHeight="1">
      <c r="A23" s="7657"/>
      <c r="B23" s="7287" t="s">
        <v>5026</v>
      </c>
      <c r="C23" s="11059" t="s">
        <v>11495</v>
      </c>
      <c r="D23" s="11664">
        <f>'WS-PS 2017'!Q19</f>
        <v>0</v>
      </c>
      <c r="E23" s="11664">
        <f>'WS-PS ACTUAL JUNE 2018'!S19</f>
        <v>0</v>
      </c>
      <c r="F23" s="11667">
        <f>G23-E23</f>
        <v>0</v>
      </c>
      <c r="G23" s="11664">
        <v>0</v>
      </c>
      <c r="H23" s="11664"/>
      <c r="I23" s="11163"/>
      <c r="J23" s="11670">
        <f t="shared" si="1"/>
        <v>84000</v>
      </c>
      <c r="K23" s="7310">
        <f>3000*L12</f>
        <v>84000</v>
      </c>
    </row>
    <row r="24" spans="1:11" ht="15" customHeight="1">
      <c r="A24" s="7657"/>
      <c r="B24" s="11518" t="s">
        <v>59</v>
      </c>
      <c r="C24" s="8872">
        <v>50103010</v>
      </c>
      <c r="D24" s="11664">
        <f>'WS-PS 2017'!V19</f>
        <v>929933.47</v>
      </c>
      <c r="E24" s="11664">
        <f>'WS-PS ACTUAL JUNE 2018'!T19</f>
        <v>520263.17</v>
      </c>
      <c r="F24" s="11667">
        <f t="shared" si="0"/>
        <v>621048.83000000007</v>
      </c>
      <c r="G24" s="11664">
        <v>1141312</v>
      </c>
      <c r="H24" s="11664"/>
      <c r="I24" s="11163"/>
      <c r="J24" s="11670">
        <f t="shared" si="1"/>
        <v>1233097.92</v>
      </c>
      <c r="K24" s="11720">
        <f>SUM(K11:K12)*12%</f>
        <v>1233097.92</v>
      </c>
    </row>
    <row r="25" spans="1:11" ht="15" customHeight="1">
      <c r="A25" s="7657"/>
      <c r="B25" s="7803" t="s">
        <v>28</v>
      </c>
      <c r="C25" s="8872">
        <v>50103020</v>
      </c>
      <c r="D25" s="11664">
        <f>'WS-PS 2017'!W19</f>
        <v>30300</v>
      </c>
      <c r="E25" s="11664">
        <f>'WS-PS ACTUAL JUNE 2018'!U19</f>
        <v>15200</v>
      </c>
      <c r="F25" s="11667">
        <f t="shared" si="0"/>
        <v>18400</v>
      </c>
      <c r="G25" s="11664">
        <v>33600</v>
      </c>
      <c r="H25" s="11664"/>
      <c r="I25" s="11163"/>
      <c r="J25" s="11670">
        <f t="shared" si="1"/>
        <v>33600</v>
      </c>
      <c r="K25" s="7310">
        <f>1200*L12</f>
        <v>33600</v>
      </c>
    </row>
    <row r="26" spans="1:11" ht="15" customHeight="1">
      <c r="A26" s="7657"/>
      <c r="B26" s="7803" t="s">
        <v>29</v>
      </c>
      <c r="C26" s="8872">
        <v>50103030</v>
      </c>
      <c r="D26" s="11664">
        <f>'WS-PS 2017'!X19</f>
        <v>72825</v>
      </c>
      <c r="E26" s="11664">
        <f>'WS-PS ACTUAL JUNE 2018'!V19</f>
        <v>47483.86</v>
      </c>
      <c r="F26" s="11667">
        <f t="shared" si="0"/>
        <v>36516.14</v>
      </c>
      <c r="G26" s="11664">
        <v>84000</v>
      </c>
      <c r="H26" s="11664"/>
      <c r="I26" s="11163"/>
      <c r="J26" s="11670">
        <v>107175.74999999997</v>
      </c>
      <c r="K26" s="7310">
        <f>3600*L12</f>
        <v>100800</v>
      </c>
    </row>
    <row r="27" spans="1:11" ht="15" customHeight="1">
      <c r="A27" s="7657"/>
      <c r="B27" s="7803" t="s">
        <v>30</v>
      </c>
      <c r="C27" s="8872">
        <v>50103040</v>
      </c>
      <c r="D27" s="11664">
        <f>'WS-PS 2017'!Y19</f>
        <v>30250.61</v>
      </c>
      <c r="E27" s="11664">
        <f>'WS-PS ACTUAL JUNE 2018'!W19</f>
        <v>15146.06</v>
      </c>
      <c r="F27" s="11667">
        <f t="shared" si="0"/>
        <v>18453.940000000002</v>
      </c>
      <c r="G27" s="11664">
        <v>33600</v>
      </c>
      <c r="H27" s="11664"/>
      <c r="I27" s="11163"/>
      <c r="J27" s="11670">
        <f t="shared" si="1"/>
        <v>33600</v>
      </c>
      <c r="K27" s="7310">
        <f>K25</f>
        <v>33600</v>
      </c>
    </row>
    <row r="28" spans="1:11" ht="15" customHeight="1">
      <c r="A28" s="7657"/>
      <c r="B28" s="7488" t="s">
        <v>5025</v>
      </c>
      <c r="C28" s="11258">
        <v>50104990</v>
      </c>
      <c r="D28" s="11664">
        <f>'WS-PS 2017'!Z19</f>
        <v>625000</v>
      </c>
      <c r="E28" s="11664"/>
      <c r="F28" s="11667">
        <f t="shared" si="0"/>
        <v>0</v>
      </c>
      <c r="G28" s="11664">
        <v>0</v>
      </c>
      <c r="H28" s="11664"/>
      <c r="I28" s="11163"/>
      <c r="J28" s="11670">
        <f t="shared" si="1"/>
        <v>0</v>
      </c>
    </row>
    <row r="29" spans="1:11" ht="15" customHeight="1">
      <c r="A29" s="7657"/>
      <c r="B29" s="7314"/>
      <c r="C29" s="8802"/>
      <c r="D29" s="11664"/>
      <c r="E29" s="11664"/>
      <c r="F29" s="11664"/>
      <c r="G29" s="11664"/>
      <c r="H29" s="11664"/>
      <c r="I29" s="11163"/>
      <c r="J29" s="11665"/>
    </row>
    <row r="30" spans="1:11" ht="15" customHeight="1" thickBot="1">
      <c r="A30" s="7699"/>
      <c r="B30" s="7781" t="s">
        <v>37</v>
      </c>
      <c r="C30" s="11672"/>
      <c r="D30" s="11673">
        <f>SUM(D11:D28)</f>
        <v>12112782.290000001</v>
      </c>
      <c r="E30" s="11673">
        <f>SUM(E11:E28)</f>
        <v>6297464.96</v>
      </c>
      <c r="F30" s="11673">
        <f>SUM(F11:F28)</f>
        <v>8092871.04</v>
      </c>
      <c r="G30" s="7326">
        <f>SUM(G11:G28)</f>
        <v>14390336</v>
      </c>
      <c r="H30" s="7326"/>
      <c r="I30" s="7327"/>
      <c r="J30" s="11674">
        <f>SUM(J11:J28)</f>
        <v>15038925.67</v>
      </c>
      <c r="K30" s="11657">
        <f>SUM(K12:K29)</f>
        <v>15524932.77</v>
      </c>
    </row>
    <row r="31" spans="1:11" ht="15" customHeight="1">
      <c r="A31" s="7688"/>
      <c r="B31" s="7689"/>
      <c r="C31" s="9341"/>
      <c r="D31" s="7691"/>
      <c r="E31" s="7691"/>
      <c r="F31" s="7691"/>
      <c r="G31" s="7691"/>
      <c r="H31" s="7691"/>
      <c r="I31" s="7389"/>
      <c r="J31" s="7691"/>
    </row>
    <row r="32" spans="1:11" ht="15" customHeight="1">
      <c r="A32" s="7287"/>
      <c r="B32" s="7315"/>
      <c r="C32" s="9339"/>
      <c r="D32" s="7349"/>
      <c r="E32" s="7349"/>
      <c r="F32" s="7349"/>
      <c r="G32" s="7349"/>
      <c r="H32" s="7349"/>
      <c r="I32" s="7350"/>
      <c r="J32" s="7349"/>
    </row>
    <row r="33" spans="1:11" ht="15" customHeight="1">
      <c r="A33" s="7287"/>
      <c r="B33" s="7315"/>
      <c r="C33" s="9339"/>
      <c r="D33" s="7349"/>
      <c r="E33" s="7349"/>
      <c r="F33" s="7349"/>
      <c r="G33" s="7349"/>
      <c r="H33" s="7349"/>
      <c r="I33" s="7350"/>
      <c r="J33" s="7349"/>
    </row>
    <row r="34" spans="1:11" ht="15" customHeight="1">
      <c r="A34" s="7287"/>
      <c r="B34" s="7315"/>
      <c r="C34" s="9339"/>
      <c r="D34" s="7349"/>
      <c r="E34" s="7349"/>
      <c r="F34" s="7349"/>
      <c r="G34" s="7349"/>
      <c r="H34" s="7349"/>
      <c r="I34" s="7350"/>
      <c r="J34" s="7349"/>
    </row>
    <row r="35" spans="1:11" ht="15" customHeight="1">
      <c r="A35" s="7287"/>
      <c r="B35" s="7315"/>
      <c r="C35" s="9339"/>
      <c r="D35" s="7349"/>
      <c r="E35" s="7349"/>
      <c r="F35" s="7349"/>
      <c r="G35" s="7349"/>
      <c r="H35" s="7349"/>
      <c r="I35" s="7350"/>
      <c r="J35" s="7349"/>
    </row>
    <row r="36" spans="1:11" ht="15" customHeight="1">
      <c r="A36" s="7287"/>
      <c r="B36" s="7315"/>
      <c r="C36" s="9339"/>
      <c r="D36" s="7349"/>
      <c r="E36" s="7349"/>
      <c r="F36" s="7349"/>
      <c r="G36" s="7349"/>
      <c r="H36" s="7349"/>
      <c r="I36" s="7350"/>
      <c r="J36" s="7349"/>
    </row>
    <row r="37" spans="1:11" ht="15" customHeight="1">
      <c r="A37" s="7287"/>
      <c r="B37" s="7315"/>
      <c r="C37" s="9339"/>
      <c r="D37" s="7349"/>
      <c r="E37" s="7349"/>
      <c r="F37" s="7349"/>
      <c r="G37" s="7349"/>
      <c r="H37" s="7349"/>
      <c r="I37" s="7350"/>
      <c r="J37" s="7349"/>
    </row>
    <row r="38" spans="1:11" ht="15" customHeight="1" thickBot="1">
      <c r="A38" s="7692" t="s">
        <v>6516</v>
      </c>
      <c r="B38" s="7781"/>
      <c r="C38" s="9342"/>
      <c r="D38" s="7794"/>
      <c r="E38" s="7794"/>
      <c r="F38" s="7794"/>
      <c r="G38" s="7794"/>
      <c r="H38" s="7794"/>
      <c r="I38" s="7394"/>
      <c r="J38" s="7794"/>
    </row>
    <row r="39" spans="1:11" ht="15" customHeight="1">
      <c r="A39" s="7694"/>
      <c r="B39" s="11658"/>
      <c r="C39" s="11675" t="s">
        <v>103</v>
      </c>
      <c r="D39" s="10868" t="s">
        <v>10</v>
      </c>
      <c r="E39" s="14188" t="s">
        <v>10711</v>
      </c>
      <c r="F39" s="14189"/>
      <c r="G39" s="14190"/>
      <c r="H39" s="11769"/>
      <c r="I39" s="9462" t="s">
        <v>9985</v>
      </c>
      <c r="J39" s="11659" t="s">
        <v>12</v>
      </c>
    </row>
    <row r="40" spans="1:11" ht="15" customHeight="1">
      <c r="A40" s="7657"/>
      <c r="B40" s="7295" t="s">
        <v>13</v>
      </c>
      <c r="C40" s="11711" t="s">
        <v>94</v>
      </c>
      <c r="D40" s="11123" t="s">
        <v>15</v>
      </c>
      <c r="E40" s="9502" t="s">
        <v>10709</v>
      </c>
      <c r="F40" s="9503" t="s">
        <v>10710</v>
      </c>
      <c r="G40" s="14191" t="s">
        <v>458</v>
      </c>
      <c r="H40" s="11770" t="s">
        <v>9985</v>
      </c>
      <c r="I40" s="11108" t="s">
        <v>9988</v>
      </c>
      <c r="J40" s="11660" t="s">
        <v>16</v>
      </c>
    </row>
    <row r="41" spans="1:11" ht="15" customHeight="1" thickBot="1">
      <c r="A41" s="7699"/>
      <c r="B41" s="7897"/>
      <c r="C41" s="12442"/>
      <c r="D41" s="9455">
        <v>2017</v>
      </c>
      <c r="E41" s="9467" t="s">
        <v>457</v>
      </c>
      <c r="F41" s="11661" t="s">
        <v>456</v>
      </c>
      <c r="G41" s="14192"/>
      <c r="H41" s="7496">
        <v>2016</v>
      </c>
      <c r="I41" s="7303">
        <v>2016</v>
      </c>
      <c r="J41" s="11662">
        <v>2019</v>
      </c>
    </row>
    <row r="42" spans="1:11" ht="15" customHeight="1">
      <c r="A42" s="7657"/>
      <c r="B42" s="7295"/>
      <c r="C42" s="11711"/>
      <c r="D42" s="11676"/>
      <c r="E42" s="11123"/>
      <c r="F42" s="11123"/>
      <c r="G42" s="11123"/>
      <c r="H42" s="11181"/>
      <c r="I42" s="12365"/>
      <c r="J42" s="11677"/>
    </row>
    <row r="43" spans="1:11" ht="15" customHeight="1">
      <c r="A43" s="11663"/>
      <c r="B43" s="7287" t="s">
        <v>38</v>
      </c>
      <c r="C43" s="8802"/>
      <c r="D43" s="12329"/>
      <c r="E43" s="12329"/>
      <c r="F43" s="12329"/>
      <c r="G43" s="11664"/>
      <c r="H43" s="11664"/>
      <c r="I43" s="11163"/>
      <c r="J43" s="11665"/>
    </row>
    <row r="44" spans="1:11" ht="15" customHeight="1">
      <c r="A44" s="7657"/>
      <c r="B44" s="7287" t="s">
        <v>39</v>
      </c>
      <c r="C44" s="8802">
        <v>50201010</v>
      </c>
      <c r="D44" s="11664">
        <f>'WS-MOOE 2017'!B19</f>
        <v>184017.28</v>
      </c>
      <c r="E44" s="11664">
        <f>'WS-MOOE ACTUAL JUNE 2018'!B20</f>
        <v>78458.86</v>
      </c>
      <c r="F44" s="11667">
        <f t="shared" ref="F44:F60" si="2">G44-E44</f>
        <v>91541.14</v>
      </c>
      <c r="G44" s="11664">
        <v>170000</v>
      </c>
      <c r="H44" s="11664">
        <v>105465.22</v>
      </c>
      <c r="I44" s="12443">
        <f>H44/G44</f>
        <v>0.62038364705882354</v>
      </c>
      <c r="J44" s="11665">
        <v>170000</v>
      </c>
    </row>
    <row r="45" spans="1:11" ht="15" customHeight="1">
      <c r="A45" s="7657"/>
      <c r="B45" s="7287" t="s">
        <v>41</v>
      </c>
      <c r="C45" s="8802">
        <v>50202010</v>
      </c>
      <c r="D45" s="11664">
        <f>'WS-MOOE 2017'!H19</f>
        <v>226799.64</v>
      </c>
      <c r="E45" s="11664">
        <f>'WS-MOOE ACTUAL JUNE 2018'!G20</f>
        <v>46332</v>
      </c>
      <c r="F45" s="11667">
        <f t="shared" si="2"/>
        <v>128668</v>
      </c>
      <c r="G45" s="11664">
        <v>175000</v>
      </c>
      <c r="H45" s="11664">
        <v>127432</v>
      </c>
      <c r="I45" s="12443">
        <f t="shared" ref="I45:I60" si="3">H45/G45</f>
        <v>0.72818285714285713</v>
      </c>
      <c r="J45" s="11665">
        <v>190000</v>
      </c>
    </row>
    <row r="46" spans="1:11" ht="15" customHeight="1">
      <c r="A46" s="7657"/>
      <c r="B46" s="7287" t="s">
        <v>42</v>
      </c>
      <c r="C46" s="8802">
        <v>50203010</v>
      </c>
      <c r="D46" s="11664">
        <f>'WS-MOOE 2017'!J19</f>
        <v>149493.70000000001</v>
      </c>
      <c r="E46" s="11664">
        <f>'WS-MOOE ACTUAL JUNE 2018'!H20</f>
        <v>50712.6</v>
      </c>
      <c r="F46" s="11667">
        <f t="shared" si="2"/>
        <v>199287.4</v>
      </c>
      <c r="G46" s="11664">
        <v>250000</v>
      </c>
      <c r="H46" s="11664">
        <v>218279.35</v>
      </c>
      <c r="I46" s="12443">
        <f t="shared" si="3"/>
        <v>0.87311740000000004</v>
      </c>
      <c r="J46" s="11665">
        <v>270000</v>
      </c>
    </row>
    <row r="47" spans="1:11" ht="15" customHeight="1">
      <c r="A47" s="7657"/>
      <c r="B47" s="7287" t="s">
        <v>44</v>
      </c>
      <c r="C47" s="8802">
        <v>50203090</v>
      </c>
      <c r="D47" s="11664">
        <f>'WS-MOOE 2017'!R19</f>
        <v>57400</v>
      </c>
      <c r="E47" s="11664">
        <f>'WS-MOOE ACTUAL JUNE 2018'!O20</f>
        <v>48000</v>
      </c>
      <c r="F47" s="11667">
        <f t="shared" si="2"/>
        <v>67000</v>
      </c>
      <c r="G47" s="11664">
        <v>115000</v>
      </c>
      <c r="H47" s="11664">
        <v>48000</v>
      </c>
      <c r="I47" s="12443">
        <f t="shared" si="3"/>
        <v>0.41739130434782606</v>
      </c>
      <c r="J47" s="11665">
        <v>150000</v>
      </c>
    </row>
    <row r="48" spans="1:11" ht="15" customHeight="1">
      <c r="A48" s="7657"/>
      <c r="B48" s="7287" t="s">
        <v>45</v>
      </c>
      <c r="C48" s="8802">
        <v>50204010</v>
      </c>
      <c r="D48" s="11664">
        <f>'WS-MOOE 2017'!W19</f>
        <v>15700.41</v>
      </c>
      <c r="E48" s="11664">
        <f>'WS-MOOE ACTUAL JUNE 2018'!R20</f>
        <v>9950.3799999999992</v>
      </c>
      <c r="F48" s="11667">
        <f t="shared" si="2"/>
        <v>40049.620000000003</v>
      </c>
      <c r="G48" s="11664">
        <v>50000</v>
      </c>
      <c r="H48" s="11664">
        <v>12482.98</v>
      </c>
      <c r="I48" s="12443">
        <f t="shared" si="3"/>
        <v>0.24965959999999998</v>
      </c>
      <c r="J48" s="11678">
        <v>0</v>
      </c>
      <c r="K48" s="7783">
        <v>60000</v>
      </c>
    </row>
    <row r="49" spans="1:11" ht="15" customHeight="1">
      <c r="A49" s="7657"/>
      <c r="B49" s="7287" t="s">
        <v>46</v>
      </c>
      <c r="C49" s="8802">
        <v>50204020</v>
      </c>
      <c r="D49" s="11664">
        <f>'WS-MOOE 2017'!X19</f>
        <v>360391.18</v>
      </c>
      <c r="E49" s="11664">
        <f>'WS-MOOE ACTUAL JUNE 2018'!S20</f>
        <v>146817.47</v>
      </c>
      <c r="F49" s="11667">
        <f t="shared" si="2"/>
        <v>543182.53</v>
      </c>
      <c r="G49" s="11664">
        <v>690000</v>
      </c>
      <c r="H49" s="11664">
        <v>214885.53</v>
      </c>
      <c r="I49" s="12443">
        <f t="shared" si="3"/>
        <v>0.31142830434782609</v>
      </c>
      <c r="J49" s="11678">
        <v>0</v>
      </c>
      <c r="K49" s="7305">
        <v>600000</v>
      </c>
    </row>
    <row r="50" spans="1:11" ht="15" customHeight="1">
      <c r="A50" s="7657"/>
      <c r="B50" s="7287" t="s">
        <v>62</v>
      </c>
      <c r="C50" s="8802">
        <v>50205010</v>
      </c>
      <c r="D50" s="11664">
        <f>'WS-MOOE 2017'!Z19</f>
        <v>2303</v>
      </c>
      <c r="E50" s="11664">
        <f>'WS-MOOE ACTUAL JUNE 2018'!U20</f>
        <v>1245.5</v>
      </c>
      <c r="F50" s="11667">
        <f t="shared" si="2"/>
        <v>3754.5</v>
      </c>
      <c r="G50" s="11664">
        <v>5000</v>
      </c>
      <c r="H50" s="11664">
        <v>1873.5</v>
      </c>
      <c r="I50" s="12443">
        <f t="shared" si="3"/>
        <v>0.37469999999999998</v>
      </c>
      <c r="J50" s="11665">
        <v>6000</v>
      </c>
    </row>
    <row r="51" spans="1:11" ht="15" customHeight="1">
      <c r="A51" s="7657"/>
      <c r="B51" s="7536" t="s">
        <v>155</v>
      </c>
      <c r="C51" s="8802">
        <v>50205020</v>
      </c>
      <c r="D51" s="11664">
        <f>'WS-MOOE 2017'!AA19+'WS-MOOE 2017'!AC19</f>
        <v>101437.66</v>
      </c>
      <c r="E51" s="11664">
        <f>'WS-MOOE ACTUAL JUNE 2018'!V20</f>
        <v>31887</v>
      </c>
      <c r="F51" s="11667">
        <f t="shared" si="2"/>
        <v>102113</v>
      </c>
      <c r="G51" s="11664">
        <v>134000</v>
      </c>
      <c r="H51" s="11664">
        <v>57009.8</v>
      </c>
      <c r="I51" s="12443">
        <f t="shared" si="3"/>
        <v>0.42544626865671642</v>
      </c>
      <c r="J51" s="11665">
        <v>180000</v>
      </c>
    </row>
    <row r="52" spans="1:11" ht="15" customHeight="1">
      <c r="A52" s="7657"/>
      <c r="B52" s="7352" t="s">
        <v>10940</v>
      </c>
      <c r="C52" s="8872">
        <v>50212990</v>
      </c>
      <c r="D52" s="11664">
        <f>'WS-MOOE 2017'!AO19</f>
        <v>597798.04</v>
      </c>
      <c r="E52" s="11664">
        <f>'WS-MOOE ACTUAL JUNE 2018'!AJ20</f>
        <v>260667.51</v>
      </c>
      <c r="F52" s="11667">
        <f t="shared" si="2"/>
        <v>389332.49</v>
      </c>
      <c r="G52" s="11664">
        <v>650000</v>
      </c>
      <c r="H52" s="11664">
        <v>445893.13</v>
      </c>
      <c r="I52" s="12443">
        <f t="shared" si="3"/>
        <v>0.6859894307692308</v>
      </c>
      <c r="J52" s="11665">
        <v>1000000</v>
      </c>
    </row>
    <row r="53" spans="1:11" ht="15" customHeight="1">
      <c r="A53" s="7657"/>
      <c r="B53" s="7488" t="s">
        <v>10959</v>
      </c>
      <c r="C53" s="10377">
        <v>50213040</v>
      </c>
      <c r="D53" s="11664">
        <f>'WS-MOOE 2017'!AS19</f>
        <v>9105.5</v>
      </c>
      <c r="E53" s="11664">
        <f>'WS-MOOE ACTUAL JUNE 2018'!AN20</f>
        <v>0</v>
      </c>
      <c r="F53" s="11667">
        <f t="shared" si="2"/>
        <v>50000</v>
      </c>
      <c r="G53" s="11664">
        <v>50000</v>
      </c>
      <c r="H53" s="11664">
        <v>50000</v>
      </c>
      <c r="I53" s="12443">
        <f t="shared" si="3"/>
        <v>1</v>
      </c>
      <c r="J53" s="11665">
        <v>50000</v>
      </c>
    </row>
    <row r="54" spans="1:11" ht="15" hidden="1" customHeight="1">
      <c r="A54" s="7657"/>
      <c r="B54" s="7287" t="s">
        <v>115</v>
      </c>
      <c r="C54" s="8802"/>
      <c r="D54" s="11664"/>
      <c r="E54" s="11664"/>
      <c r="F54" s="11667">
        <f t="shared" si="2"/>
        <v>0</v>
      </c>
      <c r="G54" s="11664"/>
      <c r="H54" s="11664"/>
      <c r="I54" s="12443" t="s">
        <v>9</v>
      </c>
      <c r="J54" s="11665"/>
    </row>
    <row r="55" spans="1:11" ht="15" customHeight="1">
      <c r="A55" s="7657"/>
      <c r="B55" s="7488" t="s">
        <v>10938</v>
      </c>
      <c r="C55" s="8872">
        <v>50213050</v>
      </c>
      <c r="D55" s="11664">
        <f>'WS-MOOE 2017'!AW19</f>
        <v>41300.25</v>
      </c>
      <c r="E55" s="11664">
        <f>'WS-MOOE ACTUAL JUNE 2018'!AS20</f>
        <v>6520</v>
      </c>
      <c r="F55" s="11667">
        <f t="shared" si="2"/>
        <v>43480</v>
      </c>
      <c r="G55" s="11664">
        <v>50000</v>
      </c>
      <c r="H55" s="11664">
        <v>18878.96</v>
      </c>
      <c r="I55" s="12443">
        <f t="shared" si="3"/>
        <v>0.3775792</v>
      </c>
      <c r="J55" s="11665">
        <v>50000</v>
      </c>
    </row>
    <row r="56" spans="1:11" ht="15" customHeight="1">
      <c r="A56" s="7657"/>
      <c r="B56" s="7488" t="s">
        <v>10937</v>
      </c>
      <c r="C56" s="11258">
        <v>50213060</v>
      </c>
      <c r="D56" s="11664">
        <f>'WS-MOOE 2017'!BB19</f>
        <v>0</v>
      </c>
      <c r="E56" s="11664">
        <f>'WS-MOOE ACTUAL JUNE 2018'!AT20</f>
        <v>44500</v>
      </c>
      <c r="F56" s="11667">
        <f t="shared" si="2"/>
        <v>5500</v>
      </c>
      <c r="G56" s="11664">
        <v>50000</v>
      </c>
      <c r="H56" s="11664">
        <v>154490</v>
      </c>
      <c r="I56" s="12443">
        <f t="shared" si="3"/>
        <v>3.0897999999999999</v>
      </c>
      <c r="J56" s="11665">
        <v>100000</v>
      </c>
    </row>
    <row r="57" spans="1:11" ht="15" customHeight="1">
      <c r="A57" s="7657"/>
      <c r="B57" s="7287" t="s">
        <v>72</v>
      </c>
      <c r="C57" s="8802">
        <v>50215020</v>
      </c>
      <c r="D57" s="11664">
        <f>'WS-MOOE 2017'!BH19</f>
        <v>0</v>
      </c>
      <c r="E57" s="11664">
        <f>'WS-MOOE ACTUAL JUNE 2018'!AZ20</f>
        <v>0</v>
      </c>
      <c r="F57" s="11667">
        <f t="shared" si="2"/>
        <v>1000</v>
      </c>
      <c r="G57" s="11664">
        <v>1000</v>
      </c>
      <c r="H57" s="11664">
        <v>0</v>
      </c>
      <c r="I57" s="12443">
        <f t="shared" si="3"/>
        <v>0</v>
      </c>
      <c r="J57" s="11665">
        <v>2000</v>
      </c>
    </row>
    <row r="58" spans="1:11" ht="15" customHeight="1">
      <c r="A58" s="7657"/>
      <c r="B58" s="7951" t="s">
        <v>10961</v>
      </c>
      <c r="C58" s="12208">
        <v>50299020</v>
      </c>
      <c r="D58" s="11664">
        <f>'WS-MOOE 2017'!BJ19</f>
        <v>495</v>
      </c>
      <c r="E58" s="11664">
        <f>'WS-MOOE ACTUAL JUNE 2018'!BC20</f>
        <v>0</v>
      </c>
      <c r="F58" s="11667">
        <f>G58-E58</f>
        <v>20000</v>
      </c>
      <c r="G58" s="11664">
        <v>20000</v>
      </c>
      <c r="H58" s="11664">
        <v>0</v>
      </c>
      <c r="I58" s="12443">
        <f>H58/G58</f>
        <v>0</v>
      </c>
      <c r="J58" s="11665">
        <v>20000</v>
      </c>
    </row>
    <row r="59" spans="1:11" ht="15" customHeight="1">
      <c r="A59" s="7657"/>
      <c r="B59" s="7287" t="s">
        <v>11091</v>
      </c>
      <c r="C59" s="8802">
        <v>50299070</v>
      </c>
      <c r="D59" s="11664"/>
      <c r="E59" s="11664">
        <f>'WS-MOOE ACTUAL JUNE 2018'!BF20</f>
        <v>3460</v>
      </c>
      <c r="F59" s="11667">
        <f>G59-E59</f>
        <v>6540</v>
      </c>
      <c r="G59" s="11664">
        <v>10000</v>
      </c>
      <c r="H59" s="11664">
        <v>5490</v>
      </c>
      <c r="I59" s="12443">
        <f>H59/G59</f>
        <v>0.54900000000000004</v>
      </c>
      <c r="J59" s="11665">
        <v>10000</v>
      </c>
    </row>
    <row r="60" spans="1:11" ht="15" customHeight="1">
      <c r="A60" s="7657"/>
      <c r="B60" s="7287" t="s">
        <v>169</v>
      </c>
      <c r="C60" s="8802">
        <v>50299990</v>
      </c>
      <c r="D60" s="11664">
        <f>'WS-MOOE 2017'!BO19</f>
        <v>63170.2</v>
      </c>
      <c r="E60" s="11664">
        <f>'WS-MOOE ACTUAL JUNE 2018'!BI20</f>
        <v>24828.85</v>
      </c>
      <c r="F60" s="11667">
        <f t="shared" si="2"/>
        <v>50171.15</v>
      </c>
      <c r="G60" s="11664">
        <v>75000</v>
      </c>
      <c r="H60" s="11664">
        <v>58408.85</v>
      </c>
      <c r="I60" s="12443">
        <f t="shared" si="3"/>
        <v>0.77878466666666668</v>
      </c>
      <c r="J60" s="11665">
        <v>50000</v>
      </c>
    </row>
    <row r="61" spans="1:11" ht="15" customHeight="1">
      <c r="A61" s="7657"/>
      <c r="B61" s="7718" t="s">
        <v>10178</v>
      </c>
      <c r="C61" s="8802"/>
      <c r="D61" s="7660"/>
      <c r="E61" s="7829"/>
      <c r="F61" s="7829"/>
      <c r="G61" s="7829"/>
      <c r="H61" s="7829"/>
      <c r="I61" s="12443" t="s">
        <v>9</v>
      </c>
      <c r="J61" s="12444"/>
    </row>
    <row r="62" spans="1:11" ht="15" customHeight="1">
      <c r="A62" s="7657"/>
      <c r="B62" s="7315" t="s">
        <v>37</v>
      </c>
      <c r="C62" s="8802"/>
      <c r="D62" s="9465">
        <f>SUM(D44:D60)</f>
        <v>1809411.86</v>
      </c>
      <c r="E62" s="9465">
        <f>SUM(E44:E60)</f>
        <v>753380.17</v>
      </c>
      <c r="F62" s="9465">
        <f>SUM(F44:F60)</f>
        <v>1741619.8299999998</v>
      </c>
      <c r="G62" s="11712">
        <f>SUM(G44:G60)</f>
        <v>2495000</v>
      </c>
      <c r="H62" s="11712">
        <f>SUM(H44:H60)</f>
        <v>1518589.32</v>
      </c>
      <c r="I62" s="11206">
        <f>H62/G62</f>
        <v>0.60865303406813631</v>
      </c>
      <c r="J62" s="11713">
        <f>SUM(J44:J61)</f>
        <v>2248000</v>
      </c>
      <c r="K62" s="10372">
        <f>(J62-G62)/G62</f>
        <v>-9.8997995991983972E-2</v>
      </c>
    </row>
    <row r="63" spans="1:11" ht="15" customHeight="1" thickBot="1">
      <c r="A63" s="7699"/>
      <c r="B63" s="7781"/>
      <c r="C63" s="11672"/>
      <c r="D63" s="11746"/>
      <c r="E63" s="11746"/>
      <c r="F63" s="11746"/>
      <c r="G63" s="11746"/>
      <c r="H63" s="11746"/>
      <c r="I63" s="11176"/>
      <c r="J63" s="11747"/>
      <c r="K63" s="7310"/>
    </row>
    <row r="64" spans="1:11" ht="15" customHeight="1">
      <c r="A64" s="7688"/>
      <c r="B64" s="7689"/>
      <c r="C64" s="9341"/>
      <c r="D64" s="7691"/>
      <c r="E64" s="7691"/>
      <c r="F64" s="7691"/>
      <c r="G64" s="7691"/>
      <c r="H64" s="7691"/>
      <c r="I64" s="7389"/>
      <c r="J64" s="7691"/>
      <c r="K64" s="7310"/>
    </row>
    <row r="65" spans="1:11" ht="15" customHeight="1">
      <c r="A65" s="7287"/>
      <c r="B65" s="7315"/>
      <c r="C65" s="9339"/>
      <c r="D65" s="7349"/>
      <c r="E65" s="7349"/>
      <c r="F65" s="7349"/>
      <c r="G65" s="7349"/>
      <c r="H65" s="7349"/>
      <c r="I65" s="7350"/>
      <c r="J65" s="7349"/>
      <c r="K65" s="7310"/>
    </row>
    <row r="66" spans="1:11" ht="15" customHeight="1">
      <c r="A66" s="7287"/>
      <c r="B66" s="7315"/>
      <c r="C66" s="9339"/>
      <c r="D66" s="7349"/>
      <c r="E66" s="7349"/>
      <c r="F66" s="7349"/>
      <c r="G66" s="7349"/>
      <c r="H66" s="7349"/>
      <c r="I66" s="7350"/>
      <c r="J66" s="7349"/>
      <c r="K66" s="7310"/>
    </row>
    <row r="67" spans="1:11" ht="15" customHeight="1">
      <c r="A67" s="7287"/>
      <c r="B67" s="7315"/>
      <c r="C67" s="9339"/>
      <c r="D67" s="7349"/>
      <c r="E67" s="7349"/>
      <c r="F67" s="7349"/>
      <c r="G67" s="7349"/>
      <c r="H67" s="7349"/>
      <c r="I67" s="7350"/>
      <c r="J67" s="7349"/>
      <c r="K67" s="7310"/>
    </row>
    <row r="68" spans="1:11" ht="15" customHeight="1">
      <c r="A68" s="7287"/>
      <c r="B68" s="7315"/>
      <c r="C68" s="9339"/>
      <c r="D68" s="7349"/>
      <c r="E68" s="7349"/>
      <c r="F68" s="7349"/>
      <c r="G68" s="7349"/>
      <c r="H68" s="7349"/>
      <c r="I68" s="7350"/>
      <c r="J68" s="7349"/>
      <c r="K68" s="7310"/>
    </row>
    <row r="69" spans="1:11" ht="15" customHeight="1">
      <c r="A69" s="7287"/>
      <c r="B69" s="7315"/>
      <c r="C69" s="9339"/>
      <c r="D69" s="7349"/>
      <c r="E69" s="7349"/>
      <c r="F69" s="7349"/>
      <c r="G69" s="7349"/>
      <c r="H69" s="7349"/>
      <c r="I69" s="7350"/>
      <c r="J69" s="7349"/>
      <c r="K69" s="7310"/>
    </row>
    <row r="70" spans="1:11" ht="15" customHeight="1">
      <c r="A70" s="7287"/>
      <c r="B70" s="7315"/>
      <c r="C70" s="9339"/>
      <c r="D70" s="7349"/>
      <c r="E70" s="7349"/>
      <c r="F70" s="7349"/>
      <c r="G70" s="7349"/>
      <c r="H70" s="7349"/>
      <c r="I70" s="7350"/>
      <c r="J70" s="7349"/>
      <c r="K70" s="7310"/>
    </row>
    <row r="71" spans="1:11" ht="15" customHeight="1">
      <c r="A71" s="7287"/>
      <c r="B71" s="7315"/>
      <c r="C71" s="9339"/>
      <c r="D71" s="7349"/>
      <c r="E71" s="7349"/>
      <c r="F71" s="7349"/>
      <c r="G71" s="7349"/>
      <c r="H71" s="7349"/>
      <c r="I71" s="7350"/>
      <c r="J71" s="7349"/>
      <c r="K71" s="7310"/>
    </row>
    <row r="72" spans="1:11" ht="15" customHeight="1">
      <c r="A72" s="7287"/>
      <c r="B72" s="7315"/>
      <c r="C72" s="9339"/>
      <c r="D72" s="7349"/>
      <c r="E72" s="7349"/>
      <c r="F72" s="7349"/>
      <c r="G72" s="7349"/>
      <c r="H72" s="7349"/>
      <c r="I72" s="7350"/>
      <c r="J72" s="7349"/>
      <c r="K72" s="7310"/>
    </row>
    <row r="73" spans="1:11" ht="15" customHeight="1">
      <c r="A73" s="7287"/>
      <c r="B73" s="7315"/>
      <c r="C73" s="9339"/>
      <c r="D73" s="7349"/>
      <c r="E73" s="7349"/>
      <c r="F73" s="7349"/>
      <c r="G73" s="7349"/>
      <c r="H73" s="7349"/>
      <c r="I73" s="7350"/>
      <c r="J73" s="7349"/>
      <c r="K73" s="7310"/>
    </row>
    <row r="74" spans="1:11" ht="15" customHeight="1">
      <c r="A74" s="7287"/>
      <c r="B74" s="7315"/>
      <c r="C74" s="9339"/>
      <c r="D74" s="7349"/>
      <c r="E74" s="7349"/>
      <c r="F74" s="7349"/>
      <c r="G74" s="7349"/>
      <c r="H74" s="7349"/>
      <c r="I74" s="7350"/>
      <c r="J74" s="7349"/>
      <c r="K74" s="7310"/>
    </row>
    <row r="75" spans="1:11" ht="15" customHeight="1">
      <c r="A75" s="7287"/>
      <c r="B75" s="7315"/>
      <c r="C75" s="9339"/>
      <c r="D75" s="7349"/>
      <c r="E75" s="7349"/>
      <c r="F75" s="7349"/>
      <c r="G75" s="7349"/>
      <c r="H75" s="7349"/>
      <c r="I75" s="7350"/>
      <c r="J75" s="7349"/>
      <c r="K75" s="7310"/>
    </row>
    <row r="76" spans="1:11" ht="15" customHeight="1" thickBot="1">
      <c r="A76" s="7692" t="s">
        <v>10907</v>
      </c>
      <c r="B76" s="7781"/>
      <c r="C76" s="9342"/>
      <c r="D76" s="7794"/>
      <c r="E76" s="7794"/>
      <c r="F76" s="7794"/>
      <c r="G76" s="7794"/>
      <c r="H76" s="7794"/>
      <c r="I76" s="7394"/>
      <c r="J76" s="7794"/>
    </row>
    <row r="77" spans="1:11" ht="15" customHeight="1">
      <c r="A77" s="7694"/>
      <c r="B77" s="11658"/>
      <c r="C77" s="11675" t="s">
        <v>103</v>
      </c>
      <c r="D77" s="10868" t="s">
        <v>10</v>
      </c>
      <c r="E77" s="14188" t="s">
        <v>10711</v>
      </c>
      <c r="F77" s="14189"/>
      <c r="G77" s="14190"/>
      <c r="H77" s="11769"/>
      <c r="I77" s="9462"/>
      <c r="J77" s="11659" t="s">
        <v>12</v>
      </c>
    </row>
    <row r="78" spans="1:11" ht="15" customHeight="1">
      <c r="A78" s="7657"/>
      <c r="B78" s="7295" t="s">
        <v>13</v>
      </c>
      <c r="C78" s="11711" t="s">
        <v>94</v>
      </c>
      <c r="D78" s="11123" t="s">
        <v>15</v>
      </c>
      <c r="E78" s="9502" t="s">
        <v>10709</v>
      </c>
      <c r="F78" s="9503" t="s">
        <v>10710</v>
      </c>
      <c r="G78" s="14191" t="s">
        <v>458</v>
      </c>
      <c r="H78" s="11770"/>
      <c r="I78" s="11108"/>
      <c r="J78" s="11660" t="s">
        <v>16</v>
      </c>
    </row>
    <row r="79" spans="1:11" ht="15" customHeight="1" thickBot="1">
      <c r="A79" s="7699"/>
      <c r="B79" s="7897"/>
      <c r="C79" s="12442"/>
      <c r="D79" s="9455">
        <v>2017</v>
      </c>
      <c r="E79" s="9467" t="s">
        <v>457</v>
      </c>
      <c r="F79" s="11661" t="s">
        <v>456</v>
      </c>
      <c r="G79" s="14192"/>
      <c r="H79" s="7496"/>
      <c r="I79" s="7303"/>
      <c r="J79" s="11662">
        <v>2019</v>
      </c>
    </row>
    <row r="80" spans="1:11" ht="15" customHeight="1">
      <c r="A80" s="11663" t="s">
        <v>51</v>
      </c>
      <c r="B80" s="7287" t="s">
        <v>170</v>
      </c>
      <c r="C80" s="8802"/>
      <c r="D80" s="11664" t="s">
        <v>9</v>
      </c>
      <c r="E80" s="11664"/>
      <c r="F80" s="11664"/>
      <c r="G80" s="11664" t="s">
        <v>9</v>
      </c>
      <c r="H80" s="11664"/>
      <c r="I80" s="11163"/>
      <c r="J80" s="11665" t="s">
        <v>9</v>
      </c>
      <c r="K80" s="7310"/>
    </row>
    <row r="81" spans="1:11" ht="15" hidden="1" customHeight="1">
      <c r="A81" s="11663"/>
      <c r="B81" s="7314" t="s">
        <v>9987</v>
      </c>
      <c r="C81" s="8802">
        <v>222</v>
      </c>
      <c r="D81" s="11664">
        <f>'WS-CO 2017'!B18</f>
        <v>0</v>
      </c>
      <c r="E81" s="11664"/>
      <c r="F81" s="11664"/>
      <c r="G81" s="11664"/>
      <c r="H81" s="11664"/>
      <c r="I81" s="11163"/>
      <c r="J81" s="11665">
        <v>0</v>
      </c>
    </row>
    <row r="82" spans="1:11" ht="15" hidden="1" customHeight="1">
      <c r="A82" s="11663"/>
      <c r="B82" s="12445" t="s">
        <v>10238</v>
      </c>
      <c r="C82" s="8802"/>
      <c r="D82" s="11664"/>
      <c r="E82" s="11664"/>
      <c r="F82" s="11664"/>
      <c r="G82" s="11664"/>
      <c r="H82" s="11664"/>
      <c r="I82" s="11163"/>
      <c r="J82" s="11665"/>
    </row>
    <row r="83" spans="1:11" ht="15" hidden="1" customHeight="1">
      <c r="A83" s="11663"/>
      <c r="B83" s="7314" t="s">
        <v>10755</v>
      </c>
      <c r="C83" s="8802"/>
      <c r="D83" s="11664"/>
      <c r="E83" s="11664"/>
      <c r="F83" s="11664"/>
      <c r="G83" s="11664">
        <v>0</v>
      </c>
      <c r="H83" s="11664"/>
      <c r="I83" s="11163"/>
      <c r="J83" s="11665">
        <v>0</v>
      </c>
    </row>
    <row r="84" spans="1:11" ht="15" hidden="1" customHeight="1">
      <c r="A84" s="11663"/>
      <c r="B84" s="7314"/>
      <c r="C84" s="8802"/>
      <c r="D84" s="11664"/>
      <c r="E84" s="11664"/>
      <c r="F84" s="11664"/>
      <c r="G84" s="11664"/>
      <c r="H84" s="11664"/>
      <c r="I84" s="11163"/>
      <c r="J84" s="11665"/>
    </row>
    <row r="85" spans="1:11" ht="15" customHeight="1">
      <c r="A85" s="11663"/>
      <c r="B85" s="7810" t="s">
        <v>122</v>
      </c>
      <c r="C85" s="10377">
        <v>50705020</v>
      </c>
      <c r="D85" s="8798">
        <f>'WS-CO 2017'!F18</f>
        <v>177900</v>
      </c>
      <c r="E85" s="11664">
        <v>0</v>
      </c>
      <c r="F85" s="11667">
        <f>G85-E85</f>
        <v>250000</v>
      </c>
      <c r="G85" s="11664">
        <v>250000</v>
      </c>
      <c r="H85" s="11664">
        <v>224293</v>
      </c>
      <c r="I85" s="11163">
        <f>H85/G85</f>
        <v>0.89717199999999997</v>
      </c>
      <c r="J85" s="11665"/>
    </row>
    <row r="86" spans="1:11" ht="15" customHeight="1">
      <c r="A86" s="11663"/>
      <c r="B86" s="12445" t="s">
        <v>11548</v>
      </c>
      <c r="C86" s="8802"/>
      <c r="D86" s="8798"/>
      <c r="E86" s="11664"/>
      <c r="F86" s="11667"/>
      <c r="G86" s="11664"/>
      <c r="H86" s="11664"/>
      <c r="I86" s="11163"/>
      <c r="J86" s="11665">
        <v>75000</v>
      </c>
    </row>
    <row r="87" spans="1:11" ht="15" hidden="1" customHeight="1">
      <c r="A87" s="11663"/>
      <c r="B87" s="7718" t="s">
        <v>11549</v>
      </c>
      <c r="C87" s="8802"/>
      <c r="D87" s="10382"/>
      <c r="E87" s="11687"/>
      <c r="F87" s="11687"/>
      <c r="G87" s="11664"/>
      <c r="H87" s="11664"/>
      <c r="I87" s="11163"/>
      <c r="J87" s="11665">
        <v>0</v>
      </c>
    </row>
    <row r="88" spans="1:11" ht="15" customHeight="1">
      <c r="A88" s="11663"/>
      <c r="B88" s="7718" t="s">
        <v>11550</v>
      </c>
      <c r="C88" s="8802"/>
      <c r="D88" s="8798"/>
      <c r="E88" s="11664"/>
      <c r="F88" s="11667"/>
      <c r="G88" s="11664"/>
      <c r="H88" s="11687"/>
      <c r="I88" s="11163"/>
      <c r="J88" s="11665">
        <v>40000</v>
      </c>
    </row>
    <row r="89" spans="1:11" ht="15" customHeight="1">
      <c r="A89" s="11663"/>
      <c r="B89" s="12445" t="s">
        <v>11551</v>
      </c>
      <c r="C89" s="8802"/>
      <c r="D89" s="8870"/>
      <c r="E89" s="11664"/>
      <c r="F89" s="11664"/>
      <c r="G89" s="11664"/>
      <c r="H89" s="11664"/>
      <c r="I89" s="11163"/>
      <c r="J89" s="11665">
        <v>140000</v>
      </c>
    </row>
    <row r="90" spans="1:11" ht="15" customHeight="1">
      <c r="A90" s="11663"/>
      <c r="B90" s="7488" t="s">
        <v>10946</v>
      </c>
      <c r="C90" s="10144">
        <v>50705030</v>
      </c>
      <c r="D90" s="8798">
        <f>'WS-CO 2017'!H18</f>
        <v>124810</v>
      </c>
      <c r="E90" s="11664">
        <v>0</v>
      </c>
      <c r="F90" s="11667">
        <f>G90-E90</f>
        <v>150000</v>
      </c>
      <c r="G90" s="11664">
        <v>150000</v>
      </c>
      <c r="H90" s="11664">
        <v>146798</v>
      </c>
      <c r="I90" s="11163">
        <f>H90/G90</f>
        <v>0.97865333333333338</v>
      </c>
      <c r="J90" s="11665"/>
    </row>
    <row r="91" spans="1:11" ht="15" customHeight="1">
      <c r="A91" s="11663"/>
      <c r="B91" s="10383" t="s">
        <v>11758</v>
      </c>
      <c r="C91" s="10144"/>
      <c r="D91" s="11664"/>
      <c r="E91" s="11664"/>
      <c r="F91" s="11667"/>
      <c r="G91" s="11664"/>
      <c r="H91" s="11664"/>
      <c r="I91" s="11163"/>
      <c r="J91" s="11665">
        <v>175000</v>
      </c>
    </row>
    <row r="92" spans="1:11" ht="15" customHeight="1">
      <c r="A92" s="11663"/>
      <c r="B92" s="10383" t="s">
        <v>11552</v>
      </c>
      <c r="C92" s="10144"/>
      <c r="D92" s="11664"/>
      <c r="E92" s="11664"/>
      <c r="F92" s="11667"/>
      <c r="G92" s="11664"/>
      <c r="H92" s="11664"/>
      <c r="I92" s="11163"/>
      <c r="J92" s="11665">
        <v>80000</v>
      </c>
    </row>
    <row r="93" spans="1:11" ht="15" customHeight="1">
      <c r="A93" s="11663"/>
      <c r="B93" s="7488"/>
      <c r="C93" s="10144"/>
      <c r="D93" s="11664"/>
      <c r="E93" s="11664"/>
      <c r="F93" s="11667"/>
      <c r="G93" s="11664"/>
      <c r="H93" s="11664"/>
      <c r="I93" s="11163"/>
      <c r="J93" s="11665"/>
    </row>
    <row r="94" spans="1:11" ht="15" customHeight="1">
      <c r="A94" s="11663"/>
      <c r="B94" s="7315" t="s">
        <v>37</v>
      </c>
      <c r="C94" s="8802"/>
      <c r="D94" s="11695">
        <f>SUM(D80:D93)</f>
        <v>302710</v>
      </c>
      <c r="E94" s="11695">
        <f>SUM(E80:E93)</f>
        <v>0</v>
      </c>
      <c r="F94" s="11695">
        <f>SUM(F80:F93)</f>
        <v>400000</v>
      </c>
      <c r="G94" s="11695">
        <f>SUM(G80:G93)</f>
        <v>400000</v>
      </c>
      <c r="H94" s="11695">
        <f>SUM(H80:H93)</f>
        <v>371091</v>
      </c>
      <c r="I94" s="11951">
        <f>H94/G94</f>
        <v>0.92772750000000004</v>
      </c>
      <c r="J94" s="12446">
        <f>SUM(J80:J93)</f>
        <v>510000</v>
      </c>
      <c r="K94" s="10372">
        <f>(J94-G94)/G94</f>
        <v>0.27500000000000002</v>
      </c>
    </row>
    <row r="95" spans="1:11" ht="15" customHeight="1">
      <c r="A95" s="7657"/>
      <c r="B95" s="7295"/>
      <c r="C95" s="11711"/>
      <c r="D95" s="9502"/>
      <c r="E95" s="9503"/>
      <c r="F95" s="9503"/>
      <c r="G95" s="9503"/>
      <c r="H95" s="9503"/>
      <c r="I95" s="12236"/>
      <c r="J95" s="12447"/>
    </row>
    <row r="96" spans="1:11" ht="15" customHeight="1">
      <c r="A96" s="11663" t="s">
        <v>53</v>
      </c>
      <c r="B96" s="7287" t="s">
        <v>4684</v>
      </c>
      <c r="C96" s="8802"/>
      <c r="D96" s="10382"/>
      <c r="E96" s="11687"/>
      <c r="F96" s="11687"/>
      <c r="G96" s="11687"/>
      <c r="H96" s="11687"/>
      <c r="I96" s="11210"/>
      <c r="J96" s="11689"/>
    </row>
    <row r="97" spans="1:12" ht="15" customHeight="1">
      <c r="A97" s="11663"/>
      <c r="B97" s="7287"/>
      <c r="C97" s="8802"/>
      <c r="D97" s="10382"/>
      <c r="E97" s="11687"/>
      <c r="F97" s="11687"/>
      <c r="G97" s="11687"/>
      <c r="H97" s="11687"/>
      <c r="I97" s="11210"/>
      <c r="J97" s="11689"/>
    </row>
    <row r="98" spans="1:12" ht="15" customHeight="1">
      <c r="A98" s="11663"/>
      <c r="B98" s="7287" t="s">
        <v>11235</v>
      </c>
      <c r="C98" s="8802">
        <v>1998</v>
      </c>
      <c r="D98" s="11664">
        <v>97258.19</v>
      </c>
      <c r="E98" s="11664">
        <v>81603.14</v>
      </c>
      <c r="F98" s="11667">
        <f>G98-E98</f>
        <v>168396.86</v>
      </c>
      <c r="G98" s="11664">
        <v>250000</v>
      </c>
      <c r="H98" s="11664">
        <v>157981.9</v>
      </c>
      <c r="I98" s="11163">
        <f>H98/G98</f>
        <v>0.63192759999999992</v>
      </c>
      <c r="J98" s="11665">
        <v>250000</v>
      </c>
    </row>
    <row r="99" spans="1:12" ht="15" customHeight="1">
      <c r="A99" s="7657"/>
      <c r="B99" s="7287" t="s">
        <v>11236</v>
      </c>
      <c r="C99" s="8802">
        <v>19912</v>
      </c>
      <c r="D99" s="11664">
        <v>54000</v>
      </c>
      <c r="E99" s="11664">
        <v>21600</v>
      </c>
      <c r="F99" s="11667">
        <f>G99-E99</f>
        <v>128400</v>
      </c>
      <c r="G99" s="11664">
        <v>150000</v>
      </c>
      <c r="H99" s="11664">
        <v>43200</v>
      </c>
      <c r="I99" s="11163">
        <f>H99/G99</f>
        <v>0.28799999999999998</v>
      </c>
      <c r="J99" s="11665">
        <v>150000</v>
      </c>
    </row>
    <row r="100" spans="1:12" ht="15" customHeight="1">
      <c r="A100" s="11663"/>
      <c r="B100" s="11653" t="s">
        <v>11237</v>
      </c>
      <c r="C100" s="8802">
        <v>19921</v>
      </c>
      <c r="D100" s="11664">
        <v>7000</v>
      </c>
      <c r="E100" s="11664"/>
      <c r="F100" s="11667">
        <f>G100-E100</f>
        <v>0</v>
      </c>
      <c r="G100" s="11664">
        <v>0</v>
      </c>
      <c r="H100" s="11664"/>
      <c r="I100" s="11163"/>
      <c r="J100" s="11665">
        <v>80000</v>
      </c>
    </row>
    <row r="101" spans="1:12" ht="15" customHeight="1">
      <c r="A101" s="7657"/>
      <c r="B101" s="7287" t="s">
        <v>11238</v>
      </c>
      <c r="C101" s="8802">
        <v>19913</v>
      </c>
      <c r="D101" s="11664"/>
      <c r="E101" s="11664">
        <v>1340762.5</v>
      </c>
      <c r="F101" s="11667">
        <f>G101-E101</f>
        <v>2659237.5</v>
      </c>
      <c r="G101" s="11664">
        <v>4000000</v>
      </c>
      <c r="H101" s="11664">
        <v>1340762.5</v>
      </c>
      <c r="I101" s="11163">
        <f>H101/G101</f>
        <v>0.33519062500000002</v>
      </c>
      <c r="J101" s="11665">
        <v>2205000</v>
      </c>
    </row>
    <row r="102" spans="1:12" ht="15" customHeight="1">
      <c r="A102" s="7657"/>
      <c r="B102" s="7287"/>
      <c r="C102" s="8802"/>
      <c r="D102" s="11664"/>
      <c r="E102" s="11664"/>
      <c r="F102" s="11664"/>
      <c r="G102" s="11664"/>
      <c r="H102" s="11664"/>
      <c r="I102" s="11163"/>
      <c r="J102" s="11665"/>
    </row>
    <row r="103" spans="1:12" s="7314" customFormat="1" ht="15" customHeight="1">
      <c r="A103" s="7657"/>
      <c r="B103" s="7315" t="s">
        <v>37</v>
      </c>
      <c r="C103" s="8802"/>
      <c r="D103" s="9465">
        <f>SUM(D98:D101)</f>
        <v>158258.19</v>
      </c>
      <c r="E103" s="9465">
        <f>SUM(E98:E101)</f>
        <v>1443965.64</v>
      </c>
      <c r="F103" s="9465">
        <f>SUM(F98:F101)</f>
        <v>2956034.36</v>
      </c>
      <c r="G103" s="11712">
        <f>SUM(G97:G101)</f>
        <v>4400000</v>
      </c>
      <c r="H103" s="11712">
        <f>SUM(H98:H99)</f>
        <v>201181.9</v>
      </c>
      <c r="I103" s="11206">
        <f>H103/G103</f>
        <v>4.5723159090909092E-2</v>
      </c>
      <c r="J103" s="11713">
        <f>SUM(J97:J101)</f>
        <v>2685000</v>
      </c>
      <c r="K103" s="10372">
        <f>(J103-G103)/G103</f>
        <v>-0.38977272727272727</v>
      </c>
      <c r="L103" s="7483"/>
    </row>
    <row r="104" spans="1:12" s="7314" customFormat="1" ht="15" customHeight="1">
      <c r="A104" s="7657"/>
      <c r="B104" s="7315"/>
      <c r="C104" s="8802"/>
      <c r="D104" s="11664"/>
      <c r="E104" s="11664"/>
      <c r="F104" s="11664"/>
      <c r="G104" s="11687"/>
      <c r="H104" s="11687"/>
      <c r="I104" s="11210"/>
      <c r="J104" s="11689"/>
      <c r="L104" s="7483"/>
    </row>
    <row r="105" spans="1:12" s="7314" customFormat="1" ht="15" customHeight="1">
      <c r="A105" s="7657"/>
      <c r="B105" s="7315"/>
      <c r="C105" s="8802"/>
      <c r="D105" s="11664"/>
      <c r="E105" s="11664"/>
      <c r="F105" s="11664"/>
      <c r="G105" s="11687"/>
      <c r="H105" s="11687"/>
      <c r="I105" s="11210"/>
      <c r="J105" s="11689"/>
      <c r="L105" s="7483"/>
    </row>
    <row r="106" spans="1:12" ht="15" customHeight="1" thickBot="1">
      <c r="A106" s="11715"/>
      <c r="B106" s="11716" t="s">
        <v>55</v>
      </c>
      <c r="C106" s="11717"/>
      <c r="D106" s="11673">
        <f>(D30+D62+D94+D103)</f>
        <v>14383162.34</v>
      </c>
      <c r="E106" s="11673">
        <f>(E30+E62+E94+E103)</f>
        <v>8494810.7699999996</v>
      </c>
      <c r="F106" s="11673">
        <f>(F30+F62+F94+F103)</f>
        <v>13190525.229999999</v>
      </c>
      <c r="G106" s="7326">
        <f>(G30+G62+G94+G103)</f>
        <v>21685336</v>
      </c>
      <c r="H106" s="7326"/>
      <c r="I106" s="7327"/>
      <c r="J106" s="11674">
        <f>(J30+J62+J94+J103)</f>
        <v>20481925.670000002</v>
      </c>
      <c r="K106" s="10372">
        <f>(J106-G106)/G106</f>
        <v>-5.5494198014732085E-2</v>
      </c>
    </row>
    <row r="107" spans="1:12" s="7333" customFormat="1" ht="15" customHeight="1">
      <c r="A107" s="7738" t="s">
        <v>4763</v>
      </c>
      <c r="B107" s="7738"/>
      <c r="C107" s="9346"/>
      <c r="D107" s="7740"/>
      <c r="E107" s="7740"/>
      <c r="F107" s="7740"/>
      <c r="G107" s="7741"/>
      <c r="H107" s="7740"/>
      <c r="I107" s="7742"/>
      <c r="J107" s="7741"/>
      <c r="K107" s="7375"/>
      <c r="L107" s="7505"/>
    </row>
    <row r="108" spans="1:12" ht="15" customHeight="1">
      <c r="A108" s="7276"/>
      <c r="B108" s="7276"/>
      <c r="C108" s="9337"/>
      <c r="D108" s="7285"/>
      <c r="E108" s="7285"/>
      <c r="F108" s="7285"/>
      <c r="H108" s="7285"/>
      <c r="I108" s="7286"/>
    </row>
    <row r="109" spans="1:12" ht="15" hidden="1" customHeight="1">
      <c r="B109" s="7761" t="s">
        <v>3483</v>
      </c>
      <c r="C109" s="10870" t="s">
        <v>3484</v>
      </c>
      <c r="D109" s="7275"/>
      <c r="E109" s="7762"/>
      <c r="F109" s="9459" t="s">
        <v>10666</v>
      </c>
      <c r="G109" s="7275"/>
      <c r="H109" s="7763"/>
      <c r="I109" s="7286"/>
      <c r="J109" s="7762"/>
    </row>
    <row r="110" spans="1:12" s="7340" customFormat="1" ht="15" hidden="1" customHeight="1">
      <c r="A110" s="7761"/>
      <c r="B110" s="7761"/>
      <c r="C110" s="9344"/>
      <c r="D110" s="10870"/>
      <c r="E110" s="7764"/>
      <c r="F110" s="7764"/>
      <c r="G110" s="7339"/>
      <c r="H110" s="7763"/>
      <c r="I110" s="7286"/>
      <c r="J110" s="7764"/>
      <c r="L110" s="7502"/>
    </row>
    <row r="111" spans="1:12" ht="15" hidden="1" customHeight="1">
      <c r="A111" s="7761"/>
      <c r="B111" s="7761"/>
      <c r="C111" s="9343"/>
      <c r="D111" s="10870"/>
      <c r="E111" s="7762"/>
      <c r="F111" s="7762"/>
      <c r="G111" s="7339"/>
      <c r="H111" s="7763"/>
      <c r="I111" s="7286"/>
      <c r="J111" s="7762"/>
    </row>
    <row r="112" spans="1:12" ht="15" hidden="1" customHeight="1">
      <c r="A112" s="14167" t="s">
        <v>10113</v>
      </c>
      <c r="B112" s="14167"/>
      <c r="C112" s="9343"/>
      <c r="D112" s="10872" t="s">
        <v>12059</v>
      </c>
      <c r="E112" s="7762"/>
      <c r="F112" s="7762"/>
      <c r="G112" s="7342" t="s">
        <v>10667</v>
      </c>
      <c r="H112" s="7766"/>
      <c r="I112" s="7284"/>
      <c r="J112" s="7762"/>
    </row>
    <row r="113" spans="1:10" ht="15" hidden="1" customHeight="1">
      <c r="A113" s="14168" t="s">
        <v>6898</v>
      </c>
      <c r="B113" s="14168"/>
      <c r="C113" s="9343"/>
      <c r="D113" s="10869" t="s">
        <v>3486</v>
      </c>
      <c r="E113" s="7762"/>
      <c r="F113" s="7762"/>
      <c r="G113" s="7344" t="s">
        <v>10668</v>
      </c>
      <c r="H113" s="7763"/>
      <c r="I113" s="7763"/>
      <c r="J113" s="7763"/>
    </row>
    <row r="114" spans="1:10" ht="15" customHeight="1">
      <c r="A114" s="7276"/>
      <c r="B114" s="7276"/>
      <c r="C114" s="9337"/>
      <c r="D114" s="7285"/>
      <c r="E114" s="7285"/>
      <c r="F114" s="7285"/>
      <c r="G114" s="7285"/>
      <c r="H114" s="7285">
        <f>J106-G106</f>
        <v>-1203410.3299999982</v>
      </c>
      <c r="I114" s="7286">
        <f>H114/G106</f>
        <v>-5.5494198014732085E-2</v>
      </c>
      <c r="J114" s="7285"/>
    </row>
    <row r="115" spans="1:10" ht="15" customHeight="1">
      <c r="A115" s="7276"/>
      <c r="B115" s="7276"/>
      <c r="C115" s="9337"/>
      <c r="D115" s="7285"/>
      <c r="E115" s="7285"/>
      <c r="F115" s="7285"/>
      <c r="G115" s="7285"/>
      <c r="H115" s="7345"/>
      <c r="I115" s="7286"/>
      <c r="J115" s="7285"/>
    </row>
    <row r="116" spans="1:10" ht="15" customHeight="1">
      <c r="A116" s="7276"/>
      <c r="B116" s="7276"/>
      <c r="C116" s="9337"/>
      <c r="D116" s="7285"/>
      <c r="E116" s="7285"/>
      <c r="F116" s="7285"/>
      <c r="G116" s="7285"/>
      <c r="H116" s="7285"/>
      <c r="I116" s="7286"/>
      <c r="J116" s="7285"/>
    </row>
    <row r="117" spans="1:10" ht="15" customHeight="1">
      <c r="A117" s="7276"/>
      <c r="B117" s="7276"/>
      <c r="C117" s="9337"/>
      <c r="D117" s="7285"/>
      <c r="E117" s="7285"/>
      <c r="F117" s="7285"/>
      <c r="G117" s="7285"/>
      <c r="H117" s="7285"/>
      <c r="I117" s="7286"/>
      <c r="J117" s="7285"/>
    </row>
  </sheetData>
  <mergeCells count="11">
    <mergeCell ref="A1:J1"/>
    <mergeCell ref="A112:B112"/>
    <mergeCell ref="A113:B113"/>
    <mergeCell ref="J3:J4"/>
    <mergeCell ref="G3:G4"/>
    <mergeCell ref="E7:G7"/>
    <mergeCell ref="G8:G9"/>
    <mergeCell ref="E77:G77"/>
    <mergeCell ref="G78:G79"/>
    <mergeCell ref="E39:G39"/>
    <mergeCell ref="G40:G41"/>
  </mergeCells>
  <printOptions horizontalCentered="1" gridLinesSet="0"/>
  <pageMargins left="0.25" right="0.25" top="0.5" bottom="0.25" header="0.25" footer="0.25"/>
  <pageSetup paperSize="119" firstPageNumber="204" orientation="landscape" useFirstPageNumber="1" r:id="rId1"/>
  <headerFooter alignWithMargins="0"/>
</worksheet>
</file>

<file path=xl/worksheets/sheet109.xml><?xml version="1.0" encoding="utf-8"?>
<worksheet xmlns="http://schemas.openxmlformats.org/spreadsheetml/2006/main" xmlns:r="http://schemas.openxmlformats.org/officeDocument/2006/relationships">
  <sheetPr codeName="Sheet77">
    <tabColor rgb="FFFFFF00"/>
  </sheetPr>
  <dimension ref="A1:I88"/>
  <sheetViews>
    <sheetView showGridLines="0" workbookViewId="0">
      <selection activeCell="F42" sqref="F1:N1048576"/>
    </sheetView>
  </sheetViews>
  <sheetFormatPr defaultRowHeight="12.9" customHeight="1"/>
  <cols>
    <col min="1" max="1" width="40.5546875" style="7165" customWidth="1"/>
    <col min="2" max="3" width="8.5546875" style="7165" customWidth="1"/>
    <col min="4" max="6" width="14.5546875" style="7165" customWidth="1"/>
    <col min="7" max="7" width="8.88671875" style="7165" customWidth="1"/>
    <col min="8" max="8" width="13.88671875" style="7165" customWidth="1"/>
    <col min="9" max="9" width="15.5546875" style="7165" customWidth="1"/>
    <col min="10" max="13" width="8.88671875" style="7165" customWidth="1"/>
    <col min="14" max="256" width="9.109375" style="7165"/>
    <col min="257" max="257" width="36.44140625" style="7165" customWidth="1"/>
    <col min="258" max="258" width="9" style="7165" customWidth="1"/>
    <col min="259" max="259" width="10" style="7165" customWidth="1"/>
    <col min="260" max="260" width="10.88671875" style="7165" customWidth="1"/>
    <col min="261" max="261" width="14.88671875" style="7165" customWidth="1"/>
    <col min="262" max="262" width="13.88671875" style="7165" customWidth="1"/>
    <col min="263" max="512" width="9.109375" style="7165"/>
    <col min="513" max="513" width="36.44140625" style="7165" customWidth="1"/>
    <col min="514" max="514" width="9" style="7165" customWidth="1"/>
    <col min="515" max="515" width="10" style="7165" customWidth="1"/>
    <col min="516" max="516" width="10.88671875" style="7165" customWidth="1"/>
    <col min="517" max="517" width="14.88671875" style="7165" customWidth="1"/>
    <col min="518" max="518" width="13.88671875" style="7165" customWidth="1"/>
    <col min="519" max="768" width="9.109375" style="7165"/>
    <col min="769" max="769" width="36.44140625" style="7165" customWidth="1"/>
    <col min="770" max="770" width="9" style="7165" customWidth="1"/>
    <col min="771" max="771" width="10" style="7165" customWidth="1"/>
    <col min="772" max="772" width="10.88671875" style="7165" customWidth="1"/>
    <col min="773" max="773" width="14.88671875" style="7165" customWidth="1"/>
    <col min="774" max="774" width="13.88671875" style="7165" customWidth="1"/>
    <col min="775" max="1024" width="9.109375" style="7165"/>
    <col min="1025" max="1025" width="36.44140625" style="7165" customWidth="1"/>
    <col min="1026" max="1026" width="9" style="7165" customWidth="1"/>
    <col min="1027" max="1027" width="10" style="7165" customWidth="1"/>
    <col min="1028" max="1028" width="10.88671875" style="7165" customWidth="1"/>
    <col min="1029" max="1029" width="14.88671875" style="7165" customWidth="1"/>
    <col min="1030" max="1030" width="13.88671875" style="7165" customWidth="1"/>
    <col min="1031" max="1280" width="9.109375" style="7165"/>
    <col min="1281" max="1281" width="36.44140625" style="7165" customWidth="1"/>
    <col min="1282" max="1282" width="9" style="7165" customWidth="1"/>
    <col min="1283" max="1283" width="10" style="7165" customWidth="1"/>
    <col min="1284" max="1284" width="10.88671875" style="7165" customWidth="1"/>
    <col min="1285" max="1285" width="14.88671875" style="7165" customWidth="1"/>
    <col min="1286" max="1286" width="13.88671875" style="7165" customWidth="1"/>
    <col min="1287" max="1536" width="9.109375" style="7165"/>
    <col min="1537" max="1537" width="36.44140625" style="7165" customWidth="1"/>
    <col min="1538" max="1538" width="9" style="7165" customWidth="1"/>
    <col min="1539" max="1539" width="10" style="7165" customWidth="1"/>
    <col min="1540" max="1540" width="10.88671875" style="7165" customWidth="1"/>
    <col min="1541" max="1541" width="14.88671875" style="7165" customWidth="1"/>
    <col min="1542" max="1542" width="13.88671875" style="7165" customWidth="1"/>
    <col min="1543" max="1792" width="9.109375" style="7165"/>
    <col min="1793" max="1793" width="36.44140625" style="7165" customWidth="1"/>
    <col min="1794" max="1794" width="9" style="7165" customWidth="1"/>
    <col min="1795" max="1795" width="10" style="7165" customWidth="1"/>
    <col min="1796" max="1796" width="10.88671875" style="7165" customWidth="1"/>
    <col min="1797" max="1797" width="14.88671875" style="7165" customWidth="1"/>
    <col min="1798" max="1798" width="13.88671875" style="7165" customWidth="1"/>
    <col min="1799" max="2048" width="9.109375" style="7165"/>
    <col min="2049" max="2049" width="36.44140625" style="7165" customWidth="1"/>
    <col min="2050" max="2050" width="9" style="7165" customWidth="1"/>
    <col min="2051" max="2051" width="10" style="7165" customWidth="1"/>
    <col min="2052" max="2052" width="10.88671875" style="7165" customWidth="1"/>
    <col min="2053" max="2053" width="14.88671875" style="7165" customWidth="1"/>
    <col min="2054" max="2054" width="13.88671875" style="7165" customWidth="1"/>
    <col min="2055" max="2304" width="9.109375" style="7165"/>
    <col min="2305" max="2305" width="36.44140625" style="7165" customWidth="1"/>
    <col min="2306" max="2306" width="9" style="7165" customWidth="1"/>
    <col min="2307" max="2307" width="10" style="7165" customWidth="1"/>
    <col min="2308" max="2308" width="10.88671875" style="7165" customWidth="1"/>
    <col min="2309" max="2309" width="14.88671875" style="7165" customWidth="1"/>
    <col min="2310" max="2310" width="13.88671875" style="7165" customWidth="1"/>
    <col min="2311" max="2560" width="9.109375" style="7165"/>
    <col min="2561" max="2561" width="36.44140625" style="7165" customWidth="1"/>
    <col min="2562" max="2562" width="9" style="7165" customWidth="1"/>
    <col min="2563" max="2563" width="10" style="7165" customWidth="1"/>
    <col min="2564" max="2564" width="10.88671875" style="7165" customWidth="1"/>
    <col min="2565" max="2565" width="14.88671875" style="7165" customWidth="1"/>
    <col min="2566" max="2566" width="13.88671875" style="7165" customWidth="1"/>
    <col min="2567" max="2816" width="9.109375" style="7165"/>
    <col min="2817" max="2817" width="36.44140625" style="7165" customWidth="1"/>
    <col min="2818" max="2818" width="9" style="7165" customWidth="1"/>
    <col min="2819" max="2819" width="10" style="7165" customWidth="1"/>
    <col min="2820" max="2820" width="10.88671875" style="7165" customWidth="1"/>
    <col min="2821" max="2821" width="14.88671875" style="7165" customWidth="1"/>
    <col min="2822" max="2822" width="13.88671875" style="7165" customWidth="1"/>
    <col min="2823" max="3072" width="9.109375" style="7165"/>
    <col min="3073" max="3073" width="36.44140625" style="7165" customWidth="1"/>
    <col min="3074" max="3074" width="9" style="7165" customWidth="1"/>
    <col min="3075" max="3075" width="10" style="7165" customWidth="1"/>
    <col min="3076" max="3076" width="10.88671875" style="7165" customWidth="1"/>
    <col min="3077" max="3077" width="14.88671875" style="7165" customWidth="1"/>
    <col min="3078" max="3078" width="13.88671875" style="7165" customWidth="1"/>
    <col min="3079" max="3328" width="9.109375" style="7165"/>
    <col min="3329" max="3329" width="36.44140625" style="7165" customWidth="1"/>
    <col min="3330" max="3330" width="9" style="7165" customWidth="1"/>
    <col min="3331" max="3331" width="10" style="7165" customWidth="1"/>
    <col min="3332" max="3332" width="10.88671875" style="7165" customWidth="1"/>
    <col min="3333" max="3333" width="14.88671875" style="7165" customWidth="1"/>
    <col min="3334" max="3334" width="13.88671875" style="7165" customWidth="1"/>
    <col min="3335" max="3584" width="9.109375" style="7165"/>
    <col min="3585" max="3585" width="36.44140625" style="7165" customWidth="1"/>
    <col min="3586" max="3586" width="9" style="7165" customWidth="1"/>
    <col min="3587" max="3587" width="10" style="7165" customWidth="1"/>
    <col min="3588" max="3588" width="10.88671875" style="7165" customWidth="1"/>
    <col min="3589" max="3589" width="14.88671875" style="7165" customWidth="1"/>
    <col min="3590" max="3590" width="13.88671875" style="7165" customWidth="1"/>
    <col min="3591" max="3840" width="9.109375" style="7165"/>
    <col min="3841" max="3841" width="36.44140625" style="7165" customWidth="1"/>
    <col min="3842" max="3842" width="9" style="7165" customWidth="1"/>
    <col min="3843" max="3843" width="10" style="7165" customWidth="1"/>
    <col min="3844" max="3844" width="10.88671875" style="7165" customWidth="1"/>
    <col min="3845" max="3845" width="14.88671875" style="7165" customWidth="1"/>
    <col min="3846" max="3846" width="13.88671875" style="7165" customWidth="1"/>
    <col min="3847" max="4096" width="9.109375" style="7165"/>
    <col min="4097" max="4097" width="36.44140625" style="7165" customWidth="1"/>
    <col min="4098" max="4098" width="9" style="7165" customWidth="1"/>
    <col min="4099" max="4099" width="10" style="7165" customWidth="1"/>
    <col min="4100" max="4100" width="10.88671875" style="7165" customWidth="1"/>
    <col min="4101" max="4101" width="14.88671875" style="7165" customWidth="1"/>
    <col min="4102" max="4102" width="13.88671875" style="7165" customWidth="1"/>
    <col min="4103" max="4352" width="9.109375" style="7165"/>
    <col min="4353" max="4353" width="36.44140625" style="7165" customWidth="1"/>
    <col min="4354" max="4354" width="9" style="7165" customWidth="1"/>
    <col min="4355" max="4355" width="10" style="7165" customWidth="1"/>
    <col min="4356" max="4356" width="10.88671875" style="7165" customWidth="1"/>
    <col min="4357" max="4357" width="14.88671875" style="7165" customWidth="1"/>
    <col min="4358" max="4358" width="13.88671875" style="7165" customWidth="1"/>
    <col min="4359" max="4608" width="9.109375" style="7165"/>
    <col min="4609" max="4609" width="36.44140625" style="7165" customWidth="1"/>
    <col min="4610" max="4610" width="9" style="7165" customWidth="1"/>
    <col min="4611" max="4611" width="10" style="7165" customWidth="1"/>
    <col min="4612" max="4612" width="10.88671875" style="7165" customWidth="1"/>
    <col min="4613" max="4613" width="14.88671875" style="7165" customWidth="1"/>
    <col min="4614" max="4614" width="13.88671875" style="7165" customWidth="1"/>
    <col min="4615" max="4864" width="9.109375" style="7165"/>
    <col min="4865" max="4865" width="36.44140625" style="7165" customWidth="1"/>
    <col min="4866" max="4866" width="9" style="7165" customWidth="1"/>
    <col min="4867" max="4867" width="10" style="7165" customWidth="1"/>
    <col min="4868" max="4868" width="10.88671875" style="7165" customWidth="1"/>
    <col min="4869" max="4869" width="14.88671875" style="7165" customWidth="1"/>
    <col min="4870" max="4870" width="13.88671875" style="7165" customWidth="1"/>
    <col min="4871" max="5120" width="9.109375" style="7165"/>
    <col min="5121" max="5121" width="36.44140625" style="7165" customWidth="1"/>
    <col min="5122" max="5122" width="9" style="7165" customWidth="1"/>
    <col min="5123" max="5123" width="10" style="7165" customWidth="1"/>
    <col min="5124" max="5124" width="10.88671875" style="7165" customWidth="1"/>
    <col min="5125" max="5125" width="14.88671875" style="7165" customWidth="1"/>
    <col min="5126" max="5126" width="13.88671875" style="7165" customWidth="1"/>
    <col min="5127" max="5376" width="9.109375" style="7165"/>
    <col min="5377" max="5377" width="36.44140625" style="7165" customWidth="1"/>
    <col min="5378" max="5378" width="9" style="7165" customWidth="1"/>
    <col min="5379" max="5379" width="10" style="7165" customWidth="1"/>
    <col min="5380" max="5380" width="10.88671875" style="7165" customWidth="1"/>
    <col min="5381" max="5381" width="14.88671875" style="7165" customWidth="1"/>
    <col min="5382" max="5382" width="13.88671875" style="7165" customWidth="1"/>
    <col min="5383" max="5632" width="9.109375" style="7165"/>
    <col min="5633" max="5633" width="36.44140625" style="7165" customWidth="1"/>
    <col min="5634" max="5634" width="9" style="7165" customWidth="1"/>
    <col min="5635" max="5635" width="10" style="7165" customWidth="1"/>
    <col min="5636" max="5636" width="10.88671875" style="7165" customWidth="1"/>
    <col min="5637" max="5637" width="14.88671875" style="7165" customWidth="1"/>
    <col min="5638" max="5638" width="13.88671875" style="7165" customWidth="1"/>
    <col min="5639" max="5888" width="9.109375" style="7165"/>
    <col min="5889" max="5889" width="36.44140625" style="7165" customWidth="1"/>
    <col min="5890" max="5890" width="9" style="7165" customWidth="1"/>
    <col min="5891" max="5891" width="10" style="7165" customWidth="1"/>
    <col min="5892" max="5892" width="10.88671875" style="7165" customWidth="1"/>
    <col min="5893" max="5893" width="14.88671875" style="7165" customWidth="1"/>
    <col min="5894" max="5894" width="13.88671875" style="7165" customWidth="1"/>
    <col min="5895" max="6144" width="9.109375" style="7165"/>
    <col min="6145" max="6145" width="36.44140625" style="7165" customWidth="1"/>
    <col min="6146" max="6146" width="9" style="7165" customWidth="1"/>
    <col min="6147" max="6147" width="10" style="7165" customWidth="1"/>
    <col min="6148" max="6148" width="10.88671875" style="7165" customWidth="1"/>
    <col min="6149" max="6149" width="14.88671875" style="7165" customWidth="1"/>
    <col min="6150" max="6150" width="13.88671875" style="7165" customWidth="1"/>
    <col min="6151" max="6400" width="9.109375" style="7165"/>
    <col min="6401" max="6401" width="36.44140625" style="7165" customWidth="1"/>
    <col min="6402" max="6402" width="9" style="7165" customWidth="1"/>
    <col min="6403" max="6403" width="10" style="7165" customWidth="1"/>
    <col min="6404" max="6404" width="10.88671875" style="7165" customWidth="1"/>
    <col min="6405" max="6405" width="14.88671875" style="7165" customWidth="1"/>
    <col min="6406" max="6406" width="13.88671875" style="7165" customWidth="1"/>
    <col min="6407" max="6656" width="9.109375" style="7165"/>
    <col min="6657" max="6657" width="36.44140625" style="7165" customWidth="1"/>
    <col min="6658" max="6658" width="9" style="7165" customWidth="1"/>
    <col min="6659" max="6659" width="10" style="7165" customWidth="1"/>
    <col min="6660" max="6660" width="10.88671875" style="7165" customWidth="1"/>
    <col min="6661" max="6661" width="14.88671875" style="7165" customWidth="1"/>
    <col min="6662" max="6662" width="13.88671875" style="7165" customWidth="1"/>
    <col min="6663" max="6912" width="9.109375" style="7165"/>
    <col min="6913" max="6913" width="36.44140625" style="7165" customWidth="1"/>
    <col min="6914" max="6914" width="9" style="7165" customWidth="1"/>
    <col min="6915" max="6915" width="10" style="7165" customWidth="1"/>
    <col min="6916" max="6916" width="10.88671875" style="7165" customWidth="1"/>
    <col min="6917" max="6917" width="14.88671875" style="7165" customWidth="1"/>
    <col min="6918" max="6918" width="13.88671875" style="7165" customWidth="1"/>
    <col min="6919" max="7168" width="9.109375" style="7165"/>
    <col min="7169" max="7169" width="36.44140625" style="7165" customWidth="1"/>
    <col min="7170" max="7170" width="9" style="7165" customWidth="1"/>
    <col min="7171" max="7171" width="10" style="7165" customWidth="1"/>
    <col min="7172" max="7172" width="10.88671875" style="7165" customWidth="1"/>
    <col min="7173" max="7173" width="14.88671875" style="7165" customWidth="1"/>
    <col min="7174" max="7174" width="13.88671875" style="7165" customWidth="1"/>
    <col min="7175" max="7424" width="9.109375" style="7165"/>
    <col min="7425" max="7425" width="36.44140625" style="7165" customWidth="1"/>
    <col min="7426" max="7426" width="9" style="7165" customWidth="1"/>
    <col min="7427" max="7427" width="10" style="7165" customWidth="1"/>
    <col min="7428" max="7428" width="10.88671875" style="7165" customWidth="1"/>
    <col min="7429" max="7429" width="14.88671875" style="7165" customWidth="1"/>
    <col min="7430" max="7430" width="13.88671875" style="7165" customWidth="1"/>
    <col min="7431" max="7680" width="9.109375" style="7165"/>
    <col min="7681" max="7681" width="36.44140625" style="7165" customWidth="1"/>
    <col min="7682" max="7682" width="9" style="7165" customWidth="1"/>
    <col min="7683" max="7683" width="10" style="7165" customWidth="1"/>
    <col min="7684" max="7684" width="10.88671875" style="7165" customWidth="1"/>
    <col min="7685" max="7685" width="14.88671875" style="7165" customWidth="1"/>
    <col min="7686" max="7686" width="13.88671875" style="7165" customWidth="1"/>
    <col min="7687" max="7936" width="9.109375" style="7165"/>
    <col min="7937" max="7937" width="36.44140625" style="7165" customWidth="1"/>
    <col min="7938" max="7938" width="9" style="7165" customWidth="1"/>
    <col min="7939" max="7939" width="10" style="7165" customWidth="1"/>
    <col min="7940" max="7940" width="10.88671875" style="7165" customWidth="1"/>
    <col min="7941" max="7941" width="14.88671875" style="7165" customWidth="1"/>
    <col min="7942" max="7942" width="13.88671875" style="7165" customWidth="1"/>
    <col min="7943" max="8192" width="9.109375" style="7165"/>
    <col min="8193" max="8193" width="36.44140625" style="7165" customWidth="1"/>
    <col min="8194" max="8194" width="9" style="7165" customWidth="1"/>
    <col min="8195" max="8195" width="10" style="7165" customWidth="1"/>
    <col min="8196" max="8196" width="10.88671875" style="7165" customWidth="1"/>
    <col min="8197" max="8197" width="14.88671875" style="7165" customWidth="1"/>
    <col min="8198" max="8198" width="13.88671875" style="7165" customWidth="1"/>
    <col min="8199" max="8448" width="9.109375" style="7165"/>
    <col min="8449" max="8449" width="36.44140625" style="7165" customWidth="1"/>
    <col min="8450" max="8450" width="9" style="7165" customWidth="1"/>
    <col min="8451" max="8451" width="10" style="7165" customWidth="1"/>
    <col min="8452" max="8452" width="10.88671875" style="7165" customWidth="1"/>
    <col min="8453" max="8453" width="14.88671875" style="7165" customWidth="1"/>
    <col min="8454" max="8454" width="13.88671875" style="7165" customWidth="1"/>
    <col min="8455" max="8704" width="9.109375" style="7165"/>
    <col min="8705" max="8705" width="36.44140625" style="7165" customWidth="1"/>
    <col min="8706" max="8706" width="9" style="7165" customWidth="1"/>
    <col min="8707" max="8707" width="10" style="7165" customWidth="1"/>
    <col min="8708" max="8708" width="10.88671875" style="7165" customWidth="1"/>
    <col min="8709" max="8709" width="14.88671875" style="7165" customWidth="1"/>
    <col min="8710" max="8710" width="13.88671875" style="7165" customWidth="1"/>
    <col min="8711" max="8960" width="9.109375" style="7165"/>
    <col min="8961" max="8961" width="36.44140625" style="7165" customWidth="1"/>
    <col min="8962" max="8962" width="9" style="7165" customWidth="1"/>
    <col min="8963" max="8963" width="10" style="7165" customWidth="1"/>
    <col min="8964" max="8964" width="10.88671875" style="7165" customWidth="1"/>
    <col min="8965" max="8965" width="14.88671875" style="7165" customWidth="1"/>
    <col min="8966" max="8966" width="13.88671875" style="7165" customWidth="1"/>
    <col min="8967" max="9216" width="9.109375" style="7165"/>
    <col min="9217" max="9217" width="36.44140625" style="7165" customWidth="1"/>
    <col min="9218" max="9218" width="9" style="7165" customWidth="1"/>
    <col min="9219" max="9219" width="10" style="7165" customWidth="1"/>
    <col min="9220" max="9220" width="10.88671875" style="7165" customWidth="1"/>
    <col min="9221" max="9221" width="14.88671875" style="7165" customWidth="1"/>
    <col min="9222" max="9222" width="13.88671875" style="7165" customWidth="1"/>
    <col min="9223" max="9472" width="9.109375" style="7165"/>
    <col min="9473" max="9473" width="36.44140625" style="7165" customWidth="1"/>
    <col min="9474" max="9474" width="9" style="7165" customWidth="1"/>
    <col min="9475" max="9475" width="10" style="7165" customWidth="1"/>
    <col min="9476" max="9476" width="10.88671875" style="7165" customWidth="1"/>
    <col min="9477" max="9477" width="14.88671875" style="7165" customWidth="1"/>
    <col min="9478" max="9478" width="13.88671875" style="7165" customWidth="1"/>
    <col min="9479" max="9728" width="9.109375" style="7165"/>
    <col min="9729" max="9729" width="36.44140625" style="7165" customWidth="1"/>
    <col min="9730" max="9730" width="9" style="7165" customWidth="1"/>
    <col min="9731" max="9731" width="10" style="7165" customWidth="1"/>
    <col min="9732" max="9732" width="10.88671875" style="7165" customWidth="1"/>
    <col min="9733" max="9733" width="14.88671875" style="7165" customWidth="1"/>
    <col min="9734" max="9734" width="13.88671875" style="7165" customWidth="1"/>
    <col min="9735" max="9984" width="9.109375" style="7165"/>
    <col min="9985" max="9985" width="36.44140625" style="7165" customWidth="1"/>
    <col min="9986" max="9986" width="9" style="7165" customWidth="1"/>
    <col min="9987" max="9987" width="10" style="7165" customWidth="1"/>
    <col min="9988" max="9988" width="10.88671875" style="7165" customWidth="1"/>
    <col min="9989" max="9989" width="14.88671875" style="7165" customWidth="1"/>
    <col min="9990" max="9990" width="13.88671875" style="7165" customWidth="1"/>
    <col min="9991" max="10240" width="9.109375" style="7165"/>
    <col min="10241" max="10241" width="36.44140625" style="7165" customWidth="1"/>
    <col min="10242" max="10242" width="9" style="7165" customWidth="1"/>
    <col min="10243" max="10243" width="10" style="7165" customWidth="1"/>
    <col min="10244" max="10244" width="10.88671875" style="7165" customWidth="1"/>
    <col min="10245" max="10245" width="14.88671875" style="7165" customWidth="1"/>
    <col min="10246" max="10246" width="13.88671875" style="7165" customWidth="1"/>
    <col min="10247" max="10496" width="9.109375" style="7165"/>
    <col min="10497" max="10497" width="36.44140625" style="7165" customWidth="1"/>
    <col min="10498" max="10498" width="9" style="7165" customWidth="1"/>
    <col min="10499" max="10499" width="10" style="7165" customWidth="1"/>
    <col min="10500" max="10500" width="10.88671875" style="7165" customWidth="1"/>
    <col min="10501" max="10501" width="14.88671875" style="7165" customWidth="1"/>
    <col min="10502" max="10502" width="13.88671875" style="7165" customWidth="1"/>
    <col min="10503" max="10752" width="9.109375" style="7165"/>
    <col min="10753" max="10753" width="36.44140625" style="7165" customWidth="1"/>
    <col min="10754" max="10754" width="9" style="7165" customWidth="1"/>
    <col min="10755" max="10755" width="10" style="7165" customWidth="1"/>
    <col min="10756" max="10756" width="10.88671875" style="7165" customWidth="1"/>
    <col min="10757" max="10757" width="14.88671875" style="7165" customWidth="1"/>
    <col min="10758" max="10758" width="13.88671875" style="7165" customWidth="1"/>
    <col min="10759" max="11008" width="9.109375" style="7165"/>
    <col min="11009" max="11009" width="36.44140625" style="7165" customWidth="1"/>
    <col min="11010" max="11010" width="9" style="7165" customWidth="1"/>
    <col min="11011" max="11011" width="10" style="7165" customWidth="1"/>
    <col min="11012" max="11012" width="10.88671875" style="7165" customWidth="1"/>
    <col min="11013" max="11013" width="14.88671875" style="7165" customWidth="1"/>
    <col min="11014" max="11014" width="13.88671875" style="7165" customWidth="1"/>
    <col min="11015" max="11264" width="9.109375" style="7165"/>
    <col min="11265" max="11265" width="36.44140625" style="7165" customWidth="1"/>
    <col min="11266" max="11266" width="9" style="7165" customWidth="1"/>
    <col min="11267" max="11267" width="10" style="7165" customWidth="1"/>
    <col min="11268" max="11268" width="10.88671875" style="7165" customWidth="1"/>
    <col min="11269" max="11269" width="14.88671875" style="7165" customWidth="1"/>
    <col min="11270" max="11270" width="13.88671875" style="7165" customWidth="1"/>
    <col min="11271" max="11520" width="9.109375" style="7165"/>
    <col min="11521" max="11521" width="36.44140625" style="7165" customWidth="1"/>
    <col min="11522" max="11522" width="9" style="7165" customWidth="1"/>
    <col min="11523" max="11523" width="10" style="7165" customWidth="1"/>
    <col min="11524" max="11524" width="10.88671875" style="7165" customWidth="1"/>
    <col min="11525" max="11525" width="14.88671875" style="7165" customWidth="1"/>
    <col min="11526" max="11526" width="13.88671875" style="7165" customWidth="1"/>
    <col min="11527" max="11776" width="9.109375" style="7165"/>
    <col min="11777" max="11777" width="36.44140625" style="7165" customWidth="1"/>
    <col min="11778" max="11778" width="9" style="7165" customWidth="1"/>
    <col min="11779" max="11779" width="10" style="7165" customWidth="1"/>
    <col min="11780" max="11780" width="10.88671875" style="7165" customWidth="1"/>
    <col min="11781" max="11781" width="14.88671875" style="7165" customWidth="1"/>
    <col min="11782" max="11782" width="13.88671875" style="7165" customWidth="1"/>
    <col min="11783" max="12032" width="9.109375" style="7165"/>
    <col min="12033" max="12033" width="36.44140625" style="7165" customWidth="1"/>
    <col min="12034" max="12034" width="9" style="7165" customWidth="1"/>
    <col min="12035" max="12035" width="10" style="7165" customWidth="1"/>
    <col min="12036" max="12036" width="10.88671875" style="7165" customWidth="1"/>
    <col min="12037" max="12037" width="14.88671875" style="7165" customWidth="1"/>
    <col min="12038" max="12038" width="13.88671875" style="7165" customWidth="1"/>
    <col min="12039" max="12288" width="9.109375" style="7165"/>
    <col min="12289" max="12289" width="36.44140625" style="7165" customWidth="1"/>
    <col min="12290" max="12290" width="9" style="7165" customWidth="1"/>
    <col min="12291" max="12291" width="10" style="7165" customWidth="1"/>
    <col min="12292" max="12292" width="10.88671875" style="7165" customWidth="1"/>
    <col min="12293" max="12293" width="14.88671875" style="7165" customWidth="1"/>
    <col min="12294" max="12294" width="13.88671875" style="7165" customWidth="1"/>
    <col min="12295" max="12544" width="9.109375" style="7165"/>
    <col min="12545" max="12545" width="36.44140625" style="7165" customWidth="1"/>
    <col min="12546" max="12546" width="9" style="7165" customWidth="1"/>
    <col min="12547" max="12547" width="10" style="7165" customWidth="1"/>
    <col min="12548" max="12548" width="10.88671875" style="7165" customWidth="1"/>
    <col min="12549" max="12549" width="14.88671875" style="7165" customWidth="1"/>
    <col min="12550" max="12550" width="13.88671875" style="7165" customWidth="1"/>
    <col min="12551" max="12800" width="9.109375" style="7165"/>
    <col min="12801" max="12801" width="36.44140625" style="7165" customWidth="1"/>
    <col min="12802" max="12802" width="9" style="7165" customWidth="1"/>
    <col min="12803" max="12803" width="10" style="7165" customWidth="1"/>
    <col min="12804" max="12804" width="10.88671875" style="7165" customWidth="1"/>
    <col min="12805" max="12805" width="14.88671875" style="7165" customWidth="1"/>
    <col min="12806" max="12806" width="13.88671875" style="7165" customWidth="1"/>
    <col min="12807" max="13056" width="9.109375" style="7165"/>
    <col min="13057" max="13057" width="36.44140625" style="7165" customWidth="1"/>
    <col min="13058" max="13058" width="9" style="7165" customWidth="1"/>
    <col min="13059" max="13059" width="10" style="7165" customWidth="1"/>
    <col min="13060" max="13060" width="10.88671875" style="7165" customWidth="1"/>
    <col min="13061" max="13061" width="14.88671875" style="7165" customWidth="1"/>
    <col min="13062" max="13062" width="13.88671875" style="7165" customWidth="1"/>
    <col min="13063" max="13312" width="9.109375" style="7165"/>
    <col min="13313" max="13313" width="36.44140625" style="7165" customWidth="1"/>
    <col min="13314" max="13314" width="9" style="7165" customWidth="1"/>
    <col min="13315" max="13315" width="10" style="7165" customWidth="1"/>
    <col min="13316" max="13316" width="10.88671875" style="7165" customWidth="1"/>
    <col min="13317" max="13317" width="14.88671875" style="7165" customWidth="1"/>
    <col min="13318" max="13318" width="13.88671875" style="7165" customWidth="1"/>
    <col min="13319" max="13568" width="9.109375" style="7165"/>
    <col min="13569" max="13569" width="36.44140625" style="7165" customWidth="1"/>
    <col min="13570" max="13570" width="9" style="7165" customWidth="1"/>
    <col min="13571" max="13571" width="10" style="7165" customWidth="1"/>
    <col min="13572" max="13572" width="10.88671875" style="7165" customWidth="1"/>
    <col min="13573" max="13573" width="14.88671875" style="7165" customWidth="1"/>
    <col min="13574" max="13574" width="13.88671875" style="7165" customWidth="1"/>
    <col min="13575" max="13824" width="9.109375" style="7165"/>
    <col min="13825" max="13825" width="36.44140625" style="7165" customWidth="1"/>
    <col min="13826" max="13826" width="9" style="7165" customWidth="1"/>
    <col min="13827" max="13827" width="10" style="7165" customWidth="1"/>
    <col min="13828" max="13828" width="10.88671875" style="7165" customWidth="1"/>
    <col min="13829" max="13829" width="14.88671875" style="7165" customWidth="1"/>
    <col min="13830" max="13830" width="13.88671875" style="7165" customWidth="1"/>
    <col min="13831" max="14080" width="9.109375" style="7165"/>
    <col min="14081" max="14081" width="36.44140625" style="7165" customWidth="1"/>
    <col min="14082" max="14082" width="9" style="7165" customWidth="1"/>
    <col min="14083" max="14083" width="10" style="7165" customWidth="1"/>
    <col min="14084" max="14084" width="10.88671875" style="7165" customWidth="1"/>
    <col min="14085" max="14085" width="14.88671875" style="7165" customWidth="1"/>
    <col min="14086" max="14086" width="13.88671875" style="7165" customWidth="1"/>
    <col min="14087" max="14336" width="9.109375" style="7165"/>
    <col min="14337" max="14337" width="36.44140625" style="7165" customWidth="1"/>
    <col min="14338" max="14338" width="9" style="7165" customWidth="1"/>
    <col min="14339" max="14339" width="10" style="7165" customWidth="1"/>
    <col min="14340" max="14340" width="10.88671875" style="7165" customWidth="1"/>
    <col min="14341" max="14341" width="14.88671875" style="7165" customWidth="1"/>
    <col min="14342" max="14342" width="13.88671875" style="7165" customWidth="1"/>
    <col min="14343" max="14592" width="9.109375" style="7165"/>
    <col min="14593" max="14593" width="36.44140625" style="7165" customWidth="1"/>
    <col min="14594" max="14594" width="9" style="7165" customWidth="1"/>
    <col min="14595" max="14595" width="10" style="7165" customWidth="1"/>
    <col min="14596" max="14596" width="10.88671875" style="7165" customWidth="1"/>
    <col min="14597" max="14597" width="14.88671875" style="7165" customWidth="1"/>
    <col min="14598" max="14598" width="13.88671875" style="7165" customWidth="1"/>
    <col min="14599" max="14848" width="9.109375" style="7165"/>
    <col min="14849" max="14849" width="36.44140625" style="7165" customWidth="1"/>
    <col min="14850" max="14850" width="9" style="7165" customWidth="1"/>
    <col min="14851" max="14851" width="10" style="7165" customWidth="1"/>
    <col min="14852" max="14852" width="10.88671875" style="7165" customWidth="1"/>
    <col min="14853" max="14853" width="14.88671875" style="7165" customWidth="1"/>
    <col min="14854" max="14854" width="13.88671875" style="7165" customWidth="1"/>
    <col min="14855" max="15104" width="9.109375" style="7165"/>
    <col min="15105" max="15105" width="36.44140625" style="7165" customWidth="1"/>
    <col min="15106" max="15106" width="9" style="7165" customWidth="1"/>
    <col min="15107" max="15107" width="10" style="7165" customWidth="1"/>
    <col min="15108" max="15108" width="10.88671875" style="7165" customWidth="1"/>
    <col min="15109" max="15109" width="14.88671875" style="7165" customWidth="1"/>
    <col min="15110" max="15110" width="13.88671875" style="7165" customWidth="1"/>
    <col min="15111" max="15360" width="9.109375" style="7165"/>
    <col min="15361" max="15361" width="36.44140625" style="7165" customWidth="1"/>
    <col min="15362" max="15362" width="9" style="7165" customWidth="1"/>
    <col min="15363" max="15363" width="10" style="7165" customWidth="1"/>
    <col min="15364" max="15364" width="10.88671875" style="7165" customWidth="1"/>
    <col min="15365" max="15365" width="14.88671875" style="7165" customWidth="1"/>
    <col min="15366" max="15366" width="13.88671875" style="7165" customWidth="1"/>
    <col min="15367" max="15616" width="9.109375" style="7165"/>
    <col min="15617" max="15617" width="36.44140625" style="7165" customWidth="1"/>
    <col min="15618" max="15618" width="9" style="7165" customWidth="1"/>
    <col min="15619" max="15619" width="10" style="7165" customWidth="1"/>
    <col min="15620" max="15620" width="10.88671875" style="7165" customWidth="1"/>
    <col min="15621" max="15621" width="14.88671875" style="7165" customWidth="1"/>
    <col min="15622" max="15622" width="13.88671875" style="7165" customWidth="1"/>
    <col min="15623" max="15872" width="9.109375" style="7165"/>
    <col min="15873" max="15873" width="36.44140625" style="7165" customWidth="1"/>
    <col min="15874" max="15874" width="9" style="7165" customWidth="1"/>
    <col min="15875" max="15875" width="10" style="7165" customWidth="1"/>
    <col min="15876" max="15876" width="10.88671875" style="7165" customWidth="1"/>
    <col min="15877" max="15877" width="14.88671875" style="7165" customWidth="1"/>
    <col min="15878" max="15878" width="13.88671875" style="7165" customWidth="1"/>
    <col min="15879" max="16128" width="9.109375" style="7165"/>
    <col min="16129" max="16129" width="36.44140625" style="7165" customWidth="1"/>
    <col min="16130" max="16130" width="9" style="7165" customWidth="1"/>
    <col min="16131" max="16131" width="10" style="7165" customWidth="1"/>
    <col min="16132" max="16132" width="10.88671875" style="7165" customWidth="1"/>
    <col min="16133" max="16133" width="14.88671875" style="7165" customWidth="1"/>
    <col min="16134" max="16134" width="13.88671875" style="7165" customWidth="1"/>
    <col min="16135" max="16384" width="9.109375" style="7165"/>
  </cols>
  <sheetData>
    <row r="1" spans="1:9" ht="12.9" customHeight="1">
      <c r="A1" s="14215" t="s">
        <v>1087</v>
      </c>
      <c r="B1" s="14215"/>
      <c r="C1" s="14215"/>
      <c r="D1" s="14215"/>
      <c r="E1" s="14215"/>
      <c r="F1" s="14215"/>
    </row>
    <row r="2" spans="1:9" ht="12.9" customHeight="1">
      <c r="A2" s="7163"/>
    </row>
    <row r="3" spans="1:9" ht="12.9" customHeight="1">
      <c r="A3" s="7163" t="s">
        <v>1276</v>
      </c>
    </row>
    <row r="4" spans="1:9" ht="12.9" customHeight="1" thickBot="1"/>
    <row r="5" spans="1:9" ht="12.9" customHeight="1">
      <c r="A5" s="9715"/>
      <c r="B5" s="9624"/>
      <c r="C5" s="9624"/>
      <c r="D5" s="14946"/>
      <c r="E5" s="14946"/>
      <c r="F5" s="14947"/>
    </row>
    <row r="6" spans="1:9" ht="12.9" customHeight="1" thickBot="1">
      <c r="A6" s="9738" t="s">
        <v>842</v>
      </c>
      <c r="B6" s="10760" t="s">
        <v>1035</v>
      </c>
      <c r="C6" s="10760" t="s">
        <v>1036</v>
      </c>
      <c r="D6" s="14944" t="s">
        <v>1277</v>
      </c>
      <c r="E6" s="14944"/>
      <c r="F6" s="14945"/>
    </row>
    <row r="7" spans="1:9" ht="12.9" customHeight="1">
      <c r="A7" s="7202" t="s">
        <v>1088</v>
      </c>
      <c r="B7" s="10416" t="s">
        <v>9</v>
      </c>
      <c r="C7" s="10416" t="s">
        <v>1039</v>
      </c>
      <c r="D7" s="10708" t="s">
        <v>10</v>
      </c>
      <c r="E7" s="10708" t="s">
        <v>11</v>
      </c>
      <c r="F7" s="10709" t="s">
        <v>11621</v>
      </c>
    </row>
    <row r="8" spans="1:9" ht="12.9" customHeight="1">
      <c r="A8" s="9751" t="s">
        <v>806</v>
      </c>
      <c r="B8" s="10765"/>
      <c r="C8" s="10765"/>
      <c r="D8" s="10765"/>
      <c r="E8" s="10765"/>
      <c r="F8" s="7215"/>
    </row>
    <row r="9" spans="1:9" ht="12.9" customHeight="1">
      <c r="A9" s="9751"/>
      <c r="B9" s="10765"/>
      <c r="C9" s="10765"/>
      <c r="D9" s="10765"/>
      <c r="E9" s="10765"/>
      <c r="F9" s="7215"/>
    </row>
    <row r="10" spans="1:9" ht="12.9" customHeight="1">
      <c r="A10" s="7209" t="s">
        <v>1089</v>
      </c>
      <c r="B10" s="10765"/>
      <c r="C10" s="10765"/>
      <c r="D10" s="10765"/>
      <c r="E10" s="10765"/>
      <c r="F10" s="7215"/>
    </row>
    <row r="11" spans="1:9" ht="12.9" customHeight="1">
      <c r="A11" s="7207" t="s">
        <v>1278</v>
      </c>
      <c r="B11" s="10753">
        <v>1</v>
      </c>
      <c r="C11" s="10753">
        <v>26</v>
      </c>
      <c r="D11" s="10754">
        <v>986880</v>
      </c>
      <c r="E11" s="10754">
        <v>1173060</v>
      </c>
      <c r="F11" s="7216">
        <v>1375584</v>
      </c>
      <c r="I11" s="7198">
        <f t="shared" ref="I11:I32" si="0">F11/12</f>
        <v>114632</v>
      </c>
    </row>
    <row r="12" spans="1:9" ht="12.9" customHeight="1">
      <c r="A12" s="7207" t="s">
        <v>1279</v>
      </c>
      <c r="B12" s="10753">
        <v>1</v>
      </c>
      <c r="C12" s="10753">
        <v>24</v>
      </c>
      <c r="D12" s="10754">
        <v>783552</v>
      </c>
      <c r="E12" s="10754">
        <v>892764</v>
      </c>
      <c r="F12" s="7216">
        <v>1017204</v>
      </c>
      <c r="G12" s="7165">
        <f>SUM(B11:B12)</f>
        <v>2</v>
      </c>
      <c r="H12" s="7198">
        <f>SUM(F11:F12)</f>
        <v>2392788</v>
      </c>
      <c r="I12" s="7198">
        <f t="shared" si="0"/>
        <v>84767</v>
      </c>
    </row>
    <row r="13" spans="1:9" ht="12.9" customHeight="1">
      <c r="A13" s="7207"/>
      <c r="B13" s="10765"/>
      <c r="C13" s="10765"/>
      <c r="D13" s="10765"/>
      <c r="E13" s="10765"/>
      <c r="F13" s="7215"/>
      <c r="I13" s="7198">
        <f t="shared" si="0"/>
        <v>0</v>
      </c>
    </row>
    <row r="14" spans="1:9" ht="12.9" customHeight="1">
      <c r="A14" s="7209" t="s">
        <v>1280</v>
      </c>
      <c r="B14" s="10765"/>
      <c r="C14" s="10765"/>
      <c r="D14" s="10765"/>
      <c r="E14" s="10765"/>
      <c r="F14" s="7215"/>
      <c r="I14" s="7198">
        <f t="shared" si="0"/>
        <v>0</v>
      </c>
    </row>
    <row r="15" spans="1:9" ht="12.9" customHeight="1">
      <c r="A15" s="7209" t="s">
        <v>1092</v>
      </c>
      <c r="B15" s="10765"/>
      <c r="C15" s="10765"/>
      <c r="D15" s="10765"/>
      <c r="E15" s="10765"/>
      <c r="F15" s="7215"/>
      <c r="I15" s="7198">
        <f t="shared" si="0"/>
        <v>0</v>
      </c>
    </row>
    <row r="16" spans="1:9" ht="12.9" customHeight="1">
      <c r="A16" s="7207" t="s">
        <v>1281</v>
      </c>
      <c r="B16" s="10753">
        <v>1</v>
      </c>
      <c r="C16" s="10753">
        <v>22</v>
      </c>
      <c r="D16" s="10754">
        <v>668712</v>
      </c>
      <c r="E16" s="10754">
        <v>747816</v>
      </c>
      <c r="F16" s="7216">
        <v>836268</v>
      </c>
      <c r="I16" s="7198">
        <f t="shared" si="0"/>
        <v>69689</v>
      </c>
    </row>
    <row r="17" spans="1:9" ht="12.9" customHeight="1">
      <c r="A17" s="7207" t="s">
        <v>1282</v>
      </c>
      <c r="B17" s="10753">
        <v>2</v>
      </c>
      <c r="C17" s="10753">
        <v>22</v>
      </c>
      <c r="D17" s="10754">
        <v>1319880</v>
      </c>
      <c r="E17" s="10754">
        <v>725892</v>
      </c>
      <c r="F17" s="7216">
        <v>1593456</v>
      </c>
      <c r="I17" s="7198">
        <f t="shared" si="0"/>
        <v>132788</v>
      </c>
    </row>
    <row r="18" spans="1:9" ht="12.9" customHeight="1">
      <c r="A18" s="7207" t="s">
        <v>1283</v>
      </c>
      <c r="B18" s="10753">
        <v>2</v>
      </c>
      <c r="C18" s="10753">
        <v>18</v>
      </c>
      <c r="D18" s="10754">
        <v>887280</v>
      </c>
      <c r="E18" s="10754">
        <v>953556</v>
      </c>
      <c r="F18" s="7216">
        <v>1018704</v>
      </c>
      <c r="I18" s="7198">
        <f t="shared" si="0"/>
        <v>84892</v>
      </c>
    </row>
    <row r="19" spans="1:9" ht="12.9" customHeight="1">
      <c r="A19" s="7207" t="s">
        <v>1284</v>
      </c>
      <c r="B19" s="10753">
        <v>2</v>
      </c>
      <c r="C19" s="10753">
        <v>15</v>
      </c>
      <c r="D19" s="10754">
        <v>350568</v>
      </c>
      <c r="E19" s="10754">
        <v>374040</v>
      </c>
      <c r="F19" s="7216">
        <v>732744</v>
      </c>
      <c r="I19" s="7198">
        <f t="shared" si="0"/>
        <v>61062</v>
      </c>
    </row>
    <row r="20" spans="1:9" ht="12.9" customHeight="1">
      <c r="A20" s="7207"/>
      <c r="B20" s="10753"/>
      <c r="C20" s="10753"/>
      <c r="D20" s="10754"/>
      <c r="E20" s="10754"/>
      <c r="F20" s="7216"/>
      <c r="G20" s="7165">
        <f>SUM(B16:B20)</f>
        <v>7</v>
      </c>
      <c r="H20" s="7198">
        <f>SUM(F16:F20)</f>
        <v>4181172</v>
      </c>
      <c r="I20" s="7198">
        <f t="shared" si="0"/>
        <v>0</v>
      </c>
    </row>
    <row r="21" spans="1:9" ht="12.9" customHeight="1">
      <c r="A21" s="7209" t="s">
        <v>1137</v>
      </c>
      <c r="B21" s="10753"/>
      <c r="C21" s="10753"/>
      <c r="D21" s="10754"/>
      <c r="E21" s="10754"/>
      <c r="F21" s="7216"/>
      <c r="I21" s="7198">
        <f t="shared" si="0"/>
        <v>0</v>
      </c>
    </row>
    <row r="22" spans="1:9" ht="12.9" customHeight="1">
      <c r="A22" s="7207" t="s">
        <v>1285</v>
      </c>
      <c r="B22" s="10753">
        <v>2</v>
      </c>
      <c r="C22" s="10753">
        <v>12</v>
      </c>
      <c r="D22" s="10806">
        <v>513288</v>
      </c>
      <c r="E22" s="10806">
        <v>531576</v>
      </c>
      <c r="F22" s="9704">
        <v>550512</v>
      </c>
      <c r="I22" s="7198">
        <f t="shared" si="0"/>
        <v>45876</v>
      </c>
    </row>
    <row r="23" spans="1:9" ht="12.9" customHeight="1">
      <c r="A23" s="7207" t="s">
        <v>4798</v>
      </c>
      <c r="B23" s="10753">
        <v>4</v>
      </c>
      <c r="C23" s="10753">
        <v>11</v>
      </c>
      <c r="D23" s="10754">
        <v>1214064</v>
      </c>
      <c r="E23" s="10754">
        <v>1254792</v>
      </c>
      <c r="F23" s="7216">
        <v>1016856</v>
      </c>
      <c r="I23" s="7198">
        <f t="shared" si="0"/>
        <v>84738</v>
      </c>
    </row>
    <row r="24" spans="1:9" ht="12.9" customHeight="1">
      <c r="A24" s="7207" t="s">
        <v>4799</v>
      </c>
      <c r="B24" s="10753">
        <v>2</v>
      </c>
      <c r="C24" s="10753">
        <v>6</v>
      </c>
      <c r="D24" s="10754">
        <v>342840</v>
      </c>
      <c r="E24" s="10754">
        <v>354240</v>
      </c>
      <c r="F24" s="7216">
        <v>367416</v>
      </c>
      <c r="I24" s="7198">
        <f t="shared" si="0"/>
        <v>30618</v>
      </c>
    </row>
    <row r="25" spans="1:9" ht="12.9" customHeight="1">
      <c r="A25" s="7207" t="s">
        <v>4800</v>
      </c>
      <c r="B25" s="10753">
        <v>1</v>
      </c>
      <c r="C25" s="10753">
        <v>4</v>
      </c>
      <c r="D25" s="10754">
        <v>147144</v>
      </c>
      <c r="E25" s="10754">
        <v>153336</v>
      </c>
      <c r="F25" s="7216">
        <v>161016</v>
      </c>
      <c r="I25" s="7198">
        <f t="shared" si="0"/>
        <v>13418</v>
      </c>
    </row>
    <row r="26" spans="1:9" ht="12.9" customHeight="1">
      <c r="A26" s="7207"/>
      <c r="B26" s="10753"/>
      <c r="C26" s="10753"/>
      <c r="D26" s="10754"/>
      <c r="E26" s="10754"/>
      <c r="F26" s="7216"/>
      <c r="G26" s="7165">
        <f>SUM(B22:B26)</f>
        <v>9</v>
      </c>
      <c r="H26" s="7198">
        <f>SUM(F22:F26)</f>
        <v>2095800</v>
      </c>
      <c r="I26" s="7198">
        <f t="shared" si="0"/>
        <v>0</v>
      </c>
    </row>
    <row r="27" spans="1:9" ht="12.9" customHeight="1">
      <c r="A27" s="7209" t="s">
        <v>1094</v>
      </c>
      <c r="B27" s="10753"/>
      <c r="C27" s="10753"/>
      <c r="D27" s="10754"/>
      <c r="E27" s="10754"/>
      <c r="F27" s="7216"/>
      <c r="I27" s="7198">
        <f t="shared" si="0"/>
        <v>0</v>
      </c>
    </row>
    <row r="28" spans="1:9" ht="12.9" hidden="1" customHeight="1">
      <c r="A28" s="7207" t="s">
        <v>1134</v>
      </c>
      <c r="B28" s="10753">
        <v>0</v>
      </c>
      <c r="C28" s="10753">
        <v>15</v>
      </c>
      <c r="D28" s="10806">
        <v>0</v>
      </c>
      <c r="E28" s="10806">
        <v>0</v>
      </c>
      <c r="F28" s="9704">
        <v>0</v>
      </c>
      <c r="I28" s="7198">
        <f t="shared" si="0"/>
        <v>0</v>
      </c>
    </row>
    <row r="29" spans="1:9" ht="12.9" customHeight="1">
      <c r="A29" s="7207" t="s">
        <v>1097</v>
      </c>
      <c r="B29" s="10753">
        <v>1</v>
      </c>
      <c r="C29" s="10753">
        <v>6</v>
      </c>
      <c r="D29" s="10754">
        <v>0</v>
      </c>
      <c r="E29" s="10754">
        <v>0</v>
      </c>
      <c r="F29" s="7216">
        <v>178164</v>
      </c>
      <c r="I29" s="7198">
        <f t="shared" si="0"/>
        <v>14847</v>
      </c>
    </row>
    <row r="30" spans="1:9" ht="12.9" customHeight="1">
      <c r="A30" s="7207" t="s">
        <v>1302</v>
      </c>
      <c r="B30" s="10753">
        <v>1</v>
      </c>
      <c r="C30" s="10753">
        <v>4</v>
      </c>
      <c r="D30" s="10754">
        <v>148452</v>
      </c>
      <c r="E30" s="10754">
        <v>154608</v>
      </c>
      <c r="F30" s="7216">
        <v>162252</v>
      </c>
      <c r="I30" s="7198">
        <f t="shared" si="0"/>
        <v>13521</v>
      </c>
    </row>
    <row r="31" spans="1:9" ht="12.9" customHeight="1">
      <c r="A31" s="7207" t="s">
        <v>1174</v>
      </c>
      <c r="B31" s="10753">
        <v>1</v>
      </c>
      <c r="C31" s="10753">
        <v>3</v>
      </c>
      <c r="D31" s="10754">
        <v>145320</v>
      </c>
      <c r="E31" s="10754">
        <v>151440</v>
      </c>
      <c r="F31" s="7216">
        <v>157824</v>
      </c>
      <c r="I31" s="7198">
        <f t="shared" si="0"/>
        <v>13152</v>
      </c>
    </row>
    <row r="32" spans="1:9" ht="12.9" customHeight="1">
      <c r="A32" s="7207" t="s">
        <v>1420</v>
      </c>
      <c r="B32" s="10753">
        <v>3</v>
      </c>
      <c r="C32" s="10753">
        <v>2</v>
      </c>
      <c r="D32" s="10754">
        <v>404868</v>
      </c>
      <c r="E32" s="10754">
        <v>423636</v>
      </c>
      <c r="F32" s="7216">
        <v>443280</v>
      </c>
      <c r="I32" s="7198">
        <f t="shared" si="0"/>
        <v>36940</v>
      </c>
    </row>
    <row r="33" spans="1:9" ht="12.9" customHeight="1">
      <c r="A33" s="7207" t="s">
        <v>1175</v>
      </c>
      <c r="B33" s="10753">
        <v>3</v>
      </c>
      <c r="C33" s="10753">
        <v>1</v>
      </c>
      <c r="D33" s="10754">
        <v>376224</v>
      </c>
      <c r="E33" s="10754">
        <v>395376</v>
      </c>
      <c r="F33" s="7216">
        <v>415488</v>
      </c>
      <c r="I33" s="7198">
        <f>F33/12</f>
        <v>34624</v>
      </c>
    </row>
    <row r="34" spans="1:9" ht="12.9" customHeight="1">
      <c r="A34" s="7207"/>
      <c r="B34" s="10753"/>
      <c r="C34" s="10753"/>
      <c r="D34" s="10754"/>
      <c r="E34" s="10754"/>
      <c r="F34" s="7216"/>
    </row>
    <row r="35" spans="1:9" ht="12.9" customHeight="1">
      <c r="A35" s="7209" t="s">
        <v>1287</v>
      </c>
      <c r="B35" s="9613">
        <f>SUM(B11:B33)</f>
        <v>27</v>
      </c>
      <c r="C35" s="9613"/>
      <c r="D35" s="9619">
        <f>SUM(D11:D33)</f>
        <v>8289072</v>
      </c>
      <c r="E35" s="9619">
        <f>SUM(E11:E33)</f>
        <v>8286132</v>
      </c>
      <c r="F35" s="7221">
        <f>SUM(F11:F33)</f>
        <v>10026768</v>
      </c>
      <c r="G35" s="7165">
        <f>SUM(B28:B34)</f>
        <v>9</v>
      </c>
      <c r="H35" s="7198">
        <f>SUM(F28:F34)</f>
        <v>1357008</v>
      </c>
    </row>
    <row r="36" spans="1:9" ht="12.9" customHeight="1">
      <c r="A36" s="7207"/>
      <c r="B36" s="10753"/>
      <c r="C36" s="10753"/>
      <c r="D36" s="10754"/>
      <c r="E36" s="10754"/>
      <c r="F36" s="7216"/>
    </row>
    <row r="37" spans="1:9" ht="12.9" customHeight="1">
      <c r="A37" s="7207" t="s">
        <v>1113</v>
      </c>
      <c r="B37" s="10760" t="s">
        <v>9</v>
      </c>
      <c r="C37" s="10765"/>
      <c r="D37" s="10765"/>
      <c r="E37" s="10765"/>
      <c r="F37" s="7215"/>
    </row>
    <row r="38" spans="1:9" ht="12.9" hidden="1" customHeight="1">
      <c r="A38" s="7207" t="s">
        <v>3431</v>
      </c>
      <c r="B38" s="10753">
        <v>0</v>
      </c>
      <c r="C38" s="10753">
        <v>24</v>
      </c>
      <c r="D38" s="10766">
        <v>0</v>
      </c>
      <c r="E38" s="10766"/>
      <c r="F38" s="6142"/>
    </row>
    <row r="39" spans="1:9" ht="12.9" customHeight="1">
      <c r="A39" s="7207" t="s">
        <v>11291</v>
      </c>
      <c r="B39" s="10753">
        <v>0</v>
      </c>
      <c r="C39" s="10753">
        <v>22</v>
      </c>
      <c r="D39" s="10754">
        <v>0</v>
      </c>
      <c r="E39" s="10754">
        <v>704604</v>
      </c>
      <c r="F39" s="7216">
        <v>0</v>
      </c>
    </row>
    <row r="40" spans="1:9" ht="12.9" hidden="1" customHeight="1">
      <c r="A40" s="7207" t="s">
        <v>11639</v>
      </c>
      <c r="B40" s="10753">
        <v>0</v>
      </c>
      <c r="C40" s="10753">
        <v>12</v>
      </c>
      <c r="D40" s="10754">
        <v>0</v>
      </c>
      <c r="E40" s="10754">
        <v>0</v>
      </c>
      <c r="F40" s="7216">
        <v>0</v>
      </c>
    </row>
    <row r="41" spans="1:9" ht="12.9" hidden="1" customHeight="1">
      <c r="A41" s="7207" t="s">
        <v>1283</v>
      </c>
      <c r="B41" s="10753">
        <v>0</v>
      </c>
      <c r="C41" s="10753">
        <v>18</v>
      </c>
      <c r="D41" s="10806">
        <v>0</v>
      </c>
      <c r="E41" s="10806">
        <v>0</v>
      </c>
      <c r="F41" s="9704">
        <v>0</v>
      </c>
    </row>
    <row r="42" spans="1:9" ht="12.9" customHeight="1">
      <c r="A42" s="7207" t="s">
        <v>11638</v>
      </c>
      <c r="B42" s="10753">
        <v>1</v>
      </c>
      <c r="C42" s="10753">
        <v>11</v>
      </c>
      <c r="D42" s="10754">
        <v>0</v>
      </c>
      <c r="E42" s="10754">
        <v>0</v>
      </c>
      <c r="F42" s="9704">
        <v>249048</v>
      </c>
    </row>
    <row r="43" spans="1:9" ht="12.9" customHeight="1">
      <c r="A43" s="7207" t="s">
        <v>11640</v>
      </c>
      <c r="B43" s="10753">
        <v>0</v>
      </c>
      <c r="C43" s="10753">
        <v>15</v>
      </c>
      <c r="D43" s="10754">
        <v>330780</v>
      </c>
      <c r="E43" s="10754">
        <v>348120</v>
      </c>
      <c r="F43" s="7216">
        <v>0</v>
      </c>
    </row>
    <row r="44" spans="1:9" ht="12.9" customHeight="1">
      <c r="A44" s="7207" t="s">
        <v>10565</v>
      </c>
      <c r="B44" s="10753">
        <v>0</v>
      </c>
      <c r="C44" s="10753">
        <v>6</v>
      </c>
      <c r="D44" s="10754">
        <v>166212</v>
      </c>
      <c r="E44" s="10754">
        <v>172080</v>
      </c>
      <c r="F44" s="7216">
        <v>0</v>
      </c>
    </row>
    <row r="45" spans="1:9" ht="12.9" customHeight="1">
      <c r="A45" s="7207"/>
      <c r="B45" s="10765"/>
      <c r="C45" s="10765"/>
      <c r="D45" s="10765"/>
      <c r="E45" s="10765"/>
      <c r="F45" s="7215"/>
    </row>
    <row r="46" spans="1:9" ht="12.9" customHeight="1">
      <c r="A46" s="7209" t="s">
        <v>4774</v>
      </c>
      <c r="B46" s="9613">
        <f>SUM(B38:B45)</f>
        <v>1</v>
      </c>
      <c r="C46" s="9631"/>
      <c r="D46" s="9619">
        <f>SUM(D38:D45)</f>
        <v>496992</v>
      </c>
      <c r="E46" s="9619">
        <f>SUM(E38:E45)</f>
        <v>1224804</v>
      </c>
      <c r="F46" s="7221">
        <f>SUM(F38:F45)</f>
        <v>249048</v>
      </c>
    </row>
    <row r="47" spans="1:9" ht="12.9" customHeight="1" thickBot="1">
      <c r="A47" s="7207"/>
      <c r="B47" s="10765"/>
      <c r="C47" s="10765"/>
      <c r="D47" s="10765"/>
      <c r="E47" s="10765"/>
      <c r="F47" s="7215"/>
    </row>
    <row r="48" spans="1:9" ht="12.9" customHeight="1" thickBot="1">
      <c r="A48" s="10422" t="s">
        <v>1074</v>
      </c>
      <c r="B48" s="10725">
        <f>SUM(B35+B46)</f>
        <v>28</v>
      </c>
      <c r="C48" s="10414"/>
      <c r="D48" s="10415">
        <f>SUM(D35+D46)</f>
        <v>8786064</v>
      </c>
      <c r="E48" s="10415">
        <f>SUM(E35+E46)</f>
        <v>9510936</v>
      </c>
      <c r="F48" s="10722">
        <f>SUM(F35+F46)</f>
        <v>10275816</v>
      </c>
    </row>
    <row r="49" spans="1:6" ht="12.9" customHeight="1">
      <c r="A49" s="7207"/>
      <c r="B49" s="10765"/>
      <c r="C49" s="10765"/>
      <c r="D49" s="10765"/>
      <c r="E49" s="10765"/>
      <c r="F49" s="7215"/>
    </row>
    <row r="50" spans="1:6" ht="12.9" customHeight="1">
      <c r="A50" s="7209" t="s">
        <v>1075</v>
      </c>
      <c r="B50" s="10765"/>
      <c r="C50" s="10765"/>
      <c r="D50" s="10765"/>
      <c r="E50" s="10765"/>
      <c r="F50" s="7215"/>
    </row>
    <row r="51" spans="1:6" ht="12.9" customHeight="1">
      <c r="A51" s="7209" t="s">
        <v>1102</v>
      </c>
      <c r="B51" s="10765"/>
      <c r="C51" s="10765"/>
      <c r="D51" s="10765"/>
      <c r="E51" s="10765"/>
      <c r="F51" s="7215"/>
    </row>
    <row r="52" spans="1:6" ht="12.9" customHeight="1">
      <c r="A52" s="7207" t="s">
        <v>1103</v>
      </c>
      <c r="B52" s="10765"/>
      <c r="C52" s="10765"/>
      <c r="D52" s="10765"/>
      <c r="E52" s="10765"/>
      <c r="F52" s="7215"/>
    </row>
    <row r="53" spans="1:6" ht="12.9" customHeight="1">
      <c r="A53" s="7207" t="s">
        <v>1078</v>
      </c>
      <c r="B53" s="10765"/>
      <c r="C53" s="10765"/>
      <c r="D53" s="10765"/>
      <c r="E53" s="10765"/>
      <c r="F53" s="7215"/>
    </row>
    <row r="54" spans="1:6" ht="12.9" customHeight="1">
      <c r="A54" s="7207" t="s">
        <v>1079</v>
      </c>
      <c r="B54" s="10765"/>
      <c r="C54" s="10765"/>
      <c r="D54" s="10765"/>
      <c r="E54" s="10765"/>
      <c r="F54" s="7215"/>
    </row>
    <row r="55" spans="1:6" ht="12.9" customHeight="1">
      <c r="A55" s="7207" t="s">
        <v>168</v>
      </c>
      <c r="B55" s="10765"/>
      <c r="C55" s="10765"/>
      <c r="D55" s="10765"/>
      <c r="E55" s="10765"/>
      <c r="F55" s="7215"/>
    </row>
    <row r="56" spans="1:6" ht="12.9" customHeight="1">
      <c r="A56" s="7207" t="s">
        <v>1080</v>
      </c>
      <c r="B56" s="10765"/>
      <c r="C56" s="10765"/>
      <c r="D56" s="10765"/>
      <c r="E56" s="10765"/>
      <c r="F56" s="7215"/>
    </row>
    <row r="57" spans="1:6" ht="12.9" customHeight="1">
      <c r="A57" s="7207" t="s">
        <v>1104</v>
      </c>
      <c r="B57" s="10765"/>
      <c r="C57" s="10765"/>
      <c r="D57" s="10765"/>
      <c r="E57" s="10765"/>
      <c r="F57" s="7215"/>
    </row>
    <row r="58" spans="1:6" ht="12.9" customHeight="1">
      <c r="A58" s="7207" t="s">
        <v>1105</v>
      </c>
      <c r="B58" s="10765"/>
      <c r="C58" s="10765"/>
      <c r="D58" s="10765"/>
      <c r="E58" s="10765"/>
      <c r="F58" s="7215"/>
    </row>
    <row r="59" spans="1:6" ht="12.9" customHeight="1">
      <c r="A59" s="7207"/>
      <c r="B59" s="10765"/>
      <c r="C59" s="10765"/>
      <c r="D59" s="10765"/>
      <c r="E59" s="10765"/>
      <c r="F59" s="7215"/>
    </row>
    <row r="60" spans="1:6" s="7163" customFormat="1" ht="12.9" customHeight="1">
      <c r="A60" s="7209" t="s">
        <v>1083</v>
      </c>
      <c r="B60" s="9662"/>
      <c r="C60" s="9662"/>
      <c r="D60" s="9662"/>
      <c r="E60" s="9662"/>
      <c r="F60" s="9663"/>
    </row>
    <row r="61" spans="1:6" ht="12.9" customHeight="1">
      <c r="A61" s="7207"/>
      <c r="B61" s="10765"/>
      <c r="C61" s="10765"/>
      <c r="D61" s="10765"/>
      <c r="E61" s="10765"/>
      <c r="F61" s="7215"/>
    </row>
    <row r="62" spans="1:6" ht="12.9" customHeight="1">
      <c r="A62" s="7207" t="s">
        <v>1106</v>
      </c>
      <c r="B62" s="10765"/>
      <c r="C62" s="10765"/>
      <c r="D62" s="10765"/>
      <c r="E62" s="10765"/>
      <c r="F62" s="7215"/>
    </row>
    <row r="63" spans="1:6" ht="12.9" customHeight="1" thickBot="1">
      <c r="A63" s="7207"/>
      <c r="B63" s="10765"/>
      <c r="C63" s="10765"/>
      <c r="D63" s="10765"/>
      <c r="E63" s="10765"/>
      <c r="F63" s="7215"/>
    </row>
    <row r="64" spans="1:6" ht="12.9" customHeight="1" thickTop="1">
      <c r="A64" s="10841"/>
      <c r="B64" s="10839"/>
      <c r="C64" s="10839"/>
      <c r="D64" s="10839"/>
      <c r="E64" s="10839"/>
      <c r="F64" s="10842"/>
    </row>
    <row r="65" spans="1:6" s="7163" customFormat="1" ht="12.9" customHeight="1">
      <c r="A65" s="7209" t="s">
        <v>1086</v>
      </c>
      <c r="B65" s="10770"/>
      <c r="C65" s="10770"/>
      <c r="D65" s="10770"/>
      <c r="E65" s="10770"/>
      <c r="F65" s="9664"/>
    </row>
    <row r="66" spans="1:6" ht="12.9" customHeight="1" thickBot="1">
      <c r="A66" s="10843"/>
      <c r="B66" s="10840"/>
      <c r="C66" s="10840"/>
      <c r="D66" s="10840"/>
      <c r="E66" s="10840"/>
      <c r="F66" s="10844"/>
    </row>
    <row r="67" spans="1:6" ht="12.9" customHeight="1" thickTop="1">
      <c r="A67" s="7199"/>
      <c r="B67" s="7199"/>
      <c r="C67" s="7199"/>
      <c r="D67" s="7199"/>
      <c r="E67" s="7199"/>
      <c r="F67" s="7199"/>
    </row>
    <row r="68" spans="1:6" ht="12.9" customHeight="1">
      <c r="A68" s="7199"/>
      <c r="B68" s="7199"/>
      <c r="C68" s="7199"/>
      <c r="D68" s="7199"/>
      <c r="E68" s="7199"/>
      <c r="F68" s="7199"/>
    </row>
    <row r="69" spans="1:6" ht="12.9" customHeight="1">
      <c r="A69" s="7199"/>
      <c r="B69" s="7199"/>
      <c r="C69" s="7199"/>
      <c r="D69" s="7199"/>
      <c r="E69" s="7199"/>
      <c r="F69" s="7199"/>
    </row>
    <row r="70" spans="1:6" ht="12.9" customHeight="1">
      <c r="A70" s="7199"/>
      <c r="B70" s="7199"/>
      <c r="C70" s="7199"/>
      <c r="D70" s="7199"/>
      <c r="E70" s="7199"/>
      <c r="F70" s="7199"/>
    </row>
    <row r="71" spans="1:6" ht="12.9" customHeight="1">
      <c r="A71" s="7199"/>
      <c r="B71" s="7199"/>
      <c r="C71" s="7199"/>
      <c r="D71" s="7199"/>
      <c r="E71" s="7199"/>
      <c r="F71" s="7199"/>
    </row>
    <row r="72" spans="1:6" ht="12.9" customHeight="1">
      <c r="A72" s="7199"/>
      <c r="B72" s="7199"/>
      <c r="C72" s="7199"/>
      <c r="D72" s="7199"/>
      <c r="E72" s="7199"/>
      <c r="F72" s="7199"/>
    </row>
    <row r="73" spans="1:6" ht="12.9" customHeight="1">
      <c r="A73" s="7199"/>
      <c r="B73" s="7199"/>
      <c r="C73" s="7199"/>
      <c r="D73" s="7199"/>
      <c r="E73" s="7199"/>
      <c r="F73" s="7199"/>
    </row>
    <row r="74" spans="1:6" ht="12.9" customHeight="1">
      <c r="A74" s="7199"/>
      <c r="B74" s="7199"/>
      <c r="C74" s="7199"/>
      <c r="D74" s="7199"/>
      <c r="E74" s="7199"/>
      <c r="F74" s="7199"/>
    </row>
    <row r="75" spans="1:6" ht="12.9" customHeight="1">
      <c r="A75" s="7199"/>
      <c r="B75" s="7199"/>
      <c r="C75" s="7199"/>
      <c r="D75" s="7199"/>
      <c r="E75" s="7199"/>
      <c r="F75" s="7199"/>
    </row>
    <row r="76" spans="1:6" ht="12.9" customHeight="1">
      <c r="A76" s="7199"/>
      <c r="B76" s="7199"/>
      <c r="C76" s="7199"/>
      <c r="D76" s="7199"/>
      <c r="E76" s="7199"/>
      <c r="F76" s="7199"/>
    </row>
    <row r="77" spans="1:6" ht="12.9" customHeight="1">
      <c r="A77" s="7199"/>
      <c r="B77" s="7199"/>
      <c r="C77" s="7199"/>
      <c r="D77" s="7199"/>
      <c r="E77" s="7199"/>
      <c r="F77" s="7199"/>
    </row>
    <row r="78" spans="1:6" ht="12.9" customHeight="1">
      <c r="A78" s="7199"/>
      <c r="B78" s="7199"/>
      <c r="C78" s="7199"/>
      <c r="D78" s="7199"/>
      <c r="E78" s="7199"/>
      <c r="F78" s="7199"/>
    </row>
    <row r="79" spans="1:6" ht="12.9" customHeight="1">
      <c r="A79" s="7199"/>
      <c r="B79" s="7199"/>
      <c r="C79" s="7199"/>
      <c r="D79" s="7199"/>
      <c r="E79" s="7199"/>
      <c r="F79" s="7199"/>
    </row>
    <row r="80" spans="1:6" ht="12.9" customHeight="1">
      <c r="A80" s="7199"/>
      <c r="B80" s="7199"/>
      <c r="C80" s="7199"/>
      <c r="D80" s="7199"/>
      <c r="E80" s="7199"/>
      <c r="F80" s="7199"/>
    </row>
    <row r="81" spans="1:6" ht="12.9" customHeight="1">
      <c r="A81" s="7199"/>
      <c r="B81" s="7199"/>
      <c r="C81" s="7199"/>
      <c r="D81" s="7199"/>
      <c r="E81" s="7199"/>
      <c r="F81" s="7199"/>
    </row>
    <row r="82" spans="1:6" ht="12.9" customHeight="1">
      <c r="A82" s="7199"/>
      <c r="B82" s="7199"/>
      <c r="C82" s="7199"/>
      <c r="D82" s="7199"/>
      <c r="E82" s="7199"/>
      <c r="F82" s="7199"/>
    </row>
    <row r="83" spans="1:6" ht="12.9" customHeight="1">
      <c r="A83" s="7199"/>
      <c r="B83" s="7199"/>
      <c r="C83" s="7199"/>
      <c r="D83" s="7199"/>
      <c r="E83" s="7199"/>
      <c r="F83" s="7199"/>
    </row>
    <row r="84" spans="1:6" ht="12.9" customHeight="1">
      <c r="A84" s="7199"/>
      <c r="B84" s="7199"/>
      <c r="C84" s="7199"/>
      <c r="D84" s="7199"/>
      <c r="E84" s="7199"/>
      <c r="F84" s="7199"/>
    </row>
    <row r="85" spans="1:6" ht="12.9" customHeight="1">
      <c r="A85" s="7199"/>
      <c r="B85" s="7199"/>
      <c r="C85" s="7199"/>
      <c r="D85" s="7199"/>
      <c r="E85" s="7199"/>
      <c r="F85" s="7199"/>
    </row>
    <row r="86" spans="1:6" ht="12.9" customHeight="1">
      <c r="A86" s="7199"/>
      <c r="B86" s="7199"/>
      <c r="C86" s="7199"/>
      <c r="D86" s="7199"/>
      <c r="E86" s="7199"/>
      <c r="F86" s="7199"/>
    </row>
    <row r="87" spans="1:6" ht="12.9" customHeight="1">
      <c r="A87" s="7199"/>
      <c r="B87" s="7199"/>
      <c r="C87" s="7199"/>
      <c r="D87" s="7199"/>
      <c r="E87" s="7199"/>
      <c r="F87" s="7199"/>
    </row>
    <row r="88" spans="1:6" ht="12.9" customHeight="1">
      <c r="A88" s="7199"/>
      <c r="B88" s="7199"/>
      <c r="C88" s="7199"/>
      <c r="D88" s="7199"/>
      <c r="E88" s="7199"/>
      <c r="F88" s="7199"/>
    </row>
  </sheetData>
  <mergeCells count="3">
    <mergeCell ref="D6:F6"/>
    <mergeCell ref="D5:F5"/>
    <mergeCell ref="A1:F1"/>
  </mergeCells>
  <pageMargins left="0.25" right="0.25" top="0.5" bottom="0.5" header="0.3" footer="0.3"/>
  <pageSetup paperSize="119" firstPageNumber="224" orientation="portrait" useFirstPageNumber="1" r:id="rId1"/>
  <headerFooter alignWithMargins="0"/>
</worksheet>
</file>

<file path=xl/worksheets/sheet11.xml><?xml version="1.0" encoding="utf-8"?>
<worksheet xmlns="http://schemas.openxmlformats.org/spreadsheetml/2006/main" xmlns:r="http://schemas.openxmlformats.org/officeDocument/2006/relationships">
  <sheetPr codeName="Sheet34">
    <tabColor rgb="FFFFFF00"/>
  </sheetPr>
  <dimension ref="A1:J85"/>
  <sheetViews>
    <sheetView showGridLines="0" topLeftCell="B6" zoomScale="110" zoomScaleNormal="110" workbookViewId="0">
      <pane xSplit="1" ySplit="27" topLeftCell="C36" activePane="bottomRight" state="frozen"/>
      <selection activeCell="A38" sqref="A38:XFD43"/>
      <selection pane="topRight" activeCell="A38" sqref="A38:XFD43"/>
      <selection pane="bottomLeft" activeCell="A38" sqref="A38:XFD43"/>
      <selection pane="bottomRight" activeCell="D37" sqref="D37"/>
    </sheetView>
  </sheetViews>
  <sheetFormatPr defaultRowHeight="13.8"/>
  <cols>
    <col min="1" max="1" width="3.88671875" style="65" customWidth="1"/>
    <col min="2" max="2" width="43.88671875" style="65" customWidth="1"/>
    <col min="3" max="3" width="7.88671875" style="65" customWidth="1"/>
    <col min="4" max="4" width="13.109375" style="65" customWidth="1"/>
    <col min="5" max="5" width="12.88671875" style="65" customWidth="1"/>
    <col min="6" max="7" width="12.88671875" style="65" hidden="1" customWidth="1"/>
    <col min="8" max="8" width="12.88671875" style="107" customWidth="1"/>
    <col min="9" max="9" width="9.109375" style="65"/>
    <col min="10" max="10" width="10.109375" style="65" bestFit="1" customWidth="1"/>
    <col min="11" max="258" width="9.109375" style="65"/>
    <col min="259" max="259" width="3.88671875" style="65" customWidth="1"/>
    <col min="260" max="260" width="37.109375" style="65" customWidth="1"/>
    <col min="261" max="261" width="15.88671875" style="65" customWidth="1"/>
    <col min="262" max="262" width="13.44140625" style="65" customWidth="1"/>
    <col min="263" max="263" width="14.109375" style="65" customWidth="1"/>
    <col min="264" max="264" width="16.44140625" style="65" customWidth="1"/>
    <col min="265" max="514" width="9.109375" style="65"/>
    <col min="515" max="515" width="3.88671875" style="65" customWidth="1"/>
    <col min="516" max="516" width="37.109375" style="65" customWidth="1"/>
    <col min="517" max="517" width="15.88671875" style="65" customWidth="1"/>
    <col min="518" max="518" width="13.44140625" style="65" customWidth="1"/>
    <col min="519" max="519" width="14.109375" style="65" customWidth="1"/>
    <col min="520" max="520" width="16.44140625" style="65" customWidth="1"/>
    <col min="521" max="770" width="9.109375" style="65"/>
    <col min="771" max="771" width="3.88671875" style="65" customWidth="1"/>
    <col min="772" max="772" width="37.109375" style="65" customWidth="1"/>
    <col min="773" max="773" width="15.88671875" style="65" customWidth="1"/>
    <col min="774" max="774" width="13.44140625" style="65" customWidth="1"/>
    <col min="775" max="775" width="14.109375" style="65" customWidth="1"/>
    <col min="776" max="776" width="16.44140625" style="65" customWidth="1"/>
    <col min="777" max="1026" width="9.109375" style="65"/>
    <col min="1027" max="1027" width="3.88671875" style="65" customWidth="1"/>
    <col min="1028" max="1028" width="37.109375" style="65" customWidth="1"/>
    <col min="1029" max="1029" width="15.88671875" style="65" customWidth="1"/>
    <col min="1030" max="1030" width="13.44140625" style="65" customWidth="1"/>
    <col min="1031" max="1031" width="14.109375" style="65" customWidth="1"/>
    <col min="1032" max="1032" width="16.44140625" style="65" customWidth="1"/>
    <col min="1033" max="1282" width="9.109375" style="65"/>
    <col min="1283" max="1283" width="3.88671875" style="65" customWidth="1"/>
    <col min="1284" max="1284" width="37.109375" style="65" customWidth="1"/>
    <col min="1285" max="1285" width="15.88671875" style="65" customWidth="1"/>
    <col min="1286" max="1286" width="13.44140625" style="65" customWidth="1"/>
    <col min="1287" max="1287" width="14.109375" style="65" customWidth="1"/>
    <col min="1288" max="1288" width="16.44140625" style="65" customWidth="1"/>
    <col min="1289" max="1538" width="9.109375" style="65"/>
    <col min="1539" max="1539" width="3.88671875" style="65" customWidth="1"/>
    <col min="1540" max="1540" width="37.109375" style="65" customWidth="1"/>
    <col min="1541" max="1541" width="15.88671875" style="65" customWidth="1"/>
    <col min="1542" max="1542" width="13.44140625" style="65" customWidth="1"/>
    <col min="1543" max="1543" width="14.109375" style="65" customWidth="1"/>
    <col min="1544" max="1544" width="16.44140625" style="65" customWidth="1"/>
    <col min="1545" max="1794" width="9.109375" style="65"/>
    <col min="1795" max="1795" width="3.88671875" style="65" customWidth="1"/>
    <col min="1796" max="1796" width="37.109375" style="65" customWidth="1"/>
    <col min="1797" max="1797" width="15.88671875" style="65" customWidth="1"/>
    <col min="1798" max="1798" width="13.44140625" style="65" customWidth="1"/>
    <col min="1799" max="1799" width="14.109375" style="65" customWidth="1"/>
    <col min="1800" max="1800" width="16.44140625" style="65" customWidth="1"/>
    <col min="1801" max="2050" width="9.109375" style="65"/>
    <col min="2051" max="2051" width="3.88671875" style="65" customWidth="1"/>
    <col min="2052" max="2052" width="37.109375" style="65" customWidth="1"/>
    <col min="2053" max="2053" width="15.88671875" style="65" customWidth="1"/>
    <col min="2054" max="2054" width="13.44140625" style="65" customWidth="1"/>
    <col min="2055" max="2055" width="14.109375" style="65" customWidth="1"/>
    <col min="2056" max="2056" width="16.44140625" style="65" customWidth="1"/>
    <col min="2057" max="2306" width="9.109375" style="65"/>
    <col min="2307" max="2307" width="3.88671875" style="65" customWidth="1"/>
    <col min="2308" max="2308" width="37.109375" style="65" customWidth="1"/>
    <col min="2309" max="2309" width="15.88671875" style="65" customWidth="1"/>
    <col min="2310" max="2310" width="13.44140625" style="65" customWidth="1"/>
    <col min="2311" max="2311" width="14.109375" style="65" customWidth="1"/>
    <col min="2312" max="2312" width="16.44140625" style="65" customWidth="1"/>
    <col min="2313" max="2562" width="9.109375" style="65"/>
    <col min="2563" max="2563" width="3.88671875" style="65" customWidth="1"/>
    <col min="2564" max="2564" width="37.109375" style="65" customWidth="1"/>
    <col min="2565" max="2565" width="15.88671875" style="65" customWidth="1"/>
    <col min="2566" max="2566" width="13.44140625" style="65" customWidth="1"/>
    <col min="2567" max="2567" width="14.109375" style="65" customWidth="1"/>
    <col min="2568" max="2568" width="16.44140625" style="65" customWidth="1"/>
    <col min="2569" max="2818" width="9.109375" style="65"/>
    <col min="2819" max="2819" width="3.88671875" style="65" customWidth="1"/>
    <col min="2820" max="2820" width="37.109375" style="65" customWidth="1"/>
    <col min="2821" max="2821" width="15.88671875" style="65" customWidth="1"/>
    <col min="2822" max="2822" width="13.44140625" style="65" customWidth="1"/>
    <col min="2823" max="2823" width="14.109375" style="65" customWidth="1"/>
    <col min="2824" max="2824" width="16.44140625" style="65" customWidth="1"/>
    <col min="2825" max="3074" width="9.109375" style="65"/>
    <col min="3075" max="3075" width="3.88671875" style="65" customWidth="1"/>
    <col min="3076" max="3076" width="37.109375" style="65" customWidth="1"/>
    <col min="3077" max="3077" width="15.88671875" style="65" customWidth="1"/>
    <col min="3078" max="3078" width="13.44140625" style="65" customWidth="1"/>
    <col min="3079" max="3079" width="14.109375" style="65" customWidth="1"/>
    <col min="3080" max="3080" width="16.44140625" style="65" customWidth="1"/>
    <col min="3081" max="3330" width="9.109375" style="65"/>
    <col min="3331" max="3331" width="3.88671875" style="65" customWidth="1"/>
    <col min="3332" max="3332" width="37.109375" style="65" customWidth="1"/>
    <col min="3333" max="3333" width="15.88671875" style="65" customWidth="1"/>
    <col min="3334" max="3334" width="13.44140625" style="65" customWidth="1"/>
    <col min="3335" max="3335" width="14.109375" style="65" customWidth="1"/>
    <col min="3336" max="3336" width="16.44140625" style="65" customWidth="1"/>
    <col min="3337" max="3586" width="9.109375" style="65"/>
    <col min="3587" max="3587" width="3.88671875" style="65" customWidth="1"/>
    <col min="3588" max="3588" width="37.109375" style="65" customWidth="1"/>
    <col min="3589" max="3589" width="15.88671875" style="65" customWidth="1"/>
    <col min="3590" max="3590" width="13.44140625" style="65" customWidth="1"/>
    <col min="3591" max="3591" width="14.109375" style="65" customWidth="1"/>
    <col min="3592" max="3592" width="16.44140625" style="65" customWidth="1"/>
    <col min="3593" max="3842" width="9.109375" style="65"/>
    <col min="3843" max="3843" width="3.88671875" style="65" customWidth="1"/>
    <col min="3844" max="3844" width="37.109375" style="65" customWidth="1"/>
    <col min="3845" max="3845" width="15.88671875" style="65" customWidth="1"/>
    <col min="3846" max="3846" width="13.44140625" style="65" customWidth="1"/>
    <col min="3847" max="3847" width="14.109375" style="65" customWidth="1"/>
    <col min="3848" max="3848" width="16.44140625" style="65" customWidth="1"/>
    <col min="3849" max="4098" width="9.109375" style="65"/>
    <col min="4099" max="4099" width="3.88671875" style="65" customWidth="1"/>
    <col min="4100" max="4100" width="37.109375" style="65" customWidth="1"/>
    <col min="4101" max="4101" width="15.88671875" style="65" customWidth="1"/>
    <col min="4102" max="4102" width="13.44140625" style="65" customWidth="1"/>
    <col min="4103" max="4103" width="14.109375" style="65" customWidth="1"/>
    <col min="4104" max="4104" width="16.44140625" style="65" customWidth="1"/>
    <col min="4105" max="4354" width="9.109375" style="65"/>
    <col min="4355" max="4355" width="3.88671875" style="65" customWidth="1"/>
    <col min="4356" max="4356" width="37.109375" style="65" customWidth="1"/>
    <col min="4357" max="4357" width="15.88671875" style="65" customWidth="1"/>
    <col min="4358" max="4358" width="13.44140625" style="65" customWidth="1"/>
    <col min="4359" max="4359" width="14.109375" style="65" customWidth="1"/>
    <col min="4360" max="4360" width="16.44140625" style="65" customWidth="1"/>
    <col min="4361" max="4610" width="9.109375" style="65"/>
    <col min="4611" max="4611" width="3.88671875" style="65" customWidth="1"/>
    <col min="4612" max="4612" width="37.109375" style="65" customWidth="1"/>
    <col min="4613" max="4613" width="15.88671875" style="65" customWidth="1"/>
    <col min="4614" max="4614" width="13.44140625" style="65" customWidth="1"/>
    <col min="4615" max="4615" width="14.109375" style="65" customWidth="1"/>
    <col min="4616" max="4616" width="16.44140625" style="65" customWidth="1"/>
    <col min="4617" max="4866" width="9.109375" style="65"/>
    <col min="4867" max="4867" width="3.88671875" style="65" customWidth="1"/>
    <col min="4868" max="4868" width="37.109375" style="65" customWidth="1"/>
    <col min="4869" max="4869" width="15.88671875" style="65" customWidth="1"/>
    <col min="4870" max="4870" width="13.44140625" style="65" customWidth="1"/>
    <col min="4871" max="4871" width="14.109375" style="65" customWidth="1"/>
    <col min="4872" max="4872" width="16.44140625" style="65" customWidth="1"/>
    <col min="4873" max="5122" width="9.109375" style="65"/>
    <col min="5123" max="5123" width="3.88671875" style="65" customWidth="1"/>
    <col min="5124" max="5124" width="37.109375" style="65" customWidth="1"/>
    <col min="5125" max="5125" width="15.88671875" style="65" customWidth="1"/>
    <col min="5126" max="5126" width="13.44140625" style="65" customWidth="1"/>
    <col min="5127" max="5127" width="14.109375" style="65" customWidth="1"/>
    <col min="5128" max="5128" width="16.44140625" style="65" customWidth="1"/>
    <col min="5129" max="5378" width="9.109375" style="65"/>
    <col min="5379" max="5379" width="3.88671875" style="65" customWidth="1"/>
    <col min="5380" max="5380" width="37.109375" style="65" customWidth="1"/>
    <col min="5381" max="5381" width="15.88671875" style="65" customWidth="1"/>
    <col min="5382" max="5382" width="13.44140625" style="65" customWidth="1"/>
    <col min="5383" max="5383" width="14.109375" style="65" customWidth="1"/>
    <col min="5384" max="5384" width="16.44140625" style="65" customWidth="1"/>
    <col min="5385" max="5634" width="9.109375" style="65"/>
    <col min="5635" max="5635" width="3.88671875" style="65" customWidth="1"/>
    <col min="5636" max="5636" width="37.109375" style="65" customWidth="1"/>
    <col min="5637" max="5637" width="15.88671875" style="65" customWidth="1"/>
    <col min="5638" max="5638" width="13.44140625" style="65" customWidth="1"/>
    <col min="5639" max="5639" width="14.109375" style="65" customWidth="1"/>
    <col min="5640" max="5640" width="16.44140625" style="65" customWidth="1"/>
    <col min="5641" max="5890" width="9.109375" style="65"/>
    <col min="5891" max="5891" width="3.88671875" style="65" customWidth="1"/>
    <col min="5892" max="5892" width="37.109375" style="65" customWidth="1"/>
    <col min="5893" max="5893" width="15.88671875" style="65" customWidth="1"/>
    <col min="5894" max="5894" width="13.44140625" style="65" customWidth="1"/>
    <col min="5895" max="5895" width="14.109375" style="65" customWidth="1"/>
    <col min="5896" max="5896" width="16.44140625" style="65" customWidth="1"/>
    <col min="5897" max="6146" width="9.109375" style="65"/>
    <col min="6147" max="6147" width="3.88671875" style="65" customWidth="1"/>
    <col min="6148" max="6148" width="37.109375" style="65" customWidth="1"/>
    <col min="6149" max="6149" width="15.88671875" style="65" customWidth="1"/>
    <col min="6150" max="6150" width="13.44140625" style="65" customWidth="1"/>
    <col min="6151" max="6151" width="14.109375" style="65" customWidth="1"/>
    <col min="6152" max="6152" width="16.44140625" style="65" customWidth="1"/>
    <col min="6153" max="6402" width="9.109375" style="65"/>
    <col min="6403" max="6403" width="3.88671875" style="65" customWidth="1"/>
    <col min="6404" max="6404" width="37.109375" style="65" customWidth="1"/>
    <col min="6405" max="6405" width="15.88671875" style="65" customWidth="1"/>
    <col min="6406" max="6406" width="13.44140625" style="65" customWidth="1"/>
    <col min="6407" max="6407" width="14.109375" style="65" customWidth="1"/>
    <col min="6408" max="6408" width="16.44140625" style="65" customWidth="1"/>
    <col min="6409" max="6658" width="9.109375" style="65"/>
    <col min="6659" max="6659" width="3.88671875" style="65" customWidth="1"/>
    <col min="6660" max="6660" width="37.109375" style="65" customWidth="1"/>
    <col min="6661" max="6661" width="15.88671875" style="65" customWidth="1"/>
    <col min="6662" max="6662" width="13.44140625" style="65" customWidth="1"/>
    <col min="6663" max="6663" width="14.109375" style="65" customWidth="1"/>
    <col min="6664" max="6664" width="16.44140625" style="65" customWidth="1"/>
    <col min="6665" max="6914" width="9.109375" style="65"/>
    <col min="6915" max="6915" width="3.88671875" style="65" customWidth="1"/>
    <col min="6916" max="6916" width="37.109375" style="65" customWidth="1"/>
    <col min="6917" max="6917" width="15.88671875" style="65" customWidth="1"/>
    <col min="6918" max="6918" width="13.44140625" style="65" customWidth="1"/>
    <col min="6919" max="6919" width="14.109375" style="65" customWidth="1"/>
    <col min="6920" max="6920" width="16.44140625" style="65" customWidth="1"/>
    <col min="6921" max="7170" width="9.109375" style="65"/>
    <col min="7171" max="7171" width="3.88671875" style="65" customWidth="1"/>
    <col min="7172" max="7172" width="37.109375" style="65" customWidth="1"/>
    <col min="7173" max="7173" width="15.88671875" style="65" customWidth="1"/>
    <col min="7174" max="7174" width="13.44140625" style="65" customWidth="1"/>
    <col min="7175" max="7175" width="14.109375" style="65" customWidth="1"/>
    <col min="7176" max="7176" width="16.44140625" style="65" customWidth="1"/>
    <col min="7177" max="7426" width="9.109375" style="65"/>
    <col min="7427" max="7427" width="3.88671875" style="65" customWidth="1"/>
    <col min="7428" max="7428" width="37.109375" style="65" customWidth="1"/>
    <col min="7429" max="7429" width="15.88671875" style="65" customWidth="1"/>
    <col min="7430" max="7430" width="13.44140625" style="65" customWidth="1"/>
    <col min="7431" max="7431" width="14.109375" style="65" customWidth="1"/>
    <col min="7432" max="7432" width="16.44140625" style="65" customWidth="1"/>
    <col min="7433" max="7682" width="9.109375" style="65"/>
    <col min="7683" max="7683" width="3.88671875" style="65" customWidth="1"/>
    <col min="7684" max="7684" width="37.109375" style="65" customWidth="1"/>
    <col min="7685" max="7685" width="15.88671875" style="65" customWidth="1"/>
    <col min="7686" max="7686" width="13.44140625" style="65" customWidth="1"/>
    <col min="7687" max="7687" width="14.109375" style="65" customWidth="1"/>
    <col min="7688" max="7688" width="16.44140625" style="65" customWidth="1"/>
    <col min="7689" max="7938" width="9.109375" style="65"/>
    <col min="7939" max="7939" width="3.88671875" style="65" customWidth="1"/>
    <col min="7940" max="7940" width="37.109375" style="65" customWidth="1"/>
    <col min="7941" max="7941" width="15.88671875" style="65" customWidth="1"/>
    <col min="7942" max="7942" width="13.44140625" style="65" customWidth="1"/>
    <col min="7943" max="7943" width="14.109375" style="65" customWidth="1"/>
    <col min="7944" max="7944" width="16.44140625" style="65" customWidth="1"/>
    <col min="7945" max="8194" width="9.109375" style="65"/>
    <col min="8195" max="8195" width="3.88671875" style="65" customWidth="1"/>
    <col min="8196" max="8196" width="37.109375" style="65" customWidth="1"/>
    <col min="8197" max="8197" width="15.88671875" style="65" customWidth="1"/>
    <col min="8198" max="8198" width="13.44140625" style="65" customWidth="1"/>
    <col min="8199" max="8199" width="14.109375" style="65" customWidth="1"/>
    <col min="8200" max="8200" width="16.44140625" style="65" customWidth="1"/>
    <col min="8201" max="8450" width="9.109375" style="65"/>
    <col min="8451" max="8451" width="3.88671875" style="65" customWidth="1"/>
    <col min="8452" max="8452" width="37.109375" style="65" customWidth="1"/>
    <col min="8453" max="8453" width="15.88671875" style="65" customWidth="1"/>
    <col min="8454" max="8454" width="13.44140625" style="65" customWidth="1"/>
    <col min="8455" max="8455" width="14.109375" style="65" customWidth="1"/>
    <col min="8456" max="8456" width="16.44140625" style="65" customWidth="1"/>
    <col min="8457" max="8706" width="9.109375" style="65"/>
    <col min="8707" max="8707" width="3.88671875" style="65" customWidth="1"/>
    <col min="8708" max="8708" width="37.109375" style="65" customWidth="1"/>
    <col min="8709" max="8709" width="15.88671875" style="65" customWidth="1"/>
    <col min="8710" max="8710" width="13.44140625" style="65" customWidth="1"/>
    <col min="8711" max="8711" width="14.109375" style="65" customWidth="1"/>
    <col min="8712" max="8712" width="16.44140625" style="65" customWidth="1"/>
    <col min="8713" max="8962" width="9.109375" style="65"/>
    <col min="8963" max="8963" width="3.88671875" style="65" customWidth="1"/>
    <col min="8964" max="8964" width="37.109375" style="65" customWidth="1"/>
    <col min="8965" max="8965" width="15.88671875" style="65" customWidth="1"/>
    <col min="8966" max="8966" width="13.44140625" style="65" customWidth="1"/>
    <col min="8967" max="8967" width="14.109375" style="65" customWidth="1"/>
    <col min="8968" max="8968" width="16.44140625" style="65" customWidth="1"/>
    <col min="8969" max="9218" width="9.109375" style="65"/>
    <col min="9219" max="9219" width="3.88671875" style="65" customWidth="1"/>
    <col min="9220" max="9220" width="37.109375" style="65" customWidth="1"/>
    <col min="9221" max="9221" width="15.88671875" style="65" customWidth="1"/>
    <col min="9222" max="9222" width="13.44140625" style="65" customWidth="1"/>
    <col min="9223" max="9223" width="14.109375" style="65" customWidth="1"/>
    <col min="9224" max="9224" width="16.44140625" style="65" customWidth="1"/>
    <col min="9225" max="9474" width="9.109375" style="65"/>
    <col min="9475" max="9475" width="3.88671875" style="65" customWidth="1"/>
    <col min="9476" max="9476" width="37.109375" style="65" customWidth="1"/>
    <col min="9477" max="9477" width="15.88671875" style="65" customWidth="1"/>
    <col min="9478" max="9478" width="13.44140625" style="65" customWidth="1"/>
    <col min="9479" max="9479" width="14.109375" style="65" customWidth="1"/>
    <col min="9480" max="9480" width="16.44140625" style="65" customWidth="1"/>
    <col min="9481" max="9730" width="9.109375" style="65"/>
    <col min="9731" max="9731" width="3.88671875" style="65" customWidth="1"/>
    <col min="9732" max="9732" width="37.109375" style="65" customWidth="1"/>
    <col min="9733" max="9733" width="15.88671875" style="65" customWidth="1"/>
    <col min="9734" max="9734" width="13.44140625" style="65" customWidth="1"/>
    <col min="9735" max="9735" width="14.109375" style="65" customWidth="1"/>
    <col min="9736" max="9736" width="16.44140625" style="65" customWidth="1"/>
    <col min="9737" max="9986" width="9.109375" style="65"/>
    <col min="9987" max="9987" width="3.88671875" style="65" customWidth="1"/>
    <col min="9988" max="9988" width="37.109375" style="65" customWidth="1"/>
    <col min="9989" max="9989" width="15.88671875" style="65" customWidth="1"/>
    <col min="9990" max="9990" width="13.44140625" style="65" customWidth="1"/>
    <col min="9991" max="9991" width="14.109375" style="65" customWidth="1"/>
    <col min="9992" max="9992" width="16.44140625" style="65" customWidth="1"/>
    <col min="9993" max="10242" width="9.109375" style="65"/>
    <col min="10243" max="10243" width="3.88671875" style="65" customWidth="1"/>
    <col min="10244" max="10244" width="37.109375" style="65" customWidth="1"/>
    <col min="10245" max="10245" width="15.88671875" style="65" customWidth="1"/>
    <col min="10246" max="10246" width="13.44140625" style="65" customWidth="1"/>
    <col min="10247" max="10247" width="14.109375" style="65" customWidth="1"/>
    <col min="10248" max="10248" width="16.44140625" style="65" customWidth="1"/>
    <col min="10249" max="10498" width="9.109375" style="65"/>
    <col min="10499" max="10499" width="3.88671875" style="65" customWidth="1"/>
    <col min="10500" max="10500" width="37.109375" style="65" customWidth="1"/>
    <col min="10501" max="10501" width="15.88671875" style="65" customWidth="1"/>
    <col min="10502" max="10502" width="13.44140625" style="65" customWidth="1"/>
    <col min="10503" max="10503" width="14.109375" style="65" customWidth="1"/>
    <col min="10504" max="10504" width="16.44140625" style="65" customWidth="1"/>
    <col min="10505" max="10754" width="9.109375" style="65"/>
    <col min="10755" max="10755" width="3.88671875" style="65" customWidth="1"/>
    <col min="10756" max="10756" width="37.109375" style="65" customWidth="1"/>
    <col min="10757" max="10757" width="15.88671875" style="65" customWidth="1"/>
    <col min="10758" max="10758" width="13.44140625" style="65" customWidth="1"/>
    <col min="10759" max="10759" width="14.109375" style="65" customWidth="1"/>
    <col min="10760" max="10760" width="16.44140625" style="65" customWidth="1"/>
    <col min="10761" max="11010" width="9.109375" style="65"/>
    <col min="11011" max="11011" width="3.88671875" style="65" customWidth="1"/>
    <col min="11012" max="11012" width="37.109375" style="65" customWidth="1"/>
    <col min="11013" max="11013" width="15.88671875" style="65" customWidth="1"/>
    <col min="11014" max="11014" width="13.44140625" style="65" customWidth="1"/>
    <col min="11015" max="11015" width="14.109375" style="65" customWidth="1"/>
    <col min="11016" max="11016" width="16.44140625" style="65" customWidth="1"/>
    <col min="11017" max="11266" width="9.109375" style="65"/>
    <col min="11267" max="11267" width="3.88671875" style="65" customWidth="1"/>
    <col min="11268" max="11268" width="37.109375" style="65" customWidth="1"/>
    <col min="11269" max="11269" width="15.88671875" style="65" customWidth="1"/>
    <col min="11270" max="11270" width="13.44140625" style="65" customWidth="1"/>
    <col min="11271" max="11271" width="14.109375" style="65" customWidth="1"/>
    <col min="11272" max="11272" width="16.44140625" style="65" customWidth="1"/>
    <col min="11273" max="11522" width="9.109375" style="65"/>
    <col min="11523" max="11523" width="3.88671875" style="65" customWidth="1"/>
    <col min="11524" max="11524" width="37.109375" style="65" customWidth="1"/>
    <col min="11525" max="11525" width="15.88671875" style="65" customWidth="1"/>
    <col min="11526" max="11526" width="13.44140625" style="65" customWidth="1"/>
    <col min="11527" max="11527" width="14.109375" style="65" customWidth="1"/>
    <col min="11528" max="11528" width="16.44140625" style="65" customWidth="1"/>
    <col min="11529" max="11778" width="9.109375" style="65"/>
    <col min="11779" max="11779" width="3.88671875" style="65" customWidth="1"/>
    <col min="11780" max="11780" width="37.109375" style="65" customWidth="1"/>
    <col min="11781" max="11781" width="15.88671875" style="65" customWidth="1"/>
    <col min="11782" max="11782" width="13.44140625" style="65" customWidth="1"/>
    <col min="11783" max="11783" width="14.109375" style="65" customWidth="1"/>
    <col min="11784" max="11784" width="16.44140625" style="65" customWidth="1"/>
    <col min="11785" max="12034" width="9.109375" style="65"/>
    <col min="12035" max="12035" width="3.88671875" style="65" customWidth="1"/>
    <col min="12036" max="12036" width="37.109375" style="65" customWidth="1"/>
    <col min="12037" max="12037" width="15.88671875" style="65" customWidth="1"/>
    <col min="12038" max="12038" width="13.44140625" style="65" customWidth="1"/>
    <col min="12039" max="12039" width="14.109375" style="65" customWidth="1"/>
    <col min="12040" max="12040" width="16.44140625" style="65" customWidth="1"/>
    <col min="12041" max="12290" width="9.109375" style="65"/>
    <col min="12291" max="12291" width="3.88671875" style="65" customWidth="1"/>
    <col min="12292" max="12292" width="37.109375" style="65" customWidth="1"/>
    <col min="12293" max="12293" width="15.88671875" style="65" customWidth="1"/>
    <col min="12294" max="12294" width="13.44140625" style="65" customWidth="1"/>
    <col min="12295" max="12295" width="14.109375" style="65" customWidth="1"/>
    <col min="12296" max="12296" width="16.44140625" style="65" customWidth="1"/>
    <col min="12297" max="12546" width="9.109375" style="65"/>
    <col min="12547" max="12547" width="3.88671875" style="65" customWidth="1"/>
    <col min="12548" max="12548" width="37.109375" style="65" customWidth="1"/>
    <col min="12549" max="12549" width="15.88671875" style="65" customWidth="1"/>
    <col min="12550" max="12550" width="13.44140625" style="65" customWidth="1"/>
    <col min="12551" max="12551" width="14.109375" style="65" customWidth="1"/>
    <col min="12552" max="12552" width="16.44140625" style="65" customWidth="1"/>
    <col min="12553" max="12802" width="9.109375" style="65"/>
    <col min="12803" max="12803" width="3.88671875" style="65" customWidth="1"/>
    <col min="12804" max="12804" width="37.109375" style="65" customWidth="1"/>
    <col min="12805" max="12805" width="15.88671875" style="65" customWidth="1"/>
    <col min="12806" max="12806" width="13.44140625" style="65" customWidth="1"/>
    <col min="12807" max="12807" width="14.109375" style="65" customWidth="1"/>
    <col min="12808" max="12808" width="16.44140625" style="65" customWidth="1"/>
    <col min="12809" max="13058" width="9.109375" style="65"/>
    <col min="13059" max="13059" width="3.88671875" style="65" customWidth="1"/>
    <col min="13060" max="13060" width="37.109375" style="65" customWidth="1"/>
    <col min="13061" max="13061" width="15.88671875" style="65" customWidth="1"/>
    <col min="13062" max="13062" width="13.44140625" style="65" customWidth="1"/>
    <col min="13063" max="13063" width="14.109375" style="65" customWidth="1"/>
    <col min="13064" max="13064" width="16.44140625" style="65" customWidth="1"/>
    <col min="13065" max="13314" width="9.109375" style="65"/>
    <col min="13315" max="13315" width="3.88671875" style="65" customWidth="1"/>
    <col min="13316" max="13316" width="37.109375" style="65" customWidth="1"/>
    <col min="13317" max="13317" width="15.88671875" style="65" customWidth="1"/>
    <col min="13318" max="13318" width="13.44140625" style="65" customWidth="1"/>
    <col min="13319" max="13319" width="14.109375" style="65" customWidth="1"/>
    <col min="13320" max="13320" width="16.44140625" style="65" customWidth="1"/>
    <col min="13321" max="13570" width="9.109375" style="65"/>
    <col min="13571" max="13571" width="3.88671875" style="65" customWidth="1"/>
    <col min="13572" max="13572" width="37.109375" style="65" customWidth="1"/>
    <col min="13573" max="13573" width="15.88671875" style="65" customWidth="1"/>
    <col min="13574" max="13574" width="13.44140625" style="65" customWidth="1"/>
    <col min="13575" max="13575" width="14.109375" style="65" customWidth="1"/>
    <col min="13576" max="13576" width="16.44140625" style="65" customWidth="1"/>
    <col min="13577" max="13826" width="9.109375" style="65"/>
    <col min="13827" max="13827" width="3.88671875" style="65" customWidth="1"/>
    <col min="13828" max="13828" width="37.109375" style="65" customWidth="1"/>
    <col min="13829" max="13829" width="15.88671875" style="65" customWidth="1"/>
    <col min="13830" max="13830" width="13.44140625" style="65" customWidth="1"/>
    <col min="13831" max="13831" width="14.109375" style="65" customWidth="1"/>
    <col min="13832" max="13832" width="16.44140625" style="65" customWidth="1"/>
    <col min="13833" max="14082" width="9.109375" style="65"/>
    <col min="14083" max="14083" width="3.88671875" style="65" customWidth="1"/>
    <col min="14084" max="14084" width="37.109375" style="65" customWidth="1"/>
    <col min="14085" max="14085" width="15.88671875" style="65" customWidth="1"/>
    <col min="14086" max="14086" width="13.44140625" style="65" customWidth="1"/>
    <col min="14087" max="14087" width="14.109375" style="65" customWidth="1"/>
    <col min="14088" max="14088" width="16.44140625" style="65" customWidth="1"/>
    <col min="14089" max="14338" width="9.109375" style="65"/>
    <col min="14339" max="14339" width="3.88671875" style="65" customWidth="1"/>
    <col min="14340" max="14340" width="37.109375" style="65" customWidth="1"/>
    <col min="14341" max="14341" width="15.88671875" style="65" customWidth="1"/>
    <col min="14342" max="14342" width="13.44140625" style="65" customWidth="1"/>
    <col min="14343" max="14343" width="14.109375" style="65" customWidth="1"/>
    <col min="14344" max="14344" width="16.44140625" style="65" customWidth="1"/>
    <col min="14345" max="14594" width="9.109375" style="65"/>
    <col min="14595" max="14595" width="3.88671875" style="65" customWidth="1"/>
    <col min="14596" max="14596" width="37.109375" style="65" customWidth="1"/>
    <col min="14597" max="14597" width="15.88671875" style="65" customWidth="1"/>
    <col min="14598" max="14598" width="13.44140625" style="65" customWidth="1"/>
    <col min="14599" max="14599" width="14.109375" style="65" customWidth="1"/>
    <col min="14600" max="14600" width="16.44140625" style="65" customWidth="1"/>
    <col min="14601" max="14850" width="9.109375" style="65"/>
    <col min="14851" max="14851" width="3.88671875" style="65" customWidth="1"/>
    <col min="14852" max="14852" width="37.109375" style="65" customWidth="1"/>
    <col min="14853" max="14853" width="15.88671875" style="65" customWidth="1"/>
    <col min="14854" max="14854" width="13.44140625" style="65" customWidth="1"/>
    <col min="14855" max="14855" width="14.109375" style="65" customWidth="1"/>
    <col min="14856" max="14856" width="16.44140625" style="65" customWidth="1"/>
    <col min="14857" max="15106" width="9.109375" style="65"/>
    <col min="15107" max="15107" width="3.88671875" style="65" customWidth="1"/>
    <col min="15108" max="15108" width="37.109375" style="65" customWidth="1"/>
    <col min="15109" max="15109" width="15.88671875" style="65" customWidth="1"/>
    <col min="15110" max="15110" width="13.44140625" style="65" customWidth="1"/>
    <col min="15111" max="15111" width="14.109375" style="65" customWidth="1"/>
    <col min="15112" max="15112" width="16.44140625" style="65" customWidth="1"/>
    <col min="15113" max="15362" width="9.109375" style="65"/>
    <col min="15363" max="15363" width="3.88671875" style="65" customWidth="1"/>
    <col min="15364" max="15364" width="37.109375" style="65" customWidth="1"/>
    <col min="15365" max="15365" width="15.88671875" style="65" customWidth="1"/>
    <col min="15366" max="15366" width="13.44140625" style="65" customWidth="1"/>
    <col min="15367" max="15367" width="14.109375" style="65" customWidth="1"/>
    <col min="15368" max="15368" width="16.44140625" style="65" customWidth="1"/>
    <col min="15369" max="15618" width="9.109375" style="65"/>
    <col min="15619" max="15619" width="3.88671875" style="65" customWidth="1"/>
    <col min="15620" max="15620" width="37.109375" style="65" customWidth="1"/>
    <col min="15621" max="15621" width="15.88671875" style="65" customWidth="1"/>
    <col min="15622" max="15622" width="13.44140625" style="65" customWidth="1"/>
    <col min="15623" max="15623" width="14.109375" style="65" customWidth="1"/>
    <col min="15624" max="15624" width="16.44140625" style="65" customWidth="1"/>
    <col min="15625" max="15874" width="9.109375" style="65"/>
    <col min="15875" max="15875" width="3.88671875" style="65" customWidth="1"/>
    <col min="15876" max="15876" width="37.109375" style="65" customWidth="1"/>
    <col min="15877" max="15877" width="15.88671875" style="65" customWidth="1"/>
    <col min="15878" max="15878" width="13.44140625" style="65" customWidth="1"/>
    <col min="15879" max="15879" width="14.109375" style="65" customWidth="1"/>
    <col min="15880" max="15880" width="16.44140625" style="65" customWidth="1"/>
    <col min="15881" max="16130" width="9.109375" style="65"/>
    <col min="16131" max="16131" width="3.88671875" style="65" customWidth="1"/>
    <col min="16132" max="16132" width="37.109375" style="65" customWidth="1"/>
    <col min="16133" max="16133" width="15.88671875" style="65" customWidth="1"/>
    <col min="16134" max="16134" width="13.44140625" style="65" customWidth="1"/>
    <col min="16135" max="16135" width="14.109375" style="65" customWidth="1"/>
    <col min="16136" max="16136" width="16.44140625" style="65" customWidth="1"/>
    <col min="16137" max="16384" width="9.109375" style="65"/>
  </cols>
  <sheetData>
    <row r="1" spans="1:10">
      <c r="A1" s="1" t="s">
        <v>0</v>
      </c>
      <c r="B1" s="1"/>
      <c r="C1" s="1"/>
      <c r="H1" s="74"/>
      <c r="I1" s="3"/>
      <c r="J1" s="3"/>
    </row>
    <row r="2" spans="1:10">
      <c r="A2" s="1"/>
      <c r="B2" s="1"/>
      <c r="C2" s="1"/>
      <c r="H2" s="74"/>
      <c r="I2" s="3"/>
      <c r="J2" s="3"/>
    </row>
    <row r="3" spans="1:10">
      <c r="A3" s="894"/>
      <c r="B3" s="1"/>
      <c r="C3" s="1"/>
      <c r="D3" s="1"/>
      <c r="E3" s="1"/>
      <c r="F3" s="1"/>
      <c r="G3" s="1"/>
      <c r="H3" s="74"/>
      <c r="I3" s="3"/>
      <c r="J3" s="3"/>
    </row>
    <row r="4" spans="1:10">
      <c r="A4" s="894"/>
      <c r="B4" s="4" t="s">
        <v>1</v>
      </c>
      <c r="C4" s="5"/>
      <c r="D4" s="5"/>
      <c r="E4" s="5"/>
      <c r="F4" s="5"/>
      <c r="G4" s="5"/>
      <c r="H4" s="75"/>
      <c r="I4" s="3"/>
      <c r="J4" s="3"/>
    </row>
    <row r="5" spans="1:10">
      <c r="A5" s="894"/>
      <c r="B5" s="1"/>
      <c r="C5" s="1"/>
      <c r="D5" s="1"/>
      <c r="E5" s="1"/>
      <c r="F5" s="1"/>
      <c r="G5" s="1"/>
      <c r="H5" s="74"/>
      <c r="I5" s="3"/>
      <c r="J5" s="3"/>
    </row>
    <row r="6" spans="1:10">
      <c r="A6" s="894" t="s">
        <v>2</v>
      </c>
      <c r="B6" s="6"/>
      <c r="C6" s="6" t="s">
        <v>4725</v>
      </c>
      <c r="D6" s="6"/>
      <c r="E6" s="6"/>
      <c r="F6" s="6"/>
      <c r="G6" s="6"/>
      <c r="H6" s="76"/>
      <c r="I6" s="3"/>
      <c r="J6" s="3"/>
    </row>
    <row r="7" spans="1:10" hidden="1">
      <c r="A7" s="894" t="s">
        <v>4</v>
      </c>
      <c r="B7" s="1"/>
      <c r="C7" s="1"/>
      <c r="D7" s="1"/>
      <c r="E7" s="1"/>
      <c r="F7" s="1"/>
      <c r="G7" s="1"/>
      <c r="H7" s="74"/>
      <c r="I7" s="3"/>
      <c r="J7" s="3"/>
    </row>
    <row r="8" spans="1:10" hidden="1">
      <c r="A8" s="894" t="s">
        <v>6</v>
      </c>
      <c r="B8" s="1"/>
      <c r="C8" s="1"/>
      <c r="D8" s="1"/>
      <c r="E8" s="1"/>
      <c r="F8" s="1"/>
      <c r="G8" s="1"/>
      <c r="H8" s="74"/>
      <c r="I8" s="3"/>
      <c r="J8" s="3"/>
    </row>
    <row r="9" spans="1:10" hidden="1">
      <c r="A9" s="5543" t="s">
        <v>7</v>
      </c>
      <c r="B9" s="12"/>
      <c r="C9" s="12" t="s">
        <v>8</v>
      </c>
      <c r="D9" s="12"/>
      <c r="E9" s="12"/>
      <c r="F9" s="12"/>
      <c r="G9" s="12"/>
      <c r="H9" s="78"/>
      <c r="I9" s="3"/>
      <c r="J9" s="3"/>
    </row>
    <row r="10" spans="1:10" ht="8.25" customHeight="1" thickBot="1">
      <c r="A10" s="5544"/>
      <c r="B10" s="7"/>
      <c r="C10" s="7"/>
      <c r="D10" s="7"/>
      <c r="E10" s="7"/>
      <c r="F10" s="5517"/>
      <c r="G10" s="5517"/>
      <c r="H10" s="80"/>
      <c r="I10" s="3"/>
      <c r="J10" s="3"/>
    </row>
    <row r="11" spans="1:10">
      <c r="A11" s="93"/>
      <c r="B11" s="8"/>
      <c r="C11" s="62" t="s">
        <v>103</v>
      </c>
      <c r="D11" s="9" t="s">
        <v>10</v>
      </c>
      <c r="E11" s="9" t="s">
        <v>11</v>
      </c>
      <c r="F11" s="5461" t="s">
        <v>9985</v>
      </c>
      <c r="G11" s="5461"/>
      <c r="H11" s="82" t="s">
        <v>12</v>
      </c>
      <c r="I11" s="3"/>
      <c r="J11" s="3"/>
    </row>
    <row r="12" spans="1:10">
      <c r="A12" s="93"/>
      <c r="B12" s="8" t="s">
        <v>13</v>
      </c>
      <c r="C12" s="62" t="s">
        <v>94</v>
      </c>
      <c r="D12" s="9"/>
      <c r="E12" s="9" t="s">
        <v>16</v>
      </c>
      <c r="F12" s="5461">
        <v>2016</v>
      </c>
      <c r="G12" s="5461"/>
      <c r="H12" s="82" t="s">
        <v>16</v>
      </c>
      <c r="I12" s="3"/>
      <c r="J12" s="3"/>
    </row>
    <row r="13" spans="1:10" ht="14.4" thickBot="1">
      <c r="A13" s="5549"/>
      <c r="B13" s="10"/>
      <c r="C13" s="27"/>
      <c r="D13" s="11">
        <v>2015</v>
      </c>
      <c r="E13" s="11">
        <v>2016</v>
      </c>
      <c r="F13" s="5462"/>
      <c r="G13" s="5462"/>
      <c r="H13" s="84">
        <v>2017</v>
      </c>
      <c r="I13" s="3"/>
      <c r="J13" s="3"/>
    </row>
    <row r="14" spans="1:10" ht="3" customHeight="1">
      <c r="A14" s="93"/>
      <c r="B14" s="8"/>
      <c r="C14" s="62"/>
      <c r="D14" s="9"/>
      <c r="E14" s="9"/>
      <c r="F14" s="5518"/>
      <c r="G14" s="5518"/>
      <c r="H14" s="85"/>
      <c r="I14" s="3"/>
      <c r="J14" s="3"/>
    </row>
    <row r="15" spans="1:10" hidden="1">
      <c r="A15" s="86" t="s">
        <v>17</v>
      </c>
      <c r="B15" s="12" t="s">
        <v>18</v>
      </c>
      <c r="C15" s="13"/>
      <c r="D15" s="14"/>
      <c r="E15" s="14"/>
      <c r="F15" s="5519"/>
      <c r="G15" s="5519"/>
      <c r="H15" s="87"/>
      <c r="I15" s="3"/>
      <c r="J15" s="3"/>
    </row>
    <row r="16" spans="1:10" hidden="1">
      <c r="A16" s="86"/>
      <c r="B16" s="88" t="s">
        <v>19</v>
      </c>
      <c r="C16" s="13"/>
      <c r="D16" s="14"/>
      <c r="E16" s="14"/>
      <c r="F16" s="5519"/>
      <c r="G16" s="5519"/>
      <c r="H16" s="67"/>
      <c r="I16" s="3"/>
      <c r="J16" s="3"/>
    </row>
    <row r="17" spans="1:10" hidden="1">
      <c r="A17" s="86"/>
      <c r="B17" s="88" t="s">
        <v>56</v>
      </c>
      <c r="C17" s="13">
        <v>701</v>
      </c>
      <c r="D17" s="14"/>
      <c r="E17" s="111"/>
      <c r="F17" s="5520"/>
      <c r="G17" s="5520"/>
      <c r="H17" s="87"/>
      <c r="I17" s="3"/>
      <c r="J17" s="3"/>
    </row>
    <row r="18" spans="1:10" hidden="1">
      <c r="A18" s="86"/>
      <c r="B18" s="88" t="s">
        <v>58</v>
      </c>
      <c r="C18" s="13">
        <v>711</v>
      </c>
      <c r="D18" s="14"/>
      <c r="E18" s="111"/>
      <c r="F18" s="5520"/>
      <c r="G18" s="5520"/>
      <c r="H18" s="87"/>
      <c r="I18" s="3"/>
      <c r="J18" s="3"/>
    </row>
    <row r="19" spans="1:10" s="41" customFormat="1" hidden="1">
      <c r="A19" s="38"/>
      <c r="B19" s="37" t="s">
        <v>104</v>
      </c>
      <c r="C19" s="40">
        <v>713</v>
      </c>
      <c r="D19" s="39"/>
      <c r="E19" s="39"/>
      <c r="F19" s="5521"/>
      <c r="G19" s="5521"/>
      <c r="H19" s="39"/>
      <c r="I19" s="108"/>
      <c r="J19" s="35"/>
    </row>
    <row r="20" spans="1:10" s="41" customFormat="1" hidden="1">
      <c r="A20" s="38"/>
      <c r="B20" s="37" t="s">
        <v>105</v>
      </c>
      <c r="C20" s="40">
        <v>714</v>
      </c>
      <c r="D20" s="39"/>
      <c r="E20" s="39"/>
      <c r="F20" s="5521"/>
      <c r="G20" s="5521"/>
      <c r="H20" s="39"/>
      <c r="I20" s="35"/>
      <c r="J20" s="35"/>
    </row>
    <row r="21" spans="1:10" hidden="1">
      <c r="A21" s="86"/>
      <c r="B21" s="88" t="s">
        <v>79</v>
      </c>
      <c r="C21" s="13">
        <v>715</v>
      </c>
      <c r="D21" s="14"/>
      <c r="E21" s="111"/>
      <c r="F21" s="5520"/>
      <c r="G21" s="5520"/>
      <c r="H21" s="87"/>
      <c r="I21" s="3"/>
      <c r="J21" s="3"/>
    </row>
    <row r="22" spans="1:10" hidden="1">
      <c r="A22" s="86"/>
      <c r="B22" s="88" t="s">
        <v>23</v>
      </c>
      <c r="C22" s="13">
        <v>717</v>
      </c>
      <c r="D22" s="14"/>
      <c r="E22" s="111"/>
      <c r="F22" s="5520"/>
      <c r="G22" s="5520"/>
      <c r="H22" s="87"/>
      <c r="I22" s="3"/>
      <c r="J22" s="3"/>
    </row>
    <row r="23" spans="1:10" hidden="1">
      <c r="A23" s="86"/>
      <c r="B23" s="88" t="s">
        <v>26</v>
      </c>
      <c r="C23" s="13">
        <v>724</v>
      </c>
      <c r="D23" s="14"/>
      <c r="E23" s="111"/>
      <c r="F23" s="5520"/>
      <c r="G23" s="5520"/>
      <c r="H23" s="87"/>
      <c r="I23" s="3"/>
      <c r="J23" s="3"/>
    </row>
    <row r="24" spans="1:10" hidden="1">
      <c r="A24" s="86"/>
      <c r="B24" s="88" t="s">
        <v>27</v>
      </c>
      <c r="C24" s="13">
        <v>725</v>
      </c>
      <c r="D24" s="14"/>
      <c r="E24" s="111"/>
      <c r="F24" s="5520"/>
      <c r="G24" s="5520"/>
      <c r="H24" s="87"/>
      <c r="I24" s="3"/>
      <c r="J24" s="3"/>
    </row>
    <row r="25" spans="1:10" hidden="1">
      <c r="A25" s="86"/>
      <c r="B25" s="88" t="s">
        <v>59</v>
      </c>
      <c r="C25" s="13">
        <v>731</v>
      </c>
      <c r="D25" s="14"/>
      <c r="E25" s="111"/>
      <c r="F25" s="5520"/>
      <c r="G25" s="5520"/>
      <c r="H25" s="87"/>
      <c r="I25" s="3"/>
      <c r="J25" s="3"/>
    </row>
    <row r="26" spans="1:10" hidden="1">
      <c r="A26" s="86"/>
      <c r="B26" s="88" t="s">
        <v>28</v>
      </c>
      <c r="C26" s="13">
        <v>732</v>
      </c>
      <c r="D26" s="14"/>
      <c r="E26" s="111"/>
      <c r="F26" s="5520"/>
      <c r="G26" s="5520"/>
      <c r="H26" s="87"/>
      <c r="I26" s="3"/>
      <c r="J26" s="3"/>
    </row>
    <row r="27" spans="1:10" hidden="1">
      <c r="A27" s="86"/>
      <c r="B27" s="88" t="s">
        <v>29</v>
      </c>
      <c r="C27" s="13">
        <v>733</v>
      </c>
      <c r="D27" s="14"/>
      <c r="E27" s="111"/>
      <c r="F27" s="5520"/>
      <c r="G27" s="5520"/>
      <c r="H27" s="87"/>
      <c r="I27" s="3"/>
      <c r="J27" s="3"/>
    </row>
    <row r="28" spans="1:10" hidden="1">
      <c r="A28" s="86"/>
      <c r="B28" s="88" t="s">
        <v>30</v>
      </c>
      <c r="C28" s="13">
        <v>734</v>
      </c>
      <c r="D28" s="14"/>
      <c r="E28" s="111"/>
      <c r="F28" s="5520"/>
      <c r="G28" s="5520"/>
      <c r="H28" s="87"/>
      <c r="I28" s="3"/>
      <c r="J28" s="3"/>
    </row>
    <row r="29" spans="1:10" hidden="1">
      <c r="A29" s="86"/>
      <c r="B29" s="88" t="s">
        <v>32</v>
      </c>
      <c r="C29" s="13">
        <v>749</v>
      </c>
      <c r="D29" s="14"/>
      <c r="E29" s="111"/>
      <c r="F29" s="5520"/>
      <c r="G29" s="5520"/>
      <c r="H29" s="87"/>
      <c r="I29" s="3"/>
      <c r="J29" s="3"/>
    </row>
    <row r="30" spans="1:10" hidden="1">
      <c r="A30" s="86"/>
      <c r="B30" s="88" t="s">
        <v>60</v>
      </c>
      <c r="C30" s="15" t="s">
        <v>133</v>
      </c>
      <c r="D30" s="14"/>
      <c r="E30" s="111"/>
      <c r="F30" s="5520"/>
      <c r="G30" s="5520"/>
      <c r="H30" s="87"/>
      <c r="I30" s="3"/>
      <c r="J30" s="3"/>
    </row>
    <row r="31" spans="1:10" s="25" customFormat="1" hidden="1">
      <c r="A31" s="89"/>
      <c r="B31" s="8" t="s">
        <v>182</v>
      </c>
      <c r="C31" s="90"/>
      <c r="D31" s="91"/>
      <c r="E31" s="872">
        <f>H31</f>
        <v>0</v>
      </c>
      <c r="F31" s="5522"/>
      <c r="G31" s="5522"/>
      <c r="H31" s="92">
        <f>SUM(H17:H30)</f>
        <v>0</v>
      </c>
      <c r="I31" s="26"/>
      <c r="J31" s="26"/>
    </row>
    <row r="32" spans="1:10" ht="4.5" hidden="1" customHeight="1">
      <c r="A32" s="86"/>
      <c r="B32" s="12"/>
      <c r="C32" s="13"/>
      <c r="D32" s="14"/>
      <c r="E32" s="14"/>
      <c r="F32" s="5519"/>
      <c r="G32" s="5519"/>
      <c r="H32" s="87"/>
      <c r="I32" s="3"/>
      <c r="J32" s="3"/>
    </row>
    <row r="33" spans="1:10">
      <c r="A33" s="86"/>
      <c r="B33" s="12" t="s">
        <v>38</v>
      </c>
      <c r="C33" s="15"/>
      <c r="D33" s="30"/>
      <c r="E33" s="87"/>
      <c r="F33" s="5523"/>
      <c r="G33" s="5523"/>
      <c r="H33" s="87"/>
      <c r="I33" s="3"/>
      <c r="J33" s="3"/>
    </row>
    <row r="34" spans="1:10">
      <c r="A34" s="93"/>
      <c r="B34" s="12" t="s">
        <v>183</v>
      </c>
      <c r="C34" s="15">
        <v>751</v>
      </c>
      <c r="D34" s="87">
        <v>56944.68</v>
      </c>
      <c r="E34" s="87">
        <v>90750</v>
      </c>
      <c r="F34" s="5531">
        <v>17238</v>
      </c>
      <c r="G34" s="5488">
        <f>F34/E34</f>
        <v>0.18995041322314049</v>
      </c>
      <c r="H34" s="87">
        <v>50000</v>
      </c>
      <c r="I34" s="3"/>
      <c r="J34" s="3"/>
    </row>
    <row r="35" spans="1:10">
      <c r="A35" s="93"/>
      <c r="B35" s="12" t="s">
        <v>41</v>
      </c>
      <c r="C35" s="15">
        <v>753</v>
      </c>
      <c r="D35" s="87">
        <v>9050</v>
      </c>
      <c r="E35" s="87">
        <v>24200</v>
      </c>
      <c r="F35" s="5531">
        <v>0</v>
      </c>
      <c r="G35" s="5488">
        <f t="shared" ref="G35:G52" si="0">F35/E35</f>
        <v>0</v>
      </c>
      <c r="H35" s="87">
        <v>52500</v>
      </c>
      <c r="I35" s="3"/>
      <c r="J35" s="3"/>
    </row>
    <row r="36" spans="1:10">
      <c r="A36" s="93"/>
      <c r="B36" s="12" t="s">
        <v>42</v>
      </c>
      <c r="C36" s="15">
        <v>755</v>
      </c>
      <c r="D36" s="87">
        <v>121224.5</v>
      </c>
      <c r="E36" s="87">
        <v>150000</v>
      </c>
      <c r="F36" s="5531">
        <v>83612.399999999994</v>
      </c>
      <c r="G36" s="5488">
        <f t="shared" si="0"/>
        <v>0.55741599999999991</v>
      </c>
      <c r="H36" s="87">
        <v>158756</v>
      </c>
      <c r="I36" s="3"/>
      <c r="J36" s="3"/>
    </row>
    <row r="37" spans="1:10">
      <c r="A37" s="93"/>
      <c r="B37" s="29" t="s">
        <v>61</v>
      </c>
      <c r="C37" s="15">
        <v>761</v>
      </c>
      <c r="D37" s="87">
        <v>39185</v>
      </c>
      <c r="E37" s="87">
        <v>137500</v>
      </c>
      <c r="F37" s="5531">
        <v>32120</v>
      </c>
      <c r="G37" s="5488">
        <f t="shared" si="0"/>
        <v>0.2336</v>
      </c>
      <c r="H37" s="87">
        <v>117500</v>
      </c>
      <c r="I37" s="3"/>
      <c r="J37" s="3"/>
    </row>
    <row r="38" spans="1:10">
      <c r="A38" s="1266"/>
      <c r="B38" s="29" t="s">
        <v>45</v>
      </c>
      <c r="C38" s="870">
        <v>766</v>
      </c>
      <c r="D38" s="1033">
        <v>21809.11</v>
      </c>
      <c r="E38" s="1033">
        <v>39600</v>
      </c>
      <c r="F38" s="5531">
        <v>3599.73</v>
      </c>
      <c r="G38" s="5488">
        <f t="shared" si="0"/>
        <v>9.0902272727272734E-2</v>
      </c>
      <c r="H38" s="1033">
        <v>39600</v>
      </c>
      <c r="I38" s="3"/>
      <c r="J38" s="3"/>
    </row>
    <row r="39" spans="1:10">
      <c r="A39" s="1266"/>
      <c r="B39" s="29" t="s">
        <v>46</v>
      </c>
      <c r="C39" s="870">
        <v>767</v>
      </c>
      <c r="D39" s="1033">
        <v>369078.28</v>
      </c>
      <c r="E39" s="1033">
        <v>726000</v>
      </c>
      <c r="F39" s="5531">
        <v>383264.89</v>
      </c>
      <c r="G39" s="5488">
        <f t="shared" si="0"/>
        <v>0.5279130716253444</v>
      </c>
      <c r="H39" s="1033">
        <v>726000</v>
      </c>
      <c r="I39" s="3"/>
      <c r="J39" s="3"/>
    </row>
    <row r="40" spans="1:10">
      <c r="A40" s="1266"/>
      <c r="B40" s="29" t="s">
        <v>62</v>
      </c>
      <c r="C40" s="870">
        <v>771</v>
      </c>
      <c r="D40" s="1033">
        <v>7493</v>
      </c>
      <c r="E40" s="1033">
        <v>14520</v>
      </c>
      <c r="F40" s="5531">
        <v>4921</v>
      </c>
      <c r="G40" s="5488">
        <f t="shared" si="0"/>
        <v>0.33891184573002753</v>
      </c>
      <c r="H40" s="1033">
        <v>15972</v>
      </c>
      <c r="I40" s="3"/>
      <c r="J40" s="3"/>
    </row>
    <row r="41" spans="1:10" s="5566" customFormat="1">
      <c r="A41" s="94"/>
      <c r="B41" s="95" t="s">
        <v>184</v>
      </c>
      <c r="C41" s="96">
        <v>772</v>
      </c>
      <c r="D41" s="98">
        <v>53201.69</v>
      </c>
      <c r="E41" s="98">
        <v>66550</v>
      </c>
      <c r="F41" s="5532">
        <v>48682.59</v>
      </c>
      <c r="G41" s="5488">
        <f t="shared" si="0"/>
        <v>0.73151900826446281</v>
      </c>
      <c r="H41" s="98">
        <v>73205</v>
      </c>
      <c r="I41" s="99"/>
      <c r="J41" s="100"/>
    </row>
    <row r="42" spans="1:10" s="5566" customFormat="1">
      <c r="A42" s="94"/>
      <c r="B42" s="95" t="s">
        <v>136</v>
      </c>
      <c r="C42" s="96">
        <v>774</v>
      </c>
      <c r="D42" s="98">
        <v>34164.74</v>
      </c>
      <c r="E42" s="98">
        <v>60500</v>
      </c>
      <c r="F42" s="5532">
        <v>16194.19</v>
      </c>
      <c r="G42" s="5488">
        <f t="shared" si="0"/>
        <v>0.26767256198347106</v>
      </c>
      <c r="H42" s="98">
        <v>66550</v>
      </c>
      <c r="I42" s="99"/>
      <c r="J42" s="100"/>
    </row>
    <row r="43" spans="1:10" s="5566" customFormat="1">
      <c r="A43" s="1268"/>
      <c r="B43" s="95" t="s">
        <v>3375</v>
      </c>
      <c r="C43" s="1269">
        <v>775</v>
      </c>
      <c r="D43" s="1033">
        <v>0</v>
      </c>
      <c r="E43" s="1033">
        <v>6050</v>
      </c>
      <c r="F43" s="5531">
        <v>0</v>
      </c>
      <c r="G43" s="5488">
        <f t="shared" si="0"/>
        <v>0</v>
      </c>
      <c r="H43" s="1033">
        <v>6050</v>
      </c>
      <c r="I43" s="99"/>
      <c r="J43" s="100"/>
    </row>
    <row r="44" spans="1:10">
      <c r="A44" s="93"/>
      <c r="B44" s="29" t="s">
        <v>128</v>
      </c>
      <c r="C44" s="15">
        <v>786</v>
      </c>
      <c r="D44" s="87">
        <v>4690</v>
      </c>
      <c r="E44" s="87">
        <v>9075</v>
      </c>
      <c r="F44" s="5531">
        <v>0</v>
      </c>
      <c r="G44" s="5488">
        <f t="shared" si="0"/>
        <v>0</v>
      </c>
      <c r="H44" s="87">
        <v>9075</v>
      </c>
      <c r="I44" s="99"/>
      <c r="J44" s="3"/>
    </row>
    <row r="45" spans="1:10">
      <c r="A45" s="1266"/>
      <c r="B45" s="29" t="s">
        <v>65</v>
      </c>
      <c r="C45" s="870">
        <v>795</v>
      </c>
      <c r="D45" s="1033">
        <v>121116.5</v>
      </c>
      <c r="E45" s="1033">
        <v>138000</v>
      </c>
      <c r="F45" s="5531">
        <v>60256.63</v>
      </c>
      <c r="G45" s="5488">
        <f t="shared" si="0"/>
        <v>0.43664224637681159</v>
      </c>
      <c r="H45" s="1033">
        <v>150000</v>
      </c>
      <c r="I45" s="99"/>
      <c r="J45" s="3"/>
    </row>
    <row r="46" spans="1:10">
      <c r="A46" s="1266"/>
      <c r="B46" s="29" t="s">
        <v>4719</v>
      </c>
      <c r="C46" s="870">
        <v>811</v>
      </c>
      <c r="D46" s="1033">
        <v>25000</v>
      </c>
      <c r="E46" s="1033">
        <v>36300</v>
      </c>
      <c r="F46" s="5531">
        <v>0</v>
      </c>
      <c r="G46" s="5488">
        <f t="shared" si="0"/>
        <v>0</v>
      </c>
      <c r="H46" s="1033">
        <v>39930</v>
      </c>
      <c r="I46" s="99"/>
      <c r="J46" s="3"/>
    </row>
    <row r="47" spans="1:10">
      <c r="A47" s="1266"/>
      <c r="B47" s="29" t="s">
        <v>4720</v>
      </c>
      <c r="C47" s="870">
        <v>821</v>
      </c>
      <c r="D47" s="1033">
        <v>10000</v>
      </c>
      <c r="E47" s="1033">
        <v>11000</v>
      </c>
      <c r="F47" s="5531">
        <v>0</v>
      </c>
      <c r="G47" s="5488">
        <f t="shared" si="0"/>
        <v>0</v>
      </c>
      <c r="H47" s="1033">
        <v>12100</v>
      </c>
      <c r="I47" s="99"/>
      <c r="J47" s="3"/>
    </row>
    <row r="48" spans="1:10">
      <c r="A48" s="1266"/>
      <c r="B48" s="29" t="s">
        <v>4721</v>
      </c>
      <c r="C48" s="870">
        <v>822</v>
      </c>
      <c r="D48" s="1033">
        <v>2500</v>
      </c>
      <c r="E48" s="1033">
        <v>11000</v>
      </c>
      <c r="F48" s="5531">
        <v>0</v>
      </c>
      <c r="G48" s="5488">
        <f t="shared" si="0"/>
        <v>0</v>
      </c>
      <c r="H48" s="1033">
        <v>11000</v>
      </c>
      <c r="I48" s="99"/>
      <c r="J48" s="3"/>
    </row>
    <row r="49" spans="1:10">
      <c r="A49" s="93"/>
      <c r="B49" s="29" t="s">
        <v>186</v>
      </c>
      <c r="C49" s="15">
        <v>841</v>
      </c>
      <c r="D49" s="87">
        <v>41175</v>
      </c>
      <c r="E49" s="87">
        <v>55000</v>
      </c>
      <c r="F49" s="5533">
        <v>13730</v>
      </c>
      <c r="G49" s="5488">
        <f t="shared" si="0"/>
        <v>0.24963636363636363</v>
      </c>
      <c r="H49" s="87">
        <v>60000</v>
      </c>
      <c r="I49" s="99"/>
      <c r="J49" s="3"/>
    </row>
    <row r="50" spans="1:10" hidden="1">
      <c r="A50" s="1266"/>
      <c r="B50" s="29" t="s">
        <v>4722</v>
      </c>
      <c r="C50" s="870">
        <v>883</v>
      </c>
      <c r="D50" s="1033">
        <v>0</v>
      </c>
      <c r="E50" s="1033"/>
      <c r="F50" s="5533"/>
      <c r="G50" s="5488" t="e">
        <f t="shared" si="0"/>
        <v>#DIV/0!</v>
      </c>
      <c r="H50" s="1033"/>
      <c r="I50" s="99"/>
      <c r="J50" s="3"/>
    </row>
    <row r="51" spans="1:10">
      <c r="A51" s="1266"/>
      <c r="B51" s="29" t="s">
        <v>4723</v>
      </c>
      <c r="C51" s="870">
        <v>884</v>
      </c>
      <c r="D51" s="1033">
        <v>0</v>
      </c>
      <c r="E51" s="1033">
        <v>4400</v>
      </c>
      <c r="F51" s="5533">
        <v>0</v>
      </c>
      <c r="G51" s="5488">
        <f t="shared" si="0"/>
        <v>0</v>
      </c>
      <c r="H51" s="1033">
        <v>5000</v>
      </c>
      <c r="I51" s="99"/>
      <c r="J51" s="3"/>
    </row>
    <row r="52" spans="1:10" ht="13.5" customHeight="1">
      <c r="A52" s="93"/>
      <c r="B52" s="29" t="s">
        <v>50</v>
      </c>
      <c r="C52" s="15">
        <v>969</v>
      </c>
      <c r="D52" s="102">
        <v>4701.59</v>
      </c>
      <c r="E52" s="102">
        <v>11000</v>
      </c>
      <c r="F52" s="5534">
        <v>12604</v>
      </c>
      <c r="G52" s="5488">
        <f t="shared" si="0"/>
        <v>1.1458181818181818</v>
      </c>
      <c r="H52" s="102">
        <v>12100</v>
      </c>
      <c r="I52" s="3"/>
      <c r="J52" s="3"/>
    </row>
    <row r="53" spans="1:10" ht="3.75" customHeight="1">
      <c r="A53" s="93"/>
      <c r="B53" s="12"/>
      <c r="C53" s="15"/>
      <c r="D53" s="30"/>
      <c r="E53" s="16"/>
      <c r="F53" s="5524"/>
      <c r="G53" s="5530"/>
      <c r="H53" s="87"/>
      <c r="I53" s="3"/>
      <c r="J53" s="3"/>
    </row>
    <row r="54" spans="1:10" ht="13.5" customHeight="1">
      <c r="A54" s="93"/>
      <c r="B54" s="18" t="s">
        <v>37</v>
      </c>
      <c r="C54" s="15"/>
      <c r="D54" s="5758">
        <f>SUM(D34:D52)</f>
        <v>921334.09</v>
      </c>
      <c r="E54" s="19">
        <f>SUM(E34:E52)</f>
        <v>1591445</v>
      </c>
      <c r="F54" s="19">
        <f>SUM(F34:F52)</f>
        <v>676223.42999999993</v>
      </c>
      <c r="G54" s="7053">
        <f>F54/E54</f>
        <v>0.42491159292341235</v>
      </c>
      <c r="H54" s="5758">
        <f>SUM(H34:H52)</f>
        <v>1605338</v>
      </c>
      <c r="I54" s="3"/>
      <c r="J54" s="66"/>
    </row>
    <row r="55" spans="1:10" ht="3.75" customHeight="1">
      <c r="A55" s="93"/>
      <c r="B55" s="12"/>
      <c r="C55" s="15"/>
      <c r="D55" s="32"/>
      <c r="E55" s="17"/>
      <c r="F55" s="5525"/>
      <c r="G55" s="5525"/>
      <c r="H55" s="102"/>
      <c r="I55" s="3"/>
      <c r="J55" s="3"/>
    </row>
    <row r="56" spans="1:10" ht="13.5" customHeight="1">
      <c r="A56" s="86" t="s">
        <v>51</v>
      </c>
      <c r="B56" s="12" t="s">
        <v>52</v>
      </c>
      <c r="C56" s="15"/>
      <c r="D56" s="16"/>
      <c r="E56" s="87"/>
      <c r="F56" s="5523"/>
      <c r="G56" s="5523"/>
      <c r="H56" s="87"/>
      <c r="I56" s="3"/>
      <c r="J56" s="3"/>
    </row>
    <row r="57" spans="1:10" ht="13.5" customHeight="1">
      <c r="A57" s="5759"/>
      <c r="B57" s="12"/>
      <c r="C57" s="870"/>
      <c r="D57" s="871"/>
      <c r="E57" s="5755">
        <v>0</v>
      </c>
      <c r="F57" s="5523"/>
      <c r="G57" s="5523"/>
      <c r="H57" s="5755">
        <v>0</v>
      </c>
      <c r="I57" s="3"/>
      <c r="J57" s="3"/>
    </row>
    <row r="58" spans="1:10">
      <c r="A58" s="5576"/>
      <c r="B58" s="12" t="s">
        <v>5014</v>
      </c>
      <c r="C58" s="1877">
        <v>215</v>
      </c>
      <c r="D58" s="2546"/>
      <c r="E58" s="5756">
        <v>0</v>
      </c>
      <c r="F58" s="5589"/>
      <c r="G58" s="5590"/>
      <c r="H58" s="5756">
        <v>0</v>
      </c>
      <c r="I58" s="3"/>
      <c r="J58" s="3"/>
    </row>
    <row r="59" spans="1:10">
      <c r="A59" s="93"/>
      <c r="B59" s="12" t="s">
        <v>122</v>
      </c>
      <c r="C59" s="15">
        <v>221</v>
      </c>
      <c r="D59" s="87">
        <v>151268</v>
      </c>
      <c r="E59" s="111">
        <v>0</v>
      </c>
      <c r="F59" s="5589"/>
      <c r="G59" s="5590"/>
      <c r="H59" s="111">
        <v>80000</v>
      </c>
      <c r="I59" s="3"/>
      <c r="J59" s="3"/>
    </row>
    <row r="60" spans="1:10">
      <c r="A60" s="93"/>
      <c r="B60" s="12" t="s">
        <v>4724</v>
      </c>
      <c r="C60" s="15">
        <v>222</v>
      </c>
      <c r="D60" s="87">
        <v>44134</v>
      </c>
      <c r="E60" s="111">
        <v>0</v>
      </c>
      <c r="F60" s="5589"/>
      <c r="G60" s="5590"/>
      <c r="H60" s="111">
        <v>76250</v>
      </c>
      <c r="I60" s="3"/>
      <c r="J60" s="3"/>
    </row>
    <row r="61" spans="1:10">
      <c r="A61" s="1266"/>
      <c r="B61" s="12" t="s">
        <v>301</v>
      </c>
      <c r="C61" s="870">
        <v>223</v>
      </c>
      <c r="D61" s="1033">
        <v>0</v>
      </c>
      <c r="E61" s="5755">
        <v>70000</v>
      </c>
      <c r="F61" s="5589"/>
      <c r="G61" s="5589"/>
      <c r="H61" s="5755">
        <v>70000</v>
      </c>
      <c r="I61" s="3"/>
      <c r="J61" s="3"/>
    </row>
    <row r="62" spans="1:10" s="25" customFormat="1">
      <c r="A62" s="114"/>
      <c r="B62" s="18" t="s">
        <v>37</v>
      </c>
      <c r="C62" s="31"/>
      <c r="D62" s="5760">
        <f>SUM(D59:D60)</f>
        <v>195402</v>
      </c>
      <c r="E62" s="92">
        <f>SUM(E57:E61)</f>
        <v>70000</v>
      </c>
      <c r="F62" s="5761"/>
      <c r="G62" s="5761"/>
      <c r="H62" s="5763">
        <f>SUM(H57:H61)</f>
        <v>226250</v>
      </c>
      <c r="I62" s="26"/>
      <c r="J62" s="26"/>
    </row>
    <row r="63" spans="1:10" ht="18.75" customHeight="1">
      <c r="A63" s="5759" t="s">
        <v>53</v>
      </c>
      <c r="B63" s="12" t="s">
        <v>54</v>
      </c>
      <c r="C63" s="870"/>
      <c r="D63" s="32"/>
      <c r="E63" s="17"/>
      <c r="F63" s="5526"/>
      <c r="G63" s="5526"/>
      <c r="H63" s="5527">
        <v>0</v>
      </c>
      <c r="I63" s="3"/>
      <c r="J63" s="3"/>
    </row>
    <row r="64" spans="1:10">
      <c r="A64" s="1201"/>
      <c r="B64" s="1202" t="s">
        <v>37</v>
      </c>
      <c r="C64" s="1203"/>
      <c r="D64" s="1204"/>
      <c r="E64" s="1200"/>
      <c r="F64" s="5528"/>
      <c r="G64" s="5528"/>
      <c r="H64" s="5529"/>
      <c r="I64" s="3"/>
      <c r="J64" s="3"/>
    </row>
    <row r="65" spans="1:10">
      <c r="A65" s="93"/>
      <c r="B65" s="18" t="s">
        <v>55</v>
      </c>
      <c r="C65" s="15"/>
      <c r="D65" s="103">
        <f>(D54+D62)</f>
        <v>1116736.0899999999</v>
      </c>
      <c r="E65" s="103">
        <f>(E31+E54+E62)</f>
        <v>1661445</v>
      </c>
      <c r="F65" s="5762"/>
      <c r="G65" s="5762"/>
      <c r="H65" s="103">
        <f>(H54+H62+H31+H64)</f>
        <v>1831588</v>
      </c>
      <c r="I65" s="3"/>
      <c r="J65" s="3"/>
    </row>
    <row r="66" spans="1:10" ht="1.5" customHeight="1" thickBot="1">
      <c r="A66" s="5571"/>
      <c r="B66" s="20"/>
      <c r="C66" s="21"/>
      <c r="D66" s="22"/>
      <c r="E66" s="63"/>
      <c r="F66" s="63"/>
      <c r="G66" s="63"/>
      <c r="H66" s="106"/>
      <c r="I66" s="3"/>
      <c r="J66" s="3"/>
    </row>
    <row r="67" spans="1:10" ht="14.4" thickTop="1">
      <c r="A67" s="894"/>
      <c r="B67" s="1"/>
      <c r="C67" s="1"/>
      <c r="D67" s="1"/>
      <c r="E67" s="1"/>
      <c r="F67" s="1"/>
      <c r="G67" s="1"/>
      <c r="I67" s="3"/>
      <c r="J67" s="3"/>
    </row>
    <row r="68" spans="1:10">
      <c r="A68" s="894"/>
      <c r="B68" s="1"/>
      <c r="C68" s="1"/>
      <c r="D68" s="1"/>
      <c r="E68" s="1"/>
      <c r="F68" s="1"/>
      <c r="G68" s="5639">
        <f>H65-E65</f>
        <v>170143</v>
      </c>
      <c r="H68" s="5640">
        <f>G68/E65</f>
        <v>0.10240664000312981</v>
      </c>
      <c r="I68" s="3"/>
      <c r="J68" s="3"/>
    </row>
    <row r="69" spans="1:10">
      <c r="A69" s="894"/>
      <c r="B69" s="1"/>
      <c r="C69" s="1"/>
      <c r="D69" s="1"/>
      <c r="E69" s="1"/>
      <c r="F69" s="1"/>
      <c r="G69" s="1"/>
      <c r="I69" s="3"/>
      <c r="J69" s="3"/>
    </row>
    <row r="70" spans="1:10">
      <c r="A70" s="894"/>
      <c r="B70" s="1"/>
      <c r="C70" s="1"/>
      <c r="D70" s="1"/>
      <c r="E70" s="1"/>
      <c r="F70" s="1"/>
      <c r="G70" s="1"/>
      <c r="I70" s="3"/>
      <c r="J70" s="3"/>
    </row>
    <row r="71" spans="1:10">
      <c r="A71" s="894"/>
      <c r="B71" s="6"/>
      <c r="C71" s="6"/>
      <c r="D71" s="6"/>
      <c r="E71" s="6"/>
      <c r="F71" s="6"/>
      <c r="G71" s="6"/>
      <c r="I71" s="3"/>
      <c r="J71" s="3"/>
    </row>
    <row r="72" spans="1:10">
      <c r="A72" s="894"/>
      <c r="B72" s="23"/>
      <c r="C72" s="23"/>
      <c r="D72" s="23"/>
      <c r="E72" s="1"/>
      <c r="F72" s="1"/>
      <c r="G72" s="1"/>
      <c r="I72" s="3"/>
      <c r="J72" s="3"/>
    </row>
    <row r="73" spans="1:10">
      <c r="A73" s="894"/>
      <c r="B73" s="1"/>
      <c r="C73" s="1"/>
      <c r="D73" s="1"/>
      <c r="E73" s="1"/>
      <c r="F73" s="1"/>
      <c r="G73" s="1"/>
      <c r="H73" s="74"/>
      <c r="I73" s="3"/>
      <c r="J73" s="3"/>
    </row>
    <row r="84" spans="1:1">
      <c r="A84" s="65" t="s">
        <v>9</v>
      </c>
    </row>
    <row r="85" spans="1:1">
      <c r="A85" s="65" t="s">
        <v>9</v>
      </c>
    </row>
  </sheetData>
  <pageMargins left="0.25" right="0.25" top="0.5" bottom="0.25" header="0.5" footer="0.25"/>
  <pageSetup paperSize="136" scale="95" firstPageNumber="73" orientation="portrait" useFirstPageNumber="1" verticalDpi="300" r:id="rId1"/>
  <headerFooter alignWithMargins="0"/>
</worksheet>
</file>

<file path=xl/worksheets/sheet110.xml><?xml version="1.0" encoding="utf-8"?>
<worksheet xmlns="http://schemas.openxmlformats.org/spreadsheetml/2006/main" xmlns:r="http://schemas.openxmlformats.org/officeDocument/2006/relationships">
  <sheetPr codeName="Sheet154">
    <tabColor rgb="FFFFFF00"/>
  </sheetPr>
  <dimension ref="A1:E28"/>
  <sheetViews>
    <sheetView workbookViewId="0">
      <selection activeCell="G7" sqref="G7"/>
    </sheetView>
  </sheetViews>
  <sheetFormatPr defaultColWidth="9.109375" defaultRowHeight="14.4"/>
  <cols>
    <col min="1" max="1" width="44.109375" style="818" customWidth="1"/>
    <col min="2" max="3" width="13" style="889" customWidth="1"/>
    <col min="4" max="4" width="12.88671875" style="889" customWidth="1"/>
    <col min="5" max="5" width="13.109375" style="889" customWidth="1"/>
    <col min="6" max="16384" width="9.109375" style="818"/>
  </cols>
  <sheetData>
    <row r="1" spans="1:5" s="881" customFormat="1" ht="22.5" customHeight="1">
      <c r="A1" s="881" t="s">
        <v>3426</v>
      </c>
      <c r="B1" s="884"/>
      <c r="C1" s="884"/>
      <c r="D1" s="884"/>
      <c r="E1" s="884"/>
    </row>
    <row r="2" spans="1:5" s="881" customFormat="1" ht="20.25" customHeight="1">
      <c r="A2" s="6" t="s">
        <v>4773</v>
      </c>
      <c r="B2" s="884"/>
      <c r="C2" s="884"/>
      <c r="D2" s="884"/>
      <c r="E2" s="884"/>
    </row>
    <row r="3" spans="1:5" s="881" customFormat="1" ht="17.25" customHeight="1">
      <c r="B3" s="884"/>
      <c r="C3" s="884"/>
      <c r="D3" s="884"/>
      <c r="E3" s="884"/>
    </row>
    <row r="4" spans="1:5" s="881" customFormat="1">
      <c r="A4" s="14948" t="s">
        <v>3427</v>
      </c>
      <c r="B4" s="14207" t="s">
        <v>18</v>
      </c>
      <c r="C4" s="14207"/>
      <c r="D4" s="14207"/>
      <c r="E4" s="14208" t="s">
        <v>220</v>
      </c>
    </row>
    <row r="5" spans="1:5" s="1027" customFormat="1" ht="28.8">
      <c r="A5" s="14949"/>
      <c r="B5" s="1002" t="s">
        <v>2151</v>
      </c>
      <c r="C5" s="1002" t="s">
        <v>1973</v>
      </c>
      <c r="D5" s="1002" t="s">
        <v>52</v>
      </c>
      <c r="E5" s="14209"/>
    </row>
    <row r="6" spans="1:5" s="1027" customFormat="1">
      <c r="A6" s="1304"/>
      <c r="B6" s="1300"/>
      <c r="C6" s="1300"/>
      <c r="D6" s="1300"/>
      <c r="E6" s="1305"/>
    </row>
    <row r="7" spans="1:5" s="881" customFormat="1">
      <c r="A7" s="1288" t="s">
        <v>2048</v>
      </c>
      <c r="B7" s="886">
        <f>'lbpf 3-PIAO'!J29</f>
        <v>5654721.1849999996</v>
      </c>
      <c r="C7" s="886">
        <f>'lbpf 3-PIAO'!J56</f>
        <v>1234000</v>
      </c>
      <c r="D7" s="886">
        <f>'lbpf 3-PIAO'!J63</f>
        <v>50000</v>
      </c>
      <c r="E7" s="886">
        <f>SUM(B7:D7)</f>
        <v>6938721.1849999996</v>
      </c>
    </row>
    <row r="8" spans="1:5" s="881" customFormat="1">
      <c r="A8" s="3638"/>
      <c r="B8" s="4993"/>
      <c r="C8" s="4993"/>
      <c r="D8" s="4993"/>
      <c r="E8" s="4993"/>
    </row>
    <row r="9" spans="1:5" s="881" customFormat="1">
      <c r="A9" s="1554" t="s">
        <v>6493</v>
      </c>
      <c r="B9" s="1289"/>
      <c r="C9" s="1289"/>
      <c r="D9" s="1289"/>
      <c r="E9" s="1289"/>
    </row>
    <row r="10" spans="1:5">
      <c r="A10" s="1286"/>
      <c r="B10" s="887"/>
      <c r="C10" s="887"/>
      <c r="D10" s="887"/>
      <c r="E10" s="887"/>
    </row>
    <row r="11" spans="1:5" ht="28.8">
      <c r="A11" s="1328" t="s">
        <v>2547</v>
      </c>
      <c r="B11" s="1287"/>
      <c r="C11" s="1287"/>
      <c r="D11" s="1287"/>
      <c r="E11" s="1287"/>
    </row>
    <row r="12" spans="1:5" ht="15" customHeight="1">
      <c r="A12" s="1286"/>
      <c r="B12" s="1287"/>
      <c r="C12" s="1287"/>
      <c r="D12" s="1287"/>
      <c r="E12" s="1287"/>
    </row>
    <row r="13" spans="1:5" ht="15" customHeight="1">
      <c r="A13" s="3646"/>
      <c r="B13" s="2387"/>
      <c r="C13" s="2387"/>
      <c r="D13" s="2387"/>
      <c r="E13" s="2387"/>
    </row>
    <row r="14" spans="1:5" ht="15" customHeight="1">
      <c r="A14" s="3646"/>
      <c r="B14" s="2387"/>
      <c r="C14" s="2387"/>
      <c r="D14" s="2387"/>
      <c r="E14" s="2387"/>
    </row>
    <row r="15" spans="1:5">
      <c r="A15" s="1286"/>
      <c r="B15" s="1287"/>
      <c r="C15" s="1287"/>
      <c r="D15" s="1287"/>
      <c r="E15" s="1287"/>
    </row>
    <row r="16" spans="1:5">
      <c r="A16" s="1302"/>
      <c r="B16" s="978"/>
      <c r="C16" s="978"/>
      <c r="D16" s="978"/>
      <c r="E16" s="978"/>
    </row>
    <row r="17" spans="1:5">
      <c r="A17" s="1286"/>
      <c r="B17" s="1287"/>
      <c r="C17" s="1287"/>
      <c r="D17" s="1287"/>
      <c r="E17" s="1287"/>
    </row>
    <row r="18" spans="1:5">
      <c r="A18" s="1288" t="s">
        <v>3429</v>
      </c>
      <c r="B18" s="887"/>
      <c r="C18" s="887"/>
      <c r="D18" s="887"/>
      <c r="E18" s="887"/>
    </row>
    <row r="19" spans="1:5">
      <c r="A19" s="1322"/>
      <c r="B19" s="1287"/>
      <c r="C19" s="1287"/>
      <c r="D19" s="1287"/>
      <c r="E19" s="1287"/>
    </row>
    <row r="20" spans="1:5">
      <c r="A20" s="5336"/>
      <c r="B20" s="2387"/>
      <c r="C20" s="2387"/>
      <c r="D20" s="2387"/>
      <c r="E20" s="2387"/>
    </row>
    <row r="21" spans="1:5">
      <c r="A21" s="5336"/>
      <c r="B21" s="2387"/>
      <c r="C21" s="2387"/>
      <c r="D21" s="2387"/>
      <c r="E21" s="2387"/>
    </row>
    <row r="22" spans="1:5">
      <c r="A22" s="5336"/>
      <c r="B22" s="2387"/>
      <c r="C22" s="2387"/>
      <c r="D22" s="2387"/>
      <c r="E22" s="2387"/>
    </row>
    <row r="23" spans="1:5">
      <c r="A23" s="5336"/>
      <c r="B23" s="2387"/>
      <c r="C23" s="2387"/>
      <c r="D23" s="2387"/>
      <c r="E23" s="2387"/>
    </row>
    <row r="24" spans="1:5">
      <c r="A24" s="1322"/>
      <c r="B24" s="1287"/>
      <c r="C24" s="1287"/>
      <c r="D24" s="1287"/>
      <c r="E24" s="1287"/>
    </row>
    <row r="25" spans="1:5">
      <c r="A25" s="1322"/>
      <c r="B25" s="1287"/>
      <c r="C25" s="1287"/>
      <c r="D25" s="1287"/>
      <c r="E25" s="1287"/>
    </row>
    <row r="26" spans="1:5">
      <c r="A26" s="1322"/>
      <c r="B26" s="1287"/>
      <c r="C26" s="1287"/>
      <c r="D26" s="1287"/>
      <c r="E26" s="1287"/>
    </row>
    <row r="27" spans="1:5">
      <c r="A27" s="1286"/>
      <c r="B27" s="887"/>
      <c r="C27" s="887"/>
      <c r="D27" s="887"/>
      <c r="E27" s="887"/>
    </row>
    <row r="28" spans="1:5" s="881" customFormat="1">
      <c r="A28" s="1323" t="s">
        <v>2850</v>
      </c>
      <c r="B28" s="892">
        <f>SUM(B7:B27)</f>
        <v>5654721.1849999996</v>
      </c>
      <c r="C28" s="892">
        <f>SUM(C7:C27)</f>
        <v>1234000</v>
      </c>
      <c r="D28" s="892">
        <f>SUM(D7:D27)</f>
        <v>50000</v>
      </c>
      <c r="E28" s="892">
        <f>SUM(E7:E27)</f>
        <v>6938721.1849999996</v>
      </c>
    </row>
  </sheetData>
  <mergeCells count="3">
    <mergeCell ref="A4:A5"/>
    <mergeCell ref="B4:D4"/>
    <mergeCell ref="E4:E5"/>
  </mergeCells>
  <printOptions horizontalCentered="1"/>
  <pageMargins left="0.5" right="0.25" top="0.75" bottom="0.5" header="0.3" footer="0.25"/>
  <pageSetup paperSize="119" firstPageNumber="85" orientation="portrait" useFirstPageNumber="1" verticalDpi="300" r:id="rId1"/>
</worksheet>
</file>

<file path=xl/worksheets/sheet111.xml><?xml version="1.0" encoding="utf-8"?>
<worksheet xmlns="http://schemas.openxmlformats.org/spreadsheetml/2006/main" xmlns:r="http://schemas.openxmlformats.org/officeDocument/2006/relationships">
  <sheetPr codeName="Sheet16">
    <tabColor theme="8" tint="-0.249977111117893"/>
  </sheetPr>
  <dimension ref="A1:O75"/>
  <sheetViews>
    <sheetView showGridLines="0" topLeftCell="B1" workbookViewId="0">
      <selection activeCell="J3" sqref="J1:S1048576"/>
    </sheetView>
  </sheetViews>
  <sheetFormatPr defaultRowHeight="15" customHeight="1"/>
  <cols>
    <col min="1" max="1" width="3.88671875" style="7351" customWidth="1"/>
    <col min="2" max="2" width="55.5546875" style="7351" customWidth="1"/>
    <col min="3" max="3" width="12.5546875" style="8795" customWidth="1"/>
    <col min="4" max="6" width="15.5546875" style="7338" customWidth="1"/>
    <col min="7" max="7" width="15.5546875" style="7843" customWidth="1"/>
    <col min="8" max="8" width="13.6640625" style="7338" hidden="1" customWidth="1"/>
    <col min="9" max="9" width="8.33203125" style="8896" hidden="1" customWidth="1"/>
    <col min="10" max="10" width="15.5546875" style="7843" customWidth="1"/>
    <col min="11" max="11" width="17.44140625" style="7351" customWidth="1"/>
    <col min="12" max="12" width="6" style="7383" customWidth="1"/>
    <col min="13" max="13" width="9.109375" style="7383" customWidth="1"/>
    <col min="14" max="18" width="8.88671875" style="7351" customWidth="1"/>
    <col min="19" max="260" width="9.109375" style="7351"/>
    <col min="261" max="261" width="3.88671875" style="7351" customWidth="1"/>
    <col min="262" max="262" width="37.109375" style="7351" customWidth="1"/>
    <col min="263" max="263" width="15.88671875" style="7351" customWidth="1"/>
    <col min="264" max="264" width="13.44140625" style="7351" customWidth="1"/>
    <col min="265" max="265" width="14.109375" style="7351" customWidth="1"/>
    <col min="266" max="266" width="16.44140625" style="7351" customWidth="1"/>
    <col min="267" max="516" width="9.109375" style="7351"/>
    <col min="517" max="517" width="3.88671875" style="7351" customWidth="1"/>
    <col min="518" max="518" width="37.109375" style="7351" customWidth="1"/>
    <col min="519" max="519" width="15.88671875" style="7351" customWidth="1"/>
    <col min="520" max="520" width="13.44140625" style="7351" customWidth="1"/>
    <col min="521" max="521" width="14.109375" style="7351" customWidth="1"/>
    <col min="522" max="522" width="16.44140625" style="7351" customWidth="1"/>
    <col min="523" max="772" width="9.109375" style="7351"/>
    <col min="773" max="773" width="3.88671875" style="7351" customWidth="1"/>
    <col min="774" max="774" width="37.109375" style="7351" customWidth="1"/>
    <col min="775" max="775" width="15.88671875" style="7351" customWidth="1"/>
    <col min="776" max="776" width="13.44140625" style="7351" customWidth="1"/>
    <col min="777" max="777" width="14.109375" style="7351" customWidth="1"/>
    <col min="778" max="778" width="16.44140625" style="7351" customWidth="1"/>
    <col min="779" max="1028" width="9.109375" style="7351"/>
    <col min="1029" max="1029" width="3.88671875" style="7351" customWidth="1"/>
    <col min="1030" max="1030" width="37.109375" style="7351" customWidth="1"/>
    <col min="1031" max="1031" width="15.88671875" style="7351" customWidth="1"/>
    <col min="1032" max="1032" width="13.44140625" style="7351" customWidth="1"/>
    <col min="1033" max="1033" width="14.109375" style="7351" customWidth="1"/>
    <col min="1034" max="1034" width="16.44140625" style="7351" customWidth="1"/>
    <col min="1035" max="1284" width="9.109375" style="7351"/>
    <col min="1285" max="1285" width="3.88671875" style="7351" customWidth="1"/>
    <col min="1286" max="1286" width="37.109375" style="7351" customWidth="1"/>
    <col min="1287" max="1287" width="15.88671875" style="7351" customWidth="1"/>
    <col min="1288" max="1288" width="13.44140625" style="7351" customWidth="1"/>
    <col min="1289" max="1289" width="14.109375" style="7351" customWidth="1"/>
    <col min="1290" max="1290" width="16.44140625" style="7351" customWidth="1"/>
    <col min="1291" max="1540" width="9.109375" style="7351"/>
    <col min="1541" max="1541" width="3.88671875" style="7351" customWidth="1"/>
    <col min="1542" max="1542" width="37.109375" style="7351" customWidth="1"/>
    <col min="1543" max="1543" width="15.88671875" style="7351" customWidth="1"/>
    <col min="1544" max="1544" width="13.44140625" style="7351" customWidth="1"/>
    <col min="1545" max="1545" width="14.109375" style="7351" customWidth="1"/>
    <col min="1546" max="1546" width="16.44140625" style="7351" customWidth="1"/>
    <col min="1547" max="1796" width="9.109375" style="7351"/>
    <col min="1797" max="1797" width="3.88671875" style="7351" customWidth="1"/>
    <col min="1798" max="1798" width="37.109375" style="7351" customWidth="1"/>
    <col min="1799" max="1799" width="15.88671875" style="7351" customWidth="1"/>
    <col min="1800" max="1800" width="13.44140625" style="7351" customWidth="1"/>
    <col min="1801" max="1801" width="14.109375" style="7351" customWidth="1"/>
    <col min="1802" max="1802" width="16.44140625" style="7351" customWidth="1"/>
    <col min="1803" max="2052" width="9.109375" style="7351"/>
    <col min="2053" max="2053" width="3.88671875" style="7351" customWidth="1"/>
    <col min="2054" max="2054" width="37.109375" style="7351" customWidth="1"/>
    <col min="2055" max="2055" width="15.88671875" style="7351" customWidth="1"/>
    <col min="2056" max="2056" width="13.44140625" style="7351" customWidth="1"/>
    <col min="2057" max="2057" width="14.109375" style="7351" customWidth="1"/>
    <col min="2058" max="2058" width="16.44140625" style="7351" customWidth="1"/>
    <col min="2059" max="2308" width="9.109375" style="7351"/>
    <col min="2309" max="2309" width="3.88671875" style="7351" customWidth="1"/>
    <col min="2310" max="2310" width="37.109375" style="7351" customWidth="1"/>
    <col min="2311" max="2311" width="15.88671875" style="7351" customWidth="1"/>
    <col min="2312" max="2312" width="13.44140625" style="7351" customWidth="1"/>
    <col min="2313" max="2313" width="14.109375" style="7351" customWidth="1"/>
    <col min="2314" max="2314" width="16.44140625" style="7351" customWidth="1"/>
    <col min="2315" max="2564" width="9.109375" style="7351"/>
    <col min="2565" max="2565" width="3.88671875" style="7351" customWidth="1"/>
    <col min="2566" max="2566" width="37.109375" style="7351" customWidth="1"/>
    <col min="2567" max="2567" width="15.88671875" style="7351" customWidth="1"/>
    <col min="2568" max="2568" width="13.44140625" style="7351" customWidth="1"/>
    <col min="2569" max="2569" width="14.109375" style="7351" customWidth="1"/>
    <col min="2570" max="2570" width="16.44140625" style="7351" customWidth="1"/>
    <col min="2571" max="2820" width="9.109375" style="7351"/>
    <col min="2821" max="2821" width="3.88671875" style="7351" customWidth="1"/>
    <col min="2822" max="2822" width="37.109375" style="7351" customWidth="1"/>
    <col min="2823" max="2823" width="15.88671875" style="7351" customWidth="1"/>
    <col min="2824" max="2824" width="13.44140625" style="7351" customWidth="1"/>
    <col min="2825" max="2825" width="14.109375" style="7351" customWidth="1"/>
    <col min="2826" max="2826" width="16.44140625" style="7351" customWidth="1"/>
    <col min="2827" max="3076" width="9.109375" style="7351"/>
    <col min="3077" max="3077" width="3.88671875" style="7351" customWidth="1"/>
    <col min="3078" max="3078" width="37.109375" style="7351" customWidth="1"/>
    <col min="3079" max="3079" width="15.88671875" style="7351" customWidth="1"/>
    <col min="3080" max="3080" width="13.44140625" style="7351" customWidth="1"/>
    <col min="3081" max="3081" width="14.109375" style="7351" customWidth="1"/>
    <col min="3082" max="3082" width="16.44140625" style="7351" customWidth="1"/>
    <col min="3083" max="3332" width="9.109375" style="7351"/>
    <col min="3333" max="3333" width="3.88671875" style="7351" customWidth="1"/>
    <col min="3334" max="3334" width="37.109375" style="7351" customWidth="1"/>
    <col min="3335" max="3335" width="15.88671875" style="7351" customWidth="1"/>
    <col min="3336" max="3336" width="13.44140625" style="7351" customWidth="1"/>
    <col min="3337" max="3337" width="14.109375" style="7351" customWidth="1"/>
    <col min="3338" max="3338" width="16.44140625" style="7351" customWidth="1"/>
    <col min="3339" max="3588" width="9.109375" style="7351"/>
    <col min="3589" max="3589" width="3.88671875" style="7351" customWidth="1"/>
    <col min="3590" max="3590" width="37.109375" style="7351" customWidth="1"/>
    <col min="3591" max="3591" width="15.88671875" style="7351" customWidth="1"/>
    <col min="3592" max="3592" width="13.44140625" style="7351" customWidth="1"/>
    <col min="3593" max="3593" width="14.109375" style="7351" customWidth="1"/>
    <col min="3594" max="3594" width="16.44140625" style="7351" customWidth="1"/>
    <col min="3595" max="3844" width="9.109375" style="7351"/>
    <col min="3845" max="3845" width="3.88671875" style="7351" customWidth="1"/>
    <col min="3846" max="3846" width="37.109375" style="7351" customWidth="1"/>
    <col min="3847" max="3847" width="15.88671875" style="7351" customWidth="1"/>
    <col min="3848" max="3848" width="13.44140625" style="7351" customWidth="1"/>
    <col min="3849" max="3849" width="14.109375" style="7351" customWidth="1"/>
    <col min="3850" max="3850" width="16.44140625" style="7351" customWidth="1"/>
    <col min="3851" max="4100" width="9.109375" style="7351"/>
    <col min="4101" max="4101" width="3.88671875" style="7351" customWidth="1"/>
    <col min="4102" max="4102" width="37.109375" style="7351" customWidth="1"/>
    <col min="4103" max="4103" width="15.88671875" style="7351" customWidth="1"/>
    <col min="4104" max="4104" width="13.44140625" style="7351" customWidth="1"/>
    <col min="4105" max="4105" width="14.109375" style="7351" customWidth="1"/>
    <col min="4106" max="4106" width="16.44140625" style="7351" customWidth="1"/>
    <col min="4107" max="4356" width="9.109375" style="7351"/>
    <col min="4357" max="4357" width="3.88671875" style="7351" customWidth="1"/>
    <col min="4358" max="4358" width="37.109375" style="7351" customWidth="1"/>
    <col min="4359" max="4359" width="15.88671875" style="7351" customWidth="1"/>
    <col min="4360" max="4360" width="13.44140625" style="7351" customWidth="1"/>
    <col min="4361" max="4361" width="14.109375" style="7351" customWidth="1"/>
    <col min="4362" max="4362" width="16.44140625" style="7351" customWidth="1"/>
    <col min="4363" max="4612" width="9.109375" style="7351"/>
    <col min="4613" max="4613" width="3.88671875" style="7351" customWidth="1"/>
    <col min="4614" max="4614" width="37.109375" style="7351" customWidth="1"/>
    <col min="4615" max="4615" width="15.88671875" style="7351" customWidth="1"/>
    <col min="4616" max="4616" width="13.44140625" style="7351" customWidth="1"/>
    <col min="4617" max="4617" width="14.109375" style="7351" customWidth="1"/>
    <col min="4618" max="4618" width="16.44140625" style="7351" customWidth="1"/>
    <col min="4619" max="4868" width="9.109375" style="7351"/>
    <col min="4869" max="4869" width="3.88671875" style="7351" customWidth="1"/>
    <col min="4870" max="4870" width="37.109375" style="7351" customWidth="1"/>
    <col min="4871" max="4871" width="15.88671875" style="7351" customWidth="1"/>
    <col min="4872" max="4872" width="13.44140625" style="7351" customWidth="1"/>
    <col min="4873" max="4873" width="14.109375" style="7351" customWidth="1"/>
    <col min="4874" max="4874" width="16.44140625" style="7351" customWidth="1"/>
    <col min="4875" max="5124" width="9.109375" style="7351"/>
    <col min="5125" max="5125" width="3.88671875" style="7351" customWidth="1"/>
    <col min="5126" max="5126" width="37.109375" style="7351" customWidth="1"/>
    <col min="5127" max="5127" width="15.88671875" style="7351" customWidth="1"/>
    <col min="5128" max="5128" width="13.44140625" style="7351" customWidth="1"/>
    <col min="5129" max="5129" width="14.109375" style="7351" customWidth="1"/>
    <col min="5130" max="5130" width="16.44140625" style="7351" customWidth="1"/>
    <col min="5131" max="5380" width="9.109375" style="7351"/>
    <col min="5381" max="5381" width="3.88671875" style="7351" customWidth="1"/>
    <col min="5382" max="5382" width="37.109375" style="7351" customWidth="1"/>
    <col min="5383" max="5383" width="15.88671875" style="7351" customWidth="1"/>
    <col min="5384" max="5384" width="13.44140625" style="7351" customWidth="1"/>
    <col min="5385" max="5385" width="14.109375" style="7351" customWidth="1"/>
    <col min="5386" max="5386" width="16.44140625" style="7351" customWidth="1"/>
    <col min="5387" max="5636" width="9.109375" style="7351"/>
    <col min="5637" max="5637" width="3.88671875" style="7351" customWidth="1"/>
    <col min="5638" max="5638" width="37.109375" style="7351" customWidth="1"/>
    <col min="5639" max="5639" width="15.88671875" style="7351" customWidth="1"/>
    <col min="5640" max="5640" width="13.44140625" style="7351" customWidth="1"/>
    <col min="5641" max="5641" width="14.109375" style="7351" customWidth="1"/>
    <col min="5642" max="5642" width="16.44140625" style="7351" customWidth="1"/>
    <col min="5643" max="5892" width="9.109375" style="7351"/>
    <col min="5893" max="5893" width="3.88671875" style="7351" customWidth="1"/>
    <col min="5894" max="5894" width="37.109375" style="7351" customWidth="1"/>
    <col min="5895" max="5895" width="15.88671875" style="7351" customWidth="1"/>
    <col min="5896" max="5896" width="13.44140625" style="7351" customWidth="1"/>
    <col min="5897" max="5897" width="14.109375" style="7351" customWidth="1"/>
    <col min="5898" max="5898" width="16.44140625" style="7351" customWidth="1"/>
    <col min="5899" max="6148" width="9.109375" style="7351"/>
    <col min="6149" max="6149" width="3.88671875" style="7351" customWidth="1"/>
    <col min="6150" max="6150" width="37.109375" style="7351" customWidth="1"/>
    <col min="6151" max="6151" width="15.88671875" style="7351" customWidth="1"/>
    <col min="6152" max="6152" width="13.44140625" style="7351" customWidth="1"/>
    <col min="6153" max="6153" width="14.109375" style="7351" customWidth="1"/>
    <col min="6154" max="6154" width="16.44140625" style="7351" customWidth="1"/>
    <col min="6155" max="6404" width="9.109375" style="7351"/>
    <col min="6405" max="6405" width="3.88671875" style="7351" customWidth="1"/>
    <col min="6406" max="6406" width="37.109375" style="7351" customWidth="1"/>
    <col min="6407" max="6407" width="15.88671875" style="7351" customWidth="1"/>
    <col min="6408" max="6408" width="13.44140625" style="7351" customWidth="1"/>
    <col min="6409" max="6409" width="14.109375" style="7351" customWidth="1"/>
    <col min="6410" max="6410" width="16.44140625" style="7351" customWidth="1"/>
    <col min="6411" max="6660" width="9.109375" style="7351"/>
    <col min="6661" max="6661" width="3.88671875" style="7351" customWidth="1"/>
    <col min="6662" max="6662" width="37.109375" style="7351" customWidth="1"/>
    <col min="6663" max="6663" width="15.88671875" style="7351" customWidth="1"/>
    <col min="6664" max="6664" width="13.44140625" style="7351" customWidth="1"/>
    <col min="6665" max="6665" width="14.109375" style="7351" customWidth="1"/>
    <col min="6666" max="6666" width="16.44140625" style="7351" customWidth="1"/>
    <col min="6667" max="6916" width="9.109375" style="7351"/>
    <col min="6917" max="6917" width="3.88671875" style="7351" customWidth="1"/>
    <col min="6918" max="6918" width="37.109375" style="7351" customWidth="1"/>
    <col min="6919" max="6919" width="15.88671875" style="7351" customWidth="1"/>
    <col min="6920" max="6920" width="13.44140625" style="7351" customWidth="1"/>
    <col min="6921" max="6921" width="14.109375" style="7351" customWidth="1"/>
    <col min="6922" max="6922" width="16.44140625" style="7351" customWidth="1"/>
    <col min="6923" max="7172" width="9.109375" style="7351"/>
    <col min="7173" max="7173" width="3.88671875" style="7351" customWidth="1"/>
    <col min="7174" max="7174" width="37.109375" style="7351" customWidth="1"/>
    <col min="7175" max="7175" width="15.88671875" style="7351" customWidth="1"/>
    <col min="7176" max="7176" width="13.44140625" style="7351" customWidth="1"/>
    <col min="7177" max="7177" width="14.109375" style="7351" customWidth="1"/>
    <col min="7178" max="7178" width="16.44140625" style="7351" customWidth="1"/>
    <col min="7179" max="7428" width="9.109375" style="7351"/>
    <col min="7429" max="7429" width="3.88671875" style="7351" customWidth="1"/>
    <col min="7430" max="7430" width="37.109375" style="7351" customWidth="1"/>
    <col min="7431" max="7431" width="15.88671875" style="7351" customWidth="1"/>
    <col min="7432" max="7432" width="13.44140625" style="7351" customWidth="1"/>
    <col min="7433" max="7433" width="14.109375" style="7351" customWidth="1"/>
    <col min="7434" max="7434" width="16.44140625" style="7351" customWidth="1"/>
    <col min="7435" max="7684" width="9.109375" style="7351"/>
    <col min="7685" max="7685" width="3.88671875" style="7351" customWidth="1"/>
    <col min="7686" max="7686" width="37.109375" style="7351" customWidth="1"/>
    <col min="7687" max="7687" width="15.88671875" style="7351" customWidth="1"/>
    <col min="7688" max="7688" width="13.44140625" style="7351" customWidth="1"/>
    <col min="7689" max="7689" width="14.109375" style="7351" customWidth="1"/>
    <col min="7690" max="7690" width="16.44140625" style="7351" customWidth="1"/>
    <col min="7691" max="7940" width="9.109375" style="7351"/>
    <col min="7941" max="7941" width="3.88671875" style="7351" customWidth="1"/>
    <col min="7942" max="7942" width="37.109375" style="7351" customWidth="1"/>
    <col min="7943" max="7943" width="15.88671875" style="7351" customWidth="1"/>
    <col min="7944" max="7944" width="13.44140625" style="7351" customWidth="1"/>
    <col min="7945" max="7945" width="14.109375" style="7351" customWidth="1"/>
    <col min="7946" max="7946" width="16.44140625" style="7351" customWidth="1"/>
    <col min="7947" max="8196" width="9.109375" style="7351"/>
    <col min="8197" max="8197" width="3.88671875" style="7351" customWidth="1"/>
    <col min="8198" max="8198" width="37.109375" style="7351" customWidth="1"/>
    <col min="8199" max="8199" width="15.88671875" style="7351" customWidth="1"/>
    <col min="8200" max="8200" width="13.44140625" style="7351" customWidth="1"/>
    <col min="8201" max="8201" width="14.109375" style="7351" customWidth="1"/>
    <col min="8202" max="8202" width="16.44140625" style="7351" customWidth="1"/>
    <col min="8203" max="8452" width="9.109375" style="7351"/>
    <col min="8453" max="8453" width="3.88671875" style="7351" customWidth="1"/>
    <col min="8454" max="8454" width="37.109375" style="7351" customWidth="1"/>
    <col min="8455" max="8455" width="15.88671875" style="7351" customWidth="1"/>
    <col min="8456" max="8456" width="13.44140625" style="7351" customWidth="1"/>
    <col min="8457" max="8457" width="14.109375" style="7351" customWidth="1"/>
    <col min="8458" max="8458" width="16.44140625" style="7351" customWidth="1"/>
    <col min="8459" max="8708" width="9.109375" style="7351"/>
    <col min="8709" max="8709" width="3.88671875" style="7351" customWidth="1"/>
    <col min="8710" max="8710" width="37.109375" style="7351" customWidth="1"/>
    <col min="8711" max="8711" width="15.88671875" style="7351" customWidth="1"/>
    <col min="8712" max="8712" width="13.44140625" style="7351" customWidth="1"/>
    <col min="8713" max="8713" width="14.109375" style="7351" customWidth="1"/>
    <col min="8714" max="8714" width="16.44140625" style="7351" customWidth="1"/>
    <col min="8715" max="8964" width="9.109375" style="7351"/>
    <col min="8965" max="8965" width="3.88671875" style="7351" customWidth="1"/>
    <col min="8966" max="8966" width="37.109375" style="7351" customWidth="1"/>
    <col min="8967" max="8967" width="15.88671875" style="7351" customWidth="1"/>
    <col min="8968" max="8968" width="13.44140625" style="7351" customWidth="1"/>
    <col min="8969" max="8969" width="14.109375" style="7351" customWidth="1"/>
    <col min="8970" max="8970" width="16.44140625" style="7351" customWidth="1"/>
    <col min="8971" max="9220" width="9.109375" style="7351"/>
    <col min="9221" max="9221" width="3.88671875" style="7351" customWidth="1"/>
    <col min="9222" max="9222" width="37.109375" style="7351" customWidth="1"/>
    <col min="9223" max="9223" width="15.88671875" style="7351" customWidth="1"/>
    <col min="9224" max="9224" width="13.44140625" style="7351" customWidth="1"/>
    <col min="9225" max="9225" width="14.109375" style="7351" customWidth="1"/>
    <col min="9226" max="9226" width="16.44140625" style="7351" customWidth="1"/>
    <col min="9227" max="9476" width="9.109375" style="7351"/>
    <col min="9477" max="9477" width="3.88671875" style="7351" customWidth="1"/>
    <col min="9478" max="9478" width="37.109375" style="7351" customWidth="1"/>
    <col min="9479" max="9479" width="15.88671875" style="7351" customWidth="1"/>
    <col min="9480" max="9480" width="13.44140625" style="7351" customWidth="1"/>
    <col min="9481" max="9481" width="14.109375" style="7351" customWidth="1"/>
    <col min="9482" max="9482" width="16.44140625" style="7351" customWidth="1"/>
    <col min="9483" max="9732" width="9.109375" style="7351"/>
    <col min="9733" max="9733" width="3.88671875" style="7351" customWidth="1"/>
    <col min="9734" max="9734" width="37.109375" style="7351" customWidth="1"/>
    <col min="9735" max="9735" width="15.88671875" style="7351" customWidth="1"/>
    <col min="9736" max="9736" width="13.44140625" style="7351" customWidth="1"/>
    <col min="9737" max="9737" width="14.109375" style="7351" customWidth="1"/>
    <col min="9738" max="9738" width="16.44140625" style="7351" customWidth="1"/>
    <col min="9739" max="9988" width="9.109375" style="7351"/>
    <col min="9989" max="9989" width="3.88671875" style="7351" customWidth="1"/>
    <col min="9990" max="9990" width="37.109375" style="7351" customWidth="1"/>
    <col min="9991" max="9991" width="15.88671875" style="7351" customWidth="1"/>
    <col min="9992" max="9992" width="13.44140625" style="7351" customWidth="1"/>
    <col min="9993" max="9993" width="14.109375" style="7351" customWidth="1"/>
    <col min="9994" max="9994" width="16.44140625" style="7351" customWidth="1"/>
    <col min="9995" max="10244" width="9.109375" style="7351"/>
    <col min="10245" max="10245" width="3.88671875" style="7351" customWidth="1"/>
    <col min="10246" max="10246" width="37.109375" style="7351" customWidth="1"/>
    <col min="10247" max="10247" width="15.88671875" style="7351" customWidth="1"/>
    <col min="10248" max="10248" width="13.44140625" style="7351" customWidth="1"/>
    <col min="10249" max="10249" width="14.109375" style="7351" customWidth="1"/>
    <col min="10250" max="10250" width="16.44140625" style="7351" customWidth="1"/>
    <col min="10251" max="10500" width="9.109375" style="7351"/>
    <col min="10501" max="10501" width="3.88671875" style="7351" customWidth="1"/>
    <col min="10502" max="10502" width="37.109375" style="7351" customWidth="1"/>
    <col min="10503" max="10503" width="15.88671875" style="7351" customWidth="1"/>
    <col min="10504" max="10504" width="13.44140625" style="7351" customWidth="1"/>
    <col min="10505" max="10505" width="14.109375" style="7351" customWidth="1"/>
    <col min="10506" max="10506" width="16.44140625" style="7351" customWidth="1"/>
    <col min="10507" max="10756" width="9.109375" style="7351"/>
    <col min="10757" max="10757" width="3.88671875" style="7351" customWidth="1"/>
    <col min="10758" max="10758" width="37.109375" style="7351" customWidth="1"/>
    <col min="10759" max="10759" width="15.88671875" style="7351" customWidth="1"/>
    <col min="10760" max="10760" width="13.44140625" style="7351" customWidth="1"/>
    <col min="10761" max="10761" width="14.109375" style="7351" customWidth="1"/>
    <col min="10762" max="10762" width="16.44140625" style="7351" customWidth="1"/>
    <col min="10763" max="11012" width="9.109375" style="7351"/>
    <col min="11013" max="11013" width="3.88671875" style="7351" customWidth="1"/>
    <col min="11014" max="11014" width="37.109375" style="7351" customWidth="1"/>
    <col min="11015" max="11015" width="15.88671875" style="7351" customWidth="1"/>
    <col min="11016" max="11016" width="13.44140625" style="7351" customWidth="1"/>
    <col min="11017" max="11017" width="14.109375" style="7351" customWidth="1"/>
    <col min="11018" max="11018" width="16.44140625" style="7351" customWidth="1"/>
    <col min="11019" max="11268" width="9.109375" style="7351"/>
    <col min="11269" max="11269" width="3.88671875" style="7351" customWidth="1"/>
    <col min="11270" max="11270" width="37.109375" style="7351" customWidth="1"/>
    <col min="11271" max="11271" width="15.88671875" style="7351" customWidth="1"/>
    <col min="11272" max="11272" width="13.44140625" style="7351" customWidth="1"/>
    <col min="11273" max="11273" width="14.109375" style="7351" customWidth="1"/>
    <col min="11274" max="11274" width="16.44140625" style="7351" customWidth="1"/>
    <col min="11275" max="11524" width="9.109375" style="7351"/>
    <col min="11525" max="11525" width="3.88671875" style="7351" customWidth="1"/>
    <col min="11526" max="11526" width="37.109375" style="7351" customWidth="1"/>
    <col min="11527" max="11527" width="15.88671875" style="7351" customWidth="1"/>
    <col min="11528" max="11528" width="13.44140625" style="7351" customWidth="1"/>
    <col min="11529" max="11529" width="14.109375" style="7351" customWidth="1"/>
    <col min="11530" max="11530" width="16.44140625" style="7351" customWidth="1"/>
    <col min="11531" max="11780" width="9.109375" style="7351"/>
    <col min="11781" max="11781" width="3.88671875" style="7351" customWidth="1"/>
    <col min="11782" max="11782" width="37.109375" style="7351" customWidth="1"/>
    <col min="11783" max="11783" width="15.88671875" style="7351" customWidth="1"/>
    <col min="11784" max="11784" width="13.44140625" style="7351" customWidth="1"/>
    <col min="11785" max="11785" width="14.109375" style="7351" customWidth="1"/>
    <col min="11786" max="11786" width="16.44140625" style="7351" customWidth="1"/>
    <col min="11787" max="12036" width="9.109375" style="7351"/>
    <col min="12037" max="12037" width="3.88671875" style="7351" customWidth="1"/>
    <col min="12038" max="12038" width="37.109375" style="7351" customWidth="1"/>
    <col min="12039" max="12039" width="15.88671875" style="7351" customWidth="1"/>
    <col min="12040" max="12040" width="13.44140625" style="7351" customWidth="1"/>
    <col min="12041" max="12041" width="14.109375" style="7351" customWidth="1"/>
    <col min="12042" max="12042" width="16.44140625" style="7351" customWidth="1"/>
    <col min="12043" max="12292" width="9.109375" style="7351"/>
    <col min="12293" max="12293" width="3.88671875" style="7351" customWidth="1"/>
    <col min="12294" max="12294" width="37.109375" style="7351" customWidth="1"/>
    <col min="12295" max="12295" width="15.88671875" style="7351" customWidth="1"/>
    <col min="12296" max="12296" width="13.44140625" style="7351" customWidth="1"/>
    <col min="12297" max="12297" width="14.109375" style="7351" customWidth="1"/>
    <col min="12298" max="12298" width="16.44140625" style="7351" customWidth="1"/>
    <col min="12299" max="12548" width="9.109375" style="7351"/>
    <col min="12549" max="12549" width="3.88671875" style="7351" customWidth="1"/>
    <col min="12550" max="12550" width="37.109375" style="7351" customWidth="1"/>
    <col min="12551" max="12551" width="15.88671875" style="7351" customWidth="1"/>
    <col min="12552" max="12552" width="13.44140625" style="7351" customWidth="1"/>
    <col min="12553" max="12553" width="14.109375" style="7351" customWidth="1"/>
    <col min="12554" max="12554" width="16.44140625" style="7351" customWidth="1"/>
    <col min="12555" max="12804" width="9.109375" style="7351"/>
    <col min="12805" max="12805" width="3.88671875" style="7351" customWidth="1"/>
    <col min="12806" max="12806" width="37.109375" style="7351" customWidth="1"/>
    <col min="12807" max="12807" width="15.88671875" style="7351" customWidth="1"/>
    <col min="12808" max="12808" width="13.44140625" style="7351" customWidth="1"/>
    <col min="12809" max="12809" width="14.109375" style="7351" customWidth="1"/>
    <col min="12810" max="12810" width="16.44140625" style="7351" customWidth="1"/>
    <col min="12811" max="13060" width="9.109375" style="7351"/>
    <col min="13061" max="13061" width="3.88671875" style="7351" customWidth="1"/>
    <col min="13062" max="13062" width="37.109375" style="7351" customWidth="1"/>
    <col min="13063" max="13063" width="15.88671875" style="7351" customWidth="1"/>
    <col min="13064" max="13064" width="13.44140625" style="7351" customWidth="1"/>
    <col min="13065" max="13065" width="14.109375" style="7351" customWidth="1"/>
    <col min="13066" max="13066" width="16.44140625" style="7351" customWidth="1"/>
    <col min="13067" max="13316" width="9.109375" style="7351"/>
    <col min="13317" max="13317" width="3.88671875" style="7351" customWidth="1"/>
    <col min="13318" max="13318" width="37.109375" style="7351" customWidth="1"/>
    <col min="13319" max="13319" width="15.88671875" style="7351" customWidth="1"/>
    <col min="13320" max="13320" width="13.44140625" style="7351" customWidth="1"/>
    <col min="13321" max="13321" width="14.109375" style="7351" customWidth="1"/>
    <col min="13322" max="13322" width="16.44140625" style="7351" customWidth="1"/>
    <col min="13323" max="13572" width="9.109375" style="7351"/>
    <col min="13573" max="13573" width="3.88671875" style="7351" customWidth="1"/>
    <col min="13574" max="13574" width="37.109375" style="7351" customWidth="1"/>
    <col min="13575" max="13575" width="15.88671875" style="7351" customWidth="1"/>
    <col min="13576" max="13576" width="13.44140625" style="7351" customWidth="1"/>
    <col min="13577" max="13577" width="14.109375" style="7351" customWidth="1"/>
    <col min="13578" max="13578" width="16.44140625" style="7351" customWidth="1"/>
    <col min="13579" max="13828" width="9.109375" style="7351"/>
    <col min="13829" max="13829" width="3.88671875" style="7351" customWidth="1"/>
    <col min="13830" max="13830" width="37.109375" style="7351" customWidth="1"/>
    <col min="13831" max="13831" width="15.88671875" style="7351" customWidth="1"/>
    <col min="13832" max="13832" width="13.44140625" style="7351" customWidth="1"/>
    <col min="13833" max="13833" width="14.109375" style="7351" customWidth="1"/>
    <col min="13834" max="13834" width="16.44140625" style="7351" customWidth="1"/>
    <col min="13835" max="14084" width="9.109375" style="7351"/>
    <col min="14085" max="14085" width="3.88671875" style="7351" customWidth="1"/>
    <col min="14086" max="14086" width="37.109375" style="7351" customWidth="1"/>
    <col min="14087" max="14087" width="15.88671875" style="7351" customWidth="1"/>
    <col min="14088" max="14088" width="13.44140625" style="7351" customWidth="1"/>
    <col min="14089" max="14089" width="14.109375" style="7351" customWidth="1"/>
    <col min="14090" max="14090" width="16.44140625" style="7351" customWidth="1"/>
    <col min="14091" max="14340" width="9.109375" style="7351"/>
    <col min="14341" max="14341" width="3.88671875" style="7351" customWidth="1"/>
    <col min="14342" max="14342" width="37.109375" style="7351" customWidth="1"/>
    <col min="14343" max="14343" width="15.88671875" style="7351" customWidth="1"/>
    <col min="14344" max="14344" width="13.44140625" style="7351" customWidth="1"/>
    <col min="14345" max="14345" width="14.109375" style="7351" customWidth="1"/>
    <col min="14346" max="14346" width="16.44140625" style="7351" customWidth="1"/>
    <col min="14347" max="14596" width="9.109375" style="7351"/>
    <col min="14597" max="14597" width="3.88671875" style="7351" customWidth="1"/>
    <col min="14598" max="14598" width="37.109375" style="7351" customWidth="1"/>
    <col min="14599" max="14599" width="15.88671875" style="7351" customWidth="1"/>
    <col min="14600" max="14600" width="13.44140625" style="7351" customWidth="1"/>
    <col min="14601" max="14601" width="14.109375" style="7351" customWidth="1"/>
    <col min="14602" max="14602" width="16.44140625" style="7351" customWidth="1"/>
    <col min="14603" max="14852" width="9.109375" style="7351"/>
    <col min="14853" max="14853" width="3.88671875" style="7351" customWidth="1"/>
    <col min="14854" max="14854" width="37.109375" style="7351" customWidth="1"/>
    <col min="14855" max="14855" width="15.88671875" style="7351" customWidth="1"/>
    <col min="14856" max="14856" width="13.44140625" style="7351" customWidth="1"/>
    <col min="14857" max="14857" width="14.109375" style="7351" customWidth="1"/>
    <col min="14858" max="14858" width="16.44140625" style="7351" customWidth="1"/>
    <col min="14859" max="15108" width="9.109375" style="7351"/>
    <col min="15109" max="15109" width="3.88671875" style="7351" customWidth="1"/>
    <col min="15110" max="15110" width="37.109375" style="7351" customWidth="1"/>
    <col min="15111" max="15111" width="15.88671875" style="7351" customWidth="1"/>
    <col min="15112" max="15112" width="13.44140625" style="7351" customWidth="1"/>
    <col min="15113" max="15113" width="14.109375" style="7351" customWidth="1"/>
    <col min="15114" max="15114" width="16.44140625" style="7351" customWidth="1"/>
    <col min="15115" max="15364" width="9.109375" style="7351"/>
    <col min="15365" max="15365" width="3.88671875" style="7351" customWidth="1"/>
    <col min="15366" max="15366" width="37.109375" style="7351" customWidth="1"/>
    <col min="15367" max="15367" width="15.88671875" style="7351" customWidth="1"/>
    <col min="15368" max="15368" width="13.44140625" style="7351" customWidth="1"/>
    <col min="15369" max="15369" width="14.109375" style="7351" customWidth="1"/>
    <col min="15370" max="15370" width="16.44140625" style="7351" customWidth="1"/>
    <col min="15371" max="15620" width="9.109375" style="7351"/>
    <col min="15621" max="15621" width="3.88671875" style="7351" customWidth="1"/>
    <col min="15622" max="15622" width="37.109375" style="7351" customWidth="1"/>
    <col min="15623" max="15623" width="15.88671875" style="7351" customWidth="1"/>
    <col min="15624" max="15624" width="13.44140625" style="7351" customWidth="1"/>
    <col min="15625" max="15625" width="14.109375" style="7351" customWidth="1"/>
    <col min="15626" max="15626" width="16.44140625" style="7351" customWidth="1"/>
    <col min="15627" max="15876" width="9.109375" style="7351"/>
    <col min="15877" max="15877" width="3.88671875" style="7351" customWidth="1"/>
    <col min="15878" max="15878" width="37.109375" style="7351" customWidth="1"/>
    <col min="15879" max="15879" width="15.88671875" style="7351" customWidth="1"/>
    <col min="15880" max="15880" width="13.44140625" style="7351" customWidth="1"/>
    <col min="15881" max="15881" width="14.109375" style="7351" customWidth="1"/>
    <col min="15882" max="15882" width="16.44140625" style="7351" customWidth="1"/>
    <col min="15883" max="16132" width="9.109375" style="7351"/>
    <col min="16133" max="16133" width="3.88671875" style="7351" customWidth="1"/>
    <col min="16134" max="16134" width="37.109375" style="7351" customWidth="1"/>
    <col min="16135" max="16135" width="15.88671875" style="7351" customWidth="1"/>
    <col min="16136" max="16136" width="13.44140625" style="7351" customWidth="1"/>
    <col min="16137" max="16137" width="14.109375" style="7351" customWidth="1"/>
    <col min="16138" max="16138" width="16.44140625" style="7351" customWidth="1"/>
    <col min="16139" max="16384" width="9.109375" style="7351"/>
  </cols>
  <sheetData>
    <row r="1" spans="1:13" ht="15" customHeight="1">
      <c r="A1" s="14432" t="s">
        <v>1</v>
      </c>
      <c r="B1" s="14432"/>
      <c r="C1" s="14432"/>
      <c r="D1" s="14432"/>
      <c r="E1" s="14432"/>
      <c r="F1" s="14432"/>
      <c r="G1" s="14432"/>
      <c r="H1" s="14432"/>
      <c r="I1" s="14432"/>
      <c r="J1" s="14432"/>
    </row>
    <row r="2" spans="1:13" ht="15" customHeight="1">
      <c r="A2" s="7335"/>
      <c r="B2" s="7335"/>
      <c r="C2" s="8785"/>
      <c r="D2" s="7336"/>
      <c r="E2" s="7336"/>
      <c r="F2" s="7336"/>
      <c r="G2" s="7830"/>
      <c r="H2" s="7336"/>
      <c r="I2" s="8107"/>
      <c r="J2" s="7830"/>
    </row>
    <row r="3" spans="1:13" ht="15" customHeight="1">
      <c r="A3" s="7335" t="s">
        <v>2</v>
      </c>
      <c r="B3" s="7341"/>
      <c r="C3" s="8786" t="s">
        <v>10199</v>
      </c>
      <c r="D3" s="9431"/>
      <c r="E3" s="9431"/>
      <c r="F3" s="9431"/>
      <c r="G3" s="14950"/>
      <c r="H3" s="9431"/>
      <c r="I3" s="10495"/>
      <c r="J3" s="14556"/>
    </row>
    <row r="4" spans="1:13" ht="15" customHeight="1">
      <c r="A4" s="7352" t="s">
        <v>7</v>
      </c>
      <c r="B4" s="7352"/>
      <c r="C4" s="8789" t="s">
        <v>8</v>
      </c>
      <c r="D4" s="7354"/>
      <c r="E4" s="7354"/>
      <c r="F4" s="7354"/>
      <c r="G4" s="14950"/>
      <c r="H4" s="7283"/>
      <c r="I4" s="10496"/>
      <c r="J4" s="14556"/>
    </row>
    <row r="5" spans="1:13" ht="15" customHeight="1" thickBot="1">
      <c r="A5" s="7721"/>
      <c r="B5" s="7721"/>
      <c r="C5" s="8787"/>
      <c r="D5" s="7723"/>
      <c r="E5" s="7724"/>
      <c r="F5" s="7724"/>
      <c r="G5" s="7831"/>
      <c r="H5" s="7832"/>
      <c r="I5" s="10497"/>
      <c r="J5" s="7831"/>
    </row>
    <row r="6" spans="1:13" ht="15" customHeight="1">
      <c r="A6" s="11433"/>
      <c r="B6" s="11434"/>
      <c r="C6" s="11750" t="s">
        <v>103</v>
      </c>
      <c r="D6" s="9461" t="s">
        <v>10</v>
      </c>
      <c r="E6" s="14188" t="s">
        <v>10711</v>
      </c>
      <c r="F6" s="14189"/>
      <c r="G6" s="14190"/>
      <c r="H6" s="11769" t="s">
        <v>9985</v>
      </c>
      <c r="I6" s="12448"/>
      <c r="J6" s="11511" t="s">
        <v>12</v>
      </c>
    </row>
    <row r="7" spans="1:13" ht="15" customHeight="1">
      <c r="A7" s="11237"/>
      <c r="B7" s="7356" t="s">
        <v>13</v>
      </c>
      <c r="C7" s="11536" t="s">
        <v>94</v>
      </c>
      <c r="D7" s="11438" t="s">
        <v>15</v>
      </c>
      <c r="E7" s="9502" t="s">
        <v>10709</v>
      </c>
      <c r="F7" s="9503" t="s">
        <v>10710</v>
      </c>
      <c r="G7" s="14191" t="s">
        <v>458</v>
      </c>
      <c r="H7" s="8118" t="s">
        <v>11747</v>
      </c>
      <c r="I7" s="12449"/>
      <c r="J7" s="11512" t="s">
        <v>16</v>
      </c>
    </row>
    <row r="8" spans="1:13" s="7833" customFormat="1" ht="15" customHeight="1" thickBot="1">
      <c r="A8" s="11440"/>
      <c r="B8" s="11441"/>
      <c r="C8" s="11751"/>
      <c r="D8" s="7302">
        <v>2017</v>
      </c>
      <c r="E8" s="9467" t="s">
        <v>457</v>
      </c>
      <c r="F8" s="11661" t="s">
        <v>456</v>
      </c>
      <c r="G8" s="14192"/>
      <c r="H8" s="7496">
        <v>2018</v>
      </c>
      <c r="I8" s="7303"/>
      <c r="J8" s="11513">
        <v>2019</v>
      </c>
      <c r="L8" s="7834"/>
      <c r="M8" s="7834"/>
    </row>
    <row r="9" spans="1:13" ht="15" customHeight="1">
      <c r="A9" s="11237"/>
      <c r="B9" s="7356"/>
      <c r="C9" s="11536"/>
      <c r="D9" s="11438"/>
      <c r="E9" s="11438"/>
      <c r="F9" s="11438"/>
      <c r="G9" s="12450"/>
      <c r="H9" s="11438"/>
      <c r="I9" s="12449"/>
      <c r="J9" s="11512"/>
    </row>
    <row r="10" spans="1:13" ht="15" customHeight="1">
      <c r="A10" s="11241" t="s">
        <v>17</v>
      </c>
      <c r="B10" s="7352" t="s">
        <v>18</v>
      </c>
      <c r="C10" s="8872"/>
      <c r="D10" s="11252"/>
      <c r="E10" s="11252"/>
      <c r="F10" s="11252"/>
      <c r="G10" s="11514"/>
      <c r="H10" s="11252"/>
      <c r="I10" s="12451"/>
      <c r="J10" s="11515"/>
    </row>
    <row r="11" spans="1:13" ht="15" customHeight="1">
      <c r="A11" s="11241"/>
      <c r="B11" s="7803" t="s">
        <v>19</v>
      </c>
      <c r="C11" s="8872"/>
      <c r="D11" s="11252"/>
      <c r="E11" s="11252"/>
      <c r="F11" s="11252"/>
      <c r="G11" s="11516"/>
      <c r="H11" s="11252"/>
      <c r="I11" s="12451"/>
      <c r="J11" s="11517"/>
    </row>
    <row r="12" spans="1:13" ht="15" customHeight="1">
      <c r="A12" s="11241"/>
      <c r="B12" s="7803" t="s">
        <v>56</v>
      </c>
      <c r="C12" s="8872">
        <v>50101010</v>
      </c>
      <c r="D12" s="11252">
        <f>'WS-PS 2017'!B11</f>
        <v>2067057.75</v>
      </c>
      <c r="E12" s="11252">
        <f>'WS-PS ACTUAL JUNE 2018'!B10</f>
        <v>1155247.8400000001</v>
      </c>
      <c r="F12" s="11252">
        <f>G12-E12</f>
        <v>2440456.16</v>
      </c>
      <c r="G12" s="11132">
        <v>3595704</v>
      </c>
      <c r="H12" s="11132"/>
      <c r="I12" s="12451"/>
      <c r="J12" s="11162">
        <f>K12</f>
        <v>3886140</v>
      </c>
      <c r="K12" s="7371">
        <f>'staffing-PIAO'!F39</f>
        <v>3886140</v>
      </c>
      <c r="L12" s="7383">
        <f>'staffing-PIAO'!B39</f>
        <v>9</v>
      </c>
    </row>
    <row r="13" spans="1:13" ht="15" customHeight="1">
      <c r="A13" s="11241"/>
      <c r="B13" s="7803" t="s">
        <v>58</v>
      </c>
      <c r="C13" s="8872">
        <v>50102010</v>
      </c>
      <c r="D13" s="11252">
        <f>'WS-PS 2017'!F11</f>
        <v>118545.46</v>
      </c>
      <c r="E13" s="11252">
        <f>'WS-PS ACTUAL JUNE 2018'!D10</f>
        <v>60909.09</v>
      </c>
      <c r="F13" s="11252">
        <f t="shared" ref="F13:F27" si="0">G13-E13</f>
        <v>155090.91</v>
      </c>
      <c r="G13" s="11132">
        <v>216000</v>
      </c>
      <c r="H13" s="11132"/>
      <c r="I13" s="12451"/>
      <c r="J13" s="11162">
        <f t="shared" ref="J13:J27" si="1">K13</f>
        <v>216000</v>
      </c>
      <c r="K13" s="7310">
        <f>24000*L12</f>
        <v>216000</v>
      </c>
    </row>
    <row r="14" spans="1:13" s="7837" customFormat="1" ht="15" customHeight="1">
      <c r="A14" s="11152"/>
      <c r="B14" s="7835" t="s">
        <v>104</v>
      </c>
      <c r="C14" s="11257">
        <v>50102020</v>
      </c>
      <c r="D14" s="11159">
        <f>'WS-PS 2017'!G11</f>
        <v>102000</v>
      </c>
      <c r="E14" s="11195">
        <f>'WS-PS ACTUAL JUNE 2018'!E10</f>
        <v>42500</v>
      </c>
      <c r="F14" s="11252">
        <f t="shared" si="0"/>
        <v>59500</v>
      </c>
      <c r="G14" s="11159">
        <v>102000</v>
      </c>
      <c r="H14" s="11159"/>
      <c r="I14" s="12451"/>
      <c r="J14" s="11162">
        <f t="shared" si="1"/>
        <v>102000</v>
      </c>
      <c r="K14" s="7310">
        <v>102000</v>
      </c>
      <c r="L14" s="7838"/>
      <c r="M14" s="7838"/>
    </row>
    <row r="15" spans="1:13" s="7837" customFormat="1" ht="15" customHeight="1">
      <c r="A15" s="11152"/>
      <c r="B15" s="7835" t="s">
        <v>105</v>
      </c>
      <c r="C15" s="11257">
        <v>50102030</v>
      </c>
      <c r="D15" s="11159">
        <f>'WS-PS 2017'!H11</f>
        <v>102000</v>
      </c>
      <c r="E15" s="11195">
        <f>'WS-PS ACTUAL JUNE 2018'!F10</f>
        <v>42500</v>
      </c>
      <c r="F15" s="11252">
        <f t="shared" si="0"/>
        <v>59500</v>
      </c>
      <c r="G15" s="11159">
        <v>102000</v>
      </c>
      <c r="H15" s="11159"/>
      <c r="I15" s="12451"/>
      <c r="J15" s="11162">
        <f t="shared" si="1"/>
        <v>102000</v>
      </c>
      <c r="K15" s="7310">
        <v>102000</v>
      </c>
      <c r="L15" s="7838"/>
      <c r="M15" s="7838"/>
    </row>
    <row r="16" spans="1:13" ht="15" customHeight="1">
      <c r="A16" s="11241"/>
      <c r="B16" s="7803" t="s">
        <v>79</v>
      </c>
      <c r="C16" s="8872">
        <v>50102040</v>
      </c>
      <c r="D16" s="11252">
        <f>'WS-PS 2017'!I11</f>
        <v>25000</v>
      </c>
      <c r="E16" s="8869">
        <f>'WS-PS ACTUAL JUNE 2018'!G10</f>
        <v>30000</v>
      </c>
      <c r="F16" s="11252">
        <f t="shared" si="0"/>
        <v>15000</v>
      </c>
      <c r="G16" s="11132">
        <v>45000</v>
      </c>
      <c r="H16" s="11132"/>
      <c r="I16" s="12451"/>
      <c r="J16" s="11162">
        <f t="shared" si="1"/>
        <v>54000</v>
      </c>
      <c r="K16" s="7310">
        <f>6000*L12</f>
        <v>54000</v>
      </c>
    </row>
    <row r="17" spans="1:15" ht="15" customHeight="1">
      <c r="A17" s="11241"/>
      <c r="B17" s="7488" t="s">
        <v>10932</v>
      </c>
      <c r="C17" s="10368">
        <v>50102080</v>
      </c>
      <c r="D17" s="11252">
        <f>'WS-PS 2017'!L11</f>
        <v>25000</v>
      </c>
      <c r="E17" s="8869">
        <f>'WS-PS ACTUAL JUNE 2018'!J10</f>
        <v>0</v>
      </c>
      <c r="F17" s="11252">
        <f t="shared" si="0"/>
        <v>45000</v>
      </c>
      <c r="G17" s="11132">
        <v>45000</v>
      </c>
      <c r="H17" s="11132"/>
      <c r="I17" s="12451"/>
      <c r="J17" s="11162">
        <f t="shared" si="1"/>
        <v>45000</v>
      </c>
      <c r="K17" s="7310">
        <f>5000*L12</f>
        <v>45000</v>
      </c>
    </row>
    <row r="18" spans="1:15" ht="15" customHeight="1">
      <c r="A18" s="11241"/>
      <c r="B18" s="7488" t="s">
        <v>10934</v>
      </c>
      <c r="C18" s="8872">
        <v>50102120</v>
      </c>
      <c r="D18" s="11252">
        <f>'WS-PS 2017'!O11</f>
        <v>5000</v>
      </c>
      <c r="E18" s="11252">
        <f>'WS-PS ACTUAL JUNE 2018'!M10</f>
        <v>0</v>
      </c>
      <c r="F18" s="11252">
        <f>G18-E18</f>
        <v>0</v>
      </c>
      <c r="G18" s="11132">
        <v>0</v>
      </c>
      <c r="H18" s="11132"/>
      <c r="I18" s="12451"/>
      <c r="J18" s="11162">
        <f t="shared" si="1"/>
        <v>0</v>
      </c>
    </row>
    <row r="19" spans="1:15" ht="15" customHeight="1">
      <c r="A19" s="11241"/>
      <c r="B19" s="7488" t="s">
        <v>10933</v>
      </c>
      <c r="C19" s="8872">
        <v>50102140</v>
      </c>
      <c r="D19" s="11252">
        <f>'WS-PS 2017'!U11+'WS-PS 2017'!S11</f>
        <v>329045</v>
      </c>
      <c r="E19" s="8869">
        <f>'WS-PS ACTUAL JUNE 2018'!O10</f>
        <v>191623</v>
      </c>
      <c r="F19" s="11252">
        <f>G19-E19</f>
        <v>407661</v>
      </c>
      <c r="G19" s="11132">
        <v>599284</v>
      </c>
      <c r="H19" s="11132"/>
      <c r="I19" s="12451"/>
      <c r="J19" s="11162">
        <f t="shared" si="1"/>
        <v>647690</v>
      </c>
      <c r="K19" s="7310">
        <f>SUM(K11:K12)/12*2</f>
        <v>647690</v>
      </c>
      <c r="L19" s="8069"/>
      <c r="M19" s="8069"/>
    </row>
    <row r="20" spans="1:15" ht="15" customHeight="1">
      <c r="A20" s="11241"/>
      <c r="B20" s="7287" t="s">
        <v>26</v>
      </c>
      <c r="C20" s="8802">
        <v>50102150</v>
      </c>
      <c r="D20" s="11252">
        <f>'WS-PS 2017'!T11</f>
        <v>25000</v>
      </c>
      <c r="E20" s="8869">
        <f>'WS-PS ACTUAL JUNE 2018'!Q10</f>
        <v>0</v>
      </c>
      <c r="F20" s="11252">
        <f t="shared" si="0"/>
        <v>45000</v>
      </c>
      <c r="G20" s="11132">
        <v>45000</v>
      </c>
      <c r="H20" s="11132"/>
      <c r="I20" s="12451"/>
      <c r="J20" s="11162">
        <f t="shared" si="1"/>
        <v>45000</v>
      </c>
      <c r="K20" s="7371">
        <f>K17</f>
        <v>45000</v>
      </c>
      <c r="L20" s="8069"/>
      <c r="M20" s="8069"/>
    </row>
    <row r="21" spans="1:15" ht="15" customHeight="1">
      <c r="A21" s="11241"/>
      <c r="B21" s="7488" t="s">
        <v>11497</v>
      </c>
      <c r="C21" s="11257">
        <v>50102990</v>
      </c>
      <c r="D21" s="11252">
        <v>0</v>
      </c>
      <c r="E21" s="8871">
        <f>'WS-PS ACTUAL JUNE 2018'!R10</f>
        <v>0</v>
      </c>
      <c r="F21" s="11252">
        <f>G21-E21</f>
        <v>172294</v>
      </c>
      <c r="G21" s="11132">
        <v>172294</v>
      </c>
      <c r="H21" s="11132"/>
      <c r="I21" s="12451"/>
      <c r="J21" s="11162">
        <v>0</v>
      </c>
      <c r="K21" s="7310">
        <f>K12/12*0.575</f>
        <v>186210.875</v>
      </c>
      <c r="L21" s="8069"/>
      <c r="M21" s="8069"/>
      <c r="O21" s="7351">
        <f>(J12/12)*5.5%</f>
        <v>17811.474999999999</v>
      </c>
    </row>
    <row r="22" spans="1:15" ht="15" customHeight="1">
      <c r="A22" s="11241"/>
      <c r="B22" s="7803" t="s">
        <v>11499</v>
      </c>
      <c r="C22" s="11059" t="s">
        <v>11495</v>
      </c>
      <c r="D22" s="11252">
        <f>'WS-PS 2017'!Q11</f>
        <v>0</v>
      </c>
      <c r="E22" s="8869">
        <f>'WS-PS ACTUAL JUNE 2018'!S10</f>
        <v>0</v>
      </c>
      <c r="F22" s="11252">
        <f>G22-E22</f>
        <v>0</v>
      </c>
      <c r="G22" s="11132">
        <v>0</v>
      </c>
      <c r="H22" s="11132"/>
      <c r="I22" s="12451"/>
      <c r="J22" s="11162">
        <f t="shared" si="1"/>
        <v>27000</v>
      </c>
      <c r="K22" s="7310">
        <f>3000*L12</f>
        <v>27000</v>
      </c>
    </row>
    <row r="23" spans="1:15" ht="15" customHeight="1">
      <c r="A23" s="11241"/>
      <c r="B23" s="11518" t="s">
        <v>59</v>
      </c>
      <c r="C23" s="8872">
        <v>50103010</v>
      </c>
      <c r="D23" s="11252">
        <f>'WS-PS 2017'!V11</f>
        <v>248046.93</v>
      </c>
      <c r="E23" s="11252">
        <f>'WS-PS ACTUAL JUNE 2018'!T10</f>
        <v>138629.74</v>
      </c>
      <c r="F23" s="11252">
        <f t="shared" si="0"/>
        <v>292854.26</v>
      </c>
      <c r="G23" s="11132">
        <v>431484</v>
      </c>
      <c r="H23" s="11132"/>
      <c r="I23" s="12451"/>
      <c r="J23" s="11162">
        <f t="shared" si="1"/>
        <v>466336.8</v>
      </c>
      <c r="K23" s="11720">
        <f>SUM(K11:K12)*12%</f>
        <v>466336.8</v>
      </c>
      <c r="L23" s="10256"/>
      <c r="M23" s="8069"/>
      <c r="O23" s="7351">
        <f>J12*12%</f>
        <v>466336.8</v>
      </c>
    </row>
    <row r="24" spans="1:15" ht="15" customHeight="1">
      <c r="A24" s="11241"/>
      <c r="B24" s="7803" t="s">
        <v>28</v>
      </c>
      <c r="C24" s="8872">
        <v>50103020</v>
      </c>
      <c r="D24" s="11252">
        <f>'WS-PS 2017'!W11</f>
        <v>6000</v>
      </c>
      <c r="E24" s="11252">
        <f>'WS-PS ACTUAL JUNE 2018'!U10</f>
        <v>3100</v>
      </c>
      <c r="F24" s="11252">
        <f t="shared" si="0"/>
        <v>7700</v>
      </c>
      <c r="G24" s="11132">
        <v>10800</v>
      </c>
      <c r="H24" s="11132"/>
      <c r="I24" s="12451"/>
      <c r="J24" s="11162">
        <f t="shared" si="1"/>
        <v>10800</v>
      </c>
      <c r="K24" s="7310">
        <f>1200*L12</f>
        <v>10800</v>
      </c>
      <c r="L24" s="8069"/>
      <c r="M24" s="8069"/>
    </row>
    <row r="25" spans="1:15" ht="15" customHeight="1">
      <c r="A25" s="11241"/>
      <c r="B25" s="7803" t="s">
        <v>29</v>
      </c>
      <c r="C25" s="8872">
        <v>50103030</v>
      </c>
      <c r="D25" s="11252">
        <f>'WS-PS 2017'!X11</f>
        <v>17550</v>
      </c>
      <c r="E25" s="11252">
        <f>'WS-PS ACTUAL JUNE 2018'!V10</f>
        <v>11552.73</v>
      </c>
      <c r="F25" s="11252">
        <f t="shared" si="0"/>
        <v>19647.27</v>
      </c>
      <c r="G25" s="11132">
        <v>31200</v>
      </c>
      <c r="H25" s="11132"/>
      <c r="I25" s="12451"/>
      <c r="J25" s="11162">
        <v>41954.384999999995</v>
      </c>
      <c r="K25" s="7310">
        <f>3600*L12</f>
        <v>32400</v>
      </c>
      <c r="L25" s="8069"/>
      <c r="M25" s="8069"/>
    </row>
    <row r="26" spans="1:15" ht="15" customHeight="1">
      <c r="A26" s="11241"/>
      <c r="B26" s="7803" t="s">
        <v>30</v>
      </c>
      <c r="C26" s="8872">
        <v>50103040</v>
      </c>
      <c r="D26" s="11252">
        <f>'WS-PS 2017'!Y11</f>
        <v>5949.68</v>
      </c>
      <c r="E26" s="11252">
        <f>'WS-PS ACTUAL JUNE 2018'!W10</f>
        <v>3000</v>
      </c>
      <c r="F26" s="11252">
        <f t="shared" si="0"/>
        <v>7800</v>
      </c>
      <c r="G26" s="11132">
        <v>10800</v>
      </c>
      <c r="H26" s="11132"/>
      <c r="I26" s="12451"/>
      <c r="J26" s="11162">
        <f t="shared" si="1"/>
        <v>10800</v>
      </c>
      <c r="K26" s="7310">
        <f>K24</f>
        <v>10800</v>
      </c>
      <c r="L26" s="8069"/>
      <c r="M26" s="8069"/>
    </row>
    <row r="27" spans="1:15" ht="15" customHeight="1">
      <c r="A27" s="11241"/>
      <c r="B27" s="7488" t="s">
        <v>5025</v>
      </c>
      <c r="C27" s="11258">
        <v>50104990</v>
      </c>
      <c r="D27" s="11252">
        <f>'WS-PS 2017'!Z11</f>
        <v>125000</v>
      </c>
      <c r="E27" s="11252"/>
      <c r="F27" s="11252">
        <f t="shared" si="0"/>
        <v>0</v>
      </c>
      <c r="G27" s="11132">
        <v>0</v>
      </c>
      <c r="H27" s="11132"/>
      <c r="I27" s="12451"/>
      <c r="J27" s="11162">
        <f t="shared" si="1"/>
        <v>0</v>
      </c>
    </row>
    <row r="28" spans="1:15" ht="15" customHeight="1">
      <c r="A28" s="11241"/>
      <c r="B28" s="7803"/>
      <c r="C28" s="8872"/>
      <c r="D28" s="11252"/>
      <c r="E28" s="11252"/>
      <c r="F28" s="11252"/>
      <c r="G28" s="11132"/>
      <c r="H28" s="11132"/>
      <c r="I28" s="12451"/>
      <c r="J28" s="11162"/>
    </row>
    <row r="29" spans="1:15" s="7374" customFormat="1" ht="15" customHeight="1" thickBot="1">
      <c r="A29" s="11519"/>
      <c r="B29" s="7752" t="s">
        <v>182</v>
      </c>
      <c r="C29" s="11751"/>
      <c r="D29" s="9428">
        <f>SUM(D12:D27)</f>
        <v>3201194.8200000003</v>
      </c>
      <c r="E29" s="9428">
        <f>SUM(E12:E27)</f>
        <v>1679062.4000000001</v>
      </c>
      <c r="F29" s="9428">
        <f>SUM(F12:F27)</f>
        <v>3727503.6</v>
      </c>
      <c r="G29" s="9428">
        <f>SUM(G12:G27)</f>
        <v>5406566</v>
      </c>
      <c r="H29" s="9428"/>
      <c r="I29" s="12452"/>
      <c r="J29" s="11450">
        <f>SUM(J12:J27)</f>
        <v>5654721.1849999996</v>
      </c>
      <c r="K29" s="11748">
        <f>SUM(K12:K28)</f>
        <v>5831377.6749999998</v>
      </c>
      <c r="L29" s="7839"/>
      <c r="M29" s="7839"/>
    </row>
    <row r="30" spans="1:15" ht="15" customHeight="1">
      <c r="A30" s="7844"/>
      <c r="B30" s="7385"/>
      <c r="C30" s="8788"/>
      <c r="D30" s="7797"/>
      <c r="E30" s="7797"/>
      <c r="F30" s="7797"/>
      <c r="G30" s="7845"/>
      <c r="H30" s="7797"/>
      <c r="I30" s="10498"/>
      <c r="J30" s="7845"/>
    </row>
    <row r="31" spans="1:15" ht="15" customHeight="1">
      <c r="A31" s="7847"/>
      <c r="B31" s="7352"/>
      <c r="C31" s="8789"/>
      <c r="D31" s="7354"/>
      <c r="E31" s="7354"/>
      <c r="F31" s="7354"/>
      <c r="G31" s="7848"/>
      <c r="H31" s="7354"/>
      <c r="I31" s="10496"/>
      <c r="J31" s="7848"/>
    </row>
    <row r="32" spans="1:15" ht="15" customHeight="1">
      <c r="A32" s="7847"/>
      <c r="B32" s="7352"/>
      <c r="C32" s="8789"/>
      <c r="D32" s="7354"/>
      <c r="E32" s="7354"/>
      <c r="F32" s="7354"/>
      <c r="G32" s="7848"/>
      <c r="H32" s="7354"/>
      <c r="I32" s="10496"/>
      <c r="J32" s="7848"/>
    </row>
    <row r="33" spans="1:13" ht="15" customHeight="1">
      <c r="A33" s="7847"/>
      <c r="B33" s="7352"/>
      <c r="C33" s="8789"/>
      <c r="D33" s="7354"/>
      <c r="E33" s="7354"/>
      <c r="F33" s="7354"/>
      <c r="G33" s="7848"/>
      <c r="H33" s="7354"/>
      <c r="I33" s="10496"/>
      <c r="J33" s="7848"/>
    </row>
    <row r="34" spans="1:13" ht="15" customHeight="1">
      <c r="A34" s="7847"/>
      <c r="B34" s="7352"/>
      <c r="C34" s="8789"/>
      <c r="D34" s="7354"/>
      <c r="E34" s="7354"/>
      <c r="F34" s="7354"/>
      <c r="G34" s="7848"/>
      <c r="H34" s="7354"/>
      <c r="I34" s="10496"/>
      <c r="J34" s="7848"/>
    </row>
    <row r="35" spans="1:13" ht="15" customHeight="1">
      <c r="A35" s="7847"/>
      <c r="B35" s="7352"/>
      <c r="C35" s="8789"/>
      <c r="D35" s="7354"/>
      <c r="E35" s="7354"/>
      <c r="F35" s="7354"/>
      <c r="G35" s="7848"/>
      <c r="H35" s="7354"/>
      <c r="I35" s="10496"/>
      <c r="J35" s="7848"/>
    </row>
    <row r="36" spans="1:13" ht="15" customHeight="1">
      <c r="A36" s="7847"/>
      <c r="B36" s="7352"/>
      <c r="C36" s="8789"/>
      <c r="D36" s="7354"/>
      <c r="E36" s="7354"/>
      <c r="F36" s="7354"/>
      <c r="G36" s="7848"/>
      <c r="H36" s="7354"/>
      <c r="I36" s="10496"/>
      <c r="J36" s="7848"/>
    </row>
    <row r="37" spans="1:13" ht="15" customHeight="1">
      <c r="A37" s="7847"/>
      <c r="B37" s="7352"/>
      <c r="C37" s="8789"/>
      <c r="D37" s="7354"/>
      <c r="E37" s="7354"/>
      <c r="F37" s="7354"/>
      <c r="G37" s="7848"/>
      <c r="H37" s="7354"/>
      <c r="I37" s="10496"/>
      <c r="J37" s="7848"/>
    </row>
    <row r="38" spans="1:13" ht="15" customHeight="1" thickBot="1">
      <c r="A38" s="7390" t="s">
        <v>10752</v>
      </c>
      <c r="B38" s="7390"/>
      <c r="C38" s="8796"/>
      <c r="D38" s="7724"/>
      <c r="E38" s="7724"/>
      <c r="F38" s="7724"/>
      <c r="G38" s="7846"/>
      <c r="H38" s="7724"/>
      <c r="I38" s="10499"/>
      <c r="J38" s="7846"/>
    </row>
    <row r="39" spans="1:13" ht="15" customHeight="1">
      <c r="A39" s="11433"/>
      <c r="B39" s="11434"/>
      <c r="C39" s="11750" t="s">
        <v>103</v>
      </c>
      <c r="D39" s="9461" t="s">
        <v>10</v>
      </c>
      <c r="E39" s="14188" t="s">
        <v>10711</v>
      </c>
      <c r="F39" s="14189"/>
      <c r="G39" s="14190"/>
      <c r="H39" s="9461"/>
      <c r="I39" s="12448"/>
      <c r="J39" s="11511" t="s">
        <v>12</v>
      </c>
    </row>
    <row r="40" spans="1:13" ht="15" customHeight="1">
      <c r="A40" s="11237"/>
      <c r="B40" s="7356" t="s">
        <v>13</v>
      </c>
      <c r="C40" s="11536" t="s">
        <v>94</v>
      </c>
      <c r="D40" s="11438" t="s">
        <v>15</v>
      </c>
      <c r="E40" s="9502" t="s">
        <v>10709</v>
      </c>
      <c r="F40" s="9503" t="s">
        <v>10710</v>
      </c>
      <c r="G40" s="14191" t="s">
        <v>458</v>
      </c>
      <c r="H40" s="11181"/>
      <c r="I40" s="12449"/>
      <c r="J40" s="11512" t="s">
        <v>16</v>
      </c>
    </row>
    <row r="41" spans="1:13" s="7833" customFormat="1" ht="15" customHeight="1" thickBot="1">
      <c r="A41" s="11440"/>
      <c r="B41" s="11441"/>
      <c r="C41" s="11751"/>
      <c r="D41" s="7302">
        <v>2017</v>
      </c>
      <c r="E41" s="9467" t="s">
        <v>457</v>
      </c>
      <c r="F41" s="11661" t="s">
        <v>456</v>
      </c>
      <c r="G41" s="14192"/>
      <c r="H41" s="7302"/>
      <c r="I41" s="7303"/>
      <c r="J41" s="11513">
        <v>2019</v>
      </c>
      <c r="L41" s="7834"/>
      <c r="M41" s="7834"/>
    </row>
    <row r="42" spans="1:13" ht="15" customHeight="1">
      <c r="A42" s="11241"/>
      <c r="B42" s="7352" t="s">
        <v>38</v>
      </c>
      <c r="C42" s="8872"/>
      <c r="D42" s="11454"/>
      <c r="E42" s="11454"/>
      <c r="F42" s="11454"/>
      <c r="G42" s="11514"/>
      <c r="H42" s="11252"/>
      <c r="I42" s="12451"/>
      <c r="J42" s="11515"/>
    </row>
    <row r="43" spans="1:13" ht="15" customHeight="1">
      <c r="A43" s="11237"/>
      <c r="B43" s="7287" t="s">
        <v>39</v>
      </c>
      <c r="C43" s="8802">
        <v>50201010</v>
      </c>
      <c r="D43" s="11252">
        <f>'WS-MOOE 2017'!B11</f>
        <v>53401.06</v>
      </c>
      <c r="E43" s="11252">
        <f>'WS-MOOE ACTUAL JUNE 2018'!B11</f>
        <v>4509</v>
      </c>
      <c r="F43" s="11252">
        <f t="shared" ref="F43:F54" si="2">G43-E43</f>
        <v>135491</v>
      </c>
      <c r="G43" s="11514">
        <v>140000</v>
      </c>
      <c r="H43" s="11252">
        <v>25007</v>
      </c>
      <c r="I43" s="12454">
        <f>H43/G43</f>
        <v>0.17862142857142857</v>
      </c>
      <c r="J43" s="11515">
        <v>159500</v>
      </c>
    </row>
    <row r="44" spans="1:13" ht="15" customHeight="1">
      <c r="A44" s="11237"/>
      <c r="B44" s="7287" t="s">
        <v>41</v>
      </c>
      <c r="C44" s="8802">
        <v>50202010</v>
      </c>
      <c r="D44" s="11252">
        <f>'WS-MOOE 2017'!H11</f>
        <v>90000</v>
      </c>
      <c r="E44" s="11252">
        <f>'WS-MOOE ACTUAL JUNE 2018'!G11</f>
        <v>12000</v>
      </c>
      <c r="F44" s="11252">
        <f t="shared" si="2"/>
        <v>213000</v>
      </c>
      <c r="G44" s="11514">
        <v>225000</v>
      </c>
      <c r="H44" s="11252">
        <v>12000</v>
      </c>
      <c r="I44" s="12454">
        <f t="shared" ref="I44:I54" si="3">H44/G44</f>
        <v>5.3333333333333337E-2</v>
      </c>
      <c r="J44" s="11515">
        <v>283000</v>
      </c>
    </row>
    <row r="45" spans="1:13" ht="15" customHeight="1">
      <c r="A45" s="11237"/>
      <c r="B45" s="7287" t="s">
        <v>42</v>
      </c>
      <c r="C45" s="8802">
        <v>50203010</v>
      </c>
      <c r="D45" s="11252">
        <f>'WS-MOOE 2017'!J11</f>
        <v>46538.75</v>
      </c>
      <c r="E45" s="11252">
        <f>'WS-MOOE ACTUAL JUNE 2018'!H11</f>
        <v>1236</v>
      </c>
      <c r="F45" s="11252">
        <f t="shared" si="2"/>
        <v>73764</v>
      </c>
      <c r="G45" s="11514">
        <v>75000</v>
      </c>
      <c r="H45" s="11252">
        <v>58136.45</v>
      </c>
      <c r="I45" s="12454">
        <f t="shared" si="3"/>
        <v>0.7751526666666666</v>
      </c>
      <c r="J45" s="11515">
        <v>55000</v>
      </c>
    </row>
    <row r="46" spans="1:13" ht="15" hidden="1" customHeight="1">
      <c r="A46" s="11237"/>
      <c r="B46" s="7352" t="s">
        <v>61</v>
      </c>
      <c r="C46" s="8872">
        <v>761</v>
      </c>
      <c r="D46" s="11252">
        <f>'WS-MOOE 2017'!R11</f>
        <v>0</v>
      </c>
      <c r="E46" s="11252"/>
      <c r="F46" s="11252">
        <f t="shared" si="2"/>
        <v>0</v>
      </c>
      <c r="G46" s="11514">
        <v>0</v>
      </c>
      <c r="H46" s="11252"/>
      <c r="I46" s="12454" t="e">
        <f t="shared" si="3"/>
        <v>#DIV/0!</v>
      </c>
      <c r="J46" s="11515">
        <v>0</v>
      </c>
    </row>
    <row r="47" spans="1:13" ht="15" customHeight="1">
      <c r="A47" s="11237"/>
      <c r="B47" s="7352" t="s">
        <v>46</v>
      </c>
      <c r="C47" s="8872">
        <v>50204020</v>
      </c>
      <c r="D47" s="11252">
        <f>'WS-MOOE 2017'!X11</f>
        <v>31155.06</v>
      </c>
      <c r="E47" s="11252">
        <f>'WS-MOOE ACTUAL JUNE 2018'!S11</f>
        <v>15372.72</v>
      </c>
      <c r="F47" s="11252">
        <f t="shared" si="2"/>
        <v>34627.279999999999</v>
      </c>
      <c r="G47" s="11514">
        <v>50000</v>
      </c>
      <c r="H47" s="11252">
        <v>22313.95</v>
      </c>
      <c r="I47" s="12454">
        <f t="shared" si="3"/>
        <v>0.44627900000000004</v>
      </c>
      <c r="J47" s="12455">
        <v>0</v>
      </c>
      <c r="K47" s="8905">
        <v>106000</v>
      </c>
    </row>
    <row r="48" spans="1:13" s="7818" customFormat="1" ht="15" customHeight="1">
      <c r="A48" s="11131"/>
      <c r="B48" s="7536" t="s">
        <v>11531</v>
      </c>
      <c r="C48" s="8802">
        <v>50205020</v>
      </c>
      <c r="D48" s="10370">
        <f>'WS-MOOE 2017'!AA11+'WS-MOOE 2017'!AC11</f>
        <v>56269.919999999998</v>
      </c>
      <c r="E48" s="10370">
        <f>'WS-MOOE ACTUAL JUNE 2018'!V11</f>
        <v>23457.86</v>
      </c>
      <c r="F48" s="11252">
        <f t="shared" si="2"/>
        <v>39542.14</v>
      </c>
      <c r="G48" s="9282">
        <v>63000</v>
      </c>
      <c r="H48" s="10370">
        <v>30355.86</v>
      </c>
      <c r="I48" s="12454">
        <f t="shared" si="3"/>
        <v>0.48183904761904761</v>
      </c>
      <c r="J48" s="11522">
        <f>29500+33000</f>
        <v>62500</v>
      </c>
      <c r="K48" s="7840"/>
      <c r="L48" s="10257"/>
      <c r="M48" s="7841"/>
    </row>
    <row r="49" spans="1:14" s="7818" customFormat="1" ht="15" hidden="1" customHeight="1">
      <c r="A49" s="11131"/>
      <c r="B49" s="7309" t="s">
        <v>185</v>
      </c>
      <c r="C49" s="12234"/>
      <c r="D49" s="10370"/>
      <c r="E49" s="10370"/>
      <c r="F49" s="11252">
        <f t="shared" si="2"/>
        <v>0</v>
      </c>
      <c r="G49" s="9282"/>
      <c r="H49" s="10370"/>
      <c r="I49" s="12454" t="e">
        <f t="shared" si="3"/>
        <v>#DIV/0!</v>
      </c>
      <c r="J49" s="11522"/>
      <c r="K49" s="7840"/>
      <c r="L49" s="10257"/>
      <c r="M49" s="7841"/>
    </row>
    <row r="50" spans="1:14" ht="15" customHeight="1">
      <c r="A50" s="11237"/>
      <c r="B50" s="7488" t="s">
        <v>10955</v>
      </c>
      <c r="C50" s="11258">
        <v>50211990</v>
      </c>
      <c r="D50" s="11252">
        <f>'WS-MOOE 2017'!AL11</f>
        <v>236775.14</v>
      </c>
      <c r="E50" s="11252">
        <f>'WS-MOOE ACTUAL JUNE 2018'!AF11</f>
        <v>157993.04</v>
      </c>
      <c r="F50" s="11252">
        <f>G50-E50</f>
        <v>226006.96</v>
      </c>
      <c r="G50" s="11514">
        <v>384000</v>
      </c>
      <c r="H50" s="11252">
        <v>262103.3</v>
      </c>
      <c r="I50" s="12454">
        <f>H50/G50</f>
        <v>0.68256067708333334</v>
      </c>
      <c r="J50" s="11515">
        <v>396000</v>
      </c>
      <c r="K50" s="7840"/>
    </row>
    <row r="51" spans="1:14" s="7818" customFormat="1" ht="15" customHeight="1">
      <c r="A51" s="11131"/>
      <c r="B51" s="7352" t="s">
        <v>10956</v>
      </c>
      <c r="C51" s="8872">
        <v>50212990</v>
      </c>
      <c r="D51" s="11492">
        <f>'WS-MOOE 2017'!AO11</f>
        <v>245829.35</v>
      </c>
      <c r="E51" s="11492">
        <f>'WS-MOOE ACTUAL JUNE 2018'!AJ11</f>
        <v>68528.759999999995</v>
      </c>
      <c r="F51" s="11252">
        <f t="shared" si="2"/>
        <v>185471.24</v>
      </c>
      <c r="G51" s="11514">
        <v>254000</v>
      </c>
      <c r="H51" s="11492">
        <v>115545.64</v>
      </c>
      <c r="I51" s="12454">
        <f t="shared" si="3"/>
        <v>0.45490409448818897</v>
      </c>
      <c r="J51" s="11515">
        <v>197500</v>
      </c>
      <c r="K51" s="7840"/>
      <c r="L51" s="10257"/>
      <c r="M51" s="7841"/>
    </row>
    <row r="52" spans="1:14" ht="15" hidden="1" customHeight="1">
      <c r="A52" s="11237"/>
      <c r="B52" s="7488" t="s">
        <v>10959</v>
      </c>
      <c r="C52" s="10377">
        <v>50213040</v>
      </c>
      <c r="D52" s="11252">
        <v>0</v>
      </c>
      <c r="E52" s="11252"/>
      <c r="F52" s="11252">
        <f t="shared" si="2"/>
        <v>0</v>
      </c>
      <c r="G52" s="11514">
        <v>0</v>
      </c>
      <c r="H52" s="11252"/>
      <c r="I52" s="12454">
        <v>0</v>
      </c>
      <c r="J52" s="11515">
        <v>0</v>
      </c>
      <c r="K52" s="7840"/>
    </row>
    <row r="53" spans="1:14" ht="15" customHeight="1">
      <c r="A53" s="11237"/>
      <c r="B53" s="7488" t="s">
        <v>10938</v>
      </c>
      <c r="C53" s="8872">
        <v>50213050</v>
      </c>
      <c r="D53" s="11252">
        <f>'WS-MOOE 2017'!AW11</f>
        <v>20131.46</v>
      </c>
      <c r="E53" s="11252">
        <f>'WS-MOOE ACTUAL JUNE 2018'!AS11</f>
        <v>2061.25</v>
      </c>
      <c r="F53" s="11252">
        <f t="shared" si="2"/>
        <v>47938.75</v>
      </c>
      <c r="G53" s="11514">
        <v>50000</v>
      </c>
      <c r="H53" s="11252">
        <v>2586.25</v>
      </c>
      <c r="I53" s="12454">
        <f t="shared" si="3"/>
        <v>5.1725E-2</v>
      </c>
      <c r="J53" s="11515">
        <v>11000</v>
      </c>
      <c r="K53" s="7840"/>
      <c r="N53" s="7351">
        <v>-1000</v>
      </c>
    </row>
    <row r="54" spans="1:14" ht="15" customHeight="1">
      <c r="A54" s="11237"/>
      <c r="B54" s="7352" t="s">
        <v>50</v>
      </c>
      <c r="C54" s="8872">
        <v>50299990</v>
      </c>
      <c r="D54" s="11252">
        <f>'WS-MOOE 2017'!BO11</f>
        <v>12759.75</v>
      </c>
      <c r="E54" s="11252">
        <f>'WS-MOOE ACTUAL JUNE 2018'!BI11</f>
        <v>1500</v>
      </c>
      <c r="F54" s="11252">
        <f t="shared" si="2"/>
        <v>28500</v>
      </c>
      <c r="G54" s="11514">
        <v>30000</v>
      </c>
      <c r="H54" s="11252">
        <v>5663.2</v>
      </c>
      <c r="I54" s="12454">
        <f t="shared" si="3"/>
        <v>0.18877333333333332</v>
      </c>
      <c r="J54" s="11515">
        <v>69500</v>
      </c>
      <c r="N54" s="7351">
        <v>-5000</v>
      </c>
    </row>
    <row r="55" spans="1:14" s="7355" customFormat="1" ht="15" customHeight="1">
      <c r="A55" s="11237"/>
      <c r="B55" s="7352"/>
      <c r="C55" s="8872"/>
      <c r="D55" s="7956"/>
      <c r="E55" s="7956"/>
      <c r="F55" s="11252"/>
      <c r="G55" s="8093"/>
      <c r="H55" s="7956"/>
      <c r="I55" s="12454"/>
      <c r="J55" s="11528"/>
      <c r="L55" s="8069"/>
      <c r="M55" s="8069"/>
    </row>
    <row r="56" spans="1:14" ht="15" customHeight="1">
      <c r="A56" s="11237"/>
      <c r="B56" s="7361" t="s">
        <v>37</v>
      </c>
      <c r="C56" s="8872"/>
      <c r="D56" s="9538">
        <f>SUM(D43:D54)</f>
        <v>792860.49</v>
      </c>
      <c r="E56" s="9538">
        <f>SUM(E43:E54)</f>
        <v>286658.63</v>
      </c>
      <c r="F56" s="9538">
        <f>SUM(F43:F54)</f>
        <v>984341.37</v>
      </c>
      <c r="G56" s="11281">
        <f>SUM(G43:G54)</f>
        <v>1271000</v>
      </c>
      <c r="H56" s="11281">
        <f>SUM(H43:H54)</f>
        <v>533711.64999999991</v>
      </c>
      <c r="I56" s="12317">
        <f>H56/G56</f>
        <v>0.4199147521636506</v>
      </c>
      <c r="J56" s="11282">
        <f>SUM(J43:J54)</f>
        <v>1234000</v>
      </c>
      <c r="K56" s="10372">
        <f>(J56-G56)/G56</f>
        <v>-2.9110936270653028E-2</v>
      </c>
      <c r="L56" s="8901"/>
    </row>
    <row r="57" spans="1:14" ht="15" customHeight="1">
      <c r="A57" s="11237"/>
      <c r="B57" s="7361"/>
      <c r="C57" s="8872"/>
      <c r="D57" s="11272"/>
      <c r="E57" s="11272"/>
      <c r="F57" s="11272"/>
      <c r="G57" s="11272"/>
      <c r="H57" s="11272"/>
      <c r="I57" s="12449"/>
      <c r="J57" s="11529"/>
      <c r="K57" s="7310"/>
      <c r="L57" s="8901"/>
    </row>
    <row r="58" spans="1:14" ht="15" customHeight="1">
      <c r="A58" s="11241" t="s">
        <v>51</v>
      </c>
      <c r="B58" s="7352" t="s">
        <v>52</v>
      </c>
      <c r="C58" s="8872"/>
      <c r="D58" s="11252"/>
      <c r="E58" s="11252"/>
      <c r="F58" s="11252"/>
      <c r="G58" s="11514"/>
      <c r="H58" s="11252"/>
      <c r="I58" s="12451"/>
      <c r="J58" s="11515"/>
      <c r="K58" s="7371"/>
    </row>
    <row r="59" spans="1:14" ht="15" hidden="1" customHeight="1">
      <c r="A59" s="11241"/>
      <c r="B59" s="7352" t="s">
        <v>162</v>
      </c>
      <c r="C59" s="8872">
        <v>222</v>
      </c>
      <c r="D59" s="11252"/>
      <c r="E59" s="11252"/>
      <c r="F59" s="11252"/>
      <c r="G59" s="11514"/>
      <c r="H59" s="11252"/>
      <c r="I59" s="12451"/>
      <c r="J59" s="11515">
        <v>0</v>
      </c>
      <c r="K59" s="7371"/>
    </row>
    <row r="60" spans="1:14" ht="15" customHeight="1">
      <c r="A60" s="11241"/>
      <c r="B60" s="7352" t="s">
        <v>11838</v>
      </c>
      <c r="C60" s="8872"/>
      <c r="D60" s="11252"/>
      <c r="E60" s="11252"/>
      <c r="F60" s="11252"/>
      <c r="G60" s="11514"/>
      <c r="H60" s="11252"/>
      <c r="I60" s="12451"/>
      <c r="J60" s="11515">
        <v>10000</v>
      </c>
      <c r="K60" s="7371"/>
    </row>
    <row r="61" spans="1:14" ht="15" customHeight="1">
      <c r="A61" s="11237"/>
      <c r="B61" s="7488" t="s">
        <v>10967</v>
      </c>
      <c r="C61" s="10144">
        <v>50705030</v>
      </c>
      <c r="D61" s="12456">
        <f>'WS-CO 2017'!H10</f>
        <v>0</v>
      </c>
      <c r="E61" s="12456"/>
      <c r="F61" s="11252">
        <f>G61-E61</f>
        <v>100000</v>
      </c>
      <c r="G61" s="11514">
        <v>100000</v>
      </c>
      <c r="H61" s="11514">
        <v>96400</v>
      </c>
      <c r="I61" s="12233">
        <f>H61/G61</f>
        <v>0.96399999999999997</v>
      </c>
      <c r="J61" s="11515">
        <v>40000</v>
      </c>
      <c r="N61" s="7351">
        <v>-400</v>
      </c>
    </row>
    <row r="62" spans="1:14" ht="15" customHeight="1">
      <c r="A62" s="11237"/>
      <c r="B62" s="7488"/>
      <c r="C62" s="10144"/>
      <c r="D62" s="12456"/>
      <c r="E62" s="12456"/>
      <c r="F62" s="11252"/>
      <c r="G62" s="11514"/>
      <c r="H62" s="11514"/>
      <c r="I62" s="12451"/>
      <c r="J62" s="11515"/>
    </row>
    <row r="63" spans="1:14" s="7374" customFormat="1" ht="15" customHeight="1">
      <c r="A63" s="11288"/>
      <c r="B63" s="7361" t="s">
        <v>37</v>
      </c>
      <c r="C63" s="11536"/>
      <c r="D63" s="11537">
        <f>SUM(D61:D61)</f>
        <v>0</v>
      </c>
      <c r="E63" s="11537">
        <f>SUM(E61:E61)</f>
        <v>0</v>
      </c>
      <c r="F63" s="11537">
        <f>SUM(F61:F61)</f>
        <v>100000</v>
      </c>
      <c r="G63" s="11550">
        <f>SUM(G61)</f>
        <v>100000</v>
      </c>
      <c r="H63" s="11550">
        <f>SUM(H61)</f>
        <v>96400</v>
      </c>
      <c r="I63" s="12457">
        <f>H63/G63</f>
        <v>0.96399999999999997</v>
      </c>
      <c r="J63" s="11551">
        <f>SUM(J59:J61)</f>
        <v>50000</v>
      </c>
      <c r="K63" s="10372">
        <f>(J63-G63)/G63</f>
        <v>-0.5</v>
      </c>
      <c r="L63" s="7839"/>
      <c r="M63" s="7839"/>
    </row>
    <row r="64" spans="1:14" s="7374" customFormat="1" ht="15" customHeight="1">
      <c r="A64" s="11288"/>
      <c r="B64" s="7361"/>
      <c r="C64" s="11536"/>
      <c r="D64" s="12458"/>
      <c r="E64" s="12459"/>
      <c r="F64" s="12459"/>
      <c r="G64" s="12460"/>
      <c r="H64" s="12460"/>
      <c r="I64" s="12461"/>
      <c r="J64" s="12462"/>
      <c r="L64" s="7839"/>
      <c r="M64" s="7839"/>
    </row>
    <row r="65" spans="1:13" ht="15" customHeight="1">
      <c r="A65" s="11241" t="s">
        <v>53</v>
      </c>
      <c r="B65" s="7352" t="s">
        <v>54</v>
      </c>
      <c r="C65" s="8872"/>
      <c r="D65" s="10143"/>
      <c r="E65" s="11454"/>
      <c r="F65" s="11454"/>
      <c r="G65" s="11514"/>
      <c r="H65" s="11252"/>
      <c r="I65" s="12451"/>
      <c r="J65" s="11515"/>
    </row>
    <row r="66" spans="1:13" ht="15" customHeight="1">
      <c r="A66" s="11241"/>
      <c r="B66" s="7352"/>
      <c r="C66" s="8872"/>
      <c r="D66" s="11524"/>
      <c r="E66" s="12463"/>
      <c r="F66" s="12463"/>
      <c r="G66" s="8093"/>
      <c r="H66" s="7956"/>
      <c r="I66" s="12464"/>
      <c r="J66" s="11528"/>
    </row>
    <row r="67" spans="1:13" ht="15" customHeight="1">
      <c r="A67" s="11292"/>
      <c r="B67" s="7953" t="s">
        <v>37</v>
      </c>
      <c r="C67" s="11767"/>
      <c r="D67" s="12465">
        <v>0</v>
      </c>
      <c r="E67" s="12465">
        <v>0</v>
      </c>
      <c r="F67" s="12465">
        <v>0</v>
      </c>
      <c r="G67" s="12466">
        <v>0</v>
      </c>
      <c r="H67" s="8057"/>
      <c r="I67" s="12467"/>
      <c r="J67" s="11548">
        <v>0</v>
      </c>
    </row>
    <row r="68" spans="1:13" ht="15" customHeight="1" thickBot="1">
      <c r="A68" s="11235"/>
      <c r="B68" s="7391" t="s">
        <v>55</v>
      </c>
      <c r="C68" s="11754"/>
      <c r="D68" s="11552">
        <f>(D56+D63+D29)</f>
        <v>3994055.3100000005</v>
      </c>
      <c r="E68" s="11552">
        <f>(E56+E63+E29)</f>
        <v>1965721.0300000003</v>
      </c>
      <c r="F68" s="11552">
        <f>(F56+F63+F29)</f>
        <v>4811844.9700000007</v>
      </c>
      <c r="G68" s="11552">
        <f>(G56+G63+G29+G67)</f>
        <v>6777566</v>
      </c>
      <c r="H68" s="11552"/>
      <c r="I68" s="12468"/>
      <c r="J68" s="11554">
        <f>(J56+J63+J29+J67)</f>
        <v>6938721.1849999996</v>
      </c>
      <c r="K68" s="10372">
        <f>(J68-G68)/G68</f>
        <v>2.3777737465042699E-2</v>
      </c>
    </row>
    <row r="69" spans="1:13" s="7333" customFormat="1" ht="15" customHeight="1">
      <c r="A69" s="7738" t="s">
        <v>4763</v>
      </c>
      <c r="B69" s="7738"/>
      <c r="C69" s="9346"/>
      <c r="D69" s="7740"/>
      <c r="E69" s="7740"/>
      <c r="F69" s="7740"/>
      <c r="G69" s="7741"/>
      <c r="H69" s="7740"/>
      <c r="I69" s="12453"/>
      <c r="J69" s="7741"/>
      <c r="K69" s="7375"/>
      <c r="L69" s="7842"/>
      <c r="M69" s="7842"/>
    </row>
    <row r="70" spans="1:13" s="7333" customFormat="1" ht="15" customHeight="1">
      <c r="A70" s="7738"/>
      <c r="B70" s="7738"/>
      <c r="C70" s="9346"/>
      <c r="D70" s="7740"/>
      <c r="E70" s="7740"/>
      <c r="F70" s="7740"/>
      <c r="G70" s="7741"/>
      <c r="H70" s="7740">
        <f>J68-G68</f>
        <v>161155.18499999959</v>
      </c>
      <c r="I70" s="8866">
        <f>H70/G68</f>
        <v>2.3777737465042699E-2</v>
      </c>
      <c r="J70" s="7741"/>
      <c r="K70" s="7375"/>
      <c r="L70" s="7842"/>
      <c r="M70" s="7842"/>
    </row>
    <row r="71" spans="1:13" s="7818" customFormat="1" ht="15" hidden="1" customHeight="1">
      <c r="A71" s="7761" t="s">
        <v>3483</v>
      </c>
      <c r="B71" s="7761"/>
      <c r="C71" s="10870" t="s">
        <v>3484</v>
      </c>
      <c r="E71" s="7762"/>
      <c r="F71" s="9459" t="s">
        <v>10666</v>
      </c>
      <c r="H71" s="7763"/>
      <c r="I71" s="8107"/>
      <c r="J71" s="7762"/>
      <c r="K71" s="7817"/>
      <c r="L71" s="10257"/>
      <c r="M71" s="7841"/>
    </row>
    <row r="72" spans="1:13" ht="15" hidden="1" customHeight="1">
      <c r="A72" s="7761"/>
      <c r="B72" s="7761"/>
      <c r="C72" s="8793"/>
      <c r="D72" s="10870"/>
      <c r="E72" s="7764"/>
      <c r="F72" s="7764"/>
      <c r="G72" s="7339"/>
      <c r="H72" s="7763"/>
      <c r="I72" s="8107"/>
      <c r="J72" s="7764"/>
    </row>
    <row r="73" spans="1:13" ht="15" hidden="1" customHeight="1">
      <c r="A73" s="7761"/>
      <c r="B73" s="7761"/>
      <c r="C73" s="8793"/>
      <c r="D73" s="10870"/>
      <c r="E73" s="7762"/>
      <c r="F73" s="7762"/>
      <c r="G73" s="7339"/>
      <c r="H73" s="7763"/>
      <c r="I73" s="8107"/>
      <c r="J73" s="7762"/>
    </row>
    <row r="74" spans="1:13" ht="15" hidden="1" customHeight="1">
      <c r="B74" s="10874" t="s">
        <v>10753</v>
      </c>
      <c r="C74" s="8793"/>
      <c r="D74" s="10874" t="s">
        <v>12059</v>
      </c>
      <c r="E74" s="7762"/>
      <c r="F74" s="7762"/>
      <c r="G74" s="7342" t="s">
        <v>10667</v>
      </c>
      <c r="H74" s="7766"/>
      <c r="I74" s="10495"/>
      <c r="J74" s="7762"/>
    </row>
    <row r="75" spans="1:13" ht="15" hidden="1" customHeight="1">
      <c r="B75" s="10878" t="s">
        <v>10754</v>
      </c>
      <c r="C75" s="8793"/>
      <c r="D75" s="10878" t="s">
        <v>3486</v>
      </c>
      <c r="E75" s="7762"/>
      <c r="F75" s="7762"/>
      <c r="G75" s="7344" t="s">
        <v>10668</v>
      </c>
      <c r="H75" s="7763"/>
      <c r="I75" s="10871"/>
      <c r="J75" s="7763"/>
    </row>
  </sheetData>
  <mergeCells count="7">
    <mergeCell ref="E39:G39"/>
    <mergeCell ref="G40:G41"/>
    <mergeCell ref="J3:J4"/>
    <mergeCell ref="G3:G4"/>
    <mergeCell ref="A1:J1"/>
    <mergeCell ref="E6:G6"/>
    <mergeCell ref="G7:G8"/>
  </mergeCells>
  <printOptions horizontalCentered="1"/>
  <pageMargins left="0.25" right="0.25" top="0.5" bottom="0.25" header="0.25" footer="0.25"/>
  <pageSetup paperSize="119" firstPageNumber="84" orientation="landscape" useFirstPageNumber="1" r:id="rId1"/>
  <headerFooter alignWithMargins="0"/>
</worksheet>
</file>

<file path=xl/worksheets/sheet112.xml><?xml version="1.0" encoding="utf-8"?>
<worksheet xmlns="http://schemas.openxmlformats.org/spreadsheetml/2006/main" xmlns:r="http://schemas.openxmlformats.org/officeDocument/2006/relationships">
  <sheetPr codeName="Sheet17">
    <tabColor rgb="FFFFFF00"/>
  </sheetPr>
  <dimension ref="A1:J60"/>
  <sheetViews>
    <sheetView showGridLines="0" topLeftCell="A33" workbookViewId="0">
      <selection activeCell="F33" sqref="F1:R1048576"/>
    </sheetView>
  </sheetViews>
  <sheetFormatPr defaultRowHeight="12.9" customHeight="1"/>
  <cols>
    <col min="1" max="1" width="40.5546875" style="7165" customWidth="1"/>
    <col min="2" max="3" width="8.5546875" style="7165" customWidth="1"/>
    <col min="4" max="6" width="14.5546875" style="7165" customWidth="1"/>
    <col min="7" max="7" width="8.88671875" style="7165" customWidth="1"/>
    <col min="8" max="8" width="13.44140625" style="7165" customWidth="1"/>
    <col min="9" max="17" width="8.88671875" style="7165" customWidth="1"/>
    <col min="18" max="256" width="9.109375" style="7165"/>
    <col min="257" max="257" width="34.44140625" style="7165" customWidth="1"/>
    <col min="258" max="259" width="9.88671875" style="7165" customWidth="1"/>
    <col min="260" max="260" width="11.88671875" style="7165" customWidth="1"/>
    <col min="261" max="261" width="13.44140625" style="7165" customWidth="1"/>
    <col min="262" max="262" width="14" style="7165" customWidth="1"/>
    <col min="263" max="512" width="9.109375" style="7165"/>
    <col min="513" max="513" width="34.44140625" style="7165" customWidth="1"/>
    <col min="514" max="515" width="9.88671875" style="7165" customWidth="1"/>
    <col min="516" max="516" width="11.88671875" style="7165" customWidth="1"/>
    <col min="517" max="517" width="13.44140625" style="7165" customWidth="1"/>
    <col min="518" max="518" width="14" style="7165" customWidth="1"/>
    <col min="519" max="768" width="9.109375" style="7165"/>
    <col min="769" max="769" width="34.44140625" style="7165" customWidth="1"/>
    <col min="770" max="771" width="9.88671875" style="7165" customWidth="1"/>
    <col min="772" max="772" width="11.88671875" style="7165" customWidth="1"/>
    <col min="773" max="773" width="13.44140625" style="7165" customWidth="1"/>
    <col min="774" max="774" width="14" style="7165" customWidth="1"/>
    <col min="775" max="1024" width="9.109375" style="7165"/>
    <col min="1025" max="1025" width="34.44140625" style="7165" customWidth="1"/>
    <col min="1026" max="1027" width="9.88671875" style="7165" customWidth="1"/>
    <col min="1028" max="1028" width="11.88671875" style="7165" customWidth="1"/>
    <col min="1029" max="1029" width="13.44140625" style="7165" customWidth="1"/>
    <col min="1030" max="1030" width="14" style="7165" customWidth="1"/>
    <col min="1031" max="1280" width="9.109375" style="7165"/>
    <col min="1281" max="1281" width="34.44140625" style="7165" customWidth="1"/>
    <col min="1282" max="1283" width="9.88671875" style="7165" customWidth="1"/>
    <col min="1284" max="1284" width="11.88671875" style="7165" customWidth="1"/>
    <col min="1285" max="1285" width="13.44140625" style="7165" customWidth="1"/>
    <col min="1286" max="1286" width="14" style="7165" customWidth="1"/>
    <col min="1287" max="1536" width="9.109375" style="7165"/>
    <col min="1537" max="1537" width="34.44140625" style="7165" customWidth="1"/>
    <col min="1538" max="1539" width="9.88671875" style="7165" customWidth="1"/>
    <col min="1540" max="1540" width="11.88671875" style="7165" customWidth="1"/>
    <col min="1541" max="1541" width="13.44140625" style="7165" customWidth="1"/>
    <col min="1542" max="1542" width="14" style="7165" customWidth="1"/>
    <col min="1543" max="1792" width="9.109375" style="7165"/>
    <col min="1793" max="1793" width="34.44140625" style="7165" customWidth="1"/>
    <col min="1794" max="1795" width="9.88671875" style="7165" customWidth="1"/>
    <col min="1796" max="1796" width="11.88671875" style="7165" customWidth="1"/>
    <col min="1797" max="1797" width="13.44140625" style="7165" customWidth="1"/>
    <col min="1798" max="1798" width="14" style="7165" customWidth="1"/>
    <col min="1799" max="2048" width="9.109375" style="7165"/>
    <col min="2049" max="2049" width="34.44140625" style="7165" customWidth="1"/>
    <col min="2050" max="2051" width="9.88671875" style="7165" customWidth="1"/>
    <col min="2052" max="2052" width="11.88671875" style="7165" customWidth="1"/>
    <col min="2053" max="2053" width="13.44140625" style="7165" customWidth="1"/>
    <col min="2054" max="2054" width="14" style="7165" customWidth="1"/>
    <col min="2055" max="2304" width="9.109375" style="7165"/>
    <col min="2305" max="2305" width="34.44140625" style="7165" customWidth="1"/>
    <col min="2306" max="2307" width="9.88671875" style="7165" customWidth="1"/>
    <col min="2308" max="2308" width="11.88671875" style="7165" customWidth="1"/>
    <col min="2309" max="2309" width="13.44140625" style="7165" customWidth="1"/>
    <col min="2310" max="2310" width="14" style="7165" customWidth="1"/>
    <col min="2311" max="2560" width="9.109375" style="7165"/>
    <col min="2561" max="2561" width="34.44140625" style="7165" customWidth="1"/>
    <col min="2562" max="2563" width="9.88671875" style="7165" customWidth="1"/>
    <col min="2564" max="2564" width="11.88671875" style="7165" customWidth="1"/>
    <col min="2565" max="2565" width="13.44140625" style="7165" customWidth="1"/>
    <col min="2566" max="2566" width="14" style="7165" customWidth="1"/>
    <col min="2567" max="2816" width="9.109375" style="7165"/>
    <col min="2817" max="2817" width="34.44140625" style="7165" customWidth="1"/>
    <col min="2818" max="2819" width="9.88671875" style="7165" customWidth="1"/>
    <col min="2820" max="2820" width="11.88671875" style="7165" customWidth="1"/>
    <col min="2821" max="2821" width="13.44140625" style="7165" customWidth="1"/>
    <col min="2822" max="2822" width="14" style="7165" customWidth="1"/>
    <col min="2823" max="3072" width="9.109375" style="7165"/>
    <col min="3073" max="3073" width="34.44140625" style="7165" customWidth="1"/>
    <col min="3074" max="3075" width="9.88671875" style="7165" customWidth="1"/>
    <col min="3076" max="3076" width="11.88671875" style="7165" customWidth="1"/>
    <col min="3077" max="3077" width="13.44140625" style="7165" customWidth="1"/>
    <col min="3078" max="3078" width="14" style="7165" customWidth="1"/>
    <col min="3079" max="3328" width="9.109375" style="7165"/>
    <col min="3329" max="3329" width="34.44140625" style="7165" customWidth="1"/>
    <col min="3330" max="3331" width="9.88671875" style="7165" customWidth="1"/>
    <col min="3332" max="3332" width="11.88671875" style="7165" customWidth="1"/>
    <col min="3333" max="3333" width="13.44140625" style="7165" customWidth="1"/>
    <col min="3334" max="3334" width="14" style="7165" customWidth="1"/>
    <col min="3335" max="3584" width="9.109375" style="7165"/>
    <col min="3585" max="3585" width="34.44140625" style="7165" customWidth="1"/>
    <col min="3586" max="3587" width="9.88671875" style="7165" customWidth="1"/>
    <col min="3588" max="3588" width="11.88671875" style="7165" customWidth="1"/>
    <col min="3589" max="3589" width="13.44140625" style="7165" customWidth="1"/>
    <col min="3590" max="3590" width="14" style="7165" customWidth="1"/>
    <col min="3591" max="3840" width="9.109375" style="7165"/>
    <col min="3841" max="3841" width="34.44140625" style="7165" customWidth="1"/>
    <col min="3842" max="3843" width="9.88671875" style="7165" customWidth="1"/>
    <col min="3844" max="3844" width="11.88671875" style="7165" customWidth="1"/>
    <col min="3845" max="3845" width="13.44140625" style="7165" customWidth="1"/>
    <col min="3846" max="3846" width="14" style="7165" customWidth="1"/>
    <col min="3847" max="4096" width="9.109375" style="7165"/>
    <col min="4097" max="4097" width="34.44140625" style="7165" customWidth="1"/>
    <col min="4098" max="4099" width="9.88671875" style="7165" customWidth="1"/>
    <col min="4100" max="4100" width="11.88671875" style="7165" customWidth="1"/>
    <col min="4101" max="4101" width="13.44140625" style="7165" customWidth="1"/>
    <col min="4102" max="4102" width="14" style="7165" customWidth="1"/>
    <col min="4103" max="4352" width="9.109375" style="7165"/>
    <col min="4353" max="4353" width="34.44140625" style="7165" customWidth="1"/>
    <col min="4354" max="4355" width="9.88671875" style="7165" customWidth="1"/>
    <col min="4356" max="4356" width="11.88671875" style="7165" customWidth="1"/>
    <col min="4357" max="4357" width="13.44140625" style="7165" customWidth="1"/>
    <col min="4358" max="4358" width="14" style="7165" customWidth="1"/>
    <col min="4359" max="4608" width="9.109375" style="7165"/>
    <col min="4609" max="4609" width="34.44140625" style="7165" customWidth="1"/>
    <col min="4610" max="4611" width="9.88671875" style="7165" customWidth="1"/>
    <col min="4612" max="4612" width="11.88671875" style="7165" customWidth="1"/>
    <col min="4613" max="4613" width="13.44140625" style="7165" customWidth="1"/>
    <col min="4614" max="4614" width="14" style="7165" customWidth="1"/>
    <col min="4615" max="4864" width="9.109375" style="7165"/>
    <col min="4865" max="4865" width="34.44140625" style="7165" customWidth="1"/>
    <col min="4866" max="4867" width="9.88671875" style="7165" customWidth="1"/>
    <col min="4868" max="4868" width="11.88671875" style="7165" customWidth="1"/>
    <col min="4869" max="4869" width="13.44140625" style="7165" customWidth="1"/>
    <col min="4870" max="4870" width="14" style="7165" customWidth="1"/>
    <col min="4871" max="5120" width="9.109375" style="7165"/>
    <col min="5121" max="5121" width="34.44140625" style="7165" customWidth="1"/>
    <col min="5122" max="5123" width="9.88671875" style="7165" customWidth="1"/>
    <col min="5124" max="5124" width="11.88671875" style="7165" customWidth="1"/>
    <col min="5125" max="5125" width="13.44140625" style="7165" customWidth="1"/>
    <col min="5126" max="5126" width="14" style="7165" customWidth="1"/>
    <col min="5127" max="5376" width="9.109375" style="7165"/>
    <col min="5377" max="5377" width="34.44140625" style="7165" customWidth="1"/>
    <col min="5378" max="5379" width="9.88671875" style="7165" customWidth="1"/>
    <col min="5380" max="5380" width="11.88671875" style="7165" customWidth="1"/>
    <col min="5381" max="5381" width="13.44140625" style="7165" customWidth="1"/>
    <col min="5382" max="5382" width="14" style="7165" customWidth="1"/>
    <col min="5383" max="5632" width="9.109375" style="7165"/>
    <col min="5633" max="5633" width="34.44140625" style="7165" customWidth="1"/>
    <col min="5634" max="5635" width="9.88671875" style="7165" customWidth="1"/>
    <col min="5636" max="5636" width="11.88671875" style="7165" customWidth="1"/>
    <col min="5637" max="5637" width="13.44140625" style="7165" customWidth="1"/>
    <col min="5638" max="5638" width="14" style="7165" customWidth="1"/>
    <col min="5639" max="5888" width="9.109375" style="7165"/>
    <col min="5889" max="5889" width="34.44140625" style="7165" customWidth="1"/>
    <col min="5890" max="5891" width="9.88671875" style="7165" customWidth="1"/>
    <col min="5892" max="5892" width="11.88671875" style="7165" customWidth="1"/>
    <col min="5893" max="5893" width="13.44140625" style="7165" customWidth="1"/>
    <col min="5894" max="5894" width="14" style="7165" customWidth="1"/>
    <col min="5895" max="6144" width="9.109375" style="7165"/>
    <col min="6145" max="6145" width="34.44140625" style="7165" customWidth="1"/>
    <col min="6146" max="6147" width="9.88671875" style="7165" customWidth="1"/>
    <col min="6148" max="6148" width="11.88671875" style="7165" customWidth="1"/>
    <col min="6149" max="6149" width="13.44140625" style="7165" customWidth="1"/>
    <col min="6150" max="6150" width="14" style="7165" customWidth="1"/>
    <col min="6151" max="6400" width="9.109375" style="7165"/>
    <col min="6401" max="6401" width="34.44140625" style="7165" customWidth="1"/>
    <col min="6402" max="6403" width="9.88671875" style="7165" customWidth="1"/>
    <col min="6404" max="6404" width="11.88671875" style="7165" customWidth="1"/>
    <col min="6405" max="6405" width="13.44140625" style="7165" customWidth="1"/>
    <col min="6406" max="6406" width="14" style="7165" customWidth="1"/>
    <col min="6407" max="6656" width="9.109375" style="7165"/>
    <col min="6657" max="6657" width="34.44140625" style="7165" customWidth="1"/>
    <col min="6658" max="6659" width="9.88671875" style="7165" customWidth="1"/>
    <col min="6660" max="6660" width="11.88671875" style="7165" customWidth="1"/>
    <col min="6661" max="6661" width="13.44140625" style="7165" customWidth="1"/>
    <col min="6662" max="6662" width="14" style="7165" customWidth="1"/>
    <col min="6663" max="6912" width="9.109375" style="7165"/>
    <col min="6913" max="6913" width="34.44140625" style="7165" customWidth="1"/>
    <col min="6914" max="6915" width="9.88671875" style="7165" customWidth="1"/>
    <col min="6916" max="6916" width="11.88671875" style="7165" customWidth="1"/>
    <col min="6917" max="6917" width="13.44140625" style="7165" customWidth="1"/>
    <col min="6918" max="6918" width="14" style="7165" customWidth="1"/>
    <col min="6919" max="7168" width="9.109375" style="7165"/>
    <col min="7169" max="7169" width="34.44140625" style="7165" customWidth="1"/>
    <col min="7170" max="7171" width="9.88671875" style="7165" customWidth="1"/>
    <col min="7172" max="7172" width="11.88671875" style="7165" customWidth="1"/>
    <col min="7173" max="7173" width="13.44140625" style="7165" customWidth="1"/>
    <col min="7174" max="7174" width="14" style="7165" customWidth="1"/>
    <col min="7175" max="7424" width="9.109375" style="7165"/>
    <col min="7425" max="7425" width="34.44140625" style="7165" customWidth="1"/>
    <col min="7426" max="7427" width="9.88671875" style="7165" customWidth="1"/>
    <col min="7428" max="7428" width="11.88671875" style="7165" customWidth="1"/>
    <col min="7429" max="7429" width="13.44140625" style="7165" customWidth="1"/>
    <col min="7430" max="7430" width="14" style="7165" customWidth="1"/>
    <col min="7431" max="7680" width="9.109375" style="7165"/>
    <col min="7681" max="7681" width="34.44140625" style="7165" customWidth="1"/>
    <col min="7682" max="7683" width="9.88671875" style="7165" customWidth="1"/>
    <col min="7684" max="7684" width="11.88671875" style="7165" customWidth="1"/>
    <col min="7685" max="7685" width="13.44140625" style="7165" customWidth="1"/>
    <col min="7686" max="7686" width="14" style="7165" customWidth="1"/>
    <col min="7687" max="7936" width="9.109375" style="7165"/>
    <col min="7937" max="7937" width="34.44140625" style="7165" customWidth="1"/>
    <col min="7938" max="7939" width="9.88671875" style="7165" customWidth="1"/>
    <col min="7940" max="7940" width="11.88671875" style="7165" customWidth="1"/>
    <col min="7941" max="7941" width="13.44140625" style="7165" customWidth="1"/>
    <col min="7942" max="7942" width="14" style="7165" customWidth="1"/>
    <col min="7943" max="8192" width="9.109375" style="7165"/>
    <col min="8193" max="8193" width="34.44140625" style="7165" customWidth="1"/>
    <col min="8194" max="8195" width="9.88671875" style="7165" customWidth="1"/>
    <col min="8196" max="8196" width="11.88671875" style="7165" customWidth="1"/>
    <col min="8197" max="8197" width="13.44140625" style="7165" customWidth="1"/>
    <col min="8198" max="8198" width="14" style="7165" customWidth="1"/>
    <col min="8199" max="8448" width="9.109375" style="7165"/>
    <col min="8449" max="8449" width="34.44140625" style="7165" customWidth="1"/>
    <col min="8450" max="8451" width="9.88671875" style="7165" customWidth="1"/>
    <col min="8452" max="8452" width="11.88671875" style="7165" customWidth="1"/>
    <col min="8453" max="8453" width="13.44140625" style="7165" customWidth="1"/>
    <col min="8454" max="8454" width="14" style="7165" customWidth="1"/>
    <col min="8455" max="8704" width="9.109375" style="7165"/>
    <col min="8705" max="8705" width="34.44140625" style="7165" customWidth="1"/>
    <col min="8706" max="8707" width="9.88671875" style="7165" customWidth="1"/>
    <col min="8708" max="8708" width="11.88671875" style="7165" customWidth="1"/>
    <col min="8709" max="8709" width="13.44140625" style="7165" customWidth="1"/>
    <col min="8710" max="8710" width="14" style="7165" customWidth="1"/>
    <col min="8711" max="8960" width="9.109375" style="7165"/>
    <col min="8961" max="8961" width="34.44140625" style="7165" customWidth="1"/>
    <col min="8962" max="8963" width="9.88671875" style="7165" customWidth="1"/>
    <col min="8964" max="8964" width="11.88671875" style="7165" customWidth="1"/>
    <col min="8965" max="8965" width="13.44140625" style="7165" customWidth="1"/>
    <col min="8966" max="8966" width="14" style="7165" customWidth="1"/>
    <col min="8967" max="9216" width="9.109375" style="7165"/>
    <col min="9217" max="9217" width="34.44140625" style="7165" customWidth="1"/>
    <col min="9218" max="9219" width="9.88671875" style="7165" customWidth="1"/>
    <col min="9220" max="9220" width="11.88671875" style="7165" customWidth="1"/>
    <col min="9221" max="9221" width="13.44140625" style="7165" customWidth="1"/>
    <col min="9222" max="9222" width="14" style="7165" customWidth="1"/>
    <col min="9223" max="9472" width="9.109375" style="7165"/>
    <col min="9473" max="9473" width="34.44140625" style="7165" customWidth="1"/>
    <col min="9474" max="9475" width="9.88671875" style="7165" customWidth="1"/>
    <col min="9476" max="9476" width="11.88671875" style="7165" customWidth="1"/>
    <col min="9477" max="9477" width="13.44140625" style="7165" customWidth="1"/>
    <col min="9478" max="9478" width="14" style="7165" customWidth="1"/>
    <col min="9479" max="9728" width="9.109375" style="7165"/>
    <col min="9729" max="9729" width="34.44140625" style="7165" customWidth="1"/>
    <col min="9730" max="9731" width="9.88671875" style="7165" customWidth="1"/>
    <col min="9732" max="9732" width="11.88671875" style="7165" customWidth="1"/>
    <col min="9733" max="9733" width="13.44140625" style="7165" customWidth="1"/>
    <col min="9734" max="9734" width="14" style="7165" customWidth="1"/>
    <col min="9735" max="9984" width="9.109375" style="7165"/>
    <col min="9985" max="9985" width="34.44140625" style="7165" customWidth="1"/>
    <col min="9986" max="9987" width="9.88671875" style="7165" customWidth="1"/>
    <col min="9988" max="9988" width="11.88671875" style="7165" customWidth="1"/>
    <col min="9989" max="9989" width="13.44140625" style="7165" customWidth="1"/>
    <col min="9990" max="9990" width="14" style="7165" customWidth="1"/>
    <col min="9991" max="10240" width="9.109375" style="7165"/>
    <col min="10241" max="10241" width="34.44140625" style="7165" customWidth="1"/>
    <col min="10242" max="10243" width="9.88671875" style="7165" customWidth="1"/>
    <col min="10244" max="10244" width="11.88671875" style="7165" customWidth="1"/>
    <col min="10245" max="10245" width="13.44140625" style="7165" customWidth="1"/>
    <col min="10246" max="10246" width="14" style="7165" customWidth="1"/>
    <col min="10247" max="10496" width="9.109375" style="7165"/>
    <col min="10497" max="10497" width="34.44140625" style="7165" customWidth="1"/>
    <col min="10498" max="10499" width="9.88671875" style="7165" customWidth="1"/>
    <col min="10500" max="10500" width="11.88671875" style="7165" customWidth="1"/>
    <col min="10501" max="10501" width="13.44140625" style="7165" customWidth="1"/>
    <col min="10502" max="10502" width="14" style="7165" customWidth="1"/>
    <col min="10503" max="10752" width="9.109375" style="7165"/>
    <col min="10753" max="10753" width="34.44140625" style="7165" customWidth="1"/>
    <col min="10754" max="10755" width="9.88671875" style="7165" customWidth="1"/>
    <col min="10756" max="10756" width="11.88671875" style="7165" customWidth="1"/>
    <col min="10757" max="10757" width="13.44140625" style="7165" customWidth="1"/>
    <col min="10758" max="10758" width="14" style="7165" customWidth="1"/>
    <col min="10759" max="11008" width="9.109375" style="7165"/>
    <col min="11009" max="11009" width="34.44140625" style="7165" customWidth="1"/>
    <col min="11010" max="11011" width="9.88671875" style="7165" customWidth="1"/>
    <col min="11012" max="11012" width="11.88671875" style="7165" customWidth="1"/>
    <col min="11013" max="11013" width="13.44140625" style="7165" customWidth="1"/>
    <col min="11014" max="11014" width="14" style="7165" customWidth="1"/>
    <col min="11015" max="11264" width="9.109375" style="7165"/>
    <col min="11265" max="11265" width="34.44140625" style="7165" customWidth="1"/>
    <col min="11266" max="11267" width="9.88671875" style="7165" customWidth="1"/>
    <col min="11268" max="11268" width="11.88671875" style="7165" customWidth="1"/>
    <col min="11269" max="11269" width="13.44140625" style="7165" customWidth="1"/>
    <col min="11270" max="11270" width="14" style="7165" customWidth="1"/>
    <col min="11271" max="11520" width="9.109375" style="7165"/>
    <col min="11521" max="11521" width="34.44140625" style="7165" customWidth="1"/>
    <col min="11522" max="11523" width="9.88671875" style="7165" customWidth="1"/>
    <col min="11524" max="11524" width="11.88671875" style="7165" customWidth="1"/>
    <col min="11525" max="11525" width="13.44140625" style="7165" customWidth="1"/>
    <col min="11526" max="11526" width="14" style="7165" customWidth="1"/>
    <col min="11527" max="11776" width="9.109375" style="7165"/>
    <col min="11777" max="11777" width="34.44140625" style="7165" customWidth="1"/>
    <col min="11778" max="11779" width="9.88671875" style="7165" customWidth="1"/>
    <col min="11780" max="11780" width="11.88671875" style="7165" customWidth="1"/>
    <col min="11781" max="11781" width="13.44140625" style="7165" customWidth="1"/>
    <col min="11782" max="11782" width="14" style="7165" customWidth="1"/>
    <col min="11783" max="12032" width="9.109375" style="7165"/>
    <col min="12033" max="12033" width="34.44140625" style="7165" customWidth="1"/>
    <col min="12034" max="12035" width="9.88671875" style="7165" customWidth="1"/>
    <col min="12036" max="12036" width="11.88671875" style="7165" customWidth="1"/>
    <col min="12037" max="12037" width="13.44140625" style="7165" customWidth="1"/>
    <col min="12038" max="12038" width="14" style="7165" customWidth="1"/>
    <col min="12039" max="12288" width="9.109375" style="7165"/>
    <col min="12289" max="12289" width="34.44140625" style="7165" customWidth="1"/>
    <col min="12290" max="12291" width="9.88671875" style="7165" customWidth="1"/>
    <col min="12292" max="12292" width="11.88671875" style="7165" customWidth="1"/>
    <col min="12293" max="12293" width="13.44140625" style="7165" customWidth="1"/>
    <col min="12294" max="12294" width="14" style="7165" customWidth="1"/>
    <col min="12295" max="12544" width="9.109375" style="7165"/>
    <col min="12545" max="12545" width="34.44140625" style="7165" customWidth="1"/>
    <col min="12546" max="12547" width="9.88671875" style="7165" customWidth="1"/>
    <col min="12548" max="12548" width="11.88671875" style="7165" customWidth="1"/>
    <col min="12549" max="12549" width="13.44140625" style="7165" customWidth="1"/>
    <col min="12550" max="12550" width="14" style="7165" customWidth="1"/>
    <col min="12551" max="12800" width="9.109375" style="7165"/>
    <col min="12801" max="12801" width="34.44140625" style="7165" customWidth="1"/>
    <col min="12802" max="12803" width="9.88671875" style="7165" customWidth="1"/>
    <col min="12804" max="12804" width="11.88671875" style="7165" customWidth="1"/>
    <col min="12805" max="12805" width="13.44140625" style="7165" customWidth="1"/>
    <col min="12806" max="12806" width="14" style="7165" customWidth="1"/>
    <col min="12807" max="13056" width="9.109375" style="7165"/>
    <col min="13057" max="13057" width="34.44140625" style="7165" customWidth="1"/>
    <col min="13058" max="13059" width="9.88671875" style="7165" customWidth="1"/>
    <col min="13060" max="13060" width="11.88671875" style="7165" customWidth="1"/>
    <col min="13061" max="13061" width="13.44140625" style="7165" customWidth="1"/>
    <col min="13062" max="13062" width="14" style="7165" customWidth="1"/>
    <col min="13063" max="13312" width="9.109375" style="7165"/>
    <col min="13313" max="13313" width="34.44140625" style="7165" customWidth="1"/>
    <col min="13314" max="13315" width="9.88671875" style="7165" customWidth="1"/>
    <col min="13316" max="13316" width="11.88671875" style="7165" customWidth="1"/>
    <col min="13317" max="13317" width="13.44140625" style="7165" customWidth="1"/>
    <col min="13318" max="13318" width="14" style="7165" customWidth="1"/>
    <col min="13319" max="13568" width="9.109375" style="7165"/>
    <col min="13569" max="13569" width="34.44140625" style="7165" customWidth="1"/>
    <col min="13570" max="13571" width="9.88671875" style="7165" customWidth="1"/>
    <col min="13572" max="13572" width="11.88671875" style="7165" customWidth="1"/>
    <col min="13573" max="13573" width="13.44140625" style="7165" customWidth="1"/>
    <col min="13574" max="13574" width="14" style="7165" customWidth="1"/>
    <col min="13575" max="13824" width="9.109375" style="7165"/>
    <col min="13825" max="13825" width="34.44140625" style="7165" customWidth="1"/>
    <col min="13826" max="13827" width="9.88671875" style="7165" customWidth="1"/>
    <col min="13828" max="13828" width="11.88671875" style="7165" customWidth="1"/>
    <col min="13829" max="13829" width="13.44140625" style="7165" customWidth="1"/>
    <col min="13830" max="13830" width="14" style="7165" customWidth="1"/>
    <col min="13831" max="14080" width="9.109375" style="7165"/>
    <col min="14081" max="14081" width="34.44140625" style="7165" customWidth="1"/>
    <col min="14082" max="14083" width="9.88671875" style="7165" customWidth="1"/>
    <col min="14084" max="14084" width="11.88671875" style="7165" customWidth="1"/>
    <col min="14085" max="14085" width="13.44140625" style="7165" customWidth="1"/>
    <col min="14086" max="14086" width="14" style="7165" customWidth="1"/>
    <col min="14087" max="14336" width="9.109375" style="7165"/>
    <col min="14337" max="14337" width="34.44140625" style="7165" customWidth="1"/>
    <col min="14338" max="14339" width="9.88671875" style="7165" customWidth="1"/>
    <col min="14340" max="14340" width="11.88671875" style="7165" customWidth="1"/>
    <col min="14341" max="14341" width="13.44140625" style="7165" customWidth="1"/>
    <col min="14342" max="14342" width="14" style="7165" customWidth="1"/>
    <col min="14343" max="14592" width="9.109375" style="7165"/>
    <col min="14593" max="14593" width="34.44140625" style="7165" customWidth="1"/>
    <col min="14594" max="14595" width="9.88671875" style="7165" customWidth="1"/>
    <col min="14596" max="14596" width="11.88671875" style="7165" customWidth="1"/>
    <col min="14597" max="14597" width="13.44140625" style="7165" customWidth="1"/>
    <col min="14598" max="14598" width="14" style="7165" customWidth="1"/>
    <col min="14599" max="14848" width="9.109375" style="7165"/>
    <col min="14849" max="14849" width="34.44140625" style="7165" customWidth="1"/>
    <col min="14850" max="14851" width="9.88671875" style="7165" customWidth="1"/>
    <col min="14852" max="14852" width="11.88671875" style="7165" customWidth="1"/>
    <col min="14853" max="14853" width="13.44140625" style="7165" customWidth="1"/>
    <col min="14854" max="14854" width="14" style="7165" customWidth="1"/>
    <col min="14855" max="15104" width="9.109375" style="7165"/>
    <col min="15105" max="15105" width="34.44140625" style="7165" customWidth="1"/>
    <col min="15106" max="15107" width="9.88671875" style="7165" customWidth="1"/>
    <col min="15108" max="15108" width="11.88671875" style="7165" customWidth="1"/>
    <col min="15109" max="15109" width="13.44140625" style="7165" customWidth="1"/>
    <col min="15110" max="15110" width="14" style="7165" customWidth="1"/>
    <col min="15111" max="15360" width="9.109375" style="7165"/>
    <col min="15361" max="15361" width="34.44140625" style="7165" customWidth="1"/>
    <col min="15362" max="15363" width="9.88671875" style="7165" customWidth="1"/>
    <col min="15364" max="15364" width="11.88671875" style="7165" customWidth="1"/>
    <col min="15365" max="15365" width="13.44140625" style="7165" customWidth="1"/>
    <col min="15366" max="15366" width="14" style="7165" customWidth="1"/>
    <col min="15367" max="15616" width="9.109375" style="7165"/>
    <col min="15617" max="15617" width="34.44140625" style="7165" customWidth="1"/>
    <col min="15618" max="15619" width="9.88671875" style="7165" customWidth="1"/>
    <col min="15620" max="15620" width="11.88671875" style="7165" customWidth="1"/>
    <col min="15621" max="15621" width="13.44140625" style="7165" customWidth="1"/>
    <col min="15622" max="15622" width="14" style="7165" customWidth="1"/>
    <col min="15623" max="15872" width="9.109375" style="7165"/>
    <col min="15873" max="15873" width="34.44140625" style="7165" customWidth="1"/>
    <col min="15874" max="15875" width="9.88671875" style="7165" customWidth="1"/>
    <col min="15876" max="15876" width="11.88671875" style="7165" customWidth="1"/>
    <col min="15877" max="15877" width="13.44140625" style="7165" customWidth="1"/>
    <col min="15878" max="15878" width="14" style="7165" customWidth="1"/>
    <col min="15879" max="16128" width="9.109375" style="7165"/>
    <col min="16129" max="16129" width="34.44140625" style="7165" customWidth="1"/>
    <col min="16130" max="16131" width="9.88671875" style="7165" customWidth="1"/>
    <col min="16132" max="16132" width="11.88671875" style="7165" customWidth="1"/>
    <col min="16133" max="16133" width="13.44140625" style="7165" customWidth="1"/>
    <col min="16134" max="16134" width="14" style="7165" customWidth="1"/>
    <col min="16135" max="16384" width="9.109375" style="7165"/>
  </cols>
  <sheetData>
    <row r="1" spans="1:8" ht="12.9" customHeight="1">
      <c r="A1" s="14215" t="s">
        <v>1087</v>
      </c>
      <c r="B1" s="14215"/>
      <c r="C1" s="14215"/>
      <c r="D1" s="14215"/>
      <c r="E1" s="14215"/>
      <c r="F1" s="14215"/>
    </row>
    <row r="3" spans="1:8" ht="12.9" customHeight="1">
      <c r="A3" s="7163" t="s">
        <v>4773</v>
      </c>
    </row>
    <row r="4" spans="1:8" ht="12.9" customHeight="1" thickBot="1"/>
    <row r="5" spans="1:8" ht="12.9" customHeight="1">
      <c r="A5" s="9697" t="s">
        <v>842</v>
      </c>
      <c r="B5" s="10711" t="s">
        <v>1035</v>
      </c>
      <c r="C5" s="10711" t="s">
        <v>1036</v>
      </c>
      <c r="D5" s="14213" t="s">
        <v>1037</v>
      </c>
      <c r="E5" s="14213"/>
      <c r="F5" s="14214"/>
    </row>
    <row r="6" spans="1:8" ht="12.9" customHeight="1">
      <c r="A6" s="7202" t="s">
        <v>1088</v>
      </c>
      <c r="B6" s="10718" t="s">
        <v>9</v>
      </c>
      <c r="C6" s="10718" t="s">
        <v>1039</v>
      </c>
      <c r="D6" s="10718" t="s">
        <v>10</v>
      </c>
      <c r="E6" s="10718" t="s">
        <v>11</v>
      </c>
      <c r="F6" s="10719" t="s">
        <v>11621</v>
      </c>
    </row>
    <row r="7" spans="1:8" ht="12.9" customHeight="1">
      <c r="A7" s="9702" t="s">
        <v>806</v>
      </c>
      <c r="B7" s="9752"/>
      <c r="C7" s="7206"/>
      <c r="D7" s="9752"/>
      <c r="E7" s="7206"/>
      <c r="F7" s="7214"/>
    </row>
    <row r="8" spans="1:8" ht="12.9" customHeight="1">
      <c r="A8" s="7209" t="s">
        <v>1089</v>
      </c>
      <c r="B8" s="7205"/>
      <c r="C8" s="7205"/>
      <c r="D8" s="7205"/>
      <c r="E8" s="7205"/>
      <c r="F8" s="7215"/>
    </row>
    <row r="9" spans="1:8" ht="12.9" customHeight="1">
      <c r="A9" s="7207" t="s">
        <v>10147</v>
      </c>
      <c r="B9" s="7206">
        <v>1</v>
      </c>
      <c r="C9" s="7206">
        <v>26</v>
      </c>
      <c r="D9" s="9670">
        <v>960468</v>
      </c>
      <c r="E9" s="9670">
        <v>1121856</v>
      </c>
      <c r="F9" s="6142">
        <v>1310364</v>
      </c>
      <c r="G9" s="7165">
        <f>SUM(B9)</f>
        <v>1</v>
      </c>
      <c r="H9" s="7198">
        <f>SUM(F9)</f>
        <v>1310364</v>
      </c>
    </row>
    <row r="10" spans="1:8" ht="12.9" customHeight="1">
      <c r="A10" s="7207"/>
      <c r="B10" s="7205"/>
      <c r="C10" s="7205"/>
      <c r="D10" s="9670"/>
      <c r="E10" s="9670"/>
      <c r="F10" s="6142"/>
    </row>
    <row r="11" spans="1:8" ht="12.9" customHeight="1">
      <c r="A11" s="7209" t="s">
        <v>1091</v>
      </c>
      <c r="B11" s="7205"/>
      <c r="C11" s="7205"/>
      <c r="D11" s="9670"/>
      <c r="E11" s="9670"/>
      <c r="F11" s="6142"/>
    </row>
    <row r="12" spans="1:8" ht="12.9" customHeight="1">
      <c r="A12" s="7209" t="s">
        <v>1092</v>
      </c>
      <c r="B12" s="7205"/>
      <c r="C12" s="7205"/>
      <c r="D12" s="9670"/>
      <c r="E12" s="9670"/>
      <c r="F12" s="6142"/>
    </row>
    <row r="13" spans="1:8" ht="12.9" customHeight="1">
      <c r="A13" s="7207"/>
      <c r="B13" s="7206"/>
      <c r="C13" s="7206"/>
      <c r="D13" s="9670"/>
      <c r="E13" s="9670"/>
      <c r="F13" s="6142"/>
    </row>
    <row r="14" spans="1:8" ht="12.9" customHeight="1">
      <c r="A14" s="7209" t="s">
        <v>1093</v>
      </c>
      <c r="B14" s="7206"/>
      <c r="C14" s="7206"/>
      <c r="D14" s="9670"/>
      <c r="E14" s="9670"/>
      <c r="F14" s="6142"/>
    </row>
    <row r="15" spans="1:8" ht="12.9" customHeight="1">
      <c r="A15" s="7207" t="s">
        <v>10152</v>
      </c>
      <c r="B15" s="7206">
        <v>2</v>
      </c>
      <c r="C15" s="7206">
        <v>18</v>
      </c>
      <c r="D15" s="9670">
        <v>433332</v>
      </c>
      <c r="E15" s="9670">
        <v>462516</v>
      </c>
      <c r="F15" s="6142">
        <v>981324</v>
      </c>
    </row>
    <row r="16" spans="1:8" ht="12.9" customHeight="1">
      <c r="A16" s="7207" t="s">
        <v>11897</v>
      </c>
      <c r="B16" s="7206">
        <v>2</v>
      </c>
      <c r="C16" s="7206">
        <v>15</v>
      </c>
      <c r="D16" s="9670"/>
      <c r="E16" s="9670"/>
      <c r="F16" s="6142">
        <v>732744</v>
      </c>
    </row>
    <row r="17" spans="1:8" ht="12.9" customHeight="1">
      <c r="A17" s="7207" t="s">
        <v>10153</v>
      </c>
      <c r="B17" s="7206">
        <v>0</v>
      </c>
      <c r="C17" s="7206">
        <v>11</v>
      </c>
      <c r="D17" s="9670">
        <v>476472</v>
      </c>
      <c r="E17" s="9670">
        <v>490488</v>
      </c>
      <c r="F17" s="6142" t="s">
        <v>492</v>
      </c>
    </row>
    <row r="18" spans="1:8" ht="12.9" customHeight="1">
      <c r="A18" s="7207"/>
      <c r="B18" s="7206"/>
      <c r="C18" s="7206"/>
      <c r="D18" s="9670"/>
      <c r="E18" s="9626"/>
      <c r="F18" s="9950"/>
      <c r="G18" s="7165">
        <f>SUM(B15:B18)</f>
        <v>4</v>
      </c>
      <c r="H18" s="7198">
        <f>SUM(F15:F18)</f>
        <v>1714068</v>
      </c>
    </row>
    <row r="19" spans="1:8" ht="12.9" customHeight="1">
      <c r="A19" s="7209" t="s">
        <v>1094</v>
      </c>
      <c r="B19" s="7206"/>
      <c r="C19" s="7206"/>
      <c r="D19" s="9670"/>
      <c r="E19" s="9626"/>
      <c r="F19" s="9950"/>
    </row>
    <row r="20" spans="1:8" ht="12.9" customHeight="1">
      <c r="A20" s="7207" t="s">
        <v>1172</v>
      </c>
      <c r="B20" s="7206">
        <v>1</v>
      </c>
      <c r="C20" s="7206">
        <v>10</v>
      </c>
      <c r="D20" s="7208">
        <v>0</v>
      </c>
      <c r="E20" s="9626">
        <v>224616</v>
      </c>
      <c r="F20" s="9950">
        <v>230796</v>
      </c>
    </row>
    <row r="21" spans="1:8" ht="12.9" hidden="1" customHeight="1">
      <c r="A21" s="7207" t="s">
        <v>1096</v>
      </c>
      <c r="B21" s="7206">
        <v>0</v>
      </c>
      <c r="C21" s="7206">
        <v>8</v>
      </c>
      <c r="D21" s="9670"/>
      <c r="E21" s="9626"/>
      <c r="F21" s="9950"/>
    </row>
    <row r="22" spans="1:8" ht="12.9" hidden="1" customHeight="1">
      <c r="A22" s="7207" t="s">
        <v>1097</v>
      </c>
      <c r="B22" s="7206">
        <v>0</v>
      </c>
      <c r="C22" s="7206">
        <v>6</v>
      </c>
      <c r="D22" s="9703">
        <v>0</v>
      </c>
      <c r="E22" s="10417">
        <v>0</v>
      </c>
      <c r="F22" s="10404">
        <v>0</v>
      </c>
    </row>
    <row r="23" spans="1:8" ht="12.9" customHeight="1" thickBot="1">
      <c r="A23" s="7207"/>
      <c r="B23" s="9634"/>
      <c r="C23" s="9634"/>
      <c r="D23" s="9634"/>
      <c r="E23" s="9634"/>
      <c r="F23" s="9753"/>
      <c r="G23" s="7165">
        <f>SUM(B19:B23)</f>
        <v>1</v>
      </c>
      <c r="H23" s="7198">
        <f>SUM(F19:F23)</f>
        <v>230796</v>
      </c>
    </row>
    <row r="24" spans="1:8" ht="12.9" customHeight="1" thickBot="1">
      <c r="A24" s="7209" t="s">
        <v>1098</v>
      </c>
      <c r="B24" s="10710">
        <f>SUM(B9:B22)</f>
        <v>6</v>
      </c>
      <c r="C24" s="9727"/>
      <c r="D24" s="7226">
        <f>SUM(D7:D23)</f>
        <v>1870272</v>
      </c>
      <c r="E24" s="10419">
        <f>SUM(E7:E23)</f>
        <v>2299476</v>
      </c>
      <c r="F24" s="10420">
        <f>SUM(F7:F23)</f>
        <v>3255228</v>
      </c>
    </row>
    <row r="25" spans="1:8" ht="12.9" customHeight="1">
      <c r="A25" s="7207"/>
      <c r="B25" s="9624"/>
      <c r="C25" s="9624"/>
      <c r="D25" s="9624"/>
      <c r="E25" s="9624"/>
      <c r="F25" s="9716"/>
    </row>
    <row r="26" spans="1:8" ht="12.9" customHeight="1">
      <c r="A26" s="7207" t="s">
        <v>1099</v>
      </c>
      <c r="B26" s="7205"/>
      <c r="C26" s="7205"/>
      <c r="D26" s="7205"/>
      <c r="E26" s="9615"/>
      <c r="F26" s="10406"/>
    </row>
    <row r="27" spans="1:8" ht="12.9" customHeight="1">
      <c r="A27" s="7207" t="s">
        <v>9</v>
      </c>
      <c r="B27" s="7205"/>
      <c r="C27" s="7205"/>
      <c r="D27" s="7205"/>
      <c r="E27" s="9615"/>
      <c r="F27" s="10406"/>
    </row>
    <row r="28" spans="1:8" ht="12.9" hidden="1" customHeight="1">
      <c r="A28" s="7207" t="s">
        <v>3396</v>
      </c>
      <c r="B28" s="7206">
        <v>0</v>
      </c>
      <c r="C28" s="7206">
        <v>26</v>
      </c>
      <c r="D28" s="9703">
        <v>0</v>
      </c>
      <c r="E28" s="10417">
        <v>0</v>
      </c>
      <c r="F28" s="10404">
        <v>0</v>
      </c>
    </row>
    <row r="29" spans="1:8" ht="12.9" customHeight="1">
      <c r="A29" s="7207" t="s">
        <v>11896</v>
      </c>
      <c r="B29" s="7206">
        <v>0</v>
      </c>
      <c r="C29" s="7206">
        <v>18</v>
      </c>
      <c r="D29" s="9703">
        <v>428316</v>
      </c>
      <c r="E29" s="10417">
        <v>457020</v>
      </c>
      <c r="F29" s="10404">
        <v>0</v>
      </c>
    </row>
    <row r="30" spans="1:8" ht="12.9" customHeight="1">
      <c r="A30" s="7207" t="s">
        <v>11895</v>
      </c>
      <c r="B30" s="7206">
        <v>0</v>
      </c>
      <c r="C30" s="7206">
        <v>15</v>
      </c>
      <c r="D30" s="9703">
        <v>0</v>
      </c>
      <c r="E30" s="10417">
        <v>696240</v>
      </c>
      <c r="F30" s="10404">
        <v>0</v>
      </c>
    </row>
    <row r="31" spans="1:8" ht="12.9" customHeight="1">
      <c r="A31" s="7207" t="s">
        <v>10153</v>
      </c>
      <c r="B31" s="7206">
        <v>2</v>
      </c>
      <c r="C31" s="7206">
        <v>11</v>
      </c>
      <c r="D31" s="10417"/>
      <c r="E31" s="10417"/>
      <c r="F31" s="10404">
        <v>498096</v>
      </c>
    </row>
    <row r="32" spans="1:8" ht="12.9" hidden="1" customHeight="1">
      <c r="A32" s="7207" t="s">
        <v>3397</v>
      </c>
      <c r="B32" s="7206">
        <v>0</v>
      </c>
      <c r="C32" s="7206">
        <v>8</v>
      </c>
      <c r="D32" s="9703">
        <v>0</v>
      </c>
      <c r="E32" s="10417">
        <v>0</v>
      </c>
      <c r="F32" s="10404">
        <v>0</v>
      </c>
    </row>
    <row r="33" spans="1:10" ht="12.9" customHeight="1">
      <c r="A33" s="7207" t="s">
        <v>1172</v>
      </c>
      <c r="B33" s="7206">
        <v>0</v>
      </c>
      <c r="C33" s="7206">
        <v>10</v>
      </c>
      <c r="D33" s="7208">
        <v>218604</v>
      </c>
      <c r="E33" s="9617">
        <v>0</v>
      </c>
      <c r="F33" s="9951">
        <v>0</v>
      </c>
    </row>
    <row r="34" spans="1:10" ht="12.9" customHeight="1">
      <c r="A34" s="7207" t="s">
        <v>1174</v>
      </c>
      <c r="B34" s="7206">
        <v>0</v>
      </c>
      <c r="C34" s="7206">
        <v>3</v>
      </c>
      <c r="D34" s="7208">
        <v>136644</v>
      </c>
      <c r="E34" s="9617">
        <v>142968</v>
      </c>
      <c r="F34" s="10404">
        <v>0</v>
      </c>
      <c r="G34" s="13958" t="s">
        <v>12255</v>
      </c>
    </row>
    <row r="35" spans="1:10" ht="12.9" customHeight="1">
      <c r="A35" s="7207" t="s">
        <v>1175</v>
      </c>
      <c r="B35" s="9614">
        <v>1</v>
      </c>
      <c r="C35" s="9614">
        <v>1</v>
      </c>
      <c r="D35" s="9617">
        <v>0</v>
      </c>
      <c r="E35" s="9617">
        <v>0</v>
      </c>
      <c r="F35" s="10404">
        <v>132816</v>
      </c>
      <c r="G35" s="13958" t="s">
        <v>12254</v>
      </c>
      <c r="J35" s="7165">
        <f>3721824-126120</f>
        <v>3595704</v>
      </c>
    </row>
    <row r="36" spans="1:10" ht="12.9" customHeight="1" thickBot="1">
      <c r="A36" s="7207"/>
      <c r="B36" s="9633"/>
      <c r="C36" s="9633"/>
      <c r="D36" s="9618"/>
      <c r="E36" s="9618"/>
      <c r="F36" s="9754"/>
    </row>
    <row r="37" spans="1:10" ht="12.9" customHeight="1" thickBot="1">
      <c r="A37" s="7209" t="s">
        <v>4774</v>
      </c>
      <c r="B37" s="10710">
        <f>SUM(B28:B35)</f>
        <v>3</v>
      </c>
      <c r="C37" s="9661"/>
      <c r="D37" s="7226">
        <f>SUM(D28:D36)</f>
        <v>783564</v>
      </c>
      <c r="E37" s="10419">
        <f>SUM(E28:E36)</f>
        <v>1296228</v>
      </c>
      <c r="F37" s="10420">
        <f>SUM(F28:F36)</f>
        <v>630912</v>
      </c>
    </row>
    <row r="38" spans="1:10" ht="12.9" customHeight="1" thickBot="1">
      <c r="A38" s="9709"/>
      <c r="B38" s="9634"/>
      <c r="C38" s="9634"/>
      <c r="D38" s="9634"/>
      <c r="E38" s="9634"/>
      <c r="F38" s="9753"/>
    </row>
    <row r="39" spans="1:10" ht="12.9" customHeight="1" thickBot="1">
      <c r="A39" s="9712" t="s">
        <v>1101</v>
      </c>
      <c r="B39" s="10710">
        <f>B37+B24</f>
        <v>9</v>
      </c>
      <c r="C39" s="7210"/>
      <c r="D39" s="7226">
        <f>SUM(D24+D37)</f>
        <v>2653836</v>
      </c>
      <c r="E39" s="7226">
        <f>SUM(E24+E37)</f>
        <v>3595704</v>
      </c>
      <c r="F39" s="9713">
        <f>SUM(F24+F37)</f>
        <v>3886140</v>
      </c>
    </row>
    <row r="40" spans="1:10" ht="12.9" customHeight="1">
      <c r="A40" s="9715"/>
      <c r="B40" s="9624"/>
      <c r="C40" s="9624"/>
      <c r="D40" s="9624"/>
      <c r="E40" s="9624"/>
      <c r="F40" s="9716"/>
    </row>
    <row r="41" spans="1:10" ht="12.9" customHeight="1">
      <c r="A41" s="7207"/>
      <c r="B41" s="7205"/>
      <c r="C41" s="7205"/>
      <c r="D41" s="7205"/>
      <c r="E41" s="7205"/>
      <c r="F41" s="7215"/>
      <c r="H41" s="7165">
        <f>3721824-126120</f>
        <v>3595704</v>
      </c>
    </row>
    <row r="42" spans="1:10" ht="12.9" customHeight="1">
      <c r="A42" s="7209" t="s">
        <v>1075</v>
      </c>
      <c r="B42" s="7205"/>
      <c r="C42" s="7205"/>
      <c r="D42" s="7205"/>
      <c r="E42" s="7205"/>
      <c r="F42" s="7215"/>
    </row>
    <row r="43" spans="1:10" ht="12.9" customHeight="1">
      <c r="A43" s="7209" t="s">
        <v>1102</v>
      </c>
      <c r="B43" s="7205"/>
      <c r="C43" s="7205"/>
      <c r="D43" s="7205"/>
      <c r="E43" s="7205"/>
      <c r="F43" s="7215"/>
    </row>
    <row r="44" spans="1:10" ht="12.9" customHeight="1">
      <c r="A44" s="7207" t="s">
        <v>1103</v>
      </c>
      <c r="B44" s="7206"/>
      <c r="C44" s="7205"/>
      <c r="D44" s="7205"/>
      <c r="E44" s="7205"/>
      <c r="F44" s="7215"/>
    </row>
    <row r="45" spans="1:10" ht="12.9" customHeight="1">
      <c r="A45" s="7207" t="s">
        <v>1078</v>
      </c>
      <c r="B45" s="7206"/>
      <c r="C45" s="7205"/>
      <c r="D45" s="7205"/>
      <c r="E45" s="7205"/>
      <c r="F45" s="7215"/>
    </row>
    <row r="46" spans="1:10" ht="12.9" customHeight="1">
      <c r="A46" s="7207" t="s">
        <v>1079</v>
      </c>
      <c r="B46" s="7206"/>
      <c r="C46" s="7205"/>
      <c r="D46" s="7205"/>
      <c r="E46" s="7205"/>
      <c r="F46" s="7215"/>
    </row>
    <row r="47" spans="1:10" ht="12.9" customHeight="1">
      <c r="A47" s="7231" t="s">
        <v>10707</v>
      </c>
      <c r="B47" s="9614">
        <v>1</v>
      </c>
      <c r="C47" s="9615"/>
      <c r="D47" s="9615"/>
      <c r="E47" s="9615"/>
      <c r="F47" s="10406"/>
      <c r="G47" s="13958" t="s">
        <v>12254</v>
      </c>
    </row>
    <row r="48" spans="1:10" ht="12.9" customHeight="1">
      <c r="A48" s="7231" t="s">
        <v>10697</v>
      </c>
      <c r="B48" s="9614">
        <v>1</v>
      </c>
      <c r="C48" s="9615"/>
      <c r="D48" s="9615"/>
      <c r="E48" s="9615"/>
      <c r="F48" s="10406"/>
      <c r="G48" s="13958" t="s">
        <v>12253</v>
      </c>
    </row>
    <row r="49" spans="1:6" ht="12.9" customHeight="1">
      <c r="A49" s="7207"/>
      <c r="B49" s="7205"/>
      <c r="C49" s="7205"/>
      <c r="D49" s="7205"/>
      <c r="E49" s="7205"/>
      <c r="F49" s="7215"/>
    </row>
    <row r="50" spans="1:6" ht="12.9" customHeight="1">
      <c r="A50" s="7207" t="s">
        <v>1080</v>
      </c>
      <c r="B50" s="7205"/>
      <c r="C50" s="7205"/>
      <c r="D50" s="7205"/>
      <c r="E50" s="7205"/>
      <c r="F50" s="7215"/>
    </row>
    <row r="51" spans="1:6" ht="12.9" customHeight="1">
      <c r="A51" s="7207" t="s">
        <v>1104</v>
      </c>
      <c r="B51" s="7205"/>
      <c r="C51" s="7205"/>
      <c r="D51" s="7205"/>
      <c r="E51" s="7205"/>
      <c r="F51" s="7215"/>
    </row>
    <row r="52" spans="1:6" ht="12.9" customHeight="1">
      <c r="A52" s="7207" t="s">
        <v>1105</v>
      </c>
      <c r="B52" s="7205"/>
      <c r="C52" s="7205"/>
      <c r="D52" s="7205"/>
      <c r="E52" s="7205"/>
      <c r="F52" s="7215"/>
    </row>
    <row r="53" spans="1:6" ht="12.9" customHeight="1">
      <c r="A53" s="7207"/>
      <c r="B53" s="7205"/>
      <c r="C53" s="7205"/>
      <c r="D53" s="7205"/>
      <c r="E53" s="7205"/>
      <c r="F53" s="7215"/>
    </row>
    <row r="54" spans="1:6" ht="12.9" customHeight="1">
      <c r="A54" s="7209" t="s">
        <v>1083</v>
      </c>
      <c r="B54" s="9631"/>
      <c r="C54" s="9631"/>
      <c r="D54" s="9631"/>
      <c r="E54" s="9631"/>
      <c r="F54" s="9741"/>
    </row>
    <row r="55" spans="1:6" ht="12.9" customHeight="1">
      <c r="A55" s="7207"/>
      <c r="B55" s="7205"/>
      <c r="C55" s="7205"/>
      <c r="D55" s="7205"/>
      <c r="E55" s="7205"/>
      <c r="F55" s="7215"/>
    </row>
    <row r="56" spans="1:6" ht="12.9" customHeight="1">
      <c r="A56" s="7207" t="s">
        <v>1106</v>
      </c>
      <c r="B56" s="7205"/>
      <c r="C56" s="7205"/>
      <c r="D56" s="7205"/>
      <c r="E56" s="7205"/>
      <c r="F56" s="7215"/>
    </row>
    <row r="57" spans="1:6" ht="12.9" customHeight="1" thickBot="1">
      <c r="A57" s="7207"/>
      <c r="B57" s="7205"/>
      <c r="C57" s="7205"/>
      <c r="D57" s="7205"/>
      <c r="E57" s="7205"/>
      <c r="F57" s="7215"/>
    </row>
    <row r="58" spans="1:6" ht="12.9" customHeight="1">
      <c r="A58" s="9725" t="s">
        <v>9</v>
      </c>
      <c r="B58" s="9624"/>
      <c r="C58" s="9624"/>
      <c r="D58" s="9624"/>
      <c r="E58" s="9624"/>
      <c r="F58" s="9716"/>
    </row>
    <row r="59" spans="1:6" ht="12.9" customHeight="1">
      <c r="A59" s="7209" t="s">
        <v>1086</v>
      </c>
      <c r="B59" s="7205"/>
      <c r="C59" s="7205"/>
      <c r="D59" s="7205"/>
      <c r="E59" s="7205"/>
      <c r="F59" s="7215"/>
    </row>
    <row r="60" spans="1:6" ht="12.9" customHeight="1" thickBot="1">
      <c r="A60" s="9709"/>
      <c r="B60" s="9634"/>
      <c r="C60" s="9634"/>
      <c r="D60" s="9634"/>
      <c r="E60" s="9634"/>
      <c r="F60" s="9753"/>
    </row>
  </sheetData>
  <mergeCells count="2">
    <mergeCell ref="D5:F5"/>
    <mergeCell ref="A1:F1"/>
  </mergeCells>
  <printOptions horizontalCentered="1"/>
  <pageMargins left="0.25" right="0.25" top="0.5" bottom="0.5" header="0.3" footer="0.3"/>
  <pageSetup paperSize="119" firstPageNumber="230" orientation="portrait" useFirstPageNumber="1" r:id="rId1"/>
  <headerFooter alignWithMargins="0"/>
</worksheet>
</file>

<file path=xl/worksheets/sheet113.xml><?xml version="1.0" encoding="utf-8"?>
<worksheet xmlns="http://schemas.openxmlformats.org/spreadsheetml/2006/main" xmlns:r="http://schemas.openxmlformats.org/officeDocument/2006/relationships">
  <sheetPr codeName="Sheet155">
    <tabColor rgb="FFFFFF00"/>
  </sheetPr>
  <dimension ref="A1:J120"/>
  <sheetViews>
    <sheetView showGridLines="0" topLeftCell="A53" workbookViewId="0">
      <selection activeCell="A102" sqref="A102:XFD102"/>
    </sheetView>
  </sheetViews>
  <sheetFormatPr defaultRowHeight="14.4"/>
  <cols>
    <col min="1" max="1" width="5.88671875" customWidth="1"/>
    <col min="2" max="2" width="9.109375" customWidth="1"/>
    <col min="3" max="3" width="15.44140625" customWidth="1"/>
    <col min="4" max="4" width="10.88671875" customWidth="1"/>
    <col min="5" max="5" width="12.44140625" customWidth="1"/>
    <col min="6" max="6" width="21.109375" customWidth="1"/>
    <col min="7" max="7" width="14.109375" customWidth="1"/>
    <col min="8" max="8" width="8.88671875" customWidth="1"/>
    <col min="9" max="9" width="21" hidden="1" customWidth="1"/>
    <col min="10" max="10" width="8.88671875" customWidth="1"/>
    <col min="257" max="257" width="5.88671875" customWidth="1"/>
    <col min="258" max="258" width="9.109375" customWidth="1"/>
    <col min="259" max="259" width="15.44140625" customWidth="1"/>
    <col min="260" max="260" width="10.88671875" customWidth="1"/>
    <col min="261" max="261" width="12.44140625" customWidth="1"/>
    <col min="262" max="262" width="17.44140625" customWidth="1"/>
    <col min="263" max="263" width="14.109375" customWidth="1"/>
    <col min="264" max="264" width="8.88671875" customWidth="1"/>
    <col min="265" max="265" width="0" hidden="1" customWidth="1"/>
    <col min="266" max="266" width="8.88671875" customWidth="1"/>
    <col min="513" max="513" width="5.88671875" customWidth="1"/>
    <col min="514" max="514" width="9.109375" customWidth="1"/>
    <col min="515" max="515" width="15.44140625" customWidth="1"/>
    <col min="516" max="516" width="10.88671875" customWidth="1"/>
    <col min="517" max="517" width="12.44140625" customWidth="1"/>
    <col min="518" max="518" width="17.44140625" customWidth="1"/>
    <col min="519" max="519" width="14.109375" customWidth="1"/>
    <col min="520" max="520" width="8.88671875" customWidth="1"/>
    <col min="521" max="521" width="0" hidden="1" customWidth="1"/>
    <col min="522" max="522" width="8.88671875" customWidth="1"/>
    <col min="769" max="769" width="5.88671875" customWidth="1"/>
    <col min="770" max="770" width="9.109375" customWidth="1"/>
    <col min="771" max="771" width="15.44140625" customWidth="1"/>
    <col min="772" max="772" width="10.88671875" customWidth="1"/>
    <col min="773" max="773" width="12.44140625" customWidth="1"/>
    <col min="774" max="774" width="17.44140625" customWidth="1"/>
    <col min="775" max="775" width="14.109375" customWidth="1"/>
    <col min="776" max="776" width="8.88671875" customWidth="1"/>
    <col min="777" max="777" width="0" hidden="1" customWidth="1"/>
    <col min="778" max="778" width="8.88671875" customWidth="1"/>
    <col min="1025" max="1025" width="5.88671875" customWidth="1"/>
    <col min="1026" max="1026" width="9.109375" customWidth="1"/>
    <col min="1027" max="1027" width="15.44140625" customWidth="1"/>
    <col min="1028" max="1028" width="10.88671875" customWidth="1"/>
    <col min="1029" max="1029" width="12.44140625" customWidth="1"/>
    <col min="1030" max="1030" width="17.44140625" customWidth="1"/>
    <col min="1031" max="1031" width="14.109375" customWidth="1"/>
    <col min="1032" max="1032" width="8.88671875" customWidth="1"/>
    <col min="1033" max="1033" width="0" hidden="1" customWidth="1"/>
    <col min="1034" max="1034" width="8.88671875" customWidth="1"/>
    <col min="1281" max="1281" width="5.88671875" customWidth="1"/>
    <col min="1282" max="1282" width="9.109375" customWidth="1"/>
    <col min="1283" max="1283" width="15.44140625" customWidth="1"/>
    <col min="1284" max="1284" width="10.88671875" customWidth="1"/>
    <col min="1285" max="1285" width="12.44140625" customWidth="1"/>
    <col min="1286" max="1286" width="17.44140625" customWidth="1"/>
    <col min="1287" max="1287" width="14.109375" customWidth="1"/>
    <col min="1288" max="1288" width="8.88671875" customWidth="1"/>
    <col min="1289" max="1289" width="0" hidden="1" customWidth="1"/>
    <col min="1290" max="1290" width="8.88671875" customWidth="1"/>
    <col min="1537" max="1537" width="5.88671875" customWidth="1"/>
    <col min="1538" max="1538" width="9.109375" customWidth="1"/>
    <col min="1539" max="1539" width="15.44140625" customWidth="1"/>
    <col min="1540" max="1540" width="10.88671875" customWidth="1"/>
    <col min="1541" max="1541" width="12.44140625" customWidth="1"/>
    <col min="1542" max="1542" width="17.44140625" customWidth="1"/>
    <col min="1543" max="1543" width="14.109375" customWidth="1"/>
    <col min="1544" max="1544" width="8.88671875" customWidth="1"/>
    <col min="1545" max="1545" width="0" hidden="1" customWidth="1"/>
    <col min="1546" max="1546" width="8.88671875" customWidth="1"/>
    <col min="1793" max="1793" width="5.88671875" customWidth="1"/>
    <col min="1794" max="1794" width="9.109375" customWidth="1"/>
    <col min="1795" max="1795" width="15.44140625" customWidth="1"/>
    <col min="1796" max="1796" width="10.88671875" customWidth="1"/>
    <col min="1797" max="1797" width="12.44140625" customWidth="1"/>
    <col min="1798" max="1798" width="17.44140625" customWidth="1"/>
    <col min="1799" max="1799" width="14.109375" customWidth="1"/>
    <col min="1800" max="1800" width="8.88671875" customWidth="1"/>
    <col min="1801" max="1801" width="0" hidden="1" customWidth="1"/>
    <col min="1802" max="1802" width="8.88671875" customWidth="1"/>
    <col min="2049" max="2049" width="5.88671875" customWidth="1"/>
    <col min="2050" max="2050" width="9.109375" customWidth="1"/>
    <col min="2051" max="2051" width="15.44140625" customWidth="1"/>
    <col min="2052" max="2052" width="10.88671875" customWidth="1"/>
    <col min="2053" max="2053" width="12.44140625" customWidth="1"/>
    <col min="2054" max="2054" width="17.44140625" customWidth="1"/>
    <col min="2055" max="2055" width="14.109375" customWidth="1"/>
    <col min="2056" max="2056" width="8.88671875" customWidth="1"/>
    <col min="2057" max="2057" width="0" hidden="1" customWidth="1"/>
    <col min="2058" max="2058" width="8.88671875" customWidth="1"/>
    <col min="2305" max="2305" width="5.88671875" customWidth="1"/>
    <col min="2306" max="2306" width="9.109375" customWidth="1"/>
    <col min="2307" max="2307" width="15.44140625" customWidth="1"/>
    <col min="2308" max="2308" width="10.88671875" customWidth="1"/>
    <col min="2309" max="2309" width="12.44140625" customWidth="1"/>
    <col min="2310" max="2310" width="17.44140625" customWidth="1"/>
    <col min="2311" max="2311" width="14.109375" customWidth="1"/>
    <col min="2312" max="2312" width="8.88671875" customWidth="1"/>
    <col min="2313" max="2313" width="0" hidden="1" customWidth="1"/>
    <col min="2314" max="2314" width="8.88671875" customWidth="1"/>
    <col min="2561" max="2561" width="5.88671875" customWidth="1"/>
    <col min="2562" max="2562" width="9.109375" customWidth="1"/>
    <col min="2563" max="2563" width="15.44140625" customWidth="1"/>
    <col min="2564" max="2564" width="10.88671875" customWidth="1"/>
    <col min="2565" max="2565" width="12.44140625" customWidth="1"/>
    <col min="2566" max="2566" width="17.44140625" customWidth="1"/>
    <col min="2567" max="2567" width="14.109375" customWidth="1"/>
    <col min="2568" max="2568" width="8.88671875" customWidth="1"/>
    <col min="2569" max="2569" width="0" hidden="1" customWidth="1"/>
    <col min="2570" max="2570" width="8.88671875" customWidth="1"/>
    <col min="2817" max="2817" width="5.88671875" customWidth="1"/>
    <col min="2818" max="2818" width="9.109375" customWidth="1"/>
    <col min="2819" max="2819" width="15.44140625" customWidth="1"/>
    <col min="2820" max="2820" width="10.88671875" customWidth="1"/>
    <col min="2821" max="2821" width="12.44140625" customWidth="1"/>
    <col min="2822" max="2822" width="17.44140625" customWidth="1"/>
    <col min="2823" max="2823" width="14.109375" customWidth="1"/>
    <col min="2824" max="2824" width="8.88671875" customWidth="1"/>
    <col min="2825" max="2825" width="0" hidden="1" customWidth="1"/>
    <col min="2826" max="2826" width="8.88671875" customWidth="1"/>
    <col min="3073" max="3073" width="5.88671875" customWidth="1"/>
    <col min="3074" max="3074" width="9.109375" customWidth="1"/>
    <col min="3075" max="3075" width="15.44140625" customWidth="1"/>
    <col min="3076" max="3076" width="10.88671875" customWidth="1"/>
    <col min="3077" max="3077" width="12.44140625" customWidth="1"/>
    <col min="3078" max="3078" width="17.44140625" customWidth="1"/>
    <col min="3079" max="3079" width="14.109375" customWidth="1"/>
    <col min="3080" max="3080" width="8.88671875" customWidth="1"/>
    <col min="3081" max="3081" width="0" hidden="1" customWidth="1"/>
    <col min="3082" max="3082" width="8.88671875" customWidth="1"/>
    <col min="3329" max="3329" width="5.88671875" customWidth="1"/>
    <col min="3330" max="3330" width="9.109375" customWidth="1"/>
    <col min="3331" max="3331" width="15.44140625" customWidth="1"/>
    <col min="3332" max="3332" width="10.88671875" customWidth="1"/>
    <col min="3333" max="3333" width="12.44140625" customWidth="1"/>
    <col min="3334" max="3334" width="17.44140625" customWidth="1"/>
    <col min="3335" max="3335" width="14.109375" customWidth="1"/>
    <col min="3336" max="3336" width="8.88671875" customWidth="1"/>
    <col min="3337" max="3337" width="0" hidden="1" customWidth="1"/>
    <col min="3338" max="3338" width="8.88671875" customWidth="1"/>
    <col min="3585" max="3585" width="5.88671875" customWidth="1"/>
    <col min="3586" max="3586" width="9.109375" customWidth="1"/>
    <col min="3587" max="3587" width="15.44140625" customWidth="1"/>
    <col min="3588" max="3588" width="10.88671875" customWidth="1"/>
    <col min="3589" max="3589" width="12.44140625" customWidth="1"/>
    <col min="3590" max="3590" width="17.44140625" customWidth="1"/>
    <col min="3591" max="3591" width="14.109375" customWidth="1"/>
    <col min="3592" max="3592" width="8.88671875" customWidth="1"/>
    <col min="3593" max="3593" width="0" hidden="1" customWidth="1"/>
    <col min="3594" max="3594" width="8.88671875" customWidth="1"/>
    <col min="3841" max="3841" width="5.88671875" customWidth="1"/>
    <col min="3842" max="3842" width="9.109375" customWidth="1"/>
    <col min="3843" max="3843" width="15.44140625" customWidth="1"/>
    <col min="3844" max="3844" width="10.88671875" customWidth="1"/>
    <col min="3845" max="3845" width="12.44140625" customWidth="1"/>
    <col min="3846" max="3846" width="17.44140625" customWidth="1"/>
    <col min="3847" max="3847" width="14.109375" customWidth="1"/>
    <col min="3848" max="3848" width="8.88671875" customWidth="1"/>
    <col min="3849" max="3849" width="0" hidden="1" customWidth="1"/>
    <col min="3850" max="3850" width="8.88671875" customWidth="1"/>
    <col min="4097" max="4097" width="5.88671875" customWidth="1"/>
    <col min="4098" max="4098" width="9.109375" customWidth="1"/>
    <col min="4099" max="4099" width="15.44140625" customWidth="1"/>
    <col min="4100" max="4100" width="10.88671875" customWidth="1"/>
    <col min="4101" max="4101" width="12.44140625" customWidth="1"/>
    <col min="4102" max="4102" width="17.44140625" customWidth="1"/>
    <col min="4103" max="4103" width="14.109375" customWidth="1"/>
    <col min="4104" max="4104" width="8.88671875" customWidth="1"/>
    <col min="4105" max="4105" width="0" hidden="1" customWidth="1"/>
    <col min="4106" max="4106" width="8.88671875" customWidth="1"/>
    <col min="4353" max="4353" width="5.88671875" customWidth="1"/>
    <col min="4354" max="4354" width="9.109375" customWidth="1"/>
    <col min="4355" max="4355" width="15.44140625" customWidth="1"/>
    <col min="4356" max="4356" width="10.88671875" customWidth="1"/>
    <col min="4357" max="4357" width="12.44140625" customWidth="1"/>
    <col min="4358" max="4358" width="17.44140625" customWidth="1"/>
    <col min="4359" max="4359" width="14.109375" customWidth="1"/>
    <col min="4360" max="4360" width="8.88671875" customWidth="1"/>
    <col min="4361" max="4361" width="0" hidden="1" customWidth="1"/>
    <col min="4362" max="4362" width="8.88671875" customWidth="1"/>
    <col min="4609" max="4609" width="5.88671875" customWidth="1"/>
    <col min="4610" max="4610" width="9.109375" customWidth="1"/>
    <col min="4611" max="4611" width="15.44140625" customWidth="1"/>
    <col min="4612" max="4612" width="10.88671875" customWidth="1"/>
    <col min="4613" max="4613" width="12.44140625" customWidth="1"/>
    <col min="4614" max="4614" width="17.44140625" customWidth="1"/>
    <col min="4615" max="4615" width="14.109375" customWidth="1"/>
    <col min="4616" max="4616" width="8.88671875" customWidth="1"/>
    <col min="4617" max="4617" width="0" hidden="1" customWidth="1"/>
    <col min="4618" max="4618" width="8.88671875" customWidth="1"/>
    <col min="4865" max="4865" width="5.88671875" customWidth="1"/>
    <col min="4866" max="4866" width="9.109375" customWidth="1"/>
    <col min="4867" max="4867" width="15.44140625" customWidth="1"/>
    <col min="4868" max="4868" width="10.88671875" customWidth="1"/>
    <col min="4869" max="4869" width="12.44140625" customWidth="1"/>
    <col min="4870" max="4870" width="17.44140625" customWidth="1"/>
    <col min="4871" max="4871" width="14.109375" customWidth="1"/>
    <col min="4872" max="4872" width="8.88671875" customWidth="1"/>
    <col min="4873" max="4873" width="0" hidden="1" customWidth="1"/>
    <col min="4874" max="4874" width="8.88671875" customWidth="1"/>
    <col min="5121" max="5121" width="5.88671875" customWidth="1"/>
    <col min="5122" max="5122" width="9.109375" customWidth="1"/>
    <col min="5123" max="5123" width="15.44140625" customWidth="1"/>
    <col min="5124" max="5124" width="10.88671875" customWidth="1"/>
    <col min="5125" max="5125" width="12.44140625" customWidth="1"/>
    <col min="5126" max="5126" width="17.44140625" customWidth="1"/>
    <col min="5127" max="5127" width="14.109375" customWidth="1"/>
    <col min="5128" max="5128" width="8.88671875" customWidth="1"/>
    <col min="5129" max="5129" width="0" hidden="1" customWidth="1"/>
    <col min="5130" max="5130" width="8.88671875" customWidth="1"/>
    <col min="5377" max="5377" width="5.88671875" customWidth="1"/>
    <col min="5378" max="5378" width="9.109375" customWidth="1"/>
    <col min="5379" max="5379" width="15.44140625" customWidth="1"/>
    <col min="5380" max="5380" width="10.88671875" customWidth="1"/>
    <col min="5381" max="5381" width="12.44140625" customWidth="1"/>
    <col min="5382" max="5382" width="17.44140625" customWidth="1"/>
    <col min="5383" max="5383" width="14.109375" customWidth="1"/>
    <col min="5384" max="5384" width="8.88671875" customWidth="1"/>
    <col min="5385" max="5385" width="0" hidden="1" customWidth="1"/>
    <col min="5386" max="5386" width="8.88671875" customWidth="1"/>
    <col min="5633" max="5633" width="5.88671875" customWidth="1"/>
    <col min="5634" max="5634" width="9.109375" customWidth="1"/>
    <col min="5635" max="5635" width="15.44140625" customWidth="1"/>
    <col min="5636" max="5636" width="10.88671875" customWidth="1"/>
    <col min="5637" max="5637" width="12.44140625" customWidth="1"/>
    <col min="5638" max="5638" width="17.44140625" customWidth="1"/>
    <col min="5639" max="5639" width="14.109375" customWidth="1"/>
    <col min="5640" max="5640" width="8.88671875" customWidth="1"/>
    <col min="5641" max="5641" width="0" hidden="1" customWidth="1"/>
    <col min="5642" max="5642" width="8.88671875" customWidth="1"/>
    <col min="5889" max="5889" width="5.88671875" customWidth="1"/>
    <col min="5890" max="5890" width="9.109375" customWidth="1"/>
    <col min="5891" max="5891" width="15.44140625" customWidth="1"/>
    <col min="5892" max="5892" width="10.88671875" customWidth="1"/>
    <col min="5893" max="5893" width="12.44140625" customWidth="1"/>
    <col min="5894" max="5894" width="17.44140625" customWidth="1"/>
    <col min="5895" max="5895" width="14.109375" customWidth="1"/>
    <col min="5896" max="5896" width="8.88671875" customWidth="1"/>
    <col min="5897" max="5897" width="0" hidden="1" customWidth="1"/>
    <col min="5898" max="5898" width="8.88671875" customWidth="1"/>
    <col min="6145" max="6145" width="5.88671875" customWidth="1"/>
    <col min="6146" max="6146" width="9.109375" customWidth="1"/>
    <col min="6147" max="6147" width="15.44140625" customWidth="1"/>
    <col min="6148" max="6148" width="10.88671875" customWidth="1"/>
    <col min="6149" max="6149" width="12.44140625" customWidth="1"/>
    <col min="6150" max="6150" width="17.44140625" customWidth="1"/>
    <col min="6151" max="6151" width="14.109375" customWidth="1"/>
    <col min="6152" max="6152" width="8.88671875" customWidth="1"/>
    <col min="6153" max="6153" width="0" hidden="1" customWidth="1"/>
    <col min="6154" max="6154" width="8.88671875" customWidth="1"/>
    <col min="6401" max="6401" width="5.88671875" customWidth="1"/>
    <col min="6402" max="6402" width="9.109375" customWidth="1"/>
    <col min="6403" max="6403" width="15.44140625" customWidth="1"/>
    <col min="6404" max="6404" width="10.88671875" customWidth="1"/>
    <col min="6405" max="6405" width="12.44140625" customWidth="1"/>
    <col min="6406" max="6406" width="17.44140625" customWidth="1"/>
    <col min="6407" max="6407" width="14.109375" customWidth="1"/>
    <col min="6408" max="6408" width="8.88671875" customWidth="1"/>
    <col min="6409" max="6409" width="0" hidden="1" customWidth="1"/>
    <col min="6410" max="6410" width="8.88671875" customWidth="1"/>
    <col min="6657" max="6657" width="5.88671875" customWidth="1"/>
    <col min="6658" max="6658" width="9.109375" customWidth="1"/>
    <col min="6659" max="6659" width="15.44140625" customWidth="1"/>
    <col min="6660" max="6660" width="10.88671875" customWidth="1"/>
    <col min="6661" max="6661" width="12.44140625" customWidth="1"/>
    <col min="6662" max="6662" width="17.44140625" customWidth="1"/>
    <col min="6663" max="6663" width="14.109375" customWidth="1"/>
    <col min="6664" max="6664" width="8.88671875" customWidth="1"/>
    <col min="6665" max="6665" width="0" hidden="1" customWidth="1"/>
    <col min="6666" max="6666" width="8.88671875" customWidth="1"/>
    <col min="6913" max="6913" width="5.88671875" customWidth="1"/>
    <col min="6914" max="6914" width="9.109375" customWidth="1"/>
    <col min="6915" max="6915" width="15.44140625" customWidth="1"/>
    <col min="6916" max="6916" width="10.88671875" customWidth="1"/>
    <col min="6917" max="6917" width="12.44140625" customWidth="1"/>
    <col min="6918" max="6918" width="17.44140625" customWidth="1"/>
    <col min="6919" max="6919" width="14.109375" customWidth="1"/>
    <col min="6920" max="6920" width="8.88671875" customWidth="1"/>
    <col min="6921" max="6921" width="0" hidden="1" customWidth="1"/>
    <col min="6922" max="6922" width="8.88671875" customWidth="1"/>
    <col min="7169" max="7169" width="5.88671875" customWidth="1"/>
    <col min="7170" max="7170" width="9.109375" customWidth="1"/>
    <col min="7171" max="7171" width="15.44140625" customWidth="1"/>
    <col min="7172" max="7172" width="10.88671875" customWidth="1"/>
    <col min="7173" max="7173" width="12.44140625" customWidth="1"/>
    <col min="7174" max="7174" width="17.44140625" customWidth="1"/>
    <col min="7175" max="7175" width="14.109375" customWidth="1"/>
    <col min="7176" max="7176" width="8.88671875" customWidth="1"/>
    <col min="7177" max="7177" width="0" hidden="1" customWidth="1"/>
    <col min="7178" max="7178" width="8.88671875" customWidth="1"/>
    <col min="7425" max="7425" width="5.88671875" customWidth="1"/>
    <col min="7426" max="7426" width="9.109375" customWidth="1"/>
    <col min="7427" max="7427" width="15.44140625" customWidth="1"/>
    <col min="7428" max="7428" width="10.88671875" customWidth="1"/>
    <col min="7429" max="7429" width="12.44140625" customWidth="1"/>
    <col min="7430" max="7430" width="17.44140625" customWidth="1"/>
    <col min="7431" max="7431" width="14.109375" customWidth="1"/>
    <col min="7432" max="7432" width="8.88671875" customWidth="1"/>
    <col min="7433" max="7433" width="0" hidden="1" customWidth="1"/>
    <col min="7434" max="7434" width="8.88671875" customWidth="1"/>
    <col min="7681" max="7681" width="5.88671875" customWidth="1"/>
    <col min="7682" max="7682" width="9.109375" customWidth="1"/>
    <col min="7683" max="7683" width="15.44140625" customWidth="1"/>
    <col min="7684" max="7684" width="10.88671875" customWidth="1"/>
    <col min="7685" max="7685" width="12.44140625" customWidth="1"/>
    <col min="7686" max="7686" width="17.44140625" customWidth="1"/>
    <col min="7687" max="7687" width="14.109375" customWidth="1"/>
    <col min="7688" max="7688" width="8.88671875" customWidth="1"/>
    <col min="7689" max="7689" width="0" hidden="1" customWidth="1"/>
    <col min="7690" max="7690" width="8.88671875" customWidth="1"/>
    <col min="7937" max="7937" width="5.88671875" customWidth="1"/>
    <col min="7938" max="7938" width="9.109375" customWidth="1"/>
    <col min="7939" max="7939" width="15.44140625" customWidth="1"/>
    <col min="7940" max="7940" width="10.88671875" customWidth="1"/>
    <col min="7941" max="7941" width="12.44140625" customWidth="1"/>
    <col min="7942" max="7942" width="17.44140625" customWidth="1"/>
    <col min="7943" max="7943" width="14.109375" customWidth="1"/>
    <col min="7944" max="7944" width="8.88671875" customWidth="1"/>
    <col min="7945" max="7945" width="0" hidden="1" customWidth="1"/>
    <col min="7946" max="7946" width="8.88671875" customWidth="1"/>
    <col min="8193" max="8193" width="5.88671875" customWidth="1"/>
    <col min="8194" max="8194" width="9.109375" customWidth="1"/>
    <col min="8195" max="8195" width="15.44140625" customWidth="1"/>
    <col min="8196" max="8196" width="10.88671875" customWidth="1"/>
    <col min="8197" max="8197" width="12.44140625" customWidth="1"/>
    <col min="8198" max="8198" width="17.44140625" customWidth="1"/>
    <col min="8199" max="8199" width="14.109375" customWidth="1"/>
    <col min="8200" max="8200" width="8.88671875" customWidth="1"/>
    <col min="8201" max="8201" width="0" hidden="1" customWidth="1"/>
    <col min="8202" max="8202" width="8.88671875" customWidth="1"/>
    <col min="8449" max="8449" width="5.88671875" customWidth="1"/>
    <col min="8450" max="8450" width="9.109375" customWidth="1"/>
    <col min="8451" max="8451" width="15.44140625" customWidth="1"/>
    <col min="8452" max="8452" width="10.88671875" customWidth="1"/>
    <col min="8453" max="8453" width="12.44140625" customWidth="1"/>
    <col min="8454" max="8454" width="17.44140625" customWidth="1"/>
    <col min="8455" max="8455" width="14.109375" customWidth="1"/>
    <col min="8456" max="8456" width="8.88671875" customWidth="1"/>
    <col min="8457" max="8457" width="0" hidden="1" customWidth="1"/>
    <col min="8458" max="8458" width="8.88671875" customWidth="1"/>
    <col min="8705" max="8705" width="5.88671875" customWidth="1"/>
    <col min="8706" max="8706" width="9.109375" customWidth="1"/>
    <col min="8707" max="8707" width="15.44140625" customWidth="1"/>
    <col min="8708" max="8708" width="10.88671875" customWidth="1"/>
    <col min="8709" max="8709" width="12.44140625" customWidth="1"/>
    <col min="8710" max="8710" width="17.44140625" customWidth="1"/>
    <col min="8711" max="8711" width="14.109375" customWidth="1"/>
    <col min="8712" max="8712" width="8.88671875" customWidth="1"/>
    <col min="8713" max="8713" width="0" hidden="1" customWidth="1"/>
    <col min="8714" max="8714" width="8.88671875" customWidth="1"/>
    <col min="8961" max="8961" width="5.88671875" customWidth="1"/>
    <col min="8962" max="8962" width="9.109375" customWidth="1"/>
    <col min="8963" max="8963" width="15.44140625" customWidth="1"/>
    <col min="8964" max="8964" width="10.88671875" customWidth="1"/>
    <col min="8965" max="8965" width="12.44140625" customWidth="1"/>
    <col min="8966" max="8966" width="17.44140625" customWidth="1"/>
    <col min="8967" max="8967" width="14.109375" customWidth="1"/>
    <col min="8968" max="8968" width="8.88671875" customWidth="1"/>
    <col min="8969" max="8969" width="0" hidden="1" customWidth="1"/>
    <col min="8970" max="8970" width="8.88671875" customWidth="1"/>
    <col min="9217" max="9217" width="5.88671875" customWidth="1"/>
    <col min="9218" max="9218" width="9.109375" customWidth="1"/>
    <col min="9219" max="9219" width="15.44140625" customWidth="1"/>
    <col min="9220" max="9220" width="10.88671875" customWidth="1"/>
    <col min="9221" max="9221" width="12.44140625" customWidth="1"/>
    <col min="9222" max="9222" width="17.44140625" customWidth="1"/>
    <col min="9223" max="9223" width="14.109375" customWidth="1"/>
    <col min="9224" max="9224" width="8.88671875" customWidth="1"/>
    <col min="9225" max="9225" width="0" hidden="1" customWidth="1"/>
    <col min="9226" max="9226" width="8.88671875" customWidth="1"/>
    <col min="9473" max="9473" width="5.88671875" customWidth="1"/>
    <col min="9474" max="9474" width="9.109375" customWidth="1"/>
    <col min="9475" max="9475" width="15.44140625" customWidth="1"/>
    <col min="9476" max="9476" width="10.88671875" customWidth="1"/>
    <col min="9477" max="9477" width="12.44140625" customWidth="1"/>
    <col min="9478" max="9478" width="17.44140625" customWidth="1"/>
    <col min="9479" max="9479" width="14.109375" customWidth="1"/>
    <col min="9480" max="9480" width="8.88671875" customWidth="1"/>
    <col min="9481" max="9481" width="0" hidden="1" customWidth="1"/>
    <col min="9482" max="9482" width="8.88671875" customWidth="1"/>
    <col min="9729" max="9729" width="5.88671875" customWidth="1"/>
    <col min="9730" max="9730" width="9.109375" customWidth="1"/>
    <col min="9731" max="9731" width="15.44140625" customWidth="1"/>
    <col min="9732" max="9732" width="10.88671875" customWidth="1"/>
    <col min="9733" max="9733" width="12.44140625" customWidth="1"/>
    <col min="9734" max="9734" width="17.44140625" customWidth="1"/>
    <col min="9735" max="9735" width="14.109375" customWidth="1"/>
    <col min="9736" max="9736" width="8.88671875" customWidth="1"/>
    <col min="9737" max="9737" width="0" hidden="1" customWidth="1"/>
    <col min="9738" max="9738" width="8.88671875" customWidth="1"/>
    <col min="9985" max="9985" width="5.88671875" customWidth="1"/>
    <col min="9986" max="9986" width="9.109375" customWidth="1"/>
    <col min="9987" max="9987" width="15.44140625" customWidth="1"/>
    <col min="9988" max="9988" width="10.88671875" customWidth="1"/>
    <col min="9989" max="9989" width="12.44140625" customWidth="1"/>
    <col min="9990" max="9990" width="17.44140625" customWidth="1"/>
    <col min="9991" max="9991" width="14.109375" customWidth="1"/>
    <col min="9992" max="9992" width="8.88671875" customWidth="1"/>
    <col min="9993" max="9993" width="0" hidden="1" customWidth="1"/>
    <col min="9994" max="9994" width="8.88671875" customWidth="1"/>
    <col min="10241" max="10241" width="5.88671875" customWidth="1"/>
    <col min="10242" max="10242" width="9.109375" customWidth="1"/>
    <col min="10243" max="10243" width="15.44140625" customWidth="1"/>
    <col min="10244" max="10244" width="10.88671875" customWidth="1"/>
    <col min="10245" max="10245" width="12.44140625" customWidth="1"/>
    <col min="10246" max="10246" width="17.44140625" customWidth="1"/>
    <col min="10247" max="10247" width="14.109375" customWidth="1"/>
    <col min="10248" max="10248" width="8.88671875" customWidth="1"/>
    <col min="10249" max="10249" width="0" hidden="1" customWidth="1"/>
    <col min="10250" max="10250" width="8.88671875" customWidth="1"/>
    <col min="10497" max="10497" width="5.88671875" customWidth="1"/>
    <col min="10498" max="10498" width="9.109375" customWidth="1"/>
    <col min="10499" max="10499" width="15.44140625" customWidth="1"/>
    <col min="10500" max="10500" width="10.88671875" customWidth="1"/>
    <col min="10501" max="10501" width="12.44140625" customWidth="1"/>
    <col min="10502" max="10502" width="17.44140625" customWidth="1"/>
    <col min="10503" max="10503" width="14.109375" customWidth="1"/>
    <col min="10504" max="10504" width="8.88671875" customWidth="1"/>
    <col min="10505" max="10505" width="0" hidden="1" customWidth="1"/>
    <col min="10506" max="10506" width="8.88671875" customWidth="1"/>
    <col min="10753" max="10753" width="5.88671875" customWidth="1"/>
    <col min="10754" max="10754" width="9.109375" customWidth="1"/>
    <col min="10755" max="10755" width="15.44140625" customWidth="1"/>
    <col min="10756" max="10756" width="10.88671875" customWidth="1"/>
    <col min="10757" max="10757" width="12.44140625" customWidth="1"/>
    <col min="10758" max="10758" width="17.44140625" customWidth="1"/>
    <col min="10759" max="10759" width="14.109375" customWidth="1"/>
    <col min="10760" max="10760" width="8.88671875" customWidth="1"/>
    <col min="10761" max="10761" width="0" hidden="1" customWidth="1"/>
    <col min="10762" max="10762" width="8.88671875" customWidth="1"/>
    <col min="11009" max="11009" width="5.88671875" customWidth="1"/>
    <col min="11010" max="11010" width="9.109375" customWidth="1"/>
    <col min="11011" max="11011" width="15.44140625" customWidth="1"/>
    <col min="11012" max="11012" width="10.88671875" customWidth="1"/>
    <col min="11013" max="11013" width="12.44140625" customWidth="1"/>
    <col min="11014" max="11014" width="17.44140625" customWidth="1"/>
    <col min="11015" max="11015" width="14.109375" customWidth="1"/>
    <col min="11016" max="11016" width="8.88671875" customWidth="1"/>
    <col min="11017" max="11017" width="0" hidden="1" customWidth="1"/>
    <col min="11018" max="11018" width="8.88671875" customWidth="1"/>
    <col min="11265" max="11265" width="5.88671875" customWidth="1"/>
    <col min="11266" max="11266" width="9.109375" customWidth="1"/>
    <col min="11267" max="11267" width="15.44140625" customWidth="1"/>
    <col min="11268" max="11268" width="10.88671875" customWidth="1"/>
    <col min="11269" max="11269" width="12.44140625" customWidth="1"/>
    <col min="11270" max="11270" width="17.44140625" customWidth="1"/>
    <col min="11271" max="11271" width="14.109375" customWidth="1"/>
    <col min="11272" max="11272" width="8.88671875" customWidth="1"/>
    <col min="11273" max="11273" width="0" hidden="1" customWidth="1"/>
    <col min="11274" max="11274" width="8.88671875" customWidth="1"/>
    <col min="11521" max="11521" width="5.88671875" customWidth="1"/>
    <col min="11522" max="11522" width="9.109375" customWidth="1"/>
    <col min="11523" max="11523" width="15.44140625" customWidth="1"/>
    <col min="11524" max="11524" width="10.88671875" customWidth="1"/>
    <col min="11525" max="11525" width="12.44140625" customWidth="1"/>
    <col min="11526" max="11526" width="17.44140625" customWidth="1"/>
    <col min="11527" max="11527" width="14.109375" customWidth="1"/>
    <col min="11528" max="11528" width="8.88671875" customWidth="1"/>
    <col min="11529" max="11529" width="0" hidden="1" customWidth="1"/>
    <col min="11530" max="11530" width="8.88671875" customWidth="1"/>
    <col min="11777" max="11777" width="5.88671875" customWidth="1"/>
    <col min="11778" max="11778" width="9.109375" customWidth="1"/>
    <col min="11779" max="11779" width="15.44140625" customWidth="1"/>
    <col min="11780" max="11780" width="10.88671875" customWidth="1"/>
    <col min="11781" max="11781" width="12.44140625" customWidth="1"/>
    <col min="11782" max="11782" width="17.44140625" customWidth="1"/>
    <col min="11783" max="11783" width="14.109375" customWidth="1"/>
    <col min="11784" max="11784" width="8.88671875" customWidth="1"/>
    <col min="11785" max="11785" width="0" hidden="1" customWidth="1"/>
    <col min="11786" max="11786" width="8.88671875" customWidth="1"/>
    <col min="12033" max="12033" width="5.88671875" customWidth="1"/>
    <col min="12034" max="12034" width="9.109375" customWidth="1"/>
    <col min="12035" max="12035" width="15.44140625" customWidth="1"/>
    <col min="12036" max="12036" width="10.88671875" customWidth="1"/>
    <col min="12037" max="12037" width="12.44140625" customWidth="1"/>
    <col min="12038" max="12038" width="17.44140625" customWidth="1"/>
    <col min="12039" max="12039" width="14.109375" customWidth="1"/>
    <col min="12040" max="12040" width="8.88671875" customWidth="1"/>
    <col min="12041" max="12041" width="0" hidden="1" customWidth="1"/>
    <col min="12042" max="12042" width="8.88671875" customWidth="1"/>
    <col min="12289" max="12289" width="5.88671875" customWidth="1"/>
    <col min="12290" max="12290" width="9.109375" customWidth="1"/>
    <col min="12291" max="12291" width="15.44140625" customWidth="1"/>
    <col min="12292" max="12292" width="10.88671875" customWidth="1"/>
    <col min="12293" max="12293" width="12.44140625" customWidth="1"/>
    <col min="12294" max="12294" width="17.44140625" customWidth="1"/>
    <col min="12295" max="12295" width="14.109375" customWidth="1"/>
    <col min="12296" max="12296" width="8.88671875" customWidth="1"/>
    <col min="12297" max="12297" width="0" hidden="1" customWidth="1"/>
    <col min="12298" max="12298" width="8.88671875" customWidth="1"/>
    <col min="12545" max="12545" width="5.88671875" customWidth="1"/>
    <col min="12546" max="12546" width="9.109375" customWidth="1"/>
    <col min="12547" max="12547" width="15.44140625" customWidth="1"/>
    <col min="12548" max="12548" width="10.88671875" customWidth="1"/>
    <col min="12549" max="12549" width="12.44140625" customWidth="1"/>
    <col min="12550" max="12550" width="17.44140625" customWidth="1"/>
    <col min="12551" max="12551" width="14.109375" customWidth="1"/>
    <col min="12552" max="12552" width="8.88671875" customWidth="1"/>
    <col min="12553" max="12553" width="0" hidden="1" customWidth="1"/>
    <col min="12554" max="12554" width="8.88671875" customWidth="1"/>
    <col min="12801" max="12801" width="5.88671875" customWidth="1"/>
    <col min="12802" max="12802" width="9.109375" customWidth="1"/>
    <col min="12803" max="12803" width="15.44140625" customWidth="1"/>
    <col min="12804" max="12804" width="10.88671875" customWidth="1"/>
    <col min="12805" max="12805" width="12.44140625" customWidth="1"/>
    <col min="12806" max="12806" width="17.44140625" customWidth="1"/>
    <col min="12807" max="12807" width="14.109375" customWidth="1"/>
    <col min="12808" max="12808" width="8.88671875" customWidth="1"/>
    <col min="12809" max="12809" width="0" hidden="1" customWidth="1"/>
    <col min="12810" max="12810" width="8.88671875" customWidth="1"/>
    <col min="13057" max="13057" width="5.88671875" customWidth="1"/>
    <col min="13058" max="13058" width="9.109375" customWidth="1"/>
    <col min="13059" max="13059" width="15.44140625" customWidth="1"/>
    <col min="13060" max="13060" width="10.88671875" customWidth="1"/>
    <col min="13061" max="13061" width="12.44140625" customWidth="1"/>
    <col min="13062" max="13062" width="17.44140625" customWidth="1"/>
    <col min="13063" max="13063" width="14.109375" customWidth="1"/>
    <col min="13064" max="13064" width="8.88671875" customWidth="1"/>
    <col min="13065" max="13065" width="0" hidden="1" customWidth="1"/>
    <col min="13066" max="13066" width="8.88671875" customWidth="1"/>
    <col min="13313" max="13313" width="5.88671875" customWidth="1"/>
    <col min="13314" max="13314" width="9.109375" customWidth="1"/>
    <col min="13315" max="13315" width="15.44140625" customWidth="1"/>
    <col min="13316" max="13316" width="10.88671875" customWidth="1"/>
    <col min="13317" max="13317" width="12.44140625" customWidth="1"/>
    <col min="13318" max="13318" width="17.44140625" customWidth="1"/>
    <col min="13319" max="13319" width="14.109375" customWidth="1"/>
    <col min="13320" max="13320" width="8.88671875" customWidth="1"/>
    <col min="13321" max="13321" width="0" hidden="1" customWidth="1"/>
    <col min="13322" max="13322" width="8.88671875" customWidth="1"/>
    <col min="13569" max="13569" width="5.88671875" customWidth="1"/>
    <col min="13570" max="13570" width="9.109375" customWidth="1"/>
    <col min="13571" max="13571" width="15.44140625" customWidth="1"/>
    <col min="13572" max="13572" width="10.88671875" customWidth="1"/>
    <col min="13573" max="13573" width="12.44140625" customWidth="1"/>
    <col min="13574" max="13574" width="17.44140625" customWidth="1"/>
    <col min="13575" max="13575" width="14.109375" customWidth="1"/>
    <col min="13576" max="13576" width="8.88671875" customWidth="1"/>
    <col min="13577" max="13577" width="0" hidden="1" customWidth="1"/>
    <col min="13578" max="13578" width="8.88671875" customWidth="1"/>
    <col min="13825" max="13825" width="5.88671875" customWidth="1"/>
    <col min="13826" max="13826" width="9.109375" customWidth="1"/>
    <col min="13827" max="13827" width="15.44140625" customWidth="1"/>
    <col min="13828" max="13828" width="10.88671875" customWidth="1"/>
    <col min="13829" max="13829" width="12.44140625" customWidth="1"/>
    <col min="13830" max="13830" width="17.44140625" customWidth="1"/>
    <col min="13831" max="13831" width="14.109375" customWidth="1"/>
    <col min="13832" max="13832" width="8.88671875" customWidth="1"/>
    <col min="13833" max="13833" width="0" hidden="1" customWidth="1"/>
    <col min="13834" max="13834" width="8.88671875" customWidth="1"/>
    <col min="14081" max="14081" width="5.88671875" customWidth="1"/>
    <col min="14082" max="14082" width="9.109375" customWidth="1"/>
    <col min="14083" max="14083" width="15.44140625" customWidth="1"/>
    <col min="14084" max="14084" width="10.88671875" customWidth="1"/>
    <col min="14085" max="14085" width="12.44140625" customWidth="1"/>
    <col min="14086" max="14086" width="17.44140625" customWidth="1"/>
    <col min="14087" max="14087" width="14.109375" customWidth="1"/>
    <col min="14088" max="14088" width="8.88671875" customWidth="1"/>
    <col min="14089" max="14089" width="0" hidden="1" customWidth="1"/>
    <col min="14090" max="14090" width="8.88671875" customWidth="1"/>
    <col min="14337" max="14337" width="5.88671875" customWidth="1"/>
    <col min="14338" max="14338" width="9.109375" customWidth="1"/>
    <col min="14339" max="14339" width="15.44140625" customWidth="1"/>
    <col min="14340" max="14340" width="10.88671875" customWidth="1"/>
    <col min="14341" max="14341" width="12.44140625" customWidth="1"/>
    <col min="14342" max="14342" width="17.44140625" customWidth="1"/>
    <col min="14343" max="14343" width="14.109375" customWidth="1"/>
    <col min="14344" max="14344" width="8.88671875" customWidth="1"/>
    <col min="14345" max="14345" width="0" hidden="1" customWidth="1"/>
    <col min="14346" max="14346" width="8.88671875" customWidth="1"/>
    <col min="14593" max="14593" width="5.88671875" customWidth="1"/>
    <col min="14594" max="14594" width="9.109375" customWidth="1"/>
    <col min="14595" max="14595" width="15.44140625" customWidth="1"/>
    <col min="14596" max="14596" width="10.88671875" customWidth="1"/>
    <col min="14597" max="14597" width="12.44140625" customWidth="1"/>
    <col min="14598" max="14598" width="17.44140625" customWidth="1"/>
    <col min="14599" max="14599" width="14.109375" customWidth="1"/>
    <col min="14600" max="14600" width="8.88671875" customWidth="1"/>
    <col min="14601" max="14601" width="0" hidden="1" customWidth="1"/>
    <col min="14602" max="14602" width="8.88671875" customWidth="1"/>
    <col min="14849" max="14849" width="5.88671875" customWidth="1"/>
    <col min="14850" max="14850" width="9.109375" customWidth="1"/>
    <col min="14851" max="14851" width="15.44140625" customWidth="1"/>
    <col min="14852" max="14852" width="10.88671875" customWidth="1"/>
    <col min="14853" max="14853" width="12.44140625" customWidth="1"/>
    <col min="14854" max="14854" width="17.44140625" customWidth="1"/>
    <col min="14855" max="14855" width="14.109375" customWidth="1"/>
    <col min="14856" max="14856" width="8.88671875" customWidth="1"/>
    <col min="14857" max="14857" width="0" hidden="1" customWidth="1"/>
    <col min="14858" max="14858" width="8.88671875" customWidth="1"/>
    <col min="15105" max="15105" width="5.88671875" customWidth="1"/>
    <col min="15106" max="15106" width="9.109375" customWidth="1"/>
    <col min="15107" max="15107" width="15.44140625" customWidth="1"/>
    <col min="15108" max="15108" width="10.88671875" customWidth="1"/>
    <col min="15109" max="15109" width="12.44140625" customWidth="1"/>
    <col min="15110" max="15110" width="17.44140625" customWidth="1"/>
    <col min="15111" max="15111" width="14.109375" customWidth="1"/>
    <col min="15112" max="15112" width="8.88671875" customWidth="1"/>
    <col min="15113" max="15113" width="0" hidden="1" customWidth="1"/>
    <col min="15114" max="15114" width="8.88671875" customWidth="1"/>
    <col min="15361" max="15361" width="5.88671875" customWidth="1"/>
    <col min="15362" max="15362" width="9.109375" customWidth="1"/>
    <col min="15363" max="15363" width="15.44140625" customWidth="1"/>
    <col min="15364" max="15364" width="10.88671875" customWidth="1"/>
    <col min="15365" max="15365" width="12.44140625" customWidth="1"/>
    <col min="15366" max="15366" width="17.44140625" customWidth="1"/>
    <col min="15367" max="15367" width="14.109375" customWidth="1"/>
    <col min="15368" max="15368" width="8.88671875" customWidth="1"/>
    <col min="15369" max="15369" width="0" hidden="1" customWidth="1"/>
    <col min="15370" max="15370" width="8.88671875" customWidth="1"/>
    <col min="15617" max="15617" width="5.88671875" customWidth="1"/>
    <col min="15618" max="15618" width="9.109375" customWidth="1"/>
    <col min="15619" max="15619" width="15.44140625" customWidth="1"/>
    <col min="15620" max="15620" width="10.88671875" customWidth="1"/>
    <col min="15621" max="15621" width="12.44140625" customWidth="1"/>
    <col min="15622" max="15622" width="17.44140625" customWidth="1"/>
    <col min="15623" max="15623" width="14.109375" customWidth="1"/>
    <col min="15624" max="15624" width="8.88671875" customWidth="1"/>
    <col min="15625" max="15625" width="0" hidden="1" customWidth="1"/>
    <col min="15626" max="15626" width="8.88671875" customWidth="1"/>
    <col min="15873" max="15873" width="5.88671875" customWidth="1"/>
    <col min="15874" max="15874" width="9.109375" customWidth="1"/>
    <col min="15875" max="15875" width="15.44140625" customWidth="1"/>
    <col min="15876" max="15876" width="10.88671875" customWidth="1"/>
    <col min="15877" max="15877" width="12.44140625" customWidth="1"/>
    <col min="15878" max="15878" width="17.44140625" customWidth="1"/>
    <col min="15879" max="15879" width="14.109375" customWidth="1"/>
    <col min="15880" max="15880" width="8.88671875" customWidth="1"/>
    <col min="15881" max="15881" width="0" hidden="1" customWidth="1"/>
    <col min="15882" max="15882" width="8.88671875" customWidth="1"/>
    <col min="16129" max="16129" width="5.88671875" customWidth="1"/>
    <col min="16130" max="16130" width="9.109375" customWidth="1"/>
    <col min="16131" max="16131" width="15.44140625" customWidth="1"/>
    <col min="16132" max="16132" width="10.88671875" customWidth="1"/>
    <col min="16133" max="16133" width="12.44140625" customWidth="1"/>
    <col min="16134" max="16134" width="17.44140625" customWidth="1"/>
    <col min="16135" max="16135" width="14.109375" customWidth="1"/>
    <col min="16136" max="16136" width="8.88671875" customWidth="1"/>
    <col min="16137" max="16137" width="0" hidden="1" customWidth="1"/>
    <col min="16138" max="16138" width="8.88671875" customWidth="1"/>
  </cols>
  <sheetData>
    <row r="1" spans="1:10" s="827" customFormat="1" ht="15.6">
      <c r="C1" s="827" t="s">
        <v>2138</v>
      </c>
    </row>
    <row r="3" spans="1:10" ht="15.6">
      <c r="A3" t="s">
        <v>5740</v>
      </c>
    </row>
    <row r="4" spans="1:10">
      <c r="A4" t="s">
        <v>5606</v>
      </c>
      <c r="C4">
        <v>2014</v>
      </c>
    </row>
    <row r="5" spans="1:10">
      <c r="A5" t="s">
        <v>5607</v>
      </c>
    </row>
    <row r="7" spans="1:10" s="827" customFormat="1" ht="15.6">
      <c r="A7" s="827" t="s">
        <v>5608</v>
      </c>
    </row>
    <row r="8" spans="1:10" s="2045" customFormat="1">
      <c r="A8" s="14678" t="s">
        <v>9554</v>
      </c>
      <c r="B8" s="14951"/>
      <c r="C8" s="14951"/>
      <c r="D8" s="14951"/>
      <c r="E8" s="14951"/>
      <c r="F8" s="14951"/>
      <c r="G8" s="14951"/>
      <c r="H8" s="14951"/>
      <c r="I8" s="14951"/>
      <c r="J8" s="14951"/>
    </row>
    <row r="9" spans="1:10" s="2045" customFormat="1">
      <c r="A9" s="14678" t="s">
        <v>9542</v>
      </c>
      <c r="B9" s="14951"/>
      <c r="C9" s="14951"/>
      <c r="D9" s="14951"/>
      <c r="E9" s="14951"/>
      <c r="F9" s="14951"/>
      <c r="G9" s="14951"/>
      <c r="H9" s="14951"/>
      <c r="I9" s="14951"/>
      <c r="J9" s="14951"/>
    </row>
    <row r="10" spans="1:10" s="2045" customFormat="1">
      <c r="A10" s="14678" t="s">
        <v>9543</v>
      </c>
      <c r="B10" s="14951"/>
      <c r="C10" s="14951"/>
      <c r="D10" s="14951"/>
      <c r="E10" s="14951"/>
      <c r="F10" s="14951"/>
      <c r="G10" s="14951"/>
      <c r="H10" s="14951"/>
      <c r="I10" s="14951"/>
      <c r="J10" s="14951"/>
    </row>
    <row r="11" spans="1:10" s="2045" customFormat="1">
      <c r="A11" s="14678" t="s">
        <v>9544</v>
      </c>
      <c r="B11" s="14951"/>
      <c r="C11" s="14951"/>
      <c r="D11" s="14951"/>
      <c r="E11" s="14951"/>
      <c r="F11" s="14951"/>
      <c r="G11" s="14951"/>
      <c r="H11" s="14951"/>
      <c r="I11" s="14951"/>
      <c r="J11" s="14951"/>
    </row>
    <row r="12" spans="1:10" s="2045" customFormat="1">
      <c r="A12" s="14678" t="s">
        <v>9545</v>
      </c>
      <c r="B12" s="14951"/>
      <c r="C12" s="14951"/>
      <c r="D12" s="14951"/>
      <c r="E12" s="14951"/>
      <c r="F12" s="14951"/>
      <c r="G12" s="14951"/>
      <c r="H12" s="14951"/>
      <c r="I12" s="14951"/>
      <c r="J12" s="14951"/>
    </row>
    <row r="13" spans="1:10" s="2045" customFormat="1">
      <c r="A13" s="14678" t="s">
        <v>9546</v>
      </c>
      <c r="B13" s="14951"/>
      <c r="C13" s="14951"/>
      <c r="D13" s="14951"/>
      <c r="E13" s="14951"/>
      <c r="F13" s="14951"/>
      <c r="G13" s="14951"/>
      <c r="H13" s="14951"/>
      <c r="I13" s="14951"/>
      <c r="J13" s="14951"/>
    </row>
    <row r="14" spans="1:10" s="2045" customFormat="1">
      <c r="A14" s="14678" t="s">
        <v>9547</v>
      </c>
      <c r="B14" s="14951"/>
      <c r="C14" s="14951"/>
      <c r="D14" s="14951"/>
      <c r="E14" s="14951"/>
      <c r="F14" s="14951"/>
      <c r="G14" s="14951"/>
      <c r="H14" s="14951"/>
      <c r="I14" s="14951"/>
      <c r="J14" s="14951"/>
    </row>
    <row r="15" spans="1:10" s="2045" customFormat="1">
      <c r="A15" s="14678" t="s">
        <v>9548</v>
      </c>
      <c r="B15" s="14951"/>
      <c r="C15" s="14951"/>
      <c r="D15" s="14951"/>
      <c r="E15" s="14951"/>
      <c r="F15" s="14951"/>
      <c r="G15" s="14951"/>
      <c r="H15" s="14951"/>
      <c r="I15" s="14951"/>
      <c r="J15" s="14951"/>
    </row>
    <row r="16" spans="1:10" s="2045" customFormat="1">
      <c r="A16" s="14678" t="s">
        <v>9549</v>
      </c>
      <c r="B16" s="14951"/>
      <c r="C16" s="14951"/>
      <c r="D16" s="14951"/>
      <c r="E16" s="14951"/>
      <c r="F16" s="14951"/>
      <c r="G16" s="14951"/>
      <c r="H16" s="14951"/>
      <c r="I16" s="14951"/>
      <c r="J16" s="14951"/>
    </row>
    <row r="17" spans="1:10" s="2045" customFormat="1">
      <c r="A17" s="14678" t="s">
        <v>9550</v>
      </c>
      <c r="B17" s="14951"/>
      <c r="C17" s="14951"/>
      <c r="D17" s="14951"/>
      <c r="E17" s="14951"/>
      <c r="F17" s="14951"/>
      <c r="G17" s="14951"/>
      <c r="H17" s="14951"/>
      <c r="I17" s="14951"/>
      <c r="J17" s="14951"/>
    </row>
    <row r="18" spans="1:10" s="2045" customFormat="1">
      <c r="A18" s="14678" t="s">
        <v>9551</v>
      </c>
      <c r="B18" s="14951"/>
      <c r="C18" s="14951"/>
      <c r="D18" s="14951"/>
      <c r="E18" s="14951"/>
      <c r="F18" s="14951"/>
      <c r="G18" s="14951"/>
      <c r="H18" s="14951"/>
      <c r="I18" s="14951"/>
      <c r="J18" s="14951"/>
    </row>
    <row r="19" spans="1:10" s="2045" customFormat="1">
      <c r="A19" s="14678" t="s">
        <v>9552</v>
      </c>
      <c r="B19" s="14951"/>
      <c r="C19" s="14951"/>
      <c r="D19" s="14951"/>
      <c r="E19" s="14951"/>
      <c r="F19" s="14951"/>
      <c r="G19" s="14951"/>
      <c r="H19" s="14951"/>
      <c r="I19" s="14951"/>
      <c r="J19" s="14951"/>
    </row>
    <row r="20" spans="1:10" s="2045" customFormat="1">
      <c r="A20" s="14678" t="s">
        <v>9553</v>
      </c>
      <c r="B20" s="14951"/>
      <c r="C20" s="14951"/>
      <c r="D20" s="14951"/>
      <c r="E20" s="14951"/>
      <c r="F20" s="14951"/>
      <c r="G20" s="14951"/>
      <c r="H20" s="14951"/>
      <c r="I20" s="14951"/>
      <c r="J20" s="14951"/>
    </row>
    <row r="22" spans="1:10" s="827" customFormat="1" ht="15.6">
      <c r="A22" s="827" t="s">
        <v>1730</v>
      </c>
    </row>
    <row r="23" spans="1:10" s="2045" customFormat="1">
      <c r="A23" s="2045" t="s">
        <v>5609</v>
      </c>
    </row>
    <row r="24" spans="1:10" s="2045" customFormat="1">
      <c r="A24" s="2045" t="s">
        <v>5736</v>
      </c>
    </row>
    <row r="25" spans="1:10" s="2045" customFormat="1">
      <c r="A25" s="2045" t="s">
        <v>5610</v>
      </c>
    </row>
    <row r="26" spans="1:10" s="2045" customFormat="1">
      <c r="A26" s="2045" t="s">
        <v>5737</v>
      </c>
    </row>
    <row r="27" spans="1:10" s="2045" customFormat="1">
      <c r="A27" s="2045" t="s">
        <v>5611</v>
      </c>
    </row>
    <row r="28" spans="1:10" s="2045" customFormat="1">
      <c r="A28" s="2045" t="s">
        <v>5738</v>
      </c>
    </row>
    <row r="29" spans="1:10" s="2045" customFormat="1">
      <c r="A29" s="2045" t="s">
        <v>5612</v>
      </c>
    </row>
    <row r="30" spans="1:10" s="2045" customFormat="1">
      <c r="A30" s="2045" t="s">
        <v>5613</v>
      </c>
    </row>
    <row r="31" spans="1:10" s="2045" customFormat="1">
      <c r="A31" s="2045" t="s">
        <v>5739</v>
      </c>
    </row>
    <row r="32" spans="1:10" s="2045" customFormat="1"/>
    <row r="33" spans="1:10" s="827" customFormat="1" ht="15.6">
      <c r="A33" s="2061" t="s">
        <v>5614</v>
      </c>
      <c r="B33" s="2061"/>
      <c r="C33" s="2061"/>
      <c r="D33" s="2061"/>
      <c r="E33" s="2061"/>
      <c r="F33" s="2061"/>
      <c r="G33" s="2061"/>
      <c r="H33" s="2061"/>
      <c r="I33" s="2061"/>
      <c r="J33" s="2061"/>
    </row>
    <row r="34" spans="1:10" s="1158" customFormat="1">
      <c r="A34" s="2046" t="s">
        <v>468</v>
      </c>
      <c r="B34" s="2047" t="s">
        <v>5615</v>
      </c>
      <c r="C34" s="2048"/>
      <c r="D34" s="2049"/>
      <c r="E34" s="2046"/>
      <c r="F34" s="2050" t="s">
        <v>5616</v>
      </c>
      <c r="G34" s="2046" t="s">
        <v>2030</v>
      </c>
      <c r="H34" s="2047" t="s">
        <v>5617</v>
      </c>
      <c r="I34" s="2048"/>
      <c r="J34" s="2049"/>
    </row>
    <row r="35" spans="1:10" s="1158" customFormat="1">
      <c r="A35" s="2034" t="s">
        <v>2047</v>
      </c>
      <c r="B35" s="2051" t="s">
        <v>5618</v>
      </c>
      <c r="C35" s="2052"/>
      <c r="D35" s="2053"/>
      <c r="E35" s="2054" t="s">
        <v>1763</v>
      </c>
      <c r="F35" s="2055" t="s">
        <v>5619</v>
      </c>
      <c r="G35" s="2054"/>
      <c r="H35" s="2051" t="s">
        <v>5620</v>
      </c>
      <c r="I35" s="2052"/>
      <c r="J35" s="2053"/>
    </row>
    <row r="36" spans="1:10" s="1158" customFormat="1">
      <c r="A36" s="2056"/>
      <c r="B36" s="2057"/>
      <c r="C36" s="2058"/>
      <c r="D36" s="2059"/>
      <c r="E36" s="2056"/>
      <c r="F36" s="2060"/>
      <c r="G36" s="2056"/>
      <c r="H36" s="2057"/>
      <c r="I36" s="2058"/>
      <c r="J36" s="2059"/>
    </row>
    <row r="37" spans="1:10">
      <c r="A37" s="2018"/>
      <c r="B37" s="2019" t="s">
        <v>5621</v>
      </c>
      <c r="C37" s="2020"/>
      <c r="D37" s="2021"/>
      <c r="E37" s="2018"/>
      <c r="F37" s="2018" t="s">
        <v>5622</v>
      </c>
      <c r="G37" s="2018" t="s">
        <v>3476</v>
      </c>
      <c r="H37" s="2018"/>
      <c r="I37" s="2020"/>
      <c r="J37" s="2021"/>
    </row>
    <row r="38" spans="1:10">
      <c r="A38" s="2022"/>
      <c r="B38" s="2031" t="s">
        <v>5623</v>
      </c>
      <c r="C38" s="2017"/>
      <c r="D38" s="2024"/>
      <c r="E38" s="2022"/>
      <c r="F38" s="2022" t="s">
        <v>5624</v>
      </c>
      <c r="G38" s="2022"/>
      <c r="H38" s="2022"/>
      <c r="I38" s="2017"/>
      <c r="J38" s="2024"/>
    </row>
    <row r="39" spans="1:10">
      <c r="A39" s="2022"/>
      <c r="B39" s="2023"/>
      <c r="C39" s="2017"/>
      <c r="D39" s="2024"/>
      <c r="E39" s="2022"/>
      <c r="F39" s="2022" t="s">
        <v>5625</v>
      </c>
      <c r="G39" s="2022"/>
      <c r="H39" s="2022"/>
      <c r="I39" s="2017"/>
      <c r="J39" s="2024"/>
    </row>
    <row r="40" spans="1:10">
      <c r="A40" s="2022"/>
      <c r="B40" s="2023"/>
      <c r="C40" s="2017"/>
      <c r="D40" s="2024"/>
      <c r="E40" s="2022"/>
      <c r="F40" s="2022" t="s">
        <v>5626</v>
      </c>
      <c r="G40" s="2022"/>
      <c r="H40" s="2022"/>
      <c r="I40" s="2017"/>
      <c r="J40" s="2024"/>
    </row>
    <row r="41" spans="1:10">
      <c r="A41" s="2022"/>
      <c r="B41" s="2023"/>
      <c r="C41" s="2017"/>
      <c r="D41" s="2024"/>
      <c r="E41" s="2022"/>
      <c r="F41" s="2022" t="s">
        <v>5627</v>
      </c>
      <c r="G41" s="2022"/>
      <c r="H41" s="2022"/>
      <c r="I41" s="2017"/>
      <c r="J41" s="2024"/>
    </row>
    <row r="42" spans="1:10">
      <c r="A42" s="2022" t="s">
        <v>67</v>
      </c>
      <c r="B42" s="2023" t="s">
        <v>5628</v>
      </c>
      <c r="C42" s="2017"/>
      <c r="D42" s="2024"/>
      <c r="E42" s="2032">
        <v>1855000</v>
      </c>
      <c r="F42" s="2022" t="s">
        <v>5629</v>
      </c>
      <c r="G42" s="2022" t="s">
        <v>3477</v>
      </c>
      <c r="H42" s="2022" t="s">
        <v>5630</v>
      </c>
      <c r="I42" s="2017"/>
      <c r="J42" s="2024" t="s">
        <v>5631</v>
      </c>
    </row>
    <row r="43" spans="1:10">
      <c r="A43" s="2022"/>
      <c r="B43" s="2023" t="s">
        <v>5632</v>
      </c>
      <c r="C43" s="2017"/>
      <c r="D43" s="2024"/>
      <c r="E43" s="2022"/>
      <c r="F43" s="2022" t="s">
        <v>5633</v>
      </c>
      <c r="G43" s="2022"/>
      <c r="H43" s="2022"/>
      <c r="I43" s="2017"/>
      <c r="J43" s="2024"/>
    </row>
    <row r="44" spans="1:10">
      <c r="A44" s="2022"/>
      <c r="B44" s="2023"/>
      <c r="C44" s="2017"/>
      <c r="D44" s="2024"/>
      <c r="E44" s="2022"/>
      <c r="F44" s="2022" t="s">
        <v>5634</v>
      </c>
      <c r="G44" s="2022"/>
      <c r="H44" s="2022"/>
      <c r="I44" s="2017"/>
      <c r="J44" s="2024"/>
    </row>
    <row r="45" spans="1:10">
      <c r="A45" s="2022">
        <v>755</v>
      </c>
      <c r="B45" s="2023" t="s">
        <v>5635</v>
      </c>
      <c r="C45" s="2017"/>
      <c r="D45" s="2024"/>
      <c r="E45" s="2022"/>
      <c r="F45" s="2022"/>
      <c r="G45" s="2022"/>
      <c r="H45" s="2022"/>
      <c r="I45" s="2017"/>
      <c r="J45" s="2024"/>
    </row>
    <row r="46" spans="1:10">
      <c r="A46" s="2022"/>
      <c r="B46" s="2023" t="s">
        <v>5636</v>
      </c>
      <c r="C46" s="2017"/>
      <c r="D46" s="2024"/>
      <c r="E46" s="2033">
        <v>200000</v>
      </c>
      <c r="F46" s="2022" t="s">
        <v>5637</v>
      </c>
      <c r="G46" s="2022" t="s">
        <v>5638</v>
      </c>
      <c r="H46" s="2022" t="s">
        <v>5639</v>
      </c>
      <c r="I46" s="2017"/>
      <c r="J46" s="2024" t="s">
        <v>5631</v>
      </c>
    </row>
    <row r="47" spans="1:10">
      <c r="A47" s="2022"/>
      <c r="B47" s="2023"/>
      <c r="C47" s="2017"/>
      <c r="D47" s="2024"/>
      <c r="E47" s="2022"/>
      <c r="F47" s="2022" t="s">
        <v>5640</v>
      </c>
      <c r="G47" s="2022" t="s">
        <v>3574</v>
      </c>
      <c r="H47" s="2022"/>
      <c r="I47" s="2017"/>
      <c r="J47" s="2024"/>
    </row>
    <row r="48" spans="1:10">
      <c r="A48" s="2022"/>
      <c r="B48" s="2023"/>
      <c r="C48" s="2017"/>
      <c r="D48" s="2024"/>
      <c r="E48" s="2022"/>
      <c r="F48" s="2022"/>
      <c r="G48" s="2022" t="s">
        <v>5641</v>
      </c>
      <c r="H48" s="2022"/>
      <c r="I48" s="2017"/>
      <c r="J48" s="2024"/>
    </row>
    <row r="49" spans="1:10">
      <c r="A49" s="2022"/>
      <c r="B49" s="2023"/>
      <c r="C49" s="2017"/>
      <c r="D49" s="2024"/>
      <c r="E49" s="2022"/>
      <c r="F49" s="2022"/>
      <c r="G49" s="2022" t="s">
        <v>5642</v>
      </c>
      <c r="H49" s="2022"/>
      <c r="I49" s="2017"/>
      <c r="J49" s="2024"/>
    </row>
    <row r="50" spans="1:10">
      <c r="A50" s="2022">
        <v>841</v>
      </c>
      <c r="B50" s="2023" t="s">
        <v>5643</v>
      </c>
      <c r="C50" s="2017"/>
      <c r="D50" s="2024"/>
      <c r="E50" s="2033">
        <v>120000</v>
      </c>
      <c r="F50" s="2022" t="s">
        <v>5644</v>
      </c>
      <c r="G50" s="2022" t="s">
        <v>5645</v>
      </c>
      <c r="H50" s="2022" t="s">
        <v>5125</v>
      </c>
      <c r="I50" s="2017"/>
      <c r="J50" s="2024" t="s">
        <v>5113</v>
      </c>
    </row>
    <row r="51" spans="1:10">
      <c r="A51" s="2022"/>
      <c r="B51" s="2023" t="s">
        <v>2362</v>
      </c>
      <c r="C51" s="2017"/>
      <c r="D51" s="2024"/>
      <c r="E51" s="2022"/>
      <c r="F51" s="2022" t="s">
        <v>5646</v>
      </c>
      <c r="G51" s="2022" t="s">
        <v>5647</v>
      </c>
      <c r="H51" s="2022"/>
      <c r="I51" s="2017"/>
      <c r="J51" s="2024"/>
    </row>
    <row r="52" spans="1:10">
      <c r="A52" s="2022"/>
      <c r="B52" s="2023"/>
      <c r="C52" s="2017"/>
      <c r="D52" s="2024"/>
      <c r="E52" s="2022"/>
      <c r="F52" s="2022" t="s">
        <v>5648</v>
      </c>
      <c r="G52" s="2022" t="s">
        <v>5649</v>
      </c>
      <c r="H52" s="2022"/>
      <c r="I52" s="2017"/>
      <c r="J52" s="2024"/>
    </row>
    <row r="53" spans="1:10">
      <c r="A53" s="2022"/>
      <c r="B53" s="2023"/>
      <c r="C53" s="2017"/>
      <c r="D53" s="2024"/>
      <c r="E53" s="2022"/>
      <c r="F53" s="2022" t="s">
        <v>5650</v>
      </c>
      <c r="G53" s="2022"/>
      <c r="H53" s="2022"/>
      <c r="I53" s="2017"/>
      <c r="J53" s="2024"/>
    </row>
    <row r="54" spans="1:10">
      <c r="A54" s="2022"/>
      <c r="B54" s="2023"/>
      <c r="C54" s="2017"/>
      <c r="D54" s="2024"/>
      <c r="E54" s="2022"/>
      <c r="F54" s="2022" t="s">
        <v>5651</v>
      </c>
      <c r="G54" s="2022"/>
      <c r="H54" s="2022"/>
      <c r="I54" s="2017"/>
      <c r="J54" s="2024"/>
    </row>
    <row r="55" spans="1:10">
      <c r="A55" s="2022">
        <v>761</v>
      </c>
      <c r="B55" s="2023" t="s">
        <v>5652</v>
      </c>
      <c r="C55" s="2017"/>
      <c r="D55" s="2024"/>
      <c r="E55" s="2033">
        <v>200000</v>
      </c>
      <c r="F55" s="2022" t="s">
        <v>5653</v>
      </c>
      <c r="G55" s="2022" t="s">
        <v>5654</v>
      </c>
      <c r="H55" s="2022" t="s">
        <v>5639</v>
      </c>
      <c r="I55" s="2017"/>
      <c r="J55" s="2024" t="s">
        <v>5631</v>
      </c>
    </row>
    <row r="56" spans="1:10">
      <c r="A56" s="2022"/>
      <c r="B56" s="2023"/>
      <c r="C56" s="2017"/>
      <c r="D56" s="2024"/>
      <c r="E56" s="2034"/>
      <c r="F56" s="2022" t="s">
        <v>5655</v>
      </c>
      <c r="G56" s="2022"/>
      <c r="H56" s="2022"/>
      <c r="I56" s="2017"/>
      <c r="J56" s="2024"/>
    </row>
    <row r="57" spans="1:10">
      <c r="A57" s="2022"/>
      <c r="B57" s="2023"/>
      <c r="C57" s="2017"/>
      <c r="D57" s="2024"/>
      <c r="E57" s="2034"/>
      <c r="F57" s="2022" t="s">
        <v>5656</v>
      </c>
      <c r="G57" s="2022"/>
      <c r="H57" s="2022"/>
      <c r="I57" s="2017"/>
      <c r="J57" s="2024"/>
    </row>
    <row r="58" spans="1:10" s="3808" customFormat="1">
      <c r="A58" s="4046"/>
      <c r="B58" s="4046"/>
      <c r="C58" s="4046"/>
      <c r="D58" s="4046"/>
      <c r="E58" s="4047"/>
      <c r="F58" s="4046"/>
      <c r="G58" s="4046"/>
      <c r="H58" s="4046"/>
      <c r="I58" s="4046"/>
      <c r="J58" s="4046"/>
    </row>
    <row r="59" spans="1:10" s="3808" customFormat="1">
      <c r="A59" s="2017"/>
      <c r="B59" s="2017"/>
      <c r="C59" s="2017"/>
      <c r="D59" s="2017"/>
      <c r="E59" s="2052"/>
      <c r="F59" s="2017"/>
      <c r="G59" s="2017"/>
      <c r="H59" s="2017"/>
      <c r="I59" s="2017"/>
      <c r="J59" s="2017"/>
    </row>
    <row r="60" spans="1:10" s="3808" customFormat="1">
      <c r="A60" s="2017"/>
      <c r="B60" s="2017"/>
      <c r="C60" s="2017"/>
      <c r="D60" s="2017"/>
      <c r="E60" s="2052"/>
      <c r="F60" s="2017"/>
      <c r="G60" s="2017"/>
      <c r="H60" s="2017"/>
      <c r="I60" s="2017"/>
      <c r="J60" s="2017"/>
    </row>
    <row r="61" spans="1:10" s="3808" customFormat="1">
      <c r="A61" s="2017"/>
      <c r="B61" s="2017"/>
      <c r="C61" s="2017"/>
      <c r="D61" s="2017"/>
      <c r="E61" s="2052"/>
      <c r="F61" s="2017"/>
      <c r="G61" s="2017"/>
      <c r="H61" s="2017"/>
      <c r="I61" s="2017"/>
      <c r="J61" s="2017"/>
    </row>
    <row r="62" spans="1:10" s="3808" customFormat="1">
      <c r="A62" s="2017"/>
      <c r="B62" s="2017"/>
      <c r="C62" s="2017"/>
      <c r="D62" s="2017"/>
      <c r="E62" s="2052"/>
      <c r="F62" s="2017"/>
      <c r="G62" s="2017"/>
      <c r="H62" s="2017"/>
      <c r="I62" s="2017"/>
      <c r="J62" s="2017"/>
    </row>
    <row r="63" spans="1:10" s="3808" customFormat="1">
      <c r="A63" s="2017"/>
      <c r="B63" s="2017"/>
      <c r="C63" s="2017"/>
      <c r="D63" s="2017"/>
      <c r="E63" s="2052"/>
      <c r="F63" s="2017"/>
      <c r="G63" s="2017"/>
      <c r="H63" s="2017"/>
      <c r="I63" s="2017"/>
      <c r="J63" s="2017"/>
    </row>
    <row r="64" spans="1:10" s="3808" customFormat="1">
      <c r="A64" s="2017"/>
      <c r="B64" s="2017"/>
      <c r="C64" s="2017"/>
      <c r="D64" s="2017"/>
      <c r="E64" s="2052"/>
      <c r="F64" s="2017"/>
      <c r="G64" s="2017"/>
      <c r="H64" s="2017"/>
      <c r="I64" s="2017"/>
      <c r="J64" s="2017"/>
    </row>
    <row r="65" spans="1:10" s="3808" customFormat="1">
      <c r="A65" s="2017"/>
      <c r="B65" s="2017"/>
      <c r="C65" s="2017"/>
      <c r="D65" s="2017"/>
      <c r="E65" s="2052"/>
      <c r="F65" s="2017"/>
      <c r="G65" s="2017"/>
      <c r="H65" s="2017"/>
      <c r="I65" s="2017"/>
      <c r="J65" s="2017"/>
    </row>
    <row r="66" spans="1:10" s="1158" customFormat="1">
      <c r="A66" s="2046" t="s">
        <v>468</v>
      </c>
      <c r="B66" s="2047" t="s">
        <v>5615</v>
      </c>
      <c r="C66" s="2048"/>
      <c r="D66" s="2049"/>
      <c r="E66" s="2046"/>
      <c r="F66" s="2050" t="s">
        <v>5616</v>
      </c>
      <c r="G66" s="2046" t="s">
        <v>2030</v>
      </c>
      <c r="H66" s="2047" t="s">
        <v>5617</v>
      </c>
      <c r="I66" s="2048"/>
      <c r="J66" s="2049"/>
    </row>
    <row r="67" spans="1:10" s="1158" customFormat="1">
      <c r="A67" s="2034" t="s">
        <v>2047</v>
      </c>
      <c r="B67" s="2051" t="s">
        <v>5618</v>
      </c>
      <c r="C67" s="2052"/>
      <c r="D67" s="2053"/>
      <c r="E67" s="2054" t="s">
        <v>1763</v>
      </c>
      <c r="F67" s="2055" t="s">
        <v>5619</v>
      </c>
      <c r="G67" s="2054"/>
      <c r="H67" s="2051" t="s">
        <v>5620</v>
      </c>
      <c r="I67" s="2052"/>
      <c r="J67" s="2053"/>
    </row>
    <row r="68" spans="1:10" s="1158" customFormat="1">
      <c r="A68" s="2056"/>
      <c r="B68" s="2057"/>
      <c r="C68" s="2058"/>
      <c r="D68" s="2059"/>
      <c r="E68" s="2056"/>
      <c r="F68" s="2060"/>
      <c r="G68" s="2056"/>
      <c r="H68" s="2057"/>
      <c r="I68" s="2058"/>
      <c r="J68" s="2059"/>
    </row>
    <row r="69" spans="1:10">
      <c r="A69" s="2022">
        <v>751</v>
      </c>
      <c r="B69" s="2023" t="s">
        <v>5657</v>
      </c>
      <c r="C69" s="2017"/>
      <c r="D69" s="2024"/>
      <c r="E69" s="2033">
        <v>200000</v>
      </c>
      <c r="F69" s="2022"/>
      <c r="G69" s="2022" t="s">
        <v>5654</v>
      </c>
      <c r="H69" s="2022" t="s">
        <v>5639</v>
      </c>
      <c r="I69" s="2017"/>
      <c r="J69" s="2024" t="s">
        <v>5113</v>
      </c>
    </row>
    <row r="70" spans="1:10">
      <c r="A70" s="2022" t="s">
        <v>99</v>
      </c>
      <c r="B70" s="2023" t="s">
        <v>5658</v>
      </c>
      <c r="C70" s="2017"/>
      <c r="D70" s="2024"/>
      <c r="E70" s="2033">
        <v>15000</v>
      </c>
      <c r="F70" s="2022"/>
      <c r="G70" s="2022" t="s">
        <v>5659</v>
      </c>
      <c r="H70" s="2022" t="s">
        <v>5639</v>
      </c>
      <c r="I70" s="2017"/>
      <c r="J70" s="2024" t="s">
        <v>5113</v>
      </c>
    </row>
    <row r="71" spans="1:10">
      <c r="A71" s="2022">
        <v>772</v>
      </c>
      <c r="B71" s="2023" t="s">
        <v>5660</v>
      </c>
      <c r="C71" s="2017"/>
      <c r="D71" s="2024"/>
      <c r="E71" s="2033">
        <v>50000</v>
      </c>
      <c r="F71" s="2022"/>
      <c r="G71" s="2022" t="s">
        <v>5661</v>
      </c>
      <c r="H71" s="2022" t="s">
        <v>5639</v>
      </c>
      <c r="I71" s="2017"/>
      <c r="J71" s="2024" t="s">
        <v>5113</v>
      </c>
    </row>
    <row r="72" spans="1:10">
      <c r="A72" s="2022">
        <v>773</v>
      </c>
      <c r="B72" s="2023" t="s">
        <v>5662</v>
      </c>
      <c r="C72" s="2017"/>
      <c r="D72" s="2024"/>
      <c r="E72" s="2033">
        <v>50000</v>
      </c>
      <c r="F72" s="2022"/>
      <c r="G72" s="2022" t="s">
        <v>5661</v>
      </c>
      <c r="H72" s="2022" t="s">
        <v>5639</v>
      </c>
      <c r="I72" s="2017"/>
      <c r="J72" s="2024" t="s">
        <v>5113</v>
      </c>
    </row>
    <row r="73" spans="1:10">
      <c r="A73" s="2022">
        <v>774</v>
      </c>
      <c r="B73" s="2023" t="s">
        <v>5663</v>
      </c>
      <c r="C73" s="2017"/>
      <c r="D73" s="2024"/>
      <c r="E73" s="2033">
        <v>50000</v>
      </c>
      <c r="F73" s="2022"/>
      <c r="G73" s="2022" t="s">
        <v>5661</v>
      </c>
      <c r="H73" s="2022" t="s">
        <v>5639</v>
      </c>
      <c r="I73" s="2017"/>
      <c r="J73" s="2024" t="s">
        <v>5113</v>
      </c>
    </row>
    <row r="74" spans="1:10">
      <c r="A74" s="2022">
        <v>840</v>
      </c>
      <c r="B74" s="2016" t="s">
        <v>5664</v>
      </c>
      <c r="C74" s="2017"/>
      <c r="D74" s="2024"/>
      <c r="E74" s="2033">
        <v>50000</v>
      </c>
      <c r="F74" s="2022"/>
      <c r="G74" s="2022" t="s">
        <v>3476</v>
      </c>
      <c r="H74" s="2022" t="s">
        <v>5639</v>
      </c>
      <c r="I74" s="2017"/>
      <c r="J74" s="2024" t="s">
        <v>5113</v>
      </c>
    </row>
    <row r="75" spans="1:10">
      <c r="A75" s="2022">
        <v>892</v>
      </c>
      <c r="B75" s="2016" t="s">
        <v>5665</v>
      </c>
      <c r="C75" s="2017"/>
      <c r="D75" s="2024"/>
      <c r="E75" s="2033">
        <v>2000</v>
      </c>
      <c r="F75" s="2022"/>
      <c r="G75" s="2022"/>
      <c r="H75" s="2022" t="s">
        <v>5639</v>
      </c>
      <c r="I75" s="2017"/>
      <c r="J75" s="2024" t="s">
        <v>5113</v>
      </c>
    </row>
    <row r="76" spans="1:10">
      <c r="A76" s="2022">
        <v>969</v>
      </c>
      <c r="B76" s="2016" t="s">
        <v>5666</v>
      </c>
      <c r="C76" s="2017"/>
      <c r="D76" s="2024"/>
      <c r="E76" s="2033"/>
      <c r="F76" s="2022"/>
      <c r="G76" s="2022" t="s">
        <v>5667</v>
      </c>
      <c r="H76" s="2022" t="s">
        <v>5639</v>
      </c>
      <c r="I76" s="2017"/>
      <c r="J76" s="2024" t="s">
        <v>5113</v>
      </c>
    </row>
    <row r="77" spans="1:10">
      <c r="A77" s="2022"/>
      <c r="B77" s="2016" t="s">
        <v>5668</v>
      </c>
      <c r="C77" s="2017"/>
      <c r="D77" s="2024"/>
      <c r="E77" s="2033">
        <v>50000</v>
      </c>
      <c r="F77" s="2022"/>
      <c r="G77" s="2022"/>
      <c r="H77" s="2022"/>
      <c r="I77" s="2017"/>
      <c r="J77" s="2024"/>
    </row>
    <row r="78" spans="1:10">
      <c r="A78" s="2022"/>
      <c r="B78" s="2016" t="s">
        <v>5669</v>
      </c>
      <c r="C78" s="2017"/>
      <c r="D78" s="2024"/>
      <c r="E78" s="2035">
        <v>20000</v>
      </c>
      <c r="F78" s="2022"/>
      <c r="G78" s="2022" t="s">
        <v>5667</v>
      </c>
      <c r="H78" s="2022" t="s">
        <v>5639</v>
      </c>
      <c r="I78" s="2017"/>
      <c r="J78" s="2024" t="s">
        <v>5113</v>
      </c>
    </row>
    <row r="79" spans="1:10">
      <c r="A79" s="2022"/>
      <c r="B79" s="2016" t="s">
        <v>5670</v>
      </c>
      <c r="C79" s="2017"/>
      <c r="D79" s="2024"/>
      <c r="E79" s="2035">
        <v>3000</v>
      </c>
      <c r="F79" s="2022"/>
      <c r="G79" s="2022"/>
      <c r="H79" s="2022"/>
      <c r="I79" s="2017"/>
      <c r="J79" s="2024"/>
    </row>
    <row r="80" spans="1:10">
      <c r="A80" s="2022"/>
      <c r="B80" s="2016" t="s">
        <v>5671</v>
      </c>
      <c r="C80" s="2017"/>
      <c r="D80" s="2024"/>
      <c r="E80" s="2035">
        <v>17000</v>
      </c>
      <c r="F80" s="2022"/>
      <c r="G80" s="2022"/>
      <c r="H80" s="2022"/>
      <c r="I80" s="2017"/>
      <c r="J80" s="2024"/>
    </row>
    <row r="81" spans="1:10">
      <c r="A81" s="2022"/>
      <c r="B81" s="2023" t="s">
        <v>5672</v>
      </c>
      <c r="C81" s="2017"/>
      <c r="D81" s="2024"/>
      <c r="E81" s="2034"/>
      <c r="F81" s="2022"/>
      <c r="G81" s="2022"/>
      <c r="H81" s="2022"/>
      <c r="I81" s="2017"/>
      <c r="J81" s="2024"/>
    </row>
    <row r="82" spans="1:10">
      <c r="A82" s="2022"/>
      <c r="B82" s="2023" t="s">
        <v>5673</v>
      </c>
      <c r="C82" s="2017"/>
      <c r="D82" s="2024"/>
      <c r="E82" s="2022"/>
      <c r="F82" s="2022"/>
      <c r="G82" s="2022"/>
      <c r="H82" s="2022"/>
      <c r="I82" s="2017"/>
      <c r="J82" s="2024"/>
    </row>
    <row r="83" spans="1:10">
      <c r="A83" s="2022">
        <v>823</v>
      </c>
      <c r="B83" s="2023" t="s">
        <v>5674</v>
      </c>
      <c r="C83" s="2017"/>
      <c r="D83" s="2024"/>
      <c r="E83" s="2033">
        <v>90000</v>
      </c>
      <c r="F83" s="2022" t="s">
        <v>5675</v>
      </c>
      <c r="G83" s="2022" t="s">
        <v>5676</v>
      </c>
      <c r="H83" s="2022" t="s">
        <v>5630</v>
      </c>
      <c r="I83" s="2017"/>
      <c r="J83" s="2024" t="s">
        <v>5631</v>
      </c>
    </row>
    <row r="84" spans="1:10">
      <c r="A84" s="2022"/>
      <c r="B84" s="2023" t="s">
        <v>5677</v>
      </c>
      <c r="C84" s="2017"/>
      <c r="D84" s="2024"/>
      <c r="E84" s="2022"/>
      <c r="F84" s="2022" t="s">
        <v>5678</v>
      </c>
      <c r="G84" s="2022" t="s">
        <v>5679</v>
      </c>
      <c r="H84" s="2022"/>
      <c r="I84" s="2017"/>
      <c r="J84" s="2024"/>
    </row>
    <row r="85" spans="1:10">
      <c r="A85" s="2022">
        <v>763</v>
      </c>
      <c r="B85" s="2023" t="s">
        <v>5680</v>
      </c>
      <c r="C85" s="2017"/>
      <c r="D85" s="2024"/>
      <c r="E85" s="2022"/>
      <c r="F85" s="2022"/>
      <c r="G85" s="2022"/>
      <c r="H85" s="2022"/>
      <c r="I85" s="2017"/>
      <c r="J85" s="2024"/>
    </row>
    <row r="86" spans="1:10">
      <c r="A86" s="2022"/>
      <c r="B86" s="2023" t="s">
        <v>5681</v>
      </c>
      <c r="C86" s="2017"/>
      <c r="D86" s="2024"/>
      <c r="E86" s="2033">
        <v>90000</v>
      </c>
      <c r="F86" s="2022" t="s">
        <v>5682</v>
      </c>
      <c r="G86" s="2022" t="s">
        <v>5683</v>
      </c>
      <c r="H86" s="2022" t="s">
        <v>5125</v>
      </c>
      <c r="I86" s="2017"/>
      <c r="J86" s="2024" t="s">
        <v>5631</v>
      </c>
    </row>
    <row r="87" spans="1:10">
      <c r="A87" s="2022"/>
      <c r="B87" s="2023"/>
      <c r="C87" s="2017"/>
      <c r="D87" s="2024"/>
      <c r="E87" s="2022"/>
      <c r="F87" s="2022" t="s">
        <v>5684</v>
      </c>
      <c r="G87" s="2022" t="s">
        <v>5685</v>
      </c>
      <c r="H87" s="2022"/>
      <c r="I87" s="2017"/>
      <c r="J87" s="2024"/>
    </row>
    <row r="88" spans="1:10">
      <c r="A88" s="2022"/>
      <c r="B88" s="2023"/>
      <c r="C88" s="2017"/>
      <c r="D88" s="2024"/>
      <c r="E88" s="2022"/>
      <c r="F88" s="2022"/>
      <c r="G88" s="2022">
        <v>2014</v>
      </c>
      <c r="H88" s="2022"/>
      <c r="I88" s="2017"/>
      <c r="J88" s="2024"/>
    </row>
    <row r="89" spans="1:10">
      <c r="A89" s="2022">
        <v>763</v>
      </c>
      <c r="B89" s="2023" t="s">
        <v>5686</v>
      </c>
      <c r="C89" s="2017"/>
      <c r="D89" s="2024"/>
      <c r="E89" s="2035">
        <v>40000</v>
      </c>
      <c r="F89" s="2022" t="s">
        <v>5687</v>
      </c>
      <c r="G89" s="2022"/>
      <c r="H89" s="2022"/>
      <c r="I89" s="2017"/>
      <c r="J89" s="2024"/>
    </row>
    <row r="90" spans="1:10">
      <c r="A90" s="2022"/>
      <c r="B90" s="2023"/>
      <c r="C90" s="2017"/>
      <c r="D90" s="2024"/>
      <c r="E90" s="2035"/>
      <c r="F90" s="2022" t="s">
        <v>5688</v>
      </c>
      <c r="G90" s="2022"/>
      <c r="H90" s="2022"/>
      <c r="I90" s="2017"/>
      <c r="J90" s="2024"/>
    </row>
    <row r="91" spans="1:10">
      <c r="A91" s="2022"/>
      <c r="B91" s="2023"/>
      <c r="C91" s="2017"/>
      <c r="D91" s="2024"/>
      <c r="E91" s="2035"/>
      <c r="F91" s="2022" t="s">
        <v>5689</v>
      </c>
      <c r="G91" s="2022"/>
      <c r="H91" s="2022"/>
      <c r="I91" s="2017"/>
      <c r="J91" s="2024"/>
    </row>
    <row r="92" spans="1:10">
      <c r="A92" s="2022">
        <v>753</v>
      </c>
      <c r="B92" s="2023" t="s">
        <v>5690</v>
      </c>
      <c r="C92" s="2017"/>
      <c r="D92" s="2024"/>
      <c r="E92" s="2033">
        <v>300000</v>
      </c>
      <c r="F92" s="2022"/>
      <c r="G92" s="2022"/>
      <c r="H92" s="2022"/>
      <c r="I92" s="2017"/>
      <c r="J92" s="2024"/>
    </row>
    <row r="93" spans="1:10">
      <c r="A93" s="2022"/>
      <c r="B93" s="2023" t="s">
        <v>5691</v>
      </c>
      <c r="C93" s="2017"/>
      <c r="D93" s="2024"/>
      <c r="E93" s="2022"/>
      <c r="F93" s="2022"/>
      <c r="G93" s="2022"/>
      <c r="H93" s="2022"/>
      <c r="I93" s="2017"/>
      <c r="J93" s="2024"/>
    </row>
    <row r="94" spans="1:10">
      <c r="A94" s="2022"/>
      <c r="B94" s="2023" t="s">
        <v>5692</v>
      </c>
      <c r="C94" s="2017"/>
      <c r="D94" s="2024"/>
      <c r="E94" s="2022"/>
      <c r="F94" s="2022"/>
      <c r="G94" s="2022"/>
      <c r="H94" s="2022"/>
      <c r="I94" s="2017"/>
      <c r="J94" s="2024"/>
    </row>
    <row r="95" spans="1:10">
      <c r="A95" s="2022"/>
      <c r="B95" s="2023" t="s">
        <v>5693</v>
      </c>
      <c r="C95" s="2017"/>
      <c r="D95" s="2024"/>
      <c r="E95" s="2035">
        <v>78000</v>
      </c>
      <c r="F95" s="2022" t="s">
        <v>5694</v>
      </c>
      <c r="G95" s="2022" t="s">
        <v>5695</v>
      </c>
      <c r="H95" s="2022"/>
      <c r="I95" s="2017"/>
      <c r="J95" s="2024" t="s">
        <v>5631</v>
      </c>
    </row>
    <row r="96" spans="1:10">
      <c r="A96" s="2022"/>
      <c r="B96" s="2023" t="s">
        <v>5696</v>
      </c>
      <c r="C96" s="2017"/>
      <c r="D96" s="2024"/>
      <c r="E96" s="2036"/>
      <c r="F96" s="2022" t="s">
        <v>5697</v>
      </c>
      <c r="G96" s="2022" t="s">
        <v>5698</v>
      </c>
      <c r="H96" s="2022"/>
      <c r="I96" s="2017"/>
      <c r="J96" s="2024"/>
    </row>
    <row r="97" spans="1:10">
      <c r="A97" s="2022"/>
      <c r="B97" s="2023" t="s">
        <v>5699</v>
      </c>
      <c r="C97" s="2017"/>
      <c r="D97" s="2024"/>
      <c r="E97" s="2036"/>
      <c r="F97" s="2022"/>
      <c r="G97" s="2022" t="s">
        <v>5700</v>
      </c>
      <c r="H97" s="2022"/>
      <c r="I97" s="2017"/>
      <c r="J97" s="2024"/>
    </row>
    <row r="98" spans="1:10">
      <c r="A98" s="2022"/>
      <c r="B98" s="2023" t="s">
        <v>5701</v>
      </c>
      <c r="C98" s="2017"/>
      <c r="D98" s="2024"/>
      <c r="E98" s="2036"/>
      <c r="F98" s="2016" t="s">
        <v>5702</v>
      </c>
      <c r="G98" s="2022" t="s">
        <v>5703</v>
      </c>
      <c r="H98" s="2022" t="s">
        <v>5630</v>
      </c>
      <c r="I98" s="2017"/>
      <c r="J98" s="2024" t="s">
        <v>5631</v>
      </c>
    </row>
    <row r="99" spans="1:10">
      <c r="A99" s="2022"/>
      <c r="B99" s="2023" t="s">
        <v>5704</v>
      </c>
      <c r="C99" s="2017"/>
      <c r="D99" s="2024"/>
      <c r="E99" s="2035">
        <v>22000</v>
      </c>
      <c r="F99" s="2016" t="s">
        <v>5705</v>
      </c>
      <c r="G99" s="2022"/>
      <c r="H99" s="2022"/>
      <c r="I99" s="2017"/>
      <c r="J99" s="2024"/>
    </row>
    <row r="100" spans="1:10">
      <c r="A100" s="2022"/>
      <c r="B100" s="2023" t="s">
        <v>5706</v>
      </c>
      <c r="C100" s="2017"/>
      <c r="D100" s="2024"/>
      <c r="E100" s="2035">
        <v>200000</v>
      </c>
      <c r="F100" s="2022" t="s">
        <v>5707</v>
      </c>
      <c r="G100" s="2022" t="s">
        <v>5708</v>
      </c>
      <c r="H100" s="2022" t="s">
        <v>5630</v>
      </c>
      <c r="I100" s="2017"/>
      <c r="J100" s="2024" t="s">
        <v>5631</v>
      </c>
    </row>
    <row r="101" spans="1:10">
      <c r="A101" s="2022"/>
      <c r="B101" s="2023"/>
      <c r="C101" s="2017"/>
      <c r="D101" s="2024"/>
      <c r="E101" s="2035"/>
      <c r="F101" s="2022" t="s">
        <v>5709</v>
      </c>
      <c r="G101" s="2022"/>
      <c r="H101" s="2022"/>
      <c r="I101" s="2017"/>
      <c r="J101" s="2024"/>
    </row>
    <row r="102" spans="1:10">
      <c r="A102" s="2022"/>
      <c r="B102" s="2023"/>
      <c r="C102" s="2017"/>
      <c r="D102" s="2024"/>
      <c r="E102" s="2022"/>
      <c r="G102" s="2022"/>
      <c r="H102" s="2022"/>
      <c r="I102" s="2017"/>
      <c r="J102" s="2024"/>
    </row>
    <row r="103" spans="1:10">
      <c r="A103" s="2022">
        <v>795</v>
      </c>
      <c r="B103" s="2023" t="s">
        <v>5710</v>
      </c>
      <c r="C103" s="2017"/>
      <c r="D103" s="2024"/>
      <c r="E103" s="2033">
        <v>320000</v>
      </c>
      <c r="F103" s="2022" t="s">
        <v>5711</v>
      </c>
      <c r="G103" s="2022" t="s">
        <v>5712</v>
      </c>
      <c r="H103" s="2022" t="s">
        <v>5713</v>
      </c>
      <c r="I103" s="2017"/>
      <c r="J103" s="2024" t="s">
        <v>5631</v>
      </c>
    </row>
    <row r="104" spans="1:10">
      <c r="A104" s="2022"/>
      <c r="B104" s="2023"/>
      <c r="C104" s="2017"/>
      <c r="D104" s="2024"/>
      <c r="E104" s="2033"/>
      <c r="F104" s="2022" t="s">
        <v>5714</v>
      </c>
      <c r="G104" s="2022"/>
      <c r="H104" s="2022"/>
      <c r="I104" s="2017"/>
      <c r="J104" s="2024"/>
    </row>
    <row r="105" spans="1:10">
      <c r="A105" s="2022"/>
      <c r="B105" s="2023"/>
      <c r="C105" s="2017"/>
      <c r="D105" s="2024"/>
      <c r="E105" s="2033"/>
      <c r="F105" s="2022" t="s">
        <v>5715</v>
      </c>
      <c r="G105" s="2022"/>
      <c r="H105" s="2022"/>
      <c r="I105" s="2017"/>
      <c r="J105" s="2024"/>
    </row>
    <row r="106" spans="1:10">
      <c r="A106" s="2022">
        <v>211</v>
      </c>
      <c r="B106" s="2023" t="s">
        <v>5716</v>
      </c>
      <c r="C106" s="2017"/>
      <c r="D106" s="2024"/>
      <c r="E106" s="2022"/>
      <c r="F106" s="2022"/>
      <c r="G106" s="2022"/>
      <c r="H106" s="2022"/>
      <c r="I106" s="2017"/>
      <c r="J106" s="2024"/>
    </row>
    <row r="107" spans="1:10">
      <c r="A107" s="2022"/>
      <c r="B107" s="2017" t="s">
        <v>5717</v>
      </c>
      <c r="C107" s="2017"/>
      <c r="D107" s="2024"/>
      <c r="E107" s="2033">
        <v>300000</v>
      </c>
      <c r="F107" s="2022" t="s">
        <v>5718</v>
      </c>
      <c r="G107" s="2022" t="s">
        <v>5719</v>
      </c>
      <c r="H107" s="2022"/>
      <c r="I107" s="2017"/>
      <c r="J107" s="2024"/>
    </row>
    <row r="108" spans="1:10">
      <c r="A108" s="2022"/>
      <c r="B108" s="2017"/>
      <c r="C108" s="2017"/>
      <c r="D108" s="2024"/>
      <c r="E108" s="2022"/>
      <c r="F108" s="2022" t="s">
        <v>5720</v>
      </c>
      <c r="G108" s="2022" t="s">
        <v>5721</v>
      </c>
      <c r="H108" s="2022" t="s">
        <v>5630</v>
      </c>
      <c r="I108" s="2017"/>
      <c r="J108" s="2024" t="s">
        <v>5631</v>
      </c>
    </row>
    <row r="109" spans="1:10">
      <c r="A109" s="2062"/>
      <c r="B109" s="2023"/>
      <c r="C109" s="2017"/>
      <c r="D109" s="2024"/>
      <c r="E109" s="2022"/>
      <c r="F109" s="2022"/>
      <c r="G109" s="2022" t="s">
        <v>5722</v>
      </c>
      <c r="H109" s="2022"/>
      <c r="I109" s="2017"/>
      <c r="J109" s="2024"/>
    </row>
    <row r="110" spans="1:10">
      <c r="A110" s="2062">
        <v>222</v>
      </c>
      <c r="B110" s="2023" t="s">
        <v>5723</v>
      </c>
      <c r="C110" s="2017"/>
      <c r="D110" s="2024"/>
      <c r="E110" s="2033">
        <v>200000</v>
      </c>
      <c r="F110" s="2022"/>
      <c r="G110" s="2022"/>
      <c r="H110" s="2022"/>
      <c r="I110" s="2017"/>
      <c r="J110" s="2024"/>
    </row>
    <row r="111" spans="1:10">
      <c r="A111" s="2062"/>
      <c r="B111" s="2023" t="s">
        <v>5724</v>
      </c>
      <c r="C111" s="2017"/>
      <c r="D111" s="2024"/>
      <c r="E111" s="2033"/>
      <c r="F111" s="2022" t="s">
        <v>5725</v>
      </c>
      <c r="G111" s="2022" t="s">
        <v>5726</v>
      </c>
      <c r="H111" s="2022" t="s">
        <v>5727</v>
      </c>
      <c r="I111" s="2017"/>
      <c r="J111" s="2024" t="s">
        <v>5728</v>
      </c>
    </row>
    <row r="112" spans="1:10">
      <c r="A112" s="2062"/>
      <c r="B112" s="2023"/>
      <c r="C112" s="2017"/>
      <c r="D112" s="2024"/>
      <c r="E112" s="2022"/>
      <c r="F112" s="2022" t="s">
        <v>5729</v>
      </c>
      <c r="G112" s="2022" t="s">
        <v>5730</v>
      </c>
      <c r="H112" s="2022"/>
      <c r="I112" s="2017"/>
      <c r="J112" s="2024"/>
    </row>
    <row r="113" spans="1:10">
      <c r="A113" s="2062"/>
      <c r="B113" s="2023"/>
      <c r="C113" s="2017"/>
      <c r="D113" s="2024"/>
      <c r="E113" s="2022"/>
      <c r="F113" s="2022" t="s">
        <v>5731</v>
      </c>
      <c r="G113" s="2022" t="s">
        <v>5732</v>
      </c>
      <c r="H113" s="2022"/>
      <c r="I113" s="2017"/>
      <c r="J113" s="2024"/>
    </row>
    <row r="114" spans="1:10">
      <c r="A114" s="2062"/>
      <c r="B114" s="2023"/>
      <c r="C114" s="2017"/>
      <c r="D114" s="2024"/>
      <c r="E114" s="2022"/>
      <c r="F114" s="2022" t="s">
        <v>5733</v>
      </c>
      <c r="G114" s="2022" t="s">
        <v>5734</v>
      </c>
      <c r="H114" s="2022"/>
      <c r="I114" s="2017"/>
      <c r="J114" s="2024"/>
    </row>
    <row r="115" spans="1:10">
      <c r="A115" s="2027"/>
      <c r="B115" s="2027"/>
      <c r="C115" s="2028"/>
      <c r="D115" s="2029"/>
      <c r="E115" s="2028"/>
      <c r="F115" s="2037"/>
      <c r="G115" s="2037" t="s">
        <v>5735</v>
      </c>
      <c r="H115" s="2037"/>
      <c r="I115" s="2038"/>
      <c r="J115" s="2039"/>
    </row>
    <row r="116" spans="1:10">
      <c r="A116" s="2040"/>
      <c r="B116" s="2041"/>
      <c r="C116" s="2042" t="s">
        <v>458</v>
      </c>
      <c r="D116" s="2043"/>
      <c r="E116" s="2044">
        <f>E42+E46+E50+E55+E69+E70+E71+E72+E73+E74+E75+E77+E83+E86+E92+E103+E107+E110</f>
        <v>4142000</v>
      </c>
      <c r="F116" s="2040"/>
      <c r="G116" s="2040"/>
      <c r="H116" s="2040"/>
      <c r="J116" s="2040"/>
    </row>
    <row r="120" spans="1:10">
      <c r="E120" s="2014"/>
    </row>
  </sheetData>
  <mergeCells count="13">
    <mergeCell ref="A14:J14"/>
    <mergeCell ref="A15:J15"/>
    <mergeCell ref="A20:J20"/>
    <mergeCell ref="A18:J18"/>
    <mergeCell ref="A16:J16"/>
    <mergeCell ref="A17:J17"/>
    <mergeCell ref="A19:J19"/>
    <mergeCell ref="A13:J13"/>
    <mergeCell ref="A8:J8"/>
    <mergeCell ref="A9:J9"/>
    <mergeCell ref="A10:J10"/>
    <mergeCell ref="A11:J11"/>
    <mergeCell ref="A12:J12"/>
  </mergeCells>
  <pageMargins left="0.5" right="0.25" top="0.75" bottom="0.5" header="0.3" footer="0.25"/>
  <pageSetup paperSize="119" scale="90" orientation="portrait" r:id="rId1"/>
</worksheet>
</file>

<file path=xl/worksheets/sheet114.xml><?xml version="1.0" encoding="utf-8"?>
<worksheet xmlns="http://schemas.openxmlformats.org/spreadsheetml/2006/main" xmlns:r="http://schemas.openxmlformats.org/officeDocument/2006/relationships">
  <sheetPr codeName="Sheet79">
    <tabColor theme="8" tint="-0.249977111117893"/>
  </sheetPr>
  <dimension ref="A1:L108"/>
  <sheetViews>
    <sheetView showGridLines="0" topLeftCell="B90" zoomScale="110" zoomScaleNormal="110" workbookViewId="0">
      <selection activeCell="J90" sqref="J1:P1048576"/>
    </sheetView>
  </sheetViews>
  <sheetFormatPr defaultRowHeight="15" customHeight="1"/>
  <cols>
    <col min="1" max="1" width="3.88671875" style="7275" customWidth="1"/>
    <col min="2" max="2" width="55.5546875" style="7275" customWidth="1"/>
    <col min="3" max="3" width="12.5546875" style="9345" customWidth="1"/>
    <col min="4" max="7" width="15.5546875" style="7347" customWidth="1"/>
    <col min="8" max="8" width="15" style="7347" hidden="1" customWidth="1"/>
    <col min="9" max="9" width="8.5546875" style="8897" hidden="1" customWidth="1"/>
    <col min="10" max="10" width="15.5546875" style="7347" customWidth="1"/>
    <col min="11" max="11" width="17.6640625" style="7275" customWidth="1"/>
    <col min="12" max="12" width="6.88671875" style="7346" customWidth="1"/>
    <col min="13" max="15" width="8.88671875" style="7275" customWidth="1"/>
    <col min="16" max="218" width="9.109375" style="7275"/>
    <col min="219" max="219" width="3.88671875" style="7275" customWidth="1"/>
    <col min="220" max="220" width="38.109375" style="7275" customWidth="1"/>
    <col min="221" max="221" width="10.44140625" style="7275" customWidth="1"/>
    <col min="222" max="222" width="16.109375" style="7275" customWidth="1"/>
    <col min="223" max="223" width="16.44140625" style="7275" customWidth="1"/>
    <col min="224" max="224" width="15.44140625" style="7275" customWidth="1"/>
    <col min="225" max="474" width="9.109375" style="7275"/>
    <col min="475" max="475" width="3.88671875" style="7275" customWidth="1"/>
    <col min="476" max="476" width="38.109375" style="7275" customWidth="1"/>
    <col min="477" max="477" width="10.44140625" style="7275" customWidth="1"/>
    <col min="478" max="478" width="16.109375" style="7275" customWidth="1"/>
    <col min="479" max="479" width="16.44140625" style="7275" customWidth="1"/>
    <col min="480" max="480" width="15.44140625" style="7275" customWidth="1"/>
    <col min="481" max="730" width="9.109375" style="7275"/>
    <col min="731" max="731" width="3.88671875" style="7275" customWidth="1"/>
    <col min="732" max="732" width="38.109375" style="7275" customWidth="1"/>
    <col min="733" max="733" width="10.44140625" style="7275" customWidth="1"/>
    <col min="734" max="734" width="16.109375" style="7275" customWidth="1"/>
    <col min="735" max="735" width="16.44140625" style="7275" customWidth="1"/>
    <col min="736" max="736" width="15.44140625" style="7275" customWidth="1"/>
    <col min="737" max="986" width="9.109375" style="7275"/>
    <col min="987" max="987" width="3.88671875" style="7275" customWidth="1"/>
    <col min="988" max="988" width="38.109375" style="7275" customWidth="1"/>
    <col min="989" max="989" width="10.44140625" style="7275" customWidth="1"/>
    <col min="990" max="990" width="16.109375" style="7275" customWidth="1"/>
    <col min="991" max="991" width="16.44140625" style="7275" customWidth="1"/>
    <col min="992" max="992" width="15.44140625" style="7275" customWidth="1"/>
    <col min="993" max="1242" width="9.109375" style="7275"/>
    <col min="1243" max="1243" width="3.88671875" style="7275" customWidth="1"/>
    <col min="1244" max="1244" width="38.109375" style="7275" customWidth="1"/>
    <col min="1245" max="1245" width="10.44140625" style="7275" customWidth="1"/>
    <col min="1246" max="1246" width="16.109375" style="7275" customWidth="1"/>
    <col min="1247" max="1247" width="16.44140625" style="7275" customWidth="1"/>
    <col min="1248" max="1248" width="15.44140625" style="7275" customWidth="1"/>
    <col min="1249" max="1498" width="9.109375" style="7275"/>
    <col min="1499" max="1499" width="3.88671875" style="7275" customWidth="1"/>
    <col min="1500" max="1500" width="38.109375" style="7275" customWidth="1"/>
    <col min="1501" max="1501" width="10.44140625" style="7275" customWidth="1"/>
    <col min="1502" max="1502" width="16.109375" style="7275" customWidth="1"/>
    <col min="1503" max="1503" width="16.44140625" style="7275" customWidth="1"/>
    <col min="1504" max="1504" width="15.44140625" style="7275" customWidth="1"/>
    <col min="1505" max="1754" width="9.109375" style="7275"/>
    <col min="1755" max="1755" width="3.88671875" style="7275" customWidth="1"/>
    <col min="1756" max="1756" width="38.109375" style="7275" customWidth="1"/>
    <col min="1757" max="1757" width="10.44140625" style="7275" customWidth="1"/>
    <col min="1758" max="1758" width="16.109375" style="7275" customWidth="1"/>
    <col min="1759" max="1759" width="16.44140625" style="7275" customWidth="1"/>
    <col min="1760" max="1760" width="15.44140625" style="7275" customWidth="1"/>
    <col min="1761" max="2010" width="9.109375" style="7275"/>
    <col min="2011" max="2011" width="3.88671875" style="7275" customWidth="1"/>
    <col min="2012" max="2012" width="38.109375" style="7275" customWidth="1"/>
    <col min="2013" max="2013" width="10.44140625" style="7275" customWidth="1"/>
    <col min="2014" max="2014" width="16.109375" style="7275" customWidth="1"/>
    <col min="2015" max="2015" width="16.44140625" style="7275" customWidth="1"/>
    <col min="2016" max="2016" width="15.44140625" style="7275" customWidth="1"/>
    <col min="2017" max="2266" width="9.109375" style="7275"/>
    <col min="2267" max="2267" width="3.88671875" style="7275" customWidth="1"/>
    <col min="2268" max="2268" width="38.109375" style="7275" customWidth="1"/>
    <col min="2269" max="2269" width="10.44140625" style="7275" customWidth="1"/>
    <col min="2270" max="2270" width="16.109375" style="7275" customWidth="1"/>
    <col min="2271" max="2271" width="16.44140625" style="7275" customWidth="1"/>
    <col min="2272" max="2272" width="15.44140625" style="7275" customWidth="1"/>
    <col min="2273" max="2522" width="9.109375" style="7275"/>
    <col min="2523" max="2523" width="3.88671875" style="7275" customWidth="1"/>
    <col min="2524" max="2524" width="38.109375" style="7275" customWidth="1"/>
    <col min="2525" max="2525" width="10.44140625" style="7275" customWidth="1"/>
    <col min="2526" max="2526" width="16.109375" style="7275" customWidth="1"/>
    <col min="2527" max="2527" width="16.44140625" style="7275" customWidth="1"/>
    <col min="2528" max="2528" width="15.44140625" style="7275" customWidth="1"/>
    <col min="2529" max="2778" width="9.109375" style="7275"/>
    <col min="2779" max="2779" width="3.88671875" style="7275" customWidth="1"/>
    <col min="2780" max="2780" width="38.109375" style="7275" customWidth="1"/>
    <col min="2781" max="2781" width="10.44140625" style="7275" customWidth="1"/>
    <col min="2782" max="2782" width="16.109375" style="7275" customWidth="1"/>
    <col min="2783" max="2783" width="16.44140625" style="7275" customWidth="1"/>
    <col min="2784" max="2784" width="15.44140625" style="7275" customWidth="1"/>
    <col min="2785" max="3034" width="9.109375" style="7275"/>
    <col min="3035" max="3035" width="3.88671875" style="7275" customWidth="1"/>
    <col min="3036" max="3036" width="38.109375" style="7275" customWidth="1"/>
    <col min="3037" max="3037" width="10.44140625" style="7275" customWidth="1"/>
    <col min="3038" max="3038" width="16.109375" style="7275" customWidth="1"/>
    <col min="3039" max="3039" width="16.44140625" style="7275" customWidth="1"/>
    <col min="3040" max="3040" width="15.44140625" style="7275" customWidth="1"/>
    <col min="3041" max="3290" width="9.109375" style="7275"/>
    <col min="3291" max="3291" width="3.88671875" style="7275" customWidth="1"/>
    <col min="3292" max="3292" width="38.109375" style="7275" customWidth="1"/>
    <col min="3293" max="3293" width="10.44140625" style="7275" customWidth="1"/>
    <col min="3294" max="3294" width="16.109375" style="7275" customWidth="1"/>
    <col min="3295" max="3295" width="16.44140625" style="7275" customWidth="1"/>
    <col min="3296" max="3296" width="15.44140625" style="7275" customWidth="1"/>
    <col min="3297" max="3546" width="9.109375" style="7275"/>
    <col min="3547" max="3547" width="3.88671875" style="7275" customWidth="1"/>
    <col min="3548" max="3548" width="38.109375" style="7275" customWidth="1"/>
    <col min="3549" max="3549" width="10.44140625" style="7275" customWidth="1"/>
    <col min="3550" max="3550" width="16.109375" style="7275" customWidth="1"/>
    <col min="3551" max="3551" width="16.44140625" style="7275" customWidth="1"/>
    <col min="3552" max="3552" width="15.44140625" style="7275" customWidth="1"/>
    <col min="3553" max="3802" width="9.109375" style="7275"/>
    <col min="3803" max="3803" width="3.88671875" style="7275" customWidth="1"/>
    <col min="3804" max="3804" width="38.109375" style="7275" customWidth="1"/>
    <col min="3805" max="3805" width="10.44140625" style="7275" customWidth="1"/>
    <col min="3806" max="3806" width="16.109375" style="7275" customWidth="1"/>
    <col min="3807" max="3807" width="16.44140625" style="7275" customWidth="1"/>
    <col min="3808" max="3808" width="15.44140625" style="7275" customWidth="1"/>
    <col min="3809" max="4058" width="9.109375" style="7275"/>
    <col min="4059" max="4059" width="3.88671875" style="7275" customWidth="1"/>
    <col min="4060" max="4060" width="38.109375" style="7275" customWidth="1"/>
    <col min="4061" max="4061" width="10.44140625" style="7275" customWidth="1"/>
    <col min="4062" max="4062" width="16.109375" style="7275" customWidth="1"/>
    <col min="4063" max="4063" width="16.44140625" style="7275" customWidth="1"/>
    <col min="4064" max="4064" width="15.44140625" style="7275" customWidth="1"/>
    <col min="4065" max="4314" width="9.109375" style="7275"/>
    <col min="4315" max="4315" width="3.88671875" style="7275" customWidth="1"/>
    <col min="4316" max="4316" width="38.109375" style="7275" customWidth="1"/>
    <col min="4317" max="4317" width="10.44140625" style="7275" customWidth="1"/>
    <col min="4318" max="4318" width="16.109375" style="7275" customWidth="1"/>
    <col min="4319" max="4319" width="16.44140625" style="7275" customWidth="1"/>
    <col min="4320" max="4320" width="15.44140625" style="7275" customWidth="1"/>
    <col min="4321" max="4570" width="9.109375" style="7275"/>
    <col min="4571" max="4571" width="3.88671875" style="7275" customWidth="1"/>
    <col min="4572" max="4572" width="38.109375" style="7275" customWidth="1"/>
    <col min="4573" max="4573" width="10.44140625" style="7275" customWidth="1"/>
    <col min="4574" max="4574" width="16.109375" style="7275" customWidth="1"/>
    <col min="4575" max="4575" width="16.44140625" style="7275" customWidth="1"/>
    <col min="4576" max="4576" width="15.44140625" style="7275" customWidth="1"/>
    <col min="4577" max="4826" width="9.109375" style="7275"/>
    <col min="4827" max="4827" width="3.88671875" style="7275" customWidth="1"/>
    <col min="4828" max="4828" width="38.109375" style="7275" customWidth="1"/>
    <col min="4829" max="4829" width="10.44140625" style="7275" customWidth="1"/>
    <col min="4830" max="4830" width="16.109375" style="7275" customWidth="1"/>
    <col min="4831" max="4831" width="16.44140625" style="7275" customWidth="1"/>
    <col min="4832" max="4832" width="15.44140625" style="7275" customWidth="1"/>
    <col min="4833" max="5082" width="9.109375" style="7275"/>
    <col min="5083" max="5083" width="3.88671875" style="7275" customWidth="1"/>
    <col min="5084" max="5084" width="38.109375" style="7275" customWidth="1"/>
    <col min="5085" max="5085" width="10.44140625" style="7275" customWidth="1"/>
    <col min="5086" max="5086" width="16.109375" style="7275" customWidth="1"/>
    <col min="5087" max="5087" width="16.44140625" style="7275" customWidth="1"/>
    <col min="5088" max="5088" width="15.44140625" style="7275" customWidth="1"/>
    <col min="5089" max="5338" width="9.109375" style="7275"/>
    <col min="5339" max="5339" width="3.88671875" style="7275" customWidth="1"/>
    <col min="5340" max="5340" width="38.109375" style="7275" customWidth="1"/>
    <col min="5341" max="5341" width="10.44140625" style="7275" customWidth="1"/>
    <col min="5342" max="5342" width="16.109375" style="7275" customWidth="1"/>
    <col min="5343" max="5343" width="16.44140625" style="7275" customWidth="1"/>
    <col min="5344" max="5344" width="15.44140625" style="7275" customWidth="1"/>
    <col min="5345" max="5594" width="9.109375" style="7275"/>
    <col min="5595" max="5595" width="3.88671875" style="7275" customWidth="1"/>
    <col min="5596" max="5596" width="38.109375" style="7275" customWidth="1"/>
    <col min="5597" max="5597" width="10.44140625" style="7275" customWidth="1"/>
    <col min="5598" max="5598" width="16.109375" style="7275" customWidth="1"/>
    <col min="5599" max="5599" width="16.44140625" style="7275" customWidth="1"/>
    <col min="5600" max="5600" width="15.44140625" style="7275" customWidth="1"/>
    <col min="5601" max="5850" width="9.109375" style="7275"/>
    <col min="5851" max="5851" width="3.88671875" style="7275" customWidth="1"/>
    <col min="5852" max="5852" width="38.109375" style="7275" customWidth="1"/>
    <col min="5853" max="5853" width="10.44140625" style="7275" customWidth="1"/>
    <col min="5854" max="5854" width="16.109375" style="7275" customWidth="1"/>
    <col min="5855" max="5855" width="16.44140625" style="7275" customWidth="1"/>
    <col min="5856" max="5856" width="15.44140625" style="7275" customWidth="1"/>
    <col min="5857" max="6106" width="9.109375" style="7275"/>
    <col min="6107" max="6107" width="3.88671875" style="7275" customWidth="1"/>
    <col min="6108" max="6108" width="38.109375" style="7275" customWidth="1"/>
    <col min="6109" max="6109" width="10.44140625" style="7275" customWidth="1"/>
    <col min="6110" max="6110" width="16.109375" style="7275" customWidth="1"/>
    <col min="6111" max="6111" width="16.44140625" style="7275" customWidth="1"/>
    <col min="6112" max="6112" width="15.44140625" style="7275" customWidth="1"/>
    <col min="6113" max="6362" width="9.109375" style="7275"/>
    <col min="6363" max="6363" width="3.88671875" style="7275" customWidth="1"/>
    <col min="6364" max="6364" width="38.109375" style="7275" customWidth="1"/>
    <col min="6365" max="6365" width="10.44140625" style="7275" customWidth="1"/>
    <col min="6366" max="6366" width="16.109375" style="7275" customWidth="1"/>
    <col min="6367" max="6367" width="16.44140625" style="7275" customWidth="1"/>
    <col min="6368" max="6368" width="15.44140625" style="7275" customWidth="1"/>
    <col min="6369" max="6618" width="9.109375" style="7275"/>
    <col min="6619" max="6619" width="3.88671875" style="7275" customWidth="1"/>
    <col min="6620" max="6620" width="38.109375" style="7275" customWidth="1"/>
    <col min="6621" max="6621" width="10.44140625" style="7275" customWidth="1"/>
    <col min="6622" max="6622" width="16.109375" style="7275" customWidth="1"/>
    <col min="6623" max="6623" width="16.44140625" style="7275" customWidth="1"/>
    <col min="6624" max="6624" width="15.44140625" style="7275" customWidth="1"/>
    <col min="6625" max="6874" width="9.109375" style="7275"/>
    <col min="6875" max="6875" width="3.88671875" style="7275" customWidth="1"/>
    <col min="6876" max="6876" width="38.109375" style="7275" customWidth="1"/>
    <col min="6877" max="6877" width="10.44140625" style="7275" customWidth="1"/>
    <col min="6878" max="6878" width="16.109375" style="7275" customWidth="1"/>
    <col min="6879" max="6879" width="16.44140625" style="7275" customWidth="1"/>
    <col min="6880" max="6880" width="15.44140625" style="7275" customWidth="1"/>
    <col min="6881" max="7130" width="9.109375" style="7275"/>
    <col min="7131" max="7131" width="3.88671875" style="7275" customWidth="1"/>
    <col min="7132" max="7132" width="38.109375" style="7275" customWidth="1"/>
    <col min="7133" max="7133" width="10.44140625" style="7275" customWidth="1"/>
    <col min="7134" max="7134" width="16.109375" style="7275" customWidth="1"/>
    <col min="7135" max="7135" width="16.44140625" style="7275" customWidth="1"/>
    <col min="7136" max="7136" width="15.44140625" style="7275" customWidth="1"/>
    <col min="7137" max="7386" width="9.109375" style="7275"/>
    <col min="7387" max="7387" width="3.88671875" style="7275" customWidth="1"/>
    <col min="7388" max="7388" width="38.109375" style="7275" customWidth="1"/>
    <col min="7389" max="7389" width="10.44140625" style="7275" customWidth="1"/>
    <col min="7390" max="7390" width="16.109375" style="7275" customWidth="1"/>
    <col min="7391" max="7391" width="16.44140625" style="7275" customWidth="1"/>
    <col min="7392" max="7392" width="15.44140625" style="7275" customWidth="1"/>
    <col min="7393" max="7642" width="9.109375" style="7275"/>
    <col min="7643" max="7643" width="3.88671875" style="7275" customWidth="1"/>
    <col min="7644" max="7644" width="38.109375" style="7275" customWidth="1"/>
    <col min="7645" max="7645" width="10.44140625" style="7275" customWidth="1"/>
    <col min="7646" max="7646" width="16.109375" style="7275" customWidth="1"/>
    <col min="7647" max="7647" width="16.44140625" style="7275" customWidth="1"/>
    <col min="7648" max="7648" width="15.44140625" style="7275" customWidth="1"/>
    <col min="7649" max="7898" width="9.109375" style="7275"/>
    <col min="7899" max="7899" width="3.88671875" style="7275" customWidth="1"/>
    <col min="7900" max="7900" width="38.109375" style="7275" customWidth="1"/>
    <col min="7901" max="7901" width="10.44140625" style="7275" customWidth="1"/>
    <col min="7902" max="7902" width="16.109375" style="7275" customWidth="1"/>
    <col min="7903" max="7903" width="16.44140625" style="7275" customWidth="1"/>
    <col min="7904" max="7904" width="15.44140625" style="7275" customWidth="1"/>
    <col min="7905" max="8154" width="9.109375" style="7275"/>
    <col min="8155" max="8155" width="3.88671875" style="7275" customWidth="1"/>
    <col min="8156" max="8156" width="38.109375" style="7275" customWidth="1"/>
    <col min="8157" max="8157" width="10.44140625" style="7275" customWidth="1"/>
    <col min="8158" max="8158" width="16.109375" style="7275" customWidth="1"/>
    <col min="8159" max="8159" width="16.44140625" style="7275" customWidth="1"/>
    <col min="8160" max="8160" width="15.44140625" style="7275" customWidth="1"/>
    <col min="8161" max="8410" width="9.109375" style="7275"/>
    <col min="8411" max="8411" width="3.88671875" style="7275" customWidth="1"/>
    <col min="8412" max="8412" width="38.109375" style="7275" customWidth="1"/>
    <col min="8413" max="8413" width="10.44140625" style="7275" customWidth="1"/>
    <col min="8414" max="8414" width="16.109375" style="7275" customWidth="1"/>
    <col min="8415" max="8415" width="16.44140625" style="7275" customWidth="1"/>
    <col min="8416" max="8416" width="15.44140625" style="7275" customWidth="1"/>
    <col min="8417" max="8666" width="9.109375" style="7275"/>
    <col min="8667" max="8667" width="3.88671875" style="7275" customWidth="1"/>
    <col min="8668" max="8668" width="38.109375" style="7275" customWidth="1"/>
    <col min="8669" max="8669" width="10.44140625" style="7275" customWidth="1"/>
    <col min="8670" max="8670" width="16.109375" style="7275" customWidth="1"/>
    <col min="8671" max="8671" width="16.44140625" style="7275" customWidth="1"/>
    <col min="8672" max="8672" width="15.44140625" style="7275" customWidth="1"/>
    <col min="8673" max="8922" width="9.109375" style="7275"/>
    <col min="8923" max="8923" width="3.88671875" style="7275" customWidth="1"/>
    <col min="8924" max="8924" width="38.109375" style="7275" customWidth="1"/>
    <col min="8925" max="8925" width="10.44140625" style="7275" customWidth="1"/>
    <col min="8926" max="8926" width="16.109375" style="7275" customWidth="1"/>
    <col min="8927" max="8927" width="16.44140625" style="7275" customWidth="1"/>
    <col min="8928" max="8928" width="15.44140625" style="7275" customWidth="1"/>
    <col min="8929" max="9178" width="9.109375" style="7275"/>
    <col min="9179" max="9179" width="3.88671875" style="7275" customWidth="1"/>
    <col min="9180" max="9180" width="38.109375" style="7275" customWidth="1"/>
    <col min="9181" max="9181" width="10.44140625" style="7275" customWidth="1"/>
    <col min="9182" max="9182" width="16.109375" style="7275" customWidth="1"/>
    <col min="9183" max="9183" width="16.44140625" style="7275" customWidth="1"/>
    <col min="9184" max="9184" width="15.44140625" style="7275" customWidth="1"/>
    <col min="9185" max="9434" width="9.109375" style="7275"/>
    <col min="9435" max="9435" width="3.88671875" style="7275" customWidth="1"/>
    <col min="9436" max="9436" width="38.109375" style="7275" customWidth="1"/>
    <col min="9437" max="9437" width="10.44140625" style="7275" customWidth="1"/>
    <col min="9438" max="9438" width="16.109375" style="7275" customWidth="1"/>
    <col min="9439" max="9439" width="16.44140625" style="7275" customWidth="1"/>
    <col min="9440" max="9440" width="15.44140625" style="7275" customWidth="1"/>
    <col min="9441" max="9690" width="9.109375" style="7275"/>
    <col min="9691" max="9691" width="3.88671875" style="7275" customWidth="1"/>
    <col min="9692" max="9692" width="38.109375" style="7275" customWidth="1"/>
    <col min="9693" max="9693" width="10.44140625" style="7275" customWidth="1"/>
    <col min="9694" max="9694" width="16.109375" style="7275" customWidth="1"/>
    <col min="9695" max="9695" width="16.44140625" style="7275" customWidth="1"/>
    <col min="9696" max="9696" width="15.44140625" style="7275" customWidth="1"/>
    <col min="9697" max="9946" width="9.109375" style="7275"/>
    <col min="9947" max="9947" width="3.88671875" style="7275" customWidth="1"/>
    <col min="9948" max="9948" width="38.109375" style="7275" customWidth="1"/>
    <col min="9949" max="9949" width="10.44140625" style="7275" customWidth="1"/>
    <col min="9950" max="9950" width="16.109375" style="7275" customWidth="1"/>
    <col min="9951" max="9951" width="16.44140625" style="7275" customWidth="1"/>
    <col min="9952" max="9952" width="15.44140625" style="7275" customWidth="1"/>
    <col min="9953" max="10202" width="9.109375" style="7275"/>
    <col min="10203" max="10203" width="3.88671875" style="7275" customWidth="1"/>
    <col min="10204" max="10204" width="38.109375" style="7275" customWidth="1"/>
    <col min="10205" max="10205" width="10.44140625" style="7275" customWidth="1"/>
    <col min="10206" max="10206" width="16.109375" style="7275" customWidth="1"/>
    <col min="10207" max="10207" width="16.44140625" style="7275" customWidth="1"/>
    <col min="10208" max="10208" width="15.44140625" style="7275" customWidth="1"/>
    <col min="10209" max="10458" width="9.109375" style="7275"/>
    <col min="10459" max="10459" width="3.88671875" style="7275" customWidth="1"/>
    <col min="10460" max="10460" width="38.109375" style="7275" customWidth="1"/>
    <col min="10461" max="10461" width="10.44140625" style="7275" customWidth="1"/>
    <col min="10462" max="10462" width="16.109375" style="7275" customWidth="1"/>
    <col min="10463" max="10463" width="16.44140625" style="7275" customWidth="1"/>
    <col min="10464" max="10464" width="15.44140625" style="7275" customWidth="1"/>
    <col min="10465" max="10714" width="9.109375" style="7275"/>
    <col min="10715" max="10715" width="3.88671875" style="7275" customWidth="1"/>
    <col min="10716" max="10716" width="38.109375" style="7275" customWidth="1"/>
    <col min="10717" max="10717" width="10.44140625" style="7275" customWidth="1"/>
    <col min="10718" max="10718" width="16.109375" style="7275" customWidth="1"/>
    <col min="10719" max="10719" width="16.44140625" style="7275" customWidth="1"/>
    <col min="10720" max="10720" width="15.44140625" style="7275" customWidth="1"/>
    <col min="10721" max="10970" width="9.109375" style="7275"/>
    <col min="10971" max="10971" width="3.88671875" style="7275" customWidth="1"/>
    <col min="10972" max="10972" width="38.109375" style="7275" customWidth="1"/>
    <col min="10973" max="10973" width="10.44140625" style="7275" customWidth="1"/>
    <col min="10974" max="10974" width="16.109375" style="7275" customWidth="1"/>
    <col min="10975" max="10975" width="16.44140625" style="7275" customWidth="1"/>
    <col min="10976" max="10976" width="15.44140625" style="7275" customWidth="1"/>
    <col min="10977" max="11226" width="9.109375" style="7275"/>
    <col min="11227" max="11227" width="3.88671875" style="7275" customWidth="1"/>
    <col min="11228" max="11228" width="38.109375" style="7275" customWidth="1"/>
    <col min="11229" max="11229" width="10.44140625" style="7275" customWidth="1"/>
    <col min="11230" max="11230" width="16.109375" style="7275" customWidth="1"/>
    <col min="11231" max="11231" width="16.44140625" style="7275" customWidth="1"/>
    <col min="11232" max="11232" width="15.44140625" style="7275" customWidth="1"/>
    <col min="11233" max="11482" width="9.109375" style="7275"/>
    <col min="11483" max="11483" width="3.88671875" style="7275" customWidth="1"/>
    <col min="11484" max="11484" width="38.109375" style="7275" customWidth="1"/>
    <col min="11485" max="11485" width="10.44140625" style="7275" customWidth="1"/>
    <col min="11486" max="11486" width="16.109375" style="7275" customWidth="1"/>
    <col min="11487" max="11487" width="16.44140625" style="7275" customWidth="1"/>
    <col min="11488" max="11488" width="15.44140625" style="7275" customWidth="1"/>
    <col min="11489" max="11738" width="9.109375" style="7275"/>
    <col min="11739" max="11739" width="3.88671875" style="7275" customWidth="1"/>
    <col min="11740" max="11740" width="38.109375" style="7275" customWidth="1"/>
    <col min="11741" max="11741" width="10.44140625" style="7275" customWidth="1"/>
    <col min="11742" max="11742" width="16.109375" style="7275" customWidth="1"/>
    <col min="11743" max="11743" width="16.44140625" style="7275" customWidth="1"/>
    <col min="11744" max="11744" width="15.44140625" style="7275" customWidth="1"/>
    <col min="11745" max="11994" width="9.109375" style="7275"/>
    <col min="11995" max="11995" width="3.88671875" style="7275" customWidth="1"/>
    <col min="11996" max="11996" width="38.109375" style="7275" customWidth="1"/>
    <col min="11997" max="11997" width="10.44140625" style="7275" customWidth="1"/>
    <col min="11998" max="11998" width="16.109375" style="7275" customWidth="1"/>
    <col min="11999" max="11999" width="16.44140625" style="7275" customWidth="1"/>
    <col min="12000" max="12000" width="15.44140625" style="7275" customWidth="1"/>
    <col min="12001" max="12250" width="9.109375" style="7275"/>
    <col min="12251" max="12251" width="3.88671875" style="7275" customWidth="1"/>
    <col min="12252" max="12252" width="38.109375" style="7275" customWidth="1"/>
    <col min="12253" max="12253" width="10.44140625" style="7275" customWidth="1"/>
    <col min="12254" max="12254" width="16.109375" style="7275" customWidth="1"/>
    <col min="12255" max="12255" width="16.44140625" style="7275" customWidth="1"/>
    <col min="12256" max="12256" width="15.44140625" style="7275" customWidth="1"/>
    <col min="12257" max="12506" width="9.109375" style="7275"/>
    <col min="12507" max="12507" width="3.88671875" style="7275" customWidth="1"/>
    <col min="12508" max="12508" width="38.109375" style="7275" customWidth="1"/>
    <col min="12509" max="12509" width="10.44140625" style="7275" customWidth="1"/>
    <col min="12510" max="12510" width="16.109375" style="7275" customWidth="1"/>
    <col min="12511" max="12511" width="16.44140625" style="7275" customWidth="1"/>
    <col min="12512" max="12512" width="15.44140625" style="7275" customWidth="1"/>
    <col min="12513" max="12762" width="9.109375" style="7275"/>
    <col min="12763" max="12763" width="3.88671875" style="7275" customWidth="1"/>
    <col min="12764" max="12764" width="38.109375" style="7275" customWidth="1"/>
    <col min="12765" max="12765" width="10.44140625" style="7275" customWidth="1"/>
    <col min="12766" max="12766" width="16.109375" style="7275" customWidth="1"/>
    <col min="12767" max="12767" width="16.44140625" style="7275" customWidth="1"/>
    <col min="12768" max="12768" width="15.44140625" style="7275" customWidth="1"/>
    <col min="12769" max="13018" width="9.109375" style="7275"/>
    <col min="13019" max="13019" width="3.88671875" style="7275" customWidth="1"/>
    <col min="13020" max="13020" width="38.109375" style="7275" customWidth="1"/>
    <col min="13021" max="13021" width="10.44140625" style="7275" customWidth="1"/>
    <col min="13022" max="13022" width="16.109375" style="7275" customWidth="1"/>
    <col min="13023" max="13023" width="16.44140625" style="7275" customWidth="1"/>
    <col min="13024" max="13024" width="15.44140625" style="7275" customWidth="1"/>
    <col min="13025" max="13274" width="9.109375" style="7275"/>
    <col min="13275" max="13275" width="3.88671875" style="7275" customWidth="1"/>
    <col min="13276" max="13276" width="38.109375" style="7275" customWidth="1"/>
    <col min="13277" max="13277" width="10.44140625" style="7275" customWidth="1"/>
    <col min="13278" max="13278" width="16.109375" style="7275" customWidth="1"/>
    <col min="13279" max="13279" width="16.44140625" style="7275" customWidth="1"/>
    <col min="13280" max="13280" width="15.44140625" style="7275" customWidth="1"/>
    <col min="13281" max="13530" width="9.109375" style="7275"/>
    <col min="13531" max="13531" width="3.88671875" style="7275" customWidth="1"/>
    <col min="13532" max="13532" width="38.109375" style="7275" customWidth="1"/>
    <col min="13533" max="13533" width="10.44140625" style="7275" customWidth="1"/>
    <col min="13534" max="13534" width="16.109375" style="7275" customWidth="1"/>
    <col min="13535" max="13535" width="16.44140625" style="7275" customWidth="1"/>
    <col min="13536" max="13536" width="15.44140625" style="7275" customWidth="1"/>
    <col min="13537" max="13786" width="9.109375" style="7275"/>
    <col min="13787" max="13787" width="3.88671875" style="7275" customWidth="1"/>
    <col min="13788" max="13788" width="38.109375" style="7275" customWidth="1"/>
    <col min="13789" max="13789" width="10.44140625" style="7275" customWidth="1"/>
    <col min="13790" max="13790" width="16.109375" style="7275" customWidth="1"/>
    <col min="13791" max="13791" width="16.44140625" style="7275" customWidth="1"/>
    <col min="13792" max="13792" width="15.44140625" style="7275" customWidth="1"/>
    <col min="13793" max="14042" width="9.109375" style="7275"/>
    <col min="14043" max="14043" width="3.88671875" style="7275" customWidth="1"/>
    <col min="14044" max="14044" width="38.109375" style="7275" customWidth="1"/>
    <col min="14045" max="14045" width="10.44140625" style="7275" customWidth="1"/>
    <col min="14046" max="14046" width="16.109375" style="7275" customWidth="1"/>
    <col min="14047" max="14047" width="16.44140625" style="7275" customWidth="1"/>
    <col min="14048" max="14048" width="15.44140625" style="7275" customWidth="1"/>
    <col min="14049" max="14298" width="9.109375" style="7275"/>
    <col min="14299" max="14299" width="3.88671875" style="7275" customWidth="1"/>
    <col min="14300" max="14300" width="38.109375" style="7275" customWidth="1"/>
    <col min="14301" max="14301" width="10.44140625" style="7275" customWidth="1"/>
    <col min="14302" max="14302" width="16.109375" style="7275" customWidth="1"/>
    <col min="14303" max="14303" width="16.44140625" style="7275" customWidth="1"/>
    <col min="14304" max="14304" width="15.44140625" style="7275" customWidth="1"/>
    <col min="14305" max="14554" width="9.109375" style="7275"/>
    <col min="14555" max="14555" width="3.88671875" style="7275" customWidth="1"/>
    <col min="14556" max="14556" width="38.109375" style="7275" customWidth="1"/>
    <col min="14557" max="14557" width="10.44140625" style="7275" customWidth="1"/>
    <col min="14558" max="14558" width="16.109375" style="7275" customWidth="1"/>
    <col min="14559" max="14559" width="16.44140625" style="7275" customWidth="1"/>
    <col min="14560" max="14560" width="15.44140625" style="7275" customWidth="1"/>
    <col min="14561" max="14810" width="9.109375" style="7275"/>
    <col min="14811" max="14811" width="3.88671875" style="7275" customWidth="1"/>
    <col min="14812" max="14812" width="38.109375" style="7275" customWidth="1"/>
    <col min="14813" max="14813" width="10.44140625" style="7275" customWidth="1"/>
    <col min="14814" max="14814" width="16.109375" style="7275" customWidth="1"/>
    <col min="14815" max="14815" width="16.44140625" style="7275" customWidth="1"/>
    <col min="14816" max="14816" width="15.44140625" style="7275" customWidth="1"/>
    <col min="14817" max="15066" width="9.109375" style="7275"/>
    <col min="15067" max="15067" width="3.88671875" style="7275" customWidth="1"/>
    <col min="15068" max="15068" width="38.109375" style="7275" customWidth="1"/>
    <col min="15069" max="15069" width="10.44140625" style="7275" customWidth="1"/>
    <col min="15070" max="15070" width="16.109375" style="7275" customWidth="1"/>
    <col min="15071" max="15071" width="16.44140625" style="7275" customWidth="1"/>
    <col min="15072" max="15072" width="15.44140625" style="7275" customWidth="1"/>
    <col min="15073" max="15322" width="9.109375" style="7275"/>
    <col min="15323" max="15323" width="3.88671875" style="7275" customWidth="1"/>
    <col min="15324" max="15324" width="38.109375" style="7275" customWidth="1"/>
    <col min="15325" max="15325" width="10.44140625" style="7275" customWidth="1"/>
    <col min="15326" max="15326" width="16.109375" style="7275" customWidth="1"/>
    <col min="15327" max="15327" width="16.44140625" style="7275" customWidth="1"/>
    <col min="15328" max="15328" width="15.44140625" style="7275" customWidth="1"/>
    <col min="15329" max="15578" width="9.109375" style="7275"/>
    <col min="15579" max="15579" width="3.88671875" style="7275" customWidth="1"/>
    <col min="15580" max="15580" width="38.109375" style="7275" customWidth="1"/>
    <col min="15581" max="15581" width="10.44140625" style="7275" customWidth="1"/>
    <col min="15582" max="15582" width="16.109375" style="7275" customWidth="1"/>
    <col min="15583" max="15583" width="16.44140625" style="7275" customWidth="1"/>
    <col min="15584" max="15584" width="15.44140625" style="7275" customWidth="1"/>
    <col min="15585" max="15834" width="9.109375" style="7275"/>
    <col min="15835" max="15835" width="3.88671875" style="7275" customWidth="1"/>
    <col min="15836" max="15836" width="38.109375" style="7275" customWidth="1"/>
    <col min="15837" max="15837" width="10.44140625" style="7275" customWidth="1"/>
    <col min="15838" max="15838" width="16.109375" style="7275" customWidth="1"/>
    <col min="15839" max="15839" width="16.44140625" style="7275" customWidth="1"/>
    <col min="15840" max="15840" width="15.44140625" style="7275" customWidth="1"/>
    <col min="15841" max="16090" width="9.109375" style="7275"/>
    <col min="16091" max="16091" width="3.88671875" style="7275" customWidth="1"/>
    <col min="16092" max="16092" width="38.109375" style="7275" customWidth="1"/>
    <col min="16093" max="16093" width="10.44140625" style="7275" customWidth="1"/>
    <col min="16094" max="16094" width="16.109375" style="7275" customWidth="1"/>
    <col min="16095" max="16095" width="16.44140625" style="7275" customWidth="1"/>
    <col min="16096" max="16096" width="15.44140625" style="7275" customWidth="1"/>
    <col min="16097" max="16384" width="9.109375" style="7275"/>
  </cols>
  <sheetData>
    <row r="1" spans="1:12" ht="15" customHeight="1">
      <c r="A1" s="14807" t="s">
        <v>1</v>
      </c>
      <c r="B1" s="14807"/>
      <c r="C1" s="14807"/>
      <c r="D1" s="14807"/>
      <c r="E1" s="14807"/>
      <c r="F1" s="14807"/>
      <c r="G1" s="14807"/>
      <c r="H1" s="14807"/>
      <c r="I1" s="14807"/>
      <c r="J1" s="14807"/>
    </row>
    <row r="2" spans="1:12" ht="15" customHeight="1">
      <c r="A2" s="7276"/>
      <c r="B2" s="7276"/>
      <c r="C2" s="9337"/>
      <c r="D2" s="7285"/>
      <c r="E2" s="7285"/>
      <c r="F2" s="7285"/>
      <c r="G2" s="7285"/>
      <c r="H2" s="7285"/>
      <c r="I2" s="8106"/>
      <c r="J2" s="7285"/>
    </row>
    <row r="3" spans="1:12" ht="15" customHeight="1">
      <c r="A3" s="7276" t="s">
        <v>2</v>
      </c>
      <c r="B3" s="7281"/>
      <c r="C3" s="9338" t="s">
        <v>10077</v>
      </c>
      <c r="D3" s="7283"/>
      <c r="E3" s="7283"/>
      <c r="F3" s="7283"/>
      <c r="G3" s="7283"/>
      <c r="H3" s="7283"/>
      <c r="I3" s="10488"/>
      <c r="J3" s="7283"/>
    </row>
    <row r="4" spans="1:12" ht="15" customHeight="1">
      <c r="A4" s="7276" t="s">
        <v>4</v>
      </c>
      <c r="B4" s="7276"/>
      <c r="C4" s="9337" t="s">
        <v>189</v>
      </c>
      <c r="D4" s="7285"/>
      <c r="E4" s="7285"/>
      <c r="F4" s="7285"/>
      <c r="G4" s="7283"/>
      <c r="H4" s="7283"/>
      <c r="I4" s="8106"/>
      <c r="J4" s="14952"/>
    </row>
    <row r="5" spans="1:12" ht="15" customHeight="1">
      <c r="A5" s="7287" t="s">
        <v>7</v>
      </c>
      <c r="B5" s="7287"/>
      <c r="C5" s="9339" t="s">
        <v>8</v>
      </c>
      <c r="D5" s="7289"/>
      <c r="E5" s="7289"/>
      <c r="F5" s="7289"/>
      <c r="G5" s="7349"/>
      <c r="H5" s="7289"/>
      <c r="I5" s="10489"/>
      <c r="J5" s="14952"/>
    </row>
    <row r="6" spans="1:12" ht="15" customHeight="1" thickBot="1">
      <c r="A6" s="7291"/>
      <c r="B6" s="7291"/>
      <c r="C6" s="9342"/>
      <c r="D6" s="7293"/>
      <c r="E6" s="7293"/>
      <c r="F6" s="7293"/>
      <c r="G6" s="7794"/>
      <c r="H6" s="7293"/>
      <c r="I6" s="10490"/>
      <c r="J6" s="7794"/>
    </row>
    <row r="7" spans="1:12" ht="15" customHeight="1">
      <c r="A7" s="7694"/>
      <c r="B7" s="11658"/>
      <c r="C7" s="11675" t="s">
        <v>9</v>
      </c>
      <c r="D7" s="10868" t="s">
        <v>10</v>
      </c>
      <c r="E7" s="14188" t="s">
        <v>10711</v>
      </c>
      <c r="F7" s="14189"/>
      <c r="G7" s="14190"/>
      <c r="H7" s="11769" t="s">
        <v>9985</v>
      </c>
      <c r="I7" s="9462"/>
      <c r="J7" s="11659" t="s">
        <v>12</v>
      </c>
    </row>
    <row r="8" spans="1:12" ht="15" customHeight="1">
      <c r="A8" s="7657"/>
      <c r="B8" s="7295" t="s">
        <v>13</v>
      </c>
      <c r="C8" s="11711" t="s">
        <v>93</v>
      </c>
      <c r="D8" s="11123" t="s">
        <v>15</v>
      </c>
      <c r="E8" s="9502" t="s">
        <v>10709</v>
      </c>
      <c r="F8" s="9503" t="s">
        <v>10710</v>
      </c>
      <c r="G8" s="14191" t="s">
        <v>458</v>
      </c>
      <c r="H8" s="8118" t="s">
        <v>11747</v>
      </c>
      <c r="I8" s="11108"/>
      <c r="J8" s="11660" t="s">
        <v>16</v>
      </c>
    </row>
    <row r="9" spans="1:12" ht="15" customHeight="1" thickBot="1">
      <c r="A9" s="7699"/>
      <c r="B9" s="7897"/>
      <c r="C9" s="12442" t="s">
        <v>94</v>
      </c>
      <c r="D9" s="9455">
        <v>2017</v>
      </c>
      <c r="E9" s="9467" t="s">
        <v>457</v>
      </c>
      <c r="F9" s="11661" t="s">
        <v>456</v>
      </c>
      <c r="G9" s="14192"/>
      <c r="H9" s="7496">
        <v>2018</v>
      </c>
      <c r="I9" s="7303"/>
      <c r="J9" s="11662">
        <v>2019</v>
      </c>
    </row>
    <row r="10" spans="1:12" ht="15" customHeight="1">
      <c r="A10" s="11663" t="s">
        <v>17</v>
      </c>
      <c r="B10" s="7287" t="s">
        <v>18</v>
      </c>
      <c r="C10" s="8802"/>
      <c r="D10" s="11664"/>
      <c r="E10" s="11664"/>
      <c r="F10" s="11664"/>
      <c r="G10" s="11664"/>
      <c r="H10" s="11664"/>
      <c r="I10" s="12233"/>
      <c r="J10" s="11665"/>
    </row>
    <row r="11" spans="1:12" ht="15" customHeight="1">
      <c r="A11" s="7657"/>
      <c r="B11" s="7287" t="s">
        <v>19</v>
      </c>
      <c r="C11" s="8802"/>
      <c r="D11" s="11664"/>
      <c r="E11" s="11664"/>
      <c r="F11" s="11664"/>
      <c r="G11" s="11664"/>
      <c r="H11" s="11664"/>
      <c r="I11" s="12233"/>
      <c r="J11" s="11665"/>
    </row>
    <row r="12" spans="1:12" ht="15" customHeight="1">
      <c r="A12" s="7657"/>
      <c r="B12" s="7287" t="s">
        <v>20</v>
      </c>
      <c r="C12" s="8802">
        <v>50101010</v>
      </c>
      <c r="D12" s="11667">
        <f>'WS-PS 2017'!B20</f>
        <v>3931943.37</v>
      </c>
      <c r="E12" s="11667">
        <f>'WS-PS ACTUAL JUNE 2018'!B20</f>
        <v>2009986</v>
      </c>
      <c r="F12" s="11667">
        <f>G12-E12</f>
        <v>4604426</v>
      </c>
      <c r="G12" s="11667">
        <v>6614412</v>
      </c>
      <c r="H12" s="11667"/>
      <c r="I12" s="12352"/>
      <c r="J12" s="11670">
        <f>K12</f>
        <v>5545164</v>
      </c>
      <c r="K12" s="11719">
        <f>'staffing-legal'!F50</f>
        <v>5545164</v>
      </c>
      <c r="L12" s="7346">
        <f>'staffing-legal'!B50</f>
        <v>19</v>
      </c>
    </row>
    <row r="13" spans="1:12" ht="15" customHeight="1">
      <c r="A13" s="7657"/>
      <c r="B13" s="7287" t="s">
        <v>21</v>
      </c>
      <c r="C13" s="8802">
        <v>50102010</v>
      </c>
      <c r="D13" s="11664">
        <f>'WS-PS 2017'!F20</f>
        <v>379000</v>
      </c>
      <c r="E13" s="11664">
        <f>'WS-PS ACTUAL JUNE 2018'!D20</f>
        <v>152000</v>
      </c>
      <c r="F13" s="11667">
        <f t="shared" ref="F13:F28" si="0">G13-E13</f>
        <v>352000</v>
      </c>
      <c r="G13" s="11664">
        <v>504000</v>
      </c>
      <c r="H13" s="11664"/>
      <c r="I13" s="12233"/>
      <c r="J13" s="11670">
        <f t="shared" ref="J13:J28" si="1">K13</f>
        <v>456000</v>
      </c>
      <c r="K13" s="7310">
        <f>24000*L12</f>
        <v>456000</v>
      </c>
    </row>
    <row r="14" spans="1:12" ht="15" customHeight="1">
      <c r="A14" s="7657"/>
      <c r="B14" s="7287" t="s">
        <v>104</v>
      </c>
      <c r="C14" s="8802">
        <v>50102020</v>
      </c>
      <c r="D14" s="11664">
        <f>'WS-PS 2017'!G20</f>
        <v>188250</v>
      </c>
      <c r="E14" s="11664">
        <f>'WS-PS ACTUAL JUNE 2018'!E20</f>
        <v>77875</v>
      </c>
      <c r="F14" s="11667">
        <f t="shared" si="0"/>
        <v>114125</v>
      </c>
      <c r="G14" s="11664">
        <v>192000</v>
      </c>
      <c r="H14" s="11664"/>
      <c r="I14" s="12233"/>
      <c r="J14" s="11670">
        <f t="shared" si="1"/>
        <v>192000</v>
      </c>
      <c r="K14" s="7310">
        <v>192000</v>
      </c>
    </row>
    <row r="15" spans="1:12" ht="15" customHeight="1">
      <c r="A15" s="7657"/>
      <c r="B15" s="7287" t="s">
        <v>105</v>
      </c>
      <c r="C15" s="8802">
        <v>50102030</v>
      </c>
      <c r="D15" s="11664">
        <f>'WS-PS 2017'!H20</f>
        <v>188250</v>
      </c>
      <c r="E15" s="11664">
        <f>'WS-PS ACTUAL JUNE 2018'!F20</f>
        <v>77875</v>
      </c>
      <c r="F15" s="11667">
        <f t="shared" si="0"/>
        <v>114125</v>
      </c>
      <c r="G15" s="11664">
        <v>192000</v>
      </c>
      <c r="H15" s="11664"/>
      <c r="I15" s="12233"/>
      <c r="J15" s="11670">
        <f t="shared" si="1"/>
        <v>192000</v>
      </c>
      <c r="K15" s="7799">
        <v>192000</v>
      </c>
    </row>
    <row r="16" spans="1:12" ht="15" customHeight="1">
      <c r="A16" s="7657"/>
      <c r="B16" s="7287" t="s">
        <v>22</v>
      </c>
      <c r="C16" s="8802">
        <v>50102040</v>
      </c>
      <c r="D16" s="11664">
        <f>'WS-PS 2017'!I20</f>
        <v>80000</v>
      </c>
      <c r="E16" s="11664">
        <f>'WS-PS ACTUAL JUNE 2018'!G20</f>
        <v>78000</v>
      </c>
      <c r="F16" s="11667">
        <f t="shared" si="0"/>
        <v>27000</v>
      </c>
      <c r="G16" s="11664">
        <v>105000</v>
      </c>
      <c r="H16" s="11664"/>
      <c r="I16" s="12233"/>
      <c r="J16" s="11670">
        <f t="shared" si="1"/>
        <v>114000</v>
      </c>
      <c r="K16" s="7310">
        <f>6000*L12</f>
        <v>114000</v>
      </c>
    </row>
    <row r="17" spans="1:11" ht="15" customHeight="1">
      <c r="A17" s="7657"/>
      <c r="B17" s="7287" t="s">
        <v>11892</v>
      </c>
      <c r="C17" s="8802"/>
      <c r="D17" s="11664"/>
      <c r="E17" s="11664"/>
      <c r="F17" s="11667"/>
      <c r="G17" s="11664"/>
      <c r="H17" s="11664"/>
      <c r="I17" s="12233"/>
      <c r="J17" s="11670">
        <f t="shared" si="1"/>
        <v>50000</v>
      </c>
      <c r="K17" s="7310">
        <v>50000</v>
      </c>
    </row>
    <row r="18" spans="1:11" ht="15" customHeight="1">
      <c r="A18" s="7657"/>
      <c r="B18" s="7488" t="s">
        <v>10932</v>
      </c>
      <c r="C18" s="10368">
        <v>50102080</v>
      </c>
      <c r="D18" s="11664">
        <f>'WS-PS 2017'!L20</f>
        <v>65000</v>
      </c>
      <c r="E18" s="11664">
        <f>'WS-PS ACTUAL JUNE 2018'!J20</f>
        <v>0</v>
      </c>
      <c r="F18" s="11667">
        <f t="shared" si="0"/>
        <v>105000</v>
      </c>
      <c r="G18" s="11664">
        <v>105000</v>
      </c>
      <c r="H18" s="11664"/>
      <c r="I18" s="12233"/>
      <c r="J18" s="11670">
        <f t="shared" si="1"/>
        <v>95000</v>
      </c>
      <c r="K18" s="7310">
        <f>5000*L12</f>
        <v>95000</v>
      </c>
    </row>
    <row r="19" spans="1:11" ht="15" customHeight="1">
      <c r="A19" s="7657"/>
      <c r="B19" s="7488" t="s">
        <v>10934</v>
      </c>
      <c r="C19" s="8872">
        <v>50102120</v>
      </c>
      <c r="D19" s="11664">
        <f>'WS-PS 2017'!O20</f>
        <v>25000</v>
      </c>
      <c r="E19" s="11664">
        <f>'WS-PS ACTUAL JUNE 2018'!M20</f>
        <v>0</v>
      </c>
      <c r="F19" s="11667">
        <f>G19-E19</f>
        <v>10000</v>
      </c>
      <c r="G19" s="11664">
        <v>10000</v>
      </c>
      <c r="H19" s="11664"/>
      <c r="I19" s="12233"/>
      <c r="J19" s="11670">
        <f t="shared" si="1"/>
        <v>15000</v>
      </c>
      <c r="K19" s="7310">
        <v>15000</v>
      </c>
    </row>
    <row r="20" spans="1:11" ht="15" customHeight="1">
      <c r="A20" s="7657"/>
      <c r="B20" s="7488" t="s">
        <v>10933</v>
      </c>
      <c r="C20" s="8872">
        <v>50102140</v>
      </c>
      <c r="D20" s="11667">
        <f>'WS-PS 2017'!U20+'WS-PS 2017'!S20</f>
        <v>789411</v>
      </c>
      <c r="E20" s="11667">
        <f>'WS-PS ACTUAL JUNE 2018'!O20</f>
        <v>308501</v>
      </c>
      <c r="F20" s="11667">
        <f t="shared" si="0"/>
        <v>793901</v>
      </c>
      <c r="G20" s="11730">
        <v>1102402</v>
      </c>
      <c r="H20" s="11730"/>
      <c r="I20" s="12322"/>
      <c r="J20" s="11670">
        <f t="shared" si="1"/>
        <v>924194</v>
      </c>
      <c r="K20" s="7310">
        <f>SUM(K11:K12)/12*2</f>
        <v>924194</v>
      </c>
    </row>
    <row r="21" spans="1:11" ht="15" customHeight="1">
      <c r="A21" s="7657"/>
      <c r="B21" s="7287" t="s">
        <v>26</v>
      </c>
      <c r="C21" s="8802">
        <v>50102150</v>
      </c>
      <c r="D21" s="11664">
        <f>'WS-PS 2017'!T20</f>
        <v>75000</v>
      </c>
      <c r="E21" s="11664">
        <f>'WS-PS ACTUAL JUNE 2018'!Q20</f>
        <v>0</v>
      </c>
      <c r="F21" s="11667">
        <f>G21-E21</f>
        <v>105000</v>
      </c>
      <c r="G21" s="11664">
        <v>105000</v>
      </c>
      <c r="H21" s="11664"/>
      <c r="I21" s="12233"/>
      <c r="J21" s="11670">
        <f t="shared" si="1"/>
        <v>95000</v>
      </c>
      <c r="K21" s="7371">
        <f>K18</f>
        <v>95000</v>
      </c>
    </row>
    <row r="22" spans="1:11" ht="15" customHeight="1">
      <c r="A22" s="7657"/>
      <c r="B22" s="7488" t="s">
        <v>11497</v>
      </c>
      <c r="C22" s="11257">
        <v>50102990</v>
      </c>
      <c r="D22" s="11664"/>
      <c r="E22" s="11664">
        <f>'WS-PS ACTUAL JUNE 2018'!R20</f>
        <v>0</v>
      </c>
      <c r="F22" s="11667">
        <f>G22-E22</f>
        <v>316941</v>
      </c>
      <c r="G22" s="11664">
        <v>316941</v>
      </c>
      <c r="H22" s="11664"/>
      <c r="I22" s="12233"/>
      <c r="J22" s="11670">
        <v>0</v>
      </c>
      <c r="K22" s="7310">
        <f>K12/12*0.575</f>
        <v>265705.77499999997</v>
      </c>
    </row>
    <row r="23" spans="1:11" ht="15" customHeight="1">
      <c r="A23" s="7657"/>
      <c r="B23" s="7803" t="s">
        <v>11499</v>
      </c>
      <c r="C23" s="11059" t="s">
        <v>11495</v>
      </c>
      <c r="D23" s="11664">
        <f>'WS-PS 2017'!Q20</f>
        <v>0</v>
      </c>
      <c r="E23" s="11664">
        <f>'WS-PS ACTUAL JUNE 2018'!S20</f>
        <v>0</v>
      </c>
      <c r="F23" s="11667">
        <f>G23-E23</f>
        <v>0</v>
      </c>
      <c r="G23" s="11664">
        <v>0</v>
      </c>
      <c r="H23" s="11664"/>
      <c r="I23" s="12233"/>
      <c r="J23" s="11670">
        <f t="shared" si="1"/>
        <v>57000</v>
      </c>
      <c r="K23" s="7310">
        <f>3000*L12</f>
        <v>57000</v>
      </c>
    </row>
    <row r="24" spans="1:11" ht="15" customHeight="1">
      <c r="A24" s="7657"/>
      <c r="B24" s="11518" t="s">
        <v>59</v>
      </c>
      <c r="C24" s="8872">
        <v>50103010</v>
      </c>
      <c r="D24" s="11664">
        <f>'WS-PS 2017'!V20</f>
        <v>471833.2</v>
      </c>
      <c r="E24" s="11664">
        <f>'WS-PS ACTUAL JUNE 2018'!T20</f>
        <v>241198.32</v>
      </c>
      <c r="F24" s="11667">
        <f t="shared" si="0"/>
        <v>552530.67999999993</v>
      </c>
      <c r="G24" s="11664">
        <v>793729</v>
      </c>
      <c r="H24" s="11664"/>
      <c r="I24" s="12233"/>
      <c r="J24" s="11670">
        <f t="shared" si="1"/>
        <v>665419.67999999993</v>
      </c>
      <c r="K24" s="11720">
        <f>SUM(K11:K12)*12%</f>
        <v>665419.67999999993</v>
      </c>
    </row>
    <row r="25" spans="1:11" ht="15" customHeight="1">
      <c r="A25" s="7657"/>
      <c r="B25" s="7803" t="s">
        <v>28</v>
      </c>
      <c r="C25" s="8872">
        <v>50103020</v>
      </c>
      <c r="D25" s="11664">
        <f>'WS-PS 2017'!W20</f>
        <v>19050</v>
      </c>
      <c r="E25" s="11664">
        <f>'WS-PS ACTUAL JUNE 2018'!U20</f>
        <v>7600</v>
      </c>
      <c r="F25" s="11667">
        <f t="shared" si="0"/>
        <v>17600</v>
      </c>
      <c r="G25" s="11664">
        <v>25200</v>
      </c>
      <c r="H25" s="11664"/>
      <c r="I25" s="12233"/>
      <c r="J25" s="11670">
        <f t="shared" si="1"/>
        <v>22800</v>
      </c>
      <c r="K25" s="7310">
        <f>1200*L12</f>
        <v>22800</v>
      </c>
    </row>
    <row r="26" spans="1:11" ht="15" customHeight="1">
      <c r="A26" s="7657"/>
      <c r="B26" s="7803" t="s">
        <v>29</v>
      </c>
      <c r="C26" s="8872">
        <v>50103030</v>
      </c>
      <c r="D26" s="11664">
        <f>'WS-PS 2017'!X20</f>
        <v>35637.5</v>
      </c>
      <c r="E26" s="11664">
        <f>'WS-PS ACTUAL JUNE 2018'!V20</f>
        <v>19837.25</v>
      </c>
      <c r="F26" s="11667">
        <f t="shared" si="0"/>
        <v>30562.75</v>
      </c>
      <c r="G26" s="11664">
        <v>50400</v>
      </c>
      <c r="H26" s="11664"/>
      <c r="I26" s="12233"/>
      <c r="J26" s="11670">
        <v>56029.05</v>
      </c>
      <c r="K26" s="7310">
        <f>3600*L12</f>
        <v>68400</v>
      </c>
    </row>
    <row r="27" spans="1:11" ht="15" customHeight="1">
      <c r="A27" s="7657"/>
      <c r="B27" s="7803" t="s">
        <v>30</v>
      </c>
      <c r="C27" s="8872">
        <v>50103040</v>
      </c>
      <c r="D27" s="11664">
        <f>'WS-PS 2017'!Y20</f>
        <v>18900</v>
      </c>
      <c r="E27" s="11664">
        <f>'WS-PS ACTUAL JUNE 2018'!W20</f>
        <v>7600</v>
      </c>
      <c r="F27" s="11667">
        <f t="shared" si="0"/>
        <v>17600</v>
      </c>
      <c r="G27" s="11664">
        <v>25200</v>
      </c>
      <c r="H27" s="11664"/>
      <c r="I27" s="12233"/>
      <c r="J27" s="11670">
        <f t="shared" si="1"/>
        <v>22800</v>
      </c>
      <c r="K27" s="7310">
        <f>K25</f>
        <v>22800</v>
      </c>
    </row>
    <row r="28" spans="1:11" ht="15" customHeight="1">
      <c r="A28" s="7657"/>
      <c r="B28" s="7488" t="s">
        <v>5025</v>
      </c>
      <c r="C28" s="11258">
        <v>50104990</v>
      </c>
      <c r="D28" s="11664">
        <f>'WS-PS 2017'!Z20</f>
        <v>375000</v>
      </c>
      <c r="E28" s="11664"/>
      <c r="F28" s="11667">
        <f t="shared" si="0"/>
        <v>0</v>
      </c>
      <c r="G28" s="11664">
        <v>0</v>
      </c>
      <c r="H28" s="11664"/>
      <c r="I28" s="12233"/>
      <c r="J28" s="11670">
        <f t="shared" si="1"/>
        <v>0</v>
      </c>
    </row>
    <row r="29" spans="1:11" ht="15" customHeight="1">
      <c r="A29" s="7657"/>
      <c r="B29" s="7287"/>
      <c r="C29" s="8802" t="s">
        <v>9</v>
      </c>
      <c r="D29" s="11664" t="s">
        <v>9</v>
      </c>
      <c r="E29" s="11664"/>
      <c r="F29" s="11664"/>
      <c r="G29" s="11664"/>
      <c r="H29" s="11664"/>
      <c r="I29" s="12233"/>
      <c r="J29" s="11665"/>
    </row>
    <row r="30" spans="1:11" ht="15" customHeight="1">
      <c r="A30" s="7657"/>
      <c r="B30" s="7315" t="s">
        <v>37</v>
      </c>
      <c r="C30" s="12472"/>
      <c r="D30" s="9465">
        <f>SUM(D11:D29)</f>
        <v>6642275.0700000003</v>
      </c>
      <c r="E30" s="9465">
        <f>SUM(E11:E29)</f>
        <v>2980472.57</v>
      </c>
      <c r="F30" s="9465">
        <f>SUM(F11:F29)</f>
        <v>7160811.4299999997</v>
      </c>
      <c r="G30" s="9465">
        <f>SUM(G11:G29)</f>
        <v>10141284</v>
      </c>
      <c r="H30" s="9465"/>
      <c r="I30" s="12235"/>
      <c r="J30" s="11744">
        <f>SUM(J11:J29)</f>
        <v>8502406.7300000004</v>
      </c>
      <c r="K30" s="11657">
        <f>SUM(K12:K29)</f>
        <v>8780483.4550000001</v>
      </c>
    </row>
    <row r="31" spans="1:11" ht="15" customHeight="1" thickBot="1">
      <c r="A31" s="7699"/>
      <c r="B31" s="7781"/>
      <c r="C31" s="11717"/>
      <c r="D31" s="11673"/>
      <c r="E31" s="11673"/>
      <c r="F31" s="11673"/>
      <c r="G31" s="11673"/>
      <c r="H31" s="11673"/>
      <c r="I31" s="12327"/>
      <c r="J31" s="11877"/>
    </row>
    <row r="32" spans="1:11" ht="15" customHeight="1">
      <c r="A32" s="7287"/>
      <c r="B32" s="7315"/>
      <c r="C32" s="9339"/>
      <c r="D32" s="7349"/>
      <c r="E32" s="7349"/>
      <c r="F32" s="7349"/>
      <c r="G32" s="7349"/>
      <c r="H32" s="7349"/>
      <c r="I32" s="10492"/>
      <c r="J32" s="7349"/>
    </row>
    <row r="33" spans="1:10" ht="15" customHeight="1">
      <c r="A33" s="7287"/>
      <c r="B33" s="7315"/>
      <c r="C33" s="9339"/>
      <c r="D33" s="7349"/>
      <c r="E33" s="7349"/>
      <c r="F33" s="7349"/>
      <c r="G33" s="7349"/>
      <c r="H33" s="7349"/>
      <c r="I33" s="10492"/>
      <c r="J33" s="7349"/>
    </row>
    <row r="34" spans="1:10" ht="15" customHeight="1">
      <c r="A34" s="7287"/>
      <c r="B34" s="7315"/>
      <c r="C34" s="9339"/>
      <c r="D34" s="7349"/>
      <c r="E34" s="7349"/>
      <c r="F34" s="7349"/>
      <c r="G34" s="7349"/>
      <c r="H34" s="7349"/>
      <c r="I34" s="10492"/>
      <c r="J34" s="7349"/>
    </row>
    <row r="35" spans="1:10" ht="15" customHeight="1">
      <c r="A35" s="7287"/>
      <c r="B35" s="7315"/>
      <c r="C35" s="9339"/>
      <c r="D35" s="7349"/>
      <c r="E35" s="7349"/>
      <c r="F35" s="7349"/>
      <c r="G35" s="7349"/>
      <c r="H35" s="7349"/>
      <c r="I35" s="10492"/>
      <c r="J35" s="7349"/>
    </row>
    <row r="36" spans="1:10" ht="15" customHeight="1">
      <c r="A36" s="7287"/>
      <c r="B36" s="7315"/>
      <c r="C36" s="9339"/>
      <c r="D36" s="7349"/>
      <c r="E36" s="7349"/>
      <c r="F36" s="7349"/>
      <c r="G36" s="7349"/>
      <c r="H36" s="7349"/>
      <c r="I36" s="10492"/>
      <c r="J36" s="7349"/>
    </row>
    <row r="37" spans="1:10" ht="15" customHeight="1">
      <c r="A37" s="7287"/>
      <c r="B37" s="7315"/>
      <c r="C37" s="9339"/>
      <c r="D37" s="7349"/>
      <c r="E37" s="7349"/>
      <c r="F37" s="7349"/>
      <c r="G37" s="7349"/>
      <c r="H37" s="7349"/>
      <c r="I37" s="10492"/>
      <c r="J37" s="7349"/>
    </row>
    <row r="38" spans="1:10" ht="15" customHeight="1" thickBot="1">
      <c r="A38" s="7291" t="s">
        <v>10486</v>
      </c>
      <c r="B38" s="7781"/>
      <c r="C38" s="9342"/>
      <c r="D38" s="7794"/>
      <c r="E38" s="7794"/>
      <c r="F38" s="7794"/>
      <c r="G38" s="7794"/>
      <c r="H38" s="7794"/>
      <c r="I38" s="10493"/>
      <c r="J38" s="7794"/>
    </row>
    <row r="39" spans="1:10" ht="15" customHeight="1">
      <c r="A39" s="7694"/>
      <c r="B39" s="11658"/>
      <c r="C39" s="11675" t="s">
        <v>9</v>
      </c>
      <c r="D39" s="10868" t="s">
        <v>10</v>
      </c>
      <c r="E39" s="14188" t="s">
        <v>10711</v>
      </c>
      <c r="F39" s="14189"/>
      <c r="G39" s="14190"/>
      <c r="H39" s="9461"/>
      <c r="I39" s="9462" t="s">
        <v>9985</v>
      </c>
      <c r="J39" s="11659" t="s">
        <v>12</v>
      </c>
    </row>
    <row r="40" spans="1:10" ht="15" customHeight="1">
      <c r="A40" s="7657"/>
      <c r="B40" s="7295" t="s">
        <v>13</v>
      </c>
      <c r="C40" s="11711" t="s">
        <v>93</v>
      </c>
      <c r="D40" s="11123" t="s">
        <v>15</v>
      </c>
      <c r="E40" s="9502" t="s">
        <v>10709</v>
      </c>
      <c r="F40" s="9503" t="s">
        <v>10710</v>
      </c>
      <c r="G40" s="14191" t="s">
        <v>458</v>
      </c>
      <c r="H40" s="11438"/>
      <c r="I40" s="11108" t="s">
        <v>9986</v>
      </c>
      <c r="J40" s="11660" t="s">
        <v>16</v>
      </c>
    </row>
    <row r="41" spans="1:10" ht="15" customHeight="1" thickBot="1">
      <c r="A41" s="7699"/>
      <c r="B41" s="7897"/>
      <c r="C41" s="12442" t="s">
        <v>94</v>
      </c>
      <c r="D41" s="9455">
        <v>2017</v>
      </c>
      <c r="E41" s="9467" t="s">
        <v>457</v>
      </c>
      <c r="F41" s="11661" t="s">
        <v>456</v>
      </c>
      <c r="G41" s="14192"/>
      <c r="H41" s="7302" t="s">
        <v>9985</v>
      </c>
      <c r="I41" s="7303"/>
      <c r="J41" s="11662">
        <v>2019</v>
      </c>
    </row>
    <row r="42" spans="1:10" ht="15" customHeight="1">
      <c r="A42" s="7657"/>
      <c r="B42" s="7295"/>
      <c r="C42" s="11711"/>
      <c r="D42" s="11676"/>
      <c r="E42" s="11123"/>
      <c r="F42" s="11123"/>
      <c r="G42" s="11123"/>
      <c r="H42" s="11181"/>
      <c r="I42" s="12365"/>
      <c r="J42" s="11677"/>
    </row>
    <row r="43" spans="1:10" ht="17.100000000000001" customHeight="1">
      <c r="A43" s="11663"/>
      <c r="B43" s="7287" t="s">
        <v>38</v>
      </c>
      <c r="C43" s="8802"/>
      <c r="D43" s="11664"/>
      <c r="E43" s="11664"/>
      <c r="F43" s="11664"/>
      <c r="G43" s="11664"/>
      <c r="H43" s="11664"/>
      <c r="I43" s="12233"/>
      <c r="J43" s="11665"/>
    </row>
    <row r="44" spans="1:10" ht="17.100000000000001" customHeight="1">
      <c r="A44" s="7657"/>
      <c r="B44" s="7287" t="s">
        <v>39</v>
      </c>
      <c r="C44" s="8802">
        <v>50201010</v>
      </c>
      <c r="D44" s="11664">
        <f>'WS-MOOE 2017'!B20</f>
        <v>128135.03999999999</v>
      </c>
      <c r="E44" s="11664">
        <f>'WS-MOOE ACTUAL JUNE 2018'!B21</f>
        <v>75839.8</v>
      </c>
      <c r="F44" s="11667">
        <f t="shared" ref="F44:F61" si="2">G44-E44</f>
        <v>44160.2</v>
      </c>
      <c r="G44" s="11664">
        <v>120000</v>
      </c>
      <c r="H44" s="11667">
        <v>72079.8</v>
      </c>
      <c r="I44" s="12473">
        <f>H44/G44</f>
        <v>0.600665</v>
      </c>
      <c r="J44" s="11665">
        <v>120000</v>
      </c>
    </row>
    <row r="45" spans="1:10" ht="17.100000000000001" customHeight="1">
      <c r="A45" s="7657"/>
      <c r="B45" s="7287" t="s">
        <v>41</v>
      </c>
      <c r="C45" s="8802">
        <v>50202010</v>
      </c>
      <c r="D45" s="11664">
        <f>'WS-MOOE 2017'!H20</f>
        <v>48045</v>
      </c>
      <c r="E45" s="11664">
        <f>'WS-MOOE ACTUAL JUNE 2018'!G21</f>
        <v>104000</v>
      </c>
      <c r="F45" s="11667">
        <f t="shared" si="2"/>
        <v>196000</v>
      </c>
      <c r="G45" s="11664">
        <v>300000</v>
      </c>
      <c r="H45" s="11667">
        <v>175600</v>
      </c>
      <c r="I45" s="12473">
        <f t="shared" ref="I45:I60" si="3">H45/G45</f>
        <v>0.58533333333333337</v>
      </c>
      <c r="J45" s="11665">
        <v>200000</v>
      </c>
    </row>
    <row r="46" spans="1:10" ht="17.100000000000001" customHeight="1">
      <c r="A46" s="7657"/>
      <c r="B46" s="7287" t="s">
        <v>42</v>
      </c>
      <c r="C46" s="8802">
        <v>50203010</v>
      </c>
      <c r="D46" s="11664">
        <f>'WS-MOOE 2017'!J20</f>
        <v>134284.13</v>
      </c>
      <c r="E46" s="11664">
        <f>'WS-MOOE ACTUAL JUNE 2018'!H21</f>
        <v>63055.94</v>
      </c>
      <c r="F46" s="11667">
        <f t="shared" si="2"/>
        <v>101944.06</v>
      </c>
      <c r="G46" s="11664">
        <v>165000</v>
      </c>
      <c r="H46" s="11667">
        <v>84939.87</v>
      </c>
      <c r="I46" s="12473">
        <f t="shared" si="3"/>
        <v>0.51478709090909092</v>
      </c>
      <c r="J46" s="11665">
        <v>165000</v>
      </c>
    </row>
    <row r="47" spans="1:10" ht="17.100000000000001" customHeight="1">
      <c r="A47" s="7657"/>
      <c r="B47" s="7287" t="s">
        <v>44</v>
      </c>
      <c r="C47" s="8802">
        <v>50203090</v>
      </c>
      <c r="D47" s="11664">
        <f>'WS-MOOE 2017'!R20</f>
        <v>44476.28</v>
      </c>
      <c r="E47" s="11664">
        <f>'WS-MOOE ACTUAL JUNE 2018'!O21</f>
        <v>10628.74</v>
      </c>
      <c r="F47" s="11667">
        <f t="shared" si="2"/>
        <v>189371.26</v>
      </c>
      <c r="G47" s="11664">
        <v>200000</v>
      </c>
      <c r="H47" s="11667">
        <v>85539.54</v>
      </c>
      <c r="I47" s="12473">
        <f t="shared" si="3"/>
        <v>0.42769769999999996</v>
      </c>
      <c r="J47" s="11665">
        <v>200000</v>
      </c>
    </row>
    <row r="48" spans="1:10" ht="17.100000000000001" customHeight="1">
      <c r="A48" s="7657"/>
      <c r="B48" s="7287" t="s">
        <v>192</v>
      </c>
      <c r="C48" s="8802">
        <v>50203110</v>
      </c>
      <c r="D48" s="11664">
        <f>'WS-MOOE 2017'!U20</f>
        <v>26180</v>
      </c>
      <c r="E48" s="11664">
        <f>'WS-MOOE ACTUAL JUNE 2018'!Q21</f>
        <v>0</v>
      </c>
      <c r="F48" s="11667">
        <f t="shared" si="2"/>
        <v>60000</v>
      </c>
      <c r="G48" s="11664">
        <v>60000</v>
      </c>
      <c r="H48" s="11664">
        <v>28425.599999999999</v>
      </c>
      <c r="I48" s="12473">
        <f t="shared" si="3"/>
        <v>0.47375999999999996</v>
      </c>
      <c r="J48" s="11665">
        <v>120000</v>
      </c>
    </row>
    <row r="49" spans="1:11" ht="17.100000000000001" customHeight="1">
      <c r="A49" s="7657"/>
      <c r="B49" s="7287" t="s">
        <v>46</v>
      </c>
      <c r="C49" s="8802">
        <v>50204020</v>
      </c>
      <c r="D49" s="11664">
        <f>'WS-MOOE 2017'!X20</f>
        <v>0</v>
      </c>
      <c r="E49" s="11664">
        <f>'WS-MOOE ACTUAL JUNE 2018'!S21</f>
        <v>0</v>
      </c>
      <c r="F49" s="11667">
        <f t="shared" si="2"/>
        <v>60000</v>
      </c>
      <c r="G49" s="11664">
        <v>60000</v>
      </c>
      <c r="H49" s="11664">
        <v>0</v>
      </c>
      <c r="I49" s="12473">
        <f t="shared" si="3"/>
        <v>0</v>
      </c>
      <c r="J49" s="11678">
        <v>0</v>
      </c>
      <c r="K49" s="8906">
        <v>60000</v>
      </c>
    </row>
    <row r="50" spans="1:11" ht="17.100000000000001" hidden="1" customHeight="1">
      <c r="A50" s="7657"/>
      <c r="B50" s="7287" t="s">
        <v>45</v>
      </c>
      <c r="C50" s="8802">
        <v>50204010</v>
      </c>
      <c r="D50" s="11664"/>
      <c r="E50" s="11664"/>
      <c r="F50" s="11667">
        <f t="shared" si="2"/>
        <v>0</v>
      </c>
      <c r="G50" s="11664">
        <v>0</v>
      </c>
      <c r="H50" s="11664"/>
      <c r="I50" s="12473" t="e">
        <f t="shared" si="3"/>
        <v>#DIV/0!</v>
      </c>
      <c r="J50" s="11665">
        <v>0</v>
      </c>
    </row>
    <row r="51" spans="1:11" ht="17.100000000000001" customHeight="1">
      <c r="A51" s="7657"/>
      <c r="B51" s="7287" t="s">
        <v>62</v>
      </c>
      <c r="C51" s="8802">
        <v>50205010</v>
      </c>
      <c r="D51" s="11664">
        <f>'WS-MOOE 2017'!Z20</f>
        <v>6500</v>
      </c>
      <c r="E51" s="11664">
        <f>'WS-MOOE ACTUAL JUNE 2018'!U21</f>
        <v>22250</v>
      </c>
      <c r="F51" s="11667">
        <f t="shared" si="2"/>
        <v>2750</v>
      </c>
      <c r="G51" s="11664">
        <v>25000</v>
      </c>
      <c r="H51" s="11664">
        <v>22250</v>
      </c>
      <c r="I51" s="12473">
        <f t="shared" si="3"/>
        <v>0.89</v>
      </c>
      <c r="J51" s="11665">
        <v>15000</v>
      </c>
    </row>
    <row r="52" spans="1:11" ht="17.100000000000001" customHeight="1">
      <c r="A52" s="7657"/>
      <c r="B52" s="7536" t="s">
        <v>155</v>
      </c>
      <c r="C52" s="8802">
        <v>50205020</v>
      </c>
      <c r="D52" s="11664">
        <f>'WS-MOOE 2017'!AA20+'WS-MOOE 2017'!AC20</f>
        <v>54181.46</v>
      </c>
      <c r="E52" s="11664">
        <f>'WS-MOOE ACTUAL JUNE 2018'!V21</f>
        <v>31683.27</v>
      </c>
      <c r="F52" s="11667">
        <f t="shared" si="2"/>
        <v>68316.73</v>
      </c>
      <c r="G52" s="11664">
        <v>100000</v>
      </c>
      <c r="H52" s="11664">
        <v>39645.83</v>
      </c>
      <c r="I52" s="12473">
        <f t="shared" si="3"/>
        <v>0.39645830000000004</v>
      </c>
      <c r="J52" s="11665">
        <v>100000</v>
      </c>
    </row>
    <row r="53" spans="1:11" ht="17.100000000000001" hidden="1" customHeight="1">
      <c r="A53" s="7657"/>
      <c r="B53" s="7287" t="s">
        <v>193</v>
      </c>
      <c r="C53" s="8802"/>
      <c r="D53" s="11664"/>
      <c r="E53" s="11664"/>
      <c r="F53" s="11667">
        <f t="shared" si="2"/>
        <v>0</v>
      </c>
      <c r="G53" s="11664"/>
      <c r="H53" s="11664"/>
      <c r="I53" s="12473" t="e">
        <f t="shared" si="3"/>
        <v>#DIV/0!</v>
      </c>
      <c r="J53" s="11665"/>
    </row>
    <row r="54" spans="1:11" ht="17.100000000000001" customHeight="1">
      <c r="A54" s="7657"/>
      <c r="B54" s="7287" t="s">
        <v>136</v>
      </c>
      <c r="C54" s="8802">
        <v>50205030</v>
      </c>
      <c r="D54" s="11664">
        <f>'WS-MOOE 2017'!AE20</f>
        <v>8898.2000000000007</v>
      </c>
      <c r="E54" s="11664">
        <f>'WS-MOOE ACTUAL JUNE 2018'!Z21</f>
        <v>3334.06</v>
      </c>
      <c r="F54" s="11667">
        <f t="shared" si="2"/>
        <v>46665.94</v>
      </c>
      <c r="G54" s="11664">
        <v>50000</v>
      </c>
      <c r="H54" s="11664">
        <v>3334.06</v>
      </c>
      <c r="I54" s="12473">
        <f t="shared" si="3"/>
        <v>6.6681199999999996E-2</v>
      </c>
      <c r="J54" s="11665">
        <v>50000</v>
      </c>
    </row>
    <row r="55" spans="1:11" ht="17.100000000000001" customHeight="1">
      <c r="A55" s="7657"/>
      <c r="B55" s="7287" t="s">
        <v>10999</v>
      </c>
      <c r="C55" s="8802">
        <v>50211010</v>
      </c>
      <c r="D55" s="11667">
        <f>'WS-MOOE 2017'!AK20</f>
        <v>2338000</v>
      </c>
      <c r="E55" s="11667">
        <f>'WS-MOOE ACTUAL JUNE 2018'!AI21</f>
        <v>1100000</v>
      </c>
      <c r="F55" s="11667">
        <f>G55-E55</f>
        <v>1540000</v>
      </c>
      <c r="G55" s="11667">
        <v>2640000</v>
      </c>
      <c r="H55" s="11664">
        <v>2529600</v>
      </c>
      <c r="I55" s="12473">
        <f>H55/G55</f>
        <v>0.95818181818181813</v>
      </c>
      <c r="J55" s="12474">
        <v>2640000</v>
      </c>
    </row>
    <row r="56" spans="1:11" ht="17.100000000000001" customHeight="1">
      <c r="A56" s="7657"/>
      <c r="B56" s="7352" t="s">
        <v>10956</v>
      </c>
      <c r="C56" s="8872">
        <v>50212990</v>
      </c>
      <c r="D56" s="11664">
        <f>'WS-MOOE 2017'!AO20</f>
        <v>222406.88</v>
      </c>
      <c r="E56" s="11664">
        <f>'WS-MOOE ACTUAL JUNE 2018'!AJ21</f>
        <v>5396.88</v>
      </c>
      <c r="F56" s="11667">
        <f t="shared" si="2"/>
        <v>276843.12</v>
      </c>
      <c r="G56" s="11664">
        <v>282240</v>
      </c>
      <c r="H56" s="11664">
        <v>5396.88</v>
      </c>
      <c r="I56" s="12473">
        <f t="shared" si="3"/>
        <v>1.9121598639455784E-2</v>
      </c>
      <c r="J56" s="11665">
        <v>169000</v>
      </c>
    </row>
    <row r="57" spans="1:11" ht="17.100000000000001" hidden="1" customHeight="1">
      <c r="A57" s="7657"/>
      <c r="B57" s="7488" t="s">
        <v>10955</v>
      </c>
      <c r="C57" s="8802"/>
      <c r="D57" s="11664"/>
      <c r="E57" s="11664"/>
      <c r="F57" s="11667">
        <f t="shared" si="2"/>
        <v>0</v>
      </c>
      <c r="G57" s="11664"/>
      <c r="H57" s="11667"/>
      <c r="I57" s="12473" t="s">
        <v>9</v>
      </c>
      <c r="J57" s="11670"/>
    </row>
    <row r="58" spans="1:11" ht="17.100000000000001" customHeight="1">
      <c r="A58" s="7657"/>
      <c r="B58" s="7488" t="s">
        <v>10938</v>
      </c>
      <c r="C58" s="8872">
        <v>50213050</v>
      </c>
      <c r="D58" s="11664">
        <f>'WS-MOOE 2017'!AW20</f>
        <v>35891</v>
      </c>
      <c r="E58" s="11664">
        <f>'WS-MOOE ACTUAL JUNE 2018'!AS21</f>
        <v>0</v>
      </c>
      <c r="F58" s="11667">
        <f t="shared" si="2"/>
        <v>150000</v>
      </c>
      <c r="G58" s="11664">
        <v>150000</v>
      </c>
      <c r="H58" s="11664">
        <v>9000</v>
      </c>
      <c r="I58" s="12473">
        <f t="shared" si="3"/>
        <v>0.06</v>
      </c>
      <c r="J58" s="11665">
        <v>120000</v>
      </c>
    </row>
    <row r="59" spans="1:11" ht="17.100000000000001" customHeight="1">
      <c r="A59" s="7657"/>
      <c r="B59" s="7488" t="s">
        <v>10937</v>
      </c>
      <c r="C59" s="11258">
        <v>50213060</v>
      </c>
      <c r="D59" s="11664">
        <f>'WS-MOOE 2017'!BB20</f>
        <v>42986</v>
      </c>
      <c r="E59" s="11664">
        <f>'WS-MOOE ACTUAL JUNE 2018'!AT21</f>
        <v>700</v>
      </c>
      <c r="F59" s="11667">
        <f t="shared" si="2"/>
        <v>119300</v>
      </c>
      <c r="G59" s="11664">
        <v>120000</v>
      </c>
      <c r="H59" s="11664">
        <v>21822</v>
      </c>
      <c r="I59" s="12473">
        <f t="shared" si="3"/>
        <v>0.18185000000000001</v>
      </c>
      <c r="J59" s="11665">
        <v>120000</v>
      </c>
    </row>
    <row r="60" spans="1:11" ht="17.100000000000001" customHeight="1">
      <c r="A60" s="7657"/>
      <c r="B60" s="7287" t="s">
        <v>72</v>
      </c>
      <c r="C60" s="8802">
        <v>50215020</v>
      </c>
      <c r="D60" s="11664">
        <f>'WS-MOOE 2017'!BH20</f>
        <v>0</v>
      </c>
      <c r="E60" s="11664">
        <f>'WS-MOOE ACTUAL JUNE 2018'!AZ21</f>
        <v>0</v>
      </c>
      <c r="F60" s="11667">
        <f t="shared" si="2"/>
        <v>2000</v>
      </c>
      <c r="G60" s="11664">
        <v>2000</v>
      </c>
      <c r="H60" s="11664">
        <v>0</v>
      </c>
      <c r="I60" s="12473">
        <f t="shared" si="3"/>
        <v>0</v>
      </c>
      <c r="J60" s="11665">
        <v>2000</v>
      </c>
    </row>
    <row r="61" spans="1:11" ht="17.100000000000001" customHeight="1">
      <c r="A61" s="7657"/>
      <c r="B61" s="7287" t="s">
        <v>194</v>
      </c>
      <c r="C61" s="8802">
        <v>50299990</v>
      </c>
      <c r="D61" s="11664">
        <f>'WS-MOOE 2017'!BO20</f>
        <v>15000</v>
      </c>
      <c r="E61" s="11664">
        <f>'WS-MOOE ACTUAL JUNE 2018'!BI21</f>
        <v>14524.75</v>
      </c>
      <c r="F61" s="11667">
        <f t="shared" si="2"/>
        <v>55475.25</v>
      </c>
      <c r="G61" s="11664">
        <v>70000</v>
      </c>
      <c r="H61" s="11664">
        <v>18579.75</v>
      </c>
      <c r="I61" s="12473">
        <f>H61/G61</f>
        <v>0.26542500000000002</v>
      </c>
      <c r="J61" s="11665">
        <v>70000</v>
      </c>
    </row>
    <row r="62" spans="1:11" ht="17.100000000000001" customHeight="1">
      <c r="A62" s="7657"/>
      <c r="B62" s="7287"/>
      <c r="C62" s="8802"/>
      <c r="D62" s="11664"/>
      <c r="E62" s="11664"/>
      <c r="F62" s="11667"/>
      <c r="G62" s="11664" t="s">
        <v>9</v>
      </c>
      <c r="H62" s="11664" t="s">
        <v>9</v>
      </c>
      <c r="I62" s="12473" t="s">
        <v>9</v>
      </c>
      <c r="J62" s="11665" t="s">
        <v>9</v>
      </c>
    </row>
    <row r="63" spans="1:11" ht="15" customHeight="1">
      <c r="A63" s="7657"/>
      <c r="B63" s="7315" t="s">
        <v>37</v>
      </c>
      <c r="C63" s="12472"/>
      <c r="D63" s="9465">
        <f>SUM(D44:D61)</f>
        <v>3104983.9899999998</v>
      </c>
      <c r="E63" s="9465">
        <f>SUM(E44:E61)</f>
        <v>1431413.44</v>
      </c>
      <c r="F63" s="9465">
        <f>SUM(F44:F61)</f>
        <v>2912826.56</v>
      </c>
      <c r="G63" s="9465">
        <f>SUM(G44:G61)</f>
        <v>4344240</v>
      </c>
      <c r="H63" s="9465">
        <f>SUM(H44:H61)</f>
        <v>3096213.33</v>
      </c>
      <c r="I63" s="12475"/>
      <c r="J63" s="11744">
        <f>SUM(J44:J61)</f>
        <v>4091000</v>
      </c>
      <c r="K63" s="10372">
        <f>(J63-G63)/G63</f>
        <v>-5.8293280297589449E-2</v>
      </c>
    </row>
    <row r="64" spans="1:11" ht="15" customHeight="1" thickBot="1">
      <c r="A64" s="7699"/>
      <c r="B64" s="7781"/>
      <c r="C64" s="11717"/>
      <c r="D64" s="11673"/>
      <c r="E64" s="11673"/>
      <c r="F64" s="11673"/>
      <c r="G64" s="11673"/>
      <c r="H64" s="11673"/>
      <c r="I64" s="12327"/>
      <c r="J64" s="11877"/>
    </row>
    <row r="65" spans="1:10" ht="15" customHeight="1">
      <c r="A65" s="7287"/>
      <c r="B65" s="7315"/>
      <c r="C65" s="9339"/>
      <c r="D65" s="7349"/>
      <c r="E65" s="7349"/>
      <c r="F65" s="7349"/>
      <c r="G65" s="7349"/>
      <c r="H65" s="7349"/>
      <c r="I65" s="10492"/>
      <c r="J65" s="7349"/>
    </row>
    <row r="66" spans="1:10" ht="15" customHeight="1">
      <c r="A66" s="7287"/>
      <c r="B66" s="7315"/>
      <c r="C66" s="9339"/>
      <c r="D66" s="7349"/>
      <c r="E66" s="7349"/>
      <c r="F66" s="7349"/>
      <c r="G66" s="7349"/>
      <c r="H66" s="7349"/>
      <c r="I66" s="10492"/>
      <c r="J66" s="7349"/>
    </row>
    <row r="67" spans="1:10" ht="15" customHeight="1">
      <c r="A67" s="7287"/>
      <c r="B67" s="7315"/>
      <c r="C67" s="9339"/>
      <c r="D67" s="7349"/>
      <c r="E67" s="7349"/>
      <c r="F67" s="7349"/>
      <c r="G67" s="7349"/>
      <c r="H67" s="7349"/>
      <c r="I67" s="10492"/>
      <c r="J67" s="7349"/>
    </row>
    <row r="68" spans="1:10" ht="15" customHeight="1">
      <c r="A68" s="7287"/>
      <c r="B68" s="7315"/>
      <c r="C68" s="9339"/>
      <c r="D68" s="7349"/>
      <c r="E68" s="7349"/>
      <c r="F68" s="7349"/>
      <c r="G68" s="7349"/>
      <c r="H68" s="7349"/>
      <c r="I68" s="10492"/>
      <c r="J68" s="7349"/>
    </row>
    <row r="69" spans="1:10" ht="15" customHeight="1">
      <c r="A69" s="7287"/>
      <c r="B69" s="7315"/>
      <c r="C69" s="9339"/>
      <c r="D69" s="7349"/>
      <c r="E69" s="7349"/>
      <c r="F69" s="7349"/>
      <c r="G69" s="7349"/>
      <c r="H69" s="7349"/>
      <c r="I69" s="10492"/>
      <c r="J69" s="7349"/>
    </row>
    <row r="70" spans="1:10" ht="15" customHeight="1">
      <c r="A70" s="7287"/>
      <c r="B70" s="7315"/>
      <c r="C70" s="9339"/>
      <c r="D70" s="7349"/>
      <c r="E70" s="7349"/>
      <c r="F70" s="7349"/>
      <c r="G70" s="7349"/>
      <c r="H70" s="7349"/>
      <c r="I70" s="10492"/>
      <c r="J70" s="7349"/>
    </row>
    <row r="71" spans="1:10" ht="15" customHeight="1">
      <c r="A71" s="7287"/>
      <c r="B71" s="7315"/>
      <c r="C71" s="9339"/>
      <c r="D71" s="7349"/>
      <c r="E71" s="7349"/>
      <c r="F71" s="7349"/>
      <c r="G71" s="7349"/>
      <c r="H71" s="7349"/>
      <c r="I71" s="10492"/>
      <c r="J71" s="7349"/>
    </row>
    <row r="72" spans="1:10" ht="15" customHeight="1">
      <c r="A72" s="7287"/>
      <c r="B72" s="7315"/>
      <c r="C72" s="9339"/>
      <c r="D72" s="7349"/>
      <c r="E72" s="7349"/>
      <c r="F72" s="7349"/>
      <c r="G72" s="7349"/>
      <c r="H72" s="7349"/>
      <c r="I72" s="10492"/>
      <c r="J72" s="7349"/>
    </row>
    <row r="73" spans="1:10" ht="15" customHeight="1">
      <c r="A73" s="7287"/>
      <c r="B73" s="7315"/>
      <c r="C73" s="9339"/>
      <c r="D73" s="7349"/>
      <c r="E73" s="7349"/>
      <c r="F73" s="7349"/>
      <c r="G73" s="7349"/>
      <c r="H73" s="7349"/>
      <c r="I73" s="10492"/>
      <c r="J73" s="7349"/>
    </row>
    <row r="74" spans="1:10" ht="15" customHeight="1">
      <c r="A74" s="7287"/>
      <c r="B74" s="7315"/>
      <c r="C74" s="9339"/>
      <c r="D74" s="7349"/>
      <c r="E74" s="7349"/>
      <c r="F74" s="7349"/>
      <c r="G74" s="7349"/>
      <c r="H74" s="7349"/>
      <c r="I74" s="10492"/>
      <c r="J74" s="7349"/>
    </row>
    <row r="75" spans="1:10" ht="15" customHeight="1" thickBot="1">
      <c r="A75" s="7291" t="s">
        <v>10908</v>
      </c>
      <c r="B75" s="7781"/>
      <c r="C75" s="9342"/>
      <c r="D75" s="7794"/>
      <c r="E75" s="7794"/>
      <c r="F75" s="7794"/>
      <c r="G75" s="7794"/>
      <c r="H75" s="7794"/>
      <c r="I75" s="10493"/>
      <c r="J75" s="7794"/>
    </row>
    <row r="76" spans="1:10" ht="15" customHeight="1">
      <c r="A76" s="7694"/>
      <c r="B76" s="11658"/>
      <c r="C76" s="11675" t="s">
        <v>9</v>
      </c>
      <c r="D76" s="10868" t="s">
        <v>10</v>
      </c>
      <c r="E76" s="14188" t="s">
        <v>10711</v>
      </c>
      <c r="F76" s="14189"/>
      <c r="G76" s="14190"/>
      <c r="H76" s="9461"/>
      <c r="I76" s="9462"/>
      <c r="J76" s="11659" t="s">
        <v>12</v>
      </c>
    </row>
    <row r="77" spans="1:10" ht="15" customHeight="1">
      <c r="A77" s="7657"/>
      <c r="B77" s="7295" t="s">
        <v>13</v>
      </c>
      <c r="C77" s="11711" t="s">
        <v>93</v>
      </c>
      <c r="D77" s="11123" t="s">
        <v>15</v>
      </c>
      <c r="E77" s="9502" t="s">
        <v>10709</v>
      </c>
      <c r="F77" s="9503" t="s">
        <v>10710</v>
      </c>
      <c r="G77" s="14191" t="s">
        <v>458</v>
      </c>
      <c r="H77" s="11438"/>
      <c r="I77" s="11108"/>
      <c r="J77" s="11660" t="s">
        <v>16</v>
      </c>
    </row>
    <row r="78" spans="1:10" ht="15" customHeight="1" thickBot="1">
      <c r="A78" s="7699"/>
      <c r="B78" s="7897"/>
      <c r="C78" s="12442" t="s">
        <v>94</v>
      </c>
      <c r="D78" s="9455">
        <v>2017</v>
      </c>
      <c r="E78" s="9467" t="s">
        <v>457</v>
      </c>
      <c r="F78" s="11661" t="s">
        <v>456</v>
      </c>
      <c r="G78" s="14192"/>
      <c r="H78" s="7302"/>
      <c r="I78" s="7303"/>
      <c r="J78" s="11662">
        <v>2019</v>
      </c>
    </row>
    <row r="79" spans="1:10" ht="15" customHeight="1">
      <c r="A79" s="7657"/>
      <c r="B79" s="7295"/>
      <c r="C79" s="11711"/>
      <c r="D79" s="11123"/>
      <c r="E79" s="11123"/>
      <c r="F79" s="11123"/>
      <c r="G79" s="11123"/>
      <c r="H79" s="11438"/>
      <c r="I79" s="11108"/>
      <c r="J79" s="11660"/>
    </row>
    <row r="80" spans="1:10" ht="15" customHeight="1">
      <c r="A80" s="11663" t="s">
        <v>51</v>
      </c>
      <c r="B80" s="7287" t="s">
        <v>112</v>
      </c>
      <c r="C80" s="8802"/>
      <c r="D80" s="12329"/>
      <c r="E80" s="10150"/>
      <c r="F80" s="10150"/>
      <c r="G80" s="8798"/>
      <c r="H80" s="8798"/>
      <c r="I80" s="10576"/>
      <c r="J80" s="11691"/>
    </row>
    <row r="81" spans="1:12" ht="15" customHeight="1">
      <c r="A81" s="11663"/>
      <c r="B81" s="7287"/>
      <c r="C81" s="8802"/>
      <c r="D81" s="12329"/>
      <c r="E81" s="10150"/>
      <c r="F81" s="10150"/>
      <c r="G81" s="8798"/>
      <c r="H81" s="8798"/>
      <c r="I81" s="10576"/>
      <c r="J81" s="11691"/>
    </row>
    <row r="82" spans="1:12" ht="15" hidden="1" customHeight="1">
      <c r="A82" s="11663"/>
      <c r="B82" s="7287" t="s">
        <v>11234</v>
      </c>
      <c r="C82" s="8802">
        <v>50901020</v>
      </c>
      <c r="D82" s="12329"/>
      <c r="E82" s="8870"/>
      <c r="F82" s="10150"/>
      <c r="G82" s="8798"/>
      <c r="H82" s="8798"/>
      <c r="I82" s="10576"/>
      <c r="J82" s="11691"/>
    </row>
    <row r="83" spans="1:12" ht="15" hidden="1" customHeight="1">
      <c r="A83" s="11663"/>
      <c r="B83" s="7810" t="s">
        <v>12242</v>
      </c>
      <c r="C83" s="10377">
        <v>50707010</v>
      </c>
      <c r="D83" s="11664">
        <f>'WS-CO 2017'!K19</f>
        <v>0</v>
      </c>
      <c r="E83" s="8798"/>
      <c r="F83" s="10137">
        <f>G83-E83</f>
        <v>0</v>
      </c>
      <c r="G83" s="8798">
        <v>0</v>
      </c>
      <c r="H83" s="8798">
        <v>0</v>
      </c>
      <c r="I83" s="10576" t="e">
        <f>H83/G83</f>
        <v>#DIV/0!</v>
      </c>
      <c r="J83" s="11691">
        <v>0</v>
      </c>
    </row>
    <row r="84" spans="1:12" ht="15" customHeight="1">
      <c r="A84" s="11663"/>
      <c r="B84" s="7810" t="s">
        <v>11105</v>
      </c>
      <c r="C84" s="10377">
        <v>50705020</v>
      </c>
      <c r="D84" s="8798">
        <f>'WS-CO 2017'!F19</f>
        <v>106698</v>
      </c>
      <c r="E84" s="12329">
        <v>0</v>
      </c>
      <c r="F84" s="11667">
        <f>G84-E84</f>
        <v>300000</v>
      </c>
      <c r="G84" s="11664">
        <v>300000</v>
      </c>
      <c r="H84" s="11664">
        <v>200000</v>
      </c>
      <c r="I84" s="12233">
        <f>H84/G84</f>
        <v>0.66666666666666663</v>
      </c>
      <c r="J84" s="11678"/>
    </row>
    <row r="85" spans="1:12" s="7314" customFormat="1" ht="15" customHeight="1">
      <c r="A85" s="11663"/>
      <c r="B85" s="7287" t="s">
        <v>11761</v>
      </c>
      <c r="C85" s="8802"/>
      <c r="D85" s="7829"/>
      <c r="E85" s="7829"/>
      <c r="F85" s="7829"/>
      <c r="G85" s="7829"/>
      <c r="H85" s="7829"/>
      <c r="I85" s="10494"/>
      <c r="J85" s="11665">
        <v>200000</v>
      </c>
      <c r="L85" s="7898"/>
    </row>
    <row r="86" spans="1:12" ht="15" customHeight="1">
      <c r="A86" s="11663"/>
      <c r="B86" s="7315" t="s">
        <v>195</v>
      </c>
      <c r="C86" s="8802"/>
      <c r="D86" s="11712">
        <f>SUM(D83:D85)</f>
        <v>106698</v>
      </c>
      <c r="E86" s="11712">
        <f>SUM(E83:E85)</f>
        <v>0</v>
      </c>
      <c r="F86" s="11712">
        <f>SUM(F83:F85)</f>
        <v>300000</v>
      </c>
      <c r="G86" s="11712">
        <f>SUM(G81:G85)</f>
        <v>300000</v>
      </c>
      <c r="H86" s="11712">
        <f>SUM(H81:H85)</f>
        <v>200000</v>
      </c>
      <c r="I86" s="12317"/>
      <c r="J86" s="11713">
        <f>SUM(J81:J85)</f>
        <v>200000</v>
      </c>
      <c r="K86" s="10372">
        <f>(J86-G86)/G86</f>
        <v>-0.33333333333333331</v>
      </c>
    </row>
    <row r="87" spans="1:12" ht="15" customHeight="1">
      <c r="A87" s="11663"/>
      <c r="B87" s="7315"/>
      <c r="C87" s="8802"/>
      <c r="D87" s="11687"/>
      <c r="E87" s="11687"/>
      <c r="F87" s="11687"/>
      <c r="G87" s="11687"/>
      <c r="H87" s="11687"/>
      <c r="I87" s="11108"/>
      <c r="J87" s="11689"/>
    </row>
    <row r="88" spans="1:12" ht="15" customHeight="1">
      <c r="A88" s="11663" t="s">
        <v>53</v>
      </c>
      <c r="B88" s="7287" t="s">
        <v>54</v>
      </c>
      <c r="C88" s="8802"/>
      <c r="D88" s="11664"/>
      <c r="E88" s="11664"/>
      <c r="F88" s="11664"/>
      <c r="G88" s="11664"/>
      <c r="H88" s="11664"/>
      <c r="I88" s="12233"/>
      <c r="J88" s="11665"/>
    </row>
    <row r="89" spans="1:12" s="7314" customFormat="1" ht="15" customHeight="1">
      <c r="A89" s="11663"/>
      <c r="B89" s="7287" t="s">
        <v>10285</v>
      </c>
      <c r="C89" s="8802">
        <v>19920</v>
      </c>
      <c r="D89" s="12329">
        <v>350000</v>
      </c>
      <c r="E89" s="12329">
        <v>0</v>
      </c>
      <c r="F89" s="11667">
        <f>G89-E89</f>
        <v>350000</v>
      </c>
      <c r="G89" s="11664">
        <v>350000</v>
      </c>
      <c r="H89" s="11664">
        <v>0</v>
      </c>
      <c r="I89" s="12233">
        <f>H89/G89</f>
        <v>0</v>
      </c>
      <c r="J89" s="11665">
        <v>0</v>
      </c>
      <c r="L89" s="7898"/>
    </row>
    <row r="90" spans="1:12" ht="15" customHeight="1">
      <c r="A90" s="11663"/>
      <c r="B90" s="11628" t="s">
        <v>11413</v>
      </c>
      <c r="C90" s="8802"/>
      <c r="D90" s="11664"/>
      <c r="E90" s="11664">
        <v>0</v>
      </c>
      <c r="F90" s="11667">
        <f>G90-E90</f>
        <v>450000</v>
      </c>
      <c r="G90" s="11664">
        <v>450000</v>
      </c>
      <c r="H90" s="11664">
        <v>0</v>
      </c>
      <c r="I90" s="12233">
        <f>H90/G90</f>
        <v>0</v>
      </c>
      <c r="J90" s="11665">
        <v>450000</v>
      </c>
    </row>
    <row r="91" spans="1:12" ht="15" customHeight="1">
      <c r="A91" s="11663"/>
      <c r="B91" s="7730"/>
      <c r="C91" s="8802"/>
      <c r="D91" s="7660"/>
      <c r="E91" s="7829"/>
      <c r="F91" s="7829"/>
      <c r="G91" s="7829"/>
      <c r="H91" s="7829"/>
      <c r="I91" s="10494"/>
      <c r="J91" s="12444"/>
    </row>
    <row r="92" spans="1:12" s="7340" customFormat="1" ht="15" customHeight="1">
      <c r="A92" s="11710"/>
      <c r="B92" s="7315" t="s">
        <v>195</v>
      </c>
      <c r="C92" s="11711"/>
      <c r="D92" s="12476">
        <f>SUM(D88:D90)</f>
        <v>350000</v>
      </c>
      <c r="E92" s="12476">
        <f>SUM(E88:E90)</f>
        <v>0</v>
      </c>
      <c r="F92" s="12476">
        <f>SUM(F88:F90)</f>
        <v>800000</v>
      </c>
      <c r="G92" s="12476">
        <f>SUM(G88:G90)</f>
        <v>800000</v>
      </c>
      <c r="H92" s="12476">
        <f>SUM(H88:H90)</f>
        <v>0</v>
      </c>
      <c r="I92" s="8857"/>
      <c r="J92" s="12477">
        <f>SUM(J88:J90)</f>
        <v>450000</v>
      </c>
      <c r="K92" s="10372">
        <f>(J92-G92)/G92</f>
        <v>-0.4375</v>
      </c>
      <c r="L92" s="10258"/>
    </row>
    <row r="93" spans="1:12" s="7340" customFormat="1" ht="15" customHeight="1">
      <c r="A93" s="12331"/>
      <c r="B93" s="7782"/>
      <c r="C93" s="12478"/>
      <c r="D93" s="12476"/>
      <c r="E93" s="12476"/>
      <c r="F93" s="12476"/>
      <c r="G93" s="12476"/>
      <c r="H93" s="12476"/>
      <c r="I93" s="8857"/>
      <c r="J93" s="12477"/>
      <c r="L93" s="10258"/>
    </row>
    <row r="94" spans="1:12" ht="15" customHeight="1" thickBot="1">
      <c r="A94" s="12479"/>
      <c r="B94" s="12480" t="s">
        <v>55</v>
      </c>
      <c r="C94" s="12481"/>
      <c r="D94" s="11695">
        <f>(D30+D63+D86+D92)</f>
        <v>10203957.060000001</v>
      </c>
      <c r="E94" s="11695">
        <f>(E30+E63+E86+E92)</f>
        <v>4411886.01</v>
      </c>
      <c r="F94" s="11695">
        <f>(F30+F63+F86+F92)</f>
        <v>11173637.99</v>
      </c>
      <c r="G94" s="11695">
        <f>(G30+G63+G86+G92)</f>
        <v>15585524</v>
      </c>
      <c r="H94" s="11695"/>
      <c r="I94" s="12236"/>
      <c r="J94" s="12446">
        <f>(J30+J63+J86+J92)</f>
        <v>13243406.73</v>
      </c>
      <c r="K94" s="10372">
        <f>(J94-G94)/G94</f>
        <v>-0.15027517008731947</v>
      </c>
    </row>
    <row r="95" spans="1:12" s="7333" customFormat="1" ht="15" customHeight="1">
      <c r="A95" s="12482" t="s">
        <v>4763</v>
      </c>
      <c r="B95" s="12482"/>
      <c r="C95" s="12483"/>
      <c r="D95" s="12484"/>
      <c r="E95" s="12484"/>
      <c r="F95" s="12484"/>
      <c r="G95" s="12485"/>
      <c r="H95" s="12484"/>
      <c r="I95" s="12486"/>
      <c r="J95" s="12485"/>
      <c r="L95" s="7842"/>
    </row>
    <row r="96" spans="1:12" ht="15" customHeight="1">
      <c r="A96" s="7276"/>
      <c r="B96" s="7276"/>
      <c r="C96" s="9337"/>
      <c r="D96" s="7285"/>
      <c r="E96" s="7285"/>
      <c r="F96" s="7285"/>
      <c r="H96" s="7285"/>
      <c r="I96" s="8106"/>
    </row>
    <row r="97" spans="1:12" ht="15" hidden="1" customHeight="1">
      <c r="A97" s="7761" t="s">
        <v>3483</v>
      </c>
      <c r="B97" s="7761"/>
      <c r="C97" s="10870" t="s">
        <v>3484</v>
      </c>
      <c r="E97" s="7762"/>
      <c r="F97" s="9459" t="s">
        <v>10666</v>
      </c>
      <c r="H97" s="7763"/>
      <c r="I97" s="8106"/>
      <c r="J97" s="7762"/>
    </row>
    <row r="98" spans="1:12" s="7340" customFormat="1" ht="15" hidden="1" customHeight="1">
      <c r="A98" s="7761"/>
      <c r="B98" s="7761"/>
      <c r="C98" s="9344"/>
      <c r="D98" s="10870"/>
      <c r="E98" s="7764"/>
      <c r="F98" s="7764"/>
      <c r="G98" s="7339"/>
      <c r="H98" s="7763"/>
      <c r="I98" s="8106"/>
      <c r="J98" s="7764"/>
      <c r="L98" s="10258"/>
    </row>
    <row r="99" spans="1:12" s="7340" customFormat="1" ht="15" hidden="1" customHeight="1">
      <c r="A99" s="7761"/>
      <c r="B99" s="7761"/>
      <c r="C99" s="9344"/>
      <c r="D99" s="10870"/>
      <c r="E99" s="7764"/>
      <c r="F99" s="7764"/>
      <c r="G99" s="7339"/>
      <c r="H99" s="7763"/>
      <c r="I99" s="8106"/>
      <c r="J99" s="7764"/>
      <c r="L99" s="10258"/>
    </row>
    <row r="100" spans="1:12" ht="15" hidden="1" customHeight="1">
      <c r="A100" s="7761"/>
      <c r="B100" s="7761"/>
      <c r="D100" s="10870"/>
      <c r="E100" s="7762"/>
      <c r="F100" s="7762"/>
      <c r="G100" s="7339"/>
      <c r="H100" s="7763"/>
      <c r="I100" s="8106"/>
      <c r="J100" s="7762"/>
    </row>
    <row r="101" spans="1:12" ht="15" hidden="1" customHeight="1">
      <c r="B101" s="10874" t="s">
        <v>9163</v>
      </c>
      <c r="D101" s="10874" t="s">
        <v>12059</v>
      </c>
      <c r="E101" s="7762"/>
      <c r="F101" s="7762"/>
      <c r="G101" s="7342" t="s">
        <v>10667</v>
      </c>
      <c r="H101" s="7766"/>
      <c r="I101" s="10488"/>
      <c r="J101" s="7762"/>
    </row>
    <row r="102" spans="1:12" ht="15" hidden="1" customHeight="1">
      <c r="B102" s="10878" t="s">
        <v>6898</v>
      </c>
      <c r="D102" s="10878" t="s">
        <v>3486</v>
      </c>
      <c r="E102" s="7762"/>
      <c r="F102" s="7762"/>
      <c r="G102" s="7344" t="s">
        <v>10668</v>
      </c>
      <c r="H102" s="7763"/>
      <c r="I102" s="10871"/>
      <c r="J102" s="7763"/>
    </row>
    <row r="103" spans="1:12" ht="15" customHeight="1">
      <c r="A103" s="7276"/>
      <c r="B103" s="7276"/>
      <c r="D103" s="7278"/>
      <c r="E103" s="7285"/>
      <c r="F103" s="7285"/>
      <c r="G103" s="7285"/>
      <c r="H103" s="7285"/>
      <c r="I103" s="8106"/>
      <c r="J103" s="7285"/>
    </row>
    <row r="104" spans="1:12" ht="15" hidden="1" customHeight="1">
      <c r="A104" s="7276"/>
      <c r="B104" s="7276"/>
      <c r="C104" s="9337"/>
      <c r="D104" s="7285"/>
      <c r="E104" s="7285"/>
      <c r="F104" s="7285"/>
      <c r="G104" s="7345">
        <f>G94-C94</f>
        <v>15585524</v>
      </c>
      <c r="H104" s="7285"/>
      <c r="I104" s="8106"/>
      <c r="J104" s="7345">
        <f>J94-G94</f>
        <v>-2342117.2699999996</v>
      </c>
    </row>
    <row r="105" spans="1:12" ht="15" hidden="1" customHeight="1">
      <c r="A105" s="7276"/>
      <c r="B105" s="7276"/>
      <c r="C105" s="9337"/>
      <c r="D105" s="7285"/>
      <c r="E105" s="7285"/>
      <c r="F105" s="7285"/>
      <c r="G105" s="7345" t="e">
        <f>G104/C94</f>
        <v>#DIV/0!</v>
      </c>
      <c r="H105" s="7285"/>
      <c r="I105" s="8106"/>
      <c r="J105" s="7345">
        <f>J104/G94</f>
        <v>-0.15027517008731947</v>
      </c>
    </row>
    <row r="108" spans="1:12" ht="15" customHeight="1">
      <c r="H108" s="7334"/>
    </row>
  </sheetData>
  <mergeCells count="8">
    <mergeCell ref="A1:J1"/>
    <mergeCell ref="E76:G76"/>
    <mergeCell ref="G77:G78"/>
    <mergeCell ref="E7:G7"/>
    <mergeCell ref="G8:G9"/>
    <mergeCell ref="E39:G39"/>
    <mergeCell ref="G40:G41"/>
    <mergeCell ref="J4:J5"/>
  </mergeCells>
  <printOptions horizontalCentered="1" gridLinesSet="0"/>
  <pageMargins left="0.25" right="0.25" top="0.5" bottom="0.25" header="0.25" footer="0.25"/>
  <pageSetup paperSize="119" firstPageNumber="211" orientation="landscape" useFirstPageNumber="1" r:id="rId1"/>
  <headerFooter alignWithMargins="0"/>
</worksheet>
</file>

<file path=xl/worksheets/sheet115.xml><?xml version="1.0" encoding="utf-8"?>
<worksheet xmlns="http://schemas.openxmlformats.org/spreadsheetml/2006/main" xmlns:r="http://schemas.openxmlformats.org/officeDocument/2006/relationships">
  <sheetPr codeName="Sheet163">
    <tabColor rgb="FFFFFF00"/>
  </sheetPr>
  <dimension ref="A1:K22"/>
  <sheetViews>
    <sheetView topLeftCell="A19" workbookViewId="0">
      <selection activeCell="F15" sqref="F15"/>
    </sheetView>
  </sheetViews>
  <sheetFormatPr defaultRowHeight="14.4"/>
  <cols>
    <col min="1" max="1" width="9.109375" customWidth="1"/>
    <col min="4" max="4" width="2.109375" customWidth="1"/>
    <col min="5" max="5" width="18.88671875" customWidth="1"/>
    <col min="6" max="6" width="16" customWidth="1"/>
    <col min="7" max="7" width="14.88671875" customWidth="1"/>
    <col min="8" max="8" width="15.109375" customWidth="1"/>
    <col min="257" max="257" width="9.109375" customWidth="1"/>
    <col min="260" max="260" width="2.109375" customWidth="1"/>
    <col min="261" max="261" width="17.109375" customWidth="1"/>
    <col min="262" max="262" width="13.88671875" customWidth="1"/>
    <col min="263" max="264" width="13.109375" customWidth="1"/>
    <col min="513" max="513" width="9.109375" customWidth="1"/>
    <col min="516" max="516" width="2.109375" customWidth="1"/>
    <col min="517" max="517" width="17.109375" customWidth="1"/>
    <col min="518" max="518" width="13.88671875" customWidth="1"/>
    <col min="519" max="520" width="13.109375" customWidth="1"/>
    <col min="769" max="769" width="9.109375" customWidth="1"/>
    <col min="772" max="772" width="2.109375" customWidth="1"/>
    <col min="773" max="773" width="17.109375" customWidth="1"/>
    <col min="774" max="774" width="13.88671875" customWidth="1"/>
    <col min="775" max="776" width="13.109375" customWidth="1"/>
    <col min="1025" max="1025" width="9.109375" customWidth="1"/>
    <col min="1028" max="1028" width="2.109375" customWidth="1"/>
    <col min="1029" max="1029" width="17.109375" customWidth="1"/>
    <col min="1030" max="1030" width="13.88671875" customWidth="1"/>
    <col min="1031" max="1032" width="13.109375" customWidth="1"/>
    <col min="1281" max="1281" width="9.109375" customWidth="1"/>
    <col min="1284" max="1284" width="2.109375" customWidth="1"/>
    <col min="1285" max="1285" width="17.109375" customWidth="1"/>
    <col min="1286" max="1286" width="13.88671875" customWidth="1"/>
    <col min="1287" max="1288" width="13.109375" customWidth="1"/>
    <col min="1537" max="1537" width="9.109375" customWidth="1"/>
    <col min="1540" max="1540" width="2.109375" customWidth="1"/>
    <col min="1541" max="1541" width="17.109375" customWidth="1"/>
    <col min="1542" max="1542" width="13.88671875" customWidth="1"/>
    <col min="1543" max="1544" width="13.109375" customWidth="1"/>
    <col min="1793" max="1793" width="9.109375" customWidth="1"/>
    <col min="1796" max="1796" width="2.109375" customWidth="1"/>
    <col min="1797" max="1797" width="17.109375" customWidth="1"/>
    <col min="1798" max="1798" width="13.88671875" customWidth="1"/>
    <col min="1799" max="1800" width="13.109375" customWidth="1"/>
    <col min="2049" max="2049" width="9.109375" customWidth="1"/>
    <col min="2052" max="2052" width="2.109375" customWidth="1"/>
    <col min="2053" max="2053" width="17.109375" customWidth="1"/>
    <col min="2054" max="2054" width="13.88671875" customWidth="1"/>
    <col min="2055" max="2056" width="13.109375" customWidth="1"/>
    <col min="2305" max="2305" width="9.109375" customWidth="1"/>
    <col min="2308" max="2308" width="2.109375" customWidth="1"/>
    <col min="2309" max="2309" width="17.109375" customWidth="1"/>
    <col min="2310" max="2310" width="13.88671875" customWidth="1"/>
    <col min="2311" max="2312" width="13.109375" customWidth="1"/>
    <col min="2561" max="2561" width="9.109375" customWidth="1"/>
    <col min="2564" max="2564" width="2.109375" customWidth="1"/>
    <col min="2565" max="2565" width="17.109375" customWidth="1"/>
    <col min="2566" max="2566" width="13.88671875" customWidth="1"/>
    <col min="2567" max="2568" width="13.109375" customWidth="1"/>
    <col min="2817" max="2817" width="9.109375" customWidth="1"/>
    <col min="2820" max="2820" width="2.109375" customWidth="1"/>
    <col min="2821" max="2821" width="17.109375" customWidth="1"/>
    <col min="2822" max="2822" width="13.88671875" customWidth="1"/>
    <col min="2823" max="2824" width="13.109375" customWidth="1"/>
    <col min="3073" max="3073" width="9.109375" customWidth="1"/>
    <col min="3076" max="3076" width="2.109375" customWidth="1"/>
    <col min="3077" max="3077" width="17.109375" customWidth="1"/>
    <col min="3078" max="3078" width="13.88671875" customWidth="1"/>
    <col min="3079" max="3080" width="13.109375" customWidth="1"/>
    <col min="3329" max="3329" width="9.109375" customWidth="1"/>
    <col min="3332" max="3332" width="2.109375" customWidth="1"/>
    <col min="3333" max="3333" width="17.109375" customWidth="1"/>
    <col min="3334" max="3334" width="13.88671875" customWidth="1"/>
    <col min="3335" max="3336" width="13.109375" customWidth="1"/>
    <col min="3585" max="3585" width="9.109375" customWidth="1"/>
    <col min="3588" max="3588" width="2.109375" customWidth="1"/>
    <col min="3589" max="3589" width="17.109375" customWidth="1"/>
    <col min="3590" max="3590" width="13.88671875" customWidth="1"/>
    <col min="3591" max="3592" width="13.109375" customWidth="1"/>
    <col min="3841" max="3841" width="9.109375" customWidth="1"/>
    <col min="3844" max="3844" width="2.109375" customWidth="1"/>
    <col min="3845" max="3845" width="17.109375" customWidth="1"/>
    <col min="3846" max="3846" width="13.88671875" customWidth="1"/>
    <col min="3847" max="3848" width="13.109375" customWidth="1"/>
    <col min="4097" max="4097" width="9.109375" customWidth="1"/>
    <col min="4100" max="4100" width="2.109375" customWidth="1"/>
    <col min="4101" max="4101" width="17.109375" customWidth="1"/>
    <col min="4102" max="4102" width="13.88671875" customWidth="1"/>
    <col min="4103" max="4104" width="13.109375" customWidth="1"/>
    <col min="4353" max="4353" width="9.109375" customWidth="1"/>
    <col min="4356" max="4356" width="2.109375" customWidth="1"/>
    <col min="4357" max="4357" width="17.109375" customWidth="1"/>
    <col min="4358" max="4358" width="13.88671875" customWidth="1"/>
    <col min="4359" max="4360" width="13.109375" customWidth="1"/>
    <col min="4609" max="4609" width="9.109375" customWidth="1"/>
    <col min="4612" max="4612" width="2.109375" customWidth="1"/>
    <col min="4613" max="4613" width="17.109375" customWidth="1"/>
    <col min="4614" max="4614" width="13.88671875" customWidth="1"/>
    <col min="4615" max="4616" width="13.109375" customWidth="1"/>
    <col min="4865" max="4865" width="9.109375" customWidth="1"/>
    <col min="4868" max="4868" width="2.109375" customWidth="1"/>
    <col min="4869" max="4869" width="17.109375" customWidth="1"/>
    <col min="4870" max="4870" width="13.88671875" customWidth="1"/>
    <col min="4871" max="4872" width="13.109375" customWidth="1"/>
    <col min="5121" max="5121" width="9.109375" customWidth="1"/>
    <col min="5124" max="5124" width="2.109375" customWidth="1"/>
    <col min="5125" max="5125" width="17.109375" customWidth="1"/>
    <col min="5126" max="5126" width="13.88671875" customWidth="1"/>
    <col min="5127" max="5128" width="13.109375" customWidth="1"/>
    <col min="5377" max="5377" width="9.109375" customWidth="1"/>
    <col min="5380" max="5380" width="2.109375" customWidth="1"/>
    <col min="5381" max="5381" width="17.109375" customWidth="1"/>
    <col min="5382" max="5382" width="13.88671875" customWidth="1"/>
    <col min="5383" max="5384" width="13.109375" customWidth="1"/>
    <col min="5633" max="5633" width="9.109375" customWidth="1"/>
    <col min="5636" max="5636" width="2.109375" customWidth="1"/>
    <col min="5637" max="5637" width="17.109375" customWidth="1"/>
    <col min="5638" max="5638" width="13.88671875" customWidth="1"/>
    <col min="5639" max="5640" width="13.109375" customWidth="1"/>
    <col min="5889" max="5889" width="9.109375" customWidth="1"/>
    <col min="5892" max="5892" width="2.109375" customWidth="1"/>
    <col min="5893" max="5893" width="17.109375" customWidth="1"/>
    <col min="5894" max="5894" width="13.88671875" customWidth="1"/>
    <col min="5895" max="5896" width="13.109375" customWidth="1"/>
    <col min="6145" max="6145" width="9.109375" customWidth="1"/>
    <col min="6148" max="6148" width="2.109375" customWidth="1"/>
    <col min="6149" max="6149" width="17.109375" customWidth="1"/>
    <col min="6150" max="6150" width="13.88671875" customWidth="1"/>
    <col min="6151" max="6152" width="13.109375" customWidth="1"/>
    <col min="6401" max="6401" width="9.109375" customWidth="1"/>
    <col min="6404" max="6404" width="2.109375" customWidth="1"/>
    <col min="6405" max="6405" width="17.109375" customWidth="1"/>
    <col min="6406" max="6406" width="13.88671875" customWidth="1"/>
    <col min="6407" max="6408" width="13.109375" customWidth="1"/>
    <col min="6657" max="6657" width="9.109375" customWidth="1"/>
    <col min="6660" max="6660" width="2.109375" customWidth="1"/>
    <col min="6661" max="6661" width="17.109375" customWidth="1"/>
    <col min="6662" max="6662" width="13.88671875" customWidth="1"/>
    <col min="6663" max="6664" width="13.109375" customWidth="1"/>
    <col min="6913" max="6913" width="9.109375" customWidth="1"/>
    <col min="6916" max="6916" width="2.109375" customWidth="1"/>
    <col min="6917" max="6917" width="17.109375" customWidth="1"/>
    <col min="6918" max="6918" width="13.88671875" customWidth="1"/>
    <col min="6919" max="6920" width="13.109375" customWidth="1"/>
    <col min="7169" max="7169" width="9.109375" customWidth="1"/>
    <col min="7172" max="7172" width="2.109375" customWidth="1"/>
    <col min="7173" max="7173" width="17.109375" customWidth="1"/>
    <col min="7174" max="7174" width="13.88671875" customWidth="1"/>
    <col min="7175" max="7176" width="13.109375" customWidth="1"/>
    <col min="7425" max="7425" width="9.109375" customWidth="1"/>
    <col min="7428" max="7428" width="2.109375" customWidth="1"/>
    <col min="7429" max="7429" width="17.109375" customWidth="1"/>
    <col min="7430" max="7430" width="13.88671875" customWidth="1"/>
    <col min="7431" max="7432" width="13.109375" customWidth="1"/>
    <col min="7681" max="7681" width="9.109375" customWidth="1"/>
    <col min="7684" max="7684" width="2.109375" customWidth="1"/>
    <col min="7685" max="7685" width="17.109375" customWidth="1"/>
    <col min="7686" max="7686" width="13.88671875" customWidth="1"/>
    <col min="7687" max="7688" width="13.109375" customWidth="1"/>
    <col min="7937" max="7937" width="9.109375" customWidth="1"/>
    <col min="7940" max="7940" width="2.109375" customWidth="1"/>
    <col min="7941" max="7941" width="17.109375" customWidth="1"/>
    <col min="7942" max="7942" width="13.88671875" customWidth="1"/>
    <col min="7943" max="7944" width="13.109375" customWidth="1"/>
    <col min="8193" max="8193" width="9.109375" customWidth="1"/>
    <col min="8196" max="8196" width="2.109375" customWidth="1"/>
    <col min="8197" max="8197" width="17.109375" customWidth="1"/>
    <col min="8198" max="8198" width="13.88671875" customWidth="1"/>
    <col min="8199" max="8200" width="13.109375" customWidth="1"/>
    <col min="8449" max="8449" width="9.109375" customWidth="1"/>
    <col min="8452" max="8452" width="2.109375" customWidth="1"/>
    <col min="8453" max="8453" width="17.109375" customWidth="1"/>
    <col min="8454" max="8454" width="13.88671875" customWidth="1"/>
    <col min="8455" max="8456" width="13.109375" customWidth="1"/>
    <col min="8705" max="8705" width="9.109375" customWidth="1"/>
    <col min="8708" max="8708" width="2.109375" customWidth="1"/>
    <col min="8709" max="8709" width="17.109375" customWidth="1"/>
    <col min="8710" max="8710" width="13.88671875" customWidth="1"/>
    <col min="8711" max="8712" width="13.109375" customWidth="1"/>
    <col min="8961" max="8961" width="9.109375" customWidth="1"/>
    <col min="8964" max="8964" width="2.109375" customWidth="1"/>
    <col min="8965" max="8965" width="17.109375" customWidth="1"/>
    <col min="8966" max="8966" width="13.88671875" customWidth="1"/>
    <col min="8967" max="8968" width="13.109375" customWidth="1"/>
    <col min="9217" max="9217" width="9.109375" customWidth="1"/>
    <col min="9220" max="9220" width="2.109375" customWidth="1"/>
    <col min="9221" max="9221" width="17.109375" customWidth="1"/>
    <col min="9222" max="9222" width="13.88671875" customWidth="1"/>
    <col min="9223" max="9224" width="13.109375" customWidth="1"/>
    <col min="9473" max="9473" width="9.109375" customWidth="1"/>
    <col min="9476" max="9476" width="2.109375" customWidth="1"/>
    <col min="9477" max="9477" width="17.109375" customWidth="1"/>
    <col min="9478" max="9478" width="13.88671875" customWidth="1"/>
    <col min="9479" max="9480" width="13.109375" customWidth="1"/>
    <col min="9729" max="9729" width="9.109375" customWidth="1"/>
    <col min="9732" max="9732" width="2.109375" customWidth="1"/>
    <col min="9733" max="9733" width="17.109375" customWidth="1"/>
    <col min="9734" max="9734" width="13.88671875" customWidth="1"/>
    <col min="9735" max="9736" width="13.109375" customWidth="1"/>
    <col min="9985" max="9985" width="9.109375" customWidth="1"/>
    <col min="9988" max="9988" width="2.109375" customWidth="1"/>
    <col min="9989" max="9989" width="17.109375" customWidth="1"/>
    <col min="9990" max="9990" width="13.88671875" customWidth="1"/>
    <col min="9991" max="9992" width="13.109375" customWidth="1"/>
    <col min="10241" max="10241" width="9.109375" customWidth="1"/>
    <col min="10244" max="10244" width="2.109375" customWidth="1"/>
    <col min="10245" max="10245" width="17.109375" customWidth="1"/>
    <col min="10246" max="10246" width="13.88671875" customWidth="1"/>
    <col min="10247" max="10248" width="13.109375" customWidth="1"/>
    <col min="10497" max="10497" width="9.109375" customWidth="1"/>
    <col min="10500" max="10500" width="2.109375" customWidth="1"/>
    <col min="10501" max="10501" width="17.109375" customWidth="1"/>
    <col min="10502" max="10502" width="13.88671875" customWidth="1"/>
    <col min="10503" max="10504" width="13.109375" customWidth="1"/>
    <col min="10753" max="10753" width="9.109375" customWidth="1"/>
    <col min="10756" max="10756" width="2.109375" customWidth="1"/>
    <col min="10757" max="10757" width="17.109375" customWidth="1"/>
    <col min="10758" max="10758" width="13.88671875" customWidth="1"/>
    <col min="10759" max="10760" width="13.109375" customWidth="1"/>
    <col min="11009" max="11009" width="9.109375" customWidth="1"/>
    <col min="11012" max="11012" width="2.109375" customWidth="1"/>
    <col min="11013" max="11013" width="17.109375" customWidth="1"/>
    <col min="11014" max="11014" width="13.88671875" customWidth="1"/>
    <col min="11015" max="11016" width="13.109375" customWidth="1"/>
    <col min="11265" max="11265" width="9.109375" customWidth="1"/>
    <col min="11268" max="11268" width="2.109375" customWidth="1"/>
    <col min="11269" max="11269" width="17.109375" customWidth="1"/>
    <col min="11270" max="11270" width="13.88671875" customWidth="1"/>
    <col min="11271" max="11272" width="13.109375" customWidth="1"/>
    <col min="11521" max="11521" width="9.109375" customWidth="1"/>
    <col min="11524" max="11524" width="2.109375" customWidth="1"/>
    <col min="11525" max="11525" width="17.109375" customWidth="1"/>
    <col min="11526" max="11526" width="13.88671875" customWidth="1"/>
    <col min="11527" max="11528" width="13.109375" customWidth="1"/>
    <col min="11777" max="11777" width="9.109375" customWidth="1"/>
    <col min="11780" max="11780" width="2.109375" customWidth="1"/>
    <col min="11781" max="11781" width="17.109375" customWidth="1"/>
    <col min="11782" max="11782" width="13.88671875" customWidth="1"/>
    <col min="11783" max="11784" width="13.109375" customWidth="1"/>
    <col min="12033" max="12033" width="9.109375" customWidth="1"/>
    <col min="12036" max="12036" width="2.109375" customWidth="1"/>
    <col min="12037" max="12037" width="17.109375" customWidth="1"/>
    <col min="12038" max="12038" width="13.88671875" customWidth="1"/>
    <col min="12039" max="12040" width="13.109375" customWidth="1"/>
    <col min="12289" max="12289" width="9.109375" customWidth="1"/>
    <col min="12292" max="12292" width="2.109375" customWidth="1"/>
    <col min="12293" max="12293" width="17.109375" customWidth="1"/>
    <col min="12294" max="12294" width="13.88671875" customWidth="1"/>
    <col min="12295" max="12296" width="13.109375" customWidth="1"/>
    <col min="12545" max="12545" width="9.109375" customWidth="1"/>
    <col min="12548" max="12548" width="2.109375" customWidth="1"/>
    <col min="12549" max="12549" width="17.109375" customWidth="1"/>
    <col min="12550" max="12550" width="13.88671875" customWidth="1"/>
    <col min="12551" max="12552" width="13.109375" customWidth="1"/>
    <col min="12801" max="12801" width="9.109375" customWidth="1"/>
    <col min="12804" max="12804" width="2.109375" customWidth="1"/>
    <col min="12805" max="12805" width="17.109375" customWidth="1"/>
    <col min="12806" max="12806" width="13.88671875" customWidth="1"/>
    <col min="12807" max="12808" width="13.109375" customWidth="1"/>
    <col min="13057" max="13057" width="9.109375" customWidth="1"/>
    <col min="13060" max="13060" width="2.109375" customWidth="1"/>
    <col min="13061" max="13061" width="17.109375" customWidth="1"/>
    <col min="13062" max="13062" width="13.88671875" customWidth="1"/>
    <col min="13063" max="13064" width="13.109375" customWidth="1"/>
    <col min="13313" max="13313" width="9.109375" customWidth="1"/>
    <col min="13316" max="13316" width="2.109375" customWidth="1"/>
    <col min="13317" max="13317" width="17.109375" customWidth="1"/>
    <col min="13318" max="13318" width="13.88671875" customWidth="1"/>
    <col min="13319" max="13320" width="13.109375" customWidth="1"/>
    <col min="13569" max="13569" width="9.109375" customWidth="1"/>
    <col min="13572" max="13572" width="2.109375" customWidth="1"/>
    <col min="13573" max="13573" width="17.109375" customWidth="1"/>
    <col min="13574" max="13574" width="13.88671875" customWidth="1"/>
    <col min="13575" max="13576" width="13.109375" customWidth="1"/>
    <col min="13825" max="13825" width="9.109375" customWidth="1"/>
    <col min="13828" max="13828" width="2.109375" customWidth="1"/>
    <col min="13829" max="13829" width="17.109375" customWidth="1"/>
    <col min="13830" max="13830" width="13.88671875" customWidth="1"/>
    <col min="13831" max="13832" width="13.109375" customWidth="1"/>
    <col min="14081" max="14081" width="9.109375" customWidth="1"/>
    <col min="14084" max="14084" width="2.109375" customWidth="1"/>
    <col min="14085" max="14085" width="17.109375" customWidth="1"/>
    <col min="14086" max="14086" width="13.88671875" customWidth="1"/>
    <col min="14087" max="14088" width="13.109375" customWidth="1"/>
    <col min="14337" max="14337" width="9.109375" customWidth="1"/>
    <col min="14340" max="14340" width="2.109375" customWidth="1"/>
    <col min="14341" max="14341" width="17.109375" customWidth="1"/>
    <col min="14342" max="14342" width="13.88671875" customWidth="1"/>
    <col min="14343" max="14344" width="13.109375" customWidth="1"/>
    <col min="14593" max="14593" width="9.109375" customWidth="1"/>
    <col min="14596" max="14596" width="2.109375" customWidth="1"/>
    <col min="14597" max="14597" width="17.109375" customWidth="1"/>
    <col min="14598" max="14598" width="13.88671875" customWidth="1"/>
    <col min="14599" max="14600" width="13.109375" customWidth="1"/>
    <col min="14849" max="14849" width="9.109375" customWidth="1"/>
    <col min="14852" max="14852" width="2.109375" customWidth="1"/>
    <col min="14853" max="14853" width="17.109375" customWidth="1"/>
    <col min="14854" max="14854" width="13.88671875" customWidth="1"/>
    <col min="14855" max="14856" width="13.109375" customWidth="1"/>
    <col min="15105" max="15105" width="9.109375" customWidth="1"/>
    <col min="15108" max="15108" width="2.109375" customWidth="1"/>
    <col min="15109" max="15109" width="17.109375" customWidth="1"/>
    <col min="15110" max="15110" width="13.88671875" customWidth="1"/>
    <col min="15111" max="15112" width="13.109375" customWidth="1"/>
    <col min="15361" max="15361" width="9.109375" customWidth="1"/>
    <col min="15364" max="15364" width="2.109375" customWidth="1"/>
    <col min="15365" max="15365" width="17.109375" customWidth="1"/>
    <col min="15366" max="15366" width="13.88671875" customWidth="1"/>
    <col min="15367" max="15368" width="13.109375" customWidth="1"/>
    <col min="15617" max="15617" width="9.109375" customWidth="1"/>
    <col min="15620" max="15620" width="2.109375" customWidth="1"/>
    <col min="15621" max="15621" width="17.109375" customWidth="1"/>
    <col min="15622" max="15622" width="13.88671875" customWidth="1"/>
    <col min="15623" max="15624" width="13.109375" customWidth="1"/>
    <col min="15873" max="15873" width="9.109375" customWidth="1"/>
    <col min="15876" max="15876" width="2.109375" customWidth="1"/>
    <col min="15877" max="15877" width="17.109375" customWidth="1"/>
    <col min="15878" max="15878" width="13.88671875" customWidth="1"/>
    <col min="15879" max="15880" width="13.109375" customWidth="1"/>
    <col min="16129" max="16129" width="9.109375" customWidth="1"/>
    <col min="16132" max="16132" width="2.109375" customWidth="1"/>
    <col min="16133" max="16133" width="17.109375" customWidth="1"/>
    <col min="16134" max="16134" width="13.88671875" customWidth="1"/>
    <col min="16135" max="16136" width="13.109375" customWidth="1"/>
  </cols>
  <sheetData>
    <row r="1" spans="1:8" s="1158" customFormat="1">
      <c r="A1" s="1158" t="s">
        <v>5741</v>
      </c>
    </row>
    <row r="2" spans="1:8" s="1158" customFormat="1"/>
    <row r="3" spans="1:8" s="1158" customFormat="1">
      <c r="A3" s="1158" t="s">
        <v>5742</v>
      </c>
    </row>
    <row r="5" spans="1:8" s="1158" customFormat="1">
      <c r="A5" s="5340" t="s">
        <v>5743</v>
      </c>
      <c r="B5" s="5341"/>
      <c r="C5" s="5341"/>
      <c r="D5" s="5342"/>
      <c r="E5" s="5340" t="s">
        <v>5744</v>
      </c>
      <c r="F5" s="5341"/>
      <c r="G5" s="5342"/>
      <c r="H5" s="5343" t="s">
        <v>458</v>
      </c>
    </row>
    <row r="6" spans="1:8" s="5334" customFormat="1">
      <c r="A6" s="5345"/>
      <c r="B6" s="5346"/>
      <c r="C6" s="5346"/>
      <c r="D6" s="5347"/>
      <c r="E6" s="5344" t="s">
        <v>5745</v>
      </c>
      <c r="F6" s="5344" t="s">
        <v>5746</v>
      </c>
      <c r="G6" s="5344" t="s">
        <v>52</v>
      </c>
      <c r="H6" s="2060"/>
    </row>
    <row r="7" spans="1:8" s="1155" customFormat="1">
      <c r="A7" s="2062"/>
      <c r="D7" s="5337"/>
      <c r="E7" s="5338"/>
      <c r="F7" s="5339"/>
      <c r="G7" s="5338"/>
      <c r="H7" s="2025"/>
    </row>
    <row r="8" spans="1:8">
      <c r="A8" s="2062" t="s">
        <v>5747</v>
      </c>
      <c r="B8" s="1155"/>
      <c r="C8" s="1155"/>
      <c r="D8" s="5337"/>
      <c r="E8" s="2064">
        <f>'lbpf 3-LEGAL'!J30</f>
        <v>8502406.7300000004</v>
      </c>
      <c r="F8" s="2025"/>
      <c r="G8" s="2025"/>
      <c r="H8" s="2064">
        <f>E8</f>
        <v>8502406.7300000004</v>
      </c>
    </row>
    <row r="9" spans="1:8">
      <c r="A9" s="2062"/>
      <c r="B9" s="1155"/>
      <c r="C9" s="1155"/>
      <c r="D9" s="2063"/>
      <c r="E9" s="2025"/>
      <c r="F9" s="2025"/>
      <c r="G9" s="2025"/>
      <c r="H9" s="2025"/>
    </row>
    <row r="10" spans="1:8">
      <c r="A10" s="2062" t="s">
        <v>5748</v>
      </c>
      <c r="B10" s="1155"/>
      <c r="C10" s="1155"/>
      <c r="D10" s="2063"/>
      <c r="E10" s="2025"/>
      <c r="F10" s="2064">
        <f>'lbpf 3-LEGAL'!J63</f>
        <v>4091000</v>
      </c>
      <c r="G10" s="2025"/>
      <c r="H10" s="2064">
        <f>F10</f>
        <v>4091000</v>
      </c>
    </row>
    <row r="11" spans="1:8">
      <c r="A11" s="2062"/>
      <c r="B11" s="1155"/>
      <c r="C11" s="1155"/>
      <c r="D11" s="2063"/>
      <c r="E11" s="2025"/>
      <c r="F11" s="2025"/>
      <c r="G11" s="2025"/>
      <c r="H11" s="2025"/>
    </row>
    <row r="12" spans="1:8">
      <c r="A12" s="2062" t="s">
        <v>5749</v>
      </c>
      <c r="B12" s="1155"/>
      <c r="C12" s="1155"/>
      <c r="D12" s="2063"/>
      <c r="E12" s="2025"/>
      <c r="F12" s="2025"/>
      <c r="G12" s="2064">
        <f>'lbpf 3-LEGAL'!J86</f>
        <v>200000</v>
      </c>
      <c r="H12" s="2064">
        <f>G12</f>
        <v>200000</v>
      </c>
    </row>
    <row r="13" spans="1:8" s="3808" customFormat="1">
      <c r="A13" s="2062"/>
      <c r="B13" s="1155"/>
      <c r="C13" s="1155"/>
      <c r="D13" s="4048"/>
      <c r="E13" s="2025"/>
      <c r="F13" s="2025"/>
      <c r="G13" s="2064"/>
      <c r="H13" s="2064"/>
    </row>
    <row r="14" spans="1:8" s="3808" customFormat="1">
      <c r="A14" s="2062"/>
      <c r="B14" s="1155"/>
      <c r="C14" s="1155"/>
      <c r="D14" s="4048"/>
      <c r="E14" s="2025"/>
      <c r="F14" s="2025"/>
      <c r="G14" s="2064"/>
      <c r="H14" s="2064"/>
    </row>
    <row r="15" spans="1:8" s="3808" customFormat="1">
      <c r="A15" s="2062"/>
      <c r="B15" s="1155"/>
      <c r="C15" s="1155"/>
      <c r="D15" s="4048"/>
      <c r="E15" s="2025"/>
      <c r="F15" s="2025"/>
      <c r="G15" s="2064"/>
      <c r="H15" s="2064"/>
    </row>
    <row r="16" spans="1:8" s="3808" customFormat="1">
      <c r="A16" s="2062"/>
      <c r="B16" s="1155"/>
      <c r="C16" s="1155"/>
      <c r="D16" s="4048"/>
      <c r="E16" s="2025"/>
      <c r="F16" s="2025"/>
      <c r="G16" s="2064"/>
      <c r="H16" s="2064"/>
    </row>
    <row r="17" spans="1:11" s="3808" customFormat="1">
      <c r="A17" s="2062"/>
      <c r="B17" s="1155"/>
      <c r="C17" s="1155"/>
      <c r="D17" s="4048"/>
      <c r="E17" s="2025"/>
      <c r="F17" s="2025"/>
      <c r="G17" s="2064"/>
      <c r="H17" s="2064"/>
    </row>
    <row r="18" spans="1:11" s="3808" customFormat="1">
      <c r="A18" s="2062"/>
      <c r="B18" s="1155"/>
      <c r="C18" s="1155"/>
      <c r="D18" s="4048"/>
      <c r="E18" s="2025"/>
      <c r="F18" s="2025"/>
      <c r="G18" s="2064"/>
      <c r="H18" s="2064"/>
    </row>
    <row r="19" spans="1:11" s="3808" customFormat="1">
      <c r="A19" s="2062"/>
      <c r="B19" s="1155"/>
      <c r="C19" s="1155"/>
      <c r="D19" s="4048"/>
      <c r="E19" s="2025"/>
      <c r="F19" s="2025"/>
      <c r="G19" s="2064"/>
      <c r="H19" s="2064"/>
    </row>
    <row r="20" spans="1:11">
      <c r="A20" s="2062"/>
      <c r="B20" s="1155"/>
      <c r="C20" s="1155"/>
      <c r="D20" s="2063"/>
      <c r="E20" s="2025"/>
      <c r="F20" s="2025"/>
      <c r="G20" s="2025"/>
      <c r="H20" s="2025"/>
    </row>
    <row r="21" spans="1:11">
      <c r="A21" s="2027"/>
      <c r="B21" s="2028"/>
      <c r="C21" s="2028"/>
      <c r="D21" s="2029"/>
      <c r="E21" s="2026"/>
      <c r="F21" s="2026"/>
      <c r="G21" s="2026"/>
      <c r="H21" s="2026"/>
    </row>
    <row r="22" spans="1:11" s="881" customFormat="1" ht="30" customHeight="1">
      <c r="A22" s="5348" t="s">
        <v>5750</v>
      </c>
      <c r="B22" s="5349"/>
      <c r="C22" s="5349"/>
      <c r="D22" s="5350"/>
      <c r="E22" s="5351">
        <f>SUM(E8:E21)</f>
        <v>8502406.7300000004</v>
      </c>
      <c r="F22" s="5352">
        <f>SUM(F8:F21)</f>
        <v>4091000</v>
      </c>
      <c r="G22" s="5352">
        <f>SUM(G8:G21)</f>
        <v>200000</v>
      </c>
      <c r="H22" s="5351">
        <f>SUM(H8:H21)</f>
        <v>12793406.73</v>
      </c>
      <c r="K22" s="5353"/>
    </row>
  </sheetData>
  <printOptions horizontalCentered="1"/>
  <pageMargins left="0.5" right="0.25" top="0.75" bottom="0.5" header="0.3" footer="0.25"/>
  <pageSetup paperSize="119" orientation="portrait" r:id="rId1"/>
</worksheet>
</file>

<file path=xl/worksheets/sheet116.xml><?xml version="1.0" encoding="utf-8"?>
<worksheet xmlns="http://schemas.openxmlformats.org/spreadsheetml/2006/main" xmlns:r="http://schemas.openxmlformats.org/officeDocument/2006/relationships">
  <sheetPr codeName="Sheet80">
    <tabColor rgb="FFFFFF00"/>
  </sheetPr>
  <dimension ref="A1:H70"/>
  <sheetViews>
    <sheetView showGridLines="0" topLeftCell="A5" workbookViewId="0">
      <selection activeCell="F6" sqref="F1:N1048576"/>
    </sheetView>
  </sheetViews>
  <sheetFormatPr defaultRowHeight="12.9" customHeight="1"/>
  <cols>
    <col min="1" max="1" width="40.5546875" style="7001" customWidth="1"/>
    <col min="2" max="3" width="8.5546875" style="7001" customWidth="1"/>
    <col min="4" max="6" width="14.5546875" style="7001" customWidth="1"/>
    <col min="7" max="7" width="8.88671875" style="7001" customWidth="1"/>
    <col min="8" max="8" width="14.109375" style="7001" customWidth="1"/>
    <col min="9" max="13" width="8.88671875" style="7001" customWidth="1"/>
    <col min="14" max="229" width="9.109375" style="7001"/>
    <col min="230" max="230" width="34.109375" style="7001" customWidth="1"/>
    <col min="231" max="232" width="7.44140625" style="7001" customWidth="1"/>
    <col min="233" max="233" width="9.109375" style="7001"/>
    <col min="234" max="234" width="15.109375" style="7001" customWidth="1"/>
    <col min="235" max="235" width="16.109375" style="7001" customWidth="1"/>
    <col min="236" max="485" width="9.109375" style="7001"/>
    <col min="486" max="486" width="34.109375" style="7001" customWidth="1"/>
    <col min="487" max="488" width="7.44140625" style="7001" customWidth="1"/>
    <col min="489" max="489" width="9.109375" style="7001"/>
    <col min="490" max="490" width="15.109375" style="7001" customWidth="1"/>
    <col min="491" max="491" width="16.109375" style="7001" customWidth="1"/>
    <col min="492" max="741" width="9.109375" style="7001"/>
    <col min="742" max="742" width="34.109375" style="7001" customWidth="1"/>
    <col min="743" max="744" width="7.44140625" style="7001" customWidth="1"/>
    <col min="745" max="745" width="9.109375" style="7001"/>
    <col min="746" max="746" width="15.109375" style="7001" customWidth="1"/>
    <col min="747" max="747" width="16.109375" style="7001" customWidth="1"/>
    <col min="748" max="997" width="9.109375" style="7001"/>
    <col min="998" max="998" width="34.109375" style="7001" customWidth="1"/>
    <col min="999" max="1000" width="7.44140625" style="7001" customWidth="1"/>
    <col min="1001" max="1001" width="9.109375" style="7001"/>
    <col min="1002" max="1002" width="15.109375" style="7001" customWidth="1"/>
    <col min="1003" max="1003" width="16.109375" style="7001" customWidth="1"/>
    <col min="1004" max="1253" width="9.109375" style="7001"/>
    <col min="1254" max="1254" width="34.109375" style="7001" customWidth="1"/>
    <col min="1255" max="1256" width="7.44140625" style="7001" customWidth="1"/>
    <col min="1257" max="1257" width="9.109375" style="7001"/>
    <col min="1258" max="1258" width="15.109375" style="7001" customWidth="1"/>
    <col min="1259" max="1259" width="16.109375" style="7001" customWidth="1"/>
    <col min="1260" max="1509" width="9.109375" style="7001"/>
    <col min="1510" max="1510" width="34.109375" style="7001" customWidth="1"/>
    <col min="1511" max="1512" width="7.44140625" style="7001" customWidth="1"/>
    <col min="1513" max="1513" width="9.109375" style="7001"/>
    <col min="1514" max="1514" width="15.109375" style="7001" customWidth="1"/>
    <col min="1515" max="1515" width="16.109375" style="7001" customWidth="1"/>
    <col min="1516" max="1765" width="9.109375" style="7001"/>
    <col min="1766" max="1766" width="34.109375" style="7001" customWidth="1"/>
    <col min="1767" max="1768" width="7.44140625" style="7001" customWidth="1"/>
    <col min="1769" max="1769" width="9.109375" style="7001"/>
    <col min="1770" max="1770" width="15.109375" style="7001" customWidth="1"/>
    <col min="1771" max="1771" width="16.109375" style="7001" customWidth="1"/>
    <col min="1772" max="2021" width="9.109375" style="7001"/>
    <col min="2022" max="2022" width="34.109375" style="7001" customWidth="1"/>
    <col min="2023" max="2024" width="7.44140625" style="7001" customWidth="1"/>
    <col min="2025" max="2025" width="9.109375" style="7001"/>
    <col min="2026" max="2026" width="15.109375" style="7001" customWidth="1"/>
    <col min="2027" max="2027" width="16.109375" style="7001" customWidth="1"/>
    <col min="2028" max="2277" width="9.109375" style="7001"/>
    <col min="2278" max="2278" width="34.109375" style="7001" customWidth="1"/>
    <col min="2279" max="2280" width="7.44140625" style="7001" customWidth="1"/>
    <col min="2281" max="2281" width="9.109375" style="7001"/>
    <col min="2282" max="2282" width="15.109375" style="7001" customWidth="1"/>
    <col min="2283" max="2283" width="16.109375" style="7001" customWidth="1"/>
    <col min="2284" max="2533" width="9.109375" style="7001"/>
    <col min="2534" max="2534" width="34.109375" style="7001" customWidth="1"/>
    <col min="2535" max="2536" width="7.44140625" style="7001" customWidth="1"/>
    <col min="2537" max="2537" width="9.109375" style="7001"/>
    <col min="2538" max="2538" width="15.109375" style="7001" customWidth="1"/>
    <col min="2539" max="2539" width="16.109375" style="7001" customWidth="1"/>
    <col min="2540" max="2789" width="9.109375" style="7001"/>
    <col min="2790" max="2790" width="34.109375" style="7001" customWidth="1"/>
    <col min="2791" max="2792" width="7.44140625" style="7001" customWidth="1"/>
    <col min="2793" max="2793" width="9.109375" style="7001"/>
    <col min="2794" max="2794" width="15.109375" style="7001" customWidth="1"/>
    <col min="2795" max="2795" width="16.109375" style="7001" customWidth="1"/>
    <col min="2796" max="3045" width="9.109375" style="7001"/>
    <col min="3046" max="3046" width="34.109375" style="7001" customWidth="1"/>
    <col min="3047" max="3048" width="7.44140625" style="7001" customWidth="1"/>
    <col min="3049" max="3049" width="9.109375" style="7001"/>
    <col min="3050" max="3050" width="15.109375" style="7001" customWidth="1"/>
    <col min="3051" max="3051" width="16.109375" style="7001" customWidth="1"/>
    <col min="3052" max="3301" width="9.109375" style="7001"/>
    <col min="3302" max="3302" width="34.109375" style="7001" customWidth="1"/>
    <col min="3303" max="3304" width="7.44140625" style="7001" customWidth="1"/>
    <col min="3305" max="3305" width="9.109375" style="7001"/>
    <col min="3306" max="3306" width="15.109375" style="7001" customWidth="1"/>
    <col min="3307" max="3307" width="16.109375" style="7001" customWidth="1"/>
    <col min="3308" max="3557" width="9.109375" style="7001"/>
    <col min="3558" max="3558" width="34.109375" style="7001" customWidth="1"/>
    <col min="3559" max="3560" width="7.44140625" style="7001" customWidth="1"/>
    <col min="3561" max="3561" width="9.109375" style="7001"/>
    <col min="3562" max="3562" width="15.109375" style="7001" customWidth="1"/>
    <col min="3563" max="3563" width="16.109375" style="7001" customWidth="1"/>
    <col min="3564" max="3813" width="9.109375" style="7001"/>
    <col min="3814" max="3814" width="34.109375" style="7001" customWidth="1"/>
    <col min="3815" max="3816" width="7.44140625" style="7001" customWidth="1"/>
    <col min="3817" max="3817" width="9.109375" style="7001"/>
    <col min="3818" max="3818" width="15.109375" style="7001" customWidth="1"/>
    <col min="3819" max="3819" width="16.109375" style="7001" customWidth="1"/>
    <col min="3820" max="4069" width="9.109375" style="7001"/>
    <col min="4070" max="4070" width="34.109375" style="7001" customWidth="1"/>
    <col min="4071" max="4072" width="7.44140625" style="7001" customWidth="1"/>
    <col min="4073" max="4073" width="9.109375" style="7001"/>
    <col min="4074" max="4074" width="15.109375" style="7001" customWidth="1"/>
    <col min="4075" max="4075" width="16.109375" style="7001" customWidth="1"/>
    <col min="4076" max="4325" width="9.109375" style="7001"/>
    <col min="4326" max="4326" width="34.109375" style="7001" customWidth="1"/>
    <col min="4327" max="4328" width="7.44140625" style="7001" customWidth="1"/>
    <col min="4329" max="4329" width="9.109375" style="7001"/>
    <col min="4330" max="4330" width="15.109375" style="7001" customWidth="1"/>
    <col min="4331" max="4331" width="16.109375" style="7001" customWidth="1"/>
    <col min="4332" max="4581" width="9.109375" style="7001"/>
    <col min="4582" max="4582" width="34.109375" style="7001" customWidth="1"/>
    <col min="4583" max="4584" width="7.44140625" style="7001" customWidth="1"/>
    <col min="4585" max="4585" width="9.109375" style="7001"/>
    <col min="4586" max="4586" width="15.109375" style="7001" customWidth="1"/>
    <col min="4587" max="4587" width="16.109375" style="7001" customWidth="1"/>
    <col min="4588" max="4837" width="9.109375" style="7001"/>
    <col min="4838" max="4838" width="34.109375" style="7001" customWidth="1"/>
    <col min="4839" max="4840" width="7.44140625" style="7001" customWidth="1"/>
    <col min="4841" max="4841" width="9.109375" style="7001"/>
    <col min="4842" max="4842" width="15.109375" style="7001" customWidth="1"/>
    <col min="4843" max="4843" width="16.109375" style="7001" customWidth="1"/>
    <col min="4844" max="5093" width="9.109375" style="7001"/>
    <col min="5094" max="5094" width="34.109375" style="7001" customWidth="1"/>
    <col min="5095" max="5096" width="7.44140625" style="7001" customWidth="1"/>
    <col min="5097" max="5097" width="9.109375" style="7001"/>
    <col min="5098" max="5098" width="15.109375" style="7001" customWidth="1"/>
    <col min="5099" max="5099" width="16.109375" style="7001" customWidth="1"/>
    <col min="5100" max="5349" width="9.109375" style="7001"/>
    <col min="5350" max="5350" width="34.109375" style="7001" customWidth="1"/>
    <col min="5351" max="5352" width="7.44140625" style="7001" customWidth="1"/>
    <col min="5353" max="5353" width="9.109375" style="7001"/>
    <col min="5354" max="5354" width="15.109375" style="7001" customWidth="1"/>
    <col min="5355" max="5355" width="16.109375" style="7001" customWidth="1"/>
    <col min="5356" max="5605" width="9.109375" style="7001"/>
    <col min="5606" max="5606" width="34.109375" style="7001" customWidth="1"/>
    <col min="5607" max="5608" width="7.44140625" style="7001" customWidth="1"/>
    <col min="5609" max="5609" width="9.109375" style="7001"/>
    <col min="5610" max="5610" width="15.109375" style="7001" customWidth="1"/>
    <col min="5611" max="5611" width="16.109375" style="7001" customWidth="1"/>
    <col min="5612" max="5861" width="9.109375" style="7001"/>
    <col min="5862" max="5862" width="34.109375" style="7001" customWidth="1"/>
    <col min="5863" max="5864" width="7.44140625" style="7001" customWidth="1"/>
    <col min="5865" max="5865" width="9.109375" style="7001"/>
    <col min="5866" max="5866" width="15.109375" style="7001" customWidth="1"/>
    <col min="5867" max="5867" width="16.109375" style="7001" customWidth="1"/>
    <col min="5868" max="6117" width="9.109375" style="7001"/>
    <col min="6118" max="6118" width="34.109375" style="7001" customWidth="1"/>
    <col min="6119" max="6120" width="7.44140625" style="7001" customWidth="1"/>
    <col min="6121" max="6121" width="9.109375" style="7001"/>
    <col min="6122" max="6122" width="15.109375" style="7001" customWidth="1"/>
    <col min="6123" max="6123" width="16.109375" style="7001" customWidth="1"/>
    <col min="6124" max="6373" width="9.109375" style="7001"/>
    <col min="6374" max="6374" width="34.109375" style="7001" customWidth="1"/>
    <col min="6375" max="6376" width="7.44140625" style="7001" customWidth="1"/>
    <col min="6377" max="6377" width="9.109375" style="7001"/>
    <col min="6378" max="6378" width="15.109375" style="7001" customWidth="1"/>
    <col min="6379" max="6379" width="16.109375" style="7001" customWidth="1"/>
    <col min="6380" max="6629" width="9.109375" style="7001"/>
    <col min="6630" max="6630" width="34.109375" style="7001" customWidth="1"/>
    <col min="6631" max="6632" width="7.44140625" style="7001" customWidth="1"/>
    <col min="6633" max="6633" width="9.109375" style="7001"/>
    <col min="6634" max="6634" width="15.109375" style="7001" customWidth="1"/>
    <col min="6635" max="6635" width="16.109375" style="7001" customWidth="1"/>
    <col min="6636" max="6885" width="9.109375" style="7001"/>
    <col min="6886" max="6886" width="34.109375" style="7001" customWidth="1"/>
    <col min="6887" max="6888" width="7.44140625" style="7001" customWidth="1"/>
    <col min="6889" max="6889" width="9.109375" style="7001"/>
    <col min="6890" max="6890" width="15.109375" style="7001" customWidth="1"/>
    <col min="6891" max="6891" width="16.109375" style="7001" customWidth="1"/>
    <col min="6892" max="7141" width="9.109375" style="7001"/>
    <col min="7142" max="7142" width="34.109375" style="7001" customWidth="1"/>
    <col min="7143" max="7144" width="7.44140625" style="7001" customWidth="1"/>
    <col min="7145" max="7145" width="9.109375" style="7001"/>
    <col min="7146" max="7146" width="15.109375" style="7001" customWidth="1"/>
    <col min="7147" max="7147" width="16.109375" style="7001" customWidth="1"/>
    <col min="7148" max="7397" width="9.109375" style="7001"/>
    <col min="7398" max="7398" width="34.109375" style="7001" customWidth="1"/>
    <col min="7399" max="7400" width="7.44140625" style="7001" customWidth="1"/>
    <col min="7401" max="7401" width="9.109375" style="7001"/>
    <col min="7402" max="7402" width="15.109375" style="7001" customWidth="1"/>
    <col min="7403" max="7403" width="16.109375" style="7001" customWidth="1"/>
    <col min="7404" max="7653" width="9.109375" style="7001"/>
    <col min="7654" max="7654" width="34.109375" style="7001" customWidth="1"/>
    <col min="7655" max="7656" width="7.44140625" style="7001" customWidth="1"/>
    <col min="7657" max="7657" width="9.109375" style="7001"/>
    <col min="7658" max="7658" width="15.109375" style="7001" customWidth="1"/>
    <col min="7659" max="7659" width="16.109375" style="7001" customWidth="1"/>
    <col min="7660" max="7909" width="9.109375" style="7001"/>
    <col min="7910" max="7910" width="34.109375" style="7001" customWidth="1"/>
    <col min="7911" max="7912" width="7.44140625" style="7001" customWidth="1"/>
    <col min="7913" max="7913" width="9.109375" style="7001"/>
    <col min="7914" max="7914" width="15.109375" style="7001" customWidth="1"/>
    <col min="7915" max="7915" width="16.109375" style="7001" customWidth="1"/>
    <col min="7916" max="8165" width="9.109375" style="7001"/>
    <col min="8166" max="8166" width="34.109375" style="7001" customWidth="1"/>
    <col min="8167" max="8168" width="7.44140625" style="7001" customWidth="1"/>
    <col min="8169" max="8169" width="9.109375" style="7001"/>
    <col min="8170" max="8170" width="15.109375" style="7001" customWidth="1"/>
    <col min="8171" max="8171" width="16.109375" style="7001" customWidth="1"/>
    <col min="8172" max="8421" width="9.109375" style="7001"/>
    <col min="8422" max="8422" width="34.109375" style="7001" customWidth="1"/>
    <col min="8423" max="8424" width="7.44140625" style="7001" customWidth="1"/>
    <col min="8425" max="8425" width="9.109375" style="7001"/>
    <col min="8426" max="8426" width="15.109375" style="7001" customWidth="1"/>
    <col min="8427" max="8427" width="16.109375" style="7001" customWidth="1"/>
    <col min="8428" max="8677" width="9.109375" style="7001"/>
    <col min="8678" max="8678" width="34.109375" style="7001" customWidth="1"/>
    <col min="8679" max="8680" width="7.44140625" style="7001" customWidth="1"/>
    <col min="8681" max="8681" width="9.109375" style="7001"/>
    <col min="8682" max="8682" width="15.109375" style="7001" customWidth="1"/>
    <col min="8683" max="8683" width="16.109375" style="7001" customWidth="1"/>
    <col min="8684" max="8933" width="9.109375" style="7001"/>
    <col min="8934" max="8934" width="34.109375" style="7001" customWidth="1"/>
    <col min="8935" max="8936" width="7.44140625" style="7001" customWidth="1"/>
    <col min="8937" max="8937" width="9.109375" style="7001"/>
    <col min="8938" max="8938" width="15.109375" style="7001" customWidth="1"/>
    <col min="8939" max="8939" width="16.109375" style="7001" customWidth="1"/>
    <col min="8940" max="9189" width="9.109375" style="7001"/>
    <col min="9190" max="9190" width="34.109375" style="7001" customWidth="1"/>
    <col min="9191" max="9192" width="7.44140625" style="7001" customWidth="1"/>
    <col min="9193" max="9193" width="9.109375" style="7001"/>
    <col min="9194" max="9194" width="15.109375" style="7001" customWidth="1"/>
    <col min="9195" max="9195" width="16.109375" style="7001" customWidth="1"/>
    <col min="9196" max="9445" width="9.109375" style="7001"/>
    <col min="9446" max="9446" width="34.109375" style="7001" customWidth="1"/>
    <col min="9447" max="9448" width="7.44140625" style="7001" customWidth="1"/>
    <col min="9449" max="9449" width="9.109375" style="7001"/>
    <col min="9450" max="9450" width="15.109375" style="7001" customWidth="1"/>
    <col min="9451" max="9451" width="16.109375" style="7001" customWidth="1"/>
    <col min="9452" max="9701" width="9.109375" style="7001"/>
    <col min="9702" max="9702" width="34.109375" style="7001" customWidth="1"/>
    <col min="9703" max="9704" width="7.44140625" style="7001" customWidth="1"/>
    <col min="9705" max="9705" width="9.109375" style="7001"/>
    <col min="9706" max="9706" width="15.109375" style="7001" customWidth="1"/>
    <col min="9707" max="9707" width="16.109375" style="7001" customWidth="1"/>
    <col min="9708" max="9957" width="9.109375" style="7001"/>
    <col min="9958" max="9958" width="34.109375" style="7001" customWidth="1"/>
    <col min="9959" max="9960" width="7.44140625" style="7001" customWidth="1"/>
    <col min="9961" max="9961" width="9.109375" style="7001"/>
    <col min="9962" max="9962" width="15.109375" style="7001" customWidth="1"/>
    <col min="9963" max="9963" width="16.109375" style="7001" customWidth="1"/>
    <col min="9964" max="10213" width="9.109375" style="7001"/>
    <col min="10214" max="10214" width="34.109375" style="7001" customWidth="1"/>
    <col min="10215" max="10216" width="7.44140625" style="7001" customWidth="1"/>
    <col min="10217" max="10217" width="9.109375" style="7001"/>
    <col min="10218" max="10218" width="15.109375" style="7001" customWidth="1"/>
    <col min="10219" max="10219" width="16.109375" style="7001" customWidth="1"/>
    <col min="10220" max="10469" width="9.109375" style="7001"/>
    <col min="10470" max="10470" width="34.109375" style="7001" customWidth="1"/>
    <col min="10471" max="10472" width="7.44140625" style="7001" customWidth="1"/>
    <col min="10473" max="10473" width="9.109375" style="7001"/>
    <col min="10474" max="10474" width="15.109375" style="7001" customWidth="1"/>
    <col min="10475" max="10475" width="16.109375" style="7001" customWidth="1"/>
    <col min="10476" max="10725" width="9.109375" style="7001"/>
    <col min="10726" max="10726" width="34.109375" style="7001" customWidth="1"/>
    <col min="10727" max="10728" width="7.44140625" style="7001" customWidth="1"/>
    <col min="10729" max="10729" width="9.109375" style="7001"/>
    <col min="10730" max="10730" width="15.109375" style="7001" customWidth="1"/>
    <col min="10731" max="10731" width="16.109375" style="7001" customWidth="1"/>
    <col min="10732" max="10981" width="9.109375" style="7001"/>
    <col min="10982" max="10982" width="34.109375" style="7001" customWidth="1"/>
    <col min="10983" max="10984" width="7.44140625" style="7001" customWidth="1"/>
    <col min="10985" max="10985" width="9.109375" style="7001"/>
    <col min="10986" max="10986" width="15.109375" style="7001" customWidth="1"/>
    <col min="10987" max="10987" width="16.109375" style="7001" customWidth="1"/>
    <col min="10988" max="11237" width="9.109375" style="7001"/>
    <col min="11238" max="11238" width="34.109375" style="7001" customWidth="1"/>
    <col min="11239" max="11240" width="7.44140625" style="7001" customWidth="1"/>
    <col min="11241" max="11241" width="9.109375" style="7001"/>
    <col min="11242" max="11242" width="15.109375" style="7001" customWidth="1"/>
    <col min="11243" max="11243" width="16.109375" style="7001" customWidth="1"/>
    <col min="11244" max="11493" width="9.109375" style="7001"/>
    <col min="11494" max="11494" width="34.109375" style="7001" customWidth="1"/>
    <col min="11495" max="11496" width="7.44140625" style="7001" customWidth="1"/>
    <col min="11497" max="11497" width="9.109375" style="7001"/>
    <col min="11498" max="11498" width="15.109375" style="7001" customWidth="1"/>
    <col min="11499" max="11499" width="16.109375" style="7001" customWidth="1"/>
    <col min="11500" max="11749" width="9.109375" style="7001"/>
    <col min="11750" max="11750" width="34.109375" style="7001" customWidth="1"/>
    <col min="11751" max="11752" width="7.44140625" style="7001" customWidth="1"/>
    <col min="11753" max="11753" width="9.109375" style="7001"/>
    <col min="11754" max="11754" width="15.109375" style="7001" customWidth="1"/>
    <col min="11755" max="11755" width="16.109375" style="7001" customWidth="1"/>
    <col min="11756" max="12005" width="9.109375" style="7001"/>
    <col min="12006" max="12006" width="34.109375" style="7001" customWidth="1"/>
    <col min="12007" max="12008" width="7.44140625" style="7001" customWidth="1"/>
    <col min="12009" max="12009" width="9.109375" style="7001"/>
    <col min="12010" max="12010" width="15.109375" style="7001" customWidth="1"/>
    <col min="12011" max="12011" width="16.109375" style="7001" customWidth="1"/>
    <col min="12012" max="12261" width="9.109375" style="7001"/>
    <col min="12262" max="12262" width="34.109375" style="7001" customWidth="1"/>
    <col min="12263" max="12264" width="7.44140625" style="7001" customWidth="1"/>
    <col min="12265" max="12265" width="9.109375" style="7001"/>
    <col min="12266" max="12266" width="15.109375" style="7001" customWidth="1"/>
    <col min="12267" max="12267" width="16.109375" style="7001" customWidth="1"/>
    <col min="12268" max="12517" width="9.109375" style="7001"/>
    <col min="12518" max="12518" width="34.109375" style="7001" customWidth="1"/>
    <col min="12519" max="12520" width="7.44140625" style="7001" customWidth="1"/>
    <col min="12521" max="12521" width="9.109375" style="7001"/>
    <col min="12522" max="12522" width="15.109375" style="7001" customWidth="1"/>
    <col min="12523" max="12523" width="16.109375" style="7001" customWidth="1"/>
    <col min="12524" max="12773" width="9.109375" style="7001"/>
    <col min="12774" max="12774" width="34.109375" style="7001" customWidth="1"/>
    <col min="12775" max="12776" width="7.44140625" style="7001" customWidth="1"/>
    <col min="12777" max="12777" width="9.109375" style="7001"/>
    <col min="12778" max="12778" width="15.109375" style="7001" customWidth="1"/>
    <col min="12779" max="12779" width="16.109375" style="7001" customWidth="1"/>
    <col min="12780" max="13029" width="9.109375" style="7001"/>
    <col min="13030" max="13030" width="34.109375" style="7001" customWidth="1"/>
    <col min="13031" max="13032" width="7.44140625" style="7001" customWidth="1"/>
    <col min="13033" max="13033" width="9.109375" style="7001"/>
    <col min="13034" max="13034" width="15.109375" style="7001" customWidth="1"/>
    <col min="13035" max="13035" width="16.109375" style="7001" customWidth="1"/>
    <col min="13036" max="13285" width="9.109375" style="7001"/>
    <col min="13286" max="13286" width="34.109375" style="7001" customWidth="1"/>
    <col min="13287" max="13288" width="7.44140625" style="7001" customWidth="1"/>
    <col min="13289" max="13289" width="9.109375" style="7001"/>
    <col min="13290" max="13290" width="15.109375" style="7001" customWidth="1"/>
    <col min="13291" max="13291" width="16.109375" style="7001" customWidth="1"/>
    <col min="13292" max="13541" width="9.109375" style="7001"/>
    <col min="13542" max="13542" width="34.109375" style="7001" customWidth="1"/>
    <col min="13543" max="13544" width="7.44140625" style="7001" customWidth="1"/>
    <col min="13545" max="13545" width="9.109375" style="7001"/>
    <col min="13546" max="13546" width="15.109375" style="7001" customWidth="1"/>
    <col min="13547" max="13547" width="16.109375" style="7001" customWidth="1"/>
    <col min="13548" max="13797" width="9.109375" style="7001"/>
    <col min="13798" max="13798" width="34.109375" style="7001" customWidth="1"/>
    <col min="13799" max="13800" width="7.44140625" style="7001" customWidth="1"/>
    <col min="13801" max="13801" width="9.109375" style="7001"/>
    <col min="13802" max="13802" width="15.109375" style="7001" customWidth="1"/>
    <col min="13803" max="13803" width="16.109375" style="7001" customWidth="1"/>
    <col min="13804" max="14053" width="9.109375" style="7001"/>
    <col min="14054" max="14054" width="34.109375" style="7001" customWidth="1"/>
    <col min="14055" max="14056" width="7.44140625" style="7001" customWidth="1"/>
    <col min="14057" max="14057" width="9.109375" style="7001"/>
    <col min="14058" max="14058" width="15.109375" style="7001" customWidth="1"/>
    <col min="14059" max="14059" width="16.109375" style="7001" customWidth="1"/>
    <col min="14060" max="14309" width="9.109375" style="7001"/>
    <col min="14310" max="14310" width="34.109375" style="7001" customWidth="1"/>
    <col min="14311" max="14312" width="7.44140625" style="7001" customWidth="1"/>
    <col min="14313" max="14313" width="9.109375" style="7001"/>
    <col min="14314" max="14314" width="15.109375" style="7001" customWidth="1"/>
    <col min="14315" max="14315" width="16.109375" style="7001" customWidth="1"/>
    <col min="14316" max="14565" width="9.109375" style="7001"/>
    <col min="14566" max="14566" width="34.109375" style="7001" customWidth="1"/>
    <col min="14567" max="14568" width="7.44140625" style="7001" customWidth="1"/>
    <col min="14569" max="14569" width="9.109375" style="7001"/>
    <col min="14570" max="14570" width="15.109375" style="7001" customWidth="1"/>
    <col min="14571" max="14571" width="16.109375" style="7001" customWidth="1"/>
    <col min="14572" max="14821" width="9.109375" style="7001"/>
    <col min="14822" max="14822" width="34.109375" style="7001" customWidth="1"/>
    <col min="14823" max="14824" width="7.44140625" style="7001" customWidth="1"/>
    <col min="14825" max="14825" width="9.109375" style="7001"/>
    <col min="14826" max="14826" width="15.109375" style="7001" customWidth="1"/>
    <col min="14827" max="14827" width="16.109375" style="7001" customWidth="1"/>
    <col min="14828" max="15077" width="9.109375" style="7001"/>
    <col min="15078" max="15078" width="34.109375" style="7001" customWidth="1"/>
    <col min="15079" max="15080" width="7.44140625" style="7001" customWidth="1"/>
    <col min="15081" max="15081" width="9.109375" style="7001"/>
    <col min="15082" max="15082" width="15.109375" style="7001" customWidth="1"/>
    <col min="15083" max="15083" width="16.109375" style="7001" customWidth="1"/>
    <col min="15084" max="15333" width="9.109375" style="7001"/>
    <col min="15334" max="15334" width="34.109375" style="7001" customWidth="1"/>
    <col min="15335" max="15336" width="7.44140625" style="7001" customWidth="1"/>
    <col min="15337" max="15337" width="9.109375" style="7001"/>
    <col min="15338" max="15338" width="15.109375" style="7001" customWidth="1"/>
    <col min="15339" max="15339" width="16.109375" style="7001" customWidth="1"/>
    <col min="15340" max="15589" width="9.109375" style="7001"/>
    <col min="15590" max="15590" width="34.109375" style="7001" customWidth="1"/>
    <col min="15591" max="15592" width="7.44140625" style="7001" customWidth="1"/>
    <col min="15593" max="15593" width="9.109375" style="7001"/>
    <col min="15594" max="15594" width="15.109375" style="7001" customWidth="1"/>
    <col min="15595" max="15595" width="16.109375" style="7001" customWidth="1"/>
    <col min="15596" max="15845" width="9.109375" style="7001"/>
    <col min="15846" max="15846" width="34.109375" style="7001" customWidth="1"/>
    <col min="15847" max="15848" width="7.44140625" style="7001" customWidth="1"/>
    <col min="15849" max="15849" width="9.109375" style="7001"/>
    <col min="15850" max="15850" width="15.109375" style="7001" customWidth="1"/>
    <col min="15851" max="15851" width="16.109375" style="7001" customWidth="1"/>
    <col min="15852" max="16101" width="9.109375" style="7001"/>
    <col min="16102" max="16102" width="34.109375" style="7001" customWidth="1"/>
    <col min="16103" max="16104" width="7.44140625" style="7001" customWidth="1"/>
    <col min="16105" max="16105" width="9.109375" style="7001"/>
    <col min="16106" max="16106" width="15.109375" style="7001" customWidth="1"/>
    <col min="16107" max="16107" width="16.109375" style="7001" customWidth="1"/>
    <col min="16108" max="16384" width="9.109375" style="7001"/>
  </cols>
  <sheetData>
    <row r="1" spans="1:8" ht="12.9" customHeight="1">
      <c r="A1" s="14395" t="s">
        <v>1087</v>
      </c>
      <c r="B1" s="14395"/>
      <c r="C1" s="14395"/>
      <c r="D1" s="14395"/>
      <c r="E1" s="14395"/>
      <c r="F1" s="14395"/>
    </row>
    <row r="3" spans="1:8" ht="12.9" customHeight="1">
      <c r="A3" s="7162" t="s">
        <v>1304</v>
      </c>
    </row>
    <row r="4" spans="1:8" ht="12.9" customHeight="1" thickBot="1">
      <c r="A4" s="7162"/>
      <c r="B4" s="7162"/>
      <c r="C4" s="7162"/>
      <c r="D4" s="7162"/>
      <c r="E4" s="7162"/>
      <c r="F4" s="7162"/>
    </row>
    <row r="5" spans="1:8" ht="12.9" customHeight="1">
      <c r="A5" s="9675" t="s">
        <v>842</v>
      </c>
      <c r="B5" s="10713" t="s">
        <v>1035</v>
      </c>
      <c r="C5" s="10713" t="s">
        <v>1036</v>
      </c>
      <c r="D5" s="14393" t="s">
        <v>1037</v>
      </c>
      <c r="E5" s="14393"/>
      <c r="F5" s="14394"/>
    </row>
    <row r="6" spans="1:8" ht="12.9" customHeight="1" thickBot="1">
      <c r="A6" s="9679" t="s">
        <v>1088</v>
      </c>
      <c r="B6" s="9755" t="s">
        <v>9</v>
      </c>
      <c r="C6" s="9755" t="s">
        <v>1039</v>
      </c>
      <c r="D6" s="9755" t="s">
        <v>10</v>
      </c>
      <c r="E6" s="9755" t="s">
        <v>11</v>
      </c>
      <c r="F6" s="9756" t="s">
        <v>11621</v>
      </c>
    </row>
    <row r="7" spans="1:8" ht="12.9" customHeight="1">
      <c r="A7" s="9757" t="s">
        <v>806</v>
      </c>
      <c r="B7" s="9665"/>
      <c r="C7" s="9665"/>
      <c r="D7" s="9665"/>
      <c r="E7" s="9665"/>
      <c r="F7" s="9729"/>
    </row>
    <row r="8" spans="1:8" ht="12.9" customHeight="1">
      <c r="A8" s="9682"/>
      <c r="B8" s="10751"/>
      <c r="C8" s="10751"/>
      <c r="D8" s="10751"/>
      <c r="E8" s="10751"/>
      <c r="F8" s="7242"/>
    </row>
    <row r="9" spans="1:8" ht="12.9" customHeight="1">
      <c r="A9" s="6230" t="s">
        <v>1149</v>
      </c>
      <c r="B9" s="7174"/>
      <c r="C9" s="9636"/>
      <c r="D9" s="9636"/>
      <c r="E9" s="9636"/>
      <c r="F9" s="10413"/>
    </row>
    <row r="10" spans="1:8" ht="12.9" customHeight="1">
      <c r="A10" s="7231" t="s">
        <v>1305</v>
      </c>
      <c r="B10" s="7172">
        <v>1</v>
      </c>
      <c r="C10" s="9403">
        <v>26</v>
      </c>
      <c r="D10" s="9608">
        <v>947520</v>
      </c>
      <c r="E10" s="9608">
        <v>1105296</v>
      </c>
      <c r="F10" s="9948">
        <v>1289328</v>
      </c>
      <c r="G10" s="7001">
        <f>SUM(B10)</f>
        <v>1</v>
      </c>
      <c r="H10" s="7164">
        <f>SUM(F10)</f>
        <v>1289328</v>
      </c>
    </row>
    <row r="11" spans="1:8" ht="12.9" customHeight="1">
      <c r="A11" s="7231"/>
      <c r="B11" s="7174"/>
      <c r="C11" s="9636"/>
      <c r="D11" s="9636"/>
      <c r="E11" s="9636"/>
      <c r="F11" s="10413"/>
    </row>
    <row r="12" spans="1:8" ht="12.9" customHeight="1">
      <c r="A12" s="6230" t="s">
        <v>1306</v>
      </c>
      <c r="B12" s="7174"/>
      <c r="C12" s="9636"/>
      <c r="D12" s="9636"/>
      <c r="E12" s="9636"/>
      <c r="F12" s="10413"/>
    </row>
    <row r="13" spans="1:8" ht="12.9" hidden="1" customHeight="1">
      <c r="A13" s="7231" t="s">
        <v>1307</v>
      </c>
      <c r="B13" s="7172">
        <v>0</v>
      </c>
      <c r="C13" s="9403">
        <v>25</v>
      </c>
      <c r="D13" s="9608"/>
      <c r="E13" s="9608"/>
      <c r="F13" s="9948"/>
    </row>
    <row r="14" spans="1:8" ht="12.9" customHeight="1">
      <c r="A14" s="7231"/>
      <c r="B14" s="7174"/>
      <c r="C14" s="9636"/>
      <c r="D14" s="9636"/>
      <c r="E14" s="9636"/>
      <c r="F14" s="10413"/>
    </row>
    <row r="15" spans="1:8" ht="12.9" customHeight="1">
      <c r="A15" s="6230" t="s">
        <v>1308</v>
      </c>
      <c r="B15" s="7174"/>
      <c r="C15" s="9636"/>
      <c r="D15" s="9636"/>
      <c r="E15" s="9636"/>
      <c r="F15" s="10413"/>
    </row>
    <row r="16" spans="1:8" ht="12.9" customHeight="1">
      <c r="A16" s="6230" t="s">
        <v>1309</v>
      </c>
      <c r="B16" s="7174"/>
      <c r="C16" s="9636"/>
      <c r="D16" s="9636"/>
      <c r="E16" s="9636"/>
      <c r="F16" s="10413"/>
    </row>
    <row r="17" spans="1:8" ht="12.9" customHeight="1">
      <c r="A17" s="7231" t="s">
        <v>1310</v>
      </c>
      <c r="B17" s="7174"/>
      <c r="C17" s="9636"/>
      <c r="D17" s="9636"/>
      <c r="E17" s="9636"/>
      <c r="F17" s="10413"/>
    </row>
    <row r="18" spans="1:8" ht="12.9" customHeight="1">
      <c r="A18" s="7231" t="s">
        <v>9</v>
      </c>
      <c r="B18" s="7172"/>
      <c r="C18" s="9403"/>
      <c r="D18" s="9608"/>
      <c r="E18" s="9608"/>
      <c r="F18" s="9948"/>
    </row>
    <row r="19" spans="1:8" ht="12.9" customHeight="1">
      <c r="A19" s="6230" t="s">
        <v>1152</v>
      </c>
      <c r="B19" s="7172"/>
      <c r="C19" s="9403"/>
      <c r="D19" s="9608"/>
      <c r="E19" s="9608"/>
      <c r="F19" s="9948"/>
    </row>
    <row r="20" spans="1:8" ht="12.9" customHeight="1">
      <c r="A20" s="7231" t="s">
        <v>12049</v>
      </c>
      <c r="B20" s="9403">
        <v>1</v>
      </c>
      <c r="C20" s="9403">
        <v>25</v>
      </c>
      <c r="D20" s="9608">
        <v>0</v>
      </c>
      <c r="E20" s="9608">
        <v>989268</v>
      </c>
      <c r="F20" s="9948">
        <v>1140996</v>
      </c>
    </row>
    <row r="21" spans="1:8" ht="12.9" customHeight="1">
      <c r="A21" s="7231" t="s">
        <v>12050</v>
      </c>
      <c r="B21" s="7172">
        <v>0</v>
      </c>
      <c r="C21" s="9403">
        <v>23</v>
      </c>
      <c r="D21" s="9608">
        <v>738732</v>
      </c>
      <c r="E21" s="9608">
        <v>0</v>
      </c>
      <c r="F21" s="9948">
        <v>0</v>
      </c>
    </row>
    <row r="22" spans="1:8" ht="12.9" hidden="1" customHeight="1">
      <c r="A22" s="7231" t="s">
        <v>1312</v>
      </c>
      <c r="B22" s="7172">
        <v>0</v>
      </c>
      <c r="C22" s="9403">
        <v>21</v>
      </c>
      <c r="D22" s="9608">
        <v>0</v>
      </c>
      <c r="E22" s="9608">
        <v>0</v>
      </c>
      <c r="F22" s="9948">
        <v>0</v>
      </c>
    </row>
    <row r="23" spans="1:8" ht="12.9" customHeight="1">
      <c r="A23" s="7231" t="s">
        <v>1313</v>
      </c>
      <c r="B23" s="7172">
        <v>2</v>
      </c>
      <c r="C23" s="9403">
        <v>10</v>
      </c>
      <c r="D23" s="9608">
        <v>674124</v>
      </c>
      <c r="E23" s="9608">
        <v>694008</v>
      </c>
      <c r="F23" s="9948">
        <v>473340</v>
      </c>
    </row>
    <row r="24" spans="1:8" ht="12.9" customHeight="1">
      <c r="A24" s="7231" t="s">
        <v>1240</v>
      </c>
      <c r="B24" s="7172">
        <v>0</v>
      </c>
      <c r="C24" s="9403">
        <v>4</v>
      </c>
      <c r="D24" s="9608">
        <v>155124</v>
      </c>
      <c r="E24" s="9608">
        <v>161088</v>
      </c>
      <c r="F24" s="9948">
        <v>0</v>
      </c>
    </row>
    <row r="25" spans="1:8" ht="12.9" customHeight="1">
      <c r="A25" s="7231" t="s">
        <v>1209</v>
      </c>
      <c r="B25" s="7172">
        <v>1</v>
      </c>
      <c r="C25" s="9403">
        <v>3</v>
      </c>
      <c r="D25" s="9608">
        <v>145320</v>
      </c>
      <c r="E25" s="9608">
        <v>151440</v>
      </c>
      <c r="F25" s="9948">
        <v>157824</v>
      </c>
    </row>
    <row r="26" spans="1:8" ht="12.9" customHeight="1">
      <c r="A26" s="7231"/>
      <c r="B26" s="7174"/>
      <c r="C26" s="9636"/>
      <c r="D26" s="9636"/>
      <c r="E26" s="9636"/>
      <c r="F26" s="10413"/>
      <c r="G26" s="7001">
        <f>SUM(B19:B26)</f>
        <v>4</v>
      </c>
      <c r="H26" s="7164">
        <f>SUM(F19:F26)</f>
        <v>1772160</v>
      </c>
    </row>
    <row r="27" spans="1:8" ht="12.9" customHeight="1">
      <c r="A27" s="6230" t="s">
        <v>1135</v>
      </c>
      <c r="B27" s="7172"/>
      <c r="C27" s="9403"/>
      <c r="D27" s="9608"/>
      <c r="E27" s="9608"/>
      <c r="F27" s="9948"/>
    </row>
    <row r="28" spans="1:8" ht="12.9" customHeight="1">
      <c r="A28" s="7231" t="s">
        <v>1134</v>
      </c>
      <c r="B28" s="7172">
        <v>1</v>
      </c>
      <c r="C28" s="9403">
        <v>15</v>
      </c>
      <c r="D28" s="9608">
        <v>334644</v>
      </c>
      <c r="E28" s="9608">
        <v>0</v>
      </c>
      <c r="F28" s="9948">
        <v>366372</v>
      </c>
    </row>
    <row r="29" spans="1:8" ht="12.9" customHeight="1">
      <c r="A29" s="7231" t="s">
        <v>1172</v>
      </c>
      <c r="B29" s="7172">
        <v>0</v>
      </c>
      <c r="C29" s="9403">
        <v>10</v>
      </c>
      <c r="D29" s="9608"/>
      <c r="E29" s="9608"/>
      <c r="F29" s="9948"/>
    </row>
    <row r="30" spans="1:8" ht="12.9" customHeight="1">
      <c r="A30" s="7231" t="s">
        <v>1097</v>
      </c>
      <c r="B30" s="7172">
        <v>2</v>
      </c>
      <c r="C30" s="9403">
        <v>6</v>
      </c>
      <c r="D30" s="9608">
        <v>341364</v>
      </c>
      <c r="E30" s="9608">
        <v>173508</v>
      </c>
      <c r="F30" s="9948">
        <v>357696</v>
      </c>
    </row>
    <row r="31" spans="1:8" ht="12.9" customHeight="1">
      <c r="A31" s="7231" t="s">
        <v>1302</v>
      </c>
      <c r="B31" s="7172">
        <v>1</v>
      </c>
      <c r="C31" s="9403">
        <v>4</v>
      </c>
      <c r="D31" s="9608">
        <v>155124</v>
      </c>
      <c r="E31" s="9608">
        <v>161088</v>
      </c>
      <c r="F31" s="9948">
        <v>167292</v>
      </c>
    </row>
    <row r="32" spans="1:8" ht="12.9" customHeight="1">
      <c r="A32" s="7231" t="s">
        <v>1174</v>
      </c>
      <c r="B32" s="7172">
        <v>1</v>
      </c>
      <c r="C32" s="9403">
        <v>3</v>
      </c>
      <c r="D32" s="9608">
        <v>289368</v>
      </c>
      <c r="E32" s="9608">
        <v>301644</v>
      </c>
      <c r="F32" s="9948">
        <v>156624</v>
      </c>
    </row>
    <row r="33" spans="1:8" ht="12.9" customHeight="1">
      <c r="A33" s="7231" t="s">
        <v>1420</v>
      </c>
      <c r="B33" s="7172">
        <v>0</v>
      </c>
      <c r="C33" s="9403">
        <v>2</v>
      </c>
      <c r="D33" s="9608">
        <v>128004</v>
      </c>
      <c r="E33" s="9608">
        <v>0</v>
      </c>
      <c r="F33" s="9948">
        <v>0</v>
      </c>
    </row>
    <row r="34" spans="1:8" ht="12.9" customHeight="1">
      <c r="A34" s="7231" t="s">
        <v>1175</v>
      </c>
      <c r="B34" s="7172">
        <v>3</v>
      </c>
      <c r="C34" s="9403">
        <v>1</v>
      </c>
      <c r="D34" s="9608">
        <v>505020</v>
      </c>
      <c r="E34" s="9608">
        <v>530568</v>
      </c>
      <c r="F34" s="9948">
        <v>417744</v>
      </c>
    </row>
    <row r="35" spans="1:8" ht="6.9" customHeight="1">
      <c r="A35" s="7231"/>
      <c r="B35" s="7172"/>
      <c r="C35" s="9403"/>
      <c r="D35" s="9608"/>
      <c r="E35" s="9608"/>
      <c r="F35" s="9948"/>
    </row>
    <row r="36" spans="1:8" s="7165" customFormat="1" ht="12.9" customHeight="1">
      <c r="A36" s="7209" t="s">
        <v>1315</v>
      </c>
      <c r="B36" s="9613">
        <f>SUM(B10:B34)</f>
        <v>13</v>
      </c>
      <c r="C36" s="9662"/>
      <c r="D36" s="9668">
        <f>SUM(D10:D34)</f>
        <v>4414344</v>
      </c>
      <c r="E36" s="9668">
        <f>SUM(E10:E34)</f>
        <v>4267908</v>
      </c>
      <c r="F36" s="9669">
        <f>SUM(F10:F34)</f>
        <v>4527216</v>
      </c>
      <c r="G36" s="7165">
        <f>SUM(B28:B35)</f>
        <v>8</v>
      </c>
      <c r="H36" s="7198">
        <f>SUM(F28:F35)</f>
        <v>1465728</v>
      </c>
    </row>
    <row r="37" spans="1:8" ht="12.9" customHeight="1">
      <c r="A37" s="7231"/>
      <c r="B37" s="7174"/>
      <c r="C37" s="9636"/>
      <c r="D37" s="9636"/>
      <c r="E37" s="9636"/>
      <c r="F37" s="10413"/>
    </row>
    <row r="38" spans="1:8" ht="12.9" customHeight="1">
      <c r="A38" s="7231" t="s">
        <v>1316</v>
      </c>
      <c r="B38" s="7172" t="s">
        <v>9</v>
      </c>
      <c r="C38" s="9636"/>
      <c r="D38" s="9636"/>
      <c r="E38" s="9636"/>
      <c r="F38" s="10413"/>
    </row>
    <row r="39" spans="1:8" ht="12.9" customHeight="1">
      <c r="A39" s="7231" t="s">
        <v>1307</v>
      </c>
      <c r="B39" s="7172">
        <v>0</v>
      </c>
      <c r="C39" s="9403">
        <v>25</v>
      </c>
      <c r="D39" s="9612">
        <v>857748</v>
      </c>
      <c r="E39" s="9612">
        <v>0</v>
      </c>
      <c r="F39" s="9949">
        <v>0</v>
      </c>
    </row>
    <row r="40" spans="1:8" ht="12.9" customHeight="1">
      <c r="A40" s="7231" t="s">
        <v>1311</v>
      </c>
      <c r="B40" s="7172"/>
      <c r="C40" s="9403">
        <v>23</v>
      </c>
      <c r="D40" s="9608">
        <v>0</v>
      </c>
      <c r="E40" s="9608">
        <v>835524</v>
      </c>
      <c r="F40" s="9948" t="s">
        <v>12022</v>
      </c>
    </row>
    <row r="41" spans="1:8" ht="12.9" customHeight="1">
      <c r="A41" s="7231" t="s">
        <v>1312</v>
      </c>
      <c r="B41" s="7172"/>
      <c r="C41" s="9403">
        <v>21</v>
      </c>
      <c r="D41" s="9608">
        <v>573348</v>
      </c>
      <c r="E41" s="9608">
        <v>630648</v>
      </c>
      <c r="F41" s="9948" t="s">
        <v>12022</v>
      </c>
    </row>
    <row r="42" spans="1:8" ht="12.9" customHeight="1">
      <c r="A42" s="7231" t="s">
        <v>1317</v>
      </c>
      <c r="B42" s="7172">
        <v>0</v>
      </c>
      <c r="C42" s="9403">
        <v>15</v>
      </c>
      <c r="D42" s="9608">
        <v>0</v>
      </c>
      <c r="E42" s="9608">
        <v>348120</v>
      </c>
      <c r="F42" s="9948">
        <v>0</v>
      </c>
    </row>
    <row r="43" spans="1:8" s="7252" customFormat="1" ht="12.9" customHeight="1">
      <c r="A43" s="9707" t="s">
        <v>10424</v>
      </c>
      <c r="B43" s="9708">
        <v>2</v>
      </c>
      <c r="C43" s="10846">
        <v>10</v>
      </c>
      <c r="D43" s="10847">
        <v>218604</v>
      </c>
      <c r="E43" s="10847">
        <v>224616</v>
      </c>
      <c r="F43" s="10848">
        <v>461592</v>
      </c>
    </row>
    <row r="44" spans="1:8" ht="12.9" customHeight="1">
      <c r="A44" s="7231" t="s">
        <v>1314</v>
      </c>
      <c r="B44" s="7172">
        <v>0</v>
      </c>
      <c r="C44" s="9403">
        <v>6</v>
      </c>
      <c r="D44" s="9608">
        <v>0</v>
      </c>
      <c r="E44" s="9608">
        <v>172080</v>
      </c>
      <c r="F44" s="9948">
        <v>0</v>
      </c>
    </row>
    <row r="45" spans="1:8" ht="12.9" customHeight="1">
      <c r="A45" s="7231" t="s">
        <v>11636</v>
      </c>
      <c r="B45" s="9403">
        <v>1</v>
      </c>
      <c r="C45" s="9403">
        <v>3</v>
      </c>
      <c r="D45" s="9608">
        <v>0</v>
      </c>
      <c r="E45" s="9608">
        <v>0</v>
      </c>
      <c r="F45" s="9948">
        <v>149592</v>
      </c>
    </row>
    <row r="46" spans="1:8" ht="12.9" customHeight="1">
      <c r="A46" s="7231" t="s">
        <v>11407</v>
      </c>
      <c r="B46" s="9403">
        <v>1</v>
      </c>
      <c r="C46" s="9403">
        <v>2</v>
      </c>
      <c r="D46" s="9608">
        <v>0</v>
      </c>
      <c r="E46" s="9608">
        <v>135516</v>
      </c>
      <c r="F46" s="9948">
        <v>141132</v>
      </c>
    </row>
    <row r="47" spans="1:8" ht="12.9" customHeight="1">
      <c r="A47" s="7231" t="s">
        <v>11637</v>
      </c>
      <c r="B47" s="9403">
        <v>2</v>
      </c>
      <c r="C47" s="9403">
        <v>1</v>
      </c>
      <c r="D47" s="9608">
        <v>0</v>
      </c>
      <c r="E47" s="9608">
        <v>0</v>
      </c>
      <c r="F47" s="9948">
        <f>132816*B47</f>
        <v>265632</v>
      </c>
    </row>
    <row r="48" spans="1:8" s="7195" customFormat="1" ht="12.9" customHeight="1">
      <c r="A48" s="9738" t="s">
        <v>4774</v>
      </c>
      <c r="B48" s="9613">
        <f>SUM(B39:B47)</f>
        <v>6</v>
      </c>
      <c r="C48" s="9613"/>
      <c r="D48" s="9659">
        <f>SUM(D39:D47)</f>
        <v>1649700</v>
      </c>
      <c r="E48" s="9659">
        <f>SUM(E39:E47)</f>
        <v>2346504</v>
      </c>
      <c r="F48" s="9660">
        <f>SUM(F39:F47)</f>
        <v>1017948</v>
      </c>
    </row>
    <row r="49" spans="1:6" ht="7.5" customHeight="1" thickBot="1">
      <c r="A49" s="7235"/>
      <c r="B49" s="9758"/>
      <c r="C49" s="9758"/>
      <c r="D49" s="9758"/>
      <c r="E49" s="9758"/>
      <c r="F49" s="9759"/>
    </row>
    <row r="50" spans="1:6" ht="12.9" customHeight="1" thickBot="1">
      <c r="A50" s="9838" t="s">
        <v>1101</v>
      </c>
      <c r="B50" s="10845">
        <f>SUM(B36+B48)</f>
        <v>19</v>
      </c>
      <c r="C50" s="10421"/>
      <c r="D50" s="9840">
        <f>SUM(D36+D48)</f>
        <v>6064044</v>
      </c>
      <c r="E50" s="9840">
        <f>SUM(E36+E48)</f>
        <v>6614412</v>
      </c>
      <c r="F50" s="10786">
        <f>SUM(F36+F48)</f>
        <v>5545164</v>
      </c>
    </row>
    <row r="51" spans="1:6" ht="7.5" customHeight="1">
      <c r="A51" s="7231"/>
      <c r="B51" s="7174"/>
      <c r="C51" s="9636"/>
      <c r="D51" s="9636"/>
      <c r="E51" s="9636"/>
      <c r="F51" s="10413"/>
    </row>
    <row r="52" spans="1:6" ht="12.9" customHeight="1">
      <c r="A52" s="6230" t="s">
        <v>1075</v>
      </c>
      <c r="B52" s="7174"/>
      <c r="C52" s="9636"/>
      <c r="D52" s="9636"/>
      <c r="E52" s="9636"/>
      <c r="F52" s="10413"/>
    </row>
    <row r="53" spans="1:6" ht="12.9" customHeight="1">
      <c r="A53" s="6230" t="s">
        <v>1102</v>
      </c>
      <c r="B53" s="7174"/>
      <c r="C53" s="9636"/>
      <c r="D53" s="9636"/>
      <c r="E53" s="9636"/>
      <c r="F53" s="10413"/>
    </row>
    <row r="54" spans="1:6" ht="12.9" customHeight="1">
      <c r="A54" s="7231" t="s">
        <v>1103</v>
      </c>
      <c r="B54" s="7174"/>
      <c r="C54" s="9636"/>
      <c r="D54" s="9636"/>
      <c r="E54" s="9636"/>
      <c r="F54" s="10413"/>
    </row>
    <row r="55" spans="1:6" ht="12.9" customHeight="1">
      <c r="A55" s="7231" t="s">
        <v>1078</v>
      </c>
      <c r="B55" s="7172">
        <v>2</v>
      </c>
      <c r="C55" s="9636"/>
      <c r="D55" s="9636"/>
      <c r="E55" s="9636"/>
      <c r="F55" s="10413"/>
    </row>
    <row r="56" spans="1:6" ht="12.9" customHeight="1">
      <c r="A56" s="7231" t="s">
        <v>1079</v>
      </c>
      <c r="B56" s="7174"/>
      <c r="C56" s="9636"/>
      <c r="D56" s="9636"/>
      <c r="E56" s="9636"/>
      <c r="F56" s="10413"/>
    </row>
    <row r="57" spans="1:6" s="7165" customFormat="1" ht="12.9" customHeight="1">
      <c r="A57" s="7231" t="s">
        <v>10707</v>
      </c>
      <c r="B57" s="7206">
        <v>1</v>
      </c>
      <c r="C57" s="7205"/>
      <c r="D57" s="7205"/>
      <c r="E57" s="7205"/>
      <c r="F57" s="7215"/>
    </row>
    <row r="58" spans="1:6" s="7165" customFormat="1" ht="12.9" customHeight="1">
      <c r="A58" s="7231" t="s">
        <v>10697</v>
      </c>
      <c r="B58" s="7206">
        <v>1</v>
      </c>
      <c r="C58" s="7205"/>
      <c r="D58" s="7205"/>
      <c r="E58" s="7205"/>
      <c r="F58" s="7215"/>
    </row>
    <row r="59" spans="1:6" ht="12.9" customHeight="1">
      <c r="A59" s="7231" t="s">
        <v>168</v>
      </c>
      <c r="B59" s="7174"/>
      <c r="C59" s="9636"/>
      <c r="D59" s="9636"/>
      <c r="E59" s="9636"/>
      <c r="F59" s="10413"/>
    </row>
    <row r="60" spans="1:6" ht="12.9" customHeight="1">
      <c r="A60" s="7231" t="s">
        <v>1080</v>
      </c>
      <c r="B60" s="7174"/>
      <c r="C60" s="9636"/>
      <c r="D60" s="9636"/>
      <c r="E60" s="9636"/>
      <c r="F60" s="10413"/>
    </row>
    <row r="61" spans="1:6" ht="12.9" customHeight="1">
      <c r="A61" s="7231" t="s">
        <v>1104</v>
      </c>
      <c r="B61" s="7174"/>
      <c r="C61" s="9636"/>
      <c r="D61" s="9636"/>
      <c r="E61" s="9636"/>
      <c r="F61" s="10413"/>
    </row>
    <row r="62" spans="1:6" ht="12.9" customHeight="1">
      <c r="A62" s="7231" t="s">
        <v>1105</v>
      </c>
      <c r="B62" s="7174"/>
      <c r="C62" s="9636"/>
      <c r="D62" s="9636"/>
      <c r="E62" s="9636"/>
      <c r="F62" s="10413"/>
    </row>
    <row r="63" spans="1:6" ht="12.9" customHeight="1">
      <c r="A63" s="7231"/>
      <c r="B63" s="7174"/>
      <c r="C63" s="9636"/>
      <c r="D63" s="9636"/>
      <c r="E63" s="9636"/>
      <c r="F63" s="10413"/>
    </row>
    <row r="64" spans="1:6" ht="12.9" customHeight="1">
      <c r="A64" s="6230" t="s">
        <v>1083</v>
      </c>
      <c r="B64" s="9676"/>
      <c r="C64" s="9676"/>
      <c r="D64" s="9676"/>
      <c r="E64" s="9676"/>
      <c r="F64" s="9744"/>
    </row>
    <row r="65" spans="1:6" ht="6.9" customHeight="1">
      <c r="A65" s="7231"/>
      <c r="B65" s="7174"/>
      <c r="C65" s="9636"/>
      <c r="D65" s="9636"/>
      <c r="E65" s="9636"/>
      <c r="F65" s="10413"/>
    </row>
    <row r="66" spans="1:6" ht="12.9" customHeight="1">
      <c r="A66" s="7231" t="s">
        <v>1106</v>
      </c>
      <c r="B66" s="7174"/>
      <c r="C66" s="9636"/>
      <c r="D66" s="9636"/>
      <c r="E66" s="9636"/>
      <c r="F66" s="10413"/>
    </row>
    <row r="67" spans="1:6" ht="6.9" customHeight="1" thickBot="1">
      <c r="A67" s="7235"/>
      <c r="B67" s="9758"/>
      <c r="C67" s="9758"/>
      <c r="D67" s="9758"/>
      <c r="E67" s="9758"/>
      <c r="F67" s="9759"/>
    </row>
    <row r="68" spans="1:6" ht="6.9" customHeight="1">
      <c r="A68" s="7231"/>
      <c r="B68" s="10751"/>
      <c r="C68" s="10751"/>
      <c r="D68" s="10751"/>
      <c r="E68" s="10751"/>
      <c r="F68" s="7242"/>
    </row>
    <row r="69" spans="1:6" ht="12.9" customHeight="1">
      <c r="A69" s="6230" t="s">
        <v>1086</v>
      </c>
      <c r="B69" s="7174"/>
      <c r="C69" s="9636"/>
      <c r="D69" s="9636"/>
      <c r="E69" s="9636"/>
      <c r="F69" s="10413"/>
    </row>
    <row r="70" spans="1:6" ht="6.9" customHeight="1" thickBot="1">
      <c r="A70" s="7235"/>
      <c r="B70" s="9758"/>
      <c r="C70" s="9758"/>
      <c r="D70" s="9758"/>
      <c r="E70" s="9758"/>
      <c r="F70" s="9759"/>
    </row>
  </sheetData>
  <mergeCells count="2">
    <mergeCell ref="D5:F5"/>
    <mergeCell ref="A1:F1"/>
  </mergeCells>
  <pageMargins left="0.25" right="0.25" top="0.5" bottom="0.5" header="0.3" footer="0.3"/>
  <pageSetup paperSize="119" firstPageNumber="235" orientation="portrait" useFirstPageNumber="1" r:id="rId1"/>
  <headerFooter alignWithMargins="0"/>
</worksheet>
</file>

<file path=xl/worksheets/sheet117.xml><?xml version="1.0" encoding="utf-8"?>
<worksheet xmlns="http://schemas.openxmlformats.org/spreadsheetml/2006/main" xmlns:r="http://schemas.openxmlformats.org/officeDocument/2006/relationships">
  <sheetPr codeName="Sheet164">
    <tabColor rgb="FFFFFF00"/>
  </sheetPr>
  <dimension ref="A1:G117"/>
  <sheetViews>
    <sheetView showGridLines="0" topLeftCell="A78" workbookViewId="0">
      <selection activeCell="I77" sqref="I77"/>
    </sheetView>
  </sheetViews>
  <sheetFormatPr defaultRowHeight="13.2"/>
  <cols>
    <col min="1" max="1" width="5.88671875" style="904" customWidth="1"/>
    <col min="2" max="2" width="19.88671875" style="700" customWidth="1"/>
    <col min="3" max="3" width="15.109375" style="905" customWidth="1"/>
    <col min="4" max="4" width="25.88671875" style="699" customWidth="1"/>
    <col min="5" max="5" width="23.44140625" style="904" customWidth="1"/>
    <col min="6" max="6" width="6.88671875" style="904" customWidth="1"/>
    <col min="7" max="7" width="7" style="904" customWidth="1"/>
    <col min="8" max="206" width="9.109375" style="904"/>
    <col min="207" max="207" width="5.88671875" style="904" customWidth="1"/>
    <col min="208" max="208" width="29.109375" style="904" customWidth="1"/>
    <col min="209" max="209" width="16.88671875" style="904" customWidth="1"/>
    <col min="210" max="210" width="21.44140625" style="904" customWidth="1"/>
    <col min="211" max="211" width="17.109375" style="904" customWidth="1"/>
    <col min="212" max="212" width="5.109375" style="904" customWidth="1"/>
    <col min="213" max="213" width="7" style="904" customWidth="1"/>
    <col min="214" max="462" width="9.109375" style="904"/>
    <col min="463" max="463" width="5.88671875" style="904" customWidth="1"/>
    <col min="464" max="464" width="29.109375" style="904" customWidth="1"/>
    <col min="465" max="465" width="16.88671875" style="904" customWidth="1"/>
    <col min="466" max="466" width="21.44140625" style="904" customWidth="1"/>
    <col min="467" max="467" width="17.109375" style="904" customWidth="1"/>
    <col min="468" max="468" width="5.109375" style="904" customWidth="1"/>
    <col min="469" max="469" width="7" style="904" customWidth="1"/>
    <col min="470" max="718" width="9.109375" style="904"/>
    <col min="719" max="719" width="5.88671875" style="904" customWidth="1"/>
    <col min="720" max="720" width="29.109375" style="904" customWidth="1"/>
    <col min="721" max="721" width="16.88671875" style="904" customWidth="1"/>
    <col min="722" max="722" width="21.44140625" style="904" customWidth="1"/>
    <col min="723" max="723" width="17.109375" style="904" customWidth="1"/>
    <col min="724" max="724" width="5.109375" style="904" customWidth="1"/>
    <col min="725" max="725" width="7" style="904" customWidth="1"/>
    <col min="726" max="974" width="9.109375" style="904"/>
    <col min="975" max="975" width="5.88671875" style="904" customWidth="1"/>
    <col min="976" max="976" width="29.109375" style="904" customWidth="1"/>
    <col min="977" max="977" width="16.88671875" style="904" customWidth="1"/>
    <col min="978" max="978" width="21.44140625" style="904" customWidth="1"/>
    <col min="979" max="979" width="17.109375" style="904" customWidth="1"/>
    <col min="980" max="980" width="5.109375" style="904" customWidth="1"/>
    <col min="981" max="981" width="7" style="904" customWidth="1"/>
    <col min="982" max="1230" width="9.109375" style="904"/>
    <col min="1231" max="1231" width="5.88671875" style="904" customWidth="1"/>
    <col min="1232" max="1232" width="29.109375" style="904" customWidth="1"/>
    <col min="1233" max="1233" width="16.88671875" style="904" customWidth="1"/>
    <col min="1234" max="1234" width="21.44140625" style="904" customWidth="1"/>
    <col min="1235" max="1235" width="17.109375" style="904" customWidth="1"/>
    <col min="1236" max="1236" width="5.109375" style="904" customWidth="1"/>
    <col min="1237" max="1237" width="7" style="904" customWidth="1"/>
    <col min="1238" max="1486" width="9.109375" style="904"/>
    <col min="1487" max="1487" width="5.88671875" style="904" customWidth="1"/>
    <col min="1488" max="1488" width="29.109375" style="904" customWidth="1"/>
    <col min="1489" max="1489" width="16.88671875" style="904" customWidth="1"/>
    <col min="1490" max="1490" width="21.44140625" style="904" customWidth="1"/>
    <col min="1491" max="1491" width="17.109375" style="904" customWidth="1"/>
    <col min="1492" max="1492" width="5.109375" style="904" customWidth="1"/>
    <col min="1493" max="1493" width="7" style="904" customWidth="1"/>
    <col min="1494" max="1742" width="9.109375" style="904"/>
    <col min="1743" max="1743" width="5.88671875" style="904" customWidth="1"/>
    <col min="1744" max="1744" width="29.109375" style="904" customWidth="1"/>
    <col min="1745" max="1745" width="16.88671875" style="904" customWidth="1"/>
    <col min="1746" max="1746" width="21.44140625" style="904" customWidth="1"/>
    <col min="1747" max="1747" width="17.109375" style="904" customWidth="1"/>
    <col min="1748" max="1748" width="5.109375" style="904" customWidth="1"/>
    <col min="1749" max="1749" width="7" style="904" customWidth="1"/>
    <col min="1750" max="1998" width="9.109375" style="904"/>
    <col min="1999" max="1999" width="5.88671875" style="904" customWidth="1"/>
    <col min="2000" max="2000" width="29.109375" style="904" customWidth="1"/>
    <col min="2001" max="2001" width="16.88671875" style="904" customWidth="1"/>
    <col min="2002" max="2002" width="21.44140625" style="904" customWidth="1"/>
    <col min="2003" max="2003" width="17.109375" style="904" customWidth="1"/>
    <col min="2004" max="2004" width="5.109375" style="904" customWidth="1"/>
    <col min="2005" max="2005" width="7" style="904" customWidth="1"/>
    <col min="2006" max="2254" width="9.109375" style="904"/>
    <col min="2255" max="2255" width="5.88671875" style="904" customWidth="1"/>
    <col min="2256" max="2256" width="29.109375" style="904" customWidth="1"/>
    <col min="2257" max="2257" width="16.88671875" style="904" customWidth="1"/>
    <col min="2258" max="2258" width="21.44140625" style="904" customWidth="1"/>
    <col min="2259" max="2259" width="17.109375" style="904" customWidth="1"/>
    <col min="2260" max="2260" width="5.109375" style="904" customWidth="1"/>
    <col min="2261" max="2261" width="7" style="904" customWidth="1"/>
    <col min="2262" max="2510" width="9.109375" style="904"/>
    <col min="2511" max="2511" width="5.88671875" style="904" customWidth="1"/>
    <col min="2512" max="2512" width="29.109375" style="904" customWidth="1"/>
    <col min="2513" max="2513" width="16.88671875" style="904" customWidth="1"/>
    <col min="2514" max="2514" width="21.44140625" style="904" customWidth="1"/>
    <col min="2515" max="2515" width="17.109375" style="904" customWidth="1"/>
    <col min="2516" max="2516" width="5.109375" style="904" customWidth="1"/>
    <col min="2517" max="2517" width="7" style="904" customWidth="1"/>
    <col min="2518" max="2766" width="9.109375" style="904"/>
    <col min="2767" max="2767" width="5.88671875" style="904" customWidth="1"/>
    <col min="2768" max="2768" width="29.109375" style="904" customWidth="1"/>
    <col min="2769" max="2769" width="16.88671875" style="904" customWidth="1"/>
    <col min="2770" max="2770" width="21.44140625" style="904" customWidth="1"/>
    <col min="2771" max="2771" width="17.109375" style="904" customWidth="1"/>
    <col min="2772" max="2772" width="5.109375" style="904" customWidth="1"/>
    <col min="2773" max="2773" width="7" style="904" customWidth="1"/>
    <col min="2774" max="3022" width="9.109375" style="904"/>
    <col min="3023" max="3023" width="5.88671875" style="904" customWidth="1"/>
    <col min="3024" max="3024" width="29.109375" style="904" customWidth="1"/>
    <col min="3025" max="3025" width="16.88671875" style="904" customWidth="1"/>
    <col min="3026" max="3026" width="21.44140625" style="904" customWidth="1"/>
    <col min="3027" max="3027" width="17.109375" style="904" customWidth="1"/>
    <col min="3028" max="3028" width="5.109375" style="904" customWidth="1"/>
    <col min="3029" max="3029" width="7" style="904" customWidth="1"/>
    <col min="3030" max="3278" width="9.109375" style="904"/>
    <col min="3279" max="3279" width="5.88671875" style="904" customWidth="1"/>
    <col min="3280" max="3280" width="29.109375" style="904" customWidth="1"/>
    <col min="3281" max="3281" width="16.88671875" style="904" customWidth="1"/>
    <col min="3282" max="3282" width="21.44140625" style="904" customWidth="1"/>
    <col min="3283" max="3283" width="17.109375" style="904" customWidth="1"/>
    <col min="3284" max="3284" width="5.109375" style="904" customWidth="1"/>
    <col min="3285" max="3285" width="7" style="904" customWidth="1"/>
    <col min="3286" max="3534" width="9.109375" style="904"/>
    <col min="3535" max="3535" width="5.88671875" style="904" customWidth="1"/>
    <col min="3536" max="3536" width="29.109375" style="904" customWidth="1"/>
    <col min="3537" max="3537" width="16.88671875" style="904" customWidth="1"/>
    <col min="3538" max="3538" width="21.44140625" style="904" customWidth="1"/>
    <col min="3539" max="3539" width="17.109375" style="904" customWidth="1"/>
    <col min="3540" max="3540" width="5.109375" style="904" customWidth="1"/>
    <col min="3541" max="3541" width="7" style="904" customWidth="1"/>
    <col min="3542" max="3790" width="9.109375" style="904"/>
    <col min="3791" max="3791" width="5.88671875" style="904" customWidth="1"/>
    <col min="3792" max="3792" width="29.109375" style="904" customWidth="1"/>
    <col min="3793" max="3793" width="16.88671875" style="904" customWidth="1"/>
    <col min="3794" max="3794" width="21.44140625" style="904" customWidth="1"/>
    <col min="3795" max="3795" width="17.109375" style="904" customWidth="1"/>
    <col min="3796" max="3796" width="5.109375" style="904" customWidth="1"/>
    <col min="3797" max="3797" width="7" style="904" customWidth="1"/>
    <col min="3798" max="4046" width="9.109375" style="904"/>
    <col min="4047" max="4047" width="5.88671875" style="904" customWidth="1"/>
    <col min="4048" max="4048" width="29.109375" style="904" customWidth="1"/>
    <col min="4049" max="4049" width="16.88671875" style="904" customWidth="1"/>
    <col min="4050" max="4050" width="21.44140625" style="904" customWidth="1"/>
    <col min="4051" max="4051" width="17.109375" style="904" customWidth="1"/>
    <col min="4052" max="4052" width="5.109375" style="904" customWidth="1"/>
    <col min="4053" max="4053" width="7" style="904" customWidth="1"/>
    <col min="4054" max="4302" width="9.109375" style="904"/>
    <col min="4303" max="4303" width="5.88671875" style="904" customWidth="1"/>
    <col min="4304" max="4304" width="29.109375" style="904" customWidth="1"/>
    <col min="4305" max="4305" width="16.88671875" style="904" customWidth="1"/>
    <col min="4306" max="4306" width="21.44140625" style="904" customWidth="1"/>
    <col min="4307" max="4307" width="17.109375" style="904" customWidth="1"/>
    <col min="4308" max="4308" width="5.109375" style="904" customWidth="1"/>
    <col min="4309" max="4309" width="7" style="904" customWidth="1"/>
    <col min="4310" max="4558" width="9.109375" style="904"/>
    <col min="4559" max="4559" width="5.88671875" style="904" customWidth="1"/>
    <col min="4560" max="4560" width="29.109375" style="904" customWidth="1"/>
    <col min="4561" max="4561" width="16.88671875" style="904" customWidth="1"/>
    <col min="4562" max="4562" width="21.44140625" style="904" customWidth="1"/>
    <col min="4563" max="4563" width="17.109375" style="904" customWidth="1"/>
    <col min="4564" max="4564" width="5.109375" style="904" customWidth="1"/>
    <col min="4565" max="4565" width="7" style="904" customWidth="1"/>
    <col min="4566" max="4814" width="9.109375" style="904"/>
    <col min="4815" max="4815" width="5.88671875" style="904" customWidth="1"/>
    <col min="4816" max="4816" width="29.109375" style="904" customWidth="1"/>
    <col min="4817" max="4817" width="16.88671875" style="904" customWidth="1"/>
    <col min="4818" max="4818" width="21.44140625" style="904" customWidth="1"/>
    <col min="4819" max="4819" width="17.109375" style="904" customWidth="1"/>
    <col min="4820" max="4820" width="5.109375" style="904" customWidth="1"/>
    <col min="4821" max="4821" width="7" style="904" customWidth="1"/>
    <col min="4822" max="5070" width="9.109375" style="904"/>
    <col min="5071" max="5071" width="5.88671875" style="904" customWidth="1"/>
    <col min="5072" max="5072" width="29.109375" style="904" customWidth="1"/>
    <col min="5073" max="5073" width="16.88671875" style="904" customWidth="1"/>
    <col min="5074" max="5074" width="21.44140625" style="904" customWidth="1"/>
    <col min="5075" max="5075" width="17.109375" style="904" customWidth="1"/>
    <col min="5076" max="5076" width="5.109375" style="904" customWidth="1"/>
    <col min="5077" max="5077" width="7" style="904" customWidth="1"/>
    <col min="5078" max="5326" width="9.109375" style="904"/>
    <col min="5327" max="5327" width="5.88671875" style="904" customWidth="1"/>
    <col min="5328" max="5328" width="29.109375" style="904" customWidth="1"/>
    <col min="5329" max="5329" width="16.88671875" style="904" customWidth="1"/>
    <col min="5330" max="5330" width="21.44140625" style="904" customWidth="1"/>
    <col min="5331" max="5331" width="17.109375" style="904" customWidth="1"/>
    <col min="5332" max="5332" width="5.109375" style="904" customWidth="1"/>
    <col min="5333" max="5333" width="7" style="904" customWidth="1"/>
    <col min="5334" max="5582" width="9.109375" style="904"/>
    <col min="5583" max="5583" width="5.88671875" style="904" customWidth="1"/>
    <col min="5584" max="5584" width="29.109375" style="904" customWidth="1"/>
    <col min="5585" max="5585" width="16.88671875" style="904" customWidth="1"/>
    <col min="5586" max="5586" width="21.44140625" style="904" customWidth="1"/>
    <col min="5587" max="5587" width="17.109375" style="904" customWidth="1"/>
    <col min="5588" max="5588" width="5.109375" style="904" customWidth="1"/>
    <col min="5589" max="5589" width="7" style="904" customWidth="1"/>
    <col min="5590" max="5838" width="9.109375" style="904"/>
    <col min="5839" max="5839" width="5.88671875" style="904" customWidth="1"/>
    <col min="5840" max="5840" width="29.109375" style="904" customWidth="1"/>
    <col min="5841" max="5841" width="16.88671875" style="904" customWidth="1"/>
    <col min="5842" max="5842" width="21.44140625" style="904" customWidth="1"/>
    <col min="5843" max="5843" width="17.109375" style="904" customWidth="1"/>
    <col min="5844" max="5844" width="5.109375" style="904" customWidth="1"/>
    <col min="5845" max="5845" width="7" style="904" customWidth="1"/>
    <col min="5846" max="6094" width="9.109375" style="904"/>
    <col min="6095" max="6095" width="5.88671875" style="904" customWidth="1"/>
    <col min="6096" max="6096" width="29.109375" style="904" customWidth="1"/>
    <col min="6097" max="6097" width="16.88671875" style="904" customWidth="1"/>
    <col min="6098" max="6098" width="21.44140625" style="904" customWidth="1"/>
    <col min="6099" max="6099" width="17.109375" style="904" customWidth="1"/>
    <col min="6100" max="6100" width="5.109375" style="904" customWidth="1"/>
    <col min="6101" max="6101" width="7" style="904" customWidth="1"/>
    <col min="6102" max="6350" width="9.109375" style="904"/>
    <col min="6351" max="6351" width="5.88671875" style="904" customWidth="1"/>
    <col min="6352" max="6352" width="29.109375" style="904" customWidth="1"/>
    <col min="6353" max="6353" width="16.88671875" style="904" customWidth="1"/>
    <col min="6354" max="6354" width="21.44140625" style="904" customWidth="1"/>
    <col min="6355" max="6355" width="17.109375" style="904" customWidth="1"/>
    <col min="6356" max="6356" width="5.109375" style="904" customWidth="1"/>
    <col min="6357" max="6357" width="7" style="904" customWidth="1"/>
    <col min="6358" max="6606" width="9.109375" style="904"/>
    <col min="6607" max="6607" width="5.88671875" style="904" customWidth="1"/>
    <col min="6608" max="6608" width="29.109375" style="904" customWidth="1"/>
    <col min="6609" max="6609" width="16.88671875" style="904" customWidth="1"/>
    <col min="6610" max="6610" width="21.44140625" style="904" customWidth="1"/>
    <col min="6611" max="6611" width="17.109375" style="904" customWidth="1"/>
    <col min="6612" max="6612" width="5.109375" style="904" customWidth="1"/>
    <col min="6613" max="6613" width="7" style="904" customWidth="1"/>
    <col min="6614" max="6862" width="9.109375" style="904"/>
    <col min="6863" max="6863" width="5.88671875" style="904" customWidth="1"/>
    <col min="6864" max="6864" width="29.109375" style="904" customWidth="1"/>
    <col min="6865" max="6865" width="16.88671875" style="904" customWidth="1"/>
    <col min="6866" max="6866" width="21.44140625" style="904" customWidth="1"/>
    <col min="6867" max="6867" width="17.109375" style="904" customWidth="1"/>
    <col min="6868" max="6868" width="5.109375" style="904" customWidth="1"/>
    <col min="6869" max="6869" width="7" style="904" customWidth="1"/>
    <col min="6870" max="7118" width="9.109375" style="904"/>
    <col min="7119" max="7119" width="5.88671875" style="904" customWidth="1"/>
    <col min="7120" max="7120" width="29.109375" style="904" customWidth="1"/>
    <col min="7121" max="7121" width="16.88671875" style="904" customWidth="1"/>
    <col min="7122" max="7122" width="21.44140625" style="904" customWidth="1"/>
    <col min="7123" max="7123" width="17.109375" style="904" customWidth="1"/>
    <col min="7124" max="7124" width="5.109375" style="904" customWidth="1"/>
    <col min="7125" max="7125" width="7" style="904" customWidth="1"/>
    <col min="7126" max="7374" width="9.109375" style="904"/>
    <col min="7375" max="7375" width="5.88671875" style="904" customWidth="1"/>
    <col min="7376" max="7376" width="29.109375" style="904" customWidth="1"/>
    <col min="7377" max="7377" width="16.88671875" style="904" customWidth="1"/>
    <col min="7378" max="7378" width="21.44140625" style="904" customWidth="1"/>
    <col min="7379" max="7379" width="17.109375" style="904" customWidth="1"/>
    <col min="7380" max="7380" width="5.109375" style="904" customWidth="1"/>
    <col min="7381" max="7381" width="7" style="904" customWidth="1"/>
    <col min="7382" max="7630" width="9.109375" style="904"/>
    <col min="7631" max="7631" width="5.88671875" style="904" customWidth="1"/>
    <col min="7632" max="7632" width="29.109375" style="904" customWidth="1"/>
    <col min="7633" max="7633" width="16.88671875" style="904" customWidth="1"/>
    <col min="7634" max="7634" width="21.44140625" style="904" customWidth="1"/>
    <col min="7635" max="7635" width="17.109375" style="904" customWidth="1"/>
    <col min="7636" max="7636" width="5.109375" style="904" customWidth="1"/>
    <col min="7637" max="7637" width="7" style="904" customWidth="1"/>
    <col min="7638" max="7886" width="9.109375" style="904"/>
    <col min="7887" max="7887" width="5.88671875" style="904" customWidth="1"/>
    <col min="7888" max="7888" width="29.109375" style="904" customWidth="1"/>
    <col min="7889" max="7889" width="16.88671875" style="904" customWidth="1"/>
    <col min="7890" max="7890" width="21.44140625" style="904" customWidth="1"/>
    <col min="7891" max="7891" width="17.109375" style="904" customWidth="1"/>
    <col min="7892" max="7892" width="5.109375" style="904" customWidth="1"/>
    <col min="7893" max="7893" width="7" style="904" customWidth="1"/>
    <col min="7894" max="8142" width="9.109375" style="904"/>
    <col min="8143" max="8143" width="5.88671875" style="904" customWidth="1"/>
    <col min="8144" max="8144" width="29.109375" style="904" customWidth="1"/>
    <col min="8145" max="8145" width="16.88671875" style="904" customWidth="1"/>
    <col min="8146" max="8146" width="21.44140625" style="904" customWidth="1"/>
    <col min="8147" max="8147" width="17.109375" style="904" customWidth="1"/>
    <col min="8148" max="8148" width="5.109375" style="904" customWidth="1"/>
    <col min="8149" max="8149" width="7" style="904" customWidth="1"/>
    <col min="8150" max="8398" width="9.109375" style="904"/>
    <col min="8399" max="8399" width="5.88671875" style="904" customWidth="1"/>
    <col min="8400" max="8400" width="29.109375" style="904" customWidth="1"/>
    <col min="8401" max="8401" width="16.88671875" style="904" customWidth="1"/>
    <col min="8402" max="8402" width="21.44140625" style="904" customWidth="1"/>
    <col min="8403" max="8403" width="17.109375" style="904" customWidth="1"/>
    <col min="8404" max="8404" width="5.109375" style="904" customWidth="1"/>
    <col min="8405" max="8405" width="7" style="904" customWidth="1"/>
    <col min="8406" max="8654" width="9.109375" style="904"/>
    <col min="8655" max="8655" width="5.88671875" style="904" customWidth="1"/>
    <col min="8656" max="8656" width="29.109375" style="904" customWidth="1"/>
    <col min="8657" max="8657" width="16.88671875" style="904" customWidth="1"/>
    <col min="8658" max="8658" width="21.44140625" style="904" customWidth="1"/>
    <col min="8659" max="8659" width="17.109375" style="904" customWidth="1"/>
    <col min="8660" max="8660" width="5.109375" style="904" customWidth="1"/>
    <col min="8661" max="8661" width="7" style="904" customWidth="1"/>
    <col min="8662" max="8910" width="9.109375" style="904"/>
    <col min="8911" max="8911" width="5.88671875" style="904" customWidth="1"/>
    <col min="8912" max="8912" width="29.109375" style="904" customWidth="1"/>
    <col min="8913" max="8913" width="16.88671875" style="904" customWidth="1"/>
    <col min="8914" max="8914" width="21.44140625" style="904" customWidth="1"/>
    <col min="8915" max="8915" width="17.109375" style="904" customWidth="1"/>
    <col min="8916" max="8916" width="5.109375" style="904" customWidth="1"/>
    <col min="8917" max="8917" width="7" style="904" customWidth="1"/>
    <col min="8918" max="9166" width="9.109375" style="904"/>
    <col min="9167" max="9167" width="5.88671875" style="904" customWidth="1"/>
    <col min="9168" max="9168" width="29.109375" style="904" customWidth="1"/>
    <col min="9169" max="9169" width="16.88671875" style="904" customWidth="1"/>
    <col min="9170" max="9170" width="21.44140625" style="904" customWidth="1"/>
    <col min="9171" max="9171" width="17.109375" style="904" customWidth="1"/>
    <col min="9172" max="9172" width="5.109375" style="904" customWidth="1"/>
    <col min="9173" max="9173" width="7" style="904" customWidth="1"/>
    <col min="9174" max="9422" width="9.109375" style="904"/>
    <col min="9423" max="9423" width="5.88671875" style="904" customWidth="1"/>
    <col min="9424" max="9424" width="29.109375" style="904" customWidth="1"/>
    <col min="9425" max="9425" width="16.88671875" style="904" customWidth="1"/>
    <col min="9426" max="9426" width="21.44140625" style="904" customWidth="1"/>
    <col min="9427" max="9427" width="17.109375" style="904" customWidth="1"/>
    <col min="9428" max="9428" width="5.109375" style="904" customWidth="1"/>
    <col min="9429" max="9429" width="7" style="904" customWidth="1"/>
    <col min="9430" max="9678" width="9.109375" style="904"/>
    <col min="9679" max="9679" width="5.88671875" style="904" customWidth="1"/>
    <col min="9680" max="9680" width="29.109375" style="904" customWidth="1"/>
    <col min="9681" max="9681" width="16.88671875" style="904" customWidth="1"/>
    <col min="9682" max="9682" width="21.44140625" style="904" customWidth="1"/>
    <col min="9683" max="9683" width="17.109375" style="904" customWidth="1"/>
    <col min="9684" max="9684" width="5.109375" style="904" customWidth="1"/>
    <col min="9685" max="9685" width="7" style="904" customWidth="1"/>
    <col min="9686" max="9934" width="9.109375" style="904"/>
    <col min="9935" max="9935" width="5.88671875" style="904" customWidth="1"/>
    <col min="9936" max="9936" width="29.109375" style="904" customWidth="1"/>
    <col min="9937" max="9937" width="16.88671875" style="904" customWidth="1"/>
    <col min="9938" max="9938" width="21.44140625" style="904" customWidth="1"/>
    <col min="9939" max="9939" width="17.109375" style="904" customWidth="1"/>
    <col min="9940" max="9940" width="5.109375" style="904" customWidth="1"/>
    <col min="9941" max="9941" width="7" style="904" customWidth="1"/>
    <col min="9942" max="10190" width="9.109375" style="904"/>
    <col min="10191" max="10191" width="5.88671875" style="904" customWidth="1"/>
    <col min="10192" max="10192" width="29.109375" style="904" customWidth="1"/>
    <col min="10193" max="10193" width="16.88671875" style="904" customWidth="1"/>
    <col min="10194" max="10194" width="21.44140625" style="904" customWidth="1"/>
    <col min="10195" max="10195" width="17.109375" style="904" customWidth="1"/>
    <col min="10196" max="10196" width="5.109375" style="904" customWidth="1"/>
    <col min="10197" max="10197" width="7" style="904" customWidth="1"/>
    <col min="10198" max="10446" width="9.109375" style="904"/>
    <col min="10447" max="10447" width="5.88671875" style="904" customWidth="1"/>
    <col min="10448" max="10448" width="29.109375" style="904" customWidth="1"/>
    <col min="10449" max="10449" width="16.88671875" style="904" customWidth="1"/>
    <col min="10450" max="10450" width="21.44140625" style="904" customWidth="1"/>
    <col min="10451" max="10451" width="17.109375" style="904" customWidth="1"/>
    <col min="10452" max="10452" width="5.109375" style="904" customWidth="1"/>
    <col min="10453" max="10453" width="7" style="904" customWidth="1"/>
    <col min="10454" max="10702" width="9.109375" style="904"/>
    <col min="10703" max="10703" width="5.88671875" style="904" customWidth="1"/>
    <col min="10704" max="10704" width="29.109375" style="904" customWidth="1"/>
    <col min="10705" max="10705" width="16.88671875" style="904" customWidth="1"/>
    <col min="10706" max="10706" width="21.44140625" style="904" customWidth="1"/>
    <col min="10707" max="10707" width="17.109375" style="904" customWidth="1"/>
    <col min="10708" max="10708" width="5.109375" style="904" customWidth="1"/>
    <col min="10709" max="10709" width="7" style="904" customWidth="1"/>
    <col min="10710" max="10958" width="9.109375" style="904"/>
    <col min="10959" max="10959" width="5.88671875" style="904" customWidth="1"/>
    <col min="10960" max="10960" width="29.109375" style="904" customWidth="1"/>
    <col min="10961" max="10961" width="16.88671875" style="904" customWidth="1"/>
    <col min="10962" max="10962" width="21.44140625" style="904" customWidth="1"/>
    <col min="10963" max="10963" width="17.109375" style="904" customWidth="1"/>
    <col min="10964" max="10964" width="5.109375" style="904" customWidth="1"/>
    <col min="10965" max="10965" width="7" style="904" customWidth="1"/>
    <col min="10966" max="11214" width="9.109375" style="904"/>
    <col min="11215" max="11215" width="5.88671875" style="904" customWidth="1"/>
    <col min="11216" max="11216" width="29.109375" style="904" customWidth="1"/>
    <col min="11217" max="11217" width="16.88671875" style="904" customWidth="1"/>
    <col min="11218" max="11218" width="21.44140625" style="904" customWidth="1"/>
    <col min="11219" max="11219" width="17.109375" style="904" customWidth="1"/>
    <col min="11220" max="11220" width="5.109375" style="904" customWidth="1"/>
    <col min="11221" max="11221" width="7" style="904" customWidth="1"/>
    <col min="11222" max="11470" width="9.109375" style="904"/>
    <col min="11471" max="11471" width="5.88671875" style="904" customWidth="1"/>
    <col min="11472" max="11472" width="29.109375" style="904" customWidth="1"/>
    <col min="11473" max="11473" width="16.88671875" style="904" customWidth="1"/>
    <col min="11474" max="11474" width="21.44140625" style="904" customWidth="1"/>
    <col min="11475" max="11475" width="17.109375" style="904" customWidth="1"/>
    <col min="11476" max="11476" width="5.109375" style="904" customWidth="1"/>
    <col min="11477" max="11477" width="7" style="904" customWidth="1"/>
    <col min="11478" max="11726" width="9.109375" style="904"/>
    <col min="11727" max="11727" width="5.88671875" style="904" customWidth="1"/>
    <col min="11728" max="11728" width="29.109375" style="904" customWidth="1"/>
    <col min="11729" max="11729" width="16.88671875" style="904" customWidth="1"/>
    <col min="11730" max="11730" width="21.44140625" style="904" customWidth="1"/>
    <col min="11731" max="11731" width="17.109375" style="904" customWidth="1"/>
    <col min="11732" max="11732" width="5.109375" style="904" customWidth="1"/>
    <col min="11733" max="11733" width="7" style="904" customWidth="1"/>
    <col min="11734" max="11982" width="9.109375" style="904"/>
    <col min="11983" max="11983" width="5.88671875" style="904" customWidth="1"/>
    <col min="11984" max="11984" width="29.109375" style="904" customWidth="1"/>
    <col min="11985" max="11985" width="16.88671875" style="904" customWidth="1"/>
    <col min="11986" max="11986" width="21.44140625" style="904" customWidth="1"/>
    <col min="11987" max="11987" width="17.109375" style="904" customWidth="1"/>
    <col min="11988" max="11988" width="5.109375" style="904" customWidth="1"/>
    <col min="11989" max="11989" width="7" style="904" customWidth="1"/>
    <col min="11990" max="12238" width="9.109375" style="904"/>
    <col min="12239" max="12239" width="5.88671875" style="904" customWidth="1"/>
    <col min="12240" max="12240" width="29.109375" style="904" customWidth="1"/>
    <col min="12241" max="12241" width="16.88671875" style="904" customWidth="1"/>
    <col min="12242" max="12242" width="21.44140625" style="904" customWidth="1"/>
    <col min="12243" max="12243" width="17.109375" style="904" customWidth="1"/>
    <col min="12244" max="12244" width="5.109375" style="904" customWidth="1"/>
    <col min="12245" max="12245" width="7" style="904" customWidth="1"/>
    <col min="12246" max="12494" width="9.109375" style="904"/>
    <col min="12495" max="12495" width="5.88671875" style="904" customWidth="1"/>
    <col min="12496" max="12496" width="29.109375" style="904" customWidth="1"/>
    <col min="12497" max="12497" width="16.88671875" style="904" customWidth="1"/>
    <col min="12498" max="12498" width="21.44140625" style="904" customWidth="1"/>
    <col min="12499" max="12499" width="17.109375" style="904" customWidth="1"/>
    <col min="12500" max="12500" width="5.109375" style="904" customWidth="1"/>
    <col min="12501" max="12501" width="7" style="904" customWidth="1"/>
    <col min="12502" max="12750" width="9.109375" style="904"/>
    <col min="12751" max="12751" width="5.88671875" style="904" customWidth="1"/>
    <col min="12752" max="12752" width="29.109375" style="904" customWidth="1"/>
    <col min="12753" max="12753" width="16.88671875" style="904" customWidth="1"/>
    <col min="12754" max="12754" width="21.44140625" style="904" customWidth="1"/>
    <col min="12755" max="12755" width="17.109375" style="904" customWidth="1"/>
    <col min="12756" max="12756" width="5.109375" style="904" customWidth="1"/>
    <col min="12757" max="12757" width="7" style="904" customWidth="1"/>
    <col min="12758" max="13006" width="9.109375" style="904"/>
    <col min="13007" max="13007" width="5.88671875" style="904" customWidth="1"/>
    <col min="13008" max="13008" width="29.109375" style="904" customWidth="1"/>
    <col min="13009" max="13009" width="16.88671875" style="904" customWidth="1"/>
    <col min="13010" max="13010" width="21.44140625" style="904" customWidth="1"/>
    <col min="13011" max="13011" width="17.109375" style="904" customWidth="1"/>
    <col min="13012" max="13012" width="5.109375" style="904" customWidth="1"/>
    <col min="13013" max="13013" width="7" style="904" customWidth="1"/>
    <col min="13014" max="13262" width="9.109375" style="904"/>
    <col min="13263" max="13263" width="5.88671875" style="904" customWidth="1"/>
    <col min="13264" max="13264" width="29.109375" style="904" customWidth="1"/>
    <col min="13265" max="13265" width="16.88671875" style="904" customWidth="1"/>
    <col min="13266" max="13266" width="21.44140625" style="904" customWidth="1"/>
    <col min="13267" max="13267" width="17.109375" style="904" customWidth="1"/>
    <col min="13268" max="13268" width="5.109375" style="904" customWidth="1"/>
    <col min="13269" max="13269" width="7" style="904" customWidth="1"/>
    <col min="13270" max="13518" width="9.109375" style="904"/>
    <col min="13519" max="13519" width="5.88671875" style="904" customWidth="1"/>
    <col min="13520" max="13520" width="29.109375" style="904" customWidth="1"/>
    <col min="13521" max="13521" width="16.88671875" style="904" customWidth="1"/>
    <col min="13522" max="13522" width="21.44140625" style="904" customWidth="1"/>
    <col min="13523" max="13523" width="17.109375" style="904" customWidth="1"/>
    <col min="13524" max="13524" width="5.109375" style="904" customWidth="1"/>
    <col min="13525" max="13525" width="7" style="904" customWidth="1"/>
    <col min="13526" max="13774" width="9.109375" style="904"/>
    <col min="13775" max="13775" width="5.88671875" style="904" customWidth="1"/>
    <col min="13776" max="13776" width="29.109375" style="904" customWidth="1"/>
    <col min="13777" max="13777" width="16.88671875" style="904" customWidth="1"/>
    <col min="13778" max="13778" width="21.44140625" style="904" customWidth="1"/>
    <col min="13779" max="13779" width="17.109375" style="904" customWidth="1"/>
    <col min="13780" max="13780" width="5.109375" style="904" customWidth="1"/>
    <col min="13781" max="13781" width="7" style="904" customWidth="1"/>
    <col min="13782" max="14030" width="9.109375" style="904"/>
    <col min="14031" max="14031" width="5.88671875" style="904" customWidth="1"/>
    <col min="14032" max="14032" width="29.109375" style="904" customWidth="1"/>
    <col min="14033" max="14033" width="16.88671875" style="904" customWidth="1"/>
    <col min="14034" max="14034" width="21.44140625" style="904" customWidth="1"/>
    <col min="14035" max="14035" width="17.109375" style="904" customWidth="1"/>
    <col min="14036" max="14036" width="5.109375" style="904" customWidth="1"/>
    <col min="14037" max="14037" width="7" style="904" customWidth="1"/>
    <col min="14038" max="14286" width="9.109375" style="904"/>
    <col min="14287" max="14287" width="5.88671875" style="904" customWidth="1"/>
    <col min="14288" max="14288" width="29.109375" style="904" customWidth="1"/>
    <col min="14289" max="14289" width="16.88671875" style="904" customWidth="1"/>
    <col min="14290" max="14290" width="21.44140625" style="904" customWidth="1"/>
    <col min="14291" max="14291" width="17.109375" style="904" customWidth="1"/>
    <col min="14292" max="14292" width="5.109375" style="904" customWidth="1"/>
    <col min="14293" max="14293" width="7" style="904" customWidth="1"/>
    <col min="14294" max="14542" width="9.109375" style="904"/>
    <col min="14543" max="14543" width="5.88671875" style="904" customWidth="1"/>
    <col min="14544" max="14544" width="29.109375" style="904" customWidth="1"/>
    <col min="14545" max="14545" width="16.88671875" style="904" customWidth="1"/>
    <col min="14546" max="14546" width="21.44140625" style="904" customWidth="1"/>
    <col min="14547" max="14547" width="17.109375" style="904" customWidth="1"/>
    <col min="14548" max="14548" width="5.109375" style="904" customWidth="1"/>
    <col min="14549" max="14549" width="7" style="904" customWidth="1"/>
    <col min="14550" max="14798" width="9.109375" style="904"/>
    <col min="14799" max="14799" width="5.88671875" style="904" customWidth="1"/>
    <col min="14800" max="14800" width="29.109375" style="904" customWidth="1"/>
    <col min="14801" max="14801" width="16.88671875" style="904" customWidth="1"/>
    <col min="14802" max="14802" width="21.44140625" style="904" customWidth="1"/>
    <col min="14803" max="14803" width="17.109375" style="904" customWidth="1"/>
    <col min="14804" max="14804" width="5.109375" style="904" customWidth="1"/>
    <col min="14805" max="14805" width="7" style="904" customWidth="1"/>
    <col min="14806" max="15054" width="9.109375" style="904"/>
    <col min="15055" max="15055" width="5.88671875" style="904" customWidth="1"/>
    <col min="15056" max="15056" width="29.109375" style="904" customWidth="1"/>
    <col min="15057" max="15057" width="16.88671875" style="904" customWidth="1"/>
    <col min="15058" max="15058" width="21.44140625" style="904" customWidth="1"/>
    <col min="15059" max="15059" width="17.109375" style="904" customWidth="1"/>
    <col min="15060" max="15060" width="5.109375" style="904" customWidth="1"/>
    <col min="15061" max="15061" width="7" style="904" customWidth="1"/>
    <col min="15062" max="15310" width="9.109375" style="904"/>
    <col min="15311" max="15311" width="5.88671875" style="904" customWidth="1"/>
    <col min="15312" max="15312" width="29.109375" style="904" customWidth="1"/>
    <col min="15313" max="15313" width="16.88671875" style="904" customWidth="1"/>
    <col min="15314" max="15314" width="21.44140625" style="904" customWidth="1"/>
    <col min="15315" max="15315" width="17.109375" style="904" customWidth="1"/>
    <col min="15316" max="15316" width="5.109375" style="904" customWidth="1"/>
    <col min="15317" max="15317" width="7" style="904" customWidth="1"/>
    <col min="15318" max="15566" width="9.109375" style="904"/>
    <col min="15567" max="15567" width="5.88671875" style="904" customWidth="1"/>
    <col min="15568" max="15568" width="29.109375" style="904" customWidth="1"/>
    <col min="15569" max="15569" width="16.88671875" style="904" customWidth="1"/>
    <col min="15570" max="15570" width="21.44140625" style="904" customWidth="1"/>
    <col min="15571" max="15571" width="17.109375" style="904" customWidth="1"/>
    <col min="15572" max="15572" width="5.109375" style="904" customWidth="1"/>
    <col min="15573" max="15573" width="7" style="904" customWidth="1"/>
    <col min="15574" max="15822" width="9.109375" style="904"/>
    <col min="15823" max="15823" width="5.88671875" style="904" customWidth="1"/>
    <col min="15824" max="15824" width="29.109375" style="904" customWidth="1"/>
    <col min="15825" max="15825" width="16.88671875" style="904" customWidth="1"/>
    <col min="15826" max="15826" width="21.44140625" style="904" customWidth="1"/>
    <col min="15827" max="15827" width="17.109375" style="904" customWidth="1"/>
    <col min="15828" max="15828" width="5.109375" style="904" customWidth="1"/>
    <col min="15829" max="15829" width="7" style="904" customWidth="1"/>
    <col min="15830" max="16078" width="9.109375" style="904"/>
    <col min="16079" max="16079" width="5.88671875" style="904" customWidth="1"/>
    <col min="16080" max="16080" width="29.109375" style="904" customWidth="1"/>
    <col min="16081" max="16081" width="16.88671875" style="904" customWidth="1"/>
    <col min="16082" max="16082" width="21.44140625" style="904" customWidth="1"/>
    <col min="16083" max="16083" width="17.109375" style="904" customWidth="1"/>
    <col min="16084" max="16084" width="5.109375" style="904" customWidth="1"/>
    <col min="16085" max="16085" width="7" style="904" customWidth="1"/>
    <col min="16086" max="16384" width="9.109375" style="904"/>
  </cols>
  <sheetData>
    <row r="1" spans="1:7" s="901" customFormat="1" ht="15.6">
      <c r="A1" s="14963" t="s">
        <v>2138</v>
      </c>
      <c r="B1" s="14963"/>
      <c r="C1" s="14963"/>
      <c r="D1" s="14963"/>
      <c r="E1" s="14963"/>
      <c r="F1" s="14963"/>
      <c r="G1" s="14963"/>
    </row>
    <row r="2" spans="1:7" s="901" customFormat="1" ht="15.6">
      <c r="A2" s="902"/>
      <c r="B2" s="696"/>
      <c r="C2" s="903"/>
      <c r="D2" s="695"/>
    </row>
    <row r="3" spans="1:7" s="902" customFormat="1" ht="15.6">
      <c r="A3" s="14957" t="s">
        <v>4801</v>
      </c>
      <c r="B3" s="14957"/>
      <c r="C3" s="14957"/>
      <c r="D3" s="14957"/>
      <c r="E3" s="14957"/>
      <c r="F3" s="14957"/>
      <c r="G3" s="14957"/>
    </row>
    <row r="4" spans="1:7" s="901" customFormat="1" ht="15.75" customHeight="1">
      <c r="A4" s="14958" t="s">
        <v>2856</v>
      </c>
      <c r="B4" s="14958"/>
      <c r="C4" s="14958"/>
      <c r="D4" s="14958"/>
      <c r="E4" s="14958"/>
      <c r="F4" s="14958"/>
    </row>
    <row r="5" spans="1:7" s="901" customFormat="1" ht="15.75" customHeight="1">
      <c r="A5" s="14958" t="s">
        <v>2857</v>
      </c>
      <c r="B5" s="14958"/>
      <c r="C5" s="14958"/>
      <c r="D5" s="14958"/>
      <c r="E5" s="14958"/>
      <c r="F5" s="14958"/>
      <c r="G5" s="14958"/>
    </row>
    <row r="6" spans="1:7" s="901" customFormat="1" ht="15.6">
      <c r="B6" s="696"/>
      <c r="C6" s="903"/>
      <c r="D6" s="695"/>
    </row>
    <row r="7" spans="1:7" s="901" customFormat="1" ht="15.6">
      <c r="A7" s="14957" t="s">
        <v>2054</v>
      </c>
      <c r="B7" s="14957"/>
      <c r="C7" s="14957"/>
      <c r="D7" s="14957"/>
      <c r="E7" s="14957"/>
      <c r="F7" s="14957"/>
      <c r="G7" s="14957"/>
    </row>
    <row r="9" spans="1:7" s="1349" customFormat="1" ht="39.75" customHeight="1">
      <c r="A9" s="14959" t="s">
        <v>7177</v>
      </c>
      <c r="B9" s="14959"/>
      <c r="C9" s="14959"/>
      <c r="D9" s="14959"/>
      <c r="E9" s="14959"/>
      <c r="F9" s="14959"/>
      <c r="G9" s="14959"/>
    </row>
    <row r="10" spans="1:7" s="1349" customFormat="1" ht="37.5" customHeight="1">
      <c r="A10" s="14959" t="s">
        <v>7178</v>
      </c>
      <c r="B10" s="14959"/>
      <c r="C10" s="14959"/>
      <c r="D10" s="14959"/>
      <c r="E10" s="14959"/>
      <c r="F10" s="14959"/>
      <c r="G10" s="14959"/>
    </row>
    <row r="11" spans="1:7" s="1349" customFormat="1" ht="36.75" customHeight="1">
      <c r="A11" s="14959" t="s">
        <v>7179</v>
      </c>
      <c r="B11" s="14959"/>
      <c r="C11" s="14959"/>
      <c r="D11" s="14959"/>
      <c r="E11" s="14959"/>
      <c r="F11" s="14959"/>
      <c r="G11" s="14959"/>
    </row>
    <row r="12" spans="1:7" s="1349" customFormat="1" ht="51" customHeight="1">
      <c r="A12" s="14959" t="s">
        <v>7180</v>
      </c>
      <c r="B12" s="14959"/>
      <c r="C12" s="14959"/>
      <c r="D12" s="14959"/>
      <c r="E12" s="14959"/>
      <c r="F12" s="14959"/>
      <c r="G12" s="14959"/>
    </row>
    <row r="13" spans="1:7" s="1349" customFormat="1" ht="66.75" customHeight="1">
      <c r="A13" s="14959" t="s">
        <v>7181</v>
      </c>
      <c r="B13" s="14959"/>
      <c r="C13" s="14959"/>
      <c r="D13" s="14959"/>
      <c r="E13" s="14959"/>
      <c r="F13" s="14959"/>
      <c r="G13" s="14959"/>
    </row>
    <row r="14" spans="1:7" s="1349" customFormat="1" ht="64.5" customHeight="1">
      <c r="A14" s="14959" t="s">
        <v>7182</v>
      </c>
      <c r="B14" s="14959"/>
      <c r="C14" s="14959"/>
      <c r="D14" s="14959"/>
      <c r="E14" s="14959"/>
      <c r="F14" s="14959"/>
      <c r="G14" s="14959"/>
    </row>
    <row r="15" spans="1:7" ht="15.75" customHeight="1">
      <c r="B15" s="895"/>
      <c r="C15" s="907"/>
      <c r="D15" s="895"/>
      <c r="E15" s="907"/>
      <c r="F15" s="907"/>
      <c r="G15" s="907"/>
    </row>
    <row r="16" spans="1:7" s="901" customFormat="1" ht="19.5" customHeight="1">
      <c r="A16" s="14957" t="s">
        <v>1753</v>
      </c>
      <c r="B16" s="14957"/>
      <c r="C16" s="14957"/>
      <c r="D16" s="14957"/>
      <c r="E16" s="14957"/>
      <c r="F16" s="14957"/>
      <c r="G16" s="14957"/>
    </row>
    <row r="17" spans="2:7" ht="15" customHeight="1">
      <c r="C17" s="14960"/>
      <c r="D17" s="14960"/>
      <c r="E17" s="14960"/>
      <c r="F17" s="14960"/>
      <c r="G17" s="14960"/>
    </row>
    <row r="18" spans="2:7" ht="21.75" customHeight="1">
      <c r="B18" s="14959" t="s">
        <v>2858</v>
      </c>
      <c r="C18" s="14959"/>
      <c r="D18" s="14959"/>
      <c r="E18" s="14959"/>
      <c r="F18" s="14959"/>
      <c r="G18" s="14959"/>
    </row>
    <row r="19" spans="2:7" ht="21.75" customHeight="1">
      <c r="B19" s="14959" t="s">
        <v>2859</v>
      </c>
      <c r="C19" s="14959"/>
      <c r="D19" s="14959"/>
      <c r="E19" s="14959"/>
      <c r="F19" s="14959"/>
      <c r="G19" s="14959"/>
    </row>
    <row r="20" spans="2:7" ht="21.75" customHeight="1">
      <c r="B20" s="14959" t="s">
        <v>2860</v>
      </c>
      <c r="C20" s="14959"/>
      <c r="D20" s="14959"/>
      <c r="E20" s="14959"/>
      <c r="F20" s="14959"/>
      <c r="G20" s="14959"/>
    </row>
    <row r="21" spans="2:7" ht="21.75" customHeight="1">
      <c r="B21" s="14959" t="s">
        <v>2861</v>
      </c>
      <c r="C21" s="14959"/>
      <c r="D21" s="14959"/>
      <c r="E21" s="14959"/>
      <c r="F21" s="14959"/>
      <c r="G21" s="14959"/>
    </row>
    <row r="22" spans="2:7" ht="21.75" customHeight="1">
      <c r="B22" s="14959" t="s">
        <v>2862</v>
      </c>
      <c r="C22" s="14959"/>
      <c r="D22" s="14959"/>
      <c r="E22" s="14959"/>
      <c r="F22" s="14959"/>
      <c r="G22" s="14959"/>
    </row>
    <row r="23" spans="2:7" ht="21.75" customHeight="1">
      <c r="B23" s="14959" t="s">
        <v>2863</v>
      </c>
      <c r="C23" s="14959"/>
      <c r="D23" s="14959"/>
      <c r="E23" s="14959"/>
      <c r="F23" s="14959"/>
      <c r="G23" s="14959"/>
    </row>
    <row r="24" spans="2:7" ht="21.75" customHeight="1">
      <c r="B24" s="14959" t="s">
        <v>2864</v>
      </c>
      <c r="C24" s="14959"/>
      <c r="D24" s="14959"/>
      <c r="E24" s="14959"/>
      <c r="F24" s="14959"/>
      <c r="G24" s="14959"/>
    </row>
    <row r="25" spans="2:7" ht="21.75" customHeight="1">
      <c r="B25" s="14959" t="s">
        <v>2865</v>
      </c>
      <c r="C25" s="14959"/>
      <c r="D25" s="14959"/>
      <c r="E25" s="14959"/>
      <c r="F25" s="14959"/>
      <c r="G25" s="14959"/>
    </row>
    <row r="26" spans="2:7" ht="21.75" customHeight="1">
      <c r="B26" s="14959" t="s">
        <v>2866</v>
      </c>
      <c r="C26" s="14959"/>
      <c r="D26" s="14959"/>
      <c r="E26" s="14959"/>
      <c r="F26" s="14959"/>
      <c r="G26" s="14959"/>
    </row>
    <row r="27" spans="2:7" ht="21.75" customHeight="1">
      <c r="B27" s="1617"/>
      <c r="C27" s="1617"/>
      <c r="D27" s="1617"/>
      <c r="E27" s="1617"/>
      <c r="F27" s="1617"/>
      <c r="G27" s="1617"/>
    </row>
    <row r="28" spans="2:7" ht="21.75" customHeight="1">
      <c r="B28" s="1617"/>
      <c r="C28" s="1617"/>
      <c r="D28" s="1617"/>
      <c r="E28" s="1617"/>
      <c r="F28" s="1617"/>
      <c r="G28" s="1617"/>
    </row>
    <row r="29" spans="2:7" ht="21.75" customHeight="1">
      <c r="B29" s="1617"/>
      <c r="C29" s="1617"/>
      <c r="D29" s="1617"/>
      <c r="E29" s="1617"/>
      <c r="F29" s="1617"/>
      <c r="G29" s="1617"/>
    </row>
    <row r="30" spans="2:7" ht="21.75" customHeight="1">
      <c r="B30" s="1617"/>
      <c r="C30" s="1617"/>
      <c r="D30" s="1617"/>
      <c r="E30" s="1617"/>
      <c r="F30" s="1617"/>
      <c r="G30" s="1617"/>
    </row>
    <row r="31" spans="2:7" ht="21.75" customHeight="1">
      <c r="B31" s="1617"/>
      <c r="C31" s="1617"/>
      <c r="D31" s="1617"/>
      <c r="E31" s="1617"/>
      <c r="F31" s="1617"/>
      <c r="G31" s="1617"/>
    </row>
    <row r="32" spans="2:7" ht="21.75" customHeight="1">
      <c r="B32" s="1617"/>
      <c r="C32" s="1617"/>
      <c r="D32" s="1617"/>
      <c r="E32" s="1617"/>
      <c r="F32" s="1617"/>
      <c r="G32" s="1617"/>
    </row>
    <row r="33" spans="1:7" ht="21.75" customHeight="1">
      <c r="B33" s="1617"/>
      <c r="C33" s="1617"/>
      <c r="D33" s="1617"/>
      <c r="E33" s="1617"/>
      <c r="F33" s="1617"/>
      <c r="G33" s="1617"/>
    </row>
    <row r="34" spans="1:7" ht="21.75" customHeight="1">
      <c r="B34" s="1617"/>
      <c r="C34" s="1617"/>
      <c r="D34" s="1617"/>
      <c r="E34" s="1617"/>
      <c r="F34" s="1617"/>
      <c r="G34" s="1617"/>
    </row>
    <row r="35" spans="1:7" ht="21.75" customHeight="1">
      <c r="B35" s="1617"/>
      <c r="C35" s="1617"/>
      <c r="D35" s="1617"/>
      <c r="E35" s="1617"/>
      <c r="F35" s="1617"/>
      <c r="G35" s="1617"/>
    </row>
    <row r="36" spans="1:7" ht="21.75" customHeight="1">
      <c r="B36" s="1617"/>
      <c r="C36" s="1617"/>
      <c r="D36" s="1617"/>
      <c r="E36" s="1617"/>
      <c r="F36" s="1617"/>
      <c r="G36" s="1617"/>
    </row>
    <row r="37" spans="1:7" ht="15" customHeight="1">
      <c r="B37" s="1617"/>
      <c r="C37" s="1617"/>
      <c r="D37" s="1617"/>
      <c r="E37" s="1617"/>
      <c r="F37" s="1617"/>
      <c r="G37" s="1617"/>
    </row>
    <row r="38" spans="1:7" ht="15.75" customHeight="1">
      <c r="B38" s="3809"/>
      <c r="C38" s="3809"/>
      <c r="D38" s="3809"/>
      <c r="E38" s="3809"/>
      <c r="F38" s="3809"/>
      <c r="G38" s="3809"/>
    </row>
    <row r="39" spans="1:7" ht="15.75" customHeight="1">
      <c r="B39" s="3809"/>
      <c r="C39" s="3809"/>
      <c r="D39" s="3809"/>
      <c r="E39" s="3809"/>
      <c r="F39" s="3809"/>
      <c r="G39" s="3809"/>
    </row>
    <row r="40" spans="1:7" s="901" customFormat="1" ht="15.6">
      <c r="A40" s="908" t="s">
        <v>2043</v>
      </c>
      <c r="B40" s="697" t="s">
        <v>2044</v>
      </c>
      <c r="C40" s="903"/>
      <c r="D40" s="698"/>
      <c r="E40" s="900"/>
      <c r="F40" s="900"/>
      <c r="G40" s="900"/>
    </row>
    <row r="41" spans="1:7" ht="13.8" thickBot="1">
      <c r="A41" s="909" t="s">
        <v>9</v>
      </c>
      <c r="B41" s="701"/>
      <c r="D41" s="702"/>
      <c r="E41" s="909"/>
      <c r="F41" s="909"/>
      <c r="G41" s="909"/>
    </row>
    <row r="42" spans="1:7" s="1348" customFormat="1">
      <c r="A42" s="1355" t="s">
        <v>2045</v>
      </c>
      <c r="B42" s="14964" t="s">
        <v>2046</v>
      </c>
      <c r="C42" s="14967" t="s">
        <v>1736</v>
      </c>
      <c r="D42" s="14970" t="s">
        <v>1760</v>
      </c>
      <c r="E42" s="14973" t="s">
        <v>1764</v>
      </c>
      <c r="F42" s="14976" t="s">
        <v>1978</v>
      </c>
      <c r="G42" s="14977"/>
    </row>
    <row r="43" spans="1:7" ht="13.8" thickBot="1">
      <c r="A43" s="938" t="s">
        <v>468</v>
      </c>
      <c r="B43" s="14965"/>
      <c r="C43" s="14968"/>
      <c r="D43" s="14971"/>
      <c r="E43" s="14974"/>
      <c r="F43" s="14978" t="s">
        <v>1993</v>
      </c>
      <c r="G43" s="14979"/>
    </row>
    <row r="44" spans="1:7" ht="13.8" thickBot="1">
      <c r="A44" s="939" t="s">
        <v>2047</v>
      </c>
      <c r="B44" s="14966"/>
      <c r="C44" s="14969"/>
      <c r="D44" s="14972"/>
      <c r="E44" s="14975"/>
      <c r="F44" s="910" t="s">
        <v>1789</v>
      </c>
      <c r="G44" s="910" t="s">
        <v>1790</v>
      </c>
    </row>
    <row r="45" spans="1:7" s="907" customFormat="1" ht="18.75" customHeight="1">
      <c r="A45" s="940"/>
      <c r="B45" s="14953" t="s">
        <v>7183</v>
      </c>
      <c r="C45" s="911">
        <v>11527287</v>
      </c>
      <c r="D45" s="703" t="s">
        <v>2867</v>
      </c>
      <c r="E45" s="14961" t="s">
        <v>7184</v>
      </c>
      <c r="F45" s="912" t="s">
        <v>1808</v>
      </c>
      <c r="G45" s="913" t="s">
        <v>1819</v>
      </c>
    </row>
    <row r="46" spans="1:7" s="907" customFormat="1" ht="26.4">
      <c r="A46" s="941"/>
      <c r="B46" s="14954"/>
      <c r="C46" s="914"/>
      <c r="D46" s="705" t="s">
        <v>2868</v>
      </c>
      <c r="E46" s="14962"/>
      <c r="F46" s="916"/>
      <c r="G46" s="917"/>
    </row>
    <row r="47" spans="1:7" s="907" customFormat="1" ht="29.25" customHeight="1">
      <c r="A47" s="941"/>
      <c r="B47" s="704"/>
      <c r="C47" s="914"/>
      <c r="D47" s="705" t="s">
        <v>2869</v>
      </c>
      <c r="E47" s="915"/>
      <c r="F47" s="916"/>
      <c r="G47" s="917"/>
    </row>
    <row r="48" spans="1:7" s="907" customFormat="1" ht="16.5" customHeight="1">
      <c r="A48" s="942"/>
      <c r="B48" s="706"/>
      <c r="C48" s="918"/>
      <c r="D48" s="707" t="s">
        <v>2870</v>
      </c>
      <c r="E48" s="919"/>
      <c r="F48" s="920"/>
      <c r="G48" s="921"/>
    </row>
    <row r="49" spans="1:7" s="907" customFormat="1" ht="65.25" customHeight="1">
      <c r="A49" s="943"/>
      <c r="B49" s="708" t="s">
        <v>2871</v>
      </c>
      <c r="C49" s="922">
        <v>13448497</v>
      </c>
      <c r="D49" s="709" t="s">
        <v>2872</v>
      </c>
      <c r="E49" s="923" t="s">
        <v>2873</v>
      </c>
      <c r="F49" s="923" t="s">
        <v>1808</v>
      </c>
      <c r="G49" s="924" t="s">
        <v>1819</v>
      </c>
    </row>
    <row r="50" spans="1:7" s="907" customFormat="1" ht="66" customHeight="1">
      <c r="A50" s="943"/>
      <c r="B50" s="708" t="s">
        <v>2874</v>
      </c>
      <c r="C50" s="922">
        <v>16010116</v>
      </c>
      <c r="D50" s="709" t="s">
        <v>2875</v>
      </c>
      <c r="E50" s="923" t="s">
        <v>2876</v>
      </c>
      <c r="F50" s="923" t="s">
        <v>1808</v>
      </c>
      <c r="G50" s="924" t="s">
        <v>1819</v>
      </c>
    </row>
    <row r="51" spans="1:7" s="907" customFormat="1" ht="43.5" customHeight="1">
      <c r="A51" s="2490"/>
      <c r="B51" s="2491" t="s">
        <v>2877</v>
      </c>
      <c r="C51" s="2492">
        <v>5123237</v>
      </c>
      <c r="D51" s="2493" t="s">
        <v>2878</v>
      </c>
      <c r="E51" s="2494" t="s">
        <v>2879</v>
      </c>
      <c r="F51" s="2494" t="s">
        <v>1808</v>
      </c>
      <c r="G51" s="924" t="s">
        <v>1819</v>
      </c>
    </row>
    <row r="52" spans="1:7" s="907" customFormat="1" ht="42.75" customHeight="1">
      <c r="A52" s="942"/>
      <c r="B52" s="2495"/>
      <c r="C52" s="2496"/>
      <c r="D52" s="2497" t="s">
        <v>2880</v>
      </c>
      <c r="E52" s="2498" t="s">
        <v>2881</v>
      </c>
      <c r="F52" s="2499"/>
      <c r="G52" s="921"/>
    </row>
    <row r="53" spans="1:7" s="907" customFormat="1" ht="30.75" customHeight="1">
      <c r="A53" s="944"/>
      <c r="B53" s="710" t="s">
        <v>2882</v>
      </c>
      <c r="C53" s="925">
        <v>10886879</v>
      </c>
      <c r="D53" s="711" t="s">
        <v>2883</v>
      </c>
      <c r="E53" s="926" t="s">
        <v>2884</v>
      </c>
      <c r="F53" s="927" t="s">
        <v>1808</v>
      </c>
      <c r="G53" s="928" t="s">
        <v>1819</v>
      </c>
    </row>
    <row r="54" spans="1:7" s="907" customFormat="1" ht="43.5" customHeight="1">
      <c r="A54" s="942"/>
      <c r="B54" s="706"/>
      <c r="C54" s="918"/>
      <c r="D54" s="707" t="s">
        <v>2885</v>
      </c>
      <c r="E54" s="919" t="s">
        <v>2886</v>
      </c>
      <c r="F54" s="920"/>
      <c r="G54" s="921"/>
    </row>
    <row r="55" spans="1:7" s="907" customFormat="1" ht="32.25" customHeight="1">
      <c r="A55" s="944"/>
      <c r="B55" s="14955" t="s">
        <v>2887</v>
      </c>
      <c r="C55" s="925">
        <v>4482832</v>
      </c>
      <c r="D55" s="711" t="s">
        <v>2888</v>
      </c>
      <c r="E55" s="926" t="s">
        <v>2889</v>
      </c>
      <c r="F55" s="927" t="s">
        <v>1808</v>
      </c>
      <c r="G55" s="928" t="s">
        <v>1819</v>
      </c>
    </row>
    <row r="56" spans="1:7" s="907" customFormat="1" ht="17.25" customHeight="1">
      <c r="A56" s="941"/>
      <c r="B56" s="14956"/>
      <c r="C56" s="914"/>
      <c r="D56" s="705" t="s">
        <v>2890</v>
      </c>
      <c r="E56" s="915" t="s">
        <v>2891</v>
      </c>
      <c r="F56" s="929"/>
      <c r="G56" s="930"/>
    </row>
    <row r="57" spans="1:7" s="907" customFormat="1" ht="27.75" customHeight="1">
      <c r="A57" s="941"/>
      <c r="B57" s="1734"/>
      <c r="C57" s="1735"/>
      <c r="D57" s="1736" t="s">
        <v>2892</v>
      </c>
      <c r="E57" s="1737" t="s">
        <v>2893</v>
      </c>
      <c r="F57" s="1738"/>
      <c r="G57" s="1739"/>
    </row>
    <row r="58" spans="1:7" s="2478" customFormat="1" ht="27.75" customHeight="1">
      <c r="A58" s="943"/>
      <c r="B58" s="2500" t="s">
        <v>7185</v>
      </c>
      <c r="C58" s="2501">
        <v>2561618</v>
      </c>
      <c r="D58" s="2502" t="s">
        <v>7186</v>
      </c>
      <c r="E58" s="2503" t="s">
        <v>7187</v>
      </c>
      <c r="F58" s="927" t="s">
        <v>1808</v>
      </c>
      <c r="G58" s="928" t="s">
        <v>1819</v>
      </c>
    </row>
    <row r="59" spans="1:7" s="2478" customFormat="1" ht="27.75" customHeight="1" thickBot="1">
      <c r="A59" s="2504"/>
      <c r="B59" s="2505" t="s">
        <v>7188</v>
      </c>
      <c r="C59" s="2506">
        <v>8001000</v>
      </c>
      <c r="D59" s="2507" t="s">
        <v>7189</v>
      </c>
      <c r="E59" s="2508" t="s">
        <v>7190</v>
      </c>
      <c r="F59" s="927" t="s">
        <v>1808</v>
      </c>
      <c r="G59" s="928" t="s">
        <v>1819</v>
      </c>
    </row>
    <row r="60" spans="1:7" s="1754" customFormat="1" ht="15" thickBot="1">
      <c r="A60" s="1748"/>
      <c r="B60" s="1749" t="s">
        <v>458</v>
      </c>
      <c r="C60" s="1750">
        <f>SUM(C45:C59)</f>
        <v>72041466</v>
      </c>
      <c r="D60" s="1751"/>
      <c r="E60" s="1752"/>
      <c r="F60" s="1753"/>
      <c r="G60" s="1753"/>
    </row>
    <row r="61" spans="1:7" s="1353" customFormat="1" ht="18.75" customHeight="1">
      <c r="A61" s="1741"/>
      <c r="B61" s="1354" t="s">
        <v>3756</v>
      </c>
      <c r="C61" s="1351"/>
      <c r="D61" s="1352"/>
      <c r="E61" s="1350"/>
      <c r="F61" s="1350"/>
      <c r="G61" s="1350"/>
    </row>
    <row r="62" spans="1:7" ht="68.25" customHeight="1">
      <c r="A62" s="1740"/>
      <c r="B62" s="898" t="s">
        <v>7191</v>
      </c>
      <c r="C62" s="932">
        <v>1000000</v>
      </c>
      <c r="D62" s="898" t="s">
        <v>3443</v>
      </c>
      <c r="E62" s="931" t="s">
        <v>3444</v>
      </c>
      <c r="F62" s="933" t="s">
        <v>1814</v>
      </c>
      <c r="G62" s="933" t="s">
        <v>1743</v>
      </c>
    </row>
    <row r="63" spans="1:7" ht="47.25" customHeight="1" thickBot="1">
      <c r="A63" s="1740"/>
      <c r="B63" s="899" t="s">
        <v>7192</v>
      </c>
      <c r="C63" s="935">
        <v>110000</v>
      </c>
      <c r="D63" s="899" t="s">
        <v>7193</v>
      </c>
      <c r="E63" s="934" t="s">
        <v>7194</v>
      </c>
      <c r="F63" s="936" t="s">
        <v>1814</v>
      </c>
      <c r="G63" s="936" t="s">
        <v>1743</v>
      </c>
    </row>
    <row r="64" spans="1:7" s="2516" customFormat="1" ht="26.25" customHeight="1" thickBot="1">
      <c r="A64" s="2510"/>
      <c r="B64" s="2511" t="s">
        <v>220</v>
      </c>
      <c r="C64" s="2512">
        <f>SUM(C62:C63)</f>
        <v>1110000</v>
      </c>
      <c r="D64" s="2511"/>
      <c r="E64" s="2513"/>
      <c r="F64" s="2514"/>
      <c r="G64" s="2515"/>
    </row>
    <row r="65" spans="1:7" ht="26.25" customHeight="1">
      <c r="A65" s="906"/>
      <c r="B65" s="1731"/>
      <c r="C65" s="1732"/>
      <c r="D65" s="1731"/>
      <c r="E65" s="1733"/>
      <c r="F65" s="906"/>
      <c r="G65" s="906"/>
    </row>
    <row r="66" spans="1:7" ht="26.25" customHeight="1">
      <c r="A66" s="906"/>
      <c r="B66" s="1731"/>
      <c r="C66" s="1732"/>
      <c r="D66" s="1731"/>
      <c r="E66" s="1733"/>
      <c r="F66" s="906"/>
      <c r="G66" s="906"/>
    </row>
    <row r="67" spans="1:7" ht="17.25" customHeight="1">
      <c r="A67" s="906"/>
      <c r="B67" s="1731"/>
      <c r="C67" s="1732"/>
      <c r="D67" s="1731"/>
      <c r="E67" s="1733"/>
      <c r="F67" s="906"/>
      <c r="G67" s="906"/>
    </row>
    <row r="68" spans="1:7" ht="16.5" customHeight="1">
      <c r="A68" s="906"/>
      <c r="B68" s="1731"/>
      <c r="C68" s="1732"/>
      <c r="D68" s="1731"/>
      <c r="E68" s="1733"/>
      <c r="F68" s="906"/>
      <c r="G68" s="906"/>
    </row>
    <row r="69" spans="1:7" ht="16.5" customHeight="1">
      <c r="A69" s="906"/>
      <c r="B69" s="1731"/>
      <c r="C69" s="1732"/>
      <c r="D69" s="1731"/>
      <c r="E69" s="1733"/>
      <c r="F69" s="906"/>
      <c r="G69" s="906"/>
    </row>
    <row r="70" spans="1:7" ht="16.5" customHeight="1">
      <c r="A70" s="906"/>
      <c r="B70" s="1731"/>
      <c r="C70" s="1732"/>
      <c r="D70" s="1731"/>
      <c r="E70" s="1733"/>
      <c r="F70" s="906"/>
      <c r="G70" s="906"/>
    </row>
    <row r="71" spans="1:7" ht="16.5" customHeight="1">
      <c r="A71" s="906"/>
      <c r="B71" s="1731"/>
      <c r="C71" s="1732"/>
      <c r="D71" s="1731"/>
      <c r="E71" s="1733"/>
      <c r="F71" s="906"/>
      <c r="G71" s="906"/>
    </row>
    <row r="72" spans="1:7" ht="16.5" customHeight="1" thickBot="1">
      <c r="A72" s="906"/>
      <c r="B72" s="1731"/>
      <c r="C72" s="1732"/>
      <c r="D72" s="1731"/>
      <c r="E72" s="1733"/>
      <c r="F72" s="906"/>
      <c r="G72" s="906"/>
    </row>
    <row r="73" spans="1:7" s="1348" customFormat="1">
      <c r="A73" s="1355" t="s">
        <v>2045</v>
      </c>
      <c r="B73" s="14964" t="s">
        <v>2046</v>
      </c>
      <c r="C73" s="14967" t="s">
        <v>1736</v>
      </c>
      <c r="D73" s="14970" t="s">
        <v>1760</v>
      </c>
      <c r="E73" s="14973" t="s">
        <v>1764</v>
      </c>
      <c r="F73" s="14976" t="s">
        <v>1978</v>
      </c>
      <c r="G73" s="14977"/>
    </row>
    <row r="74" spans="1:7" ht="13.8" thickBot="1">
      <c r="A74" s="938" t="s">
        <v>468</v>
      </c>
      <c r="B74" s="14965"/>
      <c r="C74" s="14968"/>
      <c r="D74" s="14971"/>
      <c r="E74" s="14974"/>
      <c r="F74" s="14978" t="s">
        <v>1993</v>
      </c>
      <c r="G74" s="14979"/>
    </row>
    <row r="75" spans="1:7" ht="13.8" thickBot="1">
      <c r="A75" s="939" t="s">
        <v>2047</v>
      </c>
      <c r="B75" s="14966"/>
      <c r="C75" s="14969"/>
      <c r="D75" s="14972"/>
      <c r="E75" s="14975"/>
      <c r="F75" s="910" t="s">
        <v>1789</v>
      </c>
      <c r="G75" s="910" t="s">
        <v>1790</v>
      </c>
    </row>
    <row r="76" spans="1:7" s="1353" customFormat="1" ht="18.75" customHeight="1">
      <c r="A76" s="1741"/>
      <c r="B76" s="1747" t="s">
        <v>3445</v>
      </c>
      <c r="C76" s="1743"/>
      <c r="D76" s="1744"/>
      <c r="E76" s="1745"/>
      <c r="F76" s="1746" t="s">
        <v>1814</v>
      </c>
      <c r="G76" s="1746" t="s">
        <v>1743</v>
      </c>
    </row>
    <row r="77" spans="1:7" ht="59.25" customHeight="1">
      <c r="A77" s="1740"/>
      <c r="B77" s="898" t="s">
        <v>3441</v>
      </c>
      <c r="C77" s="932">
        <v>10940000</v>
      </c>
      <c r="D77" s="898" t="s">
        <v>7195</v>
      </c>
      <c r="E77" s="931" t="s">
        <v>7196</v>
      </c>
      <c r="F77" s="933" t="s">
        <v>1814</v>
      </c>
      <c r="G77" s="933" t="s">
        <v>1743</v>
      </c>
    </row>
    <row r="78" spans="1:7" ht="55.5" customHeight="1">
      <c r="A78" s="1740"/>
      <c r="B78" s="899" t="s">
        <v>7197</v>
      </c>
      <c r="C78" s="935">
        <v>700000</v>
      </c>
      <c r="D78" s="899" t="s">
        <v>3446</v>
      </c>
      <c r="E78" s="934" t="s">
        <v>3447</v>
      </c>
      <c r="F78" s="936" t="s">
        <v>1814</v>
      </c>
      <c r="G78" s="936" t="s">
        <v>1743</v>
      </c>
    </row>
    <row r="79" spans="1:7" ht="39.6">
      <c r="A79" s="1740"/>
      <c r="B79" s="898" t="s">
        <v>3450</v>
      </c>
      <c r="C79" s="932">
        <v>565000</v>
      </c>
      <c r="D79" s="898" t="s">
        <v>3451</v>
      </c>
      <c r="E79" s="931" t="s">
        <v>3452</v>
      </c>
      <c r="F79" s="933" t="s">
        <v>1814</v>
      </c>
      <c r="G79" s="933" t="s">
        <v>1743</v>
      </c>
    </row>
    <row r="80" spans="1:7" ht="39.6">
      <c r="A80" s="1740"/>
      <c r="B80" s="898" t="s">
        <v>3453</v>
      </c>
      <c r="C80" s="932">
        <v>800000</v>
      </c>
      <c r="D80" s="898" t="s">
        <v>3454</v>
      </c>
      <c r="E80" s="931" t="s">
        <v>3455</v>
      </c>
      <c r="F80" s="933" t="s">
        <v>1814</v>
      </c>
      <c r="G80" s="933" t="s">
        <v>1743</v>
      </c>
    </row>
    <row r="81" spans="1:7" ht="52.8">
      <c r="A81" s="1740"/>
      <c r="B81" s="898" t="s">
        <v>3456</v>
      </c>
      <c r="C81" s="932">
        <v>393760</v>
      </c>
      <c r="D81" s="898" t="s">
        <v>3457</v>
      </c>
      <c r="E81" s="931" t="s">
        <v>3442</v>
      </c>
      <c r="F81" s="933" t="s">
        <v>1814</v>
      </c>
      <c r="G81" s="933" t="s">
        <v>1743</v>
      </c>
    </row>
    <row r="82" spans="1:7" ht="26.4">
      <c r="A82" s="1740"/>
      <c r="B82" s="898" t="s">
        <v>3458</v>
      </c>
      <c r="C82" s="932">
        <v>200000</v>
      </c>
      <c r="D82" s="898" t="s">
        <v>3459</v>
      </c>
      <c r="E82" s="931" t="s">
        <v>3460</v>
      </c>
      <c r="F82" s="933" t="s">
        <v>1814</v>
      </c>
      <c r="G82" s="933" t="s">
        <v>1743</v>
      </c>
    </row>
    <row r="83" spans="1:7" ht="26.4">
      <c r="A83" s="1740"/>
      <c r="B83" s="898" t="s">
        <v>3461</v>
      </c>
      <c r="C83" s="932">
        <v>1425000</v>
      </c>
      <c r="D83" s="898" t="s">
        <v>3462</v>
      </c>
      <c r="E83" s="931" t="s">
        <v>3463</v>
      </c>
      <c r="F83" s="933" t="s">
        <v>1814</v>
      </c>
      <c r="G83" s="933" t="s">
        <v>1743</v>
      </c>
    </row>
    <row r="84" spans="1:7" ht="26.4">
      <c r="A84" s="1740"/>
      <c r="B84" s="898" t="s">
        <v>3464</v>
      </c>
      <c r="C84" s="932">
        <v>5700000</v>
      </c>
      <c r="D84" s="898" t="s">
        <v>3465</v>
      </c>
      <c r="E84" s="931" t="s">
        <v>3466</v>
      </c>
      <c r="F84" s="933" t="s">
        <v>1814</v>
      </c>
      <c r="G84" s="933" t="s">
        <v>1743</v>
      </c>
    </row>
    <row r="85" spans="1:7" ht="66">
      <c r="A85" s="1740"/>
      <c r="B85" s="898" t="s">
        <v>3467</v>
      </c>
      <c r="C85" s="932">
        <v>860000</v>
      </c>
      <c r="D85" s="898" t="s">
        <v>3468</v>
      </c>
      <c r="E85" s="931" t="s">
        <v>3469</v>
      </c>
      <c r="F85" s="933" t="s">
        <v>1814</v>
      </c>
      <c r="G85" s="933" t="s">
        <v>1743</v>
      </c>
    </row>
    <row r="86" spans="1:7" ht="39.6">
      <c r="A86" s="2509"/>
      <c r="B86" s="898" t="s">
        <v>7198</v>
      </c>
      <c r="C86" s="932">
        <v>350000</v>
      </c>
      <c r="D86" s="898" t="s">
        <v>7199</v>
      </c>
      <c r="E86" s="931" t="s">
        <v>7200</v>
      </c>
      <c r="F86" s="933" t="s">
        <v>1814</v>
      </c>
      <c r="G86" s="933" t="s">
        <v>1743</v>
      </c>
    </row>
    <row r="87" spans="1:7" ht="39.6">
      <c r="A87" s="1740"/>
      <c r="B87" s="898" t="s">
        <v>7201</v>
      </c>
      <c r="C87" s="932">
        <v>500000</v>
      </c>
      <c r="D87" s="898" t="s">
        <v>3448</v>
      </c>
      <c r="E87" s="931" t="s">
        <v>3449</v>
      </c>
      <c r="F87" s="933" t="s">
        <v>1814</v>
      </c>
      <c r="G87" s="933" t="s">
        <v>1743</v>
      </c>
    </row>
    <row r="88" spans="1:7" ht="39.6">
      <c r="A88" s="1740"/>
      <c r="B88" s="898" t="s">
        <v>3470</v>
      </c>
      <c r="C88" s="932">
        <v>315200</v>
      </c>
      <c r="D88" s="898" t="s">
        <v>3471</v>
      </c>
      <c r="E88" s="931" t="s">
        <v>3472</v>
      </c>
      <c r="F88" s="933" t="s">
        <v>1814</v>
      </c>
      <c r="G88" s="933" t="s">
        <v>1743</v>
      </c>
    </row>
    <row r="89" spans="1:7" ht="39.6">
      <c r="A89" s="2509"/>
      <c r="B89" s="899" t="s">
        <v>7202</v>
      </c>
      <c r="C89" s="935">
        <v>300000</v>
      </c>
      <c r="D89" s="899" t="s">
        <v>7203</v>
      </c>
      <c r="E89" s="934" t="s">
        <v>3460</v>
      </c>
      <c r="F89" s="933" t="s">
        <v>1814</v>
      </c>
      <c r="G89" s="933" t="s">
        <v>1743</v>
      </c>
    </row>
    <row r="90" spans="1:7" ht="52.8">
      <c r="A90" s="2509"/>
      <c r="B90" s="899" t="s">
        <v>7204</v>
      </c>
      <c r="C90" s="935">
        <v>820300</v>
      </c>
      <c r="D90" s="899" t="s">
        <v>3473</v>
      </c>
      <c r="E90" s="934" t="s">
        <v>3474</v>
      </c>
      <c r="F90" s="933" t="s">
        <v>1814</v>
      </c>
      <c r="G90" s="933" t="s">
        <v>1743</v>
      </c>
    </row>
    <row r="91" spans="1:7" ht="27" thickBot="1">
      <c r="A91" s="1742"/>
      <c r="B91" s="2517" t="s">
        <v>7205</v>
      </c>
      <c r="C91" s="2518">
        <v>8001000</v>
      </c>
      <c r="D91" s="2517" t="s">
        <v>7206</v>
      </c>
      <c r="E91" s="2519" t="s">
        <v>3460</v>
      </c>
      <c r="F91" s="933" t="s">
        <v>1814</v>
      </c>
      <c r="G91" s="933" t="s">
        <v>1743</v>
      </c>
    </row>
    <row r="92" spans="1:7" ht="13.8" thickBot="1">
      <c r="A92" s="964"/>
      <c r="B92" s="965" t="s">
        <v>220</v>
      </c>
      <c r="C92" s="966">
        <f>SUM(C77:C91)</f>
        <v>31870260</v>
      </c>
      <c r="D92" s="967"/>
      <c r="E92" s="968"/>
      <c r="F92" s="964"/>
      <c r="G92" s="964"/>
    </row>
    <row r="93" spans="1:7">
      <c r="B93" s="897"/>
      <c r="C93" s="937"/>
      <c r="D93" s="895"/>
      <c r="E93" s="907"/>
    </row>
    <row r="94" spans="1:7">
      <c r="B94" s="897"/>
      <c r="C94" s="937"/>
      <c r="D94" s="895"/>
      <c r="E94" s="907"/>
    </row>
    <row r="95" spans="1:7">
      <c r="B95" s="897"/>
      <c r="C95" s="937"/>
      <c r="D95" s="895"/>
      <c r="E95" s="907"/>
    </row>
    <row r="96" spans="1:7">
      <c r="B96" s="897"/>
      <c r="C96" s="937"/>
      <c r="D96" s="895"/>
      <c r="E96" s="907"/>
    </row>
    <row r="97" spans="2:5">
      <c r="B97" s="897"/>
      <c r="C97" s="937"/>
      <c r="D97" s="895"/>
      <c r="E97" s="907"/>
    </row>
    <row r="98" spans="2:5">
      <c r="B98" s="897"/>
      <c r="C98" s="937"/>
      <c r="D98" s="895"/>
      <c r="E98" s="907"/>
    </row>
    <row r="99" spans="2:5">
      <c r="B99" s="897"/>
      <c r="C99" s="937"/>
      <c r="D99" s="895"/>
      <c r="E99" s="907"/>
    </row>
    <row r="100" spans="2:5">
      <c r="B100" s="897"/>
      <c r="C100" s="937"/>
      <c r="D100" s="895"/>
      <c r="E100" s="907"/>
    </row>
    <row r="101" spans="2:5">
      <c r="B101" s="897"/>
      <c r="C101" s="937"/>
      <c r="D101" s="895"/>
      <c r="E101" s="907"/>
    </row>
    <row r="102" spans="2:5">
      <c r="B102" s="897"/>
      <c r="C102" s="937"/>
      <c r="D102" s="895"/>
      <c r="E102" s="907"/>
    </row>
    <row r="103" spans="2:5">
      <c r="B103" s="897"/>
      <c r="C103" s="937"/>
      <c r="D103" s="895"/>
      <c r="E103" s="907"/>
    </row>
    <row r="104" spans="2:5">
      <c r="B104" s="897"/>
      <c r="C104" s="937"/>
      <c r="D104" s="895"/>
      <c r="E104" s="907"/>
    </row>
    <row r="105" spans="2:5">
      <c r="B105" s="897"/>
      <c r="C105" s="937"/>
      <c r="D105" s="895"/>
      <c r="E105" s="907"/>
    </row>
    <row r="106" spans="2:5">
      <c r="B106" s="897"/>
      <c r="C106" s="937"/>
      <c r="D106" s="895"/>
      <c r="E106" s="907"/>
    </row>
    <row r="107" spans="2:5">
      <c r="B107" s="897"/>
      <c r="C107" s="937"/>
      <c r="D107" s="895"/>
      <c r="E107" s="907"/>
    </row>
    <row r="108" spans="2:5">
      <c r="B108" s="897"/>
      <c r="C108" s="937"/>
      <c r="D108" s="895"/>
      <c r="E108" s="907"/>
    </row>
    <row r="109" spans="2:5">
      <c r="B109" s="897"/>
      <c r="C109" s="937"/>
      <c r="D109" s="895"/>
      <c r="E109" s="907"/>
    </row>
    <row r="110" spans="2:5">
      <c r="B110" s="897"/>
      <c r="C110" s="937"/>
      <c r="D110" s="895"/>
      <c r="E110" s="907"/>
    </row>
    <row r="111" spans="2:5">
      <c r="B111" s="897"/>
      <c r="C111" s="937"/>
      <c r="D111" s="895"/>
      <c r="E111" s="907"/>
    </row>
    <row r="112" spans="2:5">
      <c r="B112" s="897"/>
      <c r="C112" s="937"/>
      <c r="D112" s="895"/>
      <c r="E112" s="907"/>
    </row>
    <row r="113" spans="2:5">
      <c r="B113" s="897"/>
      <c r="C113" s="937"/>
      <c r="D113" s="895"/>
      <c r="E113" s="907"/>
    </row>
    <row r="114" spans="2:5">
      <c r="B114" s="897"/>
      <c r="C114" s="937"/>
      <c r="D114" s="895"/>
      <c r="E114" s="907"/>
    </row>
    <row r="115" spans="2:5">
      <c r="B115" s="897"/>
      <c r="C115" s="937"/>
      <c r="D115" s="895"/>
      <c r="E115" s="907"/>
    </row>
    <row r="116" spans="2:5">
      <c r="B116" s="897"/>
      <c r="C116" s="937"/>
      <c r="D116" s="895"/>
      <c r="E116" s="907"/>
    </row>
    <row r="117" spans="2:5">
      <c r="B117" s="897"/>
      <c r="C117" s="937"/>
      <c r="D117" s="895"/>
      <c r="E117" s="907"/>
    </row>
  </sheetData>
  <mergeCells count="37">
    <mergeCell ref="B73:B75"/>
    <mergeCell ref="C73:C75"/>
    <mergeCell ref="D73:D75"/>
    <mergeCell ref="E73:E75"/>
    <mergeCell ref="F73:G73"/>
    <mergeCell ref="F74:G74"/>
    <mergeCell ref="A1:G1"/>
    <mergeCell ref="A3:G3"/>
    <mergeCell ref="B25:G25"/>
    <mergeCell ref="B26:G26"/>
    <mergeCell ref="B42:B44"/>
    <mergeCell ref="C42:C44"/>
    <mergeCell ref="D42:D44"/>
    <mergeCell ref="E42:E44"/>
    <mergeCell ref="F42:G42"/>
    <mergeCell ref="B19:G19"/>
    <mergeCell ref="B24:G24"/>
    <mergeCell ref="B20:G20"/>
    <mergeCell ref="F43:G43"/>
    <mergeCell ref="B22:G22"/>
    <mergeCell ref="B23:G23"/>
    <mergeCell ref="B45:B46"/>
    <mergeCell ref="B55:B56"/>
    <mergeCell ref="A7:G7"/>
    <mergeCell ref="A5:G5"/>
    <mergeCell ref="A4:F4"/>
    <mergeCell ref="A16:G16"/>
    <mergeCell ref="B21:G21"/>
    <mergeCell ref="C17:G17"/>
    <mergeCell ref="B18:G18"/>
    <mergeCell ref="A14:G14"/>
    <mergeCell ref="E45:E46"/>
    <mergeCell ref="A9:G9"/>
    <mergeCell ref="A10:G10"/>
    <mergeCell ref="A11:G11"/>
    <mergeCell ref="A12:G12"/>
    <mergeCell ref="A13:G13"/>
  </mergeCells>
  <pageMargins left="0.5" right="0.25" top="0.75" bottom="0.5" header="0.5" footer="0.25"/>
  <pageSetup paperSize="119" scale="95" firstPageNumber="216" orientation="portrait" useFirstPageNumber="1" verticalDpi="300" r:id="rId1"/>
  <headerFooter alignWithMargins="0">
    <firstHeader>&amp;C206&amp;P</firstHeader>
  </headerFooter>
</worksheet>
</file>

<file path=xl/worksheets/sheet118.xml><?xml version="1.0" encoding="utf-8"?>
<worksheet xmlns="http://schemas.openxmlformats.org/spreadsheetml/2006/main" xmlns:r="http://schemas.openxmlformats.org/officeDocument/2006/relationships">
  <sheetPr codeName="Sheet165">
    <tabColor theme="8" tint="-0.249977111117893"/>
  </sheetPr>
  <dimension ref="A1:M88"/>
  <sheetViews>
    <sheetView showGridLines="0" topLeftCell="E31" zoomScale="110" zoomScaleNormal="110" workbookViewId="0">
      <selection activeCell="K31" sqref="K1:R1048576"/>
    </sheetView>
  </sheetViews>
  <sheetFormatPr defaultColWidth="9.109375" defaultRowHeight="15" customHeight="1"/>
  <cols>
    <col min="1" max="1" width="3.88671875" style="7799" customWidth="1"/>
    <col min="2" max="2" width="55.5546875" style="7799" customWidth="1"/>
    <col min="3" max="3" width="14.88671875" style="7799" hidden="1" customWidth="1"/>
    <col min="4" max="4" width="12.5546875" style="10883" customWidth="1"/>
    <col min="5" max="8" width="15.5546875" style="7823" customWidth="1"/>
    <col min="9" max="9" width="14.44140625" style="7823" hidden="1" customWidth="1"/>
    <col min="10" max="10" width="10.44140625" style="7348" hidden="1" customWidth="1"/>
    <col min="11" max="11" width="15.5546875" style="7823" customWidth="1"/>
    <col min="12" max="12" width="16.5546875" style="7799" customWidth="1"/>
    <col min="13" max="13" width="9.109375" style="10883" customWidth="1"/>
    <col min="14" max="17" width="9.109375" style="7799" customWidth="1"/>
    <col min="18" max="16384" width="9.109375" style="7799"/>
  </cols>
  <sheetData>
    <row r="1" spans="1:13" ht="15" customHeight="1">
      <c r="A1" s="14583" t="s">
        <v>1</v>
      </c>
      <c r="B1" s="14583"/>
      <c r="C1" s="14583"/>
      <c r="D1" s="14583"/>
      <c r="E1" s="14583"/>
      <c r="F1" s="14583"/>
      <c r="G1" s="14583"/>
      <c r="H1" s="14583"/>
      <c r="I1" s="14583"/>
      <c r="J1" s="14583"/>
      <c r="K1" s="14583"/>
    </row>
    <row r="2" spans="1:13" ht="15" customHeight="1">
      <c r="A2" s="7767"/>
      <c r="B2" s="7767"/>
      <c r="C2" s="7767"/>
      <c r="D2" s="10878"/>
      <c r="E2" s="7800"/>
      <c r="F2" s="7800"/>
      <c r="G2" s="7800"/>
      <c r="H2" s="7800"/>
      <c r="I2" s="7800"/>
      <c r="J2" s="7286"/>
      <c r="K2" s="7800"/>
    </row>
    <row r="3" spans="1:13" ht="15" customHeight="1">
      <c r="A3" s="7767" t="s">
        <v>10748</v>
      </c>
      <c r="B3" s="7767"/>
      <c r="C3" s="7801"/>
      <c r="D3" s="10876" t="s">
        <v>10749</v>
      </c>
      <c r="E3" s="7802"/>
      <c r="F3" s="7802"/>
      <c r="G3" s="7802"/>
      <c r="H3" s="7802"/>
      <c r="I3" s="7802"/>
      <c r="J3" s="7284"/>
      <c r="K3" s="14980"/>
    </row>
    <row r="4" spans="1:13" ht="15" customHeight="1">
      <c r="A4" s="7803" t="s">
        <v>403</v>
      </c>
      <c r="B4" s="7803"/>
      <c r="C4" s="7803"/>
      <c r="D4" s="7804" t="s">
        <v>8</v>
      </c>
      <c r="E4" s="9495"/>
      <c r="F4" s="9495"/>
      <c r="G4" s="9495"/>
      <c r="H4" s="7824"/>
      <c r="I4" s="7824"/>
      <c r="J4" s="7350"/>
      <c r="K4" s="14980"/>
    </row>
    <row r="5" spans="1:13" ht="15" customHeight="1" thickBot="1">
      <c r="A5" s="7805"/>
      <c r="B5" s="7805"/>
      <c r="C5" s="7805"/>
      <c r="D5" s="7806"/>
      <c r="E5" s="7807"/>
      <c r="F5" s="7807"/>
      <c r="G5" s="7807"/>
      <c r="H5" s="7807"/>
      <c r="I5" s="7807"/>
      <c r="J5" s="7294"/>
      <c r="K5" s="7807"/>
    </row>
    <row r="6" spans="1:13" ht="15" customHeight="1">
      <c r="A6" s="11566"/>
      <c r="B6" s="10530"/>
      <c r="C6" s="10530"/>
      <c r="D6" s="11567" t="s">
        <v>9</v>
      </c>
      <c r="E6" s="12489" t="s">
        <v>78</v>
      </c>
      <c r="F6" s="14188" t="s">
        <v>10711</v>
      </c>
      <c r="G6" s="14189"/>
      <c r="H6" s="14190"/>
      <c r="I6" s="11080" t="s">
        <v>9985</v>
      </c>
      <c r="J6" s="9462"/>
      <c r="K6" s="12490" t="s">
        <v>12</v>
      </c>
    </row>
    <row r="7" spans="1:13" ht="15" customHeight="1">
      <c r="A7" s="11570"/>
      <c r="B7" s="7808" t="s">
        <v>13</v>
      </c>
      <c r="C7" s="7808"/>
      <c r="D7" s="14581" t="s">
        <v>14</v>
      </c>
      <c r="E7" s="12491" t="s">
        <v>15</v>
      </c>
      <c r="F7" s="9502" t="s">
        <v>10709</v>
      </c>
      <c r="G7" s="9503" t="s">
        <v>10710</v>
      </c>
      <c r="H7" s="14191" t="s">
        <v>458</v>
      </c>
      <c r="I7" s="11084" t="s">
        <v>11839</v>
      </c>
      <c r="J7" s="11108"/>
      <c r="K7" s="12492" t="s">
        <v>16</v>
      </c>
    </row>
    <row r="8" spans="1:13" ht="15" customHeight="1" thickBot="1">
      <c r="A8" s="11573"/>
      <c r="B8" s="7827"/>
      <c r="C8" s="7827"/>
      <c r="D8" s="14582"/>
      <c r="E8" s="12493">
        <v>2017</v>
      </c>
      <c r="F8" s="9467" t="s">
        <v>457</v>
      </c>
      <c r="G8" s="11661" t="s">
        <v>456</v>
      </c>
      <c r="H8" s="14192"/>
      <c r="I8" s="7302">
        <v>2018</v>
      </c>
      <c r="J8" s="7322"/>
      <c r="K8" s="12494">
        <v>2019</v>
      </c>
    </row>
    <row r="9" spans="1:13" ht="15" customHeight="1">
      <c r="A9" s="11577" t="s">
        <v>17</v>
      </c>
      <c r="B9" s="7803" t="s">
        <v>18</v>
      </c>
      <c r="C9" s="7803"/>
      <c r="D9" s="10141"/>
      <c r="E9" s="11583"/>
      <c r="F9" s="11583"/>
      <c r="G9" s="11583"/>
      <c r="H9" s="11583"/>
      <c r="I9" s="11583"/>
      <c r="J9" s="11163"/>
      <c r="K9" s="11612"/>
    </row>
    <row r="10" spans="1:13" ht="15" customHeight="1">
      <c r="A10" s="11570"/>
      <c r="B10" s="7803" t="s">
        <v>19</v>
      </c>
      <c r="C10" s="7803"/>
      <c r="D10" s="10141"/>
      <c r="E10" s="11583"/>
      <c r="F10" s="11583"/>
      <c r="G10" s="11583"/>
      <c r="H10" s="12495"/>
      <c r="I10" s="12495"/>
      <c r="J10" s="9413"/>
      <c r="K10" s="12496"/>
    </row>
    <row r="11" spans="1:13" ht="15" customHeight="1">
      <c r="A11" s="11570"/>
      <c r="B11" s="7488" t="s">
        <v>20</v>
      </c>
      <c r="C11" s="7488"/>
      <c r="D11" s="11059">
        <v>50101010</v>
      </c>
      <c r="E11" s="11580">
        <f>'WS-PS 2017'!B21</f>
        <v>3495691.76</v>
      </c>
      <c r="F11" s="11667">
        <f>'WS-PS ACTUAL JUNE 2018'!B21</f>
        <v>2019041.96</v>
      </c>
      <c r="G11" s="11667">
        <f>H11-F11</f>
        <v>3204858.04</v>
      </c>
      <c r="H11" s="11132">
        <v>5223900</v>
      </c>
      <c r="I11" s="11132"/>
      <c r="J11" s="11163"/>
      <c r="K11" s="11162">
        <f>L11</f>
        <v>6668880</v>
      </c>
      <c r="L11" s="11555">
        <f>'staffing-PDRRMO'!G50</f>
        <v>6668880</v>
      </c>
      <c r="M11" s="10883">
        <f>'staffing-PDRRMO'!B50</f>
        <v>24</v>
      </c>
    </row>
    <row r="12" spans="1:13" ht="15" customHeight="1">
      <c r="A12" s="11570"/>
      <c r="B12" s="7488" t="s">
        <v>10935</v>
      </c>
      <c r="C12" s="7488"/>
      <c r="D12" s="11059">
        <v>50101020</v>
      </c>
      <c r="E12" s="11580">
        <f>'WS-PS 2017'!D21</f>
        <v>2073241.29</v>
      </c>
      <c r="F12" s="11667">
        <f>'WS-PS ACTUAL JUNE 2018'!C21</f>
        <v>1134748.6299999999</v>
      </c>
      <c r="G12" s="11667">
        <f t="shared" ref="G12:G26" si="0">H12-F12</f>
        <v>1013911.3700000001</v>
      </c>
      <c r="H12" s="11132">
        <v>2148660</v>
      </c>
      <c r="I12" s="11132"/>
      <c r="J12" s="11163"/>
      <c r="K12" s="11162">
        <f t="shared" ref="K12:K27" si="1">L12</f>
        <v>3600000</v>
      </c>
      <c r="L12" s="7310">
        <v>3600000</v>
      </c>
      <c r="M12" s="10261">
        <v>28</v>
      </c>
    </row>
    <row r="13" spans="1:13" ht="15" customHeight="1">
      <c r="A13" s="11570"/>
      <c r="B13" s="7803" t="s">
        <v>58</v>
      </c>
      <c r="C13" s="7803"/>
      <c r="D13" s="10141">
        <v>50102010</v>
      </c>
      <c r="E13" s="11583">
        <f>'WS-PS 2017'!F21</f>
        <v>791292.3</v>
      </c>
      <c r="F13" s="11664">
        <f>'WS-PS ACTUAL JUNE 2018'!D21</f>
        <v>420434.88</v>
      </c>
      <c r="G13" s="11667">
        <f t="shared" si="0"/>
        <v>515565.12</v>
      </c>
      <c r="H13" s="11164">
        <v>936000</v>
      </c>
      <c r="I13" s="11164"/>
      <c r="J13" s="11165"/>
      <c r="K13" s="11162">
        <f t="shared" si="1"/>
        <v>1248000</v>
      </c>
      <c r="L13" s="7310">
        <f>24000*M13</f>
        <v>1248000</v>
      </c>
      <c r="M13" s="10883">
        <f>SUM(M11:M12)</f>
        <v>52</v>
      </c>
    </row>
    <row r="14" spans="1:13" s="7275" customFormat="1" ht="15" customHeight="1">
      <c r="A14" s="7657"/>
      <c r="B14" s="7287" t="s">
        <v>104</v>
      </c>
      <c r="C14" s="7287"/>
      <c r="D14" s="10136">
        <v>50102020</v>
      </c>
      <c r="E14" s="11664">
        <f>'WS-PS 2017'!G21</f>
        <v>102000</v>
      </c>
      <c r="F14" s="11664">
        <f>'WS-PS ACTUAL JUNE 2018'!E21</f>
        <v>42500</v>
      </c>
      <c r="G14" s="11667">
        <f t="shared" si="0"/>
        <v>59500</v>
      </c>
      <c r="H14" s="11132">
        <v>102000</v>
      </c>
      <c r="I14" s="11132"/>
      <c r="J14" s="11163"/>
      <c r="K14" s="11162">
        <f t="shared" si="1"/>
        <v>102000</v>
      </c>
      <c r="L14" s="7310">
        <v>102000</v>
      </c>
      <c r="M14" s="7346"/>
    </row>
    <row r="15" spans="1:13" s="7275" customFormat="1" ht="15" customHeight="1">
      <c r="A15" s="7657"/>
      <c r="B15" s="7287" t="s">
        <v>105</v>
      </c>
      <c r="C15" s="7287"/>
      <c r="D15" s="10136">
        <v>50102030</v>
      </c>
      <c r="E15" s="11664">
        <f>'WS-PS 2017'!H21</f>
        <v>102000</v>
      </c>
      <c r="F15" s="11664">
        <f>'WS-PS ACTUAL JUNE 2018'!F21</f>
        <v>42500</v>
      </c>
      <c r="G15" s="11667">
        <f t="shared" si="0"/>
        <v>59500</v>
      </c>
      <c r="H15" s="11132">
        <v>102000</v>
      </c>
      <c r="I15" s="11132"/>
      <c r="J15" s="11163"/>
      <c r="K15" s="11162">
        <f t="shared" si="1"/>
        <v>102000</v>
      </c>
      <c r="L15" s="7310">
        <v>102000</v>
      </c>
      <c r="M15" s="7346"/>
    </row>
    <row r="16" spans="1:13" ht="15" customHeight="1">
      <c r="A16" s="11570"/>
      <c r="B16" s="7803" t="s">
        <v>79</v>
      </c>
      <c r="C16" s="7803"/>
      <c r="D16" s="10141">
        <v>50102040</v>
      </c>
      <c r="E16" s="11583">
        <f>'WS-PS 2017'!I21</f>
        <v>185000</v>
      </c>
      <c r="F16" s="11664">
        <f>'WS-PS ACTUAL JUNE 2018'!G21</f>
        <v>212000</v>
      </c>
      <c r="G16" s="11667">
        <f t="shared" si="0"/>
        <v>-17000</v>
      </c>
      <c r="H16" s="11132">
        <v>195000</v>
      </c>
      <c r="I16" s="11132"/>
      <c r="J16" s="11163"/>
      <c r="K16" s="11162">
        <f t="shared" si="1"/>
        <v>312000</v>
      </c>
      <c r="L16" s="7310">
        <f>6000*M13</f>
        <v>312000</v>
      </c>
    </row>
    <row r="17" spans="1:13" ht="15" customHeight="1">
      <c r="A17" s="11570"/>
      <c r="B17" s="7488" t="s">
        <v>10932</v>
      </c>
      <c r="C17" s="7488"/>
      <c r="D17" s="10368">
        <v>50102080</v>
      </c>
      <c r="E17" s="11583">
        <f>'WS-PS 2017'!L21</f>
        <v>192000</v>
      </c>
      <c r="F17" s="11664">
        <f>'WS-PS ACTUAL JUNE 2018'!J21</f>
        <v>0</v>
      </c>
      <c r="G17" s="11667">
        <f t="shared" si="0"/>
        <v>195000</v>
      </c>
      <c r="H17" s="11132">
        <v>195000</v>
      </c>
      <c r="I17" s="11132"/>
      <c r="J17" s="11163"/>
      <c r="K17" s="11162">
        <f t="shared" si="1"/>
        <v>260000</v>
      </c>
      <c r="L17" s="7310">
        <f>5000*M13</f>
        <v>260000</v>
      </c>
    </row>
    <row r="18" spans="1:13" ht="15" customHeight="1">
      <c r="A18" s="11570"/>
      <c r="B18" s="7488" t="s">
        <v>10934</v>
      </c>
      <c r="C18" s="7488"/>
      <c r="D18" s="8872">
        <v>50102120</v>
      </c>
      <c r="E18" s="11583">
        <f>'WS-PS 2017'!O21</f>
        <v>5000</v>
      </c>
      <c r="F18" s="11583">
        <f>'WS-PS ACTUAL JUNE 2018'!M21</f>
        <v>0</v>
      </c>
      <c r="G18" s="11667">
        <f>H18-F18</f>
        <v>0</v>
      </c>
      <c r="H18" s="11583">
        <v>0</v>
      </c>
      <c r="I18" s="11583"/>
      <c r="J18" s="11163"/>
      <c r="K18" s="11162">
        <f t="shared" si="1"/>
        <v>5000</v>
      </c>
      <c r="L18" s="7310">
        <v>5000</v>
      </c>
    </row>
    <row r="19" spans="1:13" ht="15" customHeight="1">
      <c r="A19" s="11570"/>
      <c r="B19" s="7488" t="s">
        <v>10933</v>
      </c>
      <c r="C19" s="7488"/>
      <c r="D19" s="8872">
        <v>50102140</v>
      </c>
      <c r="E19" s="11580">
        <f>'WS-PS 2017'!U21+'WS-PS 2017'!S21</f>
        <v>910469</v>
      </c>
      <c r="F19" s="11664">
        <f>'WS-PS ACTUAL JUNE 2018'!O21</f>
        <v>491888</v>
      </c>
      <c r="G19" s="11667">
        <f>H19-F19</f>
        <v>736872</v>
      </c>
      <c r="H19" s="11164">
        <v>1228760</v>
      </c>
      <c r="I19" s="11164"/>
      <c r="J19" s="11165"/>
      <c r="K19" s="11162">
        <f t="shared" si="1"/>
        <v>1711480</v>
      </c>
      <c r="L19" s="7310">
        <f>SUM(L11:L12)/12*2</f>
        <v>1711480</v>
      </c>
    </row>
    <row r="20" spans="1:13" ht="15" customHeight="1">
      <c r="A20" s="11570"/>
      <c r="B20" s="7287" t="s">
        <v>26</v>
      </c>
      <c r="C20" s="7287"/>
      <c r="D20" s="10136">
        <v>50102150</v>
      </c>
      <c r="E20" s="11583">
        <f>'WS-PS 2017'!T21</f>
        <v>191000</v>
      </c>
      <c r="F20" s="11664">
        <f>'WS-PS ACTUAL JUNE 2018'!Q21</f>
        <v>0</v>
      </c>
      <c r="G20" s="11667">
        <f t="shared" si="0"/>
        <v>195000</v>
      </c>
      <c r="H20" s="11132">
        <v>195000</v>
      </c>
      <c r="I20" s="11132"/>
      <c r="J20" s="11163"/>
      <c r="K20" s="11162">
        <f t="shared" si="1"/>
        <v>260000</v>
      </c>
      <c r="L20" s="7371">
        <f>L17</f>
        <v>260000</v>
      </c>
    </row>
    <row r="21" spans="1:13" ht="15" customHeight="1">
      <c r="A21" s="11570"/>
      <c r="B21" s="7488" t="s">
        <v>11497</v>
      </c>
      <c r="C21" s="7488"/>
      <c r="D21" s="11257">
        <v>50102990</v>
      </c>
      <c r="E21" s="11583"/>
      <c r="F21" s="11664">
        <f>'WS-PS ACTUAL JUNE 2018'!R21</f>
        <v>0</v>
      </c>
      <c r="G21" s="11667">
        <f>H21-F21</f>
        <v>353269</v>
      </c>
      <c r="H21" s="11132">
        <v>353269</v>
      </c>
      <c r="I21" s="11132"/>
      <c r="J21" s="11163"/>
      <c r="K21" s="11162">
        <v>0</v>
      </c>
      <c r="L21" s="7310">
        <f>SUM(L11:L12)/12*0.575</f>
        <v>492050.49999999994</v>
      </c>
    </row>
    <row r="22" spans="1:13" ht="15" customHeight="1">
      <c r="A22" s="11570"/>
      <c r="B22" s="7803" t="s">
        <v>11499</v>
      </c>
      <c r="C22" s="7803"/>
      <c r="D22" s="11059" t="s">
        <v>11495</v>
      </c>
      <c r="E22" s="11583"/>
      <c r="F22" s="11664">
        <f>'WS-PS ACTUAL JUNE 2018'!S21</f>
        <v>0</v>
      </c>
      <c r="G22" s="11667">
        <f>H22-F22</f>
        <v>0</v>
      </c>
      <c r="H22" s="11132">
        <v>0</v>
      </c>
      <c r="I22" s="11132"/>
      <c r="J22" s="11163"/>
      <c r="K22" s="11162">
        <f t="shared" si="1"/>
        <v>156000</v>
      </c>
      <c r="L22" s="7310">
        <f>3000*M13</f>
        <v>156000</v>
      </c>
    </row>
    <row r="23" spans="1:13" ht="15" customHeight="1">
      <c r="A23" s="11570"/>
      <c r="B23" s="11518" t="s">
        <v>59</v>
      </c>
      <c r="C23" s="11518"/>
      <c r="D23" s="8872">
        <v>50103010</v>
      </c>
      <c r="E23" s="11583">
        <f>'WS-PS 2017'!V21</f>
        <v>632032.11</v>
      </c>
      <c r="F23" s="11664">
        <f>'WS-PS ACTUAL JUNE 2018'!T21</f>
        <v>376654.25</v>
      </c>
      <c r="G23" s="11667">
        <f t="shared" si="0"/>
        <v>508052.75</v>
      </c>
      <c r="H23" s="11132">
        <v>884707</v>
      </c>
      <c r="I23" s="11132"/>
      <c r="J23" s="11163"/>
      <c r="K23" s="11162">
        <f t="shared" si="1"/>
        <v>1232265.5999999999</v>
      </c>
      <c r="L23" s="11720">
        <f>SUM(L11:L12)*12%</f>
        <v>1232265.5999999999</v>
      </c>
    </row>
    <row r="24" spans="1:13" ht="15" customHeight="1">
      <c r="A24" s="11570"/>
      <c r="B24" s="7803" t="s">
        <v>28</v>
      </c>
      <c r="C24" s="7803"/>
      <c r="D24" s="8872">
        <v>50103020</v>
      </c>
      <c r="E24" s="11583">
        <f>'WS-PS 2017'!W21</f>
        <v>39425</v>
      </c>
      <c r="F24" s="11664">
        <f>'WS-PS ACTUAL JUNE 2018'!U21</f>
        <v>22700</v>
      </c>
      <c r="G24" s="11667">
        <f t="shared" si="0"/>
        <v>24100</v>
      </c>
      <c r="H24" s="11132">
        <v>46800</v>
      </c>
      <c r="I24" s="11132"/>
      <c r="J24" s="11163"/>
      <c r="K24" s="11162">
        <f t="shared" si="1"/>
        <v>62400</v>
      </c>
      <c r="L24" s="7310">
        <f>1200*M13</f>
        <v>62400</v>
      </c>
    </row>
    <row r="25" spans="1:13" ht="15" customHeight="1">
      <c r="A25" s="11570"/>
      <c r="B25" s="7803" t="s">
        <v>29</v>
      </c>
      <c r="C25" s="7803"/>
      <c r="D25" s="8872">
        <v>50103030</v>
      </c>
      <c r="E25" s="11583">
        <f>'WS-PS 2017'!X21</f>
        <v>53787.5</v>
      </c>
      <c r="F25" s="11664">
        <f>'WS-PS ACTUAL JUNE 2018'!V21</f>
        <v>44617.66</v>
      </c>
      <c r="G25" s="11667">
        <f t="shared" si="0"/>
        <v>95782.34</v>
      </c>
      <c r="H25" s="11132">
        <v>140400</v>
      </c>
      <c r="I25" s="11132"/>
      <c r="J25" s="11163"/>
      <c r="K25" s="11162">
        <v>72426.915000000023</v>
      </c>
      <c r="L25" s="7310">
        <f>3600*M13</f>
        <v>187200</v>
      </c>
    </row>
    <row r="26" spans="1:13" ht="15" customHeight="1">
      <c r="A26" s="11570"/>
      <c r="B26" s="7803" t="s">
        <v>30</v>
      </c>
      <c r="C26" s="7803"/>
      <c r="D26" s="8872">
        <v>50103040</v>
      </c>
      <c r="E26" s="11583">
        <f>'WS-PS 2017'!Y21</f>
        <v>32393.56</v>
      </c>
      <c r="F26" s="11583">
        <f>'WS-PS ACTUAL JUNE 2018'!W21</f>
        <v>18682.349999999999</v>
      </c>
      <c r="G26" s="11667">
        <f t="shared" si="0"/>
        <v>28117.65</v>
      </c>
      <c r="H26" s="11132">
        <v>46800</v>
      </c>
      <c r="I26" s="11132"/>
      <c r="J26" s="11163"/>
      <c r="K26" s="11162">
        <f t="shared" si="1"/>
        <v>62400</v>
      </c>
      <c r="L26" s="7310">
        <f>L24</f>
        <v>62400</v>
      </c>
    </row>
    <row r="27" spans="1:13" ht="15" customHeight="1">
      <c r="A27" s="11570"/>
      <c r="B27" s="7488" t="s">
        <v>5025</v>
      </c>
      <c r="C27" s="7488"/>
      <c r="D27" s="11258">
        <v>50104990</v>
      </c>
      <c r="E27" s="10278">
        <f>'WS-PS 2017'!Z21</f>
        <v>355000</v>
      </c>
      <c r="F27" s="11583"/>
      <c r="G27" s="11583"/>
      <c r="H27" s="11583"/>
      <c r="I27" s="11583"/>
      <c r="J27" s="11163"/>
      <c r="K27" s="11162">
        <f t="shared" si="1"/>
        <v>0</v>
      </c>
    </row>
    <row r="28" spans="1:13" ht="15" customHeight="1">
      <c r="A28" s="11570"/>
      <c r="B28" s="7809" t="s">
        <v>37</v>
      </c>
      <c r="C28" s="7809"/>
      <c r="D28" s="12497"/>
      <c r="E28" s="9540">
        <f t="shared" ref="E28:K28" si="2">SUM(E10:E27)</f>
        <v>9160332.5199999996</v>
      </c>
      <c r="F28" s="9540">
        <f t="shared" si="2"/>
        <v>4825767.7299999995</v>
      </c>
      <c r="G28" s="9540">
        <f t="shared" si="2"/>
        <v>6972528.2700000005</v>
      </c>
      <c r="H28" s="9540">
        <f t="shared" si="2"/>
        <v>11798296</v>
      </c>
      <c r="I28" s="9540">
        <f t="shared" si="2"/>
        <v>0</v>
      </c>
      <c r="J28" s="9540">
        <f t="shared" si="2"/>
        <v>0</v>
      </c>
      <c r="K28" s="11644">
        <f t="shared" si="2"/>
        <v>15854852.514999999</v>
      </c>
      <c r="L28" s="12004">
        <f>SUM(L11:L27)</f>
        <v>16461676.1</v>
      </c>
    </row>
    <row r="29" spans="1:13" s="7810" customFormat="1" ht="15" customHeight="1" thickBot="1">
      <c r="A29" s="11573"/>
      <c r="B29" s="7825"/>
      <c r="C29" s="7825"/>
      <c r="D29" s="11652"/>
      <c r="E29" s="11585"/>
      <c r="F29" s="11585"/>
      <c r="G29" s="11585"/>
      <c r="H29" s="11585"/>
      <c r="I29" s="11585"/>
      <c r="J29" s="11449"/>
      <c r="K29" s="11959"/>
      <c r="M29" s="10259"/>
    </row>
    <row r="30" spans="1:13" s="7810" customFormat="1" ht="15" customHeight="1">
      <c r="A30" s="7803"/>
      <c r="B30" s="7809"/>
      <c r="C30" s="7809"/>
      <c r="D30" s="7804"/>
      <c r="E30" s="7824"/>
      <c r="F30" s="7824"/>
      <c r="G30" s="7824"/>
      <c r="H30" s="7824"/>
      <c r="I30" s="7824"/>
      <c r="J30" s="7350"/>
      <c r="K30" s="7824"/>
      <c r="M30" s="10259"/>
    </row>
    <row r="31" spans="1:13" s="7810" customFormat="1" ht="15" customHeight="1">
      <c r="A31" s="7803"/>
      <c r="B31" s="7809"/>
      <c r="C31" s="7809"/>
      <c r="D31" s="7804"/>
      <c r="E31" s="7824"/>
      <c r="F31" s="7824"/>
      <c r="G31" s="7824"/>
      <c r="H31" s="7824"/>
      <c r="I31" s="7824"/>
      <c r="J31" s="7350"/>
      <c r="K31" s="7824"/>
      <c r="M31" s="10259"/>
    </row>
    <row r="32" spans="1:13" s="7810" customFormat="1" ht="15" customHeight="1">
      <c r="A32" s="7803"/>
      <c r="B32" s="7809"/>
      <c r="C32" s="7809"/>
      <c r="D32" s="7804"/>
      <c r="E32" s="7824"/>
      <c r="F32" s="7824"/>
      <c r="G32" s="7824"/>
      <c r="H32" s="7824"/>
      <c r="I32" s="7824"/>
      <c r="J32" s="7350"/>
      <c r="K32" s="7824"/>
      <c r="M32" s="10259"/>
    </row>
    <row r="33" spans="1:13" s="7810" customFormat="1" ht="15" customHeight="1">
      <c r="A33" s="7803"/>
      <c r="B33" s="7809"/>
      <c r="C33" s="7809"/>
      <c r="D33" s="7804"/>
      <c r="E33" s="7824"/>
      <c r="F33" s="7824"/>
      <c r="G33" s="7824"/>
      <c r="H33" s="7824"/>
      <c r="I33" s="7824"/>
      <c r="J33" s="7350"/>
      <c r="K33" s="7824"/>
      <c r="M33" s="10259"/>
    </row>
    <row r="34" spans="1:13" s="7810" customFormat="1" ht="15" customHeight="1">
      <c r="A34" s="7803"/>
      <c r="B34" s="7809"/>
      <c r="C34" s="7809"/>
      <c r="D34" s="7804"/>
      <c r="E34" s="7824"/>
      <c r="F34" s="7824"/>
      <c r="G34" s="7824"/>
      <c r="H34" s="7824"/>
      <c r="I34" s="7824"/>
      <c r="J34" s="7350"/>
      <c r="K34" s="7824"/>
      <c r="M34" s="10259"/>
    </row>
    <row r="35" spans="1:13" s="7810" customFormat="1" ht="15" customHeight="1">
      <c r="A35" s="7803"/>
      <c r="B35" s="7809"/>
      <c r="C35" s="7809"/>
      <c r="D35" s="7804"/>
      <c r="E35" s="7824"/>
      <c r="F35" s="7824"/>
      <c r="G35" s="7824"/>
      <c r="H35" s="7824"/>
      <c r="I35" s="7824"/>
      <c r="J35" s="7350"/>
      <c r="K35" s="7824"/>
      <c r="M35" s="10259"/>
    </row>
    <row r="36" spans="1:13" s="7810" customFormat="1" ht="15" customHeight="1">
      <c r="A36" s="7803"/>
      <c r="B36" s="7809"/>
      <c r="C36" s="7809"/>
      <c r="D36" s="7804"/>
      <c r="E36" s="7824"/>
      <c r="F36" s="7824"/>
      <c r="G36" s="7824"/>
      <c r="H36" s="7824"/>
      <c r="I36" s="7824"/>
      <c r="J36" s="7350"/>
      <c r="K36" s="7824"/>
      <c r="M36" s="10259"/>
    </row>
    <row r="37" spans="1:13" s="7810" customFormat="1" ht="15" customHeight="1">
      <c r="A37" s="7803"/>
      <c r="B37" s="7809"/>
      <c r="C37" s="7809"/>
      <c r="D37" s="7804"/>
      <c r="E37" s="7824"/>
      <c r="F37" s="7824"/>
      <c r="G37" s="7824"/>
      <c r="H37" s="7824"/>
      <c r="I37" s="7824"/>
      <c r="J37" s="7350"/>
      <c r="K37" s="7824"/>
      <c r="M37" s="10259"/>
    </row>
    <row r="38" spans="1:13" s="7828" customFormat="1" ht="15" customHeight="1" thickBot="1">
      <c r="A38" s="7825" t="s">
        <v>10750</v>
      </c>
      <c r="B38" s="7825"/>
      <c r="C38" s="7825"/>
      <c r="D38" s="7827"/>
      <c r="E38" s="7826"/>
      <c r="F38" s="7826"/>
      <c r="G38" s="7826"/>
      <c r="H38" s="7826"/>
      <c r="I38" s="7826"/>
      <c r="J38" s="7394"/>
      <c r="K38" s="7826"/>
      <c r="M38" s="10260"/>
    </row>
    <row r="39" spans="1:13" ht="15" customHeight="1">
      <c r="A39" s="11566"/>
      <c r="B39" s="10530"/>
      <c r="C39" s="10530"/>
      <c r="D39" s="11567" t="s">
        <v>9</v>
      </c>
      <c r="E39" s="12489" t="s">
        <v>78</v>
      </c>
      <c r="F39" s="14188" t="s">
        <v>10711</v>
      </c>
      <c r="G39" s="14189"/>
      <c r="H39" s="14190"/>
      <c r="I39" s="12489"/>
      <c r="J39" s="9462"/>
      <c r="K39" s="12490" t="s">
        <v>12</v>
      </c>
    </row>
    <row r="40" spans="1:13" ht="15" customHeight="1">
      <c r="A40" s="11570"/>
      <c r="B40" s="7808" t="s">
        <v>13</v>
      </c>
      <c r="C40" s="7808"/>
      <c r="D40" s="14581" t="s">
        <v>14</v>
      </c>
      <c r="E40" s="12491" t="s">
        <v>15</v>
      </c>
      <c r="F40" s="9502" t="s">
        <v>10709</v>
      </c>
      <c r="G40" s="9503" t="s">
        <v>10710</v>
      </c>
      <c r="H40" s="14191" t="s">
        <v>458</v>
      </c>
      <c r="I40" s="12491" t="s">
        <v>9985</v>
      </c>
      <c r="J40" s="11108"/>
      <c r="K40" s="12492" t="s">
        <v>16</v>
      </c>
    </row>
    <row r="41" spans="1:13" ht="15" customHeight="1" thickBot="1">
      <c r="A41" s="11573"/>
      <c r="B41" s="7827"/>
      <c r="C41" s="7827"/>
      <c r="D41" s="14582"/>
      <c r="E41" s="12493">
        <v>2017</v>
      </c>
      <c r="F41" s="9467" t="s">
        <v>457</v>
      </c>
      <c r="G41" s="11661" t="s">
        <v>456</v>
      </c>
      <c r="H41" s="14192"/>
      <c r="I41" s="12493"/>
      <c r="J41" s="7322"/>
      <c r="K41" s="12494">
        <v>2019</v>
      </c>
    </row>
    <row r="42" spans="1:13" ht="15" customHeight="1">
      <c r="A42" s="11577"/>
      <c r="B42" s="7803" t="s">
        <v>38</v>
      </c>
      <c r="C42" s="7803"/>
      <c r="D42" s="10141"/>
      <c r="E42" s="11183"/>
      <c r="F42" s="11183"/>
      <c r="G42" s="11183"/>
      <c r="H42" s="12501"/>
      <c r="I42" s="12501"/>
      <c r="J42" s="11979"/>
      <c r="K42" s="12502"/>
    </row>
    <row r="43" spans="1:13" ht="15" customHeight="1">
      <c r="A43" s="11577"/>
      <c r="B43" s="7803" t="s">
        <v>391</v>
      </c>
      <c r="C43" s="7803"/>
      <c r="D43" s="10141">
        <v>50201010</v>
      </c>
      <c r="E43" s="11583">
        <f>'WS-MOOE 2017'!B21</f>
        <v>177400.76</v>
      </c>
      <c r="F43" s="11583">
        <f>'WS-MOOE ACTUAL JUNE 2018'!B22</f>
        <v>33443.440000000002</v>
      </c>
      <c r="G43" s="11667">
        <f t="shared" ref="G43:G61" si="3">H43-F43</f>
        <v>266556.56</v>
      </c>
      <c r="H43" s="11070">
        <v>300000</v>
      </c>
      <c r="I43" s="11070">
        <v>143154.44</v>
      </c>
      <c r="J43" s="10110">
        <f>I43/H43</f>
        <v>0.47718146666666666</v>
      </c>
      <c r="K43" s="11882">
        <v>300000</v>
      </c>
    </row>
    <row r="44" spans="1:13" ht="15" customHeight="1">
      <c r="A44" s="11577"/>
      <c r="B44" s="7803" t="s">
        <v>10324</v>
      </c>
      <c r="C44" s="7803"/>
      <c r="D44" s="10141">
        <v>50202010</v>
      </c>
      <c r="E44" s="11583">
        <f>'WS-MOOE 2017'!H21</f>
        <v>36000</v>
      </c>
      <c r="F44" s="11583">
        <f>'WS-MOOE ACTUAL JUNE 2018'!G22</f>
        <v>0</v>
      </c>
      <c r="G44" s="11667">
        <f t="shared" si="3"/>
        <v>500000</v>
      </c>
      <c r="H44" s="12503">
        <v>500000</v>
      </c>
      <c r="I44" s="12503">
        <v>0</v>
      </c>
      <c r="J44" s="10110">
        <f t="shared" ref="J44:J63" si="4">I44/H44</f>
        <v>0</v>
      </c>
      <c r="K44" s="11882">
        <v>300000</v>
      </c>
    </row>
    <row r="45" spans="1:13" ht="15" customHeight="1">
      <c r="A45" s="11577"/>
      <c r="B45" s="7803" t="s">
        <v>392</v>
      </c>
      <c r="C45" s="7803"/>
      <c r="D45" s="10141">
        <v>50203010</v>
      </c>
      <c r="E45" s="11583">
        <f>'WS-MOOE 2017'!J21</f>
        <v>103260.25</v>
      </c>
      <c r="F45" s="11583">
        <f>'WS-MOOE ACTUAL JUNE 2018'!H22</f>
        <v>74818.600000000006</v>
      </c>
      <c r="G45" s="11667">
        <f t="shared" si="3"/>
        <v>375181.4</v>
      </c>
      <c r="H45" s="11070">
        <v>450000</v>
      </c>
      <c r="I45" s="11070">
        <v>146520.70000000001</v>
      </c>
      <c r="J45" s="10110">
        <f t="shared" si="4"/>
        <v>0.32560155555555559</v>
      </c>
      <c r="K45" s="11882">
        <v>500000</v>
      </c>
    </row>
    <row r="46" spans="1:13" ht="15" customHeight="1">
      <c r="A46" s="11577"/>
      <c r="B46" s="7803" t="s">
        <v>395</v>
      </c>
      <c r="C46" s="7803"/>
      <c r="D46" s="10141"/>
      <c r="E46" s="11583"/>
      <c r="F46" s="11583">
        <f>'WS-MOOE ACTUAL JUNE 2018'!S22</f>
        <v>0</v>
      </c>
      <c r="G46" s="11667">
        <f t="shared" si="3"/>
        <v>200000</v>
      </c>
      <c r="H46" s="11070">
        <v>200000</v>
      </c>
      <c r="I46" s="11070">
        <v>0</v>
      </c>
      <c r="J46" s="10110">
        <f t="shared" si="4"/>
        <v>0</v>
      </c>
      <c r="K46" s="12504">
        <v>0</v>
      </c>
      <c r="L46" s="12498">
        <v>200000</v>
      </c>
    </row>
    <row r="47" spans="1:13" ht="15" customHeight="1">
      <c r="A47" s="11577"/>
      <c r="B47" s="7803" t="s">
        <v>394</v>
      </c>
      <c r="C47" s="7803"/>
      <c r="D47" s="10141"/>
      <c r="E47" s="11583"/>
      <c r="F47" s="11583">
        <f>'WS-MOOE ACTUAL JUNE 2018'!R22</f>
        <v>0</v>
      </c>
      <c r="G47" s="11667">
        <f t="shared" si="3"/>
        <v>100000</v>
      </c>
      <c r="H47" s="11070">
        <v>100000</v>
      </c>
      <c r="I47" s="11070">
        <v>0</v>
      </c>
      <c r="J47" s="10110">
        <f t="shared" si="4"/>
        <v>0</v>
      </c>
      <c r="K47" s="12504">
        <v>0</v>
      </c>
      <c r="L47" s="12498">
        <v>100000</v>
      </c>
    </row>
    <row r="48" spans="1:13" ht="15" customHeight="1">
      <c r="A48" s="11577"/>
      <c r="B48" s="7803" t="s">
        <v>10336</v>
      </c>
      <c r="C48" s="7803"/>
      <c r="D48" s="10141">
        <v>50203090</v>
      </c>
      <c r="E48" s="11583">
        <f>'WS-MOOE 2017'!R21</f>
        <v>354976.29</v>
      </c>
      <c r="F48" s="11583">
        <f>'WS-MOOE ACTUAL JUNE 2018'!O22</f>
        <v>0</v>
      </c>
      <c r="G48" s="11667">
        <f t="shared" si="3"/>
        <v>1000000</v>
      </c>
      <c r="H48" s="12503">
        <v>1000000</v>
      </c>
      <c r="I48" s="12503">
        <v>1086234.9099999999</v>
      </c>
      <c r="J48" s="10110">
        <f t="shared" si="4"/>
        <v>1.0862349099999999</v>
      </c>
      <c r="K48" s="12010">
        <v>1800000</v>
      </c>
    </row>
    <row r="49" spans="1:12" ht="15" hidden="1" customHeight="1">
      <c r="A49" s="11577"/>
      <c r="B49" s="7803" t="s">
        <v>394</v>
      </c>
      <c r="C49" s="7803"/>
      <c r="D49" s="10141">
        <v>766</v>
      </c>
      <c r="E49" s="11583"/>
      <c r="F49" s="11583"/>
      <c r="G49" s="11667">
        <f t="shared" si="3"/>
        <v>0</v>
      </c>
      <c r="H49" s="12503"/>
      <c r="I49" s="12503"/>
      <c r="J49" s="10110" t="e">
        <f t="shared" si="4"/>
        <v>#DIV/0!</v>
      </c>
      <c r="K49" s="12010"/>
    </row>
    <row r="50" spans="1:12" ht="15" hidden="1" customHeight="1">
      <c r="A50" s="11577"/>
      <c r="B50" s="7803" t="s">
        <v>395</v>
      </c>
      <c r="C50" s="7803"/>
      <c r="D50" s="10141">
        <v>767</v>
      </c>
      <c r="E50" s="11583"/>
      <c r="F50" s="11583"/>
      <c r="G50" s="11667">
        <f t="shared" si="3"/>
        <v>0</v>
      </c>
      <c r="H50" s="12503"/>
      <c r="I50" s="12503"/>
      <c r="J50" s="10110" t="e">
        <f t="shared" si="4"/>
        <v>#DIV/0!</v>
      </c>
      <c r="K50" s="12010"/>
    </row>
    <row r="51" spans="1:12" ht="15" hidden="1" customHeight="1">
      <c r="A51" s="11577"/>
      <c r="B51" s="7803" t="s">
        <v>396</v>
      </c>
      <c r="C51" s="7803"/>
      <c r="D51" s="10141">
        <v>771</v>
      </c>
      <c r="E51" s="11583"/>
      <c r="F51" s="11583"/>
      <c r="G51" s="11667">
        <f t="shared" si="3"/>
        <v>0</v>
      </c>
      <c r="H51" s="12503"/>
      <c r="I51" s="12503"/>
      <c r="J51" s="10110" t="e">
        <f t="shared" si="4"/>
        <v>#DIV/0!</v>
      </c>
      <c r="K51" s="12010"/>
    </row>
    <row r="52" spans="1:12" ht="15" customHeight="1">
      <c r="A52" s="11577"/>
      <c r="B52" s="7536" t="s">
        <v>10968</v>
      </c>
      <c r="C52" s="7536"/>
      <c r="D52" s="10136">
        <v>50205020</v>
      </c>
      <c r="E52" s="11583">
        <f>'WS-MOOE 2017'!AA21</f>
        <v>418046.16</v>
      </c>
      <c r="F52" s="11583">
        <f>'WS-MOOE ACTUAL JUNE 2018'!V22</f>
        <v>231139.13</v>
      </c>
      <c r="G52" s="11667">
        <f t="shared" si="3"/>
        <v>368860.87</v>
      </c>
      <c r="H52" s="11070">
        <v>600000</v>
      </c>
      <c r="I52" s="11070">
        <v>324312.3</v>
      </c>
      <c r="J52" s="10110">
        <f t="shared" si="4"/>
        <v>0.54052049999999996</v>
      </c>
      <c r="K52" s="11882">
        <v>600000</v>
      </c>
    </row>
    <row r="53" spans="1:12" ht="15" hidden="1" customHeight="1">
      <c r="A53" s="11577"/>
      <c r="B53" s="7803" t="s">
        <v>10338</v>
      </c>
      <c r="C53" s="7803"/>
      <c r="D53" s="11939"/>
      <c r="E53" s="11583"/>
      <c r="F53" s="11583"/>
      <c r="G53" s="11667">
        <f t="shared" si="3"/>
        <v>0</v>
      </c>
      <c r="H53" s="12503"/>
      <c r="I53" s="12503"/>
      <c r="J53" s="10110" t="e">
        <f t="shared" si="4"/>
        <v>#DIV/0!</v>
      </c>
      <c r="K53" s="11882"/>
    </row>
    <row r="54" spans="1:12" ht="15" customHeight="1">
      <c r="A54" s="11577"/>
      <c r="B54" s="7803" t="s">
        <v>10951</v>
      </c>
      <c r="C54" s="7803"/>
      <c r="D54" s="11596">
        <v>50205030</v>
      </c>
      <c r="E54" s="11583">
        <f>'WS-MOOE 2017'!AE21</f>
        <v>0</v>
      </c>
      <c r="F54" s="11583">
        <f>'WS-MOOE ACTUAL JUNE 2018'!Z22</f>
        <v>0</v>
      </c>
      <c r="G54" s="11667">
        <f t="shared" si="3"/>
        <v>600000</v>
      </c>
      <c r="H54" s="12503">
        <v>600000</v>
      </c>
      <c r="I54" s="12503">
        <v>0</v>
      </c>
      <c r="J54" s="10110">
        <f t="shared" si="4"/>
        <v>0</v>
      </c>
      <c r="K54" s="11882">
        <v>600000</v>
      </c>
    </row>
    <row r="55" spans="1:12" ht="15" customHeight="1">
      <c r="A55" s="11577"/>
      <c r="B55" s="7352" t="s">
        <v>10956</v>
      </c>
      <c r="C55" s="7352"/>
      <c r="D55" s="8872">
        <v>50212990</v>
      </c>
      <c r="E55" s="11583">
        <f>'WS-MOOE 2017'!AO21</f>
        <v>10036209.84</v>
      </c>
      <c r="F55" s="11583">
        <f>'WS-MOOE ACTUAL JUNE 2018'!AJ22</f>
        <v>5071377.0599999996</v>
      </c>
      <c r="G55" s="11667">
        <f t="shared" si="3"/>
        <v>4928622.9400000004</v>
      </c>
      <c r="H55" s="12503">
        <v>10000000</v>
      </c>
      <c r="I55" s="12503">
        <v>8548282.9800000004</v>
      </c>
      <c r="J55" s="10110">
        <f t="shared" si="4"/>
        <v>0.85482829800000004</v>
      </c>
      <c r="K55" s="11882">
        <v>12000000</v>
      </c>
      <c r="L55" s="7799">
        <v>16000000</v>
      </c>
    </row>
    <row r="56" spans="1:12" ht="15" hidden="1" customHeight="1">
      <c r="A56" s="11577"/>
      <c r="B56" s="7803" t="s">
        <v>397</v>
      </c>
      <c r="C56" s="7803"/>
      <c r="D56" s="10141"/>
      <c r="E56" s="11583"/>
      <c r="F56" s="11583"/>
      <c r="G56" s="11667">
        <f t="shared" si="3"/>
        <v>0</v>
      </c>
      <c r="H56" s="12503"/>
      <c r="I56" s="12503"/>
      <c r="J56" s="10110"/>
      <c r="K56" s="12010"/>
    </row>
    <row r="57" spans="1:12" ht="15" hidden="1" customHeight="1">
      <c r="A57" s="11577"/>
      <c r="B57" s="7803" t="s">
        <v>398</v>
      </c>
      <c r="C57" s="7803"/>
      <c r="D57" s="10141" t="s">
        <v>119</v>
      </c>
      <c r="E57" s="11583"/>
      <c r="F57" s="11583"/>
      <c r="G57" s="11667">
        <f t="shared" si="3"/>
        <v>0</v>
      </c>
      <c r="H57" s="12503"/>
      <c r="I57" s="12503"/>
      <c r="J57" s="10110"/>
      <c r="K57" s="12010"/>
    </row>
    <row r="58" spans="1:12" ht="15" hidden="1" customHeight="1">
      <c r="A58" s="11577"/>
      <c r="B58" s="7803" t="s">
        <v>399</v>
      </c>
      <c r="C58" s="7803"/>
      <c r="D58" s="10141" t="s">
        <v>119</v>
      </c>
      <c r="E58" s="11583"/>
      <c r="F58" s="11583"/>
      <c r="G58" s="11667">
        <f t="shared" si="3"/>
        <v>0</v>
      </c>
      <c r="H58" s="12503"/>
      <c r="I58" s="12503"/>
      <c r="J58" s="10110"/>
      <c r="K58" s="12010"/>
    </row>
    <row r="59" spans="1:12" ht="15" hidden="1" customHeight="1">
      <c r="A59" s="11577"/>
      <c r="B59" s="7803" t="s">
        <v>400</v>
      </c>
      <c r="C59" s="7803"/>
      <c r="D59" s="10141">
        <v>811</v>
      </c>
      <c r="E59" s="11583"/>
      <c r="F59" s="11583"/>
      <c r="G59" s="11667">
        <f t="shared" si="3"/>
        <v>0</v>
      </c>
      <c r="H59" s="12503"/>
      <c r="I59" s="12503"/>
      <c r="J59" s="10110"/>
      <c r="K59" s="12010"/>
    </row>
    <row r="60" spans="1:12" ht="15" customHeight="1">
      <c r="A60" s="11577"/>
      <c r="B60" s="7488" t="s">
        <v>10938</v>
      </c>
      <c r="C60" s="7488"/>
      <c r="D60" s="8872">
        <v>50213050</v>
      </c>
      <c r="E60" s="11583">
        <f>'WS-MOOE 2017'!AW21</f>
        <v>86512</v>
      </c>
      <c r="F60" s="11583">
        <f>'WS-MOOE ACTUAL JUNE 2018'!AS22</f>
        <v>4000</v>
      </c>
      <c r="G60" s="11667">
        <f t="shared" si="3"/>
        <v>496000</v>
      </c>
      <c r="H60" s="12503">
        <v>500000</v>
      </c>
      <c r="I60" s="12503">
        <v>97879.5</v>
      </c>
      <c r="J60" s="10110">
        <f t="shared" si="4"/>
        <v>0.19575899999999999</v>
      </c>
      <c r="K60" s="11882">
        <v>400000</v>
      </c>
    </row>
    <row r="61" spans="1:12" ht="15" customHeight="1">
      <c r="A61" s="11577"/>
      <c r="B61" s="7488" t="s">
        <v>10937</v>
      </c>
      <c r="C61" s="7488"/>
      <c r="D61" s="11258">
        <v>50213060</v>
      </c>
      <c r="E61" s="11583">
        <f>'WS-MOOE 2017'!BB21</f>
        <v>144180.79</v>
      </c>
      <c r="F61" s="11583">
        <f>'WS-MOOE ACTUAL JUNE 2018'!AT22</f>
        <v>28477.5</v>
      </c>
      <c r="G61" s="11667">
        <f t="shared" si="3"/>
        <v>2471522.5</v>
      </c>
      <c r="H61" s="12503">
        <v>2500000</v>
      </c>
      <c r="I61" s="12503">
        <v>906144.6</v>
      </c>
      <c r="J61" s="10110">
        <f t="shared" si="4"/>
        <v>0.36245783999999998</v>
      </c>
      <c r="K61" s="11882">
        <v>2500000</v>
      </c>
    </row>
    <row r="62" spans="1:12" ht="15" hidden="1" customHeight="1">
      <c r="A62" s="11570"/>
      <c r="B62" s="7803" t="s">
        <v>402</v>
      </c>
      <c r="C62" s="7803"/>
      <c r="D62" s="10141">
        <v>892</v>
      </c>
      <c r="E62" s="11583"/>
      <c r="F62" s="11583"/>
      <c r="G62" s="11583"/>
      <c r="H62" s="12503"/>
      <c r="I62" s="12503"/>
      <c r="J62" s="10110" t="e">
        <f t="shared" si="4"/>
        <v>#DIV/0!</v>
      </c>
      <c r="K62" s="12010"/>
    </row>
    <row r="63" spans="1:12" ht="15" customHeight="1">
      <c r="A63" s="11570"/>
      <c r="B63" s="7803" t="s">
        <v>11854</v>
      </c>
      <c r="C63" s="7803"/>
      <c r="D63" s="10141">
        <v>50299990</v>
      </c>
      <c r="E63" s="11583">
        <f>'WS-MOOE 2017'!BO21</f>
        <v>303632.3</v>
      </c>
      <c r="F63" s="11583">
        <f>'WS-MOOE ACTUAL JUNE 2018'!BI22</f>
        <v>25944.5</v>
      </c>
      <c r="G63" s="11667">
        <f>H63-F63</f>
        <v>574055.5</v>
      </c>
      <c r="H63" s="12503">
        <v>600000</v>
      </c>
      <c r="I63" s="12503">
        <v>46857.5</v>
      </c>
      <c r="J63" s="10110">
        <f t="shared" si="4"/>
        <v>7.8095833333333337E-2</v>
      </c>
      <c r="K63" s="11882">
        <v>800000</v>
      </c>
    </row>
    <row r="64" spans="1:12" ht="15" customHeight="1">
      <c r="A64" s="11570"/>
      <c r="B64" s="7803" t="s">
        <v>11853</v>
      </c>
      <c r="C64" s="7803"/>
      <c r="D64" s="10141"/>
      <c r="E64" s="12505"/>
      <c r="F64" s="9498"/>
      <c r="G64" s="9498"/>
      <c r="H64" s="12506"/>
      <c r="I64" s="12506"/>
      <c r="J64" s="12507"/>
      <c r="K64" s="12508">
        <v>100000</v>
      </c>
    </row>
    <row r="65" spans="1:13" ht="15" customHeight="1">
      <c r="A65" s="11570"/>
      <c r="B65" s="7809" t="s">
        <v>37</v>
      </c>
      <c r="C65" s="7809"/>
      <c r="D65" s="10141"/>
      <c r="E65" s="9540">
        <f>SUM(E43:E64)</f>
        <v>11660218.390000001</v>
      </c>
      <c r="F65" s="11601">
        <f>SUM(F43:F64)</f>
        <v>5469200.2299999995</v>
      </c>
      <c r="G65" s="11601">
        <f>SUM(G43:G64)</f>
        <v>11880799.77</v>
      </c>
      <c r="H65" s="11601">
        <f>SUM(H43:H64)</f>
        <v>17350000</v>
      </c>
      <c r="I65" s="11601">
        <f>SUM(I43:I64)</f>
        <v>11299386.93</v>
      </c>
      <c r="J65" s="11206">
        <f>I65/H65</f>
        <v>0.65126149452449567</v>
      </c>
      <c r="K65" s="11619">
        <f>SUM(K43:K64)</f>
        <v>19900000</v>
      </c>
      <c r="L65" s="10372">
        <f>(K65-H65)/H65</f>
        <v>0.14697406340057637</v>
      </c>
    </row>
    <row r="66" spans="1:13" ht="15" customHeight="1">
      <c r="A66" s="11577" t="s">
        <v>51</v>
      </c>
      <c r="B66" s="7803" t="s">
        <v>52</v>
      </c>
      <c r="C66" s="7803"/>
      <c r="D66" s="10141"/>
      <c r="E66" s="11982"/>
      <c r="F66" s="11982"/>
      <c r="G66" s="11982"/>
      <c r="H66" s="11583"/>
      <c r="I66" s="11583"/>
      <c r="J66" s="11163"/>
      <c r="K66" s="11945"/>
      <c r="L66" s="7810"/>
    </row>
    <row r="67" spans="1:13" ht="79.5" customHeight="1">
      <c r="A67" s="11577"/>
      <c r="B67" s="12520" t="s">
        <v>11618</v>
      </c>
      <c r="C67" s="12488"/>
      <c r="D67" s="10141"/>
      <c r="E67" s="11213"/>
      <c r="F67" s="11213"/>
      <c r="G67" s="11213"/>
      <c r="H67" s="11583"/>
      <c r="I67" s="11583"/>
      <c r="J67" s="11163"/>
      <c r="K67" s="11821">
        <v>811800</v>
      </c>
    </row>
    <row r="68" spans="1:13" ht="9" customHeight="1">
      <c r="A68" s="11577"/>
      <c r="B68" s="7803"/>
      <c r="C68" s="7803"/>
      <c r="D68" s="10141"/>
      <c r="E68" s="11982"/>
      <c r="F68" s="11982"/>
      <c r="G68" s="11982"/>
      <c r="H68" s="11583"/>
      <c r="I68" s="11583"/>
      <c r="J68" s="11163"/>
      <c r="K68" s="11612"/>
      <c r="L68" s="12499"/>
    </row>
    <row r="69" spans="1:13" s="7811" customFormat="1" ht="15" customHeight="1">
      <c r="A69" s="11615"/>
      <c r="B69" s="7809" t="s">
        <v>37</v>
      </c>
      <c r="C69" s="7809"/>
      <c r="D69" s="11616"/>
      <c r="E69" s="11215">
        <f>SUM(E67:E68)</f>
        <v>0</v>
      </c>
      <c r="F69" s="11215">
        <f>SUM(F67:F68)</f>
        <v>0</v>
      </c>
      <c r="G69" s="11215">
        <f>SUM(G67:G68)</f>
        <v>0</v>
      </c>
      <c r="H69" s="11601">
        <f>SUM(H67:H67)</f>
        <v>0</v>
      </c>
      <c r="I69" s="11601"/>
      <c r="J69" s="11206"/>
      <c r="K69" s="11619">
        <f>SUM(K67:K67)</f>
        <v>811800</v>
      </c>
      <c r="L69" s="12499"/>
      <c r="M69" s="10242"/>
    </row>
    <row r="70" spans="1:13" ht="15" customHeight="1">
      <c r="A70" s="11577" t="s">
        <v>53</v>
      </c>
      <c r="B70" s="7803" t="s">
        <v>54</v>
      </c>
      <c r="C70" s="7803"/>
      <c r="D70" s="10141"/>
      <c r="E70" s="12509"/>
      <c r="F70" s="12510"/>
      <c r="G70" s="12510"/>
      <c r="H70" s="12511"/>
      <c r="I70" s="12511"/>
      <c r="J70" s="11623"/>
      <c r="K70" s="12512"/>
      <c r="L70" s="12499"/>
    </row>
    <row r="71" spans="1:13" ht="5.25" customHeight="1">
      <c r="A71" s="11577"/>
      <c r="B71" s="7803"/>
      <c r="C71" s="7803"/>
      <c r="D71" s="10141"/>
      <c r="E71" s="10142"/>
      <c r="F71" s="11982"/>
      <c r="G71" s="11982"/>
      <c r="H71" s="8882"/>
      <c r="I71" s="8882"/>
      <c r="J71" s="9413"/>
      <c r="K71" s="11497"/>
      <c r="L71" s="7810"/>
    </row>
    <row r="72" spans="1:13" s="8084" customFormat="1" ht="32.25" customHeight="1">
      <c r="A72" s="11627"/>
      <c r="B72" s="12499" t="s">
        <v>12205</v>
      </c>
      <c r="C72" s="12499"/>
      <c r="D72" s="11630">
        <v>991601</v>
      </c>
      <c r="E72" s="12513"/>
      <c r="F72" s="12514"/>
      <c r="G72" s="12515">
        <f>H72-F72</f>
        <v>0</v>
      </c>
      <c r="H72" s="12230">
        <v>0</v>
      </c>
      <c r="I72" s="11095"/>
      <c r="J72" s="10662"/>
      <c r="K72" s="12516">
        <v>500000</v>
      </c>
      <c r="L72" s="12500"/>
      <c r="M72" s="12487"/>
    </row>
    <row r="73" spans="1:13" ht="15" hidden="1" customHeight="1">
      <c r="A73" s="11577"/>
      <c r="B73" s="12499" t="s">
        <v>11059</v>
      </c>
      <c r="C73" s="12499"/>
      <c r="D73" s="10141"/>
      <c r="E73" s="10142"/>
      <c r="F73" s="11982"/>
      <c r="G73" s="11982"/>
      <c r="H73" s="8882"/>
      <c r="I73" s="12517"/>
      <c r="J73" s="12518"/>
      <c r="K73" s="12516">
        <v>0</v>
      </c>
      <c r="L73" s="7810"/>
    </row>
    <row r="74" spans="1:13" ht="15" customHeight="1">
      <c r="A74" s="11577"/>
      <c r="B74" s="12499"/>
      <c r="C74" s="12499"/>
      <c r="D74" s="10141"/>
      <c r="E74" s="12505"/>
      <c r="F74" s="9498"/>
      <c r="G74" s="9498"/>
      <c r="H74" s="12517"/>
      <c r="I74" s="12517"/>
      <c r="J74" s="12518"/>
      <c r="K74" s="12516"/>
      <c r="L74" s="7810"/>
    </row>
    <row r="75" spans="1:13" s="7811" customFormat="1" ht="15" customHeight="1">
      <c r="A75" s="11645"/>
      <c r="B75" s="12519" t="s">
        <v>4680</v>
      </c>
      <c r="C75" s="12519"/>
      <c r="D75" s="11648"/>
      <c r="E75" s="9540">
        <f>SUM(E72)</f>
        <v>0</v>
      </c>
      <c r="F75" s="9540">
        <f>SUM(F72)</f>
        <v>0</v>
      </c>
      <c r="G75" s="9540">
        <f>SUM(G72)</f>
        <v>0</v>
      </c>
      <c r="H75" s="9540">
        <f>SUM(H72)</f>
        <v>0</v>
      </c>
      <c r="I75" s="9540"/>
      <c r="J75" s="9466"/>
      <c r="K75" s="11644">
        <f>SUM(K72:K73)</f>
        <v>500000</v>
      </c>
      <c r="M75" s="10242"/>
    </row>
    <row r="76" spans="1:13" ht="15" customHeight="1" thickBot="1">
      <c r="A76" s="11649"/>
      <c r="B76" s="11650" t="s">
        <v>55</v>
      </c>
      <c r="C76" s="11650"/>
      <c r="D76" s="11652"/>
      <c r="E76" s="11586">
        <f>(E28+E65+E75+E69)</f>
        <v>20820550.91</v>
      </c>
      <c r="F76" s="11586">
        <f>(F28+F65+F75+F69)</f>
        <v>10294967.959999999</v>
      </c>
      <c r="G76" s="11586">
        <f>(G28+G65+G75+G69)</f>
        <v>18853328.039999999</v>
      </c>
      <c r="H76" s="11586">
        <f>SUM(H65+H69+H75+H28)</f>
        <v>29148296</v>
      </c>
      <c r="I76" s="11586"/>
      <c r="J76" s="7327"/>
      <c r="K76" s="11587">
        <f>SUM(K65+K69+K75+K28)</f>
        <v>37066652.515000001</v>
      </c>
      <c r="L76" s="10372">
        <f>(K76-H76)/H76</f>
        <v>0.2716576130213581</v>
      </c>
    </row>
    <row r="77" spans="1:13" s="7333" customFormat="1" ht="15" customHeight="1">
      <c r="A77" s="7812" t="s">
        <v>4763</v>
      </c>
      <c r="B77" s="7812"/>
      <c r="C77" s="7812"/>
      <c r="D77" s="7813"/>
      <c r="E77" s="7814"/>
      <c r="F77" s="7814"/>
      <c r="G77" s="7814"/>
      <c r="H77" s="7815"/>
      <c r="I77" s="7815"/>
      <c r="J77" s="7816"/>
      <c r="K77" s="7815"/>
      <c r="M77" s="7842"/>
    </row>
    <row r="78" spans="1:13" s="7333" customFormat="1" ht="15" customHeight="1">
      <c r="A78" s="7812"/>
      <c r="B78" s="7812"/>
      <c r="C78" s="7812"/>
      <c r="D78" s="7813"/>
      <c r="E78" s="7814"/>
      <c r="F78" s="7814"/>
      <c r="G78" s="7814"/>
      <c r="H78" s="7815"/>
      <c r="I78" s="7815"/>
      <c r="J78" s="7816"/>
      <c r="K78" s="7815"/>
      <c r="M78" s="7842"/>
    </row>
    <row r="79" spans="1:13" s="7818" customFormat="1" ht="15" hidden="1" customHeight="1">
      <c r="A79" s="7761" t="s">
        <v>3483</v>
      </c>
      <c r="B79" s="7761"/>
      <c r="C79" s="7761"/>
      <c r="D79" s="10870" t="s">
        <v>3484</v>
      </c>
      <c r="F79" s="7762"/>
      <c r="G79" s="9459" t="s">
        <v>10666</v>
      </c>
      <c r="I79" s="7763"/>
      <c r="J79" s="7286"/>
      <c r="K79" s="7763"/>
      <c r="M79" s="7841"/>
    </row>
    <row r="80" spans="1:13" s="7820" customFormat="1" ht="15" hidden="1" customHeight="1">
      <c r="A80" s="7761"/>
      <c r="B80" s="7761"/>
      <c r="C80" s="7761"/>
      <c r="E80" s="10870"/>
      <c r="F80" s="7764"/>
      <c r="G80" s="7764"/>
      <c r="H80" s="7339"/>
      <c r="I80" s="7763"/>
      <c r="J80" s="7286"/>
      <c r="K80" s="7763"/>
      <c r="M80" s="7988"/>
    </row>
    <row r="81" spans="1:13" s="7818" customFormat="1" ht="15" hidden="1" customHeight="1">
      <c r="A81" s="7761"/>
      <c r="B81" s="7761"/>
      <c r="C81" s="7761"/>
      <c r="E81" s="10870"/>
      <c r="F81" s="7762"/>
      <c r="G81" s="7762"/>
      <c r="H81" s="7339"/>
      <c r="I81" s="7763"/>
      <c r="J81" s="7286"/>
      <c r="K81" s="7763"/>
      <c r="M81" s="7841"/>
    </row>
    <row r="82" spans="1:13" s="7818" customFormat="1" ht="15" hidden="1" customHeight="1">
      <c r="A82" s="7765" t="s">
        <v>10407</v>
      </c>
      <c r="B82" s="9496" t="s">
        <v>10670</v>
      </c>
      <c r="C82" s="9496"/>
      <c r="E82" s="10872" t="s">
        <v>12059</v>
      </c>
      <c r="F82" s="7762"/>
      <c r="G82" s="7762"/>
      <c r="H82" s="7342" t="s">
        <v>10667</v>
      </c>
      <c r="I82" s="7766"/>
      <c r="J82" s="7284"/>
      <c r="K82" s="7766"/>
      <c r="M82" s="7841"/>
    </row>
    <row r="83" spans="1:13" s="7818" customFormat="1" ht="15" hidden="1" customHeight="1">
      <c r="A83" s="7767" t="s">
        <v>10408</v>
      </c>
      <c r="B83" s="9497" t="s">
        <v>10751</v>
      </c>
      <c r="C83" s="9497"/>
      <c r="E83" s="7821" t="s">
        <v>3486</v>
      </c>
      <c r="F83" s="7762"/>
      <c r="G83" s="7762"/>
      <c r="H83" s="7344" t="s">
        <v>10668</v>
      </c>
      <c r="I83" s="7763"/>
      <c r="J83" s="7286"/>
      <c r="K83" s="7763"/>
      <c r="M83" s="7841"/>
    </row>
    <row r="84" spans="1:13" ht="15" customHeight="1">
      <c r="A84" s="7761"/>
      <c r="B84" s="7761"/>
      <c r="C84" s="7761"/>
      <c r="D84" s="10870"/>
      <c r="E84" s="7763"/>
      <c r="F84" s="7763"/>
      <c r="G84" s="7763"/>
      <c r="H84" s="7339"/>
      <c r="I84" s="7822">
        <f>K76-H76</f>
        <v>7918356.5150000006</v>
      </c>
      <c r="J84" s="7381">
        <f>I84/H76</f>
        <v>0.2716576130213581</v>
      </c>
      <c r="K84" s="7339"/>
    </row>
    <row r="85" spans="1:13" s="7811" customFormat="1" ht="15" customHeight="1">
      <c r="A85" s="7761"/>
      <c r="B85" s="7761"/>
      <c r="C85" s="7761"/>
      <c r="D85" s="10870"/>
      <c r="E85" s="7763"/>
      <c r="F85" s="7763"/>
      <c r="G85" s="7763"/>
      <c r="H85" s="7339"/>
      <c r="I85" s="7822"/>
      <c r="J85" s="7381"/>
      <c r="K85" s="7339"/>
      <c r="M85" s="10242"/>
    </row>
    <row r="86" spans="1:13" ht="15" customHeight="1">
      <c r="A86" s="7761"/>
      <c r="B86" s="7761"/>
      <c r="C86" s="7761"/>
      <c r="D86" s="10870"/>
      <c r="E86" s="7763"/>
      <c r="F86" s="7763"/>
      <c r="G86" s="7763"/>
      <c r="H86" s="7339"/>
      <c r="I86" s="7339"/>
      <c r="K86" s="7339"/>
    </row>
    <row r="87" spans="1:13" ht="15" customHeight="1">
      <c r="A87" s="7765"/>
      <c r="B87" s="7765"/>
      <c r="C87" s="7765"/>
      <c r="D87" s="10874"/>
      <c r="E87" s="7766"/>
      <c r="F87" s="7766"/>
      <c r="G87" s="7766"/>
      <c r="H87" s="7822"/>
      <c r="I87" s="7822"/>
      <c r="J87" s="7381"/>
      <c r="K87" s="7822"/>
    </row>
    <row r="88" spans="1:13" ht="15" customHeight="1">
      <c r="A88" s="7767"/>
      <c r="D88" s="14246"/>
      <c r="E88" s="14246"/>
      <c r="F88" s="10870"/>
      <c r="G88" s="10870"/>
      <c r="H88" s="14247"/>
      <c r="I88" s="14247"/>
      <c r="J88" s="14247"/>
      <c r="K88" s="14247"/>
    </row>
  </sheetData>
  <mergeCells count="10">
    <mergeCell ref="D7:D8"/>
    <mergeCell ref="D88:E88"/>
    <mergeCell ref="H88:K88"/>
    <mergeCell ref="A1:K1"/>
    <mergeCell ref="F6:H6"/>
    <mergeCell ref="H7:H8"/>
    <mergeCell ref="F39:H39"/>
    <mergeCell ref="D40:D41"/>
    <mergeCell ref="H40:H41"/>
    <mergeCell ref="K3:K4"/>
  </mergeCells>
  <printOptions horizontalCentered="1" gridLinesSet="0"/>
  <pageMargins left="0.25" right="0.25" top="0.5" bottom="0.25" header="0.25" footer="0.25"/>
  <pageSetup paperSize="119" firstPageNumber="36" orientation="landscape" useFirstPageNumber="1" r:id="rId1"/>
  <headerFooter alignWithMargins="0"/>
</worksheet>
</file>

<file path=xl/worksheets/sheet119.xml><?xml version="1.0" encoding="utf-8"?>
<worksheet xmlns="http://schemas.openxmlformats.org/spreadsheetml/2006/main" xmlns:r="http://schemas.openxmlformats.org/officeDocument/2006/relationships">
  <sheetPr codeName="Sheet221"/>
  <dimension ref="A1"/>
  <sheetViews>
    <sheetView workbookViewId="0">
      <selection activeCell="D17" sqref="D17"/>
    </sheetView>
  </sheetViews>
  <sheetFormatPr defaultRowHeight="14.4"/>
  <sheetData/>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5">
    <tabColor rgb="FF7030A0"/>
  </sheetPr>
  <dimension ref="A1:D122"/>
  <sheetViews>
    <sheetView showGridLines="0" workbookViewId="0">
      <selection activeCell="D1" sqref="D1:F1048576"/>
    </sheetView>
  </sheetViews>
  <sheetFormatPr defaultRowHeight="13.2"/>
  <cols>
    <col min="1" max="1" width="41" style="289" customWidth="1"/>
    <col min="2" max="2" width="26.109375" style="289" customWidth="1"/>
    <col min="3" max="3" width="25.109375" style="9373" customWidth="1"/>
    <col min="4" max="4" width="16.33203125" style="289" hidden="1" customWidth="1"/>
    <col min="5" max="6" width="0" style="289" hidden="1" customWidth="1"/>
    <col min="7" max="256" width="9.109375" style="289"/>
    <col min="257" max="257" width="34" style="289" customWidth="1"/>
    <col min="258" max="258" width="28.44140625" style="289" customWidth="1"/>
    <col min="259" max="259" width="25.109375" style="289" customWidth="1"/>
    <col min="260" max="512" width="9.109375" style="289"/>
    <col min="513" max="513" width="34" style="289" customWidth="1"/>
    <col min="514" max="514" width="28.44140625" style="289" customWidth="1"/>
    <col min="515" max="515" width="25.109375" style="289" customWidth="1"/>
    <col min="516" max="768" width="9.109375" style="289"/>
    <col min="769" max="769" width="34" style="289" customWidth="1"/>
    <col min="770" max="770" width="28.44140625" style="289" customWidth="1"/>
    <col min="771" max="771" width="25.109375" style="289" customWidth="1"/>
    <col min="772" max="1024" width="9.109375" style="289"/>
    <col min="1025" max="1025" width="34" style="289" customWidth="1"/>
    <col min="1026" max="1026" width="28.44140625" style="289" customWidth="1"/>
    <col min="1027" max="1027" width="25.109375" style="289" customWidth="1"/>
    <col min="1028" max="1280" width="9.109375" style="289"/>
    <col min="1281" max="1281" width="34" style="289" customWidth="1"/>
    <col min="1282" max="1282" width="28.44140625" style="289" customWidth="1"/>
    <col min="1283" max="1283" width="25.109375" style="289" customWidth="1"/>
    <col min="1284" max="1536" width="9.109375" style="289"/>
    <col min="1537" max="1537" width="34" style="289" customWidth="1"/>
    <col min="1538" max="1538" width="28.44140625" style="289" customWidth="1"/>
    <col min="1539" max="1539" width="25.109375" style="289" customWidth="1"/>
    <col min="1540" max="1792" width="9.109375" style="289"/>
    <col min="1793" max="1793" width="34" style="289" customWidth="1"/>
    <col min="1794" max="1794" width="28.44140625" style="289" customWidth="1"/>
    <col min="1795" max="1795" width="25.109375" style="289" customWidth="1"/>
    <col min="1796" max="2048" width="9.109375" style="289"/>
    <col min="2049" max="2049" width="34" style="289" customWidth="1"/>
    <col min="2050" max="2050" width="28.44140625" style="289" customWidth="1"/>
    <col min="2051" max="2051" width="25.109375" style="289" customWidth="1"/>
    <col min="2052" max="2304" width="9.109375" style="289"/>
    <col min="2305" max="2305" width="34" style="289" customWidth="1"/>
    <col min="2306" max="2306" width="28.44140625" style="289" customWidth="1"/>
    <col min="2307" max="2307" width="25.109375" style="289" customWidth="1"/>
    <col min="2308" max="2560" width="9.109375" style="289"/>
    <col min="2561" max="2561" width="34" style="289" customWidth="1"/>
    <col min="2562" max="2562" width="28.44140625" style="289" customWidth="1"/>
    <col min="2563" max="2563" width="25.109375" style="289" customWidth="1"/>
    <col min="2564" max="2816" width="9.109375" style="289"/>
    <col min="2817" max="2817" width="34" style="289" customWidth="1"/>
    <col min="2818" max="2818" width="28.44140625" style="289" customWidth="1"/>
    <col min="2819" max="2819" width="25.109375" style="289" customWidth="1"/>
    <col min="2820" max="3072" width="9.109375" style="289"/>
    <col min="3073" max="3073" width="34" style="289" customWidth="1"/>
    <col min="3074" max="3074" width="28.44140625" style="289" customWidth="1"/>
    <col min="3075" max="3075" width="25.109375" style="289" customWidth="1"/>
    <col min="3076" max="3328" width="9.109375" style="289"/>
    <col min="3329" max="3329" width="34" style="289" customWidth="1"/>
    <col min="3330" max="3330" width="28.44140625" style="289" customWidth="1"/>
    <col min="3331" max="3331" width="25.109375" style="289" customWidth="1"/>
    <col min="3332" max="3584" width="9.109375" style="289"/>
    <col min="3585" max="3585" width="34" style="289" customWidth="1"/>
    <col min="3586" max="3586" width="28.44140625" style="289" customWidth="1"/>
    <col min="3587" max="3587" width="25.109375" style="289" customWidth="1"/>
    <col min="3588" max="3840" width="9.109375" style="289"/>
    <col min="3841" max="3841" width="34" style="289" customWidth="1"/>
    <col min="3842" max="3842" width="28.44140625" style="289" customWidth="1"/>
    <col min="3843" max="3843" width="25.109375" style="289" customWidth="1"/>
    <col min="3844" max="4096" width="9.109375" style="289"/>
    <col min="4097" max="4097" width="34" style="289" customWidth="1"/>
    <col min="4098" max="4098" width="28.44140625" style="289" customWidth="1"/>
    <col min="4099" max="4099" width="25.109375" style="289" customWidth="1"/>
    <col min="4100" max="4352" width="9.109375" style="289"/>
    <col min="4353" max="4353" width="34" style="289" customWidth="1"/>
    <col min="4354" max="4354" width="28.44140625" style="289" customWidth="1"/>
    <col min="4355" max="4355" width="25.109375" style="289" customWidth="1"/>
    <col min="4356" max="4608" width="9.109375" style="289"/>
    <col min="4609" max="4609" width="34" style="289" customWidth="1"/>
    <col min="4610" max="4610" width="28.44140625" style="289" customWidth="1"/>
    <col min="4611" max="4611" width="25.109375" style="289" customWidth="1"/>
    <col min="4612" max="4864" width="9.109375" style="289"/>
    <col min="4865" max="4865" width="34" style="289" customWidth="1"/>
    <col min="4866" max="4866" width="28.44140625" style="289" customWidth="1"/>
    <col min="4867" max="4867" width="25.109375" style="289" customWidth="1"/>
    <col min="4868" max="5120" width="9.109375" style="289"/>
    <col min="5121" max="5121" width="34" style="289" customWidth="1"/>
    <col min="5122" max="5122" width="28.44140625" style="289" customWidth="1"/>
    <col min="5123" max="5123" width="25.109375" style="289" customWidth="1"/>
    <col min="5124" max="5376" width="9.109375" style="289"/>
    <col min="5377" max="5377" width="34" style="289" customWidth="1"/>
    <col min="5378" max="5378" width="28.44140625" style="289" customWidth="1"/>
    <col min="5379" max="5379" width="25.109375" style="289" customWidth="1"/>
    <col min="5380" max="5632" width="9.109375" style="289"/>
    <col min="5633" max="5633" width="34" style="289" customWidth="1"/>
    <col min="5634" max="5634" width="28.44140625" style="289" customWidth="1"/>
    <col min="5635" max="5635" width="25.109375" style="289" customWidth="1"/>
    <col min="5636" max="5888" width="9.109375" style="289"/>
    <col min="5889" max="5889" width="34" style="289" customWidth="1"/>
    <col min="5890" max="5890" width="28.44140625" style="289" customWidth="1"/>
    <col min="5891" max="5891" width="25.109375" style="289" customWidth="1"/>
    <col min="5892" max="6144" width="9.109375" style="289"/>
    <col min="6145" max="6145" width="34" style="289" customWidth="1"/>
    <col min="6146" max="6146" width="28.44140625" style="289" customWidth="1"/>
    <col min="6147" max="6147" width="25.109375" style="289" customWidth="1"/>
    <col min="6148" max="6400" width="9.109375" style="289"/>
    <col min="6401" max="6401" width="34" style="289" customWidth="1"/>
    <col min="6402" max="6402" width="28.44140625" style="289" customWidth="1"/>
    <col min="6403" max="6403" width="25.109375" style="289" customWidth="1"/>
    <col min="6404" max="6656" width="9.109375" style="289"/>
    <col min="6657" max="6657" width="34" style="289" customWidth="1"/>
    <col min="6658" max="6658" width="28.44140625" style="289" customWidth="1"/>
    <col min="6659" max="6659" width="25.109375" style="289" customWidth="1"/>
    <col min="6660" max="6912" width="9.109375" style="289"/>
    <col min="6913" max="6913" width="34" style="289" customWidth="1"/>
    <col min="6914" max="6914" width="28.44140625" style="289" customWidth="1"/>
    <col min="6915" max="6915" width="25.109375" style="289" customWidth="1"/>
    <col min="6916" max="7168" width="9.109375" style="289"/>
    <col min="7169" max="7169" width="34" style="289" customWidth="1"/>
    <col min="7170" max="7170" width="28.44140625" style="289" customWidth="1"/>
    <col min="7171" max="7171" width="25.109375" style="289" customWidth="1"/>
    <col min="7172" max="7424" width="9.109375" style="289"/>
    <col min="7425" max="7425" width="34" style="289" customWidth="1"/>
    <col min="7426" max="7426" width="28.44140625" style="289" customWidth="1"/>
    <col min="7427" max="7427" width="25.109375" style="289" customWidth="1"/>
    <col min="7428" max="7680" width="9.109375" style="289"/>
    <col min="7681" max="7681" width="34" style="289" customWidth="1"/>
    <col min="7682" max="7682" width="28.44140625" style="289" customWidth="1"/>
    <col min="7683" max="7683" width="25.109375" style="289" customWidth="1"/>
    <col min="7684" max="7936" width="9.109375" style="289"/>
    <col min="7937" max="7937" width="34" style="289" customWidth="1"/>
    <col min="7938" max="7938" width="28.44140625" style="289" customWidth="1"/>
    <col min="7939" max="7939" width="25.109375" style="289" customWidth="1"/>
    <col min="7940" max="8192" width="9.109375" style="289"/>
    <col min="8193" max="8193" width="34" style="289" customWidth="1"/>
    <col min="8194" max="8194" width="28.44140625" style="289" customWidth="1"/>
    <col min="8195" max="8195" width="25.109375" style="289" customWidth="1"/>
    <col min="8196" max="8448" width="9.109375" style="289"/>
    <col min="8449" max="8449" width="34" style="289" customWidth="1"/>
    <col min="8450" max="8450" width="28.44140625" style="289" customWidth="1"/>
    <col min="8451" max="8451" width="25.109375" style="289" customWidth="1"/>
    <col min="8452" max="8704" width="9.109375" style="289"/>
    <col min="8705" max="8705" width="34" style="289" customWidth="1"/>
    <col min="8706" max="8706" width="28.44140625" style="289" customWidth="1"/>
    <col min="8707" max="8707" width="25.109375" style="289" customWidth="1"/>
    <col min="8708" max="8960" width="9.109375" style="289"/>
    <col min="8961" max="8961" width="34" style="289" customWidth="1"/>
    <col min="8962" max="8962" width="28.44140625" style="289" customWidth="1"/>
    <col min="8963" max="8963" width="25.109375" style="289" customWidth="1"/>
    <col min="8964" max="9216" width="9.109375" style="289"/>
    <col min="9217" max="9217" width="34" style="289" customWidth="1"/>
    <col min="9218" max="9218" width="28.44140625" style="289" customWidth="1"/>
    <col min="9219" max="9219" width="25.109375" style="289" customWidth="1"/>
    <col min="9220" max="9472" width="9.109375" style="289"/>
    <col min="9473" max="9473" width="34" style="289" customWidth="1"/>
    <col min="9474" max="9474" width="28.44140625" style="289" customWidth="1"/>
    <col min="9475" max="9475" width="25.109375" style="289" customWidth="1"/>
    <col min="9476" max="9728" width="9.109375" style="289"/>
    <col min="9729" max="9729" width="34" style="289" customWidth="1"/>
    <col min="9730" max="9730" width="28.44140625" style="289" customWidth="1"/>
    <col min="9731" max="9731" width="25.109375" style="289" customWidth="1"/>
    <col min="9732" max="9984" width="9.109375" style="289"/>
    <col min="9985" max="9985" width="34" style="289" customWidth="1"/>
    <col min="9986" max="9986" width="28.44140625" style="289" customWidth="1"/>
    <col min="9987" max="9987" width="25.109375" style="289" customWidth="1"/>
    <col min="9988" max="10240" width="9.109375" style="289"/>
    <col min="10241" max="10241" width="34" style="289" customWidth="1"/>
    <col min="10242" max="10242" width="28.44140625" style="289" customWidth="1"/>
    <col min="10243" max="10243" width="25.109375" style="289" customWidth="1"/>
    <col min="10244" max="10496" width="9.109375" style="289"/>
    <col min="10497" max="10497" width="34" style="289" customWidth="1"/>
    <col min="10498" max="10498" width="28.44140625" style="289" customWidth="1"/>
    <col min="10499" max="10499" width="25.109375" style="289" customWidth="1"/>
    <col min="10500" max="10752" width="9.109375" style="289"/>
    <col min="10753" max="10753" width="34" style="289" customWidth="1"/>
    <col min="10754" max="10754" width="28.44140625" style="289" customWidth="1"/>
    <col min="10755" max="10755" width="25.109375" style="289" customWidth="1"/>
    <col min="10756" max="11008" width="9.109375" style="289"/>
    <col min="11009" max="11009" width="34" style="289" customWidth="1"/>
    <col min="11010" max="11010" width="28.44140625" style="289" customWidth="1"/>
    <col min="11011" max="11011" width="25.109375" style="289" customWidth="1"/>
    <col min="11012" max="11264" width="9.109375" style="289"/>
    <col min="11265" max="11265" width="34" style="289" customWidth="1"/>
    <col min="11266" max="11266" width="28.44140625" style="289" customWidth="1"/>
    <col min="11267" max="11267" width="25.109375" style="289" customWidth="1"/>
    <col min="11268" max="11520" width="9.109375" style="289"/>
    <col min="11521" max="11521" width="34" style="289" customWidth="1"/>
    <col min="11522" max="11522" width="28.44140625" style="289" customWidth="1"/>
    <col min="11523" max="11523" width="25.109375" style="289" customWidth="1"/>
    <col min="11524" max="11776" width="9.109375" style="289"/>
    <col min="11777" max="11777" width="34" style="289" customWidth="1"/>
    <col min="11778" max="11778" width="28.44140625" style="289" customWidth="1"/>
    <col min="11779" max="11779" width="25.109375" style="289" customWidth="1"/>
    <col min="11780" max="12032" width="9.109375" style="289"/>
    <col min="12033" max="12033" width="34" style="289" customWidth="1"/>
    <col min="12034" max="12034" width="28.44140625" style="289" customWidth="1"/>
    <col min="12035" max="12035" width="25.109375" style="289" customWidth="1"/>
    <col min="12036" max="12288" width="9.109375" style="289"/>
    <col min="12289" max="12289" width="34" style="289" customWidth="1"/>
    <col min="12290" max="12290" width="28.44140625" style="289" customWidth="1"/>
    <col min="12291" max="12291" width="25.109375" style="289" customWidth="1"/>
    <col min="12292" max="12544" width="9.109375" style="289"/>
    <col min="12545" max="12545" width="34" style="289" customWidth="1"/>
    <col min="12546" max="12546" width="28.44140625" style="289" customWidth="1"/>
    <col min="12547" max="12547" width="25.109375" style="289" customWidth="1"/>
    <col min="12548" max="12800" width="9.109375" style="289"/>
    <col min="12801" max="12801" width="34" style="289" customWidth="1"/>
    <col min="12802" max="12802" width="28.44140625" style="289" customWidth="1"/>
    <col min="12803" max="12803" width="25.109375" style="289" customWidth="1"/>
    <col min="12804" max="13056" width="9.109375" style="289"/>
    <col min="13057" max="13057" width="34" style="289" customWidth="1"/>
    <col min="13058" max="13058" width="28.44140625" style="289" customWidth="1"/>
    <col min="13059" max="13059" width="25.109375" style="289" customWidth="1"/>
    <col min="13060" max="13312" width="9.109375" style="289"/>
    <col min="13313" max="13313" width="34" style="289" customWidth="1"/>
    <col min="13314" max="13314" width="28.44140625" style="289" customWidth="1"/>
    <col min="13315" max="13315" width="25.109375" style="289" customWidth="1"/>
    <col min="13316" max="13568" width="9.109375" style="289"/>
    <col min="13569" max="13569" width="34" style="289" customWidth="1"/>
    <col min="13570" max="13570" width="28.44140625" style="289" customWidth="1"/>
    <col min="13571" max="13571" width="25.109375" style="289" customWidth="1"/>
    <col min="13572" max="13824" width="9.109375" style="289"/>
    <col min="13825" max="13825" width="34" style="289" customWidth="1"/>
    <col min="13826" max="13826" width="28.44140625" style="289" customWidth="1"/>
    <col min="13827" max="13827" width="25.109375" style="289" customWidth="1"/>
    <col min="13828" max="14080" width="9.109375" style="289"/>
    <col min="14081" max="14081" width="34" style="289" customWidth="1"/>
    <col min="14082" max="14082" width="28.44140625" style="289" customWidth="1"/>
    <col min="14083" max="14083" width="25.109375" style="289" customWidth="1"/>
    <col min="14084" max="14336" width="9.109375" style="289"/>
    <col min="14337" max="14337" width="34" style="289" customWidth="1"/>
    <col min="14338" max="14338" width="28.44140625" style="289" customWidth="1"/>
    <col min="14339" max="14339" width="25.109375" style="289" customWidth="1"/>
    <col min="14340" max="14592" width="9.109375" style="289"/>
    <col min="14593" max="14593" width="34" style="289" customWidth="1"/>
    <col min="14594" max="14594" width="28.44140625" style="289" customWidth="1"/>
    <col min="14595" max="14595" width="25.109375" style="289" customWidth="1"/>
    <col min="14596" max="14848" width="9.109375" style="289"/>
    <col min="14849" max="14849" width="34" style="289" customWidth="1"/>
    <col min="14850" max="14850" width="28.44140625" style="289" customWidth="1"/>
    <col min="14851" max="14851" width="25.109375" style="289" customWidth="1"/>
    <col min="14852" max="15104" width="9.109375" style="289"/>
    <col min="15105" max="15105" width="34" style="289" customWidth="1"/>
    <col min="15106" max="15106" width="28.44140625" style="289" customWidth="1"/>
    <col min="15107" max="15107" width="25.109375" style="289" customWidth="1"/>
    <col min="15108" max="15360" width="9.109375" style="289"/>
    <col min="15361" max="15361" width="34" style="289" customWidth="1"/>
    <col min="15362" max="15362" width="28.44140625" style="289" customWidth="1"/>
    <col min="15363" max="15363" width="25.109375" style="289" customWidth="1"/>
    <col min="15364" max="15616" width="9.109375" style="289"/>
    <col min="15617" max="15617" width="34" style="289" customWidth="1"/>
    <col min="15618" max="15618" width="28.44140625" style="289" customWidth="1"/>
    <col min="15619" max="15619" width="25.109375" style="289" customWidth="1"/>
    <col min="15620" max="15872" width="9.109375" style="289"/>
    <col min="15873" max="15873" width="34" style="289" customWidth="1"/>
    <col min="15874" max="15874" width="28.44140625" style="289" customWidth="1"/>
    <col min="15875" max="15875" width="25.109375" style="289" customWidth="1"/>
    <col min="15876" max="16128" width="9.109375" style="289"/>
    <col min="16129" max="16129" width="34" style="289" customWidth="1"/>
    <col min="16130" max="16130" width="28.44140625" style="289" customWidth="1"/>
    <col min="16131" max="16131" width="25.109375" style="289" customWidth="1"/>
    <col min="16132" max="16384" width="9.109375" style="289"/>
  </cols>
  <sheetData>
    <row r="1" spans="1:4" ht="15.6">
      <c r="A1" s="288" t="s">
        <v>1655</v>
      </c>
    </row>
    <row r="2" spans="1:4" ht="13.8">
      <c r="A2" s="14037" t="s">
        <v>11698</v>
      </c>
      <c r="B2" s="14037"/>
      <c r="C2" s="14037"/>
    </row>
    <row r="4" spans="1:4" ht="13.8" thickBot="1"/>
    <row r="5" spans="1:4">
      <c r="A5" s="290" t="s">
        <v>9</v>
      </c>
      <c r="B5" s="302" t="s">
        <v>9</v>
      </c>
      <c r="C5" s="9374" t="s">
        <v>9</v>
      </c>
    </row>
    <row r="6" spans="1:4" ht="13.8" thickBot="1">
      <c r="A6" s="292" t="s">
        <v>460</v>
      </c>
      <c r="B6" s="303" t="s">
        <v>532</v>
      </c>
      <c r="C6" s="9375" t="s">
        <v>458</v>
      </c>
    </row>
    <row r="7" spans="1:4">
      <c r="A7" s="294"/>
      <c r="B7" s="304" t="s">
        <v>1625</v>
      </c>
      <c r="C7" s="9376"/>
    </row>
    <row r="8" spans="1:4">
      <c r="A8" s="295" t="s">
        <v>1656</v>
      </c>
      <c r="B8" s="305"/>
      <c r="C8" s="9376"/>
    </row>
    <row r="9" spans="1:4">
      <c r="A9" s="294" t="s">
        <v>11007</v>
      </c>
      <c r="B9" s="305"/>
      <c r="C9" s="9377">
        <f>'2019 MOOE'!B56</f>
        <v>22448495</v>
      </c>
    </row>
    <row r="10" spans="1:4" ht="13.8" thickBot="1">
      <c r="A10" s="297" t="s">
        <v>11008</v>
      </c>
      <c r="B10" s="306"/>
      <c r="C10" s="9378"/>
    </row>
    <row r="11" spans="1:4" ht="16.5" customHeight="1" thickBot="1">
      <c r="A11" s="299" t="s">
        <v>1631</v>
      </c>
      <c r="B11" s="307"/>
      <c r="C11" s="9379">
        <f>SUM(C9:C10)</f>
        <v>22448495</v>
      </c>
      <c r="D11" s="8217">
        <f>C11</f>
        <v>22448495</v>
      </c>
    </row>
    <row r="12" spans="1:4">
      <c r="A12" s="294"/>
      <c r="B12" s="305"/>
      <c r="C12" s="9376"/>
    </row>
    <row r="13" spans="1:4">
      <c r="A13" s="295" t="s">
        <v>1657</v>
      </c>
      <c r="B13" s="305"/>
      <c r="C13" s="9376"/>
    </row>
    <row r="14" spans="1:4">
      <c r="A14" s="294" t="s">
        <v>11009</v>
      </c>
      <c r="B14" s="305"/>
      <c r="C14" s="9377">
        <f>'2019 MOOE'!C56</f>
        <v>17322087</v>
      </c>
    </row>
    <row r="15" spans="1:4" ht="13.8" thickBot="1">
      <c r="A15" s="294" t="s">
        <v>11010</v>
      </c>
      <c r="B15" s="305"/>
      <c r="C15" s="9378"/>
    </row>
    <row r="16" spans="1:4" ht="17.25" customHeight="1" thickBot="1">
      <c r="A16" s="299" t="s">
        <v>1631</v>
      </c>
      <c r="B16" s="307"/>
      <c r="C16" s="9379">
        <f>SUM(C14:C15)</f>
        <v>17322087</v>
      </c>
      <c r="D16" s="8217">
        <f>C16</f>
        <v>17322087</v>
      </c>
    </row>
    <row r="17" spans="1:4">
      <c r="A17" s="294"/>
      <c r="B17" s="305"/>
      <c r="C17" s="9376"/>
    </row>
    <row r="18" spans="1:4">
      <c r="A18" s="295" t="s">
        <v>1658</v>
      </c>
      <c r="B18" s="305"/>
      <c r="C18" s="9377"/>
    </row>
    <row r="19" spans="1:4">
      <c r="A19" s="294" t="s">
        <v>11011</v>
      </c>
      <c r="B19" s="305"/>
      <c r="C19" s="9377">
        <f>'2019 MOOE'!M56</f>
        <v>3730588</v>
      </c>
    </row>
    <row r="20" spans="1:4">
      <c r="A20" s="294" t="s">
        <v>11012</v>
      </c>
      <c r="B20" s="305"/>
      <c r="C20" s="9377">
        <f>'2019 MOOE'!N56</f>
        <v>24903530</v>
      </c>
    </row>
    <row r="21" spans="1:4" ht="13.8" thickBot="1">
      <c r="A21" s="294" t="s">
        <v>11013</v>
      </c>
      <c r="B21" s="306"/>
      <c r="C21" s="9378">
        <f>'2019 MOOE'!O56</f>
        <v>905000</v>
      </c>
    </row>
    <row r="22" spans="1:4" ht="17.25" customHeight="1" thickBot="1">
      <c r="A22" s="299" t="s">
        <v>1631</v>
      </c>
      <c r="B22" s="308"/>
      <c r="C22" s="9379">
        <f>SUM(C19:C21)</f>
        <v>29539118</v>
      </c>
      <c r="D22" s="8217">
        <f>C22</f>
        <v>29539118</v>
      </c>
    </row>
    <row r="23" spans="1:4" ht="17.25" customHeight="1">
      <c r="A23" s="294"/>
      <c r="B23" s="308"/>
      <c r="C23" s="9376"/>
    </row>
    <row r="24" spans="1:4">
      <c r="A24" s="295" t="s">
        <v>1659</v>
      </c>
      <c r="B24" s="305"/>
      <c r="C24" s="9377"/>
    </row>
    <row r="25" spans="1:4">
      <c r="A25" s="294" t="s">
        <v>11014</v>
      </c>
      <c r="B25" s="305"/>
      <c r="C25" s="9377">
        <f>'2019 MOOE'!D56</f>
        <v>27247803</v>
      </c>
    </row>
    <row r="26" spans="1:4">
      <c r="A26" s="294" t="s">
        <v>11015</v>
      </c>
      <c r="B26" s="305"/>
      <c r="C26" s="9377">
        <f>'2019 MOOE'!E56</f>
        <v>8736875</v>
      </c>
    </row>
    <row r="27" spans="1:4">
      <c r="A27" s="294" t="s">
        <v>11016</v>
      </c>
      <c r="B27" s="305"/>
      <c r="C27" s="9377">
        <f>'2019 MOOE'!F56</f>
        <v>600000</v>
      </c>
    </row>
    <row r="28" spans="1:4">
      <c r="A28" s="294" t="s">
        <v>11017</v>
      </c>
      <c r="B28" s="305"/>
      <c r="C28" s="9377">
        <f>'2019 MOOE'!G56</f>
        <v>28070000</v>
      </c>
    </row>
    <row r="29" spans="1:4">
      <c r="A29" s="294" t="s">
        <v>11018</v>
      </c>
      <c r="B29" s="305"/>
      <c r="C29" s="9377">
        <f>'2019 MOOE'!H56</f>
        <v>67855000</v>
      </c>
    </row>
    <row r="30" spans="1:4">
      <c r="A30" s="294" t="s">
        <v>11019</v>
      </c>
      <c r="B30" s="305"/>
      <c r="C30" s="9377">
        <f>'2019 MOOE'!I56</f>
        <v>68884158</v>
      </c>
    </row>
    <row r="31" spans="1:4">
      <c r="A31" s="294" t="s">
        <v>11020</v>
      </c>
      <c r="B31" s="305"/>
      <c r="C31" s="9377">
        <f>'2019 MOOE'!J56</f>
        <v>48300500</v>
      </c>
    </row>
    <row r="32" spans="1:4">
      <c r="A32" s="294" t="s">
        <v>11021</v>
      </c>
      <c r="B32" s="305"/>
      <c r="C32" s="9377">
        <f>'2019 MOOE'!L56</f>
        <v>200000</v>
      </c>
    </row>
    <row r="33" spans="1:4">
      <c r="A33" s="294" t="s">
        <v>11022</v>
      </c>
      <c r="B33" s="305"/>
      <c r="C33" s="9377">
        <f>'2019 MOOE'!K56</f>
        <v>640000</v>
      </c>
    </row>
    <row r="34" spans="1:4" ht="13.8" thickBot="1">
      <c r="A34" s="294" t="s">
        <v>11023</v>
      </c>
      <c r="B34" s="306"/>
      <c r="C34" s="9378">
        <f>'2019 MOOE'!BB56</f>
        <v>0</v>
      </c>
    </row>
    <row r="35" spans="1:4" ht="16.5" customHeight="1" thickBot="1">
      <c r="A35" s="299" t="s">
        <v>1631</v>
      </c>
      <c r="B35" s="307"/>
      <c r="C35" s="9379">
        <f>SUM(C25:C34)</f>
        <v>250534336</v>
      </c>
      <c r="D35" s="8217">
        <f>C35</f>
        <v>250534336</v>
      </c>
    </row>
    <row r="36" spans="1:4" ht="9.75" customHeight="1">
      <c r="A36" s="301"/>
      <c r="B36" s="308"/>
      <c r="C36" s="9380"/>
    </row>
    <row r="37" spans="1:4" ht="9.75" customHeight="1">
      <c r="A37" s="294"/>
      <c r="B37" s="305"/>
      <c r="C37" s="9376"/>
    </row>
    <row r="38" spans="1:4">
      <c r="A38" s="295" t="s">
        <v>1660</v>
      </c>
      <c r="B38" s="305"/>
      <c r="C38" s="9376"/>
    </row>
    <row r="39" spans="1:4">
      <c r="A39" s="294" t="s">
        <v>11024</v>
      </c>
      <c r="B39" s="305"/>
      <c r="C39" s="9377">
        <f>'2019 MOOE'!P56</f>
        <v>423300</v>
      </c>
    </row>
    <row r="40" spans="1:4">
      <c r="A40" s="294" t="s">
        <v>11025</v>
      </c>
      <c r="B40" s="305"/>
      <c r="C40" s="9377">
        <f>'2019 MOOE'!Q56</f>
        <v>7509571</v>
      </c>
    </row>
    <row r="41" spans="1:4">
      <c r="A41" s="294" t="s">
        <v>11026</v>
      </c>
      <c r="B41" s="305"/>
      <c r="C41" s="9377">
        <f>'2019 MOOE'!R56</f>
        <v>0</v>
      </c>
    </row>
    <row r="42" spans="1:4">
      <c r="A42" s="294" t="s">
        <v>11027</v>
      </c>
      <c r="B42" s="305"/>
      <c r="C42" s="9377">
        <f>'2019 MOOE'!T56</f>
        <v>3644716</v>
      </c>
    </row>
    <row r="43" spans="1:4" ht="13.8" thickBot="1">
      <c r="A43" s="294" t="s">
        <v>11028</v>
      </c>
      <c r="B43" s="306"/>
      <c r="C43" s="9378">
        <f>'2019 MOOE'!U56</f>
        <v>1382504</v>
      </c>
    </row>
    <row r="44" spans="1:4" ht="17.25" customHeight="1" thickBot="1">
      <c r="A44" s="299" t="s">
        <v>1631</v>
      </c>
      <c r="B44" s="307"/>
      <c r="C44" s="9379">
        <f>SUM(C39:C43)</f>
        <v>12960091</v>
      </c>
      <c r="D44" s="8217">
        <f>C44</f>
        <v>12960091</v>
      </c>
    </row>
    <row r="45" spans="1:4">
      <c r="A45" s="294"/>
      <c r="B45" s="305"/>
      <c r="C45" s="9376"/>
    </row>
    <row r="46" spans="1:4">
      <c r="A46" s="295" t="s">
        <v>1661</v>
      </c>
      <c r="B46" s="305"/>
      <c r="C46" s="9376"/>
    </row>
    <row r="47" spans="1:4">
      <c r="A47" s="294" t="s">
        <v>11029</v>
      </c>
      <c r="B47" s="305"/>
      <c r="C47" s="9377">
        <f>'2019 MOOE'!AD56+'2019 MOOE'!AE56+'2019 MOOE'!AF56</f>
        <v>218311640</v>
      </c>
    </row>
    <row r="48" spans="1:4">
      <c r="A48" s="294" t="s">
        <v>11030</v>
      </c>
      <c r="B48" s="305"/>
      <c r="C48" s="9377">
        <f>'2019 MOOE'!AG56</f>
        <v>9571630</v>
      </c>
    </row>
    <row r="49" spans="1:4">
      <c r="A49" s="294" t="s">
        <v>11031</v>
      </c>
      <c r="B49" s="305"/>
      <c r="C49" s="9377">
        <f>'2019 MOOE'!AH56</f>
        <v>19707422</v>
      </c>
    </row>
    <row r="50" spans="1:4" ht="13.8" thickBot="1">
      <c r="A50" s="9371"/>
      <c r="B50" s="9372"/>
      <c r="C50" s="9381"/>
    </row>
    <row r="51" spans="1:4" ht="13.8" thickBot="1">
      <c r="A51" s="299" t="s">
        <v>1631</v>
      </c>
      <c r="B51" s="307"/>
      <c r="C51" s="9382">
        <f>SUM(C47:C49)</f>
        <v>247590692</v>
      </c>
      <c r="D51" s="8217">
        <f>C51</f>
        <v>247590692</v>
      </c>
    </row>
    <row r="52" spans="1:4">
      <c r="A52" s="294"/>
      <c r="B52" s="305"/>
      <c r="C52" s="9380"/>
    </row>
    <row r="53" spans="1:4">
      <c r="A53" s="295" t="s">
        <v>1662</v>
      </c>
      <c r="B53" s="305"/>
      <c r="C53" s="9376"/>
    </row>
    <row r="54" spans="1:4">
      <c r="A54" s="294" t="s">
        <v>11032</v>
      </c>
      <c r="B54" s="305"/>
      <c r="C54" s="9377">
        <f>'2019 MOOE'!AI56</f>
        <v>2988000</v>
      </c>
    </row>
    <row r="55" spans="1:4">
      <c r="A55" s="294" t="s">
        <v>11033</v>
      </c>
      <c r="B55" s="305"/>
      <c r="C55" s="9377">
        <f>'2019 MOOE'!AJ56</f>
        <v>1370000</v>
      </c>
    </row>
    <row r="56" spans="1:4">
      <c r="A56" s="294" t="s">
        <v>11034</v>
      </c>
      <c r="B56" s="305"/>
      <c r="C56" s="9377">
        <f>'2019 MOOE'!AK56</f>
        <v>53000</v>
      </c>
    </row>
    <row r="57" spans="1:4">
      <c r="A57" s="294" t="s">
        <v>12235</v>
      </c>
      <c r="B57" s="305"/>
      <c r="C57" s="9377">
        <f>'2019 MOOE'!AL56</f>
        <v>3000</v>
      </c>
    </row>
    <row r="58" spans="1:4">
      <c r="A58" s="294" t="s">
        <v>11035</v>
      </c>
      <c r="B58" s="305"/>
      <c r="C58" s="9377">
        <f>'2019 MOOE'!AM56</f>
        <v>0</v>
      </c>
    </row>
    <row r="59" spans="1:4">
      <c r="A59" s="294" t="s">
        <v>11036</v>
      </c>
      <c r="B59" s="305"/>
      <c r="C59" s="9377">
        <f>'2019 MOOE'!AN56</f>
        <v>170000</v>
      </c>
    </row>
    <row r="60" spans="1:4">
      <c r="A60" s="294" t="s">
        <v>11037</v>
      </c>
      <c r="B60" s="305"/>
      <c r="C60" s="9377">
        <f>'2019 MOOE'!AO56</f>
        <v>19017400</v>
      </c>
    </row>
    <row r="61" spans="1:4">
      <c r="A61" s="294" t="s">
        <v>11038</v>
      </c>
      <c r="B61" s="305"/>
      <c r="C61" s="9377">
        <f>'2019 MOOE'!AP56</f>
        <v>18221500</v>
      </c>
    </row>
    <row r="62" spans="1:4" ht="10.5" customHeight="1">
      <c r="A62" s="294" t="s">
        <v>11039</v>
      </c>
      <c r="B62" s="305"/>
      <c r="C62" s="9377">
        <f>'2019 MOOE'!AQ56</f>
        <v>33000</v>
      </c>
    </row>
    <row r="63" spans="1:4" ht="10.5" customHeight="1">
      <c r="A63" s="7158" t="s">
        <v>11200</v>
      </c>
      <c r="B63" s="7160"/>
      <c r="C63" s="9383">
        <f>'2019 MOOE'!AR56</f>
        <v>22000000</v>
      </c>
    </row>
    <row r="64" spans="1:4" ht="10.5" customHeight="1">
      <c r="A64" s="7158" t="s">
        <v>10647</v>
      </c>
      <c r="B64" s="7160"/>
      <c r="C64" s="9383">
        <f>'2019 MOOE'!BF56</f>
        <v>50000</v>
      </c>
    </row>
    <row r="65" spans="1:4" s="7161" customFormat="1" ht="13.8" thickBot="1">
      <c r="A65" s="7158"/>
      <c r="B65" s="7159"/>
      <c r="C65" s="9384"/>
    </row>
    <row r="66" spans="1:4" ht="13.8" thickBot="1">
      <c r="A66" s="299" t="s">
        <v>1631</v>
      </c>
      <c r="B66" s="307"/>
      <c r="C66" s="9385">
        <f>SUM(C54:C65)</f>
        <v>63905900</v>
      </c>
      <c r="D66" s="8217">
        <f>C66</f>
        <v>63905900</v>
      </c>
    </row>
    <row r="70" spans="1:4" ht="13.8" thickBot="1">
      <c r="A70" s="289" t="s">
        <v>9181</v>
      </c>
    </row>
    <row r="71" spans="1:4">
      <c r="A71" s="290" t="s">
        <v>9</v>
      </c>
      <c r="B71" s="291" t="s">
        <v>9</v>
      </c>
      <c r="C71" s="9386" t="s">
        <v>9</v>
      </c>
    </row>
    <row r="72" spans="1:4" ht="13.8" thickBot="1">
      <c r="A72" s="292" t="s">
        <v>460</v>
      </c>
      <c r="B72" s="293" t="s">
        <v>532</v>
      </c>
      <c r="C72" s="9387" t="s">
        <v>458</v>
      </c>
    </row>
    <row r="73" spans="1:4">
      <c r="A73" s="294"/>
      <c r="B73" s="296"/>
      <c r="C73" s="9388"/>
    </row>
    <row r="74" spans="1:4">
      <c r="A74" s="295" t="s">
        <v>1663</v>
      </c>
      <c r="B74" s="296"/>
      <c r="C74" s="9388"/>
    </row>
    <row r="75" spans="1:4">
      <c r="A75" s="294" t="s">
        <v>11040</v>
      </c>
      <c r="B75" s="296"/>
      <c r="C75" s="9389"/>
    </row>
    <row r="76" spans="1:4">
      <c r="A76" s="294" t="s">
        <v>11041</v>
      </c>
      <c r="B76" s="296"/>
      <c r="C76" s="9389"/>
    </row>
    <row r="77" spans="1:4">
      <c r="A77" s="294" t="s">
        <v>11042</v>
      </c>
      <c r="B77" s="296"/>
      <c r="C77" s="9389"/>
    </row>
    <row r="78" spans="1:4" ht="13.8" thickBot="1">
      <c r="A78" s="294" t="s">
        <v>11043</v>
      </c>
      <c r="B78" s="298"/>
      <c r="C78" s="9390">
        <f>'2019 MOOE'!AS56</f>
        <v>47650000</v>
      </c>
    </row>
    <row r="79" spans="1:4" ht="13.8" thickBot="1">
      <c r="A79" s="299" t="s">
        <v>1631</v>
      </c>
      <c r="B79" s="300"/>
      <c r="C79" s="9391">
        <f>SUM(C75:C78)</f>
        <v>47650000</v>
      </c>
      <c r="D79" s="8217">
        <f>C79</f>
        <v>47650000</v>
      </c>
    </row>
    <row r="80" spans="1:4">
      <c r="A80" s="294"/>
      <c r="B80" s="296"/>
      <c r="C80" s="9388"/>
    </row>
    <row r="81" spans="1:4">
      <c r="A81" s="294"/>
      <c r="B81" s="296"/>
      <c r="C81" s="9388"/>
    </row>
    <row r="82" spans="1:4">
      <c r="A82" s="295" t="s">
        <v>9483</v>
      </c>
      <c r="B82" s="296"/>
      <c r="C82" s="9388"/>
    </row>
    <row r="83" spans="1:4">
      <c r="A83" s="295"/>
      <c r="B83" s="296"/>
      <c r="C83" s="9388"/>
    </row>
    <row r="84" spans="1:4">
      <c r="A84" s="294" t="s">
        <v>11044</v>
      </c>
      <c r="B84" s="296"/>
      <c r="C84" s="9392">
        <f>'2019 MOOE'!AT56</f>
        <v>14000000</v>
      </c>
    </row>
    <row r="85" spans="1:4">
      <c r="A85" s="294" t="s">
        <v>11056</v>
      </c>
      <c r="B85" s="296"/>
      <c r="C85" s="9389">
        <f>'2019 MOOE'!AU56</f>
        <v>0</v>
      </c>
    </row>
    <row r="86" spans="1:4" ht="13.8" thickBot="1">
      <c r="A86" s="294" t="s">
        <v>11057</v>
      </c>
      <c r="B86" s="296"/>
      <c r="C86" s="9390">
        <f>'2019 MOOE'!AB56</f>
        <v>623000</v>
      </c>
    </row>
    <row r="87" spans="1:4" ht="13.8" thickBot="1">
      <c r="A87" s="299" t="s">
        <v>1631</v>
      </c>
      <c r="B87" s="300"/>
      <c r="C87" s="9391">
        <f>SUM(C84:C86)</f>
        <v>14623000</v>
      </c>
      <c r="D87" s="8217">
        <f>C87</f>
        <v>14623000</v>
      </c>
    </row>
    <row r="88" spans="1:4">
      <c r="A88" s="294"/>
      <c r="B88" s="296"/>
      <c r="C88" s="9393"/>
    </row>
    <row r="89" spans="1:4">
      <c r="A89" s="294"/>
      <c r="B89" s="296"/>
      <c r="C89" s="9393"/>
    </row>
    <row r="90" spans="1:4">
      <c r="A90" s="295" t="s">
        <v>1664</v>
      </c>
      <c r="B90" s="296"/>
      <c r="C90" s="9388"/>
    </row>
    <row r="91" spans="1:4">
      <c r="A91" s="295" t="s">
        <v>1665</v>
      </c>
      <c r="B91" s="296"/>
      <c r="C91" s="9388"/>
    </row>
    <row r="92" spans="1:4">
      <c r="A92" s="294" t="s">
        <v>11045</v>
      </c>
      <c r="B92" s="296"/>
      <c r="C92" s="9389">
        <f>'2019 MOOE'!AV56</f>
        <v>339000</v>
      </c>
    </row>
    <row r="93" spans="1:4">
      <c r="A93" s="294" t="s">
        <v>11046</v>
      </c>
      <c r="B93" s="296"/>
      <c r="C93" s="9389">
        <f>'2019 MOOE'!AW56</f>
        <v>733750</v>
      </c>
    </row>
    <row r="94" spans="1:4">
      <c r="A94" s="294" t="s">
        <v>11047</v>
      </c>
      <c r="B94" s="296"/>
      <c r="C94" s="9389">
        <f>'2019 MOOE'!AX56</f>
        <v>2825000</v>
      </c>
    </row>
    <row r="95" spans="1:4">
      <c r="A95" s="294" t="s">
        <v>11048</v>
      </c>
      <c r="B95" s="296"/>
      <c r="C95" s="9389"/>
    </row>
    <row r="96" spans="1:4" ht="13.8" thickBot="1">
      <c r="A96" s="294" t="s">
        <v>1666</v>
      </c>
      <c r="B96" s="296"/>
      <c r="C96" s="9389"/>
    </row>
    <row r="97" spans="1:4" ht="13.8" thickBot="1">
      <c r="A97" s="299" t="s">
        <v>1631</v>
      </c>
      <c r="B97" s="300"/>
      <c r="C97" s="9391">
        <f>SUM(C92:C96)</f>
        <v>3897750</v>
      </c>
      <c r="D97" s="8217">
        <f>C97</f>
        <v>3897750</v>
      </c>
    </row>
    <row r="98" spans="1:4">
      <c r="A98" s="294"/>
      <c r="B98" s="296"/>
      <c r="C98" s="9388"/>
    </row>
    <row r="99" spans="1:4">
      <c r="A99" s="294"/>
      <c r="B99" s="296"/>
      <c r="C99" s="9388"/>
    </row>
    <row r="100" spans="1:4">
      <c r="A100" s="295" t="s">
        <v>1667</v>
      </c>
      <c r="B100" s="296"/>
      <c r="C100" s="9388"/>
    </row>
    <row r="101" spans="1:4">
      <c r="A101" s="295" t="s">
        <v>1668</v>
      </c>
      <c r="B101" s="296"/>
      <c r="C101" s="9388"/>
    </row>
    <row r="102" spans="1:4">
      <c r="A102" s="294" t="s">
        <v>11049</v>
      </c>
      <c r="B102" s="296"/>
      <c r="C102" s="9389">
        <f>'2019 MOOE'!Y56</f>
        <v>84000</v>
      </c>
    </row>
    <row r="103" spans="1:4">
      <c r="A103" s="294" t="s">
        <v>11050</v>
      </c>
      <c r="B103" s="296"/>
      <c r="C103" s="9389">
        <f>'2019 MOOE'!W56</f>
        <v>615000</v>
      </c>
    </row>
    <row r="104" spans="1:4">
      <c r="A104" s="294" t="s">
        <v>11051</v>
      </c>
      <c r="B104" s="296"/>
      <c r="C104" s="9389">
        <f>'2019 MOOE'!X56</f>
        <v>1100000</v>
      </c>
    </row>
    <row r="105" spans="1:4">
      <c r="A105" s="294" t="s">
        <v>11052</v>
      </c>
      <c r="B105" s="296"/>
      <c r="C105" s="9389">
        <f>'2019 MOOE'!BA56</f>
        <v>25000</v>
      </c>
    </row>
    <row r="106" spans="1:4">
      <c r="A106" s="294" t="s">
        <v>11053</v>
      </c>
      <c r="B106" s="296"/>
      <c r="C106" s="9389">
        <f>'2019 MOOE'!Z56</f>
        <v>12881800</v>
      </c>
    </row>
    <row r="107" spans="1:4">
      <c r="A107" s="294" t="s">
        <v>11054</v>
      </c>
      <c r="B107" s="296"/>
      <c r="C107" s="9389">
        <f>'2019 MOOE'!AA56</f>
        <v>408660</v>
      </c>
    </row>
    <row r="108" spans="1:4">
      <c r="A108" s="294" t="s">
        <v>11055</v>
      </c>
      <c r="B108" s="296"/>
      <c r="C108" s="9389">
        <f>'2019 MOOE'!AY56+'2019 MOOE'!BD56+'2019 MOOE'!BE56</f>
        <v>27391385</v>
      </c>
    </row>
    <row r="109" spans="1:4">
      <c r="A109" s="10439" t="s">
        <v>11697</v>
      </c>
      <c r="B109" s="10440"/>
      <c r="C109" s="10441">
        <f>'2019 MOOE'!S56</f>
        <v>800000</v>
      </c>
    </row>
    <row r="110" spans="1:4" ht="13.8" thickBot="1">
      <c r="A110" s="9370" t="s">
        <v>11199</v>
      </c>
      <c r="B110" s="306"/>
      <c r="C110" s="9378">
        <f>'2019 MOOE'!V56</f>
        <v>1329000</v>
      </c>
    </row>
    <row r="111" spans="1:4" ht="13.8" thickBot="1">
      <c r="A111" s="299" t="s">
        <v>1631</v>
      </c>
      <c r="B111" s="300"/>
      <c r="C111" s="9391">
        <f>SUM(C102:C110)</f>
        <v>44634845</v>
      </c>
      <c r="D111" s="8217">
        <f>C111</f>
        <v>44634845</v>
      </c>
    </row>
    <row r="112" spans="1:4">
      <c r="A112" s="309"/>
      <c r="B112" s="310"/>
      <c r="C112" s="9394"/>
    </row>
    <row r="113" spans="1:3">
      <c r="A113" s="311" t="s">
        <v>1669</v>
      </c>
      <c r="B113" s="312"/>
      <c r="C113" s="9395">
        <f>SUM(C111,C97,C87,C79,C66,C51,C44,C35,C22,C16,C11)</f>
        <v>755106314</v>
      </c>
    </row>
    <row r="114" spans="1:3" ht="13.8" thickBot="1">
      <c r="A114" s="313"/>
      <c r="B114" s="314"/>
      <c r="C114" s="9396"/>
    </row>
    <row r="115" spans="1:3" ht="15.75" customHeight="1"/>
    <row r="116" spans="1:3" ht="15.75" hidden="1" customHeight="1">
      <c r="A116" s="2664" t="s">
        <v>9177</v>
      </c>
      <c r="B116" s="2668" t="s">
        <v>3485</v>
      </c>
      <c r="C116" s="9397"/>
    </row>
    <row r="117" spans="1:3" s="1389" customFormat="1" ht="15.75" hidden="1" customHeight="1">
      <c r="A117" s="2662"/>
      <c r="B117" s="2662"/>
      <c r="C117" s="9398"/>
    </row>
    <row r="118" spans="1:3" ht="15.75" hidden="1" customHeight="1">
      <c r="A118" s="2662"/>
      <c r="B118" s="2662"/>
      <c r="C118" s="9399"/>
    </row>
    <row r="119" spans="1:3" s="2663" customFormat="1" ht="15.75" hidden="1" customHeight="1">
      <c r="A119" s="5656" t="s">
        <v>10166</v>
      </c>
      <c r="B119" s="2662"/>
      <c r="C119" s="8218"/>
    </row>
    <row r="120" spans="1:3" s="2665" customFormat="1" ht="15.75" hidden="1" customHeight="1">
      <c r="A120" s="5657" t="s">
        <v>10447</v>
      </c>
      <c r="B120" s="2666"/>
      <c r="C120" s="8219"/>
    </row>
    <row r="121" spans="1:3" ht="15.75" customHeight="1">
      <c r="C121" s="9400"/>
    </row>
    <row r="122" spans="1:3" ht="15" customHeight="1"/>
  </sheetData>
  <mergeCells count="1">
    <mergeCell ref="A2:C2"/>
  </mergeCells>
  <printOptions horizontalCentered="1"/>
  <pageMargins left="0.5" right="0.25" top="0.5" bottom="1.5" header="0.5" footer="0.25"/>
  <pageSetup paperSize="5" orientation="portrait" verticalDpi="300" r:id="rId1"/>
  <headerFooter alignWithMargins="0"/>
</worksheet>
</file>

<file path=xl/worksheets/sheet120.xml><?xml version="1.0" encoding="utf-8"?>
<worksheet xmlns="http://schemas.openxmlformats.org/spreadsheetml/2006/main" xmlns:r="http://schemas.openxmlformats.org/officeDocument/2006/relationships">
  <sheetPr codeName="Sheet214">
    <tabColor rgb="FFFFFF00"/>
  </sheetPr>
  <dimension ref="A1:I73"/>
  <sheetViews>
    <sheetView showGridLines="0" topLeftCell="A38" workbookViewId="0">
      <selection activeCell="G38" sqref="G1:N1048576"/>
    </sheetView>
  </sheetViews>
  <sheetFormatPr defaultRowHeight="12.9" customHeight="1"/>
  <cols>
    <col min="1" max="1" width="40.5546875" style="7001" customWidth="1"/>
    <col min="2" max="2" width="8.5546875" style="7166" customWidth="1"/>
    <col min="3" max="3" width="8.5546875" style="7001" customWidth="1"/>
    <col min="4" max="4" width="27.109375" style="7001" hidden="1" customWidth="1"/>
    <col min="5" max="6" width="14.5546875" style="7001" customWidth="1"/>
    <col min="7" max="7" width="14.5546875" style="5807" customWidth="1"/>
    <col min="8" max="8" width="8.88671875" style="7001" customWidth="1"/>
    <col min="9" max="9" width="13.6640625" style="7001" customWidth="1"/>
    <col min="10" max="13" width="8.88671875" style="7001" customWidth="1"/>
    <col min="14" max="256" width="9.109375" style="7001"/>
    <col min="257" max="257" width="33.44140625" style="7001" customWidth="1"/>
    <col min="258" max="258" width="7.44140625" style="7001" customWidth="1"/>
    <col min="259" max="259" width="7" style="7001" customWidth="1"/>
    <col min="260" max="260" width="0" style="7001" hidden="1" customWidth="1"/>
    <col min="261" max="261" width="10.109375" style="7001" customWidth="1"/>
    <col min="262" max="262" width="14.44140625" style="7001" customWidth="1"/>
    <col min="263" max="263" width="17.109375" style="7001" customWidth="1"/>
    <col min="264" max="512" width="9.109375" style="7001"/>
    <col min="513" max="513" width="33.44140625" style="7001" customWidth="1"/>
    <col min="514" max="514" width="7.44140625" style="7001" customWidth="1"/>
    <col min="515" max="515" width="7" style="7001" customWidth="1"/>
    <col min="516" max="516" width="0" style="7001" hidden="1" customWidth="1"/>
    <col min="517" max="517" width="10.109375" style="7001" customWidth="1"/>
    <col min="518" max="518" width="14.44140625" style="7001" customWidth="1"/>
    <col min="519" max="519" width="17.109375" style="7001" customWidth="1"/>
    <col min="520" max="768" width="9.109375" style="7001"/>
    <col min="769" max="769" width="33.44140625" style="7001" customWidth="1"/>
    <col min="770" max="770" width="7.44140625" style="7001" customWidth="1"/>
    <col min="771" max="771" width="7" style="7001" customWidth="1"/>
    <col min="772" max="772" width="0" style="7001" hidden="1" customWidth="1"/>
    <col min="773" max="773" width="10.109375" style="7001" customWidth="1"/>
    <col min="774" max="774" width="14.44140625" style="7001" customWidth="1"/>
    <col min="775" max="775" width="17.109375" style="7001" customWidth="1"/>
    <col min="776" max="1024" width="9.109375" style="7001"/>
    <col min="1025" max="1025" width="33.44140625" style="7001" customWidth="1"/>
    <col min="1026" max="1026" width="7.44140625" style="7001" customWidth="1"/>
    <col min="1027" max="1027" width="7" style="7001" customWidth="1"/>
    <col min="1028" max="1028" width="0" style="7001" hidden="1" customWidth="1"/>
    <col min="1029" max="1029" width="10.109375" style="7001" customWidth="1"/>
    <col min="1030" max="1030" width="14.44140625" style="7001" customWidth="1"/>
    <col min="1031" max="1031" width="17.109375" style="7001" customWidth="1"/>
    <col min="1032" max="1280" width="9.109375" style="7001"/>
    <col min="1281" max="1281" width="33.44140625" style="7001" customWidth="1"/>
    <col min="1282" max="1282" width="7.44140625" style="7001" customWidth="1"/>
    <col min="1283" max="1283" width="7" style="7001" customWidth="1"/>
    <col min="1284" max="1284" width="0" style="7001" hidden="1" customWidth="1"/>
    <col min="1285" max="1285" width="10.109375" style="7001" customWidth="1"/>
    <col min="1286" max="1286" width="14.44140625" style="7001" customWidth="1"/>
    <col min="1287" max="1287" width="17.109375" style="7001" customWidth="1"/>
    <col min="1288" max="1536" width="9.109375" style="7001"/>
    <col min="1537" max="1537" width="33.44140625" style="7001" customWidth="1"/>
    <col min="1538" max="1538" width="7.44140625" style="7001" customWidth="1"/>
    <col min="1539" max="1539" width="7" style="7001" customWidth="1"/>
    <col min="1540" max="1540" width="0" style="7001" hidden="1" customWidth="1"/>
    <col min="1541" max="1541" width="10.109375" style="7001" customWidth="1"/>
    <col min="1542" max="1542" width="14.44140625" style="7001" customWidth="1"/>
    <col min="1543" max="1543" width="17.109375" style="7001" customWidth="1"/>
    <col min="1544" max="1792" width="9.109375" style="7001"/>
    <col min="1793" max="1793" width="33.44140625" style="7001" customWidth="1"/>
    <col min="1794" max="1794" width="7.44140625" style="7001" customWidth="1"/>
    <col min="1795" max="1795" width="7" style="7001" customWidth="1"/>
    <col min="1796" max="1796" width="0" style="7001" hidden="1" customWidth="1"/>
    <col min="1797" max="1797" width="10.109375" style="7001" customWidth="1"/>
    <col min="1798" max="1798" width="14.44140625" style="7001" customWidth="1"/>
    <col min="1799" max="1799" width="17.109375" style="7001" customWidth="1"/>
    <col min="1800" max="2048" width="9.109375" style="7001"/>
    <col min="2049" max="2049" width="33.44140625" style="7001" customWidth="1"/>
    <col min="2050" max="2050" width="7.44140625" style="7001" customWidth="1"/>
    <col min="2051" max="2051" width="7" style="7001" customWidth="1"/>
    <col min="2052" max="2052" width="0" style="7001" hidden="1" customWidth="1"/>
    <col min="2053" max="2053" width="10.109375" style="7001" customWidth="1"/>
    <col min="2054" max="2054" width="14.44140625" style="7001" customWidth="1"/>
    <col min="2055" max="2055" width="17.109375" style="7001" customWidth="1"/>
    <col min="2056" max="2304" width="9.109375" style="7001"/>
    <col min="2305" max="2305" width="33.44140625" style="7001" customWidth="1"/>
    <col min="2306" max="2306" width="7.44140625" style="7001" customWidth="1"/>
    <col min="2307" max="2307" width="7" style="7001" customWidth="1"/>
    <col min="2308" max="2308" width="0" style="7001" hidden="1" customWidth="1"/>
    <col min="2309" max="2309" width="10.109375" style="7001" customWidth="1"/>
    <col min="2310" max="2310" width="14.44140625" style="7001" customWidth="1"/>
    <col min="2311" max="2311" width="17.109375" style="7001" customWidth="1"/>
    <col min="2312" max="2560" width="9.109375" style="7001"/>
    <col min="2561" max="2561" width="33.44140625" style="7001" customWidth="1"/>
    <col min="2562" max="2562" width="7.44140625" style="7001" customWidth="1"/>
    <col min="2563" max="2563" width="7" style="7001" customWidth="1"/>
    <col min="2564" max="2564" width="0" style="7001" hidden="1" customWidth="1"/>
    <col min="2565" max="2565" width="10.109375" style="7001" customWidth="1"/>
    <col min="2566" max="2566" width="14.44140625" style="7001" customWidth="1"/>
    <col min="2567" max="2567" width="17.109375" style="7001" customWidth="1"/>
    <col min="2568" max="2816" width="9.109375" style="7001"/>
    <col min="2817" max="2817" width="33.44140625" style="7001" customWidth="1"/>
    <col min="2818" max="2818" width="7.44140625" style="7001" customWidth="1"/>
    <col min="2819" max="2819" width="7" style="7001" customWidth="1"/>
    <col min="2820" max="2820" width="0" style="7001" hidden="1" customWidth="1"/>
    <col min="2821" max="2821" width="10.109375" style="7001" customWidth="1"/>
    <col min="2822" max="2822" width="14.44140625" style="7001" customWidth="1"/>
    <col min="2823" max="2823" width="17.109375" style="7001" customWidth="1"/>
    <col min="2824" max="3072" width="9.109375" style="7001"/>
    <col min="3073" max="3073" width="33.44140625" style="7001" customWidth="1"/>
    <col min="3074" max="3074" width="7.44140625" style="7001" customWidth="1"/>
    <col min="3075" max="3075" width="7" style="7001" customWidth="1"/>
    <col min="3076" max="3076" width="0" style="7001" hidden="1" customWidth="1"/>
    <col min="3077" max="3077" width="10.109375" style="7001" customWidth="1"/>
    <col min="3078" max="3078" width="14.44140625" style="7001" customWidth="1"/>
    <col min="3079" max="3079" width="17.109375" style="7001" customWidth="1"/>
    <col min="3080" max="3328" width="9.109375" style="7001"/>
    <col min="3329" max="3329" width="33.44140625" style="7001" customWidth="1"/>
    <col min="3330" max="3330" width="7.44140625" style="7001" customWidth="1"/>
    <col min="3331" max="3331" width="7" style="7001" customWidth="1"/>
    <col min="3332" max="3332" width="0" style="7001" hidden="1" customWidth="1"/>
    <col min="3333" max="3333" width="10.109375" style="7001" customWidth="1"/>
    <col min="3334" max="3334" width="14.44140625" style="7001" customWidth="1"/>
    <col min="3335" max="3335" width="17.109375" style="7001" customWidth="1"/>
    <col min="3336" max="3584" width="9.109375" style="7001"/>
    <col min="3585" max="3585" width="33.44140625" style="7001" customWidth="1"/>
    <col min="3586" max="3586" width="7.44140625" style="7001" customWidth="1"/>
    <col min="3587" max="3587" width="7" style="7001" customWidth="1"/>
    <col min="3588" max="3588" width="0" style="7001" hidden="1" customWidth="1"/>
    <col min="3589" max="3589" width="10.109375" style="7001" customWidth="1"/>
    <col min="3590" max="3590" width="14.44140625" style="7001" customWidth="1"/>
    <col min="3591" max="3591" width="17.109375" style="7001" customWidth="1"/>
    <col min="3592" max="3840" width="9.109375" style="7001"/>
    <col min="3841" max="3841" width="33.44140625" style="7001" customWidth="1"/>
    <col min="3842" max="3842" width="7.44140625" style="7001" customWidth="1"/>
    <col min="3843" max="3843" width="7" style="7001" customWidth="1"/>
    <col min="3844" max="3844" width="0" style="7001" hidden="1" customWidth="1"/>
    <col min="3845" max="3845" width="10.109375" style="7001" customWidth="1"/>
    <col min="3846" max="3846" width="14.44140625" style="7001" customWidth="1"/>
    <col min="3847" max="3847" width="17.109375" style="7001" customWidth="1"/>
    <col min="3848" max="4096" width="9.109375" style="7001"/>
    <col min="4097" max="4097" width="33.44140625" style="7001" customWidth="1"/>
    <col min="4098" max="4098" width="7.44140625" style="7001" customWidth="1"/>
    <col min="4099" max="4099" width="7" style="7001" customWidth="1"/>
    <col min="4100" max="4100" width="0" style="7001" hidden="1" customWidth="1"/>
    <col min="4101" max="4101" width="10.109375" style="7001" customWidth="1"/>
    <col min="4102" max="4102" width="14.44140625" style="7001" customWidth="1"/>
    <col min="4103" max="4103" width="17.109375" style="7001" customWidth="1"/>
    <col min="4104" max="4352" width="9.109375" style="7001"/>
    <col min="4353" max="4353" width="33.44140625" style="7001" customWidth="1"/>
    <col min="4354" max="4354" width="7.44140625" style="7001" customWidth="1"/>
    <col min="4355" max="4355" width="7" style="7001" customWidth="1"/>
    <col min="4356" max="4356" width="0" style="7001" hidden="1" customWidth="1"/>
    <col min="4357" max="4357" width="10.109375" style="7001" customWidth="1"/>
    <col min="4358" max="4358" width="14.44140625" style="7001" customWidth="1"/>
    <col min="4359" max="4359" width="17.109375" style="7001" customWidth="1"/>
    <col min="4360" max="4608" width="9.109375" style="7001"/>
    <col min="4609" max="4609" width="33.44140625" style="7001" customWidth="1"/>
    <col min="4610" max="4610" width="7.44140625" style="7001" customWidth="1"/>
    <col min="4611" max="4611" width="7" style="7001" customWidth="1"/>
    <col min="4612" max="4612" width="0" style="7001" hidden="1" customWidth="1"/>
    <col min="4613" max="4613" width="10.109375" style="7001" customWidth="1"/>
    <col min="4614" max="4614" width="14.44140625" style="7001" customWidth="1"/>
    <col min="4615" max="4615" width="17.109375" style="7001" customWidth="1"/>
    <col min="4616" max="4864" width="9.109375" style="7001"/>
    <col min="4865" max="4865" width="33.44140625" style="7001" customWidth="1"/>
    <col min="4866" max="4866" width="7.44140625" style="7001" customWidth="1"/>
    <col min="4867" max="4867" width="7" style="7001" customWidth="1"/>
    <col min="4868" max="4868" width="0" style="7001" hidden="1" customWidth="1"/>
    <col min="4869" max="4869" width="10.109375" style="7001" customWidth="1"/>
    <col min="4870" max="4870" width="14.44140625" style="7001" customWidth="1"/>
    <col min="4871" max="4871" width="17.109375" style="7001" customWidth="1"/>
    <col min="4872" max="5120" width="9.109375" style="7001"/>
    <col min="5121" max="5121" width="33.44140625" style="7001" customWidth="1"/>
    <col min="5122" max="5122" width="7.44140625" style="7001" customWidth="1"/>
    <col min="5123" max="5123" width="7" style="7001" customWidth="1"/>
    <col min="5124" max="5124" width="0" style="7001" hidden="1" customWidth="1"/>
    <col min="5125" max="5125" width="10.109375" style="7001" customWidth="1"/>
    <col min="5126" max="5126" width="14.44140625" style="7001" customWidth="1"/>
    <col min="5127" max="5127" width="17.109375" style="7001" customWidth="1"/>
    <col min="5128" max="5376" width="9.109375" style="7001"/>
    <col min="5377" max="5377" width="33.44140625" style="7001" customWidth="1"/>
    <col min="5378" max="5378" width="7.44140625" style="7001" customWidth="1"/>
    <col min="5379" max="5379" width="7" style="7001" customWidth="1"/>
    <col min="5380" max="5380" width="0" style="7001" hidden="1" customWidth="1"/>
    <col min="5381" max="5381" width="10.109375" style="7001" customWidth="1"/>
    <col min="5382" max="5382" width="14.44140625" style="7001" customWidth="1"/>
    <col min="5383" max="5383" width="17.109375" style="7001" customWidth="1"/>
    <col min="5384" max="5632" width="9.109375" style="7001"/>
    <col min="5633" max="5633" width="33.44140625" style="7001" customWidth="1"/>
    <col min="5634" max="5634" width="7.44140625" style="7001" customWidth="1"/>
    <col min="5635" max="5635" width="7" style="7001" customWidth="1"/>
    <col min="5636" max="5636" width="0" style="7001" hidden="1" customWidth="1"/>
    <col min="5637" max="5637" width="10.109375" style="7001" customWidth="1"/>
    <col min="5638" max="5638" width="14.44140625" style="7001" customWidth="1"/>
    <col min="5639" max="5639" width="17.109375" style="7001" customWidth="1"/>
    <col min="5640" max="5888" width="9.109375" style="7001"/>
    <col min="5889" max="5889" width="33.44140625" style="7001" customWidth="1"/>
    <col min="5890" max="5890" width="7.44140625" style="7001" customWidth="1"/>
    <col min="5891" max="5891" width="7" style="7001" customWidth="1"/>
    <col min="5892" max="5892" width="0" style="7001" hidden="1" customWidth="1"/>
    <col min="5893" max="5893" width="10.109375" style="7001" customWidth="1"/>
    <col min="5894" max="5894" width="14.44140625" style="7001" customWidth="1"/>
    <col min="5895" max="5895" width="17.109375" style="7001" customWidth="1"/>
    <col min="5896" max="6144" width="9.109375" style="7001"/>
    <col min="6145" max="6145" width="33.44140625" style="7001" customWidth="1"/>
    <col min="6146" max="6146" width="7.44140625" style="7001" customWidth="1"/>
    <col min="6147" max="6147" width="7" style="7001" customWidth="1"/>
    <col min="6148" max="6148" width="0" style="7001" hidden="1" customWidth="1"/>
    <col min="6149" max="6149" width="10.109375" style="7001" customWidth="1"/>
    <col min="6150" max="6150" width="14.44140625" style="7001" customWidth="1"/>
    <col min="6151" max="6151" width="17.109375" style="7001" customWidth="1"/>
    <col min="6152" max="6400" width="9.109375" style="7001"/>
    <col min="6401" max="6401" width="33.44140625" style="7001" customWidth="1"/>
    <col min="6402" max="6402" width="7.44140625" style="7001" customWidth="1"/>
    <col min="6403" max="6403" width="7" style="7001" customWidth="1"/>
    <col min="6404" max="6404" width="0" style="7001" hidden="1" customWidth="1"/>
    <col min="6405" max="6405" width="10.109375" style="7001" customWidth="1"/>
    <col min="6406" max="6406" width="14.44140625" style="7001" customWidth="1"/>
    <col min="6407" max="6407" width="17.109375" style="7001" customWidth="1"/>
    <col min="6408" max="6656" width="9.109375" style="7001"/>
    <col min="6657" max="6657" width="33.44140625" style="7001" customWidth="1"/>
    <col min="6658" max="6658" width="7.44140625" style="7001" customWidth="1"/>
    <col min="6659" max="6659" width="7" style="7001" customWidth="1"/>
    <col min="6660" max="6660" width="0" style="7001" hidden="1" customWidth="1"/>
    <col min="6661" max="6661" width="10.109375" style="7001" customWidth="1"/>
    <col min="6662" max="6662" width="14.44140625" style="7001" customWidth="1"/>
    <col min="6663" max="6663" width="17.109375" style="7001" customWidth="1"/>
    <col min="6664" max="6912" width="9.109375" style="7001"/>
    <col min="6913" max="6913" width="33.44140625" style="7001" customWidth="1"/>
    <col min="6914" max="6914" width="7.44140625" style="7001" customWidth="1"/>
    <col min="6915" max="6915" width="7" style="7001" customWidth="1"/>
    <col min="6916" max="6916" width="0" style="7001" hidden="1" customWidth="1"/>
    <col min="6917" max="6917" width="10.109375" style="7001" customWidth="1"/>
    <col min="6918" max="6918" width="14.44140625" style="7001" customWidth="1"/>
    <col min="6919" max="6919" width="17.109375" style="7001" customWidth="1"/>
    <col min="6920" max="7168" width="9.109375" style="7001"/>
    <col min="7169" max="7169" width="33.44140625" style="7001" customWidth="1"/>
    <col min="7170" max="7170" width="7.44140625" style="7001" customWidth="1"/>
    <col min="7171" max="7171" width="7" style="7001" customWidth="1"/>
    <col min="7172" max="7172" width="0" style="7001" hidden="1" customWidth="1"/>
    <col min="7173" max="7173" width="10.109375" style="7001" customWidth="1"/>
    <col min="7174" max="7174" width="14.44140625" style="7001" customWidth="1"/>
    <col min="7175" max="7175" width="17.109375" style="7001" customWidth="1"/>
    <col min="7176" max="7424" width="9.109375" style="7001"/>
    <col min="7425" max="7425" width="33.44140625" style="7001" customWidth="1"/>
    <col min="7426" max="7426" width="7.44140625" style="7001" customWidth="1"/>
    <col min="7427" max="7427" width="7" style="7001" customWidth="1"/>
    <col min="7428" max="7428" width="0" style="7001" hidden="1" customWidth="1"/>
    <col min="7429" max="7429" width="10.109375" style="7001" customWidth="1"/>
    <col min="7430" max="7430" width="14.44140625" style="7001" customWidth="1"/>
    <col min="7431" max="7431" width="17.109375" style="7001" customWidth="1"/>
    <col min="7432" max="7680" width="9.109375" style="7001"/>
    <col min="7681" max="7681" width="33.44140625" style="7001" customWidth="1"/>
    <col min="7682" max="7682" width="7.44140625" style="7001" customWidth="1"/>
    <col min="7683" max="7683" width="7" style="7001" customWidth="1"/>
    <col min="7684" max="7684" width="0" style="7001" hidden="1" customWidth="1"/>
    <col min="7685" max="7685" width="10.109375" style="7001" customWidth="1"/>
    <col min="7686" max="7686" width="14.44140625" style="7001" customWidth="1"/>
    <col min="7687" max="7687" width="17.109375" style="7001" customWidth="1"/>
    <col min="7688" max="7936" width="9.109375" style="7001"/>
    <col min="7937" max="7937" width="33.44140625" style="7001" customWidth="1"/>
    <col min="7938" max="7938" width="7.44140625" style="7001" customWidth="1"/>
    <col min="7939" max="7939" width="7" style="7001" customWidth="1"/>
    <col min="7940" max="7940" width="0" style="7001" hidden="1" customWidth="1"/>
    <col min="7941" max="7941" width="10.109375" style="7001" customWidth="1"/>
    <col min="7942" max="7942" width="14.44140625" style="7001" customWidth="1"/>
    <col min="7943" max="7943" width="17.109375" style="7001" customWidth="1"/>
    <col min="7944" max="8192" width="9.109375" style="7001"/>
    <col min="8193" max="8193" width="33.44140625" style="7001" customWidth="1"/>
    <col min="8194" max="8194" width="7.44140625" style="7001" customWidth="1"/>
    <col min="8195" max="8195" width="7" style="7001" customWidth="1"/>
    <col min="8196" max="8196" width="0" style="7001" hidden="1" customWidth="1"/>
    <col min="8197" max="8197" width="10.109375" style="7001" customWidth="1"/>
    <col min="8198" max="8198" width="14.44140625" style="7001" customWidth="1"/>
    <col min="8199" max="8199" width="17.109375" style="7001" customWidth="1"/>
    <col min="8200" max="8448" width="9.109375" style="7001"/>
    <col min="8449" max="8449" width="33.44140625" style="7001" customWidth="1"/>
    <col min="8450" max="8450" width="7.44140625" style="7001" customWidth="1"/>
    <col min="8451" max="8451" width="7" style="7001" customWidth="1"/>
    <col min="8452" max="8452" width="0" style="7001" hidden="1" customWidth="1"/>
    <col min="8453" max="8453" width="10.109375" style="7001" customWidth="1"/>
    <col min="8454" max="8454" width="14.44140625" style="7001" customWidth="1"/>
    <col min="8455" max="8455" width="17.109375" style="7001" customWidth="1"/>
    <col min="8456" max="8704" width="9.109375" style="7001"/>
    <col min="8705" max="8705" width="33.44140625" style="7001" customWidth="1"/>
    <col min="8706" max="8706" width="7.44140625" style="7001" customWidth="1"/>
    <col min="8707" max="8707" width="7" style="7001" customWidth="1"/>
    <col min="8708" max="8708" width="0" style="7001" hidden="1" customWidth="1"/>
    <col min="8709" max="8709" width="10.109375" style="7001" customWidth="1"/>
    <col min="8710" max="8710" width="14.44140625" style="7001" customWidth="1"/>
    <col min="8711" max="8711" width="17.109375" style="7001" customWidth="1"/>
    <col min="8712" max="8960" width="9.109375" style="7001"/>
    <col min="8961" max="8961" width="33.44140625" style="7001" customWidth="1"/>
    <col min="8962" max="8962" width="7.44140625" style="7001" customWidth="1"/>
    <col min="8963" max="8963" width="7" style="7001" customWidth="1"/>
    <col min="8964" max="8964" width="0" style="7001" hidden="1" customWidth="1"/>
    <col min="8965" max="8965" width="10.109375" style="7001" customWidth="1"/>
    <col min="8966" max="8966" width="14.44140625" style="7001" customWidth="1"/>
    <col min="8967" max="8967" width="17.109375" style="7001" customWidth="1"/>
    <col min="8968" max="9216" width="9.109375" style="7001"/>
    <col min="9217" max="9217" width="33.44140625" style="7001" customWidth="1"/>
    <col min="9218" max="9218" width="7.44140625" style="7001" customWidth="1"/>
    <col min="9219" max="9219" width="7" style="7001" customWidth="1"/>
    <col min="9220" max="9220" width="0" style="7001" hidden="1" customWidth="1"/>
    <col min="9221" max="9221" width="10.109375" style="7001" customWidth="1"/>
    <col min="9222" max="9222" width="14.44140625" style="7001" customWidth="1"/>
    <col min="9223" max="9223" width="17.109375" style="7001" customWidth="1"/>
    <col min="9224" max="9472" width="9.109375" style="7001"/>
    <col min="9473" max="9473" width="33.44140625" style="7001" customWidth="1"/>
    <col min="9474" max="9474" width="7.44140625" style="7001" customWidth="1"/>
    <col min="9475" max="9475" width="7" style="7001" customWidth="1"/>
    <col min="9476" max="9476" width="0" style="7001" hidden="1" customWidth="1"/>
    <col min="9477" max="9477" width="10.109375" style="7001" customWidth="1"/>
    <col min="9478" max="9478" width="14.44140625" style="7001" customWidth="1"/>
    <col min="9479" max="9479" width="17.109375" style="7001" customWidth="1"/>
    <col min="9480" max="9728" width="9.109375" style="7001"/>
    <col min="9729" max="9729" width="33.44140625" style="7001" customWidth="1"/>
    <col min="9730" max="9730" width="7.44140625" style="7001" customWidth="1"/>
    <col min="9731" max="9731" width="7" style="7001" customWidth="1"/>
    <col min="9732" max="9732" width="0" style="7001" hidden="1" customWidth="1"/>
    <col min="9733" max="9733" width="10.109375" style="7001" customWidth="1"/>
    <col min="9734" max="9734" width="14.44140625" style="7001" customWidth="1"/>
    <col min="9735" max="9735" width="17.109375" style="7001" customWidth="1"/>
    <col min="9736" max="9984" width="9.109375" style="7001"/>
    <col min="9985" max="9985" width="33.44140625" style="7001" customWidth="1"/>
    <col min="9986" max="9986" width="7.44140625" style="7001" customWidth="1"/>
    <col min="9987" max="9987" width="7" style="7001" customWidth="1"/>
    <col min="9988" max="9988" width="0" style="7001" hidden="1" customWidth="1"/>
    <col min="9989" max="9989" width="10.109375" style="7001" customWidth="1"/>
    <col min="9990" max="9990" width="14.44140625" style="7001" customWidth="1"/>
    <col min="9991" max="9991" width="17.109375" style="7001" customWidth="1"/>
    <col min="9992" max="10240" width="9.109375" style="7001"/>
    <col min="10241" max="10241" width="33.44140625" style="7001" customWidth="1"/>
    <col min="10242" max="10242" width="7.44140625" style="7001" customWidth="1"/>
    <col min="10243" max="10243" width="7" style="7001" customWidth="1"/>
    <col min="10244" max="10244" width="0" style="7001" hidden="1" customWidth="1"/>
    <col min="10245" max="10245" width="10.109375" style="7001" customWidth="1"/>
    <col min="10246" max="10246" width="14.44140625" style="7001" customWidth="1"/>
    <col min="10247" max="10247" width="17.109375" style="7001" customWidth="1"/>
    <col min="10248" max="10496" width="9.109375" style="7001"/>
    <col min="10497" max="10497" width="33.44140625" style="7001" customWidth="1"/>
    <col min="10498" max="10498" width="7.44140625" style="7001" customWidth="1"/>
    <col min="10499" max="10499" width="7" style="7001" customWidth="1"/>
    <col min="10500" max="10500" width="0" style="7001" hidden="1" customWidth="1"/>
    <col min="10501" max="10501" width="10.109375" style="7001" customWidth="1"/>
    <col min="10502" max="10502" width="14.44140625" style="7001" customWidth="1"/>
    <col min="10503" max="10503" width="17.109375" style="7001" customWidth="1"/>
    <col min="10504" max="10752" width="9.109375" style="7001"/>
    <col min="10753" max="10753" width="33.44140625" style="7001" customWidth="1"/>
    <col min="10754" max="10754" width="7.44140625" style="7001" customWidth="1"/>
    <col min="10755" max="10755" width="7" style="7001" customWidth="1"/>
    <col min="10756" max="10756" width="0" style="7001" hidden="1" customWidth="1"/>
    <col min="10757" max="10757" width="10.109375" style="7001" customWidth="1"/>
    <col min="10758" max="10758" width="14.44140625" style="7001" customWidth="1"/>
    <col min="10759" max="10759" width="17.109375" style="7001" customWidth="1"/>
    <col min="10760" max="11008" width="9.109375" style="7001"/>
    <col min="11009" max="11009" width="33.44140625" style="7001" customWidth="1"/>
    <col min="11010" max="11010" width="7.44140625" style="7001" customWidth="1"/>
    <col min="11011" max="11011" width="7" style="7001" customWidth="1"/>
    <col min="11012" max="11012" width="0" style="7001" hidden="1" customWidth="1"/>
    <col min="11013" max="11013" width="10.109375" style="7001" customWidth="1"/>
    <col min="11014" max="11014" width="14.44140625" style="7001" customWidth="1"/>
    <col min="11015" max="11015" width="17.109375" style="7001" customWidth="1"/>
    <col min="11016" max="11264" width="9.109375" style="7001"/>
    <col min="11265" max="11265" width="33.44140625" style="7001" customWidth="1"/>
    <col min="11266" max="11266" width="7.44140625" style="7001" customWidth="1"/>
    <col min="11267" max="11267" width="7" style="7001" customWidth="1"/>
    <col min="11268" max="11268" width="0" style="7001" hidden="1" customWidth="1"/>
    <col min="11269" max="11269" width="10.109375" style="7001" customWidth="1"/>
    <col min="11270" max="11270" width="14.44140625" style="7001" customWidth="1"/>
    <col min="11271" max="11271" width="17.109375" style="7001" customWidth="1"/>
    <col min="11272" max="11520" width="9.109375" style="7001"/>
    <col min="11521" max="11521" width="33.44140625" style="7001" customWidth="1"/>
    <col min="11522" max="11522" width="7.44140625" style="7001" customWidth="1"/>
    <col min="11523" max="11523" width="7" style="7001" customWidth="1"/>
    <col min="11524" max="11524" width="0" style="7001" hidden="1" customWidth="1"/>
    <col min="11525" max="11525" width="10.109375" style="7001" customWidth="1"/>
    <col min="11526" max="11526" width="14.44140625" style="7001" customWidth="1"/>
    <col min="11527" max="11527" width="17.109375" style="7001" customWidth="1"/>
    <col min="11528" max="11776" width="9.109375" style="7001"/>
    <col min="11777" max="11777" width="33.44140625" style="7001" customWidth="1"/>
    <col min="11778" max="11778" width="7.44140625" style="7001" customWidth="1"/>
    <col min="11779" max="11779" width="7" style="7001" customWidth="1"/>
    <col min="11780" max="11780" width="0" style="7001" hidden="1" customWidth="1"/>
    <col min="11781" max="11781" width="10.109375" style="7001" customWidth="1"/>
    <col min="11782" max="11782" width="14.44140625" style="7001" customWidth="1"/>
    <col min="11783" max="11783" width="17.109375" style="7001" customWidth="1"/>
    <col min="11784" max="12032" width="9.109375" style="7001"/>
    <col min="12033" max="12033" width="33.44140625" style="7001" customWidth="1"/>
    <col min="12034" max="12034" width="7.44140625" style="7001" customWidth="1"/>
    <col min="12035" max="12035" width="7" style="7001" customWidth="1"/>
    <col min="12036" max="12036" width="0" style="7001" hidden="1" customWidth="1"/>
    <col min="12037" max="12037" width="10.109375" style="7001" customWidth="1"/>
    <col min="12038" max="12038" width="14.44140625" style="7001" customWidth="1"/>
    <col min="12039" max="12039" width="17.109375" style="7001" customWidth="1"/>
    <col min="12040" max="12288" width="9.109375" style="7001"/>
    <col min="12289" max="12289" width="33.44140625" style="7001" customWidth="1"/>
    <col min="12290" max="12290" width="7.44140625" style="7001" customWidth="1"/>
    <col min="12291" max="12291" width="7" style="7001" customWidth="1"/>
    <col min="12292" max="12292" width="0" style="7001" hidden="1" customWidth="1"/>
    <col min="12293" max="12293" width="10.109375" style="7001" customWidth="1"/>
    <col min="12294" max="12294" width="14.44140625" style="7001" customWidth="1"/>
    <col min="12295" max="12295" width="17.109375" style="7001" customWidth="1"/>
    <col min="12296" max="12544" width="9.109375" style="7001"/>
    <col min="12545" max="12545" width="33.44140625" style="7001" customWidth="1"/>
    <col min="12546" max="12546" width="7.44140625" style="7001" customWidth="1"/>
    <col min="12547" max="12547" width="7" style="7001" customWidth="1"/>
    <col min="12548" max="12548" width="0" style="7001" hidden="1" customWidth="1"/>
    <col min="12549" max="12549" width="10.109375" style="7001" customWidth="1"/>
    <col min="12550" max="12550" width="14.44140625" style="7001" customWidth="1"/>
    <col min="12551" max="12551" width="17.109375" style="7001" customWidth="1"/>
    <col min="12552" max="12800" width="9.109375" style="7001"/>
    <col min="12801" max="12801" width="33.44140625" style="7001" customWidth="1"/>
    <col min="12802" max="12802" width="7.44140625" style="7001" customWidth="1"/>
    <col min="12803" max="12803" width="7" style="7001" customWidth="1"/>
    <col min="12804" max="12804" width="0" style="7001" hidden="1" customWidth="1"/>
    <col min="12805" max="12805" width="10.109375" style="7001" customWidth="1"/>
    <col min="12806" max="12806" width="14.44140625" style="7001" customWidth="1"/>
    <col min="12807" max="12807" width="17.109375" style="7001" customWidth="1"/>
    <col min="12808" max="13056" width="9.109375" style="7001"/>
    <col min="13057" max="13057" width="33.44140625" style="7001" customWidth="1"/>
    <col min="13058" max="13058" width="7.44140625" style="7001" customWidth="1"/>
    <col min="13059" max="13059" width="7" style="7001" customWidth="1"/>
    <col min="13060" max="13060" width="0" style="7001" hidden="1" customWidth="1"/>
    <col min="13061" max="13061" width="10.109375" style="7001" customWidth="1"/>
    <col min="13062" max="13062" width="14.44140625" style="7001" customWidth="1"/>
    <col min="13063" max="13063" width="17.109375" style="7001" customWidth="1"/>
    <col min="13064" max="13312" width="9.109375" style="7001"/>
    <col min="13313" max="13313" width="33.44140625" style="7001" customWidth="1"/>
    <col min="13314" max="13314" width="7.44140625" style="7001" customWidth="1"/>
    <col min="13315" max="13315" width="7" style="7001" customWidth="1"/>
    <col min="13316" max="13316" width="0" style="7001" hidden="1" customWidth="1"/>
    <col min="13317" max="13317" width="10.109375" style="7001" customWidth="1"/>
    <col min="13318" max="13318" width="14.44140625" style="7001" customWidth="1"/>
    <col min="13319" max="13319" width="17.109375" style="7001" customWidth="1"/>
    <col min="13320" max="13568" width="9.109375" style="7001"/>
    <col min="13569" max="13569" width="33.44140625" style="7001" customWidth="1"/>
    <col min="13570" max="13570" width="7.44140625" style="7001" customWidth="1"/>
    <col min="13571" max="13571" width="7" style="7001" customWidth="1"/>
    <col min="13572" max="13572" width="0" style="7001" hidden="1" customWidth="1"/>
    <col min="13573" max="13573" width="10.109375" style="7001" customWidth="1"/>
    <col min="13574" max="13574" width="14.44140625" style="7001" customWidth="1"/>
    <col min="13575" max="13575" width="17.109375" style="7001" customWidth="1"/>
    <col min="13576" max="13824" width="9.109375" style="7001"/>
    <col min="13825" max="13825" width="33.44140625" style="7001" customWidth="1"/>
    <col min="13826" max="13826" width="7.44140625" style="7001" customWidth="1"/>
    <col min="13827" max="13827" width="7" style="7001" customWidth="1"/>
    <col min="13828" max="13828" width="0" style="7001" hidden="1" customWidth="1"/>
    <col min="13829" max="13829" width="10.109375" style="7001" customWidth="1"/>
    <col min="13830" max="13830" width="14.44140625" style="7001" customWidth="1"/>
    <col min="13831" max="13831" width="17.109375" style="7001" customWidth="1"/>
    <col min="13832" max="14080" width="9.109375" style="7001"/>
    <col min="14081" max="14081" width="33.44140625" style="7001" customWidth="1"/>
    <col min="14082" max="14082" width="7.44140625" style="7001" customWidth="1"/>
    <col min="14083" max="14083" width="7" style="7001" customWidth="1"/>
    <col min="14084" max="14084" width="0" style="7001" hidden="1" customWidth="1"/>
    <col min="14085" max="14085" width="10.109375" style="7001" customWidth="1"/>
    <col min="14086" max="14086" width="14.44140625" style="7001" customWidth="1"/>
    <col min="14087" max="14087" width="17.109375" style="7001" customWidth="1"/>
    <col min="14088" max="14336" width="9.109375" style="7001"/>
    <col min="14337" max="14337" width="33.44140625" style="7001" customWidth="1"/>
    <col min="14338" max="14338" width="7.44140625" style="7001" customWidth="1"/>
    <col min="14339" max="14339" width="7" style="7001" customWidth="1"/>
    <col min="14340" max="14340" width="0" style="7001" hidden="1" customWidth="1"/>
    <col min="14341" max="14341" width="10.109375" style="7001" customWidth="1"/>
    <col min="14342" max="14342" width="14.44140625" style="7001" customWidth="1"/>
    <col min="14343" max="14343" width="17.109375" style="7001" customWidth="1"/>
    <col min="14344" max="14592" width="9.109375" style="7001"/>
    <col min="14593" max="14593" width="33.44140625" style="7001" customWidth="1"/>
    <col min="14594" max="14594" width="7.44140625" style="7001" customWidth="1"/>
    <col min="14595" max="14595" width="7" style="7001" customWidth="1"/>
    <col min="14596" max="14596" width="0" style="7001" hidden="1" customWidth="1"/>
    <col min="14597" max="14597" width="10.109375" style="7001" customWidth="1"/>
    <col min="14598" max="14598" width="14.44140625" style="7001" customWidth="1"/>
    <col min="14599" max="14599" width="17.109375" style="7001" customWidth="1"/>
    <col min="14600" max="14848" width="9.109375" style="7001"/>
    <col min="14849" max="14849" width="33.44140625" style="7001" customWidth="1"/>
    <col min="14850" max="14850" width="7.44140625" style="7001" customWidth="1"/>
    <col min="14851" max="14851" width="7" style="7001" customWidth="1"/>
    <col min="14852" max="14852" width="0" style="7001" hidden="1" customWidth="1"/>
    <col min="14853" max="14853" width="10.109375" style="7001" customWidth="1"/>
    <col min="14854" max="14854" width="14.44140625" style="7001" customWidth="1"/>
    <col min="14855" max="14855" width="17.109375" style="7001" customWidth="1"/>
    <col min="14856" max="15104" width="9.109375" style="7001"/>
    <col min="15105" max="15105" width="33.44140625" style="7001" customWidth="1"/>
    <col min="15106" max="15106" width="7.44140625" style="7001" customWidth="1"/>
    <col min="15107" max="15107" width="7" style="7001" customWidth="1"/>
    <col min="15108" max="15108" width="0" style="7001" hidden="1" customWidth="1"/>
    <col min="15109" max="15109" width="10.109375" style="7001" customWidth="1"/>
    <col min="15110" max="15110" width="14.44140625" style="7001" customWidth="1"/>
    <col min="15111" max="15111" width="17.109375" style="7001" customWidth="1"/>
    <col min="15112" max="15360" width="9.109375" style="7001"/>
    <col min="15361" max="15361" width="33.44140625" style="7001" customWidth="1"/>
    <col min="15362" max="15362" width="7.44140625" style="7001" customWidth="1"/>
    <col min="15363" max="15363" width="7" style="7001" customWidth="1"/>
    <col min="15364" max="15364" width="0" style="7001" hidden="1" customWidth="1"/>
    <col min="15365" max="15365" width="10.109375" style="7001" customWidth="1"/>
    <col min="15366" max="15366" width="14.44140625" style="7001" customWidth="1"/>
    <col min="15367" max="15367" width="17.109375" style="7001" customWidth="1"/>
    <col min="15368" max="15616" width="9.109375" style="7001"/>
    <col min="15617" max="15617" width="33.44140625" style="7001" customWidth="1"/>
    <col min="15618" max="15618" width="7.44140625" style="7001" customWidth="1"/>
    <col min="15619" max="15619" width="7" style="7001" customWidth="1"/>
    <col min="15620" max="15620" width="0" style="7001" hidden="1" customWidth="1"/>
    <col min="15621" max="15621" width="10.109375" style="7001" customWidth="1"/>
    <col min="15622" max="15622" width="14.44140625" style="7001" customWidth="1"/>
    <col min="15623" max="15623" width="17.109375" style="7001" customWidth="1"/>
    <col min="15624" max="15872" width="9.109375" style="7001"/>
    <col min="15873" max="15873" width="33.44140625" style="7001" customWidth="1"/>
    <col min="15874" max="15874" width="7.44140625" style="7001" customWidth="1"/>
    <col min="15875" max="15875" width="7" style="7001" customWidth="1"/>
    <col min="15876" max="15876" width="0" style="7001" hidden="1" customWidth="1"/>
    <col min="15877" max="15877" width="10.109375" style="7001" customWidth="1"/>
    <col min="15878" max="15878" width="14.44140625" style="7001" customWidth="1"/>
    <col min="15879" max="15879" width="17.109375" style="7001" customWidth="1"/>
    <col min="15880" max="16128" width="9.109375" style="7001"/>
    <col min="16129" max="16129" width="33.44140625" style="7001" customWidth="1"/>
    <col min="16130" max="16130" width="7.44140625" style="7001" customWidth="1"/>
    <col min="16131" max="16131" width="7" style="7001" customWidth="1"/>
    <col min="16132" max="16132" width="0" style="7001" hidden="1" customWidth="1"/>
    <col min="16133" max="16133" width="10.109375" style="7001" customWidth="1"/>
    <col min="16134" max="16134" width="14.44140625" style="7001" customWidth="1"/>
    <col min="16135" max="16135" width="17.109375" style="7001" customWidth="1"/>
    <col min="16136" max="16384" width="9.109375" style="7001"/>
  </cols>
  <sheetData>
    <row r="1" spans="1:9" ht="12.9" customHeight="1">
      <c r="A1" s="14395" t="s">
        <v>1087</v>
      </c>
      <c r="B1" s="14395"/>
      <c r="C1" s="14395"/>
      <c r="D1" s="14395"/>
      <c r="E1" s="14395"/>
      <c r="F1" s="14395"/>
      <c r="G1" s="14395"/>
    </row>
    <row r="3" spans="1:9" ht="12.9" customHeight="1">
      <c r="A3" s="14580" t="s">
        <v>9132</v>
      </c>
      <c r="B3" s="14580"/>
      <c r="C3" s="14580"/>
      <c r="D3" s="14580"/>
      <c r="E3" s="14580"/>
      <c r="F3" s="14580"/>
      <c r="G3" s="14580"/>
    </row>
    <row r="4" spans="1:9" ht="12.9" customHeight="1" thickBot="1"/>
    <row r="5" spans="1:9" ht="12.9" customHeight="1">
      <c r="A5" s="9675" t="s">
        <v>842</v>
      </c>
      <c r="B5" s="10713" t="s">
        <v>1035</v>
      </c>
      <c r="C5" s="10713" t="s">
        <v>1036</v>
      </c>
      <c r="D5" s="14393" t="s">
        <v>1037</v>
      </c>
      <c r="E5" s="14393"/>
      <c r="F5" s="14393"/>
      <c r="G5" s="14394"/>
      <c r="H5" s="7162"/>
    </row>
    <row r="6" spans="1:9" ht="12.9" customHeight="1" thickBot="1">
      <c r="A6" s="7167" t="s">
        <v>1088</v>
      </c>
      <c r="B6" s="10750" t="s">
        <v>9</v>
      </c>
      <c r="C6" s="10750" t="s">
        <v>1039</v>
      </c>
      <c r="D6" s="10750" t="s">
        <v>1040</v>
      </c>
      <c r="E6" s="10750" t="s">
        <v>1040</v>
      </c>
      <c r="F6" s="7169" t="s">
        <v>11</v>
      </c>
      <c r="G6" s="9760" t="s">
        <v>11621</v>
      </c>
      <c r="H6" s="7162"/>
    </row>
    <row r="7" spans="1:9" ht="12.9" customHeight="1">
      <c r="A7" s="7170" t="s">
        <v>9</v>
      </c>
      <c r="B7" s="9666" t="s">
        <v>9</v>
      </c>
      <c r="C7" s="9666" t="s">
        <v>9</v>
      </c>
      <c r="D7" s="9761" t="s">
        <v>476</v>
      </c>
      <c r="E7" s="9666" t="s">
        <v>9</v>
      </c>
      <c r="F7" s="9666" t="s">
        <v>9</v>
      </c>
      <c r="G7" s="7171" t="s">
        <v>9</v>
      </c>
    </row>
    <row r="8" spans="1:9" ht="12.9" customHeight="1">
      <c r="A8" s="6230" t="s">
        <v>806</v>
      </c>
      <c r="B8" s="8414"/>
      <c r="C8" s="8414"/>
      <c r="D8" s="8414"/>
      <c r="E8" s="8414"/>
      <c r="F8" s="8414"/>
      <c r="G8" s="7173"/>
    </row>
    <row r="9" spans="1:9" ht="12.9" customHeight="1">
      <c r="A9" s="6230"/>
      <c r="B9" s="8414"/>
      <c r="C9" s="8414"/>
      <c r="D9" s="8414"/>
      <c r="E9" s="8414"/>
      <c r="F9" s="8414"/>
      <c r="G9" s="7173"/>
    </row>
    <row r="10" spans="1:9" ht="12.9" customHeight="1">
      <c r="A10" s="6230" t="s">
        <v>1107</v>
      </c>
      <c r="B10" s="8414"/>
      <c r="C10" s="8414"/>
      <c r="D10" s="8414"/>
      <c r="E10" s="8414"/>
      <c r="F10" s="8414"/>
      <c r="G10" s="7173"/>
    </row>
    <row r="11" spans="1:9" ht="12.9" customHeight="1">
      <c r="A11" s="7207" t="s">
        <v>10562</v>
      </c>
      <c r="B11" s="8414">
        <v>1</v>
      </c>
      <c r="C11" s="8414">
        <v>26</v>
      </c>
      <c r="D11" s="8414"/>
      <c r="E11" s="8414">
        <v>947520</v>
      </c>
      <c r="F11" s="10782">
        <v>1105296</v>
      </c>
      <c r="G11" s="7173">
        <v>1310364</v>
      </c>
      <c r="H11" s="7001">
        <f>B11</f>
        <v>1</v>
      </c>
      <c r="I11" s="7164">
        <f>G11</f>
        <v>1310364</v>
      </c>
    </row>
    <row r="12" spans="1:9" ht="12.9" customHeight="1">
      <c r="A12" s="7231"/>
      <c r="B12" s="8414"/>
      <c r="C12" s="10751"/>
      <c r="D12" s="10751"/>
      <c r="E12" s="10751"/>
      <c r="F12" s="10781"/>
      <c r="G12" s="7175"/>
    </row>
    <row r="13" spans="1:9" ht="12.9" customHeight="1">
      <c r="A13" s="6230" t="s">
        <v>1091</v>
      </c>
      <c r="B13" s="8414"/>
      <c r="C13" s="10751"/>
      <c r="D13" s="10751"/>
      <c r="E13" s="10781"/>
      <c r="F13" s="10781"/>
      <c r="G13" s="7175"/>
    </row>
    <row r="14" spans="1:9" ht="12.9" customHeight="1">
      <c r="A14" s="6230" t="s">
        <v>1109</v>
      </c>
      <c r="B14" s="8414"/>
      <c r="C14" s="10751"/>
      <c r="D14" s="10751"/>
      <c r="E14" s="10781"/>
      <c r="F14" s="10781"/>
      <c r="G14" s="7175"/>
    </row>
    <row r="15" spans="1:9" ht="12.9" customHeight="1">
      <c r="A15" s="7231" t="s">
        <v>10662</v>
      </c>
      <c r="B15" s="8414">
        <v>1</v>
      </c>
      <c r="C15" s="8414">
        <v>14</v>
      </c>
      <c r="D15" s="8414"/>
      <c r="E15" s="10782">
        <v>306876</v>
      </c>
      <c r="F15" s="10782">
        <v>0</v>
      </c>
      <c r="G15" s="7173">
        <v>333060</v>
      </c>
      <c r="H15" s="7001">
        <f>SUM(B15:B18)</f>
        <v>5</v>
      </c>
      <c r="I15" s="7164">
        <f>SUM(G15:G18)</f>
        <v>1710540</v>
      </c>
    </row>
    <row r="16" spans="1:9" ht="12.9" customHeight="1">
      <c r="A16" s="7207" t="s">
        <v>10695</v>
      </c>
      <c r="B16" s="8414">
        <v>2</v>
      </c>
      <c r="C16" s="8414">
        <v>18</v>
      </c>
      <c r="D16" s="8414"/>
      <c r="E16" s="10782"/>
      <c r="F16" s="10782">
        <v>914040</v>
      </c>
      <c r="G16" s="7173">
        <v>975288</v>
      </c>
      <c r="I16" s="7164"/>
    </row>
    <row r="17" spans="1:9" ht="12.9" customHeight="1">
      <c r="A17" s="7207" t="s">
        <v>10696</v>
      </c>
      <c r="B17" s="8414">
        <v>2</v>
      </c>
      <c r="C17" s="8414">
        <v>8</v>
      </c>
      <c r="D17" s="8414"/>
      <c r="E17" s="10782"/>
      <c r="F17" s="10782">
        <v>390768</v>
      </c>
      <c r="G17" s="7173">
        <v>402192</v>
      </c>
      <c r="I17" s="7164"/>
    </row>
    <row r="18" spans="1:9" ht="12.9" customHeight="1">
      <c r="A18" s="7231"/>
      <c r="B18" s="8414"/>
      <c r="C18" s="8414"/>
      <c r="D18" s="8414"/>
      <c r="E18" s="10782"/>
      <c r="F18" s="10782"/>
      <c r="G18" s="7173"/>
    </row>
    <row r="19" spans="1:9" ht="12.9" customHeight="1">
      <c r="A19" s="6230" t="s">
        <v>12053</v>
      </c>
      <c r="B19" s="8414"/>
      <c r="C19" s="8414"/>
      <c r="D19" s="8414"/>
      <c r="E19" s="10782"/>
      <c r="F19" s="10782"/>
      <c r="G19" s="7173"/>
    </row>
    <row r="20" spans="1:9" ht="12.9" customHeight="1">
      <c r="A20" s="7231" t="s">
        <v>4999</v>
      </c>
      <c r="B20" s="8414">
        <v>0</v>
      </c>
      <c r="C20" s="8414">
        <v>20</v>
      </c>
      <c r="D20" s="8414"/>
      <c r="E20" s="10782">
        <v>519000</v>
      </c>
      <c r="F20" s="10782">
        <v>0</v>
      </c>
      <c r="G20" s="7173">
        <v>0</v>
      </c>
    </row>
    <row r="21" spans="1:9" ht="12.9" customHeight="1">
      <c r="A21" s="7231" t="s">
        <v>5002</v>
      </c>
      <c r="B21" s="8414">
        <v>0</v>
      </c>
      <c r="C21" s="8414">
        <v>10</v>
      </c>
      <c r="D21" s="8414"/>
      <c r="E21" s="10782">
        <v>220620</v>
      </c>
      <c r="F21" s="10782">
        <v>228576</v>
      </c>
      <c r="G21" s="7173">
        <v>0</v>
      </c>
    </row>
    <row r="22" spans="1:9" ht="12.9" customHeight="1">
      <c r="A22" s="7231" t="s">
        <v>10563</v>
      </c>
      <c r="B22" s="8414">
        <v>1</v>
      </c>
      <c r="C22" s="8414">
        <v>4</v>
      </c>
      <c r="D22" s="8414"/>
      <c r="E22" s="10782">
        <v>145860</v>
      </c>
      <c r="F22" s="10782">
        <v>152088</v>
      </c>
      <c r="G22" s="7173">
        <v>158568</v>
      </c>
      <c r="H22" s="7001">
        <f>SUM(B20:B24)</f>
        <v>2</v>
      </c>
      <c r="I22" s="7164">
        <f>SUM(G20:G24)</f>
        <v>302976</v>
      </c>
    </row>
    <row r="23" spans="1:9" ht="12.9" customHeight="1">
      <c r="A23" s="7231" t="s">
        <v>10664</v>
      </c>
      <c r="B23" s="8414">
        <v>1</v>
      </c>
      <c r="C23" s="8414">
        <v>2</v>
      </c>
      <c r="D23" s="8414"/>
      <c r="E23" s="10782">
        <v>130272</v>
      </c>
      <c r="F23" s="10782">
        <v>136632</v>
      </c>
      <c r="G23" s="7173">
        <v>144408</v>
      </c>
      <c r="I23" s="7164"/>
    </row>
    <row r="24" spans="1:9" ht="12.9" customHeight="1">
      <c r="A24" s="7231"/>
      <c r="B24" s="8414"/>
      <c r="C24" s="8414"/>
      <c r="D24" s="8414"/>
      <c r="E24" s="10782"/>
      <c r="F24" s="10782"/>
      <c r="G24" s="7173"/>
    </row>
    <row r="25" spans="1:9" ht="12.9" customHeight="1">
      <c r="A25" s="6230" t="s">
        <v>1135</v>
      </c>
      <c r="B25" s="8414"/>
      <c r="C25" s="10751"/>
      <c r="D25" s="10751"/>
      <c r="E25" s="10751"/>
      <c r="F25" s="10781"/>
      <c r="G25" s="7175"/>
    </row>
    <row r="26" spans="1:9" ht="12.9" customHeight="1">
      <c r="A26" s="7231" t="s">
        <v>10368</v>
      </c>
      <c r="B26" s="8414">
        <v>1</v>
      </c>
      <c r="C26" s="8414">
        <v>18</v>
      </c>
      <c r="D26" s="8414"/>
      <c r="E26" s="10782">
        <v>0</v>
      </c>
      <c r="F26" s="10782">
        <v>457020</v>
      </c>
      <c r="G26" s="7173">
        <v>493680</v>
      </c>
    </row>
    <row r="27" spans="1:9" ht="12.9" customHeight="1">
      <c r="A27" s="7231" t="s">
        <v>10410</v>
      </c>
      <c r="B27" s="8414">
        <v>1</v>
      </c>
      <c r="C27" s="8414">
        <v>9</v>
      </c>
      <c r="D27" s="8415"/>
      <c r="E27" s="8415">
        <v>205704</v>
      </c>
      <c r="F27" s="10781">
        <v>211524</v>
      </c>
      <c r="G27" s="7175">
        <v>217500</v>
      </c>
    </row>
    <row r="28" spans="1:9" ht="12.9" customHeight="1">
      <c r="A28" s="7231" t="s">
        <v>10663</v>
      </c>
      <c r="B28" s="8414">
        <v>0</v>
      </c>
      <c r="C28" s="8414">
        <v>8</v>
      </c>
      <c r="D28" s="8415"/>
      <c r="E28" s="8415">
        <v>191628</v>
      </c>
      <c r="F28" s="10781">
        <v>0</v>
      </c>
      <c r="G28" s="7175">
        <v>0</v>
      </c>
    </row>
    <row r="29" spans="1:9" ht="12.9" customHeight="1">
      <c r="A29" s="7231" t="s">
        <v>10370</v>
      </c>
      <c r="B29" s="8414">
        <v>3</v>
      </c>
      <c r="C29" s="8414">
        <v>6</v>
      </c>
      <c r="D29" s="8415"/>
      <c r="E29" s="8415">
        <v>167676</v>
      </c>
      <c r="F29" s="10781">
        <v>517668</v>
      </c>
      <c r="G29" s="7175">
        <f>356328+178164</f>
        <v>534492</v>
      </c>
      <c r="H29" s="13961" t="s">
        <v>12249</v>
      </c>
    </row>
    <row r="30" spans="1:9" ht="12.9" customHeight="1">
      <c r="A30" s="7231" t="s">
        <v>10411</v>
      </c>
      <c r="B30" s="8414">
        <v>1</v>
      </c>
      <c r="C30" s="8414">
        <v>2</v>
      </c>
      <c r="D30" s="8415"/>
      <c r="E30" s="10752">
        <v>0</v>
      </c>
      <c r="F30" s="10850">
        <v>0</v>
      </c>
      <c r="G30" s="7179">
        <v>141132</v>
      </c>
    </row>
    <row r="31" spans="1:9" ht="12.9" customHeight="1">
      <c r="A31" s="7231"/>
      <c r="B31" s="8414"/>
      <c r="C31" s="8414"/>
      <c r="D31" s="8415"/>
      <c r="E31" s="8415"/>
      <c r="F31" s="10781"/>
      <c r="G31" s="7175"/>
      <c r="H31" s="7001">
        <f>SUM(B26:B31)</f>
        <v>6</v>
      </c>
      <c r="I31" s="7164">
        <f>SUM(G25:G31)</f>
        <v>1386804</v>
      </c>
    </row>
    <row r="32" spans="1:9" ht="12.9" customHeight="1">
      <c r="A32" s="7238" t="s">
        <v>1098</v>
      </c>
      <c r="B32" s="9652">
        <f>SUM(B8:B31)</f>
        <v>14</v>
      </c>
      <c r="C32" s="9652"/>
      <c r="D32" s="9643"/>
      <c r="E32" s="9642">
        <f>SUM(E15:E31)</f>
        <v>1887636</v>
      </c>
      <c r="F32" s="9642">
        <f>SUM(F8:F31)</f>
        <v>4113612</v>
      </c>
      <c r="G32" s="9667">
        <f>SUM(G8:G31)</f>
        <v>4710684</v>
      </c>
    </row>
    <row r="33" spans="1:8" ht="12.9" customHeight="1">
      <c r="A33" s="7231"/>
      <c r="B33" s="8414"/>
      <c r="C33" s="8414"/>
      <c r="D33" s="8415"/>
      <c r="E33" s="8415"/>
      <c r="F33" s="8415"/>
      <c r="G33" s="7175"/>
    </row>
    <row r="34" spans="1:8" ht="12.9" customHeight="1">
      <c r="A34" s="7231" t="s">
        <v>1113</v>
      </c>
      <c r="B34" s="8414"/>
      <c r="C34" s="8414"/>
      <c r="D34" s="8415"/>
      <c r="E34" s="8415"/>
      <c r="F34" s="8415"/>
      <c r="G34" s="7175"/>
    </row>
    <row r="35" spans="1:8" ht="12.9" hidden="1" customHeight="1">
      <c r="A35" s="7207" t="s">
        <v>10147</v>
      </c>
      <c r="B35" s="8414">
        <v>0</v>
      </c>
      <c r="C35" s="8414">
        <v>26</v>
      </c>
      <c r="D35" s="8415"/>
      <c r="E35" s="8415">
        <v>0</v>
      </c>
      <c r="F35" s="10781">
        <v>0</v>
      </c>
      <c r="G35" s="7175">
        <v>0</v>
      </c>
    </row>
    <row r="36" spans="1:8" ht="12.9" customHeight="1">
      <c r="A36" s="7207" t="s">
        <v>10695</v>
      </c>
      <c r="B36" s="8414">
        <v>1</v>
      </c>
      <c r="C36" s="8414">
        <v>18</v>
      </c>
      <c r="D36" s="8415"/>
      <c r="E36" s="8415">
        <v>856632</v>
      </c>
      <c r="F36" s="10781">
        <v>457020</v>
      </c>
      <c r="G36" s="7175">
        <v>487644</v>
      </c>
    </row>
    <row r="37" spans="1:8" ht="12.9" customHeight="1">
      <c r="A37" s="7207" t="s">
        <v>12024</v>
      </c>
      <c r="B37" s="8414">
        <v>1</v>
      </c>
      <c r="C37" s="8414">
        <v>11</v>
      </c>
      <c r="D37" s="8415"/>
      <c r="E37" s="8415"/>
      <c r="F37" s="10781"/>
      <c r="G37" s="7175">
        <v>249048</v>
      </c>
    </row>
    <row r="38" spans="1:8" ht="12.9" customHeight="1">
      <c r="A38" s="7231" t="s">
        <v>12052</v>
      </c>
      <c r="B38" s="8414">
        <v>0</v>
      </c>
      <c r="C38" s="8414">
        <v>14</v>
      </c>
      <c r="D38" s="8415"/>
      <c r="E38" s="8415"/>
      <c r="F38" s="10781">
        <v>321672</v>
      </c>
      <c r="G38" s="7175">
        <v>0</v>
      </c>
    </row>
    <row r="39" spans="1:8" ht="12.9" customHeight="1">
      <c r="A39" s="7231" t="s">
        <v>12051</v>
      </c>
      <c r="B39" s="8414"/>
      <c r="C39" s="8414">
        <v>10</v>
      </c>
      <c r="D39" s="8415"/>
      <c r="E39" s="8415"/>
      <c r="F39" s="10781"/>
      <c r="G39" s="7175" t="s">
        <v>12022</v>
      </c>
    </row>
    <row r="40" spans="1:8" ht="12.9" customHeight="1">
      <c r="A40" s="7207" t="s">
        <v>10696</v>
      </c>
      <c r="B40" s="8414">
        <v>0</v>
      </c>
      <c r="C40" s="8414">
        <v>8</v>
      </c>
      <c r="D40" s="8415"/>
      <c r="E40" s="8415">
        <v>379632</v>
      </c>
      <c r="F40" s="10781">
        <v>0</v>
      </c>
      <c r="G40" s="7175">
        <v>0</v>
      </c>
    </row>
    <row r="41" spans="1:8" ht="12.9" customHeight="1">
      <c r="A41" s="7231" t="s">
        <v>11304</v>
      </c>
      <c r="B41" s="8414">
        <v>1</v>
      </c>
      <c r="C41" s="8414">
        <v>8</v>
      </c>
      <c r="D41" s="8415"/>
      <c r="E41" s="8415"/>
      <c r="F41" s="10781">
        <v>197196</v>
      </c>
      <c r="G41" s="7175">
        <v>201096</v>
      </c>
    </row>
    <row r="42" spans="1:8" ht="12.9" hidden="1" customHeight="1">
      <c r="A42" s="7231" t="s">
        <v>10409</v>
      </c>
      <c r="B42" s="8414">
        <v>0</v>
      </c>
      <c r="C42" s="8414">
        <v>4</v>
      </c>
      <c r="D42" s="8415"/>
      <c r="E42" s="8415">
        <v>0</v>
      </c>
      <c r="F42" s="10781">
        <v>0</v>
      </c>
      <c r="G42" s="7175">
        <v>0</v>
      </c>
    </row>
    <row r="43" spans="1:8" ht="12.9" customHeight="1">
      <c r="A43" s="7231" t="s">
        <v>10565</v>
      </c>
      <c r="B43" s="8414">
        <v>0</v>
      </c>
      <c r="C43" s="8414">
        <v>6</v>
      </c>
      <c r="D43" s="8415"/>
      <c r="E43" s="8415">
        <v>498636</v>
      </c>
      <c r="F43" s="10781">
        <v>0</v>
      </c>
      <c r="G43" s="7175" t="s">
        <v>12022</v>
      </c>
    </row>
    <row r="44" spans="1:8" ht="12.9" customHeight="1">
      <c r="A44" s="7231" t="s">
        <v>10564</v>
      </c>
      <c r="B44" s="8414">
        <v>0</v>
      </c>
      <c r="C44" s="8414">
        <v>2</v>
      </c>
      <c r="D44" s="8415"/>
      <c r="E44" s="8415">
        <v>128004</v>
      </c>
      <c r="F44" s="10781">
        <v>134400</v>
      </c>
      <c r="G44" s="7175">
        <v>0</v>
      </c>
    </row>
    <row r="45" spans="1:8" ht="12.9" customHeight="1">
      <c r="A45" s="7231" t="s">
        <v>11303</v>
      </c>
      <c r="B45" s="8414">
        <v>5</v>
      </c>
      <c r="C45" s="8414"/>
      <c r="D45" s="8415"/>
      <c r="E45" s="8415"/>
      <c r="F45" s="10781"/>
      <c r="G45" s="7175">
        <f>132816*B45</f>
        <v>664080</v>
      </c>
    </row>
    <row r="46" spans="1:8" ht="12.9" customHeight="1">
      <c r="A46" s="7231" t="s">
        <v>12266</v>
      </c>
      <c r="B46" s="9403"/>
      <c r="C46" s="9403"/>
      <c r="D46" s="9608"/>
      <c r="E46" s="9608"/>
      <c r="F46" s="9612"/>
      <c r="G46" s="9949"/>
      <c r="H46" s="13961" t="s">
        <v>12265</v>
      </c>
    </row>
    <row r="47" spans="1:8" ht="12.9" customHeight="1">
      <c r="A47" s="7231" t="s">
        <v>12267</v>
      </c>
      <c r="B47" s="9403">
        <v>2</v>
      </c>
      <c r="C47" s="9403">
        <v>6</v>
      </c>
      <c r="D47" s="9608"/>
      <c r="E47" s="9608"/>
      <c r="F47" s="9612"/>
      <c r="G47" s="9949">
        <f>178164*B47</f>
        <v>356328</v>
      </c>
      <c r="H47" s="13961"/>
    </row>
    <row r="48" spans="1:8" s="7162" customFormat="1" ht="12.9" customHeight="1">
      <c r="A48" s="6230" t="s">
        <v>1098</v>
      </c>
      <c r="B48" s="7169">
        <f>SUM(B35:B47)</f>
        <v>10</v>
      </c>
      <c r="C48" s="7169"/>
      <c r="D48" s="7249"/>
      <c r="E48" s="10791">
        <f>SUM(E35:E47)</f>
        <v>1862904</v>
      </c>
      <c r="F48" s="10791">
        <f>SUM(F35:F47)</f>
        <v>1110288</v>
      </c>
      <c r="G48" s="9760">
        <f>SUM(G35:G47)</f>
        <v>1958196</v>
      </c>
    </row>
    <row r="49" spans="1:8" ht="12.9" customHeight="1" thickBot="1">
      <c r="A49" s="6230"/>
      <c r="B49" s="8416"/>
      <c r="C49" s="8416"/>
      <c r="D49" s="8417"/>
      <c r="E49" s="8417"/>
      <c r="F49" s="7183"/>
      <c r="G49" s="7184"/>
    </row>
    <row r="50" spans="1:8" ht="12.9" customHeight="1" thickBot="1">
      <c r="A50" s="9838" t="s">
        <v>1114</v>
      </c>
      <c r="B50" s="10784">
        <f>B32+B48</f>
        <v>24</v>
      </c>
      <c r="C50" s="10421"/>
      <c r="D50" s="10785">
        <f>SUM(D20:D48)</f>
        <v>0</v>
      </c>
      <c r="E50" s="9840">
        <f>SUM(E32:E42)</f>
        <v>3123900</v>
      </c>
      <c r="F50" s="10851">
        <f>F32+F48</f>
        <v>5223900</v>
      </c>
      <c r="G50" s="10852">
        <f>G32+G48</f>
        <v>6668880</v>
      </c>
    </row>
    <row r="51" spans="1:8" ht="12.9" customHeight="1">
      <c r="A51" s="6230"/>
      <c r="B51" s="10750"/>
      <c r="C51" s="10751"/>
      <c r="D51" s="10779"/>
      <c r="E51" s="10755"/>
      <c r="F51" s="10755"/>
      <c r="G51" s="7188"/>
    </row>
    <row r="52" spans="1:8" ht="12.9" customHeight="1">
      <c r="A52" s="6230" t="s">
        <v>1075</v>
      </c>
      <c r="B52" s="8414"/>
      <c r="C52" s="10751"/>
      <c r="D52" s="10779"/>
      <c r="E52" s="10779"/>
      <c r="F52" s="10779"/>
      <c r="G52" s="7175"/>
    </row>
    <row r="53" spans="1:8" ht="12.9" customHeight="1">
      <c r="A53" s="6230" t="s">
        <v>1115</v>
      </c>
      <c r="B53" s="8414"/>
      <c r="C53" s="10751"/>
      <c r="D53" s="10779"/>
      <c r="E53" s="10779"/>
      <c r="F53" s="10779"/>
      <c r="G53" s="7175"/>
    </row>
    <row r="54" spans="1:8" ht="12.9" customHeight="1">
      <c r="A54" s="7231" t="s">
        <v>1116</v>
      </c>
      <c r="B54" s="8414">
        <v>6</v>
      </c>
      <c r="C54" s="10751"/>
      <c r="D54" s="10779"/>
      <c r="E54" s="10779"/>
      <c r="F54" s="10779"/>
      <c r="G54" s="7175"/>
    </row>
    <row r="55" spans="1:8" ht="12.9" customHeight="1">
      <c r="A55" s="7231" t="s">
        <v>1117</v>
      </c>
      <c r="B55" s="8414">
        <v>2</v>
      </c>
      <c r="C55" s="10751"/>
      <c r="D55" s="10779"/>
      <c r="E55" s="10779"/>
      <c r="F55" s="10779"/>
      <c r="G55" s="7175"/>
    </row>
    <row r="56" spans="1:8" ht="12.9" customHeight="1">
      <c r="A56" s="7231" t="s">
        <v>1118</v>
      </c>
      <c r="B56" s="8414"/>
      <c r="C56" s="10751"/>
      <c r="D56" s="10779"/>
      <c r="E56" s="10779"/>
      <c r="F56" s="10779"/>
      <c r="G56" s="7175"/>
    </row>
    <row r="57" spans="1:8" ht="12.9" customHeight="1">
      <c r="A57" s="7231" t="s">
        <v>10707</v>
      </c>
      <c r="B57" s="9403">
        <v>3</v>
      </c>
      <c r="C57" s="9636"/>
      <c r="D57" s="13956"/>
      <c r="E57" s="13956"/>
      <c r="F57" s="13956"/>
      <c r="G57" s="9949"/>
      <c r="H57" s="13961" t="s">
        <v>12248</v>
      </c>
    </row>
    <row r="58" spans="1:8" ht="12.9" customHeight="1">
      <c r="A58" s="7231"/>
      <c r="B58" s="8414"/>
      <c r="C58" s="10751"/>
      <c r="D58" s="10779"/>
      <c r="E58" s="10779"/>
      <c r="F58" s="10779"/>
      <c r="G58" s="7175"/>
    </row>
    <row r="59" spans="1:8" ht="12.9" customHeight="1">
      <c r="A59" s="7231" t="s">
        <v>1080</v>
      </c>
      <c r="B59" s="8414"/>
      <c r="C59" s="10751"/>
      <c r="D59" s="10779"/>
      <c r="E59" s="10779"/>
      <c r="F59" s="10779"/>
      <c r="G59" s="7175"/>
    </row>
    <row r="60" spans="1:8" ht="12.9" customHeight="1">
      <c r="A60" s="7231" t="s">
        <v>1119</v>
      </c>
      <c r="B60" s="8414"/>
      <c r="C60" s="10751"/>
      <c r="D60" s="10779"/>
      <c r="E60" s="10779"/>
      <c r="F60" s="10779"/>
      <c r="G60" s="7175"/>
    </row>
    <row r="61" spans="1:8" ht="12.9" customHeight="1">
      <c r="A61" s="7231" t="s">
        <v>1082</v>
      </c>
      <c r="B61" s="8414"/>
      <c r="C61" s="10751"/>
      <c r="D61" s="10779"/>
      <c r="E61" s="10779"/>
      <c r="F61" s="10779"/>
      <c r="G61" s="7175"/>
    </row>
    <row r="62" spans="1:8" ht="12.9" customHeight="1">
      <c r="A62" s="7231"/>
      <c r="B62" s="8414"/>
      <c r="C62" s="10426"/>
      <c r="D62" s="10853"/>
      <c r="E62" s="10853"/>
      <c r="F62" s="10853"/>
      <c r="G62" s="9765"/>
    </row>
    <row r="63" spans="1:8" ht="12.9" customHeight="1">
      <c r="A63" s="6230" t="s">
        <v>1083</v>
      </c>
      <c r="B63" s="9653"/>
      <c r="C63" s="9676"/>
      <c r="D63" s="7190"/>
      <c r="E63" s="7190"/>
      <c r="F63" s="7190"/>
      <c r="G63" s="7191"/>
    </row>
    <row r="64" spans="1:8" ht="12.9" customHeight="1">
      <c r="A64" s="6230"/>
      <c r="B64" s="8414"/>
      <c r="C64" s="10751"/>
      <c r="D64" s="10779"/>
      <c r="E64" s="10779"/>
      <c r="F64" s="10779"/>
      <c r="G64" s="7175"/>
    </row>
    <row r="65" spans="1:7" ht="12.9" customHeight="1">
      <c r="A65" s="7231" t="s">
        <v>1106</v>
      </c>
      <c r="B65" s="8414"/>
      <c r="C65" s="10751"/>
      <c r="D65" s="10779"/>
      <c r="E65" s="10779"/>
      <c r="F65" s="10779"/>
      <c r="G65" s="7175"/>
    </row>
    <row r="66" spans="1:7" ht="12.9" customHeight="1" thickBot="1">
      <c r="A66" s="7231"/>
      <c r="B66" s="8414"/>
      <c r="C66" s="10751"/>
      <c r="D66" s="10779"/>
      <c r="E66" s="10779"/>
      <c r="F66" s="10779"/>
      <c r="G66" s="7175"/>
    </row>
    <row r="67" spans="1:7" ht="5.4" customHeight="1">
      <c r="A67" s="7248"/>
      <c r="B67" s="9666"/>
      <c r="C67" s="9665"/>
      <c r="D67" s="10778"/>
      <c r="E67" s="10778"/>
      <c r="F67" s="10778"/>
      <c r="G67" s="10849"/>
    </row>
    <row r="68" spans="1:7" ht="12.9" customHeight="1">
      <c r="A68" s="6230" t="s">
        <v>1086</v>
      </c>
      <c r="B68" s="8414"/>
      <c r="C68" s="10751"/>
      <c r="D68" s="10779"/>
      <c r="E68" s="10779"/>
      <c r="F68" s="10779"/>
      <c r="G68" s="7175"/>
    </row>
    <row r="69" spans="1:7" ht="12.9" customHeight="1" thickBot="1">
      <c r="A69" s="7235"/>
      <c r="B69" s="9645"/>
      <c r="C69" s="9758"/>
      <c r="D69" s="9758"/>
      <c r="E69" s="9758"/>
      <c r="F69" s="9758"/>
      <c r="G69" s="9763"/>
    </row>
    <row r="73" spans="1:7" ht="12.9" customHeight="1">
      <c r="A73" s="7162"/>
    </row>
  </sheetData>
  <mergeCells count="3">
    <mergeCell ref="A3:G3"/>
    <mergeCell ref="D5:G5"/>
    <mergeCell ref="A1:G1"/>
  </mergeCells>
  <printOptions horizontalCentered="1"/>
  <pageMargins left="0.25" right="0.25" top="0.5" bottom="0.5" header="0.3" footer="0.3"/>
  <pageSetup paperSize="119" firstPageNumber="83" orientation="portrait" useFirstPageNumber="1" r:id="rId1"/>
</worksheet>
</file>

<file path=xl/worksheets/sheet121.xml><?xml version="1.0" encoding="utf-8"?>
<worksheet xmlns="http://schemas.openxmlformats.org/spreadsheetml/2006/main" xmlns:r="http://schemas.openxmlformats.org/officeDocument/2006/relationships">
  <sheetPr codeName="Sheet82">
    <tabColor theme="8" tint="-0.249977111117893"/>
  </sheetPr>
  <dimension ref="A1:O153"/>
  <sheetViews>
    <sheetView showGridLines="0" topLeftCell="B3" workbookViewId="0">
      <pane xSplit="1" ySplit="6" topLeftCell="C91" activePane="bottomRight" state="frozen"/>
      <selection activeCell="B3" sqref="B3"/>
      <selection pane="topRight" activeCell="C3" sqref="C3"/>
      <selection pane="bottomLeft" activeCell="B9" sqref="B9"/>
      <selection pane="bottomRight" activeCell="J3" sqref="J1:R1048576"/>
    </sheetView>
  </sheetViews>
  <sheetFormatPr defaultRowHeight="15" customHeight="1"/>
  <cols>
    <col min="1" max="1" width="3.88671875" style="7275" customWidth="1"/>
    <col min="2" max="2" width="55.5546875" style="7275" customWidth="1"/>
    <col min="3" max="3" width="12.5546875" style="9345" customWidth="1"/>
    <col min="4" max="4" width="15.5546875" style="7347" customWidth="1"/>
    <col min="5" max="6" width="15.5546875" style="9494" customWidth="1"/>
    <col min="7" max="7" width="15.5546875" style="7347" customWidth="1"/>
    <col min="8" max="8" width="14.6640625" style="7347" hidden="1" customWidth="1"/>
    <col min="9" max="9" width="9.44140625" style="7348" hidden="1" customWidth="1"/>
    <col min="10" max="10" width="15.5546875" style="7347" customWidth="1"/>
    <col min="11" max="11" width="17" style="7340" customWidth="1"/>
    <col min="12" max="12" width="6.33203125" style="7275" customWidth="1"/>
    <col min="13" max="13" width="8.88671875" style="7275" customWidth="1"/>
    <col min="14" max="14" width="11.6640625" style="7780" customWidth="1"/>
    <col min="15" max="15" width="11.5546875" style="7780" customWidth="1"/>
    <col min="16" max="17" width="8.88671875" style="7275" customWidth="1"/>
    <col min="18" max="240" width="9.109375" style="7275"/>
    <col min="241" max="241" width="3.88671875" style="7275" customWidth="1"/>
    <col min="242" max="242" width="38.44140625" style="7275" customWidth="1"/>
    <col min="243" max="243" width="10.109375" style="7275" customWidth="1"/>
    <col min="244" max="246" width="16.44140625" style="7275" customWidth="1"/>
    <col min="247" max="496" width="9.109375" style="7275"/>
    <col min="497" max="497" width="3.88671875" style="7275" customWidth="1"/>
    <col min="498" max="498" width="38.44140625" style="7275" customWidth="1"/>
    <col min="499" max="499" width="10.109375" style="7275" customWidth="1"/>
    <col min="500" max="502" width="16.44140625" style="7275" customWidth="1"/>
    <col min="503" max="752" width="9.109375" style="7275"/>
    <col min="753" max="753" width="3.88671875" style="7275" customWidth="1"/>
    <col min="754" max="754" width="38.44140625" style="7275" customWidth="1"/>
    <col min="755" max="755" width="10.109375" style="7275" customWidth="1"/>
    <col min="756" max="758" width="16.44140625" style="7275" customWidth="1"/>
    <col min="759" max="1008" width="9.109375" style="7275"/>
    <col min="1009" max="1009" width="3.88671875" style="7275" customWidth="1"/>
    <col min="1010" max="1010" width="38.44140625" style="7275" customWidth="1"/>
    <col min="1011" max="1011" width="10.109375" style="7275" customWidth="1"/>
    <col min="1012" max="1014" width="16.44140625" style="7275" customWidth="1"/>
    <col min="1015" max="1264" width="9.109375" style="7275"/>
    <col min="1265" max="1265" width="3.88671875" style="7275" customWidth="1"/>
    <col min="1266" max="1266" width="38.44140625" style="7275" customWidth="1"/>
    <col min="1267" max="1267" width="10.109375" style="7275" customWidth="1"/>
    <col min="1268" max="1270" width="16.44140625" style="7275" customWidth="1"/>
    <col min="1271" max="1520" width="9.109375" style="7275"/>
    <col min="1521" max="1521" width="3.88671875" style="7275" customWidth="1"/>
    <col min="1522" max="1522" width="38.44140625" style="7275" customWidth="1"/>
    <col min="1523" max="1523" width="10.109375" style="7275" customWidth="1"/>
    <col min="1524" max="1526" width="16.44140625" style="7275" customWidth="1"/>
    <col min="1527" max="1776" width="9.109375" style="7275"/>
    <col min="1777" max="1777" width="3.88671875" style="7275" customWidth="1"/>
    <col min="1778" max="1778" width="38.44140625" style="7275" customWidth="1"/>
    <col min="1779" max="1779" width="10.109375" style="7275" customWidth="1"/>
    <col min="1780" max="1782" width="16.44140625" style="7275" customWidth="1"/>
    <col min="1783" max="2032" width="9.109375" style="7275"/>
    <col min="2033" max="2033" width="3.88671875" style="7275" customWidth="1"/>
    <col min="2034" max="2034" width="38.44140625" style="7275" customWidth="1"/>
    <col min="2035" max="2035" width="10.109375" style="7275" customWidth="1"/>
    <col min="2036" max="2038" width="16.44140625" style="7275" customWidth="1"/>
    <col min="2039" max="2288" width="9.109375" style="7275"/>
    <col min="2289" max="2289" width="3.88671875" style="7275" customWidth="1"/>
    <col min="2290" max="2290" width="38.44140625" style="7275" customWidth="1"/>
    <col min="2291" max="2291" width="10.109375" style="7275" customWidth="1"/>
    <col min="2292" max="2294" width="16.44140625" style="7275" customWidth="1"/>
    <col min="2295" max="2544" width="9.109375" style="7275"/>
    <col min="2545" max="2545" width="3.88671875" style="7275" customWidth="1"/>
    <col min="2546" max="2546" width="38.44140625" style="7275" customWidth="1"/>
    <col min="2547" max="2547" width="10.109375" style="7275" customWidth="1"/>
    <col min="2548" max="2550" width="16.44140625" style="7275" customWidth="1"/>
    <col min="2551" max="2800" width="9.109375" style="7275"/>
    <col min="2801" max="2801" width="3.88671875" style="7275" customWidth="1"/>
    <col min="2802" max="2802" width="38.44140625" style="7275" customWidth="1"/>
    <col min="2803" max="2803" width="10.109375" style="7275" customWidth="1"/>
    <col min="2804" max="2806" width="16.44140625" style="7275" customWidth="1"/>
    <col min="2807" max="3056" width="9.109375" style="7275"/>
    <col min="3057" max="3057" width="3.88671875" style="7275" customWidth="1"/>
    <col min="3058" max="3058" width="38.44140625" style="7275" customWidth="1"/>
    <col min="3059" max="3059" width="10.109375" style="7275" customWidth="1"/>
    <col min="3060" max="3062" width="16.44140625" style="7275" customWidth="1"/>
    <col min="3063" max="3312" width="9.109375" style="7275"/>
    <col min="3313" max="3313" width="3.88671875" style="7275" customWidth="1"/>
    <col min="3314" max="3314" width="38.44140625" style="7275" customWidth="1"/>
    <col min="3315" max="3315" width="10.109375" style="7275" customWidth="1"/>
    <col min="3316" max="3318" width="16.44140625" style="7275" customWidth="1"/>
    <col min="3319" max="3568" width="9.109375" style="7275"/>
    <col min="3569" max="3569" width="3.88671875" style="7275" customWidth="1"/>
    <col min="3570" max="3570" width="38.44140625" style="7275" customWidth="1"/>
    <col min="3571" max="3571" width="10.109375" style="7275" customWidth="1"/>
    <col min="3572" max="3574" width="16.44140625" style="7275" customWidth="1"/>
    <col min="3575" max="3824" width="9.109375" style="7275"/>
    <col min="3825" max="3825" width="3.88671875" style="7275" customWidth="1"/>
    <col min="3826" max="3826" width="38.44140625" style="7275" customWidth="1"/>
    <col min="3827" max="3827" width="10.109375" style="7275" customWidth="1"/>
    <col min="3828" max="3830" width="16.44140625" style="7275" customWidth="1"/>
    <col min="3831" max="4080" width="9.109375" style="7275"/>
    <col min="4081" max="4081" width="3.88671875" style="7275" customWidth="1"/>
    <col min="4082" max="4082" width="38.44140625" style="7275" customWidth="1"/>
    <col min="4083" max="4083" width="10.109375" style="7275" customWidth="1"/>
    <col min="4084" max="4086" width="16.44140625" style="7275" customWidth="1"/>
    <col min="4087" max="4336" width="9.109375" style="7275"/>
    <col min="4337" max="4337" width="3.88671875" style="7275" customWidth="1"/>
    <col min="4338" max="4338" width="38.44140625" style="7275" customWidth="1"/>
    <col min="4339" max="4339" width="10.109375" style="7275" customWidth="1"/>
    <col min="4340" max="4342" width="16.44140625" style="7275" customWidth="1"/>
    <col min="4343" max="4592" width="9.109375" style="7275"/>
    <col min="4593" max="4593" width="3.88671875" style="7275" customWidth="1"/>
    <col min="4594" max="4594" width="38.44140625" style="7275" customWidth="1"/>
    <col min="4595" max="4595" width="10.109375" style="7275" customWidth="1"/>
    <col min="4596" max="4598" width="16.44140625" style="7275" customWidth="1"/>
    <col min="4599" max="4848" width="9.109375" style="7275"/>
    <col min="4849" max="4849" width="3.88671875" style="7275" customWidth="1"/>
    <col min="4850" max="4850" width="38.44140625" style="7275" customWidth="1"/>
    <col min="4851" max="4851" width="10.109375" style="7275" customWidth="1"/>
    <col min="4852" max="4854" width="16.44140625" style="7275" customWidth="1"/>
    <col min="4855" max="5104" width="9.109375" style="7275"/>
    <col min="5105" max="5105" width="3.88671875" style="7275" customWidth="1"/>
    <col min="5106" max="5106" width="38.44140625" style="7275" customWidth="1"/>
    <col min="5107" max="5107" width="10.109375" style="7275" customWidth="1"/>
    <col min="5108" max="5110" width="16.44140625" style="7275" customWidth="1"/>
    <col min="5111" max="5360" width="9.109375" style="7275"/>
    <col min="5361" max="5361" width="3.88671875" style="7275" customWidth="1"/>
    <col min="5362" max="5362" width="38.44140625" style="7275" customWidth="1"/>
    <col min="5363" max="5363" width="10.109375" style="7275" customWidth="1"/>
    <col min="5364" max="5366" width="16.44140625" style="7275" customWidth="1"/>
    <col min="5367" max="5616" width="9.109375" style="7275"/>
    <col min="5617" max="5617" width="3.88671875" style="7275" customWidth="1"/>
    <col min="5618" max="5618" width="38.44140625" style="7275" customWidth="1"/>
    <col min="5619" max="5619" width="10.109375" style="7275" customWidth="1"/>
    <col min="5620" max="5622" width="16.44140625" style="7275" customWidth="1"/>
    <col min="5623" max="5872" width="9.109375" style="7275"/>
    <col min="5873" max="5873" width="3.88671875" style="7275" customWidth="1"/>
    <col min="5874" max="5874" width="38.44140625" style="7275" customWidth="1"/>
    <col min="5875" max="5875" width="10.109375" style="7275" customWidth="1"/>
    <col min="5876" max="5878" width="16.44140625" style="7275" customWidth="1"/>
    <col min="5879" max="6128" width="9.109375" style="7275"/>
    <col min="6129" max="6129" width="3.88671875" style="7275" customWidth="1"/>
    <col min="6130" max="6130" width="38.44140625" style="7275" customWidth="1"/>
    <col min="6131" max="6131" width="10.109375" style="7275" customWidth="1"/>
    <col min="6132" max="6134" width="16.44140625" style="7275" customWidth="1"/>
    <col min="6135" max="6384" width="9.109375" style="7275"/>
    <col min="6385" max="6385" width="3.88671875" style="7275" customWidth="1"/>
    <col min="6386" max="6386" width="38.44140625" style="7275" customWidth="1"/>
    <col min="6387" max="6387" width="10.109375" style="7275" customWidth="1"/>
    <col min="6388" max="6390" width="16.44140625" style="7275" customWidth="1"/>
    <col min="6391" max="6640" width="9.109375" style="7275"/>
    <col min="6641" max="6641" width="3.88671875" style="7275" customWidth="1"/>
    <col min="6642" max="6642" width="38.44140625" style="7275" customWidth="1"/>
    <col min="6643" max="6643" width="10.109375" style="7275" customWidth="1"/>
    <col min="6644" max="6646" width="16.44140625" style="7275" customWidth="1"/>
    <col min="6647" max="6896" width="9.109375" style="7275"/>
    <col min="6897" max="6897" width="3.88671875" style="7275" customWidth="1"/>
    <col min="6898" max="6898" width="38.44140625" style="7275" customWidth="1"/>
    <col min="6899" max="6899" width="10.109375" style="7275" customWidth="1"/>
    <col min="6900" max="6902" width="16.44140625" style="7275" customWidth="1"/>
    <col min="6903" max="7152" width="9.109375" style="7275"/>
    <col min="7153" max="7153" width="3.88671875" style="7275" customWidth="1"/>
    <col min="7154" max="7154" width="38.44140625" style="7275" customWidth="1"/>
    <col min="7155" max="7155" width="10.109375" style="7275" customWidth="1"/>
    <col min="7156" max="7158" width="16.44140625" style="7275" customWidth="1"/>
    <col min="7159" max="7408" width="9.109375" style="7275"/>
    <col min="7409" max="7409" width="3.88671875" style="7275" customWidth="1"/>
    <col min="7410" max="7410" width="38.44140625" style="7275" customWidth="1"/>
    <col min="7411" max="7411" width="10.109375" style="7275" customWidth="1"/>
    <col min="7412" max="7414" width="16.44140625" style="7275" customWidth="1"/>
    <col min="7415" max="7664" width="9.109375" style="7275"/>
    <col min="7665" max="7665" width="3.88671875" style="7275" customWidth="1"/>
    <col min="7666" max="7666" width="38.44140625" style="7275" customWidth="1"/>
    <col min="7667" max="7667" width="10.109375" style="7275" customWidth="1"/>
    <col min="7668" max="7670" width="16.44140625" style="7275" customWidth="1"/>
    <col min="7671" max="7920" width="9.109375" style="7275"/>
    <col min="7921" max="7921" width="3.88671875" style="7275" customWidth="1"/>
    <col min="7922" max="7922" width="38.44140625" style="7275" customWidth="1"/>
    <col min="7923" max="7923" width="10.109375" style="7275" customWidth="1"/>
    <col min="7924" max="7926" width="16.44140625" style="7275" customWidth="1"/>
    <col min="7927" max="8176" width="9.109375" style="7275"/>
    <col min="8177" max="8177" width="3.88671875" style="7275" customWidth="1"/>
    <col min="8178" max="8178" width="38.44140625" style="7275" customWidth="1"/>
    <col min="8179" max="8179" width="10.109375" style="7275" customWidth="1"/>
    <col min="8180" max="8182" width="16.44140625" style="7275" customWidth="1"/>
    <col min="8183" max="8432" width="9.109375" style="7275"/>
    <col min="8433" max="8433" width="3.88671875" style="7275" customWidth="1"/>
    <col min="8434" max="8434" width="38.44140625" style="7275" customWidth="1"/>
    <col min="8435" max="8435" width="10.109375" style="7275" customWidth="1"/>
    <col min="8436" max="8438" width="16.44140625" style="7275" customWidth="1"/>
    <col min="8439" max="8688" width="9.109375" style="7275"/>
    <col min="8689" max="8689" width="3.88671875" style="7275" customWidth="1"/>
    <col min="8690" max="8690" width="38.44140625" style="7275" customWidth="1"/>
    <col min="8691" max="8691" width="10.109375" style="7275" customWidth="1"/>
    <col min="8692" max="8694" width="16.44140625" style="7275" customWidth="1"/>
    <col min="8695" max="8944" width="9.109375" style="7275"/>
    <col min="8945" max="8945" width="3.88671875" style="7275" customWidth="1"/>
    <col min="8946" max="8946" width="38.44140625" style="7275" customWidth="1"/>
    <col min="8947" max="8947" width="10.109375" style="7275" customWidth="1"/>
    <col min="8948" max="8950" width="16.44140625" style="7275" customWidth="1"/>
    <col min="8951" max="9200" width="9.109375" style="7275"/>
    <col min="9201" max="9201" width="3.88671875" style="7275" customWidth="1"/>
    <col min="9202" max="9202" width="38.44140625" style="7275" customWidth="1"/>
    <col min="9203" max="9203" width="10.109375" style="7275" customWidth="1"/>
    <col min="9204" max="9206" width="16.44140625" style="7275" customWidth="1"/>
    <col min="9207" max="9456" width="9.109375" style="7275"/>
    <col min="9457" max="9457" width="3.88671875" style="7275" customWidth="1"/>
    <col min="9458" max="9458" width="38.44140625" style="7275" customWidth="1"/>
    <col min="9459" max="9459" width="10.109375" style="7275" customWidth="1"/>
    <col min="9460" max="9462" width="16.44140625" style="7275" customWidth="1"/>
    <col min="9463" max="9712" width="9.109375" style="7275"/>
    <col min="9713" max="9713" width="3.88671875" style="7275" customWidth="1"/>
    <col min="9714" max="9714" width="38.44140625" style="7275" customWidth="1"/>
    <col min="9715" max="9715" width="10.109375" style="7275" customWidth="1"/>
    <col min="9716" max="9718" width="16.44140625" style="7275" customWidth="1"/>
    <col min="9719" max="9968" width="9.109375" style="7275"/>
    <col min="9969" max="9969" width="3.88671875" style="7275" customWidth="1"/>
    <col min="9970" max="9970" width="38.44140625" style="7275" customWidth="1"/>
    <col min="9971" max="9971" width="10.109375" style="7275" customWidth="1"/>
    <col min="9972" max="9974" width="16.44140625" style="7275" customWidth="1"/>
    <col min="9975" max="10224" width="9.109375" style="7275"/>
    <col min="10225" max="10225" width="3.88671875" style="7275" customWidth="1"/>
    <col min="10226" max="10226" width="38.44140625" style="7275" customWidth="1"/>
    <col min="10227" max="10227" width="10.109375" style="7275" customWidth="1"/>
    <col min="10228" max="10230" width="16.44140625" style="7275" customWidth="1"/>
    <col min="10231" max="10480" width="9.109375" style="7275"/>
    <col min="10481" max="10481" width="3.88671875" style="7275" customWidth="1"/>
    <col min="10482" max="10482" width="38.44140625" style="7275" customWidth="1"/>
    <col min="10483" max="10483" width="10.109375" style="7275" customWidth="1"/>
    <col min="10484" max="10486" width="16.44140625" style="7275" customWidth="1"/>
    <col min="10487" max="10736" width="9.109375" style="7275"/>
    <col min="10737" max="10737" width="3.88671875" style="7275" customWidth="1"/>
    <col min="10738" max="10738" width="38.44140625" style="7275" customWidth="1"/>
    <col min="10739" max="10739" width="10.109375" style="7275" customWidth="1"/>
    <col min="10740" max="10742" width="16.44140625" style="7275" customWidth="1"/>
    <col min="10743" max="10992" width="9.109375" style="7275"/>
    <col min="10993" max="10993" width="3.88671875" style="7275" customWidth="1"/>
    <col min="10994" max="10994" width="38.44140625" style="7275" customWidth="1"/>
    <col min="10995" max="10995" width="10.109375" style="7275" customWidth="1"/>
    <col min="10996" max="10998" width="16.44140625" style="7275" customWidth="1"/>
    <col min="10999" max="11248" width="9.109375" style="7275"/>
    <col min="11249" max="11249" width="3.88671875" style="7275" customWidth="1"/>
    <col min="11250" max="11250" width="38.44140625" style="7275" customWidth="1"/>
    <col min="11251" max="11251" width="10.109375" style="7275" customWidth="1"/>
    <col min="11252" max="11254" width="16.44140625" style="7275" customWidth="1"/>
    <col min="11255" max="11504" width="9.109375" style="7275"/>
    <col min="11505" max="11505" width="3.88671875" style="7275" customWidth="1"/>
    <col min="11506" max="11506" width="38.44140625" style="7275" customWidth="1"/>
    <col min="11507" max="11507" width="10.109375" style="7275" customWidth="1"/>
    <col min="11508" max="11510" width="16.44140625" style="7275" customWidth="1"/>
    <col min="11511" max="11760" width="9.109375" style="7275"/>
    <col min="11761" max="11761" width="3.88671875" style="7275" customWidth="1"/>
    <col min="11762" max="11762" width="38.44140625" style="7275" customWidth="1"/>
    <col min="11763" max="11763" width="10.109375" style="7275" customWidth="1"/>
    <col min="11764" max="11766" width="16.44140625" style="7275" customWidth="1"/>
    <col min="11767" max="12016" width="9.109375" style="7275"/>
    <col min="12017" max="12017" width="3.88671875" style="7275" customWidth="1"/>
    <col min="12018" max="12018" width="38.44140625" style="7275" customWidth="1"/>
    <col min="12019" max="12019" width="10.109375" style="7275" customWidth="1"/>
    <col min="12020" max="12022" width="16.44140625" style="7275" customWidth="1"/>
    <col min="12023" max="12272" width="9.109375" style="7275"/>
    <col min="12273" max="12273" width="3.88671875" style="7275" customWidth="1"/>
    <col min="12274" max="12274" width="38.44140625" style="7275" customWidth="1"/>
    <col min="12275" max="12275" width="10.109375" style="7275" customWidth="1"/>
    <col min="12276" max="12278" width="16.44140625" style="7275" customWidth="1"/>
    <col min="12279" max="12528" width="9.109375" style="7275"/>
    <col min="12529" max="12529" width="3.88671875" style="7275" customWidth="1"/>
    <col min="12530" max="12530" width="38.44140625" style="7275" customWidth="1"/>
    <col min="12531" max="12531" width="10.109375" style="7275" customWidth="1"/>
    <col min="12532" max="12534" width="16.44140625" style="7275" customWidth="1"/>
    <col min="12535" max="12784" width="9.109375" style="7275"/>
    <col min="12785" max="12785" width="3.88671875" style="7275" customWidth="1"/>
    <col min="12786" max="12786" width="38.44140625" style="7275" customWidth="1"/>
    <col min="12787" max="12787" width="10.109375" style="7275" customWidth="1"/>
    <col min="12788" max="12790" width="16.44140625" style="7275" customWidth="1"/>
    <col min="12791" max="13040" width="9.109375" style="7275"/>
    <col min="13041" max="13041" width="3.88671875" style="7275" customWidth="1"/>
    <col min="13042" max="13042" width="38.44140625" style="7275" customWidth="1"/>
    <col min="13043" max="13043" width="10.109375" style="7275" customWidth="1"/>
    <col min="13044" max="13046" width="16.44140625" style="7275" customWidth="1"/>
    <col min="13047" max="13296" width="9.109375" style="7275"/>
    <col min="13297" max="13297" width="3.88671875" style="7275" customWidth="1"/>
    <col min="13298" max="13298" width="38.44140625" style="7275" customWidth="1"/>
    <col min="13299" max="13299" width="10.109375" style="7275" customWidth="1"/>
    <col min="13300" max="13302" width="16.44140625" style="7275" customWidth="1"/>
    <col min="13303" max="13552" width="9.109375" style="7275"/>
    <col min="13553" max="13553" width="3.88671875" style="7275" customWidth="1"/>
    <col min="13554" max="13554" width="38.44140625" style="7275" customWidth="1"/>
    <col min="13555" max="13555" width="10.109375" style="7275" customWidth="1"/>
    <col min="13556" max="13558" width="16.44140625" style="7275" customWidth="1"/>
    <col min="13559" max="13808" width="9.109375" style="7275"/>
    <col min="13809" max="13809" width="3.88671875" style="7275" customWidth="1"/>
    <col min="13810" max="13810" width="38.44140625" style="7275" customWidth="1"/>
    <col min="13811" max="13811" width="10.109375" style="7275" customWidth="1"/>
    <col min="13812" max="13814" width="16.44140625" style="7275" customWidth="1"/>
    <col min="13815" max="14064" width="9.109375" style="7275"/>
    <col min="14065" max="14065" width="3.88671875" style="7275" customWidth="1"/>
    <col min="14066" max="14066" width="38.44140625" style="7275" customWidth="1"/>
    <col min="14067" max="14067" width="10.109375" style="7275" customWidth="1"/>
    <col min="14068" max="14070" width="16.44140625" style="7275" customWidth="1"/>
    <col min="14071" max="14320" width="9.109375" style="7275"/>
    <col min="14321" max="14321" width="3.88671875" style="7275" customWidth="1"/>
    <col min="14322" max="14322" width="38.44140625" style="7275" customWidth="1"/>
    <col min="14323" max="14323" width="10.109375" style="7275" customWidth="1"/>
    <col min="14324" max="14326" width="16.44140625" style="7275" customWidth="1"/>
    <col min="14327" max="14576" width="9.109375" style="7275"/>
    <col min="14577" max="14577" width="3.88671875" style="7275" customWidth="1"/>
    <col min="14578" max="14578" width="38.44140625" style="7275" customWidth="1"/>
    <col min="14579" max="14579" width="10.109375" style="7275" customWidth="1"/>
    <col min="14580" max="14582" width="16.44140625" style="7275" customWidth="1"/>
    <col min="14583" max="14832" width="9.109375" style="7275"/>
    <col min="14833" max="14833" width="3.88671875" style="7275" customWidth="1"/>
    <col min="14834" max="14834" width="38.44140625" style="7275" customWidth="1"/>
    <col min="14835" max="14835" width="10.109375" style="7275" customWidth="1"/>
    <col min="14836" max="14838" width="16.44140625" style="7275" customWidth="1"/>
    <col min="14839" max="15088" width="9.109375" style="7275"/>
    <col min="15089" max="15089" width="3.88671875" style="7275" customWidth="1"/>
    <col min="15090" max="15090" width="38.44140625" style="7275" customWidth="1"/>
    <col min="15091" max="15091" width="10.109375" style="7275" customWidth="1"/>
    <col min="15092" max="15094" width="16.44140625" style="7275" customWidth="1"/>
    <col min="15095" max="15344" width="9.109375" style="7275"/>
    <col min="15345" max="15345" width="3.88671875" style="7275" customWidth="1"/>
    <col min="15346" max="15346" width="38.44140625" style="7275" customWidth="1"/>
    <col min="15347" max="15347" width="10.109375" style="7275" customWidth="1"/>
    <col min="15348" max="15350" width="16.44140625" style="7275" customWidth="1"/>
    <col min="15351" max="15600" width="9.109375" style="7275"/>
    <col min="15601" max="15601" width="3.88671875" style="7275" customWidth="1"/>
    <col min="15602" max="15602" width="38.44140625" style="7275" customWidth="1"/>
    <col min="15603" max="15603" width="10.109375" style="7275" customWidth="1"/>
    <col min="15604" max="15606" width="16.44140625" style="7275" customWidth="1"/>
    <col min="15607" max="15856" width="9.109375" style="7275"/>
    <col min="15857" max="15857" width="3.88671875" style="7275" customWidth="1"/>
    <col min="15858" max="15858" width="38.44140625" style="7275" customWidth="1"/>
    <col min="15859" max="15859" width="10.109375" style="7275" customWidth="1"/>
    <col min="15860" max="15862" width="16.44140625" style="7275" customWidth="1"/>
    <col min="15863" max="16112" width="9.109375" style="7275"/>
    <col min="16113" max="16113" width="3.88671875" style="7275" customWidth="1"/>
    <col min="16114" max="16114" width="38.44140625" style="7275" customWidth="1"/>
    <col min="16115" max="16115" width="10.109375" style="7275" customWidth="1"/>
    <col min="16116" max="16118" width="16.44140625" style="7275" customWidth="1"/>
    <col min="16119" max="16384" width="9.109375" style="7275"/>
  </cols>
  <sheetData>
    <row r="1" spans="1:15" ht="15" customHeight="1">
      <c r="A1" s="14807" t="s">
        <v>1</v>
      </c>
      <c r="B1" s="14807"/>
      <c r="C1" s="14807"/>
      <c r="D1" s="14807"/>
      <c r="E1" s="14807"/>
      <c r="F1" s="14807"/>
      <c r="G1" s="14807"/>
      <c r="H1" s="14807"/>
      <c r="I1" s="14807"/>
      <c r="J1" s="14807"/>
    </row>
    <row r="2" spans="1:15" ht="15" customHeight="1">
      <c r="A2" s="7276"/>
      <c r="B2" s="7276"/>
      <c r="C2" s="9337"/>
      <c r="D2" s="7285"/>
      <c r="E2" s="9481"/>
      <c r="F2" s="9481"/>
      <c r="G2" s="7285"/>
      <c r="H2" s="7285"/>
      <c r="I2" s="7286"/>
      <c r="J2" s="7285"/>
    </row>
    <row r="3" spans="1:15" ht="15" customHeight="1">
      <c r="A3" s="7276" t="s">
        <v>2</v>
      </c>
      <c r="B3" s="7281"/>
      <c r="C3" s="9338" t="s">
        <v>10076</v>
      </c>
      <c r="D3" s="7283"/>
      <c r="E3" s="9482"/>
      <c r="F3" s="9482"/>
      <c r="G3" s="7283"/>
      <c r="H3" s="7283"/>
      <c r="I3" s="7284"/>
      <c r="J3" s="14984"/>
    </row>
    <row r="4" spans="1:15" ht="15" customHeight="1">
      <c r="A4" s="7276" t="s">
        <v>10746</v>
      </c>
      <c r="B4" s="7276"/>
      <c r="C4" s="9337" t="s">
        <v>178</v>
      </c>
      <c r="D4" s="7285"/>
      <c r="E4" s="9481"/>
      <c r="F4" s="9481"/>
      <c r="G4" s="7285"/>
      <c r="H4" s="7285"/>
      <c r="I4" s="7286"/>
      <c r="J4" s="14984"/>
    </row>
    <row r="5" spans="1:15" ht="15" customHeight="1" thickBot="1">
      <c r="A5" s="7287" t="s">
        <v>7</v>
      </c>
      <c r="B5" s="7287"/>
      <c r="C5" s="9339" t="s">
        <v>8</v>
      </c>
      <c r="D5" s="7289"/>
      <c r="E5" s="9490"/>
      <c r="F5" s="9490"/>
      <c r="G5" s="7289"/>
      <c r="H5" s="7289"/>
      <c r="I5" s="7290"/>
      <c r="J5" s="7289"/>
    </row>
    <row r="6" spans="1:15" ht="15" customHeight="1">
      <c r="A6" s="7694"/>
      <c r="B6" s="11658"/>
      <c r="C6" s="14983" t="s">
        <v>14</v>
      </c>
      <c r="D6" s="10868" t="s">
        <v>10</v>
      </c>
      <c r="E6" s="14188" t="s">
        <v>10711</v>
      </c>
      <c r="F6" s="14189"/>
      <c r="G6" s="14190"/>
      <c r="H6" s="11080" t="s">
        <v>9985</v>
      </c>
      <c r="I6" s="9462"/>
      <c r="J6" s="11659" t="s">
        <v>12</v>
      </c>
    </row>
    <row r="7" spans="1:15" ht="15" customHeight="1">
      <c r="A7" s="7657"/>
      <c r="B7" s="7295" t="s">
        <v>13</v>
      </c>
      <c r="C7" s="14981"/>
      <c r="D7" s="11123" t="s">
        <v>15</v>
      </c>
      <c r="E7" s="9502" t="s">
        <v>10709</v>
      </c>
      <c r="F7" s="9503" t="s">
        <v>10710</v>
      </c>
      <c r="G7" s="14191" t="s">
        <v>458</v>
      </c>
      <c r="H7" s="11084" t="s">
        <v>11871</v>
      </c>
      <c r="I7" s="11108"/>
      <c r="J7" s="11660" t="s">
        <v>16</v>
      </c>
    </row>
    <row r="8" spans="1:15" ht="15" customHeight="1" thickBot="1">
      <c r="A8" s="7699"/>
      <c r="B8" s="7897"/>
      <c r="C8" s="14982"/>
      <c r="D8" s="9455">
        <v>2017</v>
      </c>
      <c r="E8" s="9467" t="s">
        <v>457</v>
      </c>
      <c r="F8" s="11661" t="s">
        <v>456</v>
      </c>
      <c r="G8" s="14192"/>
      <c r="H8" s="7302">
        <v>2018</v>
      </c>
      <c r="I8" s="7322"/>
      <c r="J8" s="11662">
        <v>2019</v>
      </c>
    </row>
    <row r="9" spans="1:15" ht="15" customHeight="1">
      <c r="A9" s="11663" t="s">
        <v>17</v>
      </c>
      <c r="B9" s="7287" t="s">
        <v>18</v>
      </c>
      <c r="C9" s="8802"/>
      <c r="D9" s="11664"/>
      <c r="E9" s="11488"/>
      <c r="F9" s="11488"/>
      <c r="G9" s="11664"/>
      <c r="H9" s="11664"/>
      <c r="I9" s="11163"/>
      <c r="J9" s="11665"/>
    </row>
    <row r="10" spans="1:15" ht="15" customHeight="1">
      <c r="A10" s="7657"/>
      <c r="B10" s="7287" t="s">
        <v>19</v>
      </c>
      <c r="C10" s="8802"/>
      <c r="D10" s="11664"/>
      <c r="E10" s="11666"/>
      <c r="F10" s="11488"/>
      <c r="G10" s="11664"/>
      <c r="H10" s="11664"/>
      <c r="I10" s="11163"/>
      <c r="J10" s="11665"/>
    </row>
    <row r="11" spans="1:15" ht="15" customHeight="1">
      <c r="A11" s="7657"/>
      <c r="B11" s="7287" t="s">
        <v>20</v>
      </c>
      <c r="C11" s="8802">
        <v>50101010</v>
      </c>
      <c r="D11" s="11667">
        <f>'WS-PS 2017'!B27</f>
        <v>31689522.93</v>
      </c>
      <c r="E11" s="11668">
        <f>'WS-PS ACTUAL JUNE 2018'!B27</f>
        <v>17313363.960000001</v>
      </c>
      <c r="F11" s="11669">
        <f>G11-E11</f>
        <v>21974384.039999999</v>
      </c>
      <c r="G11" s="11667">
        <v>39287748</v>
      </c>
      <c r="H11" s="11667"/>
      <c r="I11" s="11165"/>
      <c r="J11" s="11670">
        <f>K11</f>
        <v>43407312</v>
      </c>
      <c r="K11" s="11654">
        <f>'staffing-pho'!F116</f>
        <v>43407312</v>
      </c>
      <c r="L11" s="7346">
        <f>'staffing-pho'!B116</f>
        <v>138</v>
      </c>
    </row>
    <row r="12" spans="1:15" ht="15" customHeight="1">
      <c r="A12" s="7657"/>
      <c r="B12" s="7287" t="s">
        <v>21</v>
      </c>
      <c r="C12" s="8802">
        <v>50102010</v>
      </c>
      <c r="D12" s="11664">
        <f>'WS-PS 2017'!F27</f>
        <v>2831467</v>
      </c>
      <c r="E12" s="11668">
        <f>'WS-PS ACTUAL JUNE 2018'!D27</f>
        <v>1445914.64</v>
      </c>
      <c r="F12" s="11669">
        <f t="shared" ref="F12:F30" si="0">G12-E12</f>
        <v>1770085.36</v>
      </c>
      <c r="G12" s="11664">
        <v>3216000</v>
      </c>
      <c r="H12" s="11664"/>
      <c r="I12" s="11163"/>
      <c r="J12" s="11670">
        <f t="shared" ref="J12:J30" si="1">K12</f>
        <v>3312000</v>
      </c>
      <c r="K12" s="7502">
        <f>24000*L11</f>
        <v>3312000</v>
      </c>
      <c r="N12" s="10284">
        <v>8500</v>
      </c>
      <c r="O12" s="10284">
        <v>7500</v>
      </c>
    </row>
    <row r="13" spans="1:15" ht="15" customHeight="1">
      <c r="A13" s="7657"/>
      <c r="B13" s="7287" t="s">
        <v>104</v>
      </c>
      <c r="C13" s="8802">
        <v>50102020</v>
      </c>
      <c r="D13" s="11664">
        <f>'WS-PS 2017'!G27</f>
        <v>308250</v>
      </c>
      <c r="E13" s="11668">
        <f>'WS-PS ACTUAL JUNE 2018'!E27</f>
        <v>153125</v>
      </c>
      <c r="F13" s="11669">
        <f t="shared" si="0"/>
        <v>308875</v>
      </c>
      <c r="G13" s="11664">
        <v>462000</v>
      </c>
      <c r="H13" s="11664"/>
      <c r="I13" s="11163"/>
      <c r="J13" s="11670">
        <f t="shared" si="1"/>
        <v>462000</v>
      </c>
      <c r="K13" s="7502">
        <v>462000</v>
      </c>
      <c r="M13" s="7275" t="s">
        <v>643</v>
      </c>
      <c r="N13" s="7780">
        <v>1</v>
      </c>
      <c r="O13" s="7780">
        <v>4</v>
      </c>
    </row>
    <row r="14" spans="1:15" ht="15" customHeight="1">
      <c r="A14" s="7657"/>
      <c r="B14" s="7287" t="s">
        <v>105</v>
      </c>
      <c r="C14" s="8802">
        <v>50102030</v>
      </c>
      <c r="D14" s="11664">
        <f>'WS-PS 2017'!H27</f>
        <v>308250</v>
      </c>
      <c r="E14" s="11668">
        <f>'WS-PS ACTUAL JUNE 2018'!F27</f>
        <v>153125</v>
      </c>
      <c r="F14" s="11669">
        <f t="shared" si="0"/>
        <v>308875</v>
      </c>
      <c r="G14" s="11664">
        <v>462000</v>
      </c>
      <c r="H14" s="11664"/>
      <c r="I14" s="11163"/>
      <c r="J14" s="11670">
        <f t="shared" si="1"/>
        <v>462000</v>
      </c>
      <c r="K14" s="7502">
        <v>462000</v>
      </c>
      <c r="M14" s="7275" t="s">
        <v>644</v>
      </c>
      <c r="N14" s="7780">
        <v>1</v>
      </c>
      <c r="O14" s="7780">
        <v>4</v>
      </c>
    </row>
    <row r="15" spans="1:15" ht="15" customHeight="1">
      <c r="A15" s="7657"/>
      <c r="B15" s="7287" t="s">
        <v>22</v>
      </c>
      <c r="C15" s="8802">
        <v>50102040</v>
      </c>
      <c r="D15" s="11664">
        <f>'WS-PS 2017'!I27</f>
        <v>595000</v>
      </c>
      <c r="E15" s="11668">
        <f>'WS-PS ACTUAL JUNE 2018'!G27</f>
        <v>707000</v>
      </c>
      <c r="F15" s="11669">
        <f t="shared" si="0"/>
        <v>-37000</v>
      </c>
      <c r="G15" s="11664">
        <v>670000</v>
      </c>
      <c r="H15" s="11664"/>
      <c r="I15" s="11163"/>
      <c r="J15" s="11670">
        <f t="shared" si="1"/>
        <v>828000</v>
      </c>
      <c r="K15" s="7502">
        <f>6000*L11</f>
        <v>828000</v>
      </c>
    </row>
    <row r="16" spans="1:15" ht="15" customHeight="1">
      <c r="A16" s="7657"/>
      <c r="B16" s="7287" t="s">
        <v>179</v>
      </c>
      <c r="C16" s="8802">
        <v>50102050</v>
      </c>
      <c r="D16" s="11664">
        <f>'WS-PS 2017'!J27</f>
        <v>1014925.33</v>
      </c>
      <c r="E16" s="11668">
        <f>'WS-PS ACTUAL JUNE 2018'!H27</f>
        <v>490241.32</v>
      </c>
      <c r="F16" s="11669">
        <f t="shared" si="0"/>
        <v>2011758.68</v>
      </c>
      <c r="G16" s="11664">
        <v>2502000</v>
      </c>
      <c r="H16" s="11664"/>
      <c r="I16" s="11163"/>
      <c r="J16" s="11670">
        <f t="shared" si="1"/>
        <v>1458000</v>
      </c>
      <c r="K16" s="7502">
        <f>10800*(L11-3)</f>
        <v>1458000</v>
      </c>
    </row>
    <row r="17" spans="1:11" ht="15" customHeight="1">
      <c r="A17" s="7657"/>
      <c r="B17" s="7352" t="s">
        <v>10970</v>
      </c>
      <c r="C17" s="8802">
        <v>50102060</v>
      </c>
      <c r="D17" s="11664">
        <f>'WS-PS 2017'!K27</f>
        <v>200460.76</v>
      </c>
      <c r="E17" s="11668">
        <f>'WS-PS ACTUAL JUNE 2018'!I27</f>
        <v>98899.8</v>
      </c>
      <c r="F17" s="11669">
        <f t="shared" si="0"/>
        <v>151300.20000000001</v>
      </c>
      <c r="G17" s="11664">
        <v>250200</v>
      </c>
      <c r="H17" s="11664"/>
      <c r="I17" s="11163"/>
      <c r="J17" s="11670">
        <f t="shared" si="1"/>
        <v>243000</v>
      </c>
      <c r="K17" s="7502">
        <f>1800*(L11-3)</f>
        <v>243000</v>
      </c>
    </row>
    <row r="18" spans="1:11" ht="15" customHeight="1">
      <c r="A18" s="7657"/>
      <c r="B18" s="7488" t="s">
        <v>10932</v>
      </c>
      <c r="C18" s="10368">
        <v>50102080</v>
      </c>
      <c r="D18" s="11664">
        <f>'WS-PS 2017'!L27</f>
        <v>582000</v>
      </c>
      <c r="E18" s="11668">
        <f>'WS-PS ACTUAL JUNE 2018'!J27</f>
        <v>0</v>
      </c>
      <c r="F18" s="11669">
        <f t="shared" si="0"/>
        <v>670000</v>
      </c>
      <c r="G18" s="11664">
        <v>670000</v>
      </c>
      <c r="H18" s="11664"/>
      <c r="I18" s="11163"/>
      <c r="J18" s="11670">
        <f t="shared" si="1"/>
        <v>690000</v>
      </c>
      <c r="K18" s="7502">
        <f>5000*L11</f>
        <v>690000</v>
      </c>
    </row>
    <row r="19" spans="1:11" ht="15" customHeight="1">
      <c r="A19" s="7657"/>
      <c r="B19" s="7287" t="s">
        <v>95</v>
      </c>
      <c r="C19" s="8802">
        <v>50102110</v>
      </c>
      <c r="D19" s="11664">
        <f>'WS-PS 2017'!N27</f>
        <v>7184309.2999999998</v>
      </c>
      <c r="E19" s="11668">
        <f>'WS-PS ACTUAL JUNE 2018'!L27</f>
        <v>3968333.85</v>
      </c>
      <c r="F19" s="11669">
        <f t="shared" si="0"/>
        <v>2956742.15</v>
      </c>
      <c r="G19" s="11664">
        <v>6925076</v>
      </c>
      <c r="H19" s="11664"/>
      <c r="I19" s="11163"/>
      <c r="J19" s="11670">
        <f t="shared" si="1"/>
        <v>10752216</v>
      </c>
      <c r="K19" s="11654">
        <f>25%*(K11-398448)</f>
        <v>10752216</v>
      </c>
    </row>
    <row r="20" spans="1:11" ht="15" customHeight="1">
      <c r="A20" s="7657"/>
      <c r="B20" s="7488" t="s">
        <v>10934</v>
      </c>
      <c r="C20" s="8872">
        <v>50102120</v>
      </c>
      <c r="D20" s="11664">
        <f>'WS-PS 2017'!O27</f>
        <v>75000</v>
      </c>
      <c r="E20" s="11488">
        <f>'WS-PS ACTUAL JUNE 2018'!M27</f>
        <v>15000</v>
      </c>
      <c r="F20" s="11669">
        <f>G20-E20</f>
        <v>85000</v>
      </c>
      <c r="G20" s="11664">
        <v>100000</v>
      </c>
      <c r="H20" s="11664"/>
      <c r="I20" s="11163"/>
      <c r="J20" s="11670">
        <f t="shared" si="1"/>
        <v>130000</v>
      </c>
      <c r="K20" s="7502">
        <v>130000</v>
      </c>
    </row>
    <row r="21" spans="1:11" ht="15" customHeight="1">
      <c r="A21" s="7657"/>
      <c r="B21" s="7287" t="s">
        <v>141</v>
      </c>
      <c r="C21" s="8802">
        <v>50102130</v>
      </c>
      <c r="D21" s="11664">
        <f>'WS-PS 2017'!R27</f>
        <v>0</v>
      </c>
      <c r="E21" s="11666">
        <f>'WS-PS ACTUAL JUNE 2018'!N27</f>
        <v>0</v>
      </c>
      <c r="F21" s="11669">
        <f t="shared" si="0"/>
        <v>10000</v>
      </c>
      <c r="G21" s="11664">
        <v>10000</v>
      </c>
      <c r="H21" s="11664"/>
      <c r="I21" s="11163"/>
      <c r="J21" s="11670">
        <v>10000</v>
      </c>
      <c r="K21" s="7502">
        <v>10000</v>
      </c>
    </row>
    <row r="22" spans="1:11" ht="15" customHeight="1">
      <c r="A22" s="7657"/>
      <c r="B22" s="7488" t="s">
        <v>10933</v>
      </c>
      <c r="C22" s="8872">
        <v>50102140</v>
      </c>
      <c r="D22" s="11667">
        <f>'WS-PS 2017'!U27+'WS-PS 2017'!S27</f>
        <v>5294003.5999999996</v>
      </c>
      <c r="E22" s="11671">
        <f>'WS-PS ACTUAL JUNE 2018'!O27</f>
        <v>2688999</v>
      </c>
      <c r="F22" s="11669">
        <f>G22-E22</f>
        <v>3858959</v>
      </c>
      <c r="G22" s="11667">
        <v>6547958</v>
      </c>
      <c r="H22" s="11667"/>
      <c r="I22" s="11165"/>
      <c r="J22" s="11670">
        <f t="shared" si="1"/>
        <v>7234552</v>
      </c>
      <c r="K22" s="7502">
        <f>SUM(K10:K11)/12*2</f>
        <v>7234552</v>
      </c>
    </row>
    <row r="23" spans="1:11" ht="15" customHeight="1">
      <c r="A23" s="7657"/>
      <c r="B23" s="7287" t="s">
        <v>26</v>
      </c>
      <c r="C23" s="8802">
        <v>50102150</v>
      </c>
      <c r="D23" s="11664">
        <f>'WS-PS 2017'!T27</f>
        <v>599750</v>
      </c>
      <c r="E23" s="11488">
        <f>'WS-PS ACTUAL JUNE 2018'!Q27</f>
        <v>0</v>
      </c>
      <c r="F23" s="11669">
        <f t="shared" si="0"/>
        <v>670000</v>
      </c>
      <c r="G23" s="11664">
        <v>670000</v>
      </c>
      <c r="H23" s="11664"/>
      <c r="I23" s="11163"/>
      <c r="J23" s="11670">
        <f t="shared" si="1"/>
        <v>690000</v>
      </c>
      <c r="K23" s="10573">
        <f>K18</f>
        <v>690000</v>
      </c>
    </row>
    <row r="24" spans="1:11" ht="15" customHeight="1">
      <c r="A24" s="7657"/>
      <c r="B24" s="7488" t="s">
        <v>11497</v>
      </c>
      <c r="C24" s="11257">
        <v>50102990</v>
      </c>
      <c r="D24" s="11664">
        <v>0</v>
      </c>
      <c r="E24" s="11668">
        <f>'WS-PS ACTUAL JUNE 2018'!R27</f>
        <v>0</v>
      </c>
      <c r="F24" s="11669">
        <f>G24-E24</f>
        <v>1882538</v>
      </c>
      <c r="G24" s="11664">
        <v>1882538</v>
      </c>
      <c r="H24" s="11664"/>
      <c r="I24" s="11163"/>
      <c r="J24" s="11670">
        <v>0</v>
      </c>
      <c r="K24" s="7502">
        <f>K11/12*0.575</f>
        <v>2079933.7</v>
      </c>
    </row>
    <row r="25" spans="1:11" ht="15" customHeight="1">
      <c r="A25" s="7657"/>
      <c r="B25" s="7803" t="s">
        <v>11499</v>
      </c>
      <c r="C25" s="11059" t="s">
        <v>11495</v>
      </c>
      <c r="D25" s="11664">
        <f>'WS-PS 2017'!Q27</f>
        <v>0</v>
      </c>
      <c r="E25" s="11668">
        <f>'WS-PS ACTUAL JUNE 2018'!S27</f>
        <v>0</v>
      </c>
      <c r="F25" s="11669">
        <f>G25-E25</f>
        <v>0</v>
      </c>
      <c r="G25" s="11664">
        <v>0</v>
      </c>
      <c r="H25" s="11664"/>
      <c r="I25" s="11163"/>
      <c r="J25" s="11670">
        <f t="shared" si="1"/>
        <v>414000</v>
      </c>
      <c r="K25" s="7502">
        <f>3000*L11</f>
        <v>414000</v>
      </c>
    </row>
    <row r="26" spans="1:11" ht="15" customHeight="1">
      <c r="A26" s="7657"/>
      <c r="B26" s="11518" t="s">
        <v>59</v>
      </c>
      <c r="C26" s="8872">
        <v>50103010</v>
      </c>
      <c r="D26" s="11664">
        <f>'WS-PS 2017'!V27</f>
        <v>3803171.48</v>
      </c>
      <c r="E26" s="11488">
        <f>'WS-PS ACTUAL JUNE 2018'!T27</f>
        <v>2077603.67</v>
      </c>
      <c r="F26" s="11669">
        <f t="shared" si="0"/>
        <v>2636926.33</v>
      </c>
      <c r="G26" s="11664">
        <v>4714530</v>
      </c>
      <c r="H26" s="11664"/>
      <c r="I26" s="11163"/>
      <c r="J26" s="11670">
        <f t="shared" si="1"/>
        <v>5208877.4399999995</v>
      </c>
      <c r="K26" s="11655">
        <f>SUM(K10:K11)*12%</f>
        <v>5208877.4399999995</v>
      </c>
    </row>
    <row r="27" spans="1:11" ht="15" customHeight="1">
      <c r="A27" s="7657"/>
      <c r="B27" s="7803" t="s">
        <v>28</v>
      </c>
      <c r="C27" s="8872">
        <v>50103020</v>
      </c>
      <c r="D27" s="11664">
        <f>'WS-PS 2017'!W27</f>
        <v>142250</v>
      </c>
      <c r="E27" s="11488">
        <f>'WS-PS ACTUAL JUNE 2018'!U27</f>
        <v>72600</v>
      </c>
      <c r="F27" s="11669">
        <f t="shared" si="0"/>
        <v>88200</v>
      </c>
      <c r="G27" s="11664">
        <v>160800</v>
      </c>
      <c r="H27" s="11664"/>
      <c r="I27" s="11163"/>
      <c r="J27" s="11670">
        <f t="shared" si="1"/>
        <v>165600</v>
      </c>
      <c r="K27" s="7502">
        <f>1200*L11</f>
        <v>165600</v>
      </c>
    </row>
    <row r="28" spans="1:11" ht="15" customHeight="1">
      <c r="A28" s="7657"/>
      <c r="B28" s="7803" t="s">
        <v>29</v>
      </c>
      <c r="C28" s="8872">
        <v>50103030</v>
      </c>
      <c r="D28" s="11664">
        <f>'WS-PS 2017'!X27</f>
        <v>350937.5</v>
      </c>
      <c r="E28" s="11488">
        <f>'WS-PS ACTUAL JUNE 2018'!V27</f>
        <v>221406.04</v>
      </c>
      <c r="F28" s="11669">
        <f t="shared" si="0"/>
        <v>184593.96</v>
      </c>
      <c r="G28" s="11664">
        <v>406000</v>
      </c>
      <c r="H28" s="11664"/>
      <c r="I28" s="11163"/>
      <c r="J28" s="11670">
        <v>525135.76499999978</v>
      </c>
      <c r="K28" s="7502">
        <f>3600*L11</f>
        <v>496800</v>
      </c>
    </row>
    <row r="29" spans="1:11" ht="15" customHeight="1">
      <c r="A29" s="7657"/>
      <c r="B29" s="7803" t="s">
        <v>30</v>
      </c>
      <c r="C29" s="8872">
        <v>50103040</v>
      </c>
      <c r="D29" s="11664">
        <f>'WS-PS 2017'!Y27</f>
        <v>142101.96</v>
      </c>
      <c r="E29" s="11488">
        <f>'WS-PS ACTUAL JUNE 2018'!W27</f>
        <v>72502.429999999993</v>
      </c>
      <c r="F29" s="11669">
        <f t="shared" si="0"/>
        <v>88297.57</v>
      </c>
      <c r="G29" s="11664">
        <v>160800</v>
      </c>
      <c r="H29" s="11664"/>
      <c r="I29" s="11163"/>
      <c r="J29" s="11670">
        <f t="shared" si="1"/>
        <v>165600</v>
      </c>
      <c r="K29" s="7502">
        <f>K27</f>
        <v>165600</v>
      </c>
    </row>
    <row r="30" spans="1:11" ht="15" customHeight="1">
      <c r="A30" s="7657"/>
      <c r="B30" s="7488" t="s">
        <v>5025</v>
      </c>
      <c r="C30" s="11258">
        <v>50104990</v>
      </c>
      <c r="D30" s="11664">
        <f>'WS-PS 2017'!Z27</f>
        <v>2973750</v>
      </c>
      <c r="E30" s="11488"/>
      <c r="F30" s="11669">
        <f t="shared" si="0"/>
        <v>0</v>
      </c>
      <c r="G30" s="11664">
        <v>0</v>
      </c>
      <c r="H30" s="11664"/>
      <c r="I30" s="11163"/>
      <c r="J30" s="11670">
        <f t="shared" si="1"/>
        <v>0</v>
      </c>
    </row>
    <row r="31" spans="1:11" ht="15" customHeight="1">
      <c r="A31" s="7657"/>
      <c r="B31" s="7355"/>
      <c r="C31" s="8802"/>
      <c r="D31" s="11664"/>
      <c r="E31" s="11488"/>
      <c r="F31" s="11488"/>
      <c r="G31" s="11664"/>
      <c r="H31" s="11664"/>
      <c r="I31" s="11163"/>
      <c r="J31" s="11665"/>
    </row>
    <row r="32" spans="1:11" ht="15" customHeight="1" thickBot="1">
      <c r="A32" s="7699"/>
      <c r="B32" s="7781" t="s">
        <v>37</v>
      </c>
      <c r="C32" s="11672"/>
      <c r="D32" s="11673">
        <f>SUM(D10:D30)</f>
        <v>58095149.859999992</v>
      </c>
      <c r="E32" s="11673">
        <f>SUM(E10:E30)</f>
        <v>29478114.710000001</v>
      </c>
      <c r="F32" s="11673">
        <f>SUM(F10:F30)</f>
        <v>39619535.289999992</v>
      </c>
      <c r="G32" s="7326">
        <f>SUM(G10:G30)</f>
        <v>69097650</v>
      </c>
      <c r="H32" s="7326"/>
      <c r="I32" s="7327"/>
      <c r="J32" s="11674">
        <f>SUM(J10:J30)</f>
        <v>76158293.204999998</v>
      </c>
      <c r="K32" s="11657">
        <f>SUM(K11:K30)</f>
        <v>78209891.140000001</v>
      </c>
    </row>
    <row r="33" spans="1:11" ht="15" customHeight="1">
      <c r="A33" s="7688"/>
      <c r="B33" s="7689"/>
      <c r="C33" s="9341"/>
      <c r="D33" s="7691"/>
      <c r="E33" s="9484"/>
      <c r="F33" s="9484"/>
      <c r="G33" s="7691"/>
      <c r="H33" s="7691"/>
      <c r="I33" s="7389"/>
      <c r="J33" s="7691"/>
    </row>
    <row r="34" spans="1:11" ht="15" customHeight="1">
      <c r="A34" s="7287"/>
      <c r="B34" s="7315"/>
      <c r="C34" s="9339"/>
      <c r="D34" s="7349"/>
      <c r="E34" s="9485"/>
      <c r="F34" s="9485"/>
      <c r="G34" s="7349"/>
      <c r="H34" s="7349"/>
      <c r="I34" s="7350"/>
      <c r="J34" s="7349"/>
    </row>
    <row r="35" spans="1:11" ht="15" customHeight="1">
      <c r="A35" s="7287"/>
      <c r="B35" s="7315"/>
      <c r="C35" s="9339"/>
      <c r="D35" s="7349"/>
      <c r="E35" s="9485"/>
      <c r="F35" s="9485"/>
      <c r="G35" s="7349"/>
      <c r="H35" s="7349"/>
      <c r="I35" s="7350"/>
      <c r="J35" s="7349"/>
    </row>
    <row r="36" spans="1:11" ht="15" customHeight="1">
      <c r="A36" s="7287"/>
      <c r="B36" s="7315"/>
      <c r="C36" s="9339"/>
      <c r="D36" s="7349"/>
      <c r="E36" s="9485"/>
      <c r="F36" s="9485"/>
      <c r="G36" s="7349"/>
      <c r="H36" s="7349"/>
      <c r="I36" s="7350"/>
      <c r="J36" s="7349"/>
    </row>
    <row r="37" spans="1:11" ht="15" customHeight="1">
      <c r="A37" s="7287"/>
      <c r="B37" s="7315"/>
      <c r="C37" s="9339"/>
      <c r="D37" s="7349"/>
      <c r="E37" s="9485"/>
      <c r="F37" s="9485"/>
      <c r="G37" s="7349"/>
      <c r="H37" s="7349"/>
      <c r="I37" s="7350"/>
      <c r="J37" s="7349"/>
    </row>
    <row r="38" spans="1:11" ht="15" customHeight="1" thickBot="1">
      <c r="A38" s="7692" t="s">
        <v>4767</v>
      </c>
      <c r="B38" s="7781"/>
      <c r="C38" s="9342"/>
      <c r="D38" s="7794"/>
      <c r="E38" s="9486"/>
      <c r="F38" s="9486"/>
      <c r="G38" s="7794"/>
      <c r="H38" s="7794"/>
      <c r="I38" s="7394"/>
      <c r="J38" s="7794"/>
    </row>
    <row r="39" spans="1:11" ht="15" customHeight="1">
      <c r="A39" s="7694"/>
      <c r="B39" s="11658"/>
      <c r="C39" s="11675" t="s">
        <v>9</v>
      </c>
      <c r="D39" s="10868" t="s">
        <v>10</v>
      </c>
      <c r="E39" s="14188" t="s">
        <v>10711</v>
      </c>
      <c r="F39" s="14189"/>
      <c r="G39" s="14190"/>
      <c r="H39" s="9461"/>
      <c r="I39" s="9462"/>
      <c r="J39" s="11659" t="s">
        <v>12</v>
      </c>
    </row>
    <row r="40" spans="1:11" ht="15" customHeight="1">
      <c r="A40" s="7657"/>
      <c r="B40" s="7295" t="s">
        <v>13</v>
      </c>
      <c r="C40" s="14981" t="s">
        <v>14</v>
      </c>
      <c r="D40" s="11123" t="s">
        <v>15</v>
      </c>
      <c r="E40" s="9502" t="s">
        <v>10709</v>
      </c>
      <c r="F40" s="9503" t="s">
        <v>10710</v>
      </c>
      <c r="G40" s="14191" t="s">
        <v>458</v>
      </c>
      <c r="H40" s="11438"/>
      <c r="I40" s="11108"/>
      <c r="J40" s="11660" t="s">
        <v>16</v>
      </c>
    </row>
    <row r="41" spans="1:11" ht="15" customHeight="1" thickBot="1">
      <c r="A41" s="7699"/>
      <c r="B41" s="7897"/>
      <c r="C41" s="14982"/>
      <c r="D41" s="9455">
        <v>2017</v>
      </c>
      <c r="E41" s="9467" t="s">
        <v>457</v>
      </c>
      <c r="F41" s="11661" t="s">
        <v>456</v>
      </c>
      <c r="G41" s="14192"/>
      <c r="H41" s="7302"/>
      <c r="I41" s="7322"/>
      <c r="J41" s="11662">
        <v>2019</v>
      </c>
    </row>
    <row r="42" spans="1:11" ht="15" customHeight="1">
      <c r="A42" s="7657"/>
      <c r="B42" s="7295"/>
      <c r="C42" s="10882"/>
      <c r="D42" s="11676"/>
      <c r="E42" s="11123"/>
      <c r="F42" s="11123"/>
      <c r="G42" s="11123"/>
      <c r="H42" s="11181"/>
      <c r="I42" s="11108"/>
      <c r="J42" s="11677"/>
    </row>
    <row r="43" spans="1:11" ht="15" customHeight="1">
      <c r="A43" s="11663"/>
      <c r="B43" s="7287" t="s">
        <v>38</v>
      </c>
      <c r="C43" s="8802"/>
      <c r="D43" s="11664"/>
      <c r="E43" s="11488"/>
      <c r="F43" s="11488"/>
      <c r="G43" s="11664"/>
      <c r="H43" s="11664"/>
      <c r="I43" s="11163"/>
      <c r="J43" s="11665"/>
    </row>
    <row r="44" spans="1:11" ht="15" customHeight="1">
      <c r="A44" s="7657"/>
      <c r="B44" s="7803" t="s">
        <v>391</v>
      </c>
      <c r="C44" s="10377">
        <v>50201010</v>
      </c>
      <c r="D44" s="11664">
        <f>'WS-MOOE 2017'!B27</f>
        <v>1363878.94</v>
      </c>
      <c r="E44" s="11488">
        <f>'WS-MOOE ACTUAL JUNE 2018'!B28</f>
        <v>426764.79999999999</v>
      </c>
      <c r="F44" s="11669">
        <f>G44-E44</f>
        <v>1173235.2</v>
      </c>
      <c r="G44" s="11667">
        <v>1600000</v>
      </c>
      <c r="H44" s="11667">
        <v>1004165.8</v>
      </c>
      <c r="I44" s="11165">
        <f>H44/G44</f>
        <v>0.627603625</v>
      </c>
      <c r="J44" s="11670">
        <v>1800000</v>
      </c>
    </row>
    <row r="45" spans="1:11" ht="15" customHeight="1">
      <c r="A45" s="7657"/>
      <c r="B45" s="7803" t="s">
        <v>10324</v>
      </c>
      <c r="C45" s="10377">
        <v>50202010</v>
      </c>
      <c r="D45" s="11664">
        <f>'WS-MOOE 2017'!H27</f>
        <v>53300</v>
      </c>
      <c r="E45" s="11488">
        <f>'WS-MOOE ACTUAL JUNE 2018'!G28</f>
        <v>15560</v>
      </c>
      <c r="F45" s="11669">
        <f>G45-E45</f>
        <v>334440</v>
      </c>
      <c r="G45" s="11664">
        <v>350000</v>
      </c>
      <c r="H45" s="11664">
        <v>19460</v>
      </c>
      <c r="I45" s="11165">
        <f t="shared" ref="I45:I65" si="2">H45/G45</f>
        <v>5.5599999999999997E-2</v>
      </c>
      <c r="J45" s="11665">
        <v>700000</v>
      </c>
    </row>
    <row r="46" spans="1:11" ht="15" customHeight="1">
      <c r="A46" s="7657"/>
      <c r="B46" s="7803" t="s">
        <v>392</v>
      </c>
      <c r="C46" s="10377">
        <v>50203010</v>
      </c>
      <c r="D46" s="11664">
        <f>'WS-MOOE 2017'!J27</f>
        <v>384077</v>
      </c>
      <c r="E46" s="11488">
        <f>'WS-MOOE ACTUAL JUNE 2018'!H28</f>
        <v>139462.79999999999</v>
      </c>
      <c r="F46" s="11669">
        <f>G46-E46</f>
        <v>260537.2</v>
      </c>
      <c r="G46" s="11664">
        <v>400000</v>
      </c>
      <c r="H46" s="11664">
        <v>356000</v>
      </c>
      <c r="I46" s="11165">
        <f t="shared" si="2"/>
        <v>0.89</v>
      </c>
      <c r="J46" s="11665">
        <v>400000</v>
      </c>
    </row>
    <row r="47" spans="1:11" ht="15" customHeight="1">
      <c r="A47" s="7657"/>
      <c r="B47" s="7287" t="s">
        <v>180</v>
      </c>
      <c r="C47" s="8802">
        <v>50203080</v>
      </c>
      <c r="D47" s="11664">
        <f>'WS-MOOE 2017'!Q27</f>
        <v>398193</v>
      </c>
      <c r="E47" s="11488">
        <f>'WS-MOOE ACTUAL JUNE 2018'!N28</f>
        <v>0</v>
      </c>
      <c r="F47" s="11669">
        <f>G47-E47</f>
        <v>700000</v>
      </c>
      <c r="G47" s="11664">
        <v>700000</v>
      </c>
      <c r="H47" s="11664">
        <v>0</v>
      </c>
      <c r="I47" s="11165">
        <f t="shared" si="2"/>
        <v>0</v>
      </c>
      <c r="J47" s="11665">
        <v>600000</v>
      </c>
      <c r="K47" s="7310">
        <v>700000</v>
      </c>
    </row>
    <row r="48" spans="1:11" ht="15" hidden="1" customHeight="1">
      <c r="A48" s="7657"/>
      <c r="B48" s="7287" t="s">
        <v>10294</v>
      </c>
      <c r="C48" s="8802"/>
      <c r="D48" s="11664"/>
      <c r="E48" s="11488"/>
      <c r="F48" s="11488"/>
      <c r="G48" s="11664"/>
      <c r="H48" s="11664"/>
      <c r="I48" s="11165"/>
      <c r="J48" s="11665"/>
      <c r="K48" s="7310"/>
    </row>
    <row r="49" spans="1:11" ht="15" hidden="1" customHeight="1">
      <c r="A49" s="7657"/>
      <c r="B49" s="7287" t="s">
        <v>10295</v>
      </c>
      <c r="C49" s="8802"/>
      <c r="D49" s="11664"/>
      <c r="E49" s="11488"/>
      <c r="F49" s="11488"/>
      <c r="G49" s="11664"/>
      <c r="H49" s="11664"/>
      <c r="I49" s="11165"/>
      <c r="J49" s="11665"/>
      <c r="K49" s="7310"/>
    </row>
    <row r="50" spans="1:11" ht="15" customHeight="1">
      <c r="A50" s="7657"/>
      <c r="B50" s="7287" t="s">
        <v>44</v>
      </c>
      <c r="C50" s="8802">
        <v>50203090</v>
      </c>
      <c r="D50" s="11664">
        <f>'WS-MOOE 2017'!R27</f>
        <v>150500</v>
      </c>
      <c r="E50" s="11488">
        <f>'WS-MOOE ACTUAL JUNE 2018'!O28</f>
        <v>180000</v>
      </c>
      <c r="F50" s="11669">
        <f t="shared" ref="F50:F65" si="3">G50-E50</f>
        <v>220000</v>
      </c>
      <c r="G50" s="11664">
        <v>400000</v>
      </c>
      <c r="H50" s="11664">
        <v>355999.68</v>
      </c>
      <c r="I50" s="11165">
        <f t="shared" si="2"/>
        <v>0.88999919999999999</v>
      </c>
      <c r="J50" s="11665">
        <v>600000</v>
      </c>
      <c r="K50" s="7310">
        <v>500000</v>
      </c>
    </row>
    <row r="51" spans="1:11" ht="15" customHeight="1">
      <c r="A51" s="7657"/>
      <c r="B51" s="7287" t="s">
        <v>11873</v>
      </c>
      <c r="C51" s="8802">
        <v>50204010</v>
      </c>
      <c r="D51" s="11664">
        <f>'WS-MOOE 2017'!W27</f>
        <v>100519</v>
      </c>
      <c r="E51" s="11488">
        <f>'WS-MOOE ACTUAL JUNE 2018'!R28</f>
        <v>64839.6</v>
      </c>
      <c r="F51" s="11669">
        <f t="shared" si="3"/>
        <v>95160.4</v>
      </c>
      <c r="G51" s="11664">
        <v>160000</v>
      </c>
      <c r="H51" s="11664">
        <v>85532.4</v>
      </c>
      <c r="I51" s="11165">
        <f t="shared" si="2"/>
        <v>0.53457749999999993</v>
      </c>
      <c r="J51" s="11678">
        <v>0</v>
      </c>
      <c r="K51" s="8868">
        <v>160000</v>
      </c>
    </row>
    <row r="52" spans="1:11" ht="15" customHeight="1">
      <c r="A52" s="7657"/>
      <c r="B52" s="7287" t="s">
        <v>46</v>
      </c>
      <c r="C52" s="8802">
        <v>50204020</v>
      </c>
      <c r="D52" s="11664">
        <f>'WS-MOOE 2017'!X27</f>
        <v>710455.62</v>
      </c>
      <c r="E52" s="11488">
        <f>'WS-MOOE ACTUAL JUNE 2018'!S28</f>
        <v>364733.64</v>
      </c>
      <c r="F52" s="11669">
        <f t="shared" si="3"/>
        <v>435266.36</v>
      </c>
      <c r="G52" s="11664">
        <v>800000</v>
      </c>
      <c r="H52" s="11664">
        <v>533229.89</v>
      </c>
      <c r="I52" s="11165">
        <f t="shared" si="2"/>
        <v>0.66653736250000006</v>
      </c>
      <c r="J52" s="11678">
        <v>0</v>
      </c>
      <c r="K52" s="8868">
        <v>800000</v>
      </c>
    </row>
    <row r="53" spans="1:11" ht="15" customHeight="1">
      <c r="A53" s="7657"/>
      <c r="B53" s="7287" t="s">
        <v>62</v>
      </c>
      <c r="C53" s="8802">
        <v>50205010</v>
      </c>
      <c r="D53" s="11664">
        <f>'WS-MOOE 2017'!Z27</f>
        <v>0</v>
      </c>
      <c r="E53" s="11488">
        <f>'WS-MOOE ACTUAL JUNE 2018'!U28</f>
        <v>0</v>
      </c>
      <c r="F53" s="11669">
        <f t="shared" si="3"/>
        <v>0</v>
      </c>
      <c r="G53" s="11664">
        <v>0</v>
      </c>
      <c r="H53" s="11664"/>
      <c r="I53" s="11165"/>
      <c r="J53" s="11665">
        <v>3000</v>
      </c>
    </row>
    <row r="54" spans="1:11" ht="15" customHeight="1">
      <c r="A54" s="7657"/>
      <c r="B54" s="7536" t="s">
        <v>155</v>
      </c>
      <c r="C54" s="8802">
        <v>50205020</v>
      </c>
      <c r="D54" s="11664">
        <f>'WS-MOOE 2017'!AA27+'WS-MOOE 2017'!AC27</f>
        <v>173644.9</v>
      </c>
      <c r="E54" s="11488">
        <f>'WS-MOOE ACTUAL JUNE 2018'!V28</f>
        <v>84750.080000000002</v>
      </c>
      <c r="F54" s="11669">
        <f t="shared" si="3"/>
        <v>150249.91999999998</v>
      </c>
      <c r="G54" s="11664">
        <v>235000</v>
      </c>
      <c r="H54" s="11664">
        <v>113697.38</v>
      </c>
      <c r="I54" s="11165">
        <f t="shared" si="2"/>
        <v>0.48381863829787236</v>
      </c>
      <c r="J54" s="11665">
        <v>235000</v>
      </c>
    </row>
    <row r="55" spans="1:11" ht="15" hidden="1" customHeight="1">
      <c r="A55" s="7657"/>
      <c r="B55" s="7803" t="s">
        <v>10973</v>
      </c>
      <c r="C55" s="10377">
        <v>50205030</v>
      </c>
      <c r="D55" s="11664">
        <f>'WS-MOOE 2017'!AE27</f>
        <v>0</v>
      </c>
      <c r="E55" s="11488"/>
      <c r="F55" s="11669">
        <f t="shared" si="3"/>
        <v>0</v>
      </c>
      <c r="G55" s="11664">
        <v>0</v>
      </c>
      <c r="H55" s="11664"/>
      <c r="I55" s="11165" t="e">
        <f t="shared" si="2"/>
        <v>#DIV/0!</v>
      </c>
      <c r="J55" s="11665">
        <v>0</v>
      </c>
    </row>
    <row r="56" spans="1:11" ht="15" customHeight="1">
      <c r="A56" s="7657"/>
      <c r="B56" s="7287" t="s">
        <v>10972</v>
      </c>
      <c r="C56" s="8802">
        <v>50205040</v>
      </c>
      <c r="D56" s="11664">
        <f>'WS-MOOE 2017'!AF27</f>
        <v>4400</v>
      </c>
      <c r="E56" s="11488">
        <f>'WS-MOOE ACTUAL JUNE 2018'!AB28</f>
        <v>440</v>
      </c>
      <c r="F56" s="11669">
        <f t="shared" si="3"/>
        <v>6560</v>
      </c>
      <c r="G56" s="11667">
        <v>7000</v>
      </c>
      <c r="H56" s="11667">
        <v>440</v>
      </c>
      <c r="I56" s="11165">
        <f t="shared" si="2"/>
        <v>6.2857142857142861E-2</v>
      </c>
      <c r="J56" s="11670">
        <v>7000</v>
      </c>
    </row>
    <row r="57" spans="1:11" ht="15" hidden="1" customHeight="1">
      <c r="A57" s="7657"/>
      <c r="B57" s="7287" t="s">
        <v>6360</v>
      </c>
      <c r="C57" s="8802">
        <v>781</v>
      </c>
      <c r="D57" s="11664"/>
      <c r="E57" s="11488"/>
      <c r="F57" s="11669">
        <f t="shared" si="3"/>
        <v>0</v>
      </c>
      <c r="G57" s="11667">
        <v>0</v>
      </c>
      <c r="H57" s="11667"/>
      <c r="I57" s="11165" t="e">
        <f t="shared" si="2"/>
        <v>#DIV/0!</v>
      </c>
      <c r="J57" s="11670">
        <v>0</v>
      </c>
    </row>
    <row r="58" spans="1:11" ht="15" hidden="1" customHeight="1">
      <c r="A58" s="7657"/>
      <c r="B58" s="7287" t="s">
        <v>100</v>
      </c>
      <c r="C58" s="8802">
        <v>783</v>
      </c>
      <c r="D58" s="11664">
        <f>'WS-MOOE 2017'!BK27</f>
        <v>0</v>
      </c>
      <c r="E58" s="11488"/>
      <c r="F58" s="11669">
        <f t="shared" si="3"/>
        <v>0</v>
      </c>
      <c r="G58" s="11664">
        <v>0</v>
      </c>
      <c r="H58" s="11664"/>
      <c r="I58" s="11165"/>
      <c r="J58" s="11665">
        <v>0</v>
      </c>
    </row>
    <row r="59" spans="1:11" ht="15" customHeight="1">
      <c r="A59" s="7657"/>
      <c r="B59" s="7287" t="s">
        <v>10673</v>
      </c>
      <c r="C59" s="8802">
        <v>50299070</v>
      </c>
      <c r="D59" s="11664">
        <f>'WS-MOOE 2017'!BL27</f>
        <v>5295</v>
      </c>
      <c r="E59" s="11488">
        <f>'WS-MOOE ACTUAL JUNE 2018'!BF28</f>
        <v>3155</v>
      </c>
      <c r="F59" s="11669">
        <f t="shared" si="3"/>
        <v>1845</v>
      </c>
      <c r="G59" s="11664">
        <v>5000</v>
      </c>
      <c r="H59" s="11664">
        <v>3155</v>
      </c>
      <c r="I59" s="11165">
        <f t="shared" si="2"/>
        <v>0.63100000000000001</v>
      </c>
      <c r="J59" s="11665">
        <v>5000</v>
      </c>
    </row>
    <row r="60" spans="1:11" ht="15" customHeight="1">
      <c r="A60" s="7657"/>
      <c r="B60" s="7352" t="s">
        <v>10956</v>
      </c>
      <c r="C60" s="8872">
        <v>50212990</v>
      </c>
      <c r="D60" s="11664">
        <f>'WS-MOOE 2017'!AO27</f>
        <v>622436.42000000004</v>
      </c>
      <c r="E60" s="11488">
        <f>'WS-MOOE ACTUAL JUNE 2018'!AJ28</f>
        <v>1449839.49</v>
      </c>
      <c r="F60" s="11669">
        <f t="shared" si="3"/>
        <v>-719839.49</v>
      </c>
      <c r="G60" s="11664">
        <v>730000</v>
      </c>
      <c r="H60" s="11664">
        <v>4621793.7699999996</v>
      </c>
      <c r="I60" s="11165">
        <f t="shared" si="2"/>
        <v>6.3312243424657524</v>
      </c>
      <c r="J60" s="11665">
        <v>730000</v>
      </c>
    </row>
    <row r="61" spans="1:11" ht="15" customHeight="1">
      <c r="A61" s="7657"/>
      <c r="B61" s="7488" t="s">
        <v>10959</v>
      </c>
      <c r="C61" s="10377">
        <v>50213040</v>
      </c>
      <c r="D61" s="11664">
        <f>'WS-MOOE 2017'!AS27</f>
        <v>68153.600000000006</v>
      </c>
      <c r="E61" s="11488">
        <f>'WS-MOOE ACTUAL JUNE 2018'!AN28</f>
        <v>0</v>
      </c>
      <c r="F61" s="11669">
        <f t="shared" si="3"/>
        <v>200000</v>
      </c>
      <c r="G61" s="11664">
        <v>200000</v>
      </c>
      <c r="H61" s="11664">
        <v>128263.88</v>
      </c>
      <c r="I61" s="11165">
        <f t="shared" si="2"/>
        <v>0.64131939999999998</v>
      </c>
      <c r="J61" s="11665">
        <v>50000</v>
      </c>
    </row>
    <row r="62" spans="1:11" ht="15" hidden="1" customHeight="1">
      <c r="A62" s="7657"/>
      <c r="B62" s="7287" t="s">
        <v>115</v>
      </c>
      <c r="C62" s="8802"/>
      <c r="D62" s="11664"/>
      <c r="E62" s="11488"/>
      <c r="F62" s="11669">
        <f t="shared" si="3"/>
        <v>0</v>
      </c>
      <c r="G62" s="11664"/>
      <c r="H62" s="11664"/>
      <c r="I62" s="11165" t="e">
        <f t="shared" si="2"/>
        <v>#DIV/0!</v>
      </c>
      <c r="J62" s="11665"/>
    </row>
    <row r="63" spans="1:11" ht="15" customHeight="1">
      <c r="A63" s="7657"/>
      <c r="B63" s="7488" t="s">
        <v>10938</v>
      </c>
      <c r="C63" s="8872">
        <v>50213050</v>
      </c>
      <c r="D63" s="11664">
        <f>'WS-MOOE 2017'!AW27</f>
        <v>62000</v>
      </c>
      <c r="E63" s="11488">
        <f>'WS-MOOE ACTUAL JUNE 2018'!AS28</f>
        <v>0</v>
      </c>
      <c r="F63" s="11669">
        <f t="shared" si="3"/>
        <v>180000</v>
      </c>
      <c r="G63" s="11664">
        <v>180000</v>
      </c>
      <c r="H63" s="11664">
        <v>10000</v>
      </c>
      <c r="I63" s="11165">
        <f t="shared" si="2"/>
        <v>5.5555555555555552E-2</v>
      </c>
      <c r="J63" s="11665">
        <v>180000</v>
      </c>
    </row>
    <row r="64" spans="1:11" ht="15" customHeight="1">
      <c r="A64" s="7657"/>
      <c r="B64" s="7488" t="s">
        <v>10937</v>
      </c>
      <c r="C64" s="11258">
        <v>50213060</v>
      </c>
      <c r="D64" s="11664">
        <f>'WS-MOOE 2017'!BB27</f>
        <v>193185.05</v>
      </c>
      <c r="E64" s="11488">
        <f>'WS-MOOE ACTUAL JUNE 2018'!AT28</f>
        <v>21317.85</v>
      </c>
      <c r="F64" s="11669">
        <f t="shared" si="3"/>
        <v>308682.15000000002</v>
      </c>
      <c r="G64" s="11664">
        <v>330000</v>
      </c>
      <c r="H64" s="11664">
        <v>212162.89</v>
      </c>
      <c r="I64" s="11165">
        <f t="shared" si="2"/>
        <v>0.64291784848484856</v>
      </c>
      <c r="J64" s="11665">
        <v>500000</v>
      </c>
    </row>
    <row r="65" spans="1:11" ht="15" customHeight="1">
      <c r="A65" s="7657"/>
      <c r="B65" s="7287" t="s">
        <v>72</v>
      </c>
      <c r="C65" s="8802">
        <v>50215020</v>
      </c>
      <c r="D65" s="11664">
        <f>'WS-MOOE 2017'!BH27</f>
        <v>16653.75</v>
      </c>
      <c r="E65" s="11488">
        <f>'WS-MOOE ACTUAL JUNE 2018'!AZ28</f>
        <v>6150</v>
      </c>
      <c r="F65" s="11669">
        <f t="shared" si="3"/>
        <v>18850</v>
      </c>
      <c r="G65" s="11664">
        <v>25000</v>
      </c>
      <c r="H65" s="11664">
        <v>11400</v>
      </c>
      <c r="I65" s="11165">
        <f t="shared" si="2"/>
        <v>0.45600000000000002</v>
      </c>
      <c r="J65" s="11665">
        <v>25000</v>
      </c>
    </row>
    <row r="66" spans="1:11" ht="15" customHeight="1">
      <c r="A66" s="7657"/>
      <c r="B66" s="11679" t="s">
        <v>10971</v>
      </c>
      <c r="C66" s="8802">
        <v>50299990</v>
      </c>
      <c r="D66" s="11664">
        <f>'WS-MOOE 2017'!BO27</f>
        <v>220457.32</v>
      </c>
      <c r="E66" s="11488">
        <f>'WS-MOOE ACTUAL JUNE 2018'!BI28</f>
        <v>109468.29</v>
      </c>
      <c r="F66" s="11669">
        <f>G66-E66</f>
        <v>280531.71000000002</v>
      </c>
      <c r="G66" s="11664">
        <v>390000</v>
      </c>
      <c r="H66" s="11132">
        <v>323129.67</v>
      </c>
      <c r="I66" s="11163">
        <f>H66/G66</f>
        <v>0.82853761538461534</v>
      </c>
      <c r="J66" s="11665">
        <v>390000</v>
      </c>
    </row>
    <row r="67" spans="1:11" ht="15" customHeight="1">
      <c r="A67" s="7657"/>
      <c r="B67" s="11680" t="s">
        <v>11195</v>
      </c>
      <c r="C67" s="8802"/>
      <c r="D67" s="11664"/>
      <c r="E67" s="11488"/>
      <c r="F67" s="11488"/>
      <c r="G67" s="11664"/>
      <c r="H67" s="11664"/>
      <c r="I67" s="11163"/>
      <c r="J67" s="11665"/>
    </row>
    <row r="68" spans="1:11" ht="15" customHeight="1" thickBot="1">
      <c r="A68" s="7699"/>
      <c r="B68" s="11681" t="s">
        <v>37</v>
      </c>
      <c r="C68" s="11672"/>
      <c r="D68" s="7326">
        <f>SUM(D44:D67)</f>
        <v>4527149.6000000006</v>
      </c>
      <c r="E68" s="7326">
        <f>SUM(E44:E67)</f>
        <v>2866481.5500000003</v>
      </c>
      <c r="F68" s="7326">
        <f>SUM(F44:F67)</f>
        <v>3645518.4499999997</v>
      </c>
      <c r="G68" s="7326">
        <f>SUM(G44:G67)</f>
        <v>6512000</v>
      </c>
      <c r="H68" s="7326">
        <f>SUM(H43:H67)</f>
        <v>7778430.3599999994</v>
      </c>
      <c r="I68" s="7327">
        <f>H68/G68</f>
        <v>1.1944764066339066</v>
      </c>
      <c r="J68" s="11674">
        <f>SUM(J44:J67)</f>
        <v>6225000</v>
      </c>
      <c r="K68" s="10391">
        <f>(J68-G68)/G68</f>
        <v>-4.4072481572481573E-2</v>
      </c>
    </row>
    <row r="69" spans="1:11" ht="15" customHeight="1">
      <c r="A69" s="7787"/>
      <c r="B69" s="7788"/>
      <c r="C69" s="9347"/>
      <c r="D69" s="7789"/>
      <c r="E69" s="9487"/>
      <c r="F69" s="9484"/>
      <c r="G69" s="7789"/>
      <c r="H69" s="7790"/>
      <c r="I69" s="7771"/>
      <c r="J69" s="7789"/>
    </row>
    <row r="70" spans="1:11" ht="15" customHeight="1">
      <c r="A70" s="7670"/>
      <c r="B70" s="7315"/>
      <c r="C70" s="9339"/>
      <c r="D70" s="7349"/>
      <c r="E70" s="9485"/>
      <c r="F70" s="9485"/>
      <c r="G70" s="7349"/>
      <c r="H70" s="7349"/>
      <c r="I70" s="7350"/>
      <c r="J70" s="7349"/>
    </row>
    <row r="71" spans="1:11" ht="15" customHeight="1">
      <c r="A71" s="7670"/>
      <c r="B71" s="7315"/>
      <c r="C71" s="9339"/>
      <c r="D71" s="7349"/>
      <c r="E71" s="9485"/>
      <c r="F71" s="9485"/>
      <c r="G71" s="7349"/>
      <c r="H71" s="7349"/>
      <c r="I71" s="7350"/>
      <c r="J71" s="7349"/>
    </row>
    <row r="72" spans="1:11" ht="15" customHeight="1">
      <c r="A72" s="7670"/>
      <c r="B72" s="7315"/>
      <c r="C72" s="9339"/>
      <c r="D72" s="7349"/>
      <c r="E72" s="9485"/>
      <c r="F72" s="9485"/>
      <c r="G72" s="7349"/>
      <c r="H72" s="7349"/>
      <c r="I72" s="7350"/>
      <c r="J72" s="7349"/>
    </row>
    <row r="73" spans="1:11" ht="15" customHeight="1">
      <c r="A73" s="7670"/>
      <c r="B73" s="7315"/>
      <c r="C73" s="9339"/>
      <c r="D73" s="7349"/>
      <c r="E73" s="9485"/>
      <c r="F73" s="9485"/>
      <c r="G73" s="7349"/>
      <c r="H73" s="7349"/>
      <c r="I73" s="7350"/>
      <c r="J73" s="7349"/>
    </row>
    <row r="74" spans="1:11" ht="15" customHeight="1">
      <c r="A74" s="7670"/>
      <c r="B74" s="7315"/>
      <c r="C74" s="9339"/>
      <c r="D74" s="7349"/>
      <c r="E74" s="9485"/>
      <c r="F74" s="9485"/>
      <c r="G74" s="7349"/>
      <c r="H74" s="7349"/>
      <c r="I74" s="7350"/>
      <c r="J74" s="7349"/>
    </row>
    <row r="75" spans="1:11" ht="15" customHeight="1">
      <c r="A75" s="7670"/>
      <c r="B75" s="7315"/>
      <c r="C75" s="9339"/>
      <c r="D75" s="7349"/>
      <c r="E75" s="9485"/>
      <c r="F75" s="9485"/>
      <c r="G75" s="7349"/>
      <c r="H75" s="7349"/>
      <c r="I75" s="7350"/>
      <c r="J75" s="7349"/>
    </row>
    <row r="76" spans="1:11" ht="15" customHeight="1">
      <c r="A76" s="7670"/>
      <c r="B76" s="7315"/>
      <c r="C76" s="9339"/>
      <c r="D76" s="7349"/>
      <c r="E76" s="9485"/>
      <c r="F76" s="9485"/>
      <c r="G76" s="7349"/>
      <c r="H76" s="7349"/>
      <c r="I76" s="7350"/>
      <c r="J76" s="7349"/>
    </row>
    <row r="77" spans="1:11" ht="15" customHeight="1">
      <c r="A77" s="7670"/>
      <c r="B77" s="7315"/>
      <c r="C77" s="9339"/>
      <c r="D77" s="7349"/>
      <c r="E77" s="9485"/>
      <c r="F77" s="9485"/>
      <c r="G77" s="7349"/>
      <c r="H77" s="7349"/>
      <c r="I77" s="7350"/>
      <c r="J77" s="7349"/>
    </row>
    <row r="78" spans="1:11" ht="15" customHeight="1">
      <c r="A78" s="7670"/>
      <c r="B78" s="7315"/>
      <c r="C78" s="9339"/>
      <c r="D78" s="7349"/>
      <c r="E78" s="9485"/>
      <c r="F78" s="9485"/>
      <c r="G78" s="7349"/>
      <c r="H78" s="7349"/>
      <c r="I78" s="7350"/>
      <c r="J78" s="7349"/>
    </row>
    <row r="79" spans="1:11" ht="15" customHeight="1">
      <c r="A79" s="7670"/>
      <c r="B79" s="7315"/>
      <c r="C79" s="9339"/>
      <c r="D79" s="7349"/>
      <c r="E79" s="9485"/>
      <c r="F79" s="9485"/>
      <c r="G79" s="7349"/>
      <c r="H79" s="7349"/>
      <c r="I79" s="7350"/>
      <c r="J79" s="7349"/>
    </row>
    <row r="80" spans="1:11" ht="15" customHeight="1">
      <c r="A80" s="7670"/>
      <c r="B80" s="7315"/>
      <c r="C80" s="9339"/>
      <c r="D80" s="7349"/>
      <c r="E80" s="9485"/>
      <c r="F80" s="9485"/>
      <c r="G80" s="7349"/>
      <c r="H80" s="7349"/>
      <c r="I80" s="7350"/>
      <c r="J80" s="7349"/>
    </row>
    <row r="81" spans="1:15" ht="15" customHeight="1" thickBot="1">
      <c r="A81" s="7791" t="s">
        <v>10747</v>
      </c>
      <c r="B81" s="7792"/>
      <c r="C81" s="9340"/>
      <c r="D81" s="7793"/>
      <c r="E81" s="9486"/>
      <c r="F81" s="9486"/>
      <c r="G81" s="7793"/>
      <c r="H81" s="7794"/>
      <c r="I81" s="7394"/>
      <c r="J81" s="7793"/>
    </row>
    <row r="82" spans="1:15" ht="15" customHeight="1">
      <c r="A82" s="7694"/>
      <c r="B82" s="11658"/>
      <c r="C82" s="11675" t="s">
        <v>9</v>
      </c>
      <c r="D82" s="10868" t="s">
        <v>10</v>
      </c>
      <c r="E82" s="14188" t="s">
        <v>10711</v>
      </c>
      <c r="F82" s="14189"/>
      <c r="G82" s="14190"/>
      <c r="H82" s="9461"/>
      <c r="I82" s="9462"/>
      <c r="J82" s="11659" t="s">
        <v>12</v>
      </c>
    </row>
    <row r="83" spans="1:15" ht="15" customHeight="1">
      <c r="A83" s="7657"/>
      <c r="B83" s="7295" t="s">
        <v>13</v>
      </c>
      <c r="C83" s="14981" t="s">
        <v>14</v>
      </c>
      <c r="D83" s="11123" t="s">
        <v>15</v>
      </c>
      <c r="E83" s="9502" t="s">
        <v>10709</v>
      </c>
      <c r="F83" s="9503" t="s">
        <v>10710</v>
      </c>
      <c r="G83" s="14191" t="s">
        <v>458</v>
      </c>
      <c r="H83" s="11438"/>
      <c r="I83" s="11108"/>
      <c r="J83" s="11660" t="s">
        <v>16</v>
      </c>
    </row>
    <row r="84" spans="1:15" ht="15" customHeight="1" thickBot="1">
      <c r="A84" s="7699"/>
      <c r="B84" s="7897"/>
      <c r="C84" s="14982"/>
      <c r="D84" s="9455">
        <v>2017</v>
      </c>
      <c r="E84" s="9467" t="s">
        <v>457</v>
      </c>
      <c r="F84" s="11661" t="s">
        <v>456</v>
      </c>
      <c r="G84" s="14192"/>
      <c r="H84" s="7302"/>
      <c r="I84" s="7322"/>
      <c r="J84" s="11662">
        <v>2019</v>
      </c>
    </row>
    <row r="85" spans="1:15" ht="15" customHeight="1">
      <c r="A85" s="7694"/>
      <c r="B85" s="11682"/>
      <c r="C85" s="11683"/>
      <c r="D85" s="10868"/>
      <c r="E85" s="11684"/>
      <c r="F85" s="11684"/>
      <c r="G85" s="11685"/>
      <c r="H85" s="10868"/>
      <c r="I85" s="9462"/>
      <c r="J85" s="11686"/>
    </row>
    <row r="86" spans="1:15" ht="15" customHeight="1">
      <c r="A86" s="11663" t="s">
        <v>51</v>
      </c>
      <c r="B86" s="11680" t="s">
        <v>52</v>
      </c>
      <c r="C86" s="8802"/>
      <c r="D86" s="11687"/>
      <c r="E86" s="11688"/>
      <c r="F86" s="11688"/>
      <c r="G86" s="11687"/>
      <c r="H86" s="11687"/>
      <c r="I86" s="11210"/>
      <c r="J86" s="11689"/>
    </row>
    <row r="87" spans="1:15" ht="15" hidden="1" customHeight="1">
      <c r="A87" s="11663"/>
      <c r="B87" s="11680" t="s">
        <v>10014</v>
      </c>
      <c r="C87" s="8802">
        <v>211</v>
      </c>
      <c r="D87" s="11687"/>
      <c r="E87" s="11688"/>
      <c r="F87" s="11688"/>
      <c r="G87" s="11664">
        <v>0</v>
      </c>
      <c r="H87" s="11687">
        <v>0</v>
      </c>
      <c r="I87" s="11163" t="e">
        <f>H87/G87</f>
        <v>#DIV/0!</v>
      </c>
      <c r="J87" s="11665">
        <v>0</v>
      </c>
    </row>
    <row r="88" spans="1:15" ht="15" customHeight="1">
      <c r="A88" s="11690"/>
      <c r="B88" s="7810" t="s">
        <v>176</v>
      </c>
      <c r="C88" s="10377">
        <v>50705020</v>
      </c>
      <c r="D88" s="11664">
        <f>'WS-CO 2017'!F26</f>
        <v>0</v>
      </c>
      <c r="E88" s="11488"/>
      <c r="F88" s="11669">
        <f>G88-E88</f>
        <v>250000</v>
      </c>
      <c r="G88" s="11664">
        <v>250000</v>
      </c>
      <c r="H88" s="11664">
        <v>202185</v>
      </c>
      <c r="I88" s="11163">
        <f>H88/G88</f>
        <v>0.80874000000000001</v>
      </c>
      <c r="J88" s="11691">
        <v>0</v>
      </c>
    </row>
    <row r="89" spans="1:15" ht="15" customHeight="1">
      <c r="A89" s="11663"/>
      <c r="B89" s="7810" t="s">
        <v>12241</v>
      </c>
      <c r="C89" s="10377">
        <v>50707010</v>
      </c>
      <c r="D89" s="11664">
        <f>'WS-CO 2017'!K26</f>
        <v>0</v>
      </c>
      <c r="E89" s="11488"/>
      <c r="F89" s="11669">
        <f>G89-E89</f>
        <v>0</v>
      </c>
      <c r="G89" s="11664">
        <v>0</v>
      </c>
      <c r="H89" s="11664"/>
      <c r="I89" s="11163"/>
      <c r="J89" s="11691">
        <v>200000</v>
      </c>
    </row>
    <row r="90" spans="1:15" ht="15" customHeight="1">
      <c r="A90" s="11663"/>
      <c r="B90" s="7488" t="s">
        <v>10947</v>
      </c>
      <c r="C90" s="10144">
        <v>50705030</v>
      </c>
      <c r="D90" s="11664">
        <f>'WS-CO 2017'!H26</f>
        <v>97978</v>
      </c>
      <c r="E90" s="11488">
        <v>0</v>
      </c>
      <c r="F90" s="11669">
        <f>G90-E90</f>
        <v>0</v>
      </c>
      <c r="G90" s="11664">
        <v>0</v>
      </c>
      <c r="H90" s="11664"/>
      <c r="I90" s="11163"/>
      <c r="J90" s="11691">
        <v>250000</v>
      </c>
    </row>
    <row r="91" spans="1:15" ht="15" customHeight="1">
      <c r="A91" s="11663"/>
      <c r="B91" s="11680" t="s">
        <v>11874</v>
      </c>
      <c r="C91" s="8802">
        <v>50706010</v>
      </c>
      <c r="D91" s="11664"/>
      <c r="E91" s="11488"/>
      <c r="F91" s="11669">
        <f>G91-E91</f>
        <v>0</v>
      </c>
      <c r="G91" s="11664">
        <v>0</v>
      </c>
      <c r="H91" s="11664"/>
      <c r="I91" s="11163"/>
      <c r="J91" s="11691">
        <v>150000</v>
      </c>
    </row>
    <row r="92" spans="1:15" ht="15" hidden="1" customHeight="1">
      <c r="A92" s="11663"/>
      <c r="B92" s="11680" t="s">
        <v>10601</v>
      </c>
      <c r="C92" s="8802"/>
      <c r="D92" s="11664"/>
      <c r="E92" s="11488"/>
      <c r="F92" s="11488"/>
      <c r="G92" s="11664"/>
      <c r="H92" s="11664"/>
      <c r="I92" s="11163"/>
      <c r="J92" s="11691"/>
    </row>
    <row r="93" spans="1:15" ht="15" hidden="1" customHeight="1">
      <c r="A93" s="11663"/>
      <c r="B93" s="11680" t="s">
        <v>10603</v>
      </c>
      <c r="C93" s="8802"/>
      <c r="D93" s="11664"/>
      <c r="E93" s="11488"/>
      <c r="F93" s="11488"/>
      <c r="G93" s="11664"/>
      <c r="H93" s="11664"/>
      <c r="I93" s="11163"/>
      <c r="J93" s="11692"/>
    </row>
    <row r="94" spans="1:15" ht="15" customHeight="1">
      <c r="A94" s="11663"/>
      <c r="B94" s="11693" t="s">
        <v>37</v>
      </c>
      <c r="C94" s="8802"/>
      <c r="D94" s="11694">
        <f>SUM(D86:D90)</f>
        <v>97978</v>
      </c>
      <c r="E94" s="11694">
        <f>SUM(E86:E91)</f>
        <v>0</v>
      </c>
      <c r="F94" s="11694">
        <f>SUM(F86:F91)</f>
        <v>250000</v>
      </c>
      <c r="G94" s="11694">
        <f>SUM(G86:G91)</f>
        <v>250000</v>
      </c>
      <c r="H94" s="11695">
        <f>SUM(H87:H91)</f>
        <v>202185</v>
      </c>
      <c r="I94" s="11220">
        <f>H94/G94</f>
        <v>0.80874000000000001</v>
      </c>
      <c r="J94" s="11696">
        <f>SUM(J87:J93)</f>
        <v>600000</v>
      </c>
      <c r="K94" s="10391">
        <f>(J94-G94)/G94</f>
        <v>1.4</v>
      </c>
    </row>
    <row r="95" spans="1:15" s="7314" customFormat="1" ht="15" customHeight="1">
      <c r="A95" s="11663" t="s">
        <v>53</v>
      </c>
      <c r="B95" s="11680" t="s">
        <v>3445</v>
      </c>
      <c r="C95" s="8802"/>
      <c r="D95" s="11697"/>
      <c r="E95" s="11698"/>
      <c r="F95" s="11698"/>
      <c r="G95" s="11699"/>
      <c r="H95" s="11699"/>
      <c r="I95" s="11503"/>
      <c r="J95" s="11700"/>
      <c r="K95" s="7447"/>
      <c r="N95" s="7861"/>
      <c r="O95" s="7861"/>
    </row>
    <row r="96" spans="1:15" s="7314" customFormat="1" ht="15" customHeight="1">
      <c r="A96" s="11701" t="s">
        <v>4752</v>
      </c>
      <c r="B96" s="11680"/>
      <c r="C96" s="8802"/>
      <c r="D96" s="8798"/>
      <c r="E96" s="11488"/>
      <c r="F96" s="11488"/>
      <c r="G96" s="11664"/>
      <c r="H96" s="11664"/>
      <c r="I96" s="11163"/>
      <c r="J96" s="11691"/>
      <c r="K96" s="7447"/>
      <c r="N96" s="7861"/>
      <c r="O96" s="7861"/>
    </row>
    <row r="97" spans="1:15" s="7314" customFormat="1" ht="15" customHeight="1">
      <c r="A97" s="11663"/>
      <c r="B97" s="11242" t="s">
        <v>4950</v>
      </c>
      <c r="C97" s="8802">
        <v>49910</v>
      </c>
      <c r="D97" s="8798">
        <v>136333.25</v>
      </c>
      <c r="E97" s="11488">
        <v>0</v>
      </c>
      <c r="F97" s="11669">
        <f t="shared" ref="F97:F106" si="4">G97-E97</f>
        <v>630000</v>
      </c>
      <c r="G97" s="11252">
        <v>630000</v>
      </c>
      <c r="H97" s="11132">
        <v>153900</v>
      </c>
      <c r="I97" s="11163">
        <f>H97/G97</f>
        <v>0.24428571428571427</v>
      </c>
      <c r="J97" s="11463">
        <v>445000</v>
      </c>
      <c r="K97" s="10391">
        <f t="shared" ref="K97:K110" si="5">(J97-G97)/G97</f>
        <v>-0.29365079365079366</v>
      </c>
      <c r="N97" s="7861"/>
      <c r="O97" s="7861"/>
    </row>
    <row r="98" spans="1:15" s="7314" customFormat="1" ht="15" customHeight="1">
      <c r="A98" s="11663"/>
      <c r="B98" s="11242" t="s">
        <v>4949</v>
      </c>
      <c r="C98" s="8802">
        <v>49912</v>
      </c>
      <c r="D98" s="8798">
        <v>773957.8</v>
      </c>
      <c r="E98" s="11488">
        <v>0</v>
      </c>
      <c r="F98" s="11669">
        <f t="shared" si="4"/>
        <v>1200000</v>
      </c>
      <c r="G98" s="11252">
        <v>1200000</v>
      </c>
      <c r="H98" s="11252">
        <v>299700</v>
      </c>
      <c r="I98" s="11163">
        <f t="shared" ref="I98:I129" si="6">H98/G98</f>
        <v>0.24975</v>
      </c>
      <c r="J98" s="11463">
        <v>1000000</v>
      </c>
      <c r="K98" s="10391">
        <f t="shared" si="5"/>
        <v>-0.16666666666666666</v>
      </c>
      <c r="N98" s="7861"/>
      <c r="O98" s="7861"/>
    </row>
    <row r="99" spans="1:15" s="7314" customFormat="1" ht="15" customHeight="1">
      <c r="A99" s="11663"/>
      <c r="B99" s="11242" t="s">
        <v>4956</v>
      </c>
      <c r="C99" s="8802">
        <v>49913</v>
      </c>
      <c r="D99" s="8798">
        <v>733998</v>
      </c>
      <c r="E99" s="11488">
        <v>0</v>
      </c>
      <c r="F99" s="11669">
        <f t="shared" si="4"/>
        <v>2000000</v>
      </c>
      <c r="G99" s="11252">
        <v>2000000</v>
      </c>
      <c r="H99" s="11252">
        <v>1128508.75</v>
      </c>
      <c r="I99" s="11163">
        <f t="shared" si="6"/>
        <v>0.56425437499999997</v>
      </c>
      <c r="J99" s="11463">
        <v>2000000</v>
      </c>
      <c r="K99" s="10391">
        <f t="shared" si="5"/>
        <v>0</v>
      </c>
      <c r="N99" s="7861"/>
      <c r="O99" s="7861"/>
    </row>
    <row r="100" spans="1:15" s="7314" customFormat="1" ht="15" customHeight="1">
      <c r="A100" s="11663"/>
      <c r="B100" s="11242" t="s">
        <v>4952</v>
      </c>
      <c r="C100" s="8802">
        <v>49915</v>
      </c>
      <c r="D100" s="8798">
        <v>390426.1</v>
      </c>
      <c r="E100" s="11488">
        <v>0</v>
      </c>
      <c r="F100" s="11669">
        <f t="shared" si="4"/>
        <v>440000</v>
      </c>
      <c r="G100" s="11252">
        <v>440000</v>
      </c>
      <c r="H100" s="11252">
        <v>400000</v>
      </c>
      <c r="I100" s="11163">
        <f t="shared" si="6"/>
        <v>0.90909090909090906</v>
      </c>
      <c r="J100" s="11463">
        <v>460000</v>
      </c>
      <c r="K100" s="10391">
        <f t="shared" si="5"/>
        <v>4.5454545454545456E-2</v>
      </c>
      <c r="N100" s="7861"/>
      <c r="O100" s="7861"/>
    </row>
    <row r="101" spans="1:15" s="7314" customFormat="1" ht="15" customHeight="1">
      <c r="A101" s="11663"/>
      <c r="B101" s="11242" t="s">
        <v>4953</v>
      </c>
      <c r="C101" s="8802">
        <v>49916</v>
      </c>
      <c r="D101" s="8798">
        <v>417356.1</v>
      </c>
      <c r="E101" s="11488">
        <v>0</v>
      </c>
      <c r="F101" s="11669">
        <f t="shared" si="4"/>
        <v>500000</v>
      </c>
      <c r="G101" s="11252">
        <v>500000</v>
      </c>
      <c r="H101" s="11252">
        <v>171248.3</v>
      </c>
      <c r="I101" s="11163">
        <f t="shared" si="6"/>
        <v>0.34249659999999998</v>
      </c>
      <c r="J101" s="11463">
        <v>500000</v>
      </c>
      <c r="K101" s="10391">
        <f t="shared" si="5"/>
        <v>0</v>
      </c>
      <c r="N101" s="7861"/>
      <c r="O101" s="7861"/>
    </row>
    <row r="102" spans="1:15" s="7314" customFormat="1" ht="15" customHeight="1">
      <c r="A102" s="11663"/>
      <c r="B102" s="11242" t="s">
        <v>4954</v>
      </c>
      <c r="C102" s="8802">
        <v>49917</v>
      </c>
      <c r="D102" s="11664">
        <v>214661</v>
      </c>
      <c r="E102" s="11488">
        <v>0</v>
      </c>
      <c r="F102" s="11669">
        <f t="shared" si="4"/>
        <v>250000</v>
      </c>
      <c r="G102" s="11252">
        <v>250000</v>
      </c>
      <c r="H102" s="11252">
        <v>197600</v>
      </c>
      <c r="I102" s="11163">
        <f t="shared" si="6"/>
        <v>0.79039999999999999</v>
      </c>
      <c r="J102" s="11463">
        <v>250000</v>
      </c>
      <c r="K102" s="10391">
        <f t="shared" si="5"/>
        <v>0</v>
      </c>
      <c r="N102" s="7861"/>
      <c r="O102" s="7861"/>
    </row>
    <row r="103" spans="1:15" s="7314" customFormat="1" ht="15" customHeight="1">
      <c r="A103" s="11663"/>
      <c r="B103" s="11242" t="s">
        <v>3294</v>
      </c>
      <c r="C103" s="8802">
        <v>4997</v>
      </c>
      <c r="D103" s="11664">
        <v>210187.59</v>
      </c>
      <c r="E103" s="11488">
        <v>2690.4</v>
      </c>
      <c r="F103" s="11669">
        <f t="shared" si="4"/>
        <v>1097309.6000000001</v>
      </c>
      <c r="G103" s="11252">
        <v>1100000</v>
      </c>
      <c r="H103" s="11252">
        <v>567739.12</v>
      </c>
      <c r="I103" s="11163">
        <f t="shared" si="6"/>
        <v>0.51612647272727274</v>
      </c>
      <c r="J103" s="11463">
        <v>1100000</v>
      </c>
      <c r="K103" s="10391">
        <f t="shared" si="5"/>
        <v>0</v>
      </c>
      <c r="N103" s="7861"/>
      <c r="O103" s="7861"/>
    </row>
    <row r="104" spans="1:15" s="7314" customFormat="1" ht="15" customHeight="1">
      <c r="A104" s="11663"/>
      <c r="B104" s="11242" t="s">
        <v>3295</v>
      </c>
      <c r="C104" s="8802">
        <v>4998</v>
      </c>
      <c r="D104" s="11664">
        <v>613610</v>
      </c>
      <c r="E104" s="11488">
        <v>6529.7</v>
      </c>
      <c r="F104" s="11669">
        <f t="shared" si="4"/>
        <v>1123470.3</v>
      </c>
      <c r="G104" s="11252">
        <v>1130000</v>
      </c>
      <c r="H104" s="11252">
        <v>499476.9</v>
      </c>
      <c r="I104" s="11163">
        <f t="shared" si="6"/>
        <v>0.44201495575221239</v>
      </c>
      <c r="J104" s="11463">
        <v>751000</v>
      </c>
      <c r="K104" s="10391">
        <f t="shared" si="5"/>
        <v>-0.33539823008849556</v>
      </c>
      <c r="N104" s="7861"/>
      <c r="O104" s="7861"/>
    </row>
    <row r="105" spans="1:15" s="7314" customFormat="1" ht="15" customHeight="1">
      <c r="A105" s="11663"/>
      <c r="B105" s="11242" t="s">
        <v>3293</v>
      </c>
      <c r="C105" s="8802">
        <v>4992</v>
      </c>
      <c r="D105" s="11664">
        <v>1130013</v>
      </c>
      <c r="E105" s="11488">
        <v>46413.25</v>
      </c>
      <c r="F105" s="11669">
        <f t="shared" si="4"/>
        <v>1433586.75</v>
      </c>
      <c r="G105" s="11252">
        <v>1480000</v>
      </c>
      <c r="H105" s="11252">
        <v>784094.45</v>
      </c>
      <c r="I105" s="11163">
        <f t="shared" si="6"/>
        <v>0.52979354729729722</v>
      </c>
      <c r="J105" s="11463">
        <v>1550000</v>
      </c>
      <c r="K105" s="10391">
        <f t="shared" si="5"/>
        <v>4.72972972972973E-2</v>
      </c>
      <c r="N105" s="7861"/>
      <c r="O105" s="7861"/>
    </row>
    <row r="106" spans="1:15" s="7314" customFormat="1" ht="15" customHeight="1">
      <c r="A106" s="11663"/>
      <c r="B106" s="11242" t="s">
        <v>11233</v>
      </c>
      <c r="C106" s="8802">
        <v>4991</v>
      </c>
      <c r="D106" s="11664">
        <v>1737051.74</v>
      </c>
      <c r="E106" s="11488">
        <v>0</v>
      </c>
      <c r="F106" s="11669">
        <f t="shared" si="4"/>
        <v>10710000</v>
      </c>
      <c r="G106" s="11252">
        <v>10710000</v>
      </c>
      <c r="H106" s="11252">
        <v>8095580</v>
      </c>
      <c r="I106" s="11163">
        <f t="shared" si="6"/>
        <v>0.75588982259570492</v>
      </c>
      <c r="J106" s="11463">
        <v>10710000</v>
      </c>
      <c r="K106" s="10391">
        <f t="shared" si="5"/>
        <v>0</v>
      </c>
      <c r="N106" s="7861"/>
      <c r="O106" s="7861"/>
    </row>
    <row r="107" spans="1:15" s="7314" customFormat="1" ht="15" hidden="1" customHeight="1">
      <c r="A107" s="11663"/>
      <c r="B107" s="7352" t="s">
        <v>10106</v>
      </c>
      <c r="C107" s="8802">
        <v>49918</v>
      </c>
      <c r="D107" s="11664"/>
      <c r="E107" s="11488"/>
      <c r="F107" s="11669">
        <f>G107-E107</f>
        <v>0</v>
      </c>
      <c r="G107" s="11252">
        <v>0</v>
      </c>
      <c r="H107" s="11252"/>
      <c r="I107" s="11163" t="e">
        <f t="shared" si="6"/>
        <v>#DIV/0!</v>
      </c>
      <c r="J107" s="11463">
        <f>G107*1.05</f>
        <v>0</v>
      </c>
      <c r="K107" s="10391" t="e">
        <f t="shared" si="5"/>
        <v>#DIV/0!</v>
      </c>
      <c r="N107" s="7861"/>
      <c r="O107" s="7861"/>
    </row>
    <row r="108" spans="1:15" s="7314" customFormat="1" ht="15" customHeight="1">
      <c r="A108" s="11663"/>
      <c r="B108" s="7352" t="s">
        <v>10239</v>
      </c>
      <c r="C108" s="8802">
        <v>49919</v>
      </c>
      <c r="D108" s="11664">
        <v>112842</v>
      </c>
      <c r="E108" s="11488">
        <v>0</v>
      </c>
      <c r="F108" s="11669">
        <f>G108-E108</f>
        <v>150000</v>
      </c>
      <c r="G108" s="11252">
        <v>150000</v>
      </c>
      <c r="H108" s="11252">
        <v>149596</v>
      </c>
      <c r="I108" s="11163">
        <f t="shared" si="6"/>
        <v>0.99730666666666667</v>
      </c>
      <c r="J108" s="11463">
        <v>240000</v>
      </c>
      <c r="K108" s="10391">
        <f t="shared" si="5"/>
        <v>0.6</v>
      </c>
      <c r="N108" s="7861"/>
      <c r="O108" s="7861"/>
    </row>
    <row r="109" spans="1:15" s="7314" customFormat="1" ht="15" customHeight="1">
      <c r="A109" s="11663"/>
      <c r="B109" s="7352" t="s">
        <v>11527</v>
      </c>
      <c r="C109" s="8802">
        <v>49920</v>
      </c>
      <c r="D109" s="11664">
        <v>4840.8</v>
      </c>
      <c r="E109" s="11488">
        <v>0</v>
      </c>
      <c r="F109" s="11669">
        <f>G109-E109</f>
        <v>200000</v>
      </c>
      <c r="G109" s="11252">
        <v>200000</v>
      </c>
      <c r="H109" s="11252">
        <v>57363</v>
      </c>
      <c r="I109" s="11163">
        <f t="shared" si="6"/>
        <v>0.28681499999999999</v>
      </c>
      <c r="J109" s="11463">
        <v>200000</v>
      </c>
      <c r="K109" s="10391">
        <f t="shared" si="5"/>
        <v>0</v>
      </c>
      <c r="N109" s="7861"/>
      <c r="O109" s="7861"/>
    </row>
    <row r="110" spans="1:15" s="7314" customFormat="1" ht="15" customHeight="1">
      <c r="A110" s="11663"/>
      <c r="B110" s="7352" t="s">
        <v>10241</v>
      </c>
      <c r="C110" s="8802">
        <v>49921</v>
      </c>
      <c r="D110" s="11664">
        <v>94697.8</v>
      </c>
      <c r="E110" s="11488">
        <v>0</v>
      </c>
      <c r="F110" s="11669">
        <f>G110-E110</f>
        <v>150000</v>
      </c>
      <c r="G110" s="11252">
        <v>150000</v>
      </c>
      <c r="H110" s="11252">
        <v>90999.2</v>
      </c>
      <c r="I110" s="11163">
        <f t="shared" si="6"/>
        <v>0.60666133333333327</v>
      </c>
      <c r="J110" s="11463">
        <v>150000</v>
      </c>
      <c r="K110" s="10391">
        <f t="shared" si="5"/>
        <v>0</v>
      </c>
      <c r="N110" s="7861"/>
      <c r="O110" s="7861"/>
    </row>
    <row r="111" spans="1:15" s="7314" customFormat="1" ht="15" customHeight="1" thickBot="1">
      <c r="A111" s="11702"/>
      <c r="B111" s="11703"/>
      <c r="C111" s="11672"/>
      <c r="D111" s="11704"/>
      <c r="E111" s="11705"/>
      <c r="F111" s="11706"/>
      <c r="G111" s="11707"/>
      <c r="H111" s="11707"/>
      <c r="I111" s="7573"/>
      <c r="J111" s="11708"/>
      <c r="K111" s="7447"/>
      <c r="N111" s="7861"/>
      <c r="O111" s="7861"/>
    </row>
    <row r="112" spans="1:15" s="7314" customFormat="1" ht="15" customHeight="1">
      <c r="A112" s="7795"/>
      <c r="B112" s="7385"/>
      <c r="C112" s="9341"/>
      <c r="D112" s="7796"/>
      <c r="E112" s="9488"/>
      <c r="F112" s="9489"/>
      <c r="G112" s="7797"/>
      <c r="H112" s="7797"/>
      <c r="I112" s="7798"/>
      <c r="J112" s="7797"/>
      <c r="K112" s="7447"/>
      <c r="N112" s="7861"/>
      <c r="O112" s="7861"/>
    </row>
    <row r="113" spans="1:15" s="7314" customFormat="1" ht="15" customHeight="1">
      <c r="A113" s="7670"/>
      <c r="B113" s="7352"/>
      <c r="C113" s="9339"/>
      <c r="D113" s="7289"/>
      <c r="E113" s="9490"/>
      <c r="F113" s="9491"/>
      <c r="G113" s="7354"/>
      <c r="H113" s="7354"/>
      <c r="I113" s="7290"/>
      <c r="J113" s="7354"/>
      <c r="K113" s="7447"/>
      <c r="N113" s="7861"/>
      <c r="O113" s="7861"/>
    </row>
    <row r="114" spans="1:15" s="7314" customFormat="1" ht="15" customHeight="1">
      <c r="A114" s="7670"/>
      <c r="B114" s="7352"/>
      <c r="C114" s="9339"/>
      <c r="D114" s="7289"/>
      <c r="E114" s="9490"/>
      <c r="F114" s="9491"/>
      <c r="G114" s="7354"/>
      <c r="H114" s="7354"/>
      <c r="I114" s="7290"/>
      <c r="J114" s="7354"/>
      <c r="K114" s="7447"/>
      <c r="N114" s="7861"/>
      <c r="O114" s="7861"/>
    </row>
    <row r="115" spans="1:15" s="7314" customFormat="1" ht="15" customHeight="1">
      <c r="A115" s="7670"/>
      <c r="B115" s="7352"/>
      <c r="C115" s="9339"/>
      <c r="D115" s="7289"/>
      <c r="E115" s="9490"/>
      <c r="F115" s="9491"/>
      <c r="G115" s="7354"/>
      <c r="H115" s="7354"/>
      <c r="I115" s="7290"/>
      <c r="J115" s="7354"/>
      <c r="K115" s="7447"/>
      <c r="N115" s="7861"/>
      <c r="O115" s="7861"/>
    </row>
    <row r="116" spans="1:15" s="7314" customFormat="1" ht="15" customHeight="1">
      <c r="A116" s="7670"/>
      <c r="B116" s="7352"/>
      <c r="C116" s="9339"/>
      <c r="D116" s="7289"/>
      <c r="E116" s="9490"/>
      <c r="F116" s="9491"/>
      <c r="G116" s="7354"/>
      <c r="H116" s="7354"/>
      <c r="I116" s="7290"/>
      <c r="J116" s="7354"/>
      <c r="K116" s="7447"/>
      <c r="N116" s="7861"/>
      <c r="O116" s="7861"/>
    </row>
    <row r="117" spans="1:15" s="7314" customFormat="1" ht="15" customHeight="1">
      <c r="A117" s="7670"/>
      <c r="B117" s="7352"/>
      <c r="C117" s="9339"/>
      <c r="D117" s="7289"/>
      <c r="E117" s="9490"/>
      <c r="F117" s="9491"/>
      <c r="G117" s="7354"/>
      <c r="H117" s="7354"/>
      <c r="I117" s="7290"/>
      <c r="J117" s="7354"/>
      <c r="K117" s="7447"/>
      <c r="N117" s="7861"/>
      <c r="O117" s="7861"/>
    </row>
    <row r="118" spans="1:15" s="7314" customFormat="1" ht="15" customHeight="1">
      <c r="A118" s="7670"/>
      <c r="B118" s="7352"/>
      <c r="C118" s="9339"/>
      <c r="D118" s="7289"/>
      <c r="E118" s="9490"/>
      <c r="F118" s="9491"/>
      <c r="G118" s="7354"/>
      <c r="H118" s="7354"/>
      <c r="I118" s="7290"/>
      <c r="J118" s="7354"/>
      <c r="K118" s="7447"/>
      <c r="N118" s="7861"/>
      <c r="O118" s="7861"/>
    </row>
    <row r="119" spans="1:15" s="7314" customFormat="1" ht="15" customHeight="1">
      <c r="A119" s="7670"/>
      <c r="B119" s="7352"/>
      <c r="C119" s="9339"/>
      <c r="D119" s="7289"/>
      <c r="E119" s="9490"/>
      <c r="F119" s="9491"/>
      <c r="G119" s="7354"/>
      <c r="H119" s="7354"/>
      <c r="I119" s="7290"/>
      <c r="J119" s="7354"/>
      <c r="K119" s="7447"/>
      <c r="N119" s="7861"/>
      <c r="O119" s="7861"/>
    </row>
    <row r="120" spans="1:15" s="7314" customFormat="1" ht="15" customHeight="1">
      <c r="A120" s="7670"/>
      <c r="B120" s="7352"/>
      <c r="C120" s="9339"/>
      <c r="D120" s="7289"/>
      <c r="E120" s="9490"/>
      <c r="F120" s="9491"/>
      <c r="G120" s="7354"/>
      <c r="H120" s="7354"/>
      <c r="I120" s="7290"/>
      <c r="J120" s="7354"/>
      <c r="K120" s="7447"/>
      <c r="N120" s="7861"/>
      <c r="O120" s="7861"/>
    </row>
    <row r="121" spans="1:15" s="7314" customFormat="1" ht="15" customHeight="1">
      <c r="A121" s="7670"/>
      <c r="B121" s="7352"/>
      <c r="C121" s="9339"/>
      <c r="D121" s="7289"/>
      <c r="E121" s="9490"/>
      <c r="F121" s="9491"/>
      <c r="G121" s="7354"/>
      <c r="H121" s="7354"/>
      <c r="I121" s="7290"/>
      <c r="J121" s="7354"/>
      <c r="K121" s="7447"/>
      <c r="N121" s="7861"/>
      <c r="O121" s="7861"/>
    </row>
    <row r="122" spans="1:15" s="7314" customFormat="1" ht="15" customHeight="1" thickBot="1">
      <c r="A122" s="7692" t="s">
        <v>10909</v>
      </c>
      <c r="B122" s="7390"/>
      <c r="C122" s="9342"/>
      <c r="D122" s="7293"/>
      <c r="E122" s="9483"/>
      <c r="F122" s="9492"/>
      <c r="G122" s="7724"/>
      <c r="H122" s="7724"/>
      <c r="I122" s="7294"/>
      <c r="J122" s="7724"/>
      <c r="K122" s="7447"/>
      <c r="N122" s="7861"/>
      <c r="O122" s="7861"/>
    </row>
    <row r="123" spans="1:15" ht="15" customHeight="1">
      <c r="A123" s="7694"/>
      <c r="B123" s="11658"/>
      <c r="C123" s="11675" t="s">
        <v>9</v>
      </c>
      <c r="D123" s="10868" t="s">
        <v>10</v>
      </c>
      <c r="E123" s="14188" t="s">
        <v>10711</v>
      </c>
      <c r="F123" s="14189"/>
      <c r="G123" s="14190"/>
      <c r="H123" s="9461"/>
      <c r="I123" s="9462"/>
      <c r="J123" s="11659" t="s">
        <v>12</v>
      </c>
    </row>
    <row r="124" spans="1:15" ht="15" customHeight="1">
      <c r="A124" s="7657"/>
      <c r="B124" s="7295" t="s">
        <v>13</v>
      </c>
      <c r="C124" s="14981" t="s">
        <v>14</v>
      </c>
      <c r="D124" s="11123" t="s">
        <v>15</v>
      </c>
      <c r="E124" s="9502" t="s">
        <v>10709</v>
      </c>
      <c r="F124" s="9503" t="s">
        <v>10710</v>
      </c>
      <c r="G124" s="14191" t="s">
        <v>458</v>
      </c>
      <c r="H124" s="11438"/>
      <c r="I124" s="11108"/>
      <c r="J124" s="11660" t="s">
        <v>16</v>
      </c>
    </row>
    <row r="125" spans="1:15" ht="15" customHeight="1" thickBot="1">
      <c r="A125" s="7699"/>
      <c r="B125" s="7897"/>
      <c r="C125" s="14982"/>
      <c r="D125" s="9455">
        <v>2017</v>
      </c>
      <c r="E125" s="9467" t="s">
        <v>457</v>
      </c>
      <c r="F125" s="11661" t="s">
        <v>456</v>
      </c>
      <c r="G125" s="14192"/>
      <c r="H125" s="7302"/>
      <c r="I125" s="7322"/>
      <c r="J125" s="11662">
        <v>2019</v>
      </c>
    </row>
    <row r="126" spans="1:15" ht="15" customHeight="1">
      <c r="A126" s="7657"/>
      <c r="B126" s="7295"/>
      <c r="C126" s="10882"/>
      <c r="D126" s="11676"/>
      <c r="E126" s="11123"/>
      <c r="F126" s="11123"/>
      <c r="G126" s="11123"/>
      <c r="H126" s="11181"/>
      <c r="I126" s="11108"/>
      <c r="J126" s="11677"/>
    </row>
    <row r="127" spans="1:15" s="7314" customFormat="1" ht="15" customHeight="1">
      <c r="A127" s="11663"/>
      <c r="B127" s="7352" t="s">
        <v>10242</v>
      </c>
      <c r="C127" s="8802">
        <v>49922</v>
      </c>
      <c r="D127" s="11664">
        <v>497263</v>
      </c>
      <c r="E127" s="11488">
        <v>0</v>
      </c>
      <c r="F127" s="11669">
        <f>G127-E127</f>
        <v>800000</v>
      </c>
      <c r="G127" s="11252">
        <v>800000</v>
      </c>
      <c r="H127" s="11252">
        <v>798615</v>
      </c>
      <c r="I127" s="11163">
        <f t="shared" si="6"/>
        <v>0.99826875000000004</v>
      </c>
      <c r="J127" s="11463">
        <f>G127*1.05</f>
        <v>840000</v>
      </c>
      <c r="K127" s="10391">
        <f>(J127-G127)/G127</f>
        <v>0.05</v>
      </c>
      <c r="N127" s="7861"/>
      <c r="O127" s="7861"/>
    </row>
    <row r="128" spans="1:15" s="7314" customFormat="1" ht="15" customHeight="1">
      <c r="A128" s="11663"/>
      <c r="B128" s="7352" t="s">
        <v>11529</v>
      </c>
      <c r="C128" s="8802"/>
      <c r="D128" s="11664"/>
      <c r="E128" s="11488"/>
      <c r="F128" s="11488"/>
      <c r="G128" s="11252">
        <v>0</v>
      </c>
      <c r="H128" s="11252"/>
      <c r="I128" s="11163"/>
      <c r="J128" s="11269">
        <v>0</v>
      </c>
      <c r="K128" s="10391"/>
      <c r="N128" s="7861"/>
      <c r="O128" s="7861"/>
    </row>
    <row r="129" spans="1:15" s="7314" customFormat="1" ht="15" customHeight="1">
      <c r="A129" s="11663"/>
      <c r="B129" s="7352" t="s">
        <v>10243</v>
      </c>
      <c r="C129" s="8802">
        <v>49923</v>
      </c>
      <c r="D129" s="11664">
        <v>301246.5</v>
      </c>
      <c r="E129" s="11488">
        <v>0</v>
      </c>
      <c r="F129" s="11669">
        <f>G129-E129</f>
        <v>380000</v>
      </c>
      <c r="G129" s="11252">
        <v>380000</v>
      </c>
      <c r="H129" s="11252">
        <v>262044</v>
      </c>
      <c r="I129" s="11163">
        <f t="shared" si="6"/>
        <v>0.68958947368421053</v>
      </c>
      <c r="J129" s="11463">
        <v>400000</v>
      </c>
      <c r="K129" s="10391">
        <f>(J129-G129)/G129</f>
        <v>5.2631578947368418E-2</v>
      </c>
      <c r="N129" s="7861"/>
      <c r="O129" s="7861"/>
    </row>
    <row r="130" spans="1:15" s="7314" customFormat="1" ht="15" customHeight="1">
      <c r="A130" s="11663"/>
      <c r="B130" s="7352" t="s">
        <v>10244</v>
      </c>
      <c r="C130" s="8802">
        <v>49924</v>
      </c>
      <c r="D130" s="11664">
        <v>299470</v>
      </c>
      <c r="E130" s="11488">
        <v>0</v>
      </c>
      <c r="F130" s="11669">
        <f>G130-E130</f>
        <v>300000</v>
      </c>
      <c r="G130" s="11252">
        <v>300000</v>
      </c>
      <c r="H130" s="11252">
        <v>277925</v>
      </c>
      <c r="I130" s="11163">
        <f>H130/G130</f>
        <v>0.92641666666666667</v>
      </c>
      <c r="J130" s="11463">
        <v>320000</v>
      </c>
      <c r="K130" s="10391">
        <f>(J130-G130)/G130</f>
        <v>6.6666666666666666E-2</v>
      </c>
      <c r="N130" s="7861"/>
      <c r="O130" s="7861"/>
    </row>
    <row r="131" spans="1:15" s="7314" customFormat="1" ht="15" customHeight="1">
      <c r="A131" s="11663"/>
      <c r="B131" s="7352" t="s">
        <v>10573</v>
      </c>
      <c r="C131" s="8802"/>
      <c r="D131" s="11664"/>
      <c r="E131" s="11488"/>
      <c r="F131" s="11488"/>
      <c r="G131" s="11252">
        <v>0</v>
      </c>
      <c r="H131" s="11252"/>
      <c r="I131" s="11163"/>
      <c r="J131" s="11269">
        <v>0</v>
      </c>
      <c r="K131" s="7447"/>
      <c r="N131" s="7861"/>
      <c r="O131" s="7861"/>
    </row>
    <row r="132" spans="1:15" s="7314" customFormat="1" ht="15" customHeight="1">
      <c r="A132" s="11663"/>
      <c r="B132" s="7352" t="s">
        <v>10574</v>
      </c>
      <c r="C132" s="8802"/>
      <c r="D132" s="11664"/>
      <c r="E132" s="11488"/>
      <c r="F132" s="11488"/>
      <c r="G132" s="11252">
        <v>0</v>
      </c>
      <c r="H132" s="11252"/>
      <c r="I132" s="11163"/>
      <c r="J132" s="11269">
        <v>0</v>
      </c>
      <c r="K132" s="7447"/>
      <c r="N132" s="7861"/>
      <c r="O132" s="7861"/>
    </row>
    <row r="133" spans="1:15" s="7314" customFormat="1" ht="15" customHeight="1">
      <c r="A133" s="11663"/>
      <c r="B133" s="7352" t="s">
        <v>10245</v>
      </c>
      <c r="C133" s="8802">
        <v>49925</v>
      </c>
      <c r="D133" s="11664">
        <v>221465</v>
      </c>
      <c r="E133" s="11488">
        <v>0</v>
      </c>
      <c r="F133" s="11669">
        <f t="shared" ref="F133:F140" si="7">G133-E133</f>
        <v>300000</v>
      </c>
      <c r="G133" s="11252">
        <v>300000</v>
      </c>
      <c r="H133" s="11252">
        <v>281500</v>
      </c>
      <c r="I133" s="11163">
        <f t="shared" ref="I133:I140" si="8">H133/G133</f>
        <v>0.93833333333333335</v>
      </c>
      <c r="J133" s="11463">
        <v>305000</v>
      </c>
      <c r="K133" s="10391">
        <f t="shared" ref="K133:K140" si="9">(J133-G133)/G133</f>
        <v>1.6666666666666666E-2</v>
      </c>
      <c r="N133" s="7861"/>
      <c r="O133" s="7861"/>
    </row>
    <row r="134" spans="1:15" s="7314" customFormat="1" ht="15" customHeight="1">
      <c r="A134" s="11663"/>
      <c r="B134" s="7352" t="s">
        <v>11467</v>
      </c>
      <c r="C134" s="8802">
        <v>49926</v>
      </c>
      <c r="D134" s="11664">
        <v>700000</v>
      </c>
      <c r="E134" s="11488">
        <v>0</v>
      </c>
      <c r="F134" s="11669">
        <f t="shared" si="7"/>
        <v>700000</v>
      </c>
      <c r="G134" s="11252">
        <v>700000</v>
      </c>
      <c r="H134" s="11252">
        <v>700000</v>
      </c>
      <c r="I134" s="11163">
        <f t="shared" si="8"/>
        <v>1</v>
      </c>
      <c r="J134" s="11463">
        <f>G134*1.05</f>
        <v>735000</v>
      </c>
      <c r="K134" s="10391">
        <f t="shared" si="9"/>
        <v>0.05</v>
      </c>
      <c r="N134" s="7861"/>
      <c r="O134" s="7861"/>
    </row>
    <row r="135" spans="1:15" s="7314" customFormat="1" ht="15" customHeight="1">
      <c r="A135" s="11663"/>
      <c r="B135" s="7352" t="s">
        <v>11528</v>
      </c>
      <c r="C135" s="8802">
        <v>49927</v>
      </c>
      <c r="D135" s="11664">
        <v>0</v>
      </c>
      <c r="E135" s="11488">
        <v>46371.75</v>
      </c>
      <c r="F135" s="11669">
        <f t="shared" si="7"/>
        <v>263628.25</v>
      </c>
      <c r="G135" s="11252">
        <v>310000</v>
      </c>
      <c r="H135" s="11252">
        <v>309422.75</v>
      </c>
      <c r="I135" s="11163">
        <f t="shared" si="8"/>
        <v>0.99813790322580642</v>
      </c>
      <c r="J135" s="11463">
        <v>625000</v>
      </c>
      <c r="K135" s="10391">
        <f t="shared" si="9"/>
        <v>1.0161290322580645</v>
      </c>
      <c r="N135" s="7861"/>
      <c r="O135" s="7861"/>
    </row>
    <row r="136" spans="1:15" s="7314" customFormat="1" ht="15" customHeight="1">
      <c r="A136" s="11663"/>
      <c r="B136" s="7314" t="s">
        <v>10485</v>
      </c>
      <c r="C136" s="9348">
        <v>4996</v>
      </c>
      <c r="D136" s="8870">
        <v>81762.100000000006</v>
      </c>
      <c r="E136" s="11668">
        <v>0</v>
      </c>
      <c r="F136" s="11669">
        <f t="shared" si="7"/>
        <v>1200000</v>
      </c>
      <c r="G136" s="8870">
        <v>1200000</v>
      </c>
      <c r="H136" s="8870">
        <v>599009</v>
      </c>
      <c r="I136" s="11163">
        <f t="shared" si="8"/>
        <v>0.49917416666666664</v>
      </c>
      <c r="J136" s="11463">
        <v>1000000</v>
      </c>
      <c r="K136" s="10391">
        <f t="shared" si="9"/>
        <v>-0.16666666666666666</v>
      </c>
      <c r="N136" s="7861"/>
      <c r="O136" s="7861"/>
    </row>
    <row r="137" spans="1:15" s="7314" customFormat="1" ht="15" customHeight="1">
      <c r="A137" s="11663"/>
      <c r="B137" s="7314" t="s">
        <v>10575</v>
      </c>
      <c r="C137" s="9348">
        <v>49928</v>
      </c>
      <c r="D137" s="8870">
        <v>163528</v>
      </c>
      <c r="E137" s="11668">
        <v>0</v>
      </c>
      <c r="F137" s="11669">
        <f t="shared" si="7"/>
        <v>500000</v>
      </c>
      <c r="G137" s="11709">
        <v>500000</v>
      </c>
      <c r="H137" s="11709">
        <v>92722.8</v>
      </c>
      <c r="I137" s="11413">
        <f t="shared" si="8"/>
        <v>0.18544560000000002</v>
      </c>
      <c r="J137" s="11463">
        <v>500000</v>
      </c>
      <c r="K137" s="10391">
        <f t="shared" si="9"/>
        <v>0</v>
      </c>
      <c r="N137" s="7861"/>
      <c r="O137" s="7861"/>
    </row>
    <row r="138" spans="1:15" s="7314" customFormat="1" ht="15" customHeight="1">
      <c r="A138" s="11663"/>
      <c r="B138" s="7314" t="s">
        <v>10602</v>
      </c>
      <c r="C138" s="9348">
        <v>49929</v>
      </c>
      <c r="D138" s="8870">
        <v>276525</v>
      </c>
      <c r="E138" s="11668">
        <v>0</v>
      </c>
      <c r="F138" s="11669">
        <f t="shared" si="7"/>
        <v>600000</v>
      </c>
      <c r="G138" s="11709">
        <v>600000</v>
      </c>
      <c r="H138" s="11709">
        <v>50314</v>
      </c>
      <c r="I138" s="11413">
        <f t="shared" si="8"/>
        <v>8.3856666666666663E-2</v>
      </c>
      <c r="J138" s="11463">
        <v>600000</v>
      </c>
      <c r="K138" s="10391">
        <f t="shared" si="9"/>
        <v>0</v>
      </c>
      <c r="N138" s="7861"/>
      <c r="O138" s="7861"/>
    </row>
    <row r="139" spans="1:15" s="7314" customFormat="1" ht="15" customHeight="1">
      <c r="A139" s="11663"/>
      <c r="B139" s="7314" t="s">
        <v>11066</v>
      </c>
      <c r="C139" s="9348">
        <v>49911</v>
      </c>
      <c r="D139" s="11709"/>
      <c r="E139" s="11669">
        <v>0</v>
      </c>
      <c r="F139" s="11669">
        <f t="shared" si="7"/>
        <v>200000</v>
      </c>
      <c r="G139" s="11709">
        <v>200000</v>
      </c>
      <c r="H139" s="11709">
        <v>199975</v>
      </c>
      <c r="I139" s="11413">
        <f t="shared" si="8"/>
        <v>0.99987499999999996</v>
      </c>
      <c r="J139" s="11463">
        <v>150000</v>
      </c>
      <c r="K139" s="10391">
        <f t="shared" si="9"/>
        <v>-0.25</v>
      </c>
      <c r="N139" s="7861"/>
      <c r="O139" s="7861"/>
    </row>
    <row r="140" spans="1:15" s="7314" customFormat="1" ht="15" customHeight="1">
      <c r="A140" s="11663"/>
      <c r="B140" s="7314" t="s">
        <v>11067</v>
      </c>
      <c r="C140" s="9348">
        <v>4995</v>
      </c>
      <c r="D140" s="11709"/>
      <c r="E140" s="11669">
        <v>620400</v>
      </c>
      <c r="F140" s="11669">
        <f t="shared" si="7"/>
        <v>1944600</v>
      </c>
      <c r="G140" s="11709">
        <v>2565000</v>
      </c>
      <c r="H140" s="11709">
        <v>1669500</v>
      </c>
      <c r="I140" s="11413">
        <f t="shared" si="8"/>
        <v>0.65087719298245617</v>
      </c>
      <c r="J140" s="11463">
        <v>2770000</v>
      </c>
      <c r="K140" s="10391">
        <f t="shared" si="9"/>
        <v>7.9922027290448339E-2</v>
      </c>
      <c r="N140" s="7861"/>
      <c r="O140" s="7861"/>
    </row>
    <row r="141" spans="1:15" s="7314" customFormat="1" ht="15" customHeight="1">
      <c r="A141" s="11663"/>
      <c r="B141" s="7314" t="s">
        <v>11530</v>
      </c>
      <c r="C141" s="9348"/>
      <c r="D141" s="11709"/>
      <c r="E141" s="11669"/>
      <c r="F141" s="11669"/>
      <c r="G141" s="11709"/>
      <c r="H141" s="11709"/>
      <c r="I141" s="11413"/>
      <c r="J141" s="11678">
        <v>5000000</v>
      </c>
      <c r="K141" s="10391"/>
      <c r="N141" s="7861"/>
      <c r="O141" s="7861"/>
    </row>
    <row r="142" spans="1:15" s="7447" customFormat="1" ht="15" customHeight="1">
      <c r="A142" s="11710"/>
      <c r="B142" s="7315" t="s">
        <v>4680</v>
      </c>
      <c r="C142" s="11711"/>
      <c r="D142" s="11712">
        <f>SUM(D97:D111,D127:D141)</f>
        <v>9111234.7799999993</v>
      </c>
      <c r="E142" s="11712">
        <f>SUM(E97:E111,E127:E141)</f>
        <v>722405.1</v>
      </c>
      <c r="F142" s="11712">
        <f>SUM(F97:F111,F127:F141)</f>
        <v>27072594.899999999</v>
      </c>
      <c r="G142" s="11712">
        <f>SUM(G97:G111,G127:G141)</f>
        <v>27795000</v>
      </c>
      <c r="H142" s="11712">
        <f>SUM(H97:H106)</f>
        <v>12297847.52</v>
      </c>
      <c r="I142" s="11163"/>
      <c r="J142" s="11713">
        <f>SUM(J127:J141,J95:J111)</f>
        <v>32601000</v>
      </c>
      <c r="K142" s="10391">
        <f>(J142-G142)/G142</f>
        <v>0.17290879654614139</v>
      </c>
      <c r="N142" s="7863"/>
      <c r="O142" s="7863"/>
    </row>
    <row r="143" spans="1:15" s="7447" customFormat="1" ht="15" customHeight="1">
      <c r="A143" s="11710"/>
      <c r="B143" s="7315"/>
      <c r="C143" s="11711"/>
      <c r="D143" s="11712"/>
      <c r="E143" s="11714"/>
      <c r="F143" s="11714"/>
      <c r="G143" s="11712"/>
      <c r="H143" s="11712">
        <f>G142*1.05</f>
        <v>29184750</v>
      </c>
      <c r="I143" s="11206"/>
      <c r="J143" s="11713"/>
      <c r="N143" s="7863"/>
      <c r="O143" s="7863"/>
    </row>
    <row r="144" spans="1:15" ht="15" customHeight="1" thickBot="1">
      <c r="A144" s="11715"/>
      <c r="B144" s="11716" t="s">
        <v>55</v>
      </c>
      <c r="C144" s="11717"/>
      <c r="D144" s="7326">
        <f>(D32+D68+D94+D142)</f>
        <v>71831512.239999995</v>
      </c>
      <c r="E144" s="7326">
        <f>(E32+E68+E94+E142)</f>
        <v>33067001.360000003</v>
      </c>
      <c r="F144" s="7326">
        <f>(F32+F68+F94+F142)</f>
        <v>70587648.639999986</v>
      </c>
      <c r="G144" s="7326">
        <f>(G32+G68+G94+G142)</f>
        <v>103654650</v>
      </c>
      <c r="H144" s="7326"/>
      <c r="I144" s="7327"/>
      <c r="J144" s="11674">
        <f>(J32+J68+J94+J142)</f>
        <v>115584293.205</v>
      </c>
      <c r="K144" s="10391">
        <f>(J144-G144)/G144</f>
        <v>0.11509028495103692</v>
      </c>
    </row>
    <row r="145" spans="1:15" s="7333" customFormat="1" ht="15" customHeight="1">
      <c r="A145" s="7738" t="s">
        <v>4763</v>
      </c>
      <c r="B145" s="7738"/>
      <c r="C145" s="9346"/>
      <c r="D145" s="7740"/>
      <c r="E145" s="9565"/>
      <c r="F145" s="9565"/>
      <c r="G145" s="7741"/>
      <c r="H145" s="7740"/>
      <c r="I145" s="7742"/>
      <c r="J145" s="7741"/>
      <c r="K145" s="7748"/>
      <c r="N145" s="7869"/>
      <c r="O145" s="7869"/>
    </row>
    <row r="146" spans="1:15" ht="15" customHeight="1">
      <c r="A146" s="7276"/>
      <c r="B146" s="7276"/>
      <c r="C146" s="9337"/>
      <c r="D146" s="7285"/>
      <c r="E146" s="9481"/>
      <c r="F146" s="9481"/>
      <c r="G146" s="7597"/>
      <c r="H146" s="7285"/>
      <c r="I146" s="7284"/>
      <c r="J146" s="7597"/>
    </row>
    <row r="147" spans="1:15" s="7340" customFormat="1" ht="15" hidden="1" customHeight="1">
      <c r="A147" s="7761" t="s">
        <v>3483</v>
      </c>
      <c r="B147" s="7761"/>
      <c r="C147" s="10870" t="s">
        <v>3484</v>
      </c>
      <c r="E147" s="9494"/>
      <c r="F147" s="9459" t="s">
        <v>10666</v>
      </c>
      <c r="H147" s="7763"/>
      <c r="I147" s="7286"/>
      <c r="J147" s="7762"/>
      <c r="N147" s="7870"/>
      <c r="O147" s="7870"/>
    </row>
    <row r="148" spans="1:15" ht="15" hidden="1" customHeight="1">
      <c r="A148" s="7761"/>
      <c r="B148" s="7761"/>
      <c r="C148" s="9343"/>
      <c r="D148" s="10870"/>
      <c r="E148" s="9493"/>
      <c r="F148" s="9493"/>
      <c r="G148" s="7339"/>
      <c r="H148" s="7763"/>
      <c r="I148" s="7286"/>
      <c r="J148" s="7764"/>
    </row>
    <row r="149" spans="1:15" ht="15" hidden="1" customHeight="1">
      <c r="A149" s="7761"/>
      <c r="B149" s="7761"/>
      <c r="C149" s="9343"/>
      <c r="D149" s="10870"/>
      <c r="E149" s="7899"/>
      <c r="G149" s="7339"/>
      <c r="H149" s="7763"/>
      <c r="I149" s="7286"/>
      <c r="J149" s="7762"/>
    </row>
    <row r="150" spans="1:15" ht="15" hidden="1" customHeight="1">
      <c r="A150" s="14167" t="s">
        <v>9164</v>
      </c>
      <c r="B150" s="14167"/>
      <c r="C150" s="9343"/>
      <c r="D150" s="10872" t="s">
        <v>12059</v>
      </c>
      <c r="G150" s="7342" t="s">
        <v>10667</v>
      </c>
      <c r="H150" s="7766"/>
      <c r="I150" s="7284"/>
      <c r="J150" s="7762"/>
    </row>
    <row r="151" spans="1:15" ht="15" hidden="1" customHeight="1">
      <c r="A151" s="14168" t="s">
        <v>6898</v>
      </c>
      <c r="B151" s="14168"/>
      <c r="C151" s="9343"/>
      <c r="D151" s="10869" t="s">
        <v>3486</v>
      </c>
      <c r="G151" s="7344" t="s">
        <v>10668</v>
      </c>
      <c r="H151" s="7763"/>
      <c r="I151" s="7763"/>
      <c r="J151" s="7763"/>
    </row>
    <row r="153" spans="1:15" ht="15" customHeight="1">
      <c r="H153" s="7347">
        <f>J144-G144</f>
        <v>11929643.204999998</v>
      </c>
      <c r="I153" s="7348">
        <f>H153/G144</f>
        <v>0.11509028495103692</v>
      </c>
    </row>
  </sheetData>
  <mergeCells count="16">
    <mergeCell ref="A1:J1"/>
    <mergeCell ref="C83:C84"/>
    <mergeCell ref="C6:C8"/>
    <mergeCell ref="A150:B150"/>
    <mergeCell ref="A151:B151"/>
    <mergeCell ref="E6:G6"/>
    <mergeCell ref="G7:G8"/>
    <mergeCell ref="E82:G82"/>
    <mergeCell ref="G83:G84"/>
    <mergeCell ref="E39:G39"/>
    <mergeCell ref="C40:C41"/>
    <mergeCell ref="G40:G41"/>
    <mergeCell ref="E123:G123"/>
    <mergeCell ref="C124:C125"/>
    <mergeCell ref="G124:G125"/>
    <mergeCell ref="J3:J4"/>
  </mergeCells>
  <printOptions horizontalCentered="1" gridLinesSet="0"/>
  <pageMargins left="0.25" right="0.25" top="0.5" bottom="0.25" header="0.25" footer="0.25"/>
  <pageSetup paperSize="119" firstPageNumber="219" orientation="landscape" useFirstPageNumber="1" r:id="rId1"/>
  <headerFooter alignWithMargins="0"/>
</worksheet>
</file>

<file path=xl/worksheets/sheet122.xml><?xml version="1.0" encoding="utf-8"?>
<worksheet xmlns="http://schemas.openxmlformats.org/spreadsheetml/2006/main" xmlns:r="http://schemas.openxmlformats.org/officeDocument/2006/relationships">
  <sheetPr codeName="Sheet168">
    <tabColor rgb="FFFFFF00"/>
  </sheetPr>
  <dimension ref="A1:F30"/>
  <sheetViews>
    <sheetView topLeftCell="A4" workbookViewId="0">
      <selection activeCell="A9" sqref="A9:XFD9"/>
    </sheetView>
  </sheetViews>
  <sheetFormatPr defaultColWidth="9.109375" defaultRowHeight="14.4"/>
  <cols>
    <col min="1" max="1" width="3.88671875" style="951" customWidth="1"/>
    <col min="2" max="2" width="38.44140625" style="951" customWidth="1"/>
    <col min="3" max="3" width="14" style="889" customWidth="1"/>
    <col min="4" max="4" width="14.44140625" style="959" customWidth="1"/>
    <col min="5" max="5" width="13" style="959" customWidth="1"/>
    <col min="6" max="6" width="14.44140625" style="959" customWidth="1"/>
    <col min="7" max="16384" width="9.109375" style="818"/>
  </cols>
  <sheetData>
    <row r="1" spans="1:6" s="881" customFormat="1" ht="21.75" customHeight="1">
      <c r="A1" s="946"/>
      <c r="B1" s="946" t="s">
        <v>3426</v>
      </c>
      <c r="C1" s="884"/>
      <c r="D1" s="952"/>
      <c r="E1" s="952"/>
      <c r="F1" s="952"/>
    </row>
    <row r="2" spans="1:6" s="881" customFormat="1" ht="15" customHeight="1">
      <c r="A2" s="946"/>
      <c r="B2" s="47" t="s">
        <v>177</v>
      </c>
      <c r="C2" s="884"/>
      <c r="D2" s="952"/>
      <c r="E2" s="952"/>
      <c r="F2" s="952"/>
    </row>
    <row r="3" spans="1:6" s="881" customFormat="1" ht="15" customHeight="1">
      <c r="A3" s="946"/>
      <c r="B3" s="946"/>
      <c r="C3" s="884"/>
      <c r="D3" s="952"/>
      <c r="E3" s="952"/>
      <c r="F3" s="952"/>
    </row>
    <row r="4" spans="1:6" s="881" customFormat="1">
      <c r="A4" s="1341"/>
      <c r="B4" s="14985" t="s">
        <v>3427</v>
      </c>
      <c r="C4" s="14207" t="s">
        <v>18</v>
      </c>
      <c r="D4" s="14207"/>
      <c r="E4" s="14207"/>
      <c r="F4" s="14987" t="s">
        <v>220</v>
      </c>
    </row>
    <row r="5" spans="1:6" s="1027" customFormat="1" ht="28.8">
      <c r="A5" s="1590"/>
      <c r="B5" s="14986"/>
      <c r="C5" s="1002" t="s">
        <v>2151</v>
      </c>
      <c r="D5" s="1550" t="s">
        <v>1973</v>
      </c>
      <c r="E5" s="1550" t="s">
        <v>52</v>
      </c>
      <c r="F5" s="14988"/>
    </row>
    <row r="6" spans="1:6" s="881" customFormat="1">
      <c r="A6" s="1288" t="s">
        <v>2048</v>
      </c>
      <c r="B6" s="972"/>
      <c r="C6" s="886"/>
      <c r="D6" s="953"/>
      <c r="E6" s="953"/>
      <c r="F6" s="953"/>
    </row>
    <row r="7" spans="1:6">
      <c r="A7" s="947"/>
      <c r="B7" s="960" t="s">
        <v>3475</v>
      </c>
      <c r="C7" s="887">
        <f>'lbpf 3-PHO'!J32</f>
        <v>76158293.204999998</v>
      </c>
      <c r="D7" s="954">
        <f>'lbpf 3-PHO'!J68</f>
        <v>6225000</v>
      </c>
      <c r="E7" s="954"/>
      <c r="F7" s="954">
        <f>SUM(C7:E7)</f>
        <v>82383293.204999998</v>
      </c>
    </row>
    <row r="8" spans="1:6">
      <c r="A8" s="947"/>
      <c r="B8" s="960" t="s">
        <v>7207</v>
      </c>
      <c r="C8" s="887"/>
      <c r="D8" s="954"/>
      <c r="E8" s="954">
        <v>110000</v>
      </c>
      <c r="F8" s="954">
        <f>SUM(C8:E8)</f>
        <v>110000</v>
      </c>
    </row>
    <row r="9" spans="1:6" s="881" customFormat="1" ht="24" customHeight="1">
      <c r="A9" s="5348" t="s">
        <v>7224</v>
      </c>
      <c r="B9" s="5350"/>
      <c r="C9" s="5352">
        <f ca="1">SUM(C7:C27)</f>
        <v>57696053</v>
      </c>
      <c r="D9" s="5352">
        <f ca="1">SUM(D7:D27)</f>
        <v>12792000</v>
      </c>
      <c r="E9" s="5352">
        <f ca="1">SUM(E7:E27)</f>
        <v>110000</v>
      </c>
      <c r="F9" s="5352">
        <f ca="1">SUM(F7:F27)</f>
        <v>70598053</v>
      </c>
    </row>
    <row r="10" spans="1:6">
      <c r="A10" s="2524" t="s">
        <v>3429</v>
      </c>
      <c r="B10" s="2525"/>
      <c r="C10" s="2520"/>
      <c r="D10" s="2521"/>
      <c r="E10" s="2521"/>
      <c r="F10" s="2521"/>
    </row>
    <row r="11" spans="1:6">
      <c r="A11" s="949">
        <v>1</v>
      </c>
      <c r="B11" s="2526" t="s">
        <v>7210</v>
      </c>
      <c r="C11" s="2387"/>
      <c r="D11" s="2522">
        <v>4940000</v>
      </c>
      <c r="E11" s="2139">
        <v>6000000</v>
      </c>
      <c r="F11" s="2522">
        <f>SUM(D11:E11)</f>
        <v>10940000</v>
      </c>
    </row>
    <row r="12" spans="1:6">
      <c r="A12" s="949">
        <v>2</v>
      </c>
      <c r="B12" s="2526" t="s">
        <v>7211</v>
      </c>
      <c r="C12" s="2387"/>
      <c r="D12" s="2522">
        <v>480000</v>
      </c>
      <c r="E12" s="2139">
        <v>85000</v>
      </c>
      <c r="F12" s="2522">
        <f t="shared" ref="F12:F26" si="0">SUM(D12:E12)</f>
        <v>565000</v>
      </c>
    </row>
    <row r="13" spans="1:6">
      <c r="A13" s="949">
        <v>3</v>
      </c>
      <c r="B13" s="2526" t="s">
        <v>7212</v>
      </c>
      <c r="C13" s="2387"/>
      <c r="D13" s="2522">
        <v>500000</v>
      </c>
      <c r="E13" s="2139">
        <v>300000</v>
      </c>
      <c r="F13" s="2522">
        <f t="shared" si="0"/>
        <v>800000</v>
      </c>
    </row>
    <row r="14" spans="1:6">
      <c r="A14" s="949">
        <v>4</v>
      </c>
      <c r="B14" s="2526" t="s">
        <v>7213</v>
      </c>
      <c r="C14" s="2523"/>
      <c r="D14" s="818"/>
      <c r="E14" s="2139">
        <v>1000000</v>
      </c>
      <c r="F14" s="2522">
        <f t="shared" si="0"/>
        <v>1000000</v>
      </c>
    </row>
    <row r="15" spans="1:6">
      <c r="A15" s="949">
        <v>5</v>
      </c>
      <c r="B15" s="2526" t="s">
        <v>7214</v>
      </c>
      <c r="C15" s="2387"/>
      <c r="D15" s="2387">
        <v>860000</v>
      </c>
      <c r="E15" s="2139"/>
      <c r="F15" s="2522">
        <f t="shared" si="0"/>
        <v>860000</v>
      </c>
    </row>
    <row r="16" spans="1:6">
      <c r="A16" s="949">
        <v>6</v>
      </c>
      <c r="B16" s="2526" t="s">
        <v>4953</v>
      </c>
      <c r="C16" s="2387"/>
      <c r="D16" s="2522">
        <v>300000</v>
      </c>
      <c r="E16" s="2139"/>
      <c r="F16" s="2522">
        <f t="shared" si="0"/>
        <v>300000</v>
      </c>
    </row>
    <row r="17" spans="1:6" ht="15.75" customHeight="1">
      <c r="A17" s="949">
        <v>7</v>
      </c>
      <c r="B17" s="2526" t="s">
        <v>7215</v>
      </c>
      <c r="C17" s="2387"/>
      <c r="D17" s="2139">
        <v>700000</v>
      </c>
      <c r="E17" s="2139"/>
      <c r="F17" s="2522">
        <f t="shared" si="0"/>
        <v>700000</v>
      </c>
    </row>
    <row r="18" spans="1:6" ht="15.75" customHeight="1">
      <c r="A18" s="949">
        <v>8</v>
      </c>
      <c r="B18" s="2526" t="s">
        <v>7216</v>
      </c>
      <c r="C18" s="2387"/>
      <c r="D18" s="2522">
        <v>500000</v>
      </c>
      <c r="E18" s="2139"/>
      <c r="F18" s="2522">
        <f t="shared" si="0"/>
        <v>500000</v>
      </c>
    </row>
    <row r="19" spans="1:6" ht="26.4">
      <c r="A19" s="949">
        <v>9</v>
      </c>
      <c r="B19" s="2526" t="s">
        <v>7217</v>
      </c>
      <c r="C19" s="2387"/>
      <c r="D19" s="2139">
        <v>393760</v>
      </c>
      <c r="E19" s="2139"/>
      <c r="F19" s="2522">
        <f t="shared" si="0"/>
        <v>393760</v>
      </c>
    </row>
    <row r="20" spans="1:6">
      <c r="A20" s="949">
        <v>10</v>
      </c>
      <c r="B20" s="2526" t="s">
        <v>7218</v>
      </c>
      <c r="C20" s="2387"/>
      <c r="D20" s="2522">
        <v>200000</v>
      </c>
      <c r="E20" s="2139"/>
      <c r="F20" s="2522">
        <f t="shared" si="0"/>
        <v>200000</v>
      </c>
    </row>
    <row r="21" spans="1:6">
      <c r="A21" s="949">
        <v>11</v>
      </c>
      <c r="B21" s="2526" t="s">
        <v>7219</v>
      </c>
      <c r="C21" s="2387"/>
      <c r="D21" s="2522">
        <v>1425000</v>
      </c>
      <c r="E21" s="2139"/>
      <c r="F21" s="2522">
        <f t="shared" si="0"/>
        <v>1425000</v>
      </c>
    </row>
    <row r="22" spans="1:6">
      <c r="A22" s="949">
        <v>12</v>
      </c>
      <c r="B22" s="2526" t="s">
        <v>7220</v>
      </c>
      <c r="C22" s="2387"/>
      <c r="D22" s="2522">
        <v>5700000</v>
      </c>
      <c r="E22" s="2139"/>
      <c r="F22" s="2522">
        <f t="shared" si="0"/>
        <v>5700000</v>
      </c>
    </row>
    <row r="23" spans="1:6">
      <c r="A23" s="949">
        <v>13</v>
      </c>
      <c r="B23" s="2526" t="s">
        <v>7209</v>
      </c>
      <c r="C23" s="2387"/>
      <c r="D23" s="2139"/>
      <c r="E23" s="2139"/>
      <c r="F23" s="2522">
        <f t="shared" si="0"/>
        <v>0</v>
      </c>
    </row>
    <row r="24" spans="1:6" s="881" customFormat="1">
      <c r="A24" s="949">
        <v>14</v>
      </c>
      <c r="B24" s="2526" t="s">
        <v>7221</v>
      </c>
      <c r="C24" s="2527"/>
      <c r="D24" s="2528">
        <v>315200</v>
      </c>
      <c r="E24" s="2528"/>
      <c r="F24" s="2522">
        <f t="shared" si="0"/>
        <v>315200</v>
      </c>
    </row>
    <row r="25" spans="1:6">
      <c r="A25" s="949">
        <v>15</v>
      </c>
      <c r="B25" s="2526" t="s">
        <v>7222</v>
      </c>
      <c r="C25" s="2387"/>
      <c r="D25" s="2139">
        <v>1095000</v>
      </c>
      <c r="E25" s="2139"/>
      <c r="F25" s="2522">
        <f t="shared" si="0"/>
        <v>1095000</v>
      </c>
    </row>
    <row r="26" spans="1:6">
      <c r="A26" s="949">
        <v>16</v>
      </c>
      <c r="B26" s="2526" t="s">
        <v>7223</v>
      </c>
      <c r="C26" s="2387"/>
      <c r="D26" s="2522"/>
      <c r="E26" s="2139">
        <v>350000</v>
      </c>
      <c r="F26" s="2522">
        <f t="shared" si="0"/>
        <v>350000</v>
      </c>
    </row>
    <row r="27" spans="1:6">
      <c r="A27" s="947"/>
      <c r="B27" s="2487" t="s">
        <v>7208</v>
      </c>
      <c r="C27" s="2387"/>
      <c r="D27" s="2139">
        <v>8001000</v>
      </c>
      <c r="E27" s="2139"/>
      <c r="F27" s="954">
        <f>SUM(C27:E27)</f>
        <v>8001000</v>
      </c>
    </row>
    <row r="28" spans="1:6">
      <c r="A28" s="2577"/>
      <c r="B28" s="4049"/>
      <c r="C28" s="2387"/>
      <c r="D28" s="2522"/>
      <c r="E28" s="2139"/>
      <c r="F28" s="2522"/>
    </row>
    <row r="29" spans="1:6" s="881" customFormat="1" ht="24.75" customHeight="1">
      <c r="A29" s="2529" t="s">
        <v>7225</v>
      </c>
      <c r="B29" s="2530"/>
      <c r="C29" s="2531"/>
      <c r="D29" s="2532">
        <f>SUM(D11:D26)</f>
        <v>17408960</v>
      </c>
      <c r="E29" s="2532">
        <f>SUM(E11:E26)</f>
        <v>7735000</v>
      </c>
      <c r="F29" s="2532">
        <f>SUM(F11:F27)</f>
        <v>33144960</v>
      </c>
    </row>
    <row r="30" spans="1:6" s="881" customFormat="1" ht="24" customHeight="1">
      <c r="A30" s="2533"/>
      <c r="B30" s="2534" t="s">
        <v>5603</v>
      </c>
      <c r="C30" s="2531">
        <f ca="1">C29+C9</f>
        <v>57696053</v>
      </c>
      <c r="D30" s="2531">
        <f ca="1">D29+D9</f>
        <v>30200960</v>
      </c>
      <c r="E30" s="2531">
        <f ca="1">E29+E9</f>
        <v>7845000</v>
      </c>
      <c r="F30" s="2531">
        <f ca="1">F29+F9</f>
        <v>95742013</v>
      </c>
    </row>
  </sheetData>
  <mergeCells count="3">
    <mergeCell ref="B4:B5"/>
    <mergeCell ref="C4:E4"/>
    <mergeCell ref="F4:F5"/>
  </mergeCells>
  <printOptions horizontalCentered="1"/>
  <pageMargins left="0.5" right="0.25" top="0.75" bottom="0.5" header="0.3" footer="0.25"/>
  <pageSetup paperSize="119" firstPageNumber="221" orientation="portrait" useFirstPageNumber="1" verticalDpi="300" r:id="rId1"/>
</worksheet>
</file>

<file path=xl/worksheets/sheet123.xml><?xml version="1.0" encoding="utf-8"?>
<worksheet xmlns="http://schemas.openxmlformats.org/spreadsheetml/2006/main" xmlns:r="http://schemas.openxmlformats.org/officeDocument/2006/relationships">
  <sheetPr codeName="Sheet83">
    <tabColor rgb="FFFFFF00"/>
  </sheetPr>
  <dimension ref="A1:I136"/>
  <sheetViews>
    <sheetView showGridLines="0" topLeftCell="A44" workbookViewId="0">
      <selection activeCell="F44" sqref="F1:M1048576"/>
    </sheetView>
  </sheetViews>
  <sheetFormatPr defaultRowHeight="12.9" customHeight="1"/>
  <cols>
    <col min="1" max="1" width="40.5546875" style="7001" customWidth="1"/>
    <col min="2" max="2" width="8.5546875" style="7166" customWidth="1"/>
    <col min="3" max="3" width="8.5546875" style="7001" customWidth="1"/>
    <col min="4" max="6" width="14.5546875" style="7001" customWidth="1"/>
    <col min="7" max="7" width="8.88671875" style="7001" customWidth="1"/>
    <col min="8" max="8" width="15.109375" style="7001" customWidth="1"/>
    <col min="9" max="9" width="23.6640625" style="7001" customWidth="1"/>
    <col min="10" max="12" width="8.88671875" style="7001" customWidth="1"/>
    <col min="13" max="218" width="9.109375" style="7001"/>
    <col min="219" max="219" width="36.44140625" style="7001" customWidth="1"/>
    <col min="220" max="220" width="8.88671875" style="7001" customWidth="1"/>
    <col min="221" max="221" width="9" style="7001" customWidth="1"/>
    <col min="222" max="222" width="9.109375" style="7001"/>
    <col min="223" max="223" width="15" style="7001" customWidth="1"/>
    <col min="224" max="224" width="15.44140625" style="7001" customWidth="1"/>
    <col min="225" max="225" width="9.109375" style="7001"/>
    <col min="226" max="226" width="12.88671875" style="7001" customWidth="1"/>
    <col min="227" max="227" width="11.44140625" style="7001" customWidth="1"/>
    <col min="228" max="474" width="9.109375" style="7001"/>
    <col min="475" max="475" width="36.44140625" style="7001" customWidth="1"/>
    <col min="476" max="476" width="8.88671875" style="7001" customWidth="1"/>
    <col min="477" max="477" width="9" style="7001" customWidth="1"/>
    <col min="478" max="478" width="9.109375" style="7001"/>
    <col min="479" max="479" width="15" style="7001" customWidth="1"/>
    <col min="480" max="480" width="15.44140625" style="7001" customWidth="1"/>
    <col min="481" max="481" width="9.109375" style="7001"/>
    <col min="482" max="482" width="12.88671875" style="7001" customWidth="1"/>
    <col min="483" max="483" width="11.44140625" style="7001" customWidth="1"/>
    <col min="484" max="730" width="9.109375" style="7001"/>
    <col min="731" max="731" width="36.44140625" style="7001" customWidth="1"/>
    <col min="732" max="732" width="8.88671875" style="7001" customWidth="1"/>
    <col min="733" max="733" width="9" style="7001" customWidth="1"/>
    <col min="734" max="734" width="9.109375" style="7001"/>
    <col min="735" max="735" width="15" style="7001" customWidth="1"/>
    <col min="736" max="736" width="15.44140625" style="7001" customWidth="1"/>
    <col min="737" max="737" width="9.109375" style="7001"/>
    <col min="738" max="738" width="12.88671875" style="7001" customWidth="1"/>
    <col min="739" max="739" width="11.44140625" style="7001" customWidth="1"/>
    <col min="740" max="986" width="9.109375" style="7001"/>
    <col min="987" max="987" width="36.44140625" style="7001" customWidth="1"/>
    <col min="988" max="988" width="8.88671875" style="7001" customWidth="1"/>
    <col min="989" max="989" width="9" style="7001" customWidth="1"/>
    <col min="990" max="990" width="9.109375" style="7001"/>
    <col min="991" max="991" width="15" style="7001" customWidth="1"/>
    <col min="992" max="992" width="15.44140625" style="7001" customWidth="1"/>
    <col min="993" max="993" width="9.109375" style="7001"/>
    <col min="994" max="994" width="12.88671875" style="7001" customWidth="1"/>
    <col min="995" max="995" width="11.44140625" style="7001" customWidth="1"/>
    <col min="996" max="1242" width="9.109375" style="7001"/>
    <col min="1243" max="1243" width="36.44140625" style="7001" customWidth="1"/>
    <col min="1244" max="1244" width="8.88671875" style="7001" customWidth="1"/>
    <col min="1245" max="1245" width="9" style="7001" customWidth="1"/>
    <col min="1246" max="1246" width="9.109375" style="7001"/>
    <col min="1247" max="1247" width="15" style="7001" customWidth="1"/>
    <col min="1248" max="1248" width="15.44140625" style="7001" customWidth="1"/>
    <col min="1249" max="1249" width="9.109375" style="7001"/>
    <col min="1250" max="1250" width="12.88671875" style="7001" customWidth="1"/>
    <col min="1251" max="1251" width="11.44140625" style="7001" customWidth="1"/>
    <col min="1252" max="1498" width="9.109375" style="7001"/>
    <col min="1499" max="1499" width="36.44140625" style="7001" customWidth="1"/>
    <col min="1500" max="1500" width="8.88671875" style="7001" customWidth="1"/>
    <col min="1501" max="1501" width="9" style="7001" customWidth="1"/>
    <col min="1502" max="1502" width="9.109375" style="7001"/>
    <col min="1503" max="1503" width="15" style="7001" customWidth="1"/>
    <col min="1504" max="1504" width="15.44140625" style="7001" customWidth="1"/>
    <col min="1505" max="1505" width="9.109375" style="7001"/>
    <col min="1506" max="1506" width="12.88671875" style="7001" customWidth="1"/>
    <col min="1507" max="1507" width="11.44140625" style="7001" customWidth="1"/>
    <col min="1508" max="1754" width="9.109375" style="7001"/>
    <col min="1755" max="1755" width="36.44140625" style="7001" customWidth="1"/>
    <col min="1756" max="1756" width="8.88671875" style="7001" customWidth="1"/>
    <col min="1757" max="1757" width="9" style="7001" customWidth="1"/>
    <col min="1758" max="1758" width="9.109375" style="7001"/>
    <col min="1759" max="1759" width="15" style="7001" customWidth="1"/>
    <col min="1760" max="1760" width="15.44140625" style="7001" customWidth="1"/>
    <col min="1761" max="1761" width="9.109375" style="7001"/>
    <col min="1762" max="1762" width="12.88671875" style="7001" customWidth="1"/>
    <col min="1763" max="1763" width="11.44140625" style="7001" customWidth="1"/>
    <col min="1764" max="2010" width="9.109375" style="7001"/>
    <col min="2011" max="2011" width="36.44140625" style="7001" customWidth="1"/>
    <col min="2012" max="2012" width="8.88671875" style="7001" customWidth="1"/>
    <col min="2013" max="2013" width="9" style="7001" customWidth="1"/>
    <col min="2014" max="2014" width="9.109375" style="7001"/>
    <col min="2015" max="2015" width="15" style="7001" customWidth="1"/>
    <col min="2016" max="2016" width="15.44140625" style="7001" customWidth="1"/>
    <col min="2017" max="2017" width="9.109375" style="7001"/>
    <col min="2018" max="2018" width="12.88671875" style="7001" customWidth="1"/>
    <col min="2019" max="2019" width="11.44140625" style="7001" customWidth="1"/>
    <col min="2020" max="2266" width="9.109375" style="7001"/>
    <col min="2267" max="2267" width="36.44140625" style="7001" customWidth="1"/>
    <col min="2268" max="2268" width="8.88671875" style="7001" customWidth="1"/>
    <col min="2269" max="2269" width="9" style="7001" customWidth="1"/>
    <col min="2270" max="2270" width="9.109375" style="7001"/>
    <col min="2271" max="2271" width="15" style="7001" customWidth="1"/>
    <col min="2272" max="2272" width="15.44140625" style="7001" customWidth="1"/>
    <col min="2273" max="2273" width="9.109375" style="7001"/>
    <col min="2274" max="2274" width="12.88671875" style="7001" customWidth="1"/>
    <col min="2275" max="2275" width="11.44140625" style="7001" customWidth="1"/>
    <col min="2276" max="2522" width="9.109375" style="7001"/>
    <col min="2523" max="2523" width="36.44140625" style="7001" customWidth="1"/>
    <col min="2524" max="2524" width="8.88671875" style="7001" customWidth="1"/>
    <col min="2525" max="2525" width="9" style="7001" customWidth="1"/>
    <col min="2526" max="2526" width="9.109375" style="7001"/>
    <col min="2527" max="2527" width="15" style="7001" customWidth="1"/>
    <col min="2528" max="2528" width="15.44140625" style="7001" customWidth="1"/>
    <col min="2529" max="2529" width="9.109375" style="7001"/>
    <col min="2530" max="2530" width="12.88671875" style="7001" customWidth="1"/>
    <col min="2531" max="2531" width="11.44140625" style="7001" customWidth="1"/>
    <col min="2532" max="2778" width="9.109375" style="7001"/>
    <col min="2779" max="2779" width="36.44140625" style="7001" customWidth="1"/>
    <col min="2780" max="2780" width="8.88671875" style="7001" customWidth="1"/>
    <col min="2781" max="2781" width="9" style="7001" customWidth="1"/>
    <col min="2782" max="2782" width="9.109375" style="7001"/>
    <col min="2783" max="2783" width="15" style="7001" customWidth="1"/>
    <col min="2784" max="2784" width="15.44140625" style="7001" customWidth="1"/>
    <col min="2785" max="2785" width="9.109375" style="7001"/>
    <col min="2786" max="2786" width="12.88671875" style="7001" customWidth="1"/>
    <col min="2787" max="2787" width="11.44140625" style="7001" customWidth="1"/>
    <col min="2788" max="3034" width="9.109375" style="7001"/>
    <col min="3035" max="3035" width="36.44140625" style="7001" customWidth="1"/>
    <col min="3036" max="3036" width="8.88671875" style="7001" customWidth="1"/>
    <col min="3037" max="3037" width="9" style="7001" customWidth="1"/>
    <col min="3038" max="3038" width="9.109375" style="7001"/>
    <col min="3039" max="3039" width="15" style="7001" customWidth="1"/>
    <col min="3040" max="3040" width="15.44140625" style="7001" customWidth="1"/>
    <col min="3041" max="3041" width="9.109375" style="7001"/>
    <col min="3042" max="3042" width="12.88671875" style="7001" customWidth="1"/>
    <col min="3043" max="3043" width="11.44140625" style="7001" customWidth="1"/>
    <col min="3044" max="3290" width="9.109375" style="7001"/>
    <col min="3291" max="3291" width="36.44140625" style="7001" customWidth="1"/>
    <col min="3292" max="3292" width="8.88671875" style="7001" customWidth="1"/>
    <col min="3293" max="3293" width="9" style="7001" customWidth="1"/>
    <col min="3294" max="3294" width="9.109375" style="7001"/>
    <col min="3295" max="3295" width="15" style="7001" customWidth="1"/>
    <col min="3296" max="3296" width="15.44140625" style="7001" customWidth="1"/>
    <col min="3297" max="3297" width="9.109375" style="7001"/>
    <col min="3298" max="3298" width="12.88671875" style="7001" customWidth="1"/>
    <col min="3299" max="3299" width="11.44140625" style="7001" customWidth="1"/>
    <col min="3300" max="3546" width="9.109375" style="7001"/>
    <col min="3547" max="3547" width="36.44140625" style="7001" customWidth="1"/>
    <col min="3548" max="3548" width="8.88671875" style="7001" customWidth="1"/>
    <col min="3549" max="3549" width="9" style="7001" customWidth="1"/>
    <col min="3550" max="3550" width="9.109375" style="7001"/>
    <col min="3551" max="3551" width="15" style="7001" customWidth="1"/>
    <col min="3552" max="3552" width="15.44140625" style="7001" customWidth="1"/>
    <col min="3553" max="3553" width="9.109375" style="7001"/>
    <col min="3554" max="3554" width="12.88671875" style="7001" customWidth="1"/>
    <col min="3555" max="3555" width="11.44140625" style="7001" customWidth="1"/>
    <col min="3556" max="3802" width="9.109375" style="7001"/>
    <col min="3803" max="3803" width="36.44140625" style="7001" customWidth="1"/>
    <col min="3804" max="3804" width="8.88671875" style="7001" customWidth="1"/>
    <col min="3805" max="3805" width="9" style="7001" customWidth="1"/>
    <col min="3806" max="3806" width="9.109375" style="7001"/>
    <col min="3807" max="3807" width="15" style="7001" customWidth="1"/>
    <col min="3808" max="3808" width="15.44140625" style="7001" customWidth="1"/>
    <col min="3809" max="3809" width="9.109375" style="7001"/>
    <col min="3810" max="3810" width="12.88671875" style="7001" customWidth="1"/>
    <col min="3811" max="3811" width="11.44140625" style="7001" customWidth="1"/>
    <col min="3812" max="4058" width="9.109375" style="7001"/>
    <col min="4059" max="4059" width="36.44140625" style="7001" customWidth="1"/>
    <col min="4060" max="4060" width="8.88671875" style="7001" customWidth="1"/>
    <col min="4061" max="4061" width="9" style="7001" customWidth="1"/>
    <col min="4062" max="4062" width="9.109375" style="7001"/>
    <col min="4063" max="4063" width="15" style="7001" customWidth="1"/>
    <col min="4064" max="4064" width="15.44140625" style="7001" customWidth="1"/>
    <col min="4065" max="4065" width="9.109375" style="7001"/>
    <col min="4066" max="4066" width="12.88671875" style="7001" customWidth="1"/>
    <col min="4067" max="4067" width="11.44140625" style="7001" customWidth="1"/>
    <col min="4068" max="4314" width="9.109375" style="7001"/>
    <col min="4315" max="4315" width="36.44140625" style="7001" customWidth="1"/>
    <col min="4316" max="4316" width="8.88671875" style="7001" customWidth="1"/>
    <col min="4317" max="4317" width="9" style="7001" customWidth="1"/>
    <col min="4318" max="4318" width="9.109375" style="7001"/>
    <col min="4319" max="4319" width="15" style="7001" customWidth="1"/>
    <col min="4320" max="4320" width="15.44140625" style="7001" customWidth="1"/>
    <col min="4321" max="4321" width="9.109375" style="7001"/>
    <col min="4322" max="4322" width="12.88671875" style="7001" customWidth="1"/>
    <col min="4323" max="4323" width="11.44140625" style="7001" customWidth="1"/>
    <col min="4324" max="4570" width="9.109375" style="7001"/>
    <col min="4571" max="4571" width="36.44140625" style="7001" customWidth="1"/>
    <col min="4572" max="4572" width="8.88671875" style="7001" customWidth="1"/>
    <col min="4573" max="4573" width="9" style="7001" customWidth="1"/>
    <col min="4574" max="4574" width="9.109375" style="7001"/>
    <col min="4575" max="4575" width="15" style="7001" customWidth="1"/>
    <col min="4576" max="4576" width="15.44140625" style="7001" customWidth="1"/>
    <col min="4577" max="4577" width="9.109375" style="7001"/>
    <col min="4578" max="4578" width="12.88671875" style="7001" customWidth="1"/>
    <col min="4579" max="4579" width="11.44140625" style="7001" customWidth="1"/>
    <col min="4580" max="4826" width="9.109375" style="7001"/>
    <col min="4827" max="4827" width="36.44140625" style="7001" customWidth="1"/>
    <col min="4828" max="4828" width="8.88671875" style="7001" customWidth="1"/>
    <col min="4829" max="4829" width="9" style="7001" customWidth="1"/>
    <col min="4830" max="4830" width="9.109375" style="7001"/>
    <col min="4831" max="4831" width="15" style="7001" customWidth="1"/>
    <col min="4832" max="4832" width="15.44140625" style="7001" customWidth="1"/>
    <col min="4833" max="4833" width="9.109375" style="7001"/>
    <col min="4834" max="4834" width="12.88671875" style="7001" customWidth="1"/>
    <col min="4835" max="4835" width="11.44140625" style="7001" customWidth="1"/>
    <col min="4836" max="5082" width="9.109375" style="7001"/>
    <col min="5083" max="5083" width="36.44140625" style="7001" customWidth="1"/>
    <col min="5084" max="5084" width="8.88671875" style="7001" customWidth="1"/>
    <col min="5085" max="5085" width="9" style="7001" customWidth="1"/>
    <col min="5086" max="5086" width="9.109375" style="7001"/>
    <col min="5087" max="5087" width="15" style="7001" customWidth="1"/>
    <col min="5088" max="5088" width="15.44140625" style="7001" customWidth="1"/>
    <col min="5089" max="5089" width="9.109375" style="7001"/>
    <col min="5090" max="5090" width="12.88671875" style="7001" customWidth="1"/>
    <col min="5091" max="5091" width="11.44140625" style="7001" customWidth="1"/>
    <col min="5092" max="5338" width="9.109375" style="7001"/>
    <col min="5339" max="5339" width="36.44140625" style="7001" customWidth="1"/>
    <col min="5340" max="5340" width="8.88671875" style="7001" customWidth="1"/>
    <col min="5341" max="5341" width="9" style="7001" customWidth="1"/>
    <col min="5342" max="5342" width="9.109375" style="7001"/>
    <col min="5343" max="5343" width="15" style="7001" customWidth="1"/>
    <col min="5344" max="5344" width="15.44140625" style="7001" customWidth="1"/>
    <col min="5345" max="5345" width="9.109375" style="7001"/>
    <col min="5346" max="5346" width="12.88671875" style="7001" customWidth="1"/>
    <col min="5347" max="5347" width="11.44140625" style="7001" customWidth="1"/>
    <col min="5348" max="5594" width="9.109375" style="7001"/>
    <col min="5595" max="5595" width="36.44140625" style="7001" customWidth="1"/>
    <col min="5596" max="5596" width="8.88671875" style="7001" customWidth="1"/>
    <col min="5597" max="5597" width="9" style="7001" customWidth="1"/>
    <col min="5598" max="5598" width="9.109375" style="7001"/>
    <col min="5599" max="5599" width="15" style="7001" customWidth="1"/>
    <col min="5600" max="5600" width="15.44140625" style="7001" customWidth="1"/>
    <col min="5601" max="5601" width="9.109375" style="7001"/>
    <col min="5602" max="5602" width="12.88671875" style="7001" customWidth="1"/>
    <col min="5603" max="5603" width="11.44140625" style="7001" customWidth="1"/>
    <col min="5604" max="5850" width="9.109375" style="7001"/>
    <col min="5851" max="5851" width="36.44140625" style="7001" customWidth="1"/>
    <col min="5852" max="5852" width="8.88671875" style="7001" customWidth="1"/>
    <col min="5853" max="5853" width="9" style="7001" customWidth="1"/>
    <col min="5854" max="5854" width="9.109375" style="7001"/>
    <col min="5855" max="5855" width="15" style="7001" customWidth="1"/>
    <col min="5856" max="5856" width="15.44140625" style="7001" customWidth="1"/>
    <col min="5857" max="5857" width="9.109375" style="7001"/>
    <col min="5858" max="5858" width="12.88671875" style="7001" customWidth="1"/>
    <col min="5859" max="5859" width="11.44140625" style="7001" customWidth="1"/>
    <col min="5860" max="6106" width="9.109375" style="7001"/>
    <col min="6107" max="6107" width="36.44140625" style="7001" customWidth="1"/>
    <col min="6108" max="6108" width="8.88671875" style="7001" customWidth="1"/>
    <col min="6109" max="6109" width="9" style="7001" customWidth="1"/>
    <col min="6110" max="6110" width="9.109375" style="7001"/>
    <col min="6111" max="6111" width="15" style="7001" customWidth="1"/>
    <col min="6112" max="6112" width="15.44140625" style="7001" customWidth="1"/>
    <col min="6113" max="6113" width="9.109375" style="7001"/>
    <col min="6114" max="6114" width="12.88671875" style="7001" customWidth="1"/>
    <col min="6115" max="6115" width="11.44140625" style="7001" customWidth="1"/>
    <col min="6116" max="6362" width="9.109375" style="7001"/>
    <col min="6363" max="6363" width="36.44140625" style="7001" customWidth="1"/>
    <col min="6364" max="6364" width="8.88671875" style="7001" customWidth="1"/>
    <col min="6365" max="6365" width="9" style="7001" customWidth="1"/>
    <col min="6366" max="6366" width="9.109375" style="7001"/>
    <col min="6367" max="6367" width="15" style="7001" customWidth="1"/>
    <col min="6368" max="6368" width="15.44140625" style="7001" customWidth="1"/>
    <col min="6369" max="6369" width="9.109375" style="7001"/>
    <col min="6370" max="6370" width="12.88671875" style="7001" customWidth="1"/>
    <col min="6371" max="6371" width="11.44140625" style="7001" customWidth="1"/>
    <col min="6372" max="6618" width="9.109375" style="7001"/>
    <col min="6619" max="6619" width="36.44140625" style="7001" customWidth="1"/>
    <col min="6620" max="6620" width="8.88671875" style="7001" customWidth="1"/>
    <col min="6621" max="6621" width="9" style="7001" customWidth="1"/>
    <col min="6622" max="6622" width="9.109375" style="7001"/>
    <col min="6623" max="6623" width="15" style="7001" customWidth="1"/>
    <col min="6624" max="6624" width="15.44140625" style="7001" customWidth="1"/>
    <col min="6625" max="6625" width="9.109375" style="7001"/>
    <col min="6626" max="6626" width="12.88671875" style="7001" customWidth="1"/>
    <col min="6627" max="6627" width="11.44140625" style="7001" customWidth="1"/>
    <col min="6628" max="6874" width="9.109375" style="7001"/>
    <col min="6875" max="6875" width="36.44140625" style="7001" customWidth="1"/>
    <col min="6876" max="6876" width="8.88671875" style="7001" customWidth="1"/>
    <col min="6877" max="6877" width="9" style="7001" customWidth="1"/>
    <col min="6878" max="6878" width="9.109375" style="7001"/>
    <col min="6879" max="6879" width="15" style="7001" customWidth="1"/>
    <col min="6880" max="6880" width="15.44140625" style="7001" customWidth="1"/>
    <col min="6881" max="6881" width="9.109375" style="7001"/>
    <col min="6882" max="6882" width="12.88671875" style="7001" customWidth="1"/>
    <col min="6883" max="6883" width="11.44140625" style="7001" customWidth="1"/>
    <col min="6884" max="7130" width="9.109375" style="7001"/>
    <col min="7131" max="7131" width="36.44140625" style="7001" customWidth="1"/>
    <col min="7132" max="7132" width="8.88671875" style="7001" customWidth="1"/>
    <col min="7133" max="7133" width="9" style="7001" customWidth="1"/>
    <col min="7134" max="7134" width="9.109375" style="7001"/>
    <col min="7135" max="7135" width="15" style="7001" customWidth="1"/>
    <col min="7136" max="7136" width="15.44140625" style="7001" customWidth="1"/>
    <col min="7137" max="7137" width="9.109375" style="7001"/>
    <col min="7138" max="7138" width="12.88671875" style="7001" customWidth="1"/>
    <col min="7139" max="7139" width="11.44140625" style="7001" customWidth="1"/>
    <col min="7140" max="7386" width="9.109375" style="7001"/>
    <col min="7387" max="7387" width="36.44140625" style="7001" customWidth="1"/>
    <col min="7388" max="7388" width="8.88671875" style="7001" customWidth="1"/>
    <col min="7389" max="7389" width="9" style="7001" customWidth="1"/>
    <col min="7390" max="7390" width="9.109375" style="7001"/>
    <col min="7391" max="7391" width="15" style="7001" customWidth="1"/>
    <col min="7392" max="7392" width="15.44140625" style="7001" customWidth="1"/>
    <col min="7393" max="7393" width="9.109375" style="7001"/>
    <col min="7394" max="7394" width="12.88671875" style="7001" customWidth="1"/>
    <col min="7395" max="7395" width="11.44140625" style="7001" customWidth="1"/>
    <col min="7396" max="7642" width="9.109375" style="7001"/>
    <col min="7643" max="7643" width="36.44140625" style="7001" customWidth="1"/>
    <col min="7644" max="7644" width="8.88671875" style="7001" customWidth="1"/>
    <col min="7645" max="7645" width="9" style="7001" customWidth="1"/>
    <col min="7646" max="7646" width="9.109375" style="7001"/>
    <col min="7647" max="7647" width="15" style="7001" customWidth="1"/>
    <col min="7648" max="7648" width="15.44140625" style="7001" customWidth="1"/>
    <col min="7649" max="7649" width="9.109375" style="7001"/>
    <col min="7650" max="7650" width="12.88671875" style="7001" customWidth="1"/>
    <col min="7651" max="7651" width="11.44140625" style="7001" customWidth="1"/>
    <col min="7652" max="7898" width="9.109375" style="7001"/>
    <col min="7899" max="7899" width="36.44140625" style="7001" customWidth="1"/>
    <col min="7900" max="7900" width="8.88671875" style="7001" customWidth="1"/>
    <col min="7901" max="7901" width="9" style="7001" customWidth="1"/>
    <col min="7902" max="7902" width="9.109375" style="7001"/>
    <col min="7903" max="7903" width="15" style="7001" customWidth="1"/>
    <col min="7904" max="7904" width="15.44140625" style="7001" customWidth="1"/>
    <col min="7905" max="7905" width="9.109375" style="7001"/>
    <col min="7906" max="7906" width="12.88671875" style="7001" customWidth="1"/>
    <col min="7907" max="7907" width="11.44140625" style="7001" customWidth="1"/>
    <col min="7908" max="8154" width="9.109375" style="7001"/>
    <col min="8155" max="8155" width="36.44140625" style="7001" customWidth="1"/>
    <col min="8156" max="8156" width="8.88671875" style="7001" customWidth="1"/>
    <col min="8157" max="8157" width="9" style="7001" customWidth="1"/>
    <col min="8158" max="8158" width="9.109375" style="7001"/>
    <col min="8159" max="8159" width="15" style="7001" customWidth="1"/>
    <col min="8160" max="8160" width="15.44140625" style="7001" customWidth="1"/>
    <col min="8161" max="8161" width="9.109375" style="7001"/>
    <col min="8162" max="8162" width="12.88671875" style="7001" customWidth="1"/>
    <col min="8163" max="8163" width="11.44140625" style="7001" customWidth="1"/>
    <col min="8164" max="8410" width="9.109375" style="7001"/>
    <col min="8411" max="8411" width="36.44140625" style="7001" customWidth="1"/>
    <col min="8412" max="8412" width="8.88671875" style="7001" customWidth="1"/>
    <col min="8413" max="8413" width="9" style="7001" customWidth="1"/>
    <col min="8414" max="8414" width="9.109375" style="7001"/>
    <col min="8415" max="8415" width="15" style="7001" customWidth="1"/>
    <col min="8416" max="8416" width="15.44140625" style="7001" customWidth="1"/>
    <col min="8417" max="8417" width="9.109375" style="7001"/>
    <col min="8418" max="8418" width="12.88671875" style="7001" customWidth="1"/>
    <col min="8419" max="8419" width="11.44140625" style="7001" customWidth="1"/>
    <col min="8420" max="8666" width="9.109375" style="7001"/>
    <col min="8667" max="8667" width="36.44140625" style="7001" customWidth="1"/>
    <col min="8668" max="8668" width="8.88671875" style="7001" customWidth="1"/>
    <col min="8669" max="8669" width="9" style="7001" customWidth="1"/>
    <col min="8670" max="8670" width="9.109375" style="7001"/>
    <col min="8671" max="8671" width="15" style="7001" customWidth="1"/>
    <col min="8672" max="8672" width="15.44140625" style="7001" customWidth="1"/>
    <col min="8673" max="8673" width="9.109375" style="7001"/>
    <col min="8674" max="8674" width="12.88671875" style="7001" customWidth="1"/>
    <col min="8675" max="8675" width="11.44140625" style="7001" customWidth="1"/>
    <col min="8676" max="8922" width="9.109375" style="7001"/>
    <col min="8923" max="8923" width="36.44140625" style="7001" customWidth="1"/>
    <col min="8924" max="8924" width="8.88671875" style="7001" customWidth="1"/>
    <col min="8925" max="8925" width="9" style="7001" customWidth="1"/>
    <col min="8926" max="8926" width="9.109375" style="7001"/>
    <col min="8927" max="8927" width="15" style="7001" customWidth="1"/>
    <col min="8928" max="8928" width="15.44140625" style="7001" customWidth="1"/>
    <col min="8929" max="8929" width="9.109375" style="7001"/>
    <col min="8930" max="8930" width="12.88671875" style="7001" customWidth="1"/>
    <col min="8931" max="8931" width="11.44140625" style="7001" customWidth="1"/>
    <col min="8932" max="9178" width="9.109375" style="7001"/>
    <col min="9179" max="9179" width="36.44140625" style="7001" customWidth="1"/>
    <col min="9180" max="9180" width="8.88671875" style="7001" customWidth="1"/>
    <col min="9181" max="9181" width="9" style="7001" customWidth="1"/>
    <col min="9182" max="9182" width="9.109375" style="7001"/>
    <col min="9183" max="9183" width="15" style="7001" customWidth="1"/>
    <col min="9184" max="9184" width="15.44140625" style="7001" customWidth="1"/>
    <col min="9185" max="9185" width="9.109375" style="7001"/>
    <col min="9186" max="9186" width="12.88671875" style="7001" customWidth="1"/>
    <col min="9187" max="9187" width="11.44140625" style="7001" customWidth="1"/>
    <col min="9188" max="9434" width="9.109375" style="7001"/>
    <col min="9435" max="9435" width="36.44140625" style="7001" customWidth="1"/>
    <col min="9436" max="9436" width="8.88671875" style="7001" customWidth="1"/>
    <col min="9437" max="9437" width="9" style="7001" customWidth="1"/>
    <col min="9438" max="9438" width="9.109375" style="7001"/>
    <col min="9439" max="9439" width="15" style="7001" customWidth="1"/>
    <col min="9440" max="9440" width="15.44140625" style="7001" customWidth="1"/>
    <col min="9441" max="9441" width="9.109375" style="7001"/>
    <col min="9442" max="9442" width="12.88671875" style="7001" customWidth="1"/>
    <col min="9443" max="9443" width="11.44140625" style="7001" customWidth="1"/>
    <col min="9444" max="9690" width="9.109375" style="7001"/>
    <col min="9691" max="9691" width="36.44140625" style="7001" customWidth="1"/>
    <col min="9692" max="9692" width="8.88671875" style="7001" customWidth="1"/>
    <col min="9693" max="9693" width="9" style="7001" customWidth="1"/>
    <col min="9694" max="9694" width="9.109375" style="7001"/>
    <col min="9695" max="9695" width="15" style="7001" customWidth="1"/>
    <col min="9696" max="9696" width="15.44140625" style="7001" customWidth="1"/>
    <col min="9697" max="9697" width="9.109375" style="7001"/>
    <col min="9698" max="9698" width="12.88671875" style="7001" customWidth="1"/>
    <col min="9699" max="9699" width="11.44140625" style="7001" customWidth="1"/>
    <col min="9700" max="9946" width="9.109375" style="7001"/>
    <col min="9947" max="9947" width="36.44140625" style="7001" customWidth="1"/>
    <col min="9948" max="9948" width="8.88671875" style="7001" customWidth="1"/>
    <col min="9949" max="9949" width="9" style="7001" customWidth="1"/>
    <col min="9950" max="9950" width="9.109375" style="7001"/>
    <col min="9951" max="9951" width="15" style="7001" customWidth="1"/>
    <col min="9952" max="9952" width="15.44140625" style="7001" customWidth="1"/>
    <col min="9953" max="9953" width="9.109375" style="7001"/>
    <col min="9954" max="9954" width="12.88671875" style="7001" customWidth="1"/>
    <col min="9955" max="9955" width="11.44140625" style="7001" customWidth="1"/>
    <col min="9956" max="10202" width="9.109375" style="7001"/>
    <col min="10203" max="10203" width="36.44140625" style="7001" customWidth="1"/>
    <col min="10204" max="10204" width="8.88671875" style="7001" customWidth="1"/>
    <col min="10205" max="10205" width="9" style="7001" customWidth="1"/>
    <col min="10206" max="10206" width="9.109375" style="7001"/>
    <col min="10207" max="10207" width="15" style="7001" customWidth="1"/>
    <col min="10208" max="10208" width="15.44140625" style="7001" customWidth="1"/>
    <col min="10209" max="10209" width="9.109375" style="7001"/>
    <col min="10210" max="10210" width="12.88671875" style="7001" customWidth="1"/>
    <col min="10211" max="10211" width="11.44140625" style="7001" customWidth="1"/>
    <col min="10212" max="10458" width="9.109375" style="7001"/>
    <col min="10459" max="10459" width="36.44140625" style="7001" customWidth="1"/>
    <col min="10460" max="10460" width="8.88671875" style="7001" customWidth="1"/>
    <col min="10461" max="10461" width="9" style="7001" customWidth="1"/>
    <col min="10462" max="10462" width="9.109375" style="7001"/>
    <col min="10463" max="10463" width="15" style="7001" customWidth="1"/>
    <col min="10464" max="10464" width="15.44140625" style="7001" customWidth="1"/>
    <col min="10465" max="10465" width="9.109375" style="7001"/>
    <col min="10466" max="10466" width="12.88671875" style="7001" customWidth="1"/>
    <col min="10467" max="10467" width="11.44140625" style="7001" customWidth="1"/>
    <col min="10468" max="10714" width="9.109375" style="7001"/>
    <col min="10715" max="10715" width="36.44140625" style="7001" customWidth="1"/>
    <col min="10716" max="10716" width="8.88671875" style="7001" customWidth="1"/>
    <col min="10717" max="10717" width="9" style="7001" customWidth="1"/>
    <col min="10718" max="10718" width="9.109375" style="7001"/>
    <col min="10719" max="10719" width="15" style="7001" customWidth="1"/>
    <col min="10720" max="10720" width="15.44140625" style="7001" customWidth="1"/>
    <col min="10721" max="10721" width="9.109375" style="7001"/>
    <col min="10722" max="10722" width="12.88671875" style="7001" customWidth="1"/>
    <col min="10723" max="10723" width="11.44140625" style="7001" customWidth="1"/>
    <col min="10724" max="10970" width="9.109375" style="7001"/>
    <col min="10971" max="10971" width="36.44140625" style="7001" customWidth="1"/>
    <col min="10972" max="10972" width="8.88671875" style="7001" customWidth="1"/>
    <col min="10973" max="10973" width="9" style="7001" customWidth="1"/>
    <col min="10974" max="10974" width="9.109375" style="7001"/>
    <col min="10975" max="10975" width="15" style="7001" customWidth="1"/>
    <col min="10976" max="10976" width="15.44140625" style="7001" customWidth="1"/>
    <col min="10977" max="10977" width="9.109375" style="7001"/>
    <col min="10978" max="10978" width="12.88671875" style="7001" customWidth="1"/>
    <col min="10979" max="10979" width="11.44140625" style="7001" customWidth="1"/>
    <col min="10980" max="11226" width="9.109375" style="7001"/>
    <col min="11227" max="11227" width="36.44140625" style="7001" customWidth="1"/>
    <col min="11228" max="11228" width="8.88671875" style="7001" customWidth="1"/>
    <col min="11229" max="11229" width="9" style="7001" customWidth="1"/>
    <col min="11230" max="11230" width="9.109375" style="7001"/>
    <col min="11231" max="11231" width="15" style="7001" customWidth="1"/>
    <col min="11232" max="11232" width="15.44140625" style="7001" customWidth="1"/>
    <col min="11233" max="11233" width="9.109375" style="7001"/>
    <col min="11234" max="11234" width="12.88671875" style="7001" customWidth="1"/>
    <col min="11235" max="11235" width="11.44140625" style="7001" customWidth="1"/>
    <col min="11236" max="11482" width="9.109375" style="7001"/>
    <col min="11483" max="11483" width="36.44140625" style="7001" customWidth="1"/>
    <col min="11484" max="11484" width="8.88671875" style="7001" customWidth="1"/>
    <col min="11485" max="11485" width="9" style="7001" customWidth="1"/>
    <col min="11486" max="11486" width="9.109375" style="7001"/>
    <col min="11487" max="11487" width="15" style="7001" customWidth="1"/>
    <col min="11488" max="11488" width="15.44140625" style="7001" customWidth="1"/>
    <col min="11489" max="11489" width="9.109375" style="7001"/>
    <col min="11490" max="11490" width="12.88671875" style="7001" customWidth="1"/>
    <col min="11491" max="11491" width="11.44140625" style="7001" customWidth="1"/>
    <col min="11492" max="11738" width="9.109375" style="7001"/>
    <col min="11739" max="11739" width="36.44140625" style="7001" customWidth="1"/>
    <col min="11740" max="11740" width="8.88671875" style="7001" customWidth="1"/>
    <col min="11741" max="11741" width="9" style="7001" customWidth="1"/>
    <col min="11742" max="11742" width="9.109375" style="7001"/>
    <col min="11743" max="11743" width="15" style="7001" customWidth="1"/>
    <col min="11744" max="11744" width="15.44140625" style="7001" customWidth="1"/>
    <col min="11745" max="11745" width="9.109375" style="7001"/>
    <col min="11746" max="11746" width="12.88671875" style="7001" customWidth="1"/>
    <col min="11747" max="11747" width="11.44140625" style="7001" customWidth="1"/>
    <col min="11748" max="11994" width="9.109375" style="7001"/>
    <col min="11995" max="11995" width="36.44140625" style="7001" customWidth="1"/>
    <col min="11996" max="11996" width="8.88671875" style="7001" customWidth="1"/>
    <col min="11997" max="11997" width="9" style="7001" customWidth="1"/>
    <col min="11998" max="11998" width="9.109375" style="7001"/>
    <col min="11999" max="11999" width="15" style="7001" customWidth="1"/>
    <col min="12000" max="12000" width="15.44140625" style="7001" customWidth="1"/>
    <col min="12001" max="12001" width="9.109375" style="7001"/>
    <col min="12002" max="12002" width="12.88671875" style="7001" customWidth="1"/>
    <col min="12003" max="12003" width="11.44140625" style="7001" customWidth="1"/>
    <col min="12004" max="12250" width="9.109375" style="7001"/>
    <col min="12251" max="12251" width="36.44140625" style="7001" customWidth="1"/>
    <col min="12252" max="12252" width="8.88671875" style="7001" customWidth="1"/>
    <col min="12253" max="12253" width="9" style="7001" customWidth="1"/>
    <col min="12254" max="12254" width="9.109375" style="7001"/>
    <col min="12255" max="12255" width="15" style="7001" customWidth="1"/>
    <col min="12256" max="12256" width="15.44140625" style="7001" customWidth="1"/>
    <col min="12257" max="12257" width="9.109375" style="7001"/>
    <col min="12258" max="12258" width="12.88671875" style="7001" customWidth="1"/>
    <col min="12259" max="12259" width="11.44140625" style="7001" customWidth="1"/>
    <col min="12260" max="12506" width="9.109375" style="7001"/>
    <col min="12507" max="12507" width="36.44140625" style="7001" customWidth="1"/>
    <col min="12508" max="12508" width="8.88671875" style="7001" customWidth="1"/>
    <col min="12509" max="12509" width="9" style="7001" customWidth="1"/>
    <col min="12510" max="12510" width="9.109375" style="7001"/>
    <col min="12511" max="12511" width="15" style="7001" customWidth="1"/>
    <col min="12512" max="12512" width="15.44140625" style="7001" customWidth="1"/>
    <col min="12513" max="12513" width="9.109375" style="7001"/>
    <col min="12514" max="12514" width="12.88671875" style="7001" customWidth="1"/>
    <col min="12515" max="12515" width="11.44140625" style="7001" customWidth="1"/>
    <col min="12516" max="12762" width="9.109375" style="7001"/>
    <col min="12763" max="12763" width="36.44140625" style="7001" customWidth="1"/>
    <col min="12764" max="12764" width="8.88671875" style="7001" customWidth="1"/>
    <col min="12765" max="12765" width="9" style="7001" customWidth="1"/>
    <col min="12766" max="12766" width="9.109375" style="7001"/>
    <col min="12767" max="12767" width="15" style="7001" customWidth="1"/>
    <col min="12768" max="12768" width="15.44140625" style="7001" customWidth="1"/>
    <col min="12769" max="12769" width="9.109375" style="7001"/>
    <col min="12770" max="12770" width="12.88671875" style="7001" customWidth="1"/>
    <col min="12771" max="12771" width="11.44140625" style="7001" customWidth="1"/>
    <col min="12772" max="13018" width="9.109375" style="7001"/>
    <col min="13019" max="13019" width="36.44140625" style="7001" customWidth="1"/>
    <col min="13020" max="13020" width="8.88671875" style="7001" customWidth="1"/>
    <col min="13021" max="13021" width="9" style="7001" customWidth="1"/>
    <col min="13022" max="13022" width="9.109375" style="7001"/>
    <col min="13023" max="13023" width="15" style="7001" customWidth="1"/>
    <col min="13024" max="13024" width="15.44140625" style="7001" customWidth="1"/>
    <col min="13025" max="13025" width="9.109375" style="7001"/>
    <col min="13026" max="13026" width="12.88671875" style="7001" customWidth="1"/>
    <col min="13027" max="13027" width="11.44140625" style="7001" customWidth="1"/>
    <col min="13028" max="13274" width="9.109375" style="7001"/>
    <col min="13275" max="13275" width="36.44140625" style="7001" customWidth="1"/>
    <col min="13276" max="13276" width="8.88671875" style="7001" customWidth="1"/>
    <col min="13277" max="13277" width="9" style="7001" customWidth="1"/>
    <col min="13278" max="13278" width="9.109375" style="7001"/>
    <col min="13279" max="13279" width="15" style="7001" customWidth="1"/>
    <col min="13280" max="13280" width="15.44140625" style="7001" customWidth="1"/>
    <col min="13281" max="13281" width="9.109375" style="7001"/>
    <col min="13282" max="13282" width="12.88671875" style="7001" customWidth="1"/>
    <col min="13283" max="13283" width="11.44140625" style="7001" customWidth="1"/>
    <col min="13284" max="13530" width="9.109375" style="7001"/>
    <col min="13531" max="13531" width="36.44140625" style="7001" customWidth="1"/>
    <col min="13532" max="13532" width="8.88671875" style="7001" customWidth="1"/>
    <col min="13533" max="13533" width="9" style="7001" customWidth="1"/>
    <col min="13534" max="13534" width="9.109375" style="7001"/>
    <col min="13535" max="13535" width="15" style="7001" customWidth="1"/>
    <col min="13536" max="13536" width="15.44140625" style="7001" customWidth="1"/>
    <col min="13537" max="13537" width="9.109375" style="7001"/>
    <col min="13538" max="13538" width="12.88671875" style="7001" customWidth="1"/>
    <col min="13539" max="13539" width="11.44140625" style="7001" customWidth="1"/>
    <col min="13540" max="13786" width="9.109375" style="7001"/>
    <col min="13787" max="13787" width="36.44140625" style="7001" customWidth="1"/>
    <col min="13788" max="13788" width="8.88671875" style="7001" customWidth="1"/>
    <col min="13789" max="13789" width="9" style="7001" customWidth="1"/>
    <col min="13790" max="13790" width="9.109375" style="7001"/>
    <col min="13791" max="13791" width="15" style="7001" customWidth="1"/>
    <col min="13792" max="13792" width="15.44140625" style="7001" customWidth="1"/>
    <col min="13793" max="13793" width="9.109375" style="7001"/>
    <col min="13794" max="13794" width="12.88671875" style="7001" customWidth="1"/>
    <col min="13795" max="13795" width="11.44140625" style="7001" customWidth="1"/>
    <col min="13796" max="14042" width="9.109375" style="7001"/>
    <col min="14043" max="14043" width="36.44140625" style="7001" customWidth="1"/>
    <col min="14044" max="14044" width="8.88671875" style="7001" customWidth="1"/>
    <col min="14045" max="14045" width="9" style="7001" customWidth="1"/>
    <col min="14046" max="14046" width="9.109375" style="7001"/>
    <col min="14047" max="14047" width="15" style="7001" customWidth="1"/>
    <col min="14048" max="14048" width="15.44140625" style="7001" customWidth="1"/>
    <col min="14049" max="14049" width="9.109375" style="7001"/>
    <col min="14050" max="14050" width="12.88671875" style="7001" customWidth="1"/>
    <col min="14051" max="14051" width="11.44140625" style="7001" customWidth="1"/>
    <col min="14052" max="14298" width="9.109375" style="7001"/>
    <col min="14299" max="14299" width="36.44140625" style="7001" customWidth="1"/>
    <col min="14300" max="14300" width="8.88671875" style="7001" customWidth="1"/>
    <col min="14301" max="14301" width="9" style="7001" customWidth="1"/>
    <col min="14302" max="14302" width="9.109375" style="7001"/>
    <col min="14303" max="14303" width="15" style="7001" customWidth="1"/>
    <col min="14304" max="14304" width="15.44140625" style="7001" customWidth="1"/>
    <col min="14305" max="14305" width="9.109375" style="7001"/>
    <col min="14306" max="14306" width="12.88671875" style="7001" customWidth="1"/>
    <col min="14307" max="14307" width="11.44140625" style="7001" customWidth="1"/>
    <col min="14308" max="14554" width="9.109375" style="7001"/>
    <col min="14555" max="14555" width="36.44140625" style="7001" customWidth="1"/>
    <col min="14556" max="14556" width="8.88671875" style="7001" customWidth="1"/>
    <col min="14557" max="14557" width="9" style="7001" customWidth="1"/>
    <col min="14558" max="14558" width="9.109375" style="7001"/>
    <col min="14559" max="14559" width="15" style="7001" customWidth="1"/>
    <col min="14560" max="14560" width="15.44140625" style="7001" customWidth="1"/>
    <col min="14561" max="14561" width="9.109375" style="7001"/>
    <col min="14562" max="14562" width="12.88671875" style="7001" customWidth="1"/>
    <col min="14563" max="14563" width="11.44140625" style="7001" customWidth="1"/>
    <col min="14564" max="14810" width="9.109375" style="7001"/>
    <col min="14811" max="14811" width="36.44140625" style="7001" customWidth="1"/>
    <col min="14812" max="14812" width="8.88671875" style="7001" customWidth="1"/>
    <col min="14813" max="14813" width="9" style="7001" customWidth="1"/>
    <col min="14814" max="14814" width="9.109375" style="7001"/>
    <col min="14815" max="14815" width="15" style="7001" customWidth="1"/>
    <col min="14816" max="14816" width="15.44140625" style="7001" customWidth="1"/>
    <col min="14817" max="14817" width="9.109375" style="7001"/>
    <col min="14818" max="14818" width="12.88671875" style="7001" customWidth="1"/>
    <col min="14819" max="14819" width="11.44140625" style="7001" customWidth="1"/>
    <col min="14820" max="15066" width="9.109375" style="7001"/>
    <col min="15067" max="15067" width="36.44140625" style="7001" customWidth="1"/>
    <col min="15068" max="15068" width="8.88671875" style="7001" customWidth="1"/>
    <col min="15069" max="15069" width="9" style="7001" customWidth="1"/>
    <col min="15070" max="15070" width="9.109375" style="7001"/>
    <col min="15071" max="15071" width="15" style="7001" customWidth="1"/>
    <col min="15072" max="15072" width="15.44140625" style="7001" customWidth="1"/>
    <col min="15073" max="15073" width="9.109375" style="7001"/>
    <col min="15074" max="15074" width="12.88671875" style="7001" customWidth="1"/>
    <col min="15075" max="15075" width="11.44140625" style="7001" customWidth="1"/>
    <col min="15076" max="15322" width="9.109375" style="7001"/>
    <col min="15323" max="15323" width="36.44140625" style="7001" customWidth="1"/>
    <col min="15324" max="15324" width="8.88671875" style="7001" customWidth="1"/>
    <col min="15325" max="15325" width="9" style="7001" customWidth="1"/>
    <col min="15326" max="15326" width="9.109375" style="7001"/>
    <col min="15327" max="15327" width="15" style="7001" customWidth="1"/>
    <col min="15328" max="15328" width="15.44140625" style="7001" customWidth="1"/>
    <col min="15329" max="15329" width="9.109375" style="7001"/>
    <col min="15330" max="15330" width="12.88671875" style="7001" customWidth="1"/>
    <col min="15331" max="15331" width="11.44140625" style="7001" customWidth="1"/>
    <col min="15332" max="15578" width="9.109375" style="7001"/>
    <col min="15579" max="15579" width="36.44140625" style="7001" customWidth="1"/>
    <col min="15580" max="15580" width="8.88671875" style="7001" customWidth="1"/>
    <col min="15581" max="15581" width="9" style="7001" customWidth="1"/>
    <col min="15582" max="15582" width="9.109375" style="7001"/>
    <col min="15583" max="15583" width="15" style="7001" customWidth="1"/>
    <col min="15584" max="15584" width="15.44140625" style="7001" customWidth="1"/>
    <col min="15585" max="15585" width="9.109375" style="7001"/>
    <col min="15586" max="15586" width="12.88671875" style="7001" customWidth="1"/>
    <col min="15587" max="15587" width="11.44140625" style="7001" customWidth="1"/>
    <col min="15588" max="15834" width="9.109375" style="7001"/>
    <col min="15835" max="15835" width="36.44140625" style="7001" customWidth="1"/>
    <col min="15836" max="15836" width="8.88671875" style="7001" customWidth="1"/>
    <col min="15837" max="15837" width="9" style="7001" customWidth="1"/>
    <col min="15838" max="15838" width="9.109375" style="7001"/>
    <col min="15839" max="15839" width="15" style="7001" customWidth="1"/>
    <col min="15840" max="15840" width="15.44140625" style="7001" customWidth="1"/>
    <col min="15841" max="15841" width="9.109375" style="7001"/>
    <col min="15842" max="15842" width="12.88671875" style="7001" customWidth="1"/>
    <col min="15843" max="15843" width="11.44140625" style="7001" customWidth="1"/>
    <col min="15844" max="16090" width="9.109375" style="7001"/>
    <col min="16091" max="16091" width="36.44140625" style="7001" customWidth="1"/>
    <col min="16092" max="16092" width="8.88671875" style="7001" customWidth="1"/>
    <col min="16093" max="16093" width="9" style="7001" customWidth="1"/>
    <col min="16094" max="16094" width="9.109375" style="7001"/>
    <col min="16095" max="16095" width="15" style="7001" customWidth="1"/>
    <col min="16096" max="16096" width="15.44140625" style="7001" customWidth="1"/>
    <col min="16097" max="16097" width="9.109375" style="7001"/>
    <col min="16098" max="16098" width="12.88671875" style="7001" customWidth="1"/>
    <col min="16099" max="16099" width="11.44140625" style="7001" customWidth="1"/>
    <col min="16100" max="16384" width="9.109375" style="7001"/>
  </cols>
  <sheetData>
    <row r="1" spans="1:9" s="7165" customFormat="1" ht="12.9" customHeight="1">
      <c r="A1" s="14215" t="s">
        <v>1087</v>
      </c>
      <c r="B1" s="14215"/>
      <c r="C1" s="14215"/>
      <c r="D1" s="14215"/>
      <c r="E1" s="14215"/>
      <c r="F1" s="14215"/>
    </row>
    <row r="2" spans="1:9" s="7165" customFormat="1" ht="12.9" customHeight="1">
      <c r="A2" s="7163"/>
      <c r="B2" s="7195"/>
    </row>
    <row r="3" spans="1:9" s="7252" customFormat="1" ht="12.9" customHeight="1">
      <c r="A3" s="7258" t="s">
        <v>177</v>
      </c>
      <c r="B3" s="7274"/>
    </row>
    <row r="4" spans="1:9" s="7252" customFormat="1" ht="12.9" customHeight="1" thickBot="1">
      <c r="A4" s="7258"/>
      <c r="B4" s="7274"/>
    </row>
    <row r="5" spans="1:9" ht="12.9" customHeight="1">
      <c r="A5" s="9675" t="s">
        <v>842</v>
      </c>
      <c r="B5" s="10713" t="s">
        <v>1035</v>
      </c>
      <c r="C5" s="10713" t="s">
        <v>1036</v>
      </c>
      <c r="D5" s="14393" t="s">
        <v>1037</v>
      </c>
      <c r="E5" s="14393"/>
      <c r="F5" s="14394"/>
    </row>
    <row r="6" spans="1:9" ht="12.9" customHeight="1" thickBot="1">
      <c r="A6" s="9679" t="s">
        <v>1088</v>
      </c>
      <c r="B6" s="9755" t="s">
        <v>9</v>
      </c>
      <c r="C6" s="9755" t="s">
        <v>1039</v>
      </c>
      <c r="D6" s="9680" t="s">
        <v>10</v>
      </c>
      <c r="E6" s="9755" t="s">
        <v>11</v>
      </c>
      <c r="F6" s="9756" t="s">
        <v>11621</v>
      </c>
    </row>
    <row r="7" spans="1:9" ht="12.9" customHeight="1">
      <c r="A7" s="9675"/>
      <c r="B7" s="10713"/>
      <c r="C7" s="10713"/>
      <c r="D7" s="10713"/>
      <c r="E7" s="10713"/>
      <c r="F7" s="10714"/>
    </row>
    <row r="8" spans="1:9" ht="12.9" customHeight="1">
      <c r="A8" s="9682" t="s">
        <v>1318</v>
      </c>
      <c r="B8" s="7172"/>
      <c r="C8" s="7174"/>
      <c r="D8" s="7174"/>
      <c r="E8" s="7174"/>
      <c r="F8" s="7242"/>
    </row>
    <row r="9" spans="1:9" ht="12.9" customHeight="1">
      <c r="A9" s="9682"/>
      <c r="B9" s="7172"/>
      <c r="C9" s="7174"/>
      <c r="D9" s="7174"/>
      <c r="E9" s="7174"/>
      <c r="F9" s="7242"/>
    </row>
    <row r="10" spans="1:9" ht="12.9" customHeight="1">
      <c r="A10" s="6230" t="s">
        <v>1089</v>
      </c>
      <c r="B10" s="7172"/>
      <c r="C10" s="7174"/>
      <c r="D10" s="7174"/>
      <c r="E10" s="7174"/>
      <c r="F10" s="7242"/>
    </row>
    <row r="11" spans="1:9" ht="12.9" customHeight="1">
      <c r="A11" s="7231" t="s">
        <v>1319</v>
      </c>
      <c r="B11" s="7172">
        <v>1</v>
      </c>
      <c r="C11" s="7172">
        <v>26</v>
      </c>
      <c r="D11" s="7177">
        <v>1014024</v>
      </c>
      <c r="E11" s="7177">
        <v>1190652</v>
      </c>
      <c r="F11" s="7245">
        <v>1398036</v>
      </c>
      <c r="I11" s="7164">
        <f>F11/12</f>
        <v>116503</v>
      </c>
    </row>
    <row r="12" spans="1:9" ht="12.9" customHeight="1">
      <c r="A12" s="7231" t="s">
        <v>1320</v>
      </c>
      <c r="B12" s="7172">
        <v>2</v>
      </c>
      <c r="C12" s="7172">
        <v>25</v>
      </c>
      <c r="D12" s="7177">
        <v>893328</v>
      </c>
      <c r="E12" s="7177">
        <v>2131548</v>
      </c>
      <c r="F12" s="7245">
        <v>2474724</v>
      </c>
      <c r="G12" s="7001">
        <f>SUM(B11:B12)</f>
        <v>3</v>
      </c>
      <c r="H12" s="7164">
        <f>SUM(F11:F12)</f>
        <v>3872760</v>
      </c>
      <c r="I12" s="7164">
        <f t="shared" ref="I12:I83" si="0">F12/12</f>
        <v>206227</v>
      </c>
    </row>
    <row r="13" spans="1:9" ht="12.9" customHeight="1">
      <c r="A13" s="7231"/>
      <c r="B13" s="7172"/>
      <c r="C13" s="7172"/>
      <c r="D13" s="7177"/>
      <c r="E13" s="7177"/>
      <c r="F13" s="7245"/>
      <c r="I13" s="7164">
        <f t="shared" si="0"/>
        <v>0</v>
      </c>
    </row>
    <row r="14" spans="1:9" ht="12.9" customHeight="1">
      <c r="A14" s="6230" t="s">
        <v>1321</v>
      </c>
      <c r="B14" s="7172"/>
      <c r="C14" s="7174"/>
      <c r="D14" s="7174"/>
      <c r="E14" s="7174"/>
      <c r="F14" s="7242"/>
      <c r="I14" s="7164">
        <f t="shared" si="0"/>
        <v>0</v>
      </c>
    </row>
    <row r="15" spans="1:9" ht="12.9" customHeight="1">
      <c r="A15" s="6230" t="s">
        <v>1109</v>
      </c>
      <c r="B15" s="7172"/>
      <c r="C15" s="7174"/>
      <c r="D15" s="7174"/>
      <c r="E15" s="7174"/>
      <c r="F15" s="7242"/>
      <c r="I15" s="7164">
        <f t="shared" si="0"/>
        <v>0</v>
      </c>
    </row>
    <row r="16" spans="1:9" ht="12.9" customHeight="1">
      <c r="A16" s="7231" t="s">
        <v>1322</v>
      </c>
      <c r="B16" s="7172">
        <v>1</v>
      </c>
      <c r="C16" s="7172">
        <v>25</v>
      </c>
      <c r="D16" s="7177">
        <v>893328</v>
      </c>
      <c r="E16" s="7177">
        <v>1049916</v>
      </c>
      <c r="F16" s="7245">
        <v>1217328</v>
      </c>
      <c r="I16" s="7164">
        <f t="shared" si="0"/>
        <v>101444</v>
      </c>
    </row>
    <row r="17" spans="1:9" ht="12.9" customHeight="1">
      <c r="A17" s="7231" t="s">
        <v>9209</v>
      </c>
      <c r="B17" s="7172">
        <v>1</v>
      </c>
      <c r="C17" s="7172">
        <v>19</v>
      </c>
      <c r="D17" s="7177">
        <v>476220</v>
      </c>
      <c r="E17" s="7177">
        <v>520452</v>
      </c>
      <c r="F17" s="7245">
        <v>561108</v>
      </c>
      <c r="I17" s="7164">
        <f t="shared" si="0"/>
        <v>46759</v>
      </c>
    </row>
    <row r="18" spans="1:9" ht="12.9" customHeight="1">
      <c r="A18" s="7231" t="s">
        <v>1449</v>
      </c>
      <c r="B18" s="7172">
        <v>1</v>
      </c>
      <c r="C18" s="7172">
        <v>12</v>
      </c>
      <c r="D18" s="7177">
        <v>0</v>
      </c>
      <c r="E18" s="7177">
        <v>265788</v>
      </c>
      <c r="F18" s="7245">
        <v>275256</v>
      </c>
      <c r="G18" s="7001">
        <f>SUM(B16:B18)</f>
        <v>3</v>
      </c>
      <c r="H18" s="7164">
        <f>SUM(F16:F18)</f>
        <v>2053692</v>
      </c>
      <c r="I18" s="7164">
        <f t="shared" si="0"/>
        <v>22938</v>
      </c>
    </row>
    <row r="19" spans="1:9" ht="12.9" customHeight="1">
      <c r="A19" s="7231"/>
      <c r="B19" s="7172"/>
      <c r="C19" s="7172"/>
      <c r="D19" s="7177"/>
      <c r="E19" s="7177"/>
      <c r="F19" s="7245"/>
      <c r="H19" s="7164"/>
      <c r="I19" s="7164">
        <f t="shared" si="0"/>
        <v>0</v>
      </c>
    </row>
    <row r="20" spans="1:9" ht="12.9" customHeight="1">
      <c r="A20" s="6230" t="s">
        <v>1093</v>
      </c>
      <c r="B20" s="7172"/>
      <c r="C20" s="7172"/>
      <c r="D20" s="7177"/>
      <c r="E20" s="7177"/>
      <c r="F20" s="7245"/>
      <c r="I20" s="7164">
        <f t="shared" si="0"/>
        <v>0</v>
      </c>
    </row>
    <row r="21" spans="1:9" ht="12.9" customHeight="1">
      <c r="A21" s="7231" t="s">
        <v>1323</v>
      </c>
      <c r="B21" s="7172">
        <v>1</v>
      </c>
      <c r="C21" s="7172">
        <v>20</v>
      </c>
      <c r="D21" s="7177">
        <v>533280</v>
      </c>
      <c r="E21" s="7177">
        <v>0</v>
      </c>
      <c r="F21" s="7245">
        <v>634056</v>
      </c>
      <c r="I21" s="7164">
        <f t="shared" si="0"/>
        <v>52838</v>
      </c>
    </row>
    <row r="22" spans="1:9" ht="12.9" customHeight="1">
      <c r="A22" s="7231" t="s">
        <v>1324</v>
      </c>
      <c r="B22" s="7172">
        <v>9</v>
      </c>
      <c r="C22" s="7172">
        <v>17</v>
      </c>
      <c r="D22" s="7177">
        <v>4477596</v>
      </c>
      <c r="E22" s="7177">
        <v>4232124</v>
      </c>
      <c r="F22" s="7245">
        <v>4163940</v>
      </c>
      <c r="I22" s="7164">
        <f t="shared" si="0"/>
        <v>346995</v>
      </c>
    </row>
    <row r="23" spans="1:9" ht="12.9" customHeight="1">
      <c r="A23" s="7231" t="s">
        <v>3432</v>
      </c>
      <c r="B23" s="7172">
        <v>1</v>
      </c>
      <c r="C23" s="7172">
        <v>14</v>
      </c>
      <c r="D23" s="7177">
        <v>306876</v>
      </c>
      <c r="E23" s="7177">
        <v>0</v>
      </c>
      <c r="F23" s="7245">
        <v>341364</v>
      </c>
      <c r="I23" s="7164">
        <f t="shared" si="0"/>
        <v>28447</v>
      </c>
    </row>
    <row r="24" spans="1:9" ht="12.9" customHeight="1">
      <c r="A24" s="7231" t="s">
        <v>11633</v>
      </c>
      <c r="B24" s="9403">
        <v>1</v>
      </c>
      <c r="C24" s="9403">
        <v>14</v>
      </c>
      <c r="D24" s="7177">
        <v>0</v>
      </c>
      <c r="E24" s="7177">
        <v>0</v>
      </c>
      <c r="F24" s="9948">
        <v>333060</v>
      </c>
      <c r="I24" s="7164">
        <f t="shared" si="0"/>
        <v>27755</v>
      </c>
    </row>
    <row r="25" spans="1:9" ht="12.9" customHeight="1">
      <c r="A25" s="7231" t="s">
        <v>1325</v>
      </c>
      <c r="B25" s="7172">
        <v>13</v>
      </c>
      <c r="C25" s="7172">
        <v>4</v>
      </c>
      <c r="D25" s="7177">
        <v>1813332</v>
      </c>
      <c r="E25" s="7177">
        <v>1888824</v>
      </c>
      <c r="F25" s="7245">
        <v>2130732</v>
      </c>
      <c r="I25" s="7164">
        <f t="shared" si="0"/>
        <v>177561</v>
      </c>
    </row>
    <row r="26" spans="1:9" ht="12.9" customHeight="1">
      <c r="A26" s="7231" t="s">
        <v>1326</v>
      </c>
      <c r="B26" s="7172">
        <v>1</v>
      </c>
      <c r="C26" s="7172">
        <v>15</v>
      </c>
      <c r="D26" s="7177">
        <v>346524</v>
      </c>
      <c r="E26" s="7177">
        <v>369588</v>
      </c>
      <c r="F26" s="7245">
        <v>389628</v>
      </c>
      <c r="I26" s="7164">
        <f t="shared" si="0"/>
        <v>32469</v>
      </c>
    </row>
    <row r="27" spans="1:9" ht="12.9" hidden="1" customHeight="1">
      <c r="A27" s="7231" t="s">
        <v>1327</v>
      </c>
      <c r="B27" s="7172">
        <v>0</v>
      </c>
      <c r="C27" s="7172">
        <v>11</v>
      </c>
      <c r="D27" s="7177">
        <v>0</v>
      </c>
      <c r="E27" s="7177">
        <v>0</v>
      </c>
      <c r="F27" s="7245">
        <v>0</v>
      </c>
      <c r="I27" s="7164">
        <f t="shared" si="0"/>
        <v>0</v>
      </c>
    </row>
    <row r="28" spans="1:9" ht="12.9" customHeight="1">
      <c r="A28" s="7231" t="s">
        <v>3433</v>
      </c>
      <c r="B28" s="7172">
        <v>1</v>
      </c>
      <c r="C28" s="7172">
        <v>13</v>
      </c>
      <c r="D28" s="7177">
        <v>0</v>
      </c>
      <c r="E28" s="7177">
        <v>290688</v>
      </c>
      <c r="F28" s="7245">
        <v>302784</v>
      </c>
      <c r="I28" s="7164">
        <f t="shared" si="0"/>
        <v>25232</v>
      </c>
    </row>
    <row r="29" spans="1:9" ht="12.9" customHeight="1">
      <c r="A29" s="7231" t="s">
        <v>11403</v>
      </c>
      <c r="B29" s="9403">
        <v>1</v>
      </c>
      <c r="C29" s="9403">
        <v>11</v>
      </c>
      <c r="D29" s="9608"/>
      <c r="E29" s="9608">
        <v>242148</v>
      </c>
      <c r="F29" s="9948">
        <v>249048</v>
      </c>
      <c r="I29" s="7164">
        <f t="shared" si="0"/>
        <v>20754</v>
      </c>
    </row>
    <row r="30" spans="1:9" ht="12.9" customHeight="1">
      <c r="A30" s="7231" t="s">
        <v>1460</v>
      </c>
      <c r="B30" s="7172">
        <v>2</v>
      </c>
      <c r="C30" s="7172">
        <v>8</v>
      </c>
      <c r="D30" s="7177">
        <v>390660</v>
      </c>
      <c r="E30" s="7177">
        <v>0</v>
      </c>
      <c r="F30" s="7245">
        <v>402192</v>
      </c>
      <c r="I30" s="7164">
        <f t="shared" si="0"/>
        <v>33516</v>
      </c>
    </row>
    <row r="31" spans="1:9" ht="12.9" customHeight="1">
      <c r="A31" s="7231" t="s">
        <v>1461</v>
      </c>
      <c r="B31" s="7172">
        <v>22</v>
      </c>
      <c r="C31" s="7172">
        <v>6</v>
      </c>
      <c r="D31" s="7177">
        <v>5195508</v>
      </c>
      <c r="E31" s="7177">
        <v>4660104</v>
      </c>
      <c r="F31" s="7245">
        <v>4055148</v>
      </c>
      <c r="I31" s="7164">
        <f t="shared" si="0"/>
        <v>337929</v>
      </c>
    </row>
    <row r="32" spans="1:9" ht="12.9" customHeight="1">
      <c r="A32" s="7231" t="s">
        <v>1462</v>
      </c>
      <c r="B32" s="7172">
        <v>1</v>
      </c>
      <c r="C32" s="7172">
        <v>11</v>
      </c>
      <c r="D32" s="7177">
        <v>238236</v>
      </c>
      <c r="E32" s="7177">
        <v>0</v>
      </c>
      <c r="F32" s="7245">
        <v>249048</v>
      </c>
      <c r="I32" s="7164">
        <f t="shared" si="0"/>
        <v>20754</v>
      </c>
    </row>
    <row r="33" spans="1:9" ht="12.9" customHeight="1">
      <c r="A33" s="7231" t="s">
        <v>1463</v>
      </c>
      <c r="B33" s="7172">
        <v>1</v>
      </c>
      <c r="C33" s="7172">
        <v>9</v>
      </c>
      <c r="D33" s="7177">
        <v>213360</v>
      </c>
      <c r="E33" s="7177">
        <v>220956</v>
      </c>
      <c r="F33" s="7245">
        <v>226752</v>
      </c>
      <c r="I33" s="7164">
        <f t="shared" si="0"/>
        <v>18896</v>
      </c>
    </row>
    <row r="34" spans="1:9" ht="12.9" hidden="1" customHeight="1">
      <c r="A34" s="7231" t="s">
        <v>1208</v>
      </c>
      <c r="B34" s="7172">
        <v>0</v>
      </c>
      <c r="C34" s="7172">
        <v>4</v>
      </c>
      <c r="D34" s="7177"/>
      <c r="E34" s="7177"/>
      <c r="F34" s="7245"/>
      <c r="I34" s="7164">
        <f t="shared" si="0"/>
        <v>0</v>
      </c>
    </row>
    <row r="35" spans="1:9" ht="12.9" customHeight="1">
      <c r="A35" s="7231" t="s">
        <v>1464</v>
      </c>
      <c r="B35" s="7172">
        <v>2</v>
      </c>
      <c r="C35" s="7172">
        <v>19</v>
      </c>
      <c r="D35" s="7177">
        <v>978720</v>
      </c>
      <c r="E35" s="7177">
        <v>1064652</v>
      </c>
      <c r="F35" s="7245">
        <v>1159296</v>
      </c>
      <c r="I35" s="7164">
        <f t="shared" si="0"/>
        <v>96608</v>
      </c>
    </row>
    <row r="36" spans="1:9" ht="12.9" customHeight="1">
      <c r="A36" s="7231" t="s">
        <v>1345</v>
      </c>
      <c r="B36" s="7172">
        <v>5</v>
      </c>
      <c r="C36" s="7172">
        <v>17</v>
      </c>
      <c r="D36" s="7177">
        <v>2035200</v>
      </c>
      <c r="E36" s="7177">
        <v>2168952</v>
      </c>
      <c r="F36" s="7245">
        <v>2317512</v>
      </c>
      <c r="I36" s="7164">
        <f t="shared" si="0"/>
        <v>193126</v>
      </c>
    </row>
    <row r="37" spans="1:9" ht="12.9" customHeight="1">
      <c r="A37" s="7231" t="s">
        <v>1346</v>
      </c>
      <c r="B37" s="7172">
        <v>1</v>
      </c>
      <c r="C37" s="7172">
        <v>15</v>
      </c>
      <c r="D37" s="7177">
        <v>334644</v>
      </c>
      <c r="E37" s="7177">
        <v>356556</v>
      </c>
      <c r="F37" s="7245">
        <v>375504</v>
      </c>
      <c r="I37" s="7164">
        <f t="shared" si="0"/>
        <v>31292</v>
      </c>
    </row>
    <row r="38" spans="1:9" ht="12.9" customHeight="1">
      <c r="A38" s="7231" t="s">
        <v>1347</v>
      </c>
      <c r="B38" s="7172">
        <v>2</v>
      </c>
      <c r="C38" s="7172">
        <v>11</v>
      </c>
      <c r="D38" s="7177">
        <v>0</v>
      </c>
      <c r="E38" s="7177">
        <v>499932</v>
      </c>
      <c r="F38" s="7245">
        <v>515352</v>
      </c>
      <c r="I38" s="7164">
        <f t="shared" si="0"/>
        <v>42946</v>
      </c>
    </row>
    <row r="39" spans="1:9" ht="12.9" customHeight="1">
      <c r="A39" s="7231" t="s">
        <v>1348</v>
      </c>
      <c r="B39" s="7172">
        <v>17</v>
      </c>
      <c r="C39" s="7172">
        <v>15</v>
      </c>
      <c r="D39" s="7177">
        <v>6316860</v>
      </c>
      <c r="E39" s="7177">
        <v>6655512</v>
      </c>
      <c r="F39" s="7245">
        <v>6636228</v>
      </c>
      <c r="I39" s="7164">
        <f t="shared" si="0"/>
        <v>553019</v>
      </c>
    </row>
    <row r="40" spans="1:9" ht="12.9" customHeight="1">
      <c r="A40" s="7231" t="s">
        <v>1351</v>
      </c>
      <c r="B40" s="7172">
        <v>1</v>
      </c>
      <c r="C40" s="7172">
        <v>11</v>
      </c>
      <c r="D40" s="7177">
        <v>255684</v>
      </c>
      <c r="E40" s="7177">
        <v>264660</v>
      </c>
      <c r="F40" s="7245">
        <v>273948</v>
      </c>
      <c r="I40" s="7164">
        <f t="shared" si="0"/>
        <v>22829</v>
      </c>
    </row>
    <row r="41" spans="1:9" ht="12.9" customHeight="1">
      <c r="A41" s="7231" t="s">
        <v>1349</v>
      </c>
      <c r="B41" s="7172">
        <v>1</v>
      </c>
      <c r="C41" s="7172">
        <v>15</v>
      </c>
      <c r="D41" s="7177">
        <v>689604</v>
      </c>
      <c r="E41" s="7177">
        <v>726660</v>
      </c>
      <c r="F41" s="7245">
        <v>370908</v>
      </c>
      <c r="I41" s="7164">
        <f t="shared" si="0"/>
        <v>30909</v>
      </c>
    </row>
    <row r="42" spans="1:9" ht="12.9" customHeight="1">
      <c r="A42" s="7231" t="s">
        <v>9210</v>
      </c>
      <c r="B42" s="7172">
        <v>4</v>
      </c>
      <c r="C42" s="7172">
        <v>11</v>
      </c>
      <c r="D42" s="7177">
        <v>767052</v>
      </c>
      <c r="E42" s="7177">
        <v>1036128</v>
      </c>
      <c r="F42" s="7245">
        <v>1070892</v>
      </c>
      <c r="I42" s="7164">
        <f t="shared" si="0"/>
        <v>89241</v>
      </c>
    </row>
    <row r="43" spans="1:9" ht="12.9" customHeight="1">
      <c r="A43" s="7231" t="s">
        <v>9211</v>
      </c>
      <c r="B43" s="7172">
        <v>1</v>
      </c>
      <c r="C43" s="7172">
        <v>14</v>
      </c>
      <c r="D43" s="7177">
        <v>310308</v>
      </c>
      <c r="E43" s="7177">
        <v>317928</v>
      </c>
      <c r="F43" s="7245">
        <v>333060</v>
      </c>
      <c r="I43" s="7164">
        <f t="shared" si="0"/>
        <v>27755</v>
      </c>
    </row>
    <row r="44" spans="1:9" ht="12.9" customHeight="1">
      <c r="A44" s="7231" t="s">
        <v>9212</v>
      </c>
      <c r="B44" s="7172">
        <v>1</v>
      </c>
      <c r="C44" s="7172">
        <v>10</v>
      </c>
      <c r="D44" s="7177">
        <v>222636</v>
      </c>
      <c r="E44" s="7177">
        <v>228576</v>
      </c>
      <c r="F44" s="7245">
        <v>236640</v>
      </c>
      <c r="I44" s="7164">
        <f t="shared" si="0"/>
        <v>19720</v>
      </c>
    </row>
    <row r="45" spans="1:9" ht="12.9" hidden="1" customHeight="1">
      <c r="A45" s="7231" t="s">
        <v>9213</v>
      </c>
      <c r="B45" s="7172">
        <v>0</v>
      </c>
      <c r="C45" s="7172">
        <v>6</v>
      </c>
      <c r="D45" s="7177"/>
      <c r="E45" s="7177"/>
      <c r="F45" s="7245"/>
      <c r="I45" s="7164">
        <f t="shared" si="0"/>
        <v>0</v>
      </c>
    </row>
    <row r="46" spans="1:9" ht="12.9" hidden="1" customHeight="1">
      <c r="A46" s="7231" t="s">
        <v>1358</v>
      </c>
      <c r="B46" s="7172">
        <v>0</v>
      </c>
      <c r="C46" s="7172">
        <v>4</v>
      </c>
      <c r="D46" s="7177"/>
      <c r="E46" s="7177"/>
      <c r="F46" s="7245"/>
      <c r="I46" s="7164">
        <f t="shared" si="0"/>
        <v>0</v>
      </c>
    </row>
    <row r="47" spans="1:9" ht="12.9" customHeight="1">
      <c r="A47" s="7231" t="s">
        <v>9214</v>
      </c>
      <c r="B47" s="7172">
        <v>3</v>
      </c>
      <c r="C47" s="7172">
        <v>2</v>
      </c>
      <c r="D47" s="7177">
        <v>411348</v>
      </c>
      <c r="E47" s="7177">
        <v>573456</v>
      </c>
      <c r="F47" s="7245">
        <v>442176</v>
      </c>
      <c r="I47" s="7164">
        <f t="shared" si="0"/>
        <v>36848</v>
      </c>
    </row>
    <row r="48" spans="1:9" ht="12.9" hidden="1" customHeight="1">
      <c r="A48" s="7231" t="s">
        <v>9215</v>
      </c>
      <c r="B48" s="7172">
        <v>0</v>
      </c>
      <c r="C48" s="7172">
        <v>5</v>
      </c>
      <c r="D48" s="7177">
        <v>0</v>
      </c>
      <c r="E48" s="7177">
        <v>0</v>
      </c>
      <c r="F48" s="7245">
        <v>0</v>
      </c>
      <c r="I48" s="7164">
        <f t="shared" si="0"/>
        <v>0</v>
      </c>
    </row>
    <row r="49" spans="1:9" ht="12.9" customHeight="1">
      <c r="A49" s="7231" t="s">
        <v>1357</v>
      </c>
      <c r="B49" s="7172">
        <v>3</v>
      </c>
      <c r="C49" s="7172">
        <v>4</v>
      </c>
      <c r="D49" s="7177">
        <v>294288</v>
      </c>
      <c r="E49" s="7177">
        <v>462552</v>
      </c>
      <c r="F49" s="7245">
        <v>484284</v>
      </c>
      <c r="I49" s="7164">
        <f t="shared" si="0"/>
        <v>40357</v>
      </c>
    </row>
    <row r="50" spans="1:9" ht="12.9" customHeight="1">
      <c r="A50" s="7231" t="s">
        <v>9216</v>
      </c>
      <c r="B50" s="7172">
        <v>5</v>
      </c>
      <c r="C50" s="7172">
        <v>4</v>
      </c>
      <c r="D50" s="7177">
        <v>620496</v>
      </c>
      <c r="E50" s="7177">
        <v>796440</v>
      </c>
      <c r="F50" s="7245">
        <v>827736</v>
      </c>
      <c r="I50" s="7164">
        <f t="shared" si="0"/>
        <v>68978</v>
      </c>
    </row>
    <row r="51" spans="1:9" ht="12.9" customHeight="1">
      <c r="A51" s="7231"/>
      <c r="B51" s="7172"/>
      <c r="C51" s="7172"/>
      <c r="D51" s="7177"/>
      <c r="E51" s="7177"/>
      <c r="F51" s="7245"/>
      <c r="G51" s="7001">
        <f>SUM(B21:B51)</f>
        <v>100</v>
      </c>
      <c r="H51" s="7164">
        <f>SUM(F21:F51)</f>
        <v>28521288</v>
      </c>
      <c r="I51" s="7164">
        <f t="shared" si="0"/>
        <v>0</v>
      </c>
    </row>
    <row r="52" spans="1:9" ht="12.9" customHeight="1">
      <c r="A52" s="6230" t="s">
        <v>1270</v>
      </c>
      <c r="B52" s="7172"/>
      <c r="C52" s="7172"/>
      <c r="D52" s="7177"/>
      <c r="E52" s="7177"/>
      <c r="F52" s="7245"/>
      <c r="I52" s="7164">
        <f t="shared" si="0"/>
        <v>0</v>
      </c>
    </row>
    <row r="53" spans="1:9" ht="12.9" customHeight="1">
      <c r="A53" s="7231" t="s">
        <v>12025</v>
      </c>
      <c r="B53" s="9403">
        <v>1</v>
      </c>
      <c r="C53" s="9403">
        <v>22</v>
      </c>
      <c r="D53" s="9608"/>
      <c r="E53" s="9608"/>
      <c r="F53" s="9948">
        <v>783828</v>
      </c>
      <c r="I53" s="7164"/>
    </row>
    <row r="54" spans="1:9" ht="12.9" customHeight="1">
      <c r="A54" s="7231" t="s">
        <v>1255</v>
      </c>
      <c r="B54" s="7172">
        <v>1</v>
      </c>
      <c r="C54" s="7172">
        <v>18</v>
      </c>
      <c r="D54" s="7177">
        <v>438384</v>
      </c>
      <c r="E54" s="7177">
        <v>468084</v>
      </c>
      <c r="F54" s="7245">
        <v>505980</v>
      </c>
      <c r="I54" s="7164">
        <f t="shared" si="0"/>
        <v>42165</v>
      </c>
    </row>
    <row r="55" spans="1:9" ht="12.9" customHeight="1">
      <c r="A55" s="7231" t="s">
        <v>1256</v>
      </c>
      <c r="B55" s="7172">
        <v>2</v>
      </c>
      <c r="C55" s="7172">
        <v>15</v>
      </c>
      <c r="D55" s="7177">
        <v>358824</v>
      </c>
      <c r="E55" s="7177">
        <v>726660</v>
      </c>
      <c r="F55" s="7245">
        <v>765720</v>
      </c>
      <c r="I55" s="7164">
        <f t="shared" si="0"/>
        <v>63810</v>
      </c>
    </row>
    <row r="56" spans="1:9" ht="12.9" hidden="1" customHeight="1">
      <c r="A56" s="7231" t="s">
        <v>1363</v>
      </c>
      <c r="B56" s="7172">
        <v>0</v>
      </c>
      <c r="C56" s="7172">
        <v>14</v>
      </c>
      <c r="D56" s="7177">
        <v>0</v>
      </c>
      <c r="E56" s="7177">
        <v>0</v>
      </c>
      <c r="F56" s="7245">
        <v>0</v>
      </c>
      <c r="I56" s="7164">
        <f t="shared" si="0"/>
        <v>0</v>
      </c>
    </row>
    <row r="57" spans="1:9" ht="12.9" customHeight="1">
      <c r="A57" s="7231" t="s">
        <v>1364</v>
      </c>
      <c r="B57" s="7172">
        <v>1</v>
      </c>
      <c r="C57" s="7172">
        <v>10</v>
      </c>
      <c r="D57" s="7177">
        <v>222636</v>
      </c>
      <c r="E57" s="7177">
        <v>228576</v>
      </c>
      <c r="F57" s="9948">
        <v>230796</v>
      </c>
      <c r="I57" s="7164">
        <f t="shared" si="0"/>
        <v>19233</v>
      </c>
    </row>
    <row r="58" spans="1:9" ht="12.9" customHeight="1">
      <c r="A58" s="7231" t="s">
        <v>1258</v>
      </c>
      <c r="B58" s="7172">
        <v>1</v>
      </c>
      <c r="C58" s="7172">
        <v>8</v>
      </c>
      <c r="D58" s="7177">
        <v>193452</v>
      </c>
      <c r="E58" s="7177">
        <v>199020</v>
      </c>
      <c r="F58" s="7245">
        <v>206604</v>
      </c>
      <c r="I58" s="7164">
        <f t="shared" si="0"/>
        <v>17217</v>
      </c>
    </row>
    <row r="59" spans="1:9" ht="12.9" customHeight="1">
      <c r="A59" s="7231" t="s">
        <v>1371</v>
      </c>
      <c r="B59" s="7172">
        <v>5</v>
      </c>
      <c r="C59" s="7172">
        <v>6</v>
      </c>
      <c r="D59" s="7177">
        <v>697992</v>
      </c>
      <c r="E59" s="7177">
        <v>893856</v>
      </c>
      <c r="F59" s="7245">
        <v>922980</v>
      </c>
      <c r="I59" s="7164">
        <f t="shared" si="0"/>
        <v>76915</v>
      </c>
    </row>
    <row r="60" spans="1:9" ht="12.9" customHeight="1">
      <c r="A60" s="7231" t="s">
        <v>10154</v>
      </c>
      <c r="B60" s="7172">
        <v>1</v>
      </c>
      <c r="C60" s="7172">
        <v>5</v>
      </c>
      <c r="D60" s="7177">
        <v>165588</v>
      </c>
      <c r="E60" s="7177">
        <v>171360</v>
      </c>
      <c r="F60" s="7245">
        <v>177324</v>
      </c>
      <c r="I60" s="7164">
        <f t="shared" si="0"/>
        <v>14777</v>
      </c>
    </row>
    <row r="61" spans="1:9" ht="12.9" customHeight="1">
      <c r="A61" s="7231" t="s">
        <v>1260</v>
      </c>
      <c r="B61" s="7172">
        <v>1</v>
      </c>
      <c r="C61" s="7172">
        <v>4</v>
      </c>
      <c r="D61" s="7177">
        <v>294288</v>
      </c>
      <c r="E61" s="7177">
        <v>153336</v>
      </c>
      <c r="F61" s="7245">
        <v>158568</v>
      </c>
      <c r="I61" s="7164">
        <f t="shared" si="0"/>
        <v>13214</v>
      </c>
    </row>
    <row r="62" spans="1:9" ht="12.9" customHeight="1">
      <c r="A62" s="7231" t="s">
        <v>11404</v>
      </c>
      <c r="B62" s="7172">
        <v>1</v>
      </c>
      <c r="C62" s="7172">
        <v>4</v>
      </c>
      <c r="D62" s="7177">
        <v>0</v>
      </c>
      <c r="E62" s="9608">
        <v>152088</v>
      </c>
      <c r="F62" s="9948">
        <v>158568</v>
      </c>
      <c r="I62" s="7164">
        <f t="shared" si="0"/>
        <v>13214</v>
      </c>
    </row>
    <row r="63" spans="1:9" ht="12.9" customHeight="1">
      <c r="A63" s="7231" t="s">
        <v>1261</v>
      </c>
      <c r="B63" s="7172">
        <v>4</v>
      </c>
      <c r="C63" s="7172">
        <v>3</v>
      </c>
      <c r="D63" s="7177">
        <v>561336</v>
      </c>
      <c r="E63" s="7177">
        <v>589908</v>
      </c>
      <c r="F63" s="7245">
        <v>615888</v>
      </c>
      <c r="I63" s="7164">
        <f t="shared" si="0"/>
        <v>51324</v>
      </c>
    </row>
    <row r="64" spans="1:9" ht="12.9" customHeight="1">
      <c r="A64" s="7231" t="s">
        <v>1263</v>
      </c>
      <c r="B64" s="7172">
        <v>1</v>
      </c>
      <c r="C64" s="7172">
        <v>1</v>
      </c>
      <c r="D64" s="7177">
        <v>0</v>
      </c>
      <c r="E64" s="7177">
        <v>0</v>
      </c>
      <c r="F64" s="7245">
        <v>132816</v>
      </c>
      <c r="I64" s="7164">
        <f t="shared" si="0"/>
        <v>11068</v>
      </c>
    </row>
    <row r="65" spans="1:9" ht="12.9" customHeight="1">
      <c r="A65" s="7231"/>
      <c r="B65" s="7172"/>
      <c r="C65" s="7172"/>
      <c r="D65" s="7177"/>
      <c r="E65" s="7177"/>
      <c r="F65" s="7245"/>
      <c r="I65" s="7164"/>
    </row>
    <row r="66" spans="1:9" ht="12.9" customHeight="1" thickBot="1">
      <c r="A66" s="9769" t="s">
        <v>1159</v>
      </c>
      <c r="B66" s="9680">
        <f>SUM(B11:B64)</f>
        <v>125</v>
      </c>
      <c r="C66" s="9748"/>
      <c r="D66" s="9692">
        <f>SUM(D11:D64)</f>
        <v>32961612</v>
      </c>
      <c r="E66" s="9692">
        <f>SUM(E11:E64)</f>
        <v>35797680</v>
      </c>
      <c r="F66" s="9693">
        <f>SUM(F11:F64)</f>
        <v>39106812</v>
      </c>
      <c r="G66" s="7001">
        <f>SUM(B53:B64)</f>
        <v>19</v>
      </c>
      <c r="H66" s="7164">
        <f>SUM(F53:F64)</f>
        <v>4659072</v>
      </c>
      <c r="I66" s="7164">
        <f t="shared" si="0"/>
        <v>3258901</v>
      </c>
    </row>
    <row r="67" spans="1:9" ht="12.9" customHeight="1">
      <c r="A67" s="7259"/>
      <c r="B67" s="7268"/>
      <c r="C67" s="7260"/>
      <c r="D67" s="7261"/>
      <c r="E67" s="7261"/>
      <c r="F67" s="7261"/>
      <c r="I67" s="7164">
        <f t="shared" si="0"/>
        <v>0</v>
      </c>
    </row>
    <row r="68" spans="1:9" ht="12.9" customHeight="1">
      <c r="A68" s="7254"/>
      <c r="B68" s="7255"/>
      <c r="C68" s="6330"/>
      <c r="D68" s="7256"/>
      <c r="E68" s="7256"/>
      <c r="F68" s="7256"/>
      <c r="I68" s="7164">
        <f t="shared" si="0"/>
        <v>0</v>
      </c>
    </row>
    <row r="69" spans="1:9" ht="12.9" customHeight="1">
      <c r="A69" s="7254"/>
      <c r="B69" s="7255"/>
      <c r="C69" s="6330"/>
      <c r="D69" s="7256"/>
      <c r="E69" s="7256"/>
      <c r="F69" s="7256"/>
      <c r="I69" s="7164">
        <f t="shared" si="0"/>
        <v>0</v>
      </c>
    </row>
    <row r="70" spans="1:9" ht="12.9" customHeight="1">
      <c r="A70" s="7254"/>
      <c r="B70" s="7255"/>
      <c r="C70" s="6330"/>
      <c r="D70" s="7256"/>
      <c r="E70" s="7256"/>
      <c r="F70" s="7256"/>
      <c r="I70" s="7164">
        <f t="shared" si="0"/>
        <v>0</v>
      </c>
    </row>
    <row r="71" spans="1:9" ht="12.9" customHeight="1">
      <c r="A71" s="7254"/>
      <c r="B71" s="7255"/>
      <c r="C71" s="6330"/>
      <c r="D71" s="7256"/>
      <c r="E71" s="7256"/>
      <c r="F71" s="7256"/>
      <c r="I71" s="7164">
        <f t="shared" si="0"/>
        <v>0</v>
      </c>
    </row>
    <row r="72" spans="1:9" ht="12.9" customHeight="1">
      <c r="A72" s="7254"/>
      <c r="B72" s="7255"/>
      <c r="C72" s="6330"/>
      <c r="D72" s="7256"/>
      <c r="E72" s="7256"/>
      <c r="F72" s="7256"/>
      <c r="I72" s="7164"/>
    </row>
    <row r="73" spans="1:9" ht="12.9" customHeight="1">
      <c r="A73" s="7254"/>
      <c r="B73" s="7255"/>
      <c r="C73" s="6330"/>
      <c r="D73" s="7256"/>
      <c r="E73" s="7256"/>
      <c r="F73" s="7256"/>
      <c r="I73" s="7164"/>
    </row>
    <row r="74" spans="1:9" ht="12.9" customHeight="1">
      <c r="A74" s="7254"/>
      <c r="B74" s="7255"/>
      <c r="C74" s="6330"/>
      <c r="D74" s="7256"/>
      <c r="E74" s="7256"/>
      <c r="F74" s="7256"/>
      <c r="I74" s="7164"/>
    </row>
    <row r="75" spans="1:9" ht="12.9" customHeight="1">
      <c r="A75" s="7254"/>
      <c r="B75" s="7255"/>
      <c r="C75" s="6330"/>
      <c r="D75" s="7256"/>
      <c r="E75" s="7256"/>
      <c r="F75" s="7256"/>
      <c r="I75" s="7164"/>
    </row>
    <row r="76" spans="1:9" ht="12.9" customHeight="1">
      <c r="A76" s="7254"/>
      <c r="B76" s="7255"/>
      <c r="C76" s="6330"/>
      <c r="D76" s="7256"/>
      <c r="E76" s="7256"/>
      <c r="F76" s="7256"/>
      <c r="I76" s="7164"/>
    </row>
    <row r="77" spans="1:9" ht="12.9" customHeight="1" thickBot="1">
      <c r="A77" s="6330" t="s">
        <v>4989</v>
      </c>
      <c r="B77" s="6231"/>
      <c r="C77" s="6330"/>
      <c r="D77" s="7262"/>
      <c r="E77" s="7262"/>
      <c r="F77" s="7262"/>
      <c r="I77" s="7164">
        <f t="shared" si="0"/>
        <v>0</v>
      </c>
    </row>
    <row r="78" spans="1:9" ht="12.9" customHeight="1">
      <c r="A78" s="9675" t="s">
        <v>842</v>
      </c>
      <c r="B78" s="10713" t="s">
        <v>1035</v>
      </c>
      <c r="C78" s="10713" t="s">
        <v>1036</v>
      </c>
      <c r="D78" s="14393" t="s">
        <v>1037</v>
      </c>
      <c r="E78" s="14393"/>
      <c r="F78" s="14394"/>
      <c r="I78" s="7164">
        <f t="shared" si="0"/>
        <v>0</v>
      </c>
    </row>
    <row r="79" spans="1:9" ht="12.9" customHeight="1" thickBot="1">
      <c r="A79" s="9679" t="s">
        <v>1088</v>
      </c>
      <c r="B79" s="9755" t="s">
        <v>9</v>
      </c>
      <c r="C79" s="9755" t="s">
        <v>1039</v>
      </c>
      <c r="D79" s="9680" t="s">
        <v>10</v>
      </c>
      <c r="E79" s="9755" t="s">
        <v>11</v>
      </c>
      <c r="F79" s="9756" t="s">
        <v>11621</v>
      </c>
      <c r="I79" s="7164"/>
    </row>
    <row r="80" spans="1:9" ht="12.9" customHeight="1">
      <c r="A80" s="7167"/>
      <c r="B80" s="10750"/>
      <c r="C80" s="10750"/>
      <c r="D80" s="10750"/>
      <c r="E80" s="10750"/>
      <c r="F80" s="9651"/>
      <c r="I80" s="7164"/>
    </row>
    <row r="81" spans="1:9" ht="12.9" customHeight="1">
      <c r="A81" s="7231" t="s">
        <v>1113</v>
      </c>
      <c r="B81" s="7168" t="s">
        <v>9</v>
      </c>
      <c r="C81" s="7174"/>
      <c r="D81" s="7174"/>
      <c r="E81" s="7174"/>
      <c r="F81" s="7242"/>
      <c r="I81" s="7164">
        <f t="shared" si="0"/>
        <v>0</v>
      </c>
    </row>
    <row r="82" spans="1:9" ht="12.9" customHeight="1">
      <c r="A82" s="7231" t="s">
        <v>11293</v>
      </c>
      <c r="B82" s="7172">
        <v>1</v>
      </c>
      <c r="C82" s="7172">
        <v>25</v>
      </c>
      <c r="D82" s="7177">
        <v>0</v>
      </c>
      <c r="E82" s="7176">
        <v>989268</v>
      </c>
      <c r="F82" s="7175">
        <v>1140996</v>
      </c>
      <c r="I82" s="7164">
        <f>F82/12</f>
        <v>95083</v>
      </c>
    </row>
    <row r="83" spans="1:9" ht="12.9" customHeight="1">
      <c r="A83" s="7231" t="s">
        <v>11292</v>
      </c>
      <c r="B83" s="7172">
        <v>1</v>
      </c>
      <c r="C83" s="7172">
        <v>20</v>
      </c>
      <c r="D83" s="7177">
        <v>0</v>
      </c>
      <c r="E83" s="7176">
        <v>564444</v>
      </c>
      <c r="F83" s="7245">
        <v>613860</v>
      </c>
      <c r="I83" s="7164">
        <f t="shared" si="0"/>
        <v>51155</v>
      </c>
    </row>
    <row r="84" spans="1:9" ht="12.9" customHeight="1">
      <c r="A84" s="7231" t="s">
        <v>11294</v>
      </c>
      <c r="B84" s="7172">
        <v>1</v>
      </c>
      <c r="C84" s="7172">
        <v>19</v>
      </c>
      <c r="D84" s="7177">
        <v>0</v>
      </c>
      <c r="E84" s="7176">
        <v>505188</v>
      </c>
      <c r="F84" s="7245">
        <v>543228</v>
      </c>
      <c r="I84" s="7164">
        <f t="shared" ref="I84:I113" si="1">F84/12</f>
        <v>45269</v>
      </c>
    </row>
    <row r="85" spans="1:9" ht="12.9" customHeight="1">
      <c r="A85" s="7231" t="s">
        <v>1328</v>
      </c>
      <c r="B85" s="7172">
        <v>0</v>
      </c>
      <c r="C85" s="7172">
        <v>17</v>
      </c>
      <c r="D85" s="7176">
        <v>392964</v>
      </c>
      <c r="E85" s="7176">
        <v>0</v>
      </c>
      <c r="F85" s="7245">
        <v>0</v>
      </c>
      <c r="I85" s="7164">
        <f t="shared" si="1"/>
        <v>0</v>
      </c>
    </row>
    <row r="86" spans="1:9" ht="12.9" hidden="1" customHeight="1">
      <c r="A86" s="7231" t="s">
        <v>1335</v>
      </c>
      <c r="B86" s="7172">
        <v>0</v>
      </c>
      <c r="C86" s="7172">
        <v>17</v>
      </c>
      <c r="D86" s="7176"/>
      <c r="E86" s="7176"/>
      <c r="F86" s="7245"/>
      <c r="I86" s="7164">
        <f t="shared" si="1"/>
        <v>0</v>
      </c>
    </row>
    <row r="87" spans="1:9" ht="12.9" hidden="1" customHeight="1">
      <c r="A87" s="7231" t="s">
        <v>1336</v>
      </c>
      <c r="B87" s="7172">
        <v>0</v>
      </c>
      <c r="C87" s="7172">
        <v>15</v>
      </c>
      <c r="D87" s="7176">
        <v>0</v>
      </c>
      <c r="E87" s="7176">
        <v>0</v>
      </c>
      <c r="F87" s="7245">
        <v>0</v>
      </c>
      <c r="I87" s="7164">
        <f t="shared" si="1"/>
        <v>0</v>
      </c>
    </row>
    <row r="88" spans="1:9" ht="12.9" hidden="1" customHeight="1">
      <c r="A88" s="7231" t="s">
        <v>1337</v>
      </c>
      <c r="B88" s="7172">
        <v>0</v>
      </c>
      <c r="C88" s="7172">
        <v>15</v>
      </c>
      <c r="D88" s="7176">
        <v>0</v>
      </c>
      <c r="E88" s="7176">
        <v>0</v>
      </c>
      <c r="F88" s="7245">
        <v>0</v>
      </c>
      <c r="I88" s="7164">
        <f t="shared" si="1"/>
        <v>0</v>
      </c>
    </row>
    <row r="89" spans="1:9" ht="12.9" customHeight="1">
      <c r="A89" s="7231" t="s">
        <v>11898</v>
      </c>
      <c r="B89" s="7172">
        <v>1</v>
      </c>
      <c r="C89" s="7172">
        <v>15</v>
      </c>
      <c r="D89" s="9612"/>
      <c r="E89" s="9612"/>
      <c r="F89" s="9948">
        <v>366372</v>
      </c>
      <c r="I89" s="7164">
        <f t="shared" si="1"/>
        <v>30531</v>
      </c>
    </row>
    <row r="90" spans="1:9" ht="12.9" customHeight="1">
      <c r="A90" s="7231" t="s">
        <v>1339</v>
      </c>
      <c r="B90" s="7172">
        <v>0</v>
      </c>
      <c r="C90" s="7172">
        <v>15</v>
      </c>
      <c r="D90" s="7176">
        <v>330780</v>
      </c>
      <c r="E90" s="7176">
        <v>0</v>
      </c>
      <c r="F90" s="7245">
        <v>0</v>
      </c>
      <c r="I90" s="7164">
        <f t="shared" si="1"/>
        <v>0</v>
      </c>
    </row>
    <row r="91" spans="1:9" ht="12.9" customHeight="1">
      <c r="A91" s="7231" t="s">
        <v>11634</v>
      </c>
      <c r="B91" s="9403">
        <v>1</v>
      </c>
      <c r="C91" s="9403">
        <v>15</v>
      </c>
      <c r="D91" s="9612">
        <v>303480</v>
      </c>
      <c r="E91" s="9612">
        <v>317928</v>
      </c>
      <c r="F91" s="9948">
        <v>366372</v>
      </c>
      <c r="I91" s="7164">
        <f t="shared" si="1"/>
        <v>30531</v>
      </c>
    </row>
    <row r="92" spans="1:9" ht="12.9" customHeight="1">
      <c r="A92" s="7231" t="s">
        <v>1329</v>
      </c>
      <c r="B92" s="7172">
        <v>0</v>
      </c>
      <c r="C92" s="7172">
        <v>14</v>
      </c>
      <c r="D92" s="7176">
        <v>606960</v>
      </c>
      <c r="E92" s="7176">
        <v>0</v>
      </c>
      <c r="F92" s="7245">
        <v>0</v>
      </c>
      <c r="I92" s="7164">
        <f t="shared" si="1"/>
        <v>0</v>
      </c>
    </row>
    <row r="93" spans="1:9" ht="12.9" hidden="1" customHeight="1">
      <c r="A93" s="7231" t="s">
        <v>11405</v>
      </c>
      <c r="B93" s="7172">
        <v>0</v>
      </c>
      <c r="C93" s="7172">
        <v>14</v>
      </c>
      <c r="D93" s="7176"/>
      <c r="E93" s="7176">
        <v>0</v>
      </c>
      <c r="F93" s="7245">
        <v>0</v>
      </c>
      <c r="I93" s="7164">
        <f t="shared" si="1"/>
        <v>0</v>
      </c>
    </row>
    <row r="94" spans="1:9" ht="12.9" customHeight="1">
      <c r="A94" s="7231" t="s">
        <v>1331</v>
      </c>
      <c r="B94" s="7172">
        <v>0</v>
      </c>
      <c r="C94" s="7172">
        <v>13</v>
      </c>
      <c r="D94" s="7176">
        <v>279084</v>
      </c>
      <c r="E94" s="7176">
        <v>0</v>
      </c>
      <c r="F94" s="7245">
        <v>0</v>
      </c>
      <c r="I94" s="7164">
        <f t="shared" si="1"/>
        <v>0</v>
      </c>
    </row>
    <row r="95" spans="1:9" ht="12.9" customHeight="1">
      <c r="A95" s="7231" t="s">
        <v>1332</v>
      </c>
      <c r="B95" s="7172">
        <v>0</v>
      </c>
      <c r="C95" s="7172">
        <v>11</v>
      </c>
      <c r="D95" s="7176">
        <v>235440</v>
      </c>
      <c r="E95" s="7176">
        <v>0</v>
      </c>
      <c r="F95" s="7245">
        <v>0</v>
      </c>
      <c r="I95" s="7164">
        <f t="shared" si="1"/>
        <v>0</v>
      </c>
    </row>
    <row r="96" spans="1:9" ht="12.9" customHeight="1">
      <c r="A96" s="7231" t="s">
        <v>1122</v>
      </c>
      <c r="B96" s="7172">
        <v>0</v>
      </c>
      <c r="C96" s="7172">
        <v>12</v>
      </c>
      <c r="D96" s="7176">
        <v>256644</v>
      </c>
      <c r="E96" s="7176">
        <v>0</v>
      </c>
      <c r="F96" s="7245">
        <v>0</v>
      </c>
      <c r="I96" s="7164">
        <f t="shared" si="1"/>
        <v>0</v>
      </c>
    </row>
    <row r="97" spans="1:9" ht="12.9" customHeight="1">
      <c r="A97" s="7231" t="s">
        <v>10415</v>
      </c>
      <c r="B97" s="7172">
        <v>0</v>
      </c>
      <c r="C97" s="7172">
        <v>11</v>
      </c>
      <c r="D97" s="7176">
        <v>235440</v>
      </c>
      <c r="E97" s="7176">
        <v>0</v>
      </c>
      <c r="F97" s="7245">
        <v>0</v>
      </c>
      <c r="I97" s="7164">
        <f t="shared" si="1"/>
        <v>0</v>
      </c>
    </row>
    <row r="98" spans="1:9" ht="12.9" customHeight="1">
      <c r="A98" s="7231" t="s">
        <v>10560</v>
      </c>
      <c r="B98" s="7172">
        <v>0</v>
      </c>
      <c r="C98" s="7172">
        <v>11</v>
      </c>
      <c r="D98" s="7176">
        <v>235440</v>
      </c>
      <c r="E98" s="7176">
        <v>0</v>
      </c>
      <c r="F98" s="7245">
        <v>0</v>
      </c>
      <c r="I98" s="7164">
        <f t="shared" si="1"/>
        <v>0</v>
      </c>
    </row>
    <row r="99" spans="1:9" ht="12.9" customHeight="1">
      <c r="A99" s="7231" t="s">
        <v>10699</v>
      </c>
      <c r="B99" s="7172">
        <v>0</v>
      </c>
      <c r="C99" s="7172">
        <v>11</v>
      </c>
      <c r="D99" s="7176">
        <v>235440</v>
      </c>
      <c r="E99" s="7176">
        <v>0</v>
      </c>
      <c r="F99" s="7245">
        <v>0</v>
      </c>
      <c r="I99" s="7164">
        <f t="shared" si="1"/>
        <v>0</v>
      </c>
    </row>
    <row r="100" spans="1:9" ht="12.9" customHeight="1">
      <c r="A100" s="7231" t="s">
        <v>11406</v>
      </c>
      <c r="B100" s="9403">
        <v>0</v>
      </c>
      <c r="C100" s="9403">
        <v>11</v>
      </c>
      <c r="D100" s="7177">
        <v>0</v>
      </c>
      <c r="E100" s="9612">
        <v>245244</v>
      </c>
      <c r="F100" s="7245">
        <v>0</v>
      </c>
      <c r="I100" s="7164">
        <f t="shared" si="1"/>
        <v>0</v>
      </c>
    </row>
    <row r="101" spans="1:9" ht="12.9" hidden="1" customHeight="1">
      <c r="A101" s="7231" t="s">
        <v>11635</v>
      </c>
      <c r="B101" s="9403">
        <v>0</v>
      </c>
      <c r="C101" s="9403">
        <v>10</v>
      </c>
      <c r="D101" s="7177">
        <v>0</v>
      </c>
      <c r="E101" s="7177">
        <v>0</v>
      </c>
      <c r="F101" s="9948"/>
      <c r="I101" s="7164"/>
    </row>
    <row r="102" spans="1:9" ht="12.9" customHeight="1">
      <c r="A102" s="7231" t="s">
        <v>1338</v>
      </c>
      <c r="B102" s="7172"/>
      <c r="C102" s="7172">
        <v>8</v>
      </c>
      <c r="D102" s="7176">
        <v>189816</v>
      </c>
      <c r="E102" s="7176">
        <v>195384</v>
      </c>
      <c r="F102" s="7245" t="s">
        <v>12022</v>
      </c>
      <c r="I102" s="13952"/>
    </row>
    <row r="103" spans="1:9" ht="12.9" hidden="1" customHeight="1">
      <c r="A103" s="7231" t="s">
        <v>3434</v>
      </c>
      <c r="B103" s="7172">
        <v>0</v>
      </c>
      <c r="C103" s="7172">
        <v>6</v>
      </c>
      <c r="D103" s="7176">
        <v>0</v>
      </c>
      <c r="E103" s="7176">
        <v>0</v>
      </c>
      <c r="F103" s="7245">
        <v>0</v>
      </c>
      <c r="I103" s="7164">
        <f t="shared" si="1"/>
        <v>0</v>
      </c>
    </row>
    <row r="104" spans="1:9" ht="12.9" customHeight="1">
      <c r="A104" s="7231" t="s">
        <v>1059</v>
      </c>
      <c r="B104" s="7172">
        <v>0</v>
      </c>
      <c r="C104" s="7172">
        <v>6</v>
      </c>
      <c r="D104" s="7176">
        <v>166212</v>
      </c>
      <c r="E104" s="7176">
        <v>0</v>
      </c>
      <c r="F104" s="7245">
        <v>0</v>
      </c>
      <c r="I104" s="7164">
        <f t="shared" si="1"/>
        <v>0</v>
      </c>
    </row>
    <row r="105" spans="1:9" ht="12.9" customHeight="1">
      <c r="A105" s="7231" t="s">
        <v>1060</v>
      </c>
      <c r="B105" s="7172">
        <v>1</v>
      </c>
      <c r="C105" s="7172">
        <v>4</v>
      </c>
      <c r="D105" s="7176">
        <v>0</v>
      </c>
      <c r="E105" s="7176">
        <v>0</v>
      </c>
      <c r="F105" s="7245">
        <v>158568</v>
      </c>
      <c r="I105" s="7164">
        <f t="shared" si="1"/>
        <v>13214</v>
      </c>
    </row>
    <row r="106" spans="1:9" ht="12.9" hidden="1" customHeight="1">
      <c r="A106" s="7231" t="s">
        <v>1061</v>
      </c>
      <c r="B106" s="7172">
        <v>0</v>
      </c>
      <c r="C106" s="7172">
        <v>3</v>
      </c>
      <c r="D106" s="7176">
        <v>0</v>
      </c>
      <c r="E106" s="7176">
        <v>0</v>
      </c>
      <c r="F106" s="7245">
        <v>0</v>
      </c>
      <c r="I106" s="7164">
        <f t="shared" si="1"/>
        <v>0</v>
      </c>
    </row>
    <row r="107" spans="1:9" ht="12.9" customHeight="1">
      <c r="A107" s="7231" t="s">
        <v>1333</v>
      </c>
      <c r="B107" s="7172">
        <v>0</v>
      </c>
      <c r="C107" s="7172">
        <v>8</v>
      </c>
      <c r="D107" s="7176">
        <v>0</v>
      </c>
      <c r="E107" s="7176">
        <v>394404</v>
      </c>
      <c r="F107" s="7245">
        <v>0</v>
      </c>
      <c r="I107" s="7164">
        <f t="shared" si="1"/>
        <v>0</v>
      </c>
    </row>
    <row r="108" spans="1:9" ht="12.9" customHeight="1">
      <c r="A108" s="7231" t="s">
        <v>1334</v>
      </c>
      <c r="B108" s="7172">
        <v>4</v>
      </c>
      <c r="C108" s="7172">
        <v>6</v>
      </c>
      <c r="D108" s="7176">
        <v>0</v>
      </c>
      <c r="E108" s="7176">
        <v>0</v>
      </c>
      <c r="F108" s="7245">
        <f>178164*B108</f>
        <v>712656</v>
      </c>
      <c r="I108" s="7164">
        <f t="shared" si="1"/>
        <v>59388</v>
      </c>
    </row>
    <row r="109" spans="1:9" ht="12.9" hidden="1" customHeight="1">
      <c r="A109" s="7231" t="s">
        <v>8465</v>
      </c>
      <c r="B109" s="7172">
        <v>0</v>
      </c>
      <c r="C109" s="7172">
        <v>4</v>
      </c>
      <c r="D109" s="7176">
        <v>0</v>
      </c>
      <c r="E109" s="7176">
        <v>0</v>
      </c>
      <c r="F109" s="7245">
        <v>0</v>
      </c>
      <c r="I109" s="7164">
        <f t="shared" si="1"/>
        <v>0</v>
      </c>
    </row>
    <row r="110" spans="1:9" ht="12.9" customHeight="1">
      <c r="A110" s="7231" t="s">
        <v>8464</v>
      </c>
      <c r="B110" s="7172">
        <v>0</v>
      </c>
      <c r="C110" s="7172">
        <v>4</v>
      </c>
      <c r="D110" s="7176">
        <v>145860</v>
      </c>
      <c r="E110" s="7176">
        <v>0</v>
      </c>
      <c r="F110" s="7245">
        <v>0</v>
      </c>
      <c r="I110" s="7164">
        <f t="shared" si="1"/>
        <v>0</v>
      </c>
    </row>
    <row r="111" spans="1:9" ht="12.9" customHeight="1">
      <c r="A111" s="7231" t="s">
        <v>1330</v>
      </c>
      <c r="B111" s="7172">
        <v>0</v>
      </c>
      <c r="C111" s="7172">
        <v>4</v>
      </c>
      <c r="D111" s="7176">
        <v>145860</v>
      </c>
      <c r="E111" s="7176">
        <v>152088</v>
      </c>
      <c r="F111" s="7245">
        <v>0</v>
      </c>
      <c r="I111" s="7164">
        <f t="shared" si="1"/>
        <v>0</v>
      </c>
    </row>
    <row r="112" spans="1:9" ht="12.9" customHeight="1">
      <c r="A112" s="7231" t="s">
        <v>8463</v>
      </c>
      <c r="B112" s="7172">
        <v>0</v>
      </c>
      <c r="C112" s="7172">
        <v>4</v>
      </c>
      <c r="D112" s="7176">
        <v>145860</v>
      </c>
      <c r="E112" s="7176">
        <v>0</v>
      </c>
      <c r="F112" s="7245">
        <v>0</v>
      </c>
      <c r="I112" s="7164">
        <f t="shared" si="1"/>
        <v>0</v>
      </c>
    </row>
    <row r="113" spans="1:9" ht="12.9" customHeight="1">
      <c r="A113" s="7231" t="s">
        <v>10561</v>
      </c>
      <c r="B113" s="7172">
        <v>3</v>
      </c>
      <c r="C113" s="7172">
        <v>1</v>
      </c>
      <c r="D113" s="7176">
        <v>119772</v>
      </c>
      <c r="E113" s="7176">
        <v>126120</v>
      </c>
      <c r="F113" s="7245">
        <f>132816*B113</f>
        <v>398448</v>
      </c>
      <c r="I113" s="7164">
        <f t="shared" si="1"/>
        <v>33204</v>
      </c>
    </row>
    <row r="114" spans="1:9" ht="12.9" customHeight="1">
      <c r="A114" s="6230" t="s">
        <v>4774</v>
      </c>
      <c r="B114" s="9652">
        <f>SUM(B81:B113)</f>
        <v>13</v>
      </c>
      <c r="C114" s="9676"/>
      <c r="D114" s="9654">
        <f>SUM(D82:D113)</f>
        <v>4025052</v>
      </c>
      <c r="E114" s="9654">
        <f>SUM(E82:E113)</f>
        <v>3490068</v>
      </c>
      <c r="F114" s="9655">
        <f>SUM(F81:F113)</f>
        <v>4300500</v>
      </c>
    </row>
    <row r="115" spans="1:9" ht="12.9" customHeight="1" thickBot="1">
      <c r="A115" s="9690"/>
      <c r="B115" s="9755"/>
      <c r="C115" s="9758"/>
      <c r="D115" s="9770"/>
      <c r="E115" s="9770"/>
      <c r="F115" s="9771"/>
    </row>
    <row r="116" spans="1:9" ht="12.9" customHeight="1" thickBot="1">
      <c r="A116" s="9838" t="s">
        <v>1101</v>
      </c>
      <c r="B116" s="10845">
        <f>SUM(B66+B114)</f>
        <v>138</v>
      </c>
      <c r="C116" s="10421"/>
      <c r="D116" s="9840">
        <f>SUM(D66+D114)</f>
        <v>36986664</v>
      </c>
      <c r="E116" s="9840">
        <f>SUM(E66+E114)</f>
        <v>39287748</v>
      </c>
      <c r="F116" s="10786">
        <f>SUM(F66+F114)</f>
        <v>43407312</v>
      </c>
      <c r="H116" s="7164">
        <f>F116-39287748</f>
        <v>4119564</v>
      </c>
    </row>
    <row r="117" spans="1:9" ht="12.9" customHeight="1">
      <c r="A117" s="7231"/>
      <c r="B117" s="9402"/>
      <c r="C117" s="7174"/>
      <c r="D117" s="7174"/>
      <c r="E117" s="7174"/>
      <c r="F117" s="7242"/>
      <c r="H117" s="7164">
        <f>F116-37568340</f>
        <v>5838972</v>
      </c>
    </row>
    <row r="118" spans="1:9" ht="12.9" customHeight="1">
      <c r="A118" s="6230" t="s">
        <v>1075</v>
      </c>
      <c r="B118" s="9402"/>
      <c r="C118" s="7174"/>
      <c r="D118" s="9694"/>
      <c r="E118" s="7174"/>
      <c r="F118" s="7242"/>
    </row>
    <row r="119" spans="1:9" ht="12.9" customHeight="1">
      <c r="A119" s="6230" t="s">
        <v>1102</v>
      </c>
      <c r="B119" s="9402"/>
      <c r="C119" s="7174"/>
      <c r="D119" s="7174"/>
      <c r="E119" s="7174"/>
      <c r="F119" s="7242"/>
    </row>
    <row r="120" spans="1:9" ht="12.9" customHeight="1">
      <c r="A120" s="7231" t="s">
        <v>1103</v>
      </c>
      <c r="B120" s="9402">
        <v>3</v>
      </c>
      <c r="C120" s="7174"/>
      <c r="D120" s="7174"/>
      <c r="E120" s="7174"/>
      <c r="F120" s="7242"/>
    </row>
    <row r="121" spans="1:9" ht="12.9" customHeight="1">
      <c r="A121" s="7231" t="s">
        <v>1078</v>
      </c>
      <c r="B121" s="9402">
        <v>1</v>
      </c>
      <c r="C121" s="7174"/>
      <c r="D121" s="7174"/>
      <c r="E121" s="7174"/>
      <c r="F121" s="7242"/>
    </row>
    <row r="122" spans="1:9" ht="12.9" customHeight="1">
      <c r="A122" s="7207" t="s">
        <v>10697</v>
      </c>
      <c r="B122" s="9402"/>
      <c r="C122" s="7174"/>
      <c r="D122" s="7174"/>
      <c r="E122" s="7174"/>
      <c r="F122" s="7242"/>
    </row>
    <row r="123" spans="1:9" ht="12.9" customHeight="1">
      <c r="A123" s="7207" t="s">
        <v>10707</v>
      </c>
      <c r="B123" s="9402">
        <v>2</v>
      </c>
      <c r="C123" s="7174"/>
      <c r="D123" s="7174"/>
      <c r="E123" s="7174"/>
      <c r="F123" s="7242"/>
    </row>
    <row r="124" spans="1:9" ht="12.9" customHeight="1">
      <c r="A124" s="7231" t="s">
        <v>168</v>
      </c>
      <c r="B124" s="9402"/>
      <c r="C124" s="7174"/>
      <c r="D124" s="7174"/>
      <c r="E124" s="7174"/>
      <c r="F124" s="7242"/>
    </row>
    <row r="125" spans="1:9" ht="12.9" customHeight="1">
      <c r="A125" s="7231" t="s">
        <v>1080</v>
      </c>
      <c r="B125" s="9402"/>
      <c r="C125" s="7174"/>
      <c r="D125" s="7174"/>
      <c r="E125" s="7174"/>
      <c r="F125" s="7242"/>
    </row>
    <row r="126" spans="1:9" ht="12.9" customHeight="1">
      <c r="A126" s="7231" t="s">
        <v>1104</v>
      </c>
      <c r="B126" s="9402"/>
      <c r="C126" s="7174"/>
      <c r="D126" s="7174"/>
      <c r="E126" s="7174"/>
      <c r="F126" s="7242"/>
    </row>
    <row r="127" spans="1:9" ht="12.9" customHeight="1">
      <c r="A127" s="7231" t="s">
        <v>1105</v>
      </c>
      <c r="B127" s="7172"/>
      <c r="C127" s="7174"/>
      <c r="D127" s="7174"/>
      <c r="E127" s="7174"/>
      <c r="F127" s="7242"/>
    </row>
    <row r="128" spans="1:9" ht="12.9" customHeight="1">
      <c r="A128" s="7231"/>
      <c r="B128" s="7172"/>
      <c r="C128" s="7174"/>
      <c r="D128" s="7174"/>
      <c r="E128" s="7174"/>
      <c r="F128" s="7242"/>
    </row>
    <row r="129" spans="1:6" ht="12.9" customHeight="1">
      <c r="A129" s="6230" t="s">
        <v>1083</v>
      </c>
      <c r="B129" s="9653"/>
      <c r="C129" s="9676"/>
      <c r="D129" s="9676"/>
      <c r="E129" s="9676"/>
      <c r="F129" s="9744"/>
    </row>
    <row r="130" spans="1:6" ht="12.9" customHeight="1">
      <c r="A130" s="7231"/>
      <c r="B130" s="7172"/>
      <c r="C130" s="7174"/>
      <c r="D130" s="7174"/>
      <c r="E130" s="7174"/>
      <c r="F130" s="7242"/>
    </row>
    <row r="131" spans="1:6" ht="12.9" customHeight="1">
      <c r="A131" s="7231" t="s">
        <v>1106</v>
      </c>
      <c r="B131" s="7172"/>
      <c r="C131" s="7174"/>
      <c r="D131" s="7174"/>
      <c r="E131" s="7174"/>
      <c r="F131" s="7242"/>
    </row>
    <row r="132" spans="1:6" ht="12.9" customHeight="1" thickBot="1">
      <c r="A132" s="7231"/>
      <c r="B132" s="7172"/>
      <c r="C132" s="7174"/>
      <c r="D132" s="7174"/>
      <c r="E132" s="7174"/>
      <c r="F132" s="7242"/>
    </row>
    <row r="133" spans="1:6" ht="12.9" customHeight="1">
      <c r="A133" s="7248"/>
      <c r="B133" s="9666"/>
      <c r="C133" s="9665"/>
      <c r="D133" s="9665"/>
      <c r="E133" s="9665"/>
      <c r="F133" s="9729"/>
    </row>
    <row r="134" spans="1:6" ht="12.9" customHeight="1">
      <c r="A134" s="6230" t="s">
        <v>1086</v>
      </c>
      <c r="B134" s="8414"/>
      <c r="C134" s="10751"/>
      <c r="D134" s="10751"/>
      <c r="E134" s="10751"/>
      <c r="F134" s="7242"/>
    </row>
    <row r="135" spans="1:6" ht="12.9" customHeight="1" thickBot="1">
      <c r="A135" s="7235"/>
      <c r="B135" s="9645"/>
      <c r="C135" s="9758"/>
      <c r="D135" s="9758"/>
      <c r="E135" s="9758"/>
      <c r="F135" s="9759"/>
    </row>
    <row r="136" spans="1:6" ht="12.9" customHeight="1">
      <c r="A136" s="6330"/>
      <c r="B136" s="6231"/>
      <c r="C136" s="6330"/>
      <c r="D136" s="6330"/>
      <c r="E136" s="6330"/>
      <c r="F136" s="6330"/>
    </row>
  </sheetData>
  <mergeCells count="3">
    <mergeCell ref="D5:F5"/>
    <mergeCell ref="D78:F78"/>
    <mergeCell ref="A1:F1"/>
  </mergeCells>
  <pageMargins left="0.25" right="0.25" top="0.5" bottom="0" header="0" footer="0"/>
  <pageSetup paperSize="119" firstPageNumber="246" orientation="portrait" useFirstPageNumber="1" r:id="rId1"/>
  <headerFooter alignWithMargins="0"/>
</worksheet>
</file>

<file path=xl/worksheets/sheet124.xml><?xml version="1.0" encoding="utf-8"?>
<worksheet xmlns="http://schemas.openxmlformats.org/spreadsheetml/2006/main" xmlns:r="http://schemas.openxmlformats.org/officeDocument/2006/relationships">
  <sheetPr codeName="Sheet169">
    <tabColor rgb="FFFFFF00"/>
  </sheetPr>
  <dimension ref="A1:K56"/>
  <sheetViews>
    <sheetView showGridLines="0" topLeftCell="A16" workbookViewId="0">
      <selection activeCell="H36" sqref="H36"/>
    </sheetView>
  </sheetViews>
  <sheetFormatPr defaultRowHeight="14.4"/>
  <cols>
    <col min="1" max="2" width="3" style="6227" customWidth="1"/>
    <col min="3" max="5" width="3.88671875" style="6227" customWidth="1"/>
    <col min="6" max="6" width="15.44140625" style="6227" customWidth="1"/>
    <col min="7" max="7" width="14.88671875" style="6227" customWidth="1"/>
    <col min="8" max="8" width="18.109375" style="6227" customWidth="1"/>
    <col min="9" max="9" width="17.44140625" style="6227" customWidth="1"/>
    <col min="10" max="10" width="7.109375" style="6227" customWidth="1"/>
    <col min="11" max="11" width="6.44140625" style="6227" customWidth="1"/>
    <col min="12" max="256" width="9.109375" style="6227"/>
    <col min="257" max="258" width="3" style="6227" customWidth="1"/>
    <col min="259" max="261" width="3.88671875" style="6227" customWidth="1"/>
    <col min="262" max="262" width="15.44140625" style="6227" customWidth="1"/>
    <col min="263" max="263" width="12.88671875" style="6227" customWidth="1"/>
    <col min="264" max="265" width="15.44140625" style="6227" customWidth="1"/>
    <col min="266" max="267" width="5.88671875" style="6227" customWidth="1"/>
    <col min="268" max="512" width="9.109375" style="6227"/>
    <col min="513" max="514" width="3" style="6227" customWidth="1"/>
    <col min="515" max="517" width="3.88671875" style="6227" customWidth="1"/>
    <col min="518" max="518" width="15.44140625" style="6227" customWidth="1"/>
    <col min="519" max="519" width="12.88671875" style="6227" customWidth="1"/>
    <col min="520" max="521" width="15.44140625" style="6227" customWidth="1"/>
    <col min="522" max="523" width="5.88671875" style="6227" customWidth="1"/>
    <col min="524" max="768" width="9.109375" style="6227"/>
    <col min="769" max="770" width="3" style="6227" customWidth="1"/>
    <col min="771" max="773" width="3.88671875" style="6227" customWidth="1"/>
    <col min="774" max="774" width="15.44140625" style="6227" customWidth="1"/>
    <col min="775" max="775" width="12.88671875" style="6227" customWidth="1"/>
    <col min="776" max="777" width="15.44140625" style="6227" customWidth="1"/>
    <col min="778" max="779" width="5.88671875" style="6227" customWidth="1"/>
    <col min="780" max="1024" width="9.109375" style="6227"/>
    <col min="1025" max="1026" width="3" style="6227" customWidth="1"/>
    <col min="1027" max="1029" width="3.88671875" style="6227" customWidth="1"/>
    <col min="1030" max="1030" width="15.44140625" style="6227" customWidth="1"/>
    <col min="1031" max="1031" width="12.88671875" style="6227" customWidth="1"/>
    <col min="1032" max="1033" width="15.44140625" style="6227" customWidth="1"/>
    <col min="1034" max="1035" width="5.88671875" style="6227" customWidth="1"/>
    <col min="1036" max="1280" width="9.109375" style="6227"/>
    <col min="1281" max="1282" width="3" style="6227" customWidth="1"/>
    <col min="1283" max="1285" width="3.88671875" style="6227" customWidth="1"/>
    <col min="1286" max="1286" width="15.44140625" style="6227" customWidth="1"/>
    <col min="1287" max="1287" width="12.88671875" style="6227" customWidth="1"/>
    <col min="1288" max="1289" width="15.44140625" style="6227" customWidth="1"/>
    <col min="1290" max="1291" width="5.88671875" style="6227" customWidth="1"/>
    <col min="1292" max="1536" width="9.109375" style="6227"/>
    <col min="1537" max="1538" width="3" style="6227" customWidth="1"/>
    <col min="1539" max="1541" width="3.88671875" style="6227" customWidth="1"/>
    <col min="1542" max="1542" width="15.44140625" style="6227" customWidth="1"/>
    <col min="1543" max="1543" width="12.88671875" style="6227" customWidth="1"/>
    <col min="1544" max="1545" width="15.44140625" style="6227" customWidth="1"/>
    <col min="1546" max="1547" width="5.88671875" style="6227" customWidth="1"/>
    <col min="1548" max="1792" width="9.109375" style="6227"/>
    <col min="1793" max="1794" width="3" style="6227" customWidth="1"/>
    <col min="1795" max="1797" width="3.88671875" style="6227" customWidth="1"/>
    <col min="1798" max="1798" width="15.44140625" style="6227" customWidth="1"/>
    <col min="1799" max="1799" width="12.88671875" style="6227" customWidth="1"/>
    <col min="1800" max="1801" width="15.44140625" style="6227" customWidth="1"/>
    <col min="1802" max="1803" width="5.88671875" style="6227" customWidth="1"/>
    <col min="1804" max="2048" width="9.109375" style="6227"/>
    <col min="2049" max="2050" width="3" style="6227" customWidth="1"/>
    <col min="2051" max="2053" width="3.88671875" style="6227" customWidth="1"/>
    <col min="2054" max="2054" width="15.44140625" style="6227" customWidth="1"/>
    <col min="2055" max="2055" width="12.88671875" style="6227" customWidth="1"/>
    <col min="2056" max="2057" width="15.44140625" style="6227" customWidth="1"/>
    <col min="2058" max="2059" width="5.88671875" style="6227" customWidth="1"/>
    <col min="2060" max="2304" width="9.109375" style="6227"/>
    <col min="2305" max="2306" width="3" style="6227" customWidth="1"/>
    <col min="2307" max="2309" width="3.88671875" style="6227" customWidth="1"/>
    <col min="2310" max="2310" width="15.44140625" style="6227" customWidth="1"/>
    <col min="2311" max="2311" width="12.88671875" style="6227" customWidth="1"/>
    <col min="2312" max="2313" width="15.44140625" style="6227" customWidth="1"/>
    <col min="2314" max="2315" width="5.88671875" style="6227" customWidth="1"/>
    <col min="2316" max="2560" width="9.109375" style="6227"/>
    <col min="2561" max="2562" width="3" style="6227" customWidth="1"/>
    <col min="2563" max="2565" width="3.88671875" style="6227" customWidth="1"/>
    <col min="2566" max="2566" width="15.44140625" style="6227" customWidth="1"/>
    <col min="2567" max="2567" width="12.88671875" style="6227" customWidth="1"/>
    <col min="2568" max="2569" width="15.44140625" style="6227" customWidth="1"/>
    <col min="2570" max="2571" width="5.88671875" style="6227" customWidth="1"/>
    <col min="2572" max="2816" width="9.109375" style="6227"/>
    <col min="2817" max="2818" width="3" style="6227" customWidth="1"/>
    <col min="2819" max="2821" width="3.88671875" style="6227" customWidth="1"/>
    <col min="2822" max="2822" width="15.44140625" style="6227" customWidth="1"/>
    <col min="2823" max="2823" width="12.88671875" style="6227" customWidth="1"/>
    <col min="2824" max="2825" width="15.44140625" style="6227" customWidth="1"/>
    <col min="2826" max="2827" width="5.88671875" style="6227" customWidth="1"/>
    <col min="2828" max="3072" width="9.109375" style="6227"/>
    <col min="3073" max="3074" width="3" style="6227" customWidth="1"/>
    <col min="3075" max="3077" width="3.88671875" style="6227" customWidth="1"/>
    <col min="3078" max="3078" width="15.44140625" style="6227" customWidth="1"/>
    <col min="3079" max="3079" width="12.88671875" style="6227" customWidth="1"/>
    <col min="3080" max="3081" width="15.44140625" style="6227" customWidth="1"/>
    <col min="3082" max="3083" width="5.88671875" style="6227" customWidth="1"/>
    <col min="3084" max="3328" width="9.109375" style="6227"/>
    <col min="3329" max="3330" width="3" style="6227" customWidth="1"/>
    <col min="3331" max="3333" width="3.88671875" style="6227" customWidth="1"/>
    <col min="3334" max="3334" width="15.44140625" style="6227" customWidth="1"/>
    <col min="3335" max="3335" width="12.88671875" style="6227" customWidth="1"/>
    <col min="3336" max="3337" width="15.44140625" style="6227" customWidth="1"/>
    <col min="3338" max="3339" width="5.88671875" style="6227" customWidth="1"/>
    <col min="3340" max="3584" width="9.109375" style="6227"/>
    <col min="3585" max="3586" width="3" style="6227" customWidth="1"/>
    <col min="3587" max="3589" width="3.88671875" style="6227" customWidth="1"/>
    <col min="3590" max="3590" width="15.44140625" style="6227" customWidth="1"/>
    <col min="3591" max="3591" width="12.88671875" style="6227" customWidth="1"/>
    <col min="3592" max="3593" width="15.44140625" style="6227" customWidth="1"/>
    <col min="3594" max="3595" width="5.88671875" style="6227" customWidth="1"/>
    <col min="3596" max="3840" width="9.109375" style="6227"/>
    <col min="3841" max="3842" width="3" style="6227" customWidth="1"/>
    <col min="3843" max="3845" width="3.88671875" style="6227" customWidth="1"/>
    <col min="3846" max="3846" width="15.44140625" style="6227" customWidth="1"/>
    <col min="3847" max="3847" width="12.88671875" style="6227" customWidth="1"/>
    <col min="3848" max="3849" width="15.44140625" style="6227" customWidth="1"/>
    <col min="3850" max="3851" width="5.88671875" style="6227" customWidth="1"/>
    <col min="3852" max="4096" width="9.109375" style="6227"/>
    <col min="4097" max="4098" width="3" style="6227" customWidth="1"/>
    <col min="4099" max="4101" width="3.88671875" style="6227" customWidth="1"/>
    <col min="4102" max="4102" width="15.44140625" style="6227" customWidth="1"/>
    <col min="4103" max="4103" width="12.88671875" style="6227" customWidth="1"/>
    <col min="4104" max="4105" width="15.44140625" style="6227" customWidth="1"/>
    <col min="4106" max="4107" width="5.88671875" style="6227" customWidth="1"/>
    <col min="4108" max="4352" width="9.109375" style="6227"/>
    <col min="4353" max="4354" width="3" style="6227" customWidth="1"/>
    <col min="4355" max="4357" width="3.88671875" style="6227" customWidth="1"/>
    <col min="4358" max="4358" width="15.44140625" style="6227" customWidth="1"/>
    <col min="4359" max="4359" width="12.88671875" style="6227" customWidth="1"/>
    <col min="4360" max="4361" width="15.44140625" style="6227" customWidth="1"/>
    <col min="4362" max="4363" width="5.88671875" style="6227" customWidth="1"/>
    <col min="4364" max="4608" width="9.109375" style="6227"/>
    <col min="4609" max="4610" width="3" style="6227" customWidth="1"/>
    <col min="4611" max="4613" width="3.88671875" style="6227" customWidth="1"/>
    <col min="4614" max="4614" width="15.44140625" style="6227" customWidth="1"/>
    <col min="4615" max="4615" width="12.88671875" style="6227" customWidth="1"/>
    <col min="4616" max="4617" width="15.44140625" style="6227" customWidth="1"/>
    <col min="4618" max="4619" width="5.88671875" style="6227" customWidth="1"/>
    <col min="4620" max="4864" width="9.109375" style="6227"/>
    <col min="4865" max="4866" width="3" style="6227" customWidth="1"/>
    <col min="4867" max="4869" width="3.88671875" style="6227" customWidth="1"/>
    <col min="4870" max="4870" width="15.44140625" style="6227" customWidth="1"/>
    <col min="4871" max="4871" width="12.88671875" style="6227" customWidth="1"/>
    <col min="4872" max="4873" width="15.44140625" style="6227" customWidth="1"/>
    <col min="4874" max="4875" width="5.88671875" style="6227" customWidth="1"/>
    <col min="4876" max="5120" width="9.109375" style="6227"/>
    <col min="5121" max="5122" width="3" style="6227" customWidth="1"/>
    <col min="5123" max="5125" width="3.88671875" style="6227" customWidth="1"/>
    <col min="5126" max="5126" width="15.44140625" style="6227" customWidth="1"/>
    <col min="5127" max="5127" width="12.88671875" style="6227" customWidth="1"/>
    <col min="5128" max="5129" width="15.44140625" style="6227" customWidth="1"/>
    <col min="5130" max="5131" width="5.88671875" style="6227" customWidth="1"/>
    <col min="5132" max="5376" width="9.109375" style="6227"/>
    <col min="5377" max="5378" width="3" style="6227" customWidth="1"/>
    <col min="5379" max="5381" width="3.88671875" style="6227" customWidth="1"/>
    <col min="5382" max="5382" width="15.44140625" style="6227" customWidth="1"/>
    <col min="5383" max="5383" width="12.88671875" style="6227" customWidth="1"/>
    <col min="5384" max="5385" width="15.44140625" style="6227" customWidth="1"/>
    <col min="5386" max="5387" width="5.88671875" style="6227" customWidth="1"/>
    <col min="5388" max="5632" width="9.109375" style="6227"/>
    <col min="5633" max="5634" width="3" style="6227" customWidth="1"/>
    <col min="5635" max="5637" width="3.88671875" style="6227" customWidth="1"/>
    <col min="5638" max="5638" width="15.44140625" style="6227" customWidth="1"/>
    <col min="5639" max="5639" width="12.88671875" style="6227" customWidth="1"/>
    <col min="5640" max="5641" width="15.44140625" style="6227" customWidth="1"/>
    <col min="5642" max="5643" width="5.88671875" style="6227" customWidth="1"/>
    <col min="5644" max="5888" width="9.109375" style="6227"/>
    <col min="5889" max="5890" width="3" style="6227" customWidth="1"/>
    <col min="5891" max="5893" width="3.88671875" style="6227" customWidth="1"/>
    <col min="5894" max="5894" width="15.44140625" style="6227" customWidth="1"/>
    <col min="5895" max="5895" width="12.88671875" style="6227" customWidth="1"/>
    <col min="5896" max="5897" width="15.44140625" style="6227" customWidth="1"/>
    <col min="5898" max="5899" width="5.88671875" style="6227" customWidth="1"/>
    <col min="5900" max="6144" width="9.109375" style="6227"/>
    <col min="6145" max="6146" width="3" style="6227" customWidth="1"/>
    <col min="6147" max="6149" width="3.88671875" style="6227" customWidth="1"/>
    <col min="6150" max="6150" width="15.44140625" style="6227" customWidth="1"/>
    <col min="6151" max="6151" width="12.88671875" style="6227" customWidth="1"/>
    <col min="6152" max="6153" width="15.44140625" style="6227" customWidth="1"/>
    <col min="6154" max="6155" width="5.88671875" style="6227" customWidth="1"/>
    <col min="6156" max="6400" width="9.109375" style="6227"/>
    <col min="6401" max="6402" width="3" style="6227" customWidth="1"/>
    <col min="6403" max="6405" width="3.88671875" style="6227" customWidth="1"/>
    <col min="6406" max="6406" width="15.44140625" style="6227" customWidth="1"/>
    <col min="6407" max="6407" width="12.88671875" style="6227" customWidth="1"/>
    <col min="6408" max="6409" width="15.44140625" style="6227" customWidth="1"/>
    <col min="6410" max="6411" width="5.88671875" style="6227" customWidth="1"/>
    <col min="6412" max="6656" width="9.109375" style="6227"/>
    <col min="6657" max="6658" width="3" style="6227" customWidth="1"/>
    <col min="6659" max="6661" width="3.88671875" style="6227" customWidth="1"/>
    <col min="6662" max="6662" width="15.44140625" style="6227" customWidth="1"/>
    <col min="6663" max="6663" width="12.88671875" style="6227" customWidth="1"/>
    <col min="6664" max="6665" width="15.44140625" style="6227" customWidth="1"/>
    <col min="6666" max="6667" width="5.88671875" style="6227" customWidth="1"/>
    <col min="6668" max="6912" width="9.109375" style="6227"/>
    <col min="6913" max="6914" width="3" style="6227" customWidth="1"/>
    <col min="6915" max="6917" width="3.88671875" style="6227" customWidth="1"/>
    <col min="6918" max="6918" width="15.44140625" style="6227" customWidth="1"/>
    <col min="6919" max="6919" width="12.88671875" style="6227" customWidth="1"/>
    <col min="6920" max="6921" width="15.44140625" style="6227" customWidth="1"/>
    <col min="6922" max="6923" width="5.88671875" style="6227" customWidth="1"/>
    <col min="6924" max="7168" width="9.109375" style="6227"/>
    <col min="7169" max="7170" width="3" style="6227" customWidth="1"/>
    <col min="7171" max="7173" width="3.88671875" style="6227" customWidth="1"/>
    <col min="7174" max="7174" width="15.44140625" style="6227" customWidth="1"/>
    <col min="7175" max="7175" width="12.88671875" style="6227" customWidth="1"/>
    <col min="7176" max="7177" width="15.44140625" style="6227" customWidth="1"/>
    <col min="7178" max="7179" width="5.88671875" style="6227" customWidth="1"/>
    <col min="7180" max="7424" width="9.109375" style="6227"/>
    <col min="7425" max="7426" width="3" style="6227" customWidth="1"/>
    <col min="7427" max="7429" width="3.88671875" style="6227" customWidth="1"/>
    <col min="7430" max="7430" width="15.44140625" style="6227" customWidth="1"/>
    <col min="7431" max="7431" width="12.88671875" style="6227" customWidth="1"/>
    <col min="7432" max="7433" width="15.44140625" style="6227" customWidth="1"/>
    <col min="7434" max="7435" width="5.88671875" style="6227" customWidth="1"/>
    <col min="7436" max="7680" width="9.109375" style="6227"/>
    <col min="7681" max="7682" width="3" style="6227" customWidth="1"/>
    <col min="7683" max="7685" width="3.88671875" style="6227" customWidth="1"/>
    <col min="7686" max="7686" width="15.44140625" style="6227" customWidth="1"/>
    <col min="7687" max="7687" width="12.88671875" style="6227" customWidth="1"/>
    <col min="7688" max="7689" width="15.44140625" style="6227" customWidth="1"/>
    <col min="7690" max="7691" width="5.88671875" style="6227" customWidth="1"/>
    <col min="7692" max="7936" width="9.109375" style="6227"/>
    <col min="7937" max="7938" width="3" style="6227" customWidth="1"/>
    <col min="7939" max="7941" width="3.88671875" style="6227" customWidth="1"/>
    <col min="7942" max="7942" width="15.44140625" style="6227" customWidth="1"/>
    <col min="7943" max="7943" width="12.88671875" style="6227" customWidth="1"/>
    <col min="7944" max="7945" width="15.44140625" style="6227" customWidth="1"/>
    <col min="7946" max="7947" width="5.88671875" style="6227" customWidth="1"/>
    <col min="7948" max="8192" width="9.109375" style="6227"/>
    <col min="8193" max="8194" width="3" style="6227" customWidth="1"/>
    <col min="8195" max="8197" width="3.88671875" style="6227" customWidth="1"/>
    <col min="8198" max="8198" width="15.44140625" style="6227" customWidth="1"/>
    <col min="8199" max="8199" width="12.88671875" style="6227" customWidth="1"/>
    <col min="8200" max="8201" width="15.44140625" style="6227" customWidth="1"/>
    <col min="8202" max="8203" width="5.88671875" style="6227" customWidth="1"/>
    <col min="8204" max="8448" width="9.109375" style="6227"/>
    <col min="8449" max="8450" width="3" style="6227" customWidth="1"/>
    <col min="8451" max="8453" width="3.88671875" style="6227" customWidth="1"/>
    <col min="8454" max="8454" width="15.44140625" style="6227" customWidth="1"/>
    <col min="8455" max="8455" width="12.88671875" style="6227" customWidth="1"/>
    <col min="8456" max="8457" width="15.44140625" style="6227" customWidth="1"/>
    <col min="8458" max="8459" width="5.88671875" style="6227" customWidth="1"/>
    <col min="8460" max="8704" width="9.109375" style="6227"/>
    <col min="8705" max="8706" width="3" style="6227" customWidth="1"/>
    <col min="8707" max="8709" width="3.88671875" style="6227" customWidth="1"/>
    <col min="8710" max="8710" width="15.44140625" style="6227" customWidth="1"/>
    <col min="8711" max="8711" width="12.88671875" style="6227" customWidth="1"/>
    <col min="8712" max="8713" width="15.44140625" style="6227" customWidth="1"/>
    <col min="8714" max="8715" width="5.88671875" style="6227" customWidth="1"/>
    <col min="8716" max="8960" width="9.109375" style="6227"/>
    <col min="8961" max="8962" width="3" style="6227" customWidth="1"/>
    <col min="8963" max="8965" width="3.88671875" style="6227" customWidth="1"/>
    <col min="8966" max="8966" width="15.44140625" style="6227" customWidth="1"/>
    <col min="8967" max="8967" width="12.88671875" style="6227" customWidth="1"/>
    <col min="8968" max="8969" width="15.44140625" style="6227" customWidth="1"/>
    <col min="8970" max="8971" width="5.88671875" style="6227" customWidth="1"/>
    <col min="8972" max="9216" width="9.109375" style="6227"/>
    <col min="9217" max="9218" width="3" style="6227" customWidth="1"/>
    <col min="9219" max="9221" width="3.88671875" style="6227" customWidth="1"/>
    <col min="9222" max="9222" width="15.44140625" style="6227" customWidth="1"/>
    <col min="9223" max="9223" width="12.88671875" style="6227" customWidth="1"/>
    <col min="9224" max="9225" width="15.44140625" style="6227" customWidth="1"/>
    <col min="9226" max="9227" width="5.88671875" style="6227" customWidth="1"/>
    <col min="9228" max="9472" width="9.109375" style="6227"/>
    <col min="9473" max="9474" width="3" style="6227" customWidth="1"/>
    <col min="9475" max="9477" width="3.88671875" style="6227" customWidth="1"/>
    <col min="9478" max="9478" width="15.44140625" style="6227" customWidth="1"/>
    <col min="9479" max="9479" width="12.88671875" style="6227" customWidth="1"/>
    <col min="9480" max="9481" width="15.44140625" style="6227" customWidth="1"/>
    <col min="9482" max="9483" width="5.88671875" style="6227" customWidth="1"/>
    <col min="9484" max="9728" width="9.109375" style="6227"/>
    <col min="9729" max="9730" width="3" style="6227" customWidth="1"/>
    <col min="9731" max="9733" width="3.88671875" style="6227" customWidth="1"/>
    <col min="9734" max="9734" width="15.44140625" style="6227" customWidth="1"/>
    <col min="9735" max="9735" width="12.88671875" style="6227" customWidth="1"/>
    <col min="9736" max="9737" width="15.44140625" style="6227" customWidth="1"/>
    <col min="9738" max="9739" width="5.88671875" style="6227" customWidth="1"/>
    <col min="9740" max="9984" width="9.109375" style="6227"/>
    <col min="9985" max="9986" width="3" style="6227" customWidth="1"/>
    <col min="9987" max="9989" width="3.88671875" style="6227" customWidth="1"/>
    <col min="9990" max="9990" width="15.44140625" style="6227" customWidth="1"/>
    <col min="9991" max="9991" width="12.88671875" style="6227" customWidth="1"/>
    <col min="9992" max="9993" width="15.44140625" style="6227" customWidth="1"/>
    <col min="9994" max="9995" width="5.88671875" style="6227" customWidth="1"/>
    <col min="9996" max="10240" width="9.109375" style="6227"/>
    <col min="10241" max="10242" width="3" style="6227" customWidth="1"/>
    <col min="10243" max="10245" width="3.88671875" style="6227" customWidth="1"/>
    <col min="10246" max="10246" width="15.44140625" style="6227" customWidth="1"/>
    <col min="10247" max="10247" width="12.88671875" style="6227" customWidth="1"/>
    <col min="10248" max="10249" width="15.44140625" style="6227" customWidth="1"/>
    <col min="10250" max="10251" width="5.88671875" style="6227" customWidth="1"/>
    <col min="10252" max="10496" width="9.109375" style="6227"/>
    <col min="10497" max="10498" width="3" style="6227" customWidth="1"/>
    <col min="10499" max="10501" width="3.88671875" style="6227" customWidth="1"/>
    <col min="10502" max="10502" width="15.44140625" style="6227" customWidth="1"/>
    <col min="10503" max="10503" width="12.88671875" style="6227" customWidth="1"/>
    <col min="10504" max="10505" width="15.44140625" style="6227" customWidth="1"/>
    <col min="10506" max="10507" width="5.88671875" style="6227" customWidth="1"/>
    <col min="10508" max="10752" width="9.109375" style="6227"/>
    <col min="10753" max="10754" width="3" style="6227" customWidth="1"/>
    <col min="10755" max="10757" width="3.88671875" style="6227" customWidth="1"/>
    <col min="10758" max="10758" width="15.44140625" style="6227" customWidth="1"/>
    <col min="10759" max="10759" width="12.88671875" style="6227" customWidth="1"/>
    <col min="10760" max="10761" width="15.44140625" style="6227" customWidth="1"/>
    <col min="10762" max="10763" width="5.88671875" style="6227" customWidth="1"/>
    <col min="10764" max="11008" width="9.109375" style="6227"/>
    <col min="11009" max="11010" width="3" style="6227" customWidth="1"/>
    <col min="11011" max="11013" width="3.88671875" style="6227" customWidth="1"/>
    <col min="11014" max="11014" width="15.44140625" style="6227" customWidth="1"/>
    <col min="11015" max="11015" width="12.88671875" style="6227" customWidth="1"/>
    <col min="11016" max="11017" width="15.44140625" style="6227" customWidth="1"/>
    <col min="11018" max="11019" width="5.88671875" style="6227" customWidth="1"/>
    <col min="11020" max="11264" width="9.109375" style="6227"/>
    <col min="11265" max="11266" width="3" style="6227" customWidth="1"/>
    <col min="11267" max="11269" width="3.88671875" style="6227" customWidth="1"/>
    <col min="11270" max="11270" width="15.44140625" style="6227" customWidth="1"/>
    <col min="11271" max="11271" width="12.88671875" style="6227" customWidth="1"/>
    <col min="11272" max="11273" width="15.44140625" style="6227" customWidth="1"/>
    <col min="11274" max="11275" width="5.88671875" style="6227" customWidth="1"/>
    <col min="11276" max="11520" width="9.109375" style="6227"/>
    <col min="11521" max="11522" width="3" style="6227" customWidth="1"/>
    <col min="11523" max="11525" width="3.88671875" style="6227" customWidth="1"/>
    <col min="11526" max="11526" width="15.44140625" style="6227" customWidth="1"/>
    <col min="11527" max="11527" width="12.88671875" style="6227" customWidth="1"/>
    <col min="11528" max="11529" width="15.44140625" style="6227" customWidth="1"/>
    <col min="11530" max="11531" width="5.88671875" style="6227" customWidth="1"/>
    <col min="11532" max="11776" width="9.109375" style="6227"/>
    <col min="11777" max="11778" width="3" style="6227" customWidth="1"/>
    <col min="11779" max="11781" width="3.88671875" style="6227" customWidth="1"/>
    <col min="11782" max="11782" width="15.44140625" style="6227" customWidth="1"/>
    <col min="11783" max="11783" width="12.88671875" style="6227" customWidth="1"/>
    <col min="11784" max="11785" width="15.44140625" style="6227" customWidth="1"/>
    <col min="11786" max="11787" width="5.88671875" style="6227" customWidth="1"/>
    <col min="11788" max="12032" width="9.109375" style="6227"/>
    <col min="12033" max="12034" width="3" style="6227" customWidth="1"/>
    <col min="12035" max="12037" width="3.88671875" style="6227" customWidth="1"/>
    <col min="12038" max="12038" width="15.44140625" style="6227" customWidth="1"/>
    <col min="12039" max="12039" width="12.88671875" style="6227" customWidth="1"/>
    <col min="12040" max="12041" width="15.44140625" style="6227" customWidth="1"/>
    <col min="12042" max="12043" width="5.88671875" style="6227" customWidth="1"/>
    <col min="12044" max="12288" width="9.109375" style="6227"/>
    <col min="12289" max="12290" width="3" style="6227" customWidth="1"/>
    <col min="12291" max="12293" width="3.88671875" style="6227" customWidth="1"/>
    <col min="12294" max="12294" width="15.44140625" style="6227" customWidth="1"/>
    <col min="12295" max="12295" width="12.88671875" style="6227" customWidth="1"/>
    <col min="12296" max="12297" width="15.44140625" style="6227" customWidth="1"/>
    <col min="12298" max="12299" width="5.88671875" style="6227" customWidth="1"/>
    <col min="12300" max="12544" width="9.109375" style="6227"/>
    <col min="12545" max="12546" width="3" style="6227" customWidth="1"/>
    <col min="12547" max="12549" width="3.88671875" style="6227" customWidth="1"/>
    <col min="12550" max="12550" width="15.44140625" style="6227" customWidth="1"/>
    <col min="12551" max="12551" width="12.88671875" style="6227" customWidth="1"/>
    <col min="12552" max="12553" width="15.44140625" style="6227" customWidth="1"/>
    <col min="12554" max="12555" width="5.88671875" style="6227" customWidth="1"/>
    <col min="12556" max="12800" width="9.109375" style="6227"/>
    <col min="12801" max="12802" width="3" style="6227" customWidth="1"/>
    <col min="12803" max="12805" width="3.88671875" style="6227" customWidth="1"/>
    <col min="12806" max="12806" width="15.44140625" style="6227" customWidth="1"/>
    <col min="12807" max="12807" width="12.88671875" style="6227" customWidth="1"/>
    <col min="12808" max="12809" width="15.44140625" style="6227" customWidth="1"/>
    <col min="12810" max="12811" width="5.88671875" style="6227" customWidth="1"/>
    <col min="12812" max="13056" width="9.109375" style="6227"/>
    <col min="13057" max="13058" width="3" style="6227" customWidth="1"/>
    <col min="13059" max="13061" width="3.88671875" style="6227" customWidth="1"/>
    <col min="13062" max="13062" width="15.44140625" style="6227" customWidth="1"/>
    <col min="13063" max="13063" width="12.88671875" style="6227" customWidth="1"/>
    <col min="13064" max="13065" width="15.44140625" style="6227" customWidth="1"/>
    <col min="13066" max="13067" width="5.88671875" style="6227" customWidth="1"/>
    <col min="13068" max="13312" width="9.109375" style="6227"/>
    <col min="13313" max="13314" width="3" style="6227" customWidth="1"/>
    <col min="13315" max="13317" width="3.88671875" style="6227" customWidth="1"/>
    <col min="13318" max="13318" width="15.44140625" style="6227" customWidth="1"/>
    <col min="13319" max="13319" width="12.88671875" style="6227" customWidth="1"/>
    <col min="13320" max="13321" width="15.44140625" style="6227" customWidth="1"/>
    <col min="13322" max="13323" width="5.88671875" style="6227" customWidth="1"/>
    <col min="13324" max="13568" width="9.109375" style="6227"/>
    <col min="13569" max="13570" width="3" style="6227" customWidth="1"/>
    <col min="13571" max="13573" width="3.88671875" style="6227" customWidth="1"/>
    <col min="13574" max="13574" width="15.44140625" style="6227" customWidth="1"/>
    <col min="13575" max="13575" width="12.88671875" style="6227" customWidth="1"/>
    <col min="13576" max="13577" width="15.44140625" style="6227" customWidth="1"/>
    <col min="13578" max="13579" width="5.88671875" style="6227" customWidth="1"/>
    <col min="13580" max="13824" width="9.109375" style="6227"/>
    <col min="13825" max="13826" width="3" style="6227" customWidth="1"/>
    <col min="13827" max="13829" width="3.88671875" style="6227" customWidth="1"/>
    <col min="13830" max="13830" width="15.44140625" style="6227" customWidth="1"/>
    <col min="13831" max="13831" width="12.88671875" style="6227" customWidth="1"/>
    <col min="13832" max="13833" width="15.44140625" style="6227" customWidth="1"/>
    <col min="13834" max="13835" width="5.88671875" style="6227" customWidth="1"/>
    <col min="13836" max="14080" width="9.109375" style="6227"/>
    <col min="14081" max="14082" width="3" style="6227" customWidth="1"/>
    <col min="14083" max="14085" width="3.88671875" style="6227" customWidth="1"/>
    <col min="14086" max="14086" width="15.44140625" style="6227" customWidth="1"/>
    <col min="14087" max="14087" width="12.88671875" style="6227" customWidth="1"/>
    <col min="14088" max="14089" width="15.44140625" style="6227" customWidth="1"/>
    <col min="14090" max="14091" width="5.88671875" style="6227" customWidth="1"/>
    <col min="14092" max="14336" width="9.109375" style="6227"/>
    <col min="14337" max="14338" width="3" style="6227" customWidth="1"/>
    <col min="14339" max="14341" width="3.88671875" style="6227" customWidth="1"/>
    <col min="14342" max="14342" width="15.44140625" style="6227" customWidth="1"/>
    <col min="14343" max="14343" width="12.88671875" style="6227" customWidth="1"/>
    <col min="14344" max="14345" width="15.44140625" style="6227" customWidth="1"/>
    <col min="14346" max="14347" width="5.88671875" style="6227" customWidth="1"/>
    <col min="14348" max="14592" width="9.109375" style="6227"/>
    <col min="14593" max="14594" width="3" style="6227" customWidth="1"/>
    <col min="14595" max="14597" width="3.88671875" style="6227" customWidth="1"/>
    <col min="14598" max="14598" width="15.44140625" style="6227" customWidth="1"/>
    <col min="14599" max="14599" width="12.88671875" style="6227" customWidth="1"/>
    <col min="14600" max="14601" width="15.44140625" style="6227" customWidth="1"/>
    <col min="14602" max="14603" width="5.88671875" style="6227" customWidth="1"/>
    <col min="14604" max="14848" width="9.109375" style="6227"/>
    <col min="14849" max="14850" width="3" style="6227" customWidth="1"/>
    <col min="14851" max="14853" width="3.88671875" style="6227" customWidth="1"/>
    <col min="14854" max="14854" width="15.44140625" style="6227" customWidth="1"/>
    <col min="14855" max="14855" width="12.88671875" style="6227" customWidth="1"/>
    <col min="14856" max="14857" width="15.44140625" style="6227" customWidth="1"/>
    <col min="14858" max="14859" width="5.88671875" style="6227" customWidth="1"/>
    <col min="14860" max="15104" width="9.109375" style="6227"/>
    <col min="15105" max="15106" width="3" style="6227" customWidth="1"/>
    <col min="15107" max="15109" width="3.88671875" style="6227" customWidth="1"/>
    <col min="15110" max="15110" width="15.44140625" style="6227" customWidth="1"/>
    <col min="15111" max="15111" width="12.88671875" style="6227" customWidth="1"/>
    <col min="15112" max="15113" width="15.44140625" style="6227" customWidth="1"/>
    <col min="15114" max="15115" width="5.88671875" style="6227" customWidth="1"/>
    <col min="15116" max="15360" width="9.109375" style="6227"/>
    <col min="15361" max="15362" width="3" style="6227" customWidth="1"/>
    <col min="15363" max="15365" width="3.88671875" style="6227" customWidth="1"/>
    <col min="15366" max="15366" width="15.44140625" style="6227" customWidth="1"/>
    <col min="15367" max="15367" width="12.88671875" style="6227" customWidth="1"/>
    <col min="15368" max="15369" width="15.44140625" style="6227" customWidth="1"/>
    <col min="15370" max="15371" width="5.88671875" style="6227" customWidth="1"/>
    <col min="15372" max="15616" width="9.109375" style="6227"/>
    <col min="15617" max="15618" width="3" style="6227" customWidth="1"/>
    <col min="15619" max="15621" width="3.88671875" style="6227" customWidth="1"/>
    <col min="15622" max="15622" width="15.44140625" style="6227" customWidth="1"/>
    <col min="15623" max="15623" width="12.88671875" style="6227" customWidth="1"/>
    <col min="15624" max="15625" width="15.44140625" style="6227" customWidth="1"/>
    <col min="15626" max="15627" width="5.88671875" style="6227" customWidth="1"/>
    <col min="15628" max="15872" width="9.109375" style="6227"/>
    <col min="15873" max="15874" width="3" style="6227" customWidth="1"/>
    <col min="15875" max="15877" width="3.88671875" style="6227" customWidth="1"/>
    <col min="15878" max="15878" width="15.44140625" style="6227" customWidth="1"/>
    <col min="15879" max="15879" width="12.88671875" style="6227" customWidth="1"/>
    <col min="15880" max="15881" width="15.44140625" style="6227" customWidth="1"/>
    <col min="15882" max="15883" width="5.88671875" style="6227" customWidth="1"/>
    <col min="15884" max="16128" width="9.109375" style="6227"/>
    <col min="16129" max="16130" width="3" style="6227" customWidth="1"/>
    <col min="16131" max="16133" width="3.88671875" style="6227" customWidth="1"/>
    <col min="16134" max="16134" width="15.44140625" style="6227" customWidth="1"/>
    <col min="16135" max="16135" width="12.88671875" style="6227" customWidth="1"/>
    <col min="16136" max="16137" width="15.44140625" style="6227" customWidth="1"/>
    <col min="16138" max="16139" width="5.88671875" style="6227" customWidth="1"/>
    <col min="16140" max="16384" width="9.109375" style="6227"/>
  </cols>
  <sheetData>
    <row r="1" spans="1:11">
      <c r="A1" s="15004" t="s">
        <v>1801</v>
      </c>
      <c r="B1" s="15004"/>
      <c r="C1" s="15004"/>
      <c r="D1" s="15004"/>
      <c r="E1" s="15004"/>
      <c r="F1" s="15004"/>
      <c r="G1" s="15004"/>
      <c r="H1" s="15004"/>
      <c r="I1" s="15004"/>
      <c r="J1" s="15004"/>
      <c r="K1" s="15004"/>
    </row>
    <row r="2" spans="1:11">
      <c r="C2" s="6228"/>
      <c r="D2" s="6228"/>
      <c r="E2" s="6228"/>
      <c r="I2" s="6237"/>
      <c r="J2" s="6237"/>
      <c r="K2" s="6237"/>
    </row>
    <row r="3" spans="1:11">
      <c r="A3" s="6227" t="s">
        <v>2855</v>
      </c>
      <c r="C3" s="6228"/>
      <c r="D3" s="6228"/>
      <c r="E3" s="6228"/>
      <c r="G3" s="6353" t="s">
        <v>1340</v>
      </c>
      <c r="I3" s="6237"/>
      <c r="J3" s="6237"/>
      <c r="K3" s="6237"/>
    </row>
    <row r="4" spans="1:11">
      <c r="A4" s="6227" t="s">
        <v>2894</v>
      </c>
      <c r="C4" s="6228"/>
      <c r="D4" s="6228"/>
      <c r="E4" s="6228"/>
      <c r="G4" s="6354">
        <v>2015</v>
      </c>
      <c r="I4" s="6237"/>
      <c r="J4" s="6237"/>
      <c r="K4" s="6237"/>
    </row>
    <row r="5" spans="1:11">
      <c r="C5" s="6228"/>
      <c r="D5" s="6228"/>
      <c r="E5" s="6228"/>
      <c r="I5" s="6237"/>
      <c r="J5" s="6237"/>
      <c r="K5" s="6237"/>
    </row>
    <row r="6" spans="1:11">
      <c r="A6" s="6226" t="s">
        <v>2895</v>
      </c>
      <c r="B6" s="6226" t="s">
        <v>2851</v>
      </c>
      <c r="C6" s="6228"/>
      <c r="D6" s="6228"/>
      <c r="E6" s="6228"/>
      <c r="I6" s="6237"/>
      <c r="J6" s="6237"/>
      <c r="K6" s="6237"/>
    </row>
    <row r="7" spans="1:11" ht="45.75" customHeight="1">
      <c r="B7" s="15005" t="s">
        <v>2896</v>
      </c>
      <c r="C7" s="15005"/>
      <c r="D7" s="15005"/>
      <c r="E7" s="15005"/>
      <c r="F7" s="15005"/>
      <c r="G7" s="15005"/>
      <c r="H7" s="15005"/>
      <c r="I7" s="15005"/>
      <c r="J7" s="15005"/>
      <c r="K7" s="15005"/>
    </row>
    <row r="8" spans="1:11">
      <c r="C8" s="6228"/>
      <c r="D8" s="6228"/>
      <c r="E8" s="6228"/>
      <c r="I8" s="6237"/>
      <c r="J8" s="6237"/>
      <c r="K8" s="6237"/>
    </row>
    <row r="9" spans="1:11">
      <c r="A9" s="6226" t="s">
        <v>2897</v>
      </c>
      <c r="B9" s="6226" t="s">
        <v>2898</v>
      </c>
      <c r="C9" s="6228"/>
      <c r="D9" s="6228"/>
      <c r="E9" s="6228"/>
      <c r="I9" s="6237"/>
      <c r="J9" s="6237"/>
      <c r="K9" s="6237"/>
    </row>
    <row r="10" spans="1:11">
      <c r="A10" s="6227" t="s">
        <v>2899</v>
      </c>
      <c r="B10" s="6329" t="s">
        <v>2900</v>
      </c>
      <c r="C10" s="6228" t="s">
        <v>2901</v>
      </c>
      <c r="D10" s="6228"/>
      <c r="E10" s="6228"/>
      <c r="I10" s="6237"/>
      <c r="J10" s="6237"/>
      <c r="K10" s="6237"/>
    </row>
    <row r="11" spans="1:11">
      <c r="A11" s="6227" t="s">
        <v>2899</v>
      </c>
      <c r="B11" s="6329" t="s">
        <v>1536</v>
      </c>
      <c r="C11" s="6228" t="s">
        <v>2902</v>
      </c>
      <c r="D11" s="6228"/>
      <c r="E11" s="6228"/>
      <c r="I11" s="6237"/>
      <c r="J11" s="6237"/>
      <c r="K11" s="6237"/>
    </row>
    <row r="12" spans="1:11">
      <c r="B12" s="6329" t="s">
        <v>2903</v>
      </c>
      <c r="C12" s="6228" t="s">
        <v>2904</v>
      </c>
      <c r="D12" s="6228"/>
      <c r="E12" s="6228"/>
      <c r="I12" s="6237"/>
      <c r="J12" s="6237"/>
      <c r="K12" s="6237"/>
    </row>
    <row r="13" spans="1:11">
      <c r="B13" s="6329" t="s">
        <v>2905</v>
      </c>
      <c r="C13" s="6330" t="s">
        <v>2906</v>
      </c>
      <c r="D13" s="6228"/>
      <c r="E13" s="6228"/>
      <c r="I13" s="6237"/>
      <c r="J13" s="6237"/>
      <c r="K13" s="6237"/>
    </row>
    <row r="14" spans="1:11">
      <c r="B14" s="6329" t="s">
        <v>2907</v>
      </c>
      <c r="C14" s="6330" t="s">
        <v>2908</v>
      </c>
      <c r="D14" s="6228"/>
      <c r="E14" s="6228"/>
      <c r="I14" s="6237"/>
      <c r="J14" s="6237"/>
      <c r="K14" s="6237"/>
    </row>
    <row r="15" spans="1:11">
      <c r="B15" s="6329" t="s">
        <v>2909</v>
      </c>
      <c r="C15" s="6330" t="s">
        <v>2910</v>
      </c>
      <c r="D15" s="6228"/>
      <c r="E15" s="6228"/>
      <c r="I15" s="6237"/>
      <c r="J15" s="6237"/>
      <c r="K15" s="6237"/>
    </row>
    <row r="16" spans="1:11">
      <c r="B16" s="6329" t="s">
        <v>2911</v>
      </c>
      <c r="C16" s="6330" t="s">
        <v>2912</v>
      </c>
      <c r="D16" s="6228"/>
      <c r="E16" s="6228"/>
      <c r="I16" s="6237"/>
      <c r="J16" s="6237"/>
      <c r="K16" s="6237"/>
    </row>
    <row r="17" spans="2:11">
      <c r="B17" s="6329" t="s">
        <v>2913</v>
      </c>
      <c r="C17" s="6330" t="s">
        <v>2914</v>
      </c>
      <c r="D17" s="6228"/>
      <c r="E17" s="6228"/>
      <c r="I17" s="6237"/>
      <c r="J17" s="6237"/>
      <c r="K17" s="6237"/>
    </row>
    <row r="18" spans="2:11">
      <c r="B18" s="6331">
        <v>9</v>
      </c>
      <c r="C18" s="6330" t="s">
        <v>2915</v>
      </c>
      <c r="D18" s="6228"/>
      <c r="E18" s="6228"/>
      <c r="I18" s="6237"/>
      <c r="J18" s="6237"/>
      <c r="K18" s="6237"/>
    </row>
    <row r="19" spans="2:11">
      <c r="B19" s="6331">
        <v>10</v>
      </c>
      <c r="C19" s="6330" t="s">
        <v>2916</v>
      </c>
      <c r="D19" s="6228"/>
      <c r="E19" s="6228"/>
      <c r="I19" s="6237"/>
      <c r="J19" s="6237"/>
      <c r="K19" s="6237"/>
    </row>
    <row r="20" spans="2:11">
      <c r="B20" s="6331">
        <v>11</v>
      </c>
      <c r="C20" s="6330" t="s">
        <v>2917</v>
      </c>
      <c r="D20" s="6228"/>
      <c r="E20" s="6228"/>
      <c r="I20" s="6237"/>
      <c r="J20" s="6237"/>
      <c r="K20" s="6237"/>
    </row>
    <row r="21" spans="2:11">
      <c r="B21" s="6331">
        <v>12</v>
      </c>
      <c r="C21" s="6330" t="s">
        <v>2918</v>
      </c>
      <c r="D21" s="6228"/>
      <c r="E21" s="6228"/>
      <c r="I21" s="6237"/>
      <c r="J21" s="6237"/>
      <c r="K21" s="6237"/>
    </row>
    <row r="22" spans="2:11">
      <c r="B22" s="6331">
        <v>13</v>
      </c>
      <c r="C22" s="6330" t="s">
        <v>2919</v>
      </c>
      <c r="D22" s="6228"/>
      <c r="E22" s="6228"/>
      <c r="I22" s="6237"/>
      <c r="J22" s="6237"/>
      <c r="K22" s="6237"/>
    </row>
    <row r="23" spans="2:11">
      <c r="B23" s="6331">
        <v>14</v>
      </c>
      <c r="C23" s="6330" t="s">
        <v>2920</v>
      </c>
      <c r="D23" s="6228"/>
      <c r="E23" s="6228"/>
      <c r="I23" s="6237"/>
      <c r="J23" s="6237"/>
      <c r="K23" s="6237"/>
    </row>
    <row r="24" spans="2:11">
      <c r="B24" s="6331">
        <v>15</v>
      </c>
      <c r="C24" s="6330" t="s">
        <v>2921</v>
      </c>
      <c r="D24" s="6228"/>
      <c r="E24" s="6228"/>
      <c r="I24" s="6237"/>
      <c r="J24" s="6237"/>
      <c r="K24" s="6237"/>
    </row>
    <row r="25" spans="2:11">
      <c r="B25" s="6331">
        <v>16</v>
      </c>
      <c r="C25" s="6330" t="s">
        <v>2922</v>
      </c>
      <c r="D25" s="6228"/>
      <c r="E25" s="6228"/>
      <c r="I25" s="6237"/>
      <c r="J25" s="6237"/>
      <c r="K25" s="6237"/>
    </row>
    <row r="26" spans="2:11">
      <c r="B26" s="6331">
        <v>17</v>
      </c>
      <c r="C26" s="15006" t="s">
        <v>2923</v>
      </c>
      <c r="D26" s="15006"/>
      <c r="E26" s="15006"/>
      <c r="F26" s="15006"/>
      <c r="G26" s="15006"/>
      <c r="H26" s="15006"/>
      <c r="I26" s="15006"/>
      <c r="J26" s="15006"/>
      <c r="K26" s="15006"/>
    </row>
    <row r="27" spans="2:11" ht="27" customHeight="1">
      <c r="B27" s="6332">
        <v>18</v>
      </c>
      <c r="C27" s="15007" t="s">
        <v>2924</v>
      </c>
      <c r="D27" s="15007"/>
      <c r="E27" s="15007"/>
      <c r="F27" s="15007"/>
      <c r="G27" s="15007"/>
      <c r="H27" s="15007"/>
      <c r="I27" s="15007"/>
      <c r="J27" s="15007"/>
      <c r="K27" s="15007"/>
    </row>
    <row r="28" spans="2:11">
      <c r="B28" s="6331">
        <v>19</v>
      </c>
      <c r="C28" s="6330" t="s">
        <v>6907</v>
      </c>
      <c r="D28" s="6228"/>
      <c r="E28" s="6228"/>
      <c r="I28" s="6237"/>
      <c r="J28" s="6237"/>
      <c r="K28" s="6237"/>
    </row>
    <row r="29" spans="2:11">
      <c r="B29" s="6331">
        <v>20</v>
      </c>
      <c r="C29" s="6330" t="s">
        <v>9944</v>
      </c>
      <c r="D29" s="6228"/>
      <c r="E29" s="6228"/>
      <c r="I29" s="6237"/>
      <c r="J29" s="6237"/>
      <c r="K29" s="6237"/>
    </row>
    <row r="30" spans="2:11">
      <c r="B30" s="6331"/>
      <c r="C30" s="6330" t="s">
        <v>9945</v>
      </c>
      <c r="D30" s="6228"/>
      <c r="E30" s="6228"/>
      <c r="I30" s="6237"/>
      <c r="J30" s="6237"/>
      <c r="K30" s="6237"/>
    </row>
    <row r="31" spans="2:11">
      <c r="B31" s="6329"/>
      <c r="C31" s="6330"/>
      <c r="D31" s="6228"/>
      <c r="E31" s="6228"/>
      <c r="I31" s="6237"/>
      <c r="J31" s="6237"/>
      <c r="K31" s="6237"/>
    </row>
    <row r="32" spans="2:11">
      <c r="B32" s="6329"/>
      <c r="C32" s="6228"/>
      <c r="D32" s="6228"/>
      <c r="E32" s="6228"/>
      <c r="I32" s="6237"/>
      <c r="J32" s="6237"/>
      <c r="K32" s="6237"/>
    </row>
    <row r="33" spans="1:11" ht="15" thickBot="1">
      <c r="A33" s="6226" t="s">
        <v>2925</v>
      </c>
      <c r="B33" s="6226" t="s">
        <v>2853</v>
      </c>
      <c r="C33" s="6228"/>
      <c r="D33" s="6228"/>
      <c r="E33" s="6228"/>
      <c r="I33" s="6237"/>
      <c r="J33" s="6237"/>
      <c r="K33" s="6237"/>
    </row>
    <row r="34" spans="1:11" ht="30.75" customHeight="1">
      <c r="A34" s="15008" t="s">
        <v>2926</v>
      </c>
      <c r="B34" s="15009"/>
      <c r="C34" s="15012" t="s">
        <v>2927</v>
      </c>
      <c r="D34" s="15013"/>
      <c r="E34" s="15013"/>
      <c r="F34" s="15014"/>
      <c r="G34" s="6333" t="s">
        <v>1736</v>
      </c>
      <c r="H34" s="15018" t="s">
        <v>1760</v>
      </c>
      <c r="I34" s="15018" t="s">
        <v>1764</v>
      </c>
      <c r="J34" s="15020" t="s">
        <v>1739</v>
      </c>
      <c r="K34" s="15021"/>
    </row>
    <row r="35" spans="1:11" ht="15" thickBot="1">
      <c r="A35" s="15010"/>
      <c r="B35" s="15011"/>
      <c r="C35" s="15015"/>
      <c r="D35" s="15016"/>
      <c r="E35" s="15016"/>
      <c r="F35" s="15017"/>
      <c r="G35" s="6334" t="s">
        <v>2928</v>
      </c>
      <c r="H35" s="15019"/>
      <c r="I35" s="15019"/>
      <c r="J35" s="6335" t="s">
        <v>1789</v>
      </c>
      <c r="K35" s="6336" t="s">
        <v>1790</v>
      </c>
    </row>
    <row r="36" spans="1:11" ht="28.8">
      <c r="A36" s="14999"/>
      <c r="B36" s="15000"/>
      <c r="C36" s="15001" t="s">
        <v>2929</v>
      </c>
      <c r="D36" s="15002"/>
      <c r="E36" s="15002"/>
      <c r="F36" s="15003"/>
      <c r="G36" s="6337">
        <v>1753482</v>
      </c>
      <c r="H36" s="6338" t="s">
        <v>2930</v>
      </c>
      <c r="I36" s="6338" t="s">
        <v>2931</v>
      </c>
      <c r="J36" s="6338" t="s">
        <v>1814</v>
      </c>
      <c r="K36" s="6339" t="s">
        <v>1743</v>
      </c>
    </row>
    <row r="37" spans="1:11" ht="47.25" customHeight="1">
      <c r="A37" s="14990"/>
      <c r="B37" s="14991"/>
      <c r="C37" s="14992" t="s">
        <v>2932</v>
      </c>
      <c r="D37" s="14993"/>
      <c r="E37" s="14993"/>
      <c r="F37" s="14994"/>
      <c r="G37" s="6340">
        <f>6847956-9733.86</f>
        <v>6838222.1399999997</v>
      </c>
      <c r="H37" s="6341" t="s">
        <v>2933</v>
      </c>
      <c r="I37" s="6341" t="s">
        <v>2934</v>
      </c>
      <c r="J37" s="6341" t="s">
        <v>1814</v>
      </c>
      <c r="K37" s="6342" t="s">
        <v>1743</v>
      </c>
    </row>
    <row r="38" spans="1:11" ht="21.75" customHeight="1">
      <c r="A38" s="14990"/>
      <c r="B38" s="14991"/>
      <c r="C38" s="14992" t="s">
        <v>2081</v>
      </c>
      <c r="D38" s="14993"/>
      <c r="E38" s="14993"/>
      <c r="F38" s="14994"/>
      <c r="G38" s="6343">
        <v>7110844.8600000003</v>
      </c>
      <c r="H38" s="6341" t="s">
        <v>2935</v>
      </c>
      <c r="I38" s="6344">
        <v>33000</v>
      </c>
      <c r="J38" s="6341" t="s">
        <v>1814</v>
      </c>
      <c r="K38" s="6342" t="s">
        <v>1743</v>
      </c>
    </row>
    <row r="39" spans="1:11" ht="31.5" customHeight="1">
      <c r="A39" s="14990"/>
      <c r="B39" s="14991"/>
      <c r="C39" s="14992" t="s">
        <v>2277</v>
      </c>
      <c r="D39" s="14993"/>
      <c r="E39" s="14993"/>
      <c r="F39" s="14994"/>
      <c r="G39" s="6343">
        <v>933476</v>
      </c>
      <c r="H39" s="6341" t="s">
        <v>2936</v>
      </c>
      <c r="I39" s="6341" t="s">
        <v>2937</v>
      </c>
      <c r="J39" s="6341" t="s">
        <v>1814</v>
      </c>
      <c r="K39" s="6342" t="s">
        <v>1743</v>
      </c>
    </row>
    <row r="40" spans="1:11" ht="30.75" customHeight="1">
      <c r="A40" s="14990"/>
      <c r="B40" s="14991"/>
      <c r="C40" s="14992" t="s">
        <v>2008</v>
      </c>
      <c r="D40" s="14993"/>
      <c r="E40" s="14993"/>
      <c r="F40" s="14994"/>
      <c r="G40" s="6343">
        <v>15841622</v>
      </c>
      <c r="H40" s="6341" t="s">
        <v>2936</v>
      </c>
      <c r="I40" s="6341" t="s">
        <v>2938</v>
      </c>
      <c r="J40" s="6341" t="s">
        <v>1814</v>
      </c>
      <c r="K40" s="6342" t="s">
        <v>1743</v>
      </c>
    </row>
    <row r="41" spans="1:11" ht="33.75" customHeight="1">
      <c r="A41" s="6345"/>
      <c r="B41" s="6346"/>
      <c r="C41" s="14992" t="s">
        <v>2939</v>
      </c>
      <c r="D41" s="14993"/>
      <c r="E41" s="14993"/>
      <c r="F41" s="14994"/>
      <c r="G41" s="6343">
        <v>551800</v>
      </c>
      <c r="H41" s="6341" t="s">
        <v>2936</v>
      </c>
      <c r="I41" s="6341" t="s">
        <v>2940</v>
      </c>
      <c r="J41" s="6341" t="s">
        <v>1814</v>
      </c>
      <c r="K41" s="6342" t="s">
        <v>1743</v>
      </c>
    </row>
    <row r="42" spans="1:11" ht="28.5" customHeight="1">
      <c r="A42" s="6345"/>
      <c r="B42" s="6346"/>
      <c r="C42" s="14992" t="s">
        <v>2941</v>
      </c>
      <c r="D42" s="14993"/>
      <c r="E42" s="14993"/>
      <c r="F42" s="14994"/>
      <c r="G42" s="6343">
        <v>5070940</v>
      </c>
      <c r="H42" s="14995" t="s">
        <v>2942</v>
      </c>
      <c r="I42" s="14996"/>
      <c r="J42" s="6341" t="s">
        <v>1814</v>
      </c>
      <c r="K42" s="6342" t="s">
        <v>1743</v>
      </c>
    </row>
    <row r="43" spans="1:11" ht="47.25" customHeight="1">
      <c r="A43" s="6345"/>
      <c r="B43" s="6346"/>
      <c r="C43" s="14992" t="s">
        <v>2943</v>
      </c>
      <c r="D43" s="14993"/>
      <c r="E43" s="14993"/>
      <c r="F43" s="14994"/>
      <c r="G43" s="6343">
        <f>36696503-5070940-6000000</f>
        <v>25625563</v>
      </c>
      <c r="H43" s="14995" t="s">
        <v>2942</v>
      </c>
      <c r="I43" s="14996"/>
      <c r="J43" s="6341" t="s">
        <v>1814</v>
      </c>
      <c r="K43" s="6342" t="s">
        <v>1743</v>
      </c>
    </row>
    <row r="44" spans="1:11" ht="15" thickBot="1">
      <c r="A44" s="6347"/>
      <c r="B44" s="6348"/>
      <c r="C44" s="14997" t="s">
        <v>458</v>
      </c>
      <c r="D44" s="14997"/>
      <c r="E44" s="14997"/>
      <c r="F44" s="14997"/>
      <c r="G44" s="6349">
        <f>SUM(G36:G43)</f>
        <v>63725950</v>
      </c>
      <c r="H44" s="6350"/>
      <c r="I44" s="6350"/>
      <c r="J44" s="6350"/>
      <c r="K44" s="6351"/>
    </row>
    <row r="45" spans="1:11">
      <c r="C45" s="6228"/>
      <c r="D45" s="6228"/>
      <c r="E45" s="6228"/>
      <c r="G45" s="6355"/>
      <c r="I45" s="6237"/>
      <c r="J45" s="6237"/>
      <c r="K45" s="6237"/>
    </row>
    <row r="46" spans="1:11" hidden="1">
      <c r="A46" s="6227" t="s">
        <v>3483</v>
      </c>
      <c r="G46" s="6227" t="s">
        <v>3484</v>
      </c>
      <c r="H46" s="6352"/>
      <c r="I46" s="6227" t="s">
        <v>6304</v>
      </c>
      <c r="J46" s="6356"/>
    </row>
    <row r="47" spans="1:11" hidden="1">
      <c r="H47" s="6352"/>
    </row>
    <row r="48" spans="1:11" hidden="1">
      <c r="H48" s="6352"/>
    </row>
    <row r="49" spans="1:11" hidden="1">
      <c r="H49" s="6352"/>
    </row>
    <row r="50" spans="1:11" hidden="1">
      <c r="A50" s="6226" t="s">
        <v>6908</v>
      </c>
      <c r="D50" s="6352"/>
      <c r="E50" s="6352"/>
      <c r="F50" s="6352"/>
      <c r="G50" s="6226" t="s">
        <v>5050</v>
      </c>
      <c r="I50" s="14998" t="s">
        <v>5182</v>
      </c>
      <c r="J50" s="14998"/>
      <c r="K50" s="14998"/>
    </row>
    <row r="51" spans="1:11" hidden="1">
      <c r="A51" s="6227" t="s">
        <v>6909</v>
      </c>
      <c r="D51" s="6352"/>
      <c r="E51" s="6352"/>
      <c r="F51" s="6352"/>
      <c r="G51" s="6227" t="s">
        <v>3486</v>
      </c>
      <c r="I51" s="14989" t="s">
        <v>737</v>
      </c>
      <c r="J51" s="14989"/>
      <c r="K51" s="14989"/>
    </row>
    <row r="52" spans="1:11" hidden="1">
      <c r="D52" s="6352"/>
      <c r="E52" s="6352"/>
      <c r="F52" s="6352"/>
    </row>
    <row r="53" spans="1:11" hidden="1"/>
    <row r="56" spans="1:11">
      <c r="G56" s="6356"/>
    </row>
  </sheetData>
  <mergeCells count="27">
    <mergeCell ref="A1:K1"/>
    <mergeCell ref="B7:K7"/>
    <mergeCell ref="C26:K26"/>
    <mergeCell ref="C27:K27"/>
    <mergeCell ref="A34:B35"/>
    <mergeCell ref="C34:F35"/>
    <mergeCell ref="H34:H35"/>
    <mergeCell ref="I34:I35"/>
    <mergeCell ref="J34:K34"/>
    <mergeCell ref="A36:B36"/>
    <mergeCell ref="C36:F36"/>
    <mergeCell ref="A37:B37"/>
    <mergeCell ref="C37:F37"/>
    <mergeCell ref="A38:B38"/>
    <mergeCell ref="C38:F38"/>
    <mergeCell ref="I51:K51"/>
    <mergeCell ref="A39:B39"/>
    <mergeCell ref="C39:F39"/>
    <mergeCell ref="A40:B40"/>
    <mergeCell ref="C40:F40"/>
    <mergeCell ref="C41:F41"/>
    <mergeCell ref="C42:F42"/>
    <mergeCell ref="H42:I42"/>
    <mergeCell ref="C43:F43"/>
    <mergeCell ref="H43:I43"/>
    <mergeCell ref="C44:F44"/>
    <mergeCell ref="I50:K50"/>
  </mergeCells>
  <printOptions horizontalCentered="1"/>
  <pageMargins left="0.5" right="0.25" top="0.5" bottom="1.5" header="0.25" footer="0.25"/>
  <pageSetup paperSize="5" orientation="portrait" r:id="rId1"/>
</worksheet>
</file>

<file path=xl/worksheets/sheet125.xml><?xml version="1.0" encoding="utf-8"?>
<worksheet xmlns="http://schemas.openxmlformats.org/spreadsheetml/2006/main" xmlns:r="http://schemas.openxmlformats.org/officeDocument/2006/relationships">
  <sheetPr codeName="Sheet85">
    <tabColor theme="8" tint="-0.249977111117893"/>
  </sheetPr>
  <dimension ref="A1:Q148"/>
  <sheetViews>
    <sheetView showGridLines="0" topLeftCell="B3" workbookViewId="0">
      <pane xSplit="1" ySplit="6" topLeftCell="C9" activePane="bottomRight" state="frozen"/>
      <selection activeCell="B3" sqref="B3"/>
      <selection pane="topRight" activeCell="C3" sqref="C3"/>
      <selection pane="bottomLeft" activeCell="B9" sqref="B9"/>
      <selection pane="bottomRight" activeCell="J3" sqref="J1:U1048576"/>
    </sheetView>
  </sheetViews>
  <sheetFormatPr defaultRowHeight="15" customHeight="1"/>
  <cols>
    <col min="1" max="1" width="3.88671875" style="7275" customWidth="1"/>
    <col min="2" max="2" width="55.5546875" style="7275" customWidth="1"/>
    <col min="3" max="3" width="12.5546875" style="7346" customWidth="1"/>
    <col min="4" max="7" width="15.5546875" style="7347" customWidth="1"/>
    <col min="8" max="8" width="16.109375" style="7347" hidden="1" customWidth="1"/>
    <col min="9" max="9" width="8.6640625" style="7348" hidden="1" customWidth="1"/>
    <col min="10" max="10" width="15.5546875" style="7347" customWidth="1"/>
    <col min="11" max="11" width="16.5546875" style="7340" customWidth="1"/>
    <col min="12" max="12" width="5" style="7275" customWidth="1"/>
    <col min="13" max="20" width="8.88671875" style="7275" customWidth="1"/>
    <col min="21" max="178" width="9.109375" style="7275"/>
    <col min="179" max="179" width="3.88671875" style="7275" customWidth="1"/>
    <col min="180" max="180" width="44" style="7275" customWidth="1"/>
    <col min="181" max="181" width="9.44140625" style="7275" customWidth="1"/>
    <col min="182" max="182" width="14.44140625" style="7275" customWidth="1"/>
    <col min="183" max="183" width="13.88671875" style="7275" customWidth="1"/>
    <col min="184" max="184" width="15" style="7275" customWidth="1"/>
    <col min="185" max="434" width="9.109375" style="7275"/>
    <col min="435" max="435" width="3.88671875" style="7275" customWidth="1"/>
    <col min="436" max="436" width="44" style="7275" customWidth="1"/>
    <col min="437" max="437" width="9.44140625" style="7275" customWidth="1"/>
    <col min="438" max="438" width="14.44140625" style="7275" customWidth="1"/>
    <col min="439" max="439" width="13.88671875" style="7275" customWidth="1"/>
    <col min="440" max="440" width="15" style="7275" customWidth="1"/>
    <col min="441" max="690" width="9.109375" style="7275"/>
    <col min="691" max="691" width="3.88671875" style="7275" customWidth="1"/>
    <col min="692" max="692" width="44" style="7275" customWidth="1"/>
    <col min="693" max="693" width="9.44140625" style="7275" customWidth="1"/>
    <col min="694" max="694" width="14.44140625" style="7275" customWidth="1"/>
    <col min="695" max="695" width="13.88671875" style="7275" customWidth="1"/>
    <col min="696" max="696" width="15" style="7275" customWidth="1"/>
    <col min="697" max="946" width="9.109375" style="7275"/>
    <col min="947" max="947" width="3.88671875" style="7275" customWidth="1"/>
    <col min="948" max="948" width="44" style="7275" customWidth="1"/>
    <col min="949" max="949" width="9.44140625" style="7275" customWidth="1"/>
    <col min="950" max="950" width="14.44140625" style="7275" customWidth="1"/>
    <col min="951" max="951" width="13.88671875" style="7275" customWidth="1"/>
    <col min="952" max="952" width="15" style="7275" customWidth="1"/>
    <col min="953" max="1202" width="9.109375" style="7275"/>
    <col min="1203" max="1203" width="3.88671875" style="7275" customWidth="1"/>
    <col min="1204" max="1204" width="44" style="7275" customWidth="1"/>
    <col min="1205" max="1205" width="9.44140625" style="7275" customWidth="1"/>
    <col min="1206" max="1206" width="14.44140625" style="7275" customWidth="1"/>
    <col min="1207" max="1207" width="13.88671875" style="7275" customWidth="1"/>
    <col min="1208" max="1208" width="15" style="7275" customWidth="1"/>
    <col min="1209" max="1458" width="9.109375" style="7275"/>
    <col min="1459" max="1459" width="3.88671875" style="7275" customWidth="1"/>
    <col min="1460" max="1460" width="44" style="7275" customWidth="1"/>
    <col min="1461" max="1461" width="9.44140625" style="7275" customWidth="1"/>
    <col min="1462" max="1462" width="14.44140625" style="7275" customWidth="1"/>
    <col min="1463" max="1463" width="13.88671875" style="7275" customWidth="1"/>
    <col min="1464" max="1464" width="15" style="7275" customWidth="1"/>
    <col min="1465" max="1714" width="9.109375" style="7275"/>
    <col min="1715" max="1715" width="3.88671875" style="7275" customWidth="1"/>
    <col min="1716" max="1716" width="44" style="7275" customWidth="1"/>
    <col min="1717" max="1717" width="9.44140625" style="7275" customWidth="1"/>
    <col min="1718" max="1718" width="14.44140625" style="7275" customWidth="1"/>
    <col min="1719" max="1719" width="13.88671875" style="7275" customWidth="1"/>
    <col min="1720" max="1720" width="15" style="7275" customWidth="1"/>
    <col min="1721" max="1970" width="9.109375" style="7275"/>
    <col min="1971" max="1971" width="3.88671875" style="7275" customWidth="1"/>
    <col min="1972" max="1972" width="44" style="7275" customWidth="1"/>
    <col min="1973" max="1973" width="9.44140625" style="7275" customWidth="1"/>
    <col min="1974" max="1974" width="14.44140625" style="7275" customWidth="1"/>
    <col min="1975" max="1975" width="13.88671875" style="7275" customWidth="1"/>
    <col min="1976" max="1976" width="15" style="7275" customWidth="1"/>
    <col min="1977" max="2226" width="9.109375" style="7275"/>
    <col min="2227" max="2227" width="3.88671875" style="7275" customWidth="1"/>
    <col min="2228" max="2228" width="44" style="7275" customWidth="1"/>
    <col min="2229" max="2229" width="9.44140625" style="7275" customWidth="1"/>
    <col min="2230" max="2230" width="14.44140625" style="7275" customWidth="1"/>
    <col min="2231" max="2231" width="13.88671875" style="7275" customWidth="1"/>
    <col min="2232" max="2232" width="15" style="7275" customWidth="1"/>
    <col min="2233" max="2482" width="9.109375" style="7275"/>
    <col min="2483" max="2483" width="3.88671875" style="7275" customWidth="1"/>
    <col min="2484" max="2484" width="44" style="7275" customWidth="1"/>
    <col min="2485" max="2485" width="9.44140625" style="7275" customWidth="1"/>
    <col min="2486" max="2486" width="14.44140625" style="7275" customWidth="1"/>
    <col min="2487" max="2487" width="13.88671875" style="7275" customWidth="1"/>
    <col min="2488" max="2488" width="15" style="7275" customWidth="1"/>
    <col min="2489" max="2738" width="9.109375" style="7275"/>
    <col min="2739" max="2739" width="3.88671875" style="7275" customWidth="1"/>
    <col min="2740" max="2740" width="44" style="7275" customWidth="1"/>
    <col min="2741" max="2741" width="9.44140625" style="7275" customWidth="1"/>
    <col min="2742" max="2742" width="14.44140625" style="7275" customWidth="1"/>
    <col min="2743" max="2743" width="13.88671875" style="7275" customWidth="1"/>
    <col min="2744" max="2744" width="15" style="7275" customWidth="1"/>
    <col min="2745" max="2994" width="9.109375" style="7275"/>
    <col min="2995" max="2995" width="3.88671875" style="7275" customWidth="1"/>
    <col min="2996" max="2996" width="44" style="7275" customWidth="1"/>
    <col min="2997" max="2997" width="9.44140625" style="7275" customWidth="1"/>
    <col min="2998" max="2998" width="14.44140625" style="7275" customWidth="1"/>
    <col min="2999" max="2999" width="13.88671875" style="7275" customWidth="1"/>
    <col min="3000" max="3000" width="15" style="7275" customWidth="1"/>
    <col min="3001" max="3250" width="9.109375" style="7275"/>
    <col min="3251" max="3251" width="3.88671875" style="7275" customWidth="1"/>
    <col min="3252" max="3252" width="44" style="7275" customWidth="1"/>
    <col min="3253" max="3253" width="9.44140625" style="7275" customWidth="1"/>
    <col min="3254" max="3254" width="14.44140625" style="7275" customWidth="1"/>
    <col min="3255" max="3255" width="13.88671875" style="7275" customWidth="1"/>
    <col min="3256" max="3256" width="15" style="7275" customWidth="1"/>
    <col min="3257" max="3506" width="9.109375" style="7275"/>
    <col min="3507" max="3507" width="3.88671875" style="7275" customWidth="1"/>
    <col min="3508" max="3508" width="44" style="7275" customWidth="1"/>
    <col min="3509" max="3509" width="9.44140625" style="7275" customWidth="1"/>
    <col min="3510" max="3510" width="14.44140625" style="7275" customWidth="1"/>
    <col min="3511" max="3511" width="13.88671875" style="7275" customWidth="1"/>
    <col min="3512" max="3512" width="15" style="7275" customWidth="1"/>
    <col min="3513" max="3762" width="9.109375" style="7275"/>
    <col min="3763" max="3763" width="3.88671875" style="7275" customWidth="1"/>
    <col min="3764" max="3764" width="44" style="7275" customWidth="1"/>
    <col min="3765" max="3765" width="9.44140625" style="7275" customWidth="1"/>
    <col min="3766" max="3766" width="14.44140625" style="7275" customWidth="1"/>
    <col min="3767" max="3767" width="13.88671875" style="7275" customWidth="1"/>
    <col min="3768" max="3768" width="15" style="7275" customWidth="1"/>
    <col min="3769" max="4018" width="9.109375" style="7275"/>
    <col min="4019" max="4019" width="3.88671875" style="7275" customWidth="1"/>
    <col min="4020" max="4020" width="44" style="7275" customWidth="1"/>
    <col min="4021" max="4021" width="9.44140625" style="7275" customWidth="1"/>
    <col min="4022" max="4022" width="14.44140625" style="7275" customWidth="1"/>
    <col min="4023" max="4023" width="13.88671875" style="7275" customWidth="1"/>
    <col min="4024" max="4024" width="15" style="7275" customWidth="1"/>
    <col min="4025" max="4274" width="9.109375" style="7275"/>
    <col min="4275" max="4275" width="3.88671875" style="7275" customWidth="1"/>
    <col min="4276" max="4276" width="44" style="7275" customWidth="1"/>
    <col min="4277" max="4277" width="9.44140625" style="7275" customWidth="1"/>
    <col min="4278" max="4278" width="14.44140625" style="7275" customWidth="1"/>
    <col min="4279" max="4279" width="13.88671875" style="7275" customWidth="1"/>
    <col min="4280" max="4280" width="15" style="7275" customWidth="1"/>
    <col min="4281" max="4530" width="9.109375" style="7275"/>
    <col min="4531" max="4531" width="3.88671875" style="7275" customWidth="1"/>
    <col min="4532" max="4532" width="44" style="7275" customWidth="1"/>
    <col min="4533" max="4533" width="9.44140625" style="7275" customWidth="1"/>
    <col min="4534" max="4534" width="14.44140625" style="7275" customWidth="1"/>
    <col min="4535" max="4535" width="13.88671875" style="7275" customWidth="1"/>
    <col min="4536" max="4536" width="15" style="7275" customWidth="1"/>
    <col min="4537" max="4786" width="9.109375" style="7275"/>
    <col min="4787" max="4787" width="3.88671875" style="7275" customWidth="1"/>
    <col min="4788" max="4788" width="44" style="7275" customWidth="1"/>
    <col min="4789" max="4789" width="9.44140625" style="7275" customWidth="1"/>
    <col min="4790" max="4790" width="14.44140625" style="7275" customWidth="1"/>
    <col min="4791" max="4791" width="13.88671875" style="7275" customWidth="1"/>
    <col min="4792" max="4792" width="15" style="7275" customWidth="1"/>
    <col min="4793" max="5042" width="9.109375" style="7275"/>
    <col min="5043" max="5043" width="3.88671875" style="7275" customWidth="1"/>
    <col min="5044" max="5044" width="44" style="7275" customWidth="1"/>
    <col min="5045" max="5045" width="9.44140625" style="7275" customWidth="1"/>
    <col min="5046" max="5046" width="14.44140625" style="7275" customWidth="1"/>
    <col min="5047" max="5047" width="13.88671875" style="7275" customWidth="1"/>
    <col min="5048" max="5048" width="15" style="7275" customWidth="1"/>
    <col min="5049" max="5298" width="9.109375" style="7275"/>
    <col min="5299" max="5299" width="3.88671875" style="7275" customWidth="1"/>
    <col min="5300" max="5300" width="44" style="7275" customWidth="1"/>
    <col min="5301" max="5301" width="9.44140625" style="7275" customWidth="1"/>
    <col min="5302" max="5302" width="14.44140625" style="7275" customWidth="1"/>
    <col min="5303" max="5303" width="13.88671875" style="7275" customWidth="1"/>
    <col min="5304" max="5304" width="15" style="7275" customWidth="1"/>
    <col min="5305" max="5554" width="9.109375" style="7275"/>
    <col min="5555" max="5555" width="3.88671875" style="7275" customWidth="1"/>
    <col min="5556" max="5556" width="44" style="7275" customWidth="1"/>
    <col min="5557" max="5557" width="9.44140625" style="7275" customWidth="1"/>
    <col min="5558" max="5558" width="14.44140625" style="7275" customWidth="1"/>
    <col min="5559" max="5559" width="13.88671875" style="7275" customWidth="1"/>
    <col min="5560" max="5560" width="15" style="7275" customWidth="1"/>
    <col min="5561" max="5810" width="9.109375" style="7275"/>
    <col min="5811" max="5811" width="3.88671875" style="7275" customWidth="1"/>
    <col min="5812" max="5812" width="44" style="7275" customWidth="1"/>
    <col min="5813" max="5813" width="9.44140625" style="7275" customWidth="1"/>
    <col min="5814" max="5814" width="14.44140625" style="7275" customWidth="1"/>
    <col min="5815" max="5815" width="13.88671875" style="7275" customWidth="1"/>
    <col min="5816" max="5816" width="15" style="7275" customWidth="1"/>
    <col min="5817" max="6066" width="9.109375" style="7275"/>
    <col min="6067" max="6067" width="3.88671875" style="7275" customWidth="1"/>
    <col min="6068" max="6068" width="44" style="7275" customWidth="1"/>
    <col min="6069" max="6069" width="9.44140625" style="7275" customWidth="1"/>
    <col min="6070" max="6070" width="14.44140625" style="7275" customWidth="1"/>
    <col min="6071" max="6071" width="13.88671875" style="7275" customWidth="1"/>
    <col min="6072" max="6072" width="15" style="7275" customWidth="1"/>
    <col min="6073" max="6322" width="9.109375" style="7275"/>
    <col min="6323" max="6323" width="3.88671875" style="7275" customWidth="1"/>
    <col min="6324" max="6324" width="44" style="7275" customWidth="1"/>
    <col min="6325" max="6325" width="9.44140625" style="7275" customWidth="1"/>
    <col min="6326" max="6326" width="14.44140625" style="7275" customWidth="1"/>
    <col min="6327" max="6327" width="13.88671875" style="7275" customWidth="1"/>
    <col min="6328" max="6328" width="15" style="7275" customWidth="1"/>
    <col min="6329" max="6578" width="9.109375" style="7275"/>
    <col min="6579" max="6579" width="3.88671875" style="7275" customWidth="1"/>
    <col min="6580" max="6580" width="44" style="7275" customWidth="1"/>
    <col min="6581" max="6581" width="9.44140625" style="7275" customWidth="1"/>
    <col min="6582" max="6582" width="14.44140625" style="7275" customWidth="1"/>
    <col min="6583" max="6583" width="13.88671875" style="7275" customWidth="1"/>
    <col min="6584" max="6584" width="15" style="7275" customWidth="1"/>
    <col min="6585" max="6834" width="9.109375" style="7275"/>
    <col min="6835" max="6835" width="3.88671875" style="7275" customWidth="1"/>
    <col min="6836" max="6836" width="44" style="7275" customWidth="1"/>
    <col min="6837" max="6837" width="9.44140625" style="7275" customWidth="1"/>
    <col min="6838" max="6838" width="14.44140625" style="7275" customWidth="1"/>
    <col min="6839" max="6839" width="13.88671875" style="7275" customWidth="1"/>
    <col min="6840" max="6840" width="15" style="7275" customWidth="1"/>
    <col min="6841" max="7090" width="9.109375" style="7275"/>
    <col min="7091" max="7091" width="3.88671875" style="7275" customWidth="1"/>
    <col min="7092" max="7092" width="44" style="7275" customWidth="1"/>
    <col min="7093" max="7093" width="9.44140625" style="7275" customWidth="1"/>
    <col min="7094" max="7094" width="14.44140625" style="7275" customWidth="1"/>
    <col min="7095" max="7095" width="13.88671875" style="7275" customWidth="1"/>
    <col min="7096" max="7096" width="15" style="7275" customWidth="1"/>
    <col min="7097" max="7346" width="9.109375" style="7275"/>
    <col min="7347" max="7347" width="3.88671875" style="7275" customWidth="1"/>
    <col min="7348" max="7348" width="44" style="7275" customWidth="1"/>
    <col min="7349" max="7349" width="9.44140625" style="7275" customWidth="1"/>
    <col min="7350" max="7350" width="14.44140625" style="7275" customWidth="1"/>
    <col min="7351" max="7351" width="13.88671875" style="7275" customWidth="1"/>
    <col min="7352" max="7352" width="15" style="7275" customWidth="1"/>
    <col min="7353" max="7602" width="9.109375" style="7275"/>
    <col min="7603" max="7603" width="3.88671875" style="7275" customWidth="1"/>
    <col min="7604" max="7604" width="44" style="7275" customWidth="1"/>
    <col min="7605" max="7605" width="9.44140625" style="7275" customWidth="1"/>
    <col min="7606" max="7606" width="14.44140625" style="7275" customWidth="1"/>
    <col min="7607" max="7607" width="13.88671875" style="7275" customWidth="1"/>
    <col min="7608" max="7608" width="15" style="7275" customWidth="1"/>
    <col min="7609" max="7858" width="9.109375" style="7275"/>
    <col min="7859" max="7859" width="3.88671875" style="7275" customWidth="1"/>
    <col min="7860" max="7860" width="44" style="7275" customWidth="1"/>
    <col min="7861" max="7861" width="9.44140625" style="7275" customWidth="1"/>
    <col min="7862" max="7862" width="14.44140625" style="7275" customWidth="1"/>
    <col min="7863" max="7863" width="13.88671875" style="7275" customWidth="1"/>
    <col min="7864" max="7864" width="15" style="7275" customWidth="1"/>
    <col min="7865" max="8114" width="9.109375" style="7275"/>
    <col min="8115" max="8115" width="3.88671875" style="7275" customWidth="1"/>
    <col min="8116" max="8116" width="44" style="7275" customWidth="1"/>
    <col min="8117" max="8117" width="9.44140625" style="7275" customWidth="1"/>
    <col min="8118" max="8118" width="14.44140625" style="7275" customWidth="1"/>
    <col min="8119" max="8119" width="13.88671875" style="7275" customWidth="1"/>
    <col min="8120" max="8120" width="15" style="7275" customWidth="1"/>
    <col min="8121" max="8370" width="9.109375" style="7275"/>
    <col min="8371" max="8371" width="3.88671875" style="7275" customWidth="1"/>
    <col min="8372" max="8372" width="44" style="7275" customWidth="1"/>
    <col min="8373" max="8373" width="9.44140625" style="7275" customWidth="1"/>
    <col min="8374" max="8374" width="14.44140625" style="7275" customWidth="1"/>
    <col min="8375" max="8375" width="13.88671875" style="7275" customWidth="1"/>
    <col min="8376" max="8376" width="15" style="7275" customWidth="1"/>
    <col min="8377" max="8626" width="9.109375" style="7275"/>
    <col min="8627" max="8627" width="3.88671875" style="7275" customWidth="1"/>
    <col min="8628" max="8628" width="44" style="7275" customWidth="1"/>
    <col min="8629" max="8629" width="9.44140625" style="7275" customWidth="1"/>
    <col min="8630" max="8630" width="14.44140625" style="7275" customWidth="1"/>
    <col min="8631" max="8631" width="13.88671875" style="7275" customWidth="1"/>
    <col min="8632" max="8632" width="15" style="7275" customWidth="1"/>
    <col min="8633" max="8882" width="9.109375" style="7275"/>
    <col min="8883" max="8883" width="3.88671875" style="7275" customWidth="1"/>
    <col min="8884" max="8884" width="44" style="7275" customWidth="1"/>
    <col min="8885" max="8885" width="9.44140625" style="7275" customWidth="1"/>
    <col min="8886" max="8886" width="14.44140625" style="7275" customWidth="1"/>
    <col min="8887" max="8887" width="13.88671875" style="7275" customWidth="1"/>
    <col min="8888" max="8888" width="15" style="7275" customWidth="1"/>
    <col min="8889" max="9138" width="9.109375" style="7275"/>
    <col min="9139" max="9139" width="3.88671875" style="7275" customWidth="1"/>
    <col min="9140" max="9140" width="44" style="7275" customWidth="1"/>
    <col min="9141" max="9141" width="9.44140625" style="7275" customWidth="1"/>
    <col min="9142" max="9142" width="14.44140625" style="7275" customWidth="1"/>
    <col min="9143" max="9143" width="13.88671875" style="7275" customWidth="1"/>
    <col min="9144" max="9144" width="15" style="7275" customWidth="1"/>
    <col min="9145" max="9394" width="9.109375" style="7275"/>
    <col min="9395" max="9395" width="3.88671875" style="7275" customWidth="1"/>
    <col min="9396" max="9396" width="44" style="7275" customWidth="1"/>
    <col min="9397" max="9397" width="9.44140625" style="7275" customWidth="1"/>
    <col min="9398" max="9398" width="14.44140625" style="7275" customWidth="1"/>
    <col min="9399" max="9399" width="13.88671875" style="7275" customWidth="1"/>
    <col min="9400" max="9400" width="15" style="7275" customWidth="1"/>
    <col min="9401" max="9650" width="9.109375" style="7275"/>
    <col min="9651" max="9651" width="3.88671875" style="7275" customWidth="1"/>
    <col min="9652" max="9652" width="44" style="7275" customWidth="1"/>
    <col min="9653" max="9653" width="9.44140625" style="7275" customWidth="1"/>
    <col min="9654" max="9654" width="14.44140625" style="7275" customWidth="1"/>
    <col min="9655" max="9655" width="13.88671875" style="7275" customWidth="1"/>
    <col min="9656" max="9656" width="15" style="7275" customWidth="1"/>
    <col min="9657" max="9906" width="9.109375" style="7275"/>
    <col min="9907" max="9907" width="3.88671875" style="7275" customWidth="1"/>
    <col min="9908" max="9908" width="44" style="7275" customWidth="1"/>
    <col min="9909" max="9909" width="9.44140625" style="7275" customWidth="1"/>
    <col min="9910" max="9910" width="14.44140625" style="7275" customWidth="1"/>
    <col min="9911" max="9911" width="13.88671875" style="7275" customWidth="1"/>
    <col min="9912" max="9912" width="15" style="7275" customWidth="1"/>
    <col min="9913" max="10162" width="9.109375" style="7275"/>
    <col min="10163" max="10163" width="3.88671875" style="7275" customWidth="1"/>
    <col min="10164" max="10164" width="44" style="7275" customWidth="1"/>
    <col min="10165" max="10165" width="9.44140625" style="7275" customWidth="1"/>
    <col min="10166" max="10166" width="14.44140625" style="7275" customWidth="1"/>
    <col min="10167" max="10167" width="13.88671875" style="7275" customWidth="1"/>
    <col min="10168" max="10168" width="15" style="7275" customWidth="1"/>
    <col min="10169" max="10418" width="9.109375" style="7275"/>
    <col min="10419" max="10419" width="3.88671875" style="7275" customWidth="1"/>
    <col min="10420" max="10420" width="44" style="7275" customWidth="1"/>
    <col min="10421" max="10421" width="9.44140625" style="7275" customWidth="1"/>
    <col min="10422" max="10422" width="14.44140625" style="7275" customWidth="1"/>
    <col min="10423" max="10423" width="13.88671875" style="7275" customWidth="1"/>
    <col min="10424" max="10424" width="15" style="7275" customWidth="1"/>
    <col min="10425" max="10674" width="9.109375" style="7275"/>
    <col min="10675" max="10675" width="3.88671875" style="7275" customWidth="1"/>
    <col min="10676" max="10676" width="44" style="7275" customWidth="1"/>
    <col min="10677" max="10677" width="9.44140625" style="7275" customWidth="1"/>
    <col min="10678" max="10678" width="14.44140625" style="7275" customWidth="1"/>
    <col min="10679" max="10679" width="13.88671875" style="7275" customWidth="1"/>
    <col min="10680" max="10680" width="15" style="7275" customWidth="1"/>
    <col min="10681" max="10930" width="9.109375" style="7275"/>
    <col min="10931" max="10931" width="3.88671875" style="7275" customWidth="1"/>
    <col min="10932" max="10932" width="44" style="7275" customWidth="1"/>
    <col min="10933" max="10933" width="9.44140625" style="7275" customWidth="1"/>
    <col min="10934" max="10934" width="14.44140625" style="7275" customWidth="1"/>
    <col min="10935" max="10935" width="13.88671875" style="7275" customWidth="1"/>
    <col min="10936" max="10936" width="15" style="7275" customWidth="1"/>
    <col min="10937" max="11186" width="9.109375" style="7275"/>
    <col min="11187" max="11187" width="3.88671875" style="7275" customWidth="1"/>
    <col min="11188" max="11188" width="44" style="7275" customWidth="1"/>
    <col min="11189" max="11189" width="9.44140625" style="7275" customWidth="1"/>
    <col min="11190" max="11190" width="14.44140625" style="7275" customWidth="1"/>
    <col min="11191" max="11191" width="13.88671875" style="7275" customWidth="1"/>
    <col min="11192" max="11192" width="15" style="7275" customWidth="1"/>
    <col min="11193" max="11442" width="9.109375" style="7275"/>
    <col min="11443" max="11443" width="3.88671875" style="7275" customWidth="1"/>
    <col min="11444" max="11444" width="44" style="7275" customWidth="1"/>
    <col min="11445" max="11445" width="9.44140625" style="7275" customWidth="1"/>
    <col min="11446" max="11446" width="14.44140625" style="7275" customWidth="1"/>
    <col min="11447" max="11447" width="13.88671875" style="7275" customWidth="1"/>
    <col min="11448" max="11448" width="15" style="7275" customWidth="1"/>
    <col min="11449" max="11698" width="9.109375" style="7275"/>
    <col min="11699" max="11699" width="3.88671875" style="7275" customWidth="1"/>
    <col min="11700" max="11700" width="44" style="7275" customWidth="1"/>
    <col min="11701" max="11701" width="9.44140625" style="7275" customWidth="1"/>
    <col min="11702" max="11702" width="14.44140625" style="7275" customWidth="1"/>
    <col min="11703" max="11703" width="13.88671875" style="7275" customWidth="1"/>
    <col min="11704" max="11704" width="15" style="7275" customWidth="1"/>
    <col min="11705" max="11954" width="9.109375" style="7275"/>
    <col min="11955" max="11955" width="3.88671875" style="7275" customWidth="1"/>
    <col min="11956" max="11956" width="44" style="7275" customWidth="1"/>
    <col min="11957" max="11957" width="9.44140625" style="7275" customWidth="1"/>
    <col min="11958" max="11958" width="14.44140625" style="7275" customWidth="1"/>
    <col min="11959" max="11959" width="13.88671875" style="7275" customWidth="1"/>
    <col min="11960" max="11960" width="15" style="7275" customWidth="1"/>
    <col min="11961" max="12210" width="9.109375" style="7275"/>
    <col min="12211" max="12211" width="3.88671875" style="7275" customWidth="1"/>
    <col min="12212" max="12212" width="44" style="7275" customWidth="1"/>
    <col min="12213" max="12213" width="9.44140625" style="7275" customWidth="1"/>
    <col min="12214" max="12214" width="14.44140625" style="7275" customWidth="1"/>
    <col min="12215" max="12215" width="13.88671875" style="7275" customWidth="1"/>
    <col min="12216" max="12216" width="15" style="7275" customWidth="1"/>
    <col min="12217" max="12466" width="9.109375" style="7275"/>
    <col min="12467" max="12467" width="3.88671875" style="7275" customWidth="1"/>
    <col min="12468" max="12468" width="44" style="7275" customWidth="1"/>
    <col min="12469" max="12469" width="9.44140625" style="7275" customWidth="1"/>
    <col min="12470" max="12470" width="14.44140625" style="7275" customWidth="1"/>
    <col min="12471" max="12471" width="13.88671875" style="7275" customWidth="1"/>
    <col min="12472" max="12472" width="15" style="7275" customWidth="1"/>
    <col min="12473" max="12722" width="9.109375" style="7275"/>
    <col min="12723" max="12723" width="3.88671875" style="7275" customWidth="1"/>
    <col min="12724" max="12724" width="44" style="7275" customWidth="1"/>
    <col min="12725" max="12725" width="9.44140625" style="7275" customWidth="1"/>
    <col min="12726" max="12726" width="14.44140625" style="7275" customWidth="1"/>
    <col min="12727" max="12727" width="13.88671875" style="7275" customWidth="1"/>
    <col min="12728" max="12728" width="15" style="7275" customWidth="1"/>
    <col min="12729" max="12978" width="9.109375" style="7275"/>
    <col min="12979" max="12979" width="3.88671875" style="7275" customWidth="1"/>
    <col min="12980" max="12980" width="44" style="7275" customWidth="1"/>
    <col min="12981" max="12981" width="9.44140625" style="7275" customWidth="1"/>
    <col min="12982" max="12982" width="14.44140625" style="7275" customWidth="1"/>
    <col min="12983" max="12983" width="13.88671875" style="7275" customWidth="1"/>
    <col min="12984" max="12984" width="15" style="7275" customWidth="1"/>
    <col min="12985" max="13234" width="9.109375" style="7275"/>
    <col min="13235" max="13235" width="3.88671875" style="7275" customWidth="1"/>
    <col min="13236" max="13236" width="44" style="7275" customWidth="1"/>
    <col min="13237" max="13237" width="9.44140625" style="7275" customWidth="1"/>
    <col min="13238" max="13238" width="14.44140625" style="7275" customWidth="1"/>
    <col min="13239" max="13239" width="13.88671875" style="7275" customWidth="1"/>
    <col min="13240" max="13240" width="15" style="7275" customWidth="1"/>
    <col min="13241" max="13490" width="9.109375" style="7275"/>
    <col min="13491" max="13491" width="3.88671875" style="7275" customWidth="1"/>
    <col min="13492" max="13492" width="44" style="7275" customWidth="1"/>
    <col min="13493" max="13493" width="9.44140625" style="7275" customWidth="1"/>
    <col min="13494" max="13494" width="14.44140625" style="7275" customWidth="1"/>
    <col min="13495" max="13495" width="13.88671875" style="7275" customWidth="1"/>
    <col min="13496" max="13496" width="15" style="7275" customWidth="1"/>
    <col min="13497" max="13746" width="9.109375" style="7275"/>
    <col min="13747" max="13747" width="3.88671875" style="7275" customWidth="1"/>
    <col min="13748" max="13748" width="44" style="7275" customWidth="1"/>
    <col min="13749" max="13749" width="9.44140625" style="7275" customWidth="1"/>
    <col min="13750" max="13750" width="14.44140625" style="7275" customWidth="1"/>
    <col min="13751" max="13751" width="13.88671875" style="7275" customWidth="1"/>
    <col min="13752" max="13752" width="15" style="7275" customWidth="1"/>
    <col min="13753" max="14002" width="9.109375" style="7275"/>
    <col min="14003" max="14003" width="3.88671875" style="7275" customWidth="1"/>
    <col min="14004" max="14004" width="44" style="7275" customWidth="1"/>
    <col min="14005" max="14005" width="9.44140625" style="7275" customWidth="1"/>
    <col min="14006" max="14006" width="14.44140625" style="7275" customWidth="1"/>
    <col min="14007" max="14007" width="13.88671875" style="7275" customWidth="1"/>
    <col min="14008" max="14008" width="15" style="7275" customWidth="1"/>
    <col min="14009" max="14258" width="9.109375" style="7275"/>
    <col min="14259" max="14259" width="3.88671875" style="7275" customWidth="1"/>
    <col min="14260" max="14260" width="44" style="7275" customWidth="1"/>
    <col min="14261" max="14261" width="9.44140625" style="7275" customWidth="1"/>
    <col min="14262" max="14262" width="14.44140625" style="7275" customWidth="1"/>
    <col min="14263" max="14263" width="13.88671875" style="7275" customWidth="1"/>
    <col min="14264" max="14264" width="15" style="7275" customWidth="1"/>
    <col min="14265" max="14514" width="9.109375" style="7275"/>
    <col min="14515" max="14515" width="3.88671875" style="7275" customWidth="1"/>
    <col min="14516" max="14516" width="44" style="7275" customWidth="1"/>
    <col min="14517" max="14517" width="9.44140625" style="7275" customWidth="1"/>
    <col min="14518" max="14518" width="14.44140625" style="7275" customWidth="1"/>
    <col min="14519" max="14519" width="13.88671875" style="7275" customWidth="1"/>
    <col min="14520" max="14520" width="15" style="7275" customWidth="1"/>
    <col min="14521" max="14770" width="9.109375" style="7275"/>
    <col min="14771" max="14771" width="3.88671875" style="7275" customWidth="1"/>
    <col min="14772" max="14772" width="44" style="7275" customWidth="1"/>
    <col min="14773" max="14773" width="9.44140625" style="7275" customWidth="1"/>
    <col min="14774" max="14774" width="14.44140625" style="7275" customWidth="1"/>
    <col min="14775" max="14775" width="13.88671875" style="7275" customWidth="1"/>
    <col min="14776" max="14776" width="15" style="7275" customWidth="1"/>
    <col min="14777" max="15026" width="9.109375" style="7275"/>
    <col min="15027" max="15027" width="3.88671875" style="7275" customWidth="1"/>
    <col min="15028" max="15028" width="44" style="7275" customWidth="1"/>
    <col min="15029" max="15029" width="9.44140625" style="7275" customWidth="1"/>
    <col min="15030" max="15030" width="14.44140625" style="7275" customWidth="1"/>
    <col min="15031" max="15031" width="13.88671875" style="7275" customWidth="1"/>
    <col min="15032" max="15032" width="15" style="7275" customWidth="1"/>
    <col min="15033" max="15282" width="9.109375" style="7275"/>
    <col min="15283" max="15283" width="3.88671875" style="7275" customWidth="1"/>
    <col min="15284" max="15284" width="44" style="7275" customWidth="1"/>
    <col min="15285" max="15285" width="9.44140625" style="7275" customWidth="1"/>
    <col min="15286" max="15286" width="14.44140625" style="7275" customWidth="1"/>
    <col min="15287" max="15287" width="13.88671875" style="7275" customWidth="1"/>
    <col min="15288" max="15288" width="15" style="7275" customWidth="1"/>
    <col min="15289" max="15538" width="9.109375" style="7275"/>
    <col min="15539" max="15539" width="3.88671875" style="7275" customWidth="1"/>
    <col min="15540" max="15540" width="44" style="7275" customWidth="1"/>
    <col min="15541" max="15541" width="9.44140625" style="7275" customWidth="1"/>
    <col min="15542" max="15542" width="14.44140625" style="7275" customWidth="1"/>
    <col min="15543" max="15543" width="13.88671875" style="7275" customWidth="1"/>
    <col min="15544" max="15544" width="15" style="7275" customWidth="1"/>
    <col min="15545" max="15794" width="9.109375" style="7275"/>
    <col min="15795" max="15795" width="3.88671875" style="7275" customWidth="1"/>
    <col min="15796" max="15796" width="44" style="7275" customWidth="1"/>
    <col min="15797" max="15797" width="9.44140625" style="7275" customWidth="1"/>
    <col min="15798" max="15798" width="14.44140625" style="7275" customWidth="1"/>
    <col min="15799" max="15799" width="13.88671875" style="7275" customWidth="1"/>
    <col min="15800" max="15800" width="15" style="7275" customWidth="1"/>
    <col min="15801" max="16050" width="9.109375" style="7275"/>
    <col min="16051" max="16051" width="3.88671875" style="7275" customWidth="1"/>
    <col min="16052" max="16052" width="44" style="7275" customWidth="1"/>
    <col min="16053" max="16053" width="9.44140625" style="7275" customWidth="1"/>
    <col min="16054" max="16054" width="14.44140625" style="7275" customWidth="1"/>
    <col min="16055" max="16055" width="13.88671875" style="7275" customWidth="1"/>
    <col min="16056" max="16056" width="15" style="7275" customWidth="1"/>
    <col min="16057" max="16384" width="9.109375" style="7275"/>
  </cols>
  <sheetData>
    <row r="1" spans="1:12" ht="15" customHeight="1">
      <c r="A1" s="14807" t="s">
        <v>1</v>
      </c>
      <c r="B1" s="14807"/>
      <c r="C1" s="14807"/>
      <c r="D1" s="14807"/>
      <c r="E1" s="14807"/>
      <c r="F1" s="14807"/>
      <c r="G1" s="14807"/>
      <c r="H1" s="14807"/>
      <c r="I1" s="14807"/>
      <c r="J1" s="14807"/>
    </row>
    <row r="2" spans="1:12" ht="15" customHeight="1">
      <c r="A2" s="7276"/>
      <c r="B2" s="7277"/>
      <c r="C2" s="7278"/>
      <c r="D2" s="7279"/>
      <c r="E2" s="7279"/>
      <c r="F2" s="7279"/>
      <c r="G2" s="7279"/>
      <c r="H2" s="7279"/>
      <c r="I2" s="7280"/>
      <c r="J2" s="7279"/>
    </row>
    <row r="3" spans="1:12" ht="15" customHeight="1">
      <c r="A3" s="7276" t="s">
        <v>10745</v>
      </c>
      <c r="B3" s="7281"/>
      <c r="C3" s="7282" t="s">
        <v>10741</v>
      </c>
      <c r="D3" s="7283"/>
      <c r="E3" s="7283"/>
      <c r="F3" s="7283"/>
      <c r="G3" s="7283"/>
      <c r="H3" s="7283"/>
      <c r="I3" s="7284"/>
      <c r="J3" s="14984"/>
    </row>
    <row r="4" spans="1:12" ht="15" customHeight="1">
      <c r="A4" s="7276" t="s">
        <v>10742</v>
      </c>
      <c r="B4" s="7276"/>
      <c r="C4" s="7278" t="s">
        <v>92</v>
      </c>
      <c r="D4" s="7285"/>
      <c r="E4" s="7285"/>
      <c r="F4" s="7285"/>
      <c r="G4" s="7283"/>
      <c r="H4" s="7285"/>
      <c r="I4" s="7286"/>
      <c r="J4" s="14984"/>
    </row>
    <row r="5" spans="1:12" ht="15" customHeight="1" thickBot="1">
      <c r="A5" s="7639" t="s">
        <v>10743</v>
      </c>
      <c r="B5" s="7639"/>
      <c r="C5" s="7640" t="s">
        <v>8</v>
      </c>
      <c r="D5" s="7641"/>
      <c r="E5" s="7293"/>
      <c r="F5" s="7293"/>
      <c r="G5" s="7641"/>
      <c r="H5" s="7293"/>
      <c r="I5" s="7294"/>
      <c r="J5" s="7641"/>
    </row>
    <row r="6" spans="1:12" ht="15" customHeight="1">
      <c r="A6" s="7694"/>
      <c r="B6" s="11658"/>
      <c r="C6" s="9460" t="s">
        <v>9</v>
      </c>
      <c r="D6" s="10868" t="s">
        <v>10</v>
      </c>
      <c r="E6" s="14188" t="s">
        <v>10711</v>
      </c>
      <c r="F6" s="14189"/>
      <c r="G6" s="14190"/>
      <c r="H6" s="11080" t="s">
        <v>9985</v>
      </c>
      <c r="I6" s="9462"/>
      <c r="J6" s="11659" t="s">
        <v>12</v>
      </c>
    </row>
    <row r="7" spans="1:12" ht="15" customHeight="1">
      <c r="A7" s="7657"/>
      <c r="B7" s="7295" t="s">
        <v>13</v>
      </c>
      <c r="C7" s="11727" t="s">
        <v>93</v>
      </c>
      <c r="D7" s="11123" t="s">
        <v>15</v>
      </c>
      <c r="E7" s="9502" t="s">
        <v>10709</v>
      </c>
      <c r="F7" s="9503" t="s">
        <v>10710</v>
      </c>
      <c r="G7" s="14191" t="s">
        <v>458</v>
      </c>
      <c r="H7" s="11084" t="s">
        <v>11871</v>
      </c>
      <c r="I7" s="11108"/>
      <c r="J7" s="11660" t="s">
        <v>16</v>
      </c>
    </row>
    <row r="8" spans="1:12" ht="15" customHeight="1" thickBot="1">
      <c r="A8" s="7699"/>
      <c r="B8" s="7897"/>
      <c r="C8" s="11728" t="s">
        <v>94</v>
      </c>
      <c r="D8" s="9455">
        <v>2017</v>
      </c>
      <c r="E8" s="9467" t="s">
        <v>457</v>
      </c>
      <c r="F8" s="11661" t="s">
        <v>456</v>
      </c>
      <c r="G8" s="14192"/>
      <c r="H8" s="7302">
        <v>2018</v>
      </c>
      <c r="I8" s="7322"/>
      <c r="J8" s="11662">
        <v>2019</v>
      </c>
    </row>
    <row r="9" spans="1:12" ht="15" customHeight="1">
      <c r="A9" s="11663" t="s">
        <v>17</v>
      </c>
      <c r="B9" s="7287" t="s">
        <v>18</v>
      </c>
      <c r="C9" s="10136"/>
      <c r="D9" s="11664"/>
      <c r="E9" s="11664"/>
      <c r="F9" s="11664"/>
      <c r="G9" s="11664"/>
      <c r="H9" s="11664"/>
      <c r="I9" s="11163"/>
      <c r="J9" s="11665"/>
    </row>
    <row r="10" spans="1:12" ht="15" customHeight="1">
      <c r="A10" s="7657"/>
      <c r="B10" s="7287" t="s">
        <v>19</v>
      </c>
      <c r="C10" s="10136"/>
      <c r="D10" s="11664"/>
      <c r="E10" s="11664"/>
      <c r="F10" s="11664"/>
      <c r="G10" s="11664"/>
      <c r="H10" s="11664"/>
      <c r="I10" s="11163"/>
      <c r="J10" s="11665"/>
    </row>
    <row r="11" spans="1:12" ht="15" customHeight="1">
      <c r="A11" s="7657"/>
      <c r="B11" s="7287" t="s">
        <v>20</v>
      </c>
      <c r="C11" s="8802">
        <v>50101010</v>
      </c>
      <c r="D11" s="11667">
        <f>'WS-PS 2017'!B28</f>
        <v>21111572.030000001</v>
      </c>
      <c r="E11" s="11667">
        <f>'WS-PS ACTUAL JUNE 2018'!B28</f>
        <v>11285130.140000001</v>
      </c>
      <c r="F11" s="11667">
        <f>G11-E11</f>
        <v>19547585.859999999</v>
      </c>
      <c r="G11" s="11667">
        <v>30832716</v>
      </c>
      <c r="H11" s="11667"/>
      <c r="I11" s="11165"/>
      <c r="J11" s="11670">
        <f>K11</f>
        <v>31678908</v>
      </c>
      <c r="K11" s="11654">
        <f>'staffing-TAL'!F105</f>
        <v>31678908</v>
      </c>
      <c r="L11" s="11718">
        <f>'staffing-TAL'!B105</f>
        <v>97</v>
      </c>
    </row>
    <row r="12" spans="1:12" ht="15" customHeight="1">
      <c r="A12" s="7657"/>
      <c r="B12" s="7287" t="s">
        <v>21</v>
      </c>
      <c r="C12" s="8802">
        <v>50102010</v>
      </c>
      <c r="D12" s="11664">
        <f>'WS-PS 2017'!F28</f>
        <v>1793822.74</v>
      </c>
      <c r="E12" s="11664">
        <f>'WS-PS ACTUAL JUNE 2018'!D28</f>
        <v>888961.45</v>
      </c>
      <c r="F12" s="11667">
        <f t="shared" ref="F12:F29" si="0">G12-E12</f>
        <v>1535038.55</v>
      </c>
      <c r="G12" s="11664">
        <v>2424000</v>
      </c>
      <c r="H12" s="11664"/>
      <c r="I12" s="11163"/>
      <c r="J12" s="11670">
        <f t="shared" ref="J12:J29" si="1">K12</f>
        <v>2328000</v>
      </c>
      <c r="K12" s="7502">
        <f>24000*L11</f>
        <v>2328000</v>
      </c>
      <c r="L12" s="7310"/>
    </row>
    <row r="13" spans="1:12" ht="15" customHeight="1">
      <c r="A13" s="7657"/>
      <c r="B13" s="7287" t="s">
        <v>104</v>
      </c>
      <c r="C13" s="8802">
        <v>50102020</v>
      </c>
      <c r="D13" s="11664">
        <f>'WS-PS 2017'!G28</f>
        <v>67500</v>
      </c>
      <c r="E13" s="11664">
        <f>'WS-PS ACTUAL JUNE 2018'!E28</f>
        <v>15000</v>
      </c>
      <c r="F13" s="11667">
        <f t="shared" si="0"/>
        <v>75000</v>
      </c>
      <c r="G13" s="11664">
        <v>90000</v>
      </c>
      <c r="H13" s="11664"/>
      <c r="I13" s="11163"/>
      <c r="J13" s="11670">
        <f t="shared" si="1"/>
        <v>90000</v>
      </c>
      <c r="K13" s="7502">
        <v>90000</v>
      </c>
      <c r="L13" s="7310"/>
    </row>
    <row r="14" spans="1:12" ht="15" customHeight="1">
      <c r="A14" s="7657"/>
      <c r="B14" s="7287" t="s">
        <v>105</v>
      </c>
      <c r="C14" s="8802">
        <v>50102030</v>
      </c>
      <c r="D14" s="11664">
        <f>'WS-PS 2017'!H28</f>
        <v>67500</v>
      </c>
      <c r="E14" s="11664">
        <f>'WS-PS ACTUAL JUNE 2018'!F28</f>
        <v>15000</v>
      </c>
      <c r="F14" s="11667">
        <f t="shared" si="0"/>
        <v>75000</v>
      </c>
      <c r="G14" s="11664">
        <v>90000</v>
      </c>
      <c r="H14" s="11664"/>
      <c r="I14" s="11163"/>
      <c r="J14" s="11670">
        <f t="shared" si="1"/>
        <v>90000</v>
      </c>
      <c r="K14" s="7502">
        <v>90000</v>
      </c>
      <c r="L14" s="7310"/>
    </row>
    <row r="15" spans="1:12" ht="15" customHeight="1">
      <c r="A15" s="7657"/>
      <c r="B15" s="7287" t="s">
        <v>22</v>
      </c>
      <c r="C15" s="8802">
        <v>50102040</v>
      </c>
      <c r="D15" s="11664">
        <f>'WS-PS 2017'!I28</f>
        <v>365000</v>
      </c>
      <c r="E15" s="11664">
        <f>'WS-PS ACTUAL JUNE 2018'!G28</f>
        <v>420000</v>
      </c>
      <c r="F15" s="11667">
        <f t="shared" si="0"/>
        <v>85000</v>
      </c>
      <c r="G15" s="11664">
        <v>505000</v>
      </c>
      <c r="H15" s="11664"/>
      <c r="I15" s="11163"/>
      <c r="J15" s="11670">
        <f t="shared" si="1"/>
        <v>582000</v>
      </c>
      <c r="K15" s="7502">
        <f>6000*L11</f>
        <v>582000</v>
      </c>
      <c r="L15" s="7310"/>
    </row>
    <row r="16" spans="1:12" ht="15" customHeight="1">
      <c r="A16" s="7657"/>
      <c r="B16" s="7287" t="s">
        <v>179</v>
      </c>
      <c r="C16" s="8802">
        <v>50102050</v>
      </c>
      <c r="D16" s="11664">
        <f>'WS-PS 2017'!J28</f>
        <v>823119</v>
      </c>
      <c r="E16" s="11664">
        <f>'WS-PS ACTUAL JUNE 2018'!H28</f>
        <v>406750</v>
      </c>
      <c r="F16" s="11667">
        <f t="shared" si="0"/>
        <v>1411250</v>
      </c>
      <c r="G16" s="11664">
        <v>1818000</v>
      </c>
      <c r="H16" s="11664"/>
      <c r="I16" s="11163"/>
      <c r="J16" s="11670">
        <f t="shared" si="1"/>
        <v>1047600</v>
      </c>
      <c r="K16" s="7502">
        <f>10800*L11</f>
        <v>1047600</v>
      </c>
      <c r="L16" s="7310"/>
    </row>
    <row r="17" spans="1:12" ht="15" customHeight="1">
      <c r="A17" s="7657"/>
      <c r="B17" s="7352" t="s">
        <v>10970</v>
      </c>
      <c r="C17" s="8802">
        <v>50102060</v>
      </c>
      <c r="D17" s="11664">
        <f>'WS-PS 2017'!K28</f>
        <v>123650.26</v>
      </c>
      <c r="E17" s="11664">
        <f>'WS-PS ACTUAL JUNE 2018'!I28</f>
        <v>61413.98</v>
      </c>
      <c r="F17" s="11667">
        <f t="shared" si="0"/>
        <v>120386.01999999999</v>
      </c>
      <c r="G17" s="11664">
        <v>181800</v>
      </c>
      <c r="H17" s="11664"/>
      <c r="I17" s="11163"/>
      <c r="J17" s="11670">
        <f t="shared" si="1"/>
        <v>174600</v>
      </c>
      <c r="K17" s="7502">
        <f>1800*L11</f>
        <v>174600</v>
      </c>
      <c r="L17" s="7310"/>
    </row>
    <row r="18" spans="1:12" ht="15" customHeight="1">
      <c r="A18" s="7657"/>
      <c r="B18" s="7488" t="s">
        <v>10932</v>
      </c>
      <c r="C18" s="10368">
        <v>50102080</v>
      </c>
      <c r="D18" s="11664">
        <f>'WS-PS 2017'!L28</f>
        <v>359000</v>
      </c>
      <c r="E18" s="11664">
        <f>'WS-PS ACTUAL JUNE 2018'!J28</f>
        <v>0</v>
      </c>
      <c r="F18" s="11667">
        <f t="shared" si="0"/>
        <v>505000</v>
      </c>
      <c r="G18" s="11664">
        <v>505000</v>
      </c>
      <c r="H18" s="11664"/>
      <c r="I18" s="11163"/>
      <c r="J18" s="11670">
        <f t="shared" si="1"/>
        <v>485000</v>
      </c>
      <c r="K18" s="7502">
        <f>5000*L11</f>
        <v>485000</v>
      </c>
      <c r="L18" s="7310"/>
    </row>
    <row r="19" spans="1:12" ht="15" customHeight="1">
      <c r="A19" s="7657"/>
      <c r="B19" s="7287" t="s">
        <v>95</v>
      </c>
      <c r="C19" s="11729">
        <v>50102110</v>
      </c>
      <c r="D19" s="11664">
        <f>'WS-PS 2017'!N28</f>
        <v>4310260.25</v>
      </c>
      <c r="E19" s="11664">
        <f>'WS-PS ACTUAL JUNE 2018'!L28</f>
        <v>2283891.96</v>
      </c>
      <c r="F19" s="11667">
        <f t="shared" si="0"/>
        <v>3567896.04</v>
      </c>
      <c r="G19" s="11664">
        <v>5851788</v>
      </c>
      <c r="H19" s="11664"/>
      <c r="I19" s="11163"/>
      <c r="J19" s="11670">
        <f t="shared" si="1"/>
        <v>7919727</v>
      </c>
      <c r="K19" s="11654">
        <f>25%*K11</f>
        <v>7919727</v>
      </c>
      <c r="L19" s="11719"/>
    </row>
    <row r="20" spans="1:12" ht="15" customHeight="1">
      <c r="A20" s="7657"/>
      <c r="B20" s="7488" t="s">
        <v>10934</v>
      </c>
      <c r="C20" s="8872">
        <v>50102120</v>
      </c>
      <c r="D20" s="11664">
        <f>'WS-PS 2017'!O28</f>
        <v>25000</v>
      </c>
      <c r="E20" s="11664">
        <f>'WS-PS ACTUAL JUNE 2018'!M28</f>
        <v>25000</v>
      </c>
      <c r="F20" s="11667">
        <f>G20-E20</f>
        <v>45000</v>
      </c>
      <c r="G20" s="11664">
        <v>70000</v>
      </c>
      <c r="H20" s="11664"/>
      <c r="I20" s="11163"/>
      <c r="J20" s="11670">
        <f t="shared" si="1"/>
        <v>55000</v>
      </c>
      <c r="K20" s="7502">
        <v>55000</v>
      </c>
    </row>
    <row r="21" spans="1:12" ht="15" customHeight="1">
      <c r="A21" s="7657"/>
      <c r="B21" s="7488" t="s">
        <v>10933</v>
      </c>
      <c r="C21" s="8872">
        <v>50102140</v>
      </c>
      <c r="D21" s="11730">
        <f>'WS-PS 2017'!U28+'WS-PS 2017'!S28</f>
        <v>3455110</v>
      </c>
      <c r="E21" s="11730">
        <f>'WS-PS ACTUAL JUNE 2018'!O28</f>
        <v>1758589</v>
      </c>
      <c r="F21" s="11667">
        <f t="shared" si="0"/>
        <v>3380197</v>
      </c>
      <c r="G21" s="11730">
        <v>5138786</v>
      </c>
      <c r="H21" s="11730"/>
      <c r="I21" s="11731"/>
      <c r="J21" s="11670">
        <f t="shared" si="1"/>
        <v>5279818</v>
      </c>
      <c r="K21" s="7502">
        <f>SUM(K10:K11)/12*2</f>
        <v>5279818</v>
      </c>
      <c r="L21" s="7310"/>
    </row>
    <row r="22" spans="1:12" ht="15" customHeight="1">
      <c r="A22" s="7657"/>
      <c r="B22" s="7287" t="s">
        <v>26</v>
      </c>
      <c r="C22" s="11729">
        <v>50102150</v>
      </c>
      <c r="D22" s="11664">
        <f>'WS-PS 2017'!T28</f>
        <v>368000</v>
      </c>
      <c r="E22" s="11664">
        <f>'WS-PS ACTUAL JUNE 2018'!Q28</f>
        <v>0</v>
      </c>
      <c r="F22" s="11667">
        <f>G22-E22</f>
        <v>505000</v>
      </c>
      <c r="G22" s="11664">
        <v>505000</v>
      </c>
      <c r="H22" s="11664"/>
      <c r="I22" s="11163"/>
      <c r="J22" s="11670">
        <f t="shared" si="1"/>
        <v>485000</v>
      </c>
      <c r="K22" s="10573">
        <f>K18</f>
        <v>485000</v>
      </c>
      <c r="L22" s="7371"/>
    </row>
    <row r="23" spans="1:12" ht="15" customHeight="1">
      <c r="A23" s="7657"/>
      <c r="B23" s="7488" t="s">
        <v>11497</v>
      </c>
      <c r="C23" s="11257">
        <v>50102990</v>
      </c>
      <c r="D23" s="11664">
        <v>0</v>
      </c>
      <c r="E23" s="11664">
        <f>'WS-PS ACTUAL JUNE 2018'!R28</f>
        <v>0</v>
      </c>
      <c r="F23" s="11667">
        <f>G23-E23</f>
        <v>1477401</v>
      </c>
      <c r="G23" s="11664">
        <v>1477401</v>
      </c>
      <c r="H23" s="11664"/>
      <c r="I23" s="11163"/>
      <c r="J23" s="11670">
        <v>0</v>
      </c>
      <c r="K23" s="7502">
        <f>(K11/12)*0.575</f>
        <v>1517947.6749999998</v>
      </c>
      <c r="L23" s="7310"/>
    </row>
    <row r="24" spans="1:12" ht="15" customHeight="1">
      <c r="A24" s="7657"/>
      <c r="B24" s="7803" t="s">
        <v>11499</v>
      </c>
      <c r="C24" s="11059" t="s">
        <v>11495</v>
      </c>
      <c r="D24" s="11664">
        <f>'WS-PS 2017'!Q28</f>
        <v>0</v>
      </c>
      <c r="E24" s="11664">
        <f>'WS-PS ACTUAL JUNE 2018'!S28</f>
        <v>0</v>
      </c>
      <c r="F24" s="11667">
        <f>G24-E24</f>
        <v>0</v>
      </c>
      <c r="G24" s="11664">
        <v>0</v>
      </c>
      <c r="H24" s="11664"/>
      <c r="I24" s="11163"/>
      <c r="J24" s="11670">
        <f t="shared" si="1"/>
        <v>291000</v>
      </c>
      <c r="K24" s="7502">
        <f>3000*L11</f>
        <v>291000</v>
      </c>
      <c r="L24" s="7310"/>
    </row>
    <row r="25" spans="1:12" ht="15" customHeight="1">
      <c r="A25" s="7657"/>
      <c r="B25" s="11518" t="s">
        <v>59</v>
      </c>
      <c r="C25" s="8872">
        <v>50103010</v>
      </c>
      <c r="D25" s="11664">
        <f>'WS-PS 2017'!V28</f>
        <v>2533390.37</v>
      </c>
      <c r="E25" s="11664">
        <f>'WS-PS ACTUAL JUNE 2018'!T28</f>
        <v>1353429.96</v>
      </c>
      <c r="F25" s="11667">
        <f t="shared" si="0"/>
        <v>2346496.04</v>
      </c>
      <c r="G25" s="11664">
        <v>3699926</v>
      </c>
      <c r="H25" s="11664"/>
      <c r="I25" s="11163"/>
      <c r="J25" s="11670">
        <f t="shared" si="1"/>
        <v>3801468.96</v>
      </c>
      <c r="K25" s="11655">
        <f>SUM(K10:K11)*12%</f>
        <v>3801468.96</v>
      </c>
      <c r="L25" s="11720"/>
    </row>
    <row r="26" spans="1:12" ht="15" customHeight="1">
      <c r="A26" s="7657"/>
      <c r="B26" s="7803" t="s">
        <v>28</v>
      </c>
      <c r="C26" s="8872">
        <v>50103020</v>
      </c>
      <c r="D26" s="11664">
        <f>'WS-PS 2017'!W28</f>
        <v>90100</v>
      </c>
      <c r="E26" s="11664">
        <f>'WS-PS ACTUAL JUNE 2018'!U28</f>
        <v>44800</v>
      </c>
      <c r="F26" s="11667">
        <f t="shared" si="0"/>
        <v>76400</v>
      </c>
      <c r="G26" s="11664">
        <v>121200</v>
      </c>
      <c r="H26" s="11664"/>
      <c r="I26" s="11163"/>
      <c r="J26" s="11670">
        <f t="shared" si="1"/>
        <v>116400</v>
      </c>
      <c r="K26" s="7502">
        <f>1200*L11</f>
        <v>116400</v>
      </c>
      <c r="L26" s="7310"/>
    </row>
    <row r="27" spans="1:12" ht="15" customHeight="1">
      <c r="A27" s="7657"/>
      <c r="B27" s="7803" t="s">
        <v>29</v>
      </c>
      <c r="C27" s="8872">
        <v>50103030</v>
      </c>
      <c r="D27" s="11664">
        <f>'WS-PS 2017'!X28</f>
        <v>224112.5</v>
      </c>
      <c r="E27" s="11664">
        <f>'WS-PS ACTUAL JUNE 2018'!V28</f>
        <v>139255.07</v>
      </c>
      <c r="F27" s="11667">
        <f t="shared" si="0"/>
        <v>107944.93</v>
      </c>
      <c r="G27" s="11664">
        <v>247200</v>
      </c>
      <c r="H27" s="11664"/>
      <c r="I27" s="11163"/>
      <c r="J27" s="11670">
        <v>375837.33</v>
      </c>
      <c r="K27" s="7502">
        <f>3600*L11</f>
        <v>349200</v>
      </c>
      <c r="L27" s="7310"/>
    </row>
    <row r="28" spans="1:12" ht="15" customHeight="1">
      <c r="A28" s="7657"/>
      <c r="B28" s="7803" t="s">
        <v>30</v>
      </c>
      <c r="C28" s="8872">
        <v>50103040</v>
      </c>
      <c r="D28" s="11664">
        <f>'WS-PS 2017'!Y28</f>
        <v>90073.49</v>
      </c>
      <c r="E28" s="11664">
        <f>'WS-PS ACTUAL JUNE 2018'!W28</f>
        <v>44908.959999999999</v>
      </c>
      <c r="F28" s="11667">
        <f t="shared" si="0"/>
        <v>76291.040000000008</v>
      </c>
      <c r="G28" s="11664">
        <v>121200</v>
      </c>
      <c r="H28" s="11664"/>
      <c r="I28" s="11163"/>
      <c r="J28" s="11670">
        <f t="shared" si="1"/>
        <v>116400</v>
      </c>
      <c r="K28" s="7502">
        <f>K26</f>
        <v>116400</v>
      </c>
      <c r="L28" s="7310"/>
    </row>
    <row r="29" spans="1:12" ht="15" customHeight="1">
      <c r="A29" s="7657"/>
      <c r="B29" s="7488" t="s">
        <v>5025</v>
      </c>
      <c r="C29" s="11258">
        <v>50104990</v>
      </c>
      <c r="D29" s="11664">
        <f>'WS-PS 2017'!Z28</f>
        <v>1810000</v>
      </c>
      <c r="E29" s="11664"/>
      <c r="F29" s="11667">
        <f t="shared" si="0"/>
        <v>0</v>
      </c>
      <c r="G29" s="11664">
        <v>0</v>
      </c>
      <c r="H29" s="11664"/>
      <c r="I29" s="11163"/>
      <c r="J29" s="11670">
        <f t="shared" si="1"/>
        <v>0</v>
      </c>
    </row>
    <row r="30" spans="1:12" s="7314" customFormat="1" ht="15" customHeight="1">
      <c r="A30" s="7657"/>
      <c r="B30" s="7287"/>
      <c r="C30" s="10136"/>
      <c r="D30" s="11664"/>
      <c r="E30" s="11664"/>
      <c r="F30" s="11664"/>
      <c r="G30" s="11664"/>
      <c r="H30" s="11664"/>
      <c r="I30" s="11163"/>
      <c r="J30" s="11665"/>
      <c r="K30" s="7447"/>
    </row>
    <row r="31" spans="1:12" ht="15" customHeight="1" thickBot="1">
      <c r="A31" s="7699"/>
      <c r="B31" s="7781" t="s">
        <v>37</v>
      </c>
      <c r="C31" s="11732"/>
      <c r="D31" s="11673">
        <f>SUM(D11:D29)</f>
        <v>37617210.640000001</v>
      </c>
      <c r="E31" s="11673">
        <f>SUM(E11:E29)</f>
        <v>18742130.520000003</v>
      </c>
      <c r="F31" s="11673">
        <f>SUM(F11:F29)</f>
        <v>34936886.479999997</v>
      </c>
      <c r="G31" s="7326">
        <f>SUM(G11:G29)</f>
        <v>53679017</v>
      </c>
      <c r="H31" s="7326"/>
      <c r="I31" s="7327"/>
      <c r="J31" s="11674">
        <f>SUM(J11:J29)</f>
        <v>54916759.289999999</v>
      </c>
      <c r="K31" s="11657">
        <f>SUM(K11:K29)</f>
        <v>56408069.634999998</v>
      </c>
      <c r="L31" s="11721"/>
    </row>
    <row r="32" spans="1:12" ht="15" customHeight="1">
      <c r="A32" s="7688"/>
      <c r="B32" s="7689"/>
      <c r="C32" s="7690"/>
      <c r="D32" s="7691"/>
      <c r="E32" s="7691"/>
      <c r="F32" s="7691"/>
      <c r="G32" s="7691"/>
      <c r="H32" s="7691"/>
      <c r="I32" s="7389"/>
      <c r="J32" s="7691"/>
    </row>
    <row r="33" spans="1:10" ht="15" customHeight="1">
      <c r="A33" s="7287"/>
      <c r="B33" s="7315"/>
      <c r="C33" s="7288"/>
      <c r="D33" s="7349"/>
      <c r="E33" s="7349"/>
      <c r="F33" s="7349"/>
      <c r="G33" s="7349"/>
      <c r="H33" s="7349"/>
      <c r="I33" s="7350"/>
      <c r="J33" s="7349"/>
    </row>
    <row r="34" spans="1:10" ht="15" customHeight="1">
      <c r="A34" s="7287"/>
      <c r="B34" s="7315"/>
      <c r="C34" s="7288"/>
      <c r="D34" s="7349"/>
      <c r="E34" s="7349"/>
      <c r="F34" s="7349"/>
      <c r="G34" s="7349"/>
      <c r="H34" s="7349"/>
      <c r="I34" s="7350"/>
      <c r="J34" s="7349"/>
    </row>
    <row r="35" spans="1:10" ht="15" customHeight="1">
      <c r="A35" s="7287"/>
      <c r="B35" s="7315"/>
      <c r="C35" s="7288"/>
      <c r="D35" s="7349"/>
      <c r="E35" s="7349"/>
      <c r="F35" s="7349"/>
      <c r="G35" s="7349"/>
      <c r="H35" s="7349"/>
      <c r="I35" s="7350"/>
      <c r="J35" s="7349"/>
    </row>
    <row r="36" spans="1:10" ht="15" customHeight="1">
      <c r="A36" s="7287"/>
      <c r="B36" s="7315"/>
      <c r="C36" s="7288"/>
      <c r="D36" s="7349"/>
      <c r="E36" s="7349"/>
      <c r="F36" s="7349"/>
      <c r="G36" s="7349"/>
      <c r="H36" s="7349"/>
      <c r="I36" s="7350"/>
      <c r="J36" s="7349"/>
    </row>
    <row r="37" spans="1:10" ht="15" customHeight="1">
      <c r="A37" s="7287"/>
      <c r="B37" s="7315"/>
      <c r="C37" s="7288"/>
      <c r="D37" s="7349"/>
      <c r="E37" s="7349"/>
      <c r="F37" s="7349"/>
      <c r="G37" s="7349"/>
      <c r="H37" s="7349"/>
      <c r="I37" s="7350"/>
      <c r="J37" s="7349"/>
    </row>
    <row r="38" spans="1:10" ht="15" customHeight="1" thickBot="1">
      <c r="A38" s="7291" t="s">
        <v>312</v>
      </c>
      <c r="B38" s="7291"/>
      <c r="C38" s="7292"/>
      <c r="D38" s="7693"/>
      <c r="E38" s="7693"/>
      <c r="F38" s="7693"/>
      <c r="G38" s="7693"/>
      <c r="H38" s="7693"/>
      <c r="I38" s="7753"/>
      <c r="J38" s="7693"/>
    </row>
    <row r="39" spans="1:10" ht="15" customHeight="1">
      <c r="A39" s="7694"/>
      <c r="B39" s="11658"/>
      <c r="C39" s="9460" t="s">
        <v>103</v>
      </c>
      <c r="D39" s="10868" t="s">
        <v>10</v>
      </c>
      <c r="E39" s="14188" t="s">
        <v>10711</v>
      </c>
      <c r="F39" s="14189"/>
      <c r="G39" s="14190"/>
      <c r="H39" s="9461"/>
      <c r="I39" s="9462"/>
      <c r="J39" s="11733" t="s">
        <v>12</v>
      </c>
    </row>
    <row r="40" spans="1:10" ht="15" customHeight="1">
      <c r="A40" s="7657"/>
      <c r="B40" s="7295" t="s">
        <v>13</v>
      </c>
      <c r="C40" s="11727" t="s">
        <v>94</v>
      </c>
      <c r="D40" s="11123" t="s">
        <v>15</v>
      </c>
      <c r="E40" s="9502" t="s">
        <v>10709</v>
      </c>
      <c r="F40" s="9503" t="s">
        <v>10710</v>
      </c>
      <c r="G40" s="14191" t="s">
        <v>458</v>
      </c>
      <c r="H40" s="11438"/>
      <c r="I40" s="11108"/>
      <c r="J40" s="11734" t="s">
        <v>16</v>
      </c>
    </row>
    <row r="41" spans="1:10" ht="15" customHeight="1" thickBot="1">
      <c r="A41" s="7699"/>
      <c r="B41" s="7897"/>
      <c r="C41" s="11728"/>
      <c r="D41" s="9455">
        <v>2017</v>
      </c>
      <c r="E41" s="9467" t="s">
        <v>457</v>
      </c>
      <c r="F41" s="11661" t="s">
        <v>456</v>
      </c>
      <c r="G41" s="14192"/>
      <c r="H41" s="7302"/>
      <c r="I41" s="7322"/>
      <c r="J41" s="11735">
        <v>2019</v>
      </c>
    </row>
    <row r="42" spans="1:10" ht="15" customHeight="1">
      <c r="A42" s="7657"/>
      <c r="B42" s="7295"/>
      <c r="C42" s="11727"/>
      <c r="D42" s="11676"/>
      <c r="E42" s="11123"/>
      <c r="F42" s="11123"/>
      <c r="G42" s="11123"/>
      <c r="H42" s="11181"/>
      <c r="I42" s="11108"/>
      <c r="J42" s="11677"/>
    </row>
    <row r="43" spans="1:10" ht="15" customHeight="1">
      <c r="A43" s="11663"/>
      <c r="B43" s="7287" t="s">
        <v>38</v>
      </c>
      <c r="C43" s="10136"/>
      <c r="D43" s="11664"/>
      <c r="E43" s="11664"/>
      <c r="F43" s="11664"/>
      <c r="G43" s="11664"/>
      <c r="H43" s="11664"/>
      <c r="I43" s="11163"/>
      <c r="J43" s="11665"/>
    </row>
    <row r="44" spans="1:10" ht="15" customHeight="1">
      <c r="A44" s="7657"/>
      <c r="B44" s="7803" t="s">
        <v>391</v>
      </c>
      <c r="C44" s="10377">
        <v>50201010</v>
      </c>
      <c r="D44" s="11664">
        <f>'WS-MOOE 2017'!B28</f>
        <v>223995.62</v>
      </c>
      <c r="E44" s="11664">
        <f>'WS-MOOE ACTUAL JUNE 2018'!B29</f>
        <v>34324.76</v>
      </c>
      <c r="F44" s="11667">
        <f t="shared" ref="F44:F66" si="2">G44-E44</f>
        <v>165675.24</v>
      </c>
      <c r="G44" s="11664">
        <v>200000</v>
      </c>
      <c r="H44" s="11664">
        <v>79567.759999999995</v>
      </c>
      <c r="I44" s="11163">
        <f>H44/G44</f>
        <v>0.39783879999999999</v>
      </c>
      <c r="J44" s="11665">
        <v>180000</v>
      </c>
    </row>
    <row r="45" spans="1:10" ht="15" customHeight="1">
      <c r="A45" s="7657"/>
      <c r="B45" s="7803" t="s">
        <v>10324</v>
      </c>
      <c r="C45" s="10377">
        <v>50202010</v>
      </c>
      <c r="D45" s="11664">
        <f>'WS-MOOE 2017'!H28</f>
        <v>112300</v>
      </c>
      <c r="E45" s="11664">
        <f>'WS-MOOE ACTUAL JUNE 2018'!G29</f>
        <v>0</v>
      </c>
      <c r="F45" s="11667">
        <f t="shared" si="2"/>
        <v>368000</v>
      </c>
      <c r="G45" s="11664">
        <v>368000</v>
      </c>
      <c r="H45" s="11664">
        <v>231000</v>
      </c>
      <c r="I45" s="11163">
        <f t="shared" ref="I45:I65" si="3">H45/G45</f>
        <v>0.62771739130434778</v>
      </c>
      <c r="J45" s="11665">
        <v>386400</v>
      </c>
    </row>
    <row r="46" spans="1:10" ht="15" customHeight="1">
      <c r="A46" s="7657"/>
      <c r="B46" s="7803" t="s">
        <v>392</v>
      </c>
      <c r="C46" s="10377">
        <v>50203010</v>
      </c>
      <c r="D46" s="11664">
        <f>'WS-MOOE 2017'!J28</f>
        <v>925415.55</v>
      </c>
      <c r="E46" s="11664">
        <f>'WS-MOOE ACTUAL JUNE 2018'!H29</f>
        <v>20839.2</v>
      </c>
      <c r="F46" s="11667">
        <f t="shared" si="2"/>
        <v>1179160.8</v>
      </c>
      <c r="G46" s="11664">
        <v>1200000</v>
      </c>
      <c r="H46" s="11664">
        <v>1160768.45</v>
      </c>
      <c r="I46" s="11163">
        <f t="shared" si="3"/>
        <v>0.96730704166666659</v>
      </c>
      <c r="J46" s="11665">
        <v>1260000</v>
      </c>
    </row>
    <row r="47" spans="1:10" ht="15" customHeight="1">
      <c r="A47" s="7657"/>
      <c r="B47" s="7287" t="s">
        <v>97</v>
      </c>
      <c r="C47" s="8802">
        <v>50203020</v>
      </c>
      <c r="D47" s="11664">
        <f>'WS-MOOE 2017'!M28</f>
        <v>68750</v>
      </c>
      <c r="E47" s="11664">
        <f>'WS-MOOE ACTUAL JUNE 2018'!J29</f>
        <v>55000</v>
      </c>
      <c r="F47" s="11667">
        <f t="shared" si="2"/>
        <v>25000</v>
      </c>
      <c r="G47" s="11664">
        <v>80000</v>
      </c>
      <c r="H47" s="11664">
        <v>68750</v>
      </c>
      <c r="I47" s="11163">
        <f t="shared" si="3"/>
        <v>0.859375</v>
      </c>
      <c r="J47" s="11665">
        <v>84000</v>
      </c>
    </row>
    <row r="48" spans="1:10" ht="15" customHeight="1">
      <c r="A48" s="7657"/>
      <c r="B48" s="7287" t="s">
        <v>98</v>
      </c>
      <c r="C48" s="8802">
        <v>50203050</v>
      </c>
      <c r="D48" s="11664">
        <f>'WS-MOOE 2017'!O28</f>
        <v>2161532.23</v>
      </c>
      <c r="E48" s="11664">
        <f>'WS-MOOE ACTUAL JUNE 2018'!L29</f>
        <v>1105317.8600000001</v>
      </c>
      <c r="F48" s="11667">
        <f t="shared" si="2"/>
        <v>2394682.1399999997</v>
      </c>
      <c r="G48" s="11664">
        <v>3500000</v>
      </c>
      <c r="H48" s="11664">
        <v>1472439.04</v>
      </c>
      <c r="I48" s="11163">
        <f t="shared" si="3"/>
        <v>0.42069686857142857</v>
      </c>
      <c r="J48" s="11665">
        <v>3200000</v>
      </c>
    </row>
    <row r="49" spans="1:11" ht="15" customHeight="1">
      <c r="A49" s="7657"/>
      <c r="B49" s="7287" t="s">
        <v>9122</v>
      </c>
      <c r="C49" s="8802">
        <v>50203070</v>
      </c>
      <c r="D49" s="11664">
        <f>'WS-MOOE 2017'!P28</f>
        <v>8885037.4000000004</v>
      </c>
      <c r="E49" s="11664">
        <f>'WS-MOOE ACTUAL JUNE 2018'!M29</f>
        <v>649655.44999999995</v>
      </c>
      <c r="F49" s="11667">
        <f t="shared" si="2"/>
        <v>11850344.550000001</v>
      </c>
      <c r="G49" s="11664">
        <v>12500000</v>
      </c>
      <c r="H49" s="11664">
        <v>9148908.1199999992</v>
      </c>
      <c r="I49" s="11163">
        <f t="shared" si="3"/>
        <v>0.73191264959999991</v>
      </c>
      <c r="J49" s="11665">
        <v>14000000</v>
      </c>
      <c r="K49" s="7340">
        <v>16250000</v>
      </c>
    </row>
    <row r="50" spans="1:11" ht="15" customHeight="1">
      <c r="A50" s="7657"/>
      <c r="B50" s="7287" t="s">
        <v>135</v>
      </c>
      <c r="C50" s="8802">
        <v>50203080</v>
      </c>
      <c r="D50" s="11664">
        <f>'WS-MOOE 2017'!Q28</f>
        <v>9841655.4000000004</v>
      </c>
      <c r="E50" s="11664">
        <f>'WS-MOOE ACTUAL JUNE 2018'!N29</f>
        <v>306023.5</v>
      </c>
      <c r="F50" s="11667">
        <f t="shared" si="2"/>
        <v>13693976.5</v>
      </c>
      <c r="G50" s="11664">
        <v>14000000</v>
      </c>
      <c r="H50" s="11664">
        <v>13879489.619999999</v>
      </c>
      <c r="I50" s="11163">
        <f t="shared" si="3"/>
        <v>0.99139211571428565</v>
      </c>
      <c r="J50" s="11665">
        <v>17000000</v>
      </c>
      <c r="K50" s="7340">
        <v>18200000</v>
      </c>
    </row>
    <row r="51" spans="1:11" ht="15" customHeight="1">
      <c r="A51" s="7657"/>
      <c r="B51" s="7287" t="s">
        <v>44</v>
      </c>
      <c r="C51" s="8802">
        <v>50203090</v>
      </c>
      <c r="D51" s="11664">
        <f>'WS-MOOE 2017'!R28</f>
        <v>249701.94</v>
      </c>
      <c r="E51" s="11664">
        <f>'WS-MOOE ACTUAL JUNE 2018'!O29</f>
        <v>101212.3</v>
      </c>
      <c r="F51" s="11667">
        <f t="shared" si="2"/>
        <v>298787.7</v>
      </c>
      <c r="G51" s="11664">
        <v>400000</v>
      </c>
      <c r="H51" s="11664">
        <v>101212.3</v>
      </c>
      <c r="I51" s="11163">
        <f t="shared" si="3"/>
        <v>0.25303075000000003</v>
      </c>
      <c r="J51" s="11665">
        <v>400000</v>
      </c>
    </row>
    <row r="52" spans="1:11" ht="15" customHeight="1">
      <c r="A52" s="7657"/>
      <c r="B52" s="7287" t="s">
        <v>11225</v>
      </c>
      <c r="C52" s="8802">
        <v>50203990</v>
      </c>
      <c r="D52" s="11664">
        <f>'WS-MOOE 2017'!Y28</f>
        <v>0</v>
      </c>
      <c r="E52" s="11664">
        <f>'WS-MOOE ACTUAL JUNE 2018'!T29</f>
        <v>0</v>
      </c>
      <c r="F52" s="11667">
        <f>G52-E52</f>
        <v>275000</v>
      </c>
      <c r="G52" s="11664">
        <v>275000</v>
      </c>
      <c r="H52" s="11664">
        <v>0</v>
      </c>
      <c r="I52" s="11163">
        <f>H52/G52</f>
        <v>0</v>
      </c>
      <c r="J52" s="11665">
        <v>275000</v>
      </c>
    </row>
    <row r="53" spans="1:11" ht="15" customHeight="1">
      <c r="A53" s="7657"/>
      <c r="B53" s="7287" t="s">
        <v>45</v>
      </c>
      <c r="C53" s="8802">
        <v>50204010</v>
      </c>
      <c r="D53" s="11664">
        <f>'WS-MOOE 2017'!W28</f>
        <v>804705.44</v>
      </c>
      <c r="E53" s="11664">
        <f>'WS-MOOE ACTUAL JUNE 2018'!R29</f>
        <v>449262.97</v>
      </c>
      <c r="F53" s="11667">
        <f t="shared" si="2"/>
        <v>450737.03</v>
      </c>
      <c r="G53" s="11664">
        <v>900000</v>
      </c>
      <c r="H53" s="11664">
        <v>635492.54</v>
      </c>
      <c r="I53" s="11163">
        <f t="shared" si="3"/>
        <v>0.70610282222222231</v>
      </c>
      <c r="J53" s="11665">
        <v>990000</v>
      </c>
    </row>
    <row r="54" spans="1:11" ht="15" customHeight="1">
      <c r="A54" s="7657"/>
      <c r="B54" s="7287" t="s">
        <v>46</v>
      </c>
      <c r="C54" s="8802">
        <v>50204020</v>
      </c>
      <c r="D54" s="11664">
        <f>'WS-MOOE 2017'!X28</f>
        <v>2593491.52</v>
      </c>
      <c r="E54" s="11664">
        <f>'WS-MOOE ACTUAL JUNE 2018'!S29</f>
        <v>1331164</v>
      </c>
      <c r="F54" s="11667">
        <f t="shared" si="2"/>
        <v>2068836</v>
      </c>
      <c r="G54" s="11664">
        <v>3400000</v>
      </c>
      <c r="H54" s="11664">
        <v>2248306.71</v>
      </c>
      <c r="I54" s="11163">
        <f t="shared" si="3"/>
        <v>0.66126667941176465</v>
      </c>
      <c r="J54" s="11665">
        <v>3600000</v>
      </c>
      <c r="K54" s="7340">
        <v>4200000</v>
      </c>
    </row>
    <row r="55" spans="1:11" ht="15" customHeight="1">
      <c r="A55" s="7657"/>
      <c r="B55" s="7287" t="s">
        <v>62</v>
      </c>
      <c r="C55" s="8802">
        <v>50205010</v>
      </c>
      <c r="D55" s="11664">
        <f>'WS-MOOE 2017'!Z28</f>
        <v>610</v>
      </c>
      <c r="E55" s="11664">
        <f>'WS-MOOE ACTUAL JUNE 2018'!U29</f>
        <v>1000</v>
      </c>
      <c r="F55" s="11667">
        <f t="shared" si="2"/>
        <v>4000</v>
      </c>
      <c r="G55" s="11664">
        <v>5000</v>
      </c>
      <c r="H55" s="11664">
        <v>1000</v>
      </c>
      <c r="I55" s="11163">
        <f t="shared" si="3"/>
        <v>0.2</v>
      </c>
      <c r="J55" s="11665">
        <v>5250</v>
      </c>
    </row>
    <row r="56" spans="1:11" ht="15" customHeight="1">
      <c r="A56" s="7657"/>
      <c r="B56" s="7536" t="s">
        <v>155</v>
      </c>
      <c r="C56" s="10149">
        <v>50205020</v>
      </c>
      <c r="D56" s="11664">
        <f>'WS-MOOE 2017'!AA28+'WS-MOOE 2017'!AC28</f>
        <v>27448.55</v>
      </c>
      <c r="E56" s="11664">
        <f>'WS-MOOE ACTUAL JUNE 2018'!V29</f>
        <v>8108</v>
      </c>
      <c r="F56" s="11667">
        <f t="shared" si="2"/>
        <v>51892</v>
      </c>
      <c r="G56" s="11664">
        <v>60000</v>
      </c>
      <c r="H56" s="11664">
        <v>14108</v>
      </c>
      <c r="I56" s="11163">
        <f t="shared" si="3"/>
        <v>0.23513333333333333</v>
      </c>
      <c r="J56" s="11665">
        <v>65000</v>
      </c>
    </row>
    <row r="57" spans="1:11" ht="15" hidden="1" customHeight="1">
      <c r="A57" s="7657"/>
      <c r="B57" s="7287" t="s">
        <v>310</v>
      </c>
      <c r="C57" s="8802"/>
      <c r="D57" s="11664"/>
      <c r="E57" s="11664"/>
      <c r="F57" s="11667">
        <f t="shared" si="2"/>
        <v>0</v>
      </c>
      <c r="G57" s="11664"/>
      <c r="H57" s="11664"/>
      <c r="I57" s="11163" t="e">
        <f t="shared" si="3"/>
        <v>#DIV/0!</v>
      </c>
      <c r="J57" s="11665"/>
    </row>
    <row r="58" spans="1:11" ht="15" customHeight="1">
      <c r="A58" s="7657"/>
      <c r="B58" s="7803" t="s">
        <v>10973</v>
      </c>
      <c r="C58" s="10377">
        <v>50205030</v>
      </c>
      <c r="D58" s="11664">
        <f>'WS-MOOE 2017'!AE28</f>
        <v>34007.86</v>
      </c>
      <c r="E58" s="11664">
        <f>'WS-MOOE ACTUAL JUNE 2018'!Z29</f>
        <v>12953.91</v>
      </c>
      <c r="F58" s="11667">
        <f t="shared" si="2"/>
        <v>767046.09</v>
      </c>
      <c r="G58" s="11664">
        <v>780000</v>
      </c>
      <c r="H58" s="11664">
        <v>107942.81</v>
      </c>
      <c r="I58" s="11163">
        <f t="shared" si="3"/>
        <v>0.13838821794871795</v>
      </c>
      <c r="J58" s="11665">
        <v>900000</v>
      </c>
    </row>
    <row r="59" spans="1:11" ht="15" customHeight="1">
      <c r="A59" s="7657"/>
      <c r="B59" s="7488" t="s">
        <v>10955</v>
      </c>
      <c r="C59" s="11258">
        <v>50211990</v>
      </c>
      <c r="D59" s="11664">
        <f>'WS-MOOE 2017'!AL28</f>
        <v>3572227.28</v>
      </c>
      <c r="E59" s="11664">
        <f>'WS-MOOE ACTUAL JUNE 2018'!AF29</f>
        <v>4011242.49</v>
      </c>
      <c r="F59" s="11667">
        <f>G59-E59</f>
        <v>7488757.5099999998</v>
      </c>
      <c r="G59" s="11664">
        <v>11500000</v>
      </c>
      <c r="H59" s="11664">
        <v>11356537.359999999</v>
      </c>
      <c r="I59" s="11163">
        <f>H59/G59</f>
        <v>0.98752498782608689</v>
      </c>
      <c r="J59" s="11665">
        <v>14000000</v>
      </c>
    </row>
    <row r="60" spans="1:11" ht="15" customHeight="1">
      <c r="A60" s="7657"/>
      <c r="B60" s="7287" t="s">
        <v>311</v>
      </c>
      <c r="C60" s="8802">
        <v>50212020</v>
      </c>
      <c r="D60" s="11664">
        <f>'WS-MOOE 2017'!AM28</f>
        <v>843000</v>
      </c>
      <c r="E60" s="11664">
        <f>'WS-MOOE ACTUAL JUNE 2018'!AG29</f>
        <v>210750</v>
      </c>
      <c r="F60" s="11667">
        <f>G60-E60</f>
        <v>809850</v>
      </c>
      <c r="G60" s="11664">
        <v>1020600</v>
      </c>
      <c r="H60" s="11664">
        <v>459270</v>
      </c>
      <c r="I60" s="11163">
        <f>H60/G60</f>
        <v>0.45</v>
      </c>
      <c r="J60" s="11665">
        <v>1071630</v>
      </c>
    </row>
    <row r="61" spans="1:11" ht="15" customHeight="1">
      <c r="A61" s="7657"/>
      <c r="B61" s="7287" t="s">
        <v>47</v>
      </c>
      <c r="C61" s="8802">
        <v>50212030</v>
      </c>
      <c r="D61" s="11664">
        <f>'WS-MOOE 2017'!AN28</f>
        <v>720000</v>
      </c>
      <c r="E61" s="11664">
        <f>'WS-MOOE ACTUAL JUNE 2018'!AH29</f>
        <v>259900</v>
      </c>
      <c r="F61" s="11667">
        <f>G61-E61</f>
        <v>496100</v>
      </c>
      <c r="G61" s="11664">
        <v>756000</v>
      </c>
      <c r="H61" s="11664">
        <v>659900</v>
      </c>
      <c r="I61" s="11163">
        <f>H61/G61</f>
        <v>0.87288359788359793</v>
      </c>
      <c r="J61" s="11665">
        <v>982422</v>
      </c>
    </row>
    <row r="62" spans="1:11" ht="15" customHeight="1">
      <c r="A62" s="7657"/>
      <c r="B62" s="7352" t="s">
        <v>10956</v>
      </c>
      <c r="C62" s="8872">
        <v>50212990</v>
      </c>
      <c r="D62" s="11664">
        <f>'WS-MOOE 2017'!AO28</f>
        <v>7022555.9199999999</v>
      </c>
      <c r="E62" s="11664">
        <f>'WS-MOOE ACTUAL JUNE 2018'!AJ29</f>
        <v>2274911.67</v>
      </c>
      <c r="F62" s="11667">
        <f t="shared" si="2"/>
        <v>2225088.33</v>
      </c>
      <c r="G62" s="11664">
        <v>4500000</v>
      </c>
      <c r="H62" s="11664">
        <v>4113805.17</v>
      </c>
      <c r="I62" s="11163">
        <f t="shared" si="3"/>
        <v>0.91417892666666667</v>
      </c>
      <c r="J62" s="11665">
        <v>5990000</v>
      </c>
    </row>
    <row r="63" spans="1:11" ht="15" customHeight="1">
      <c r="A63" s="7657"/>
      <c r="B63" s="7488" t="s">
        <v>10959</v>
      </c>
      <c r="C63" s="10377">
        <v>50213040</v>
      </c>
      <c r="D63" s="11664">
        <f>'WS-MOOE 2017'!AS28</f>
        <v>171796.8</v>
      </c>
      <c r="E63" s="11664">
        <f>'WS-MOOE ACTUAL JUNE 2018'!AN29</f>
        <v>7045.25</v>
      </c>
      <c r="F63" s="11667">
        <f t="shared" si="2"/>
        <v>242954.75</v>
      </c>
      <c r="G63" s="11664">
        <v>250000</v>
      </c>
      <c r="H63" s="11664">
        <v>242460.05</v>
      </c>
      <c r="I63" s="11163">
        <f>H63/G63</f>
        <v>0.96984019999999993</v>
      </c>
      <c r="J63" s="11665">
        <v>260000</v>
      </c>
    </row>
    <row r="64" spans="1:11" ht="15" hidden="1" customHeight="1">
      <c r="A64" s="7657"/>
      <c r="B64" s="7287" t="s">
        <v>109</v>
      </c>
      <c r="C64" s="8802"/>
      <c r="D64" s="11664"/>
      <c r="E64" s="11664"/>
      <c r="F64" s="11667">
        <f t="shared" si="2"/>
        <v>0</v>
      </c>
      <c r="G64" s="11664"/>
      <c r="H64" s="11664"/>
      <c r="I64" s="11163" t="e">
        <f t="shared" si="3"/>
        <v>#DIV/0!</v>
      </c>
      <c r="J64" s="11665"/>
    </row>
    <row r="65" spans="1:12" ht="15" customHeight="1">
      <c r="A65" s="7657"/>
      <c r="B65" s="7488" t="s">
        <v>10938</v>
      </c>
      <c r="C65" s="8872">
        <v>50213050</v>
      </c>
      <c r="D65" s="11664">
        <f>'WS-MOOE 2017'!AW28</f>
        <v>18958</v>
      </c>
      <c r="E65" s="11664">
        <f>'WS-MOOE ACTUAL JUNE 2018'!AS29</f>
        <v>94320</v>
      </c>
      <c r="F65" s="11667">
        <f t="shared" si="2"/>
        <v>155680</v>
      </c>
      <c r="G65" s="11664">
        <v>250000</v>
      </c>
      <c r="H65" s="11664">
        <v>202354</v>
      </c>
      <c r="I65" s="11163">
        <f t="shared" si="3"/>
        <v>0.80941600000000002</v>
      </c>
      <c r="J65" s="11665">
        <v>250000</v>
      </c>
    </row>
    <row r="66" spans="1:12" ht="15" customHeight="1">
      <c r="A66" s="7657"/>
      <c r="B66" s="7488" t="s">
        <v>10937</v>
      </c>
      <c r="C66" s="11258">
        <v>50213060</v>
      </c>
      <c r="D66" s="8798">
        <f>'WS-MOOE 2017'!BB28</f>
        <v>110987</v>
      </c>
      <c r="E66" s="8798">
        <f>'WS-MOOE ACTUAL JUNE 2018'!AT29</f>
        <v>5000</v>
      </c>
      <c r="F66" s="11667">
        <f t="shared" si="2"/>
        <v>245000</v>
      </c>
      <c r="G66" s="8798">
        <v>250000</v>
      </c>
      <c r="H66" s="8798">
        <v>6072</v>
      </c>
      <c r="I66" s="8799">
        <f>H66/G66</f>
        <v>2.4288000000000001E-2</v>
      </c>
      <c r="J66" s="11691">
        <v>250000</v>
      </c>
    </row>
    <row r="67" spans="1:12" ht="15" customHeight="1">
      <c r="A67" s="7657"/>
      <c r="B67" s="7287" t="s">
        <v>110</v>
      </c>
      <c r="C67" s="8802">
        <v>50216010</v>
      </c>
      <c r="D67" s="8798">
        <f>'WS-MOOE 2017'!BG28</f>
        <v>26659.200000000001</v>
      </c>
      <c r="E67" s="8798">
        <f>'WS-MOOE ACTUAL JUNE 2018'!AY29</f>
        <v>31674</v>
      </c>
      <c r="F67" s="11667">
        <f>G67-E67</f>
        <v>8326</v>
      </c>
      <c r="G67" s="8798">
        <v>40000</v>
      </c>
      <c r="H67" s="8798">
        <v>31674</v>
      </c>
      <c r="I67" s="8799">
        <f>H67/G67</f>
        <v>0.79185000000000005</v>
      </c>
      <c r="J67" s="11691">
        <v>40000</v>
      </c>
    </row>
    <row r="68" spans="1:12" ht="15" customHeight="1">
      <c r="A68" s="7657"/>
      <c r="B68" s="7287" t="s">
        <v>72</v>
      </c>
      <c r="C68" s="8802">
        <v>50215020</v>
      </c>
      <c r="D68" s="8798">
        <f>'WS-MOOE 2017'!BH28</f>
        <v>13350</v>
      </c>
      <c r="E68" s="8798">
        <f>'WS-MOOE ACTUAL JUNE 2018'!AZ29</f>
        <v>9750</v>
      </c>
      <c r="F68" s="11667">
        <f>G68-E68</f>
        <v>10250</v>
      </c>
      <c r="G68" s="8798">
        <v>20000</v>
      </c>
      <c r="H68" s="8798">
        <v>11850</v>
      </c>
      <c r="I68" s="8799">
        <f>H68/G68</f>
        <v>0.59250000000000003</v>
      </c>
      <c r="J68" s="11691">
        <v>20000</v>
      </c>
    </row>
    <row r="69" spans="1:12" ht="15" customHeight="1">
      <c r="A69" s="7657"/>
      <c r="B69" s="7287" t="s">
        <v>73</v>
      </c>
      <c r="C69" s="8802">
        <v>50299990</v>
      </c>
      <c r="D69" s="8798">
        <f>'WS-MOOE 2017'!BO28</f>
        <v>178862.44</v>
      </c>
      <c r="E69" s="8798">
        <f>'WS-MOOE ACTUAL JUNE 2018'!BI29</f>
        <v>13139.15</v>
      </c>
      <c r="F69" s="11667">
        <f>G69-E69</f>
        <v>306860.84999999998</v>
      </c>
      <c r="G69" s="8798">
        <v>320000</v>
      </c>
      <c r="H69" s="8798">
        <v>287508.11</v>
      </c>
      <c r="I69" s="8799">
        <f>H69/G69</f>
        <v>0.89846284374999996</v>
      </c>
      <c r="J69" s="11691">
        <v>330000</v>
      </c>
    </row>
    <row r="70" spans="1:12" ht="15" customHeight="1">
      <c r="A70" s="7657"/>
      <c r="B70" s="7287" t="s">
        <v>11561</v>
      </c>
      <c r="C70" s="10136"/>
      <c r="D70" s="7312"/>
      <c r="E70" s="7312"/>
      <c r="F70" s="7312"/>
      <c r="G70" s="7660"/>
      <c r="H70" s="7660"/>
      <c r="I70" s="7373"/>
      <c r="J70" s="11736">
        <v>300000</v>
      </c>
    </row>
    <row r="71" spans="1:12" ht="15" customHeight="1" thickBot="1">
      <c r="A71" s="7699"/>
      <c r="B71" s="7781" t="s">
        <v>37</v>
      </c>
      <c r="C71" s="11732"/>
      <c r="D71" s="7326">
        <f>SUM(D44:D70)</f>
        <v>38607048.150000006</v>
      </c>
      <c r="E71" s="7326">
        <f>SUM(E44:E70)</f>
        <v>10992594.510000002</v>
      </c>
      <c r="F71" s="7326">
        <f>SUM(F44:F70)</f>
        <v>45582005.490000002</v>
      </c>
      <c r="G71" s="7326">
        <f>SUM(G44:G70)</f>
        <v>56574600</v>
      </c>
      <c r="H71" s="7326">
        <f>SUM(H44:H70)</f>
        <v>46520416.039999992</v>
      </c>
      <c r="I71" s="11737">
        <f>H71/G71</f>
        <v>0.82228448879886007</v>
      </c>
      <c r="J71" s="11674">
        <f>SUM(J44:J70)</f>
        <v>65839702</v>
      </c>
      <c r="K71" s="10391">
        <f>(J71-G71)/G71</f>
        <v>0.16376787462925058</v>
      </c>
      <c r="L71" s="10372"/>
    </row>
    <row r="72" spans="1:12" ht="15" customHeight="1">
      <c r="A72" s="7688"/>
      <c r="B72" s="7688"/>
      <c r="C72" s="7690"/>
      <c r="D72" s="7785"/>
      <c r="E72" s="7785"/>
      <c r="F72" s="7785"/>
      <c r="G72" s="7785"/>
      <c r="H72" s="7785"/>
      <c r="I72" s="7786"/>
      <c r="J72" s="7785"/>
    </row>
    <row r="73" spans="1:12" ht="15" customHeight="1">
      <c r="A73" s="7287"/>
      <c r="B73" s="7287"/>
      <c r="C73" s="7288"/>
      <c r="D73" s="7669"/>
      <c r="E73" s="7669"/>
      <c r="F73" s="7669"/>
      <c r="G73" s="7669"/>
      <c r="H73" s="7669"/>
      <c r="I73" s="7757"/>
    </row>
    <row r="74" spans="1:12" ht="15" customHeight="1">
      <c r="A74" s="7287"/>
      <c r="B74" s="7287"/>
      <c r="C74" s="7288"/>
      <c r="D74" s="7669"/>
      <c r="E74" s="7669"/>
      <c r="F74" s="7669"/>
      <c r="G74" s="7669"/>
      <c r="H74" s="7669"/>
      <c r="I74" s="7757"/>
      <c r="J74" s="7669"/>
    </row>
    <row r="75" spans="1:12" ht="15" customHeight="1">
      <c r="A75" s="7287"/>
      <c r="B75" s="7287"/>
      <c r="C75" s="7288"/>
      <c r="D75" s="7669"/>
      <c r="E75" s="7669"/>
      <c r="F75" s="7669"/>
      <c r="G75" s="7669"/>
      <c r="H75" s="7669"/>
      <c r="I75" s="7757"/>
      <c r="J75" s="7669"/>
    </row>
    <row r="76" spans="1:12" ht="15" customHeight="1">
      <c r="A76" s="7287"/>
      <c r="B76" s="7287"/>
      <c r="C76" s="7288"/>
      <c r="D76" s="7669"/>
      <c r="E76" s="7669"/>
      <c r="F76" s="7669"/>
      <c r="G76" s="7669"/>
      <c r="H76" s="7669"/>
      <c r="I76" s="7757"/>
      <c r="J76" s="7669"/>
    </row>
    <row r="77" spans="1:12" ht="15" customHeight="1" thickBot="1">
      <c r="A77" s="7291" t="s">
        <v>10744</v>
      </c>
      <c r="B77" s="7291"/>
      <c r="C77" s="7292"/>
      <c r="D77" s="7693"/>
      <c r="E77" s="7693"/>
      <c r="F77" s="7693"/>
      <c r="G77" s="7693"/>
      <c r="H77" s="7693"/>
      <c r="I77" s="7753"/>
      <c r="J77" s="7693"/>
    </row>
    <row r="78" spans="1:12" ht="15" customHeight="1">
      <c r="A78" s="7694"/>
      <c r="B78" s="11658"/>
      <c r="C78" s="9460" t="s">
        <v>103</v>
      </c>
      <c r="D78" s="10868" t="s">
        <v>10</v>
      </c>
      <c r="E78" s="14188" t="s">
        <v>10711</v>
      </c>
      <c r="F78" s="14189"/>
      <c r="G78" s="14190"/>
      <c r="H78" s="9461"/>
      <c r="I78" s="9462"/>
      <c r="J78" s="11733" t="s">
        <v>12</v>
      </c>
    </row>
    <row r="79" spans="1:12" ht="15" customHeight="1">
      <c r="A79" s="7657"/>
      <c r="B79" s="7295" t="s">
        <v>13</v>
      </c>
      <c r="C79" s="11727" t="s">
        <v>94</v>
      </c>
      <c r="D79" s="11123" t="s">
        <v>15</v>
      </c>
      <c r="E79" s="9502" t="s">
        <v>10709</v>
      </c>
      <c r="F79" s="9503" t="s">
        <v>10710</v>
      </c>
      <c r="G79" s="14191" t="s">
        <v>458</v>
      </c>
      <c r="H79" s="11438"/>
      <c r="I79" s="11108"/>
      <c r="J79" s="11734" t="s">
        <v>16</v>
      </c>
    </row>
    <row r="80" spans="1:12" ht="15" customHeight="1" thickBot="1">
      <c r="A80" s="7699"/>
      <c r="B80" s="7897"/>
      <c r="C80" s="11728"/>
      <c r="D80" s="9455">
        <v>2017</v>
      </c>
      <c r="E80" s="9467" t="s">
        <v>457</v>
      </c>
      <c r="F80" s="11661" t="s">
        <v>456</v>
      </c>
      <c r="G80" s="14192"/>
      <c r="H80" s="7302"/>
      <c r="I80" s="7322"/>
      <c r="J80" s="11735">
        <v>2019</v>
      </c>
    </row>
    <row r="81" spans="1:17" ht="15" customHeight="1">
      <c r="A81" s="11663" t="s">
        <v>51</v>
      </c>
      <c r="B81" s="7287" t="s">
        <v>52</v>
      </c>
      <c r="C81" s="10136"/>
      <c r="D81" s="11664"/>
      <c r="E81" s="11664"/>
      <c r="F81" s="11664"/>
      <c r="G81" s="8878"/>
      <c r="H81" s="9479"/>
      <c r="I81" s="9480"/>
      <c r="J81" s="11743"/>
    </row>
    <row r="82" spans="1:17" ht="15" customHeight="1">
      <c r="A82" s="11663"/>
      <c r="B82" s="7287"/>
      <c r="C82" s="10136"/>
      <c r="D82" s="11664"/>
      <c r="E82" s="11664"/>
      <c r="F82" s="11664"/>
      <c r="G82" s="8798"/>
      <c r="H82" s="11664"/>
      <c r="I82" s="11163"/>
      <c r="J82" s="11691"/>
    </row>
    <row r="83" spans="1:17" ht="15" customHeight="1">
      <c r="A83" s="11663"/>
      <c r="B83" s="7287" t="s">
        <v>11196</v>
      </c>
      <c r="C83" s="8802">
        <v>50704990</v>
      </c>
      <c r="D83" s="11664">
        <v>0</v>
      </c>
      <c r="E83" s="11664">
        <v>0</v>
      </c>
      <c r="F83" s="11667">
        <f>G83-E83</f>
        <v>300000</v>
      </c>
      <c r="G83" s="8798">
        <v>300000</v>
      </c>
      <c r="H83" s="11664">
        <v>300000</v>
      </c>
      <c r="I83" s="8799">
        <f>H83/G83</f>
        <v>1</v>
      </c>
      <c r="J83" s="11691">
        <v>0</v>
      </c>
      <c r="K83" s="7447"/>
      <c r="L83" s="7314"/>
      <c r="M83" s="7314"/>
    </row>
    <row r="84" spans="1:17" ht="15" customHeight="1">
      <c r="A84" s="11663"/>
      <c r="B84" s="7287" t="s">
        <v>12231</v>
      </c>
      <c r="C84" s="8802">
        <v>50705020</v>
      </c>
      <c r="D84" s="8798">
        <f>'WS-CO 2017'!K27</f>
        <v>628530</v>
      </c>
      <c r="E84" s="8798">
        <v>0</v>
      </c>
      <c r="F84" s="11667">
        <f>G84-E84</f>
        <v>0</v>
      </c>
      <c r="G84" s="8798">
        <v>0</v>
      </c>
      <c r="H84" s="8798">
        <v>0</v>
      </c>
      <c r="I84" s="8799"/>
      <c r="J84" s="11691">
        <v>0</v>
      </c>
      <c r="K84" s="7862">
        <f>SUM(K85:K91)</f>
        <v>135000</v>
      </c>
      <c r="L84" s="7314"/>
      <c r="M84" s="7314"/>
    </row>
    <row r="85" spans="1:17" ht="15" hidden="1" customHeight="1">
      <c r="A85" s="11663"/>
      <c r="B85" s="7287"/>
      <c r="C85" s="8802"/>
      <c r="D85" s="8798"/>
      <c r="E85" s="8798"/>
      <c r="F85" s="11667"/>
      <c r="G85" s="8798"/>
      <c r="H85" s="8798"/>
      <c r="I85" s="8799"/>
      <c r="J85" s="11691"/>
      <c r="K85" s="11724">
        <v>135000</v>
      </c>
      <c r="L85" s="7314"/>
      <c r="M85" s="11722" t="s">
        <v>11572</v>
      </c>
    </row>
    <row r="86" spans="1:17" ht="15" hidden="1" customHeight="1">
      <c r="A86" s="11663"/>
      <c r="B86" s="7287"/>
      <c r="C86" s="8802"/>
      <c r="D86" s="8798"/>
      <c r="E86" s="8798"/>
      <c r="F86" s="11667"/>
      <c r="G86" s="8798"/>
      <c r="H86" s="8798"/>
      <c r="I86" s="8799"/>
      <c r="J86" s="11691"/>
      <c r="K86" s="11724"/>
      <c r="L86" s="7314"/>
      <c r="M86" s="11722" t="s">
        <v>11575</v>
      </c>
    </row>
    <row r="87" spans="1:17" ht="15" hidden="1" customHeight="1">
      <c r="A87" s="11663"/>
      <c r="B87" s="7287"/>
      <c r="C87" s="8802"/>
      <c r="D87" s="8798"/>
      <c r="E87" s="8798"/>
      <c r="F87" s="11667"/>
      <c r="G87" s="8798"/>
      <c r="H87" s="8798"/>
      <c r="I87" s="8799"/>
      <c r="J87" s="11691"/>
      <c r="K87" s="11724"/>
      <c r="L87" s="7314"/>
      <c r="M87" s="11722" t="s">
        <v>11576</v>
      </c>
      <c r="Q87" s="7275">
        <v>3</v>
      </c>
    </row>
    <row r="88" spans="1:17" ht="15" hidden="1" customHeight="1">
      <c r="A88" s="11663"/>
      <c r="B88" s="7287"/>
      <c r="C88" s="8802"/>
      <c r="D88" s="8798"/>
      <c r="E88" s="8798"/>
      <c r="F88" s="11667"/>
      <c r="G88" s="8798"/>
      <c r="H88" s="8798"/>
      <c r="I88" s="8799"/>
      <c r="J88" s="11691"/>
      <c r="K88" s="11724"/>
      <c r="L88" s="7314"/>
      <c r="M88" s="11722" t="s">
        <v>11577</v>
      </c>
      <c r="Q88" s="7275">
        <v>3</v>
      </c>
    </row>
    <row r="89" spans="1:17" ht="15" hidden="1" customHeight="1">
      <c r="A89" s="11663"/>
      <c r="B89" s="7287"/>
      <c r="C89" s="8802"/>
      <c r="D89" s="8798"/>
      <c r="E89" s="8798"/>
      <c r="F89" s="11667"/>
      <c r="G89" s="8798"/>
      <c r="H89" s="8798"/>
      <c r="I89" s="8799"/>
      <c r="J89" s="11691"/>
      <c r="K89" s="11724"/>
      <c r="L89" s="7314"/>
      <c r="M89" s="11722" t="s">
        <v>11578</v>
      </c>
      <c r="Q89" s="7275">
        <v>3</v>
      </c>
    </row>
    <row r="90" spans="1:17" ht="15" hidden="1" customHeight="1">
      <c r="A90" s="11663"/>
      <c r="B90" s="7287"/>
      <c r="C90" s="8802"/>
      <c r="D90" s="8798"/>
      <c r="E90" s="8798"/>
      <c r="F90" s="11667"/>
      <c r="G90" s="8798"/>
      <c r="H90" s="8798"/>
      <c r="I90" s="8799"/>
      <c r="J90" s="11691"/>
      <c r="K90" s="11724"/>
      <c r="L90" s="7314"/>
      <c r="M90" s="11722" t="s">
        <v>11579</v>
      </c>
      <c r="Q90" s="7275">
        <v>3</v>
      </c>
    </row>
    <row r="91" spans="1:17" ht="15" hidden="1" customHeight="1">
      <c r="A91" s="11663"/>
      <c r="B91" s="7287"/>
      <c r="C91" s="8802"/>
      <c r="D91" s="8798"/>
      <c r="E91" s="8798"/>
      <c r="F91" s="11667"/>
      <c r="G91" s="8798"/>
      <c r="H91" s="8798"/>
      <c r="I91" s="8799"/>
      <c r="J91" s="11691"/>
      <c r="K91" s="11724"/>
      <c r="L91" s="7314"/>
    </row>
    <row r="92" spans="1:17" ht="15" hidden="1" customHeight="1">
      <c r="A92" s="11663"/>
      <c r="B92" s="7287" t="s">
        <v>9987</v>
      </c>
      <c r="C92" s="8802">
        <v>50707010</v>
      </c>
      <c r="D92" s="8798"/>
      <c r="E92" s="8798">
        <v>0</v>
      </c>
      <c r="F92" s="11667">
        <f>G92-E92</f>
        <v>0</v>
      </c>
      <c r="G92" s="8798">
        <v>0</v>
      </c>
      <c r="H92" s="8798"/>
      <c r="I92" s="8799">
        <v>0</v>
      </c>
      <c r="J92" s="11691">
        <v>0</v>
      </c>
      <c r="K92" s="11738">
        <f>SUM(K93:K94)</f>
        <v>43000</v>
      </c>
      <c r="L92" s="7314"/>
      <c r="M92" s="7314"/>
    </row>
    <row r="93" spans="1:17" ht="15" hidden="1" customHeight="1">
      <c r="A93" s="11663"/>
      <c r="B93" s="7287"/>
      <c r="C93" s="8802"/>
      <c r="D93" s="8798"/>
      <c r="E93" s="8798"/>
      <c r="F93" s="11667"/>
      <c r="G93" s="8798"/>
      <c r="H93" s="8798"/>
      <c r="I93" s="8799"/>
      <c r="J93" s="11665"/>
      <c r="K93" s="11723">
        <v>35000</v>
      </c>
      <c r="L93" s="7314"/>
      <c r="M93" s="11722" t="s">
        <v>11585</v>
      </c>
    </row>
    <row r="94" spans="1:17" ht="15" hidden="1" customHeight="1">
      <c r="A94" s="11663"/>
      <c r="B94" s="7287"/>
      <c r="C94" s="8802"/>
      <c r="D94" s="8798"/>
      <c r="E94" s="8798"/>
      <c r="F94" s="11667"/>
      <c r="G94" s="8798"/>
      <c r="H94" s="8798"/>
      <c r="I94" s="8799"/>
      <c r="J94" s="11665"/>
      <c r="K94" s="11723">
        <v>8000</v>
      </c>
      <c r="L94" s="7314"/>
      <c r="M94" s="11722" t="s">
        <v>11586</v>
      </c>
    </row>
    <row r="95" spans="1:17" ht="15" customHeight="1">
      <c r="A95" s="11663"/>
      <c r="B95" s="7488" t="s">
        <v>10976</v>
      </c>
      <c r="C95" s="10144">
        <v>50705030</v>
      </c>
      <c r="D95" s="8798">
        <f>'WS-CO 2017'!H27</f>
        <v>247618</v>
      </c>
      <c r="E95" s="8798">
        <v>0</v>
      </c>
      <c r="F95" s="11667">
        <f>G95-E95</f>
        <v>1590000</v>
      </c>
      <c r="G95" s="8798">
        <v>1590000</v>
      </c>
      <c r="H95" s="8798">
        <v>1590000</v>
      </c>
      <c r="I95" s="8799">
        <f>H95/G95</f>
        <v>1</v>
      </c>
      <c r="J95" s="11678">
        <v>351000</v>
      </c>
      <c r="K95" s="7503">
        <f>SUM(K96:K104)</f>
        <v>351000</v>
      </c>
      <c r="L95" s="7314"/>
      <c r="M95" s="11722" t="s">
        <v>11581</v>
      </c>
    </row>
    <row r="96" spans="1:17" ht="15" hidden="1" customHeight="1">
      <c r="A96" s="11663"/>
      <c r="B96" s="7488" t="s">
        <v>11925</v>
      </c>
      <c r="C96" s="10144"/>
      <c r="D96" s="8798"/>
      <c r="E96" s="8798"/>
      <c r="F96" s="11667"/>
      <c r="G96" s="8798"/>
      <c r="H96" s="8798"/>
      <c r="I96" s="8799"/>
      <c r="J96" s="11678"/>
      <c r="K96" s="7310">
        <v>35000</v>
      </c>
      <c r="M96" s="11722" t="s">
        <v>11582</v>
      </c>
    </row>
    <row r="97" spans="1:13" ht="15" hidden="1" customHeight="1">
      <c r="A97" s="11663"/>
      <c r="B97" s="7488"/>
      <c r="C97" s="10144"/>
      <c r="D97" s="8798"/>
      <c r="E97" s="8798"/>
      <c r="F97" s="11667"/>
      <c r="G97" s="8798"/>
      <c r="H97" s="8798"/>
      <c r="I97" s="8799"/>
      <c r="J97" s="11678"/>
      <c r="K97" s="7310">
        <v>135000</v>
      </c>
      <c r="M97" s="11722" t="s">
        <v>11583</v>
      </c>
    </row>
    <row r="98" spans="1:13" ht="15" hidden="1" customHeight="1">
      <c r="A98" s="11663"/>
      <c r="B98" s="7488"/>
      <c r="C98" s="10144"/>
      <c r="D98" s="8798"/>
      <c r="E98" s="8798"/>
      <c r="F98" s="11667"/>
      <c r="G98" s="8798"/>
      <c r="H98" s="8798"/>
      <c r="I98" s="8799"/>
      <c r="J98" s="11678"/>
      <c r="K98" s="7310">
        <v>35000</v>
      </c>
      <c r="M98" s="11722" t="s">
        <v>11584</v>
      </c>
    </row>
    <row r="99" spans="1:13" ht="15" hidden="1" customHeight="1">
      <c r="A99" s="11663"/>
      <c r="B99" s="7488"/>
      <c r="C99" s="10144"/>
      <c r="D99" s="8798"/>
      <c r="E99" s="8798"/>
      <c r="F99" s="11667"/>
      <c r="G99" s="8798"/>
      <c r="H99" s="8798"/>
      <c r="I99" s="8799"/>
      <c r="J99" s="11678"/>
      <c r="K99" s="7310">
        <v>6000</v>
      </c>
      <c r="M99" s="11722" t="s">
        <v>11991</v>
      </c>
    </row>
    <row r="100" spans="1:13" ht="15" hidden="1" customHeight="1">
      <c r="A100" s="11663"/>
      <c r="B100" s="7488"/>
      <c r="C100" s="10144"/>
      <c r="D100" s="8798"/>
      <c r="E100" s="8798"/>
      <c r="F100" s="11667"/>
      <c r="G100" s="8798"/>
      <c r="H100" s="8798"/>
      <c r="I100" s="8799"/>
      <c r="J100" s="11678"/>
      <c r="K100" s="7310">
        <v>50000</v>
      </c>
      <c r="M100" s="11722" t="s">
        <v>11992</v>
      </c>
    </row>
    <row r="101" spans="1:13" ht="15" hidden="1" customHeight="1">
      <c r="A101" s="11663"/>
      <c r="B101" s="7488"/>
      <c r="C101" s="10144"/>
      <c r="D101" s="8798"/>
      <c r="E101" s="8798"/>
      <c r="F101" s="11667"/>
      <c r="G101" s="8798"/>
      <c r="H101" s="8798"/>
      <c r="I101" s="8799"/>
      <c r="J101" s="11678"/>
      <c r="K101" s="7310">
        <v>50000</v>
      </c>
      <c r="M101" s="11722" t="s">
        <v>11993</v>
      </c>
    </row>
    <row r="102" spans="1:13" ht="15" hidden="1" customHeight="1">
      <c r="A102" s="11663"/>
      <c r="B102" s="7488"/>
      <c r="C102" s="10144"/>
      <c r="D102" s="8798"/>
      <c r="E102" s="8798"/>
      <c r="F102" s="11667"/>
      <c r="G102" s="8798"/>
      <c r="H102" s="8798"/>
      <c r="I102" s="8799"/>
      <c r="J102" s="11678"/>
      <c r="K102" s="7310">
        <v>5000</v>
      </c>
      <c r="M102" s="11722" t="s">
        <v>11994</v>
      </c>
    </row>
    <row r="103" spans="1:13" ht="15" hidden="1" customHeight="1">
      <c r="A103" s="11663"/>
      <c r="B103" s="7488"/>
      <c r="C103" s="10144"/>
      <c r="D103" s="8798"/>
      <c r="E103" s="8798"/>
      <c r="F103" s="11667"/>
      <c r="G103" s="8798"/>
      <c r="H103" s="8798"/>
      <c r="I103" s="8799"/>
      <c r="J103" s="11678"/>
      <c r="K103" s="7310">
        <v>35000</v>
      </c>
      <c r="M103" s="11722" t="s">
        <v>11995</v>
      </c>
    </row>
    <row r="104" spans="1:13" ht="15" customHeight="1">
      <c r="A104" s="11663"/>
      <c r="B104" s="7784" t="s">
        <v>11227</v>
      </c>
      <c r="C104" s="8802">
        <v>50705070</v>
      </c>
      <c r="D104" s="8798">
        <v>0</v>
      </c>
      <c r="E104" s="8798">
        <v>0</v>
      </c>
      <c r="F104" s="11667">
        <f>G104-E104</f>
        <v>80000</v>
      </c>
      <c r="G104" s="8798">
        <v>80000</v>
      </c>
      <c r="H104" s="8798">
        <v>80000</v>
      </c>
      <c r="I104" s="8799">
        <f>H104/G104</f>
        <v>1</v>
      </c>
      <c r="J104" s="11691">
        <v>0</v>
      </c>
      <c r="K104" s="7447"/>
      <c r="L104" s="7314"/>
    </row>
    <row r="105" spans="1:13" ht="15" hidden="1" customHeight="1">
      <c r="A105" s="11663"/>
      <c r="B105" s="7287" t="s">
        <v>11591</v>
      </c>
      <c r="C105" s="8802">
        <v>50705110</v>
      </c>
      <c r="D105" s="8798"/>
      <c r="E105" s="8798"/>
      <c r="F105" s="11667"/>
      <c r="G105" s="8798"/>
      <c r="H105" s="8798"/>
      <c r="I105" s="8799"/>
      <c r="J105" s="11691"/>
      <c r="K105" s="7862">
        <f>SUM(K106:K110)</f>
        <v>1940000</v>
      </c>
      <c r="L105" s="7314"/>
    </row>
    <row r="106" spans="1:13" ht="15" hidden="1" customHeight="1">
      <c r="A106" s="11663"/>
      <c r="B106" s="11722"/>
      <c r="C106" s="8802"/>
      <c r="D106" s="8798"/>
      <c r="E106" s="8798"/>
      <c r="F106" s="11667"/>
      <c r="G106" s="8798"/>
      <c r="H106" s="8798"/>
      <c r="I106" s="8799"/>
      <c r="J106" s="11691"/>
      <c r="K106" s="11739">
        <v>1350000</v>
      </c>
      <c r="L106" s="11723"/>
      <c r="M106" s="11722" t="s">
        <v>11990</v>
      </c>
    </row>
    <row r="107" spans="1:13" ht="15" hidden="1" customHeight="1">
      <c r="A107" s="11663"/>
      <c r="B107" s="11722"/>
      <c r="C107" s="8802"/>
      <c r="D107" s="8798"/>
      <c r="E107" s="8798"/>
      <c r="F107" s="11667"/>
      <c r="G107" s="8798"/>
      <c r="H107" s="8798"/>
      <c r="I107" s="8799"/>
      <c r="J107" s="11691"/>
      <c r="K107" s="11739">
        <v>450000</v>
      </c>
      <c r="L107" s="11724"/>
      <c r="M107" s="11722" t="s">
        <v>11922</v>
      </c>
    </row>
    <row r="108" spans="1:13" ht="15" hidden="1" customHeight="1">
      <c r="A108" s="11663"/>
      <c r="B108" s="11722"/>
      <c r="C108" s="8802"/>
      <c r="D108" s="8798"/>
      <c r="E108" s="8798"/>
      <c r="F108" s="11667"/>
      <c r="G108" s="8798"/>
      <c r="H108" s="8798"/>
      <c r="I108" s="8799"/>
      <c r="J108" s="11691"/>
      <c r="K108" s="11740">
        <v>45000</v>
      </c>
      <c r="L108" s="11725"/>
      <c r="M108" s="11722" t="s">
        <v>11569</v>
      </c>
    </row>
    <row r="109" spans="1:13" ht="15" hidden="1" customHeight="1">
      <c r="A109" s="11663"/>
      <c r="B109" s="11722"/>
      <c r="C109" s="8802"/>
      <c r="D109" s="8798"/>
      <c r="E109" s="8798"/>
      <c r="F109" s="11667"/>
      <c r="G109" s="8798"/>
      <c r="H109" s="8798"/>
      <c r="I109" s="8799"/>
      <c r="J109" s="11691"/>
      <c r="K109" s="11739">
        <v>95000</v>
      </c>
      <c r="L109" s="11723"/>
      <c r="M109" s="11722" t="s">
        <v>11923</v>
      </c>
    </row>
    <row r="110" spans="1:13" ht="15" hidden="1" customHeight="1">
      <c r="A110" s="11663"/>
      <c r="B110" s="11722"/>
      <c r="C110" s="8802"/>
      <c r="D110" s="8798"/>
      <c r="E110" s="8798"/>
      <c r="F110" s="11667"/>
      <c r="G110" s="8798"/>
      <c r="H110" s="8798"/>
      <c r="I110" s="8799"/>
      <c r="J110" s="11691"/>
      <c r="K110" s="11740"/>
      <c r="L110" s="11725"/>
      <c r="M110" s="11722" t="s">
        <v>11570</v>
      </c>
    </row>
    <row r="111" spans="1:13" ht="15" hidden="1" customHeight="1">
      <c r="A111" s="11663"/>
      <c r="B111" s="11722"/>
      <c r="C111" s="8802"/>
      <c r="D111" s="8798"/>
      <c r="E111" s="8798"/>
      <c r="F111" s="11667"/>
      <c r="G111" s="8798"/>
      <c r="H111" s="8798"/>
      <c r="I111" s="8799"/>
      <c r="J111" s="11691"/>
      <c r="K111" s="11726"/>
      <c r="L111" s="11726"/>
      <c r="M111" s="11722" t="s">
        <v>11571</v>
      </c>
    </row>
    <row r="112" spans="1:13" ht="15" hidden="1" customHeight="1">
      <c r="A112" s="11663"/>
      <c r="B112" s="11722"/>
      <c r="C112" s="8802"/>
      <c r="D112" s="8798"/>
      <c r="E112" s="8798"/>
      <c r="F112" s="11667"/>
      <c r="G112" s="8798"/>
      <c r="H112" s="8798"/>
      <c r="I112" s="8799"/>
      <c r="J112" s="11691"/>
      <c r="K112" s="11723"/>
      <c r="L112" s="11723"/>
      <c r="M112" s="11722" t="s">
        <v>11562</v>
      </c>
    </row>
    <row r="113" spans="1:13" ht="15" hidden="1" customHeight="1">
      <c r="A113" s="11663"/>
      <c r="B113" s="11722"/>
      <c r="C113" s="8802"/>
      <c r="D113" s="8798"/>
      <c r="E113" s="8798"/>
      <c r="F113" s="11667"/>
      <c r="G113" s="8798"/>
      <c r="H113" s="8798"/>
      <c r="I113" s="8799"/>
      <c r="J113" s="11691"/>
      <c r="K113" s="11723"/>
      <c r="L113" s="11723"/>
      <c r="M113" s="11722" t="s">
        <v>11563</v>
      </c>
    </row>
    <row r="114" spans="1:13" ht="15" hidden="1" customHeight="1">
      <c r="A114" s="11663"/>
      <c r="B114" s="11722"/>
      <c r="C114" s="8802"/>
      <c r="D114" s="8798"/>
      <c r="E114" s="8798"/>
      <c r="F114" s="11667"/>
      <c r="G114" s="8798"/>
      <c r="H114" s="8798"/>
      <c r="I114" s="8799"/>
      <c r="J114" s="11691"/>
      <c r="K114" s="11723"/>
      <c r="L114" s="11723"/>
      <c r="M114" s="11722" t="s">
        <v>11564</v>
      </c>
    </row>
    <row r="115" spans="1:13" ht="15" hidden="1" customHeight="1">
      <c r="A115" s="11663"/>
      <c r="B115" s="11722"/>
      <c r="C115" s="8802"/>
      <c r="D115" s="8798"/>
      <c r="E115" s="8798"/>
      <c r="F115" s="11667"/>
      <c r="G115" s="8798"/>
      <c r="H115" s="8798"/>
      <c r="I115" s="8799"/>
      <c r="J115" s="11691"/>
      <c r="K115" s="11723"/>
      <c r="L115" s="11723"/>
      <c r="M115" s="11722" t="s">
        <v>11565</v>
      </c>
    </row>
    <row r="116" spans="1:13" ht="15" hidden="1" customHeight="1">
      <c r="A116" s="11663"/>
      <c r="B116" s="11722"/>
      <c r="C116" s="8802"/>
      <c r="D116" s="8798"/>
      <c r="E116" s="8798"/>
      <c r="F116" s="11667"/>
      <c r="G116" s="8798"/>
      <c r="H116" s="8798"/>
      <c r="I116" s="8799"/>
      <c r="J116" s="11691"/>
      <c r="K116" s="11723"/>
      <c r="L116" s="11723"/>
      <c r="M116" s="11722" t="s">
        <v>11566</v>
      </c>
    </row>
    <row r="117" spans="1:13" ht="15" hidden="1" customHeight="1">
      <c r="A117" s="11663"/>
      <c r="B117" s="11722"/>
      <c r="C117" s="8802"/>
      <c r="D117" s="8798"/>
      <c r="E117" s="8798"/>
      <c r="F117" s="11667"/>
      <c r="G117" s="8798"/>
      <c r="H117" s="8798"/>
      <c r="I117" s="8799"/>
      <c r="J117" s="11691"/>
      <c r="K117" s="11723"/>
      <c r="L117" s="11723"/>
      <c r="M117" s="11722" t="s">
        <v>11567</v>
      </c>
    </row>
    <row r="118" spans="1:13" ht="15" hidden="1" customHeight="1">
      <c r="A118" s="11663"/>
      <c r="B118" s="11722"/>
      <c r="C118" s="8802"/>
      <c r="D118" s="8798"/>
      <c r="E118" s="8798"/>
      <c r="F118" s="11667"/>
      <c r="G118" s="8798"/>
      <c r="H118" s="8798"/>
      <c r="I118" s="8799"/>
      <c r="J118" s="11691"/>
      <c r="K118" s="11741"/>
      <c r="L118" s="11723"/>
      <c r="M118" s="11722" t="s">
        <v>11568</v>
      </c>
    </row>
    <row r="119" spans="1:13" ht="15" customHeight="1">
      <c r="A119" s="11663"/>
      <c r="B119" s="7287" t="s">
        <v>10977</v>
      </c>
      <c r="C119" s="8802">
        <v>50705990</v>
      </c>
      <c r="D119" s="8798">
        <f>'WS-CO 2017'!I27</f>
        <v>134542</v>
      </c>
      <c r="E119" s="8798">
        <v>0</v>
      </c>
      <c r="F119" s="11667">
        <f>G119-E119</f>
        <v>670000</v>
      </c>
      <c r="G119" s="8798">
        <v>670000</v>
      </c>
      <c r="H119" s="8798">
        <v>670000</v>
      </c>
      <c r="I119" s="8799">
        <f>H119/G119</f>
        <v>1</v>
      </c>
      <c r="J119" s="11691">
        <f>210000+70000+165000+25000+160000</f>
        <v>630000</v>
      </c>
      <c r="K119" s="11742">
        <f>SUM(K120:K124)</f>
        <v>630000</v>
      </c>
      <c r="L119" s="11723"/>
    </row>
    <row r="120" spans="1:13" ht="15" hidden="1" customHeight="1">
      <c r="A120" s="11663"/>
      <c r="B120" s="7287" t="s">
        <v>11924</v>
      </c>
      <c r="C120" s="8802"/>
      <c r="D120" s="8798"/>
      <c r="E120" s="8798"/>
      <c r="F120" s="11667"/>
      <c r="G120" s="8798"/>
      <c r="H120" s="8798"/>
      <c r="I120" s="8799"/>
      <c r="J120" s="11691"/>
      <c r="K120" s="7483">
        <v>165000</v>
      </c>
      <c r="L120" s="7314"/>
      <c r="M120" s="11722" t="s">
        <v>11573</v>
      </c>
    </row>
    <row r="121" spans="1:13" ht="15" hidden="1" customHeight="1">
      <c r="A121" s="11663"/>
      <c r="B121" s="7287"/>
      <c r="C121" s="8802"/>
      <c r="D121" s="8798"/>
      <c r="E121" s="8798"/>
      <c r="F121" s="11667"/>
      <c r="G121" s="8798"/>
      <c r="H121" s="8798"/>
      <c r="I121" s="8799"/>
      <c r="J121" s="11691"/>
      <c r="K121" s="7483">
        <v>25000</v>
      </c>
      <c r="L121" s="7314"/>
      <c r="M121" s="11722" t="s">
        <v>11574</v>
      </c>
    </row>
    <row r="122" spans="1:13" ht="15" hidden="1" customHeight="1">
      <c r="A122" s="11663"/>
      <c r="B122" s="7287"/>
      <c r="C122" s="8802"/>
      <c r="D122" s="8798"/>
      <c r="E122" s="8798"/>
      <c r="F122" s="11667"/>
      <c r="G122" s="8798"/>
      <c r="H122" s="8798"/>
      <c r="I122" s="8799"/>
      <c r="J122" s="11691"/>
      <c r="K122" s="7483">
        <v>210000</v>
      </c>
      <c r="L122" s="7314"/>
      <c r="M122" s="11722" t="s">
        <v>11944</v>
      </c>
    </row>
    <row r="123" spans="1:13" ht="15" hidden="1" customHeight="1">
      <c r="A123" s="11663"/>
      <c r="B123" s="7287"/>
      <c r="C123" s="8802"/>
      <c r="D123" s="8798"/>
      <c r="E123" s="8798"/>
      <c r="F123" s="11667"/>
      <c r="G123" s="8798"/>
      <c r="H123" s="8798"/>
      <c r="I123" s="8799"/>
      <c r="J123" s="11691"/>
      <c r="K123" s="7483">
        <v>70000</v>
      </c>
      <c r="L123" s="7314"/>
      <c r="M123" s="11722" t="s">
        <v>11943</v>
      </c>
    </row>
    <row r="124" spans="1:13" ht="15" hidden="1" customHeight="1">
      <c r="A124" s="11663"/>
      <c r="B124" s="7287"/>
      <c r="C124" s="8802"/>
      <c r="D124" s="8798"/>
      <c r="E124" s="8798"/>
      <c r="F124" s="11667"/>
      <c r="G124" s="8798"/>
      <c r="H124" s="8798"/>
      <c r="I124" s="8799"/>
      <c r="J124" s="11691"/>
      <c r="K124" s="7483">
        <v>160000</v>
      </c>
      <c r="L124" s="7314"/>
      <c r="M124" s="11722" t="s">
        <v>11580</v>
      </c>
    </row>
    <row r="125" spans="1:13" ht="15" hidden="1" customHeight="1">
      <c r="A125" s="11663"/>
      <c r="B125" s="7287" t="s">
        <v>9128</v>
      </c>
      <c r="C125" s="8802">
        <v>50706010</v>
      </c>
      <c r="D125" s="8798"/>
      <c r="E125" s="8798">
        <v>0</v>
      </c>
      <c r="F125" s="11667">
        <f>G125-E125</f>
        <v>0</v>
      </c>
      <c r="G125" s="8798">
        <v>0</v>
      </c>
      <c r="H125" s="8798"/>
      <c r="I125" s="8799"/>
      <c r="J125" s="11691">
        <v>0</v>
      </c>
      <c r="K125" s="7340" t="s">
        <v>11921</v>
      </c>
    </row>
    <row r="126" spans="1:13" ht="15" customHeight="1">
      <c r="A126" s="11663"/>
      <c r="B126" s="7287"/>
      <c r="C126" s="10136"/>
      <c r="D126" s="8798"/>
      <c r="E126" s="8798"/>
      <c r="F126" s="8798"/>
      <c r="G126" s="8798"/>
      <c r="H126" s="8798"/>
      <c r="I126" s="8799"/>
      <c r="J126" s="11691"/>
    </row>
    <row r="127" spans="1:13" ht="15" customHeight="1">
      <c r="A127" s="11663"/>
      <c r="B127" s="7315" t="s">
        <v>37</v>
      </c>
      <c r="C127" s="10136"/>
      <c r="D127" s="9465">
        <f>SUM(D82:D126)</f>
        <v>1010690</v>
      </c>
      <c r="E127" s="9465">
        <f>SUM(E82:E126)</f>
        <v>0</v>
      </c>
      <c r="F127" s="9465">
        <f>SUM(F82:F126)</f>
        <v>2640000</v>
      </c>
      <c r="G127" s="9465">
        <f>SUM(G82:G126)</f>
        <v>2640000</v>
      </c>
      <c r="H127" s="9465">
        <f>SUM(H82:H125)</f>
        <v>2640000</v>
      </c>
      <c r="I127" s="9466">
        <f>H127/G127</f>
        <v>1</v>
      </c>
      <c r="J127" s="11744">
        <f>SUM(J83:J126)</f>
        <v>981000</v>
      </c>
      <c r="K127" s="10391">
        <f>(J127-G127)/G127</f>
        <v>-0.62840909090909092</v>
      </c>
    </row>
    <row r="128" spans="1:13" ht="15" customHeight="1">
      <c r="A128" s="11663" t="s">
        <v>53</v>
      </c>
      <c r="B128" s="7287" t="s">
        <v>54</v>
      </c>
      <c r="C128" s="10136"/>
      <c r="D128" s="11664"/>
      <c r="E128" s="11664"/>
      <c r="F128" s="11664"/>
      <c r="G128" s="8798"/>
      <c r="H128" s="11664"/>
      <c r="I128" s="11163"/>
      <c r="J128" s="11691"/>
    </row>
    <row r="129" spans="1:14" ht="15" customHeight="1">
      <c r="A129" s="11663"/>
      <c r="B129" s="7287"/>
      <c r="C129" s="10136"/>
      <c r="D129" s="11664"/>
      <c r="E129" s="11664"/>
      <c r="F129" s="11664"/>
      <c r="G129" s="8798"/>
      <c r="H129" s="11664"/>
      <c r="I129" s="11163"/>
      <c r="J129" s="11691"/>
    </row>
    <row r="130" spans="1:14" ht="15" customHeight="1">
      <c r="A130" s="11663"/>
      <c r="B130" s="7287" t="s">
        <v>11231</v>
      </c>
      <c r="C130" s="10136"/>
      <c r="D130" s="11664"/>
      <c r="E130" s="11664"/>
      <c r="F130" s="11667">
        <f>G130-E130</f>
        <v>590000</v>
      </c>
      <c r="G130" s="8798">
        <v>590000</v>
      </c>
      <c r="H130" s="11664">
        <v>503336</v>
      </c>
      <c r="I130" s="8799">
        <f>H130/G130</f>
        <v>0.85311186440677966</v>
      </c>
      <c r="J130" s="11691">
        <v>0</v>
      </c>
    </row>
    <row r="131" spans="1:14" ht="15" customHeight="1">
      <c r="A131" s="11663"/>
      <c r="B131" s="7287"/>
      <c r="C131" s="10136"/>
      <c r="D131" s="11664"/>
      <c r="E131" s="11664"/>
      <c r="F131" s="11664"/>
      <c r="G131" s="8798"/>
      <c r="H131" s="11664"/>
      <c r="I131" s="11163"/>
      <c r="J131" s="11691"/>
    </row>
    <row r="132" spans="1:14" ht="15" customHeight="1">
      <c r="A132" s="11663"/>
      <c r="B132" s="7315" t="s">
        <v>37</v>
      </c>
      <c r="C132" s="10136"/>
      <c r="D132" s="11712">
        <f>SUM(D128:D131)</f>
        <v>0</v>
      </c>
      <c r="E132" s="11712">
        <f>SUM(E128:E131)</f>
        <v>0</v>
      </c>
      <c r="F132" s="11712">
        <f>SUM(F128:F131)</f>
        <v>590000</v>
      </c>
      <c r="G132" s="11712">
        <f>SUM(G128:G131)</f>
        <v>590000</v>
      </c>
      <c r="H132" s="11712">
        <f>SUM(H130)</f>
        <v>503336</v>
      </c>
      <c r="I132" s="11206" t="s">
        <v>9</v>
      </c>
      <c r="J132" s="11744">
        <f>J130</f>
        <v>0</v>
      </c>
      <c r="K132" s="10391">
        <f>(J132-G132)/G132</f>
        <v>-1</v>
      </c>
      <c r="L132" s="10372"/>
    </row>
    <row r="133" spans="1:14" ht="15" customHeight="1">
      <c r="A133" s="11663"/>
      <c r="B133" s="7315"/>
      <c r="C133" s="10136"/>
      <c r="D133" s="9465"/>
      <c r="E133" s="11712"/>
      <c r="F133" s="11712"/>
      <c r="G133" s="11712"/>
      <c r="H133" s="11712"/>
      <c r="I133" s="11206"/>
      <c r="J133" s="11713"/>
    </row>
    <row r="134" spans="1:14" ht="15" customHeight="1" thickBot="1">
      <c r="A134" s="11715"/>
      <c r="B134" s="11716" t="s">
        <v>55</v>
      </c>
      <c r="C134" s="11745"/>
      <c r="D134" s="11746">
        <f>(D31+D71+D127+D132)</f>
        <v>77234948.790000007</v>
      </c>
      <c r="E134" s="11746">
        <f>(E31+E71+E127+E132)</f>
        <v>29734725.030000005</v>
      </c>
      <c r="F134" s="11746">
        <f>(F31+F71+F127+F132)</f>
        <v>83748891.969999999</v>
      </c>
      <c r="G134" s="11746">
        <f>(G31+G71+G127+G132)</f>
        <v>113483617</v>
      </c>
      <c r="H134" s="11746"/>
      <c r="I134" s="11176"/>
      <c r="J134" s="11747">
        <f>(J31+J71+J127+J132)</f>
        <v>121737461.28999999</v>
      </c>
      <c r="K134" s="10391">
        <f>(J134-G134)/G134</f>
        <v>7.2731593407002457E-2</v>
      </c>
    </row>
    <row r="135" spans="1:14" s="7333" customFormat="1" ht="15" customHeight="1">
      <c r="A135" s="7738" t="s">
        <v>4763</v>
      </c>
      <c r="B135" s="7738"/>
      <c r="C135" s="7739"/>
      <c r="D135" s="7740"/>
      <c r="E135" s="7740"/>
      <c r="F135" s="7740"/>
      <c r="G135" s="7741"/>
      <c r="H135" s="7740"/>
      <c r="I135" s="7742"/>
      <c r="J135" s="7741"/>
      <c r="K135" s="7748"/>
      <c r="N135" s="7275"/>
    </row>
    <row r="136" spans="1:14" ht="15" customHeight="1">
      <c r="A136" s="7276"/>
      <c r="B136" s="7276"/>
      <c r="C136" s="7278"/>
      <c r="D136" s="7285"/>
      <c r="E136" s="7285"/>
      <c r="F136" s="7285"/>
      <c r="G136" s="7334"/>
      <c r="H136" s="7285"/>
      <c r="I136" s="7286"/>
      <c r="J136" s="7334"/>
    </row>
    <row r="137" spans="1:14" ht="15" hidden="1" customHeight="1">
      <c r="A137" s="7761" t="s">
        <v>3483</v>
      </c>
      <c r="B137" s="7761"/>
      <c r="C137" s="10870" t="s">
        <v>3484</v>
      </c>
      <c r="D137" s="7275"/>
      <c r="E137" s="7762"/>
      <c r="F137" s="9459" t="s">
        <v>10666</v>
      </c>
      <c r="G137" s="7275"/>
      <c r="H137" s="7763"/>
      <c r="I137" s="7286"/>
      <c r="J137" s="7762"/>
      <c r="N137" s="7333"/>
    </row>
    <row r="138" spans="1:14" ht="15" hidden="1" customHeight="1">
      <c r="A138" s="7761"/>
      <c r="B138" s="7761"/>
      <c r="C138" s="7275"/>
      <c r="D138" s="10870"/>
      <c r="E138" s="7764"/>
      <c r="F138" s="7764"/>
      <c r="G138" s="7339"/>
      <c r="H138" s="7763"/>
      <c r="I138" s="7286"/>
      <c r="J138" s="7764"/>
    </row>
    <row r="139" spans="1:14" ht="15" hidden="1" customHeight="1">
      <c r="A139" s="7761"/>
      <c r="B139" s="7761"/>
      <c r="C139" s="7275"/>
      <c r="D139" s="10870"/>
      <c r="E139" s="7764"/>
      <c r="F139" s="7764"/>
      <c r="G139" s="7339"/>
      <c r="H139" s="7763"/>
      <c r="I139" s="7286"/>
      <c r="J139" s="7764"/>
    </row>
    <row r="140" spans="1:14" ht="15" hidden="1" customHeight="1">
      <c r="A140" s="14167" t="s">
        <v>11232</v>
      </c>
      <c r="B140" s="14167"/>
      <c r="C140" s="7275"/>
      <c r="D140" s="10872" t="s">
        <v>12059</v>
      </c>
      <c r="E140" s="7762"/>
      <c r="F140" s="7762"/>
      <c r="G140" s="7342" t="s">
        <v>10667</v>
      </c>
      <c r="H140" s="7766"/>
      <c r="I140" s="7284"/>
      <c r="J140" s="7762"/>
    </row>
    <row r="141" spans="1:14" ht="15" hidden="1" customHeight="1">
      <c r="A141" s="14179" t="s">
        <v>10114</v>
      </c>
      <c r="B141" s="14179"/>
      <c r="C141" s="7275"/>
      <c r="D141" s="10869" t="s">
        <v>3486</v>
      </c>
      <c r="E141" s="7762"/>
      <c r="F141" s="7762"/>
      <c r="G141" s="7344" t="s">
        <v>10668</v>
      </c>
      <c r="H141" s="7763"/>
      <c r="I141" s="7763"/>
      <c r="J141" s="7763"/>
    </row>
    <row r="142" spans="1:14" ht="15" customHeight="1">
      <c r="A142" s="10883"/>
      <c r="B142" s="10883"/>
      <c r="C142" s="7275"/>
      <c r="D142" s="10869"/>
      <c r="E142" s="7762"/>
      <c r="F142" s="7762"/>
      <c r="G142" s="7344"/>
      <c r="H142" s="7763"/>
      <c r="I142" s="7763"/>
      <c r="J142" s="7763"/>
    </row>
    <row r="143" spans="1:14" ht="15" customHeight="1">
      <c r="A143" s="10883"/>
      <c r="B143" s="10883"/>
      <c r="C143" s="7275"/>
      <c r="D143" s="10869"/>
      <c r="E143" s="7762"/>
      <c r="F143" s="7762"/>
      <c r="G143" s="7344"/>
      <c r="H143" s="7763"/>
      <c r="I143" s="7763"/>
      <c r="J143" s="7763"/>
    </row>
    <row r="144" spans="1:14" ht="15" hidden="1" customHeight="1">
      <c r="A144" s="7276"/>
      <c r="B144" s="7276"/>
      <c r="C144" s="7278"/>
      <c r="D144" s="7285"/>
      <c r="E144" s="7285"/>
      <c r="F144" s="7285"/>
      <c r="G144" s="7285" t="s">
        <v>11070</v>
      </c>
      <c r="H144" s="7285">
        <f>J134-G134</f>
        <v>8253844.2899999917</v>
      </c>
      <c r="I144" s="7286">
        <f>H144/G134</f>
        <v>7.2731593407002457E-2</v>
      </c>
      <c r="J144" s="7285"/>
    </row>
    <row r="145" spans="1:10" ht="15" hidden="1" customHeight="1">
      <c r="A145" s="7276"/>
      <c r="B145" s="7276"/>
      <c r="C145" s="7278"/>
      <c r="D145" s="7285"/>
      <c r="E145" s="9478" t="s">
        <v>11069</v>
      </c>
      <c r="G145" s="7285"/>
      <c r="H145" s="7285"/>
      <c r="I145" s="7286"/>
      <c r="J145" s="7285"/>
    </row>
    <row r="146" spans="1:10" ht="15" hidden="1" customHeight="1">
      <c r="A146" s="7276"/>
      <c r="B146" s="7276"/>
      <c r="C146" s="7278"/>
      <c r="D146" s="7285"/>
      <c r="E146" s="7285" t="s">
        <v>11070</v>
      </c>
      <c r="G146" s="7285" t="s">
        <v>11071</v>
      </c>
      <c r="H146" s="7285">
        <v>75929495</v>
      </c>
      <c r="I146" s="7286"/>
      <c r="J146" s="7285"/>
    </row>
    <row r="147" spans="1:10" ht="15" hidden="1" customHeight="1">
      <c r="D147" s="7347">
        <f>G134-D134</f>
        <v>36248668.209999993</v>
      </c>
      <c r="E147" s="7899"/>
      <c r="H147" s="7285">
        <f>G134-H146</f>
        <v>37554122</v>
      </c>
    </row>
    <row r="148" spans="1:10" ht="15" customHeight="1">
      <c r="H148" s="7899">
        <f>H147/H146</f>
        <v>0.49459201592213936</v>
      </c>
    </row>
  </sheetData>
  <mergeCells count="10">
    <mergeCell ref="A140:B140"/>
    <mergeCell ref="A141:B141"/>
    <mergeCell ref="A1:J1"/>
    <mergeCell ref="E6:G6"/>
    <mergeCell ref="G7:G8"/>
    <mergeCell ref="E78:G78"/>
    <mergeCell ref="G79:G80"/>
    <mergeCell ref="E39:G39"/>
    <mergeCell ref="G40:G41"/>
    <mergeCell ref="J3:J4"/>
  </mergeCells>
  <printOptions horizontalCentered="1" gridLinesSet="0"/>
  <pageMargins left="0.25" right="0.25" top="0.5" bottom="0.25" header="0.25" footer="0.25"/>
  <pageSetup paperSize="119" firstPageNumber="235" orientation="landscape" useFirstPageNumber="1" r:id="rId1"/>
  <headerFooter alignWithMargins="0"/>
</worksheet>
</file>

<file path=xl/worksheets/sheet126.xml><?xml version="1.0" encoding="utf-8"?>
<worksheet xmlns="http://schemas.openxmlformats.org/spreadsheetml/2006/main" xmlns:r="http://schemas.openxmlformats.org/officeDocument/2006/relationships">
  <sheetPr codeName="Sheet170">
    <tabColor rgb="FFFFFF00"/>
  </sheetPr>
  <dimension ref="A1:E25"/>
  <sheetViews>
    <sheetView workbookViewId="0">
      <selection activeCell="D18" sqref="D18"/>
    </sheetView>
  </sheetViews>
  <sheetFormatPr defaultRowHeight="13.8"/>
  <cols>
    <col min="1" max="1" width="26.109375" style="1545" customWidth="1"/>
    <col min="2" max="2" width="18.109375" style="1545" customWidth="1"/>
    <col min="3" max="3" width="17.44140625" style="1545" customWidth="1"/>
    <col min="4" max="4" width="14.44140625" style="1545" customWidth="1"/>
    <col min="5" max="5" width="17.88671875" style="1545" customWidth="1"/>
    <col min="6" max="256" width="9.109375" style="1545"/>
    <col min="257" max="257" width="23.44140625" style="1545" customWidth="1"/>
    <col min="258" max="259" width="15.44140625" style="1545" customWidth="1"/>
    <col min="260" max="260" width="14.44140625" style="1545" customWidth="1"/>
    <col min="261" max="261" width="16" style="1545" customWidth="1"/>
    <col min="262" max="512" width="9.109375" style="1545"/>
    <col min="513" max="513" width="23.44140625" style="1545" customWidth="1"/>
    <col min="514" max="515" width="15.44140625" style="1545" customWidth="1"/>
    <col min="516" max="516" width="14.44140625" style="1545" customWidth="1"/>
    <col min="517" max="517" width="16" style="1545" customWidth="1"/>
    <col min="518" max="768" width="9.109375" style="1545"/>
    <col min="769" max="769" width="23.44140625" style="1545" customWidth="1"/>
    <col min="770" max="771" width="15.44140625" style="1545" customWidth="1"/>
    <col min="772" max="772" width="14.44140625" style="1545" customWidth="1"/>
    <col min="773" max="773" width="16" style="1545" customWidth="1"/>
    <col min="774" max="1024" width="9.109375" style="1545"/>
    <col min="1025" max="1025" width="23.44140625" style="1545" customWidth="1"/>
    <col min="1026" max="1027" width="15.44140625" style="1545" customWidth="1"/>
    <col min="1028" max="1028" width="14.44140625" style="1545" customWidth="1"/>
    <col min="1029" max="1029" width="16" style="1545" customWidth="1"/>
    <col min="1030" max="1280" width="9.109375" style="1545"/>
    <col min="1281" max="1281" width="23.44140625" style="1545" customWidth="1"/>
    <col min="1282" max="1283" width="15.44140625" style="1545" customWidth="1"/>
    <col min="1284" max="1284" width="14.44140625" style="1545" customWidth="1"/>
    <col min="1285" max="1285" width="16" style="1545" customWidth="1"/>
    <col min="1286" max="1536" width="9.109375" style="1545"/>
    <col min="1537" max="1537" width="23.44140625" style="1545" customWidth="1"/>
    <col min="1538" max="1539" width="15.44140625" style="1545" customWidth="1"/>
    <col min="1540" max="1540" width="14.44140625" style="1545" customWidth="1"/>
    <col min="1541" max="1541" width="16" style="1545" customWidth="1"/>
    <col min="1542" max="1792" width="9.109375" style="1545"/>
    <col min="1793" max="1793" width="23.44140625" style="1545" customWidth="1"/>
    <col min="1794" max="1795" width="15.44140625" style="1545" customWidth="1"/>
    <col min="1796" max="1796" width="14.44140625" style="1545" customWidth="1"/>
    <col min="1797" max="1797" width="16" style="1545" customWidth="1"/>
    <col min="1798" max="2048" width="9.109375" style="1545"/>
    <col min="2049" max="2049" width="23.44140625" style="1545" customWidth="1"/>
    <col min="2050" max="2051" width="15.44140625" style="1545" customWidth="1"/>
    <col min="2052" max="2052" width="14.44140625" style="1545" customWidth="1"/>
    <col min="2053" max="2053" width="16" style="1545" customWidth="1"/>
    <col min="2054" max="2304" width="9.109375" style="1545"/>
    <col min="2305" max="2305" width="23.44140625" style="1545" customWidth="1"/>
    <col min="2306" max="2307" width="15.44140625" style="1545" customWidth="1"/>
    <col min="2308" max="2308" width="14.44140625" style="1545" customWidth="1"/>
    <col min="2309" max="2309" width="16" style="1545" customWidth="1"/>
    <col min="2310" max="2560" width="9.109375" style="1545"/>
    <col min="2561" max="2561" width="23.44140625" style="1545" customWidth="1"/>
    <col min="2562" max="2563" width="15.44140625" style="1545" customWidth="1"/>
    <col min="2564" max="2564" width="14.44140625" style="1545" customWidth="1"/>
    <col min="2565" max="2565" width="16" style="1545" customWidth="1"/>
    <col min="2566" max="2816" width="9.109375" style="1545"/>
    <col min="2817" max="2817" width="23.44140625" style="1545" customWidth="1"/>
    <col min="2818" max="2819" width="15.44140625" style="1545" customWidth="1"/>
    <col min="2820" max="2820" width="14.44140625" style="1545" customWidth="1"/>
    <col min="2821" max="2821" width="16" style="1545" customWidth="1"/>
    <col min="2822" max="3072" width="9.109375" style="1545"/>
    <col min="3073" max="3073" width="23.44140625" style="1545" customWidth="1"/>
    <col min="3074" max="3075" width="15.44140625" style="1545" customWidth="1"/>
    <col min="3076" max="3076" width="14.44140625" style="1545" customWidth="1"/>
    <col min="3077" max="3077" width="16" style="1545" customWidth="1"/>
    <col min="3078" max="3328" width="9.109375" style="1545"/>
    <col min="3329" max="3329" width="23.44140625" style="1545" customWidth="1"/>
    <col min="3330" max="3331" width="15.44140625" style="1545" customWidth="1"/>
    <col min="3332" max="3332" width="14.44140625" style="1545" customWidth="1"/>
    <col min="3333" max="3333" width="16" style="1545" customWidth="1"/>
    <col min="3334" max="3584" width="9.109375" style="1545"/>
    <col min="3585" max="3585" width="23.44140625" style="1545" customWidth="1"/>
    <col min="3586" max="3587" width="15.44140625" style="1545" customWidth="1"/>
    <col min="3588" max="3588" width="14.44140625" style="1545" customWidth="1"/>
    <col min="3589" max="3589" width="16" style="1545" customWidth="1"/>
    <col min="3590" max="3840" width="9.109375" style="1545"/>
    <col min="3841" max="3841" width="23.44140625" style="1545" customWidth="1"/>
    <col min="3842" max="3843" width="15.44140625" style="1545" customWidth="1"/>
    <col min="3844" max="3844" width="14.44140625" style="1545" customWidth="1"/>
    <col min="3845" max="3845" width="16" style="1545" customWidth="1"/>
    <col min="3846" max="4096" width="9.109375" style="1545"/>
    <col min="4097" max="4097" width="23.44140625" style="1545" customWidth="1"/>
    <col min="4098" max="4099" width="15.44140625" style="1545" customWidth="1"/>
    <col min="4100" max="4100" width="14.44140625" style="1545" customWidth="1"/>
    <col min="4101" max="4101" width="16" style="1545" customWidth="1"/>
    <col min="4102" max="4352" width="9.109375" style="1545"/>
    <col min="4353" max="4353" width="23.44140625" style="1545" customWidth="1"/>
    <col min="4354" max="4355" width="15.44140625" style="1545" customWidth="1"/>
    <col min="4356" max="4356" width="14.44140625" style="1545" customWidth="1"/>
    <col min="4357" max="4357" width="16" style="1545" customWidth="1"/>
    <col min="4358" max="4608" width="9.109375" style="1545"/>
    <col min="4609" max="4609" width="23.44140625" style="1545" customWidth="1"/>
    <col min="4610" max="4611" width="15.44140625" style="1545" customWidth="1"/>
    <col min="4612" max="4612" width="14.44140625" style="1545" customWidth="1"/>
    <col min="4613" max="4613" width="16" style="1545" customWidth="1"/>
    <col min="4614" max="4864" width="9.109375" style="1545"/>
    <col min="4865" max="4865" width="23.44140625" style="1545" customWidth="1"/>
    <col min="4866" max="4867" width="15.44140625" style="1545" customWidth="1"/>
    <col min="4868" max="4868" width="14.44140625" style="1545" customWidth="1"/>
    <col min="4869" max="4869" width="16" style="1545" customWidth="1"/>
    <col min="4870" max="5120" width="9.109375" style="1545"/>
    <col min="5121" max="5121" width="23.44140625" style="1545" customWidth="1"/>
    <col min="5122" max="5123" width="15.44140625" style="1545" customWidth="1"/>
    <col min="5124" max="5124" width="14.44140625" style="1545" customWidth="1"/>
    <col min="5125" max="5125" width="16" style="1545" customWidth="1"/>
    <col min="5126" max="5376" width="9.109375" style="1545"/>
    <col min="5377" max="5377" width="23.44140625" style="1545" customWidth="1"/>
    <col min="5378" max="5379" width="15.44140625" style="1545" customWidth="1"/>
    <col min="5380" max="5380" width="14.44140625" style="1545" customWidth="1"/>
    <col min="5381" max="5381" width="16" style="1545" customWidth="1"/>
    <col min="5382" max="5632" width="9.109375" style="1545"/>
    <col min="5633" max="5633" width="23.44140625" style="1545" customWidth="1"/>
    <col min="5634" max="5635" width="15.44140625" style="1545" customWidth="1"/>
    <col min="5636" max="5636" width="14.44140625" style="1545" customWidth="1"/>
    <col min="5637" max="5637" width="16" style="1545" customWidth="1"/>
    <col min="5638" max="5888" width="9.109375" style="1545"/>
    <col min="5889" max="5889" width="23.44140625" style="1545" customWidth="1"/>
    <col min="5890" max="5891" width="15.44140625" style="1545" customWidth="1"/>
    <col min="5892" max="5892" width="14.44140625" style="1545" customWidth="1"/>
    <col min="5893" max="5893" width="16" style="1545" customWidth="1"/>
    <col min="5894" max="6144" width="9.109375" style="1545"/>
    <col min="6145" max="6145" width="23.44140625" style="1545" customWidth="1"/>
    <col min="6146" max="6147" width="15.44140625" style="1545" customWidth="1"/>
    <col min="6148" max="6148" width="14.44140625" style="1545" customWidth="1"/>
    <col min="6149" max="6149" width="16" style="1545" customWidth="1"/>
    <col min="6150" max="6400" width="9.109375" style="1545"/>
    <col min="6401" max="6401" width="23.44140625" style="1545" customWidth="1"/>
    <col min="6402" max="6403" width="15.44140625" style="1545" customWidth="1"/>
    <col min="6404" max="6404" width="14.44140625" style="1545" customWidth="1"/>
    <col min="6405" max="6405" width="16" style="1545" customWidth="1"/>
    <col min="6406" max="6656" width="9.109375" style="1545"/>
    <col min="6657" max="6657" width="23.44140625" style="1545" customWidth="1"/>
    <col min="6658" max="6659" width="15.44140625" style="1545" customWidth="1"/>
    <col min="6660" max="6660" width="14.44140625" style="1545" customWidth="1"/>
    <col min="6661" max="6661" width="16" style="1545" customWidth="1"/>
    <col min="6662" max="6912" width="9.109375" style="1545"/>
    <col min="6913" max="6913" width="23.44140625" style="1545" customWidth="1"/>
    <col min="6914" max="6915" width="15.44140625" style="1545" customWidth="1"/>
    <col min="6916" max="6916" width="14.44140625" style="1545" customWidth="1"/>
    <col min="6917" max="6917" width="16" style="1545" customWidth="1"/>
    <col min="6918" max="7168" width="9.109375" style="1545"/>
    <col min="7169" max="7169" width="23.44140625" style="1545" customWidth="1"/>
    <col min="7170" max="7171" width="15.44140625" style="1545" customWidth="1"/>
    <col min="7172" max="7172" width="14.44140625" style="1545" customWidth="1"/>
    <col min="7173" max="7173" width="16" style="1545" customWidth="1"/>
    <col min="7174" max="7424" width="9.109375" style="1545"/>
    <col min="7425" max="7425" width="23.44140625" style="1545" customWidth="1"/>
    <col min="7426" max="7427" width="15.44140625" style="1545" customWidth="1"/>
    <col min="7428" max="7428" width="14.44140625" style="1545" customWidth="1"/>
    <col min="7429" max="7429" width="16" style="1545" customWidth="1"/>
    <col min="7430" max="7680" width="9.109375" style="1545"/>
    <col min="7681" max="7681" width="23.44140625" style="1545" customWidth="1"/>
    <col min="7682" max="7683" width="15.44140625" style="1545" customWidth="1"/>
    <col min="7684" max="7684" width="14.44140625" style="1545" customWidth="1"/>
    <col min="7685" max="7685" width="16" style="1545" customWidth="1"/>
    <col min="7686" max="7936" width="9.109375" style="1545"/>
    <col min="7937" max="7937" width="23.44140625" style="1545" customWidth="1"/>
    <col min="7938" max="7939" width="15.44140625" style="1545" customWidth="1"/>
    <col min="7940" max="7940" width="14.44140625" style="1545" customWidth="1"/>
    <col min="7941" max="7941" width="16" style="1545" customWidth="1"/>
    <col min="7942" max="8192" width="9.109375" style="1545"/>
    <col min="8193" max="8193" width="23.44140625" style="1545" customWidth="1"/>
    <col min="8194" max="8195" width="15.44140625" style="1545" customWidth="1"/>
    <col min="8196" max="8196" width="14.44140625" style="1545" customWidth="1"/>
    <col min="8197" max="8197" width="16" style="1545" customWidth="1"/>
    <col min="8198" max="8448" width="9.109375" style="1545"/>
    <col min="8449" max="8449" width="23.44140625" style="1545" customWidth="1"/>
    <col min="8450" max="8451" width="15.44140625" style="1545" customWidth="1"/>
    <col min="8452" max="8452" width="14.44140625" style="1545" customWidth="1"/>
    <col min="8453" max="8453" width="16" style="1545" customWidth="1"/>
    <col min="8454" max="8704" width="9.109375" style="1545"/>
    <col min="8705" max="8705" width="23.44140625" style="1545" customWidth="1"/>
    <col min="8706" max="8707" width="15.44140625" style="1545" customWidth="1"/>
    <col min="8708" max="8708" width="14.44140625" style="1545" customWidth="1"/>
    <col min="8709" max="8709" width="16" style="1545" customWidth="1"/>
    <col min="8710" max="8960" width="9.109375" style="1545"/>
    <col min="8961" max="8961" width="23.44140625" style="1545" customWidth="1"/>
    <col min="8962" max="8963" width="15.44140625" style="1545" customWidth="1"/>
    <col min="8964" max="8964" width="14.44140625" style="1545" customWidth="1"/>
    <col min="8965" max="8965" width="16" style="1545" customWidth="1"/>
    <col min="8966" max="9216" width="9.109375" style="1545"/>
    <col min="9217" max="9217" width="23.44140625" style="1545" customWidth="1"/>
    <col min="9218" max="9219" width="15.44140625" style="1545" customWidth="1"/>
    <col min="9220" max="9220" width="14.44140625" style="1545" customWidth="1"/>
    <col min="9221" max="9221" width="16" style="1545" customWidth="1"/>
    <col min="9222" max="9472" width="9.109375" style="1545"/>
    <col min="9473" max="9473" width="23.44140625" style="1545" customWidth="1"/>
    <col min="9474" max="9475" width="15.44140625" style="1545" customWidth="1"/>
    <col min="9476" max="9476" width="14.44140625" style="1545" customWidth="1"/>
    <col min="9477" max="9477" width="16" style="1545" customWidth="1"/>
    <col min="9478" max="9728" width="9.109375" style="1545"/>
    <col min="9729" max="9729" width="23.44140625" style="1545" customWidth="1"/>
    <col min="9730" max="9731" width="15.44140625" style="1545" customWidth="1"/>
    <col min="9732" max="9732" width="14.44140625" style="1545" customWidth="1"/>
    <col min="9733" max="9733" width="16" style="1545" customWidth="1"/>
    <col min="9734" max="9984" width="9.109375" style="1545"/>
    <col min="9985" max="9985" width="23.44140625" style="1545" customWidth="1"/>
    <col min="9986" max="9987" width="15.44140625" style="1545" customWidth="1"/>
    <col min="9988" max="9988" width="14.44140625" style="1545" customWidth="1"/>
    <col min="9989" max="9989" width="16" style="1545" customWidth="1"/>
    <col min="9990" max="10240" width="9.109375" style="1545"/>
    <col min="10241" max="10241" width="23.44140625" style="1545" customWidth="1"/>
    <col min="10242" max="10243" width="15.44140625" style="1545" customWidth="1"/>
    <col min="10244" max="10244" width="14.44140625" style="1545" customWidth="1"/>
    <col min="10245" max="10245" width="16" style="1545" customWidth="1"/>
    <col min="10246" max="10496" width="9.109375" style="1545"/>
    <col min="10497" max="10497" width="23.44140625" style="1545" customWidth="1"/>
    <col min="10498" max="10499" width="15.44140625" style="1545" customWidth="1"/>
    <col min="10500" max="10500" width="14.44140625" style="1545" customWidth="1"/>
    <col min="10501" max="10501" width="16" style="1545" customWidth="1"/>
    <col min="10502" max="10752" width="9.109375" style="1545"/>
    <col min="10753" max="10753" width="23.44140625" style="1545" customWidth="1"/>
    <col min="10754" max="10755" width="15.44140625" style="1545" customWidth="1"/>
    <col min="10756" max="10756" width="14.44140625" style="1545" customWidth="1"/>
    <col min="10757" max="10757" width="16" style="1545" customWidth="1"/>
    <col min="10758" max="11008" width="9.109375" style="1545"/>
    <col min="11009" max="11009" width="23.44140625" style="1545" customWidth="1"/>
    <col min="11010" max="11011" width="15.44140625" style="1545" customWidth="1"/>
    <col min="11012" max="11012" width="14.44140625" style="1545" customWidth="1"/>
    <col min="11013" max="11013" width="16" style="1545" customWidth="1"/>
    <col min="11014" max="11264" width="9.109375" style="1545"/>
    <col min="11265" max="11265" width="23.44140625" style="1545" customWidth="1"/>
    <col min="11266" max="11267" width="15.44140625" style="1545" customWidth="1"/>
    <col min="11268" max="11268" width="14.44140625" style="1545" customWidth="1"/>
    <col min="11269" max="11269" width="16" style="1545" customWidth="1"/>
    <col min="11270" max="11520" width="9.109375" style="1545"/>
    <col min="11521" max="11521" width="23.44140625" style="1545" customWidth="1"/>
    <col min="11522" max="11523" width="15.44140625" style="1545" customWidth="1"/>
    <col min="11524" max="11524" width="14.44140625" style="1545" customWidth="1"/>
    <col min="11525" max="11525" width="16" style="1545" customWidth="1"/>
    <col min="11526" max="11776" width="9.109375" style="1545"/>
    <col min="11777" max="11777" width="23.44140625" style="1545" customWidth="1"/>
    <col min="11778" max="11779" width="15.44140625" style="1545" customWidth="1"/>
    <col min="11780" max="11780" width="14.44140625" style="1545" customWidth="1"/>
    <col min="11781" max="11781" width="16" style="1545" customWidth="1"/>
    <col min="11782" max="12032" width="9.109375" style="1545"/>
    <col min="12033" max="12033" width="23.44140625" style="1545" customWidth="1"/>
    <col min="12034" max="12035" width="15.44140625" style="1545" customWidth="1"/>
    <col min="12036" max="12036" width="14.44140625" style="1545" customWidth="1"/>
    <col min="12037" max="12037" width="16" style="1545" customWidth="1"/>
    <col min="12038" max="12288" width="9.109375" style="1545"/>
    <col min="12289" max="12289" width="23.44140625" style="1545" customWidth="1"/>
    <col min="12290" max="12291" width="15.44140625" style="1545" customWidth="1"/>
    <col min="12292" max="12292" width="14.44140625" style="1545" customWidth="1"/>
    <col min="12293" max="12293" width="16" style="1545" customWidth="1"/>
    <col min="12294" max="12544" width="9.109375" style="1545"/>
    <col min="12545" max="12545" width="23.44140625" style="1545" customWidth="1"/>
    <col min="12546" max="12547" width="15.44140625" style="1545" customWidth="1"/>
    <col min="12548" max="12548" width="14.44140625" style="1545" customWidth="1"/>
    <col min="12549" max="12549" width="16" style="1545" customWidth="1"/>
    <col min="12550" max="12800" width="9.109375" style="1545"/>
    <col min="12801" max="12801" width="23.44140625" style="1545" customWidth="1"/>
    <col min="12802" max="12803" width="15.44140625" style="1545" customWidth="1"/>
    <col min="12804" max="12804" width="14.44140625" style="1545" customWidth="1"/>
    <col min="12805" max="12805" width="16" style="1545" customWidth="1"/>
    <col min="12806" max="13056" width="9.109375" style="1545"/>
    <col min="13057" max="13057" width="23.44140625" style="1545" customWidth="1"/>
    <col min="13058" max="13059" width="15.44140625" style="1545" customWidth="1"/>
    <col min="13060" max="13060" width="14.44140625" style="1545" customWidth="1"/>
    <col min="13061" max="13061" width="16" style="1545" customWidth="1"/>
    <col min="13062" max="13312" width="9.109375" style="1545"/>
    <col min="13313" max="13313" width="23.44140625" style="1545" customWidth="1"/>
    <col min="13314" max="13315" width="15.44140625" style="1545" customWidth="1"/>
    <col min="13316" max="13316" width="14.44140625" style="1545" customWidth="1"/>
    <col min="13317" max="13317" width="16" style="1545" customWidth="1"/>
    <col min="13318" max="13568" width="9.109375" style="1545"/>
    <col min="13569" max="13569" width="23.44140625" style="1545" customWidth="1"/>
    <col min="13570" max="13571" width="15.44140625" style="1545" customWidth="1"/>
    <col min="13572" max="13572" width="14.44140625" style="1545" customWidth="1"/>
    <col min="13573" max="13573" width="16" style="1545" customWidth="1"/>
    <col min="13574" max="13824" width="9.109375" style="1545"/>
    <col min="13825" max="13825" width="23.44140625" style="1545" customWidth="1"/>
    <col min="13826" max="13827" width="15.44140625" style="1545" customWidth="1"/>
    <col min="13828" max="13828" width="14.44140625" style="1545" customWidth="1"/>
    <col min="13829" max="13829" width="16" style="1545" customWidth="1"/>
    <col min="13830" max="14080" width="9.109375" style="1545"/>
    <col min="14081" max="14081" width="23.44140625" style="1545" customWidth="1"/>
    <col min="14082" max="14083" width="15.44140625" style="1545" customWidth="1"/>
    <col min="14084" max="14084" width="14.44140625" style="1545" customWidth="1"/>
    <col min="14085" max="14085" width="16" style="1545" customWidth="1"/>
    <col min="14086" max="14336" width="9.109375" style="1545"/>
    <col min="14337" max="14337" width="23.44140625" style="1545" customWidth="1"/>
    <col min="14338" max="14339" width="15.44140625" style="1545" customWidth="1"/>
    <col min="14340" max="14340" width="14.44140625" style="1545" customWidth="1"/>
    <col min="14341" max="14341" width="16" style="1545" customWidth="1"/>
    <col min="14342" max="14592" width="9.109375" style="1545"/>
    <col min="14593" max="14593" width="23.44140625" style="1545" customWidth="1"/>
    <col min="14594" max="14595" width="15.44140625" style="1545" customWidth="1"/>
    <col min="14596" max="14596" width="14.44140625" style="1545" customWidth="1"/>
    <col min="14597" max="14597" width="16" style="1545" customWidth="1"/>
    <col min="14598" max="14848" width="9.109375" style="1545"/>
    <col min="14849" max="14849" width="23.44140625" style="1545" customWidth="1"/>
    <col min="14850" max="14851" width="15.44140625" style="1545" customWidth="1"/>
    <col min="14852" max="14852" width="14.44140625" style="1545" customWidth="1"/>
    <col min="14853" max="14853" width="16" style="1545" customWidth="1"/>
    <col min="14854" max="15104" width="9.109375" style="1545"/>
    <col min="15105" max="15105" width="23.44140625" style="1545" customWidth="1"/>
    <col min="15106" max="15107" width="15.44140625" style="1545" customWidth="1"/>
    <col min="15108" max="15108" width="14.44140625" style="1545" customWidth="1"/>
    <col min="15109" max="15109" width="16" style="1545" customWidth="1"/>
    <col min="15110" max="15360" width="9.109375" style="1545"/>
    <col min="15361" max="15361" width="23.44140625" style="1545" customWidth="1"/>
    <col min="15362" max="15363" width="15.44140625" style="1545" customWidth="1"/>
    <col min="15364" max="15364" width="14.44140625" style="1545" customWidth="1"/>
    <col min="15365" max="15365" width="16" style="1545" customWidth="1"/>
    <col min="15366" max="15616" width="9.109375" style="1545"/>
    <col min="15617" max="15617" width="23.44140625" style="1545" customWidth="1"/>
    <col min="15618" max="15619" width="15.44140625" style="1545" customWidth="1"/>
    <col min="15620" max="15620" width="14.44140625" style="1545" customWidth="1"/>
    <col min="15621" max="15621" width="16" style="1545" customWidth="1"/>
    <col min="15622" max="15872" width="9.109375" style="1545"/>
    <col min="15873" max="15873" width="23.44140625" style="1545" customWidth="1"/>
    <col min="15874" max="15875" width="15.44140625" style="1545" customWidth="1"/>
    <col min="15876" max="15876" width="14.44140625" style="1545" customWidth="1"/>
    <col min="15877" max="15877" width="16" style="1545" customWidth="1"/>
    <col min="15878" max="16128" width="9.109375" style="1545"/>
    <col min="16129" max="16129" width="23.44140625" style="1545" customWidth="1"/>
    <col min="16130" max="16131" width="15.44140625" style="1545" customWidth="1"/>
    <col min="16132" max="16132" width="14.44140625" style="1545" customWidth="1"/>
    <col min="16133" max="16133" width="16" style="1545" customWidth="1"/>
    <col min="16134" max="16384" width="9.109375" style="1545"/>
  </cols>
  <sheetData>
    <row r="1" spans="1:5" s="4056" customFormat="1" ht="15.6">
      <c r="A1" s="4056" t="s">
        <v>6910</v>
      </c>
    </row>
    <row r="3" spans="1:5">
      <c r="A3" s="1544" t="s">
        <v>1340</v>
      </c>
    </row>
    <row r="5" spans="1:5" s="4062" customFormat="1">
      <c r="A5" s="15022" t="s">
        <v>4589</v>
      </c>
      <c r="B5" s="15025" t="s">
        <v>18</v>
      </c>
      <c r="C5" s="15026"/>
      <c r="D5" s="15022" t="s">
        <v>52</v>
      </c>
      <c r="E5" s="15022" t="s">
        <v>458</v>
      </c>
    </row>
    <row r="6" spans="1:5" s="4062" customFormat="1" ht="27.6">
      <c r="A6" s="15023"/>
      <c r="B6" s="4063" t="s">
        <v>2151</v>
      </c>
      <c r="C6" s="4063" t="s">
        <v>6911</v>
      </c>
      <c r="D6" s="15023"/>
      <c r="E6" s="15023"/>
    </row>
    <row r="7" spans="1:5" s="4062" customFormat="1" ht="27.6">
      <c r="A7" s="15024"/>
      <c r="B7" s="4064"/>
      <c r="C7" s="4065" t="s">
        <v>5918</v>
      </c>
      <c r="D7" s="15024"/>
      <c r="E7" s="15024"/>
    </row>
    <row r="8" spans="1:5">
      <c r="A8" s="4052"/>
      <c r="B8" s="4052"/>
      <c r="C8" s="4052"/>
      <c r="D8" s="4052"/>
      <c r="E8" s="4052"/>
    </row>
    <row r="9" spans="1:5">
      <c r="A9" s="4057" t="s">
        <v>2048</v>
      </c>
      <c r="B9" s="4057"/>
      <c r="C9" s="4057"/>
      <c r="D9" s="4057"/>
      <c r="E9" s="4057"/>
    </row>
    <row r="10" spans="1:5">
      <c r="A10" s="4060"/>
      <c r="B10" s="4060"/>
      <c r="C10" s="4060"/>
      <c r="D10" s="4060"/>
      <c r="E10" s="4060"/>
    </row>
    <row r="11" spans="1:5" ht="24.75" customHeight="1">
      <c r="A11" s="4058" t="s">
        <v>6912</v>
      </c>
      <c r="B11" s="4059">
        <v>36696503</v>
      </c>
      <c r="C11" s="4059">
        <v>27029447</v>
      </c>
      <c r="D11" s="4059">
        <v>0</v>
      </c>
      <c r="E11" s="4059">
        <f>B11+C11+D11</f>
        <v>63725950</v>
      </c>
    </row>
    <row r="12" spans="1:5">
      <c r="A12" s="4060"/>
      <c r="B12" s="4060"/>
      <c r="C12" s="4060"/>
      <c r="D12" s="4060"/>
      <c r="E12" s="4060"/>
    </row>
    <row r="13" spans="1:5">
      <c r="A13" s="4060"/>
      <c r="B13" s="4060"/>
      <c r="C13" s="4060"/>
      <c r="D13" s="4060"/>
      <c r="E13" s="4060"/>
    </row>
    <row r="14" spans="1:5">
      <c r="A14" s="4061"/>
      <c r="B14" s="4061"/>
      <c r="C14" s="4061"/>
      <c r="D14" s="4061"/>
      <c r="E14" s="4061"/>
    </row>
    <row r="15" spans="1:5" ht="27" customHeight="1">
      <c r="A15" s="4053" t="s">
        <v>6913</v>
      </c>
      <c r="B15" s="4052"/>
      <c r="C15" s="4052"/>
      <c r="D15" s="4052"/>
      <c r="E15" s="4052"/>
    </row>
    <row r="16" spans="1:5" ht="38.25" customHeight="1">
      <c r="A16" s="4054" t="s">
        <v>6914</v>
      </c>
      <c r="B16" s="4055">
        <f>SUM(B11:B15)</f>
        <v>36696503</v>
      </c>
      <c r="C16" s="4055">
        <f>SUM(C11:C15)</f>
        <v>27029447</v>
      </c>
      <c r="D16" s="4055">
        <f>SUM(D11:D15)</f>
        <v>0</v>
      </c>
      <c r="E16" s="4055">
        <f>SUM(E11:E15)</f>
        <v>63725950</v>
      </c>
    </row>
    <row r="17" spans="1:5">
      <c r="A17" s="5355"/>
      <c r="B17" s="5355"/>
      <c r="C17" s="5355"/>
      <c r="D17" s="5355"/>
      <c r="E17" s="5355"/>
    </row>
    <row r="18" spans="1:5" s="5354" customFormat="1">
      <c r="A18" s="5356" t="s">
        <v>3429</v>
      </c>
      <c r="B18" s="5356"/>
      <c r="C18" s="5356"/>
      <c r="D18" s="5356"/>
      <c r="E18" s="5356"/>
    </row>
    <row r="19" spans="1:5">
      <c r="A19" s="4060"/>
      <c r="B19" s="4060"/>
      <c r="C19" s="4060"/>
      <c r="D19" s="4060"/>
      <c r="E19" s="4060"/>
    </row>
    <row r="20" spans="1:5">
      <c r="A20" s="4060" t="s">
        <v>6915</v>
      </c>
      <c r="B20" s="4059">
        <f>B11</f>
        <v>36696503</v>
      </c>
      <c r="C20" s="4059">
        <f>C11</f>
        <v>27029447</v>
      </c>
      <c r="D20" s="4059">
        <f>D11</f>
        <v>0</v>
      </c>
      <c r="E20" s="4059">
        <f>E11</f>
        <v>63725950</v>
      </c>
    </row>
    <row r="21" spans="1:5">
      <c r="A21" s="4060"/>
      <c r="B21" s="4060"/>
      <c r="C21" s="4060"/>
      <c r="D21" s="4060"/>
      <c r="E21" s="4060"/>
    </row>
    <row r="22" spans="1:5">
      <c r="A22" s="4060" t="s">
        <v>6916</v>
      </c>
      <c r="B22" s="4060"/>
      <c r="C22" s="4060"/>
      <c r="D22" s="4060"/>
      <c r="E22" s="4060"/>
    </row>
    <row r="23" spans="1:5" s="5354" customFormat="1">
      <c r="A23" s="5356"/>
      <c r="B23" s="5356"/>
      <c r="C23" s="5356"/>
      <c r="D23" s="5356"/>
      <c r="E23" s="5356"/>
    </row>
    <row r="24" spans="1:5" ht="14.4" thickBot="1">
      <c r="A24" s="5356"/>
      <c r="B24" s="5356"/>
      <c r="C24" s="5356"/>
      <c r="D24" s="5356"/>
      <c r="E24" s="5356"/>
    </row>
    <row r="25" spans="1:5" s="4133" customFormat="1" ht="26.25" customHeight="1" thickBot="1">
      <c r="A25" s="5357" t="s">
        <v>6917</v>
      </c>
      <c r="B25" s="5358">
        <f>SUM(B20:B24)</f>
        <v>36696503</v>
      </c>
      <c r="C25" s="5358">
        <f>SUM(C20:C24)</f>
        <v>27029447</v>
      </c>
      <c r="D25" s="5358">
        <f>SUM(D20:D24)</f>
        <v>0</v>
      </c>
      <c r="E25" s="5359">
        <f>SUM(E20:E24)</f>
        <v>63725950</v>
      </c>
    </row>
  </sheetData>
  <mergeCells count="4">
    <mergeCell ref="A5:A7"/>
    <mergeCell ref="B5:C5"/>
    <mergeCell ref="D5:D7"/>
    <mergeCell ref="E5:E7"/>
  </mergeCells>
  <printOptions horizontalCentered="1"/>
  <pageMargins left="0.5" right="0.25" top="0.75" bottom="0.5" header="0.3" footer="0.25"/>
  <pageSetup paperSize="119" orientation="portrait" verticalDpi="300" r:id="rId1"/>
</worksheet>
</file>

<file path=xl/worksheets/sheet127.xml><?xml version="1.0" encoding="utf-8"?>
<worksheet xmlns="http://schemas.openxmlformats.org/spreadsheetml/2006/main" xmlns:r="http://schemas.openxmlformats.org/officeDocument/2006/relationships">
  <sheetPr codeName="Sheet86">
    <tabColor rgb="FFFFFF00"/>
  </sheetPr>
  <dimension ref="A1:H124"/>
  <sheetViews>
    <sheetView showGridLines="0" topLeftCell="A79" workbookViewId="0">
      <selection activeCell="F79" sqref="F1:S1048576"/>
    </sheetView>
  </sheetViews>
  <sheetFormatPr defaultRowHeight="12.9" customHeight="1"/>
  <cols>
    <col min="1" max="1" width="40.5546875" style="7165" customWidth="1"/>
    <col min="2" max="3" width="8.5546875" style="7165" customWidth="1"/>
    <col min="4" max="6" width="14.5546875" style="7165" customWidth="1"/>
    <col min="7" max="7" width="8.88671875" style="7165" customWidth="1"/>
    <col min="8" max="8" width="14.88671875" style="7165" customWidth="1"/>
    <col min="9" max="18" width="8.88671875" style="7165" customWidth="1"/>
    <col min="19" max="232" width="9.109375" style="7165"/>
    <col min="233" max="233" width="33.109375" style="7165" customWidth="1"/>
    <col min="234" max="235" width="8.44140625" style="7165" customWidth="1"/>
    <col min="236" max="236" width="9.88671875" style="7165" customWidth="1"/>
    <col min="237" max="237" width="14.109375" style="7165" customWidth="1"/>
    <col min="238" max="238" width="15" style="7165" customWidth="1"/>
    <col min="239" max="488" width="9.109375" style="7165"/>
    <col min="489" max="489" width="33.109375" style="7165" customWidth="1"/>
    <col min="490" max="491" width="8.44140625" style="7165" customWidth="1"/>
    <col min="492" max="492" width="9.88671875" style="7165" customWidth="1"/>
    <col min="493" max="493" width="14.109375" style="7165" customWidth="1"/>
    <col min="494" max="494" width="15" style="7165" customWidth="1"/>
    <col min="495" max="744" width="9.109375" style="7165"/>
    <col min="745" max="745" width="33.109375" style="7165" customWidth="1"/>
    <col min="746" max="747" width="8.44140625" style="7165" customWidth="1"/>
    <col min="748" max="748" width="9.88671875" style="7165" customWidth="1"/>
    <col min="749" max="749" width="14.109375" style="7165" customWidth="1"/>
    <col min="750" max="750" width="15" style="7165" customWidth="1"/>
    <col min="751" max="1000" width="9.109375" style="7165"/>
    <col min="1001" max="1001" width="33.109375" style="7165" customWidth="1"/>
    <col min="1002" max="1003" width="8.44140625" style="7165" customWidth="1"/>
    <col min="1004" max="1004" width="9.88671875" style="7165" customWidth="1"/>
    <col min="1005" max="1005" width="14.109375" style="7165" customWidth="1"/>
    <col min="1006" max="1006" width="15" style="7165" customWidth="1"/>
    <col min="1007" max="1256" width="9.109375" style="7165"/>
    <col min="1257" max="1257" width="33.109375" style="7165" customWidth="1"/>
    <col min="1258" max="1259" width="8.44140625" style="7165" customWidth="1"/>
    <col min="1260" max="1260" width="9.88671875" style="7165" customWidth="1"/>
    <col min="1261" max="1261" width="14.109375" style="7165" customWidth="1"/>
    <col min="1262" max="1262" width="15" style="7165" customWidth="1"/>
    <col min="1263" max="1512" width="9.109375" style="7165"/>
    <col min="1513" max="1513" width="33.109375" style="7165" customWidth="1"/>
    <col min="1514" max="1515" width="8.44140625" style="7165" customWidth="1"/>
    <col min="1516" max="1516" width="9.88671875" style="7165" customWidth="1"/>
    <col min="1517" max="1517" width="14.109375" style="7165" customWidth="1"/>
    <col min="1518" max="1518" width="15" style="7165" customWidth="1"/>
    <col min="1519" max="1768" width="9.109375" style="7165"/>
    <col min="1769" max="1769" width="33.109375" style="7165" customWidth="1"/>
    <col min="1770" max="1771" width="8.44140625" style="7165" customWidth="1"/>
    <col min="1772" max="1772" width="9.88671875" style="7165" customWidth="1"/>
    <col min="1773" max="1773" width="14.109375" style="7165" customWidth="1"/>
    <col min="1774" max="1774" width="15" style="7165" customWidth="1"/>
    <col min="1775" max="2024" width="9.109375" style="7165"/>
    <col min="2025" max="2025" width="33.109375" style="7165" customWidth="1"/>
    <col min="2026" max="2027" width="8.44140625" style="7165" customWidth="1"/>
    <col min="2028" max="2028" width="9.88671875" style="7165" customWidth="1"/>
    <col min="2029" max="2029" width="14.109375" style="7165" customWidth="1"/>
    <col min="2030" max="2030" width="15" style="7165" customWidth="1"/>
    <col min="2031" max="2280" width="9.109375" style="7165"/>
    <col min="2281" max="2281" width="33.109375" style="7165" customWidth="1"/>
    <col min="2282" max="2283" width="8.44140625" style="7165" customWidth="1"/>
    <col min="2284" max="2284" width="9.88671875" style="7165" customWidth="1"/>
    <col min="2285" max="2285" width="14.109375" style="7165" customWidth="1"/>
    <col min="2286" max="2286" width="15" style="7165" customWidth="1"/>
    <col min="2287" max="2536" width="9.109375" style="7165"/>
    <col min="2537" max="2537" width="33.109375" style="7165" customWidth="1"/>
    <col min="2538" max="2539" width="8.44140625" style="7165" customWidth="1"/>
    <col min="2540" max="2540" width="9.88671875" style="7165" customWidth="1"/>
    <col min="2541" max="2541" width="14.109375" style="7165" customWidth="1"/>
    <col min="2542" max="2542" width="15" style="7165" customWidth="1"/>
    <col min="2543" max="2792" width="9.109375" style="7165"/>
    <col min="2793" max="2793" width="33.109375" style="7165" customWidth="1"/>
    <col min="2794" max="2795" width="8.44140625" style="7165" customWidth="1"/>
    <col min="2796" max="2796" width="9.88671875" style="7165" customWidth="1"/>
    <col min="2797" max="2797" width="14.109375" style="7165" customWidth="1"/>
    <col min="2798" max="2798" width="15" style="7165" customWidth="1"/>
    <col min="2799" max="3048" width="9.109375" style="7165"/>
    <col min="3049" max="3049" width="33.109375" style="7165" customWidth="1"/>
    <col min="3050" max="3051" width="8.44140625" style="7165" customWidth="1"/>
    <col min="3052" max="3052" width="9.88671875" style="7165" customWidth="1"/>
    <col min="3053" max="3053" width="14.109375" style="7165" customWidth="1"/>
    <col min="3054" max="3054" width="15" style="7165" customWidth="1"/>
    <col min="3055" max="3304" width="9.109375" style="7165"/>
    <col min="3305" max="3305" width="33.109375" style="7165" customWidth="1"/>
    <col min="3306" max="3307" width="8.44140625" style="7165" customWidth="1"/>
    <col min="3308" max="3308" width="9.88671875" style="7165" customWidth="1"/>
    <col min="3309" max="3309" width="14.109375" style="7165" customWidth="1"/>
    <col min="3310" max="3310" width="15" style="7165" customWidth="1"/>
    <col min="3311" max="3560" width="9.109375" style="7165"/>
    <col min="3561" max="3561" width="33.109375" style="7165" customWidth="1"/>
    <col min="3562" max="3563" width="8.44140625" style="7165" customWidth="1"/>
    <col min="3564" max="3564" width="9.88671875" style="7165" customWidth="1"/>
    <col min="3565" max="3565" width="14.109375" style="7165" customWidth="1"/>
    <col min="3566" max="3566" width="15" style="7165" customWidth="1"/>
    <col min="3567" max="3816" width="9.109375" style="7165"/>
    <col min="3817" max="3817" width="33.109375" style="7165" customWidth="1"/>
    <col min="3818" max="3819" width="8.44140625" style="7165" customWidth="1"/>
    <col min="3820" max="3820" width="9.88671875" style="7165" customWidth="1"/>
    <col min="3821" max="3821" width="14.109375" style="7165" customWidth="1"/>
    <col min="3822" max="3822" width="15" style="7165" customWidth="1"/>
    <col min="3823" max="4072" width="9.109375" style="7165"/>
    <col min="4073" max="4073" width="33.109375" style="7165" customWidth="1"/>
    <col min="4074" max="4075" width="8.44140625" style="7165" customWidth="1"/>
    <col min="4076" max="4076" width="9.88671875" style="7165" customWidth="1"/>
    <col min="4077" max="4077" width="14.109375" style="7165" customWidth="1"/>
    <col min="4078" max="4078" width="15" style="7165" customWidth="1"/>
    <col min="4079" max="4328" width="9.109375" style="7165"/>
    <col min="4329" max="4329" width="33.109375" style="7165" customWidth="1"/>
    <col min="4330" max="4331" width="8.44140625" style="7165" customWidth="1"/>
    <col min="4332" max="4332" width="9.88671875" style="7165" customWidth="1"/>
    <col min="4333" max="4333" width="14.109375" style="7165" customWidth="1"/>
    <col min="4334" max="4334" width="15" style="7165" customWidth="1"/>
    <col min="4335" max="4584" width="9.109375" style="7165"/>
    <col min="4585" max="4585" width="33.109375" style="7165" customWidth="1"/>
    <col min="4586" max="4587" width="8.44140625" style="7165" customWidth="1"/>
    <col min="4588" max="4588" width="9.88671875" style="7165" customWidth="1"/>
    <col min="4589" max="4589" width="14.109375" style="7165" customWidth="1"/>
    <col min="4590" max="4590" width="15" style="7165" customWidth="1"/>
    <col min="4591" max="4840" width="9.109375" style="7165"/>
    <col min="4841" max="4841" width="33.109375" style="7165" customWidth="1"/>
    <col min="4842" max="4843" width="8.44140625" style="7165" customWidth="1"/>
    <col min="4844" max="4844" width="9.88671875" style="7165" customWidth="1"/>
    <col min="4845" max="4845" width="14.109375" style="7165" customWidth="1"/>
    <col min="4846" max="4846" width="15" style="7165" customWidth="1"/>
    <col min="4847" max="5096" width="9.109375" style="7165"/>
    <col min="5097" max="5097" width="33.109375" style="7165" customWidth="1"/>
    <col min="5098" max="5099" width="8.44140625" style="7165" customWidth="1"/>
    <col min="5100" max="5100" width="9.88671875" style="7165" customWidth="1"/>
    <col min="5101" max="5101" width="14.109375" style="7165" customWidth="1"/>
    <col min="5102" max="5102" width="15" style="7165" customWidth="1"/>
    <col min="5103" max="5352" width="9.109375" style="7165"/>
    <col min="5353" max="5353" width="33.109375" style="7165" customWidth="1"/>
    <col min="5354" max="5355" width="8.44140625" style="7165" customWidth="1"/>
    <col min="5356" max="5356" width="9.88671875" style="7165" customWidth="1"/>
    <col min="5357" max="5357" width="14.109375" style="7165" customWidth="1"/>
    <col min="5358" max="5358" width="15" style="7165" customWidth="1"/>
    <col min="5359" max="5608" width="9.109375" style="7165"/>
    <col min="5609" max="5609" width="33.109375" style="7165" customWidth="1"/>
    <col min="5610" max="5611" width="8.44140625" style="7165" customWidth="1"/>
    <col min="5612" max="5612" width="9.88671875" style="7165" customWidth="1"/>
    <col min="5613" max="5613" width="14.109375" style="7165" customWidth="1"/>
    <col min="5614" max="5614" width="15" style="7165" customWidth="1"/>
    <col min="5615" max="5864" width="9.109375" style="7165"/>
    <col min="5865" max="5865" width="33.109375" style="7165" customWidth="1"/>
    <col min="5866" max="5867" width="8.44140625" style="7165" customWidth="1"/>
    <col min="5868" max="5868" width="9.88671875" style="7165" customWidth="1"/>
    <col min="5869" max="5869" width="14.109375" style="7165" customWidth="1"/>
    <col min="5870" max="5870" width="15" style="7165" customWidth="1"/>
    <col min="5871" max="6120" width="9.109375" style="7165"/>
    <col min="6121" max="6121" width="33.109375" style="7165" customWidth="1"/>
    <col min="6122" max="6123" width="8.44140625" style="7165" customWidth="1"/>
    <col min="6124" max="6124" width="9.88671875" style="7165" customWidth="1"/>
    <col min="6125" max="6125" width="14.109375" style="7165" customWidth="1"/>
    <col min="6126" max="6126" width="15" style="7165" customWidth="1"/>
    <col min="6127" max="6376" width="9.109375" style="7165"/>
    <col min="6377" max="6377" width="33.109375" style="7165" customWidth="1"/>
    <col min="6378" max="6379" width="8.44140625" style="7165" customWidth="1"/>
    <col min="6380" max="6380" width="9.88671875" style="7165" customWidth="1"/>
    <col min="6381" max="6381" width="14.109375" style="7165" customWidth="1"/>
    <col min="6382" max="6382" width="15" style="7165" customWidth="1"/>
    <col min="6383" max="6632" width="9.109375" style="7165"/>
    <col min="6633" max="6633" width="33.109375" style="7165" customWidth="1"/>
    <col min="6634" max="6635" width="8.44140625" style="7165" customWidth="1"/>
    <col min="6636" max="6636" width="9.88671875" style="7165" customWidth="1"/>
    <col min="6637" max="6637" width="14.109375" style="7165" customWidth="1"/>
    <col min="6638" max="6638" width="15" style="7165" customWidth="1"/>
    <col min="6639" max="6888" width="9.109375" style="7165"/>
    <col min="6889" max="6889" width="33.109375" style="7165" customWidth="1"/>
    <col min="6890" max="6891" width="8.44140625" style="7165" customWidth="1"/>
    <col min="6892" max="6892" width="9.88671875" style="7165" customWidth="1"/>
    <col min="6893" max="6893" width="14.109375" style="7165" customWidth="1"/>
    <col min="6894" max="6894" width="15" style="7165" customWidth="1"/>
    <col min="6895" max="7144" width="9.109375" style="7165"/>
    <col min="7145" max="7145" width="33.109375" style="7165" customWidth="1"/>
    <col min="7146" max="7147" width="8.44140625" style="7165" customWidth="1"/>
    <col min="7148" max="7148" width="9.88671875" style="7165" customWidth="1"/>
    <col min="7149" max="7149" width="14.109375" style="7165" customWidth="1"/>
    <col min="7150" max="7150" width="15" style="7165" customWidth="1"/>
    <col min="7151" max="7400" width="9.109375" style="7165"/>
    <col min="7401" max="7401" width="33.109375" style="7165" customWidth="1"/>
    <col min="7402" max="7403" width="8.44140625" style="7165" customWidth="1"/>
    <col min="7404" max="7404" width="9.88671875" style="7165" customWidth="1"/>
    <col min="7405" max="7405" width="14.109375" style="7165" customWidth="1"/>
    <col min="7406" max="7406" width="15" style="7165" customWidth="1"/>
    <col min="7407" max="7656" width="9.109375" style="7165"/>
    <col min="7657" max="7657" width="33.109375" style="7165" customWidth="1"/>
    <col min="7658" max="7659" width="8.44140625" style="7165" customWidth="1"/>
    <col min="7660" max="7660" width="9.88671875" style="7165" customWidth="1"/>
    <col min="7661" max="7661" width="14.109375" style="7165" customWidth="1"/>
    <col min="7662" max="7662" width="15" style="7165" customWidth="1"/>
    <col min="7663" max="7912" width="9.109375" style="7165"/>
    <col min="7913" max="7913" width="33.109375" style="7165" customWidth="1"/>
    <col min="7914" max="7915" width="8.44140625" style="7165" customWidth="1"/>
    <col min="7916" max="7916" width="9.88671875" style="7165" customWidth="1"/>
    <col min="7917" max="7917" width="14.109375" style="7165" customWidth="1"/>
    <col min="7918" max="7918" width="15" style="7165" customWidth="1"/>
    <col min="7919" max="8168" width="9.109375" style="7165"/>
    <col min="8169" max="8169" width="33.109375" style="7165" customWidth="1"/>
    <col min="8170" max="8171" width="8.44140625" style="7165" customWidth="1"/>
    <col min="8172" max="8172" width="9.88671875" style="7165" customWidth="1"/>
    <col min="8173" max="8173" width="14.109375" style="7165" customWidth="1"/>
    <col min="8174" max="8174" width="15" style="7165" customWidth="1"/>
    <col min="8175" max="8424" width="9.109375" style="7165"/>
    <col min="8425" max="8425" width="33.109375" style="7165" customWidth="1"/>
    <col min="8426" max="8427" width="8.44140625" style="7165" customWidth="1"/>
    <col min="8428" max="8428" width="9.88671875" style="7165" customWidth="1"/>
    <col min="8429" max="8429" width="14.109375" style="7165" customWidth="1"/>
    <col min="8430" max="8430" width="15" style="7165" customWidth="1"/>
    <col min="8431" max="8680" width="9.109375" style="7165"/>
    <col min="8681" max="8681" width="33.109375" style="7165" customWidth="1"/>
    <col min="8682" max="8683" width="8.44140625" style="7165" customWidth="1"/>
    <col min="8684" max="8684" width="9.88671875" style="7165" customWidth="1"/>
    <col min="8685" max="8685" width="14.109375" style="7165" customWidth="1"/>
    <col min="8686" max="8686" width="15" style="7165" customWidth="1"/>
    <col min="8687" max="8936" width="9.109375" style="7165"/>
    <col min="8937" max="8937" width="33.109375" style="7165" customWidth="1"/>
    <col min="8938" max="8939" width="8.44140625" style="7165" customWidth="1"/>
    <col min="8940" max="8940" width="9.88671875" style="7165" customWidth="1"/>
    <col min="8941" max="8941" width="14.109375" style="7165" customWidth="1"/>
    <col min="8942" max="8942" width="15" style="7165" customWidth="1"/>
    <col min="8943" max="9192" width="9.109375" style="7165"/>
    <col min="9193" max="9193" width="33.109375" style="7165" customWidth="1"/>
    <col min="9194" max="9195" width="8.44140625" style="7165" customWidth="1"/>
    <col min="9196" max="9196" width="9.88671875" style="7165" customWidth="1"/>
    <col min="9197" max="9197" width="14.109375" style="7165" customWidth="1"/>
    <col min="9198" max="9198" width="15" style="7165" customWidth="1"/>
    <col min="9199" max="9448" width="9.109375" style="7165"/>
    <col min="9449" max="9449" width="33.109375" style="7165" customWidth="1"/>
    <col min="9450" max="9451" width="8.44140625" style="7165" customWidth="1"/>
    <col min="9452" max="9452" width="9.88671875" style="7165" customWidth="1"/>
    <col min="9453" max="9453" width="14.109375" style="7165" customWidth="1"/>
    <col min="9454" max="9454" width="15" style="7165" customWidth="1"/>
    <col min="9455" max="9704" width="9.109375" style="7165"/>
    <col min="9705" max="9705" width="33.109375" style="7165" customWidth="1"/>
    <col min="9706" max="9707" width="8.44140625" style="7165" customWidth="1"/>
    <col min="9708" max="9708" width="9.88671875" style="7165" customWidth="1"/>
    <col min="9709" max="9709" width="14.109375" style="7165" customWidth="1"/>
    <col min="9710" max="9710" width="15" style="7165" customWidth="1"/>
    <col min="9711" max="9960" width="9.109375" style="7165"/>
    <col min="9961" max="9961" width="33.109375" style="7165" customWidth="1"/>
    <col min="9962" max="9963" width="8.44140625" style="7165" customWidth="1"/>
    <col min="9964" max="9964" width="9.88671875" style="7165" customWidth="1"/>
    <col min="9965" max="9965" width="14.109375" style="7165" customWidth="1"/>
    <col min="9966" max="9966" width="15" style="7165" customWidth="1"/>
    <col min="9967" max="10216" width="9.109375" style="7165"/>
    <col min="10217" max="10217" width="33.109375" style="7165" customWidth="1"/>
    <col min="10218" max="10219" width="8.44140625" style="7165" customWidth="1"/>
    <col min="10220" max="10220" width="9.88671875" style="7165" customWidth="1"/>
    <col min="10221" max="10221" width="14.109375" style="7165" customWidth="1"/>
    <col min="10222" max="10222" width="15" style="7165" customWidth="1"/>
    <col min="10223" max="10472" width="9.109375" style="7165"/>
    <col min="10473" max="10473" width="33.109375" style="7165" customWidth="1"/>
    <col min="10474" max="10475" width="8.44140625" style="7165" customWidth="1"/>
    <col min="10476" max="10476" width="9.88671875" style="7165" customWidth="1"/>
    <col min="10477" max="10477" width="14.109375" style="7165" customWidth="1"/>
    <col min="10478" max="10478" width="15" style="7165" customWidth="1"/>
    <col min="10479" max="10728" width="9.109375" style="7165"/>
    <col min="10729" max="10729" width="33.109375" style="7165" customWidth="1"/>
    <col min="10730" max="10731" width="8.44140625" style="7165" customWidth="1"/>
    <col min="10732" max="10732" width="9.88671875" style="7165" customWidth="1"/>
    <col min="10733" max="10733" width="14.109375" style="7165" customWidth="1"/>
    <col min="10734" max="10734" width="15" style="7165" customWidth="1"/>
    <col min="10735" max="10984" width="9.109375" style="7165"/>
    <col min="10985" max="10985" width="33.109375" style="7165" customWidth="1"/>
    <col min="10986" max="10987" width="8.44140625" style="7165" customWidth="1"/>
    <col min="10988" max="10988" width="9.88671875" style="7165" customWidth="1"/>
    <col min="10989" max="10989" width="14.109375" style="7165" customWidth="1"/>
    <col min="10990" max="10990" width="15" style="7165" customWidth="1"/>
    <col min="10991" max="11240" width="9.109375" style="7165"/>
    <col min="11241" max="11241" width="33.109375" style="7165" customWidth="1"/>
    <col min="11242" max="11243" width="8.44140625" style="7165" customWidth="1"/>
    <col min="11244" max="11244" width="9.88671875" style="7165" customWidth="1"/>
    <col min="11245" max="11245" width="14.109375" style="7165" customWidth="1"/>
    <col min="11246" max="11246" width="15" style="7165" customWidth="1"/>
    <col min="11247" max="11496" width="9.109375" style="7165"/>
    <col min="11497" max="11497" width="33.109375" style="7165" customWidth="1"/>
    <col min="11498" max="11499" width="8.44140625" style="7165" customWidth="1"/>
    <col min="11500" max="11500" width="9.88671875" style="7165" customWidth="1"/>
    <col min="11501" max="11501" width="14.109375" style="7165" customWidth="1"/>
    <col min="11502" max="11502" width="15" style="7165" customWidth="1"/>
    <col min="11503" max="11752" width="9.109375" style="7165"/>
    <col min="11753" max="11753" width="33.109375" style="7165" customWidth="1"/>
    <col min="11754" max="11755" width="8.44140625" style="7165" customWidth="1"/>
    <col min="11756" max="11756" width="9.88671875" style="7165" customWidth="1"/>
    <col min="11757" max="11757" width="14.109375" style="7165" customWidth="1"/>
    <col min="11758" max="11758" width="15" style="7165" customWidth="1"/>
    <col min="11759" max="12008" width="9.109375" style="7165"/>
    <col min="12009" max="12009" width="33.109375" style="7165" customWidth="1"/>
    <col min="12010" max="12011" width="8.44140625" style="7165" customWidth="1"/>
    <col min="12012" max="12012" width="9.88671875" style="7165" customWidth="1"/>
    <col min="12013" max="12013" width="14.109375" style="7165" customWidth="1"/>
    <col min="12014" max="12014" width="15" style="7165" customWidth="1"/>
    <col min="12015" max="12264" width="9.109375" style="7165"/>
    <col min="12265" max="12265" width="33.109375" style="7165" customWidth="1"/>
    <col min="12266" max="12267" width="8.44140625" style="7165" customWidth="1"/>
    <col min="12268" max="12268" width="9.88671875" style="7165" customWidth="1"/>
    <col min="12269" max="12269" width="14.109375" style="7165" customWidth="1"/>
    <col min="12270" max="12270" width="15" style="7165" customWidth="1"/>
    <col min="12271" max="12520" width="9.109375" style="7165"/>
    <col min="12521" max="12521" width="33.109375" style="7165" customWidth="1"/>
    <col min="12522" max="12523" width="8.44140625" style="7165" customWidth="1"/>
    <col min="12524" max="12524" width="9.88671875" style="7165" customWidth="1"/>
    <col min="12525" max="12525" width="14.109375" style="7165" customWidth="1"/>
    <col min="12526" max="12526" width="15" style="7165" customWidth="1"/>
    <col min="12527" max="12776" width="9.109375" style="7165"/>
    <col min="12777" max="12777" width="33.109375" style="7165" customWidth="1"/>
    <col min="12778" max="12779" width="8.44140625" style="7165" customWidth="1"/>
    <col min="12780" max="12780" width="9.88671875" style="7165" customWidth="1"/>
    <col min="12781" max="12781" width="14.109375" style="7165" customWidth="1"/>
    <col min="12782" max="12782" width="15" style="7165" customWidth="1"/>
    <col min="12783" max="13032" width="9.109375" style="7165"/>
    <col min="13033" max="13033" width="33.109375" style="7165" customWidth="1"/>
    <col min="13034" max="13035" width="8.44140625" style="7165" customWidth="1"/>
    <col min="13036" max="13036" width="9.88671875" style="7165" customWidth="1"/>
    <col min="13037" max="13037" width="14.109375" style="7165" customWidth="1"/>
    <col min="13038" max="13038" width="15" style="7165" customWidth="1"/>
    <col min="13039" max="13288" width="9.109375" style="7165"/>
    <col min="13289" max="13289" width="33.109375" style="7165" customWidth="1"/>
    <col min="13290" max="13291" width="8.44140625" style="7165" customWidth="1"/>
    <col min="13292" max="13292" width="9.88671875" style="7165" customWidth="1"/>
    <col min="13293" max="13293" width="14.109375" style="7165" customWidth="1"/>
    <col min="13294" max="13294" width="15" style="7165" customWidth="1"/>
    <col min="13295" max="13544" width="9.109375" style="7165"/>
    <col min="13545" max="13545" width="33.109375" style="7165" customWidth="1"/>
    <col min="13546" max="13547" width="8.44140625" style="7165" customWidth="1"/>
    <col min="13548" max="13548" width="9.88671875" style="7165" customWidth="1"/>
    <col min="13549" max="13549" width="14.109375" style="7165" customWidth="1"/>
    <col min="13550" max="13550" width="15" style="7165" customWidth="1"/>
    <col min="13551" max="13800" width="9.109375" style="7165"/>
    <col min="13801" max="13801" width="33.109375" style="7165" customWidth="1"/>
    <col min="13802" max="13803" width="8.44140625" style="7165" customWidth="1"/>
    <col min="13804" max="13804" width="9.88671875" style="7165" customWidth="1"/>
    <col min="13805" max="13805" width="14.109375" style="7165" customWidth="1"/>
    <col min="13806" max="13806" width="15" style="7165" customWidth="1"/>
    <col min="13807" max="14056" width="9.109375" style="7165"/>
    <col min="14057" max="14057" width="33.109375" style="7165" customWidth="1"/>
    <col min="14058" max="14059" width="8.44140625" style="7165" customWidth="1"/>
    <col min="14060" max="14060" width="9.88671875" style="7165" customWidth="1"/>
    <col min="14061" max="14061" width="14.109375" style="7165" customWidth="1"/>
    <col min="14062" max="14062" width="15" style="7165" customWidth="1"/>
    <col min="14063" max="14312" width="9.109375" style="7165"/>
    <col min="14313" max="14313" width="33.109375" style="7165" customWidth="1"/>
    <col min="14314" max="14315" width="8.44140625" style="7165" customWidth="1"/>
    <col min="14316" max="14316" width="9.88671875" style="7165" customWidth="1"/>
    <col min="14317" max="14317" width="14.109375" style="7165" customWidth="1"/>
    <col min="14318" max="14318" width="15" style="7165" customWidth="1"/>
    <col min="14319" max="14568" width="9.109375" style="7165"/>
    <col min="14569" max="14569" width="33.109375" style="7165" customWidth="1"/>
    <col min="14570" max="14571" width="8.44140625" style="7165" customWidth="1"/>
    <col min="14572" max="14572" width="9.88671875" style="7165" customWidth="1"/>
    <col min="14573" max="14573" width="14.109375" style="7165" customWidth="1"/>
    <col min="14574" max="14574" width="15" style="7165" customWidth="1"/>
    <col min="14575" max="14824" width="9.109375" style="7165"/>
    <col min="14825" max="14825" width="33.109375" style="7165" customWidth="1"/>
    <col min="14826" max="14827" width="8.44140625" style="7165" customWidth="1"/>
    <col min="14828" max="14828" width="9.88671875" style="7165" customWidth="1"/>
    <col min="14829" max="14829" width="14.109375" style="7165" customWidth="1"/>
    <col min="14830" max="14830" width="15" style="7165" customWidth="1"/>
    <col min="14831" max="15080" width="9.109375" style="7165"/>
    <col min="15081" max="15081" width="33.109375" style="7165" customWidth="1"/>
    <col min="15082" max="15083" width="8.44140625" style="7165" customWidth="1"/>
    <col min="15084" max="15084" width="9.88671875" style="7165" customWidth="1"/>
    <col min="15085" max="15085" width="14.109375" style="7165" customWidth="1"/>
    <col min="15086" max="15086" width="15" style="7165" customWidth="1"/>
    <col min="15087" max="15336" width="9.109375" style="7165"/>
    <col min="15337" max="15337" width="33.109375" style="7165" customWidth="1"/>
    <col min="15338" max="15339" width="8.44140625" style="7165" customWidth="1"/>
    <col min="15340" max="15340" width="9.88671875" style="7165" customWidth="1"/>
    <col min="15341" max="15341" width="14.109375" style="7165" customWidth="1"/>
    <col min="15342" max="15342" width="15" style="7165" customWidth="1"/>
    <col min="15343" max="15592" width="9.109375" style="7165"/>
    <col min="15593" max="15593" width="33.109375" style="7165" customWidth="1"/>
    <col min="15594" max="15595" width="8.44140625" style="7165" customWidth="1"/>
    <col min="15596" max="15596" width="9.88671875" style="7165" customWidth="1"/>
    <col min="15597" max="15597" width="14.109375" style="7165" customWidth="1"/>
    <col min="15598" max="15598" width="15" style="7165" customWidth="1"/>
    <col min="15599" max="15848" width="9.109375" style="7165"/>
    <col min="15849" max="15849" width="33.109375" style="7165" customWidth="1"/>
    <col min="15850" max="15851" width="8.44140625" style="7165" customWidth="1"/>
    <col min="15852" max="15852" width="9.88671875" style="7165" customWidth="1"/>
    <col min="15853" max="15853" width="14.109375" style="7165" customWidth="1"/>
    <col min="15854" max="15854" width="15" style="7165" customWidth="1"/>
    <col min="15855" max="16104" width="9.109375" style="7165"/>
    <col min="16105" max="16105" width="33.109375" style="7165" customWidth="1"/>
    <col min="16106" max="16107" width="8.44140625" style="7165" customWidth="1"/>
    <col min="16108" max="16108" width="9.88671875" style="7165" customWidth="1"/>
    <col min="16109" max="16109" width="14.109375" style="7165" customWidth="1"/>
    <col min="16110" max="16110" width="15" style="7165" customWidth="1"/>
    <col min="16111" max="16384" width="9.109375" style="7165"/>
  </cols>
  <sheetData>
    <row r="1" spans="1:8" ht="12.9" customHeight="1">
      <c r="A1" s="14215" t="s">
        <v>1087</v>
      </c>
      <c r="B1" s="14215"/>
      <c r="C1" s="14215"/>
      <c r="D1" s="14215"/>
      <c r="E1" s="14215"/>
      <c r="F1" s="14215"/>
    </row>
    <row r="3" spans="1:8" ht="12.9" customHeight="1">
      <c r="A3" s="7163" t="s">
        <v>1340</v>
      </c>
    </row>
    <row r="4" spans="1:8" ht="12.9" customHeight="1" thickBot="1">
      <c r="A4" s="7163"/>
    </row>
    <row r="5" spans="1:8" ht="12.9" customHeight="1">
      <c r="A5" s="9715"/>
      <c r="B5" s="9624"/>
      <c r="C5" s="9624"/>
      <c r="D5" s="14946"/>
      <c r="E5" s="14946"/>
      <c r="F5" s="14947"/>
    </row>
    <row r="6" spans="1:8" ht="12.9" customHeight="1">
      <c r="A6" s="9738" t="s">
        <v>842</v>
      </c>
      <c r="B6" s="9750" t="s">
        <v>1035</v>
      </c>
      <c r="C6" s="9750" t="s">
        <v>1036</v>
      </c>
      <c r="D6" s="15027" t="s">
        <v>1037</v>
      </c>
      <c r="E6" s="15027"/>
      <c r="F6" s="15028"/>
    </row>
    <row r="7" spans="1:8" ht="12.9" customHeight="1" thickBot="1">
      <c r="A7" s="9698" t="s">
        <v>1088</v>
      </c>
      <c r="B7" s="9772" t="s">
        <v>9</v>
      </c>
      <c r="C7" s="9772" t="s">
        <v>1039</v>
      </c>
      <c r="D7" s="9719" t="s">
        <v>10</v>
      </c>
      <c r="E7" s="9772" t="s">
        <v>11</v>
      </c>
      <c r="F7" s="9773" t="s">
        <v>11621</v>
      </c>
    </row>
    <row r="8" spans="1:8" ht="12.9" customHeight="1">
      <c r="A8" s="9700"/>
      <c r="B8" s="10716"/>
      <c r="C8" s="7206"/>
      <c r="D8" s="10716"/>
      <c r="E8" s="7206"/>
      <c r="F8" s="7214"/>
    </row>
    <row r="9" spans="1:8" ht="12.9" customHeight="1">
      <c r="A9" s="9702" t="s">
        <v>1139</v>
      </c>
      <c r="B9" s="7205"/>
      <c r="C9" s="7205"/>
      <c r="D9" s="7205"/>
      <c r="E9" s="7205"/>
      <c r="F9" s="7215"/>
    </row>
    <row r="10" spans="1:8" ht="12.9" customHeight="1">
      <c r="A10" s="9702"/>
      <c r="B10" s="10765"/>
      <c r="C10" s="10765"/>
      <c r="D10" s="10765"/>
      <c r="E10" s="10765"/>
      <c r="F10" s="7215"/>
    </row>
    <row r="11" spans="1:8" ht="12.9" customHeight="1">
      <c r="A11" s="7209" t="s">
        <v>1089</v>
      </c>
      <c r="B11" s="7205"/>
      <c r="C11" s="7205"/>
      <c r="D11" s="7205"/>
      <c r="E11" s="7205"/>
      <c r="F11" s="7215"/>
    </row>
    <row r="12" spans="1:8" ht="12.9" customHeight="1">
      <c r="A12" s="7207" t="s">
        <v>1341</v>
      </c>
      <c r="B12" s="7206">
        <v>0</v>
      </c>
      <c r="C12" s="7206">
        <v>25</v>
      </c>
      <c r="D12" s="9670">
        <v>930432</v>
      </c>
      <c r="E12" s="9670">
        <v>0</v>
      </c>
      <c r="F12" s="7216">
        <v>0</v>
      </c>
      <c r="G12" s="7165">
        <f>SUM(B12:B13)</f>
        <v>1</v>
      </c>
      <c r="H12" s="7198">
        <f>SUM(F12:F13)</f>
        <v>1140996</v>
      </c>
    </row>
    <row r="13" spans="1:8" ht="12.9" customHeight="1">
      <c r="A13" s="7207" t="s">
        <v>11410</v>
      </c>
      <c r="B13" s="7206">
        <v>1</v>
      </c>
      <c r="C13" s="7206">
        <v>25</v>
      </c>
      <c r="D13" s="9670"/>
      <c r="E13" s="9670">
        <v>989268</v>
      </c>
      <c r="F13" s="6142">
        <v>1140996</v>
      </c>
    </row>
    <row r="14" spans="1:8" ht="12.9" customHeight="1">
      <c r="A14" s="7207"/>
      <c r="B14" s="10753"/>
      <c r="C14" s="10753"/>
      <c r="D14" s="10766"/>
      <c r="E14" s="10766"/>
      <c r="F14" s="6142"/>
    </row>
    <row r="15" spans="1:8" ht="12.9" customHeight="1">
      <c r="A15" s="7209" t="s">
        <v>1252</v>
      </c>
      <c r="B15" s="7205"/>
      <c r="C15" s="7205"/>
      <c r="D15" s="9670"/>
      <c r="E15" s="9670"/>
      <c r="F15" s="7215"/>
    </row>
    <row r="16" spans="1:8" ht="12.9" customHeight="1">
      <c r="A16" s="7209" t="s">
        <v>1109</v>
      </c>
      <c r="B16" s="7205"/>
      <c r="C16" s="7205"/>
      <c r="D16" s="9670"/>
      <c r="E16" s="9670"/>
      <c r="F16" s="7215"/>
    </row>
    <row r="17" spans="1:8" ht="12.9" customHeight="1">
      <c r="A17" s="7207" t="s">
        <v>7230</v>
      </c>
      <c r="B17" s="7206">
        <v>3</v>
      </c>
      <c r="C17" s="7206">
        <v>24</v>
      </c>
      <c r="D17" s="9670">
        <v>783552</v>
      </c>
      <c r="E17" s="9670">
        <v>0</v>
      </c>
      <c r="F17" s="7216">
        <v>2657196</v>
      </c>
      <c r="G17" s="7165">
        <f>SUM(B17)</f>
        <v>3</v>
      </c>
      <c r="H17" s="7198">
        <f>SUM(F17)</f>
        <v>2657196</v>
      </c>
    </row>
    <row r="18" spans="1:8" ht="12.9" customHeight="1">
      <c r="A18" s="7207"/>
      <c r="B18" s="7206"/>
      <c r="C18" s="7206"/>
      <c r="D18" s="9670"/>
      <c r="E18" s="9670"/>
      <c r="F18" s="7216"/>
    </row>
    <row r="19" spans="1:8" ht="12.9" customHeight="1">
      <c r="A19" s="7209" t="s">
        <v>1152</v>
      </c>
      <c r="B19" s="7206"/>
      <c r="C19" s="7206"/>
      <c r="D19" s="9670"/>
      <c r="E19" s="9670"/>
      <c r="F19" s="7216"/>
    </row>
    <row r="20" spans="1:8" ht="12.9" customHeight="1">
      <c r="A20" s="7207" t="s">
        <v>1342</v>
      </c>
      <c r="B20" s="7206">
        <v>1</v>
      </c>
      <c r="C20" s="7206">
        <v>16</v>
      </c>
      <c r="D20" s="9670">
        <v>391104</v>
      </c>
      <c r="E20" s="9670">
        <v>381180</v>
      </c>
      <c r="F20" s="7216">
        <v>403008</v>
      </c>
    </row>
    <row r="21" spans="1:8" ht="12.9" customHeight="1">
      <c r="A21" s="7207" t="s">
        <v>1343</v>
      </c>
      <c r="B21" s="7206">
        <v>5</v>
      </c>
      <c r="C21" s="7206">
        <v>21</v>
      </c>
      <c r="D21" s="9670">
        <v>3527640</v>
      </c>
      <c r="E21" s="9670">
        <v>4530084</v>
      </c>
      <c r="F21" s="7216">
        <v>3571848</v>
      </c>
    </row>
    <row r="22" spans="1:8" ht="12.9" customHeight="1">
      <c r="A22" s="7207" t="s">
        <v>1344</v>
      </c>
      <c r="B22" s="7206">
        <v>1</v>
      </c>
      <c r="C22" s="7206">
        <v>20</v>
      </c>
      <c r="D22" s="9670">
        <v>540564</v>
      </c>
      <c r="E22" s="9670">
        <v>590208</v>
      </c>
      <c r="F22" s="7216">
        <v>654924</v>
      </c>
    </row>
    <row r="23" spans="1:8" ht="12.9" customHeight="1">
      <c r="A23" s="7207" t="s">
        <v>1345</v>
      </c>
      <c r="B23" s="7206">
        <v>2</v>
      </c>
      <c r="C23" s="7206">
        <v>17</v>
      </c>
      <c r="D23" s="9670">
        <v>833028</v>
      </c>
      <c r="E23" s="9670">
        <v>891576</v>
      </c>
      <c r="F23" s="7216">
        <v>948744</v>
      </c>
    </row>
    <row r="24" spans="1:8" ht="12.9" customHeight="1">
      <c r="A24" s="7207" t="s">
        <v>1346</v>
      </c>
      <c r="B24" s="7206">
        <v>6</v>
      </c>
      <c r="C24" s="7206">
        <v>15</v>
      </c>
      <c r="D24" s="9670">
        <v>2047776</v>
      </c>
      <c r="E24" s="9670">
        <v>2182836</v>
      </c>
      <c r="F24" s="7216">
        <v>2300196</v>
      </c>
    </row>
    <row r="25" spans="1:8" ht="12.9" customHeight="1">
      <c r="A25" s="7207" t="s">
        <v>1347</v>
      </c>
      <c r="B25" s="7206">
        <v>13</v>
      </c>
      <c r="C25" s="7206">
        <v>11</v>
      </c>
      <c r="D25" s="9670">
        <v>3880164</v>
      </c>
      <c r="E25" s="9670">
        <v>3519000</v>
      </c>
      <c r="F25" s="7216">
        <v>3376536</v>
      </c>
    </row>
    <row r="26" spans="1:8" ht="12.9" customHeight="1">
      <c r="A26" s="7207" t="s">
        <v>1323</v>
      </c>
      <c r="B26" s="7206">
        <v>1</v>
      </c>
      <c r="C26" s="7206">
        <v>20</v>
      </c>
      <c r="D26" s="9670">
        <v>563004</v>
      </c>
      <c r="E26" s="9670">
        <v>617136</v>
      </c>
      <c r="F26" s="7216">
        <v>687516</v>
      </c>
    </row>
    <row r="27" spans="1:8" ht="12.9" customHeight="1">
      <c r="A27" s="7207" t="s">
        <v>1348</v>
      </c>
      <c r="B27" s="7206">
        <v>3</v>
      </c>
      <c r="C27" s="7206">
        <v>15</v>
      </c>
      <c r="D27" s="9670">
        <v>1048428</v>
      </c>
      <c r="E27" s="9670">
        <v>1105200</v>
      </c>
      <c r="F27" s="7216">
        <v>1169604</v>
      </c>
    </row>
    <row r="28" spans="1:8" ht="12.9" customHeight="1">
      <c r="A28" s="7207" t="s">
        <v>1326</v>
      </c>
      <c r="B28" s="7206">
        <v>1</v>
      </c>
      <c r="C28" s="7206">
        <v>15</v>
      </c>
      <c r="D28" s="9670">
        <v>358824</v>
      </c>
      <c r="E28" s="9670">
        <v>378540</v>
      </c>
      <c r="F28" s="7216">
        <v>399348</v>
      </c>
    </row>
    <row r="29" spans="1:8" ht="12.9" customHeight="1">
      <c r="A29" s="7207" t="s">
        <v>1349</v>
      </c>
      <c r="B29" s="7206">
        <v>1</v>
      </c>
      <c r="C29" s="7206">
        <v>15</v>
      </c>
      <c r="D29" s="9670">
        <v>358824</v>
      </c>
      <c r="E29" s="9670">
        <v>378540</v>
      </c>
      <c r="F29" s="7216">
        <v>399348</v>
      </c>
    </row>
    <row r="30" spans="1:8" ht="12.9" customHeight="1">
      <c r="A30" s="7207" t="s">
        <v>1350</v>
      </c>
      <c r="B30" s="7206">
        <v>0</v>
      </c>
      <c r="C30" s="7206">
        <v>11</v>
      </c>
      <c r="D30" s="9670">
        <v>255684</v>
      </c>
      <c r="E30" s="9670">
        <v>0</v>
      </c>
      <c r="F30" s="7216">
        <v>0</v>
      </c>
    </row>
    <row r="31" spans="1:8" ht="12.9" customHeight="1">
      <c r="A31" s="7207" t="s">
        <v>1351</v>
      </c>
      <c r="B31" s="7206">
        <v>1</v>
      </c>
      <c r="C31" s="7206">
        <v>11</v>
      </c>
      <c r="D31" s="9670">
        <v>241056</v>
      </c>
      <c r="E31" s="9670">
        <v>251556</v>
      </c>
      <c r="F31" s="7216">
        <v>259428</v>
      </c>
    </row>
    <row r="32" spans="1:8" ht="12.9" customHeight="1">
      <c r="A32" s="7207" t="s">
        <v>1352</v>
      </c>
      <c r="B32" s="7206">
        <v>1</v>
      </c>
      <c r="C32" s="7206">
        <v>13</v>
      </c>
      <c r="D32" s="9670">
        <v>288564</v>
      </c>
      <c r="E32" s="9670">
        <v>304644</v>
      </c>
      <c r="F32" s="7216">
        <v>318072</v>
      </c>
    </row>
    <row r="33" spans="1:8" ht="12.9" customHeight="1">
      <c r="A33" s="7207" t="s">
        <v>1353</v>
      </c>
      <c r="B33" s="7206">
        <v>1</v>
      </c>
      <c r="C33" s="7206">
        <v>8</v>
      </c>
      <c r="D33" s="9670">
        <v>191628</v>
      </c>
      <c r="E33" s="9670">
        <v>197196</v>
      </c>
      <c r="F33" s="7216">
        <v>204756</v>
      </c>
    </row>
    <row r="34" spans="1:8" ht="12.9" customHeight="1">
      <c r="A34" s="7207" t="s">
        <v>1235</v>
      </c>
      <c r="B34" s="7206">
        <v>1</v>
      </c>
      <c r="C34" s="7206">
        <v>6</v>
      </c>
      <c r="D34" s="9670">
        <v>175224</v>
      </c>
      <c r="E34" s="9670">
        <v>180792</v>
      </c>
      <c r="F34" s="7216">
        <v>186540</v>
      </c>
    </row>
    <row r="35" spans="1:8" ht="12.9" customHeight="1">
      <c r="A35" s="7207" t="s">
        <v>1354</v>
      </c>
      <c r="B35" s="7206">
        <v>0</v>
      </c>
      <c r="C35" s="7206">
        <v>6</v>
      </c>
      <c r="D35" s="9670">
        <v>172164</v>
      </c>
      <c r="E35" s="9670">
        <v>177840</v>
      </c>
      <c r="F35" s="7216">
        <v>0</v>
      </c>
    </row>
    <row r="36" spans="1:8" ht="12.9" customHeight="1">
      <c r="A36" s="7207" t="s">
        <v>1355</v>
      </c>
      <c r="B36" s="7206">
        <v>1</v>
      </c>
      <c r="C36" s="7206">
        <v>6</v>
      </c>
      <c r="D36" s="9670">
        <v>169152</v>
      </c>
      <c r="E36" s="9670">
        <v>176388</v>
      </c>
      <c r="F36" s="7216">
        <v>182304</v>
      </c>
    </row>
    <row r="37" spans="1:8" ht="12.9" customHeight="1">
      <c r="A37" s="7207" t="s">
        <v>1356</v>
      </c>
      <c r="B37" s="7206">
        <v>1</v>
      </c>
      <c r="C37" s="7206">
        <v>6</v>
      </c>
      <c r="D37" s="9670">
        <v>166212</v>
      </c>
      <c r="E37" s="9670">
        <v>173508</v>
      </c>
      <c r="F37" s="7216">
        <v>179532</v>
      </c>
    </row>
    <row r="38" spans="1:8" ht="12.9" customHeight="1">
      <c r="A38" s="7207" t="s">
        <v>1357</v>
      </c>
      <c r="B38" s="7206">
        <v>8</v>
      </c>
      <c r="C38" s="7206">
        <v>4</v>
      </c>
      <c r="D38" s="9670">
        <v>1202340</v>
      </c>
      <c r="E38" s="9670">
        <v>1251156</v>
      </c>
      <c r="F38" s="7216">
        <v>1298340</v>
      </c>
    </row>
    <row r="39" spans="1:8" ht="12.9" customHeight="1">
      <c r="A39" s="7207" t="s">
        <v>1358</v>
      </c>
      <c r="B39" s="7206">
        <v>1</v>
      </c>
      <c r="C39" s="7206">
        <v>4</v>
      </c>
      <c r="D39" s="9670">
        <v>155124</v>
      </c>
      <c r="E39" s="9670">
        <v>161088</v>
      </c>
      <c r="F39" s="7216">
        <v>167292</v>
      </c>
    </row>
    <row r="40" spans="1:8" ht="12.9" customHeight="1">
      <c r="A40" s="7207" t="s">
        <v>1360</v>
      </c>
      <c r="B40" s="7206">
        <v>1</v>
      </c>
      <c r="C40" s="7206">
        <v>3</v>
      </c>
      <c r="D40" s="9670">
        <v>144048</v>
      </c>
      <c r="E40" s="9670">
        <v>150204</v>
      </c>
      <c r="F40" s="7216">
        <v>156624</v>
      </c>
    </row>
    <row r="41" spans="1:8" ht="12.9" customHeight="1">
      <c r="A41" s="7207" t="s">
        <v>1228</v>
      </c>
      <c r="B41" s="7206">
        <v>2</v>
      </c>
      <c r="C41" s="7206">
        <v>3</v>
      </c>
      <c r="D41" s="9670">
        <v>275712</v>
      </c>
      <c r="E41" s="9670">
        <v>288312</v>
      </c>
      <c r="F41" s="7216">
        <v>303792</v>
      </c>
    </row>
    <row r="42" spans="1:8" ht="12.9" customHeight="1">
      <c r="A42" s="7207" t="s">
        <v>1361</v>
      </c>
      <c r="B42" s="7206">
        <v>1</v>
      </c>
      <c r="C42" s="7206">
        <v>2</v>
      </c>
      <c r="D42" s="9670">
        <v>136140</v>
      </c>
      <c r="E42" s="9670">
        <v>142368</v>
      </c>
      <c r="F42" s="7216">
        <v>148884</v>
      </c>
    </row>
    <row r="43" spans="1:8" ht="12.9" customHeight="1">
      <c r="A43" s="7207" t="s">
        <v>1362</v>
      </c>
      <c r="B43" s="7206">
        <v>1</v>
      </c>
      <c r="C43" s="7206">
        <v>1</v>
      </c>
      <c r="D43" s="9670">
        <v>121980</v>
      </c>
      <c r="E43" s="9670">
        <v>128340</v>
      </c>
      <c r="F43" s="7216">
        <v>136176</v>
      </c>
    </row>
    <row r="44" spans="1:8" ht="12.9" customHeight="1">
      <c r="A44" s="7207"/>
      <c r="B44" s="7206"/>
      <c r="C44" s="7206"/>
      <c r="D44" s="9670"/>
      <c r="E44" s="9670"/>
      <c r="F44" s="7216"/>
      <c r="G44" s="7165">
        <f>SUM(B20:B43)</f>
        <v>54</v>
      </c>
      <c r="H44" s="7198">
        <f>SUM(F20:F44)</f>
        <v>17452812</v>
      </c>
    </row>
    <row r="45" spans="1:8" ht="12.9" customHeight="1">
      <c r="A45" s="7209" t="s">
        <v>1270</v>
      </c>
      <c r="B45" s="7206"/>
      <c r="C45" s="7206"/>
      <c r="D45" s="9670"/>
      <c r="E45" s="9670"/>
      <c r="F45" s="7216"/>
    </row>
    <row r="46" spans="1:8" ht="12.9" customHeight="1">
      <c r="A46" s="7207" t="s">
        <v>1256</v>
      </c>
      <c r="B46" s="7206">
        <v>1</v>
      </c>
      <c r="C46" s="7206">
        <v>15</v>
      </c>
      <c r="D46" s="9790">
        <v>330780</v>
      </c>
      <c r="E46" s="9790">
        <v>352308</v>
      </c>
      <c r="F46" s="9704">
        <v>370908</v>
      </c>
    </row>
    <row r="47" spans="1:8" ht="12.9" customHeight="1">
      <c r="A47" s="7207" t="s">
        <v>1363</v>
      </c>
      <c r="B47" s="7206">
        <v>1</v>
      </c>
      <c r="C47" s="7206">
        <v>14</v>
      </c>
      <c r="D47" s="9670">
        <v>317292</v>
      </c>
      <c r="E47" s="9670">
        <v>333192</v>
      </c>
      <c r="F47" s="7216">
        <v>354204</v>
      </c>
    </row>
    <row r="48" spans="1:8" ht="12.9" customHeight="1">
      <c r="A48" s="7207" t="s">
        <v>1364</v>
      </c>
      <c r="B48" s="7206">
        <v>1</v>
      </c>
      <c r="C48" s="7206">
        <v>10</v>
      </c>
      <c r="D48" s="9670">
        <v>230928</v>
      </c>
      <c r="E48" s="9670">
        <v>236700</v>
      </c>
      <c r="F48" s="7216">
        <v>242616</v>
      </c>
    </row>
    <row r="49" spans="1:8" ht="12.9" customHeight="1">
      <c r="A49" s="7207" t="s">
        <v>1259</v>
      </c>
      <c r="B49" s="7206">
        <v>2</v>
      </c>
      <c r="C49" s="7206">
        <v>6</v>
      </c>
      <c r="D49" s="9670">
        <v>176772</v>
      </c>
      <c r="E49" s="9670">
        <v>354360</v>
      </c>
      <c r="F49" s="7216">
        <v>366132</v>
      </c>
    </row>
    <row r="50" spans="1:8" ht="12.9" customHeight="1">
      <c r="A50" s="7207" t="s">
        <v>1260</v>
      </c>
      <c r="B50" s="7206">
        <v>1</v>
      </c>
      <c r="C50" s="7206">
        <v>4</v>
      </c>
      <c r="D50" s="9670">
        <v>148452</v>
      </c>
      <c r="E50" s="9670">
        <v>155880</v>
      </c>
      <c r="F50" s="7216">
        <v>158568</v>
      </c>
    </row>
    <row r="51" spans="1:8" ht="12.9" customHeight="1">
      <c r="A51" s="7207" t="s">
        <v>1261</v>
      </c>
      <c r="B51" s="7206">
        <v>5</v>
      </c>
      <c r="C51" s="7206">
        <v>3</v>
      </c>
      <c r="D51" s="9670">
        <v>425928</v>
      </c>
      <c r="E51" s="9670">
        <v>586272</v>
      </c>
      <c r="F51" s="7216">
        <v>764328</v>
      </c>
    </row>
    <row r="52" spans="1:8" ht="12.9" customHeight="1">
      <c r="A52" s="7207" t="s">
        <v>1263</v>
      </c>
      <c r="B52" s="7206">
        <v>8</v>
      </c>
      <c r="C52" s="7206">
        <v>1</v>
      </c>
      <c r="D52" s="9670">
        <v>749076</v>
      </c>
      <c r="E52" s="9670">
        <v>787284</v>
      </c>
      <c r="F52" s="7216">
        <v>1087440</v>
      </c>
    </row>
    <row r="53" spans="1:8" ht="12.9" customHeight="1">
      <c r="A53" s="7207"/>
      <c r="B53" s="7206"/>
      <c r="C53" s="7206"/>
      <c r="D53" s="9670"/>
      <c r="E53" s="9670"/>
      <c r="F53" s="7216"/>
    </row>
    <row r="54" spans="1:8" ht="12.9" customHeight="1">
      <c r="A54" s="7209" t="s">
        <v>1159</v>
      </c>
      <c r="B54" s="9613">
        <f>SUM(B12:B52)</f>
        <v>77</v>
      </c>
      <c r="C54" s="9631"/>
      <c r="D54" s="9668">
        <f>SUM(D12:D53)</f>
        <v>21337596</v>
      </c>
      <c r="E54" s="9668">
        <f>SUM(E12:E53)</f>
        <v>21952956</v>
      </c>
      <c r="F54" s="9669">
        <f>SUM(F12:F53)</f>
        <v>24595200</v>
      </c>
      <c r="G54" s="7165">
        <f>SUM(B45:B53)</f>
        <v>19</v>
      </c>
      <c r="H54" s="7198">
        <f>SUM(F46:F53)</f>
        <v>3344196</v>
      </c>
    </row>
    <row r="55" spans="1:8" ht="12.9" customHeight="1" thickBot="1">
      <c r="A55" s="9709"/>
      <c r="B55" s="9633"/>
      <c r="C55" s="9634"/>
      <c r="D55" s="9623"/>
      <c r="E55" s="9623"/>
      <c r="F55" s="9774"/>
    </row>
    <row r="56" spans="1:8" ht="12.9" customHeight="1">
      <c r="A56" s="7199"/>
      <c r="B56" s="7200"/>
      <c r="C56" s="7199"/>
      <c r="D56" s="7263"/>
      <c r="E56" s="7263"/>
      <c r="F56" s="7263"/>
    </row>
    <row r="57" spans="1:8" ht="12.9" customHeight="1">
      <c r="A57" s="7199"/>
      <c r="B57" s="7200"/>
      <c r="C57" s="7199"/>
      <c r="D57" s="7263"/>
      <c r="E57" s="7263"/>
      <c r="F57" s="7263"/>
    </row>
    <row r="58" spans="1:8" ht="12.9" customHeight="1">
      <c r="A58" s="7199"/>
      <c r="B58" s="7200"/>
      <c r="C58" s="7199"/>
      <c r="D58" s="7263"/>
      <c r="E58" s="7263"/>
      <c r="F58" s="7263"/>
    </row>
    <row r="59" spans="1:8" ht="12.9" customHeight="1">
      <c r="A59" s="7199"/>
      <c r="B59" s="7200"/>
      <c r="C59" s="7199"/>
      <c r="D59" s="7263"/>
      <c r="E59" s="7263"/>
      <c r="F59" s="7263"/>
    </row>
    <row r="60" spans="1:8" ht="12.9" customHeight="1">
      <c r="A60" s="7199"/>
      <c r="B60" s="7200"/>
      <c r="C60" s="7199"/>
      <c r="D60" s="7263"/>
      <c r="E60" s="7263"/>
      <c r="F60" s="7263"/>
    </row>
    <row r="61" spans="1:8" ht="12.9" customHeight="1">
      <c r="A61" s="7199"/>
      <c r="B61" s="7200"/>
      <c r="C61" s="7199"/>
      <c r="D61" s="7263"/>
      <c r="E61" s="7263"/>
      <c r="F61" s="7263"/>
    </row>
    <row r="62" spans="1:8" ht="12.9" customHeight="1">
      <c r="A62" s="7199"/>
      <c r="B62" s="7200"/>
      <c r="C62" s="7199"/>
      <c r="D62" s="7263"/>
      <c r="E62" s="7263"/>
      <c r="F62" s="7263"/>
    </row>
    <row r="63" spans="1:8" ht="12.9" customHeight="1">
      <c r="A63" s="7199"/>
      <c r="B63" s="7200"/>
      <c r="C63" s="7199"/>
      <c r="D63" s="7263"/>
      <c r="E63" s="7263"/>
      <c r="F63" s="7263"/>
    </row>
    <row r="64" spans="1:8" ht="12.9" customHeight="1">
      <c r="A64" s="7199"/>
      <c r="B64" s="7200"/>
      <c r="C64" s="7199"/>
      <c r="D64" s="7263"/>
      <c r="E64" s="7263"/>
      <c r="F64" s="7263"/>
    </row>
    <row r="65" spans="1:6" ht="12.9" customHeight="1">
      <c r="A65" s="7199"/>
      <c r="B65" s="7200"/>
      <c r="C65" s="7199"/>
      <c r="D65" s="7263"/>
      <c r="E65" s="7263"/>
      <c r="F65" s="7263"/>
    </row>
    <row r="66" spans="1:6" ht="12.9" customHeight="1">
      <c r="A66" s="7199"/>
      <c r="B66" s="7200"/>
      <c r="C66" s="7199"/>
      <c r="D66" s="7263"/>
      <c r="E66" s="7263"/>
      <c r="F66" s="7263"/>
    </row>
    <row r="67" spans="1:6" ht="12.9" customHeight="1" thickBot="1">
      <c r="A67" s="7199" t="s">
        <v>9217</v>
      </c>
      <c r="B67" s="7200"/>
      <c r="C67" s="7199"/>
      <c r="D67" s="7263"/>
      <c r="E67" s="7263"/>
      <c r="F67" s="7263"/>
    </row>
    <row r="68" spans="1:6" s="7163" customFormat="1" ht="12.9" customHeight="1">
      <c r="A68" s="9725"/>
      <c r="B68" s="9726"/>
      <c r="C68" s="9726"/>
      <c r="D68" s="14211"/>
      <c r="E68" s="14211"/>
      <c r="F68" s="14845"/>
    </row>
    <row r="69" spans="1:6" s="7163" customFormat="1" ht="12.9" customHeight="1">
      <c r="A69" s="9738" t="s">
        <v>1365</v>
      </c>
      <c r="B69" s="9750" t="s">
        <v>1035</v>
      </c>
      <c r="C69" s="9750" t="s">
        <v>1036</v>
      </c>
      <c r="D69" s="15027" t="s">
        <v>1037</v>
      </c>
      <c r="E69" s="15027"/>
      <c r="F69" s="15028"/>
    </row>
    <row r="70" spans="1:6" s="7163" customFormat="1" ht="12.9" customHeight="1" thickBot="1">
      <c r="A70" s="9717"/>
      <c r="B70" s="9772" t="s">
        <v>9</v>
      </c>
      <c r="C70" s="9772" t="s">
        <v>1039</v>
      </c>
      <c r="D70" s="9719" t="s">
        <v>10</v>
      </c>
      <c r="E70" s="9772" t="s">
        <v>11</v>
      </c>
      <c r="F70" s="9773" t="s">
        <v>11621</v>
      </c>
    </row>
    <row r="71" spans="1:6" ht="12.9" customHeight="1">
      <c r="A71" s="7207"/>
      <c r="B71" s="10716"/>
      <c r="C71" s="7205"/>
      <c r="D71" s="9775"/>
      <c r="E71" s="7212"/>
      <c r="F71" s="9776"/>
    </row>
    <row r="72" spans="1:6" ht="12.9" customHeight="1">
      <c r="A72" s="7207" t="s">
        <v>1129</v>
      </c>
      <c r="B72" s="9750" t="s">
        <v>9</v>
      </c>
      <c r="C72" s="7205"/>
      <c r="D72" s="7205"/>
      <c r="E72" s="7205"/>
      <c r="F72" s="7215"/>
    </row>
    <row r="73" spans="1:6" ht="12.9" customHeight="1">
      <c r="A73" s="7207" t="s">
        <v>11410</v>
      </c>
      <c r="B73" s="7206">
        <v>0</v>
      </c>
      <c r="C73" s="7206">
        <v>25</v>
      </c>
      <c r="D73" s="9670">
        <v>857748</v>
      </c>
      <c r="E73" s="9670">
        <v>0</v>
      </c>
      <c r="F73" s="6142">
        <v>0</v>
      </c>
    </row>
    <row r="74" spans="1:6" ht="12.9" customHeight="1">
      <c r="A74" s="7207" t="s">
        <v>11411</v>
      </c>
      <c r="B74" s="9614">
        <v>1</v>
      </c>
      <c r="C74" s="9614">
        <v>24</v>
      </c>
      <c r="D74" s="9626"/>
      <c r="E74" s="9626">
        <v>892764</v>
      </c>
      <c r="F74" s="9950">
        <v>1000872</v>
      </c>
    </row>
    <row r="75" spans="1:6" ht="12.9" customHeight="1">
      <c r="A75" s="7207" t="s">
        <v>10557</v>
      </c>
      <c r="B75" s="7206">
        <v>0</v>
      </c>
      <c r="C75" s="7206">
        <v>23</v>
      </c>
      <c r="D75" s="9670">
        <v>2099160</v>
      </c>
      <c r="E75" s="9670">
        <v>2361744</v>
      </c>
      <c r="F75" s="6142">
        <v>0</v>
      </c>
    </row>
    <row r="76" spans="1:6" ht="12.9" customHeight="1">
      <c r="A76" s="7207" t="s">
        <v>1343</v>
      </c>
      <c r="B76" s="7206">
        <v>3</v>
      </c>
      <c r="C76" s="7206">
        <v>21</v>
      </c>
      <c r="D76" s="9670">
        <v>1146696</v>
      </c>
      <c r="E76" s="9670">
        <v>630648</v>
      </c>
      <c r="F76" s="6142">
        <v>2080980</v>
      </c>
    </row>
    <row r="77" spans="1:6" ht="12.9" hidden="1" customHeight="1">
      <c r="A77" s="7207" t="s">
        <v>3439</v>
      </c>
      <c r="B77" s="7206">
        <v>0</v>
      </c>
      <c r="C77" s="7206">
        <v>24</v>
      </c>
      <c r="D77" s="9670">
        <v>0</v>
      </c>
      <c r="E77" s="9670">
        <v>0</v>
      </c>
      <c r="F77" s="7216">
        <v>0</v>
      </c>
    </row>
    <row r="78" spans="1:6" ht="12.9" customHeight="1">
      <c r="A78" s="7207" t="s">
        <v>1095</v>
      </c>
      <c r="B78" s="7206"/>
      <c r="C78" s="7206">
        <v>18</v>
      </c>
      <c r="D78" s="9670"/>
      <c r="E78" s="9670">
        <v>457020</v>
      </c>
      <c r="F78" s="7216" t="s">
        <v>12022</v>
      </c>
    </row>
    <row r="79" spans="1:6" ht="12.9" customHeight="1">
      <c r="A79" s="7207" t="s">
        <v>1345</v>
      </c>
      <c r="B79" s="7206">
        <v>1</v>
      </c>
      <c r="C79" s="7206">
        <v>17</v>
      </c>
      <c r="D79" s="9670">
        <v>0</v>
      </c>
      <c r="E79" s="9670">
        <v>417372</v>
      </c>
      <c r="F79" s="7216">
        <v>443304</v>
      </c>
    </row>
    <row r="80" spans="1:6" ht="12.9" customHeight="1">
      <c r="A80" s="7207" t="s">
        <v>1324</v>
      </c>
      <c r="B80" s="7206"/>
      <c r="C80" s="7206">
        <v>17</v>
      </c>
      <c r="D80" s="9670"/>
      <c r="E80" s="9670">
        <v>417372</v>
      </c>
      <c r="F80" s="7216" t="s">
        <v>12022</v>
      </c>
    </row>
    <row r="81" spans="1:8" ht="12.9" hidden="1" customHeight="1">
      <c r="A81" s="7207" t="s">
        <v>1348</v>
      </c>
      <c r="B81" s="7206">
        <v>0</v>
      </c>
      <c r="C81" s="7206">
        <v>15</v>
      </c>
      <c r="D81" s="9670">
        <v>0</v>
      </c>
      <c r="E81" s="9670">
        <v>0</v>
      </c>
      <c r="F81" s="7216">
        <v>0</v>
      </c>
    </row>
    <row r="82" spans="1:8" ht="12.9" hidden="1" customHeight="1">
      <c r="A82" s="7207" t="s">
        <v>1134</v>
      </c>
      <c r="B82" s="7206">
        <v>0</v>
      </c>
      <c r="C82" s="7206">
        <v>15</v>
      </c>
      <c r="D82" s="9670">
        <v>0</v>
      </c>
      <c r="E82" s="9670">
        <v>0</v>
      </c>
      <c r="F82" s="7216">
        <v>0</v>
      </c>
    </row>
    <row r="83" spans="1:8" ht="12.9" customHeight="1">
      <c r="A83" s="7207" t="s">
        <v>1346</v>
      </c>
      <c r="B83" s="7206">
        <v>0</v>
      </c>
      <c r="C83" s="7206">
        <v>15</v>
      </c>
      <c r="D83" s="9670">
        <v>330780</v>
      </c>
      <c r="E83" s="9670">
        <v>0</v>
      </c>
      <c r="F83" s="7216">
        <v>0</v>
      </c>
    </row>
    <row r="84" spans="1:8" ht="12.9" customHeight="1">
      <c r="A84" s="7207" t="s">
        <v>12026</v>
      </c>
      <c r="B84" s="9614">
        <v>1</v>
      </c>
      <c r="C84" s="9614">
        <v>13</v>
      </c>
      <c r="D84" s="9626"/>
      <c r="E84" s="9626"/>
      <c r="F84" s="9951">
        <v>302784</v>
      </c>
    </row>
    <row r="85" spans="1:8" ht="12.9" customHeight="1">
      <c r="A85" s="7207" t="s">
        <v>1347</v>
      </c>
      <c r="B85" s="7206">
        <v>6</v>
      </c>
      <c r="C85" s="7206">
        <v>11</v>
      </c>
      <c r="D85" s="9670">
        <v>0</v>
      </c>
      <c r="E85" s="9670">
        <v>1462296</v>
      </c>
      <c r="F85" s="7216">
        <f>B85*249048</f>
        <v>1494288</v>
      </c>
      <c r="G85" s="13958" t="s">
        <v>12260</v>
      </c>
    </row>
    <row r="86" spans="1:8" ht="12.9" customHeight="1">
      <c r="A86" s="7207" t="s">
        <v>10559</v>
      </c>
      <c r="B86" s="7206">
        <v>2</v>
      </c>
      <c r="C86" s="7206">
        <v>11</v>
      </c>
      <c r="D86" s="9670">
        <v>235440</v>
      </c>
      <c r="E86" s="9670">
        <v>484296</v>
      </c>
      <c r="F86" s="7216">
        <v>498096</v>
      </c>
      <c r="H86" s="5787"/>
    </row>
    <row r="87" spans="1:8" ht="12.9" customHeight="1">
      <c r="A87" s="7207" t="s">
        <v>1350</v>
      </c>
      <c r="B87" s="7206">
        <v>1</v>
      </c>
      <c r="C87" s="7206">
        <v>11</v>
      </c>
      <c r="D87" s="9670"/>
      <c r="E87" s="9670">
        <v>242148</v>
      </c>
      <c r="F87" s="7216">
        <v>249048</v>
      </c>
    </row>
    <row r="88" spans="1:8" ht="12.9" customHeight="1">
      <c r="A88" s="7207" t="s">
        <v>1327</v>
      </c>
      <c r="B88" s="7206">
        <v>1</v>
      </c>
      <c r="C88" s="7206">
        <v>11</v>
      </c>
      <c r="D88" s="9670"/>
      <c r="E88" s="9670">
        <v>242148</v>
      </c>
      <c r="F88" s="7216">
        <v>249048</v>
      </c>
    </row>
    <row r="89" spans="1:8" ht="12.9" customHeight="1">
      <c r="A89" s="7207" t="s">
        <v>1172</v>
      </c>
      <c r="B89" s="7206">
        <v>1</v>
      </c>
      <c r="C89" s="7206">
        <v>10</v>
      </c>
      <c r="D89" s="9670">
        <v>218604</v>
      </c>
      <c r="E89" s="9670">
        <v>224616</v>
      </c>
      <c r="F89" s="7216">
        <v>230796</v>
      </c>
    </row>
    <row r="90" spans="1:8" ht="12.9" customHeight="1">
      <c r="A90" s="7207" t="s">
        <v>1355</v>
      </c>
      <c r="B90" s="7206">
        <v>2</v>
      </c>
      <c r="C90" s="7206">
        <v>6</v>
      </c>
      <c r="D90" s="9670">
        <v>332424</v>
      </c>
      <c r="E90" s="9670">
        <v>344160</v>
      </c>
      <c r="F90" s="7216">
        <v>356328</v>
      </c>
    </row>
    <row r="91" spans="1:8" ht="12.9" customHeight="1">
      <c r="A91" s="7207" t="s">
        <v>1097</v>
      </c>
      <c r="B91" s="7206">
        <v>0</v>
      </c>
      <c r="C91" s="7206">
        <v>6</v>
      </c>
      <c r="D91" s="9670">
        <v>166212</v>
      </c>
      <c r="E91" s="9670">
        <v>0</v>
      </c>
      <c r="F91" s="7216">
        <v>0</v>
      </c>
    </row>
    <row r="92" spans="1:8" ht="12.9" hidden="1" customHeight="1">
      <c r="A92" s="7207" t="s">
        <v>1356</v>
      </c>
      <c r="B92" s="7206">
        <v>0</v>
      </c>
      <c r="C92" s="7206">
        <v>6</v>
      </c>
      <c r="D92" s="9670">
        <v>0</v>
      </c>
      <c r="E92" s="9670">
        <v>0</v>
      </c>
      <c r="F92" s="7216">
        <v>0</v>
      </c>
    </row>
    <row r="93" spans="1:8" ht="12.9" customHeight="1">
      <c r="A93" s="7207" t="s">
        <v>11632</v>
      </c>
      <c r="B93" s="9614">
        <v>1</v>
      </c>
      <c r="C93" s="9614">
        <v>6</v>
      </c>
      <c r="D93" s="9626"/>
      <c r="E93" s="9626"/>
      <c r="F93" s="9951">
        <v>178164</v>
      </c>
    </row>
    <row r="94" spans="1:8" ht="12.9" hidden="1" customHeight="1">
      <c r="A94" s="7207" t="s">
        <v>1238</v>
      </c>
      <c r="B94" s="7206">
        <v>0</v>
      </c>
      <c r="C94" s="7206">
        <v>5</v>
      </c>
      <c r="D94" s="9670">
        <v>0</v>
      </c>
      <c r="E94" s="9670">
        <v>0</v>
      </c>
      <c r="F94" s="7216">
        <v>0</v>
      </c>
    </row>
    <row r="95" spans="1:8" ht="12.9" hidden="1" customHeight="1">
      <c r="A95" s="7207" t="s">
        <v>1228</v>
      </c>
      <c r="B95" s="7206">
        <v>0</v>
      </c>
      <c r="C95" s="7206">
        <v>3</v>
      </c>
      <c r="D95" s="9670">
        <v>0</v>
      </c>
      <c r="E95" s="9670">
        <v>0</v>
      </c>
      <c r="F95" s="7216">
        <v>0</v>
      </c>
    </row>
    <row r="96" spans="1:8" ht="12.9" hidden="1" customHeight="1">
      <c r="A96" s="7207" t="s">
        <v>3440</v>
      </c>
      <c r="B96" s="7206">
        <v>0</v>
      </c>
      <c r="C96" s="7206">
        <v>2</v>
      </c>
      <c r="D96" s="9670">
        <v>0</v>
      </c>
      <c r="E96" s="9670">
        <v>0</v>
      </c>
      <c r="F96" s="7216">
        <v>0</v>
      </c>
    </row>
    <row r="97" spans="1:8" ht="12.9" hidden="1" customHeight="1">
      <c r="A97" s="7207" t="s">
        <v>1362</v>
      </c>
      <c r="B97" s="7206">
        <v>0</v>
      </c>
      <c r="C97" s="7206">
        <v>1</v>
      </c>
      <c r="D97" s="9670">
        <v>0</v>
      </c>
      <c r="E97" s="9670">
        <v>0</v>
      </c>
      <c r="F97" s="7216">
        <v>0</v>
      </c>
    </row>
    <row r="98" spans="1:8" ht="12.9" customHeight="1">
      <c r="A98" s="7207" t="s">
        <v>1357</v>
      </c>
      <c r="B98" s="7206">
        <v>0</v>
      </c>
      <c r="C98" s="7206">
        <v>4</v>
      </c>
      <c r="D98" s="9670">
        <v>145860</v>
      </c>
      <c r="E98" s="9670">
        <v>152088</v>
      </c>
      <c r="F98" s="6142">
        <v>0</v>
      </c>
    </row>
    <row r="99" spans="1:8" ht="12.9" customHeight="1">
      <c r="A99" s="7207" t="s">
        <v>1302</v>
      </c>
      <c r="B99" s="7206"/>
      <c r="C99" s="7206">
        <v>4</v>
      </c>
      <c r="D99" s="9670">
        <v>145860</v>
      </c>
      <c r="E99" s="9670">
        <v>155880</v>
      </c>
      <c r="F99" s="7216" t="s">
        <v>12022</v>
      </c>
    </row>
    <row r="100" spans="1:8" ht="12.9" customHeight="1">
      <c r="A100" s="7207" t="s">
        <v>1174</v>
      </c>
      <c r="B100" s="7206">
        <v>0</v>
      </c>
      <c r="C100" s="7206">
        <v>3</v>
      </c>
      <c r="D100" s="9670">
        <v>273288</v>
      </c>
      <c r="E100" s="9670">
        <v>142968</v>
      </c>
      <c r="F100" s="6142">
        <v>0</v>
      </c>
    </row>
    <row r="101" spans="1:8" ht="12.9" customHeight="1">
      <c r="A101" s="7207" t="s">
        <v>1175</v>
      </c>
      <c r="B101" s="7206">
        <v>0</v>
      </c>
      <c r="C101" s="7206">
        <v>1</v>
      </c>
      <c r="D101" s="9670">
        <v>239544</v>
      </c>
      <c r="E101" s="9670">
        <v>252240</v>
      </c>
      <c r="F101" s="6142">
        <v>0</v>
      </c>
    </row>
    <row r="102" spans="1:8" ht="12.9" customHeight="1">
      <c r="A102" s="7207"/>
      <c r="B102" s="7206"/>
      <c r="C102" s="7206"/>
      <c r="D102" s="9670"/>
      <c r="E102" s="9670"/>
      <c r="F102" s="7216"/>
    </row>
    <row r="103" spans="1:8" ht="12.9" customHeight="1">
      <c r="A103" s="7209" t="s">
        <v>1366</v>
      </c>
      <c r="B103" s="9613">
        <f>SUM(B72:B102)</f>
        <v>20</v>
      </c>
      <c r="C103" s="9630"/>
      <c r="D103" s="9619">
        <f>SUM(D72:D102)</f>
        <v>6191616</v>
      </c>
      <c r="E103" s="9619">
        <f>SUM(E72:E102)</f>
        <v>8879760</v>
      </c>
      <c r="F103" s="7221">
        <f>SUM(F72:F102)</f>
        <v>7083708</v>
      </c>
    </row>
    <row r="104" spans="1:8" ht="12.9" customHeight="1" thickBot="1">
      <c r="A104" s="7207"/>
      <c r="B104" s="7206"/>
      <c r="C104" s="7206"/>
      <c r="D104" s="7208"/>
      <c r="E104" s="7208"/>
      <c r="F104" s="7216"/>
    </row>
    <row r="105" spans="1:8" ht="12.9" customHeight="1" thickBot="1">
      <c r="A105" s="10422" t="s">
        <v>1101</v>
      </c>
      <c r="B105" s="10725">
        <f>SUM(B54+B103)</f>
        <v>97</v>
      </c>
      <c r="C105" s="10414"/>
      <c r="D105" s="10419">
        <f>SUM(D54+D103)</f>
        <v>27529212</v>
      </c>
      <c r="E105" s="10419">
        <f>SUM(E54+E103)</f>
        <v>30832716</v>
      </c>
      <c r="F105" s="10420">
        <f>SUM(F54+F103)</f>
        <v>31678908</v>
      </c>
      <c r="H105" s="7198"/>
    </row>
    <row r="106" spans="1:8" ht="12.9" customHeight="1">
      <c r="A106" s="7209"/>
      <c r="B106" s="10760"/>
      <c r="C106" s="10765"/>
      <c r="D106" s="10776"/>
      <c r="E106" s="10776"/>
      <c r="F106" s="9718"/>
      <c r="H106" s="7198"/>
    </row>
    <row r="107" spans="1:8" ht="12.9" customHeight="1">
      <c r="A107" s="7207" t="s">
        <v>1075</v>
      </c>
      <c r="B107" s="7205"/>
      <c r="C107" s="7205"/>
      <c r="D107" s="7205"/>
      <c r="E107" s="7205"/>
      <c r="F107" s="7215"/>
    </row>
    <row r="108" spans="1:8" ht="12.9" customHeight="1">
      <c r="A108" s="7207" t="s">
        <v>1102</v>
      </c>
      <c r="B108" s="7206"/>
      <c r="C108" s="7205"/>
      <c r="D108" s="7205"/>
      <c r="E108" s="7205"/>
      <c r="F108" s="7215"/>
    </row>
    <row r="109" spans="1:8" ht="12.9" customHeight="1">
      <c r="A109" s="7207" t="s">
        <v>1103</v>
      </c>
      <c r="B109" s="7206">
        <v>1</v>
      </c>
      <c r="C109" s="7205"/>
      <c r="D109" s="7205"/>
      <c r="E109" s="7205"/>
      <c r="F109" s="7215"/>
    </row>
    <row r="110" spans="1:8" ht="12.9" customHeight="1">
      <c r="A110" s="7207" t="s">
        <v>1078</v>
      </c>
      <c r="B110" s="7206">
        <v>3</v>
      </c>
      <c r="C110" s="7205"/>
      <c r="D110" s="7205"/>
      <c r="E110" s="7205"/>
      <c r="F110" s="7215"/>
    </row>
    <row r="111" spans="1:8" ht="12.9" customHeight="1">
      <c r="A111" s="7207" t="s">
        <v>10697</v>
      </c>
      <c r="B111" s="7206">
        <v>2</v>
      </c>
      <c r="C111" s="7205"/>
      <c r="D111" s="7205"/>
      <c r="E111" s="7205"/>
      <c r="F111" s="7215"/>
    </row>
    <row r="112" spans="1:8" ht="12.9" customHeight="1">
      <c r="A112" s="7207" t="s">
        <v>10707</v>
      </c>
      <c r="B112" s="7206"/>
      <c r="C112" s="7205"/>
      <c r="D112" s="7205"/>
      <c r="E112" s="7205"/>
      <c r="F112" s="7215"/>
      <c r="G112" s="13958" t="s">
        <v>12259</v>
      </c>
    </row>
    <row r="113" spans="1:6" ht="12.9" customHeight="1">
      <c r="A113" s="7207" t="s">
        <v>1080</v>
      </c>
      <c r="B113" s="7206"/>
      <c r="C113" s="7205"/>
      <c r="D113" s="7205"/>
      <c r="E113" s="7205"/>
      <c r="F113" s="7215"/>
    </row>
    <row r="114" spans="1:6" ht="12.9" customHeight="1">
      <c r="A114" s="7207" t="s">
        <v>1104</v>
      </c>
      <c r="B114" s="7205"/>
      <c r="C114" s="7205"/>
      <c r="D114" s="7205"/>
      <c r="E114" s="7205"/>
      <c r="F114" s="7215"/>
    </row>
    <row r="115" spans="1:6" ht="12.9" customHeight="1">
      <c r="A115" s="7207"/>
      <c r="B115" s="7205"/>
      <c r="C115" s="7205"/>
      <c r="D115" s="7205"/>
      <c r="E115" s="7205"/>
      <c r="F115" s="7215"/>
    </row>
    <row r="116" spans="1:6" ht="12.9" customHeight="1">
      <c r="A116" s="7207" t="s">
        <v>1105</v>
      </c>
      <c r="B116" s="7205"/>
      <c r="C116" s="7205"/>
      <c r="D116" s="7205"/>
      <c r="E116" s="7205"/>
      <c r="F116" s="7215"/>
    </row>
    <row r="117" spans="1:6" ht="12.9" customHeight="1">
      <c r="A117" s="7207"/>
      <c r="B117" s="7205"/>
      <c r="C117" s="7205"/>
      <c r="D117" s="7205"/>
      <c r="E117" s="7205"/>
      <c r="F117" s="7215"/>
    </row>
    <row r="118" spans="1:6" ht="12.9" customHeight="1">
      <c r="A118" s="7209" t="s">
        <v>1083</v>
      </c>
      <c r="B118" s="9631"/>
      <c r="C118" s="9631"/>
      <c r="D118" s="9631"/>
      <c r="E118" s="9631"/>
      <c r="F118" s="9741"/>
    </row>
    <row r="119" spans="1:6" ht="12.9" customHeight="1">
      <c r="A119" s="7209"/>
      <c r="B119" s="10765"/>
      <c r="C119" s="10765"/>
      <c r="D119" s="10765"/>
      <c r="E119" s="10765"/>
      <c r="F119" s="7215"/>
    </row>
    <row r="120" spans="1:6" ht="12.9" customHeight="1">
      <c r="A120" s="7207" t="s">
        <v>1106</v>
      </c>
      <c r="B120" s="7205"/>
      <c r="C120" s="7205"/>
      <c r="D120" s="7205"/>
      <c r="E120" s="7205"/>
      <c r="F120" s="7215"/>
    </row>
    <row r="121" spans="1:6" ht="12.9" customHeight="1" thickBot="1">
      <c r="A121" s="7207"/>
      <c r="B121" s="7205"/>
      <c r="C121" s="7205"/>
      <c r="D121" s="7205"/>
      <c r="E121" s="7205"/>
      <c r="F121" s="7215"/>
    </row>
    <row r="122" spans="1:6" ht="12.9" customHeight="1">
      <c r="A122" s="9715"/>
      <c r="B122" s="9624"/>
      <c r="C122" s="9624"/>
      <c r="D122" s="9624"/>
      <c r="E122" s="9624"/>
      <c r="F122" s="9716"/>
    </row>
    <row r="123" spans="1:6" ht="12.9" customHeight="1">
      <c r="A123" s="7209" t="s">
        <v>1086</v>
      </c>
      <c r="B123" s="10765"/>
      <c r="C123" s="10765"/>
      <c r="D123" s="10765"/>
      <c r="E123" s="10765"/>
      <c r="F123" s="7215"/>
    </row>
    <row r="124" spans="1:6" ht="12.9" customHeight="1" thickBot="1">
      <c r="A124" s="9709"/>
      <c r="B124" s="9634"/>
      <c r="C124" s="9634"/>
      <c r="D124" s="9634"/>
      <c r="E124" s="9634"/>
      <c r="F124" s="9753"/>
    </row>
  </sheetData>
  <mergeCells count="5">
    <mergeCell ref="D6:F6"/>
    <mergeCell ref="D69:F69"/>
    <mergeCell ref="D5:F5"/>
    <mergeCell ref="D68:F68"/>
    <mergeCell ref="A1:F1"/>
  </mergeCells>
  <pageMargins left="0.25" right="0.25" top="0.5" bottom="0.5" header="0.3" footer="0.3"/>
  <pageSetup paperSize="119" firstPageNumber="260" orientation="portrait" useFirstPageNumber="1" r:id="rId1"/>
  <headerFooter alignWithMargins="0"/>
</worksheet>
</file>

<file path=xl/worksheets/sheet128.xml><?xml version="1.0" encoding="utf-8"?>
<worksheet xmlns="http://schemas.openxmlformats.org/spreadsheetml/2006/main" xmlns:r="http://schemas.openxmlformats.org/officeDocument/2006/relationships">
  <sheetPr codeName="Sheet171">
    <tabColor rgb="FFFFFF00"/>
  </sheetPr>
  <dimension ref="A1:J99"/>
  <sheetViews>
    <sheetView workbookViewId="0">
      <selection activeCell="H15" sqref="H15"/>
    </sheetView>
  </sheetViews>
  <sheetFormatPr defaultRowHeight="13.8"/>
  <cols>
    <col min="1" max="1" width="35.44140625" style="4069" customWidth="1"/>
    <col min="2" max="2" width="15.88671875" style="1547" customWidth="1"/>
    <col min="3" max="3" width="18" style="4069" customWidth="1"/>
    <col min="4" max="4" width="11.109375" style="4069" customWidth="1"/>
    <col min="5" max="6" width="8.44140625" style="4069" customWidth="1"/>
    <col min="7" max="256" width="9.109375" style="4069"/>
    <col min="257" max="257" width="31.44140625" style="4069" customWidth="1"/>
    <col min="258" max="258" width="15.109375" style="4069" customWidth="1"/>
    <col min="259" max="259" width="18" style="4069" customWidth="1"/>
    <col min="260" max="260" width="13" style="4069" customWidth="1"/>
    <col min="261" max="512" width="9.109375" style="4069"/>
    <col min="513" max="513" width="31.44140625" style="4069" customWidth="1"/>
    <col min="514" max="514" width="15.109375" style="4069" customWidth="1"/>
    <col min="515" max="515" width="18" style="4069" customWidth="1"/>
    <col min="516" max="516" width="13" style="4069" customWidth="1"/>
    <col min="517" max="768" width="9.109375" style="4069"/>
    <col min="769" max="769" width="31.44140625" style="4069" customWidth="1"/>
    <col min="770" max="770" width="15.109375" style="4069" customWidth="1"/>
    <col min="771" max="771" width="18" style="4069" customWidth="1"/>
    <col min="772" max="772" width="13" style="4069" customWidth="1"/>
    <col min="773" max="1024" width="9.109375" style="4069"/>
    <col min="1025" max="1025" width="31.44140625" style="4069" customWidth="1"/>
    <col min="1026" max="1026" width="15.109375" style="4069" customWidth="1"/>
    <col min="1027" max="1027" width="18" style="4069" customWidth="1"/>
    <col min="1028" max="1028" width="13" style="4069" customWidth="1"/>
    <col min="1029" max="1280" width="9.109375" style="4069"/>
    <col min="1281" max="1281" width="31.44140625" style="4069" customWidth="1"/>
    <col min="1282" max="1282" width="15.109375" style="4069" customWidth="1"/>
    <col min="1283" max="1283" width="18" style="4069" customWidth="1"/>
    <col min="1284" max="1284" width="13" style="4069" customWidth="1"/>
    <col min="1285" max="1536" width="9.109375" style="4069"/>
    <col min="1537" max="1537" width="31.44140625" style="4069" customWidth="1"/>
    <col min="1538" max="1538" width="15.109375" style="4069" customWidth="1"/>
    <col min="1539" max="1539" width="18" style="4069" customWidth="1"/>
    <col min="1540" max="1540" width="13" style="4069" customWidth="1"/>
    <col min="1541" max="1792" width="9.109375" style="4069"/>
    <col min="1793" max="1793" width="31.44140625" style="4069" customWidth="1"/>
    <col min="1794" max="1794" width="15.109375" style="4069" customWidth="1"/>
    <col min="1795" max="1795" width="18" style="4069" customWidth="1"/>
    <col min="1796" max="1796" width="13" style="4069" customWidth="1"/>
    <col min="1797" max="2048" width="9.109375" style="4069"/>
    <col min="2049" max="2049" width="31.44140625" style="4069" customWidth="1"/>
    <col min="2050" max="2050" width="15.109375" style="4069" customWidth="1"/>
    <col min="2051" max="2051" width="18" style="4069" customWidth="1"/>
    <col min="2052" max="2052" width="13" style="4069" customWidth="1"/>
    <col min="2053" max="2304" width="9.109375" style="4069"/>
    <col min="2305" max="2305" width="31.44140625" style="4069" customWidth="1"/>
    <col min="2306" max="2306" width="15.109375" style="4069" customWidth="1"/>
    <col min="2307" max="2307" width="18" style="4069" customWidth="1"/>
    <col min="2308" max="2308" width="13" style="4069" customWidth="1"/>
    <col min="2309" max="2560" width="9.109375" style="4069"/>
    <col min="2561" max="2561" width="31.44140625" style="4069" customWidth="1"/>
    <col min="2562" max="2562" width="15.109375" style="4069" customWidth="1"/>
    <col min="2563" max="2563" width="18" style="4069" customWidth="1"/>
    <col min="2564" max="2564" width="13" style="4069" customWidth="1"/>
    <col min="2565" max="2816" width="9.109375" style="4069"/>
    <col min="2817" max="2817" width="31.44140625" style="4069" customWidth="1"/>
    <col min="2818" max="2818" width="15.109375" style="4069" customWidth="1"/>
    <col min="2819" max="2819" width="18" style="4069" customWidth="1"/>
    <col min="2820" max="2820" width="13" style="4069" customWidth="1"/>
    <col min="2821" max="3072" width="9.109375" style="4069"/>
    <col min="3073" max="3073" width="31.44140625" style="4069" customWidth="1"/>
    <col min="3074" max="3074" width="15.109375" style="4069" customWidth="1"/>
    <col min="3075" max="3075" width="18" style="4069" customWidth="1"/>
    <col min="3076" max="3076" width="13" style="4069" customWidth="1"/>
    <col min="3077" max="3328" width="9.109375" style="4069"/>
    <col min="3329" max="3329" width="31.44140625" style="4069" customWidth="1"/>
    <col min="3330" max="3330" width="15.109375" style="4069" customWidth="1"/>
    <col min="3331" max="3331" width="18" style="4069" customWidth="1"/>
    <col min="3332" max="3332" width="13" style="4069" customWidth="1"/>
    <col min="3333" max="3584" width="9.109375" style="4069"/>
    <col min="3585" max="3585" width="31.44140625" style="4069" customWidth="1"/>
    <col min="3586" max="3586" width="15.109375" style="4069" customWidth="1"/>
    <col min="3587" max="3587" width="18" style="4069" customWidth="1"/>
    <col min="3588" max="3588" width="13" style="4069" customWidth="1"/>
    <col min="3589" max="3840" width="9.109375" style="4069"/>
    <col min="3841" max="3841" width="31.44140625" style="4069" customWidth="1"/>
    <col min="3842" max="3842" width="15.109375" style="4069" customWidth="1"/>
    <col min="3843" max="3843" width="18" style="4069" customWidth="1"/>
    <col min="3844" max="3844" width="13" style="4069" customWidth="1"/>
    <col min="3845" max="4096" width="9.109375" style="4069"/>
    <col min="4097" max="4097" width="31.44140625" style="4069" customWidth="1"/>
    <col min="4098" max="4098" width="15.109375" style="4069" customWidth="1"/>
    <col min="4099" max="4099" width="18" style="4069" customWidth="1"/>
    <col min="4100" max="4100" width="13" style="4069" customWidth="1"/>
    <col min="4101" max="4352" width="9.109375" style="4069"/>
    <col min="4353" max="4353" width="31.44140625" style="4069" customWidth="1"/>
    <col min="4354" max="4354" width="15.109375" style="4069" customWidth="1"/>
    <col min="4355" max="4355" width="18" style="4069" customWidth="1"/>
    <col min="4356" max="4356" width="13" style="4069" customWidth="1"/>
    <col min="4357" max="4608" width="9.109375" style="4069"/>
    <col min="4609" max="4609" width="31.44140625" style="4069" customWidth="1"/>
    <col min="4610" max="4610" width="15.109375" style="4069" customWidth="1"/>
    <col min="4611" max="4611" width="18" style="4069" customWidth="1"/>
    <col min="4612" max="4612" width="13" style="4069" customWidth="1"/>
    <col min="4613" max="4864" width="9.109375" style="4069"/>
    <col min="4865" max="4865" width="31.44140625" style="4069" customWidth="1"/>
    <col min="4866" max="4866" width="15.109375" style="4069" customWidth="1"/>
    <col min="4867" max="4867" width="18" style="4069" customWidth="1"/>
    <col min="4868" max="4868" width="13" style="4069" customWidth="1"/>
    <col min="4869" max="5120" width="9.109375" style="4069"/>
    <col min="5121" max="5121" width="31.44140625" style="4069" customWidth="1"/>
    <col min="5122" max="5122" width="15.109375" style="4069" customWidth="1"/>
    <col min="5123" max="5123" width="18" style="4069" customWidth="1"/>
    <col min="5124" max="5124" width="13" style="4069" customWidth="1"/>
    <col min="5125" max="5376" width="9.109375" style="4069"/>
    <col min="5377" max="5377" width="31.44140625" style="4069" customWidth="1"/>
    <col min="5378" max="5378" width="15.109375" style="4069" customWidth="1"/>
    <col min="5379" max="5379" width="18" style="4069" customWidth="1"/>
    <col min="5380" max="5380" width="13" style="4069" customWidth="1"/>
    <col min="5381" max="5632" width="9.109375" style="4069"/>
    <col min="5633" max="5633" width="31.44140625" style="4069" customWidth="1"/>
    <col min="5634" max="5634" width="15.109375" style="4069" customWidth="1"/>
    <col min="5635" max="5635" width="18" style="4069" customWidth="1"/>
    <col min="5636" max="5636" width="13" style="4069" customWidth="1"/>
    <col min="5637" max="5888" width="9.109375" style="4069"/>
    <col min="5889" max="5889" width="31.44140625" style="4069" customWidth="1"/>
    <col min="5890" max="5890" width="15.109375" style="4069" customWidth="1"/>
    <col min="5891" max="5891" width="18" style="4069" customWidth="1"/>
    <col min="5892" max="5892" width="13" style="4069" customWidth="1"/>
    <col min="5893" max="6144" width="9.109375" style="4069"/>
    <col min="6145" max="6145" width="31.44140625" style="4069" customWidth="1"/>
    <col min="6146" max="6146" width="15.109375" style="4069" customWidth="1"/>
    <col min="6147" max="6147" width="18" style="4069" customWidth="1"/>
    <col min="6148" max="6148" width="13" style="4069" customWidth="1"/>
    <col min="6149" max="6400" width="9.109375" style="4069"/>
    <col min="6401" max="6401" width="31.44140625" style="4069" customWidth="1"/>
    <col min="6402" max="6402" width="15.109375" style="4069" customWidth="1"/>
    <col min="6403" max="6403" width="18" style="4069" customWidth="1"/>
    <col min="6404" max="6404" width="13" style="4069" customWidth="1"/>
    <col min="6405" max="6656" width="9.109375" style="4069"/>
    <col min="6657" max="6657" width="31.44140625" style="4069" customWidth="1"/>
    <col min="6658" max="6658" width="15.109375" style="4069" customWidth="1"/>
    <col min="6659" max="6659" width="18" style="4069" customWidth="1"/>
    <col min="6660" max="6660" width="13" style="4069" customWidth="1"/>
    <col min="6661" max="6912" width="9.109375" style="4069"/>
    <col min="6913" max="6913" width="31.44140625" style="4069" customWidth="1"/>
    <col min="6914" max="6914" width="15.109375" style="4069" customWidth="1"/>
    <col min="6915" max="6915" width="18" style="4069" customWidth="1"/>
    <col min="6916" max="6916" width="13" style="4069" customWidth="1"/>
    <col min="6917" max="7168" width="9.109375" style="4069"/>
    <col min="7169" max="7169" width="31.44140625" style="4069" customWidth="1"/>
    <col min="7170" max="7170" width="15.109375" style="4069" customWidth="1"/>
    <col min="7171" max="7171" width="18" style="4069" customWidth="1"/>
    <col min="7172" max="7172" width="13" style="4069" customWidth="1"/>
    <col min="7173" max="7424" width="9.109375" style="4069"/>
    <col min="7425" max="7425" width="31.44140625" style="4069" customWidth="1"/>
    <col min="7426" max="7426" width="15.109375" style="4069" customWidth="1"/>
    <col min="7427" max="7427" width="18" style="4069" customWidth="1"/>
    <col min="7428" max="7428" width="13" style="4069" customWidth="1"/>
    <col min="7429" max="7680" width="9.109375" style="4069"/>
    <col min="7681" max="7681" width="31.44140625" style="4069" customWidth="1"/>
    <col min="7682" max="7682" width="15.109375" style="4069" customWidth="1"/>
    <col min="7683" max="7683" width="18" style="4069" customWidth="1"/>
    <col min="7684" max="7684" width="13" style="4069" customWidth="1"/>
    <col min="7685" max="7936" width="9.109375" style="4069"/>
    <col min="7937" max="7937" width="31.44140625" style="4069" customWidth="1"/>
    <col min="7938" max="7938" width="15.109375" style="4069" customWidth="1"/>
    <col min="7939" max="7939" width="18" style="4069" customWidth="1"/>
    <col min="7940" max="7940" width="13" style="4069" customWidth="1"/>
    <col min="7941" max="8192" width="9.109375" style="4069"/>
    <col min="8193" max="8193" width="31.44140625" style="4069" customWidth="1"/>
    <col min="8194" max="8194" width="15.109375" style="4069" customWidth="1"/>
    <col min="8195" max="8195" width="18" style="4069" customWidth="1"/>
    <col min="8196" max="8196" width="13" style="4069" customWidth="1"/>
    <col min="8197" max="8448" width="9.109375" style="4069"/>
    <col min="8449" max="8449" width="31.44140625" style="4069" customWidth="1"/>
    <col min="8450" max="8450" width="15.109375" style="4069" customWidth="1"/>
    <col min="8451" max="8451" width="18" style="4069" customWidth="1"/>
    <col min="8452" max="8452" width="13" style="4069" customWidth="1"/>
    <col min="8453" max="8704" width="9.109375" style="4069"/>
    <col min="8705" max="8705" width="31.44140625" style="4069" customWidth="1"/>
    <col min="8706" max="8706" width="15.109375" style="4069" customWidth="1"/>
    <col min="8707" max="8707" width="18" style="4069" customWidth="1"/>
    <col min="8708" max="8708" width="13" style="4069" customWidth="1"/>
    <col min="8709" max="8960" width="9.109375" style="4069"/>
    <col min="8961" max="8961" width="31.44140625" style="4069" customWidth="1"/>
    <col min="8962" max="8962" width="15.109375" style="4069" customWidth="1"/>
    <col min="8963" max="8963" width="18" style="4069" customWidth="1"/>
    <col min="8964" max="8964" width="13" style="4069" customWidth="1"/>
    <col min="8965" max="9216" width="9.109375" style="4069"/>
    <col min="9217" max="9217" width="31.44140625" style="4069" customWidth="1"/>
    <col min="9218" max="9218" width="15.109375" style="4069" customWidth="1"/>
    <col min="9219" max="9219" width="18" style="4069" customWidth="1"/>
    <col min="9220" max="9220" width="13" style="4069" customWidth="1"/>
    <col min="9221" max="9472" width="9.109375" style="4069"/>
    <col min="9473" max="9473" width="31.44140625" style="4069" customWidth="1"/>
    <col min="9474" max="9474" width="15.109375" style="4069" customWidth="1"/>
    <col min="9475" max="9475" width="18" style="4069" customWidth="1"/>
    <col min="9476" max="9476" width="13" style="4069" customWidth="1"/>
    <col min="9477" max="9728" width="9.109375" style="4069"/>
    <col min="9729" max="9729" width="31.44140625" style="4069" customWidth="1"/>
    <col min="9730" max="9730" width="15.109375" style="4069" customWidth="1"/>
    <col min="9731" max="9731" width="18" style="4069" customWidth="1"/>
    <col min="9732" max="9732" width="13" style="4069" customWidth="1"/>
    <col min="9733" max="9984" width="9.109375" style="4069"/>
    <col min="9985" max="9985" width="31.44140625" style="4069" customWidth="1"/>
    <col min="9986" max="9986" width="15.109375" style="4069" customWidth="1"/>
    <col min="9987" max="9987" width="18" style="4069" customWidth="1"/>
    <col min="9988" max="9988" width="13" style="4069" customWidth="1"/>
    <col min="9989" max="10240" width="9.109375" style="4069"/>
    <col min="10241" max="10241" width="31.44140625" style="4069" customWidth="1"/>
    <col min="10242" max="10242" width="15.109375" style="4069" customWidth="1"/>
    <col min="10243" max="10243" width="18" style="4069" customWidth="1"/>
    <col min="10244" max="10244" width="13" style="4069" customWidth="1"/>
    <col min="10245" max="10496" width="9.109375" style="4069"/>
    <col min="10497" max="10497" width="31.44140625" style="4069" customWidth="1"/>
    <col min="10498" max="10498" width="15.109375" style="4069" customWidth="1"/>
    <col min="10499" max="10499" width="18" style="4069" customWidth="1"/>
    <col min="10500" max="10500" width="13" style="4069" customWidth="1"/>
    <col min="10501" max="10752" width="9.109375" style="4069"/>
    <col min="10753" max="10753" width="31.44140625" style="4069" customWidth="1"/>
    <col min="10754" max="10754" width="15.109375" style="4069" customWidth="1"/>
    <col min="10755" max="10755" width="18" style="4069" customWidth="1"/>
    <col min="10756" max="10756" width="13" style="4069" customWidth="1"/>
    <col min="10757" max="11008" width="9.109375" style="4069"/>
    <col min="11009" max="11009" width="31.44140625" style="4069" customWidth="1"/>
    <col min="11010" max="11010" width="15.109375" style="4069" customWidth="1"/>
    <col min="11011" max="11011" width="18" style="4069" customWidth="1"/>
    <col min="11012" max="11012" width="13" style="4069" customWidth="1"/>
    <col min="11013" max="11264" width="9.109375" style="4069"/>
    <col min="11265" max="11265" width="31.44140625" style="4069" customWidth="1"/>
    <col min="11266" max="11266" width="15.109375" style="4069" customWidth="1"/>
    <col min="11267" max="11267" width="18" style="4069" customWidth="1"/>
    <col min="11268" max="11268" width="13" style="4069" customWidth="1"/>
    <col min="11269" max="11520" width="9.109375" style="4069"/>
    <col min="11521" max="11521" width="31.44140625" style="4069" customWidth="1"/>
    <col min="11522" max="11522" width="15.109375" style="4069" customWidth="1"/>
    <col min="11523" max="11523" width="18" style="4069" customWidth="1"/>
    <col min="11524" max="11524" width="13" style="4069" customWidth="1"/>
    <col min="11525" max="11776" width="9.109375" style="4069"/>
    <col min="11777" max="11777" width="31.44140625" style="4069" customWidth="1"/>
    <col min="11778" max="11778" width="15.109375" style="4069" customWidth="1"/>
    <col min="11779" max="11779" width="18" style="4069" customWidth="1"/>
    <col min="11780" max="11780" width="13" style="4069" customWidth="1"/>
    <col min="11781" max="12032" width="9.109375" style="4069"/>
    <col min="12033" max="12033" width="31.44140625" style="4069" customWidth="1"/>
    <col min="12034" max="12034" width="15.109375" style="4069" customWidth="1"/>
    <col min="12035" max="12035" width="18" style="4069" customWidth="1"/>
    <col min="12036" max="12036" width="13" style="4069" customWidth="1"/>
    <col min="12037" max="12288" width="9.109375" style="4069"/>
    <col min="12289" max="12289" width="31.44140625" style="4069" customWidth="1"/>
    <col min="12290" max="12290" width="15.109375" style="4069" customWidth="1"/>
    <col min="12291" max="12291" width="18" style="4069" customWidth="1"/>
    <col min="12292" max="12292" width="13" style="4069" customWidth="1"/>
    <col min="12293" max="12544" width="9.109375" style="4069"/>
    <col min="12545" max="12545" width="31.44140625" style="4069" customWidth="1"/>
    <col min="12546" max="12546" width="15.109375" style="4069" customWidth="1"/>
    <col min="12547" max="12547" width="18" style="4069" customWidth="1"/>
    <col min="12548" max="12548" width="13" style="4069" customWidth="1"/>
    <col min="12549" max="12800" width="9.109375" style="4069"/>
    <col min="12801" max="12801" width="31.44140625" style="4069" customWidth="1"/>
    <col min="12802" max="12802" width="15.109375" style="4069" customWidth="1"/>
    <col min="12803" max="12803" width="18" style="4069" customWidth="1"/>
    <col min="12804" max="12804" width="13" style="4069" customWidth="1"/>
    <col min="12805" max="13056" width="9.109375" style="4069"/>
    <col min="13057" max="13057" width="31.44140625" style="4069" customWidth="1"/>
    <col min="13058" max="13058" width="15.109375" style="4069" customWidth="1"/>
    <col min="13059" max="13059" width="18" style="4069" customWidth="1"/>
    <col min="13060" max="13060" width="13" style="4069" customWidth="1"/>
    <col min="13061" max="13312" width="9.109375" style="4069"/>
    <col min="13313" max="13313" width="31.44140625" style="4069" customWidth="1"/>
    <col min="13314" max="13314" width="15.109375" style="4069" customWidth="1"/>
    <col min="13315" max="13315" width="18" style="4069" customWidth="1"/>
    <col min="13316" max="13316" width="13" style="4069" customWidth="1"/>
    <col min="13317" max="13568" width="9.109375" style="4069"/>
    <col min="13569" max="13569" width="31.44140625" style="4069" customWidth="1"/>
    <col min="13570" max="13570" width="15.109375" style="4069" customWidth="1"/>
    <col min="13571" max="13571" width="18" style="4069" customWidth="1"/>
    <col min="13572" max="13572" width="13" style="4069" customWidth="1"/>
    <col min="13573" max="13824" width="9.109375" style="4069"/>
    <col min="13825" max="13825" width="31.44140625" style="4069" customWidth="1"/>
    <col min="13826" max="13826" width="15.109375" style="4069" customWidth="1"/>
    <col min="13827" max="13827" width="18" style="4069" customWidth="1"/>
    <col min="13828" max="13828" width="13" style="4069" customWidth="1"/>
    <col min="13829" max="14080" width="9.109375" style="4069"/>
    <col min="14081" max="14081" width="31.44140625" style="4069" customWidth="1"/>
    <col min="14082" max="14082" width="15.109375" style="4069" customWidth="1"/>
    <col min="14083" max="14083" width="18" style="4069" customWidth="1"/>
    <col min="14084" max="14084" width="13" style="4069" customWidth="1"/>
    <col min="14085" max="14336" width="9.109375" style="4069"/>
    <col min="14337" max="14337" width="31.44140625" style="4069" customWidth="1"/>
    <col min="14338" max="14338" width="15.109375" style="4069" customWidth="1"/>
    <col min="14339" max="14339" width="18" style="4069" customWidth="1"/>
    <col min="14340" max="14340" width="13" style="4069" customWidth="1"/>
    <col min="14341" max="14592" width="9.109375" style="4069"/>
    <col min="14593" max="14593" width="31.44140625" style="4069" customWidth="1"/>
    <col min="14594" max="14594" width="15.109375" style="4069" customWidth="1"/>
    <col min="14595" max="14595" width="18" style="4069" customWidth="1"/>
    <col min="14596" max="14596" width="13" style="4069" customWidth="1"/>
    <col min="14597" max="14848" width="9.109375" style="4069"/>
    <col min="14849" max="14849" width="31.44140625" style="4069" customWidth="1"/>
    <col min="14850" max="14850" width="15.109375" style="4069" customWidth="1"/>
    <col min="14851" max="14851" width="18" style="4069" customWidth="1"/>
    <col min="14852" max="14852" width="13" style="4069" customWidth="1"/>
    <col min="14853" max="15104" width="9.109375" style="4069"/>
    <col min="15105" max="15105" width="31.44140625" style="4069" customWidth="1"/>
    <col min="15106" max="15106" width="15.109375" style="4069" customWidth="1"/>
    <col min="15107" max="15107" width="18" style="4069" customWidth="1"/>
    <col min="15108" max="15108" width="13" style="4069" customWidth="1"/>
    <col min="15109" max="15360" width="9.109375" style="4069"/>
    <col min="15361" max="15361" width="31.44140625" style="4069" customWidth="1"/>
    <col min="15362" max="15362" width="15.109375" style="4069" customWidth="1"/>
    <col min="15363" max="15363" width="18" style="4069" customWidth="1"/>
    <col min="15364" max="15364" width="13" style="4069" customWidth="1"/>
    <col min="15365" max="15616" width="9.109375" style="4069"/>
    <col min="15617" max="15617" width="31.44140625" style="4069" customWidth="1"/>
    <col min="15618" max="15618" width="15.109375" style="4069" customWidth="1"/>
    <col min="15619" max="15619" width="18" style="4069" customWidth="1"/>
    <col min="15620" max="15620" width="13" style="4069" customWidth="1"/>
    <col min="15621" max="15872" width="9.109375" style="4069"/>
    <col min="15873" max="15873" width="31.44140625" style="4069" customWidth="1"/>
    <col min="15874" max="15874" width="15.109375" style="4069" customWidth="1"/>
    <col min="15875" max="15875" width="18" style="4069" customWidth="1"/>
    <col min="15876" max="15876" width="13" style="4069" customWidth="1"/>
    <col min="15877" max="16128" width="9.109375" style="4069"/>
    <col min="16129" max="16129" width="31.44140625" style="4069" customWidth="1"/>
    <col min="16130" max="16130" width="15.109375" style="4069" customWidth="1"/>
    <col min="16131" max="16131" width="18" style="4069" customWidth="1"/>
    <col min="16132" max="16132" width="13" style="4069" customWidth="1"/>
    <col min="16133" max="16384" width="9.109375" style="4069"/>
  </cols>
  <sheetData>
    <row r="1" spans="1:10" ht="15.6">
      <c r="A1" s="15031" t="s">
        <v>6628</v>
      </c>
      <c r="B1" s="15031"/>
      <c r="C1" s="15031"/>
      <c r="D1" s="15031"/>
      <c r="E1" s="15031"/>
      <c r="F1" s="15031"/>
    </row>
    <row r="4" spans="1:10" s="4070" customFormat="1" ht="15.6">
      <c r="A4" s="4070" t="s">
        <v>9556</v>
      </c>
      <c r="B4" s="4101"/>
      <c r="C4" s="4071"/>
      <c r="D4" s="4071"/>
      <c r="E4" s="4071"/>
      <c r="F4" s="4071"/>
    </row>
    <row r="5" spans="1:10" s="4070" customFormat="1" ht="6.75" customHeight="1">
      <c r="B5" s="4101"/>
      <c r="C5" s="4071"/>
      <c r="D5" s="4071"/>
      <c r="E5" s="4071"/>
      <c r="F5" s="4071"/>
    </row>
    <row r="6" spans="1:10" ht="14.4">
      <c r="A6" s="4069" t="s">
        <v>9555</v>
      </c>
      <c r="C6" s="4072"/>
      <c r="D6" s="4072"/>
      <c r="E6" s="4072"/>
      <c r="F6" s="4072"/>
    </row>
    <row r="7" spans="1:10" ht="14.4">
      <c r="A7" s="4069" t="s">
        <v>6631</v>
      </c>
      <c r="B7" s="1547" t="s">
        <v>8</v>
      </c>
      <c r="C7" s="4072"/>
      <c r="D7" s="4072"/>
      <c r="E7" s="4072"/>
      <c r="F7" s="4072"/>
    </row>
    <row r="9" spans="1:10">
      <c r="A9" s="4073" t="s">
        <v>1729</v>
      </c>
    </row>
    <row r="10" spans="1:10">
      <c r="A10" s="4073"/>
    </row>
    <row r="11" spans="1:10" ht="12.75" customHeight="1">
      <c r="A11" s="15032" t="s">
        <v>6632</v>
      </c>
      <c r="B11" s="15032"/>
      <c r="C11" s="15032"/>
      <c r="D11" s="15032"/>
      <c r="E11" s="15032"/>
      <c r="F11" s="15032"/>
      <c r="G11" s="4074"/>
      <c r="H11" s="4074"/>
      <c r="I11" s="4074"/>
      <c r="J11" s="4074"/>
    </row>
    <row r="12" spans="1:10" ht="18.75" customHeight="1">
      <c r="A12" s="15032"/>
      <c r="B12" s="15032"/>
      <c r="C12" s="15032"/>
      <c r="D12" s="15032"/>
      <c r="E12" s="15032"/>
      <c r="F12" s="15032"/>
      <c r="G12" s="4074"/>
      <c r="H12" s="4074"/>
      <c r="I12" s="4074"/>
      <c r="J12" s="4074"/>
    </row>
    <row r="14" spans="1:10" ht="22.5" customHeight="1">
      <c r="A14" s="4073" t="s">
        <v>6633</v>
      </c>
      <c r="B14" s="507"/>
    </row>
    <row r="15" spans="1:10" ht="12.75" customHeight="1">
      <c r="A15" s="15032" t="s">
        <v>6634</v>
      </c>
      <c r="B15" s="15032"/>
      <c r="C15" s="15032"/>
      <c r="D15" s="15032"/>
      <c r="E15" s="15032"/>
      <c r="F15" s="15032"/>
      <c r="G15" s="4074"/>
      <c r="H15" s="4074"/>
      <c r="I15" s="4074"/>
      <c r="J15" s="4074"/>
    </row>
    <row r="16" spans="1:10" ht="23.25" customHeight="1">
      <c r="A16" s="15032"/>
      <c r="B16" s="15032"/>
      <c r="C16" s="15032"/>
      <c r="D16" s="15032"/>
      <c r="E16" s="15032"/>
      <c r="F16" s="15032"/>
      <c r="G16" s="4074"/>
      <c r="H16" s="4074"/>
      <c r="I16" s="4074"/>
      <c r="J16" s="4074"/>
    </row>
    <row r="18" spans="1:6">
      <c r="A18" s="4073" t="s">
        <v>6635</v>
      </c>
    </row>
    <row r="20" spans="1:6" s="4109" customFormat="1" ht="30" customHeight="1">
      <c r="A20" s="15029" t="s">
        <v>2028</v>
      </c>
      <c r="B20" s="15030" t="s">
        <v>1763</v>
      </c>
      <c r="C20" s="15029" t="s">
        <v>2029</v>
      </c>
      <c r="D20" s="15029" t="s">
        <v>2030</v>
      </c>
      <c r="E20" s="15029" t="s">
        <v>2031</v>
      </c>
      <c r="F20" s="15029"/>
    </row>
    <row r="21" spans="1:6" s="4109" customFormat="1" ht="13.5" customHeight="1">
      <c r="A21" s="15029"/>
      <c r="B21" s="15030"/>
      <c r="C21" s="15029"/>
      <c r="D21" s="15029"/>
      <c r="E21" s="4110" t="s">
        <v>2032</v>
      </c>
      <c r="F21" s="4110" t="s">
        <v>2033</v>
      </c>
    </row>
    <row r="22" spans="1:6">
      <c r="A22" s="4076" t="s">
        <v>6636</v>
      </c>
      <c r="B22" s="15033"/>
      <c r="C22" s="15034"/>
      <c r="D22" s="15034"/>
      <c r="E22" s="15034"/>
      <c r="F22" s="15035"/>
    </row>
    <row r="23" spans="1:6" ht="34.5" customHeight="1">
      <c r="A23" s="4078" t="s">
        <v>6637</v>
      </c>
      <c r="B23" s="4102">
        <v>25613427</v>
      </c>
      <c r="C23" s="15036" t="s">
        <v>6638</v>
      </c>
      <c r="D23" s="15036" t="s">
        <v>1893</v>
      </c>
      <c r="E23" s="15036" t="s">
        <v>5125</v>
      </c>
      <c r="F23" s="15036" t="s">
        <v>5113</v>
      </c>
    </row>
    <row r="24" spans="1:6">
      <c r="A24" s="4078" t="s">
        <v>6639</v>
      </c>
      <c r="B24" s="4102"/>
      <c r="C24" s="15037"/>
      <c r="D24" s="15037"/>
      <c r="E24" s="15037"/>
      <c r="F24" s="15037"/>
    </row>
    <row r="25" spans="1:6">
      <c r="A25" s="4077" t="s">
        <v>6640</v>
      </c>
      <c r="B25" s="4102"/>
      <c r="C25" s="15037"/>
      <c r="D25" s="15037"/>
      <c r="E25" s="15037"/>
      <c r="F25" s="15037"/>
    </row>
    <row r="26" spans="1:6">
      <c r="A26" s="4077" t="s">
        <v>6641</v>
      </c>
      <c r="B26" s="4102"/>
      <c r="C26" s="15037"/>
      <c r="D26" s="15037"/>
      <c r="E26" s="15037"/>
      <c r="F26" s="15037"/>
    </row>
    <row r="27" spans="1:6">
      <c r="A27" s="4077" t="s">
        <v>6642</v>
      </c>
      <c r="B27" s="4102"/>
      <c r="C27" s="15037"/>
      <c r="D27" s="15037"/>
      <c r="E27" s="15037"/>
      <c r="F27" s="15037"/>
    </row>
    <row r="28" spans="1:6">
      <c r="A28" s="4077" t="s">
        <v>6643</v>
      </c>
      <c r="B28" s="4102"/>
      <c r="C28" s="15037"/>
      <c r="D28" s="15037"/>
      <c r="E28" s="15037"/>
      <c r="F28" s="15037"/>
    </row>
    <row r="29" spans="1:6">
      <c r="A29" s="4077" t="s">
        <v>6644</v>
      </c>
      <c r="B29" s="4102"/>
      <c r="C29" s="15038"/>
      <c r="D29" s="15038"/>
      <c r="E29" s="15038"/>
      <c r="F29" s="15038"/>
    </row>
    <row r="30" spans="1:6" ht="27.6">
      <c r="A30" s="4077" t="s">
        <v>6645</v>
      </c>
      <c r="B30" s="4102"/>
      <c r="C30" s="4079"/>
      <c r="D30" s="4080" t="s">
        <v>6646</v>
      </c>
      <c r="E30" s="4080" t="s">
        <v>5125</v>
      </c>
      <c r="F30" s="4080" t="s">
        <v>5113</v>
      </c>
    </row>
    <row r="31" spans="1:6">
      <c r="A31" s="4077" t="s">
        <v>3757</v>
      </c>
      <c r="B31" s="4121">
        <f>'lbpf 3-HCARMEN'!J59</f>
        <v>1600000</v>
      </c>
      <c r="C31" s="4119"/>
      <c r="D31" s="4119"/>
      <c r="E31" s="4119"/>
      <c r="F31" s="4120"/>
    </row>
    <row r="32" spans="1:6" ht="12.75" customHeight="1">
      <c r="A32" s="4077" t="s">
        <v>3758</v>
      </c>
      <c r="B32" s="4103">
        <f>'lbpf 3-HCARMEN'!J58</f>
        <v>5000000</v>
      </c>
      <c r="C32" s="15036" t="s">
        <v>6647</v>
      </c>
      <c r="D32" s="4077" t="s">
        <v>6648</v>
      </c>
      <c r="E32" s="15036" t="s">
        <v>5125</v>
      </c>
      <c r="F32" s="15036" t="s">
        <v>5113</v>
      </c>
    </row>
    <row r="33" spans="1:6">
      <c r="A33" s="4077" t="s">
        <v>3759</v>
      </c>
      <c r="B33" s="4103"/>
      <c r="C33" s="15037"/>
      <c r="D33" s="4077" t="s">
        <v>6649</v>
      </c>
      <c r="E33" s="15037"/>
      <c r="F33" s="15037"/>
    </row>
    <row r="34" spans="1:6" ht="27.6">
      <c r="A34" s="4077" t="s">
        <v>6650</v>
      </c>
      <c r="B34" s="4103"/>
      <c r="C34" s="15037"/>
      <c r="D34" s="4078" t="s">
        <v>6651</v>
      </c>
      <c r="E34" s="15037"/>
      <c r="F34" s="15037"/>
    </row>
    <row r="35" spans="1:6" ht="32.25" customHeight="1">
      <c r="A35" s="4077" t="s">
        <v>6652</v>
      </c>
      <c r="B35" s="4103">
        <f>'lbpf 3-HCARMEN'!J61</f>
        <v>540000</v>
      </c>
      <c r="C35" s="15038"/>
      <c r="D35" s="4078" t="s">
        <v>6653</v>
      </c>
      <c r="E35" s="15038"/>
      <c r="F35" s="15038"/>
    </row>
    <row r="36" spans="1:6">
      <c r="A36" s="4077"/>
      <c r="B36" s="3164"/>
      <c r="C36" s="4081"/>
      <c r="D36" s="4081"/>
      <c r="E36" s="4082"/>
      <c r="F36" s="4082"/>
    </row>
    <row r="37" spans="1:6">
      <c r="A37" s="4083" t="s">
        <v>3760</v>
      </c>
      <c r="B37" s="4104"/>
      <c r="C37" s="4084"/>
      <c r="D37" s="4084"/>
      <c r="E37" s="4085"/>
      <c r="F37" s="4086"/>
    </row>
    <row r="38" spans="1:6" ht="14.25" customHeight="1">
      <c r="A38" s="4078" t="s">
        <v>6654</v>
      </c>
      <c r="B38" s="4105"/>
      <c r="D38" s="4087"/>
      <c r="E38" s="4079"/>
      <c r="F38" s="4079"/>
    </row>
    <row r="39" spans="1:6" ht="13.5" customHeight="1">
      <c r="A39" s="4077" t="s">
        <v>6655</v>
      </c>
      <c r="B39" s="4106">
        <v>596000</v>
      </c>
      <c r="C39" s="15036" t="s">
        <v>6656</v>
      </c>
      <c r="D39" s="15036" t="s">
        <v>6657</v>
      </c>
      <c r="E39" s="15036" t="s">
        <v>6008</v>
      </c>
      <c r="F39" s="15036" t="s">
        <v>5113</v>
      </c>
    </row>
    <row r="40" spans="1:6">
      <c r="A40" s="4077" t="s">
        <v>6658</v>
      </c>
      <c r="B40" s="4106">
        <v>86625</v>
      </c>
      <c r="C40" s="15037"/>
      <c r="D40" s="15037"/>
      <c r="E40" s="15037"/>
      <c r="F40" s="15037"/>
    </row>
    <row r="41" spans="1:6">
      <c r="A41" s="4077" t="s">
        <v>6659</v>
      </c>
      <c r="B41" s="4106">
        <f>'lbpf 3-HCARMEN'!J48+'lbpf 3-HCARMEN'!J52</f>
        <v>1830000</v>
      </c>
      <c r="C41" s="15037"/>
      <c r="D41" s="15037"/>
      <c r="E41" s="15037"/>
      <c r="F41" s="15037"/>
    </row>
    <row r="42" spans="1:6">
      <c r="A42" s="4077" t="s">
        <v>6660</v>
      </c>
      <c r="B42" s="4106">
        <f>2073200+'lbpf 3-HCARMEN'!J49</f>
        <v>9773200</v>
      </c>
      <c r="C42" s="15037"/>
      <c r="D42" s="15037"/>
      <c r="E42" s="15037"/>
      <c r="F42" s="15037"/>
    </row>
    <row r="43" spans="1:6" ht="41.4">
      <c r="A43" s="4078" t="s">
        <v>6661</v>
      </c>
      <c r="B43" s="4106">
        <v>304100</v>
      </c>
      <c r="C43" s="15038"/>
      <c r="D43" s="15038"/>
      <c r="E43" s="15038"/>
      <c r="F43" s="15038"/>
    </row>
    <row r="44" spans="1:6">
      <c r="A44" s="4077"/>
      <c r="B44" s="4106"/>
      <c r="C44" s="4077"/>
      <c r="D44" s="4077"/>
      <c r="E44" s="4078"/>
      <c r="F44" s="4078"/>
    </row>
    <row r="45" spans="1:6">
      <c r="A45" s="4076" t="s">
        <v>3761</v>
      </c>
      <c r="B45" s="15039"/>
      <c r="C45" s="15040"/>
      <c r="D45" s="15040"/>
      <c r="E45" s="15040"/>
      <c r="F45" s="15041"/>
    </row>
    <row r="46" spans="1:6" ht="55.2">
      <c r="A46" s="4078" t="s">
        <v>6662</v>
      </c>
      <c r="B46" s="4106">
        <v>219450</v>
      </c>
      <c r="C46" s="4088" t="s">
        <v>6663</v>
      </c>
      <c r="D46" s="4089" t="s">
        <v>6664</v>
      </c>
      <c r="E46" s="4078" t="s">
        <v>5125</v>
      </c>
      <c r="F46" s="4089" t="s">
        <v>5113</v>
      </c>
    </row>
    <row r="47" spans="1:6">
      <c r="A47" s="4112"/>
      <c r="B47" s="4113"/>
      <c r="C47" s="4111"/>
      <c r="D47" s="4111"/>
      <c r="E47" s="4112"/>
      <c r="F47" s="4114"/>
    </row>
    <row r="48" spans="1:6">
      <c r="A48" s="4093"/>
      <c r="B48" s="4107"/>
      <c r="C48" s="4092"/>
      <c r="D48" s="4092"/>
      <c r="E48" s="4093"/>
      <c r="F48" s="4094"/>
    </row>
    <row r="49" spans="1:6">
      <c r="A49" s="4093"/>
      <c r="B49" s="4107"/>
      <c r="C49" s="4092"/>
      <c r="D49" s="4092"/>
      <c r="E49" s="4093"/>
      <c r="F49" s="4094"/>
    </row>
    <row r="50" spans="1:6">
      <c r="A50" s="4115"/>
      <c r="B50" s="4116"/>
      <c r="C50" s="4117"/>
      <c r="D50" s="4117"/>
      <c r="E50" s="4115"/>
      <c r="F50" s="4118"/>
    </row>
    <row r="51" spans="1:6" s="4109" customFormat="1" ht="30" customHeight="1">
      <c r="A51" s="15029" t="s">
        <v>2028</v>
      </c>
      <c r="B51" s="15030" t="s">
        <v>1763</v>
      </c>
      <c r="C51" s="15029" t="s">
        <v>2029</v>
      </c>
      <c r="D51" s="15029" t="s">
        <v>2030</v>
      </c>
      <c r="E51" s="15029" t="s">
        <v>2031</v>
      </c>
      <c r="F51" s="15029"/>
    </row>
    <row r="52" spans="1:6" s="4109" customFormat="1" ht="13.5" customHeight="1">
      <c r="A52" s="15029"/>
      <c r="B52" s="15030"/>
      <c r="C52" s="15029"/>
      <c r="D52" s="15029"/>
      <c r="E52" s="4110" t="s">
        <v>2032</v>
      </c>
      <c r="F52" s="4110" t="s">
        <v>2033</v>
      </c>
    </row>
    <row r="53" spans="1:6">
      <c r="A53" s="4076" t="s">
        <v>6665</v>
      </c>
      <c r="B53" s="15039"/>
      <c r="C53" s="15040"/>
      <c r="D53" s="15040"/>
      <c r="E53" s="15040"/>
      <c r="F53" s="15041"/>
    </row>
    <row r="54" spans="1:6" ht="27.6">
      <c r="A54" s="4078" t="s">
        <v>6666</v>
      </c>
      <c r="B54" s="4106"/>
      <c r="C54" s="4090"/>
      <c r="D54" s="4087"/>
      <c r="E54" s="4079"/>
      <c r="F54" s="4080"/>
    </row>
    <row r="55" spans="1:6" ht="55.2">
      <c r="A55" s="4077" t="s">
        <v>6667</v>
      </c>
      <c r="B55" s="4106">
        <f>'lbpf 3-HCARMEN'!J62</f>
        <v>300000</v>
      </c>
      <c r="C55" s="4078" t="s">
        <v>3763</v>
      </c>
      <c r="D55" s="4089" t="s">
        <v>6668</v>
      </c>
      <c r="E55" s="4078" t="s">
        <v>5125</v>
      </c>
      <c r="F55" s="4089" t="s">
        <v>6669</v>
      </c>
    </row>
    <row r="56" spans="1:6" ht="96.6">
      <c r="A56" s="4077" t="s">
        <v>6670</v>
      </c>
      <c r="B56" s="4106">
        <v>30000</v>
      </c>
      <c r="C56" s="4078" t="s">
        <v>6671</v>
      </c>
      <c r="D56" s="4091" t="s">
        <v>9557</v>
      </c>
      <c r="E56" s="4078" t="s">
        <v>5125</v>
      </c>
      <c r="F56" s="4089" t="s">
        <v>5113</v>
      </c>
    </row>
    <row r="57" spans="1:6" ht="96.6">
      <c r="A57" s="4077" t="s">
        <v>6672</v>
      </c>
      <c r="B57" s="4106">
        <f>'lbpf 3-HCARMEN'!J65</f>
        <v>300000</v>
      </c>
      <c r="C57" s="4078" t="s">
        <v>6673</v>
      </c>
      <c r="D57" s="4078" t="s">
        <v>6674</v>
      </c>
      <c r="E57" s="4078" t="s">
        <v>5125</v>
      </c>
      <c r="F57" s="4089" t="s">
        <v>5113</v>
      </c>
    </row>
    <row r="58" spans="1:6" ht="41.4">
      <c r="A58" s="4078" t="s">
        <v>6675</v>
      </c>
      <c r="B58" s="4106">
        <f>'lbpf 3-HCARMEN'!J53+'lbpf 3-HCARMEN'!J54+'lbpf 3-HCARMEN'!J56+'lbpf 3-HCARMEN'!J57</f>
        <v>1090000</v>
      </c>
      <c r="C58" s="4078" t="s">
        <v>3762</v>
      </c>
      <c r="D58" s="4089" t="s">
        <v>6676</v>
      </c>
      <c r="E58" s="4078" t="s">
        <v>5125</v>
      </c>
      <c r="F58" s="4089" t="s">
        <v>5113</v>
      </c>
    </row>
    <row r="59" spans="1:6" ht="60.75" customHeight="1">
      <c r="A59" s="4078" t="s">
        <v>6677</v>
      </c>
      <c r="B59" s="4106">
        <v>300000</v>
      </c>
      <c r="C59" s="4088" t="s">
        <v>6678</v>
      </c>
      <c r="D59" s="4089" t="s">
        <v>6679</v>
      </c>
      <c r="E59" s="4078" t="s">
        <v>5125</v>
      </c>
      <c r="F59" s="4089" t="s">
        <v>5113</v>
      </c>
    </row>
    <row r="60" spans="1:6" ht="36" customHeight="1">
      <c r="A60" s="4078" t="s">
        <v>6680</v>
      </c>
      <c r="B60" s="4106">
        <v>46200</v>
      </c>
      <c r="C60" s="4088" t="s">
        <v>6681</v>
      </c>
      <c r="D60" s="4089" t="s">
        <v>6679</v>
      </c>
      <c r="E60" s="4078" t="s">
        <v>5125</v>
      </c>
      <c r="F60" s="4089" t="s">
        <v>5113</v>
      </c>
    </row>
    <row r="61" spans="1:6" ht="69">
      <c r="A61" s="4078" t="s">
        <v>6682</v>
      </c>
      <c r="B61" s="4106">
        <v>17325</v>
      </c>
      <c r="C61" s="4078" t="s">
        <v>6683</v>
      </c>
      <c r="D61" s="4089" t="s">
        <v>6684</v>
      </c>
      <c r="E61" s="4078" t="s">
        <v>5125</v>
      </c>
      <c r="F61" s="4095" t="s">
        <v>6685</v>
      </c>
    </row>
    <row r="62" spans="1:6">
      <c r="A62" s="4077"/>
      <c r="B62" s="4106"/>
      <c r="C62" s="4077"/>
      <c r="D62" s="4077"/>
      <c r="E62" s="4078"/>
      <c r="F62" s="4089"/>
    </row>
    <row r="63" spans="1:6">
      <c r="A63" s="4076" t="s">
        <v>6686</v>
      </c>
      <c r="B63" s="4106"/>
      <c r="C63" s="4077"/>
      <c r="D63" s="4077"/>
      <c r="E63" s="4078"/>
      <c r="F63" s="4089"/>
    </row>
    <row r="64" spans="1:6" ht="27.6">
      <c r="A64" s="4078" t="s">
        <v>6687</v>
      </c>
      <c r="B64" s="4106">
        <v>0</v>
      </c>
      <c r="C64" s="4088" t="s">
        <v>3764</v>
      </c>
      <c r="D64" s="4096" t="s">
        <v>6688</v>
      </c>
      <c r="E64" s="4097" t="s">
        <v>6688</v>
      </c>
      <c r="F64" s="4095" t="s">
        <v>6688</v>
      </c>
    </row>
    <row r="65" spans="1:6" ht="41.4">
      <c r="A65" s="4078" t="s">
        <v>6689</v>
      </c>
      <c r="B65" s="4106">
        <v>226000</v>
      </c>
      <c r="C65" s="4088" t="s">
        <v>6690</v>
      </c>
      <c r="D65" s="4096" t="s">
        <v>6688</v>
      </c>
      <c r="E65" s="4097" t="s">
        <v>6688</v>
      </c>
      <c r="F65" s="4095" t="s">
        <v>6688</v>
      </c>
    </row>
    <row r="66" spans="1:6" ht="28.5" customHeight="1">
      <c r="A66" s="4078" t="s">
        <v>6691</v>
      </c>
      <c r="B66" s="4106">
        <v>75000</v>
      </c>
      <c r="C66" s="4088" t="s">
        <v>3764</v>
      </c>
      <c r="D66" s="4096" t="s">
        <v>6688</v>
      </c>
      <c r="E66" s="4097" t="s">
        <v>6688</v>
      </c>
      <c r="F66" s="4095" t="s">
        <v>6688</v>
      </c>
    </row>
    <row r="67" spans="1:6" ht="27.6">
      <c r="A67" s="4078" t="s">
        <v>6627</v>
      </c>
      <c r="B67" s="4106">
        <v>0</v>
      </c>
      <c r="C67" s="4088" t="s">
        <v>3764</v>
      </c>
      <c r="D67" s="4096" t="s">
        <v>6688</v>
      </c>
      <c r="E67" s="4097" t="s">
        <v>6688</v>
      </c>
      <c r="F67" s="4095" t="s">
        <v>6688</v>
      </c>
    </row>
    <row r="68" spans="1:6">
      <c r="A68" s="4098" t="s">
        <v>220</v>
      </c>
      <c r="B68" s="4108">
        <f>SUM(B23:B35,B39:B43,B46,B55,B56,B57,B58,B59,B60,B61,B64,B65,B66)</f>
        <v>47947327</v>
      </c>
      <c r="C68" s="4098"/>
      <c r="D68" s="4098"/>
      <c r="E68" s="4075"/>
      <c r="F68" s="4075"/>
    </row>
    <row r="69" spans="1:6">
      <c r="E69" s="4074"/>
      <c r="F69" s="4074"/>
    </row>
    <row r="70" spans="1:6" hidden="1">
      <c r="A70" s="4069" t="s">
        <v>3483</v>
      </c>
      <c r="B70" s="1547" t="s">
        <v>3484</v>
      </c>
      <c r="D70" s="4069" t="s">
        <v>5172</v>
      </c>
      <c r="E70" s="4074"/>
      <c r="F70" s="4074"/>
    </row>
    <row r="71" spans="1:6" hidden="1">
      <c r="E71" s="4074"/>
      <c r="F71" s="4074"/>
    </row>
    <row r="72" spans="1:6" hidden="1">
      <c r="E72" s="4074"/>
      <c r="F72" s="4074"/>
    </row>
    <row r="73" spans="1:6" hidden="1">
      <c r="A73" s="4099" t="s">
        <v>6692</v>
      </c>
      <c r="B73" s="15042" t="s">
        <v>5050</v>
      </c>
      <c r="C73" s="15042"/>
      <c r="D73" s="15042" t="s">
        <v>5182</v>
      </c>
      <c r="E73" s="15042"/>
      <c r="F73" s="15042"/>
    </row>
    <row r="74" spans="1:6" hidden="1">
      <c r="A74" s="4100" t="s">
        <v>6693</v>
      </c>
      <c r="B74" s="15043" t="s">
        <v>3486</v>
      </c>
      <c r="C74" s="15043"/>
      <c r="D74" s="15043" t="s">
        <v>737</v>
      </c>
      <c r="E74" s="15043"/>
      <c r="F74" s="15043"/>
    </row>
    <row r="75" spans="1:6" hidden="1">
      <c r="E75" s="4074"/>
      <c r="F75" s="4074"/>
    </row>
    <row r="76" spans="1:6">
      <c r="E76" s="4074"/>
      <c r="F76" s="4074"/>
    </row>
    <row r="77" spans="1:6">
      <c r="E77" s="4074"/>
      <c r="F77" s="4074"/>
    </row>
    <row r="78" spans="1:6">
      <c r="E78" s="4074"/>
      <c r="F78" s="4074"/>
    </row>
    <row r="79" spans="1:6">
      <c r="E79" s="4074"/>
      <c r="F79" s="4074"/>
    </row>
    <row r="80" spans="1:6">
      <c r="E80" s="4074"/>
      <c r="F80" s="4074"/>
    </row>
    <row r="81" spans="5:6">
      <c r="E81" s="4074"/>
      <c r="F81" s="4074"/>
    </row>
    <row r="82" spans="5:6">
      <c r="E82" s="4074"/>
      <c r="F82" s="4074"/>
    </row>
    <row r="83" spans="5:6">
      <c r="E83" s="4074"/>
      <c r="F83" s="4074"/>
    </row>
    <row r="84" spans="5:6">
      <c r="E84" s="4074"/>
      <c r="F84" s="4074"/>
    </row>
    <row r="85" spans="5:6">
      <c r="E85" s="4074"/>
      <c r="F85" s="4074"/>
    </row>
    <row r="86" spans="5:6">
      <c r="E86" s="4074"/>
      <c r="F86" s="4074"/>
    </row>
    <row r="87" spans="5:6">
      <c r="E87" s="4074"/>
      <c r="F87" s="4074"/>
    </row>
    <row r="88" spans="5:6">
      <c r="E88" s="4074"/>
      <c r="F88" s="4074"/>
    </row>
    <row r="89" spans="5:6">
      <c r="E89" s="4074"/>
      <c r="F89" s="4074"/>
    </row>
    <row r="90" spans="5:6">
      <c r="E90" s="4074"/>
      <c r="F90" s="4074"/>
    </row>
    <row r="91" spans="5:6">
      <c r="E91" s="4074"/>
      <c r="F91" s="4074"/>
    </row>
    <row r="92" spans="5:6">
      <c r="E92" s="4074"/>
      <c r="F92" s="4074"/>
    </row>
    <row r="93" spans="5:6">
      <c r="E93" s="4074"/>
      <c r="F93" s="4074"/>
    </row>
    <row r="94" spans="5:6">
      <c r="E94" s="4074"/>
      <c r="F94" s="4074"/>
    </row>
    <row r="95" spans="5:6">
      <c r="E95" s="4074"/>
      <c r="F95" s="4074"/>
    </row>
    <row r="96" spans="5:6">
      <c r="E96" s="4074"/>
      <c r="F96" s="4074"/>
    </row>
    <row r="97" spans="5:6">
      <c r="E97" s="4074"/>
      <c r="F97" s="4074"/>
    </row>
    <row r="98" spans="5:6">
      <c r="E98" s="4074"/>
      <c r="F98" s="4074"/>
    </row>
    <row r="99" spans="5:6">
      <c r="E99" s="4074"/>
      <c r="F99" s="4074"/>
    </row>
  </sheetData>
  <mergeCells count="31">
    <mergeCell ref="B45:F45"/>
    <mergeCell ref="B53:F53"/>
    <mergeCell ref="B73:C73"/>
    <mergeCell ref="D73:F73"/>
    <mergeCell ref="B74:C74"/>
    <mergeCell ref="D74:F74"/>
    <mergeCell ref="C32:C35"/>
    <mergeCell ref="E32:E35"/>
    <mergeCell ref="F32:F35"/>
    <mergeCell ref="C39:C43"/>
    <mergeCell ref="D39:D43"/>
    <mergeCell ref="E39:E43"/>
    <mergeCell ref="F39:F43"/>
    <mergeCell ref="B22:F22"/>
    <mergeCell ref="C23:C29"/>
    <mergeCell ref="D23:D29"/>
    <mergeCell ref="E23:E29"/>
    <mergeCell ref="F23:F29"/>
    <mergeCell ref="A1:F1"/>
    <mergeCell ref="A11:F12"/>
    <mergeCell ref="A15:F16"/>
    <mergeCell ref="A20:A21"/>
    <mergeCell ref="B20:B21"/>
    <mergeCell ref="C20:C21"/>
    <mergeCell ref="D20:D21"/>
    <mergeCell ref="E20:F20"/>
    <mergeCell ref="A51:A52"/>
    <mergeCell ref="B51:B52"/>
    <mergeCell ref="C51:C52"/>
    <mergeCell ref="D51:D52"/>
    <mergeCell ref="E51:F51"/>
  </mergeCells>
  <pageMargins left="0.5" right="0.25" top="0.75" bottom="0.5" header="0.5" footer="0.25"/>
  <pageSetup paperSize="119" orientation="portrait" verticalDpi="300" r:id="rId1"/>
  <headerFooter alignWithMargins="0"/>
</worksheet>
</file>

<file path=xl/worksheets/sheet129.xml><?xml version="1.0" encoding="utf-8"?>
<worksheet xmlns="http://schemas.openxmlformats.org/spreadsheetml/2006/main" xmlns:r="http://schemas.openxmlformats.org/officeDocument/2006/relationships">
  <sheetPr codeName="Sheet89">
    <tabColor theme="8" tint="-0.249977111117893"/>
  </sheetPr>
  <dimension ref="A1:L132"/>
  <sheetViews>
    <sheetView showGridLines="0" topLeftCell="B3" workbookViewId="0">
      <pane xSplit="1" ySplit="6" topLeftCell="G87" activePane="bottomRight" state="frozen"/>
      <selection activeCell="B3" sqref="B3"/>
      <selection pane="topRight" activeCell="C3" sqref="C3"/>
      <selection pane="bottomLeft" activeCell="B9" sqref="B9"/>
      <selection pane="bottomRight" activeCell="J3" sqref="J1:P1048576"/>
    </sheetView>
  </sheetViews>
  <sheetFormatPr defaultRowHeight="15" customHeight="1"/>
  <cols>
    <col min="1" max="1" width="3.88671875" style="7351" customWidth="1"/>
    <col min="2" max="2" width="55.5546875" style="7351" customWidth="1"/>
    <col min="3" max="3" width="12.5546875" style="8795" customWidth="1"/>
    <col min="4" max="7" width="15.5546875" style="7338" customWidth="1"/>
    <col min="8" max="8" width="13.44140625" style="7338" hidden="1" customWidth="1"/>
    <col min="9" max="9" width="8.44140625" style="7348" hidden="1" customWidth="1"/>
    <col min="10" max="10" width="15.5546875" style="7338" customWidth="1"/>
    <col min="11" max="11" width="17.109375" style="7374" customWidth="1"/>
    <col min="12" max="12" width="8.88671875" style="7383" customWidth="1"/>
    <col min="13" max="15" width="8.88671875" style="7351" customWidth="1"/>
    <col min="16" max="167" width="9.109375" style="7351"/>
    <col min="168" max="168" width="3.88671875" style="7351" customWidth="1"/>
    <col min="169" max="169" width="39.88671875" style="7351" customWidth="1"/>
    <col min="170" max="170" width="11.44140625" style="7351" customWidth="1"/>
    <col min="171" max="171" width="14.109375" style="7351" customWidth="1"/>
    <col min="172" max="172" width="15.109375" style="7351" customWidth="1"/>
    <col min="173" max="173" width="15.44140625" style="7351" customWidth="1"/>
    <col min="174" max="423" width="9.109375" style="7351"/>
    <col min="424" max="424" width="3.88671875" style="7351" customWidth="1"/>
    <col min="425" max="425" width="39.88671875" style="7351" customWidth="1"/>
    <col min="426" max="426" width="11.44140625" style="7351" customWidth="1"/>
    <col min="427" max="427" width="14.109375" style="7351" customWidth="1"/>
    <col min="428" max="428" width="15.109375" style="7351" customWidth="1"/>
    <col min="429" max="429" width="15.44140625" style="7351" customWidth="1"/>
    <col min="430" max="679" width="9.109375" style="7351"/>
    <col min="680" max="680" width="3.88671875" style="7351" customWidth="1"/>
    <col min="681" max="681" width="39.88671875" style="7351" customWidth="1"/>
    <col min="682" max="682" width="11.44140625" style="7351" customWidth="1"/>
    <col min="683" max="683" width="14.109375" style="7351" customWidth="1"/>
    <col min="684" max="684" width="15.109375" style="7351" customWidth="1"/>
    <col min="685" max="685" width="15.44140625" style="7351" customWidth="1"/>
    <col min="686" max="935" width="9.109375" style="7351"/>
    <col min="936" max="936" width="3.88671875" style="7351" customWidth="1"/>
    <col min="937" max="937" width="39.88671875" style="7351" customWidth="1"/>
    <col min="938" max="938" width="11.44140625" style="7351" customWidth="1"/>
    <col min="939" max="939" width="14.109375" style="7351" customWidth="1"/>
    <col min="940" max="940" width="15.109375" style="7351" customWidth="1"/>
    <col min="941" max="941" width="15.44140625" style="7351" customWidth="1"/>
    <col min="942" max="1191" width="9.109375" style="7351"/>
    <col min="1192" max="1192" width="3.88671875" style="7351" customWidth="1"/>
    <col min="1193" max="1193" width="39.88671875" style="7351" customWidth="1"/>
    <col min="1194" max="1194" width="11.44140625" style="7351" customWidth="1"/>
    <col min="1195" max="1195" width="14.109375" style="7351" customWidth="1"/>
    <col min="1196" max="1196" width="15.109375" style="7351" customWidth="1"/>
    <col min="1197" max="1197" width="15.44140625" style="7351" customWidth="1"/>
    <col min="1198" max="1447" width="9.109375" style="7351"/>
    <col min="1448" max="1448" width="3.88671875" style="7351" customWidth="1"/>
    <col min="1449" max="1449" width="39.88671875" style="7351" customWidth="1"/>
    <col min="1450" max="1450" width="11.44140625" style="7351" customWidth="1"/>
    <col min="1451" max="1451" width="14.109375" style="7351" customWidth="1"/>
    <col min="1452" max="1452" width="15.109375" style="7351" customWidth="1"/>
    <col min="1453" max="1453" width="15.44140625" style="7351" customWidth="1"/>
    <col min="1454" max="1703" width="9.109375" style="7351"/>
    <col min="1704" max="1704" width="3.88671875" style="7351" customWidth="1"/>
    <col min="1705" max="1705" width="39.88671875" style="7351" customWidth="1"/>
    <col min="1706" max="1706" width="11.44140625" style="7351" customWidth="1"/>
    <col min="1707" max="1707" width="14.109375" style="7351" customWidth="1"/>
    <col min="1708" max="1708" width="15.109375" style="7351" customWidth="1"/>
    <col min="1709" max="1709" width="15.44140625" style="7351" customWidth="1"/>
    <col min="1710" max="1959" width="9.109375" style="7351"/>
    <col min="1960" max="1960" width="3.88671875" style="7351" customWidth="1"/>
    <col min="1961" max="1961" width="39.88671875" style="7351" customWidth="1"/>
    <col min="1962" max="1962" width="11.44140625" style="7351" customWidth="1"/>
    <col min="1963" max="1963" width="14.109375" style="7351" customWidth="1"/>
    <col min="1964" max="1964" width="15.109375" style="7351" customWidth="1"/>
    <col min="1965" max="1965" width="15.44140625" style="7351" customWidth="1"/>
    <col min="1966" max="2215" width="9.109375" style="7351"/>
    <col min="2216" max="2216" width="3.88671875" style="7351" customWidth="1"/>
    <col min="2217" max="2217" width="39.88671875" style="7351" customWidth="1"/>
    <col min="2218" max="2218" width="11.44140625" style="7351" customWidth="1"/>
    <col min="2219" max="2219" width="14.109375" style="7351" customWidth="1"/>
    <col min="2220" max="2220" width="15.109375" style="7351" customWidth="1"/>
    <col min="2221" max="2221" width="15.44140625" style="7351" customWidth="1"/>
    <col min="2222" max="2471" width="9.109375" style="7351"/>
    <col min="2472" max="2472" width="3.88671875" style="7351" customWidth="1"/>
    <col min="2473" max="2473" width="39.88671875" style="7351" customWidth="1"/>
    <col min="2474" max="2474" width="11.44140625" style="7351" customWidth="1"/>
    <col min="2475" max="2475" width="14.109375" style="7351" customWidth="1"/>
    <col min="2476" max="2476" width="15.109375" style="7351" customWidth="1"/>
    <col min="2477" max="2477" width="15.44140625" style="7351" customWidth="1"/>
    <col min="2478" max="2727" width="9.109375" style="7351"/>
    <col min="2728" max="2728" width="3.88671875" style="7351" customWidth="1"/>
    <col min="2729" max="2729" width="39.88671875" style="7351" customWidth="1"/>
    <col min="2730" max="2730" width="11.44140625" style="7351" customWidth="1"/>
    <col min="2731" max="2731" width="14.109375" style="7351" customWidth="1"/>
    <col min="2732" max="2732" width="15.109375" style="7351" customWidth="1"/>
    <col min="2733" max="2733" width="15.44140625" style="7351" customWidth="1"/>
    <col min="2734" max="2983" width="9.109375" style="7351"/>
    <col min="2984" max="2984" width="3.88671875" style="7351" customWidth="1"/>
    <col min="2985" max="2985" width="39.88671875" style="7351" customWidth="1"/>
    <col min="2986" max="2986" width="11.44140625" style="7351" customWidth="1"/>
    <col min="2987" max="2987" width="14.109375" style="7351" customWidth="1"/>
    <col min="2988" max="2988" width="15.109375" style="7351" customWidth="1"/>
    <col min="2989" max="2989" width="15.44140625" style="7351" customWidth="1"/>
    <col min="2990" max="3239" width="9.109375" style="7351"/>
    <col min="3240" max="3240" width="3.88671875" style="7351" customWidth="1"/>
    <col min="3241" max="3241" width="39.88671875" style="7351" customWidth="1"/>
    <col min="3242" max="3242" width="11.44140625" style="7351" customWidth="1"/>
    <col min="3243" max="3243" width="14.109375" style="7351" customWidth="1"/>
    <col min="3244" max="3244" width="15.109375" style="7351" customWidth="1"/>
    <col min="3245" max="3245" width="15.44140625" style="7351" customWidth="1"/>
    <col min="3246" max="3495" width="9.109375" style="7351"/>
    <col min="3496" max="3496" width="3.88671875" style="7351" customWidth="1"/>
    <col min="3497" max="3497" width="39.88671875" style="7351" customWidth="1"/>
    <col min="3498" max="3498" width="11.44140625" style="7351" customWidth="1"/>
    <col min="3499" max="3499" width="14.109375" style="7351" customWidth="1"/>
    <col min="3500" max="3500" width="15.109375" style="7351" customWidth="1"/>
    <col min="3501" max="3501" width="15.44140625" style="7351" customWidth="1"/>
    <col min="3502" max="3751" width="9.109375" style="7351"/>
    <col min="3752" max="3752" width="3.88671875" style="7351" customWidth="1"/>
    <col min="3753" max="3753" width="39.88671875" style="7351" customWidth="1"/>
    <col min="3754" max="3754" width="11.44140625" style="7351" customWidth="1"/>
    <col min="3755" max="3755" width="14.109375" style="7351" customWidth="1"/>
    <col min="3756" max="3756" width="15.109375" style="7351" customWidth="1"/>
    <col min="3757" max="3757" width="15.44140625" style="7351" customWidth="1"/>
    <col min="3758" max="4007" width="9.109375" style="7351"/>
    <col min="4008" max="4008" width="3.88671875" style="7351" customWidth="1"/>
    <col min="4009" max="4009" width="39.88671875" style="7351" customWidth="1"/>
    <col min="4010" max="4010" width="11.44140625" style="7351" customWidth="1"/>
    <col min="4011" max="4011" width="14.109375" style="7351" customWidth="1"/>
    <col min="4012" max="4012" width="15.109375" style="7351" customWidth="1"/>
    <col min="4013" max="4013" width="15.44140625" style="7351" customWidth="1"/>
    <col min="4014" max="4263" width="9.109375" style="7351"/>
    <col min="4264" max="4264" width="3.88671875" style="7351" customWidth="1"/>
    <col min="4265" max="4265" width="39.88671875" style="7351" customWidth="1"/>
    <col min="4266" max="4266" width="11.44140625" style="7351" customWidth="1"/>
    <col min="4267" max="4267" width="14.109375" style="7351" customWidth="1"/>
    <col min="4268" max="4268" width="15.109375" style="7351" customWidth="1"/>
    <col min="4269" max="4269" width="15.44140625" style="7351" customWidth="1"/>
    <col min="4270" max="4519" width="9.109375" style="7351"/>
    <col min="4520" max="4520" width="3.88671875" style="7351" customWidth="1"/>
    <col min="4521" max="4521" width="39.88671875" style="7351" customWidth="1"/>
    <col min="4522" max="4522" width="11.44140625" style="7351" customWidth="1"/>
    <col min="4523" max="4523" width="14.109375" style="7351" customWidth="1"/>
    <col min="4524" max="4524" width="15.109375" style="7351" customWidth="1"/>
    <col min="4525" max="4525" width="15.44140625" style="7351" customWidth="1"/>
    <col min="4526" max="4775" width="9.109375" style="7351"/>
    <col min="4776" max="4776" width="3.88671875" style="7351" customWidth="1"/>
    <col min="4777" max="4777" width="39.88671875" style="7351" customWidth="1"/>
    <col min="4778" max="4778" width="11.44140625" style="7351" customWidth="1"/>
    <col min="4779" max="4779" width="14.109375" style="7351" customWidth="1"/>
    <col min="4780" max="4780" width="15.109375" style="7351" customWidth="1"/>
    <col min="4781" max="4781" width="15.44140625" style="7351" customWidth="1"/>
    <col min="4782" max="5031" width="9.109375" style="7351"/>
    <col min="5032" max="5032" width="3.88671875" style="7351" customWidth="1"/>
    <col min="5033" max="5033" width="39.88671875" style="7351" customWidth="1"/>
    <col min="5034" max="5034" width="11.44140625" style="7351" customWidth="1"/>
    <col min="5035" max="5035" width="14.109375" style="7351" customWidth="1"/>
    <col min="5036" max="5036" width="15.109375" style="7351" customWidth="1"/>
    <col min="5037" max="5037" width="15.44140625" style="7351" customWidth="1"/>
    <col min="5038" max="5287" width="9.109375" style="7351"/>
    <col min="5288" max="5288" width="3.88671875" style="7351" customWidth="1"/>
    <col min="5289" max="5289" width="39.88671875" style="7351" customWidth="1"/>
    <col min="5290" max="5290" width="11.44140625" style="7351" customWidth="1"/>
    <col min="5291" max="5291" width="14.109375" style="7351" customWidth="1"/>
    <col min="5292" max="5292" width="15.109375" style="7351" customWidth="1"/>
    <col min="5293" max="5293" width="15.44140625" style="7351" customWidth="1"/>
    <col min="5294" max="5543" width="9.109375" style="7351"/>
    <col min="5544" max="5544" width="3.88671875" style="7351" customWidth="1"/>
    <col min="5545" max="5545" width="39.88671875" style="7351" customWidth="1"/>
    <col min="5546" max="5546" width="11.44140625" style="7351" customWidth="1"/>
    <col min="5547" max="5547" width="14.109375" style="7351" customWidth="1"/>
    <col min="5548" max="5548" width="15.109375" style="7351" customWidth="1"/>
    <col min="5549" max="5549" width="15.44140625" style="7351" customWidth="1"/>
    <col min="5550" max="5799" width="9.109375" style="7351"/>
    <col min="5800" max="5800" width="3.88671875" style="7351" customWidth="1"/>
    <col min="5801" max="5801" width="39.88671875" style="7351" customWidth="1"/>
    <col min="5802" max="5802" width="11.44140625" style="7351" customWidth="1"/>
    <col min="5803" max="5803" width="14.109375" style="7351" customWidth="1"/>
    <col min="5804" max="5804" width="15.109375" style="7351" customWidth="1"/>
    <col min="5805" max="5805" width="15.44140625" style="7351" customWidth="1"/>
    <col min="5806" max="6055" width="9.109375" style="7351"/>
    <col min="6056" max="6056" width="3.88671875" style="7351" customWidth="1"/>
    <col min="6057" max="6057" width="39.88671875" style="7351" customWidth="1"/>
    <col min="6058" max="6058" width="11.44140625" style="7351" customWidth="1"/>
    <col min="6059" max="6059" width="14.109375" style="7351" customWidth="1"/>
    <col min="6060" max="6060" width="15.109375" style="7351" customWidth="1"/>
    <col min="6061" max="6061" width="15.44140625" style="7351" customWidth="1"/>
    <col min="6062" max="6311" width="9.109375" style="7351"/>
    <col min="6312" max="6312" width="3.88671875" style="7351" customWidth="1"/>
    <col min="6313" max="6313" width="39.88671875" style="7351" customWidth="1"/>
    <col min="6314" max="6314" width="11.44140625" style="7351" customWidth="1"/>
    <col min="6315" max="6315" width="14.109375" style="7351" customWidth="1"/>
    <col min="6316" max="6316" width="15.109375" style="7351" customWidth="1"/>
    <col min="6317" max="6317" width="15.44140625" style="7351" customWidth="1"/>
    <col min="6318" max="6567" width="9.109375" style="7351"/>
    <col min="6568" max="6568" width="3.88671875" style="7351" customWidth="1"/>
    <col min="6569" max="6569" width="39.88671875" style="7351" customWidth="1"/>
    <col min="6570" max="6570" width="11.44140625" style="7351" customWidth="1"/>
    <col min="6571" max="6571" width="14.109375" style="7351" customWidth="1"/>
    <col min="6572" max="6572" width="15.109375" style="7351" customWidth="1"/>
    <col min="6573" max="6573" width="15.44140625" style="7351" customWidth="1"/>
    <col min="6574" max="6823" width="9.109375" style="7351"/>
    <col min="6824" max="6824" width="3.88671875" style="7351" customWidth="1"/>
    <col min="6825" max="6825" width="39.88671875" style="7351" customWidth="1"/>
    <col min="6826" max="6826" width="11.44140625" style="7351" customWidth="1"/>
    <col min="6827" max="6827" width="14.109375" style="7351" customWidth="1"/>
    <col min="6828" max="6828" width="15.109375" style="7351" customWidth="1"/>
    <col min="6829" max="6829" width="15.44140625" style="7351" customWidth="1"/>
    <col min="6830" max="7079" width="9.109375" style="7351"/>
    <col min="7080" max="7080" width="3.88671875" style="7351" customWidth="1"/>
    <col min="7081" max="7081" width="39.88671875" style="7351" customWidth="1"/>
    <col min="7082" max="7082" width="11.44140625" style="7351" customWidth="1"/>
    <col min="7083" max="7083" width="14.109375" style="7351" customWidth="1"/>
    <col min="7084" max="7084" width="15.109375" style="7351" customWidth="1"/>
    <col min="7085" max="7085" width="15.44140625" style="7351" customWidth="1"/>
    <col min="7086" max="7335" width="9.109375" style="7351"/>
    <col min="7336" max="7336" width="3.88671875" style="7351" customWidth="1"/>
    <col min="7337" max="7337" width="39.88671875" style="7351" customWidth="1"/>
    <col min="7338" max="7338" width="11.44140625" style="7351" customWidth="1"/>
    <col min="7339" max="7339" width="14.109375" style="7351" customWidth="1"/>
    <col min="7340" max="7340" width="15.109375" style="7351" customWidth="1"/>
    <col min="7341" max="7341" width="15.44140625" style="7351" customWidth="1"/>
    <col min="7342" max="7591" width="9.109375" style="7351"/>
    <col min="7592" max="7592" width="3.88671875" style="7351" customWidth="1"/>
    <col min="7593" max="7593" width="39.88671875" style="7351" customWidth="1"/>
    <col min="7594" max="7594" width="11.44140625" style="7351" customWidth="1"/>
    <col min="7595" max="7595" width="14.109375" style="7351" customWidth="1"/>
    <col min="7596" max="7596" width="15.109375" style="7351" customWidth="1"/>
    <col min="7597" max="7597" width="15.44140625" style="7351" customWidth="1"/>
    <col min="7598" max="7847" width="9.109375" style="7351"/>
    <col min="7848" max="7848" width="3.88671875" style="7351" customWidth="1"/>
    <col min="7849" max="7849" width="39.88671875" style="7351" customWidth="1"/>
    <col min="7850" max="7850" width="11.44140625" style="7351" customWidth="1"/>
    <col min="7851" max="7851" width="14.109375" style="7351" customWidth="1"/>
    <col min="7852" max="7852" width="15.109375" style="7351" customWidth="1"/>
    <col min="7853" max="7853" width="15.44140625" style="7351" customWidth="1"/>
    <col min="7854" max="8103" width="9.109375" style="7351"/>
    <col min="8104" max="8104" width="3.88671875" style="7351" customWidth="1"/>
    <col min="8105" max="8105" width="39.88671875" style="7351" customWidth="1"/>
    <col min="8106" max="8106" width="11.44140625" style="7351" customWidth="1"/>
    <col min="8107" max="8107" width="14.109375" style="7351" customWidth="1"/>
    <col min="8108" max="8108" width="15.109375" style="7351" customWidth="1"/>
    <col min="8109" max="8109" width="15.44140625" style="7351" customWidth="1"/>
    <col min="8110" max="8359" width="9.109375" style="7351"/>
    <col min="8360" max="8360" width="3.88671875" style="7351" customWidth="1"/>
    <col min="8361" max="8361" width="39.88671875" style="7351" customWidth="1"/>
    <col min="8362" max="8362" width="11.44140625" style="7351" customWidth="1"/>
    <col min="8363" max="8363" width="14.109375" style="7351" customWidth="1"/>
    <col min="8364" max="8364" width="15.109375" style="7351" customWidth="1"/>
    <col min="8365" max="8365" width="15.44140625" style="7351" customWidth="1"/>
    <col min="8366" max="8615" width="9.109375" style="7351"/>
    <col min="8616" max="8616" width="3.88671875" style="7351" customWidth="1"/>
    <col min="8617" max="8617" width="39.88671875" style="7351" customWidth="1"/>
    <col min="8618" max="8618" width="11.44140625" style="7351" customWidth="1"/>
    <col min="8619" max="8619" width="14.109375" style="7351" customWidth="1"/>
    <col min="8620" max="8620" width="15.109375" style="7351" customWidth="1"/>
    <col min="8621" max="8621" width="15.44140625" style="7351" customWidth="1"/>
    <col min="8622" max="8871" width="9.109375" style="7351"/>
    <col min="8872" max="8872" width="3.88671875" style="7351" customWidth="1"/>
    <col min="8873" max="8873" width="39.88671875" style="7351" customWidth="1"/>
    <col min="8874" max="8874" width="11.44140625" style="7351" customWidth="1"/>
    <col min="8875" max="8875" width="14.109375" style="7351" customWidth="1"/>
    <col min="8876" max="8876" width="15.109375" style="7351" customWidth="1"/>
    <col min="8877" max="8877" width="15.44140625" style="7351" customWidth="1"/>
    <col min="8878" max="9127" width="9.109375" style="7351"/>
    <col min="9128" max="9128" width="3.88671875" style="7351" customWidth="1"/>
    <col min="9129" max="9129" width="39.88671875" style="7351" customWidth="1"/>
    <col min="9130" max="9130" width="11.44140625" style="7351" customWidth="1"/>
    <col min="9131" max="9131" width="14.109375" style="7351" customWidth="1"/>
    <col min="9132" max="9132" width="15.109375" style="7351" customWidth="1"/>
    <col min="9133" max="9133" width="15.44140625" style="7351" customWidth="1"/>
    <col min="9134" max="9383" width="9.109375" style="7351"/>
    <col min="9384" max="9384" width="3.88671875" style="7351" customWidth="1"/>
    <col min="9385" max="9385" width="39.88671875" style="7351" customWidth="1"/>
    <col min="9386" max="9386" width="11.44140625" style="7351" customWidth="1"/>
    <col min="9387" max="9387" width="14.109375" style="7351" customWidth="1"/>
    <col min="9388" max="9388" width="15.109375" style="7351" customWidth="1"/>
    <col min="9389" max="9389" width="15.44140625" style="7351" customWidth="1"/>
    <col min="9390" max="9639" width="9.109375" style="7351"/>
    <col min="9640" max="9640" width="3.88671875" style="7351" customWidth="1"/>
    <col min="9641" max="9641" width="39.88671875" style="7351" customWidth="1"/>
    <col min="9642" max="9642" width="11.44140625" style="7351" customWidth="1"/>
    <col min="9643" max="9643" width="14.109375" style="7351" customWidth="1"/>
    <col min="9644" max="9644" width="15.109375" style="7351" customWidth="1"/>
    <col min="9645" max="9645" width="15.44140625" style="7351" customWidth="1"/>
    <col min="9646" max="9895" width="9.109375" style="7351"/>
    <col min="9896" max="9896" width="3.88671875" style="7351" customWidth="1"/>
    <col min="9897" max="9897" width="39.88671875" style="7351" customWidth="1"/>
    <col min="9898" max="9898" width="11.44140625" style="7351" customWidth="1"/>
    <col min="9899" max="9899" width="14.109375" style="7351" customWidth="1"/>
    <col min="9900" max="9900" width="15.109375" style="7351" customWidth="1"/>
    <col min="9901" max="9901" width="15.44140625" style="7351" customWidth="1"/>
    <col min="9902" max="10151" width="9.109375" style="7351"/>
    <col min="10152" max="10152" width="3.88671875" style="7351" customWidth="1"/>
    <col min="10153" max="10153" width="39.88671875" style="7351" customWidth="1"/>
    <col min="10154" max="10154" width="11.44140625" style="7351" customWidth="1"/>
    <col min="10155" max="10155" width="14.109375" style="7351" customWidth="1"/>
    <col min="10156" max="10156" width="15.109375" style="7351" customWidth="1"/>
    <col min="10157" max="10157" width="15.44140625" style="7351" customWidth="1"/>
    <col min="10158" max="10407" width="9.109375" style="7351"/>
    <col min="10408" max="10408" width="3.88671875" style="7351" customWidth="1"/>
    <col min="10409" max="10409" width="39.88671875" style="7351" customWidth="1"/>
    <col min="10410" max="10410" width="11.44140625" style="7351" customWidth="1"/>
    <col min="10411" max="10411" width="14.109375" style="7351" customWidth="1"/>
    <col min="10412" max="10412" width="15.109375" style="7351" customWidth="1"/>
    <col min="10413" max="10413" width="15.44140625" style="7351" customWidth="1"/>
    <col min="10414" max="10663" width="9.109375" style="7351"/>
    <col min="10664" max="10664" width="3.88671875" style="7351" customWidth="1"/>
    <col min="10665" max="10665" width="39.88671875" style="7351" customWidth="1"/>
    <col min="10666" max="10666" width="11.44140625" style="7351" customWidth="1"/>
    <col min="10667" max="10667" width="14.109375" style="7351" customWidth="1"/>
    <col min="10668" max="10668" width="15.109375" style="7351" customWidth="1"/>
    <col min="10669" max="10669" width="15.44140625" style="7351" customWidth="1"/>
    <col min="10670" max="10919" width="9.109375" style="7351"/>
    <col min="10920" max="10920" width="3.88671875" style="7351" customWidth="1"/>
    <col min="10921" max="10921" width="39.88671875" style="7351" customWidth="1"/>
    <col min="10922" max="10922" width="11.44140625" style="7351" customWidth="1"/>
    <col min="10923" max="10923" width="14.109375" style="7351" customWidth="1"/>
    <col min="10924" max="10924" width="15.109375" style="7351" customWidth="1"/>
    <col min="10925" max="10925" width="15.44140625" style="7351" customWidth="1"/>
    <col min="10926" max="11175" width="9.109375" style="7351"/>
    <col min="11176" max="11176" width="3.88671875" style="7351" customWidth="1"/>
    <col min="11177" max="11177" width="39.88671875" style="7351" customWidth="1"/>
    <col min="11178" max="11178" width="11.44140625" style="7351" customWidth="1"/>
    <col min="11179" max="11179" width="14.109375" style="7351" customWidth="1"/>
    <col min="11180" max="11180" width="15.109375" style="7351" customWidth="1"/>
    <col min="11181" max="11181" width="15.44140625" style="7351" customWidth="1"/>
    <col min="11182" max="11431" width="9.109375" style="7351"/>
    <col min="11432" max="11432" width="3.88671875" style="7351" customWidth="1"/>
    <col min="11433" max="11433" width="39.88671875" style="7351" customWidth="1"/>
    <col min="11434" max="11434" width="11.44140625" style="7351" customWidth="1"/>
    <col min="11435" max="11435" width="14.109375" style="7351" customWidth="1"/>
    <col min="11436" max="11436" width="15.109375" style="7351" customWidth="1"/>
    <col min="11437" max="11437" width="15.44140625" style="7351" customWidth="1"/>
    <col min="11438" max="11687" width="9.109375" style="7351"/>
    <col min="11688" max="11688" width="3.88671875" style="7351" customWidth="1"/>
    <col min="11689" max="11689" width="39.88671875" style="7351" customWidth="1"/>
    <col min="11690" max="11690" width="11.44140625" style="7351" customWidth="1"/>
    <col min="11691" max="11691" width="14.109375" style="7351" customWidth="1"/>
    <col min="11692" max="11692" width="15.109375" style="7351" customWidth="1"/>
    <col min="11693" max="11693" width="15.44140625" style="7351" customWidth="1"/>
    <col min="11694" max="11943" width="9.109375" style="7351"/>
    <col min="11944" max="11944" width="3.88671875" style="7351" customWidth="1"/>
    <col min="11945" max="11945" width="39.88671875" style="7351" customWidth="1"/>
    <col min="11946" max="11946" width="11.44140625" style="7351" customWidth="1"/>
    <col min="11947" max="11947" width="14.109375" style="7351" customWidth="1"/>
    <col min="11948" max="11948" width="15.109375" style="7351" customWidth="1"/>
    <col min="11949" max="11949" width="15.44140625" style="7351" customWidth="1"/>
    <col min="11950" max="12199" width="9.109375" style="7351"/>
    <col min="12200" max="12200" width="3.88671875" style="7351" customWidth="1"/>
    <col min="12201" max="12201" width="39.88671875" style="7351" customWidth="1"/>
    <col min="12202" max="12202" width="11.44140625" style="7351" customWidth="1"/>
    <col min="12203" max="12203" width="14.109375" style="7351" customWidth="1"/>
    <col min="12204" max="12204" width="15.109375" style="7351" customWidth="1"/>
    <col min="12205" max="12205" width="15.44140625" style="7351" customWidth="1"/>
    <col min="12206" max="12455" width="9.109375" style="7351"/>
    <col min="12456" max="12456" width="3.88671875" style="7351" customWidth="1"/>
    <col min="12457" max="12457" width="39.88671875" style="7351" customWidth="1"/>
    <col min="12458" max="12458" width="11.44140625" style="7351" customWidth="1"/>
    <col min="12459" max="12459" width="14.109375" style="7351" customWidth="1"/>
    <col min="12460" max="12460" width="15.109375" style="7351" customWidth="1"/>
    <col min="12461" max="12461" width="15.44140625" style="7351" customWidth="1"/>
    <col min="12462" max="12711" width="9.109375" style="7351"/>
    <col min="12712" max="12712" width="3.88671875" style="7351" customWidth="1"/>
    <col min="12713" max="12713" width="39.88671875" style="7351" customWidth="1"/>
    <col min="12714" max="12714" width="11.44140625" style="7351" customWidth="1"/>
    <col min="12715" max="12715" width="14.109375" style="7351" customWidth="1"/>
    <col min="12716" max="12716" width="15.109375" style="7351" customWidth="1"/>
    <col min="12717" max="12717" width="15.44140625" style="7351" customWidth="1"/>
    <col min="12718" max="12967" width="9.109375" style="7351"/>
    <col min="12968" max="12968" width="3.88671875" style="7351" customWidth="1"/>
    <col min="12969" max="12969" width="39.88671875" style="7351" customWidth="1"/>
    <col min="12970" max="12970" width="11.44140625" style="7351" customWidth="1"/>
    <col min="12971" max="12971" width="14.109375" style="7351" customWidth="1"/>
    <col min="12972" max="12972" width="15.109375" style="7351" customWidth="1"/>
    <col min="12973" max="12973" width="15.44140625" style="7351" customWidth="1"/>
    <col min="12974" max="13223" width="9.109375" style="7351"/>
    <col min="13224" max="13224" width="3.88671875" style="7351" customWidth="1"/>
    <col min="13225" max="13225" width="39.88671875" style="7351" customWidth="1"/>
    <col min="13226" max="13226" width="11.44140625" style="7351" customWidth="1"/>
    <col min="13227" max="13227" width="14.109375" style="7351" customWidth="1"/>
    <col min="13228" max="13228" width="15.109375" style="7351" customWidth="1"/>
    <col min="13229" max="13229" width="15.44140625" style="7351" customWidth="1"/>
    <col min="13230" max="13479" width="9.109375" style="7351"/>
    <col min="13480" max="13480" width="3.88671875" style="7351" customWidth="1"/>
    <col min="13481" max="13481" width="39.88671875" style="7351" customWidth="1"/>
    <col min="13482" max="13482" width="11.44140625" style="7351" customWidth="1"/>
    <col min="13483" max="13483" width="14.109375" style="7351" customWidth="1"/>
    <col min="13484" max="13484" width="15.109375" style="7351" customWidth="1"/>
    <col min="13485" max="13485" width="15.44140625" style="7351" customWidth="1"/>
    <col min="13486" max="13735" width="9.109375" style="7351"/>
    <col min="13736" max="13736" width="3.88671875" style="7351" customWidth="1"/>
    <col min="13737" max="13737" width="39.88671875" style="7351" customWidth="1"/>
    <col min="13738" max="13738" width="11.44140625" style="7351" customWidth="1"/>
    <col min="13739" max="13739" width="14.109375" style="7351" customWidth="1"/>
    <col min="13740" max="13740" width="15.109375" style="7351" customWidth="1"/>
    <col min="13741" max="13741" width="15.44140625" style="7351" customWidth="1"/>
    <col min="13742" max="13991" width="9.109375" style="7351"/>
    <col min="13992" max="13992" width="3.88671875" style="7351" customWidth="1"/>
    <col min="13993" max="13993" width="39.88671875" style="7351" customWidth="1"/>
    <col min="13994" max="13994" width="11.44140625" style="7351" customWidth="1"/>
    <col min="13995" max="13995" width="14.109375" style="7351" customWidth="1"/>
    <col min="13996" max="13996" width="15.109375" style="7351" customWidth="1"/>
    <col min="13997" max="13997" width="15.44140625" style="7351" customWidth="1"/>
    <col min="13998" max="14247" width="9.109375" style="7351"/>
    <col min="14248" max="14248" width="3.88671875" style="7351" customWidth="1"/>
    <col min="14249" max="14249" width="39.88671875" style="7351" customWidth="1"/>
    <col min="14250" max="14250" width="11.44140625" style="7351" customWidth="1"/>
    <col min="14251" max="14251" width="14.109375" style="7351" customWidth="1"/>
    <col min="14252" max="14252" width="15.109375" style="7351" customWidth="1"/>
    <col min="14253" max="14253" width="15.44140625" style="7351" customWidth="1"/>
    <col min="14254" max="14503" width="9.109375" style="7351"/>
    <col min="14504" max="14504" width="3.88671875" style="7351" customWidth="1"/>
    <col min="14505" max="14505" width="39.88671875" style="7351" customWidth="1"/>
    <col min="14506" max="14506" width="11.44140625" style="7351" customWidth="1"/>
    <col min="14507" max="14507" width="14.109375" style="7351" customWidth="1"/>
    <col min="14508" max="14508" width="15.109375" style="7351" customWidth="1"/>
    <col min="14509" max="14509" width="15.44140625" style="7351" customWidth="1"/>
    <col min="14510" max="14759" width="9.109375" style="7351"/>
    <col min="14760" max="14760" width="3.88671875" style="7351" customWidth="1"/>
    <col min="14761" max="14761" width="39.88671875" style="7351" customWidth="1"/>
    <col min="14762" max="14762" width="11.44140625" style="7351" customWidth="1"/>
    <col min="14763" max="14763" width="14.109375" style="7351" customWidth="1"/>
    <col min="14764" max="14764" width="15.109375" style="7351" customWidth="1"/>
    <col min="14765" max="14765" width="15.44140625" style="7351" customWidth="1"/>
    <col min="14766" max="15015" width="9.109375" style="7351"/>
    <col min="15016" max="15016" width="3.88671875" style="7351" customWidth="1"/>
    <col min="15017" max="15017" width="39.88671875" style="7351" customWidth="1"/>
    <col min="15018" max="15018" width="11.44140625" style="7351" customWidth="1"/>
    <col min="15019" max="15019" width="14.109375" style="7351" customWidth="1"/>
    <col min="15020" max="15020" width="15.109375" style="7351" customWidth="1"/>
    <col min="15021" max="15021" width="15.44140625" style="7351" customWidth="1"/>
    <col min="15022" max="15271" width="9.109375" style="7351"/>
    <col min="15272" max="15272" width="3.88671875" style="7351" customWidth="1"/>
    <col min="15273" max="15273" width="39.88671875" style="7351" customWidth="1"/>
    <col min="15274" max="15274" width="11.44140625" style="7351" customWidth="1"/>
    <col min="15275" max="15275" width="14.109375" style="7351" customWidth="1"/>
    <col min="15276" max="15276" width="15.109375" style="7351" customWidth="1"/>
    <col min="15277" max="15277" width="15.44140625" style="7351" customWidth="1"/>
    <col min="15278" max="15527" width="9.109375" style="7351"/>
    <col min="15528" max="15528" width="3.88671875" style="7351" customWidth="1"/>
    <col min="15529" max="15529" width="39.88671875" style="7351" customWidth="1"/>
    <col min="15530" max="15530" width="11.44140625" style="7351" customWidth="1"/>
    <col min="15531" max="15531" width="14.109375" style="7351" customWidth="1"/>
    <col min="15532" max="15532" width="15.109375" style="7351" customWidth="1"/>
    <col min="15533" max="15533" width="15.44140625" style="7351" customWidth="1"/>
    <col min="15534" max="15783" width="9.109375" style="7351"/>
    <col min="15784" max="15784" width="3.88671875" style="7351" customWidth="1"/>
    <col min="15785" max="15785" width="39.88671875" style="7351" customWidth="1"/>
    <col min="15786" max="15786" width="11.44140625" style="7351" customWidth="1"/>
    <col min="15787" max="15787" width="14.109375" style="7351" customWidth="1"/>
    <col min="15788" max="15788" width="15.109375" style="7351" customWidth="1"/>
    <col min="15789" max="15789" width="15.44140625" style="7351" customWidth="1"/>
    <col min="15790" max="16039" width="9.109375" style="7351"/>
    <col min="16040" max="16040" width="3.88671875" style="7351" customWidth="1"/>
    <col min="16041" max="16041" width="39.88671875" style="7351" customWidth="1"/>
    <col min="16042" max="16042" width="11.44140625" style="7351" customWidth="1"/>
    <col min="16043" max="16043" width="14.109375" style="7351" customWidth="1"/>
    <col min="16044" max="16044" width="15.109375" style="7351" customWidth="1"/>
    <col min="16045" max="16045" width="15.44140625" style="7351" customWidth="1"/>
    <col min="16046" max="16384" width="9.109375" style="7351"/>
  </cols>
  <sheetData>
    <row r="1" spans="1:12" ht="15" customHeight="1">
      <c r="A1" s="14432" t="s">
        <v>1</v>
      </c>
      <c r="B1" s="14432"/>
      <c r="C1" s="14432"/>
      <c r="D1" s="14432"/>
      <c r="E1" s="14432"/>
      <c r="F1" s="14432"/>
      <c r="G1" s="14432"/>
      <c r="H1" s="14432"/>
      <c r="I1" s="14432"/>
      <c r="J1" s="14432"/>
    </row>
    <row r="2" spans="1:12" ht="15" customHeight="1">
      <c r="A2" s="7335"/>
      <c r="B2" s="7719"/>
      <c r="C2" s="8785"/>
      <c r="D2" s="7720"/>
      <c r="E2" s="7720"/>
      <c r="F2" s="7720"/>
      <c r="G2" s="7720"/>
      <c r="H2" s="7720"/>
      <c r="I2" s="7280"/>
      <c r="J2" s="7720"/>
    </row>
    <row r="3" spans="1:12" ht="15" customHeight="1">
      <c r="A3" s="7335" t="s">
        <v>10740</v>
      </c>
      <c r="B3" s="7341"/>
      <c r="C3" s="8786" t="s">
        <v>10738</v>
      </c>
      <c r="D3" s="9431"/>
      <c r="E3" s="9431"/>
      <c r="F3" s="9431"/>
      <c r="G3" s="9431"/>
      <c r="H3" s="9431"/>
      <c r="I3" s="7284"/>
      <c r="J3" s="15044"/>
    </row>
    <row r="4" spans="1:12" ht="15" customHeight="1">
      <c r="A4" s="7335" t="s">
        <v>10716</v>
      </c>
      <c r="B4" s="7335"/>
      <c r="C4" s="8785" t="s">
        <v>92</v>
      </c>
      <c r="D4" s="7336"/>
      <c r="E4" s="7336"/>
      <c r="F4" s="7336"/>
      <c r="G4" s="9431"/>
      <c r="H4" s="7336"/>
      <c r="I4" s="7286"/>
      <c r="J4" s="15044"/>
    </row>
    <row r="5" spans="1:12" ht="15" customHeight="1" thickBot="1">
      <c r="A5" s="7721" t="s">
        <v>7</v>
      </c>
      <c r="B5" s="7721"/>
      <c r="C5" s="8787" t="s">
        <v>8</v>
      </c>
      <c r="D5" s="7723"/>
      <c r="E5" s="7724"/>
      <c r="F5" s="7724"/>
      <c r="G5" s="7723"/>
      <c r="H5" s="7724"/>
      <c r="I5" s="7294"/>
      <c r="J5" s="7723"/>
    </row>
    <row r="6" spans="1:12" ht="15" customHeight="1">
      <c r="A6" s="11433"/>
      <c r="B6" s="11749"/>
      <c r="C6" s="11750" t="s">
        <v>103</v>
      </c>
      <c r="D6" s="9461" t="s">
        <v>10</v>
      </c>
      <c r="E6" s="14188" t="s">
        <v>10711</v>
      </c>
      <c r="F6" s="14189"/>
      <c r="G6" s="14190"/>
      <c r="H6" s="11080" t="s">
        <v>9985</v>
      </c>
      <c r="I6" s="9462"/>
      <c r="J6" s="11437" t="s">
        <v>12</v>
      </c>
    </row>
    <row r="7" spans="1:12" ht="15" customHeight="1">
      <c r="A7" s="11237"/>
      <c r="B7" s="11239" t="s">
        <v>13</v>
      </c>
      <c r="C7" s="11536" t="s">
        <v>94</v>
      </c>
      <c r="D7" s="11438" t="s">
        <v>15</v>
      </c>
      <c r="E7" s="9502" t="s">
        <v>10709</v>
      </c>
      <c r="F7" s="9503" t="s">
        <v>10710</v>
      </c>
      <c r="G7" s="14191" t="s">
        <v>458</v>
      </c>
      <c r="H7" s="11084" t="s">
        <v>11871</v>
      </c>
      <c r="I7" s="11108"/>
      <c r="J7" s="11439" t="s">
        <v>16</v>
      </c>
    </row>
    <row r="8" spans="1:12" ht="15" customHeight="1" thickBot="1">
      <c r="A8" s="11235"/>
      <c r="B8" s="7975"/>
      <c r="C8" s="11751"/>
      <c r="D8" s="7302">
        <v>2017</v>
      </c>
      <c r="E8" s="9467" t="s">
        <v>457</v>
      </c>
      <c r="F8" s="11661" t="s">
        <v>456</v>
      </c>
      <c r="G8" s="14192"/>
      <c r="H8" s="7302">
        <v>2018</v>
      </c>
      <c r="I8" s="7322"/>
      <c r="J8" s="11442">
        <v>2019</v>
      </c>
    </row>
    <row r="9" spans="1:12" ht="15" customHeight="1">
      <c r="A9" s="11241" t="s">
        <v>17</v>
      </c>
      <c r="B9" s="11242" t="s">
        <v>18</v>
      </c>
      <c r="C9" s="8872"/>
      <c r="D9" s="11252"/>
      <c r="E9" s="11252"/>
      <c r="F9" s="11252"/>
      <c r="G9" s="11252"/>
      <c r="H9" s="11252"/>
      <c r="I9" s="11163"/>
      <c r="J9" s="11269"/>
    </row>
    <row r="10" spans="1:12" ht="15" customHeight="1">
      <c r="A10" s="11237"/>
      <c r="B10" s="11242" t="s">
        <v>19</v>
      </c>
      <c r="C10" s="8872"/>
      <c r="D10" s="11252"/>
      <c r="E10" s="11252"/>
      <c r="F10" s="11252"/>
      <c r="G10" s="11252"/>
      <c r="H10" s="11252"/>
      <c r="I10" s="11163"/>
      <c r="J10" s="11269"/>
    </row>
    <row r="11" spans="1:12" ht="15" customHeight="1">
      <c r="A11" s="11237"/>
      <c r="B11" s="11242" t="s">
        <v>20</v>
      </c>
      <c r="C11" s="8872">
        <v>50101010</v>
      </c>
      <c r="D11" s="11443">
        <f>'WS-PS 2017'!B29</f>
        <v>13785466.75</v>
      </c>
      <c r="E11" s="11443">
        <f>'WS-PS ACTUAL JUNE 2018'!B29</f>
        <v>7263724.6399999997</v>
      </c>
      <c r="F11" s="11443">
        <f>G11-E11</f>
        <v>12094612.359999999</v>
      </c>
      <c r="G11" s="11443">
        <v>19358337</v>
      </c>
      <c r="H11" s="11443"/>
      <c r="I11" s="11165"/>
      <c r="J11" s="11752">
        <f>K11</f>
        <v>20171244</v>
      </c>
      <c r="K11" s="10573">
        <f>'staffing-carmen'!F71</f>
        <v>20171244</v>
      </c>
      <c r="L11" s="7383">
        <f>'staffing-carmen'!B71</f>
        <v>71</v>
      </c>
    </row>
    <row r="12" spans="1:12" ht="15" customHeight="1">
      <c r="A12" s="11237"/>
      <c r="B12" s="11242" t="s">
        <v>21</v>
      </c>
      <c r="C12" s="8872">
        <v>50102010</v>
      </c>
      <c r="D12" s="11252">
        <f>'WS-PS 2017'!F29</f>
        <v>1353425.14</v>
      </c>
      <c r="E12" s="11252">
        <f>'WS-PS ACTUAL JUNE 2018'!D29</f>
        <v>695064.26</v>
      </c>
      <c r="F12" s="11443">
        <f t="shared" ref="F12:F29" si="0">G12-E12</f>
        <v>1032935.74</v>
      </c>
      <c r="G12" s="11252">
        <v>1728000</v>
      </c>
      <c r="H12" s="11252"/>
      <c r="I12" s="11163"/>
      <c r="J12" s="11752">
        <f t="shared" ref="J12:J29" si="1">K12</f>
        <v>1704000</v>
      </c>
      <c r="K12" s="7502">
        <f>24000*L11</f>
        <v>1704000</v>
      </c>
    </row>
    <row r="13" spans="1:12" ht="15" customHeight="1">
      <c r="A13" s="11237"/>
      <c r="B13" s="11242" t="s">
        <v>104</v>
      </c>
      <c r="C13" s="8872">
        <v>50102020</v>
      </c>
      <c r="D13" s="11252">
        <f>'WS-PS 2017'!G29</f>
        <v>60000</v>
      </c>
      <c r="E13" s="11252">
        <f>'WS-PS ACTUAL JUNE 2018'!E29</f>
        <v>25000</v>
      </c>
      <c r="F13" s="11443">
        <f t="shared" si="0"/>
        <v>35000</v>
      </c>
      <c r="G13" s="11252">
        <v>60000</v>
      </c>
      <c r="H13" s="11252"/>
      <c r="I13" s="11163"/>
      <c r="J13" s="11752">
        <f t="shared" si="1"/>
        <v>60000</v>
      </c>
      <c r="K13" s="7502">
        <v>60000</v>
      </c>
    </row>
    <row r="14" spans="1:12" ht="15" customHeight="1">
      <c r="A14" s="11237"/>
      <c r="B14" s="11242" t="s">
        <v>105</v>
      </c>
      <c r="C14" s="8872">
        <v>50102030</v>
      </c>
      <c r="D14" s="11252">
        <f>'WS-PS 2017'!H29</f>
        <v>60000</v>
      </c>
      <c r="E14" s="11252">
        <f>'WS-PS ACTUAL JUNE 2018'!F29</f>
        <v>25000</v>
      </c>
      <c r="F14" s="11443">
        <f t="shared" si="0"/>
        <v>35000</v>
      </c>
      <c r="G14" s="11252">
        <v>60000</v>
      </c>
      <c r="H14" s="11252"/>
      <c r="I14" s="11163"/>
      <c r="J14" s="11752">
        <f t="shared" si="1"/>
        <v>60000</v>
      </c>
      <c r="K14" s="7502">
        <v>60000</v>
      </c>
    </row>
    <row r="15" spans="1:12" ht="15" customHeight="1">
      <c r="A15" s="11237"/>
      <c r="B15" s="11242" t="s">
        <v>22</v>
      </c>
      <c r="C15" s="8872">
        <v>50102040</v>
      </c>
      <c r="D15" s="11252">
        <f>'WS-PS 2017'!I29</f>
        <v>282975</v>
      </c>
      <c r="E15" s="11252">
        <f>'WS-PS ACTUAL JUNE 2018'!G29</f>
        <v>342000</v>
      </c>
      <c r="F15" s="11443">
        <f t="shared" si="0"/>
        <v>18000</v>
      </c>
      <c r="G15" s="11252">
        <v>360000</v>
      </c>
      <c r="H15" s="11252"/>
      <c r="I15" s="11163"/>
      <c r="J15" s="11752">
        <f t="shared" si="1"/>
        <v>426000</v>
      </c>
      <c r="K15" s="7502">
        <f>6000*L11</f>
        <v>426000</v>
      </c>
    </row>
    <row r="16" spans="1:12" ht="15" customHeight="1">
      <c r="A16" s="11237"/>
      <c r="B16" s="11242" t="s">
        <v>106</v>
      </c>
      <c r="C16" s="8872">
        <v>50102050</v>
      </c>
      <c r="D16" s="11252">
        <f>'WS-PS 2017'!J29</f>
        <v>658650.78</v>
      </c>
      <c r="E16" s="11252">
        <f>'WS-PS ACTUAL JUNE 2018'!H29</f>
        <v>323000</v>
      </c>
      <c r="F16" s="11443">
        <f t="shared" si="0"/>
        <v>973000</v>
      </c>
      <c r="G16" s="11252">
        <v>1296000</v>
      </c>
      <c r="H16" s="11252"/>
      <c r="I16" s="11163"/>
      <c r="J16" s="11752">
        <f t="shared" si="1"/>
        <v>766800</v>
      </c>
      <c r="K16" s="7502">
        <f>10800*L11</f>
        <v>766800</v>
      </c>
    </row>
    <row r="17" spans="1:11" ht="15" customHeight="1">
      <c r="A17" s="11237"/>
      <c r="B17" s="7352" t="s">
        <v>10970</v>
      </c>
      <c r="C17" s="8802">
        <v>50102060</v>
      </c>
      <c r="D17" s="11252">
        <f>'WS-PS 2017'!K29</f>
        <v>97028.28</v>
      </c>
      <c r="E17" s="11252">
        <f>'WS-PS ACTUAL JUNE 2018'!I29</f>
        <v>48582.81</v>
      </c>
      <c r="F17" s="11443">
        <f t="shared" si="0"/>
        <v>81017.19</v>
      </c>
      <c r="G17" s="11252">
        <v>129600</v>
      </c>
      <c r="H17" s="11252"/>
      <c r="I17" s="11163"/>
      <c r="J17" s="11752">
        <f t="shared" si="1"/>
        <v>127800</v>
      </c>
      <c r="K17" s="7502">
        <f>1800*L11</f>
        <v>127800</v>
      </c>
    </row>
    <row r="18" spans="1:11" ht="15" customHeight="1">
      <c r="A18" s="11237"/>
      <c r="B18" s="7488" t="s">
        <v>10932</v>
      </c>
      <c r="C18" s="10368">
        <v>50102080</v>
      </c>
      <c r="D18" s="11252">
        <f>'WS-PS 2017'!L29</f>
        <v>280000</v>
      </c>
      <c r="E18" s="11252">
        <f>'WS-PS ACTUAL JUNE 2018'!J29</f>
        <v>0</v>
      </c>
      <c r="F18" s="11443">
        <f t="shared" si="0"/>
        <v>360000</v>
      </c>
      <c r="G18" s="11252">
        <v>360000</v>
      </c>
      <c r="H18" s="11252"/>
      <c r="I18" s="11163"/>
      <c r="J18" s="11752">
        <f t="shared" si="1"/>
        <v>355000</v>
      </c>
      <c r="K18" s="7502">
        <f>5000*L11</f>
        <v>355000</v>
      </c>
    </row>
    <row r="19" spans="1:11" ht="15" customHeight="1">
      <c r="A19" s="11237"/>
      <c r="B19" s="7287" t="s">
        <v>95</v>
      </c>
      <c r="C19" s="11729">
        <v>50102110</v>
      </c>
      <c r="D19" s="11252">
        <f>'WS-PS 2017'!N29</f>
        <v>3002973.22</v>
      </c>
      <c r="E19" s="11252">
        <f>'WS-PS ACTUAL JUNE 2018'!L29</f>
        <v>1562504.97</v>
      </c>
      <c r="F19" s="11443">
        <f t="shared" si="0"/>
        <v>1735575.03</v>
      </c>
      <c r="G19" s="11252">
        <v>3298080</v>
      </c>
      <c r="H19" s="11252"/>
      <c r="I19" s="11163"/>
      <c r="J19" s="11752">
        <f t="shared" si="1"/>
        <v>5042811</v>
      </c>
      <c r="K19" s="11654">
        <f>25%*K11</f>
        <v>5042811</v>
      </c>
    </row>
    <row r="20" spans="1:11" ht="15" customHeight="1">
      <c r="A20" s="11237"/>
      <c r="B20" s="7488" t="s">
        <v>10934</v>
      </c>
      <c r="C20" s="8872">
        <v>50102120</v>
      </c>
      <c r="D20" s="11252">
        <f>'WS-PS 2017'!O29</f>
        <v>75000</v>
      </c>
      <c r="E20" s="11252">
        <f>'WS-PS ACTUAL JUNE 2018'!M29</f>
        <v>5000</v>
      </c>
      <c r="F20" s="11443">
        <f>G20-E20</f>
        <v>30000</v>
      </c>
      <c r="G20" s="11252">
        <v>35000</v>
      </c>
      <c r="H20" s="11252"/>
      <c r="I20" s="11163"/>
      <c r="J20" s="11752">
        <f t="shared" si="1"/>
        <v>80000</v>
      </c>
      <c r="K20" s="7502">
        <v>80000</v>
      </c>
    </row>
    <row r="21" spans="1:11" ht="15" customHeight="1">
      <c r="A21" s="11237"/>
      <c r="B21" s="7488" t="s">
        <v>10933</v>
      </c>
      <c r="C21" s="8872">
        <v>50102140</v>
      </c>
      <c r="D21" s="11753">
        <f>'WS-PS 2017'!U29+'WS-PS 2017'!S29</f>
        <v>2320361.7999999998</v>
      </c>
      <c r="E21" s="11753">
        <f>'WS-PS ACTUAL JUNE 2018'!O29</f>
        <v>1228398</v>
      </c>
      <c r="F21" s="11443">
        <f t="shared" si="0"/>
        <v>1997991.5</v>
      </c>
      <c r="G21" s="11753">
        <v>3226389.5</v>
      </c>
      <c r="H21" s="11753"/>
      <c r="I21" s="11731"/>
      <c r="J21" s="11752">
        <f t="shared" si="1"/>
        <v>3361874</v>
      </c>
      <c r="K21" s="7502">
        <f>SUM(K10:K11)/12*2</f>
        <v>3361874</v>
      </c>
    </row>
    <row r="22" spans="1:11" ht="15" customHeight="1">
      <c r="A22" s="11237"/>
      <c r="B22" s="7287" t="s">
        <v>26</v>
      </c>
      <c r="C22" s="11729">
        <v>50102150</v>
      </c>
      <c r="D22" s="11252">
        <f>'WS-PS 2017'!T29</f>
        <v>284000</v>
      </c>
      <c r="E22" s="11252">
        <f>'WS-PS ACTUAL JUNE 2018'!Q29</f>
        <v>0</v>
      </c>
      <c r="F22" s="11443">
        <f>G22-E22</f>
        <v>360000</v>
      </c>
      <c r="G22" s="11252">
        <v>360000</v>
      </c>
      <c r="H22" s="11252"/>
      <c r="I22" s="11163"/>
      <c r="J22" s="11752">
        <f t="shared" si="1"/>
        <v>355000</v>
      </c>
      <c r="K22" s="10573">
        <f>K18</f>
        <v>355000</v>
      </c>
    </row>
    <row r="23" spans="1:11" ht="15" customHeight="1">
      <c r="A23" s="11237"/>
      <c r="B23" s="7488" t="s">
        <v>11497</v>
      </c>
      <c r="C23" s="11257">
        <v>50102990</v>
      </c>
      <c r="D23" s="11252">
        <v>0</v>
      </c>
      <c r="E23" s="11252">
        <f>'WS-PS ACTUAL JUNE 2018'!R29</f>
        <v>0</v>
      </c>
      <c r="F23" s="11443">
        <f>G23-E23</f>
        <v>927587</v>
      </c>
      <c r="G23" s="11252">
        <v>927587</v>
      </c>
      <c r="H23" s="11252"/>
      <c r="I23" s="11163"/>
      <c r="J23" s="11752">
        <v>0</v>
      </c>
      <c r="K23" s="7502">
        <f>K11/12*0.575</f>
        <v>966538.77499999991</v>
      </c>
    </row>
    <row r="24" spans="1:11" ht="15" customHeight="1">
      <c r="A24" s="11237"/>
      <c r="B24" s="7803" t="s">
        <v>11499</v>
      </c>
      <c r="C24" s="11059" t="s">
        <v>11495</v>
      </c>
      <c r="D24" s="11252">
        <f>'WS-PS 2017'!Q29</f>
        <v>0</v>
      </c>
      <c r="E24" s="11252">
        <f>'WS-PS ACTUAL JUNE 2018'!S29</f>
        <v>0</v>
      </c>
      <c r="F24" s="11443">
        <f>G24-E24</f>
        <v>0</v>
      </c>
      <c r="G24" s="11252">
        <v>0</v>
      </c>
      <c r="H24" s="11252"/>
      <c r="I24" s="11163"/>
      <c r="J24" s="11752">
        <f t="shared" si="1"/>
        <v>213000</v>
      </c>
      <c r="K24" s="7502">
        <f>3000*L11</f>
        <v>213000</v>
      </c>
    </row>
    <row r="25" spans="1:11" ht="15" customHeight="1">
      <c r="A25" s="11237"/>
      <c r="B25" s="11518" t="s">
        <v>59</v>
      </c>
      <c r="C25" s="8872">
        <v>50103010</v>
      </c>
      <c r="D25" s="11252">
        <f>'WS-PS 2017'!V29</f>
        <v>1654063.04</v>
      </c>
      <c r="E25" s="11252">
        <f>'WS-PS ACTUAL JUNE 2018'!T29</f>
        <v>870989.38</v>
      </c>
      <c r="F25" s="11443">
        <f t="shared" si="0"/>
        <v>1258777.6200000001</v>
      </c>
      <c r="G25" s="11252">
        <v>2129767</v>
      </c>
      <c r="H25" s="11252"/>
      <c r="I25" s="11163"/>
      <c r="J25" s="11752">
        <f t="shared" si="1"/>
        <v>2420549.2799999998</v>
      </c>
      <c r="K25" s="11655">
        <f>SUM(K10:K11)*12%</f>
        <v>2420549.2799999998</v>
      </c>
    </row>
    <row r="26" spans="1:11" ht="15" customHeight="1">
      <c r="A26" s="11237"/>
      <c r="B26" s="7803" t="s">
        <v>28</v>
      </c>
      <c r="C26" s="8872">
        <v>50103020</v>
      </c>
      <c r="D26" s="11252">
        <f>'WS-PS 2017'!W29</f>
        <v>68000</v>
      </c>
      <c r="E26" s="11252">
        <f>'WS-PS ACTUAL JUNE 2018'!U29</f>
        <v>34700</v>
      </c>
      <c r="F26" s="11443">
        <f t="shared" si="0"/>
        <v>51700</v>
      </c>
      <c r="G26" s="11252">
        <v>86400</v>
      </c>
      <c r="H26" s="11252"/>
      <c r="I26" s="11163"/>
      <c r="J26" s="11752">
        <f t="shared" si="1"/>
        <v>85200</v>
      </c>
      <c r="K26" s="7502">
        <f>1200*L11</f>
        <v>85200</v>
      </c>
    </row>
    <row r="27" spans="1:11" ht="15" customHeight="1">
      <c r="A27" s="11237"/>
      <c r="B27" s="7803" t="s">
        <v>29</v>
      </c>
      <c r="C27" s="8872">
        <v>50103030</v>
      </c>
      <c r="D27" s="11252">
        <f>'WS-PS 2017'!X29</f>
        <v>150675</v>
      </c>
      <c r="E27" s="11252">
        <f>'WS-PS ACTUAL JUNE 2018'!V29</f>
        <v>93087.54</v>
      </c>
      <c r="F27" s="11443">
        <f t="shared" si="0"/>
        <v>82112.460000000006</v>
      </c>
      <c r="G27" s="11252">
        <v>175200</v>
      </c>
      <c r="H27" s="11252"/>
      <c r="I27" s="11163"/>
      <c r="J27" s="11752">
        <v>247851.78000000014</v>
      </c>
      <c r="K27" s="7502">
        <f>3600*L11</f>
        <v>255600</v>
      </c>
    </row>
    <row r="28" spans="1:11" ht="15" customHeight="1">
      <c r="A28" s="11237"/>
      <c r="B28" s="7803" t="s">
        <v>30</v>
      </c>
      <c r="C28" s="8872">
        <v>50103040</v>
      </c>
      <c r="D28" s="11252">
        <f>'WS-PS 2017'!Y29</f>
        <v>67980.789999999994</v>
      </c>
      <c r="E28" s="11252">
        <f>'WS-PS ACTUAL JUNE 2018'!W29</f>
        <v>34627.760000000002</v>
      </c>
      <c r="F28" s="11443">
        <f t="shared" si="0"/>
        <v>51772.24</v>
      </c>
      <c r="G28" s="11252">
        <v>86400</v>
      </c>
      <c r="H28" s="11252"/>
      <c r="I28" s="11163"/>
      <c r="J28" s="11752">
        <f t="shared" si="1"/>
        <v>85200</v>
      </c>
      <c r="K28" s="7502">
        <f>K26</f>
        <v>85200</v>
      </c>
    </row>
    <row r="29" spans="1:11" ht="15" customHeight="1">
      <c r="A29" s="11237"/>
      <c r="B29" s="7488" t="s">
        <v>5025</v>
      </c>
      <c r="C29" s="11258">
        <v>50104990</v>
      </c>
      <c r="D29" s="11252">
        <f>'WS-PS 2017'!Z29</f>
        <v>1400000</v>
      </c>
      <c r="E29" s="11252"/>
      <c r="F29" s="11443">
        <f t="shared" si="0"/>
        <v>0</v>
      </c>
      <c r="G29" s="11252">
        <v>0</v>
      </c>
      <c r="H29" s="11252"/>
      <c r="I29" s="11163"/>
      <c r="J29" s="11752">
        <f t="shared" si="1"/>
        <v>0</v>
      </c>
    </row>
    <row r="30" spans="1:11" ht="15" customHeight="1">
      <c r="A30" s="11237"/>
      <c r="B30" s="11242"/>
      <c r="C30" s="8872" t="s">
        <v>9</v>
      </c>
      <c r="D30" s="10486"/>
      <c r="E30" s="10486"/>
      <c r="F30" s="10486"/>
      <c r="G30" s="10486" t="s">
        <v>9</v>
      </c>
      <c r="H30" s="10486"/>
      <c r="I30" s="7373"/>
      <c r="J30" s="11448" t="s">
        <v>9</v>
      </c>
    </row>
    <row r="31" spans="1:11" ht="15" customHeight="1" thickBot="1">
      <c r="A31" s="11235"/>
      <c r="B31" s="7734" t="s">
        <v>37</v>
      </c>
      <c r="C31" s="11754"/>
      <c r="D31" s="9428">
        <f>SUM(D10:D30)</f>
        <v>25600599.799999997</v>
      </c>
      <c r="E31" s="9428">
        <f>SUM(E10:E30)</f>
        <v>12551679.359999999</v>
      </c>
      <c r="F31" s="9428">
        <f>SUM(F10:F30)</f>
        <v>21125081.140000001</v>
      </c>
      <c r="G31" s="11300">
        <f>SUM(G10:G30)</f>
        <v>33676760.5</v>
      </c>
      <c r="H31" s="11300"/>
      <c r="I31" s="7327"/>
      <c r="J31" s="11301">
        <f>SUM(J10:J30)</f>
        <v>35562330.060000002</v>
      </c>
      <c r="K31" s="11748">
        <f>SUM(K11:K30)</f>
        <v>36536617.055</v>
      </c>
    </row>
    <row r="32" spans="1:11" ht="15" customHeight="1">
      <c r="A32" s="7385"/>
      <c r="B32" s="7386"/>
      <c r="C32" s="8788"/>
      <c r="D32" s="7388"/>
      <c r="E32" s="7388"/>
      <c r="F32" s="7388"/>
      <c r="G32" s="7388"/>
      <c r="H32" s="7388"/>
      <c r="I32" s="7389"/>
      <c r="J32" s="7388"/>
    </row>
    <row r="33" spans="1:10" ht="15" customHeight="1">
      <c r="A33" s="7352"/>
      <c r="B33" s="7361"/>
      <c r="C33" s="8789"/>
      <c r="D33" s="7364"/>
      <c r="E33" s="7364"/>
      <c r="F33" s="7364"/>
      <c r="G33" s="7364"/>
      <c r="H33" s="7364"/>
      <c r="I33" s="7350"/>
      <c r="J33" s="7364"/>
    </row>
    <row r="34" spans="1:10" ht="15" customHeight="1">
      <c r="A34" s="7352"/>
      <c r="B34" s="7361"/>
      <c r="C34" s="8789"/>
      <c r="D34" s="7364"/>
      <c r="E34" s="7364"/>
      <c r="F34" s="7364"/>
      <c r="G34" s="7364"/>
      <c r="H34" s="7364"/>
      <c r="I34" s="7350"/>
      <c r="J34" s="7364"/>
    </row>
    <row r="35" spans="1:10" ht="15" customHeight="1">
      <c r="A35" s="7352"/>
      <c r="B35" s="7361"/>
      <c r="C35" s="8789"/>
      <c r="D35" s="7364"/>
      <c r="E35" s="7364"/>
      <c r="F35" s="7364"/>
      <c r="G35" s="7364"/>
      <c r="H35" s="7364"/>
      <c r="I35" s="7350"/>
      <c r="J35" s="7364"/>
    </row>
    <row r="36" spans="1:10" ht="15" customHeight="1">
      <c r="A36" s="7352"/>
      <c r="B36" s="7361"/>
      <c r="C36" s="8789"/>
      <c r="D36" s="7364"/>
      <c r="E36" s="7364"/>
      <c r="F36" s="7364"/>
      <c r="G36" s="7364"/>
      <c r="H36" s="7364"/>
      <c r="I36" s="7350"/>
      <c r="J36" s="7364"/>
    </row>
    <row r="37" spans="1:10" ht="15" customHeight="1">
      <c r="A37" s="7352"/>
      <c r="B37" s="7361"/>
      <c r="C37" s="8789"/>
      <c r="D37" s="7364"/>
      <c r="E37" s="7364"/>
      <c r="F37" s="7364"/>
      <c r="G37" s="7364"/>
      <c r="H37" s="7364"/>
      <c r="I37" s="7350"/>
      <c r="J37" s="7364"/>
    </row>
    <row r="38" spans="1:10" ht="15" customHeight="1" thickBot="1">
      <c r="A38" s="7390" t="s">
        <v>111</v>
      </c>
      <c r="B38" s="7390"/>
      <c r="C38" s="8790"/>
      <c r="D38" s="7750"/>
      <c r="E38" s="7750"/>
      <c r="F38" s="7750"/>
      <c r="G38" s="7750"/>
      <c r="H38" s="7750"/>
      <c r="I38" s="7753"/>
      <c r="J38" s="7750"/>
    </row>
    <row r="39" spans="1:10" ht="15" customHeight="1">
      <c r="A39" s="11433"/>
      <c r="B39" s="11749"/>
      <c r="C39" s="11750" t="s">
        <v>103</v>
      </c>
      <c r="D39" s="9461" t="s">
        <v>10</v>
      </c>
      <c r="E39" s="14188" t="s">
        <v>10711</v>
      </c>
      <c r="F39" s="14189"/>
      <c r="G39" s="14190"/>
      <c r="H39" s="9461"/>
      <c r="I39" s="9462"/>
      <c r="J39" s="11437" t="s">
        <v>12</v>
      </c>
    </row>
    <row r="40" spans="1:10" ht="15" customHeight="1">
      <c r="A40" s="11237"/>
      <c r="B40" s="11239" t="s">
        <v>13</v>
      </c>
      <c r="C40" s="11536" t="s">
        <v>94</v>
      </c>
      <c r="D40" s="11438" t="s">
        <v>15</v>
      </c>
      <c r="E40" s="9502" t="s">
        <v>10709</v>
      </c>
      <c r="F40" s="9503" t="s">
        <v>10710</v>
      </c>
      <c r="G40" s="14191" t="s">
        <v>458</v>
      </c>
      <c r="H40" s="11438"/>
      <c r="I40" s="11108"/>
      <c r="J40" s="11439" t="s">
        <v>16</v>
      </c>
    </row>
    <row r="41" spans="1:10" ht="15" customHeight="1" thickBot="1">
      <c r="A41" s="11235"/>
      <c r="B41" s="7975"/>
      <c r="C41" s="11751"/>
      <c r="D41" s="7302">
        <v>2017</v>
      </c>
      <c r="E41" s="9467" t="s">
        <v>457</v>
      </c>
      <c r="F41" s="11661" t="s">
        <v>456</v>
      </c>
      <c r="G41" s="14192"/>
      <c r="H41" s="7302"/>
      <c r="I41" s="7322"/>
      <c r="J41" s="11442">
        <v>2019</v>
      </c>
    </row>
    <row r="42" spans="1:10" ht="15" customHeight="1">
      <c r="A42" s="11237"/>
      <c r="B42" s="11239"/>
      <c r="C42" s="11536"/>
      <c r="D42" s="11181"/>
      <c r="E42" s="11123"/>
      <c r="F42" s="11123"/>
      <c r="G42" s="11123"/>
      <c r="H42" s="11181"/>
      <c r="I42" s="11108"/>
      <c r="J42" s="11453"/>
    </row>
    <row r="43" spans="1:10" ht="15" customHeight="1">
      <c r="A43" s="11241"/>
      <c r="B43" s="11242" t="s">
        <v>38</v>
      </c>
      <c r="C43" s="8872"/>
      <c r="D43" s="11454"/>
      <c r="E43" s="11454"/>
      <c r="F43" s="11454"/>
      <c r="G43" s="11252"/>
      <c r="H43" s="11252"/>
      <c r="I43" s="11163"/>
      <c r="J43" s="11269"/>
    </row>
    <row r="44" spans="1:10" ht="15" customHeight="1">
      <c r="A44" s="11237"/>
      <c r="B44" s="7803" t="s">
        <v>391</v>
      </c>
      <c r="C44" s="10377">
        <v>50201010</v>
      </c>
      <c r="D44" s="11252">
        <f>'WS-MOOE 2017'!B29</f>
        <v>138899.19</v>
      </c>
      <c r="E44" s="11252">
        <f>'WS-MOOE ACTUAL JUNE 2018'!B30</f>
        <v>29036</v>
      </c>
      <c r="F44" s="11443">
        <f t="shared" ref="F44:F59" si="2">G44-E44</f>
        <v>90964</v>
      </c>
      <c r="G44" s="11252">
        <v>120000</v>
      </c>
      <c r="H44" s="11252">
        <v>57089</v>
      </c>
      <c r="I44" s="11163">
        <f>H44/G44</f>
        <v>0.47574166666666667</v>
      </c>
      <c r="J44" s="11269">
        <v>126000</v>
      </c>
    </row>
    <row r="45" spans="1:10" ht="15" customHeight="1">
      <c r="A45" s="11237"/>
      <c r="B45" s="7803" t="s">
        <v>10324</v>
      </c>
      <c r="C45" s="10377">
        <v>50202010</v>
      </c>
      <c r="D45" s="11252">
        <f>'WS-MOOE 2017'!H29</f>
        <v>183300</v>
      </c>
      <c r="E45" s="11252">
        <f>'WS-MOOE ACTUAL JUNE 2018'!G30</f>
        <v>4000</v>
      </c>
      <c r="F45" s="11443">
        <f t="shared" si="2"/>
        <v>346000</v>
      </c>
      <c r="G45" s="11252">
        <v>350000</v>
      </c>
      <c r="H45" s="11252">
        <v>60160</v>
      </c>
      <c r="I45" s="11163">
        <f t="shared" ref="I45:I65" si="3">H45/G45</f>
        <v>0.17188571428571428</v>
      </c>
      <c r="J45" s="11269">
        <v>342000</v>
      </c>
    </row>
    <row r="46" spans="1:10" ht="15" customHeight="1">
      <c r="A46" s="11237"/>
      <c r="B46" s="7803" t="s">
        <v>392</v>
      </c>
      <c r="C46" s="10377">
        <v>50203010</v>
      </c>
      <c r="D46" s="11252">
        <f>'WS-MOOE 2017'!J29</f>
        <v>547264.15</v>
      </c>
      <c r="E46" s="11252">
        <f>'WS-MOOE ACTUAL JUNE 2018'!H30</f>
        <v>79185</v>
      </c>
      <c r="F46" s="11443">
        <f t="shared" si="2"/>
        <v>550815</v>
      </c>
      <c r="G46" s="11252">
        <v>630000</v>
      </c>
      <c r="H46" s="11252">
        <v>578240</v>
      </c>
      <c r="I46" s="11163">
        <f t="shared" si="3"/>
        <v>0.91784126984126979</v>
      </c>
      <c r="J46" s="11269">
        <v>660000</v>
      </c>
    </row>
    <row r="47" spans="1:10" ht="15" customHeight="1">
      <c r="A47" s="11237"/>
      <c r="B47" s="7287" t="s">
        <v>97</v>
      </c>
      <c r="C47" s="8802">
        <v>50203020</v>
      </c>
      <c r="D47" s="11252">
        <f>'WS-MOOE 2017'!M29</f>
        <v>41310</v>
      </c>
      <c r="E47" s="11252">
        <f>'WS-MOOE ACTUAL JUNE 2018'!J30</f>
        <v>17915</v>
      </c>
      <c r="F47" s="11443">
        <f t="shared" si="2"/>
        <v>72085</v>
      </c>
      <c r="G47" s="11252">
        <v>90000</v>
      </c>
      <c r="H47" s="11252">
        <v>31685</v>
      </c>
      <c r="I47" s="11163">
        <f t="shared" si="3"/>
        <v>0.35205555555555557</v>
      </c>
      <c r="J47" s="11269">
        <v>90000</v>
      </c>
    </row>
    <row r="48" spans="1:10" ht="15" customHeight="1">
      <c r="A48" s="11237"/>
      <c r="B48" s="7287" t="s">
        <v>98</v>
      </c>
      <c r="C48" s="8802">
        <v>50203050</v>
      </c>
      <c r="D48" s="11252">
        <f>'WS-MOOE 2017'!O29</f>
        <v>1220317.7</v>
      </c>
      <c r="E48" s="11252">
        <f>'WS-MOOE ACTUAL JUNE 2018'!L30</f>
        <v>450791.7</v>
      </c>
      <c r="F48" s="11443">
        <f t="shared" si="2"/>
        <v>1124208.3</v>
      </c>
      <c r="G48" s="11252">
        <v>1575000</v>
      </c>
      <c r="H48" s="11252">
        <v>681642.25</v>
      </c>
      <c r="I48" s="11163">
        <f t="shared" si="3"/>
        <v>0.43278873015873015</v>
      </c>
      <c r="J48" s="11269">
        <v>1650000</v>
      </c>
    </row>
    <row r="49" spans="1:10" ht="15" customHeight="1">
      <c r="A49" s="11237"/>
      <c r="B49" s="7287" t="s">
        <v>9122</v>
      </c>
      <c r="C49" s="8802">
        <v>50203070</v>
      </c>
      <c r="D49" s="11252">
        <f>'WS-MOOE 2017'!P29</f>
        <v>4464314.2699999996</v>
      </c>
      <c r="E49" s="11252">
        <f>'WS-MOOE ACTUAL JUNE 2018'!M30</f>
        <v>285161.52</v>
      </c>
      <c r="F49" s="11443">
        <f t="shared" si="2"/>
        <v>7214838.4800000004</v>
      </c>
      <c r="G49" s="11252">
        <v>7500000</v>
      </c>
      <c r="H49" s="11252">
        <v>4231871.8499999996</v>
      </c>
      <c r="I49" s="11163">
        <f t="shared" si="3"/>
        <v>0.56424957999999992</v>
      </c>
      <c r="J49" s="11269">
        <v>7700000</v>
      </c>
    </row>
    <row r="50" spans="1:10" ht="15" customHeight="1">
      <c r="A50" s="11237"/>
      <c r="B50" s="7287" t="s">
        <v>135</v>
      </c>
      <c r="C50" s="8802">
        <v>50203080</v>
      </c>
      <c r="D50" s="11252">
        <f>'WS-MOOE 2017'!Q29</f>
        <v>4084911.35</v>
      </c>
      <c r="E50" s="11252">
        <f>'WS-MOOE ACTUAL JUNE 2018'!N30</f>
        <v>193891.9</v>
      </c>
      <c r="F50" s="11443">
        <f t="shared" si="2"/>
        <v>8306108.0999999996</v>
      </c>
      <c r="G50" s="11252">
        <v>8500000</v>
      </c>
      <c r="H50" s="11252">
        <v>6997250.4800000004</v>
      </c>
      <c r="I50" s="11163">
        <f t="shared" si="3"/>
        <v>0.82320593882352944</v>
      </c>
      <c r="J50" s="11269">
        <v>8150000</v>
      </c>
    </row>
    <row r="51" spans="1:10" ht="15" customHeight="1">
      <c r="A51" s="11237"/>
      <c r="B51" s="7287" t="s">
        <v>44</v>
      </c>
      <c r="C51" s="8802">
        <v>50203090</v>
      </c>
      <c r="D51" s="11252">
        <f>'WS-MOOE 2017'!R29</f>
        <v>169535.34</v>
      </c>
      <c r="E51" s="11252">
        <f>'WS-MOOE ACTUAL JUNE 2018'!O30</f>
        <v>79807.679999999993</v>
      </c>
      <c r="F51" s="11443">
        <f t="shared" si="2"/>
        <v>235192.32000000001</v>
      </c>
      <c r="G51" s="11252">
        <v>315000</v>
      </c>
      <c r="H51" s="11252">
        <v>104977.5</v>
      </c>
      <c r="I51" s="11163">
        <f t="shared" si="3"/>
        <v>0.33326190476190476</v>
      </c>
      <c r="J51" s="11269">
        <v>315000</v>
      </c>
    </row>
    <row r="52" spans="1:10" ht="15" customHeight="1">
      <c r="A52" s="11237"/>
      <c r="B52" s="7287" t="s">
        <v>10974</v>
      </c>
      <c r="C52" s="8802">
        <v>50203990</v>
      </c>
      <c r="D52" s="11252">
        <f>'WS-MOOE 2017'!Y29</f>
        <v>0</v>
      </c>
      <c r="E52" s="11252">
        <f>'WS-MOOE ACTUAL JUNE 2018'!T30</f>
        <v>0</v>
      </c>
      <c r="F52" s="11443">
        <f>G52-E52</f>
        <v>180000</v>
      </c>
      <c r="G52" s="11252">
        <v>180000</v>
      </c>
      <c r="H52" s="11252">
        <v>67500</v>
      </c>
      <c r="I52" s="11163">
        <f>H52/G52</f>
        <v>0.375</v>
      </c>
      <c r="J52" s="11269">
        <v>180000</v>
      </c>
    </row>
    <row r="53" spans="1:10" ht="15" customHeight="1">
      <c r="A53" s="11237"/>
      <c r="B53" s="7287" t="s">
        <v>45</v>
      </c>
      <c r="C53" s="8802">
        <v>50204010</v>
      </c>
      <c r="D53" s="11252">
        <f>'WS-MOOE 2017'!W29</f>
        <v>0</v>
      </c>
      <c r="E53" s="11252">
        <f>'WS-MOOE ACTUAL JUNE 2018'!R30</f>
        <v>0</v>
      </c>
      <c r="F53" s="11443">
        <f t="shared" si="2"/>
        <v>100000</v>
      </c>
      <c r="G53" s="11252">
        <v>100000</v>
      </c>
      <c r="H53" s="11252">
        <v>0</v>
      </c>
      <c r="I53" s="11163">
        <f t="shared" si="3"/>
        <v>0</v>
      </c>
      <c r="J53" s="11269">
        <v>100000</v>
      </c>
    </row>
    <row r="54" spans="1:10" ht="15" customHeight="1">
      <c r="A54" s="11237"/>
      <c r="B54" s="7287" t="s">
        <v>46</v>
      </c>
      <c r="C54" s="8802">
        <v>50204020</v>
      </c>
      <c r="D54" s="11252">
        <f>'WS-MOOE 2017'!X29</f>
        <v>730170.26</v>
      </c>
      <c r="E54" s="11252">
        <f>'WS-MOOE ACTUAL JUNE 2018'!S30</f>
        <v>418680.85</v>
      </c>
      <c r="F54" s="11443">
        <f t="shared" si="2"/>
        <v>431319.15</v>
      </c>
      <c r="G54" s="11252">
        <v>850000</v>
      </c>
      <c r="H54" s="11252">
        <v>571150.07999999996</v>
      </c>
      <c r="I54" s="11163">
        <f t="shared" si="3"/>
        <v>0.67194127058823527</v>
      </c>
      <c r="J54" s="11269">
        <v>890000</v>
      </c>
    </row>
    <row r="55" spans="1:10" ht="15" customHeight="1">
      <c r="A55" s="11237"/>
      <c r="B55" s="7287" t="s">
        <v>62</v>
      </c>
      <c r="C55" s="8802">
        <v>50205010</v>
      </c>
      <c r="D55" s="11252">
        <f>'WS-MOOE 2017'!Z29</f>
        <v>5105</v>
      </c>
      <c r="E55" s="11252">
        <f>'WS-MOOE ACTUAL JUNE 2018'!U30</f>
        <v>3565</v>
      </c>
      <c r="F55" s="11443">
        <f t="shared" si="2"/>
        <v>16435</v>
      </c>
      <c r="G55" s="11252">
        <v>20000</v>
      </c>
      <c r="H55" s="11252">
        <v>4110</v>
      </c>
      <c r="I55" s="11163">
        <f t="shared" si="3"/>
        <v>0.20549999999999999</v>
      </c>
      <c r="J55" s="11269">
        <v>20000</v>
      </c>
    </row>
    <row r="56" spans="1:10" ht="15" customHeight="1">
      <c r="A56" s="11237"/>
      <c r="B56" s="7536" t="s">
        <v>155</v>
      </c>
      <c r="C56" s="10149">
        <v>50205020</v>
      </c>
      <c r="D56" s="11252">
        <f>'WS-MOOE 2017'!AA29+'WS-MOOE 2017'!AC29</f>
        <v>97734.04</v>
      </c>
      <c r="E56" s="11252">
        <f>'WS-MOOE ACTUAL JUNE 2018'!V30</f>
        <v>40839.040000000001</v>
      </c>
      <c r="F56" s="11443">
        <f t="shared" si="2"/>
        <v>59160.959999999999</v>
      </c>
      <c r="G56" s="11252">
        <v>100000</v>
      </c>
      <c r="H56" s="11252">
        <v>56468.42</v>
      </c>
      <c r="I56" s="11163">
        <f t="shared" si="3"/>
        <v>0.56468419999999997</v>
      </c>
      <c r="J56" s="11269">
        <v>100000</v>
      </c>
    </row>
    <row r="57" spans="1:10" ht="15" hidden="1" customHeight="1">
      <c r="A57" s="11237"/>
      <c r="B57" s="11242" t="s">
        <v>108</v>
      </c>
      <c r="C57" s="8872"/>
      <c r="D57" s="11252"/>
      <c r="E57" s="11252"/>
      <c r="F57" s="11443">
        <f t="shared" si="2"/>
        <v>0</v>
      </c>
      <c r="G57" s="11252"/>
      <c r="H57" s="11252"/>
      <c r="I57" s="11163" t="e">
        <f t="shared" si="3"/>
        <v>#DIV/0!</v>
      </c>
      <c r="J57" s="11269"/>
    </row>
    <row r="58" spans="1:10" ht="15" customHeight="1">
      <c r="A58" s="11237"/>
      <c r="B58" s="7488" t="s">
        <v>11230</v>
      </c>
      <c r="C58" s="11258">
        <v>50211990</v>
      </c>
      <c r="D58" s="11252">
        <f>'WS-MOOE 2017'!AL29</f>
        <v>463162.85</v>
      </c>
      <c r="E58" s="11252">
        <f>'WS-MOOE ACTUAL JUNE 2018'!AF30</f>
        <v>1204787.6599999999</v>
      </c>
      <c r="F58" s="11443">
        <f>G58-E58</f>
        <v>2755212.34</v>
      </c>
      <c r="G58" s="11252">
        <v>3960000</v>
      </c>
      <c r="H58" s="11252">
        <v>3730396.69</v>
      </c>
      <c r="I58" s="11163">
        <f>H58/G58</f>
        <v>0.94201936616161619</v>
      </c>
      <c r="J58" s="11269">
        <v>5000000</v>
      </c>
    </row>
    <row r="59" spans="1:10" ht="15" customHeight="1">
      <c r="A59" s="11237"/>
      <c r="B59" s="7352" t="s">
        <v>10956</v>
      </c>
      <c r="C59" s="8872">
        <v>50212990</v>
      </c>
      <c r="D59" s="11252">
        <f>'WS-MOOE 2017'!AO29</f>
        <v>2421112.1</v>
      </c>
      <c r="E59" s="11252">
        <f>'WS-MOOE ACTUAL JUNE 2018'!AJ30</f>
        <v>637726.91</v>
      </c>
      <c r="F59" s="11443">
        <f t="shared" si="2"/>
        <v>862273.09</v>
      </c>
      <c r="G59" s="11252">
        <v>1500000</v>
      </c>
      <c r="H59" s="11252">
        <v>1087195.6399999999</v>
      </c>
      <c r="I59" s="11163">
        <f t="shared" si="3"/>
        <v>0.72479709333333331</v>
      </c>
      <c r="J59" s="11269">
        <v>1600000</v>
      </c>
    </row>
    <row r="60" spans="1:10" ht="15" customHeight="1">
      <c r="A60" s="11237"/>
      <c r="B60" s="11242" t="s">
        <v>311</v>
      </c>
      <c r="C60" s="8872"/>
      <c r="D60" s="11252"/>
      <c r="E60" s="11252"/>
      <c r="F60" s="11252"/>
      <c r="G60" s="11252"/>
      <c r="H60" s="11252"/>
      <c r="I60" s="11163"/>
      <c r="J60" s="11269">
        <v>500000</v>
      </c>
    </row>
    <row r="61" spans="1:10" ht="15" customHeight="1">
      <c r="A61" s="11237"/>
      <c r="B61" s="11242" t="s">
        <v>47</v>
      </c>
      <c r="C61" s="8872">
        <v>50212030</v>
      </c>
      <c r="D61" s="11252">
        <f>'WS-MOOE 2017'!AN29</f>
        <v>0</v>
      </c>
      <c r="E61" s="11252"/>
      <c r="F61" s="11443">
        <f>G61-E61</f>
        <v>0</v>
      </c>
      <c r="G61" s="11252">
        <v>0</v>
      </c>
      <c r="H61" s="11252"/>
      <c r="I61" s="11163"/>
      <c r="J61" s="11269">
        <v>540000</v>
      </c>
    </row>
    <row r="62" spans="1:10" ht="15" customHeight="1">
      <c r="A62" s="11237"/>
      <c r="B62" s="7488" t="s">
        <v>10959</v>
      </c>
      <c r="C62" s="10377">
        <v>50213040</v>
      </c>
      <c r="D62" s="11252">
        <f>'WS-MOOE 2017'!AS29</f>
        <v>65626.77</v>
      </c>
      <c r="E62" s="11252">
        <f>'WS-MOOE ACTUAL JUNE 2018'!AN30</f>
        <v>23608.5</v>
      </c>
      <c r="F62" s="11443">
        <f>G62-E62</f>
        <v>276391.5</v>
      </c>
      <c r="G62" s="11252">
        <v>300000</v>
      </c>
      <c r="H62" s="11252">
        <v>146848</v>
      </c>
      <c r="I62" s="11163">
        <f t="shared" si="3"/>
        <v>0.48949333333333334</v>
      </c>
      <c r="J62" s="11269">
        <v>300000</v>
      </c>
    </row>
    <row r="63" spans="1:10" ht="15" hidden="1" customHeight="1">
      <c r="A63" s="11237"/>
      <c r="B63" s="11242" t="s">
        <v>109</v>
      </c>
      <c r="C63" s="8872"/>
      <c r="D63" s="11252"/>
      <c r="E63" s="11252"/>
      <c r="F63" s="11443">
        <f>G63-E63</f>
        <v>0</v>
      </c>
      <c r="G63" s="11252"/>
      <c r="H63" s="11252"/>
      <c r="I63" s="11163" t="e">
        <f t="shared" si="3"/>
        <v>#DIV/0!</v>
      </c>
      <c r="J63" s="11269"/>
    </row>
    <row r="64" spans="1:10" ht="15" customHeight="1">
      <c r="A64" s="11237"/>
      <c r="B64" s="7488" t="s">
        <v>10938</v>
      </c>
      <c r="C64" s="8872">
        <v>50213050</v>
      </c>
      <c r="D64" s="11252">
        <f>'WS-MOOE 2017'!AW29</f>
        <v>62129</v>
      </c>
      <c r="E64" s="11252">
        <f>'WS-MOOE ACTUAL JUNE 2018'!AS30</f>
        <v>6589</v>
      </c>
      <c r="F64" s="11443">
        <f>G64-E64</f>
        <v>78411</v>
      </c>
      <c r="G64" s="11252">
        <v>85000</v>
      </c>
      <c r="H64" s="11252">
        <v>7751</v>
      </c>
      <c r="I64" s="11163">
        <f t="shared" si="3"/>
        <v>9.1188235294117653E-2</v>
      </c>
      <c r="J64" s="11269">
        <v>85000</v>
      </c>
    </row>
    <row r="65" spans="1:10" ht="15" customHeight="1" thickBot="1">
      <c r="A65" s="11235"/>
      <c r="B65" s="8200" t="s">
        <v>10937</v>
      </c>
      <c r="C65" s="11755">
        <v>50213060</v>
      </c>
      <c r="D65" s="7727">
        <f>'WS-MOOE 2017'!BB29</f>
        <v>88386</v>
      </c>
      <c r="E65" s="7727">
        <f>'WS-MOOE ACTUAL JUNE 2018'!AT30</f>
        <v>10000</v>
      </c>
      <c r="F65" s="11756">
        <f>G65-E65</f>
        <v>290000</v>
      </c>
      <c r="G65" s="7727">
        <v>300000</v>
      </c>
      <c r="H65" s="7727">
        <v>74445</v>
      </c>
      <c r="I65" s="7728">
        <f t="shared" si="3"/>
        <v>0.24815000000000001</v>
      </c>
      <c r="J65" s="11757">
        <v>300000</v>
      </c>
    </row>
    <row r="66" spans="1:10" ht="15" customHeight="1">
      <c r="A66" s="7754"/>
      <c r="B66" s="7754"/>
      <c r="C66" s="8791"/>
      <c r="D66" s="9472"/>
      <c r="E66" s="9473"/>
      <c r="F66" s="9474"/>
      <c r="G66" s="7755"/>
      <c r="H66" s="7756"/>
      <c r="I66" s="7623"/>
      <c r="J66" s="7755"/>
    </row>
    <row r="67" spans="1:10" ht="15" customHeight="1">
      <c r="A67" s="7352"/>
      <c r="B67" s="7352"/>
      <c r="C67" s="8789"/>
      <c r="D67" s="7729"/>
      <c r="E67" s="7729"/>
      <c r="F67" s="7729"/>
      <c r="G67" s="7729"/>
      <c r="H67" s="7729"/>
      <c r="I67" s="7757"/>
      <c r="J67" s="7729"/>
    </row>
    <row r="68" spans="1:10" ht="15" customHeight="1">
      <c r="A68" s="7352"/>
      <c r="B68" s="7352"/>
      <c r="C68" s="8789"/>
      <c r="D68" s="7729"/>
      <c r="E68" s="7729"/>
      <c r="F68" s="7729"/>
      <c r="G68" s="7729"/>
      <c r="H68" s="7729"/>
      <c r="I68" s="7757"/>
      <c r="J68" s="7729"/>
    </row>
    <row r="69" spans="1:10" ht="15" customHeight="1">
      <c r="A69" s="7352"/>
      <c r="B69" s="7352"/>
      <c r="C69" s="8789"/>
      <c r="D69" s="7729"/>
      <c r="E69" s="7729"/>
      <c r="F69" s="7729"/>
      <c r="G69" s="7729"/>
      <c r="H69" s="7729"/>
      <c r="I69" s="7757"/>
      <c r="J69" s="7729"/>
    </row>
    <row r="70" spans="1:10" ht="15" customHeight="1">
      <c r="A70" s="7352"/>
      <c r="B70" s="7352"/>
      <c r="C70" s="8789"/>
      <c r="D70" s="7729"/>
      <c r="E70" s="7729"/>
      <c r="F70" s="7729"/>
      <c r="G70" s="7729"/>
      <c r="H70" s="7729"/>
      <c r="I70" s="7757"/>
      <c r="J70" s="7729"/>
    </row>
    <row r="71" spans="1:10" ht="15" customHeight="1">
      <c r="A71" s="7352"/>
      <c r="B71" s="7352"/>
      <c r="C71" s="8789"/>
      <c r="D71" s="7729"/>
      <c r="E71" s="7729"/>
      <c r="F71" s="7729"/>
      <c r="G71" s="7729"/>
      <c r="H71" s="7729"/>
      <c r="I71" s="7757"/>
      <c r="J71" s="7729"/>
    </row>
    <row r="72" spans="1:10" ht="15" customHeight="1">
      <c r="A72" s="7352"/>
      <c r="B72" s="7352"/>
      <c r="C72" s="8789"/>
      <c r="D72" s="7729"/>
      <c r="E72" s="7729"/>
      <c r="F72" s="7729"/>
      <c r="G72" s="7729"/>
      <c r="H72" s="7729"/>
      <c r="I72" s="7757"/>
      <c r="J72" s="7729"/>
    </row>
    <row r="73" spans="1:10" ht="15" customHeight="1">
      <c r="A73" s="7352"/>
      <c r="B73" s="7352"/>
      <c r="C73" s="8789"/>
      <c r="D73" s="7729"/>
      <c r="E73" s="7729"/>
      <c r="F73" s="7729"/>
      <c r="G73" s="7729"/>
      <c r="H73" s="7729"/>
      <c r="I73" s="7757"/>
      <c r="J73" s="7729"/>
    </row>
    <row r="74" spans="1:10" ht="15" customHeight="1">
      <c r="A74" s="7352"/>
      <c r="B74" s="7352"/>
      <c r="C74" s="8789"/>
      <c r="D74" s="7729"/>
      <c r="E74" s="7729"/>
      <c r="F74" s="7729"/>
      <c r="G74" s="7729"/>
      <c r="H74" s="7729"/>
      <c r="I74" s="7757"/>
      <c r="J74" s="7729"/>
    </row>
    <row r="75" spans="1:10" ht="15" customHeight="1">
      <c r="A75" s="7352"/>
      <c r="B75" s="7352"/>
      <c r="C75" s="8789"/>
      <c r="D75" s="7729"/>
      <c r="E75" s="7729"/>
      <c r="F75" s="7729"/>
      <c r="G75" s="7729"/>
      <c r="H75" s="7729"/>
      <c r="I75" s="7757"/>
      <c r="J75" s="7729"/>
    </row>
    <row r="76" spans="1:10" ht="15" customHeight="1">
      <c r="A76" s="7352"/>
      <c r="B76" s="7352"/>
      <c r="C76" s="8789"/>
      <c r="D76" s="7729"/>
      <c r="E76" s="7729"/>
      <c r="F76" s="7729"/>
      <c r="G76" s="7729"/>
      <c r="H76" s="7729"/>
      <c r="I76" s="7757"/>
      <c r="J76" s="7729"/>
    </row>
    <row r="77" spans="1:10" ht="15" customHeight="1" thickBot="1">
      <c r="A77" s="7352" t="s">
        <v>10739</v>
      </c>
      <c r="B77" s="7352"/>
      <c r="C77" s="8792"/>
      <c r="D77" s="7729"/>
      <c r="E77" s="7729"/>
      <c r="F77" s="7729"/>
      <c r="G77" s="7729"/>
      <c r="H77" s="7729"/>
      <c r="I77" s="7757"/>
      <c r="J77" s="7729"/>
    </row>
    <row r="78" spans="1:10" ht="15" customHeight="1">
      <c r="A78" s="11433"/>
      <c r="B78" s="11749"/>
      <c r="C78" s="11750" t="s">
        <v>103</v>
      </c>
      <c r="D78" s="9461" t="s">
        <v>10</v>
      </c>
      <c r="E78" s="14188" t="s">
        <v>10711</v>
      </c>
      <c r="F78" s="14189"/>
      <c r="G78" s="14190"/>
      <c r="H78" s="9461"/>
      <c r="I78" s="9462"/>
      <c r="J78" s="11437" t="s">
        <v>12</v>
      </c>
    </row>
    <row r="79" spans="1:10" ht="15" customHeight="1">
      <c r="A79" s="11237"/>
      <c r="B79" s="11239" t="s">
        <v>13</v>
      </c>
      <c r="C79" s="11536" t="s">
        <v>94</v>
      </c>
      <c r="D79" s="11438" t="s">
        <v>15</v>
      </c>
      <c r="E79" s="9502" t="s">
        <v>10709</v>
      </c>
      <c r="F79" s="9503" t="s">
        <v>10710</v>
      </c>
      <c r="G79" s="14191" t="s">
        <v>458</v>
      </c>
      <c r="H79" s="11438"/>
      <c r="I79" s="11108"/>
      <c r="J79" s="11439" t="s">
        <v>16</v>
      </c>
    </row>
    <row r="80" spans="1:10" ht="15" customHeight="1" thickBot="1">
      <c r="A80" s="11235"/>
      <c r="B80" s="7975"/>
      <c r="C80" s="11751"/>
      <c r="D80" s="7302">
        <v>2017</v>
      </c>
      <c r="E80" s="9467" t="s">
        <v>457</v>
      </c>
      <c r="F80" s="11661" t="s">
        <v>456</v>
      </c>
      <c r="G80" s="14192"/>
      <c r="H80" s="7302"/>
      <c r="I80" s="7322"/>
      <c r="J80" s="11442">
        <v>2019</v>
      </c>
    </row>
    <row r="81" spans="1:12" ht="15" customHeight="1">
      <c r="A81" s="11237"/>
      <c r="B81" s="11242"/>
      <c r="C81" s="11536"/>
      <c r="D81" s="11438"/>
      <c r="E81" s="11438"/>
      <c r="F81" s="11438"/>
      <c r="G81" s="11252"/>
      <c r="H81" s="11252"/>
      <c r="I81" s="11163"/>
      <c r="J81" s="11269"/>
    </row>
    <row r="82" spans="1:12" ht="15" customHeight="1">
      <c r="A82" s="11237"/>
      <c r="B82" s="7287" t="s">
        <v>110</v>
      </c>
      <c r="C82" s="8802">
        <v>50216010</v>
      </c>
      <c r="D82" s="11252">
        <f>'WS-MOOE 2017'!BG29</f>
        <v>24136</v>
      </c>
      <c r="E82" s="11252">
        <f>'WS-MOOE ACTUAL JUNE 2018'!AY30</f>
        <v>12600</v>
      </c>
      <c r="F82" s="11443">
        <f>G82-E82</f>
        <v>0</v>
      </c>
      <c r="G82" s="11252">
        <v>12600</v>
      </c>
      <c r="H82" s="11252">
        <v>12600</v>
      </c>
      <c r="I82" s="11163">
        <f>H82/G82</f>
        <v>1</v>
      </c>
      <c r="J82" s="11269">
        <v>14000</v>
      </c>
    </row>
    <row r="83" spans="1:12" ht="15" customHeight="1">
      <c r="A83" s="11237"/>
      <c r="B83" s="7287" t="s">
        <v>72</v>
      </c>
      <c r="C83" s="8802">
        <v>50215020</v>
      </c>
      <c r="D83" s="11252">
        <f>'WS-MOOE 2017'!BH29</f>
        <v>11850</v>
      </c>
      <c r="E83" s="11252">
        <f>'WS-MOOE ACTUAL JUNE 2018'!AZ30</f>
        <v>9900</v>
      </c>
      <c r="F83" s="11443">
        <f>G83-E83</f>
        <v>10100</v>
      </c>
      <c r="G83" s="8869">
        <v>20000</v>
      </c>
      <c r="H83" s="8869">
        <v>9900</v>
      </c>
      <c r="I83" s="8799">
        <f>H83/G83</f>
        <v>0.495</v>
      </c>
      <c r="J83" s="11463">
        <v>20000</v>
      </c>
    </row>
    <row r="84" spans="1:12" ht="15" customHeight="1">
      <c r="A84" s="11237"/>
      <c r="B84" s="7287" t="s">
        <v>73</v>
      </c>
      <c r="C84" s="8802">
        <v>50299990</v>
      </c>
      <c r="D84" s="11252">
        <f>'WS-MOOE 2017'!BO29</f>
        <v>370504.97</v>
      </c>
      <c r="E84" s="11252">
        <f>'WS-MOOE ACTUAL JUNE 2018'!BI30</f>
        <v>91851.5</v>
      </c>
      <c r="F84" s="11443">
        <f>G84-E84</f>
        <v>208148.5</v>
      </c>
      <c r="G84" s="8869">
        <v>300000</v>
      </c>
      <c r="H84" s="8869">
        <v>239485.5</v>
      </c>
      <c r="I84" s="8799">
        <f>H84/G84</f>
        <v>0.79828500000000002</v>
      </c>
      <c r="J84" s="11463">
        <v>300000</v>
      </c>
    </row>
    <row r="85" spans="1:12" ht="15" customHeight="1">
      <c r="A85" s="11237"/>
      <c r="B85" s="11242" t="s">
        <v>4735</v>
      </c>
      <c r="C85" s="8872"/>
      <c r="D85" s="11525"/>
      <c r="E85" s="11525"/>
      <c r="F85" s="11525"/>
      <c r="G85" s="10486"/>
      <c r="H85" s="10486"/>
      <c r="I85" s="7373"/>
      <c r="J85" s="11448"/>
    </row>
    <row r="86" spans="1:12" ht="15" customHeight="1" thickBot="1">
      <c r="A86" s="11237"/>
      <c r="B86" s="11758" t="s">
        <v>37</v>
      </c>
      <c r="C86" s="8872"/>
      <c r="D86" s="7736">
        <f>SUM(D44:D65,D82:D85)</f>
        <v>15189768.989999998</v>
      </c>
      <c r="E86" s="7736">
        <f>SUM(E44:E65,E82:E85)</f>
        <v>3599937.26</v>
      </c>
      <c r="F86" s="7736">
        <f>SUM(F44:F65,F82:F85)</f>
        <v>23207662.740000002</v>
      </c>
      <c r="G86" s="7736">
        <f>SUM(G44:G65,G82:G85)</f>
        <v>26807600</v>
      </c>
      <c r="H86" s="7736">
        <f>SUM(H43:H85)</f>
        <v>18750766.41</v>
      </c>
      <c r="I86" s="7737">
        <f>H86/G86</f>
        <v>0.6994571095510228</v>
      </c>
      <c r="J86" s="11759">
        <f>SUM(J44:J65,J82:J85)</f>
        <v>28982000</v>
      </c>
      <c r="K86" s="10391">
        <f>(J86-G86)/G86</f>
        <v>8.1111326638714398E-2</v>
      </c>
    </row>
    <row r="87" spans="1:12" ht="15" customHeight="1">
      <c r="A87" s="11237"/>
      <c r="B87" s="11758"/>
      <c r="C87" s="8872"/>
      <c r="D87" s="8873"/>
      <c r="E87" s="8873"/>
      <c r="F87" s="8873"/>
      <c r="G87" s="8873"/>
      <c r="H87" s="8873"/>
      <c r="I87" s="8874"/>
      <c r="J87" s="11460"/>
    </row>
    <row r="88" spans="1:12" ht="15" customHeight="1">
      <c r="A88" s="11241" t="s">
        <v>51</v>
      </c>
      <c r="B88" s="11242" t="s">
        <v>112</v>
      </c>
      <c r="C88" s="8872"/>
      <c r="D88" s="10143"/>
      <c r="E88" s="10143"/>
      <c r="F88" s="10143"/>
      <c r="G88" s="8869"/>
      <c r="H88" s="8869"/>
      <c r="I88" s="8799"/>
      <c r="J88" s="11463"/>
    </row>
    <row r="89" spans="1:12" ht="15" customHeight="1">
      <c r="A89" s="11241"/>
      <c r="B89" s="7355"/>
      <c r="C89" s="10368"/>
      <c r="D89" s="8871"/>
      <c r="E89" s="8871"/>
      <c r="F89" s="11266"/>
      <c r="G89" s="8882"/>
      <c r="H89" s="8871"/>
      <c r="I89" s="9413"/>
      <c r="J89" s="11251"/>
    </row>
    <row r="90" spans="1:12" ht="15" customHeight="1">
      <c r="A90" s="11241"/>
      <c r="B90" s="7287" t="s">
        <v>3344</v>
      </c>
      <c r="C90" s="8802">
        <v>50705020</v>
      </c>
      <c r="D90" s="8871">
        <f>'WS-CO 2017'!F28</f>
        <v>336550</v>
      </c>
      <c r="E90" s="8871">
        <v>0</v>
      </c>
      <c r="F90" s="11443">
        <f>G90-E90</f>
        <v>700000</v>
      </c>
      <c r="G90" s="8871">
        <v>700000</v>
      </c>
      <c r="H90" s="8882">
        <v>438600</v>
      </c>
      <c r="I90" s="8799">
        <f>H90/G90</f>
        <v>0.62657142857142856</v>
      </c>
      <c r="J90" s="11760">
        <v>0</v>
      </c>
    </row>
    <row r="91" spans="1:12" ht="15" customHeight="1">
      <c r="A91" s="11241"/>
      <c r="B91" s="7287" t="s">
        <v>11928</v>
      </c>
      <c r="C91" s="8802"/>
      <c r="D91" s="8871"/>
      <c r="E91" s="8871"/>
      <c r="F91" s="11443"/>
      <c r="G91" s="8871"/>
      <c r="H91" s="8882"/>
      <c r="I91" s="8799"/>
      <c r="J91" s="11760">
        <v>145000</v>
      </c>
      <c r="K91" s="10573">
        <f>SUM(K92:K93)</f>
        <v>145000</v>
      </c>
    </row>
    <row r="92" spans="1:12" ht="15" hidden="1" customHeight="1">
      <c r="A92" s="11241"/>
      <c r="B92" s="7287" t="s">
        <v>11934</v>
      </c>
      <c r="C92" s="8802"/>
      <c r="D92" s="8871"/>
      <c r="E92" s="8871"/>
      <c r="F92" s="11443"/>
      <c r="G92" s="8871"/>
      <c r="H92" s="8882"/>
      <c r="I92" s="8799"/>
      <c r="J92" s="11760"/>
      <c r="K92" s="7310">
        <v>100000</v>
      </c>
      <c r="L92" s="7621" t="s">
        <v>11981</v>
      </c>
    </row>
    <row r="93" spans="1:12" ht="15" hidden="1" customHeight="1">
      <c r="A93" s="11241"/>
      <c r="B93" s="7287"/>
      <c r="C93" s="8802"/>
      <c r="D93" s="8871"/>
      <c r="E93" s="8871"/>
      <c r="F93" s="11443"/>
      <c r="G93" s="8871"/>
      <c r="H93" s="8882"/>
      <c r="I93" s="8799"/>
      <c r="J93" s="11760"/>
      <c r="K93" s="7310">
        <v>45000</v>
      </c>
      <c r="L93" s="7621" t="s">
        <v>11982</v>
      </c>
    </row>
    <row r="94" spans="1:12" ht="15" hidden="1" customHeight="1">
      <c r="A94" s="11241"/>
      <c r="B94" s="7287" t="s">
        <v>11594</v>
      </c>
      <c r="C94" s="8802">
        <v>50705110</v>
      </c>
      <c r="D94" s="10143"/>
      <c r="E94" s="10143"/>
      <c r="F94" s="11443"/>
      <c r="G94" s="8869"/>
      <c r="H94" s="8869"/>
      <c r="I94" s="8799"/>
      <c r="J94" s="11463"/>
      <c r="K94" s="10573">
        <f>SUM(K95:K98)</f>
        <v>3102000</v>
      </c>
    </row>
    <row r="95" spans="1:12" ht="15" hidden="1" customHeight="1">
      <c r="A95" s="11241"/>
      <c r="B95" s="7287"/>
      <c r="C95" s="8802"/>
      <c r="D95" s="10143"/>
      <c r="E95" s="10143"/>
      <c r="F95" s="11443"/>
      <c r="G95" s="8869"/>
      <c r="H95" s="8869"/>
      <c r="I95" s="8799"/>
      <c r="J95" s="11463"/>
      <c r="K95" s="7310">
        <v>2000000</v>
      </c>
      <c r="L95" s="7621" t="s">
        <v>11971</v>
      </c>
    </row>
    <row r="96" spans="1:12" ht="15" hidden="1" customHeight="1">
      <c r="A96" s="11241"/>
      <c r="B96" s="7287"/>
      <c r="C96" s="8802"/>
      <c r="D96" s="10143"/>
      <c r="E96" s="10143"/>
      <c r="F96" s="11443"/>
      <c r="G96" s="8869"/>
      <c r="H96" s="8869"/>
      <c r="I96" s="8799"/>
      <c r="J96" s="11463"/>
      <c r="K96" s="7310">
        <v>69000</v>
      </c>
      <c r="L96" s="7621" t="s">
        <v>11972</v>
      </c>
    </row>
    <row r="97" spans="1:12" ht="15" hidden="1" customHeight="1">
      <c r="A97" s="11241"/>
      <c r="B97" s="7287"/>
      <c r="C97" s="8802"/>
      <c r="D97" s="10143"/>
      <c r="E97" s="10143"/>
      <c r="F97" s="11443"/>
      <c r="G97" s="8869"/>
      <c r="H97" s="8869"/>
      <c r="I97" s="8799"/>
      <c r="J97" s="11463"/>
      <c r="K97" s="7310">
        <v>33000</v>
      </c>
      <c r="L97" s="7621" t="s">
        <v>11973</v>
      </c>
    </row>
    <row r="98" spans="1:12" ht="15" hidden="1" customHeight="1">
      <c r="A98" s="11241"/>
      <c r="B98" s="7287"/>
      <c r="C98" s="8802"/>
      <c r="D98" s="10143"/>
      <c r="E98" s="10143"/>
      <c r="F98" s="11443"/>
      <c r="G98" s="8869"/>
      <c r="H98" s="8869"/>
      <c r="I98" s="8799"/>
      <c r="J98" s="11463"/>
      <c r="K98" s="7310">
        <v>1000000</v>
      </c>
      <c r="L98" s="7621" t="s">
        <v>11974</v>
      </c>
    </row>
    <row r="99" spans="1:12" ht="15" customHeight="1">
      <c r="A99" s="11241"/>
      <c r="B99" s="7287" t="s">
        <v>9987</v>
      </c>
      <c r="C99" s="8802">
        <v>50707010</v>
      </c>
      <c r="D99" s="10143">
        <f>'WS-CO 2017'!K28</f>
        <v>0</v>
      </c>
      <c r="E99" s="10143"/>
      <c r="F99" s="11443">
        <f>G99-E99</f>
        <v>300000</v>
      </c>
      <c r="G99" s="8869">
        <v>300000</v>
      </c>
      <c r="H99" s="8882">
        <v>257000</v>
      </c>
      <c r="I99" s="8799">
        <f>H99/G99</f>
        <v>0.85666666666666669</v>
      </c>
      <c r="J99" s="11463">
        <f>70000+80000+30000+13000</f>
        <v>193000</v>
      </c>
      <c r="K99" s="10573">
        <f>SUM(K100:K103)</f>
        <v>193000</v>
      </c>
    </row>
    <row r="100" spans="1:12" ht="15" hidden="1" customHeight="1">
      <c r="A100" s="11241"/>
      <c r="B100" s="7287" t="s">
        <v>11935</v>
      </c>
      <c r="C100" s="8802"/>
      <c r="D100" s="10143"/>
      <c r="E100" s="10143"/>
      <c r="F100" s="11443"/>
      <c r="G100" s="8869"/>
      <c r="H100" s="8882"/>
      <c r="I100" s="8799"/>
      <c r="J100" s="11463"/>
      <c r="K100" s="7310">
        <v>70000</v>
      </c>
      <c r="L100" s="7621" t="s">
        <v>11983</v>
      </c>
    </row>
    <row r="101" spans="1:12" ht="15" hidden="1" customHeight="1">
      <c r="A101" s="11241"/>
      <c r="B101" s="7287"/>
      <c r="C101" s="8802"/>
      <c r="D101" s="10143"/>
      <c r="E101" s="10143"/>
      <c r="F101" s="11443"/>
      <c r="G101" s="8869"/>
      <c r="H101" s="8882"/>
      <c r="I101" s="8799"/>
      <c r="J101" s="11463"/>
      <c r="K101" s="7310">
        <v>80000</v>
      </c>
      <c r="L101" s="7621" t="s">
        <v>11984</v>
      </c>
    </row>
    <row r="102" spans="1:12" ht="15" hidden="1" customHeight="1">
      <c r="A102" s="11241"/>
      <c r="B102" s="7287"/>
      <c r="C102" s="8802"/>
      <c r="D102" s="10143"/>
      <c r="E102" s="10143"/>
      <c r="F102" s="11443"/>
      <c r="G102" s="8869"/>
      <c r="H102" s="8882"/>
      <c r="I102" s="8799"/>
      <c r="J102" s="11463"/>
      <c r="K102" s="7310">
        <v>30000</v>
      </c>
      <c r="L102" s="7621" t="s">
        <v>11985</v>
      </c>
    </row>
    <row r="103" spans="1:12" ht="15" hidden="1" customHeight="1">
      <c r="A103" s="11241"/>
      <c r="B103" s="7287"/>
      <c r="C103" s="8802"/>
      <c r="D103" s="10143"/>
      <c r="E103" s="10143"/>
      <c r="F103" s="11443"/>
      <c r="G103" s="8869"/>
      <c r="H103" s="8882"/>
      <c r="I103" s="8799"/>
      <c r="J103" s="11463"/>
      <c r="K103" s="7310">
        <v>13000</v>
      </c>
      <c r="L103" s="7621" t="s">
        <v>11986</v>
      </c>
    </row>
    <row r="104" spans="1:12" ht="15" customHeight="1">
      <c r="A104" s="11241"/>
      <c r="B104" s="11244" t="s">
        <v>11933</v>
      </c>
      <c r="C104" s="10368"/>
      <c r="D104" s="8871"/>
      <c r="E104" s="8871"/>
      <c r="F104" s="8871"/>
      <c r="G104" s="8871"/>
      <c r="H104" s="8871"/>
      <c r="I104" s="9413"/>
      <c r="J104" s="11760">
        <v>233500</v>
      </c>
      <c r="K104" s="10573">
        <f>SUM(K105:K112)</f>
        <v>233500</v>
      </c>
    </row>
    <row r="105" spans="1:12" ht="15" hidden="1" customHeight="1">
      <c r="A105" s="11241"/>
      <c r="B105" s="11244" t="s">
        <v>11936</v>
      </c>
      <c r="C105" s="10368"/>
      <c r="D105" s="8871"/>
      <c r="E105" s="8871"/>
      <c r="F105" s="8871"/>
      <c r="G105" s="8871"/>
      <c r="H105" s="8871"/>
      <c r="I105" s="9413"/>
      <c r="J105" s="11760"/>
      <c r="K105" s="7310"/>
      <c r="L105" s="7621" t="s">
        <v>11975</v>
      </c>
    </row>
    <row r="106" spans="1:12" ht="15" hidden="1" customHeight="1">
      <c r="A106" s="11241"/>
      <c r="B106" s="11244"/>
      <c r="C106" s="10368"/>
      <c r="D106" s="8871"/>
      <c r="E106" s="8871"/>
      <c r="F106" s="8871"/>
      <c r="G106" s="8871"/>
      <c r="H106" s="8871"/>
      <c r="I106" s="9413"/>
      <c r="J106" s="11760"/>
      <c r="K106" s="7310"/>
      <c r="L106" s="7621" t="s">
        <v>11976</v>
      </c>
    </row>
    <row r="107" spans="1:12" ht="15" hidden="1" customHeight="1">
      <c r="A107" s="11241"/>
      <c r="B107" s="11244"/>
      <c r="C107" s="10368"/>
      <c r="D107" s="8871"/>
      <c r="E107" s="8871"/>
      <c r="F107" s="8871"/>
      <c r="G107" s="8871"/>
      <c r="H107" s="8871"/>
      <c r="I107" s="9413"/>
      <c r="J107" s="11760"/>
      <c r="K107" s="7310">
        <v>75000</v>
      </c>
      <c r="L107" s="7621" t="s">
        <v>11977</v>
      </c>
    </row>
    <row r="108" spans="1:12" ht="15" hidden="1" customHeight="1">
      <c r="A108" s="11241"/>
      <c r="B108" s="11244"/>
      <c r="C108" s="10368"/>
      <c r="D108" s="8871"/>
      <c r="E108" s="8871"/>
      <c r="F108" s="8871"/>
      <c r="G108" s="8871"/>
      <c r="H108" s="8871"/>
      <c r="I108" s="9413"/>
      <c r="J108" s="11760"/>
      <c r="K108" s="7310">
        <v>25000</v>
      </c>
      <c r="L108" s="7621" t="s">
        <v>11978</v>
      </c>
    </row>
    <row r="109" spans="1:12" ht="15" hidden="1" customHeight="1">
      <c r="A109" s="11241"/>
      <c r="B109" s="11244"/>
      <c r="C109" s="10368"/>
      <c r="D109" s="8871"/>
      <c r="E109" s="8871"/>
      <c r="F109" s="8871"/>
      <c r="G109" s="8871"/>
      <c r="H109" s="8871"/>
      <c r="I109" s="9413"/>
      <c r="J109" s="11760"/>
      <c r="K109" s="7310">
        <v>25000</v>
      </c>
      <c r="L109" s="7621" t="s">
        <v>11979</v>
      </c>
    </row>
    <row r="110" spans="1:12" ht="15" hidden="1" customHeight="1">
      <c r="A110" s="11241"/>
      <c r="B110" s="11244"/>
      <c r="C110" s="10368"/>
      <c r="D110" s="8871"/>
      <c r="E110" s="8871"/>
      <c r="F110" s="8871"/>
      <c r="G110" s="8871"/>
      <c r="H110" s="8871"/>
      <c r="I110" s="9413"/>
      <c r="J110" s="11760"/>
      <c r="K110" s="7310">
        <v>75000</v>
      </c>
      <c r="L110" s="7621" t="s">
        <v>11980</v>
      </c>
    </row>
    <row r="111" spans="1:12" ht="15" hidden="1" customHeight="1">
      <c r="A111" s="11241"/>
      <c r="B111" s="11244"/>
      <c r="C111" s="10368"/>
      <c r="D111" s="8871"/>
      <c r="E111" s="8871"/>
      <c r="F111" s="8871"/>
      <c r="G111" s="8871"/>
      <c r="H111" s="8871"/>
      <c r="I111" s="9413"/>
      <c r="J111" s="11760"/>
      <c r="K111" s="7310">
        <v>16000</v>
      </c>
      <c r="L111" s="7621" t="s">
        <v>11997</v>
      </c>
    </row>
    <row r="112" spans="1:12" ht="15" hidden="1" customHeight="1">
      <c r="A112" s="11241"/>
      <c r="B112" s="11244"/>
      <c r="C112" s="10368"/>
      <c r="D112" s="8871"/>
      <c r="E112" s="8871"/>
      <c r="F112" s="8871"/>
      <c r="G112" s="8871"/>
      <c r="H112" s="8871"/>
      <c r="I112" s="9413"/>
      <c r="J112" s="11760"/>
      <c r="K112" s="7310">
        <v>17500</v>
      </c>
      <c r="L112" s="7621" t="s">
        <v>11996</v>
      </c>
    </row>
    <row r="113" spans="1:12" ht="15" customHeight="1">
      <c r="A113" s="11237"/>
      <c r="B113" s="11758" t="s">
        <v>37</v>
      </c>
      <c r="C113" s="8872"/>
      <c r="D113" s="9538">
        <f>SUM(D89:D99)</f>
        <v>336550</v>
      </c>
      <c r="E113" s="9538">
        <f>SUM(E89:E99)</f>
        <v>0</v>
      </c>
      <c r="F113" s="9538">
        <f>SUM(F89:F99)</f>
        <v>1000000</v>
      </c>
      <c r="G113" s="9538">
        <f>SUM(G88:G104)</f>
        <v>1000000</v>
      </c>
      <c r="H113" s="9538">
        <f>SUM(H88:H104)</f>
        <v>695600</v>
      </c>
      <c r="I113" s="8799">
        <f>H113/G113</f>
        <v>0.6956</v>
      </c>
      <c r="J113" s="11761">
        <f>SUM(J88:J112)</f>
        <v>571500</v>
      </c>
      <c r="K113" s="10391">
        <f>(J113-G113)/G113</f>
        <v>-0.42849999999999999</v>
      </c>
    </row>
    <row r="114" spans="1:12" ht="15" customHeight="1">
      <c r="A114" s="11237"/>
      <c r="B114" s="11758"/>
      <c r="C114" s="8872"/>
      <c r="D114" s="10143"/>
      <c r="E114" s="10143"/>
      <c r="F114" s="10143"/>
      <c r="G114" s="8873"/>
      <c r="H114" s="8873"/>
      <c r="I114" s="8874"/>
      <c r="J114" s="11460"/>
    </row>
    <row r="115" spans="1:12" s="7732" customFormat="1" ht="15" customHeight="1">
      <c r="A115" s="11472" t="s">
        <v>53</v>
      </c>
      <c r="B115" s="11628" t="s">
        <v>54</v>
      </c>
      <c r="C115" s="11762"/>
      <c r="D115" s="11763"/>
      <c r="E115" s="11763"/>
      <c r="F115" s="11763"/>
      <c r="G115" s="10560"/>
      <c r="H115" s="10560"/>
      <c r="I115" s="10110"/>
      <c r="J115" s="11633"/>
      <c r="K115" s="10033"/>
      <c r="L115" s="10125"/>
    </row>
    <row r="116" spans="1:12" s="7732" customFormat="1" ht="15" customHeight="1">
      <c r="A116" s="11472"/>
      <c r="B116" s="11628"/>
      <c r="C116" s="11762"/>
      <c r="D116" s="11764"/>
      <c r="E116" s="11764"/>
      <c r="F116" s="11764"/>
      <c r="G116" s="10560"/>
      <c r="H116" s="11474"/>
      <c r="I116" s="11061"/>
      <c r="J116" s="11633"/>
      <c r="K116" s="10033"/>
      <c r="L116" s="10125"/>
    </row>
    <row r="117" spans="1:12" s="7374" customFormat="1" ht="15" customHeight="1">
      <c r="A117" s="11288"/>
      <c r="B117" s="11758" t="s">
        <v>4685</v>
      </c>
      <c r="C117" s="11536"/>
      <c r="D117" s="11765">
        <v>0</v>
      </c>
      <c r="E117" s="11765">
        <v>0</v>
      </c>
      <c r="F117" s="11765">
        <v>0</v>
      </c>
      <c r="G117" s="9538">
        <v>0</v>
      </c>
      <c r="H117" s="11281"/>
      <c r="I117" s="11206"/>
      <c r="J117" s="11761"/>
      <c r="L117" s="7839"/>
    </row>
    <row r="118" spans="1:12" s="7374" customFormat="1" ht="15" customHeight="1">
      <c r="A118" s="11292"/>
      <c r="B118" s="11766"/>
      <c r="C118" s="11767"/>
      <c r="D118" s="11765"/>
      <c r="E118" s="11765"/>
      <c r="F118" s="11765"/>
      <c r="G118" s="11281"/>
      <c r="H118" s="11281"/>
      <c r="I118" s="11206"/>
      <c r="J118" s="11282"/>
      <c r="L118" s="7839"/>
    </row>
    <row r="119" spans="1:12" ht="15" customHeight="1" thickBot="1">
      <c r="A119" s="11235"/>
      <c r="B119" s="7734" t="s">
        <v>55</v>
      </c>
      <c r="C119" s="11754"/>
      <c r="D119" s="11457">
        <f>(D31+D86+D113+D117)</f>
        <v>41126918.789999992</v>
      </c>
      <c r="E119" s="11457">
        <f>(E31+E86+E113+E117)</f>
        <v>16151616.619999999</v>
      </c>
      <c r="F119" s="11457">
        <f>(F31+F86+F113+F117)</f>
        <v>45332743.880000003</v>
      </c>
      <c r="G119" s="11457">
        <f>(G31+G86+G113+G117)</f>
        <v>61484360.5</v>
      </c>
      <c r="H119" s="11457"/>
      <c r="I119" s="11176"/>
      <c r="J119" s="11458">
        <f>(J31+J86+J113+J117)</f>
        <v>65115830.060000002</v>
      </c>
      <c r="K119" s="10391">
        <f>(J119-G119)/G119</f>
        <v>5.9063305375031142E-2</v>
      </c>
    </row>
    <row r="120" spans="1:12" s="7333" customFormat="1" ht="15" customHeight="1">
      <c r="A120" s="7738" t="s">
        <v>4763</v>
      </c>
      <c r="B120" s="7738"/>
      <c r="C120" s="9346"/>
      <c r="D120" s="7740"/>
      <c r="E120" s="7740"/>
      <c r="F120" s="7740"/>
      <c r="G120" s="7741"/>
      <c r="H120" s="7740"/>
      <c r="I120" s="7742"/>
      <c r="J120" s="7741"/>
      <c r="K120" s="7748"/>
      <c r="L120" s="7842"/>
    </row>
    <row r="121" spans="1:12" ht="15" customHeight="1">
      <c r="A121" s="7335"/>
      <c r="B121" s="7335"/>
      <c r="C121" s="8785"/>
      <c r="D121" s="7336"/>
      <c r="E121" s="7336"/>
      <c r="F121" s="8865"/>
      <c r="G121" s="7334"/>
      <c r="H121" s="7336"/>
      <c r="I121" s="7286"/>
      <c r="J121" s="7899" t="s">
        <v>9</v>
      </c>
    </row>
    <row r="122" spans="1:12" ht="15" hidden="1" customHeight="1">
      <c r="A122" s="7761" t="s">
        <v>3483</v>
      </c>
      <c r="B122" s="7761"/>
      <c r="C122" s="10870" t="s">
        <v>3484</v>
      </c>
      <c r="D122" s="7351"/>
      <c r="E122" s="7762"/>
      <c r="F122" s="9459" t="s">
        <v>10666</v>
      </c>
      <c r="G122" s="7351"/>
      <c r="H122" s="7763"/>
      <c r="I122" s="7286"/>
      <c r="J122" s="7762"/>
    </row>
    <row r="123" spans="1:12" s="7374" customFormat="1" ht="15" hidden="1" customHeight="1">
      <c r="A123" s="7761"/>
      <c r="B123" s="7761"/>
      <c r="C123" s="8794"/>
      <c r="D123" s="10870"/>
      <c r="E123" s="7764"/>
      <c r="F123" s="7764"/>
      <c r="G123" s="7339"/>
      <c r="H123" s="7763"/>
      <c r="I123" s="7286"/>
      <c r="J123" s="7764"/>
      <c r="L123" s="7839"/>
    </row>
    <row r="124" spans="1:12" ht="15" hidden="1" customHeight="1">
      <c r="A124" s="7761"/>
      <c r="B124" s="7761"/>
      <c r="C124" s="8793"/>
      <c r="D124" s="10870"/>
      <c r="E124" s="7762"/>
      <c r="F124" s="7762"/>
      <c r="G124" s="7339"/>
      <c r="H124" s="7763"/>
      <c r="I124" s="7286"/>
      <c r="J124" s="7762"/>
    </row>
    <row r="125" spans="1:12" ht="15" hidden="1" customHeight="1">
      <c r="A125" s="7765"/>
      <c r="B125" s="10874" t="s">
        <v>9166</v>
      </c>
      <c r="C125" s="8793"/>
      <c r="D125" s="10872" t="s">
        <v>12059</v>
      </c>
      <c r="E125" s="7762"/>
      <c r="F125" s="7762"/>
      <c r="G125" s="7342" t="s">
        <v>10667</v>
      </c>
      <c r="H125" s="7766"/>
      <c r="I125" s="7284"/>
      <c r="J125" s="7762"/>
    </row>
    <row r="126" spans="1:12" ht="15" hidden="1" customHeight="1">
      <c r="A126" s="7767" t="s">
        <v>9165</v>
      </c>
      <c r="B126" s="10883" t="s">
        <v>10114</v>
      </c>
      <c r="C126" s="8793"/>
      <c r="D126" s="10869" t="s">
        <v>3486</v>
      </c>
      <c r="E126" s="7762"/>
      <c r="F126" s="7762"/>
      <c r="G126" s="7344" t="s">
        <v>10668</v>
      </c>
      <c r="H126" s="7763"/>
      <c r="I126" s="7763"/>
      <c r="J126" s="7763"/>
    </row>
    <row r="127" spans="1:12" ht="15" customHeight="1">
      <c r="A127" s="7335"/>
      <c r="B127" s="7335"/>
      <c r="C127" s="8785"/>
      <c r="D127" s="7336"/>
      <c r="E127" s="9475"/>
      <c r="F127" s="9475"/>
      <c r="G127" s="7336"/>
      <c r="H127" s="7336">
        <f>J119-G119</f>
        <v>3631469.5600000024</v>
      </c>
      <c r="I127" s="7286">
        <f>H127/G119</f>
        <v>5.9063305375031142E-2</v>
      </c>
      <c r="J127" s="7336"/>
    </row>
    <row r="128" spans="1:12" ht="15" customHeight="1">
      <c r="A128" s="7335"/>
      <c r="B128" s="7335"/>
      <c r="C128" s="8785"/>
      <c r="D128" s="7336"/>
      <c r="E128" s="9475"/>
      <c r="F128" s="9475"/>
      <c r="G128" s="7336"/>
      <c r="H128" s="7336"/>
      <c r="I128" s="7286"/>
      <c r="J128" s="7336"/>
    </row>
    <row r="129" spans="1:10" ht="15" hidden="1" customHeight="1">
      <c r="A129" s="7335"/>
      <c r="B129" s="7335"/>
      <c r="C129" s="8785"/>
      <c r="D129" s="7336"/>
      <c r="E129" s="9475" t="s">
        <v>11069</v>
      </c>
      <c r="F129" s="9475">
        <v>44040530</v>
      </c>
      <c r="G129" s="7336"/>
      <c r="H129" s="7336"/>
      <c r="I129" s="7286"/>
      <c r="J129" s="7336"/>
    </row>
    <row r="130" spans="1:10" ht="15" hidden="1" customHeight="1">
      <c r="E130" s="9476" t="s">
        <v>11070</v>
      </c>
      <c r="F130" s="9476">
        <f>G119-F129</f>
        <v>17443830.5</v>
      </c>
      <c r="H130" s="7338" t="s">
        <v>9</v>
      </c>
    </row>
    <row r="131" spans="1:10" ht="15" hidden="1" customHeight="1">
      <c r="E131" s="9476"/>
      <c r="F131" s="9477">
        <f>F130/F129</f>
        <v>0.39608584410768899</v>
      </c>
    </row>
    <row r="132" spans="1:10" ht="15" customHeight="1">
      <c r="E132" s="9476"/>
      <c r="F132" s="9476"/>
    </row>
  </sheetData>
  <mergeCells count="8">
    <mergeCell ref="A1:J1"/>
    <mergeCell ref="E6:G6"/>
    <mergeCell ref="G7:G8"/>
    <mergeCell ref="E78:G78"/>
    <mergeCell ref="G79:G80"/>
    <mergeCell ref="E39:G39"/>
    <mergeCell ref="G40:G41"/>
    <mergeCell ref="J3:J4"/>
  </mergeCells>
  <printOptions horizontalCentered="1" gridLinesSet="0"/>
  <pageMargins left="0.25" right="0.25" top="0.5" bottom="0.25" header="0.25" footer="0.25"/>
  <pageSetup paperSize="119" firstPageNumber="249" orientation="landscape" useFirstPageNumber="1" r:id="rId1"/>
  <headerFooter alignWithMargins="0"/>
</worksheet>
</file>

<file path=xl/worksheets/sheet13.xml><?xml version="1.0" encoding="utf-8"?>
<worksheet xmlns="http://schemas.openxmlformats.org/spreadsheetml/2006/main" xmlns:r="http://schemas.openxmlformats.org/officeDocument/2006/relationships">
  <sheetPr codeName="Sheet6">
    <tabColor rgb="FF7030A0"/>
  </sheetPr>
  <dimension ref="A1:C58"/>
  <sheetViews>
    <sheetView workbookViewId="0">
      <selection activeCell="B50" sqref="B50"/>
    </sheetView>
  </sheetViews>
  <sheetFormatPr defaultRowHeight="13.2"/>
  <cols>
    <col min="1" max="1" width="40.109375" style="315" customWidth="1"/>
    <col min="2" max="2" width="32.88671875" style="315" customWidth="1"/>
    <col min="3" max="3" width="18.44140625" style="315" customWidth="1"/>
    <col min="4" max="256" width="9.109375" style="315"/>
    <col min="257" max="257" width="33.88671875" style="315" customWidth="1"/>
    <col min="258" max="258" width="36.44140625" style="315" customWidth="1"/>
    <col min="259" max="259" width="18.44140625" style="315" customWidth="1"/>
    <col min="260" max="512" width="9.109375" style="315"/>
    <col min="513" max="513" width="33.88671875" style="315" customWidth="1"/>
    <col min="514" max="514" width="36.44140625" style="315" customWidth="1"/>
    <col min="515" max="515" width="18.44140625" style="315" customWidth="1"/>
    <col min="516" max="768" width="9.109375" style="315"/>
    <col min="769" max="769" width="33.88671875" style="315" customWidth="1"/>
    <col min="770" max="770" width="36.44140625" style="315" customWidth="1"/>
    <col min="771" max="771" width="18.44140625" style="315" customWidth="1"/>
    <col min="772" max="1024" width="9.109375" style="315"/>
    <col min="1025" max="1025" width="33.88671875" style="315" customWidth="1"/>
    <col min="1026" max="1026" width="36.44140625" style="315" customWidth="1"/>
    <col min="1027" max="1027" width="18.44140625" style="315" customWidth="1"/>
    <col min="1028" max="1280" width="9.109375" style="315"/>
    <col min="1281" max="1281" width="33.88671875" style="315" customWidth="1"/>
    <col min="1282" max="1282" width="36.44140625" style="315" customWidth="1"/>
    <col min="1283" max="1283" width="18.44140625" style="315" customWidth="1"/>
    <col min="1284" max="1536" width="9.109375" style="315"/>
    <col min="1537" max="1537" width="33.88671875" style="315" customWidth="1"/>
    <col min="1538" max="1538" width="36.44140625" style="315" customWidth="1"/>
    <col min="1539" max="1539" width="18.44140625" style="315" customWidth="1"/>
    <col min="1540" max="1792" width="9.109375" style="315"/>
    <col min="1793" max="1793" width="33.88671875" style="315" customWidth="1"/>
    <col min="1794" max="1794" width="36.44140625" style="315" customWidth="1"/>
    <col min="1795" max="1795" width="18.44140625" style="315" customWidth="1"/>
    <col min="1796" max="2048" width="9.109375" style="315"/>
    <col min="2049" max="2049" width="33.88671875" style="315" customWidth="1"/>
    <col min="2050" max="2050" width="36.44140625" style="315" customWidth="1"/>
    <col min="2051" max="2051" width="18.44140625" style="315" customWidth="1"/>
    <col min="2052" max="2304" width="9.109375" style="315"/>
    <col min="2305" max="2305" width="33.88671875" style="315" customWidth="1"/>
    <col min="2306" max="2306" width="36.44140625" style="315" customWidth="1"/>
    <col min="2307" max="2307" width="18.44140625" style="315" customWidth="1"/>
    <col min="2308" max="2560" width="9.109375" style="315"/>
    <col min="2561" max="2561" width="33.88671875" style="315" customWidth="1"/>
    <col min="2562" max="2562" width="36.44140625" style="315" customWidth="1"/>
    <col min="2563" max="2563" width="18.44140625" style="315" customWidth="1"/>
    <col min="2564" max="2816" width="9.109375" style="315"/>
    <col min="2817" max="2817" width="33.88671875" style="315" customWidth="1"/>
    <col min="2818" max="2818" width="36.44140625" style="315" customWidth="1"/>
    <col min="2819" max="2819" width="18.44140625" style="315" customWidth="1"/>
    <col min="2820" max="3072" width="9.109375" style="315"/>
    <col min="3073" max="3073" width="33.88671875" style="315" customWidth="1"/>
    <col min="3074" max="3074" width="36.44140625" style="315" customWidth="1"/>
    <col min="3075" max="3075" width="18.44140625" style="315" customWidth="1"/>
    <col min="3076" max="3328" width="9.109375" style="315"/>
    <col min="3329" max="3329" width="33.88671875" style="315" customWidth="1"/>
    <col min="3330" max="3330" width="36.44140625" style="315" customWidth="1"/>
    <col min="3331" max="3331" width="18.44140625" style="315" customWidth="1"/>
    <col min="3332" max="3584" width="9.109375" style="315"/>
    <col min="3585" max="3585" width="33.88671875" style="315" customWidth="1"/>
    <col min="3586" max="3586" width="36.44140625" style="315" customWidth="1"/>
    <col min="3587" max="3587" width="18.44140625" style="315" customWidth="1"/>
    <col min="3588" max="3840" width="9.109375" style="315"/>
    <col min="3841" max="3841" width="33.88671875" style="315" customWidth="1"/>
    <col min="3842" max="3842" width="36.44140625" style="315" customWidth="1"/>
    <col min="3843" max="3843" width="18.44140625" style="315" customWidth="1"/>
    <col min="3844" max="4096" width="9.109375" style="315"/>
    <col min="4097" max="4097" width="33.88671875" style="315" customWidth="1"/>
    <col min="4098" max="4098" width="36.44140625" style="315" customWidth="1"/>
    <col min="4099" max="4099" width="18.44140625" style="315" customWidth="1"/>
    <col min="4100" max="4352" width="9.109375" style="315"/>
    <col min="4353" max="4353" width="33.88671875" style="315" customWidth="1"/>
    <col min="4354" max="4354" width="36.44140625" style="315" customWidth="1"/>
    <col min="4355" max="4355" width="18.44140625" style="315" customWidth="1"/>
    <col min="4356" max="4608" width="9.109375" style="315"/>
    <col min="4609" max="4609" width="33.88671875" style="315" customWidth="1"/>
    <col min="4610" max="4610" width="36.44140625" style="315" customWidth="1"/>
    <col min="4611" max="4611" width="18.44140625" style="315" customWidth="1"/>
    <col min="4612" max="4864" width="9.109375" style="315"/>
    <col min="4865" max="4865" width="33.88671875" style="315" customWidth="1"/>
    <col min="4866" max="4866" width="36.44140625" style="315" customWidth="1"/>
    <col min="4867" max="4867" width="18.44140625" style="315" customWidth="1"/>
    <col min="4868" max="5120" width="9.109375" style="315"/>
    <col min="5121" max="5121" width="33.88671875" style="315" customWidth="1"/>
    <col min="5122" max="5122" width="36.44140625" style="315" customWidth="1"/>
    <col min="5123" max="5123" width="18.44140625" style="315" customWidth="1"/>
    <col min="5124" max="5376" width="9.109375" style="315"/>
    <col min="5377" max="5377" width="33.88671875" style="315" customWidth="1"/>
    <col min="5378" max="5378" width="36.44140625" style="315" customWidth="1"/>
    <col min="5379" max="5379" width="18.44140625" style="315" customWidth="1"/>
    <col min="5380" max="5632" width="9.109375" style="315"/>
    <col min="5633" max="5633" width="33.88671875" style="315" customWidth="1"/>
    <col min="5634" max="5634" width="36.44140625" style="315" customWidth="1"/>
    <col min="5635" max="5635" width="18.44140625" style="315" customWidth="1"/>
    <col min="5636" max="5888" width="9.109375" style="315"/>
    <col min="5889" max="5889" width="33.88671875" style="315" customWidth="1"/>
    <col min="5890" max="5890" width="36.44140625" style="315" customWidth="1"/>
    <col min="5891" max="5891" width="18.44140625" style="315" customWidth="1"/>
    <col min="5892" max="6144" width="9.109375" style="315"/>
    <col min="6145" max="6145" width="33.88671875" style="315" customWidth="1"/>
    <col min="6146" max="6146" width="36.44140625" style="315" customWidth="1"/>
    <col min="6147" max="6147" width="18.44140625" style="315" customWidth="1"/>
    <col min="6148" max="6400" width="9.109375" style="315"/>
    <col min="6401" max="6401" width="33.88671875" style="315" customWidth="1"/>
    <col min="6402" max="6402" width="36.44140625" style="315" customWidth="1"/>
    <col min="6403" max="6403" width="18.44140625" style="315" customWidth="1"/>
    <col min="6404" max="6656" width="9.109375" style="315"/>
    <col min="6657" max="6657" width="33.88671875" style="315" customWidth="1"/>
    <col min="6658" max="6658" width="36.44140625" style="315" customWidth="1"/>
    <col min="6659" max="6659" width="18.44140625" style="315" customWidth="1"/>
    <col min="6660" max="6912" width="9.109375" style="315"/>
    <col min="6913" max="6913" width="33.88671875" style="315" customWidth="1"/>
    <col min="6914" max="6914" width="36.44140625" style="315" customWidth="1"/>
    <col min="6915" max="6915" width="18.44140625" style="315" customWidth="1"/>
    <col min="6916" max="7168" width="9.109375" style="315"/>
    <col min="7169" max="7169" width="33.88671875" style="315" customWidth="1"/>
    <col min="7170" max="7170" width="36.44140625" style="315" customWidth="1"/>
    <col min="7171" max="7171" width="18.44140625" style="315" customWidth="1"/>
    <col min="7172" max="7424" width="9.109375" style="315"/>
    <col min="7425" max="7425" width="33.88671875" style="315" customWidth="1"/>
    <col min="7426" max="7426" width="36.44140625" style="315" customWidth="1"/>
    <col min="7427" max="7427" width="18.44140625" style="315" customWidth="1"/>
    <col min="7428" max="7680" width="9.109375" style="315"/>
    <col min="7681" max="7681" width="33.88671875" style="315" customWidth="1"/>
    <col min="7682" max="7682" width="36.44140625" style="315" customWidth="1"/>
    <col min="7683" max="7683" width="18.44140625" style="315" customWidth="1"/>
    <col min="7684" max="7936" width="9.109375" style="315"/>
    <col min="7937" max="7937" width="33.88671875" style="315" customWidth="1"/>
    <col min="7938" max="7938" width="36.44140625" style="315" customWidth="1"/>
    <col min="7939" max="7939" width="18.44140625" style="315" customWidth="1"/>
    <col min="7940" max="8192" width="9.109375" style="315"/>
    <col min="8193" max="8193" width="33.88671875" style="315" customWidth="1"/>
    <col min="8194" max="8194" width="36.44140625" style="315" customWidth="1"/>
    <col min="8195" max="8195" width="18.44140625" style="315" customWidth="1"/>
    <col min="8196" max="8448" width="9.109375" style="315"/>
    <col min="8449" max="8449" width="33.88671875" style="315" customWidth="1"/>
    <col min="8450" max="8450" width="36.44140625" style="315" customWidth="1"/>
    <col min="8451" max="8451" width="18.44140625" style="315" customWidth="1"/>
    <col min="8452" max="8704" width="9.109375" style="315"/>
    <col min="8705" max="8705" width="33.88671875" style="315" customWidth="1"/>
    <col min="8706" max="8706" width="36.44140625" style="315" customWidth="1"/>
    <col min="8707" max="8707" width="18.44140625" style="315" customWidth="1"/>
    <col min="8708" max="8960" width="9.109375" style="315"/>
    <col min="8961" max="8961" width="33.88671875" style="315" customWidth="1"/>
    <col min="8962" max="8962" width="36.44140625" style="315" customWidth="1"/>
    <col min="8963" max="8963" width="18.44140625" style="315" customWidth="1"/>
    <col min="8964" max="9216" width="9.109375" style="315"/>
    <col min="9217" max="9217" width="33.88671875" style="315" customWidth="1"/>
    <col min="9218" max="9218" width="36.44140625" style="315" customWidth="1"/>
    <col min="9219" max="9219" width="18.44140625" style="315" customWidth="1"/>
    <col min="9220" max="9472" width="9.109375" style="315"/>
    <col min="9473" max="9473" width="33.88671875" style="315" customWidth="1"/>
    <col min="9474" max="9474" width="36.44140625" style="315" customWidth="1"/>
    <col min="9475" max="9475" width="18.44140625" style="315" customWidth="1"/>
    <col min="9476" max="9728" width="9.109375" style="315"/>
    <col min="9729" max="9729" width="33.88671875" style="315" customWidth="1"/>
    <col min="9730" max="9730" width="36.44140625" style="315" customWidth="1"/>
    <col min="9731" max="9731" width="18.44140625" style="315" customWidth="1"/>
    <col min="9732" max="9984" width="9.109375" style="315"/>
    <col min="9985" max="9985" width="33.88671875" style="315" customWidth="1"/>
    <col min="9986" max="9986" width="36.44140625" style="315" customWidth="1"/>
    <col min="9987" max="9987" width="18.44140625" style="315" customWidth="1"/>
    <col min="9988" max="10240" width="9.109375" style="315"/>
    <col min="10241" max="10241" width="33.88671875" style="315" customWidth="1"/>
    <col min="10242" max="10242" width="36.44140625" style="315" customWidth="1"/>
    <col min="10243" max="10243" width="18.44140625" style="315" customWidth="1"/>
    <col min="10244" max="10496" width="9.109375" style="315"/>
    <col min="10497" max="10497" width="33.88671875" style="315" customWidth="1"/>
    <col min="10498" max="10498" width="36.44140625" style="315" customWidth="1"/>
    <col min="10499" max="10499" width="18.44140625" style="315" customWidth="1"/>
    <col min="10500" max="10752" width="9.109375" style="315"/>
    <col min="10753" max="10753" width="33.88671875" style="315" customWidth="1"/>
    <col min="10754" max="10754" width="36.44140625" style="315" customWidth="1"/>
    <col min="10755" max="10755" width="18.44140625" style="315" customWidth="1"/>
    <col min="10756" max="11008" width="9.109375" style="315"/>
    <col min="11009" max="11009" width="33.88671875" style="315" customWidth="1"/>
    <col min="11010" max="11010" width="36.44140625" style="315" customWidth="1"/>
    <col min="11011" max="11011" width="18.44140625" style="315" customWidth="1"/>
    <col min="11012" max="11264" width="9.109375" style="315"/>
    <col min="11265" max="11265" width="33.88671875" style="315" customWidth="1"/>
    <col min="11266" max="11266" width="36.44140625" style="315" customWidth="1"/>
    <col min="11267" max="11267" width="18.44140625" style="315" customWidth="1"/>
    <col min="11268" max="11520" width="9.109375" style="315"/>
    <col min="11521" max="11521" width="33.88671875" style="315" customWidth="1"/>
    <col min="11522" max="11522" width="36.44140625" style="315" customWidth="1"/>
    <col min="11523" max="11523" width="18.44140625" style="315" customWidth="1"/>
    <col min="11524" max="11776" width="9.109375" style="315"/>
    <col min="11777" max="11777" width="33.88671875" style="315" customWidth="1"/>
    <col min="11778" max="11778" width="36.44140625" style="315" customWidth="1"/>
    <col min="11779" max="11779" width="18.44140625" style="315" customWidth="1"/>
    <col min="11780" max="12032" width="9.109375" style="315"/>
    <col min="12033" max="12033" width="33.88671875" style="315" customWidth="1"/>
    <col min="12034" max="12034" width="36.44140625" style="315" customWidth="1"/>
    <col min="12035" max="12035" width="18.44140625" style="315" customWidth="1"/>
    <col min="12036" max="12288" width="9.109375" style="315"/>
    <col min="12289" max="12289" width="33.88671875" style="315" customWidth="1"/>
    <col min="12290" max="12290" width="36.44140625" style="315" customWidth="1"/>
    <col min="12291" max="12291" width="18.44140625" style="315" customWidth="1"/>
    <col min="12292" max="12544" width="9.109375" style="315"/>
    <col min="12545" max="12545" width="33.88671875" style="315" customWidth="1"/>
    <col min="12546" max="12546" width="36.44140625" style="315" customWidth="1"/>
    <col min="12547" max="12547" width="18.44140625" style="315" customWidth="1"/>
    <col min="12548" max="12800" width="9.109375" style="315"/>
    <col min="12801" max="12801" width="33.88671875" style="315" customWidth="1"/>
    <col min="12802" max="12802" width="36.44140625" style="315" customWidth="1"/>
    <col min="12803" max="12803" width="18.44140625" style="315" customWidth="1"/>
    <col min="12804" max="13056" width="9.109375" style="315"/>
    <col min="13057" max="13057" width="33.88671875" style="315" customWidth="1"/>
    <col min="13058" max="13058" width="36.44140625" style="315" customWidth="1"/>
    <col min="13059" max="13059" width="18.44140625" style="315" customWidth="1"/>
    <col min="13060" max="13312" width="9.109375" style="315"/>
    <col min="13313" max="13313" width="33.88671875" style="315" customWidth="1"/>
    <col min="13314" max="13314" width="36.44140625" style="315" customWidth="1"/>
    <col min="13315" max="13315" width="18.44140625" style="315" customWidth="1"/>
    <col min="13316" max="13568" width="9.109375" style="315"/>
    <col min="13569" max="13569" width="33.88671875" style="315" customWidth="1"/>
    <col min="13570" max="13570" width="36.44140625" style="315" customWidth="1"/>
    <col min="13571" max="13571" width="18.44140625" style="315" customWidth="1"/>
    <col min="13572" max="13824" width="9.109375" style="315"/>
    <col min="13825" max="13825" width="33.88671875" style="315" customWidth="1"/>
    <col min="13826" max="13826" width="36.44140625" style="315" customWidth="1"/>
    <col min="13827" max="13827" width="18.44140625" style="315" customWidth="1"/>
    <col min="13828" max="14080" width="9.109375" style="315"/>
    <col min="14081" max="14081" width="33.88671875" style="315" customWidth="1"/>
    <col min="14082" max="14082" width="36.44140625" style="315" customWidth="1"/>
    <col min="14083" max="14083" width="18.44140625" style="315" customWidth="1"/>
    <col min="14084" max="14336" width="9.109375" style="315"/>
    <col min="14337" max="14337" width="33.88671875" style="315" customWidth="1"/>
    <col min="14338" max="14338" width="36.44140625" style="315" customWidth="1"/>
    <col min="14339" max="14339" width="18.44140625" style="315" customWidth="1"/>
    <col min="14340" max="14592" width="9.109375" style="315"/>
    <col min="14593" max="14593" width="33.88671875" style="315" customWidth="1"/>
    <col min="14594" max="14594" width="36.44140625" style="315" customWidth="1"/>
    <col min="14595" max="14595" width="18.44140625" style="315" customWidth="1"/>
    <col min="14596" max="14848" width="9.109375" style="315"/>
    <col min="14849" max="14849" width="33.88671875" style="315" customWidth="1"/>
    <col min="14850" max="14850" width="36.44140625" style="315" customWidth="1"/>
    <col min="14851" max="14851" width="18.44140625" style="315" customWidth="1"/>
    <col min="14852" max="15104" width="9.109375" style="315"/>
    <col min="15105" max="15105" width="33.88671875" style="315" customWidth="1"/>
    <col min="15106" max="15106" width="36.44140625" style="315" customWidth="1"/>
    <col min="15107" max="15107" width="18.44140625" style="315" customWidth="1"/>
    <col min="15108" max="15360" width="9.109375" style="315"/>
    <col min="15361" max="15361" width="33.88671875" style="315" customWidth="1"/>
    <col min="15362" max="15362" width="36.44140625" style="315" customWidth="1"/>
    <col min="15363" max="15363" width="18.44140625" style="315" customWidth="1"/>
    <col min="15364" max="15616" width="9.109375" style="315"/>
    <col min="15617" max="15617" width="33.88671875" style="315" customWidth="1"/>
    <col min="15618" max="15618" width="36.44140625" style="315" customWidth="1"/>
    <col min="15619" max="15619" width="18.44140625" style="315" customWidth="1"/>
    <col min="15620" max="15872" width="9.109375" style="315"/>
    <col min="15873" max="15873" width="33.88671875" style="315" customWidth="1"/>
    <col min="15874" max="15874" width="36.44140625" style="315" customWidth="1"/>
    <col min="15875" max="15875" width="18.44140625" style="315" customWidth="1"/>
    <col min="15876" max="16128" width="9.109375" style="315"/>
    <col min="16129" max="16129" width="33.88671875" style="315" customWidth="1"/>
    <col min="16130" max="16130" width="36.44140625" style="315" customWidth="1"/>
    <col min="16131" max="16131" width="18.44140625" style="315" customWidth="1"/>
    <col min="16132" max="16384" width="9.109375" style="315"/>
  </cols>
  <sheetData>
    <row r="1" spans="1:3" ht="13.8">
      <c r="A1" s="14038" t="s">
        <v>1670</v>
      </c>
      <c r="B1" s="14038"/>
      <c r="C1" s="14038"/>
    </row>
    <row r="2" spans="1:3" ht="13.8">
      <c r="A2" s="14037" t="s">
        <v>10449</v>
      </c>
      <c r="B2" s="14037"/>
      <c r="C2" s="14037"/>
    </row>
    <row r="4" spans="1:3" ht="13.8" thickBot="1"/>
    <row r="5" spans="1:3">
      <c r="A5" s="316" t="s">
        <v>9</v>
      </c>
      <c r="B5" s="317" t="s">
        <v>9</v>
      </c>
      <c r="C5" s="318" t="s">
        <v>9</v>
      </c>
    </row>
    <row r="6" spans="1:3" ht="13.8" thickBot="1">
      <c r="A6" s="319" t="s">
        <v>460</v>
      </c>
      <c r="B6" s="320" t="s">
        <v>532</v>
      </c>
      <c r="C6" s="321" t="s">
        <v>458</v>
      </c>
    </row>
    <row r="7" spans="1:3">
      <c r="A7" s="322"/>
      <c r="B7" s="323"/>
      <c r="C7" s="324"/>
    </row>
    <row r="8" spans="1:3">
      <c r="A8" s="325" t="s">
        <v>1671</v>
      </c>
      <c r="B8" s="323"/>
      <c r="C8" s="324"/>
    </row>
    <row r="9" spans="1:3">
      <c r="A9" s="322" t="s">
        <v>1672</v>
      </c>
      <c r="B9" s="323"/>
      <c r="C9" s="324"/>
    </row>
    <row r="10" spans="1:3" ht="13.8" thickBot="1">
      <c r="A10" s="322" t="s">
        <v>1673</v>
      </c>
      <c r="B10" s="323"/>
      <c r="C10" s="326">
        <f>'2019- CO'!Q56</f>
        <v>0</v>
      </c>
    </row>
    <row r="11" spans="1:3" ht="18" customHeight="1" thickBot="1">
      <c r="A11" s="327" t="s">
        <v>1631</v>
      </c>
      <c r="B11" s="328"/>
      <c r="C11" s="329">
        <f>SUM(C10)</f>
        <v>0</v>
      </c>
    </row>
    <row r="12" spans="1:3">
      <c r="A12" s="322"/>
      <c r="B12" s="323"/>
      <c r="C12" s="324"/>
    </row>
    <row r="13" spans="1:3">
      <c r="A13" s="322"/>
      <c r="B13" s="323"/>
      <c r="C13" s="324"/>
    </row>
    <row r="14" spans="1:3">
      <c r="A14" s="322"/>
      <c r="B14" s="323"/>
      <c r="C14" s="324"/>
    </row>
    <row r="15" spans="1:3">
      <c r="A15" s="330" t="s">
        <v>1674</v>
      </c>
      <c r="B15" s="323"/>
      <c r="C15" s="324"/>
    </row>
    <row r="16" spans="1:3">
      <c r="A16" s="322" t="s">
        <v>11202</v>
      </c>
      <c r="B16" s="323"/>
      <c r="C16" s="326">
        <f>'2019- CO'!B56</f>
        <v>2210000</v>
      </c>
    </row>
    <row r="17" spans="1:3" hidden="1">
      <c r="A17" s="322" t="s">
        <v>11203</v>
      </c>
      <c r="B17" s="323"/>
      <c r="C17" s="326">
        <v>0</v>
      </c>
    </row>
    <row r="18" spans="1:3" hidden="1">
      <c r="A18" s="322" t="s">
        <v>11204</v>
      </c>
      <c r="B18" s="323"/>
      <c r="C18" s="326">
        <v>0</v>
      </c>
    </row>
    <row r="19" spans="1:3" hidden="1">
      <c r="A19" s="322" t="s">
        <v>11205</v>
      </c>
      <c r="B19" s="323"/>
      <c r="C19" s="326">
        <v>0</v>
      </c>
    </row>
    <row r="20" spans="1:3" ht="13.8" thickBot="1">
      <c r="A20" s="322" t="s">
        <v>11206</v>
      </c>
      <c r="B20" s="323"/>
      <c r="C20" s="326">
        <f>'2019- CO'!F56</f>
        <v>9411800</v>
      </c>
    </row>
    <row r="21" spans="1:3" ht="19.5" customHeight="1" thickBot="1">
      <c r="A21" s="327" t="s">
        <v>1631</v>
      </c>
      <c r="B21" s="328"/>
      <c r="C21" s="329">
        <f>SUM(C16:C20)</f>
        <v>11621800</v>
      </c>
    </row>
    <row r="22" spans="1:3">
      <c r="A22" s="322"/>
      <c r="B22" s="323"/>
      <c r="C22" s="324"/>
    </row>
    <row r="23" spans="1:3">
      <c r="A23" s="322"/>
      <c r="B23" s="323"/>
      <c r="C23" s="324"/>
    </row>
    <row r="24" spans="1:3">
      <c r="A24" s="330" t="s">
        <v>1675</v>
      </c>
      <c r="B24" s="323"/>
      <c r="C24" s="324"/>
    </row>
    <row r="25" spans="1:3">
      <c r="A25" s="331" t="s">
        <v>1676</v>
      </c>
      <c r="B25" s="323"/>
      <c r="C25" s="324"/>
    </row>
    <row r="26" spans="1:3">
      <c r="A26" s="322" t="s">
        <v>176</v>
      </c>
      <c r="B26" s="323"/>
      <c r="C26" s="326">
        <f>'2019- CO'!G56</f>
        <v>5086122</v>
      </c>
    </row>
    <row r="27" spans="1:3">
      <c r="A27" s="322" t="s">
        <v>11207</v>
      </c>
      <c r="B27" s="323"/>
      <c r="C27" s="326">
        <f>'2019- CO'!I56</f>
        <v>4895248.5</v>
      </c>
    </row>
    <row r="28" spans="1:3" ht="13.8" thickBot="1">
      <c r="A28" s="322" t="s">
        <v>161</v>
      </c>
      <c r="B28" s="323"/>
      <c r="C28" s="326">
        <f>'2019- CO'!J56</f>
        <v>7643200</v>
      </c>
    </row>
    <row r="29" spans="1:3" ht="13.8" hidden="1" thickBot="1">
      <c r="A29" s="322" t="s">
        <v>11208</v>
      </c>
      <c r="B29" s="332"/>
      <c r="C29" s="333">
        <v>0</v>
      </c>
    </row>
    <row r="30" spans="1:3" ht="18" customHeight="1" thickBot="1">
      <c r="A30" s="327" t="s">
        <v>1631</v>
      </c>
      <c r="B30" s="328"/>
      <c r="C30" s="329">
        <f>SUM(C26:C29)</f>
        <v>17624570.5</v>
      </c>
    </row>
    <row r="31" spans="1:3">
      <c r="A31" s="322"/>
      <c r="B31" s="334"/>
      <c r="C31" s="324"/>
    </row>
    <row r="32" spans="1:3">
      <c r="A32" s="322"/>
      <c r="B32" s="323"/>
      <c r="C32" s="324"/>
    </row>
    <row r="33" spans="1:3">
      <c r="A33" s="330" t="s">
        <v>1677</v>
      </c>
      <c r="B33" s="323"/>
      <c r="C33" s="324"/>
    </row>
    <row r="34" spans="1:3">
      <c r="A34" s="322" t="s">
        <v>10597</v>
      </c>
      <c r="B34" s="323"/>
      <c r="C34" s="326">
        <f>'2019- CO'!L56</f>
        <v>50000</v>
      </c>
    </row>
    <row r="35" spans="1:3" hidden="1">
      <c r="A35" s="322" t="s">
        <v>1678</v>
      </c>
      <c r="B35" s="323"/>
      <c r="C35" s="326"/>
    </row>
    <row r="36" spans="1:3">
      <c r="A36" s="322" t="s">
        <v>9182</v>
      </c>
      <c r="B36" s="323"/>
      <c r="C36" s="326">
        <f>'2019- CO'!M56</f>
        <v>1201500</v>
      </c>
    </row>
    <row r="37" spans="1:3">
      <c r="A37" s="322" t="s">
        <v>11209</v>
      </c>
      <c r="B37" s="323"/>
      <c r="C37" s="326">
        <f>'2019- CO'!N56</f>
        <v>422000</v>
      </c>
    </row>
    <row r="38" spans="1:3">
      <c r="A38" s="322" t="s">
        <v>11210</v>
      </c>
      <c r="B38" s="323"/>
      <c r="C38" s="326">
        <f>'2019- CO'!O56</f>
        <v>4774480</v>
      </c>
    </row>
    <row r="39" spans="1:3" ht="13.8" thickBot="1">
      <c r="A39" s="322" t="s">
        <v>11211</v>
      </c>
      <c r="B39" s="332"/>
      <c r="C39" s="333">
        <f>'2019- CO'!P56</f>
        <v>4330000</v>
      </c>
    </row>
    <row r="40" spans="1:3" ht="17.25" customHeight="1" thickBot="1">
      <c r="A40" s="327" t="s">
        <v>1631</v>
      </c>
      <c r="B40" s="328"/>
      <c r="C40" s="329">
        <f>SUM(C34:C39)</f>
        <v>10777980</v>
      </c>
    </row>
    <row r="41" spans="1:3">
      <c r="A41" s="335"/>
      <c r="B41" s="334"/>
      <c r="C41" s="336"/>
    </row>
    <row r="42" spans="1:3">
      <c r="A42" s="322"/>
      <c r="B42" s="323"/>
      <c r="C42" s="324"/>
    </row>
    <row r="43" spans="1:3">
      <c r="A43" s="322"/>
      <c r="B43" s="323"/>
      <c r="C43" s="324"/>
    </row>
    <row r="44" spans="1:3">
      <c r="A44" s="330" t="s">
        <v>1679</v>
      </c>
      <c r="B44" s="323"/>
      <c r="C44" s="324"/>
    </row>
    <row r="45" spans="1:3">
      <c r="A45" s="322" t="s">
        <v>11212</v>
      </c>
      <c r="B45" s="323"/>
      <c r="C45" s="326">
        <v>0</v>
      </c>
    </row>
    <row r="46" spans="1:3">
      <c r="A46" s="322" t="s">
        <v>11213</v>
      </c>
      <c r="B46" s="323"/>
      <c r="C46" s="324"/>
    </row>
    <row r="47" spans="1:3" ht="13.8" thickBot="1">
      <c r="A47" s="322" t="s">
        <v>11214</v>
      </c>
      <c r="B47" s="332"/>
      <c r="C47" s="9401">
        <f>'2019- CO'!R56</f>
        <v>0</v>
      </c>
    </row>
    <row r="48" spans="1:3" ht="13.8" thickBot="1">
      <c r="A48" s="327" t="s">
        <v>1631</v>
      </c>
      <c r="B48" s="328"/>
      <c r="C48" s="338">
        <f>SUM(C43:C47)</f>
        <v>0</v>
      </c>
    </row>
    <row r="49" spans="1:3">
      <c r="A49" s="322"/>
      <c r="B49" s="323"/>
      <c r="C49" s="324"/>
    </row>
    <row r="50" spans="1:3">
      <c r="A50" s="339" t="s">
        <v>1680</v>
      </c>
      <c r="B50" s="323"/>
      <c r="C50" s="340">
        <f>SUM(C11+C21+C30+C40+C48)</f>
        <v>40024350.5</v>
      </c>
    </row>
    <row r="51" spans="1:3" ht="13.8" thickBot="1">
      <c r="A51" s="341"/>
      <c r="B51" s="332"/>
      <c r="C51" s="337"/>
    </row>
    <row r="52" spans="1:3" ht="15" customHeight="1"/>
    <row r="53" spans="1:3" s="289" customFormat="1" ht="15" hidden="1" customHeight="1">
      <c r="A53" s="2664" t="s">
        <v>9177</v>
      </c>
      <c r="B53" s="2664" t="s">
        <v>10167</v>
      </c>
      <c r="C53" s="1814"/>
    </row>
    <row r="54" spans="1:3" s="1514" customFormat="1" ht="15" hidden="1" customHeight="1">
      <c r="A54" s="2662"/>
      <c r="B54" s="2662"/>
      <c r="C54" s="2653"/>
    </row>
    <row r="55" spans="1:3" ht="15" hidden="1" customHeight="1">
      <c r="A55" s="2662"/>
      <c r="B55" s="2662"/>
      <c r="C55" s="1827"/>
    </row>
    <row r="56" spans="1:3" s="2663" customFormat="1" ht="15" hidden="1" customHeight="1">
      <c r="A56" s="5656" t="s">
        <v>10166</v>
      </c>
      <c r="B56" s="2662"/>
      <c r="C56" s="2662"/>
    </row>
    <row r="57" spans="1:3" s="2665" customFormat="1" ht="15" hidden="1" customHeight="1">
      <c r="A57" s="5657" t="s">
        <v>10448</v>
      </c>
      <c r="B57" s="2666"/>
      <c r="C57" s="2666"/>
    </row>
    <row r="58" spans="1:3" ht="15" customHeight="1"/>
  </sheetData>
  <mergeCells count="2">
    <mergeCell ref="A1:C1"/>
    <mergeCell ref="A2:C2"/>
  </mergeCells>
  <printOptions horizontalCentered="1"/>
  <pageMargins left="0.5" right="0.25" top="0.5" bottom="1.5" header="0.5" footer="0.25"/>
  <pageSetup paperSize="5" orientation="portrait" verticalDpi="300" r:id="rId1"/>
  <headerFooter alignWithMargins="0"/>
</worksheet>
</file>

<file path=xl/worksheets/sheet130.xml><?xml version="1.0" encoding="utf-8"?>
<worksheet xmlns="http://schemas.openxmlformats.org/spreadsheetml/2006/main" xmlns:r="http://schemas.openxmlformats.org/officeDocument/2006/relationships">
  <sheetPr codeName="Sheet172">
    <tabColor rgb="FFFFFF00"/>
  </sheetPr>
  <dimension ref="A1:E26"/>
  <sheetViews>
    <sheetView topLeftCell="A3" workbookViewId="0">
      <selection activeCell="C10" sqref="C10"/>
    </sheetView>
  </sheetViews>
  <sheetFormatPr defaultRowHeight="13.8"/>
  <cols>
    <col min="1" max="1" width="25.109375" style="1545" customWidth="1"/>
    <col min="2" max="2" width="16.88671875" style="1545" customWidth="1"/>
    <col min="3" max="3" width="17.88671875" style="1545" customWidth="1"/>
    <col min="4" max="4" width="16.88671875" style="1545" customWidth="1"/>
    <col min="5" max="5" width="16.44140625" style="369" customWidth="1"/>
    <col min="6" max="256" width="9.109375" style="1545"/>
    <col min="257" max="257" width="25.109375" style="1545" customWidth="1"/>
    <col min="258" max="258" width="16.88671875" style="1545" customWidth="1"/>
    <col min="259" max="259" width="17.88671875" style="1545" customWidth="1"/>
    <col min="260" max="260" width="16.88671875" style="1545" customWidth="1"/>
    <col min="261" max="261" width="16.44140625" style="1545" customWidth="1"/>
    <col min="262" max="512" width="9.109375" style="1545"/>
    <col min="513" max="513" width="25.109375" style="1545" customWidth="1"/>
    <col min="514" max="514" width="16.88671875" style="1545" customWidth="1"/>
    <col min="515" max="515" width="17.88671875" style="1545" customWidth="1"/>
    <col min="516" max="516" width="16.88671875" style="1545" customWidth="1"/>
    <col min="517" max="517" width="16.44140625" style="1545" customWidth="1"/>
    <col min="518" max="768" width="9.109375" style="1545"/>
    <col min="769" max="769" width="25.109375" style="1545" customWidth="1"/>
    <col min="770" max="770" width="16.88671875" style="1545" customWidth="1"/>
    <col min="771" max="771" width="17.88671875" style="1545" customWidth="1"/>
    <col min="772" max="772" width="16.88671875" style="1545" customWidth="1"/>
    <col min="773" max="773" width="16.44140625" style="1545" customWidth="1"/>
    <col min="774" max="1024" width="9.109375" style="1545"/>
    <col min="1025" max="1025" width="25.109375" style="1545" customWidth="1"/>
    <col min="1026" max="1026" width="16.88671875" style="1545" customWidth="1"/>
    <col min="1027" max="1027" width="17.88671875" style="1545" customWidth="1"/>
    <col min="1028" max="1028" width="16.88671875" style="1545" customWidth="1"/>
    <col min="1029" max="1029" width="16.44140625" style="1545" customWidth="1"/>
    <col min="1030" max="1280" width="9.109375" style="1545"/>
    <col min="1281" max="1281" width="25.109375" style="1545" customWidth="1"/>
    <col min="1282" max="1282" width="16.88671875" style="1545" customWidth="1"/>
    <col min="1283" max="1283" width="17.88671875" style="1545" customWidth="1"/>
    <col min="1284" max="1284" width="16.88671875" style="1545" customWidth="1"/>
    <col min="1285" max="1285" width="16.44140625" style="1545" customWidth="1"/>
    <col min="1286" max="1536" width="9.109375" style="1545"/>
    <col min="1537" max="1537" width="25.109375" style="1545" customWidth="1"/>
    <col min="1538" max="1538" width="16.88671875" style="1545" customWidth="1"/>
    <col min="1539" max="1539" width="17.88671875" style="1545" customWidth="1"/>
    <col min="1540" max="1540" width="16.88671875" style="1545" customWidth="1"/>
    <col min="1541" max="1541" width="16.44140625" style="1545" customWidth="1"/>
    <col min="1542" max="1792" width="9.109375" style="1545"/>
    <col min="1793" max="1793" width="25.109375" style="1545" customWidth="1"/>
    <col min="1794" max="1794" width="16.88671875" style="1545" customWidth="1"/>
    <col min="1795" max="1795" width="17.88671875" style="1545" customWidth="1"/>
    <col min="1796" max="1796" width="16.88671875" style="1545" customWidth="1"/>
    <col min="1797" max="1797" width="16.44140625" style="1545" customWidth="1"/>
    <col min="1798" max="2048" width="9.109375" style="1545"/>
    <col min="2049" max="2049" width="25.109375" style="1545" customWidth="1"/>
    <col min="2050" max="2050" width="16.88671875" style="1545" customWidth="1"/>
    <col min="2051" max="2051" width="17.88671875" style="1545" customWidth="1"/>
    <col min="2052" max="2052" width="16.88671875" style="1545" customWidth="1"/>
    <col min="2053" max="2053" width="16.44140625" style="1545" customWidth="1"/>
    <col min="2054" max="2304" width="9.109375" style="1545"/>
    <col min="2305" max="2305" width="25.109375" style="1545" customWidth="1"/>
    <col min="2306" max="2306" width="16.88671875" style="1545" customWidth="1"/>
    <col min="2307" max="2307" width="17.88671875" style="1545" customWidth="1"/>
    <col min="2308" max="2308" width="16.88671875" style="1545" customWidth="1"/>
    <col min="2309" max="2309" width="16.44140625" style="1545" customWidth="1"/>
    <col min="2310" max="2560" width="9.109375" style="1545"/>
    <col min="2561" max="2561" width="25.109375" style="1545" customWidth="1"/>
    <col min="2562" max="2562" width="16.88671875" style="1545" customWidth="1"/>
    <col min="2563" max="2563" width="17.88671875" style="1545" customWidth="1"/>
    <col min="2564" max="2564" width="16.88671875" style="1545" customWidth="1"/>
    <col min="2565" max="2565" width="16.44140625" style="1545" customWidth="1"/>
    <col min="2566" max="2816" width="9.109375" style="1545"/>
    <col min="2817" max="2817" width="25.109375" style="1545" customWidth="1"/>
    <col min="2818" max="2818" width="16.88671875" style="1545" customWidth="1"/>
    <col min="2819" max="2819" width="17.88671875" style="1545" customWidth="1"/>
    <col min="2820" max="2820" width="16.88671875" style="1545" customWidth="1"/>
    <col min="2821" max="2821" width="16.44140625" style="1545" customWidth="1"/>
    <col min="2822" max="3072" width="9.109375" style="1545"/>
    <col min="3073" max="3073" width="25.109375" style="1545" customWidth="1"/>
    <col min="3074" max="3074" width="16.88671875" style="1545" customWidth="1"/>
    <col min="3075" max="3075" width="17.88671875" style="1545" customWidth="1"/>
    <col min="3076" max="3076" width="16.88671875" style="1545" customWidth="1"/>
    <col min="3077" max="3077" width="16.44140625" style="1545" customWidth="1"/>
    <col min="3078" max="3328" width="9.109375" style="1545"/>
    <col min="3329" max="3329" width="25.109375" style="1545" customWidth="1"/>
    <col min="3330" max="3330" width="16.88671875" style="1545" customWidth="1"/>
    <col min="3331" max="3331" width="17.88671875" style="1545" customWidth="1"/>
    <col min="3332" max="3332" width="16.88671875" style="1545" customWidth="1"/>
    <col min="3333" max="3333" width="16.44140625" style="1545" customWidth="1"/>
    <col min="3334" max="3584" width="9.109375" style="1545"/>
    <col min="3585" max="3585" width="25.109375" style="1545" customWidth="1"/>
    <col min="3586" max="3586" width="16.88671875" style="1545" customWidth="1"/>
    <col min="3587" max="3587" width="17.88671875" style="1545" customWidth="1"/>
    <col min="3588" max="3588" width="16.88671875" style="1545" customWidth="1"/>
    <col min="3589" max="3589" width="16.44140625" style="1545" customWidth="1"/>
    <col min="3590" max="3840" width="9.109375" style="1545"/>
    <col min="3841" max="3841" width="25.109375" style="1545" customWidth="1"/>
    <col min="3842" max="3842" width="16.88671875" style="1545" customWidth="1"/>
    <col min="3843" max="3843" width="17.88671875" style="1545" customWidth="1"/>
    <col min="3844" max="3844" width="16.88671875" style="1545" customWidth="1"/>
    <col min="3845" max="3845" width="16.44140625" style="1545" customWidth="1"/>
    <col min="3846" max="4096" width="9.109375" style="1545"/>
    <col min="4097" max="4097" width="25.109375" style="1545" customWidth="1"/>
    <col min="4098" max="4098" width="16.88671875" style="1545" customWidth="1"/>
    <col min="4099" max="4099" width="17.88671875" style="1545" customWidth="1"/>
    <col min="4100" max="4100" width="16.88671875" style="1545" customWidth="1"/>
    <col min="4101" max="4101" width="16.44140625" style="1545" customWidth="1"/>
    <col min="4102" max="4352" width="9.109375" style="1545"/>
    <col min="4353" max="4353" width="25.109375" style="1545" customWidth="1"/>
    <col min="4354" max="4354" width="16.88671875" style="1545" customWidth="1"/>
    <col min="4355" max="4355" width="17.88671875" style="1545" customWidth="1"/>
    <col min="4356" max="4356" width="16.88671875" style="1545" customWidth="1"/>
    <col min="4357" max="4357" width="16.44140625" style="1545" customWidth="1"/>
    <col min="4358" max="4608" width="9.109375" style="1545"/>
    <col min="4609" max="4609" width="25.109375" style="1545" customWidth="1"/>
    <col min="4610" max="4610" width="16.88671875" style="1545" customWidth="1"/>
    <col min="4611" max="4611" width="17.88671875" style="1545" customWidth="1"/>
    <col min="4612" max="4612" width="16.88671875" style="1545" customWidth="1"/>
    <col min="4613" max="4613" width="16.44140625" style="1545" customWidth="1"/>
    <col min="4614" max="4864" width="9.109375" style="1545"/>
    <col min="4865" max="4865" width="25.109375" style="1545" customWidth="1"/>
    <col min="4866" max="4866" width="16.88671875" style="1545" customWidth="1"/>
    <col min="4867" max="4867" width="17.88671875" style="1545" customWidth="1"/>
    <col min="4868" max="4868" width="16.88671875" style="1545" customWidth="1"/>
    <col min="4869" max="4869" width="16.44140625" style="1545" customWidth="1"/>
    <col min="4870" max="5120" width="9.109375" style="1545"/>
    <col min="5121" max="5121" width="25.109375" style="1545" customWidth="1"/>
    <col min="5122" max="5122" width="16.88671875" style="1545" customWidth="1"/>
    <col min="5123" max="5123" width="17.88671875" style="1545" customWidth="1"/>
    <col min="5124" max="5124" width="16.88671875" style="1545" customWidth="1"/>
    <col min="5125" max="5125" width="16.44140625" style="1545" customWidth="1"/>
    <col min="5126" max="5376" width="9.109375" style="1545"/>
    <col min="5377" max="5377" width="25.109375" style="1545" customWidth="1"/>
    <col min="5378" max="5378" width="16.88671875" style="1545" customWidth="1"/>
    <col min="5379" max="5379" width="17.88671875" style="1545" customWidth="1"/>
    <col min="5380" max="5380" width="16.88671875" style="1545" customWidth="1"/>
    <col min="5381" max="5381" width="16.44140625" style="1545" customWidth="1"/>
    <col min="5382" max="5632" width="9.109375" style="1545"/>
    <col min="5633" max="5633" width="25.109375" style="1545" customWidth="1"/>
    <col min="5634" max="5634" width="16.88671875" style="1545" customWidth="1"/>
    <col min="5635" max="5635" width="17.88671875" style="1545" customWidth="1"/>
    <col min="5636" max="5636" width="16.88671875" style="1545" customWidth="1"/>
    <col min="5637" max="5637" width="16.44140625" style="1545" customWidth="1"/>
    <col min="5638" max="5888" width="9.109375" style="1545"/>
    <col min="5889" max="5889" width="25.109375" style="1545" customWidth="1"/>
    <col min="5890" max="5890" width="16.88671875" style="1545" customWidth="1"/>
    <col min="5891" max="5891" width="17.88671875" style="1545" customWidth="1"/>
    <col min="5892" max="5892" width="16.88671875" style="1545" customWidth="1"/>
    <col min="5893" max="5893" width="16.44140625" style="1545" customWidth="1"/>
    <col min="5894" max="6144" width="9.109375" style="1545"/>
    <col min="6145" max="6145" width="25.109375" style="1545" customWidth="1"/>
    <col min="6146" max="6146" width="16.88671875" style="1545" customWidth="1"/>
    <col min="6147" max="6147" width="17.88671875" style="1545" customWidth="1"/>
    <col min="6148" max="6148" width="16.88671875" style="1545" customWidth="1"/>
    <col min="6149" max="6149" width="16.44140625" style="1545" customWidth="1"/>
    <col min="6150" max="6400" width="9.109375" style="1545"/>
    <col min="6401" max="6401" width="25.109375" style="1545" customWidth="1"/>
    <col min="6402" max="6402" width="16.88671875" style="1545" customWidth="1"/>
    <col min="6403" max="6403" width="17.88671875" style="1545" customWidth="1"/>
    <col min="6404" max="6404" width="16.88671875" style="1545" customWidth="1"/>
    <col min="6405" max="6405" width="16.44140625" style="1545" customWidth="1"/>
    <col min="6406" max="6656" width="9.109375" style="1545"/>
    <col min="6657" max="6657" width="25.109375" style="1545" customWidth="1"/>
    <col min="6658" max="6658" width="16.88671875" style="1545" customWidth="1"/>
    <col min="6659" max="6659" width="17.88671875" style="1545" customWidth="1"/>
    <col min="6660" max="6660" width="16.88671875" style="1545" customWidth="1"/>
    <col min="6661" max="6661" width="16.44140625" style="1545" customWidth="1"/>
    <col min="6662" max="6912" width="9.109375" style="1545"/>
    <col min="6913" max="6913" width="25.109375" style="1545" customWidth="1"/>
    <col min="6914" max="6914" width="16.88671875" style="1545" customWidth="1"/>
    <col min="6915" max="6915" width="17.88671875" style="1545" customWidth="1"/>
    <col min="6916" max="6916" width="16.88671875" style="1545" customWidth="1"/>
    <col min="6917" max="6917" width="16.44140625" style="1545" customWidth="1"/>
    <col min="6918" max="7168" width="9.109375" style="1545"/>
    <col min="7169" max="7169" width="25.109375" style="1545" customWidth="1"/>
    <col min="7170" max="7170" width="16.88671875" style="1545" customWidth="1"/>
    <col min="7171" max="7171" width="17.88671875" style="1545" customWidth="1"/>
    <col min="7172" max="7172" width="16.88671875" style="1545" customWidth="1"/>
    <col min="7173" max="7173" width="16.44140625" style="1545" customWidth="1"/>
    <col min="7174" max="7424" width="9.109375" style="1545"/>
    <col min="7425" max="7425" width="25.109375" style="1545" customWidth="1"/>
    <col min="7426" max="7426" width="16.88671875" style="1545" customWidth="1"/>
    <col min="7427" max="7427" width="17.88671875" style="1545" customWidth="1"/>
    <col min="7428" max="7428" width="16.88671875" style="1545" customWidth="1"/>
    <col min="7429" max="7429" width="16.44140625" style="1545" customWidth="1"/>
    <col min="7430" max="7680" width="9.109375" style="1545"/>
    <col min="7681" max="7681" width="25.109375" style="1545" customWidth="1"/>
    <col min="7682" max="7682" width="16.88671875" style="1545" customWidth="1"/>
    <col min="7683" max="7683" width="17.88671875" style="1545" customWidth="1"/>
    <col min="7684" max="7684" width="16.88671875" style="1545" customWidth="1"/>
    <col min="7685" max="7685" width="16.44140625" style="1545" customWidth="1"/>
    <col min="7686" max="7936" width="9.109375" style="1545"/>
    <col min="7937" max="7937" width="25.109375" style="1545" customWidth="1"/>
    <col min="7938" max="7938" width="16.88671875" style="1545" customWidth="1"/>
    <col min="7939" max="7939" width="17.88671875" style="1545" customWidth="1"/>
    <col min="7940" max="7940" width="16.88671875" style="1545" customWidth="1"/>
    <col min="7941" max="7941" width="16.44140625" style="1545" customWidth="1"/>
    <col min="7942" max="8192" width="9.109375" style="1545"/>
    <col min="8193" max="8193" width="25.109375" style="1545" customWidth="1"/>
    <col min="8194" max="8194" width="16.88671875" style="1545" customWidth="1"/>
    <col min="8195" max="8195" width="17.88671875" style="1545" customWidth="1"/>
    <col min="8196" max="8196" width="16.88671875" style="1545" customWidth="1"/>
    <col min="8197" max="8197" width="16.44140625" style="1545" customWidth="1"/>
    <col min="8198" max="8448" width="9.109375" style="1545"/>
    <col min="8449" max="8449" width="25.109375" style="1545" customWidth="1"/>
    <col min="8450" max="8450" width="16.88671875" style="1545" customWidth="1"/>
    <col min="8451" max="8451" width="17.88671875" style="1545" customWidth="1"/>
    <col min="8452" max="8452" width="16.88671875" style="1545" customWidth="1"/>
    <col min="8453" max="8453" width="16.44140625" style="1545" customWidth="1"/>
    <col min="8454" max="8704" width="9.109375" style="1545"/>
    <col min="8705" max="8705" width="25.109375" style="1545" customWidth="1"/>
    <col min="8706" max="8706" width="16.88671875" style="1545" customWidth="1"/>
    <col min="8707" max="8707" width="17.88671875" style="1545" customWidth="1"/>
    <col min="8708" max="8708" width="16.88671875" style="1545" customWidth="1"/>
    <col min="8709" max="8709" width="16.44140625" style="1545" customWidth="1"/>
    <col min="8710" max="8960" width="9.109375" style="1545"/>
    <col min="8961" max="8961" width="25.109375" style="1545" customWidth="1"/>
    <col min="8962" max="8962" width="16.88671875" style="1545" customWidth="1"/>
    <col min="8963" max="8963" width="17.88671875" style="1545" customWidth="1"/>
    <col min="8964" max="8964" width="16.88671875" style="1545" customWidth="1"/>
    <col min="8965" max="8965" width="16.44140625" style="1545" customWidth="1"/>
    <col min="8966" max="9216" width="9.109375" style="1545"/>
    <col min="9217" max="9217" width="25.109375" style="1545" customWidth="1"/>
    <col min="9218" max="9218" width="16.88671875" style="1545" customWidth="1"/>
    <col min="9219" max="9219" width="17.88671875" style="1545" customWidth="1"/>
    <col min="9220" max="9220" width="16.88671875" style="1545" customWidth="1"/>
    <col min="9221" max="9221" width="16.44140625" style="1545" customWidth="1"/>
    <col min="9222" max="9472" width="9.109375" style="1545"/>
    <col min="9473" max="9473" width="25.109375" style="1545" customWidth="1"/>
    <col min="9474" max="9474" width="16.88671875" style="1545" customWidth="1"/>
    <col min="9475" max="9475" width="17.88671875" style="1545" customWidth="1"/>
    <col min="9476" max="9476" width="16.88671875" style="1545" customWidth="1"/>
    <col min="9477" max="9477" width="16.44140625" style="1545" customWidth="1"/>
    <col min="9478" max="9728" width="9.109375" style="1545"/>
    <col min="9729" max="9729" width="25.109375" style="1545" customWidth="1"/>
    <col min="9730" max="9730" width="16.88671875" style="1545" customWidth="1"/>
    <col min="9731" max="9731" width="17.88671875" style="1545" customWidth="1"/>
    <col min="9732" max="9732" width="16.88671875" style="1545" customWidth="1"/>
    <col min="9733" max="9733" width="16.44140625" style="1545" customWidth="1"/>
    <col min="9734" max="9984" width="9.109375" style="1545"/>
    <col min="9985" max="9985" width="25.109375" style="1545" customWidth="1"/>
    <col min="9986" max="9986" width="16.88671875" style="1545" customWidth="1"/>
    <col min="9987" max="9987" width="17.88671875" style="1545" customWidth="1"/>
    <col min="9988" max="9988" width="16.88671875" style="1545" customWidth="1"/>
    <col min="9989" max="9989" width="16.44140625" style="1545" customWidth="1"/>
    <col min="9990" max="10240" width="9.109375" style="1545"/>
    <col min="10241" max="10241" width="25.109375" style="1545" customWidth="1"/>
    <col min="10242" max="10242" width="16.88671875" style="1545" customWidth="1"/>
    <col min="10243" max="10243" width="17.88671875" style="1545" customWidth="1"/>
    <col min="10244" max="10244" width="16.88671875" style="1545" customWidth="1"/>
    <col min="10245" max="10245" width="16.44140625" style="1545" customWidth="1"/>
    <col min="10246" max="10496" width="9.109375" style="1545"/>
    <col min="10497" max="10497" width="25.109375" style="1545" customWidth="1"/>
    <col min="10498" max="10498" width="16.88671875" style="1545" customWidth="1"/>
    <col min="10499" max="10499" width="17.88671875" style="1545" customWidth="1"/>
    <col min="10500" max="10500" width="16.88671875" style="1545" customWidth="1"/>
    <col min="10501" max="10501" width="16.44140625" style="1545" customWidth="1"/>
    <col min="10502" max="10752" width="9.109375" style="1545"/>
    <col min="10753" max="10753" width="25.109375" style="1545" customWidth="1"/>
    <col min="10754" max="10754" width="16.88671875" style="1545" customWidth="1"/>
    <col min="10755" max="10755" width="17.88671875" style="1545" customWidth="1"/>
    <col min="10756" max="10756" width="16.88671875" style="1545" customWidth="1"/>
    <col min="10757" max="10757" width="16.44140625" style="1545" customWidth="1"/>
    <col min="10758" max="11008" width="9.109375" style="1545"/>
    <col min="11009" max="11009" width="25.109375" style="1545" customWidth="1"/>
    <col min="11010" max="11010" width="16.88671875" style="1545" customWidth="1"/>
    <col min="11011" max="11011" width="17.88671875" style="1545" customWidth="1"/>
    <col min="11012" max="11012" width="16.88671875" style="1545" customWidth="1"/>
    <col min="11013" max="11013" width="16.44140625" style="1545" customWidth="1"/>
    <col min="11014" max="11264" width="9.109375" style="1545"/>
    <col min="11265" max="11265" width="25.109375" style="1545" customWidth="1"/>
    <col min="11266" max="11266" width="16.88671875" style="1545" customWidth="1"/>
    <col min="11267" max="11267" width="17.88671875" style="1545" customWidth="1"/>
    <col min="11268" max="11268" width="16.88671875" style="1545" customWidth="1"/>
    <col min="11269" max="11269" width="16.44140625" style="1545" customWidth="1"/>
    <col min="11270" max="11520" width="9.109375" style="1545"/>
    <col min="11521" max="11521" width="25.109375" style="1545" customWidth="1"/>
    <col min="11522" max="11522" width="16.88671875" style="1545" customWidth="1"/>
    <col min="11523" max="11523" width="17.88671875" style="1545" customWidth="1"/>
    <col min="11524" max="11524" width="16.88671875" style="1545" customWidth="1"/>
    <col min="11525" max="11525" width="16.44140625" style="1545" customWidth="1"/>
    <col min="11526" max="11776" width="9.109375" style="1545"/>
    <col min="11777" max="11777" width="25.109375" style="1545" customWidth="1"/>
    <col min="11778" max="11778" width="16.88671875" style="1545" customWidth="1"/>
    <col min="11779" max="11779" width="17.88671875" style="1545" customWidth="1"/>
    <col min="11780" max="11780" width="16.88671875" style="1545" customWidth="1"/>
    <col min="11781" max="11781" width="16.44140625" style="1545" customWidth="1"/>
    <col min="11782" max="12032" width="9.109375" style="1545"/>
    <col min="12033" max="12033" width="25.109375" style="1545" customWidth="1"/>
    <col min="12034" max="12034" width="16.88671875" style="1545" customWidth="1"/>
    <col min="12035" max="12035" width="17.88671875" style="1545" customWidth="1"/>
    <col min="12036" max="12036" width="16.88671875" style="1545" customWidth="1"/>
    <col min="12037" max="12037" width="16.44140625" style="1545" customWidth="1"/>
    <col min="12038" max="12288" width="9.109375" style="1545"/>
    <col min="12289" max="12289" width="25.109375" style="1545" customWidth="1"/>
    <col min="12290" max="12290" width="16.88671875" style="1545" customWidth="1"/>
    <col min="12291" max="12291" width="17.88671875" style="1545" customWidth="1"/>
    <col min="12292" max="12292" width="16.88671875" style="1545" customWidth="1"/>
    <col min="12293" max="12293" width="16.44140625" style="1545" customWidth="1"/>
    <col min="12294" max="12544" width="9.109375" style="1545"/>
    <col min="12545" max="12545" width="25.109375" style="1545" customWidth="1"/>
    <col min="12546" max="12546" width="16.88671875" style="1545" customWidth="1"/>
    <col min="12547" max="12547" width="17.88671875" style="1545" customWidth="1"/>
    <col min="12548" max="12548" width="16.88671875" style="1545" customWidth="1"/>
    <col min="12549" max="12549" width="16.44140625" style="1545" customWidth="1"/>
    <col min="12550" max="12800" width="9.109375" style="1545"/>
    <col min="12801" max="12801" width="25.109375" style="1545" customWidth="1"/>
    <col min="12802" max="12802" width="16.88671875" style="1545" customWidth="1"/>
    <col min="12803" max="12803" width="17.88671875" style="1545" customWidth="1"/>
    <col min="12804" max="12804" width="16.88671875" style="1545" customWidth="1"/>
    <col min="12805" max="12805" width="16.44140625" style="1545" customWidth="1"/>
    <col min="12806" max="13056" width="9.109375" style="1545"/>
    <col min="13057" max="13057" width="25.109375" style="1545" customWidth="1"/>
    <col min="13058" max="13058" width="16.88671875" style="1545" customWidth="1"/>
    <col min="13059" max="13059" width="17.88671875" style="1545" customWidth="1"/>
    <col min="13060" max="13060" width="16.88671875" style="1545" customWidth="1"/>
    <col min="13061" max="13061" width="16.44140625" style="1545" customWidth="1"/>
    <col min="13062" max="13312" width="9.109375" style="1545"/>
    <col min="13313" max="13313" width="25.109375" style="1545" customWidth="1"/>
    <col min="13314" max="13314" width="16.88671875" style="1545" customWidth="1"/>
    <col min="13315" max="13315" width="17.88671875" style="1545" customWidth="1"/>
    <col min="13316" max="13316" width="16.88671875" style="1545" customWidth="1"/>
    <col min="13317" max="13317" width="16.44140625" style="1545" customWidth="1"/>
    <col min="13318" max="13568" width="9.109375" style="1545"/>
    <col min="13569" max="13569" width="25.109375" style="1545" customWidth="1"/>
    <col min="13570" max="13570" width="16.88671875" style="1545" customWidth="1"/>
    <col min="13571" max="13571" width="17.88671875" style="1545" customWidth="1"/>
    <col min="13572" max="13572" width="16.88671875" style="1545" customWidth="1"/>
    <col min="13573" max="13573" width="16.44140625" style="1545" customWidth="1"/>
    <col min="13574" max="13824" width="9.109375" style="1545"/>
    <col min="13825" max="13825" width="25.109375" style="1545" customWidth="1"/>
    <col min="13826" max="13826" width="16.88671875" style="1545" customWidth="1"/>
    <col min="13827" max="13827" width="17.88671875" style="1545" customWidth="1"/>
    <col min="13828" max="13828" width="16.88671875" style="1545" customWidth="1"/>
    <col min="13829" max="13829" width="16.44140625" style="1545" customWidth="1"/>
    <col min="13830" max="14080" width="9.109375" style="1545"/>
    <col min="14081" max="14081" width="25.109375" style="1545" customWidth="1"/>
    <col min="14082" max="14082" width="16.88671875" style="1545" customWidth="1"/>
    <col min="14083" max="14083" width="17.88671875" style="1545" customWidth="1"/>
    <col min="14084" max="14084" width="16.88671875" style="1545" customWidth="1"/>
    <col min="14085" max="14085" width="16.44140625" style="1545" customWidth="1"/>
    <col min="14086" max="14336" width="9.109375" style="1545"/>
    <col min="14337" max="14337" width="25.109375" style="1545" customWidth="1"/>
    <col min="14338" max="14338" width="16.88671875" style="1545" customWidth="1"/>
    <col min="14339" max="14339" width="17.88671875" style="1545" customWidth="1"/>
    <col min="14340" max="14340" width="16.88671875" style="1545" customWidth="1"/>
    <col min="14341" max="14341" width="16.44140625" style="1545" customWidth="1"/>
    <col min="14342" max="14592" width="9.109375" style="1545"/>
    <col min="14593" max="14593" width="25.109375" style="1545" customWidth="1"/>
    <col min="14594" max="14594" width="16.88671875" style="1545" customWidth="1"/>
    <col min="14595" max="14595" width="17.88671875" style="1545" customWidth="1"/>
    <col min="14596" max="14596" width="16.88671875" style="1545" customWidth="1"/>
    <col min="14597" max="14597" width="16.44140625" style="1545" customWidth="1"/>
    <col min="14598" max="14848" width="9.109375" style="1545"/>
    <col min="14849" max="14849" width="25.109375" style="1545" customWidth="1"/>
    <col min="14850" max="14850" width="16.88671875" style="1545" customWidth="1"/>
    <col min="14851" max="14851" width="17.88671875" style="1545" customWidth="1"/>
    <col min="14852" max="14852" width="16.88671875" style="1545" customWidth="1"/>
    <col min="14853" max="14853" width="16.44140625" style="1545" customWidth="1"/>
    <col min="14854" max="15104" width="9.109375" style="1545"/>
    <col min="15105" max="15105" width="25.109375" style="1545" customWidth="1"/>
    <col min="15106" max="15106" width="16.88671875" style="1545" customWidth="1"/>
    <col min="15107" max="15107" width="17.88671875" style="1545" customWidth="1"/>
    <col min="15108" max="15108" width="16.88671875" style="1545" customWidth="1"/>
    <col min="15109" max="15109" width="16.44140625" style="1545" customWidth="1"/>
    <col min="15110" max="15360" width="9.109375" style="1545"/>
    <col min="15361" max="15361" width="25.109375" style="1545" customWidth="1"/>
    <col min="15362" max="15362" width="16.88671875" style="1545" customWidth="1"/>
    <col min="15363" max="15363" width="17.88671875" style="1545" customWidth="1"/>
    <col min="15364" max="15364" width="16.88671875" style="1545" customWidth="1"/>
    <col min="15365" max="15365" width="16.44140625" style="1545" customWidth="1"/>
    <col min="15366" max="15616" width="9.109375" style="1545"/>
    <col min="15617" max="15617" width="25.109375" style="1545" customWidth="1"/>
    <col min="15618" max="15618" width="16.88671875" style="1545" customWidth="1"/>
    <col min="15619" max="15619" width="17.88671875" style="1545" customWidth="1"/>
    <col min="15620" max="15620" width="16.88671875" style="1545" customWidth="1"/>
    <col min="15621" max="15621" width="16.44140625" style="1545" customWidth="1"/>
    <col min="15622" max="15872" width="9.109375" style="1545"/>
    <col min="15873" max="15873" width="25.109375" style="1545" customWidth="1"/>
    <col min="15874" max="15874" width="16.88671875" style="1545" customWidth="1"/>
    <col min="15875" max="15875" width="17.88671875" style="1545" customWidth="1"/>
    <col min="15876" max="15876" width="16.88671875" style="1545" customWidth="1"/>
    <col min="15877" max="15877" width="16.44140625" style="1545" customWidth="1"/>
    <col min="15878" max="16128" width="9.109375" style="1545"/>
    <col min="16129" max="16129" width="25.109375" style="1545" customWidth="1"/>
    <col min="16130" max="16130" width="16.88671875" style="1545" customWidth="1"/>
    <col min="16131" max="16131" width="17.88671875" style="1545" customWidth="1"/>
    <col min="16132" max="16132" width="16.88671875" style="1545" customWidth="1"/>
    <col min="16133" max="16133" width="16.44140625" style="1545" customWidth="1"/>
    <col min="16134" max="16384" width="9.109375" style="1545"/>
  </cols>
  <sheetData>
    <row r="1" spans="1:5" s="4051" customFormat="1" ht="15.6">
      <c r="A1" s="15048" t="s">
        <v>6694</v>
      </c>
      <c r="B1" s="15048"/>
      <c r="C1" s="15048"/>
      <c r="D1" s="15048"/>
      <c r="E1" s="15048"/>
    </row>
    <row r="2" spans="1:5" s="4051" customFormat="1" ht="15.6">
      <c r="A2" s="4131"/>
      <c r="B2" s="4131"/>
      <c r="C2" s="4131"/>
      <c r="D2" s="4131"/>
      <c r="E2" s="4131"/>
    </row>
    <row r="3" spans="1:5" s="4051" customFormat="1" ht="15.6">
      <c r="A3" s="4056" t="s">
        <v>6629</v>
      </c>
      <c r="E3" s="4122"/>
    </row>
    <row r="4" spans="1:5" s="4051" customFormat="1" ht="15.6">
      <c r="A4" s="4056"/>
      <c r="E4" s="4122"/>
    </row>
    <row r="5" spans="1:5">
      <c r="A5" s="15049" t="s">
        <v>4589</v>
      </c>
      <c r="B5" s="15051" t="s">
        <v>18</v>
      </c>
      <c r="C5" s="15051"/>
      <c r="D5" s="15051" t="s">
        <v>52</v>
      </c>
      <c r="E5" s="15052" t="s">
        <v>458</v>
      </c>
    </row>
    <row r="6" spans="1:5" ht="41.4">
      <c r="A6" s="15050"/>
      <c r="B6" s="4066" t="s">
        <v>2151</v>
      </c>
      <c r="C6" s="4066" t="s">
        <v>6695</v>
      </c>
      <c r="D6" s="15051"/>
      <c r="E6" s="15052"/>
    </row>
    <row r="7" spans="1:5">
      <c r="A7" s="4052"/>
      <c r="B7" s="4052"/>
      <c r="C7" s="4052"/>
      <c r="D7" s="4052"/>
      <c r="E7" s="4123"/>
    </row>
    <row r="8" spans="1:5" s="4133" customFormat="1" ht="24.75" customHeight="1">
      <c r="A8" s="5360" t="s">
        <v>2048</v>
      </c>
      <c r="B8" s="15045"/>
      <c r="C8" s="15046"/>
      <c r="D8" s="15046"/>
      <c r="E8" s="15047"/>
    </row>
    <row r="9" spans="1:5">
      <c r="A9" s="4052"/>
      <c r="B9" s="4052"/>
      <c r="C9" s="4052"/>
      <c r="D9" s="4052"/>
      <c r="E9" s="4123"/>
    </row>
    <row r="10" spans="1:5" ht="81" customHeight="1">
      <c r="A10" s="4053" t="s">
        <v>6696</v>
      </c>
      <c r="B10" s="4124">
        <f>'lbpf 3-HCARMEN'!J31</f>
        <v>35562330.060000002</v>
      </c>
      <c r="C10" s="4124">
        <f>'lbpf 3-HCARMEN'!J86</f>
        <v>28982000</v>
      </c>
      <c r="D10" s="4067"/>
      <c r="E10" s="4125">
        <f>SUM(B10:D10)</f>
        <v>64544330.060000002</v>
      </c>
    </row>
    <row r="11" spans="1:5">
      <c r="A11" s="4052"/>
      <c r="B11" s="4052"/>
      <c r="C11" s="4052"/>
      <c r="D11" s="4052"/>
      <c r="E11" s="4123"/>
    </row>
    <row r="12" spans="1:5" ht="25.5" customHeight="1">
      <c r="A12" s="4054" t="s">
        <v>3429</v>
      </c>
      <c r="B12" s="15053"/>
      <c r="C12" s="15054"/>
      <c r="D12" s="15054"/>
      <c r="E12" s="15055"/>
    </row>
    <row r="13" spans="1:5" ht="36.75" customHeight="1">
      <c r="A13" s="4126" t="s">
        <v>6687</v>
      </c>
      <c r="B13" s="4126"/>
      <c r="C13" s="4052"/>
      <c r="D13" s="4127">
        <v>0</v>
      </c>
      <c r="E13" s="4128">
        <f>SUM(B13:D13)</f>
        <v>0</v>
      </c>
    </row>
    <row r="14" spans="1:5" ht="60.75" customHeight="1">
      <c r="A14" s="4126" t="s">
        <v>6697</v>
      </c>
      <c r="B14" s="4126"/>
      <c r="C14" s="4053"/>
      <c r="D14" s="4129">
        <v>226000</v>
      </c>
      <c r="E14" s="4128">
        <f>SUM(B14:D14)</f>
        <v>226000</v>
      </c>
    </row>
    <row r="15" spans="1:5" ht="71.25" customHeight="1">
      <c r="A15" s="4126" t="s">
        <v>6698</v>
      </c>
      <c r="B15" s="4126"/>
      <c r="C15" s="4053"/>
      <c r="D15" s="4129">
        <v>75000</v>
      </c>
      <c r="E15" s="4128">
        <f>SUM(B15:D15)</f>
        <v>75000</v>
      </c>
    </row>
    <row r="16" spans="1:5" ht="40.5" customHeight="1">
      <c r="A16" s="4053" t="s">
        <v>6627</v>
      </c>
      <c r="B16" s="4126"/>
      <c r="C16" s="4053"/>
      <c r="D16" s="4129">
        <v>0</v>
      </c>
      <c r="E16" s="4128">
        <f>SUM(B16:D16)</f>
        <v>0</v>
      </c>
    </row>
    <row r="17" spans="1:5" s="4133" customFormat="1" ht="22.5" customHeight="1">
      <c r="A17" s="4066" t="s">
        <v>220</v>
      </c>
      <c r="B17" s="4067"/>
      <c r="C17" s="4067"/>
      <c r="D17" s="4067"/>
      <c r="E17" s="4132">
        <f>SUM(E10,E13:E16)</f>
        <v>64845330.060000002</v>
      </c>
    </row>
    <row r="19" spans="1:5" hidden="1"/>
    <row r="20" spans="1:5" hidden="1">
      <c r="A20" s="1545" t="s">
        <v>3483</v>
      </c>
      <c r="B20" s="1545" t="s">
        <v>3484</v>
      </c>
      <c r="D20" s="1545" t="s">
        <v>3485</v>
      </c>
    </row>
    <row r="21" spans="1:5" hidden="1"/>
    <row r="22" spans="1:5" hidden="1">
      <c r="A22" s="1544"/>
      <c r="B22" s="1544"/>
      <c r="C22" s="1544"/>
      <c r="D22" s="1544"/>
      <c r="E22" s="4130"/>
    </row>
    <row r="23" spans="1:5" hidden="1">
      <c r="A23" s="4035" t="s">
        <v>6699</v>
      </c>
      <c r="B23" s="15056" t="s">
        <v>5050</v>
      </c>
      <c r="C23" s="15056"/>
      <c r="D23" s="15056" t="s">
        <v>5182</v>
      </c>
      <c r="E23" s="15056"/>
    </row>
    <row r="24" spans="1:5" hidden="1">
      <c r="A24" s="4068" t="s">
        <v>6700</v>
      </c>
      <c r="B24" s="15057" t="s">
        <v>3486</v>
      </c>
      <c r="C24" s="15057"/>
      <c r="D24" s="15057" t="s">
        <v>737</v>
      </c>
      <c r="E24" s="15057"/>
    </row>
    <row r="25" spans="1:5" hidden="1"/>
    <row r="26" spans="1:5" hidden="1"/>
  </sheetData>
  <mergeCells count="11">
    <mergeCell ref="B12:E12"/>
    <mergeCell ref="B23:C23"/>
    <mergeCell ref="D23:E23"/>
    <mergeCell ref="B24:C24"/>
    <mergeCell ref="D24:E24"/>
    <mergeCell ref="B8:E8"/>
    <mergeCell ref="A1:E1"/>
    <mergeCell ref="A5:A6"/>
    <mergeCell ref="B5:C5"/>
    <mergeCell ref="D5:D6"/>
    <mergeCell ref="E5:E6"/>
  </mergeCells>
  <pageMargins left="0.5" right="0.5" top="0.75" bottom="1" header="0.5" footer="0.5"/>
  <pageSetup paperSize="5" orientation="portrait" verticalDpi="300" r:id="rId1"/>
  <headerFooter alignWithMargins="0"/>
</worksheet>
</file>

<file path=xl/worksheets/sheet131.xml><?xml version="1.0" encoding="utf-8"?>
<worksheet xmlns="http://schemas.openxmlformats.org/spreadsheetml/2006/main" xmlns:r="http://schemas.openxmlformats.org/officeDocument/2006/relationships">
  <sheetPr codeName="Sheet90">
    <tabColor rgb="FFFFFF00"/>
  </sheetPr>
  <dimension ref="A1:I93"/>
  <sheetViews>
    <sheetView showGridLines="0" topLeftCell="A57" workbookViewId="0">
      <selection activeCell="P75" sqref="P75"/>
    </sheetView>
  </sheetViews>
  <sheetFormatPr defaultRowHeight="12.9" customHeight="1"/>
  <cols>
    <col min="1" max="1" width="40.5546875" style="7001" customWidth="1"/>
    <col min="2" max="3" width="8.5546875" style="7001" customWidth="1"/>
    <col min="4" max="6" width="14.5546875" style="7001" customWidth="1"/>
    <col min="7" max="7" width="9.109375" style="7001"/>
    <col min="8" max="8" width="14.44140625" style="7001" hidden="1" customWidth="1"/>
    <col min="9" max="14" width="0" style="7001" hidden="1" customWidth="1"/>
    <col min="15" max="235" width="9.109375" style="7001"/>
    <col min="236" max="236" width="31.88671875" style="7001" customWidth="1"/>
    <col min="237" max="238" width="9.109375" style="7001"/>
    <col min="239" max="239" width="10" style="7001" customWidth="1"/>
    <col min="240" max="240" width="13.88671875" style="7001" customWidth="1"/>
    <col min="241" max="241" width="15.109375" style="7001" customWidth="1"/>
    <col min="242" max="242" width="9.109375" style="7001"/>
    <col min="243" max="243" width="14.109375" style="7001" customWidth="1"/>
    <col min="244" max="244" width="13.109375" style="7001" customWidth="1"/>
    <col min="245" max="245" width="11.109375" style="7001" bestFit="1" customWidth="1"/>
    <col min="246" max="491" width="9.109375" style="7001"/>
    <col min="492" max="492" width="31.88671875" style="7001" customWidth="1"/>
    <col min="493" max="494" width="9.109375" style="7001"/>
    <col min="495" max="495" width="10" style="7001" customWidth="1"/>
    <col min="496" max="496" width="13.88671875" style="7001" customWidth="1"/>
    <col min="497" max="497" width="15.109375" style="7001" customWidth="1"/>
    <col min="498" max="498" width="9.109375" style="7001"/>
    <col min="499" max="499" width="14.109375" style="7001" customWidth="1"/>
    <col min="500" max="500" width="13.109375" style="7001" customWidth="1"/>
    <col min="501" max="501" width="11.109375" style="7001" bestFit="1" customWidth="1"/>
    <col min="502" max="747" width="9.109375" style="7001"/>
    <col min="748" max="748" width="31.88671875" style="7001" customWidth="1"/>
    <col min="749" max="750" width="9.109375" style="7001"/>
    <col min="751" max="751" width="10" style="7001" customWidth="1"/>
    <col min="752" max="752" width="13.88671875" style="7001" customWidth="1"/>
    <col min="753" max="753" width="15.109375" style="7001" customWidth="1"/>
    <col min="754" max="754" width="9.109375" style="7001"/>
    <col min="755" max="755" width="14.109375" style="7001" customWidth="1"/>
    <col min="756" max="756" width="13.109375" style="7001" customWidth="1"/>
    <col min="757" max="757" width="11.109375" style="7001" bestFit="1" customWidth="1"/>
    <col min="758" max="1003" width="9.109375" style="7001"/>
    <col min="1004" max="1004" width="31.88671875" style="7001" customWidth="1"/>
    <col min="1005" max="1006" width="9.109375" style="7001"/>
    <col min="1007" max="1007" width="10" style="7001" customWidth="1"/>
    <col min="1008" max="1008" width="13.88671875" style="7001" customWidth="1"/>
    <col min="1009" max="1009" width="15.109375" style="7001" customWidth="1"/>
    <col min="1010" max="1010" width="9.109375" style="7001"/>
    <col min="1011" max="1011" width="14.109375" style="7001" customWidth="1"/>
    <col min="1012" max="1012" width="13.109375" style="7001" customWidth="1"/>
    <col min="1013" max="1013" width="11.109375" style="7001" bestFit="1" customWidth="1"/>
    <col min="1014" max="1259" width="9.109375" style="7001"/>
    <col min="1260" max="1260" width="31.88671875" style="7001" customWidth="1"/>
    <col min="1261" max="1262" width="9.109375" style="7001"/>
    <col min="1263" max="1263" width="10" style="7001" customWidth="1"/>
    <col min="1264" max="1264" width="13.88671875" style="7001" customWidth="1"/>
    <col min="1265" max="1265" width="15.109375" style="7001" customWidth="1"/>
    <col min="1266" max="1266" width="9.109375" style="7001"/>
    <col min="1267" max="1267" width="14.109375" style="7001" customWidth="1"/>
    <col min="1268" max="1268" width="13.109375" style="7001" customWidth="1"/>
    <col min="1269" max="1269" width="11.109375" style="7001" bestFit="1" customWidth="1"/>
    <col min="1270" max="1515" width="9.109375" style="7001"/>
    <col min="1516" max="1516" width="31.88671875" style="7001" customWidth="1"/>
    <col min="1517" max="1518" width="9.109375" style="7001"/>
    <col min="1519" max="1519" width="10" style="7001" customWidth="1"/>
    <col min="1520" max="1520" width="13.88671875" style="7001" customWidth="1"/>
    <col min="1521" max="1521" width="15.109375" style="7001" customWidth="1"/>
    <col min="1522" max="1522" width="9.109375" style="7001"/>
    <col min="1523" max="1523" width="14.109375" style="7001" customWidth="1"/>
    <col min="1524" max="1524" width="13.109375" style="7001" customWidth="1"/>
    <col min="1525" max="1525" width="11.109375" style="7001" bestFit="1" customWidth="1"/>
    <col min="1526" max="1771" width="9.109375" style="7001"/>
    <col min="1772" max="1772" width="31.88671875" style="7001" customWidth="1"/>
    <col min="1773" max="1774" width="9.109375" style="7001"/>
    <col min="1775" max="1775" width="10" style="7001" customWidth="1"/>
    <col min="1776" max="1776" width="13.88671875" style="7001" customWidth="1"/>
    <col min="1777" max="1777" width="15.109375" style="7001" customWidth="1"/>
    <col min="1778" max="1778" width="9.109375" style="7001"/>
    <col min="1779" max="1779" width="14.109375" style="7001" customWidth="1"/>
    <col min="1780" max="1780" width="13.109375" style="7001" customWidth="1"/>
    <col min="1781" max="1781" width="11.109375" style="7001" bestFit="1" customWidth="1"/>
    <col min="1782" max="2027" width="9.109375" style="7001"/>
    <col min="2028" max="2028" width="31.88671875" style="7001" customWidth="1"/>
    <col min="2029" max="2030" width="9.109375" style="7001"/>
    <col min="2031" max="2031" width="10" style="7001" customWidth="1"/>
    <col min="2032" max="2032" width="13.88671875" style="7001" customWidth="1"/>
    <col min="2033" max="2033" width="15.109375" style="7001" customWidth="1"/>
    <col min="2034" max="2034" width="9.109375" style="7001"/>
    <col min="2035" max="2035" width="14.109375" style="7001" customWidth="1"/>
    <col min="2036" max="2036" width="13.109375" style="7001" customWidth="1"/>
    <col min="2037" max="2037" width="11.109375" style="7001" bestFit="1" customWidth="1"/>
    <col min="2038" max="2283" width="9.109375" style="7001"/>
    <col min="2284" max="2284" width="31.88671875" style="7001" customWidth="1"/>
    <col min="2285" max="2286" width="9.109375" style="7001"/>
    <col min="2287" max="2287" width="10" style="7001" customWidth="1"/>
    <col min="2288" max="2288" width="13.88671875" style="7001" customWidth="1"/>
    <col min="2289" max="2289" width="15.109375" style="7001" customWidth="1"/>
    <col min="2290" max="2290" width="9.109375" style="7001"/>
    <col min="2291" max="2291" width="14.109375" style="7001" customWidth="1"/>
    <col min="2292" max="2292" width="13.109375" style="7001" customWidth="1"/>
    <col min="2293" max="2293" width="11.109375" style="7001" bestFit="1" customWidth="1"/>
    <col min="2294" max="2539" width="9.109375" style="7001"/>
    <col min="2540" max="2540" width="31.88671875" style="7001" customWidth="1"/>
    <col min="2541" max="2542" width="9.109375" style="7001"/>
    <col min="2543" max="2543" width="10" style="7001" customWidth="1"/>
    <col min="2544" max="2544" width="13.88671875" style="7001" customWidth="1"/>
    <col min="2545" max="2545" width="15.109375" style="7001" customWidth="1"/>
    <col min="2546" max="2546" width="9.109375" style="7001"/>
    <col min="2547" max="2547" width="14.109375" style="7001" customWidth="1"/>
    <col min="2548" max="2548" width="13.109375" style="7001" customWidth="1"/>
    <col min="2549" max="2549" width="11.109375" style="7001" bestFit="1" customWidth="1"/>
    <col min="2550" max="2795" width="9.109375" style="7001"/>
    <col min="2796" max="2796" width="31.88671875" style="7001" customWidth="1"/>
    <col min="2797" max="2798" width="9.109375" style="7001"/>
    <col min="2799" max="2799" width="10" style="7001" customWidth="1"/>
    <col min="2800" max="2800" width="13.88671875" style="7001" customWidth="1"/>
    <col min="2801" max="2801" width="15.109375" style="7001" customWidth="1"/>
    <col min="2802" max="2802" width="9.109375" style="7001"/>
    <col min="2803" max="2803" width="14.109375" style="7001" customWidth="1"/>
    <col min="2804" max="2804" width="13.109375" style="7001" customWidth="1"/>
    <col min="2805" max="2805" width="11.109375" style="7001" bestFit="1" customWidth="1"/>
    <col min="2806" max="3051" width="9.109375" style="7001"/>
    <col min="3052" max="3052" width="31.88671875" style="7001" customWidth="1"/>
    <col min="3053" max="3054" width="9.109375" style="7001"/>
    <col min="3055" max="3055" width="10" style="7001" customWidth="1"/>
    <col min="3056" max="3056" width="13.88671875" style="7001" customWidth="1"/>
    <col min="3057" max="3057" width="15.109375" style="7001" customWidth="1"/>
    <col min="3058" max="3058" width="9.109375" style="7001"/>
    <col min="3059" max="3059" width="14.109375" style="7001" customWidth="1"/>
    <col min="3060" max="3060" width="13.109375" style="7001" customWidth="1"/>
    <col min="3061" max="3061" width="11.109375" style="7001" bestFit="1" customWidth="1"/>
    <col min="3062" max="3307" width="9.109375" style="7001"/>
    <col min="3308" max="3308" width="31.88671875" style="7001" customWidth="1"/>
    <col min="3309" max="3310" width="9.109375" style="7001"/>
    <col min="3311" max="3311" width="10" style="7001" customWidth="1"/>
    <col min="3312" max="3312" width="13.88671875" style="7001" customWidth="1"/>
    <col min="3313" max="3313" width="15.109375" style="7001" customWidth="1"/>
    <col min="3314" max="3314" width="9.109375" style="7001"/>
    <col min="3315" max="3315" width="14.109375" style="7001" customWidth="1"/>
    <col min="3316" max="3316" width="13.109375" style="7001" customWidth="1"/>
    <col min="3317" max="3317" width="11.109375" style="7001" bestFit="1" customWidth="1"/>
    <col min="3318" max="3563" width="9.109375" style="7001"/>
    <col min="3564" max="3564" width="31.88671875" style="7001" customWidth="1"/>
    <col min="3565" max="3566" width="9.109375" style="7001"/>
    <col min="3567" max="3567" width="10" style="7001" customWidth="1"/>
    <col min="3568" max="3568" width="13.88671875" style="7001" customWidth="1"/>
    <col min="3569" max="3569" width="15.109375" style="7001" customWidth="1"/>
    <col min="3570" max="3570" width="9.109375" style="7001"/>
    <col min="3571" max="3571" width="14.109375" style="7001" customWidth="1"/>
    <col min="3572" max="3572" width="13.109375" style="7001" customWidth="1"/>
    <col min="3573" max="3573" width="11.109375" style="7001" bestFit="1" customWidth="1"/>
    <col min="3574" max="3819" width="9.109375" style="7001"/>
    <col min="3820" max="3820" width="31.88671875" style="7001" customWidth="1"/>
    <col min="3821" max="3822" width="9.109375" style="7001"/>
    <col min="3823" max="3823" width="10" style="7001" customWidth="1"/>
    <col min="3824" max="3824" width="13.88671875" style="7001" customWidth="1"/>
    <col min="3825" max="3825" width="15.109375" style="7001" customWidth="1"/>
    <col min="3826" max="3826" width="9.109375" style="7001"/>
    <col min="3827" max="3827" width="14.109375" style="7001" customWidth="1"/>
    <col min="3828" max="3828" width="13.109375" style="7001" customWidth="1"/>
    <col min="3829" max="3829" width="11.109375" style="7001" bestFit="1" customWidth="1"/>
    <col min="3830" max="4075" width="9.109375" style="7001"/>
    <col min="4076" max="4076" width="31.88671875" style="7001" customWidth="1"/>
    <col min="4077" max="4078" width="9.109375" style="7001"/>
    <col min="4079" max="4079" width="10" style="7001" customWidth="1"/>
    <col min="4080" max="4080" width="13.88671875" style="7001" customWidth="1"/>
    <col min="4081" max="4081" width="15.109375" style="7001" customWidth="1"/>
    <col min="4082" max="4082" width="9.109375" style="7001"/>
    <col min="4083" max="4083" width="14.109375" style="7001" customWidth="1"/>
    <col min="4084" max="4084" width="13.109375" style="7001" customWidth="1"/>
    <col min="4085" max="4085" width="11.109375" style="7001" bestFit="1" customWidth="1"/>
    <col min="4086" max="4331" width="9.109375" style="7001"/>
    <col min="4332" max="4332" width="31.88671875" style="7001" customWidth="1"/>
    <col min="4333" max="4334" width="9.109375" style="7001"/>
    <col min="4335" max="4335" width="10" style="7001" customWidth="1"/>
    <col min="4336" max="4336" width="13.88671875" style="7001" customWidth="1"/>
    <col min="4337" max="4337" width="15.109375" style="7001" customWidth="1"/>
    <col min="4338" max="4338" width="9.109375" style="7001"/>
    <col min="4339" max="4339" width="14.109375" style="7001" customWidth="1"/>
    <col min="4340" max="4340" width="13.109375" style="7001" customWidth="1"/>
    <col min="4341" max="4341" width="11.109375" style="7001" bestFit="1" customWidth="1"/>
    <col min="4342" max="4587" width="9.109375" style="7001"/>
    <col min="4588" max="4588" width="31.88671875" style="7001" customWidth="1"/>
    <col min="4589" max="4590" width="9.109375" style="7001"/>
    <col min="4591" max="4591" width="10" style="7001" customWidth="1"/>
    <col min="4592" max="4592" width="13.88671875" style="7001" customWidth="1"/>
    <col min="4593" max="4593" width="15.109375" style="7001" customWidth="1"/>
    <col min="4594" max="4594" width="9.109375" style="7001"/>
    <col min="4595" max="4595" width="14.109375" style="7001" customWidth="1"/>
    <col min="4596" max="4596" width="13.109375" style="7001" customWidth="1"/>
    <col min="4597" max="4597" width="11.109375" style="7001" bestFit="1" customWidth="1"/>
    <col min="4598" max="4843" width="9.109375" style="7001"/>
    <col min="4844" max="4844" width="31.88671875" style="7001" customWidth="1"/>
    <col min="4845" max="4846" width="9.109375" style="7001"/>
    <col min="4847" max="4847" width="10" style="7001" customWidth="1"/>
    <col min="4848" max="4848" width="13.88671875" style="7001" customWidth="1"/>
    <col min="4849" max="4849" width="15.109375" style="7001" customWidth="1"/>
    <col min="4850" max="4850" width="9.109375" style="7001"/>
    <col min="4851" max="4851" width="14.109375" style="7001" customWidth="1"/>
    <col min="4852" max="4852" width="13.109375" style="7001" customWidth="1"/>
    <col min="4853" max="4853" width="11.109375" style="7001" bestFit="1" customWidth="1"/>
    <col min="4854" max="5099" width="9.109375" style="7001"/>
    <col min="5100" max="5100" width="31.88671875" style="7001" customWidth="1"/>
    <col min="5101" max="5102" width="9.109375" style="7001"/>
    <col min="5103" max="5103" width="10" style="7001" customWidth="1"/>
    <col min="5104" max="5104" width="13.88671875" style="7001" customWidth="1"/>
    <col min="5105" max="5105" width="15.109375" style="7001" customWidth="1"/>
    <col min="5106" max="5106" width="9.109375" style="7001"/>
    <col min="5107" max="5107" width="14.109375" style="7001" customWidth="1"/>
    <col min="5108" max="5108" width="13.109375" style="7001" customWidth="1"/>
    <col min="5109" max="5109" width="11.109375" style="7001" bestFit="1" customWidth="1"/>
    <col min="5110" max="5355" width="9.109375" style="7001"/>
    <col min="5356" max="5356" width="31.88671875" style="7001" customWidth="1"/>
    <col min="5357" max="5358" width="9.109375" style="7001"/>
    <col min="5359" max="5359" width="10" style="7001" customWidth="1"/>
    <col min="5360" max="5360" width="13.88671875" style="7001" customWidth="1"/>
    <col min="5361" max="5361" width="15.109375" style="7001" customWidth="1"/>
    <col min="5362" max="5362" width="9.109375" style="7001"/>
    <col min="5363" max="5363" width="14.109375" style="7001" customWidth="1"/>
    <col min="5364" max="5364" width="13.109375" style="7001" customWidth="1"/>
    <col min="5365" max="5365" width="11.109375" style="7001" bestFit="1" customWidth="1"/>
    <col min="5366" max="5611" width="9.109375" style="7001"/>
    <col min="5612" max="5612" width="31.88671875" style="7001" customWidth="1"/>
    <col min="5613" max="5614" width="9.109375" style="7001"/>
    <col min="5615" max="5615" width="10" style="7001" customWidth="1"/>
    <col min="5616" max="5616" width="13.88671875" style="7001" customWidth="1"/>
    <col min="5617" max="5617" width="15.109375" style="7001" customWidth="1"/>
    <col min="5618" max="5618" width="9.109375" style="7001"/>
    <col min="5619" max="5619" width="14.109375" style="7001" customWidth="1"/>
    <col min="5620" max="5620" width="13.109375" style="7001" customWidth="1"/>
    <col min="5621" max="5621" width="11.109375" style="7001" bestFit="1" customWidth="1"/>
    <col min="5622" max="5867" width="9.109375" style="7001"/>
    <col min="5868" max="5868" width="31.88671875" style="7001" customWidth="1"/>
    <col min="5869" max="5870" width="9.109375" style="7001"/>
    <col min="5871" max="5871" width="10" style="7001" customWidth="1"/>
    <col min="5872" max="5872" width="13.88671875" style="7001" customWidth="1"/>
    <col min="5873" max="5873" width="15.109375" style="7001" customWidth="1"/>
    <col min="5874" max="5874" width="9.109375" style="7001"/>
    <col min="5875" max="5875" width="14.109375" style="7001" customWidth="1"/>
    <col min="5876" max="5876" width="13.109375" style="7001" customWidth="1"/>
    <col min="5877" max="5877" width="11.109375" style="7001" bestFit="1" customWidth="1"/>
    <col min="5878" max="6123" width="9.109375" style="7001"/>
    <col min="6124" max="6124" width="31.88671875" style="7001" customWidth="1"/>
    <col min="6125" max="6126" width="9.109375" style="7001"/>
    <col min="6127" max="6127" width="10" style="7001" customWidth="1"/>
    <col min="6128" max="6128" width="13.88671875" style="7001" customWidth="1"/>
    <col min="6129" max="6129" width="15.109375" style="7001" customWidth="1"/>
    <col min="6130" max="6130" width="9.109375" style="7001"/>
    <col min="6131" max="6131" width="14.109375" style="7001" customWidth="1"/>
    <col min="6132" max="6132" width="13.109375" style="7001" customWidth="1"/>
    <col min="6133" max="6133" width="11.109375" style="7001" bestFit="1" customWidth="1"/>
    <col min="6134" max="6379" width="9.109375" style="7001"/>
    <col min="6380" max="6380" width="31.88671875" style="7001" customWidth="1"/>
    <col min="6381" max="6382" width="9.109375" style="7001"/>
    <col min="6383" max="6383" width="10" style="7001" customWidth="1"/>
    <col min="6384" max="6384" width="13.88671875" style="7001" customWidth="1"/>
    <col min="6385" max="6385" width="15.109375" style="7001" customWidth="1"/>
    <col min="6386" max="6386" width="9.109375" style="7001"/>
    <col min="6387" max="6387" width="14.109375" style="7001" customWidth="1"/>
    <col min="6388" max="6388" width="13.109375" style="7001" customWidth="1"/>
    <col min="6389" max="6389" width="11.109375" style="7001" bestFit="1" customWidth="1"/>
    <col min="6390" max="6635" width="9.109375" style="7001"/>
    <col min="6636" max="6636" width="31.88671875" style="7001" customWidth="1"/>
    <col min="6637" max="6638" width="9.109375" style="7001"/>
    <col min="6639" max="6639" width="10" style="7001" customWidth="1"/>
    <col min="6640" max="6640" width="13.88671875" style="7001" customWidth="1"/>
    <col min="6641" max="6641" width="15.109375" style="7001" customWidth="1"/>
    <col min="6642" max="6642" width="9.109375" style="7001"/>
    <col min="6643" max="6643" width="14.109375" style="7001" customWidth="1"/>
    <col min="6644" max="6644" width="13.109375" style="7001" customWidth="1"/>
    <col min="6645" max="6645" width="11.109375" style="7001" bestFit="1" customWidth="1"/>
    <col min="6646" max="6891" width="9.109375" style="7001"/>
    <col min="6892" max="6892" width="31.88671875" style="7001" customWidth="1"/>
    <col min="6893" max="6894" width="9.109375" style="7001"/>
    <col min="6895" max="6895" width="10" style="7001" customWidth="1"/>
    <col min="6896" max="6896" width="13.88671875" style="7001" customWidth="1"/>
    <col min="6897" max="6897" width="15.109375" style="7001" customWidth="1"/>
    <col min="6898" max="6898" width="9.109375" style="7001"/>
    <col min="6899" max="6899" width="14.109375" style="7001" customWidth="1"/>
    <col min="6900" max="6900" width="13.109375" style="7001" customWidth="1"/>
    <col min="6901" max="6901" width="11.109375" style="7001" bestFit="1" customWidth="1"/>
    <col min="6902" max="7147" width="9.109375" style="7001"/>
    <col min="7148" max="7148" width="31.88671875" style="7001" customWidth="1"/>
    <col min="7149" max="7150" width="9.109375" style="7001"/>
    <col min="7151" max="7151" width="10" style="7001" customWidth="1"/>
    <col min="7152" max="7152" width="13.88671875" style="7001" customWidth="1"/>
    <col min="7153" max="7153" width="15.109375" style="7001" customWidth="1"/>
    <col min="7154" max="7154" width="9.109375" style="7001"/>
    <col min="7155" max="7155" width="14.109375" style="7001" customWidth="1"/>
    <col min="7156" max="7156" width="13.109375" style="7001" customWidth="1"/>
    <col min="7157" max="7157" width="11.109375" style="7001" bestFit="1" customWidth="1"/>
    <col min="7158" max="7403" width="9.109375" style="7001"/>
    <col min="7404" max="7404" width="31.88671875" style="7001" customWidth="1"/>
    <col min="7405" max="7406" width="9.109375" style="7001"/>
    <col min="7407" max="7407" width="10" style="7001" customWidth="1"/>
    <col min="7408" max="7408" width="13.88671875" style="7001" customWidth="1"/>
    <col min="7409" max="7409" width="15.109375" style="7001" customWidth="1"/>
    <col min="7410" max="7410" width="9.109375" style="7001"/>
    <col min="7411" max="7411" width="14.109375" style="7001" customWidth="1"/>
    <col min="7412" max="7412" width="13.109375" style="7001" customWidth="1"/>
    <col min="7413" max="7413" width="11.109375" style="7001" bestFit="1" customWidth="1"/>
    <col min="7414" max="7659" width="9.109375" style="7001"/>
    <col min="7660" max="7660" width="31.88671875" style="7001" customWidth="1"/>
    <col min="7661" max="7662" width="9.109375" style="7001"/>
    <col min="7663" max="7663" width="10" style="7001" customWidth="1"/>
    <col min="7664" max="7664" width="13.88671875" style="7001" customWidth="1"/>
    <col min="7665" max="7665" width="15.109375" style="7001" customWidth="1"/>
    <col min="7666" max="7666" width="9.109375" style="7001"/>
    <col min="7667" max="7667" width="14.109375" style="7001" customWidth="1"/>
    <col min="7668" max="7668" width="13.109375" style="7001" customWidth="1"/>
    <col min="7669" max="7669" width="11.109375" style="7001" bestFit="1" customWidth="1"/>
    <col min="7670" max="7915" width="9.109375" style="7001"/>
    <col min="7916" max="7916" width="31.88671875" style="7001" customWidth="1"/>
    <col min="7917" max="7918" width="9.109375" style="7001"/>
    <col min="7919" max="7919" width="10" style="7001" customWidth="1"/>
    <col min="7920" max="7920" width="13.88671875" style="7001" customWidth="1"/>
    <col min="7921" max="7921" width="15.109375" style="7001" customWidth="1"/>
    <col min="7922" max="7922" width="9.109375" style="7001"/>
    <col min="7923" max="7923" width="14.109375" style="7001" customWidth="1"/>
    <col min="7924" max="7924" width="13.109375" style="7001" customWidth="1"/>
    <col min="7925" max="7925" width="11.109375" style="7001" bestFit="1" customWidth="1"/>
    <col min="7926" max="8171" width="9.109375" style="7001"/>
    <col min="8172" max="8172" width="31.88671875" style="7001" customWidth="1"/>
    <col min="8173" max="8174" width="9.109375" style="7001"/>
    <col min="8175" max="8175" width="10" style="7001" customWidth="1"/>
    <col min="8176" max="8176" width="13.88671875" style="7001" customWidth="1"/>
    <col min="8177" max="8177" width="15.109375" style="7001" customWidth="1"/>
    <col min="8178" max="8178" width="9.109375" style="7001"/>
    <col min="8179" max="8179" width="14.109375" style="7001" customWidth="1"/>
    <col min="8180" max="8180" width="13.109375" style="7001" customWidth="1"/>
    <col min="8181" max="8181" width="11.109375" style="7001" bestFit="1" customWidth="1"/>
    <col min="8182" max="8427" width="9.109375" style="7001"/>
    <col min="8428" max="8428" width="31.88671875" style="7001" customWidth="1"/>
    <col min="8429" max="8430" width="9.109375" style="7001"/>
    <col min="8431" max="8431" width="10" style="7001" customWidth="1"/>
    <col min="8432" max="8432" width="13.88671875" style="7001" customWidth="1"/>
    <col min="8433" max="8433" width="15.109375" style="7001" customWidth="1"/>
    <col min="8434" max="8434" width="9.109375" style="7001"/>
    <col min="8435" max="8435" width="14.109375" style="7001" customWidth="1"/>
    <col min="8436" max="8436" width="13.109375" style="7001" customWidth="1"/>
    <col min="8437" max="8437" width="11.109375" style="7001" bestFit="1" customWidth="1"/>
    <col min="8438" max="8683" width="9.109375" style="7001"/>
    <col min="8684" max="8684" width="31.88671875" style="7001" customWidth="1"/>
    <col min="8685" max="8686" width="9.109375" style="7001"/>
    <col min="8687" max="8687" width="10" style="7001" customWidth="1"/>
    <col min="8688" max="8688" width="13.88671875" style="7001" customWidth="1"/>
    <col min="8689" max="8689" width="15.109375" style="7001" customWidth="1"/>
    <col min="8690" max="8690" width="9.109375" style="7001"/>
    <col min="8691" max="8691" width="14.109375" style="7001" customWidth="1"/>
    <col min="8692" max="8692" width="13.109375" style="7001" customWidth="1"/>
    <col min="8693" max="8693" width="11.109375" style="7001" bestFit="1" customWidth="1"/>
    <col min="8694" max="8939" width="9.109375" style="7001"/>
    <col min="8940" max="8940" width="31.88671875" style="7001" customWidth="1"/>
    <col min="8941" max="8942" width="9.109375" style="7001"/>
    <col min="8943" max="8943" width="10" style="7001" customWidth="1"/>
    <col min="8944" max="8944" width="13.88671875" style="7001" customWidth="1"/>
    <col min="8945" max="8945" width="15.109375" style="7001" customWidth="1"/>
    <col min="8946" max="8946" width="9.109375" style="7001"/>
    <col min="8947" max="8947" width="14.109375" style="7001" customWidth="1"/>
    <col min="8948" max="8948" width="13.109375" style="7001" customWidth="1"/>
    <col min="8949" max="8949" width="11.109375" style="7001" bestFit="1" customWidth="1"/>
    <col min="8950" max="9195" width="9.109375" style="7001"/>
    <col min="9196" max="9196" width="31.88671875" style="7001" customWidth="1"/>
    <col min="9197" max="9198" width="9.109375" style="7001"/>
    <col min="9199" max="9199" width="10" style="7001" customWidth="1"/>
    <col min="9200" max="9200" width="13.88671875" style="7001" customWidth="1"/>
    <col min="9201" max="9201" width="15.109375" style="7001" customWidth="1"/>
    <col min="9202" max="9202" width="9.109375" style="7001"/>
    <col min="9203" max="9203" width="14.109375" style="7001" customWidth="1"/>
    <col min="9204" max="9204" width="13.109375" style="7001" customWidth="1"/>
    <col min="9205" max="9205" width="11.109375" style="7001" bestFit="1" customWidth="1"/>
    <col min="9206" max="9451" width="9.109375" style="7001"/>
    <col min="9452" max="9452" width="31.88671875" style="7001" customWidth="1"/>
    <col min="9453" max="9454" width="9.109375" style="7001"/>
    <col min="9455" max="9455" width="10" style="7001" customWidth="1"/>
    <col min="9456" max="9456" width="13.88671875" style="7001" customWidth="1"/>
    <col min="9457" max="9457" width="15.109375" style="7001" customWidth="1"/>
    <col min="9458" max="9458" width="9.109375" style="7001"/>
    <col min="9459" max="9459" width="14.109375" style="7001" customWidth="1"/>
    <col min="9460" max="9460" width="13.109375" style="7001" customWidth="1"/>
    <col min="9461" max="9461" width="11.109375" style="7001" bestFit="1" customWidth="1"/>
    <col min="9462" max="9707" width="9.109375" style="7001"/>
    <col min="9708" max="9708" width="31.88671875" style="7001" customWidth="1"/>
    <col min="9709" max="9710" width="9.109375" style="7001"/>
    <col min="9711" max="9711" width="10" style="7001" customWidth="1"/>
    <col min="9712" max="9712" width="13.88671875" style="7001" customWidth="1"/>
    <col min="9713" max="9713" width="15.109375" style="7001" customWidth="1"/>
    <col min="9714" max="9714" width="9.109375" style="7001"/>
    <col min="9715" max="9715" width="14.109375" style="7001" customWidth="1"/>
    <col min="9716" max="9716" width="13.109375" style="7001" customWidth="1"/>
    <col min="9717" max="9717" width="11.109375" style="7001" bestFit="1" customWidth="1"/>
    <col min="9718" max="9963" width="9.109375" style="7001"/>
    <col min="9964" max="9964" width="31.88671875" style="7001" customWidth="1"/>
    <col min="9965" max="9966" width="9.109375" style="7001"/>
    <col min="9967" max="9967" width="10" style="7001" customWidth="1"/>
    <col min="9968" max="9968" width="13.88671875" style="7001" customWidth="1"/>
    <col min="9969" max="9969" width="15.109375" style="7001" customWidth="1"/>
    <col min="9970" max="9970" width="9.109375" style="7001"/>
    <col min="9971" max="9971" width="14.109375" style="7001" customWidth="1"/>
    <col min="9972" max="9972" width="13.109375" style="7001" customWidth="1"/>
    <col min="9973" max="9973" width="11.109375" style="7001" bestFit="1" customWidth="1"/>
    <col min="9974" max="10219" width="9.109375" style="7001"/>
    <col min="10220" max="10220" width="31.88671875" style="7001" customWidth="1"/>
    <col min="10221" max="10222" width="9.109375" style="7001"/>
    <col min="10223" max="10223" width="10" style="7001" customWidth="1"/>
    <col min="10224" max="10224" width="13.88671875" style="7001" customWidth="1"/>
    <col min="10225" max="10225" width="15.109375" style="7001" customWidth="1"/>
    <col min="10226" max="10226" width="9.109375" style="7001"/>
    <col min="10227" max="10227" width="14.109375" style="7001" customWidth="1"/>
    <col min="10228" max="10228" width="13.109375" style="7001" customWidth="1"/>
    <col min="10229" max="10229" width="11.109375" style="7001" bestFit="1" customWidth="1"/>
    <col min="10230" max="10475" width="9.109375" style="7001"/>
    <col min="10476" max="10476" width="31.88671875" style="7001" customWidth="1"/>
    <col min="10477" max="10478" width="9.109375" style="7001"/>
    <col min="10479" max="10479" width="10" style="7001" customWidth="1"/>
    <col min="10480" max="10480" width="13.88671875" style="7001" customWidth="1"/>
    <col min="10481" max="10481" width="15.109375" style="7001" customWidth="1"/>
    <col min="10482" max="10482" width="9.109375" style="7001"/>
    <col min="10483" max="10483" width="14.109375" style="7001" customWidth="1"/>
    <col min="10484" max="10484" width="13.109375" style="7001" customWidth="1"/>
    <col min="10485" max="10485" width="11.109375" style="7001" bestFit="1" customWidth="1"/>
    <col min="10486" max="10731" width="9.109375" style="7001"/>
    <col min="10732" max="10732" width="31.88671875" style="7001" customWidth="1"/>
    <col min="10733" max="10734" width="9.109375" style="7001"/>
    <col min="10735" max="10735" width="10" style="7001" customWidth="1"/>
    <col min="10736" max="10736" width="13.88671875" style="7001" customWidth="1"/>
    <col min="10737" max="10737" width="15.109375" style="7001" customWidth="1"/>
    <col min="10738" max="10738" width="9.109375" style="7001"/>
    <col min="10739" max="10739" width="14.109375" style="7001" customWidth="1"/>
    <col min="10740" max="10740" width="13.109375" style="7001" customWidth="1"/>
    <col min="10741" max="10741" width="11.109375" style="7001" bestFit="1" customWidth="1"/>
    <col min="10742" max="10987" width="9.109375" style="7001"/>
    <col min="10988" max="10988" width="31.88671875" style="7001" customWidth="1"/>
    <col min="10989" max="10990" width="9.109375" style="7001"/>
    <col min="10991" max="10991" width="10" style="7001" customWidth="1"/>
    <col min="10992" max="10992" width="13.88671875" style="7001" customWidth="1"/>
    <col min="10993" max="10993" width="15.109375" style="7001" customWidth="1"/>
    <col min="10994" max="10994" width="9.109375" style="7001"/>
    <col min="10995" max="10995" width="14.109375" style="7001" customWidth="1"/>
    <col min="10996" max="10996" width="13.109375" style="7001" customWidth="1"/>
    <col min="10997" max="10997" width="11.109375" style="7001" bestFit="1" customWidth="1"/>
    <col min="10998" max="11243" width="9.109375" style="7001"/>
    <col min="11244" max="11244" width="31.88671875" style="7001" customWidth="1"/>
    <col min="11245" max="11246" width="9.109375" style="7001"/>
    <col min="11247" max="11247" width="10" style="7001" customWidth="1"/>
    <col min="11248" max="11248" width="13.88671875" style="7001" customWidth="1"/>
    <col min="11249" max="11249" width="15.109375" style="7001" customWidth="1"/>
    <col min="11250" max="11250" width="9.109375" style="7001"/>
    <col min="11251" max="11251" width="14.109375" style="7001" customWidth="1"/>
    <col min="11252" max="11252" width="13.109375" style="7001" customWidth="1"/>
    <col min="11253" max="11253" width="11.109375" style="7001" bestFit="1" customWidth="1"/>
    <col min="11254" max="11499" width="9.109375" style="7001"/>
    <col min="11500" max="11500" width="31.88671875" style="7001" customWidth="1"/>
    <col min="11501" max="11502" width="9.109375" style="7001"/>
    <col min="11503" max="11503" width="10" style="7001" customWidth="1"/>
    <col min="11504" max="11504" width="13.88671875" style="7001" customWidth="1"/>
    <col min="11505" max="11505" width="15.109375" style="7001" customWidth="1"/>
    <col min="11506" max="11506" width="9.109375" style="7001"/>
    <col min="11507" max="11507" width="14.109375" style="7001" customWidth="1"/>
    <col min="11508" max="11508" width="13.109375" style="7001" customWidth="1"/>
    <col min="11509" max="11509" width="11.109375" style="7001" bestFit="1" customWidth="1"/>
    <col min="11510" max="11755" width="9.109375" style="7001"/>
    <col min="11756" max="11756" width="31.88671875" style="7001" customWidth="1"/>
    <col min="11757" max="11758" width="9.109375" style="7001"/>
    <col min="11759" max="11759" width="10" style="7001" customWidth="1"/>
    <col min="11760" max="11760" width="13.88671875" style="7001" customWidth="1"/>
    <col min="11761" max="11761" width="15.109375" style="7001" customWidth="1"/>
    <col min="11762" max="11762" width="9.109375" style="7001"/>
    <col min="11763" max="11763" width="14.109375" style="7001" customWidth="1"/>
    <col min="11764" max="11764" width="13.109375" style="7001" customWidth="1"/>
    <col min="11765" max="11765" width="11.109375" style="7001" bestFit="1" customWidth="1"/>
    <col min="11766" max="12011" width="9.109375" style="7001"/>
    <col min="12012" max="12012" width="31.88671875" style="7001" customWidth="1"/>
    <col min="12013" max="12014" width="9.109375" style="7001"/>
    <col min="12015" max="12015" width="10" style="7001" customWidth="1"/>
    <col min="12016" max="12016" width="13.88671875" style="7001" customWidth="1"/>
    <col min="12017" max="12017" width="15.109375" style="7001" customWidth="1"/>
    <col min="12018" max="12018" width="9.109375" style="7001"/>
    <col min="12019" max="12019" width="14.109375" style="7001" customWidth="1"/>
    <col min="12020" max="12020" width="13.109375" style="7001" customWidth="1"/>
    <col min="12021" max="12021" width="11.109375" style="7001" bestFit="1" customWidth="1"/>
    <col min="12022" max="12267" width="9.109375" style="7001"/>
    <col min="12268" max="12268" width="31.88671875" style="7001" customWidth="1"/>
    <col min="12269" max="12270" width="9.109375" style="7001"/>
    <col min="12271" max="12271" width="10" style="7001" customWidth="1"/>
    <col min="12272" max="12272" width="13.88671875" style="7001" customWidth="1"/>
    <col min="12273" max="12273" width="15.109375" style="7001" customWidth="1"/>
    <col min="12274" max="12274" width="9.109375" style="7001"/>
    <col min="12275" max="12275" width="14.109375" style="7001" customWidth="1"/>
    <col min="12276" max="12276" width="13.109375" style="7001" customWidth="1"/>
    <col min="12277" max="12277" width="11.109375" style="7001" bestFit="1" customWidth="1"/>
    <col min="12278" max="12523" width="9.109375" style="7001"/>
    <col min="12524" max="12524" width="31.88671875" style="7001" customWidth="1"/>
    <col min="12525" max="12526" width="9.109375" style="7001"/>
    <col min="12527" max="12527" width="10" style="7001" customWidth="1"/>
    <col min="12528" max="12528" width="13.88671875" style="7001" customWidth="1"/>
    <col min="12529" max="12529" width="15.109375" style="7001" customWidth="1"/>
    <col min="12530" max="12530" width="9.109375" style="7001"/>
    <col min="12531" max="12531" width="14.109375" style="7001" customWidth="1"/>
    <col min="12532" max="12532" width="13.109375" style="7001" customWidth="1"/>
    <col min="12533" max="12533" width="11.109375" style="7001" bestFit="1" customWidth="1"/>
    <col min="12534" max="12779" width="9.109375" style="7001"/>
    <col min="12780" max="12780" width="31.88671875" style="7001" customWidth="1"/>
    <col min="12781" max="12782" width="9.109375" style="7001"/>
    <col min="12783" max="12783" width="10" style="7001" customWidth="1"/>
    <col min="12784" max="12784" width="13.88671875" style="7001" customWidth="1"/>
    <col min="12785" max="12785" width="15.109375" style="7001" customWidth="1"/>
    <col min="12786" max="12786" width="9.109375" style="7001"/>
    <col min="12787" max="12787" width="14.109375" style="7001" customWidth="1"/>
    <col min="12788" max="12788" width="13.109375" style="7001" customWidth="1"/>
    <col min="12789" max="12789" width="11.109375" style="7001" bestFit="1" customWidth="1"/>
    <col min="12790" max="13035" width="9.109375" style="7001"/>
    <col min="13036" max="13036" width="31.88671875" style="7001" customWidth="1"/>
    <col min="13037" max="13038" width="9.109375" style="7001"/>
    <col min="13039" max="13039" width="10" style="7001" customWidth="1"/>
    <col min="13040" max="13040" width="13.88671875" style="7001" customWidth="1"/>
    <col min="13041" max="13041" width="15.109375" style="7001" customWidth="1"/>
    <col min="13042" max="13042" width="9.109375" style="7001"/>
    <col min="13043" max="13043" width="14.109375" style="7001" customWidth="1"/>
    <col min="13044" max="13044" width="13.109375" style="7001" customWidth="1"/>
    <col min="13045" max="13045" width="11.109375" style="7001" bestFit="1" customWidth="1"/>
    <col min="13046" max="13291" width="9.109375" style="7001"/>
    <col min="13292" max="13292" width="31.88671875" style="7001" customWidth="1"/>
    <col min="13293" max="13294" width="9.109375" style="7001"/>
    <col min="13295" max="13295" width="10" style="7001" customWidth="1"/>
    <col min="13296" max="13296" width="13.88671875" style="7001" customWidth="1"/>
    <col min="13297" max="13297" width="15.109375" style="7001" customWidth="1"/>
    <col min="13298" max="13298" width="9.109375" style="7001"/>
    <col min="13299" max="13299" width="14.109375" style="7001" customWidth="1"/>
    <col min="13300" max="13300" width="13.109375" style="7001" customWidth="1"/>
    <col min="13301" max="13301" width="11.109375" style="7001" bestFit="1" customWidth="1"/>
    <col min="13302" max="13547" width="9.109375" style="7001"/>
    <col min="13548" max="13548" width="31.88671875" style="7001" customWidth="1"/>
    <col min="13549" max="13550" width="9.109375" style="7001"/>
    <col min="13551" max="13551" width="10" style="7001" customWidth="1"/>
    <col min="13552" max="13552" width="13.88671875" style="7001" customWidth="1"/>
    <col min="13553" max="13553" width="15.109375" style="7001" customWidth="1"/>
    <col min="13554" max="13554" width="9.109375" style="7001"/>
    <col min="13555" max="13555" width="14.109375" style="7001" customWidth="1"/>
    <col min="13556" max="13556" width="13.109375" style="7001" customWidth="1"/>
    <col min="13557" max="13557" width="11.109375" style="7001" bestFit="1" customWidth="1"/>
    <col min="13558" max="13803" width="9.109375" style="7001"/>
    <col min="13804" max="13804" width="31.88671875" style="7001" customWidth="1"/>
    <col min="13805" max="13806" width="9.109375" style="7001"/>
    <col min="13807" max="13807" width="10" style="7001" customWidth="1"/>
    <col min="13808" max="13808" width="13.88671875" style="7001" customWidth="1"/>
    <col min="13809" max="13809" width="15.109375" style="7001" customWidth="1"/>
    <col min="13810" max="13810" width="9.109375" style="7001"/>
    <col min="13811" max="13811" width="14.109375" style="7001" customWidth="1"/>
    <col min="13812" max="13812" width="13.109375" style="7001" customWidth="1"/>
    <col min="13813" max="13813" width="11.109375" style="7001" bestFit="1" customWidth="1"/>
    <col min="13814" max="14059" width="9.109375" style="7001"/>
    <col min="14060" max="14060" width="31.88671875" style="7001" customWidth="1"/>
    <col min="14061" max="14062" width="9.109375" style="7001"/>
    <col min="14063" max="14063" width="10" style="7001" customWidth="1"/>
    <col min="14064" max="14064" width="13.88671875" style="7001" customWidth="1"/>
    <col min="14065" max="14065" width="15.109375" style="7001" customWidth="1"/>
    <col min="14066" max="14066" width="9.109375" style="7001"/>
    <col min="14067" max="14067" width="14.109375" style="7001" customWidth="1"/>
    <col min="14068" max="14068" width="13.109375" style="7001" customWidth="1"/>
    <col min="14069" max="14069" width="11.109375" style="7001" bestFit="1" customWidth="1"/>
    <col min="14070" max="14315" width="9.109375" style="7001"/>
    <col min="14316" max="14316" width="31.88671875" style="7001" customWidth="1"/>
    <col min="14317" max="14318" width="9.109375" style="7001"/>
    <col min="14319" max="14319" width="10" style="7001" customWidth="1"/>
    <col min="14320" max="14320" width="13.88671875" style="7001" customWidth="1"/>
    <col min="14321" max="14321" width="15.109375" style="7001" customWidth="1"/>
    <col min="14322" max="14322" width="9.109375" style="7001"/>
    <col min="14323" max="14323" width="14.109375" style="7001" customWidth="1"/>
    <col min="14324" max="14324" width="13.109375" style="7001" customWidth="1"/>
    <col min="14325" max="14325" width="11.109375" style="7001" bestFit="1" customWidth="1"/>
    <col min="14326" max="14571" width="9.109375" style="7001"/>
    <col min="14572" max="14572" width="31.88671875" style="7001" customWidth="1"/>
    <col min="14573" max="14574" width="9.109375" style="7001"/>
    <col min="14575" max="14575" width="10" style="7001" customWidth="1"/>
    <col min="14576" max="14576" width="13.88671875" style="7001" customWidth="1"/>
    <col min="14577" max="14577" width="15.109375" style="7001" customWidth="1"/>
    <col min="14578" max="14578" width="9.109375" style="7001"/>
    <col min="14579" max="14579" width="14.109375" style="7001" customWidth="1"/>
    <col min="14580" max="14580" width="13.109375" style="7001" customWidth="1"/>
    <col min="14581" max="14581" width="11.109375" style="7001" bestFit="1" customWidth="1"/>
    <col min="14582" max="14827" width="9.109375" style="7001"/>
    <col min="14828" max="14828" width="31.88671875" style="7001" customWidth="1"/>
    <col min="14829" max="14830" width="9.109375" style="7001"/>
    <col min="14831" max="14831" width="10" style="7001" customWidth="1"/>
    <col min="14832" max="14832" width="13.88671875" style="7001" customWidth="1"/>
    <col min="14833" max="14833" width="15.109375" style="7001" customWidth="1"/>
    <col min="14834" max="14834" width="9.109375" style="7001"/>
    <col min="14835" max="14835" width="14.109375" style="7001" customWidth="1"/>
    <col min="14836" max="14836" width="13.109375" style="7001" customWidth="1"/>
    <col min="14837" max="14837" width="11.109375" style="7001" bestFit="1" customWidth="1"/>
    <col min="14838" max="15083" width="9.109375" style="7001"/>
    <col min="15084" max="15084" width="31.88671875" style="7001" customWidth="1"/>
    <col min="15085" max="15086" width="9.109375" style="7001"/>
    <col min="15087" max="15087" width="10" style="7001" customWidth="1"/>
    <col min="15088" max="15088" width="13.88671875" style="7001" customWidth="1"/>
    <col min="15089" max="15089" width="15.109375" style="7001" customWidth="1"/>
    <col min="15090" max="15090" width="9.109375" style="7001"/>
    <col min="15091" max="15091" width="14.109375" style="7001" customWidth="1"/>
    <col min="15092" max="15092" width="13.109375" style="7001" customWidth="1"/>
    <col min="15093" max="15093" width="11.109375" style="7001" bestFit="1" customWidth="1"/>
    <col min="15094" max="15339" width="9.109375" style="7001"/>
    <col min="15340" max="15340" width="31.88671875" style="7001" customWidth="1"/>
    <col min="15341" max="15342" width="9.109375" style="7001"/>
    <col min="15343" max="15343" width="10" style="7001" customWidth="1"/>
    <col min="15344" max="15344" width="13.88671875" style="7001" customWidth="1"/>
    <col min="15345" max="15345" width="15.109375" style="7001" customWidth="1"/>
    <col min="15346" max="15346" width="9.109375" style="7001"/>
    <col min="15347" max="15347" width="14.109375" style="7001" customWidth="1"/>
    <col min="15348" max="15348" width="13.109375" style="7001" customWidth="1"/>
    <col min="15349" max="15349" width="11.109375" style="7001" bestFit="1" customWidth="1"/>
    <col min="15350" max="15595" width="9.109375" style="7001"/>
    <col min="15596" max="15596" width="31.88671875" style="7001" customWidth="1"/>
    <col min="15597" max="15598" width="9.109375" style="7001"/>
    <col min="15599" max="15599" width="10" style="7001" customWidth="1"/>
    <col min="15600" max="15600" width="13.88671875" style="7001" customWidth="1"/>
    <col min="15601" max="15601" width="15.109375" style="7001" customWidth="1"/>
    <col min="15602" max="15602" width="9.109375" style="7001"/>
    <col min="15603" max="15603" width="14.109375" style="7001" customWidth="1"/>
    <col min="15604" max="15604" width="13.109375" style="7001" customWidth="1"/>
    <col min="15605" max="15605" width="11.109375" style="7001" bestFit="1" customWidth="1"/>
    <col min="15606" max="15851" width="9.109375" style="7001"/>
    <col min="15852" max="15852" width="31.88671875" style="7001" customWidth="1"/>
    <col min="15853" max="15854" width="9.109375" style="7001"/>
    <col min="15855" max="15855" width="10" style="7001" customWidth="1"/>
    <col min="15856" max="15856" width="13.88671875" style="7001" customWidth="1"/>
    <col min="15857" max="15857" width="15.109375" style="7001" customWidth="1"/>
    <col min="15858" max="15858" width="9.109375" style="7001"/>
    <col min="15859" max="15859" width="14.109375" style="7001" customWidth="1"/>
    <col min="15860" max="15860" width="13.109375" style="7001" customWidth="1"/>
    <col min="15861" max="15861" width="11.109375" style="7001" bestFit="1" customWidth="1"/>
    <col min="15862" max="16107" width="9.109375" style="7001"/>
    <col min="16108" max="16108" width="31.88671875" style="7001" customWidth="1"/>
    <col min="16109" max="16110" width="9.109375" style="7001"/>
    <col min="16111" max="16111" width="10" style="7001" customWidth="1"/>
    <col min="16112" max="16112" width="13.88671875" style="7001" customWidth="1"/>
    <col min="16113" max="16113" width="15.109375" style="7001" customWidth="1"/>
    <col min="16114" max="16114" width="9.109375" style="7001"/>
    <col min="16115" max="16115" width="14.109375" style="7001" customWidth="1"/>
    <col min="16116" max="16116" width="13.109375" style="7001" customWidth="1"/>
    <col min="16117" max="16117" width="11.109375" style="7001" bestFit="1" customWidth="1"/>
    <col min="16118" max="16384" width="9.109375" style="7001"/>
  </cols>
  <sheetData>
    <row r="1" spans="1:8" ht="12.9" customHeight="1">
      <c r="A1" s="14395" t="s">
        <v>1087</v>
      </c>
      <c r="B1" s="14395"/>
      <c r="C1" s="14395"/>
      <c r="D1" s="14395"/>
      <c r="E1" s="14395"/>
      <c r="F1" s="14395"/>
    </row>
    <row r="3" spans="1:8" ht="12.9" customHeight="1">
      <c r="A3" s="7162" t="s">
        <v>1367</v>
      </c>
    </row>
    <row r="4" spans="1:8" ht="12.9" customHeight="1" thickBot="1">
      <c r="A4" s="7162"/>
    </row>
    <row r="5" spans="1:8" ht="12.9" customHeight="1">
      <c r="A5" s="9675" t="s">
        <v>842</v>
      </c>
      <c r="B5" s="10713" t="s">
        <v>1035</v>
      </c>
      <c r="C5" s="10713" t="s">
        <v>1036</v>
      </c>
      <c r="D5" s="14393" t="s">
        <v>1037</v>
      </c>
      <c r="E5" s="14393"/>
      <c r="F5" s="14394"/>
    </row>
    <row r="6" spans="1:8" ht="12.9" customHeight="1" thickBot="1">
      <c r="A6" s="9679" t="s">
        <v>1088</v>
      </c>
      <c r="B6" s="9755" t="s">
        <v>9</v>
      </c>
      <c r="C6" s="9755" t="s">
        <v>1039</v>
      </c>
      <c r="D6" s="9680" t="s">
        <v>10</v>
      </c>
      <c r="E6" s="9755" t="s">
        <v>11</v>
      </c>
      <c r="F6" s="9756" t="s">
        <v>11621</v>
      </c>
    </row>
    <row r="7" spans="1:8" ht="12.9" customHeight="1">
      <c r="A7" s="9757" t="s">
        <v>1139</v>
      </c>
      <c r="B7" s="9665"/>
      <c r="C7" s="9665"/>
      <c r="D7" s="9665"/>
      <c r="E7" s="9665"/>
      <c r="F7" s="9729"/>
    </row>
    <row r="8" spans="1:8" ht="12.9" customHeight="1">
      <c r="A8" s="6230" t="s">
        <v>1089</v>
      </c>
      <c r="B8" s="10751"/>
      <c r="C8" s="10751"/>
      <c r="D8" s="10751"/>
      <c r="E8" s="10751"/>
      <c r="F8" s="7242"/>
    </row>
    <row r="9" spans="1:8" ht="12.9" customHeight="1">
      <c r="A9" s="7231" t="s">
        <v>1368</v>
      </c>
      <c r="B9" s="8414">
        <v>1</v>
      </c>
      <c r="C9" s="8414">
        <v>24</v>
      </c>
      <c r="D9" s="8415">
        <v>772992</v>
      </c>
      <c r="E9" s="8415">
        <v>879588</v>
      </c>
      <c r="F9" s="7245">
        <v>1000872</v>
      </c>
      <c r="G9" s="7001">
        <f>SUM(B9)</f>
        <v>1</v>
      </c>
      <c r="H9" s="7164">
        <f>SUM(F9)</f>
        <v>1000872</v>
      </c>
    </row>
    <row r="10" spans="1:8" ht="12.9" customHeight="1">
      <c r="A10" s="7231"/>
      <c r="B10" s="10751"/>
      <c r="C10" s="10751"/>
      <c r="D10" s="10751"/>
      <c r="E10" s="10751"/>
      <c r="F10" s="7242"/>
    </row>
    <row r="11" spans="1:8" ht="12.9" customHeight="1">
      <c r="A11" s="6230" t="s">
        <v>1252</v>
      </c>
      <c r="B11" s="10751"/>
      <c r="C11" s="10751"/>
      <c r="D11" s="10751"/>
      <c r="E11" s="10751"/>
      <c r="F11" s="7242"/>
    </row>
    <row r="12" spans="1:8" ht="12.9" customHeight="1">
      <c r="A12" s="6230" t="s">
        <v>1109</v>
      </c>
      <c r="B12" s="10751"/>
      <c r="C12" s="10751"/>
      <c r="D12" s="10751"/>
      <c r="E12" s="10751"/>
      <c r="F12" s="7242"/>
    </row>
    <row r="13" spans="1:8" ht="12.9" customHeight="1">
      <c r="A13" s="6230" t="s">
        <v>1152</v>
      </c>
      <c r="B13" s="8414"/>
      <c r="C13" s="8414"/>
      <c r="D13" s="8415"/>
      <c r="E13" s="8415"/>
      <c r="F13" s="7245"/>
    </row>
    <row r="14" spans="1:8" ht="12.9" customHeight="1">
      <c r="A14" s="7231" t="s">
        <v>1343</v>
      </c>
      <c r="B14" s="8414">
        <v>3</v>
      </c>
      <c r="C14" s="8414">
        <v>21</v>
      </c>
      <c r="D14" s="8415">
        <v>3487416</v>
      </c>
      <c r="E14" s="8415">
        <v>2589456</v>
      </c>
      <c r="F14" s="7245">
        <v>2161524</v>
      </c>
    </row>
    <row r="15" spans="1:8" ht="12.9" customHeight="1">
      <c r="A15" s="7231" t="s">
        <v>1369</v>
      </c>
      <c r="B15" s="8414">
        <v>1</v>
      </c>
      <c r="C15" s="8414">
        <v>19</v>
      </c>
      <c r="D15" s="8415">
        <v>509640</v>
      </c>
      <c r="E15" s="8415">
        <v>560640</v>
      </c>
      <c r="F15" s="7245">
        <v>608424</v>
      </c>
    </row>
    <row r="16" spans="1:8" ht="12.9" customHeight="1">
      <c r="A16" s="7231" t="s">
        <v>1348</v>
      </c>
      <c r="B16" s="8414">
        <v>2</v>
      </c>
      <c r="C16" s="8414">
        <v>15</v>
      </c>
      <c r="D16" s="8415">
        <v>701352</v>
      </c>
      <c r="E16" s="8415">
        <v>739392</v>
      </c>
      <c r="F16" s="7245">
        <v>779508</v>
      </c>
    </row>
    <row r="17" spans="1:6" ht="12.9" customHeight="1">
      <c r="A17" s="7231" t="s">
        <v>1326</v>
      </c>
      <c r="B17" s="8414">
        <v>1</v>
      </c>
      <c r="C17" s="8414">
        <v>15</v>
      </c>
      <c r="D17" s="8415">
        <v>350568</v>
      </c>
      <c r="E17" s="8415">
        <v>369588</v>
      </c>
      <c r="F17" s="7245">
        <v>394452</v>
      </c>
    </row>
    <row r="18" spans="1:6" ht="12.9" customHeight="1">
      <c r="A18" s="7231" t="s">
        <v>1349</v>
      </c>
      <c r="B18" s="8414">
        <v>1</v>
      </c>
      <c r="C18" s="8414">
        <v>15</v>
      </c>
      <c r="D18" s="8415">
        <v>358824</v>
      </c>
      <c r="E18" s="8415">
        <v>378540</v>
      </c>
      <c r="F18" s="7245">
        <v>399348</v>
      </c>
    </row>
    <row r="19" spans="1:6" ht="12.9" customHeight="1">
      <c r="A19" s="7231" t="s">
        <v>1346</v>
      </c>
      <c r="B19" s="8414">
        <v>3</v>
      </c>
      <c r="C19" s="8414">
        <v>15</v>
      </c>
      <c r="D19" s="8415">
        <v>1072332</v>
      </c>
      <c r="E19" s="8415">
        <v>1131120</v>
      </c>
      <c r="F19" s="7245">
        <v>1198044</v>
      </c>
    </row>
    <row r="20" spans="1:6" ht="12.9" customHeight="1">
      <c r="A20" s="7231" t="s">
        <v>1370</v>
      </c>
      <c r="B20" s="8414">
        <v>1</v>
      </c>
      <c r="C20" s="8414">
        <v>13</v>
      </c>
      <c r="D20" s="8415">
        <v>295044</v>
      </c>
      <c r="E20" s="8415">
        <v>0</v>
      </c>
      <c r="F20" s="7245">
        <v>302784</v>
      </c>
    </row>
    <row r="21" spans="1:6" ht="12.9" customHeight="1">
      <c r="A21" s="7231" t="s">
        <v>1347</v>
      </c>
      <c r="B21" s="8414">
        <v>9</v>
      </c>
      <c r="C21" s="8414">
        <v>11</v>
      </c>
      <c r="D21" s="8415">
        <v>2015844</v>
      </c>
      <c r="E21" s="8415">
        <v>2326428</v>
      </c>
      <c r="F21" s="7245">
        <v>2411244</v>
      </c>
    </row>
    <row r="22" spans="1:6" ht="12.9" customHeight="1">
      <c r="A22" s="7231" t="s">
        <v>1350</v>
      </c>
      <c r="B22" s="8414">
        <v>1</v>
      </c>
      <c r="C22" s="8414">
        <v>11</v>
      </c>
      <c r="D22" s="8415">
        <v>255684</v>
      </c>
      <c r="E22" s="8415">
        <v>264660</v>
      </c>
      <c r="F22" s="7245">
        <v>273948</v>
      </c>
    </row>
    <row r="23" spans="1:6" ht="12.9" customHeight="1">
      <c r="A23" s="7231" t="s">
        <v>10558</v>
      </c>
      <c r="B23" s="8414">
        <v>1</v>
      </c>
      <c r="C23" s="8414">
        <v>11</v>
      </c>
      <c r="D23" s="8415">
        <v>235440</v>
      </c>
      <c r="E23" s="8415">
        <v>242148</v>
      </c>
      <c r="F23" s="7245">
        <v>252456</v>
      </c>
    </row>
    <row r="24" spans="1:6" ht="12.9" customHeight="1">
      <c r="A24" s="7231" t="s">
        <v>10701</v>
      </c>
      <c r="B24" s="8414">
        <v>1</v>
      </c>
      <c r="C24" s="8414">
        <v>10</v>
      </c>
      <c r="D24" s="8415">
        <v>0</v>
      </c>
      <c r="E24" s="8415"/>
      <c r="F24" s="7245">
        <v>230796</v>
      </c>
    </row>
    <row r="25" spans="1:6" ht="12.9" customHeight="1">
      <c r="A25" s="7231" t="s">
        <v>1355</v>
      </c>
      <c r="B25" s="8414">
        <v>2</v>
      </c>
      <c r="C25" s="8414">
        <v>6</v>
      </c>
      <c r="D25" s="10752">
        <v>332424</v>
      </c>
      <c r="E25" s="10752">
        <v>0</v>
      </c>
      <c r="F25" s="7246">
        <v>356328</v>
      </c>
    </row>
    <row r="26" spans="1:6" ht="12.9" customHeight="1">
      <c r="A26" s="7231" t="s">
        <v>1357</v>
      </c>
      <c r="B26" s="8414">
        <v>8</v>
      </c>
      <c r="C26" s="8414">
        <v>4</v>
      </c>
      <c r="D26" s="8415">
        <v>1059204</v>
      </c>
      <c r="E26" s="8415">
        <v>1257612</v>
      </c>
      <c r="F26" s="7245">
        <v>1309488</v>
      </c>
    </row>
    <row r="27" spans="1:6" ht="12.9" customHeight="1">
      <c r="A27" s="7231" t="s">
        <v>1325</v>
      </c>
      <c r="B27" s="8414">
        <v>1</v>
      </c>
      <c r="C27" s="8414">
        <v>4</v>
      </c>
      <c r="D27" s="8415">
        <v>148452</v>
      </c>
      <c r="E27" s="8415">
        <v>154608</v>
      </c>
      <c r="F27" s="7245">
        <v>162252</v>
      </c>
    </row>
    <row r="28" spans="1:6" ht="12.9" customHeight="1">
      <c r="A28" s="7231" t="s">
        <v>11631</v>
      </c>
      <c r="B28" s="8414">
        <v>1</v>
      </c>
      <c r="C28" s="8414">
        <v>4</v>
      </c>
      <c r="D28" s="8415">
        <v>0</v>
      </c>
      <c r="E28" s="8415">
        <v>0</v>
      </c>
      <c r="F28" s="7245">
        <v>158568</v>
      </c>
    </row>
    <row r="29" spans="1:6" ht="12.9" customHeight="1">
      <c r="A29" s="7231" t="s">
        <v>1359</v>
      </c>
      <c r="B29" s="8414">
        <v>1</v>
      </c>
      <c r="C29" s="8414">
        <v>4</v>
      </c>
      <c r="D29" s="8415">
        <v>145860</v>
      </c>
      <c r="E29" s="8415">
        <v>152088</v>
      </c>
      <c r="F29" s="7245">
        <v>159792</v>
      </c>
    </row>
    <row r="30" spans="1:6" ht="12.9" customHeight="1">
      <c r="A30" s="7231" t="s">
        <v>1209</v>
      </c>
      <c r="B30" s="8414">
        <v>1</v>
      </c>
      <c r="C30" s="8414">
        <v>3</v>
      </c>
      <c r="D30" s="8415">
        <v>145320</v>
      </c>
      <c r="E30" s="8415">
        <v>151440</v>
      </c>
      <c r="F30" s="7245">
        <v>157824</v>
      </c>
    </row>
    <row r="31" spans="1:6" ht="12.9" customHeight="1">
      <c r="A31" s="7231" t="s">
        <v>1228</v>
      </c>
      <c r="B31" s="8414">
        <v>2</v>
      </c>
      <c r="C31" s="8414">
        <v>3</v>
      </c>
      <c r="D31" s="8415">
        <v>145320</v>
      </c>
      <c r="E31" s="8415">
        <v>295596</v>
      </c>
      <c r="F31" s="7245">
        <v>308568</v>
      </c>
    </row>
    <row r="32" spans="1:6" ht="12.9" customHeight="1">
      <c r="A32" s="7231" t="s">
        <v>1361</v>
      </c>
      <c r="B32" s="8414">
        <v>0</v>
      </c>
      <c r="C32" s="8414">
        <v>2</v>
      </c>
      <c r="D32" s="8415">
        <v>136140</v>
      </c>
      <c r="E32" s="8415">
        <v>0</v>
      </c>
      <c r="F32" s="7245">
        <v>0</v>
      </c>
    </row>
    <row r="33" spans="1:8" ht="12.9" customHeight="1">
      <c r="A33" s="7231" t="s">
        <v>1362</v>
      </c>
      <c r="B33" s="8414">
        <v>3</v>
      </c>
      <c r="C33" s="8414">
        <v>1</v>
      </c>
      <c r="D33" s="8415">
        <v>368172</v>
      </c>
      <c r="E33" s="8415">
        <v>388404</v>
      </c>
      <c r="F33" s="7245">
        <v>408528</v>
      </c>
    </row>
    <row r="34" spans="1:8" ht="12.9" customHeight="1">
      <c r="A34" s="7231" t="s">
        <v>1360</v>
      </c>
      <c r="B34" s="8414">
        <v>1</v>
      </c>
      <c r="C34" s="8414">
        <v>3</v>
      </c>
      <c r="D34" s="8415">
        <v>137856</v>
      </c>
      <c r="E34" s="8415">
        <v>145344</v>
      </c>
      <c r="F34" s="7245">
        <v>151896</v>
      </c>
      <c r="G34" s="7001">
        <f>SUM(B14:B34)</f>
        <v>44</v>
      </c>
      <c r="H34" s="7164">
        <f>SUM(F14:F34)</f>
        <v>12185772</v>
      </c>
    </row>
    <row r="35" spans="1:8" ht="12.9" customHeight="1">
      <c r="A35" s="7231"/>
      <c r="B35" s="8414"/>
      <c r="C35" s="8414"/>
      <c r="D35" s="8415"/>
      <c r="E35" s="8415"/>
      <c r="F35" s="7245"/>
      <c r="H35" s="7164"/>
    </row>
    <row r="36" spans="1:8" ht="12.9" customHeight="1">
      <c r="A36" s="6230" t="s">
        <v>1270</v>
      </c>
      <c r="B36" s="8414"/>
      <c r="C36" s="8414"/>
      <c r="D36" s="8415"/>
      <c r="E36" s="8415"/>
      <c r="F36" s="7245"/>
    </row>
    <row r="37" spans="1:8" ht="12.9" hidden="1" customHeight="1">
      <c r="A37" s="7231" t="s">
        <v>1134</v>
      </c>
      <c r="B37" s="8414">
        <v>0</v>
      </c>
      <c r="C37" s="8414">
        <v>15</v>
      </c>
      <c r="D37" s="8415">
        <v>0</v>
      </c>
      <c r="E37" s="8415">
        <v>0</v>
      </c>
      <c r="F37" s="7245">
        <v>0</v>
      </c>
    </row>
    <row r="38" spans="1:8" ht="12.9" customHeight="1">
      <c r="A38" s="7231" t="s">
        <v>1395</v>
      </c>
      <c r="B38" s="8414">
        <v>1</v>
      </c>
      <c r="C38" s="8414">
        <v>11</v>
      </c>
      <c r="D38" s="8415">
        <v>238236</v>
      </c>
      <c r="E38" s="8415">
        <v>245244</v>
      </c>
      <c r="F38" s="7245">
        <v>282120</v>
      </c>
    </row>
    <row r="39" spans="1:8" ht="12.9" customHeight="1">
      <c r="A39" s="7231" t="s">
        <v>1172</v>
      </c>
      <c r="B39" s="8414">
        <v>2</v>
      </c>
      <c r="C39" s="8414">
        <v>10</v>
      </c>
      <c r="D39" s="8415">
        <v>447744</v>
      </c>
      <c r="E39" s="8415">
        <v>461316</v>
      </c>
      <c r="F39" s="7245">
        <v>475344</v>
      </c>
    </row>
    <row r="40" spans="1:8" ht="12.9" customHeight="1">
      <c r="A40" s="7231" t="s">
        <v>9218</v>
      </c>
      <c r="B40" s="8414">
        <v>2</v>
      </c>
      <c r="C40" s="8414">
        <v>6</v>
      </c>
      <c r="D40" s="8415">
        <v>353544</v>
      </c>
      <c r="E40" s="8415">
        <v>364560</v>
      </c>
      <c r="F40" s="7245">
        <v>375936</v>
      </c>
    </row>
    <row r="41" spans="1:8" ht="12.9" customHeight="1">
      <c r="A41" s="7231" t="s">
        <v>1406</v>
      </c>
      <c r="B41" s="8414">
        <v>1</v>
      </c>
      <c r="C41" s="8414">
        <v>3</v>
      </c>
      <c r="D41" s="8415"/>
      <c r="E41" s="8415"/>
      <c r="F41" s="7245">
        <v>151896</v>
      </c>
    </row>
    <row r="42" spans="1:8" ht="12.9" customHeight="1">
      <c r="A42" s="7231" t="s">
        <v>1174</v>
      </c>
      <c r="B42" s="8414">
        <v>3</v>
      </c>
      <c r="C42" s="8414">
        <v>3</v>
      </c>
      <c r="D42" s="8415">
        <v>416004</v>
      </c>
      <c r="E42" s="8415">
        <v>436068</v>
      </c>
      <c r="F42" s="7245">
        <v>456912</v>
      </c>
    </row>
    <row r="43" spans="1:8" ht="12.9" customHeight="1">
      <c r="A43" s="7231" t="s">
        <v>1420</v>
      </c>
      <c r="B43" s="8414">
        <v>1</v>
      </c>
      <c r="C43" s="8414">
        <v>2</v>
      </c>
      <c r="D43" s="8415">
        <v>0</v>
      </c>
      <c r="E43" s="8415">
        <v>0</v>
      </c>
      <c r="F43" s="7245">
        <v>141132</v>
      </c>
    </row>
    <row r="44" spans="1:8" ht="12.9" customHeight="1">
      <c r="A44" s="7231" t="s">
        <v>1175</v>
      </c>
      <c r="B44" s="8414">
        <v>8</v>
      </c>
      <c r="C44" s="8414">
        <v>1</v>
      </c>
      <c r="D44" s="8415">
        <v>987276</v>
      </c>
      <c r="E44" s="8415">
        <v>1041240</v>
      </c>
      <c r="F44" s="7245">
        <v>1098648</v>
      </c>
    </row>
    <row r="45" spans="1:8" ht="12.9" customHeight="1">
      <c r="A45" s="7231"/>
      <c r="B45" s="10402"/>
      <c r="C45" s="10402"/>
      <c r="D45" s="10403"/>
      <c r="E45" s="10403"/>
      <c r="F45" s="9746"/>
    </row>
    <row r="46" spans="1:8" ht="12.9" customHeight="1">
      <c r="A46" s="6230" t="s">
        <v>1159</v>
      </c>
      <c r="B46" s="9652">
        <f>SUM(B9:B44)</f>
        <v>63</v>
      </c>
      <c r="C46" s="9676"/>
      <c r="D46" s="9654">
        <f>SUM(D9:D44)</f>
        <v>15116688</v>
      </c>
      <c r="E46" s="9654">
        <f>SUM(E9:E44)</f>
        <v>14575080</v>
      </c>
      <c r="F46" s="9655">
        <f>SUM(F9:F44)</f>
        <v>16168632</v>
      </c>
      <c r="G46" s="7001">
        <f>SUM(B37:B45)</f>
        <v>18</v>
      </c>
      <c r="H46" s="7164">
        <f>SUM(F37:F45)</f>
        <v>2981988</v>
      </c>
    </row>
    <row r="47" spans="1:8" ht="6.6" customHeight="1">
      <c r="A47" s="6230"/>
      <c r="B47" s="10750"/>
      <c r="C47" s="10751"/>
      <c r="D47" s="10755"/>
      <c r="E47" s="10755"/>
      <c r="F47" s="7243"/>
      <c r="H47" s="7164"/>
    </row>
    <row r="48" spans="1:8" ht="12.9" customHeight="1">
      <c r="A48" s="6230" t="s">
        <v>1129</v>
      </c>
      <c r="B48" s="10750" t="s">
        <v>9</v>
      </c>
      <c r="C48" s="10751"/>
      <c r="D48" s="10751"/>
      <c r="E48" s="10751"/>
      <c r="F48" s="7242"/>
    </row>
    <row r="49" spans="1:6" ht="12.9" customHeight="1">
      <c r="A49" s="7231" t="s">
        <v>1343</v>
      </c>
      <c r="B49" s="8414">
        <v>3</v>
      </c>
      <c r="C49" s="8414">
        <v>21</v>
      </c>
      <c r="D49" s="10781"/>
      <c r="E49" s="10781">
        <v>1261296</v>
      </c>
      <c r="F49" s="7175">
        <v>2080980</v>
      </c>
    </row>
    <row r="50" spans="1:6" ht="12.9" customHeight="1">
      <c r="A50" s="7231" t="s">
        <v>11295</v>
      </c>
      <c r="B50" s="8414">
        <v>1</v>
      </c>
      <c r="C50" s="8414">
        <v>20</v>
      </c>
      <c r="D50" s="10781">
        <v>0</v>
      </c>
      <c r="E50" s="10781">
        <v>564444</v>
      </c>
      <c r="F50" s="7175">
        <v>613860</v>
      </c>
    </row>
    <row r="51" spans="1:6" ht="12.9" customHeight="1">
      <c r="A51" s="7231" t="s">
        <v>11266</v>
      </c>
      <c r="B51" s="8414">
        <v>1</v>
      </c>
      <c r="C51" s="8414">
        <v>17</v>
      </c>
      <c r="D51" s="10752">
        <v>0</v>
      </c>
      <c r="E51" s="10752">
        <v>417372</v>
      </c>
      <c r="F51" s="7246">
        <v>443304</v>
      </c>
    </row>
    <row r="52" spans="1:6" ht="12.9" customHeight="1">
      <c r="A52" s="7231" t="s">
        <v>3435</v>
      </c>
      <c r="B52" s="8414"/>
      <c r="C52" s="8414">
        <v>17</v>
      </c>
      <c r="D52" s="8415">
        <v>392964</v>
      </c>
      <c r="E52" s="8415">
        <v>417372</v>
      </c>
      <c r="F52" s="7245" t="s">
        <v>12022</v>
      </c>
    </row>
    <row r="53" spans="1:6" ht="12.9" customHeight="1">
      <c r="A53" s="7231" t="s">
        <v>10432</v>
      </c>
      <c r="B53" s="8414">
        <v>1</v>
      </c>
      <c r="C53" s="8414">
        <v>15</v>
      </c>
      <c r="D53" s="8415">
        <v>330780</v>
      </c>
      <c r="E53" s="8415">
        <v>348120</v>
      </c>
      <c r="F53" s="7245">
        <v>366372</v>
      </c>
    </row>
    <row r="54" spans="1:6" ht="12.9" customHeight="1">
      <c r="A54" s="7231" t="s">
        <v>1370</v>
      </c>
      <c r="B54" s="8414">
        <v>0</v>
      </c>
      <c r="C54" s="8414">
        <v>13</v>
      </c>
      <c r="D54" s="8415"/>
      <c r="E54" s="8415">
        <v>290688</v>
      </c>
      <c r="F54" s="7245">
        <v>0</v>
      </c>
    </row>
    <row r="55" spans="1:6" ht="12.9" hidden="1" customHeight="1">
      <c r="A55" s="7231" t="s">
        <v>3436</v>
      </c>
      <c r="B55" s="8414">
        <v>0</v>
      </c>
      <c r="C55" s="8414">
        <v>11</v>
      </c>
      <c r="D55" s="8415">
        <v>0</v>
      </c>
      <c r="E55" s="8415">
        <v>0</v>
      </c>
      <c r="F55" s="7245">
        <v>0</v>
      </c>
    </row>
    <row r="56" spans="1:6" ht="12.9" customHeight="1">
      <c r="A56" s="7231" t="s">
        <v>10206</v>
      </c>
      <c r="B56" s="8414">
        <v>0</v>
      </c>
      <c r="C56" s="8414">
        <v>11</v>
      </c>
      <c r="D56" s="8415">
        <v>235440</v>
      </c>
      <c r="E56" s="8415">
        <v>0</v>
      </c>
      <c r="F56" s="7245">
        <v>0</v>
      </c>
    </row>
    <row r="57" spans="1:6" ht="12.9" customHeight="1">
      <c r="A57" s="7231" t="s">
        <v>1351</v>
      </c>
      <c r="B57" s="8414">
        <v>1</v>
      </c>
      <c r="C57" s="8414">
        <v>11</v>
      </c>
      <c r="D57" s="8415"/>
      <c r="E57" s="8415">
        <v>242148</v>
      </c>
      <c r="F57" s="7245">
        <v>249048</v>
      </c>
    </row>
    <row r="58" spans="1:6" ht="12.9" customHeight="1">
      <c r="A58" s="7231" t="s">
        <v>1327</v>
      </c>
      <c r="B58" s="8414">
        <v>1</v>
      </c>
      <c r="C58" s="8414">
        <v>11</v>
      </c>
      <c r="D58" s="8415"/>
      <c r="E58" s="8415">
        <v>242157</v>
      </c>
      <c r="F58" s="7245">
        <v>249048</v>
      </c>
    </row>
    <row r="59" spans="1:6" ht="12.9" hidden="1" customHeight="1">
      <c r="A59" s="7231" t="s">
        <v>9124</v>
      </c>
      <c r="B59" s="8414">
        <v>0</v>
      </c>
      <c r="C59" s="8414">
        <v>10</v>
      </c>
      <c r="D59" s="8415">
        <v>0</v>
      </c>
      <c r="E59" s="8415">
        <v>0</v>
      </c>
      <c r="F59" s="7245">
        <v>0</v>
      </c>
    </row>
    <row r="60" spans="1:6" ht="12.9" customHeight="1">
      <c r="A60" s="7231" t="s">
        <v>10700</v>
      </c>
      <c r="B60" s="8414">
        <v>0</v>
      </c>
      <c r="C60" s="8414">
        <v>10</v>
      </c>
      <c r="D60" s="8415">
        <v>218604</v>
      </c>
      <c r="E60" s="8415">
        <v>224616</v>
      </c>
      <c r="F60" s="7245">
        <v>0</v>
      </c>
    </row>
    <row r="61" spans="1:6" ht="12.9" customHeight="1">
      <c r="A61" s="7231" t="s">
        <v>9123</v>
      </c>
      <c r="B61" s="8414">
        <v>0</v>
      </c>
      <c r="C61" s="8414">
        <v>6</v>
      </c>
      <c r="D61" s="8415">
        <v>0</v>
      </c>
      <c r="E61" s="8415">
        <v>345588</v>
      </c>
      <c r="F61" s="7245">
        <v>0</v>
      </c>
    </row>
    <row r="62" spans="1:6" ht="12.9" customHeight="1">
      <c r="A62" s="7231" t="s">
        <v>1382</v>
      </c>
      <c r="B62" s="8414">
        <v>0</v>
      </c>
      <c r="C62" s="8414">
        <v>4</v>
      </c>
      <c r="D62" s="8415">
        <v>145860</v>
      </c>
      <c r="E62" s="8415">
        <v>0</v>
      </c>
      <c r="F62" s="7245">
        <v>0</v>
      </c>
    </row>
    <row r="63" spans="1:6" ht="12.9" customHeight="1">
      <c r="A63" s="7231" t="s">
        <v>3438</v>
      </c>
      <c r="B63" s="8414">
        <v>0</v>
      </c>
      <c r="C63" s="8414">
        <v>4</v>
      </c>
      <c r="D63" s="8415">
        <v>145860</v>
      </c>
      <c r="E63" s="8415">
        <v>152088</v>
      </c>
      <c r="F63" s="7245">
        <v>0</v>
      </c>
    </row>
    <row r="64" spans="1:6" ht="12.9" hidden="1" customHeight="1">
      <c r="A64" s="7231" t="s">
        <v>9125</v>
      </c>
      <c r="B64" s="8414">
        <v>0</v>
      </c>
      <c r="C64" s="8414">
        <v>4</v>
      </c>
      <c r="D64" s="8415">
        <v>0</v>
      </c>
      <c r="E64" s="8415">
        <v>0</v>
      </c>
      <c r="F64" s="7245">
        <v>0</v>
      </c>
    </row>
    <row r="65" spans="1:9" ht="12.9" customHeight="1">
      <c r="A65" s="7231" t="s">
        <v>3403</v>
      </c>
      <c r="B65" s="8414"/>
      <c r="C65" s="8414">
        <v>3</v>
      </c>
      <c r="D65" s="8415">
        <v>136644</v>
      </c>
      <c r="E65" s="8415">
        <v>142968</v>
      </c>
      <c r="F65" s="7245" t="s">
        <v>12022</v>
      </c>
    </row>
    <row r="66" spans="1:9" ht="12.9" customHeight="1">
      <c r="A66" s="7231" t="s">
        <v>11296</v>
      </c>
      <c r="B66" s="8414">
        <v>0</v>
      </c>
      <c r="C66" s="8414">
        <v>2</v>
      </c>
      <c r="D66" s="8415"/>
      <c r="E66" s="8415">
        <v>134400</v>
      </c>
      <c r="F66" s="7245">
        <v>0</v>
      </c>
    </row>
    <row r="67" spans="1:9" ht="12.9" customHeight="1">
      <c r="A67" s="7231" t="s">
        <v>1228</v>
      </c>
      <c r="B67" s="8414">
        <v>0</v>
      </c>
      <c r="C67" s="8414">
        <v>3</v>
      </c>
      <c r="D67" s="8415">
        <v>136644</v>
      </c>
      <c r="E67" s="8415">
        <v>0</v>
      </c>
      <c r="F67" s="7245">
        <v>0</v>
      </c>
    </row>
    <row r="68" spans="1:9" ht="12.9" hidden="1" customHeight="1">
      <c r="A68" s="7231" t="s">
        <v>4973</v>
      </c>
      <c r="B68" s="8414">
        <v>0</v>
      </c>
      <c r="C68" s="8414">
        <v>1</v>
      </c>
      <c r="D68" s="8415">
        <v>0</v>
      </c>
      <c r="E68" s="8415">
        <v>0</v>
      </c>
      <c r="F68" s="7245">
        <v>0</v>
      </c>
    </row>
    <row r="69" spans="1:9" ht="12.9" customHeight="1">
      <c r="A69" s="6230" t="s">
        <v>1249</v>
      </c>
      <c r="B69" s="9652">
        <f>SUM(B49:B68)</f>
        <v>8</v>
      </c>
      <c r="C69" s="9653"/>
      <c r="D69" s="9643">
        <f>SUM(D48:D68)</f>
        <v>1742796</v>
      </c>
      <c r="E69" s="9643">
        <f>SUM(E48:E68)</f>
        <v>4783257</v>
      </c>
      <c r="F69" s="9656">
        <f>SUM(F48:F68)</f>
        <v>4002612</v>
      </c>
    </row>
    <row r="70" spans="1:9" ht="8.4" customHeight="1" thickBot="1">
      <c r="A70" s="9690"/>
      <c r="B70" s="9755"/>
      <c r="C70" s="9645"/>
      <c r="D70" s="9764"/>
      <c r="E70" s="9764"/>
      <c r="F70" s="9777"/>
    </row>
    <row r="71" spans="1:9" ht="12.9" customHeight="1" thickBot="1">
      <c r="A71" s="9838" t="s">
        <v>1101</v>
      </c>
      <c r="B71" s="10845">
        <f>SUM(B46+B69)</f>
        <v>71</v>
      </c>
      <c r="C71" s="10421"/>
      <c r="D71" s="9840">
        <f>SUM(D46+D69)</f>
        <v>16859484</v>
      </c>
      <c r="E71" s="9840">
        <f>SUM(E46+E69)</f>
        <v>19358337</v>
      </c>
      <c r="F71" s="10786">
        <f>SUM(F46+F69)</f>
        <v>20171244</v>
      </c>
      <c r="H71" s="7164">
        <f>F71-19358337</f>
        <v>812907</v>
      </c>
      <c r="I71" s="7001">
        <f>376557/2</f>
        <v>188278.5</v>
      </c>
    </row>
    <row r="72" spans="1:9" ht="12.9" customHeight="1">
      <c r="A72" s="7264"/>
      <c r="B72" s="7265"/>
      <c r="C72" s="7253"/>
      <c r="D72" s="7266"/>
      <c r="E72" s="7266"/>
      <c r="F72" s="7266"/>
      <c r="H72" s="7164">
        <f>F71-16786740</f>
        <v>3384504</v>
      </c>
    </row>
    <row r="73" spans="1:9" ht="12.9" customHeight="1" thickBot="1">
      <c r="A73" s="7254" t="s">
        <v>11318</v>
      </c>
      <c r="B73" s="7255"/>
      <c r="C73" s="6330"/>
      <c r="D73" s="7256"/>
      <c r="E73" s="7256"/>
      <c r="F73" s="7256"/>
      <c r="H73" s="7164"/>
    </row>
    <row r="74" spans="1:9" ht="12.9" customHeight="1">
      <c r="A74" s="9675" t="s">
        <v>842</v>
      </c>
      <c r="B74" s="10713" t="s">
        <v>1035</v>
      </c>
      <c r="C74" s="10713" t="s">
        <v>1036</v>
      </c>
      <c r="D74" s="14393" t="s">
        <v>1037</v>
      </c>
      <c r="E74" s="14393"/>
      <c r="F74" s="14394"/>
    </row>
    <row r="75" spans="1:9" ht="12.9" customHeight="1" thickBot="1">
      <c r="A75" s="9679" t="s">
        <v>1088</v>
      </c>
      <c r="B75" s="9755" t="s">
        <v>9</v>
      </c>
      <c r="C75" s="9755" t="s">
        <v>1039</v>
      </c>
      <c r="D75" s="9680" t="s">
        <v>10</v>
      </c>
      <c r="E75" s="9755" t="s">
        <v>11</v>
      </c>
      <c r="F75" s="9756" t="s">
        <v>11621</v>
      </c>
    </row>
    <row r="76" spans="1:9" ht="12.9" customHeight="1">
      <c r="A76" s="7167"/>
      <c r="B76" s="10750"/>
      <c r="C76" s="10750"/>
      <c r="D76" s="10750"/>
      <c r="E76" s="10750"/>
      <c r="F76" s="9651"/>
    </row>
    <row r="77" spans="1:9" ht="12.9" customHeight="1">
      <c r="A77" s="6230" t="s">
        <v>1075</v>
      </c>
      <c r="B77" s="7174"/>
      <c r="C77" s="7174"/>
      <c r="D77" s="7174"/>
      <c r="E77" s="7174"/>
      <c r="F77" s="7242"/>
    </row>
    <row r="78" spans="1:9" ht="12.9" customHeight="1">
      <c r="A78" s="6230" t="s">
        <v>1102</v>
      </c>
      <c r="B78" s="7172"/>
      <c r="C78" s="7174"/>
      <c r="D78" s="7174"/>
      <c r="E78" s="7174"/>
      <c r="F78" s="7242"/>
    </row>
    <row r="79" spans="1:9" ht="12.9" customHeight="1">
      <c r="A79" s="7231" t="s">
        <v>1103</v>
      </c>
      <c r="B79" s="7172"/>
      <c r="C79" s="7174"/>
      <c r="D79" s="7174"/>
      <c r="E79" s="7174"/>
      <c r="F79" s="7242"/>
    </row>
    <row r="80" spans="1:9" ht="12.9" customHeight="1">
      <c r="A80" s="7231" t="s">
        <v>1078</v>
      </c>
      <c r="B80" s="7172">
        <v>2</v>
      </c>
      <c r="C80" s="7174"/>
      <c r="D80" s="7174"/>
      <c r="E80" s="7174"/>
      <c r="F80" s="7242"/>
    </row>
    <row r="81" spans="1:6" ht="12.9" customHeight="1">
      <c r="A81" s="7207" t="s">
        <v>10697</v>
      </c>
      <c r="B81" s="7172"/>
      <c r="C81" s="7174"/>
      <c r="D81" s="7174"/>
      <c r="E81" s="7174"/>
      <c r="F81" s="7242"/>
    </row>
    <row r="82" spans="1:6" ht="12.9" customHeight="1">
      <c r="A82" s="7207" t="s">
        <v>10707</v>
      </c>
      <c r="B82" s="7172">
        <v>1</v>
      </c>
      <c r="C82" s="7174"/>
      <c r="D82" s="7174"/>
      <c r="E82" s="7174"/>
      <c r="F82" s="7242"/>
    </row>
    <row r="83" spans="1:6" ht="12.9" customHeight="1">
      <c r="A83" s="7231" t="s">
        <v>1080</v>
      </c>
      <c r="B83" s="7172"/>
      <c r="C83" s="7174"/>
      <c r="D83" s="7174"/>
      <c r="E83" s="7174"/>
      <c r="F83" s="7242"/>
    </row>
    <row r="84" spans="1:6" ht="12.9" customHeight="1">
      <c r="A84" s="7231" t="s">
        <v>1104</v>
      </c>
      <c r="B84" s="7172"/>
      <c r="C84" s="7174"/>
      <c r="D84" s="7174"/>
      <c r="E84" s="7174"/>
      <c r="F84" s="7242"/>
    </row>
    <row r="85" spans="1:6" ht="12.9" customHeight="1">
      <c r="A85" s="7231" t="s">
        <v>1105</v>
      </c>
      <c r="B85" s="7174"/>
      <c r="C85" s="7174"/>
      <c r="D85" s="7174"/>
      <c r="E85" s="7174"/>
      <c r="F85" s="7242"/>
    </row>
    <row r="86" spans="1:6" ht="12.9" customHeight="1">
      <c r="A86" s="7231"/>
      <c r="B86" s="7174"/>
      <c r="C86" s="7189"/>
      <c r="D86" s="7189"/>
      <c r="E86" s="7189"/>
      <c r="F86" s="9778"/>
    </row>
    <row r="87" spans="1:6" s="7162" customFormat="1" ht="12.9" customHeight="1">
      <c r="A87" s="6230" t="s">
        <v>1083</v>
      </c>
      <c r="B87" s="9686"/>
      <c r="C87" s="9686"/>
      <c r="D87" s="9686"/>
      <c r="E87" s="9686"/>
      <c r="F87" s="9779"/>
    </row>
    <row r="88" spans="1:6" ht="12.9" customHeight="1">
      <c r="A88" s="7231"/>
      <c r="B88" s="9780"/>
      <c r="C88" s="9780"/>
      <c r="D88" s="9780"/>
      <c r="E88" s="9780"/>
      <c r="F88" s="9688"/>
    </row>
    <row r="89" spans="1:6" ht="12.9" customHeight="1">
      <c r="A89" s="7231" t="s">
        <v>1106</v>
      </c>
      <c r="B89" s="7174"/>
      <c r="C89" s="7174"/>
      <c r="D89" s="7174"/>
      <c r="E89" s="7174"/>
      <c r="F89" s="7242"/>
    </row>
    <row r="90" spans="1:6" ht="12.9" customHeight="1" thickBot="1">
      <c r="A90" s="7231"/>
      <c r="B90" s="7174"/>
      <c r="C90" s="7174"/>
      <c r="D90" s="7174"/>
      <c r="E90" s="7174"/>
      <c r="F90" s="7242"/>
    </row>
    <row r="91" spans="1:6" ht="12.9" customHeight="1">
      <c r="A91" s="7248"/>
      <c r="B91" s="9665"/>
      <c r="C91" s="9665"/>
      <c r="D91" s="9665"/>
      <c r="E91" s="9665"/>
      <c r="F91" s="9729"/>
    </row>
    <row r="92" spans="1:6" ht="12.9" customHeight="1">
      <c r="A92" s="6230" t="s">
        <v>1086</v>
      </c>
      <c r="B92" s="10751"/>
      <c r="C92" s="10751"/>
      <c r="D92" s="10751"/>
      <c r="E92" s="10751"/>
      <c r="F92" s="7242"/>
    </row>
    <row r="93" spans="1:6" ht="12.9" customHeight="1" thickBot="1">
      <c r="A93" s="7235"/>
      <c r="B93" s="9758"/>
      <c r="C93" s="9758"/>
      <c r="D93" s="9758"/>
      <c r="E93" s="9758"/>
      <c r="F93" s="9759"/>
    </row>
  </sheetData>
  <mergeCells count="3">
    <mergeCell ref="D5:F5"/>
    <mergeCell ref="D74:F74"/>
    <mergeCell ref="A1:F1"/>
  </mergeCells>
  <pageMargins left="0.25" right="0.25" top="0.5" bottom="0.5" header="0.3" footer="0.3"/>
  <pageSetup paperSize="119" firstPageNumber="274" orientation="portrait" useFirstPageNumber="1" r:id="rId1"/>
  <headerFooter alignWithMargins="0"/>
</worksheet>
</file>

<file path=xl/worksheets/sheet132.xml><?xml version="1.0" encoding="utf-8"?>
<worksheet xmlns="http://schemas.openxmlformats.org/spreadsheetml/2006/main" xmlns:r="http://schemas.openxmlformats.org/officeDocument/2006/relationships">
  <sheetPr codeName="Sheet92">
    <tabColor rgb="FFFFFF00"/>
  </sheetPr>
  <dimension ref="A1:G135"/>
  <sheetViews>
    <sheetView showGridLines="0" topLeftCell="A75" workbookViewId="0">
      <selection activeCell="B78" sqref="B78"/>
    </sheetView>
  </sheetViews>
  <sheetFormatPr defaultColWidth="31.44140625" defaultRowHeight="13.8"/>
  <cols>
    <col min="1" max="1" width="4.88671875" style="484" customWidth="1"/>
    <col min="2" max="2" width="33.88671875" style="484" customWidth="1"/>
    <col min="3" max="3" width="16.109375" style="507" customWidth="1"/>
    <col min="4" max="4" width="15.109375" style="484" customWidth="1"/>
    <col min="5" max="5" width="11.109375" style="484" customWidth="1"/>
    <col min="6" max="6" width="9" style="484" customWidth="1"/>
    <col min="7" max="7" width="7.88671875" style="484" customWidth="1"/>
    <col min="8" max="239" width="9.109375" style="484" customWidth="1"/>
    <col min="240" max="240" width="6.109375" style="484" customWidth="1"/>
    <col min="241" max="241" width="12.88671875" style="484" customWidth="1"/>
    <col min="242" max="242" width="33.88671875" style="484" customWidth="1"/>
    <col min="243" max="243" width="14.109375" style="484" customWidth="1"/>
    <col min="244" max="244" width="14" style="484" customWidth="1"/>
    <col min="245" max="245" width="9.88671875" style="484" customWidth="1"/>
    <col min="246" max="246" width="9.109375" style="484" customWidth="1"/>
    <col min="247" max="247" width="9.88671875" style="484" customWidth="1"/>
    <col min="248" max="256" width="31.44140625" style="484"/>
    <col min="257" max="257" width="4.88671875" style="484" customWidth="1"/>
    <col min="258" max="258" width="40.44140625" style="484" customWidth="1"/>
    <col min="259" max="259" width="14.88671875" style="484" customWidth="1"/>
    <col min="260" max="260" width="12.109375" style="484" customWidth="1"/>
    <col min="261" max="261" width="11.109375" style="484" customWidth="1"/>
    <col min="262" max="262" width="7.44140625" style="484" customWidth="1"/>
    <col min="263" max="263" width="7.88671875" style="484" customWidth="1"/>
    <col min="264" max="495" width="9.109375" style="484" customWidth="1"/>
    <col min="496" max="496" width="6.109375" style="484" customWidth="1"/>
    <col min="497" max="497" width="12.88671875" style="484" customWidth="1"/>
    <col min="498" max="498" width="33.88671875" style="484" customWidth="1"/>
    <col min="499" max="499" width="14.109375" style="484" customWidth="1"/>
    <col min="500" max="500" width="14" style="484" customWidth="1"/>
    <col min="501" max="501" width="9.88671875" style="484" customWidth="1"/>
    <col min="502" max="502" width="9.109375" style="484" customWidth="1"/>
    <col min="503" max="503" width="9.88671875" style="484" customWidth="1"/>
    <col min="504" max="512" width="31.44140625" style="484"/>
    <col min="513" max="513" width="4.88671875" style="484" customWidth="1"/>
    <col min="514" max="514" width="40.44140625" style="484" customWidth="1"/>
    <col min="515" max="515" width="14.88671875" style="484" customWidth="1"/>
    <col min="516" max="516" width="12.109375" style="484" customWidth="1"/>
    <col min="517" max="517" width="11.109375" style="484" customWidth="1"/>
    <col min="518" max="518" width="7.44140625" style="484" customWidth="1"/>
    <col min="519" max="519" width="7.88671875" style="484" customWidth="1"/>
    <col min="520" max="751" width="9.109375" style="484" customWidth="1"/>
    <col min="752" max="752" width="6.109375" style="484" customWidth="1"/>
    <col min="753" max="753" width="12.88671875" style="484" customWidth="1"/>
    <col min="754" max="754" width="33.88671875" style="484" customWidth="1"/>
    <col min="755" max="755" width="14.109375" style="484" customWidth="1"/>
    <col min="756" max="756" width="14" style="484" customWidth="1"/>
    <col min="757" max="757" width="9.88671875" style="484" customWidth="1"/>
    <col min="758" max="758" width="9.109375" style="484" customWidth="1"/>
    <col min="759" max="759" width="9.88671875" style="484" customWidth="1"/>
    <col min="760" max="768" width="31.44140625" style="484"/>
    <col min="769" max="769" width="4.88671875" style="484" customWidth="1"/>
    <col min="770" max="770" width="40.44140625" style="484" customWidth="1"/>
    <col min="771" max="771" width="14.88671875" style="484" customWidth="1"/>
    <col min="772" max="772" width="12.109375" style="484" customWidth="1"/>
    <col min="773" max="773" width="11.109375" style="484" customWidth="1"/>
    <col min="774" max="774" width="7.44140625" style="484" customWidth="1"/>
    <col min="775" max="775" width="7.88671875" style="484" customWidth="1"/>
    <col min="776" max="1007" width="9.109375" style="484" customWidth="1"/>
    <col min="1008" max="1008" width="6.109375" style="484" customWidth="1"/>
    <col min="1009" max="1009" width="12.88671875" style="484" customWidth="1"/>
    <col min="1010" max="1010" width="33.88671875" style="484" customWidth="1"/>
    <col min="1011" max="1011" width="14.109375" style="484" customWidth="1"/>
    <col min="1012" max="1012" width="14" style="484" customWidth="1"/>
    <col min="1013" max="1013" width="9.88671875" style="484" customWidth="1"/>
    <col min="1014" max="1014" width="9.109375" style="484" customWidth="1"/>
    <col min="1015" max="1015" width="9.88671875" style="484" customWidth="1"/>
    <col min="1016" max="1024" width="31.44140625" style="484"/>
    <col min="1025" max="1025" width="4.88671875" style="484" customWidth="1"/>
    <col min="1026" max="1026" width="40.44140625" style="484" customWidth="1"/>
    <col min="1027" max="1027" width="14.88671875" style="484" customWidth="1"/>
    <col min="1028" max="1028" width="12.109375" style="484" customWidth="1"/>
    <col min="1029" max="1029" width="11.109375" style="484" customWidth="1"/>
    <col min="1030" max="1030" width="7.44140625" style="484" customWidth="1"/>
    <col min="1031" max="1031" width="7.88671875" style="484" customWidth="1"/>
    <col min="1032" max="1263" width="9.109375" style="484" customWidth="1"/>
    <col min="1264" max="1264" width="6.109375" style="484" customWidth="1"/>
    <col min="1265" max="1265" width="12.88671875" style="484" customWidth="1"/>
    <col min="1266" max="1266" width="33.88671875" style="484" customWidth="1"/>
    <col min="1267" max="1267" width="14.109375" style="484" customWidth="1"/>
    <col min="1268" max="1268" width="14" style="484" customWidth="1"/>
    <col min="1269" max="1269" width="9.88671875" style="484" customWidth="1"/>
    <col min="1270" max="1270" width="9.109375" style="484" customWidth="1"/>
    <col min="1271" max="1271" width="9.88671875" style="484" customWidth="1"/>
    <col min="1272" max="1280" width="31.44140625" style="484"/>
    <col min="1281" max="1281" width="4.88671875" style="484" customWidth="1"/>
    <col min="1282" max="1282" width="40.44140625" style="484" customWidth="1"/>
    <col min="1283" max="1283" width="14.88671875" style="484" customWidth="1"/>
    <col min="1284" max="1284" width="12.109375" style="484" customWidth="1"/>
    <col min="1285" max="1285" width="11.109375" style="484" customWidth="1"/>
    <col min="1286" max="1286" width="7.44140625" style="484" customWidth="1"/>
    <col min="1287" max="1287" width="7.88671875" style="484" customWidth="1"/>
    <col min="1288" max="1519" width="9.109375" style="484" customWidth="1"/>
    <col min="1520" max="1520" width="6.109375" style="484" customWidth="1"/>
    <col min="1521" max="1521" width="12.88671875" style="484" customWidth="1"/>
    <col min="1522" max="1522" width="33.88671875" style="484" customWidth="1"/>
    <col min="1523" max="1523" width="14.109375" style="484" customWidth="1"/>
    <col min="1524" max="1524" width="14" style="484" customWidth="1"/>
    <col min="1525" max="1525" width="9.88671875" style="484" customWidth="1"/>
    <col min="1526" max="1526" width="9.109375" style="484" customWidth="1"/>
    <col min="1527" max="1527" width="9.88671875" style="484" customWidth="1"/>
    <col min="1528" max="1536" width="31.44140625" style="484"/>
    <col min="1537" max="1537" width="4.88671875" style="484" customWidth="1"/>
    <col min="1538" max="1538" width="40.44140625" style="484" customWidth="1"/>
    <col min="1539" max="1539" width="14.88671875" style="484" customWidth="1"/>
    <col min="1540" max="1540" width="12.109375" style="484" customWidth="1"/>
    <col min="1541" max="1541" width="11.109375" style="484" customWidth="1"/>
    <col min="1542" max="1542" width="7.44140625" style="484" customWidth="1"/>
    <col min="1543" max="1543" width="7.88671875" style="484" customWidth="1"/>
    <col min="1544" max="1775" width="9.109375" style="484" customWidth="1"/>
    <col min="1776" max="1776" width="6.109375" style="484" customWidth="1"/>
    <col min="1777" max="1777" width="12.88671875" style="484" customWidth="1"/>
    <col min="1778" max="1778" width="33.88671875" style="484" customWidth="1"/>
    <col min="1779" max="1779" width="14.109375" style="484" customWidth="1"/>
    <col min="1780" max="1780" width="14" style="484" customWidth="1"/>
    <col min="1781" max="1781" width="9.88671875" style="484" customWidth="1"/>
    <col min="1782" max="1782" width="9.109375" style="484" customWidth="1"/>
    <col min="1783" max="1783" width="9.88671875" style="484" customWidth="1"/>
    <col min="1784" max="1792" width="31.44140625" style="484"/>
    <col min="1793" max="1793" width="4.88671875" style="484" customWidth="1"/>
    <col min="1794" max="1794" width="40.44140625" style="484" customWidth="1"/>
    <col min="1795" max="1795" width="14.88671875" style="484" customWidth="1"/>
    <col min="1796" max="1796" width="12.109375" style="484" customWidth="1"/>
    <col min="1797" max="1797" width="11.109375" style="484" customWidth="1"/>
    <col min="1798" max="1798" width="7.44140625" style="484" customWidth="1"/>
    <col min="1799" max="1799" width="7.88671875" style="484" customWidth="1"/>
    <col min="1800" max="2031" width="9.109375" style="484" customWidth="1"/>
    <col min="2032" max="2032" width="6.109375" style="484" customWidth="1"/>
    <col min="2033" max="2033" width="12.88671875" style="484" customWidth="1"/>
    <col min="2034" max="2034" width="33.88671875" style="484" customWidth="1"/>
    <col min="2035" max="2035" width="14.109375" style="484" customWidth="1"/>
    <col min="2036" max="2036" width="14" style="484" customWidth="1"/>
    <col min="2037" max="2037" width="9.88671875" style="484" customWidth="1"/>
    <col min="2038" max="2038" width="9.109375" style="484" customWidth="1"/>
    <col min="2039" max="2039" width="9.88671875" style="484" customWidth="1"/>
    <col min="2040" max="2048" width="31.44140625" style="484"/>
    <col min="2049" max="2049" width="4.88671875" style="484" customWidth="1"/>
    <col min="2050" max="2050" width="40.44140625" style="484" customWidth="1"/>
    <col min="2051" max="2051" width="14.88671875" style="484" customWidth="1"/>
    <col min="2052" max="2052" width="12.109375" style="484" customWidth="1"/>
    <col min="2053" max="2053" width="11.109375" style="484" customWidth="1"/>
    <col min="2054" max="2054" width="7.44140625" style="484" customWidth="1"/>
    <col min="2055" max="2055" width="7.88671875" style="484" customWidth="1"/>
    <col min="2056" max="2287" width="9.109375" style="484" customWidth="1"/>
    <col min="2288" max="2288" width="6.109375" style="484" customWidth="1"/>
    <col min="2289" max="2289" width="12.88671875" style="484" customWidth="1"/>
    <col min="2290" max="2290" width="33.88671875" style="484" customWidth="1"/>
    <col min="2291" max="2291" width="14.109375" style="484" customWidth="1"/>
    <col min="2292" max="2292" width="14" style="484" customWidth="1"/>
    <col min="2293" max="2293" width="9.88671875" style="484" customWidth="1"/>
    <col min="2294" max="2294" width="9.109375" style="484" customWidth="1"/>
    <col min="2295" max="2295" width="9.88671875" style="484" customWidth="1"/>
    <col min="2296" max="2304" width="31.44140625" style="484"/>
    <col min="2305" max="2305" width="4.88671875" style="484" customWidth="1"/>
    <col min="2306" max="2306" width="40.44140625" style="484" customWidth="1"/>
    <col min="2307" max="2307" width="14.88671875" style="484" customWidth="1"/>
    <col min="2308" max="2308" width="12.109375" style="484" customWidth="1"/>
    <col min="2309" max="2309" width="11.109375" style="484" customWidth="1"/>
    <col min="2310" max="2310" width="7.44140625" style="484" customWidth="1"/>
    <col min="2311" max="2311" width="7.88671875" style="484" customWidth="1"/>
    <col min="2312" max="2543" width="9.109375" style="484" customWidth="1"/>
    <col min="2544" max="2544" width="6.109375" style="484" customWidth="1"/>
    <col min="2545" max="2545" width="12.88671875" style="484" customWidth="1"/>
    <col min="2546" max="2546" width="33.88671875" style="484" customWidth="1"/>
    <col min="2547" max="2547" width="14.109375" style="484" customWidth="1"/>
    <col min="2548" max="2548" width="14" style="484" customWidth="1"/>
    <col min="2549" max="2549" width="9.88671875" style="484" customWidth="1"/>
    <col min="2550" max="2550" width="9.109375" style="484" customWidth="1"/>
    <col min="2551" max="2551" width="9.88671875" style="484" customWidth="1"/>
    <col min="2552" max="2560" width="31.44140625" style="484"/>
    <col min="2561" max="2561" width="4.88671875" style="484" customWidth="1"/>
    <col min="2562" max="2562" width="40.44140625" style="484" customWidth="1"/>
    <col min="2563" max="2563" width="14.88671875" style="484" customWidth="1"/>
    <col min="2564" max="2564" width="12.109375" style="484" customWidth="1"/>
    <col min="2565" max="2565" width="11.109375" style="484" customWidth="1"/>
    <col min="2566" max="2566" width="7.44140625" style="484" customWidth="1"/>
    <col min="2567" max="2567" width="7.88671875" style="484" customWidth="1"/>
    <col min="2568" max="2799" width="9.109375" style="484" customWidth="1"/>
    <col min="2800" max="2800" width="6.109375" style="484" customWidth="1"/>
    <col min="2801" max="2801" width="12.88671875" style="484" customWidth="1"/>
    <col min="2802" max="2802" width="33.88671875" style="484" customWidth="1"/>
    <col min="2803" max="2803" width="14.109375" style="484" customWidth="1"/>
    <col min="2804" max="2804" width="14" style="484" customWidth="1"/>
    <col min="2805" max="2805" width="9.88671875" style="484" customWidth="1"/>
    <col min="2806" max="2806" width="9.109375" style="484" customWidth="1"/>
    <col min="2807" max="2807" width="9.88671875" style="484" customWidth="1"/>
    <col min="2808" max="2816" width="31.44140625" style="484"/>
    <col min="2817" max="2817" width="4.88671875" style="484" customWidth="1"/>
    <col min="2818" max="2818" width="40.44140625" style="484" customWidth="1"/>
    <col min="2819" max="2819" width="14.88671875" style="484" customWidth="1"/>
    <col min="2820" max="2820" width="12.109375" style="484" customWidth="1"/>
    <col min="2821" max="2821" width="11.109375" style="484" customWidth="1"/>
    <col min="2822" max="2822" width="7.44140625" style="484" customWidth="1"/>
    <col min="2823" max="2823" width="7.88671875" style="484" customWidth="1"/>
    <col min="2824" max="3055" width="9.109375" style="484" customWidth="1"/>
    <col min="3056" max="3056" width="6.109375" style="484" customWidth="1"/>
    <col min="3057" max="3057" width="12.88671875" style="484" customWidth="1"/>
    <col min="3058" max="3058" width="33.88671875" style="484" customWidth="1"/>
    <col min="3059" max="3059" width="14.109375" style="484" customWidth="1"/>
    <col min="3060" max="3060" width="14" style="484" customWidth="1"/>
    <col min="3061" max="3061" width="9.88671875" style="484" customWidth="1"/>
    <col min="3062" max="3062" width="9.109375" style="484" customWidth="1"/>
    <col min="3063" max="3063" width="9.88671875" style="484" customWidth="1"/>
    <col min="3064" max="3072" width="31.44140625" style="484"/>
    <col min="3073" max="3073" width="4.88671875" style="484" customWidth="1"/>
    <col min="3074" max="3074" width="40.44140625" style="484" customWidth="1"/>
    <col min="3075" max="3075" width="14.88671875" style="484" customWidth="1"/>
    <col min="3076" max="3076" width="12.109375" style="484" customWidth="1"/>
    <col min="3077" max="3077" width="11.109375" style="484" customWidth="1"/>
    <col min="3078" max="3078" width="7.44140625" style="484" customWidth="1"/>
    <col min="3079" max="3079" width="7.88671875" style="484" customWidth="1"/>
    <col min="3080" max="3311" width="9.109375" style="484" customWidth="1"/>
    <col min="3312" max="3312" width="6.109375" style="484" customWidth="1"/>
    <col min="3313" max="3313" width="12.88671875" style="484" customWidth="1"/>
    <col min="3314" max="3314" width="33.88671875" style="484" customWidth="1"/>
    <col min="3315" max="3315" width="14.109375" style="484" customWidth="1"/>
    <col min="3316" max="3316" width="14" style="484" customWidth="1"/>
    <col min="3317" max="3317" width="9.88671875" style="484" customWidth="1"/>
    <col min="3318" max="3318" width="9.109375" style="484" customWidth="1"/>
    <col min="3319" max="3319" width="9.88671875" style="484" customWidth="1"/>
    <col min="3320" max="3328" width="31.44140625" style="484"/>
    <col min="3329" max="3329" width="4.88671875" style="484" customWidth="1"/>
    <col min="3330" max="3330" width="40.44140625" style="484" customWidth="1"/>
    <col min="3331" max="3331" width="14.88671875" style="484" customWidth="1"/>
    <col min="3332" max="3332" width="12.109375" style="484" customWidth="1"/>
    <col min="3333" max="3333" width="11.109375" style="484" customWidth="1"/>
    <col min="3334" max="3334" width="7.44140625" style="484" customWidth="1"/>
    <col min="3335" max="3335" width="7.88671875" style="484" customWidth="1"/>
    <col min="3336" max="3567" width="9.109375" style="484" customWidth="1"/>
    <col min="3568" max="3568" width="6.109375" style="484" customWidth="1"/>
    <col min="3569" max="3569" width="12.88671875" style="484" customWidth="1"/>
    <col min="3570" max="3570" width="33.88671875" style="484" customWidth="1"/>
    <col min="3571" max="3571" width="14.109375" style="484" customWidth="1"/>
    <col min="3572" max="3572" width="14" style="484" customWidth="1"/>
    <col min="3573" max="3573" width="9.88671875" style="484" customWidth="1"/>
    <col min="3574" max="3574" width="9.109375" style="484" customWidth="1"/>
    <col min="3575" max="3575" width="9.88671875" style="484" customWidth="1"/>
    <col min="3576" max="3584" width="31.44140625" style="484"/>
    <col min="3585" max="3585" width="4.88671875" style="484" customWidth="1"/>
    <col min="3586" max="3586" width="40.44140625" style="484" customWidth="1"/>
    <col min="3587" max="3587" width="14.88671875" style="484" customWidth="1"/>
    <col min="3588" max="3588" width="12.109375" style="484" customWidth="1"/>
    <col min="3589" max="3589" width="11.109375" style="484" customWidth="1"/>
    <col min="3590" max="3590" width="7.44140625" style="484" customWidth="1"/>
    <col min="3591" max="3591" width="7.88671875" style="484" customWidth="1"/>
    <col min="3592" max="3823" width="9.109375" style="484" customWidth="1"/>
    <col min="3824" max="3824" width="6.109375" style="484" customWidth="1"/>
    <col min="3825" max="3825" width="12.88671875" style="484" customWidth="1"/>
    <col min="3826" max="3826" width="33.88671875" style="484" customWidth="1"/>
    <col min="3827" max="3827" width="14.109375" style="484" customWidth="1"/>
    <col min="3828" max="3828" width="14" style="484" customWidth="1"/>
    <col min="3829" max="3829" width="9.88671875" style="484" customWidth="1"/>
    <col min="3830" max="3830" width="9.109375" style="484" customWidth="1"/>
    <col min="3831" max="3831" width="9.88671875" style="484" customWidth="1"/>
    <col min="3832" max="3840" width="31.44140625" style="484"/>
    <col min="3841" max="3841" width="4.88671875" style="484" customWidth="1"/>
    <col min="3842" max="3842" width="40.44140625" style="484" customWidth="1"/>
    <col min="3843" max="3843" width="14.88671875" style="484" customWidth="1"/>
    <col min="3844" max="3844" width="12.109375" style="484" customWidth="1"/>
    <col min="3845" max="3845" width="11.109375" style="484" customWidth="1"/>
    <col min="3846" max="3846" width="7.44140625" style="484" customWidth="1"/>
    <col min="3847" max="3847" width="7.88671875" style="484" customWidth="1"/>
    <col min="3848" max="4079" width="9.109375" style="484" customWidth="1"/>
    <col min="4080" max="4080" width="6.109375" style="484" customWidth="1"/>
    <col min="4081" max="4081" width="12.88671875" style="484" customWidth="1"/>
    <col min="4082" max="4082" width="33.88671875" style="484" customWidth="1"/>
    <col min="4083" max="4083" width="14.109375" style="484" customWidth="1"/>
    <col min="4084" max="4084" width="14" style="484" customWidth="1"/>
    <col min="4085" max="4085" width="9.88671875" style="484" customWidth="1"/>
    <col min="4086" max="4086" width="9.109375" style="484" customWidth="1"/>
    <col min="4087" max="4087" width="9.88671875" style="484" customWidth="1"/>
    <col min="4088" max="4096" width="31.44140625" style="484"/>
    <col min="4097" max="4097" width="4.88671875" style="484" customWidth="1"/>
    <col min="4098" max="4098" width="40.44140625" style="484" customWidth="1"/>
    <col min="4099" max="4099" width="14.88671875" style="484" customWidth="1"/>
    <col min="4100" max="4100" width="12.109375" style="484" customWidth="1"/>
    <col min="4101" max="4101" width="11.109375" style="484" customWidth="1"/>
    <col min="4102" max="4102" width="7.44140625" style="484" customWidth="1"/>
    <col min="4103" max="4103" width="7.88671875" style="484" customWidth="1"/>
    <col min="4104" max="4335" width="9.109375" style="484" customWidth="1"/>
    <col min="4336" max="4336" width="6.109375" style="484" customWidth="1"/>
    <col min="4337" max="4337" width="12.88671875" style="484" customWidth="1"/>
    <col min="4338" max="4338" width="33.88671875" style="484" customWidth="1"/>
    <col min="4339" max="4339" width="14.109375" style="484" customWidth="1"/>
    <col min="4340" max="4340" width="14" style="484" customWidth="1"/>
    <col min="4341" max="4341" width="9.88671875" style="484" customWidth="1"/>
    <col min="4342" max="4342" width="9.109375" style="484" customWidth="1"/>
    <col min="4343" max="4343" width="9.88671875" style="484" customWidth="1"/>
    <col min="4344" max="4352" width="31.44140625" style="484"/>
    <col min="4353" max="4353" width="4.88671875" style="484" customWidth="1"/>
    <col min="4354" max="4354" width="40.44140625" style="484" customWidth="1"/>
    <col min="4355" max="4355" width="14.88671875" style="484" customWidth="1"/>
    <col min="4356" max="4356" width="12.109375" style="484" customWidth="1"/>
    <col min="4357" max="4357" width="11.109375" style="484" customWidth="1"/>
    <col min="4358" max="4358" width="7.44140625" style="484" customWidth="1"/>
    <col min="4359" max="4359" width="7.88671875" style="484" customWidth="1"/>
    <col min="4360" max="4591" width="9.109375" style="484" customWidth="1"/>
    <col min="4592" max="4592" width="6.109375" style="484" customWidth="1"/>
    <col min="4593" max="4593" width="12.88671875" style="484" customWidth="1"/>
    <col min="4594" max="4594" width="33.88671875" style="484" customWidth="1"/>
    <col min="4595" max="4595" width="14.109375" style="484" customWidth="1"/>
    <col min="4596" max="4596" width="14" style="484" customWidth="1"/>
    <col min="4597" max="4597" width="9.88671875" style="484" customWidth="1"/>
    <col min="4598" max="4598" width="9.109375" style="484" customWidth="1"/>
    <col min="4599" max="4599" width="9.88671875" style="484" customWidth="1"/>
    <col min="4600" max="4608" width="31.44140625" style="484"/>
    <col min="4609" max="4609" width="4.88671875" style="484" customWidth="1"/>
    <col min="4610" max="4610" width="40.44140625" style="484" customWidth="1"/>
    <col min="4611" max="4611" width="14.88671875" style="484" customWidth="1"/>
    <col min="4612" max="4612" width="12.109375" style="484" customWidth="1"/>
    <col min="4613" max="4613" width="11.109375" style="484" customWidth="1"/>
    <col min="4614" max="4614" width="7.44140625" style="484" customWidth="1"/>
    <col min="4615" max="4615" width="7.88671875" style="484" customWidth="1"/>
    <col min="4616" max="4847" width="9.109375" style="484" customWidth="1"/>
    <col min="4848" max="4848" width="6.109375" style="484" customWidth="1"/>
    <col min="4849" max="4849" width="12.88671875" style="484" customWidth="1"/>
    <col min="4850" max="4850" width="33.88671875" style="484" customWidth="1"/>
    <col min="4851" max="4851" width="14.109375" style="484" customWidth="1"/>
    <col min="4852" max="4852" width="14" style="484" customWidth="1"/>
    <col min="4853" max="4853" width="9.88671875" style="484" customWidth="1"/>
    <col min="4854" max="4854" width="9.109375" style="484" customWidth="1"/>
    <col min="4855" max="4855" width="9.88671875" style="484" customWidth="1"/>
    <col min="4856" max="4864" width="31.44140625" style="484"/>
    <col min="4865" max="4865" width="4.88671875" style="484" customWidth="1"/>
    <col min="4866" max="4866" width="40.44140625" style="484" customWidth="1"/>
    <col min="4867" max="4867" width="14.88671875" style="484" customWidth="1"/>
    <col min="4868" max="4868" width="12.109375" style="484" customWidth="1"/>
    <col min="4869" max="4869" width="11.109375" style="484" customWidth="1"/>
    <col min="4870" max="4870" width="7.44140625" style="484" customWidth="1"/>
    <col min="4871" max="4871" width="7.88671875" style="484" customWidth="1"/>
    <col min="4872" max="5103" width="9.109375" style="484" customWidth="1"/>
    <col min="5104" max="5104" width="6.109375" style="484" customWidth="1"/>
    <col min="5105" max="5105" width="12.88671875" style="484" customWidth="1"/>
    <col min="5106" max="5106" width="33.88671875" style="484" customWidth="1"/>
    <col min="5107" max="5107" width="14.109375" style="484" customWidth="1"/>
    <col min="5108" max="5108" width="14" style="484" customWidth="1"/>
    <col min="5109" max="5109" width="9.88671875" style="484" customWidth="1"/>
    <col min="5110" max="5110" width="9.109375" style="484" customWidth="1"/>
    <col min="5111" max="5111" width="9.88671875" style="484" customWidth="1"/>
    <col min="5112" max="5120" width="31.44140625" style="484"/>
    <col min="5121" max="5121" width="4.88671875" style="484" customWidth="1"/>
    <col min="5122" max="5122" width="40.44140625" style="484" customWidth="1"/>
    <col min="5123" max="5123" width="14.88671875" style="484" customWidth="1"/>
    <col min="5124" max="5124" width="12.109375" style="484" customWidth="1"/>
    <col min="5125" max="5125" width="11.109375" style="484" customWidth="1"/>
    <col min="5126" max="5126" width="7.44140625" style="484" customWidth="1"/>
    <col min="5127" max="5127" width="7.88671875" style="484" customWidth="1"/>
    <col min="5128" max="5359" width="9.109375" style="484" customWidth="1"/>
    <col min="5360" max="5360" width="6.109375" style="484" customWidth="1"/>
    <col min="5361" max="5361" width="12.88671875" style="484" customWidth="1"/>
    <col min="5362" max="5362" width="33.88671875" style="484" customWidth="1"/>
    <col min="5363" max="5363" width="14.109375" style="484" customWidth="1"/>
    <col min="5364" max="5364" width="14" style="484" customWidth="1"/>
    <col min="5365" max="5365" width="9.88671875" style="484" customWidth="1"/>
    <col min="5366" max="5366" width="9.109375" style="484" customWidth="1"/>
    <col min="5367" max="5367" width="9.88671875" style="484" customWidth="1"/>
    <col min="5368" max="5376" width="31.44140625" style="484"/>
    <col min="5377" max="5377" width="4.88671875" style="484" customWidth="1"/>
    <col min="5378" max="5378" width="40.44140625" style="484" customWidth="1"/>
    <col min="5379" max="5379" width="14.88671875" style="484" customWidth="1"/>
    <col min="5380" max="5380" width="12.109375" style="484" customWidth="1"/>
    <col min="5381" max="5381" width="11.109375" style="484" customWidth="1"/>
    <col min="5382" max="5382" width="7.44140625" style="484" customWidth="1"/>
    <col min="5383" max="5383" width="7.88671875" style="484" customWidth="1"/>
    <col min="5384" max="5615" width="9.109375" style="484" customWidth="1"/>
    <col min="5616" max="5616" width="6.109375" style="484" customWidth="1"/>
    <col min="5617" max="5617" width="12.88671875" style="484" customWidth="1"/>
    <col min="5618" max="5618" width="33.88671875" style="484" customWidth="1"/>
    <col min="5619" max="5619" width="14.109375" style="484" customWidth="1"/>
    <col min="5620" max="5620" width="14" style="484" customWidth="1"/>
    <col min="5621" max="5621" width="9.88671875" style="484" customWidth="1"/>
    <col min="5622" max="5622" width="9.109375" style="484" customWidth="1"/>
    <col min="5623" max="5623" width="9.88671875" style="484" customWidth="1"/>
    <col min="5624" max="5632" width="31.44140625" style="484"/>
    <col min="5633" max="5633" width="4.88671875" style="484" customWidth="1"/>
    <col min="5634" max="5634" width="40.44140625" style="484" customWidth="1"/>
    <col min="5635" max="5635" width="14.88671875" style="484" customWidth="1"/>
    <col min="5636" max="5636" width="12.109375" style="484" customWidth="1"/>
    <col min="5637" max="5637" width="11.109375" style="484" customWidth="1"/>
    <col min="5638" max="5638" width="7.44140625" style="484" customWidth="1"/>
    <col min="5639" max="5639" width="7.88671875" style="484" customWidth="1"/>
    <col min="5640" max="5871" width="9.109375" style="484" customWidth="1"/>
    <col min="5872" max="5872" width="6.109375" style="484" customWidth="1"/>
    <col min="5873" max="5873" width="12.88671875" style="484" customWidth="1"/>
    <col min="5874" max="5874" width="33.88671875" style="484" customWidth="1"/>
    <col min="5875" max="5875" width="14.109375" style="484" customWidth="1"/>
    <col min="5876" max="5876" width="14" style="484" customWidth="1"/>
    <col min="5877" max="5877" width="9.88671875" style="484" customWidth="1"/>
    <col min="5878" max="5878" width="9.109375" style="484" customWidth="1"/>
    <col min="5879" max="5879" width="9.88671875" style="484" customWidth="1"/>
    <col min="5880" max="5888" width="31.44140625" style="484"/>
    <col min="5889" max="5889" width="4.88671875" style="484" customWidth="1"/>
    <col min="5890" max="5890" width="40.44140625" style="484" customWidth="1"/>
    <col min="5891" max="5891" width="14.88671875" style="484" customWidth="1"/>
    <col min="5892" max="5892" width="12.109375" style="484" customWidth="1"/>
    <col min="5893" max="5893" width="11.109375" style="484" customWidth="1"/>
    <col min="5894" max="5894" width="7.44140625" style="484" customWidth="1"/>
    <col min="5895" max="5895" width="7.88671875" style="484" customWidth="1"/>
    <col min="5896" max="6127" width="9.109375" style="484" customWidth="1"/>
    <col min="6128" max="6128" width="6.109375" style="484" customWidth="1"/>
    <col min="6129" max="6129" width="12.88671875" style="484" customWidth="1"/>
    <col min="6130" max="6130" width="33.88671875" style="484" customWidth="1"/>
    <col min="6131" max="6131" width="14.109375" style="484" customWidth="1"/>
    <col min="6132" max="6132" width="14" style="484" customWidth="1"/>
    <col min="6133" max="6133" width="9.88671875" style="484" customWidth="1"/>
    <col min="6134" max="6134" width="9.109375" style="484" customWidth="1"/>
    <col min="6135" max="6135" width="9.88671875" style="484" customWidth="1"/>
    <col min="6136" max="6144" width="31.44140625" style="484"/>
    <col min="6145" max="6145" width="4.88671875" style="484" customWidth="1"/>
    <col min="6146" max="6146" width="40.44140625" style="484" customWidth="1"/>
    <col min="6147" max="6147" width="14.88671875" style="484" customWidth="1"/>
    <col min="6148" max="6148" width="12.109375" style="484" customWidth="1"/>
    <col min="6149" max="6149" width="11.109375" style="484" customWidth="1"/>
    <col min="6150" max="6150" width="7.44140625" style="484" customWidth="1"/>
    <col min="6151" max="6151" width="7.88671875" style="484" customWidth="1"/>
    <col min="6152" max="6383" width="9.109375" style="484" customWidth="1"/>
    <col min="6384" max="6384" width="6.109375" style="484" customWidth="1"/>
    <col min="6385" max="6385" width="12.88671875" style="484" customWidth="1"/>
    <col min="6386" max="6386" width="33.88671875" style="484" customWidth="1"/>
    <col min="6387" max="6387" width="14.109375" style="484" customWidth="1"/>
    <col min="6388" max="6388" width="14" style="484" customWidth="1"/>
    <col min="6389" max="6389" width="9.88671875" style="484" customWidth="1"/>
    <col min="6390" max="6390" width="9.109375" style="484" customWidth="1"/>
    <col min="6391" max="6391" width="9.88671875" style="484" customWidth="1"/>
    <col min="6392" max="6400" width="31.44140625" style="484"/>
    <col min="6401" max="6401" width="4.88671875" style="484" customWidth="1"/>
    <col min="6402" max="6402" width="40.44140625" style="484" customWidth="1"/>
    <col min="6403" max="6403" width="14.88671875" style="484" customWidth="1"/>
    <col min="6404" max="6404" width="12.109375" style="484" customWidth="1"/>
    <col min="6405" max="6405" width="11.109375" style="484" customWidth="1"/>
    <col min="6406" max="6406" width="7.44140625" style="484" customWidth="1"/>
    <col min="6407" max="6407" width="7.88671875" style="484" customWidth="1"/>
    <col min="6408" max="6639" width="9.109375" style="484" customWidth="1"/>
    <col min="6640" max="6640" width="6.109375" style="484" customWidth="1"/>
    <col min="6641" max="6641" width="12.88671875" style="484" customWidth="1"/>
    <col min="6642" max="6642" width="33.88671875" style="484" customWidth="1"/>
    <col min="6643" max="6643" width="14.109375" style="484" customWidth="1"/>
    <col min="6644" max="6644" width="14" style="484" customWidth="1"/>
    <col min="6645" max="6645" width="9.88671875" style="484" customWidth="1"/>
    <col min="6646" max="6646" width="9.109375" style="484" customWidth="1"/>
    <col min="6647" max="6647" width="9.88671875" style="484" customWidth="1"/>
    <col min="6648" max="6656" width="31.44140625" style="484"/>
    <col min="6657" max="6657" width="4.88671875" style="484" customWidth="1"/>
    <col min="6658" max="6658" width="40.44140625" style="484" customWidth="1"/>
    <col min="6659" max="6659" width="14.88671875" style="484" customWidth="1"/>
    <col min="6660" max="6660" width="12.109375" style="484" customWidth="1"/>
    <col min="6661" max="6661" width="11.109375" style="484" customWidth="1"/>
    <col min="6662" max="6662" width="7.44140625" style="484" customWidth="1"/>
    <col min="6663" max="6663" width="7.88671875" style="484" customWidth="1"/>
    <col min="6664" max="6895" width="9.109375" style="484" customWidth="1"/>
    <col min="6896" max="6896" width="6.109375" style="484" customWidth="1"/>
    <col min="6897" max="6897" width="12.88671875" style="484" customWidth="1"/>
    <col min="6898" max="6898" width="33.88671875" style="484" customWidth="1"/>
    <col min="6899" max="6899" width="14.109375" style="484" customWidth="1"/>
    <col min="6900" max="6900" width="14" style="484" customWidth="1"/>
    <col min="6901" max="6901" width="9.88671875" style="484" customWidth="1"/>
    <col min="6902" max="6902" width="9.109375" style="484" customWidth="1"/>
    <col min="6903" max="6903" width="9.88671875" style="484" customWidth="1"/>
    <col min="6904" max="6912" width="31.44140625" style="484"/>
    <col min="6913" max="6913" width="4.88671875" style="484" customWidth="1"/>
    <col min="6914" max="6914" width="40.44140625" style="484" customWidth="1"/>
    <col min="6915" max="6915" width="14.88671875" style="484" customWidth="1"/>
    <col min="6916" max="6916" width="12.109375" style="484" customWidth="1"/>
    <col min="6917" max="6917" width="11.109375" style="484" customWidth="1"/>
    <col min="6918" max="6918" width="7.44140625" style="484" customWidth="1"/>
    <col min="6919" max="6919" width="7.88671875" style="484" customWidth="1"/>
    <col min="6920" max="7151" width="9.109375" style="484" customWidth="1"/>
    <col min="7152" max="7152" width="6.109375" style="484" customWidth="1"/>
    <col min="7153" max="7153" width="12.88671875" style="484" customWidth="1"/>
    <col min="7154" max="7154" width="33.88671875" style="484" customWidth="1"/>
    <col min="7155" max="7155" width="14.109375" style="484" customWidth="1"/>
    <col min="7156" max="7156" width="14" style="484" customWidth="1"/>
    <col min="7157" max="7157" width="9.88671875" style="484" customWidth="1"/>
    <col min="7158" max="7158" width="9.109375" style="484" customWidth="1"/>
    <col min="7159" max="7159" width="9.88671875" style="484" customWidth="1"/>
    <col min="7160" max="7168" width="31.44140625" style="484"/>
    <col min="7169" max="7169" width="4.88671875" style="484" customWidth="1"/>
    <col min="7170" max="7170" width="40.44140625" style="484" customWidth="1"/>
    <col min="7171" max="7171" width="14.88671875" style="484" customWidth="1"/>
    <col min="7172" max="7172" width="12.109375" style="484" customWidth="1"/>
    <col min="7173" max="7173" width="11.109375" style="484" customWidth="1"/>
    <col min="7174" max="7174" width="7.44140625" style="484" customWidth="1"/>
    <col min="7175" max="7175" width="7.88671875" style="484" customWidth="1"/>
    <col min="7176" max="7407" width="9.109375" style="484" customWidth="1"/>
    <col min="7408" max="7408" width="6.109375" style="484" customWidth="1"/>
    <col min="7409" max="7409" width="12.88671875" style="484" customWidth="1"/>
    <col min="7410" max="7410" width="33.88671875" style="484" customWidth="1"/>
    <col min="7411" max="7411" width="14.109375" style="484" customWidth="1"/>
    <col min="7412" max="7412" width="14" style="484" customWidth="1"/>
    <col min="7413" max="7413" width="9.88671875" style="484" customWidth="1"/>
    <col min="7414" max="7414" width="9.109375" style="484" customWidth="1"/>
    <col min="7415" max="7415" width="9.88671875" style="484" customWidth="1"/>
    <col min="7416" max="7424" width="31.44140625" style="484"/>
    <col min="7425" max="7425" width="4.88671875" style="484" customWidth="1"/>
    <col min="7426" max="7426" width="40.44140625" style="484" customWidth="1"/>
    <col min="7427" max="7427" width="14.88671875" style="484" customWidth="1"/>
    <col min="7428" max="7428" width="12.109375" style="484" customWidth="1"/>
    <col min="7429" max="7429" width="11.109375" style="484" customWidth="1"/>
    <col min="7430" max="7430" width="7.44140625" style="484" customWidth="1"/>
    <col min="7431" max="7431" width="7.88671875" style="484" customWidth="1"/>
    <col min="7432" max="7663" width="9.109375" style="484" customWidth="1"/>
    <col min="7664" max="7664" width="6.109375" style="484" customWidth="1"/>
    <col min="7665" max="7665" width="12.88671875" style="484" customWidth="1"/>
    <col min="7666" max="7666" width="33.88671875" style="484" customWidth="1"/>
    <col min="7667" max="7667" width="14.109375" style="484" customWidth="1"/>
    <col min="7668" max="7668" width="14" style="484" customWidth="1"/>
    <col min="7669" max="7669" width="9.88671875" style="484" customWidth="1"/>
    <col min="7670" max="7670" width="9.109375" style="484" customWidth="1"/>
    <col min="7671" max="7671" width="9.88671875" style="484" customWidth="1"/>
    <col min="7672" max="7680" width="31.44140625" style="484"/>
    <col min="7681" max="7681" width="4.88671875" style="484" customWidth="1"/>
    <col min="7682" max="7682" width="40.44140625" style="484" customWidth="1"/>
    <col min="7683" max="7683" width="14.88671875" style="484" customWidth="1"/>
    <col min="7684" max="7684" width="12.109375" style="484" customWidth="1"/>
    <col min="7685" max="7685" width="11.109375" style="484" customWidth="1"/>
    <col min="7686" max="7686" width="7.44140625" style="484" customWidth="1"/>
    <col min="7687" max="7687" width="7.88671875" style="484" customWidth="1"/>
    <col min="7688" max="7919" width="9.109375" style="484" customWidth="1"/>
    <col min="7920" max="7920" width="6.109375" style="484" customWidth="1"/>
    <col min="7921" max="7921" width="12.88671875" style="484" customWidth="1"/>
    <col min="7922" max="7922" width="33.88671875" style="484" customWidth="1"/>
    <col min="7923" max="7923" width="14.109375" style="484" customWidth="1"/>
    <col min="7924" max="7924" width="14" style="484" customWidth="1"/>
    <col min="7925" max="7925" width="9.88671875" style="484" customWidth="1"/>
    <col min="7926" max="7926" width="9.109375" style="484" customWidth="1"/>
    <col min="7927" max="7927" width="9.88671875" style="484" customWidth="1"/>
    <col min="7928" max="7936" width="31.44140625" style="484"/>
    <col min="7937" max="7937" width="4.88671875" style="484" customWidth="1"/>
    <col min="7938" max="7938" width="40.44140625" style="484" customWidth="1"/>
    <col min="7939" max="7939" width="14.88671875" style="484" customWidth="1"/>
    <col min="7940" max="7940" width="12.109375" style="484" customWidth="1"/>
    <col min="7941" max="7941" width="11.109375" style="484" customWidth="1"/>
    <col min="7942" max="7942" width="7.44140625" style="484" customWidth="1"/>
    <col min="7943" max="7943" width="7.88671875" style="484" customWidth="1"/>
    <col min="7944" max="8175" width="9.109375" style="484" customWidth="1"/>
    <col min="8176" max="8176" width="6.109375" style="484" customWidth="1"/>
    <col min="8177" max="8177" width="12.88671875" style="484" customWidth="1"/>
    <col min="8178" max="8178" width="33.88671875" style="484" customWidth="1"/>
    <col min="8179" max="8179" width="14.109375" style="484" customWidth="1"/>
    <col min="8180" max="8180" width="14" style="484" customWidth="1"/>
    <col min="8181" max="8181" width="9.88671875" style="484" customWidth="1"/>
    <col min="8182" max="8182" width="9.109375" style="484" customWidth="1"/>
    <col min="8183" max="8183" width="9.88671875" style="484" customWidth="1"/>
    <col min="8184" max="8192" width="31.44140625" style="484"/>
    <col min="8193" max="8193" width="4.88671875" style="484" customWidth="1"/>
    <col min="8194" max="8194" width="40.44140625" style="484" customWidth="1"/>
    <col min="8195" max="8195" width="14.88671875" style="484" customWidth="1"/>
    <col min="8196" max="8196" width="12.109375" style="484" customWidth="1"/>
    <col min="8197" max="8197" width="11.109375" style="484" customWidth="1"/>
    <col min="8198" max="8198" width="7.44140625" style="484" customWidth="1"/>
    <col min="8199" max="8199" width="7.88671875" style="484" customWidth="1"/>
    <col min="8200" max="8431" width="9.109375" style="484" customWidth="1"/>
    <col min="8432" max="8432" width="6.109375" style="484" customWidth="1"/>
    <col min="8433" max="8433" width="12.88671875" style="484" customWidth="1"/>
    <col min="8434" max="8434" width="33.88671875" style="484" customWidth="1"/>
    <col min="8435" max="8435" width="14.109375" style="484" customWidth="1"/>
    <col min="8436" max="8436" width="14" style="484" customWidth="1"/>
    <col min="8437" max="8437" width="9.88671875" style="484" customWidth="1"/>
    <col min="8438" max="8438" width="9.109375" style="484" customWidth="1"/>
    <col min="8439" max="8439" width="9.88671875" style="484" customWidth="1"/>
    <col min="8440" max="8448" width="31.44140625" style="484"/>
    <col min="8449" max="8449" width="4.88671875" style="484" customWidth="1"/>
    <col min="8450" max="8450" width="40.44140625" style="484" customWidth="1"/>
    <col min="8451" max="8451" width="14.88671875" style="484" customWidth="1"/>
    <col min="8452" max="8452" width="12.109375" style="484" customWidth="1"/>
    <col min="8453" max="8453" width="11.109375" style="484" customWidth="1"/>
    <col min="8454" max="8454" width="7.44140625" style="484" customWidth="1"/>
    <col min="8455" max="8455" width="7.88671875" style="484" customWidth="1"/>
    <col min="8456" max="8687" width="9.109375" style="484" customWidth="1"/>
    <col min="8688" max="8688" width="6.109375" style="484" customWidth="1"/>
    <col min="8689" max="8689" width="12.88671875" style="484" customWidth="1"/>
    <col min="8690" max="8690" width="33.88671875" style="484" customWidth="1"/>
    <col min="8691" max="8691" width="14.109375" style="484" customWidth="1"/>
    <col min="8692" max="8692" width="14" style="484" customWidth="1"/>
    <col min="8693" max="8693" width="9.88671875" style="484" customWidth="1"/>
    <col min="8694" max="8694" width="9.109375" style="484" customWidth="1"/>
    <col min="8695" max="8695" width="9.88671875" style="484" customWidth="1"/>
    <col min="8696" max="8704" width="31.44140625" style="484"/>
    <col min="8705" max="8705" width="4.88671875" style="484" customWidth="1"/>
    <col min="8706" max="8706" width="40.44140625" style="484" customWidth="1"/>
    <col min="8707" max="8707" width="14.88671875" style="484" customWidth="1"/>
    <col min="8708" max="8708" width="12.109375" style="484" customWidth="1"/>
    <col min="8709" max="8709" width="11.109375" style="484" customWidth="1"/>
    <col min="8710" max="8710" width="7.44140625" style="484" customWidth="1"/>
    <col min="8711" max="8711" width="7.88671875" style="484" customWidth="1"/>
    <col min="8712" max="8943" width="9.109375" style="484" customWidth="1"/>
    <col min="8944" max="8944" width="6.109375" style="484" customWidth="1"/>
    <col min="8945" max="8945" width="12.88671875" style="484" customWidth="1"/>
    <col min="8946" max="8946" width="33.88671875" style="484" customWidth="1"/>
    <col min="8947" max="8947" width="14.109375" style="484" customWidth="1"/>
    <col min="8948" max="8948" width="14" style="484" customWidth="1"/>
    <col min="8949" max="8949" width="9.88671875" style="484" customWidth="1"/>
    <col min="8950" max="8950" width="9.109375" style="484" customWidth="1"/>
    <col min="8951" max="8951" width="9.88671875" style="484" customWidth="1"/>
    <col min="8952" max="8960" width="31.44140625" style="484"/>
    <col min="8961" max="8961" width="4.88671875" style="484" customWidth="1"/>
    <col min="8962" max="8962" width="40.44140625" style="484" customWidth="1"/>
    <col min="8963" max="8963" width="14.88671875" style="484" customWidth="1"/>
    <col min="8964" max="8964" width="12.109375" style="484" customWidth="1"/>
    <col min="8965" max="8965" width="11.109375" style="484" customWidth="1"/>
    <col min="8966" max="8966" width="7.44140625" style="484" customWidth="1"/>
    <col min="8967" max="8967" width="7.88671875" style="484" customWidth="1"/>
    <col min="8968" max="9199" width="9.109375" style="484" customWidth="1"/>
    <col min="9200" max="9200" width="6.109375" style="484" customWidth="1"/>
    <col min="9201" max="9201" width="12.88671875" style="484" customWidth="1"/>
    <col min="9202" max="9202" width="33.88671875" style="484" customWidth="1"/>
    <col min="9203" max="9203" width="14.109375" style="484" customWidth="1"/>
    <col min="9204" max="9204" width="14" style="484" customWidth="1"/>
    <col min="9205" max="9205" width="9.88671875" style="484" customWidth="1"/>
    <col min="9206" max="9206" width="9.109375" style="484" customWidth="1"/>
    <col min="9207" max="9207" width="9.88671875" style="484" customWidth="1"/>
    <col min="9208" max="9216" width="31.44140625" style="484"/>
    <col min="9217" max="9217" width="4.88671875" style="484" customWidth="1"/>
    <col min="9218" max="9218" width="40.44140625" style="484" customWidth="1"/>
    <col min="9219" max="9219" width="14.88671875" style="484" customWidth="1"/>
    <col min="9220" max="9220" width="12.109375" style="484" customWidth="1"/>
    <col min="9221" max="9221" width="11.109375" style="484" customWidth="1"/>
    <col min="9222" max="9222" width="7.44140625" style="484" customWidth="1"/>
    <col min="9223" max="9223" width="7.88671875" style="484" customWidth="1"/>
    <col min="9224" max="9455" width="9.109375" style="484" customWidth="1"/>
    <col min="9456" max="9456" width="6.109375" style="484" customWidth="1"/>
    <col min="9457" max="9457" width="12.88671875" style="484" customWidth="1"/>
    <col min="9458" max="9458" width="33.88671875" style="484" customWidth="1"/>
    <col min="9459" max="9459" width="14.109375" style="484" customWidth="1"/>
    <col min="9460" max="9460" width="14" style="484" customWidth="1"/>
    <col min="9461" max="9461" width="9.88671875" style="484" customWidth="1"/>
    <col min="9462" max="9462" width="9.109375" style="484" customWidth="1"/>
    <col min="9463" max="9463" width="9.88671875" style="484" customWidth="1"/>
    <col min="9464" max="9472" width="31.44140625" style="484"/>
    <col min="9473" max="9473" width="4.88671875" style="484" customWidth="1"/>
    <col min="9474" max="9474" width="40.44140625" style="484" customWidth="1"/>
    <col min="9475" max="9475" width="14.88671875" style="484" customWidth="1"/>
    <col min="9476" max="9476" width="12.109375" style="484" customWidth="1"/>
    <col min="9477" max="9477" width="11.109375" style="484" customWidth="1"/>
    <col min="9478" max="9478" width="7.44140625" style="484" customWidth="1"/>
    <col min="9479" max="9479" width="7.88671875" style="484" customWidth="1"/>
    <col min="9480" max="9711" width="9.109375" style="484" customWidth="1"/>
    <col min="9712" max="9712" width="6.109375" style="484" customWidth="1"/>
    <col min="9713" max="9713" width="12.88671875" style="484" customWidth="1"/>
    <col min="9714" max="9714" width="33.88671875" style="484" customWidth="1"/>
    <col min="9715" max="9715" width="14.109375" style="484" customWidth="1"/>
    <col min="9716" max="9716" width="14" style="484" customWidth="1"/>
    <col min="9717" max="9717" width="9.88671875" style="484" customWidth="1"/>
    <col min="9718" max="9718" width="9.109375" style="484" customWidth="1"/>
    <col min="9719" max="9719" width="9.88671875" style="484" customWidth="1"/>
    <col min="9720" max="9728" width="31.44140625" style="484"/>
    <col min="9729" max="9729" width="4.88671875" style="484" customWidth="1"/>
    <col min="9730" max="9730" width="40.44140625" style="484" customWidth="1"/>
    <col min="9731" max="9731" width="14.88671875" style="484" customWidth="1"/>
    <col min="9732" max="9732" width="12.109375" style="484" customWidth="1"/>
    <col min="9733" max="9733" width="11.109375" style="484" customWidth="1"/>
    <col min="9734" max="9734" width="7.44140625" style="484" customWidth="1"/>
    <col min="9735" max="9735" width="7.88671875" style="484" customWidth="1"/>
    <col min="9736" max="9967" width="9.109375" style="484" customWidth="1"/>
    <col min="9968" max="9968" width="6.109375" style="484" customWidth="1"/>
    <col min="9969" max="9969" width="12.88671875" style="484" customWidth="1"/>
    <col min="9970" max="9970" width="33.88671875" style="484" customWidth="1"/>
    <col min="9971" max="9971" width="14.109375" style="484" customWidth="1"/>
    <col min="9972" max="9972" width="14" style="484" customWidth="1"/>
    <col min="9973" max="9973" width="9.88671875" style="484" customWidth="1"/>
    <col min="9974" max="9974" width="9.109375" style="484" customWidth="1"/>
    <col min="9975" max="9975" width="9.88671875" style="484" customWidth="1"/>
    <col min="9976" max="9984" width="31.44140625" style="484"/>
    <col min="9985" max="9985" width="4.88671875" style="484" customWidth="1"/>
    <col min="9986" max="9986" width="40.44140625" style="484" customWidth="1"/>
    <col min="9987" max="9987" width="14.88671875" style="484" customWidth="1"/>
    <col min="9988" max="9988" width="12.109375" style="484" customWidth="1"/>
    <col min="9989" max="9989" width="11.109375" style="484" customWidth="1"/>
    <col min="9990" max="9990" width="7.44140625" style="484" customWidth="1"/>
    <col min="9991" max="9991" width="7.88671875" style="484" customWidth="1"/>
    <col min="9992" max="10223" width="9.109375" style="484" customWidth="1"/>
    <col min="10224" max="10224" width="6.109375" style="484" customWidth="1"/>
    <col min="10225" max="10225" width="12.88671875" style="484" customWidth="1"/>
    <col min="10226" max="10226" width="33.88671875" style="484" customWidth="1"/>
    <col min="10227" max="10227" width="14.109375" style="484" customWidth="1"/>
    <col min="10228" max="10228" width="14" style="484" customWidth="1"/>
    <col min="10229" max="10229" width="9.88671875" style="484" customWidth="1"/>
    <col min="10230" max="10230" width="9.109375" style="484" customWidth="1"/>
    <col min="10231" max="10231" width="9.88671875" style="484" customWidth="1"/>
    <col min="10232" max="10240" width="31.44140625" style="484"/>
    <col min="10241" max="10241" width="4.88671875" style="484" customWidth="1"/>
    <col min="10242" max="10242" width="40.44140625" style="484" customWidth="1"/>
    <col min="10243" max="10243" width="14.88671875" style="484" customWidth="1"/>
    <col min="10244" max="10244" width="12.109375" style="484" customWidth="1"/>
    <col min="10245" max="10245" width="11.109375" style="484" customWidth="1"/>
    <col min="10246" max="10246" width="7.44140625" style="484" customWidth="1"/>
    <col min="10247" max="10247" width="7.88671875" style="484" customWidth="1"/>
    <col min="10248" max="10479" width="9.109375" style="484" customWidth="1"/>
    <col min="10480" max="10480" width="6.109375" style="484" customWidth="1"/>
    <col min="10481" max="10481" width="12.88671875" style="484" customWidth="1"/>
    <col min="10482" max="10482" width="33.88671875" style="484" customWidth="1"/>
    <col min="10483" max="10483" width="14.109375" style="484" customWidth="1"/>
    <col min="10484" max="10484" width="14" style="484" customWidth="1"/>
    <col min="10485" max="10485" width="9.88671875" style="484" customWidth="1"/>
    <col min="10486" max="10486" width="9.109375" style="484" customWidth="1"/>
    <col min="10487" max="10487" width="9.88671875" style="484" customWidth="1"/>
    <col min="10488" max="10496" width="31.44140625" style="484"/>
    <col min="10497" max="10497" width="4.88671875" style="484" customWidth="1"/>
    <col min="10498" max="10498" width="40.44140625" style="484" customWidth="1"/>
    <col min="10499" max="10499" width="14.88671875" style="484" customWidth="1"/>
    <col min="10500" max="10500" width="12.109375" style="484" customWidth="1"/>
    <col min="10501" max="10501" width="11.109375" style="484" customWidth="1"/>
    <col min="10502" max="10502" width="7.44140625" style="484" customWidth="1"/>
    <col min="10503" max="10503" width="7.88671875" style="484" customWidth="1"/>
    <col min="10504" max="10735" width="9.109375" style="484" customWidth="1"/>
    <col min="10736" max="10736" width="6.109375" style="484" customWidth="1"/>
    <col min="10737" max="10737" width="12.88671875" style="484" customWidth="1"/>
    <col min="10738" max="10738" width="33.88671875" style="484" customWidth="1"/>
    <col min="10739" max="10739" width="14.109375" style="484" customWidth="1"/>
    <col min="10740" max="10740" width="14" style="484" customWidth="1"/>
    <col min="10741" max="10741" width="9.88671875" style="484" customWidth="1"/>
    <col min="10742" max="10742" width="9.109375" style="484" customWidth="1"/>
    <col min="10743" max="10743" width="9.88671875" style="484" customWidth="1"/>
    <col min="10744" max="10752" width="31.44140625" style="484"/>
    <col min="10753" max="10753" width="4.88671875" style="484" customWidth="1"/>
    <col min="10754" max="10754" width="40.44140625" style="484" customWidth="1"/>
    <col min="10755" max="10755" width="14.88671875" style="484" customWidth="1"/>
    <col min="10756" max="10756" width="12.109375" style="484" customWidth="1"/>
    <col min="10757" max="10757" width="11.109375" style="484" customWidth="1"/>
    <col min="10758" max="10758" width="7.44140625" style="484" customWidth="1"/>
    <col min="10759" max="10759" width="7.88671875" style="484" customWidth="1"/>
    <col min="10760" max="10991" width="9.109375" style="484" customWidth="1"/>
    <col min="10992" max="10992" width="6.109375" style="484" customWidth="1"/>
    <col min="10993" max="10993" width="12.88671875" style="484" customWidth="1"/>
    <col min="10994" max="10994" width="33.88671875" style="484" customWidth="1"/>
    <col min="10995" max="10995" width="14.109375" style="484" customWidth="1"/>
    <col min="10996" max="10996" width="14" style="484" customWidth="1"/>
    <col min="10997" max="10997" width="9.88671875" style="484" customWidth="1"/>
    <col min="10998" max="10998" width="9.109375" style="484" customWidth="1"/>
    <col min="10999" max="10999" width="9.88671875" style="484" customWidth="1"/>
    <col min="11000" max="11008" width="31.44140625" style="484"/>
    <col min="11009" max="11009" width="4.88671875" style="484" customWidth="1"/>
    <col min="11010" max="11010" width="40.44140625" style="484" customWidth="1"/>
    <col min="11011" max="11011" width="14.88671875" style="484" customWidth="1"/>
    <col min="11012" max="11012" width="12.109375" style="484" customWidth="1"/>
    <col min="11013" max="11013" width="11.109375" style="484" customWidth="1"/>
    <col min="11014" max="11014" width="7.44140625" style="484" customWidth="1"/>
    <col min="11015" max="11015" width="7.88671875" style="484" customWidth="1"/>
    <col min="11016" max="11247" width="9.109375" style="484" customWidth="1"/>
    <col min="11248" max="11248" width="6.109375" style="484" customWidth="1"/>
    <col min="11249" max="11249" width="12.88671875" style="484" customWidth="1"/>
    <col min="11250" max="11250" width="33.88671875" style="484" customWidth="1"/>
    <col min="11251" max="11251" width="14.109375" style="484" customWidth="1"/>
    <col min="11252" max="11252" width="14" style="484" customWidth="1"/>
    <col min="11253" max="11253" width="9.88671875" style="484" customWidth="1"/>
    <col min="11254" max="11254" width="9.109375" style="484" customWidth="1"/>
    <col min="11255" max="11255" width="9.88671875" style="484" customWidth="1"/>
    <col min="11256" max="11264" width="31.44140625" style="484"/>
    <col min="11265" max="11265" width="4.88671875" style="484" customWidth="1"/>
    <col min="11266" max="11266" width="40.44140625" style="484" customWidth="1"/>
    <col min="11267" max="11267" width="14.88671875" style="484" customWidth="1"/>
    <col min="11268" max="11268" width="12.109375" style="484" customWidth="1"/>
    <col min="11269" max="11269" width="11.109375" style="484" customWidth="1"/>
    <col min="11270" max="11270" width="7.44140625" style="484" customWidth="1"/>
    <col min="11271" max="11271" width="7.88671875" style="484" customWidth="1"/>
    <col min="11272" max="11503" width="9.109375" style="484" customWidth="1"/>
    <col min="11504" max="11504" width="6.109375" style="484" customWidth="1"/>
    <col min="11505" max="11505" width="12.88671875" style="484" customWidth="1"/>
    <col min="11506" max="11506" width="33.88671875" style="484" customWidth="1"/>
    <col min="11507" max="11507" width="14.109375" style="484" customWidth="1"/>
    <col min="11508" max="11508" width="14" style="484" customWidth="1"/>
    <col min="11509" max="11509" width="9.88671875" style="484" customWidth="1"/>
    <col min="11510" max="11510" width="9.109375" style="484" customWidth="1"/>
    <col min="11511" max="11511" width="9.88671875" style="484" customWidth="1"/>
    <col min="11512" max="11520" width="31.44140625" style="484"/>
    <col min="11521" max="11521" width="4.88671875" style="484" customWidth="1"/>
    <col min="11522" max="11522" width="40.44140625" style="484" customWidth="1"/>
    <col min="11523" max="11523" width="14.88671875" style="484" customWidth="1"/>
    <col min="11524" max="11524" width="12.109375" style="484" customWidth="1"/>
    <col min="11525" max="11525" width="11.109375" style="484" customWidth="1"/>
    <col min="11526" max="11526" width="7.44140625" style="484" customWidth="1"/>
    <col min="11527" max="11527" width="7.88671875" style="484" customWidth="1"/>
    <col min="11528" max="11759" width="9.109375" style="484" customWidth="1"/>
    <col min="11760" max="11760" width="6.109375" style="484" customWidth="1"/>
    <col min="11761" max="11761" width="12.88671875" style="484" customWidth="1"/>
    <col min="11762" max="11762" width="33.88671875" style="484" customWidth="1"/>
    <col min="11763" max="11763" width="14.109375" style="484" customWidth="1"/>
    <col min="11764" max="11764" width="14" style="484" customWidth="1"/>
    <col min="11765" max="11765" width="9.88671875" style="484" customWidth="1"/>
    <col min="11766" max="11766" width="9.109375" style="484" customWidth="1"/>
    <col min="11767" max="11767" width="9.88671875" style="484" customWidth="1"/>
    <col min="11768" max="11776" width="31.44140625" style="484"/>
    <col min="11777" max="11777" width="4.88671875" style="484" customWidth="1"/>
    <col min="11778" max="11778" width="40.44140625" style="484" customWidth="1"/>
    <col min="11779" max="11779" width="14.88671875" style="484" customWidth="1"/>
    <col min="11780" max="11780" width="12.109375" style="484" customWidth="1"/>
    <col min="11781" max="11781" width="11.109375" style="484" customWidth="1"/>
    <col min="11782" max="11782" width="7.44140625" style="484" customWidth="1"/>
    <col min="11783" max="11783" width="7.88671875" style="484" customWidth="1"/>
    <col min="11784" max="12015" width="9.109375" style="484" customWidth="1"/>
    <col min="12016" max="12016" width="6.109375" style="484" customWidth="1"/>
    <col min="12017" max="12017" width="12.88671875" style="484" customWidth="1"/>
    <col min="12018" max="12018" width="33.88671875" style="484" customWidth="1"/>
    <col min="12019" max="12019" width="14.109375" style="484" customWidth="1"/>
    <col min="12020" max="12020" width="14" style="484" customWidth="1"/>
    <col min="12021" max="12021" width="9.88671875" style="484" customWidth="1"/>
    <col min="12022" max="12022" width="9.109375" style="484" customWidth="1"/>
    <col min="12023" max="12023" width="9.88671875" style="484" customWidth="1"/>
    <col min="12024" max="12032" width="31.44140625" style="484"/>
    <col min="12033" max="12033" width="4.88671875" style="484" customWidth="1"/>
    <col min="12034" max="12034" width="40.44140625" style="484" customWidth="1"/>
    <col min="12035" max="12035" width="14.88671875" style="484" customWidth="1"/>
    <col min="12036" max="12036" width="12.109375" style="484" customWidth="1"/>
    <col min="12037" max="12037" width="11.109375" style="484" customWidth="1"/>
    <col min="12038" max="12038" width="7.44140625" style="484" customWidth="1"/>
    <col min="12039" max="12039" width="7.88671875" style="484" customWidth="1"/>
    <col min="12040" max="12271" width="9.109375" style="484" customWidth="1"/>
    <col min="12272" max="12272" width="6.109375" style="484" customWidth="1"/>
    <col min="12273" max="12273" width="12.88671875" style="484" customWidth="1"/>
    <col min="12274" max="12274" width="33.88671875" style="484" customWidth="1"/>
    <col min="12275" max="12275" width="14.109375" style="484" customWidth="1"/>
    <col min="12276" max="12276" width="14" style="484" customWidth="1"/>
    <col min="12277" max="12277" width="9.88671875" style="484" customWidth="1"/>
    <col min="12278" max="12278" width="9.109375" style="484" customWidth="1"/>
    <col min="12279" max="12279" width="9.88671875" style="484" customWidth="1"/>
    <col min="12280" max="12288" width="31.44140625" style="484"/>
    <col min="12289" max="12289" width="4.88671875" style="484" customWidth="1"/>
    <col min="12290" max="12290" width="40.44140625" style="484" customWidth="1"/>
    <col min="12291" max="12291" width="14.88671875" style="484" customWidth="1"/>
    <col min="12292" max="12292" width="12.109375" style="484" customWidth="1"/>
    <col min="12293" max="12293" width="11.109375" style="484" customWidth="1"/>
    <col min="12294" max="12294" width="7.44140625" style="484" customWidth="1"/>
    <col min="12295" max="12295" width="7.88671875" style="484" customWidth="1"/>
    <col min="12296" max="12527" width="9.109375" style="484" customWidth="1"/>
    <col min="12528" max="12528" width="6.109375" style="484" customWidth="1"/>
    <col min="12529" max="12529" width="12.88671875" style="484" customWidth="1"/>
    <col min="12530" max="12530" width="33.88671875" style="484" customWidth="1"/>
    <col min="12531" max="12531" width="14.109375" style="484" customWidth="1"/>
    <col min="12532" max="12532" width="14" style="484" customWidth="1"/>
    <col min="12533" max="12533" width="9.88671875" style="484" customWidth="1"/>
    <col min="12534" max="12534" width="9.109375" style="484" customWidth="1"/>
    <col min="12535" max="12535" width="9.88671875" style="484" customWidth="1"/>
    <col min="12536" max="12544" width="31.44140625" style="484"/>
    <col min="12545" max="12545" width="4.88671875" style="484" customWidth="1"/>
    <col min="12546" max="12546" width="40.44140625" style="484" customWidth="1"/>
    <col min="12547" max="12547" width="14.88671875" style="484" customWidth="1"/>
    <col min="12548" max="12548" width="12.109375" style="484" customWidth="1"/>
    <col min="12549" max="12549" width="11.109375" style="484" customWidth="1"/>
    <col min="12550" max="12550" width="7.44140625" style="484" customWidth="1"/>
    <col min="12551" max="12551" width="7.88671875" style="484" customWidth="1"/>
    <col min="12552" max="12783" width="9.109375" style="484" customWidth="1"/>
    <col min="12784" max="12784" width="6.109375" style="484" customWidth="1"/>
    <col min="12785" max="12785" width="12.88671875" style="484" customWidth="1"/>
    <col min="12786" max="12786" width="33.88671875" style="484" customWidth="1"/>
    <col min="12787" max="12787" width="14.109375" style="484" customWidth="1"/>
    <col min="12788" max="12788" width="14" style="484" customWidth="1"/>
    <col min="12789" max="12789" width="9.88671875" style="484" customWidth="1"/>
    <col min="12790" max="12790" width="9.109375" style="484" customWidth="1"/>
    <col min="12791" max="12791" width="9.88671875" style="484" customWidth="1"/>
    <col min="12792" max="12800" width="31.44140625" style="484"/>
    <col min="12801" max="12801" width="4.88671875" style="484" customWidth="1"/>
    <col min="12802" max="12802" width="40.44140625" style="484" customWidth="1"/>
    <col min="12803" max="12803" width="14.88671875" style="484" customWidth="1"/>
    <col min="12804" max="12804" width="12.109375" style="484" customWidth="1"/>
    <col min="12805" max="12805" width="11.109375" style="484" customWidth="1"/>
    <col min="12806" max="12806" width="7.44140625" style="484" customWidth="1"/>
    <col min="12807" max="12807" width="7.88671875" style="484" customWidth="1"/>
    <col min="12808" max="13039" width="9.109375" style="484" customWidth="1"/>
    <col min="13040" max="13040" width="6.109375" style="484" customWidth="1"/>
    <col min="13041" max="13041" width="12.88671875" style="484" customWidth="1"/>
    <col min="13042" max="13042" width="33.88671875" style="484" customWidth="1"/>
    <col min="13043" max="13043" width="14.109375" style="484" customWidth="1"/>
    <col min="13044" max="13044" width="14" style="484" customWidth="1"/>
    <col min="13045" max="13045" width="9.88671875" style="484" customWidth="1"/>
    <col min="13046" max="13046" width="9.109375" style="484" customWidth="1"/>
    <col min="13047" max="13047" width="9.88671875" style="484" customWidth="1"/>
    <col min="13048" max="13056" width="31.44140625" style="484"/>
    <col min="13057" max="13057" width="4.88671875" style="484" customWidth="1"/>
    <col min="13058" max="13058" width="40.44140625" style="484" customWidth="1"/>
    <col min="13059" max="13059" width="14.88671875" style="484" customWidth="1"/>
    <col min="13060" max="13060" width="12.109375" style="484" customWidth="1"/>
    <col min="13061" max="13061" width="11.109375" style="484" customWidth="1"/>
    <col min="13062" max="13062" width="7.44140625" style="484" customWidth="1"/>
    <col min="13063" max="13063" width="7.88671875" style="484" customWidth="1"/>
    <col min="13064" max="13295" width="9.109375" style="484" customWidth="1"/>
    <col min="13296" max="13296" width="6.109375" style="484" customWidth="1"/>
    <col min="13297" max="13297" width="12.88671875" style="484" customWidth="1"/>
    <col min="13298" max="13298" width="33.88671875" style="484" customWidth="1"/>
    <col min="13299" max="13299" width="14.109375" style="484" customWidth="1"/>
    <col min="13300" max="13300" width="14" style="484" customWidth="1"/>
    <col min="13301" max="13301" width="9.88671875" style="484" customWidth="1"/>
    <col min="13302" max="13302" width="9.109375" style="484" customWidth="1"/>
    <col min="13303" max="13303" width="9.88671875" style="484" customWidth="1"/>
    <col min="13304" max="13312" width="31.44140625" style="484"/>
    <col min="13313" max="13313" width="4.88671875" style="484" customWidth="1"/>
    <col min="13314" max="13314" width="40.44140625" style="484" customWidth="1"/>
    <col min="13315" max="13315" width="14.88671875" style="484" customWidth="1"/>
    <col min="13316" max="13316" width="12.109375" style="484" customWidth="1"/>
    <col min="13317" max="13317" width="11.109375" style="484" customWidth="1"/>
    <col min="13318" max="13318" width="7.44140625" style="484" customWidth="1"/>
    <col min="13319" max="13319" width="7.88671875" style="484" customWidth="1"/>
    <col min="13320" max="13551" width="9.109375" style="484" customWidth="1"/>
    <col min="13552" max="13552" width="6.109375" style="484" customWidth="1"/>
    <col min="13553" max="13553" width="12.88671875" style="484" customWidth="1"/>
    <col min="13554" max="13554" width="33.88671875" style="484" customWidth="1"/>
    <col min="13555" max="13555" width="14.109375" style="484" customWidth="1"/>
    <col min="13556" max="13556" width="14" style="484" customWidth="1"/>
    <col min="13557" max="13557" width="9.88671875" style="484" customWidth="1"/>
    <col min="13558" max="13558" width="9.109375" style="484" customWidth="1"/>
    <col min="13559" max="13559" width="9.88671875" style="484" customWidth="1"/>
    <col min="13560" max="13568" width="31.44140625" style="484"/>
    <col min="13569" max="13569" width="4.88671875" style="484" customWidth="1"/>
    <col min="13570" max="13570" width="40.44140625" style="484" customWidth="1"/>
    <col min="13571" max="13571" width="14.88671875" style="484" customWidth="1"/>
    <col min="13572" max="13572" width="12.109375" style="484" customWidth="1"/>
    <col min="13573" max="13573" width="11.109375" style="484" customWidth="1"/>
    <col min="13574" max="13574" width="7.44140625" style="484" customWidth="1"/>
    <col min="13575" max="13575" width="7.88671875" style="484" customWidth="1"/>
    <col min="13576" max="13807" width="9.109375" style="484" customWidth="1"/>
    <col min="13808" max="13808" width="6.109375" style="484" customWidth="1"/>
    <col min="13809" max="13809" width="12.88671875" style="484" customWidth="1"/>
    <col min="13810" max="13810" width="33.88671875" style="484" customWidth="1"/>
    <col min="13811" max="13811" width="14.109375" style="484" customWidth="1"/>
    <col min="13812" max="13812" width="14" style="484" customWidth="1"/>
    <col min="13813" max="13813" width="9.88671875" style="484" customWidth="1"/>
    <col min="13814" max="13814" width="9.109375" style="484" customWidth="1"/>
    <col min="13815" max="13815" width="9.88671875" style="484" customWidth="1"/>
    <col min="13816" max="13824" width="31.44140625" style="484"/>
    <col min="13825" max="13825" width="4.88671875" style="484" customWidth="1"/>
    <col min="13826" max="13826" width="40.44140625" style="484" customWidth="1"/>
    <col min="13827" max="13827" width="14.88671875" style="484" customWidth="1"/>
    <col min="13828" max="13828" width="12.109375" style="484" customWidth="1"/>
    <col min="13829" max="13829" width="11.109375" style="484" customWidth="1"/>
    <col min="13830" max="13830" width="7.44140625" style="484" customWidth="1"/>
    <col min="13831" max="13831" width="7.88671875" style="484" customWidth="1"/>
    <col min="13832" max="14063" width="9.109375" style="484" customWidth="1"/>
    <col min="14064" max="14064" width="6.109375" style="484" customWidth="1"/>
    <col min="14065" max="14065" width="12.88671875" style="484" customWidth="1"/>
    <col min="14066" max="14066" width="33.88671875" style="484" customWidth="1"/>
    <col min="14067" max="14067" width="14.109375" style="484" customWidth="1"/>
    <col min="14068" max="14068" width="14" style="484" customWidth="1"/>
    <col min="14069" max="14069" width="9.88671875" style="484" customWidth="1"/>
    <col min="14070" max="14070" width="9.109375" style="484" customWidth="1"/>
    <col min="14071" max="14071" width="9.88671875" style="484" customWidth="1"/>
    <col min="14072" max="14080" width="31.44140625" style="484"/>
    <col min="14081" max="14081" width="4.88671875" style="484" customWidth="1"/>
    <col min="14082" max="14082" width="40.44140625" style="484" customWidth="1"/>
    <col min="14083" max="14083" width="14.88671875" style="484" customWidth="1"/>
    <col min="14084" max="14084" width="12.109375" style="484" customWidth="1"/>
    <col min="14085" max="14085" width="11.109375" style="484" customWidth="1"/>
    <col min="14086" max="14086" width="7.44140625" style="484" customWidth="1"/>
    <col min="14087" max="14087" width="7.88671875" style="484" customWidth="1"/>
    <col min="14088" max="14319" width="9.109375" style="484" customWidth="1"/>
    <col min="14320" max="14320" width="6.109375" style="484" customWidth="1"/>
    <col min="14321" max="14321" width="12.88671875" style="484" customWidth="1"/>
    <col min="14322" max="14322" width="33.88671875" style="484" customWidth="1"/>
    <col min="14323" max="14323" width="14.109375" style="484" customWidth="1"/>
    <col min="14324" max="14324" width="14" style="484" customWidth="1"/>
    <col min="14325" max="14325" width="9.88671875" style="484" customWidth="1"/>
    <col min="14326" max="14326" width="9.109375" style="484" customWidth="1"/>
    <col min="14327" max="14327" width="9.88671875" style="484" customWidth="1"/>
    <col min="14328" max="14336" width="31.44140625" style="484"/>
    <col min="14337" max="14337" width="4.88671875" style="484" customWidth="1"/>
    <col min="14338" max="14338" width="40.44140625" style="484" customWidth="1"/>
    <col min="14339" max="14339" width="14.88671875" style="484" customWidth="1"/>
    <col min="14340" max="14340" width="12.109375" style="484" customWidth="1"/>
    <col min="14341" max="14341" width="11.109375" style="484" customWidth="1"/>
    <col min="14342" max="14342" width="7.44140625" style="484" customWidth="1"/>
    <col min="14343" max="14343" width="7.88671875" style="484" customWidth="1"/>
    <col min="14344" max="14575" width="9.109375" style="484" customWidth="1"/>
    <col min="14576" max="14576" width="6.109375" style="484" customWidth="1"/>
    <col min="14577" max="14577" width="12.88671875" style="484" customWidth="1"/>
    <col min="14578" max="14578" width="33.88671875" style="484" customWidth="1"/>
    <col min="14579" max="14579" width="14.109375" style="484" customWidth="1"/>
    <col min="14580" max="14580" width="14" style="484" customWidth="1"/>
    <col min="14581" max="14581" width="9.88671875" style="484" customWidth="1"/>
    <col min="14582" max="14582" width="9.109375" style="484" customWidth="1"/>
    <col min="14583" max="14583" width="9.88671875" style="484" customWidth="1"/>
    <col min="14584" max="14592" width="31.44140625" style="484"/>
    <col min="14593" max="14593" width="4.88671875" style="484" customWidth="1"/>
    <col min="14594" max="14594" width="40.44140625" style="484" customWidth="1"/>
    <col min="14595" max="14595" width="14.88671875" style="484" customWidth="1"/>
    <col min="14596" max="14596" width="12.109375" style="484" customWidth="1"/>
    <col min="14597" max="14597" width="11.109375" style="484" customWidth="1"/>
    <col min="14598" max="14598" width="7.44140625" style="484" customWidth="1"/>
    <col min="14599" max="14599" width="7.88671875" style="484" customWidth="1"/>
    <col min="14600" max="14831" width="9.109375" style="484" customWidth="1"/>
    <col min="14832" max="14832" width="6.109375" style="484" customWidth="1"/>
    <col min="14833" max="14833" width="12.88671875" style="484" customWidth="1"/>
    <col min="14834" max="14834" width="33.88671875" style="484" customWidth="1"/>
    <col min="14835" max="14835" width="14.109375" style="484" customWidth="1"/>
    <col min="14836" max="14836" width="14" style="484" customWidth="1"/>
    <col min="14837" max="14837" width="9.88671875" style="484" customWidth="1"/>
    <col min="14838" max="14838" width="9.109375" style="484" customWidth="1"/>
    <col min="14839" max="14839" width="9.88671875" style="484" customWidth="1"/>
    <col min="14840" max="14848" width="31.44140625" style="484"/>
    <col min="14849" max="14849" width="4.88671875" style="484" customWidth="1"/>
    <col min="14850" max="14850" width="40.44140625" style="484" customWidth="1"/>
    <col min="14851" max="14851" width="14.88671875" style="484" customWidth="1"/>
    <col min="14852" max="14852" width="12.109375" style="484" customWidth="1"/>
    <col min="14853" max="14853" width="11.109375" style="484" customWidth="1"/>
    <col min="14854" max="14854" width="7.44140625" style="484" customWidth="1"/>
    <col min="14855" max="14855" width="7.88671875" style="484" customWidth="1"/>
    <col min="14856" max="15087" width="9.109375" style="484" customWidth="1"/>
    <col min="15088" max="15088" width="6.109375" style="484" customWidth="1"/>
    <col min="15089" max="15089" width="12.88671875" style="484" customWidth="1"/>
    <col min="15090" max="15090" width="33.88671875" style="484" customWidth="1"/>
    <col min="15091" max="15091" width="14.109375" style="484" customWidth="1"/>
    <col min="15092" max="15092" width="14" style="484" customWidth="1"/>
    <col min="15093" max="15093" width="9.88671875" style="484" customWidth="1"/>
    <col min="15094" max="15094" width="9.109375" style="484" customWidth="1"/>
    <col min="15095" max="15095" width="9.88671875" style="484" customWidth="1"/>
    <col min="15096" max="15104" width="31.44140625" style="484"/>
    <col min="15105" max="15105" width="4.88671875" style="484" customWidth="1"/>
    <col min="15106" max="15106" width="40.44140625" style="484" customWidth="1"/>
    <col min="15107" max="15107" width="14.88671875" style="484" customWidth="1"/>
    <col min="15108" max="15108" width="12.109375" style="484" customWidth="1"/>
    <col min="15109" max="15109" width="11.109375" style="484" customWidth="1"/>
    <col min="15110" max="15110" width="7.44140625" style="484" customWidth="1"/>
    <col min="15111" max="15111" width="7.88671875" style="484" customWidth="1"/>
    <col min="15112" max="15343" width="9.109375" style="484" customWidth="1"/>
    <col min="15344" max="15344" width="6.109375" style="484" customWidth="1"/>
    <col min="15345" max="15345" width="12.88671875" style="484" customWidth="1"/>
    <col min="15346" max="15346" width="33.88671875" style="484" customWidth="1"/>
    <col min="15347" max="15347" width="14.109375" style="484" customWidth="1"/>
    <col min="15348" max="15348" width="14" style="484" customWidth="1"/>
    <col min="15349" max="15349" width="9.88671875" style="484" customWidth="1"/>
    <col min="15350" max="15350" width="9.109375" style="484" customWidth="1"/>
    <col min="15351" max="15351" width="9.88671875" style="484" customWidth="1"/>
    <col min="15352" max="15360" width="31.44140625" style="484"/>
    <col min="15361" max="15361" width="4.88671875" style="484" customWidth="1"/>
    <col min="15362" max="15362" width="40.44140625" style="484" customWidth="1"/>
    <col min="15363" max="15363" width="14.88671875" style="484" customWidth="1"/>
    <col min="15364" max="15364" width="12.109375" style="484" customWidth="1"/>
    <col min="15365" max="15365" width="11.109375" style="484" customWidth="1"/>
    <col min="15366" max="15366" width="7.44140625" style="484" customWidth="1"/>
    <col min="15367" max="15367" width="7.88671875" style="484" customWidth="1"/>
    <col min="15368" max="15599" width="9.109375" style="484" customWidth="1"/>
    <col min="15600" max="15600" width="6.109375" style="484" customWidth="1"/>
    <col min="15601" max="15601" width="12.88671875" style="484" customWidth="1"/>
    <col min="15602" max="15602" width="33.88671875" style="484" customWidth="1"/>
    <col min="15603" max="15603" width="14.109375" style="484" customWidth="1"/>
    <col min="15604" max="15604" width="14" style="484" customWidth="1"/>
    <col min="15605" max="15605" width="9.88671875" style="484" customWidth="1"/>
    <col min="15606" max="15606" width="9.109375" style="484" customWidth="1"/>
    <col min="15607" max="15607" width="9.88671875" style="484" customWidth="1"/>
    <col min="15608" max="15616" width="31.44140625" style="484"/>
    <col min="15617" max="15617" width="4.88671875" style="484" customWidth="1"/>
    <col min="15618" max="15618" width="40.44140625" style="484" customWidth="1"/>
    <col min="15619" max="15619" width="14.88671875" style="484" customWidth="1"/>
    <col min="15620" max="15620" width="12.109375" style="484" customWidth="1"/>
    <col min="15621" max="15621" width="11.109375" style="484" customWidth="1"/>
    <col min="15622" max="15622" width="7.44140625" style="484" customWidth="1"/>
    <col min="15623" max="15623" width="7.88671875" style="484" customWidth="1"/>
    <col min="15624" max="15855" width="9.109375" style="484" customWidth="1"/>
    <col min="15856" max="15856" width="6.109375" style="484" customWidth="1"/>
    <col min="15857" max="15857" width="12.88671875" style="484" customWidth="1"/>
    <col min="15858" max="15858" width="33.88671875" style="484" customWidth="1"/>
    <col min="15859" max="15859" width="14.109375" style="484" customWidth="1"/>
    <col min="15860" max="15860" width="14" style="484" customWidth="1"/>
    <col min="15861" max="15861" width="9.88671875" style="484" customWidth="1"/>
    <col min="15862" max="15862" width="9.109375" style="484" customWidth="1"/>
    <col min="15863" max="15863" width="9.88671875" style="484" customWidth="1"/>
    <col min="15864" max="15872" width="31.44140625" style="484"/>
    <col min="15873" max="15873" width="4.88671875" style="484" customWidth="1"/>
    <col min="15874" max="15874" width="40.44140625" style="484" customWidth="1"/>
    <col min="15875" max="15875" width="14.88671875" style="484" customWidth="1"/>
    <col min="15876" max="15876" width="12.109375" style="484" customWidth="1"/>
    <col min="15877" max="15877" width="11.109375" style="484" customWidth="1"/>
    <col min="15878" max="15878" width="7.44140625" style="484" customWidth="1"/>
    <col min="15879" max="15879" width="7.88671875" style="484" customWidth="1"/>
    <col min="15880" max="16111" width="9.109375" style="484" customWidth="1"/>
    <col min="16112" max="16112" width="6.109375" style="484" customWidth="1"/>
    <col min="16113" max="16113" width="12.88671875" style="484" customWidth="1"/>
    <col min="16114" max="16114" width="33.88671875" style="484" customWidth="1"/>
    <col min="16115" max="16115" width="14.109375" style="484" customWidth="1"/>
    <col min="16116" max="16116" width="14" style="484" customWidth="1"/>
    <col min="16117" max="16117" width="9.88671875" style="484" customWidth="1"/>
    <col min="16118" max="16118" width="9.109375" style="484" customWidth="1"/>
    <col min="16119" max="16119" width="9.88671875" style="484" customWidth="1"/>
    <col min="16120" max="16128" width="31.44140625" style="484"/>
    <col min="16129" max="16129" width="4.88671875" style="484" customWidth="1"/>
    <col min="16130" max="16130" width="40.44140625" style="484" customWidth="1"/>
    <col min="16131" max="16131" width="14.88671875" style="484" customWidth="1"/>
    <col min="16132" max="16132" width="12.109375" style="484" customWidth="1"/>
    <col min="16133" max="16133" width="11.109375" style="484" customWidth="1"/>
    <col min="16134" max="16134" width="7.44140625" style="484" customWidth="1"/>
    <col min="16135" max="16135" width="7.88671875" style="484" customWidth="1"/>
    <col min="16136" max="16367" width="9.109375" style="484" customWidth="1"/>
    <col min="16368" max="16368" width="6.109375" style="484" customWidth="1"/>
    <col min="16369" max="16369" width="12.88671875" style="484" customWidth="1"/>
    <col min="16370" max="16370" width="33.88671875" style="484" customWidth="1"/>
    <col min="16371" max="16371" width="14.109375" style="484" customWidth="1"/>
    <col min="16372" max="16372" width="14" style="484" customWidth="1"/>
    <col min="16373" max="16373" width="9.88671875" style="484" customWidth="1"/>
    <col min="16374" max="16374" width="9.109375" style="484" customWidth="1"/>
    <col min="16375" max="16375" width="9.88671875" style="484" customWidth="1"/>
    <col min="16376" max="16384" width="31.44140625" style="484"/>
  </cols>
  <sheetData>
    <row r="1" spans="1:7">
      <c r="A1" s="484" t="s">
        <v>2036</v>
      </c>
    </row>
    <row r="2" spans="1:7">
      <c r="A2" s="750"/>
      <c r="B2" s="750"/>
      <c r="C2" s="1059"/>
      <c r="D2" s="750"/>
      <c r="E2" s="750"/>
      <c r="F2" s="750"/>
      <c r="G2" s="750"/>
    </row>
    <row r="3" spans="1:7">
      <c r="A3" s="1060" t="s">
        <v>2</v>
      </c>
      <c r="B3" s="1061"/>
      <c r="C3" s="1062" t="s">
        <v>134</v>
      </c>
      <c r="D3" s="1061"/>
      <c r="E3" s="1061"/>
      <c r="F3" s="1061"/>
      <c r="G3" s="750"/>
    </row>
    <row r="4" spans="1:7">
      <c r="A4" s="1060" t="s">
        <v>4</v>
      </c>
      <c r="B4" s="1060"/>
      <c r="C4" s="1063" t="s">
        <v>92</v>
      </c>
      <c r="D4" s="1060"/>
      <c r="E4" s="1060"/>
      <c r="F4" s="1060"/>
      <c r="G4" s="750"/>
    </row>
    <row r="5" spans="1:7">
      <c r="A5" s="750"/>
      <c r="B5" s="750"/>
      <c r="C5" s="1059"/>
      <c r="D5" s="750"/>
      <c r="E5" s="750"/>
      <c r="F5" s="750"/>
      <c r="G5" s="750"/>
    </row>
    <row r="6" spans="1:7">
      <c r="A6" s="1064"/>
      <c r="B6" s="1064"/>
      <c r="C6" s="1065"/>
      <c r="D6" s="1064"/>
      <c r="E6" s="1064"/>
      <c r="F6" s="1064"/>
      <c r="G6" s="1064"/>
    </row>
    <row r="7" spans="1:7" s="1058" customFormat="1">
      <c r="A7" s="1073" t="s">
        <v>1751</v>
      </c>
      <c r="B7" s="1066"/>
      <c r="C7" s="1067"/>
      <c r="D7" s="1066"/>
      <c r="E7" s="1066"/>
      <c r="F7" s="1066"/>
      <c r="G7" s="1066"/>
    </row>
    <row r="8" spans="1:7">
      <c r="A8" s="488"/>
      <c r="B8" s="488"/>
      <c r="C8" s="1067"/>
      <c r="D8" s="488"/>
      <c r="E8" s="488"/>
      <c r="F8" s="488"/>
      <c r="G8" s="488"/>
    </row>
    <row r="9" spans="1:7" ht="44.25" customHeight="1">
      <c r="A9" s="15075" t="s">
        <v>8956</v>
      </c>
      <c r="B9" s="15075"/>
      <c r="C9" s="15075"/>
      <c r="D9" s="15075"/>
      <c r="E9" s="15075"/>
      <c r="F9" s="15075"/>
      <c r="G9" s="15075"/>
    </row>
    <row r="10" spans="1:7" ht="15.75" customHeight="1">
      <c r="A10" s="488"/>
      <c r="C10" s="1067"/>
      <c r="D10" s="488"/>
      <c r="E10" s="488"/>
      <c r="F10" s="488"/>
      <c r="G10" s="488"/>
    </row>
    <row r="11" spans="1:7" s="487" customFormat="1">
      <c r="A11" s="1073" t="s">
        <v>1753</v>
      </c>
      <c r="B11" s="488"/>
      <c r="C11" s="1067"/>
      <c r="D11" s="488"/>
      <c r="E11" s="488"/>
      <c r="F11" s="488"/>
      <c r="G11" s="488"/>
    </row>
    <row r="12" spans="1:7" ht="36.75" customHeight="1">
      <c r="A12" s="483" t="s">
        <v>2090</v>
      </c>
      <c r="B12" s="15076" t="s">
        <v>8957</v>
      </c>
      <c r="C12" s="15076"/>
      <c r="D12" s="15076"/>
      <c r="E12" s="15076"/>
      <c r="F12" s="15076"/>
      <c r="G12" s="15076"/>
    </row>
    <row r="13" spans="1:7" ht="35.25" customHeight="1">
      <c r="A13" s="485" t="s">
        <v>2091</v>
      </c>
      <c r="B13" s="15076" t="s">
        <v>8958</v>
      </c>
      <c r="C13" s="15076"/>
      <c r="D13" s="15076"/>
      <c r="E13" s="15076"/>
      <c r="F13" s="15076"/>
      <c r="G13" s="15076"/>
    </row>
    <row r="14" spans="1:7" ht="21" customHeight="1">
      <c r="A14" s="486" t="s">
        <v>2092</v>
      </c>
      <c r="B14" s="484" t="s">
        <v>2093</v>
      </c>
      <c r="D14" s="487"/>
      <c r="E14" s="487"/>
      <c r="F14" s="488"/>
      <c r="G14" s="488"/>
    </row>
    <row r="15" spans="1:7" s="489" customFormat="1">
      <c r="A15" s="483" t="s">
        <v>2094</v>
      </c>
      <c r="B15" s="15077" t="s">
        <v>2095</v>
      </c>
      <c r="C15" s="15077"/>
      <c r="D15" s="15077"/>
      <c r="E15" s="15077"/>
      <c r="F15" s="15077"/>
      <c r="G15" s="15077"/>
    </row>
    <row r="16" spans="1:7">
      <c r="A16" s="488"/>
      <c r="B16" s="488"/>
      <c r="C16" s="1067"/>
      <c r="D16" s="488"/>
      <c r="E16" s="488"/>
      <c r="F16" s="488"/>
      <c r="G16" s="488"/>
    </row>
    <row r="17" spans="1:7" s="1058" customFormat="1">
      <c r="A17" s="1058" t="s">
        <v>2043</v>
      </c>
      <c r="B17" s="1058" t="s">
        <v>2044</v>
      </c>
      <c r="C17" s="507"/>
    </row>
    <row r="18" spans="1:7" ht="14.4" thickBot="1">
      <c r="A18" s="484" t="s">
        <v>9</v>
      </c>
    </row>
    <row r="19" spans="1:7">
      <c r="A19" s="1068" t="s">
        <v>2045</v>
      </c>
      <c r="B19" s="15059" t="s">
        <v>2046</v>
      </c>
      <c r="C19" s="15062" t="s">
        <v>1736</v>
      </c>
      <c r="D19" s="15072" t="s">
        <v>1760</v>
      </c>
      <c r="E19" s="15065" t="s">
        <v>1764</v>
      </c>
      <c r="F19" s="15068" t="s">
        <v>1978</v>
      </c>
      <c r="G19" s="15069"/>
    </row>
    <row r="20" spans="1:7" ht="14.4" thickBot="1">
      <c r="A20" s="1069" t="s">
        <v>468</v>
      </c>
      <c r="B20" s="15060"/>
      <c r="C20" s="15063"/>
      <c r="D20" s="15073"/>
      <c r="E20" s="15066"/>
      <c r="F20" s="15070" t="s">
        <v>1993</v>
      </c>
      <c r="G20" s="15071"/>
    </row>
    <row r="21" spans="1:7" ht="14.4" thickBot="1">
      <c r="A21" s="1070" t="s">
        <v>2047</v>
      </c>
      <c r="B21" s="15061"/>
      <c r="C21" s="15064"/>
      <c r="D21" s="15074"/>
      <c r="E21" s="15067"/>
      <c r="F21" s="1071" t="s">
        <v>1789</v>
      </c>
      <c r="G21" s="1071" t="s">
        <v>1790</v>
      </c>
    </row>
    <row r="22" spans="1:7" s="1058" customFormat="1">
      <c r="A22" s="1072"/>
      <c r="B22" s="1073" t="s">
        <v>2058</v>
      </c>
      <c r="C22" s="509" t="s">
        <v>9</v>
      </c>
      <c r="D22" s="1073"/>
      <c r="E22" s="1074"/>
      <c r="F22" s="1075"/>
      <c r="G22" s="1076"/>
    </row>
    <row r="23" spans="1:7" s="495" customFormat="1" ht="18.75" customHeight="1">
      <c r="A23" s="490"/>
      <c r="B23" s="491" t="s">
        <v>2096</v>
      </c>
      <c r="C23" s="508"/>
      <c r="D23" s="15081" t="s">
        <v>2233</v>
      </c>
      <c r="E23" s="15058" t="s">
        <v>8959</v>
      </c>
      <c r="F23" s="493" t="s">
        <v>1766</v>
      </c>
      <c r="G23" s="494" t="s">
        <v>1767</v>
      </c>
    </row>
    <row r="24" spans="1:7" s="495" customFormat="1" ht="37.5" customHeight="1">
      <c r="A24" s="490"/>
      <c r="B24" s="1077" t="s">
        <v>2098</v>
      </c>
      <c r="C24" s="508"/>
      <c r="D24" s="15081"/>
      <c r="E24" s="15058"/>
      <c r="F24" s="1078"/>
      <c r="G24" s="1079"/>
    </row>
    <row r="25" spans="1:7" s="495" customFormat="1" ht="41.25" customHeight="1">
      <c r="A25" s="490"/>
      <c r="B25" s="502" t="s">
        <v>2099</v>
      </c>
      <c r="C25" s="508"/>
      <c r="D25" s="15081"/>
      <c r="E25" s="15058"/>
      <c r="F25" s="1081"/>
      <c r="G25" s="1082"/>
    </row>
    <row r="26" spans="1:7" ht="38.25" customHeight="1">
      <c r="A26" s="496"/>
      <c r="B26" s="1083" t="s">
        <v>3682</v>
      </c>
      <c r="C26" s="509"/>
      <c r="D26" s="15081"/>
      <c r="E26" s="499"/>
      <c r="F26" s="500"/>
      <c r="G26" s="501"/>
    </row>
    <row r="27" spans="1:7" ht="39.75" customHeight="1">
      <c r="A27" s="496"/>
      <c r="B27" s="502" t="s">
        <v>2100</v>
      </c>
      <c r="C27" s="509"/>
      <c r="D27" s="498"/>
      <c r="E27" s="499"/>
      <c r="F27" s="500"/>
      <c r="G27" s="501"/>
    </row>
    <row r="28" spans="1:7" ht="51" customHeight="1">
      <c r="A28" s="496"/>
      <c r="B28" s="497" t="s">
        <v>2101</v>
      </c>
      <c r="C28" s="509"/>
      <c r="D28" s="498"/>
      <c r="E28" s="499"/>
      <c r="F28" s="500"/>
      <c r="G28" s="501"/>
    </row>
    <row r="29" spans="1:7" ht="48.75" customHeight="1">
      <c r="A29" s="496"/>
      <c r="B29" s="502" t="s">
        <v>2102</v>
      </c>
      <c r="C29" s="509"/>
      <c r="D29" s="498"/>
      <c r="E29" s="499"/>
      <c r="F29" s="500"/>
      <c r="G29" s="501"/>
    </row>
    <row r="30" spans="1:7" s="495" customFormat="1" ht="62.25" customHeight="1">
      <c r="A30" s="490"/>
      <c r="B30" s="497" t="s">
        <v>2103</v>
      </c>
      <c r="C30" s="508"/>
      <c r="D30" s="497"/>
      <c r="E30" s="492"/>
      <c r="F30" s="1078"/>
      <c r="G30" s="1079"/>
    </row>
    <row r="31" spans="1:7" s="495" customFormat="1" ht="32.25" customHeight="1">
      <c r="A31" s="490"/>
      <c r="B31" s="497" t="s">
        <v>2104</v>
      </c>
      <c r="C31" s="508"/>
      <c r="D31" s="497"/>
      <c r="E31" s="492"/>
      <c r="F31" s="1078"/>
      <c r="G31" s="1079"/>
    </row>
    <row r="32" spans="1:7" s="495" customFormat="1" ht="53.25" customHeight="1" thickBot="1">
      <c r="A32" s="490"/>
      <c r="B32" s="1085" t="s">
        <v>3683</v>
      </c>
      <c r="C32" s="508"/>
      <c r="D32" s="497"/>
      <c r="E32" s="492"/>
      <c r="F32" s="1078"/>
      <c r="G32" s="1079"/>
    </row>
    <row r="33" spans="1:7" s="495" customFormat="1" ht="16.5" customHeight="1">
      <c r="A33" s="1360"/>
      <c r="B33" s="1361"/>
      <c r="C33" s="1362"/>
      <c r="D33" s="1360"/>
      <c r="E33" s="1360"/>
      <c r="F33" s="1363"/>
      <c r="G33" s="1363"/>
    </row>
    <row r="34" spans="1:7" s="495" customFormat="1" ht="16.5" customHeight="1">
      <c r="A34" s="497"/>
      <c r="B34" s="1085"/>
      <c r="C34" s="1359"/>
      <c r="D34" s="497"/>
      <c r="E34" s="497"/>
      <c r="F34" s="1078"/>
      <c r="G34" s="1078"/>
    </row>
    <row r="35" spans="1:7" s="495" customFormat="1" ht="16.5" customHeight="1" thickBot="1">
      <c r="A35" s="1364"/>
      <c r="B35" s="1365"/>
      <c r="C35" s="1366"/>
      <c r="D35" s="1364"/>
      <c r="E35" s="1364"/>
      <c r="F35" s="1367"/>
      <c r="G35" s="1367"/>
    </row>
    <row r="36" spans="1:7">
      <c r="A36" s="1068" t="s">
        <v>2045</v>
      </c>
      <c r="B36" s="15059" t="s">
        <v>2046</v>
      </c>
      <c r="C36" s="15062" t="s">
        <v>1736</v>
      </c>
      <c r="D36" s="15072" t="s">
        <v>1760</v>
      </c>
      <c r="E36" s="15065" t="s">
        <v>1764</v>
      </c>
      <c r="F36" s="15068" t="s">
        <v>1978</v>
      </c>
      <c r="G36" s="15069"/>
    </row>
    <row r="37" spans="1:7" ht="14.4" thickBot="1">
      <c r="A37" s="1069" t="s">
        <v>468</v>
      </c>
      <c r="B37" s="15060"/>
      <c r="C37" s="15063"/>
      <c r="D37" s="15073"/>
      <c r="E37" s="15066"/>
      <c r="F37" s="15070" t="s">
        <v>1993</v>
      </c>
      <c r="G37" s="15071"/>
    </row>
    <row r="38" spans="1:7" ht="14.4" thickBot="1">
      <c r="A38" s="1070" t="s">
        <v>2047</v>
      </c>
      <c r="B38" s="15061"/>
      <c r="C38" s="15064"/>
      <c r="D38" s="15074"/>
      <c r="E38" s="15067"/>
      <c r="F38" s="1071" t="s">
        <v>1789</v>
      </c>
      <c r="G38" s="1071" t="s">
        <v>1790</v>
      </c>
    </row>
    <row r="39" spans="1:7" s="1611" customFormat="1" ht="21.75" customHeight="1">
      <c r="A39" s="1755"/>
      <c r="B39" s="1756" t="s">
        <v>2105</v>
      </c>
      <c r="C39" s="1757"/>
      <c r="D39" s="15079"/>
      <c r="E39" s="1758"/>
      <c r="F39" s="1759" t="s">
        <v>1766</v>
      </c>
      <c r="G39" s="1760" t="s">
        <v>1767</v>
      </c>
    </row>
    <row r="40" spans="1:7" ht="36.75" customHeight="1">
      <c r="A40" s="496"/>
      <c r="B40" s="1085" t="s">
        <v>2106</v>
      </c>
      <c r="C40" s="509"/>
      <c r="D40" s="15080"/>
      <c r="E40" s="504"/>
      <c r="F40" s="505"/>
      <c r="G40" s="506"/>
    </row>
    <row r="41" spans="1:7" ht="39" customHeight="1">
      <c r="A41" s="496"/>
      <c r="B41" s="497" t="s">
        <v>2107</v>
      </c>
      <c r="C41" s="509"/>
      <c r="D41" s="503"/>
      <c r="E41" s="504"/>
      <c r="F41" s="505"/>
      <c r="G41" s="506"/>
    </row>
    <row r="42" spans="1:7" ht="41.25" customHeight="1">
      <c r="A42" s="496"/>
      <c r="B42" s="497" t="s">
        <v>2108</v>
      </c>
      <c r="C42" s="509"/>
      <c r="E42" s="15085"/>
      <c r="F42" s="505"/>
      <c r="G42" s="506"/>
    </row>
    <row r="43" spans="1:7" ht="34.5" customHeight="1">
      <c r="A43" s="496"/>
      <c r="B43" s="497" t="s">
        <v>2109</v>
      </c>
      <c r="C43" s="509"/>
      <c r="D43" s="503"/>
      <c r="E43" s="15085"/>
      <c r="F43" s="505"/>
      <c r="G43" s="506"/>
    </row>
    <row r="44" spans="1:7" ht="36.75" customHeight="1">
      <c r="A44" s="496"/>
      <c r="B44" s="497" t="s">
        <v>2110</v>
      </c>
      <c r="C44" s="509"/>
      <c r="D44" s="503"/>
      <c r="E44" s="504"/>
      <c r="F44" s="505"/>
      <c r="G44" s="506"/>
    </row>
    <row r="45" spans="1:7" ht="40.5" customHeight="1">
      <c r="A45" s="496"/>
      <c r="B45" s="1077" t="s">
        <v>2111</v>
      </c>
      <c r="C45" s="509"/>
      <c r="D45" s="503"/>
      <c r="E45" s="504"/>
      <c r="F45" s="505"/>
      <c r="G45" s="506"/>
    </row>
    <row r="46" spans="1:7" s="1111" customFormat="1" ht="54.75" customHeight="1">
      <c r="A46" s="1106"/>
      <c r="B46" s="1090" t="s">
        <v>3684</v>
      </c>
      <c r="C46" s="1107"/>
      <c r="D46" s="1108"/>
      <c r="E46" s="1109"/>
      <c r="F46" s="1084"/>
      <c r="G46" s="1110"/>
    </row>
    <row r="47" spans="1:7" s="1111" customFormat="1" ht="40.5" customHeight="1">
      <c r="A47" s="1106"/>
      <c r="B47" s="1090" t="s">
        <v>3685</v>
      </c>
      <c r="C47" s="1107"/>
      <c r="D47" s="1108"/>
      <c r="E47" s="1109"/>
      <c r="F47" s="1084"/>
      <c r="G47" s="1110"/>
    </row>
    <row r="48" spans="1:7" ht="15" customHeight="1">
      <c r="A48" s="496"/>
      <c r="B48" s="1087" t="s">
        <v>2112</v>
      </c>
      <c r="C48" s="509"/>
      <c r="D48" s="15082"/>
      <c r="E48" s="504"/>
      <c r="F48" s="493" t="s">
        <v>1766</v>
      </c>
      <c r="G48" s="494" t="s">
        <v>1767</v>
      </c>
    </row>
    <row r="49" spans="1:7" ht="14.4">
      <c r="A49" s="496"/>
      <c r="B49" s="1088" t="s">
        <v>2035</v>
      </c>
      <c r="C49" s="509"/>
      <c r="D49" s="15082"/>
      <c r="E49" s="15083"/>
      <c r="F49" s="505"/>
      <c r="G49" s="506"/>
    </row>
    <row r="50" spans="1:7" ht="22.5" customHeight="1">
      <c r="A50" s="496"/>
      <c r="B50" s="1086" t="s">
        <v>2113</v>
      </c>
      <c r="C50" s="509"/>
      <c r="D50" s="15082"/>
      <c r="E50" s="15083"/>
      <c r="F50" s="1089"/>
      <c r="G50" s="506"/>
    </row>
    <row r="51" spans="1:7" ht="51.75" customHeight="1">
      <c r="A51" s="496"/>
      <c r="B51" s="1077" t="s">
        <v>3686</v>
      </c>
      <c r="C51" s="509"/>
      <c r="D51" s="1090"/>
      <c r="E51" s="1051"/>
      <c r="F51" s="1089"/>
      <c r="G51" s="506"/>
    </row>
    <row r="52" spans="1:7" ht="38.25" customHeight="1">
      <c r="A52" s="496"/>
      <c r="B52" s="1077" t="s">
        <v>2114</v>
      </c>
      <c r="C52" s="509"/>
      <c r="D52" s="1090"/>
      <c r="E52" s="1051"/>
      <c r="F52" s="1089"/>
      <c r="G52" s="506"/>
    </row>
    <row r="53" spans="1:7" ht="39.75" customHeight="1">
      <c r="A53" s="496"/>
      <c r="B53" s="1077" t="s">
        <v>2115</v>
      </c>
      <c r="C53" s="509"/>
      <c r="D53" s="1090"/>
      <c r="E53" s="1051"/>
      <c r="F53" s="1089"/>
      <c r="G53" s="506"/>
    </row>
    <row r="54" spans="1:7" ht="35.25" customHeight="1">
      <c r="A54" s="1101"/>
      <c r="B54" s="1077" t="s">
        <v>3687</v>
      </c>
      <c r="C54" s="1102"/>
      <c r="D54" s="1090"/>
      <c r="E54" s="1113"/>
      <c r="F54" s="1089"/>
      <c r="G54" s="1105"/>
    </row>
    <row r="55" spans="1:7" ht="35.25" customHeight="1">
      <c r="A55" s="1101"/>
      <c r="B55" s="1077" t="s">
        <v>3688</v>
      </c>
      <c r="C55" s="1102"/>
      <c r="D55" s="1090"/>
      <c r="E55" s="1113"/>
      <c r="F55" s="1089"/>
      <c r="G55" s="1105"/>
    </row>
    <row r="56" spans="1:7" ht="50.25" customHeight="1">
      <c r="A56" s="496"/>
      <c r="B56" s="1077" t="s">
        <v>3689</v>
      </c>
      <c r="C56" s="509"/>
      <c r="D56" s="1090"/>
      <c r="E56" s="1051"/>
      <c r="F56" s="1089"/>
      <c r="G56" s="506"/>
    </row>
    <row r="57" spans="1:7" ht="57" customHeight="1" thickBot="1">
      <c r="A57" s="496"/>
      <c r="B57" s="497" t="s">
        <v>3690</v>
      </c>
      <c r="C57" s="509"/>
      <c r="D57" s="503"/>
      <c r="E57" s="504"/>
      <c r="F57" s="1089"/>
      <c r="G57" s="1091"/>
    </row>
    <row r="58" spans="1:7" ht="15" customHeight="1">
      <c r="A58" s="1368"/>
      <c r="B58" s="1360"/>
      <c r="C58" s="1369"/>
      <c r="D58" s="1368"/>
      <c r="E58" s="1368"/>
      <c r="F58" s="1370"/>
      <c r="G58" s="1370"/>
    </row>
    <row r="59" spans="1:7" ht="15" customHeight="1">
      <c r="A59" s="503"/>
      <c r="B59" s="497"/>
      <c r="C59" s="1371"/>
      <c r="D59" s="503"/>
      <c r="E59" s="503"/>
      <c r="F59" s="1089"/>
      <c r="G59" s="1089"/>
    </row>
    <row r="60" spans="1:7" ht="15" customHeight="1">
      <c r="A60" s="503"/>
      <c r="B60" s="497"/>
      <c r="C60" s="1371"/>
      <c r="D60" s="503"/>
      <c r="E60" s="503"/>
      <c r="F60" s="1089"/>
      <c r="G60" s="1089"/>
    </row>
    <row r="61" spans="1:7" ht="15" customHeight="1">
      <c r="A61" s="503"/>
      <c r="B61" s="497"/>
      <c r="C61" s="1371"/>
      <c r="D61" s="503"/>
      <c r="E61" s="503"/>
      <c r="F61" s="1089"/>
      <c r="G61" s="1089"/>
    </row>
    <row r="62" spans="1:7" ht="15" customHeight="1">
      <c r="A62" s="503"/>
      <c r="B62" s="497"/>
      <c r="C62" s="1371"/>
      <c r="D62" s="503"/>
      <c r="E62" s="503"/>
      <c r="F62" s="1089"/>
      <c r="G62" s="1089"/>
    </row>
    <row r="63" spans="1:7" ht="15" customHeight="1">
      <c r="A63" s="503"/>
      <c r="B63" s="497"/>
      <c r="C63" s="1371"/>
      <c r="D63" s="503"/>
      <c r="E63" s="503"/>
      <c r="F63" s="1089"/>
      <c r="G63" s="1089"/>
    </row>
    <row r="64" spans="1:7" ht="15" customHeight="1">
      <c r="A64" s="503"/>
      <c r="B64" s="497"/>
      <c r="C64" s="1371"/>
      <c r="D64" s="503"/>
      <c r="E64" s="503"/>
      <c r="F64" s="1089"/>
      <c r="G64" s="1089"/>
    </row>
    <row r="65" spans="1:7" ht="15" customHeight="1" thickBot="1">
      <c r="A65" s="503"/>
      <c r="B65" s="497"/>
      <c r="C65" s="1371"/>
      <c r="D65" s="503"/>
      <c r="E65" s="503"/>
      <c r="F65" s="1089"/>
      <c r="G65" s="1089"/>
    </row>
    <row r="66" spans="1:7">
      <c r="A66" s="1068" t="s">
        <v>2045</v>
      </c>
      <c r="B66" s="15059" t="s">
        <v>2046</v>
      </c>
      <c r="C66" s="15062" t="s">
        <v>1736</v>
      </c>
      <c r="D66" s="15072" t="s">
        <v>1760</v>
      </c>
      <c r="E66" s="15065" t="s">
        <v>1764</v>
      </c>
      <c r="F66" s="15068" t="s">
        <v>1978</v>
      </c>
      <c r="G66" s="15069"/>
    </row>
    <row r="67" spans="1:7" ht="14.4" thickBot="1">
      <c r="A67" s="1069" t="s">
        <v>468</v>
      </c>
      <c r="B67" s="15060"/>
      <c r="C67" s="15063"/>
      <c r="D67" s="15073"/>
      <c r="E67" s="15066"/>
      <c r="F67" s="15070" t="s">
        <v>1993</v>
      </c>
      <c r="G67" s="15071"/>
    </row>
    <row r="68" spans="1:7" ht="14.4" thickBot="1">
      <c r="A68" s="1070" t="s">
        <v>2047</v>
      </c>
      <c r="B68" s="15061"/>
      <c r="C68" s="15064"/>
      <c r="D68" s="15074"/>
      <c r="E68" s="15067"/>
      <c r="F68" s="1071" t="s">
        <v>1789</v>
      </c>
      <c r="G68" s="1071" t="s">
        <v>1790</v>
      </c>
    </row>
    <row r="69" spans="1:7" ht="14.4">
      <c r="A69" s="496"/>
      <c r="B69" s="1088" t="s">
        <v>2050</v>
      </c>
      <c r="C69" s="509"/>
      <c r="D69" s="15085"/>
      <c r="E69" s="15086"/>
      <c r="F69" s="1759" t="s">
        <v>1766</v>
      </c>
      <c r="G69" s="1760" t="s">
        <v>1767</v>
      </c>
    </row>
    <row r="70" spans="1:7" ht="20.25" customHeight="1">
      <c r="A70" s="496"/>
      <c r="B70" s="1086" t="s">
        <v>2116</v>
      </c>
      <c r="C70" s="509"/>
      <c r="D70" s="15085"/>
      <c r="E70" s="15086"/>
      <c r="F70" s="1089"/>
      <c r="G70" s="1091"/>
    </row>
    <row r="71" spans="1:7" ht="35.25" customHeight="1">
      <c r="A71" s="496"/>
      <c r="B71" s="1090" t="s">
        <v>2117</v>
      </c>
      <c r="C71" s="509"/>
      <c r="D71" s="15085"/>
      <c r="E71" s="15086"/>
      <c r="F71" s="1089"/>
      <c r="G71" s="1091"/>
    </row>
    <row r="72" spans="1:7" ht="20.25" customHeight="1">
      <c r="A72" s="496"/>
      <c r="B72" s="1086" t="s">
        <v>2118</v>
      </c>
      <c r="C72" s="509"/>
      <c r="D72" s="503"/>
      <c r="E72" s="15086"/>
      <c r="F72" s="1089"/>
      <c r="G72" s="1091"/>
    </row>
    <row r="73" spans="1:7" ht="39.75" customHeight="1">
      <c r="A73" s="496"/>
      <c r="B73" s="1077" t="s">
        <v>2119</v>
      </c>
      <c r="C73" s="509"/>
      <c r="D73" s="503"/>
      <c r="E73" s="504"/>
      <c r="F73" s="1089"/>
      <c r="G73" s="1091"/>
    </row>
    <row r="74" spans="1:7" ht="17.25" customHeight="1">
      <c r="A74" s="496"/>
      <c r="B74" s="1092" t="s">
        <v>2120</v>
      </c>
      <c r="C74" s="509"/>
      <c r="D74" s="503"/>
      <c r="E74" s="504"/>
      <c r="F74" s="505"/>
      <c r="G74" s="506"/>
    </row>
    <row r="75" spans="1:7" ht="35.25" customHeight="1">
      <c r="A75" s="496"/>
      <c r="B75" s="502" t="s">
        <v>2121</v>
      </c>
      <c r="C75" s="509"/>
      <c r="D75" s="1103"/>
      <c r="E75" s="1103"/>
      <c r="F75" s="1104"/>
      <c r="G75" s="506"/>
    </row>
    <row r="76" spans="1:7" ht="34.5" customHeight="1">
      <c r="A76" s="496"/>
      <c r="B76" s="502" t="s">
        <v>2124</v>
      </c>
      <c r="C76" s="509"/>
      <c r="D76" s="1103"/>
      <c r="E76" s="1103"/>
      <c r="F76" s="1104"/>
      <c r="G76" s="506"/>
    </row>
    <row r="77" spans="1:7" ht="63" customHeight="1">
      <c r="A77" s="2572"/>
      <c r="B77" s="497" t="s">
        <v>2125</v>
      </c>
      <c r="C77" s="2573"/>
      <c r="D77" s="1971"/>
      <c r="E77" s="1971"/>
      <c r="F77" s="2574"/>
      <c r="G77" s="2575"/>
    </row>
    <row r="78" spans="1:7" ht="112.5" customHeight="1" thickBot="1">
      <c r="A78" s="2566"/>
      <c r="B78" s="2576" t="s">
        <v>2126</v>
      </c>
      <c r="C78" s="2567"/>
      <c r="D78" s="2568"/>
      <c r="E78" s="2569"/>
      <c r="F78" s="2570"/>
      <c r="G78" s="2571"/>
    </row>
    <row r="79" spans="1:7" ht="38.25" hidden="1" customHeight="1" thickBot="1">
      <c r="A79" s="2566"/>
      <c r="B79" s="1364" t="s">
        <v>3691</v>
      </c>
      <c r="C79" s="2567"/>
      <c r="D79" s="2568"/>
      <c r="E79" s="2569"/>
      <c r="F79" s="2570"/>
      <c r="G79" s="2571"/>
    </row>
    <row r="80" spans="1:7" ht="14.4" hidden="1">
      <c r="A80" s="496"/>
      <c r="B80" s="1372" t="s">
        <v>2034</v>
      </c>
      <c r="C80" s="1357"/>
      <c r="D80" s="1358"/>
      <c r="E80" s="1358"/>
      <c r="F80" s="1373"/>
      <c r="G80" s="1105"/>
    </row>
    <row r="81" spans="1:7" ht="9" hidden="1" customHeight="1">
      <c r="A81" s="496"/>
      <c r="B81" s="1358"/>
      <c r="C81" s="1357"/>
      <c r="D81" s="15058" t="s">
        <v>2122</v>
      </c>
      <c r="E81" s="15084" t="s">
        <v>2123</v>
      </c>
      <c r="F81" s="1373"/>
      <c r="G81" s="1105"/>
    </row>
    <row r="82" spans="1:7" ht="36" hidden="1" customHeight="1">
      <c r="A82" s="496"/>
      <c r="B82" s="1374" t="s">
        <v>2127</v>
      </c>
      <c r="C82" s="1357"/>
      <c r="D82" s="15058"/>
      <c r="E82" s="15084"/>
      <c r="F82" s="1373"/>
      <c r="G82" s="1105"/>
    </row>
    <row r="83" spans="1:7" ht="48.75" hidden="1" customHeight="1">
      <c r="A83" s="496"/>
      <c r="B83" s="1375" t="s">
        <v>3692</v>
      </c>
      <c r="C83" s="1357"/>
      <c r="D83" s="1358"/>
      <c r="E83" s="15084"/>
      <c r="F83" s="1373"/>
      <c r="G83" s="1105"/>
    </row>
    <row r="84" spans="1:7" s="495" customFormat="1" ht="50.25" hidden="1" customHeight="1">
      <c r="A84" s="1114"/>
      <c r="B84" s="502" t="s">
        <v>3693</v>
      </c>
      <c r="C84" s="1115"/>
      <c r="D84" s="497"/>
      <c r="E84" s="1113"/>
      <c r="F84" s="1078"/>
      <c r="G84" s="1116"/>
    </row>
    <row r="85" spans="1:7" ht="40.5" hidden="1" customHeight="1">
      <c r="A85" s="496"/>
      <c r="B85" s="502" t="s">
        <v>2128</v>
      </c>
      <c r="C85" s="509"/>
      <c r="D85" s="503"/>
      <c r="E85" s="504"/>
      <c r="F85" s="505"/>
      <c r="G85" s="506"/>
    </row>
    <row r="86" spans="1:7" s="503" customFormat="1" ht="17.25" hidden="1" customHeight="1">
      <c r="A86" s="496"/>
      <c r="B86" s="1093" t="s">
        <v>2129</v>
      </c>
      <c r="C86" s="509"/>
      <c r="D86" s="1374"/>
      <c r="E86" s="504"/>
      <c r="F86" s="493" t="s">
        <v>1766</v>
      </c>
      <c r="G86" s="494" t="s">
        <v>1767</v>
      </c>
    </row>
    <row r="87" spans="1:7" s="503" customFormat="1" ht="75.75" hidden="1" customHeight="1">
      <c r="A87" s="496"/>
      <c r="B87" s="502" t="s">
        <v>2130</v>
      </c>
      <c r="C87" s="509"/>
      <c r="D87" s="1374"/>
      <c r="E87" s="504"/>
      <c r="F87" s="505"/>
      <c r="G87" s="506"/>
    </row>
    <row r="88" spans="1:7" ht="33.75" hidden="1" customHeight="1">
      <c r="A88" s="496"/>
      <c r="B88" s="502" t="s">
        <v>2131</v>
      </c>
      <c r="C88" s="509"/>
      <c r="D88" s="1374"/>
      <c r="E88" s="504"/>
      <c r="F88" s="505"/>
      <c r="G88" s="506"/>
    </row>
    <row r="89" spans="1:7" ht="32.25" hidden="1" customHeight="1">
      <c r="A89" s="496"/>
      <c r="B89" s="497" t="s">
        <v>2132</v>
      </c>
      <c r="C89" s="509"/>
      <c r="D89" s="1374"/>
      <c r="E89" s="504"/>
      <c r="F89" s="505"/>
      <c r="G89" s="506"/>
    </row>
    <row r="90" spans="1:7" ht="37.5" hidden="1" customHeight="1" thickBot="1">
      <c r="A90" s="1101"/>
      <c r="B90" s="497" t="s">
        <v>2192</v>
      </c>
      <c r="C90" s="1102"/>
      <c r="D90" s="1374"/>
      <c r="E90" s="1103"/>
      <c r="F90" s="505"/>
      <c r="G90" s="1105"/>
    </row>
    <row r="91" spans="1:7" ht="26.25" hidden="1" customHeight="1">
      <c r="A91" s="1368"/>
      <c r="B91" s="1360"/>
      <c r="C91" s="1369"/>
      <c r="D91" s="1376"/>
      <c r="E91" s="1368"/>
      <c r="F91" s="1377"/>
      <c r="G91" s="1377"/>
    </row>
    <row r="92" spans="1:7" s="503" customFormat="1" ht="16.5" hidden="1" customHeight="1">
      <c r="B92" s="497"/>
      <c r="C92" s="1371"/>
      <c r="D92" s="1077"/>
      <c r="F92" s="505"/>
      <c r="G92" s="505"/>
    </row>
    <row r="93" spans="1:7" s="503" customFormat="1" ht="16.5" hidden="1" customHeight="1">
      <c r="B93" s="497"/>
      <c r="C93" s="1371"/>
      <c r="D93" s="1077"/>
      <c r="F93" s="505"/>
      <c r="G93" s="505"/>
    </row>
    <row r="94" spans="1:7" s="503" customFormat="1" ht="16.5" hidden="1" customHeight="1">
      <c r="B94" s="497"/>
      <c r="C94" s="1371"/>
      <c r="D94" s="1077"/>
      <c r="F94" s="505"/>
      <c r="G94" s="505"/>
    </row>
    <row r="95" spans="1:7" s="503" customFormat="1" ht="16.5" hidden="1" customHeight="1">
      <c r="B95" s="497"/>
      <c r="C95" s="1371"/>
      <c r="D95" s="1077"/>
      <c r="F95" s="505"/>
      <c r="G95" s="505"/>
    </row>
    <row r="96" spans="1:7" s="503" customFormat="1" ht="16.5" hidden="1" customHeight="1" thickBot="1">
      <c r="B96" s="497"/>
      <c r="C96" s="1371"/>
      <c r="D96" s="1077"/>
      <c r="F96" s="505"/>
      <c r="G96" s="505"/>
    </row>
    <row r="97" spans="1:7" hidden="1">
      <c r="A97" s="1068" t="s">
        <v>2045</v>
      </c>
      <c r="B97" s="15059" t="s">
        <v>2046</v>
      </c>
      <c r="C97" s="15062" t="s">
        <v>1736</v>
      </c>
      <c r="D97" s="15072" t="s">
        <v>1760</v>
      </c>
      <c r="E97" s="15065" t="s">
        <v>1764</v>
      </c>
      <c r="F97" s="15068" t="s">
        <v>1978</v>
      </c>
      <c r="G97" s="15069"/>
    </row>
    <row r="98" spans="1:7" ht="14.4" hidden="1" thickBot="1">
      <c r="A98" s="1069" t="s">
        <v>468</v>
      </c>
      <c r="B98" s="15060"/>
      <c r="C98" s="15063"/>
      <c r="D98" s="15073"/>
      <c r="E98" s="15066"/>
      <c r="F98" s="15070" t="s">
        <v>1993</v>
      </c>
      <c r="G98" s="15071"/>
    </row>
    <row r="99" spans="1:7" ht="14.4" hidden="1" thickBot="1">
      <c r="A99" s="1070" t="s">
        <v>2047</v>
      </c>
      <c r="B99" s="15061"/>
      <c r="C99" s="15064"/>
      <c r="D99" s="15074"/>
      <c r="E99" s="15067"/>
      <c r="F99" s="1071" t="s">
        <v>1789</v>
      </c>
      <c r="G99" s="1071" t="s">
        <v>1790</v>
      </c>
    </row>
    <row r="100" spans="1:7" ht="24" hidden="1" customHeight="1">
      <c r="A100" s="496"/>
      <c r="B100" s="1080" t="s">
        <v>2133</v>
      </c>
      <c r="C100" s="509"/>
      <c r="D100" s="1374"/>
      <c r="E100" s="504"/>
      <c r="F100" s="505"/>
      <c r="G100" s="506"/>
    </row>
    <row r="101" spans="1:7" ht="39" hidden="1" customHeight="1">
      <c r="A101" s="496"/>
      <c r="B101" s="502" t="s">
        <v>2134</v>
      </c>
      <c r="C101" s="509"/>
      <c r="D101" s="503"/>
      <c r="E101" s="504"/>
      <c r="F101" s="505"/>
      <c r="G101" s="506"/>
    </row>
    <row r="102" spans="1:7" ht="36.75" hidden="1" customHeight="1">
      <c r="A102" s="1101"/>
      <c r="B102" s="502" t="s">
        <v>3694</v>
      </c>
      <c r="C102" s="1102"/>
      <c r="D102" s="503"/>
      <c r="E102" s="1103"/>
      <c r="F102" s="505"/>
      <c r="G102" s="1105"/>
    </row>
    <row r="103" spans="1:7" ht="51.75" hidden="1" customHeight="1">
      <c r="A103" s="496"/>
      <c r="B103" s="502" t="s">
        <v>2135</v>
      </c>
      <c r="C103" s="509"/>
      <c r="D103" s="503"/>
      <c r="E103" s="504"/>
      <c r="F103" s="505"/>
      <c r="G103" s="506"/>
    </row>
    <row r="104" spans="1:7" s="495" customFormat="1" ht="39.75" hidden="1" customHeight="1">
      <c r="A104" s="490"/>
      <c r="B104" s="502" t="s">
        <v>3695</v>
      </c>
      <c r="C104" s="508"/>
      <c r="D104" s="502"/>
      <c r="E104" s="492"/>
      <c r="F104" s="1078"/>
      <c r="G104" s="1079"/>
    </row>
    <row r="105" spans="1:7" s="495" customFormat="1" ht="51.75" hidden="1" customHeight="1">
      <c r="A105" s="1114"/>
      <c r="B105" s="502" t="s">
        <v>3696</v>
      </c>
      <c r="C105" s="1115"/>
      <c r="D105" s="502"/>
      <c r="E105" s="1112"/>
      <c r="F105" s="1078"/>
      <c r="G105" s="1116"/>
    </row>
    <row r="106" spans="1:7" s="495" customFormat="1" ht="33" hidden="1" customHeight="1">
      <c r="A106" s="1114"/>
      <c r="B106" s="502" t="s">
        <v>3697</v>
      </c>
      <c r="C106" s="1115"/>
      <c r="D106" s="502"/>
      <c r="E106" s="1112"/>
      <c r="F106" s="1078"/>
      <c r="G106" s="1116"/>
    </row>
    <row r="107" spans="1:7" s="495" customFormat="1" ht="36" hidden="1" customHeight="1">
      <c r="A107" s="1114"/>
      <c r="B107" s="502" t="s">
        <v>3698</v>
      </c>
      <c r="C107" s="1115"/>
      <c r="D107" s="502"/>
      <c r="E107" s="1112"/>
      <c r="F107" s="1078"/>
      <c r="G107" s="1116"/>
    </row>
    <row r="108" spans="1:7" s="495" customFormat="1" ht="33.75" hidden="1" customHeight="1">
      <c r="A108" s="490"/>
      <c r="B108" s="502" t="s">
        <v>2136</v>
      </c>
      <c r="C108" s="508"/>
      <c r="D108" s="502"/>
      <c r="E108" s="492"/>
      <c r="F108" s="1078"/>
      <c r="G108" s="1079"/>
    </row>
    <row r="109" spans="1:7" ht="40.5" hidden="1" customHeight="1">
      <c r="A109" s="496"/>
      <c r="B109" s="502" t="s">
        <v>2137</v>
      </c>
      <c r="C109" s="509"/>
      <c r="D109" s="1080"/>
      <c r="E109" s="504"/>
      <c r="F109" s="505"/>
      <c r="G109" s="506"/>
    </row>
    <row r="110" spans="1:7" hidden="1">
      <c r="A110" s="496"/>
      <c r="B110" s="503"/>
      <c r="C110" s="509"/>
      <c r="D110" s="503"/>
      <c r="E110" s="504"/>
      <c r="F110" s="505"/>
      <c r="G110" s="506"/>
    </row>
    <row r="111" spans="1:7" s="1100" customFormat="1" ht="24" hidden="1" customHeight="1" thickBot="1">
      <c r="A111" s="1094"/>
      <c r="B111" s="1095"/>
      <c r="C111" s="1096">
        <f>SUM(C22:C110)</f>
        <v>0</v>
      </c>
      <c r="D111" s="1097"/>
      <c r="E111" s="1097"/>
      <c r="F111" s="1098"/>
      <c r="G111" s="1099"/>
    </row>
    <row r="112" spans="1:7" hidden="1">
      <c r="B112" s="503"/>
    </row>
    <row r="113" spans="1:5">
      <c r="A113" s="487"/>
      <c r="B113" s="1086"/>
    </row>
    <row r="114" spans="1:5" ht="29.25" customHeight="1">
      <c r="B114" s="503"/>
    </row>
    <row r="115" spans="1:5" s="1058" customFormat="1">
      <c r="B115" s="1073"/>
      <c r="C115" s="507"/>
    </row>
    <row r="116" spans="1:5">
      <c r="B116" s="503"/>
    </row>
    <row r="117" spans="1:5">
      <c r="B117" s="503"/>
      <c r="E117" s="1058"/>
    </row>
    <row r="118" spans="1:5">
      <c r="B118" s="503"/>
    </row>
    <row r="119" spans="1:5">
      <c r="B119" s="503"/>
    </row>
    <row r="120" spans="1:5">
      <c r="B120" s="503"/>
    </row>
    <row r="121" spans="1:5">
      <c r="B121" s="503"/>
    </row>
    <row r="122" spans="1:5">
      <c r="B122" s="503"/>
    </row>
    <row r="123" spans="1:5">
      <c r="B123" s="503"/>
    </row>
    <row r="124" spans="1:5">
      <c r="B124" s="503"/>
    </row>
    <row r="125" spans="1:5">
      <c r="B125" s="503"/>
    </row>
    <row r="126" spans="1:5">
      <c r="B126" s="503"/>
    </row>
    <row r="127" spans="1:5">
      <c r="B127" s="503"/>
    </row>
    <row r="128" spans="1:5">
      <c r="B128" s="503"/>
    </row>
    <row r="129" spans="1:7">
      <c r="B129" s="503"/>
    </row>
    <row r="130" spans="1:7">
      <c r="B130" s="503"/>
    </row>
    <row r="131" spans="1:7">
      <c r="B131" s="503"/>
    </row>
    <row r="132" spans="1:7">
      <c r="A132" s="15078"/>
      <c r="B132" s="15078"/>
      <c r="C132" s="15078"/>
      <c r="D132" s="15078"/>
      <c r="E132" s="15078"/>
      <c r="F132" s="15078"/>
      <c r="G132" s="15078"/>
    </row>
    <row r="133" spans="1:7">
      <c r="B133" s="503"/>
    </row>
    <row r="134" spans="1:7">
      <c r="B134" s="503"/>
    </row>
    <row r="135" spans="1:7">
      <c r="B135" s="503"/>
    </row>
  </sheetData>
  <mergeCells count="39">
    <mergeCell ref="A132:G132"/>
    <mergeCell ref="D39:D40"/>
    <mergeCell ref="D23:D26"/>
    <mergeCell ref="D48:D50"/>
    <mergeCell ref="E49:E50"/>
    <mergeCell ref="D81:D82"/>
    <mergeCell ref="E81:E83"/>
    <mergeCell ref="E42:E43"/>
    <mergeCell ref="D69:D71"/>
    <mergeCell ref="E69:E72"/>
    <mergeCell ref="B36:B38"/>
    <mergeCell ref="C36:C38"/>
    <mergeCell ref="D36:D38"/>
    <mergeCell ref="E36:E38"/>
    <mergeCell ref="F36:G36"/>
    <mergeCell ref="F37:G37"/>
    <mergeCell ref="A9:G9"/>
    <mergeCell ref="B12:G12"/>
    <mergeCell ref="B13:G13"/>
    <mergeCell ref="B15:G15"/>
    <mergeCell ref="B19:B21"/>
    <mergeCell ref="C19:C21"/>
    <mergeCell ref="D19:D21"/>
    <mergeCell ref="E19:E21"/>
    <mergeCell ref="F19:G19"/>
    <mergeCell ref="F20:G20"/>
    <mergeCell ref="E23:E25"/>
    <mergeCell ref="B97:B99"/>
    <mergeCell ref="C97:C99"/>
    <mergeCell ref="E97:E99"/>
    <mergeCell ref="F97:G97"/>
    <mergeCell ref="F98:G98"/>
    <mergeCell ref="D97:D99"/>
    <mergeCell ref="B66:B68"/>
    <mergeCell ref="C66:C68"/>
    <mergeCell ref="D66:D68"/>
    <mergeCell ref="E66:E68"/>
    <mergeCell ref="F66:G66"/>
    <mergeCell ref="F67:G67"/>
  </mergeCells>
  <printOptions gridLinesSet="0"/>
  <pageMargins left="0.5" right="0.25" top="0.75" bottom="0.5" header="0.5" footer="0.25"/>
  <pageSetup paperSize="119" firstPageNumber="257" orientation="portrait" useFirstPageNumber="1" verticalDpi="300" r:id="rId1"/>
  <headerFooter alignWithMargins="0"/>
</worksheet>
</file>

<file path=xl/worksheets/sheet133.xml><?xml version="1.0" encoding="utf-8"?>
<worksheet xmlns="http://schemas.openxmlformats.org/spreadsheetml/2006/main" xmlns:r="http://schemas.openxmlformats.org/officeDocument/2006/relationships">
  <sheetPr codeName="Sheet93">
    <tabColor theme="8" tint="-0.249977111117893"/>
  </sheetPr>
  <dimension ref="A1:L118"/>
  <sheetViews>
    <sheetView showGridLines="0" topLeftCell="B3" workbookViewId="0">
      <pane xSplit="1" ySplit="6" topLeftCell="C83" activePane="bottomRight" state="frozen"/>
      <selection activeCell="B3" sqref="B3"/>
      <selection pane="topRight" activeCell="C3" sqref="C3"/>
      <selection pane="bottomLeft" activeCell="B9" sqref="B9"/>
      <selection pane="bottomRight" activeCell="J3" sqref="J1:R1048576"/>
    </sheetView>
  </sheetViews>
  <sheetFormatPr defaultRowHeight="15" customHeight="1"/>
  <cols>
    <col min="1" max="1" width="3.88671875" style="7351" customWidth="1"/>
    <col min="2" max="2" width="55.5546875" style="7351" customWidth="1"/>
    <col min="3" max="3" width="12.5546875" style="8795" customWidth="1"/>
    <col min="4" max="7" width="15.5546875" style="7338" customWidth="1"/>
    <col min="8" max="8" width="14.88671875" style="7338" hidden="1" customWidth="1"/>
    <col min="9" max="9" width="7.88671875" style="7348" hidden="1" customWidth="1"/>
    <col min="10" max="10" width="15.5546875" style="7338" customWidth="1"/>
    <col min="11" max="11" width="16.33203125" style="7374" customWidth="1"/>
    <col min="12" max="12" width="6.88671875" style="7351" customWidth="1"/>
    <col min="13" max="17" width="8.88671875" style="7351" customWidth="1"/>
    <col min="18" max="177" width="9.109375" style="7351"/>
    <col min="178" max="178" width="3.88671875" style="7351" customWidth="1"/>
    <col min="179" max="179" width="38.109375" style="7351" customWidth="1"/>
    <col min="180" max="180" width="9.44140625" style="7351" customWidth="1"/>
    <col min="181" max="182" width="16.44140625" style="7351" customWidth="1"/>
    <col min="183" max="183" width="15" style="7351" customWidth="1"/>
    <col min="184" max="433" width="9.109375" style="7351"/>
    <col min="434" max="434" width="3.88671875" style="7351" customWidth="1"/>
    <col min="435" max="435" width="38.109375" style="7351" customWidth="1"/>
    <col min="436" max="436" width="9.44140625" style="7351" customWidth="1"/>
    <col min="437" max="438" width="16.44140625" style="7351" customWidth="1"/>
    <col min="439" max="439" width="15" style="7351" customWidth="1"/>
    <col min="440" max="689" width="9.109375" style="7351"/>
    <col min="690" max="690" width="3.88671875" style="7351" customWidth="1"/>
    <col min="691" max="691" width="38.109375" style="7351" customWidth="1"/>
    <col min="692" max="692" width="9.44140625" style="7351" customWidth="1"/>
    <col min="693" max="694" width="16.44140625" style="7351" customWidth="1"/>
    <col min="695" max="695" width="15" style="7351" customWidth="1"/>
    <col min="696" max="945" width="9.109375" style="7351"/>
    <col min="946" max="946" width="3.88671875" style="7351" customWidth="1"/>
    <col min="947" max="947" width="38.109375" style="7351" customWidth="1"/>
    <col min="948" max="948" width="9.44140625" style="7351" customWidth="1"/>
    <col min="949" max="950" width="16.44140625" style="7351" customWidth="1"/>
    <col min="951" max="951" width="15" style="7351" customWidth="1"/>
    <col min="952" max="1201" width="9.109375" style="7351"/>
    <col min="1202" max="1202" width="3.88671875" style="7351" customWidth="1"/>
    <col min="1203" max="1203" width="38.109375" style="7351" customWidth="1"/>
    <col min="1204" max="1204" width="9.44140625" style="7351" customWidth="1"/>
    <col min="1205" max="1206" width="16.44140625" style="7351" customWidth="1"/>
    <col min="1207" max="1207" width="15" style="7351" customWidth="1"/>
    <col min="1208" max="1457" width="9.109375" style="7351"/>
    <col min="1458" max="1458" width="3.88671875" style="7351" customWidth="1"/>
    <col min="1459" max="1459" width="38.109375" style="7351" customWidth="1"/>
    <col min="1460" max="1460" width="9.44140625" style="7351" customWidth="1"/>
    <col min="1461" max="1462" width="16.44140625" style="7351" customWidth="1"/>
    <col min="1463" max="1463" width="15" style="7351" customWidth="1"/>
    <col min="1464" max="1713" width="9.109375" style="7351"/>
    <col min="1714" max="1714" width="3.88671875" style="7351" customWidth="1"/>
    <col min="1715" max="1715" width="38.109375" style="7351" customWidth="1"/>
    <col min="1716" max="1716" width="9.44140625" style="7351" customWidth="1"/>
    <col min="1717" max="1718" width="16.44140625" style="7351" customWidth="1"/>
    <col min="1719" max="1719" width="15" style="7351" customWidth="1"/>
    <col min="1720" max="1969" width="9.109375" style="7351"/>
    <col min="1970" max="1970" width="3.88671875" style="7351" customWidth="1"/>
    <col min="1971" max="1971" width="38.109375" style="7351" customWidth="1"/>
    <col min="1972" max="1972" width="9.44140625" style="7351" customWidth="1"/>
    <col min="1973" max="1974" width="16.44140625" style="7351" customWidth="1"/>
    <col min="1975" max="1975" width="15" style="7351" customWidth="1"/>
    <col min="1976" max="2225" width="9.109375" style="7351"/>
    <col min="2226" max="2226" width="3.88671875" style="7351" customWidth="1"/>
    <col min="2227" max="2227" width="38.109375" style="7351" customWidth="1"/>
    <col min="2228" max="2228" width="9.44140625" style="7351" customWidth="1"/>
    <col min="2229" max="2230" width="16.44140625" style="7351" customWidth="1"/>
    <col min="2231" max="2231" width="15" style="7351" customWidth="1"/>
    <col min="2232" max="2481" width="9.109375" style="7351"/>
    <col min="2482" max="2482" width="3.88671875" style="7351" customWidth="1"/>
    <col min="2483" max="2483" width="38.109375" style="7351" customWidth="1"/>
    <col min="2484" max="2484" width="9.44140625" style="7351" customWidth="1"/>
    <col min="2485" max="2486" width="16.44140625" style="7351" customWidth="1"/>
    <col min="2487" max="2487" width="15" style="7351" customWidth="1"/>
    <col min="2488" max="2737" width="9.109375" style="7351"/>
    <col min="2738" max="2738" width="3.88671875" style="7351" customWidth="1"/>
    <col min="2739" max="2739" width="38.109375" style="7351" customWidth="1"/>
    <col min="2740" max="2740" width="9.44140625" style="7351" customWidth="1"/>
    <col min="2741" max="2742" width="16.44140625" style="7351" customWidth="1"/>
    <col min="2743" max="2743" width="15" style="7351" customWidth="1"/>
    <col min="2744" max="2993" width="9.109375" style="7351"/>
    <col min="2994" max="2994" width="3.88671875" style="7351" customWidth="1"/>
    <col min="2995" max="2995" width="38.109375" style="7351" customWidth="1"/>
    <col min="2996" max="2996" width="9.44140625" style="7351" customWidth="1"/>
    <col min="2997" max="2998" width="16.44140625" style="7351" customWidth="1"/>
    <col min="2999" max="2999" width="15" style="7351" customWidth="1"/>
    <col min="3000" max="3249" width="9.109375" style="7351"/>
    <col min="3250" max="3250" width="3.88671875" style="7351" customWidth="1"/>
    <col min="3251" max="3251" width="38.109375" style="7351" customWidth="1"/>
    <col min="3252" max="3252" width="9.44140625" style="7351" customWidth="1"/>
    <col min="3253" max="3254" width="16.44140625" style="7351" customWidth="1"/>
    <col min="3255" max="3255" width="15" style="7351" customWidth="1"/>
    <col min="3256" max="3505" width="9.109375" style="7351"/>
    <col min="3506" max="3506" width="3.88671875" style="7351" customWidth="1"/>
    <col min="3507" max="3507" width="38.109375" style="7351" customWidth="1"/>
    <col min="3508" max="3508" width="9.44140625" style="7351" customWidth="1"/>
    <col min="3509" max="3510" width="16.44140625" style="7351" customWidth="1"/>
    <col min="3511" max="3511" width="15" style="7351" customWidth="1"/>
    <col min="3512" max="3761" width="9.109375" style="7351"/>
    <col min="3762" max="3762" width="3.88671875" style="7351" customWidth="1"/>
    <col min="3763" max="3763" width="38.109375" style="7351" customWidth="1"/>
    <col min="3764" max="3764" width="9.44140625" style="7351" customWidth="1"/>
    <col min="3765" max="3766" width="16.44140625" style="7351" customWidth="1"/>
    <col min="3767" max="3767" width="15" style="7351" customWidth="1"/>
    <col min="3768" max="4017" width="9.109375" style="7351"/>
    <col min="4018" max="4018" width="3.88671875" style="7351" customWidth="1"/>
    <col min="4019" max="4019" width="38.109375" style="7351" customWidth="1"/>
    <col min="4020" max="4020" width="9.44140625" style="7351" customWidth="1"/>
    <col min="4021" max="4022" width="16.44140625" style="7351" customWidth="1"/>
    <col min="4023" max="4023" width="15" style="7351" customWidth="1"/>
    <col min="4024" max="4273" width="9.109375" style="7351"/>
    <col min="4274" max="4274" width="3.88671875" style="7351" customWidth="1"/>
    <col min="4275" max="4275" width="38.109375" style="7351" customWidth="1"/>
    <col min="4276" max="4276" width="9.44140625" style="7351" customWidth="1"/>
    <col min="4277" max="4278" width="16.44140625" style="7351" customWidth="1"/>
    <col min="4279" max="4279" width="15" style="7351" customWidth="1"/>
    <col min="4280" max="4529" width="9.109375" style="7351"/>
    <col min="4530" max="4530" width="3.88671875" style="7351" customWidth="1"/>
    <col min="4531" max="4531" width="38.109375" style="7351" customWidth="1"/>
    <col min="4532" max="4532" width="9.44140625" style="7351" customWidth="1"/>
    <col min="4533" max="4534" width="16.44140625" style="7351" customWidth="1"/>
    <col min="4535" max="4535" width="15" style="7351" customWidth="1"/>
    <col min="4536" max="4785" width="9.109375" style="7351"/>
    <col min="4786" max="4786" width="3.88671875" style="7351" customWidth="1"/>
    <col min="4787" max="4787" width="38.109375" style="7351" customWidth="1"/>
    <col min="4788" max="4788" width="9.44140625" style="7351" customWidth="1"/>
    <col min="4789" max="4790" width="16.44140625" style="7351" customWidth="1"/>
    <col min="4791" max="4791" width="15" style="7351" customWidth="1"/>
    <col min="4792" max="5041" width="9.109375" style="7351"/>
    <col min="5042" max="5042" width="3.88671875" style="7351" customWidth="1"/>
    <col min="5043" max="5043" width="38.109375" style="7351" customWidth="1"/>
    <col min="5044" max="5044" width="9.44140625" style="7351" customWidth="1"/>
    <col min="5045" max="5046" width="16.44140625" style="7351" customWidth="1"/>
    <col min="5047" max="5047" width="15" style="7351" customWidth="1"/>
    <col min="5048" max="5297" width="9.109375" style="7351"/>
    <col min="5298" max="5298" width="3.88671875" style="7351" customWidth="1"/>
    <col min="5299" max="5299" width="38.109375" style="7351" customWidth="1"/>
    <col min="5300" max="5300" width="9.44140625" style="7351" customWidth="1"/>
    <col min="5301" max="5302" width="16.44140625" style="7351" customWidth="1"/>
    <col min="5303" max="5303" width="15" style="7351" customWidth="1"/>
    <col min="5304" max="5553" width="9.109375" style="7351"/>
    <col min="5554" max="5554" width="3.88671875" style="7351" customWidth="1"/>
    <col min="5555" max="5555" width="38.109375" style="7351" customWidth="1"/>
    <col min="5556" max="5556" width="9.44140625" style="7351" customWidth="1"/>
    <col min="5557" max="5558" width="16.44140625" style="7351" customWidth="1"/>
    <col min="5559" max="5559" width="15" style="7351" customWidth="1"/>
    <col min="5560" max="5809" width="9.109375" style="7351"/>
    <col min="5810" max="5810" width="3.88671875" style="7351" customWidth="1"/>
    <col min="5811" max="5811" width="38.109375" style="7351" customWidth="1"/>
    <col min="5812" max="5812" width="9.44140625" style="7351" customWidth="1"/>
    <col min="5813" max="5814" width="16.44140625" style="7351" customWidth="1"/>
    <col min="5815" max="5815" width="15" style="7351" customWidth="1"/>
    <col min="5816" max="6065" width="9.109375" style="7351"/>
    <col min="6066" max="6066" width="3.88671875" style="7351" customWidth="1"/>
    <col min="6067" max="6067" width="38.109375" style="7351" customWidth="1"/>
    <col min="6068" max="6068" width="9.44140625" style="7351" customWidth="1"/>
    <col min="6069" max="6070" width="16.44140625" style="7351" customWidth="1"/>
    <col min="6071" max="6071" width="15" style="7351" customWidth="1"/>
    <col min="6072" max="6321" width="9.109375" style="7351"/>
    <col min="6322" max="6322" width="3.88671875" style="7351" customWidth="1"/>
    <col min="6323" max="6323" width="38.109375" style="7351" customWidth="1"/>
    <col min="6324" max="6324" width="9.44140625" style="7351" customWidth="1"/>
    <col min="6325" max="6326" width="16.44140625" style="7351" customWidth="1"/>
    <col min="6327" max="6327" width="15" style="7351" customWidth="1"/>
    <col min="6328" max="6577" width="9.109375" style="7351"/>
    <col min="6578" max="6578" width="3.88671875" style="7351" customWidth="1"/>
    <col min="6579" max="6579" width="38.109375" style="7351" customWidth="1"/>
    <col min="6580" max="6580" width="9.44140625" style="7351" customWidth="1"/>
    <col min="6581" max="6582" width="16.44140625" style="7351" customWidth="1"/>
    <col min="6583" max="6583" width="15" style="7351" customWidth="1"/>
    <col min="6584" max="6833" width="9.109375" style="7351"/>
    <col min="6834" max="6834" width="3.88671875" style="7351" customWidth="1"/>
    <col min="6835" max="6835" width="38.109375" style="7351" customWidth="1"/>
    <col min="6836" max="6836" width="9.44140625" style="7351" customWidth="1"/>
    <col min="6837" max="6838" width="16.44140625" style="7351" customWidth="1"/>
    <col min="6839" max="6839" width="15" style="7351" customWidth="1"/>
    <col min="6840" max="7089" width="9.109375" style="7351"/>
    <col min="7090" max="7090" width="3.88671875" style="7351" customWidth="1"/>
    <col min="7091" max="7091" width="38.109375" style="7351" customWidth="1"/>
    <col min="7092" max="7092" width="9.44140625" style="7351" customWidth="1"/>
    <col min="7093" max="7094" width="16.44140625" style="7351" customWidth="1"/>
    <col min="7095" max="7095" width="15" style="7351" customWidth="1"/>
    <col min="7096" max="7345" width="9.109375" style="7351"/>
    <col min="7346" max="7346" width="3.88671875" style="7351" customWidth="1"/>
    <col min="7347" max="7347" width="38.109375" style="7351" customWidth="1"/>
    <col min="7348" max="7348" width="9.44140625" style="7351" customWidth="1"/>
    <col min="7349" max="7350" width="16.44140625" style="7351" customWidth="1"/>
    <col min="7351" max="7351" width="15" style="7351" customWidth="1"/>
    <col min="7352" max="7601" width="9.109375" style="7351"/>
    <col min="7602" max="7602" width="3.88671875" style="7351" customWidth="1"/>
    <col min="7603" max="7603" width="38.109375" style="7351" customWidth="1"/>
    <col min="7604" max="7604" width="9.44140625" style="7351" customWidth="1"/>
    <col min="7605" max="7606" width="16.44140625" style="7351" customWidth="1"/>
    <col min="7607" max="7607" width="15" style="7351" customWidth="1"/>
    <col min="7608" max="7857" width="9.109375" style="7351"/>
    <col min="7858" max="7858" width="3.88671875" style="7351" customWidth="1"/>
    <col min="7859" max="7859" width="38.109375" style="7351" customWidth="1"/>
    <col min="7860" max="7860" width="9.44140625" style="7351" customWidth="1"/>
    <col min="7861" max="7862" width="16.44140625" style="7351" customWidth="1"/>
    <col min="7863" max="7863" width="15" style="7351" customWidth="1"/>
    <col min="7864" max="8113" width="9.109375" style="7351"/>
    <col min="8114" max="8114" width="3.88671875" style="7351" customWidth="1"/>
    <col min="8115" max="8115" width="38.109375" style="7351" customWidth="1"/>
    <col min="8116" max="8116" width="9.44140625" style="7351" customWidth="1"/>
    <col min="8117" max="8118" width="16.44140625" style="7351" customWidth="1"/>
    <col min="8119" max="8119" width="15" style="7351" customWidth="1"/>
    <col min="8120" max="8369" width="9.109375" style="7351"/>
    <col min="8370" max="8370" width="3.88671875" style="7351" customWidth="1"/>
    <col min="8371" max="8371" width="38.109375" style="7351" customWidth="1"/>
    <col min="8372" max="8372" width="9.44140625" style="7351" customWidth="1"/>
    <col min="8373" max="8374" width="16.44140625" style="7351" customWidth="1"/>
    <col min="8375" max="8375" width="15" style="7351" customWidth="1"/>
    <col min="8376" max="8625" width="9.109375" style="7351"/>
    <col min="8626" max="8626" width="3.88671875" style="7351" customWidth="1"/>
    <col min="8627" max="8627" width="38.109375" style="7351" customWidth="1"/>
    <col min="8628" max="8628" width="9.44140625" style="7351" customWidth="1"/>
    <col min="8629" max="8630" width="16.44140625" style="7351" customWidth="1"/>
    <col min="8631" max="8631" width="15" style="7351" customWidth="1"/>
    <col min="8632" max="8881" width="9.109375" style="7351"/>
    <col min="8882" max="8882" width="3.88671875" style="7351" customWidth="1"/>
    <col min="8883" max="8883" width="38.109375" style="7351" customWidth="1"/>
    <col min="8884" max="8884" width="9.44140625" style="7351" customWidth="1"/>
    <col min="8885" max="8886" width="16.44140625" style="7351" customWidth="1"/>
    <col min="8887" max="8887" width="15" style="7351" customWidth="1"/>
    <col min="8888" max="9137" width="9.109375" style="7351"/>
    <col min="9138" max="9138" width="3.88671875" style="7351" customWidth="1"/>
    <col min="9139" max="9139" width="38.109375" style="7351" customWidth="1"/>
    <col min="9140" max="9140" width="9.44140625" style="7351" customWidth="1"/>
    <col min="9141" max="9142" width="16.44140625" style="7351" customWidth="1"/>
    <col min="9143" max="9143" width="15" style="7351" customWidth="1"/>
    <col min="9144" max="9393" width="9.109375" style="7351"/>
    <col min="9394" max="9394" width="3.88671875" style="7351" customWidth="1"/>
    <col min="9395" max="9395" width="38.109375" style="7351" customWidth="1"/>
    <col min="9396" max="9396" width="9.44140625" style="7351" customWidth="1"/>
    <col min="9397" max="9398" width="16.44140625" style="7351" customWidth="1"/>
    <col min="9399" max="9399" width="15" style="7351" customWidth="1"/>
    <col min="9400" max="9649" width="9.109375" style="7351"/>
    <col min="9650" max="9650" width="3.88671875" style="7351" customWidth="1"/>
    <col min="9651" max="9651" width="38.109375" style="7351" customWidth="1"/>
    <col min="9652" max="9652" width="9.44140625" style="7351" customWidth="1"/>
    <col min="9653" max="9654" width="16.44140625" style="7351" customWidth="1"/>
    <col min="9655" max="9655" width="15" style="7351" customWidth="1"/>
    <col min="9656" max="9905" width="9.109375" style="7351"/>
    <col min="9906" max="9906" width="3.88671875" style="7351" customWidth="1"/>
    <col min="9907" max="9907" width="38.109375" style="7351" customWidth="1"/>
    <col min="9908" max="9908" width="9.44140625" style="7351" customWidth="1"/>
    <col min="9909" max="9910" width="16.44140625" style="7351" customWidth="1"/>
    <col min="9911" max="9911" width="15" style="7351" customWidth="1"/>
    <col min="9912" max="10161" width="9.109375" style="7351"/>
    <col min="10162" max="10162" width="3.88671875" style="7351" customWidth="1"/>
    <col min="10163" max="10163" width="38.109375" style="7351" customWidth="1"/>
    <col min="10164" max="10164" width="9.44140625" style="7351" customWidth="1"/>
    <col min="10165" max="10166" width="16.44140625" style="7351" customWidth="1"/>
    <col min="10167" max="10167" width="15" style="7351" customWidth="1"/>
    <col min="10168" max="10417" width="9.109375" style="7351"/>
    <col min="10418" max="10418" width="3.88671875" style="7351" customWidth="1"/>
    <col min="10419" max="10419" width="38.109375" style="7351" customWidth="1"/>
    <col min="10420" max="10420" width="9.44140625" style="7351" customWidth="1"/>
    <col min="10421" max="10422" width="16.44140625" style="7351" customWidth="1"/>
    <col min="10423" max="10423" width="15" style="7351" customWidth="1"/>
    <col min="10424" max="10673" width="9.109375" style="7351"/>
    <col min="10674" max="10674" width="3.88671875" style="7351" customWidth="1"/>
    <col min="10675" max="10675" width="38.109375" style="7351" customWidth="1"/>
    <col min="10676" max="10676" width="9.44140625" style="7351" customWidth="1"/>
    <col min="10677" max="10678" width="16.44140625" style="7351" customWidth="1"/>
    <col min="10679" max="10679" width="15" style="7351" customWidth="1"/>
    <col min="10680" max="10929" width="9.109375" style="7351"/>
    <col min="10930" max="10930" width="3.88671875" style="7351" customWidth="1"/>
    <col min="10931" max="10931" width="38.109375" style="7351" customWidth="1"/>
    <col min="10932" max="10932" width="9.44140625" style="7351" customWidth="1"/>
    <col min="10933" max="10934" width="16.44140625" style="7351" customWidth="1"/>
    <col min="10935" max="10935" width="15" style="7351" customWidth="1"/>
    <col min="10936" max="11185" width="9.109375" style="7351"/>
    <col min="11186" max="11186" width="3.88671875" style="7351" customWidth="1"/>
    <col min="11187" max="11187" width="38.109375" style="7351" customWidth="1"/>
    <col min="11188" max="11188" width="9.44140625" style="7351" customWidth="1"/>
    <col min="11189" max="11190" width="16.44140625" style="7351" customWidth="1"/>
    <col min="11191" max="11191" width="15" style="7351" customWidth="1"/>
    <col min="11192" max="11441" width="9.109375" style="7351"/>
    <col min="11442" max="11442" width="3.88671875" style="7351" customWidth="1"/>
    <col min="11443" max="11443" width="38.109375" style="7351" customWidth="1"/>
    <col min="11444" max="11444" width="9.44140625" style="7351" customWidth="1"/>
    <col min="11445" max="11446" width="16.44140625" style="7351" customWidth="1"/>
    <col min="11447" max="11447" width="15" style="7351" customWidth="1"/>
    <col min="11448" max="11697" width="9.109375" style="7351"/>
    <col min="11698" max="11698" width="3.88671875" style="7351" customWidth="1"/>
    <col min="11699" max="11699" width="38.109375" style="7351" customWidth="1"/>
    <col min="11700" max="11700" width="9.44140625" style="7351" customWidth="1"/>
    <col min="11701" max="11702" width="16.44140625" style="7351" customWidth="1"/>
    <col min="11703" max="11703" width="15" style="7351" customWidth="1"/>
    <col min="11704" max="11953" width="9.109375" style="7351"/>
    <col min="11954" max="11954" width="3.88671875" style="7351" customWidth="1"/>
    <col min="11955" max="11955" width="38.109375" style="7351" customWidth="1"/>
    <col min="11956" max="11956" width="9.44140625" style="7351" customWidth="1"/>
    <col min="11957" max="11958" width="16.44140625" style="7351" customWidth="1"/>
    <col min="11959" max="11959" width="15" style="7351" customWidth="1"/>
    <col min="11960" max="12209" width="9.109375" style="7351"/>
    <col min="12210" max="12210" width="3.88671875" style="7351" customWidth="1"/>
    <col min="12211" max="12211" width="38.109375" style="7351" customWidth="1"/>
    <col min="12212" max="12212" width="9.44140625" style="7351" customWidth="1"/>
    <col min="12213" max="12214" width="16.44140625" style="7351" customWidth="1"/>
    <col min="12215" max="12215" width="15" style="7351" customWidth="1"/>
    <col min="12216" max="12465" width="9.109375" style="7351"/>
    <col min="12466" max="12466" width="3.88671875" style="7351" customWidth="1"/>
    <col min="12467" max="12467" width="38.109375" style="7351" customWidth="1"/>
    <col min="12468" max="12468" width="9.44140625" style="7351" customWidth="1"/>
    <col min="12469" max="12470" width="16.44140625" style="7351" customWidth="1"/>
    <col min="12471" max="12471" width="15" style="7351" customWidth="1"/>
    <col min="12472" max="12721" width="9.109375" style="7351"/>
    <col min="12722" max="12722" width="3.88671875" style="7351" customWidth="1"/>
    <col min="12723" max="12723" width="38.109375" style="7351" customWidth="1"/>
    <col min="12724" max="12724" width="9.44140625" style="7351" customWidth="1"/>
    <col min="12725" max="12726" width="16.44140625" style="7351" customWidth="1"/>
    <col min="12727" max="12727" width="15" style="7351" customWidth="1"/>
    <col min="12728" max="12977" width="9.109375" style="7351"/>
    <col min="12978" max="12978" width="3.88671875" style="7351" customWidth="1"/>
    <col min="12979" max="12979" width="38.109375" style="7351" customWidth="1"/>
    <col min="12980" max="12980" width="9.44140625" style="7351" customWidth="1"/>
    <col min="12981" max="12982" width="16.44140625" style="7351" customWidth="1"/>
    <col min="12983" max="12983" width="15" style="7351" customWidth="1"/>
    <col min="12984" max="13233" width="9.109375" style="7351"/>
    <col min="13234" max="13234" width="3.88671875" style="7351" customWidth="1"/>
    <col min="13235" max="13235" width="38.109375" style="7351" customWidth="1"/>
    <col min="13236" max="13236" width="9.44140625" style="7351" customWidth="1"/>
    <col min="13237" max="13238" width="16.44140625" style="7351" customWidth="1"/>
    <col min="13239" max="13239" width="15" style="7351" customWidth="1"/>
    <col min="13240" max="13489" width="9.109375" style="7351"/>
    <col min="13490" max="13490" width="3.88671875" style="7351" customWidth="1"/>
    <col min="13491" max="13491" width="38.109375" style="7351" customWidth="1"/>
    <col min="13492" max="13492" width="9.44140625" style="7351" customWidth="1"/>
    <col min="13493" max="13494" width="16.44140625" style="7351" customWidth="1"/>
    <col min="13495" max="13495" width="15" style="7351" customWidth="1"/>
    <col min="13496" max="13745" width="9.109375" style="7351"/>
    <col min="13746" max="13746" width="3.88671875" style="7351" customWidth="1"/>
    <col min="13747" max="13747" width="38.109375" style="7351" customWidth="1"/>
    <col min="13748" max="13748" width="9.44140625" style="7351" customWidth="1"/>
    <col min="13749" max="13750" width="16.44140625" style="7351" customWidth="1"/>
    <col min="13751" max="13751" width="15" style="7351" customWidth="1"/>
    <col min="13752" max="14001" width="9.109375" style="7351"/>
    <col min="14002" max="14002" width="3.88671875" style="7351" customWidth="1"/>
    <col min="14003" max="14003" width="38.109375" style="7351" customWidth="1"/>
    <col min="14004" max="14004" width="9.44140625" style="7351" customWidth="1"/>
    <col min="14005" max="14006" width="16.44140625" style="7351" customWidth="1"/>
    <col min="14007" max="14007" width="15" style="7351" customWidth="1"/>
    <col min="14008" max="14257" width="9.109375" style="7351"/>
    <col min="14258" max="14258" width="3.88671875" style="7351" customWidth="1"/>
    <col min="14259" max="14259" width="38.109375" style="7351" customWidth="1"/>
    <col min="14260" max="14260" width="9.44140625" style="7351" customWidth="1"/>
    <col min="14261" max="14262" width="16.44140625" style="7351" customWidth="1"/>
    <col min="14263" max="14263" width="15" style="7351" customWidth="1"/>
    <col min="14264" max="14513" width="9.109375" style="7351"/>
    <col min="14514" max="14514" width="3.88671875" style="7351" customWidth="1"/>
    <col min="14515" max="14515" width="38.109375" style="7351" customWidth="1"/>
    <col min="14516" max="14516" width="9.44140625" style="7351" customWidth="1"/>
    <col min="14517" max="14518" width="16.44140625" style="7351" customWidth="1"/>
    <col min="14519" max="14519" width="15" style="7351" customWidth="1"/>
    <col min="14520" max="14769" width="9.109375" style="7351"/>
    <col min="14770" max="14770" width="3.88671875" style="7351" customWidth="1"/>
    <col min="14771" max="14771" width="38.109375" style="7351" customWidth="1"/>
    <col min="14772" max="14772" width="9.44140625" style="7351" customWidth="1"/>
    <col min="14773" max="14774" width="16.44140625" style="7351" customWidth="1"/>
    <col min="14775" max="14775" width="15" style="7351" customWidth="1"/>
    <col min="14776" max="15025" width="9.109375" style="7351"/>
    <col min="15026" max="15026" width="3.88671875" style="7351" customWidth="1"/>
    <col min="15027" max="15027" width="38.109375" style="7351" customWidth="1"/>
    <col min="15028" max="15028" width="9.44140625" style="7351" customWidth="1"/>
    <col min="15029" max="15030" width="16.44140625" style="7351" customWidth="1"/>
    <col min="15031" max="15031" width="15" style="7351" customWidth="1"/>
    <col min="15032" max="15281" width="9.109375" style="7351"/>
    <col min="15282" max="15282" width="3.88671875" style="7351" customWidth="1"/>
    <col min="15283" max="15283" width="38.109375" style="7351" customWidth="1"/>
    <col min="15284" max="15284" width="9.44140625" style="7351" customWidth="1"/>
    <col min="15285" max="15286" width="16.44140625" style="7351" customWidth="1"/>
    <col min="15287" max="15287" width="15" style="7351" customWidth="1"/>
    <col min="15288" max="15537" width="9.109375" style="7351"/>
    <col min="15538" max="15538" width="3.88671875" style="7351" customWidth="1"/>
    <col min="15539" max="15539" width="38.109375" style="7351" customWidth="1"/>
    <col min="15540" max="15540" width="9.44140625" style="7351" customWidth="1"/>
    <col min="15541" max="15542" width="16.44140625" style="7351" customWidth="1"/>
    <col min="15543" max="15543" width="15" style="7351" customWidth="1"/>
    <col min="15544" max="15793" width="9.109375" style="7351"/>
    <col min="15794" max="15794" width="3.88671875" style="7351" customWidth="1"/>
    <col min="15795" max="15795" width="38.109375" style="7351" customWidth="1"/>
    <col min="15796" max="15796" width="9.44140625" style="7351" customWidth="1"/>
    <col min="15797" max="15798" width="16.44140625" style="7351" customWidth="1"/>
    <col min="15799" max="15799" width="15" style="7351" customWidth="1"/>
    <col min="15800" max="16049" width="9.109375" style="7351"/>
    <col min="16050" max="16050" width="3.88671875" style="7351" customWidth="1"/>
    <col min="16051" max="16051" width="38.109375" style="7351" customWidth="1"/>
    <col min="16052" max="16052" width="9.44140625" style="7351" customWidth="1"/>
    <col min="16053" max="16054" width="16.44140625" style="7351" customWidth="1"/>
    <col min="16055" max="16055" width="15" style="7351" customWidth="1"/>
    <col min="16056" max="16384" width="9.109375" style="7351"/>
  </cols>
  <sheetData>
    <row r="1" spans="1:12" ht="15" customHeight="1">
      <c r="A1" s="14432" t="s">
        <v>1</v>
      </c>
      <c r="B1" s="14432"/>
      <c r="C1" s="14432"/>
      <c r="D1" s="14432"/>
      <c r="E1" s="14432"/>
      <c r="F1" s="14432"/>
      <c r="G1" s="14432"/>
      <c r="H1" s="14432"/>
      <c r="I1" s="14432"/>
      <c r="J1" s="14432"/>
    </row>
    <row r="2" spans="1:12" ht="15" customHeight="1">
      <c r="A2" s="7335"/>
      <c r="B2" s="7719"/>
      <c r="C2" s="8785"/>
      <c r="D2" s="7720"/>
      <c r="E2" s="7720"/>
      <c r="F2" s="7720"/>
      <c r="G2" s="7720"/>
      <c r="H2" s="7720"/>
      <c r="I2" s="7280"/>
      <c r="J2" s="7720"/>
    </row>
    <row r="3" spans="1:12" ht="15" customHeight="1">
      <c r="A3" s="7335" t="s">
        <v>2</v>
      </c>
      <c r="B3" s="7341"/>
      <c r="C3" s="8786" t="s">
        <v>134</v>
      </c>
      <c r="D3" s="9431"/>
      <c r="E3" s="9431"/>
      <c r="F3" s="9431"/>
      <c r="G3" s="9431"/>
      <c r="H3" s="9431"/>
      <c r="I3" s="7284"/>
      <c r="J3" s="15044"/>
    </row>
    <row r="4" spans="1:12" ht="15" customHeight="1">
      <c r="A4" s="7335" t="s">
        <v>4</v>
      </c>
      <c r="B4" s="7335"/>
      <c r="C4" s="8785" t="s">
        <v>92</v>
      </c>
      <c r="D4" s="7336"/>
      <c r="E4" s="7336"/>
      <c r="F4" s="7336"/>
      <c r="G4" s="9431"/>
      <c r="H4" s="7336"/>
      <c r="I4" s="7286"/>
      <c r="J4" s="15044"/>
    </row>
    <row r="5" spans="1:12" ht="15" customHeight="1" thickBot="1">
      <c r="A5" s="7721" t="s">
        <v>7</v>
      </c>
      <c r="B5" s="7721"/>
      <c r="C5" s="8787" t="s">
        <v>8</v>
      </c>
      <c r="D5" s="7723"/>
      <c r="E5" s="7724"/>
      <c r="F5" s="7724"/>
      <c r="G5" s="7723"/>
      <c r="H5" s="7724"/>
      <c r="I5" s="7294"/>
      <c r="J5" s="7723"/>
    </row>
    <row r="6" spans="1:12" ht="15" customHeight="1">
      <c r="A6" s="11433"/>
      <c r="B6" s="11434"/>
      <c r="C6" s="11750" t="s">
        <v>9</v>
      </c>
      <c r="D6" s="9461" t="s">
        <v>10</v>
      </c>
      <c r="E6" s="14188" t="s">
        <v>10711</v>
      </c>
      <c r="F6" s="14189"/>
      <c r="G6" s="14190"/>
      <c r="H6" s="11080" t="s">
        <v>9985</v>
      </c>
      <c r="I6" s="9462"/>
      <c r="J6" s="11437" t="s">
        <v>12</v>
      </c>
    </row>
    <row r="7" spans="1:12" ht="15" customHeight="1">
      <c r="A7" s="11237"/>
      <c r="B7" s="7356" t="s">
        <v>13</v>
      </c>
      <c r="C7" s="11536" t="s">
        <v>93</v>
      </c>
      <c r="D7" s="11438" t="s">
        <v>15</v>
      </c>
      <c r="E7" s="9502" t="s">
        <v>10709</v>
      </c>
      <c r="F7" s="9503" t="s">
        <v>10710</v>
      </c>
      <c r="G7" s="14191" t="s">
        <v>458</v>
      </c>
      <c r="H7" s="11084" t="s">
        <v>11871</v>
      </c>
      <c r="I7" s="11108"/>
      <c r="J7" s="11439" t="s">
        <v>16</v>
      </c>
    </row>
    <row r="8" spans="1:12" ht="15" customHeight="1" thickBot="1">
      <c r="A8" s="11235"/>
      <c r="B8" s="7752"/>
      <c r="C8" s="11751" t="s">
        <v>94</v>
      </c>
      <c r="D8" s="7302">
        <v>2017</v>
      </c>
      <c r="E8" s="9467" t="s">
        <v>457</v>
      </c>
      <c r="F8" s="11661" t="s">
        <v>456</v>
      </c>
      <c r="G8" s="14192"/>
      <c r="H8" s="7302">
        <v>2018</v>
      </c>
      <c r="I8" s="7322"/>
      <c r="J8" s="11442">
        <v>2019</v>
      </c>
    </row>
    <row r="9" spans="1:12" ht="15" customHeight="1">
      <c r="A9" s="11241" t="s">
        <v>17</v>
      </c>
      <c r="B9" s="7352" t="s">
        <v>18</v>
      </c>
      <c r="C9" s="8872"/>
      <c r="D9" s="11252"/>
      <c r="E9" s="11252"/>
      <c r="F9" s="11252"/>
      <c r="G9" s="11252"/>
      <c r="H9" s="11252"/>
      <c r="I9" s="11163"/>
      <c r="J9" s="11269"/>
    </row>
    <row r="10" spans="1:12" ht="15" customHeight="1">
      <c r="A10" s="11237"/>
      <c r="B10" s="7352" t="s">
        <v>19</v>
      </c>
      <c r="C10" s="8872"/>
      <c r="D10" s="11252"/>
      <c r="E10" s="11252"/>
      <c r="F10" s="11252"/>
      <c r="G10" s="11252"/>
      <c r="H10" s="11252"/>
      <c r="I10" s="11163"/>
      <c r="J10" s="11269"/>
    </row>
    <row r="11" spans="1:12" ht="15" customHeight="1">
      <c r="A11" s="11237"/>
      <c r="B11" s="7352" t="s">
        <v>20</v>
      </c>
      <c r="C11" s="8872">
        <v>50101010</v>
      </c>
      <c r="D11" s="11443">
        <f>'WS-PS 2017'!B30</f>
        <v>9733720.6199999992</v>
      </c>
      <c r="E11" s="11443">
        <f>'WS-PS ACTUAL JUNE 2018'!B30</f>
        <v>5177040.82</v>
      </c>
      <c r="F11" s="11443">
        <f>G11-E11</f>
        <v>9044651.1799999997</v>
      </c>
      <c r="G11" s="11443">
        <v>14221692</v>
      </c>
      <c r="H11" s="11443"/>
      <c r="I11" s="11165"/>
      <c r="J11" s="11752">
        <f>K11</f>
        <v>14536764</v>
      </c>
      <c r="K11" s="10573">
        <f>'staffing-jagna'!F65</f>
        <v>14536764</v>
      </c>
      <c r="L11" s="7383">
        <f>'staffing-jagna'!B65</f>
        <v>48</v>
      </c>
    </row>
    <row r="12" spans="1:12" ht="15" customHeight="1">
      <c r="A12" s="11237"/>
      <c r="B12" s="7352" t="s">
        <v>21</v>
      </c>
      <c r="C12" s="8872">
        <v>50102010</v>
      </c>
      <c r="D12" s="11252">
        <f>'WS-PS 2017'!F30</f>
        <v>915215.35</v>
      </c>
      <c r="E12" s="11252">
        <f>'WS-PS ACTUAL JUNE 2018'!D30</f>
        <v>454286.43</v>
      </c>
      <c r="F12" s="11443">
        <f t="shared" ref="F12:F29" si="0">G12-E12</f>
        <v>721713.57000000007</v>
      </c>
      <c r="G12" s="11252">
        <v>1176000</v>
      </c>
      <c r="H12" s="11252"/>
      <c r="I12" s="11163"/>
      <c r="J12" s="11752">
        <f t="shared" ref="J12:J29" si="1">K12</f>
        <v>1152000</v>
      </c>
      <c r="K12" s="7502">
        <f>24000*L11</f>
        <v>1152000</v>
      </c>
    </row>
    <row r="13" spans="1:12" ht="15" customHeight="1">
      <c r="A13" s="11237"/>
      <c r="B13" s="11242" t="s">
        <v>104</v>
      </c>
      <c r="C13" s="8872">
        <v>50102020</v>
      </c>
      <c r="D13" s="11252">
        <f>'WS-PS 2017'!G30</f>
        <v>17500</v>
      </c>
      <c r="E13" s="11252">
        <f>'WS-PS ACTUAL JUNE 2018'!E30</f>
        <v>0</v>
      </c>
      <c r="F13" s="11443">
        <f t="shared" si="0"/>
        <v>60000</v>
      </c>
      <c r="G13" s="11252">
        <v>60000</v>
      </c>
      <c r="H13" s="11252"/>
      <c r="I13" s="11163"/>
      <c r="J13" s="11752">
        <f t="shared" si="1"/>
        <v>60000</v>
      </c>
      <c r="K13" s="7502">
        <v>60000</v>
      </c>
    </row>
    <row r="14" spans="1:12" ht="15" customHeight="1">
      <c r="A14" s="11237"/>
      <c r="B14" s="11242" t="s">
        <v>105</v>
      </c>
      <c r="C14" s="8872">
        <v>50102030</v>
      </c>
      <c r="D14" s="11252">
        <f>'WS-PS 2017'!H30</f>
        <v>17500</v>
      </c>
      <c r="E14" s="11252">
        <f>'WS-PS ACTUAL JUNE 2018'!F30</f>
        <v>0</v>
      </c>
      <c r="F14" s="11443">
        <f t="shared" si="0"/>
        <v>60000</v>
      </c>
      <c r="G14" s="11252">
        <v>60000</v>
      </c>
      <c r="H14" s="11252"/>
      <c r="I14" s="11163"/>
      <c r="J14" s="11752">
        <f t="shared" si="1"/>
        <v>60000</v>
      </c>
      <c r="K14" s="7502">
        <v>60000</v>
      </c>
    </row>
    <row r="15" spans="1:12" ht="15" customHeight="1">
      <c r="A15" s="11237"/>
      <c r="B15" s="11242" t="s">
        <v>22</v>
      </c>
      <c r="C15" s="8872">
        <v>50102040</v>
      </c>
      <c r="D15" s="11252">
        <f>'WS-PS 2017'!I30</f>
        <v>195000</v>
      </c>
      <c r="E15" s="11252">
        <f>'WS-PS ACTUAL JUNE 2018'!G30</f>
        <v>228000</v>
      </c>
      <c r="F15" s="11443">
        <f t="shared" si="0"/>
        <v>17000</v>
      </c>
      <c r="G15" s="11252">
        <v>245000</v>
      </c>
      <c r="H15" s="11252"/>
      <c r="I15" s="11163"/>
      <c r="J15" s="11752">
        <f t="shared" si="1"/>
        <v>288000</v>
      </c>
      <c r="K15" s="7502">
        <f>6000*L11</f>
        <v>288000</v>
      </c>
    </row>
    <row r="16" spans="1:12" ht="15" customHeight="1">
      <c r="A16" s="11237"/>
      <c r="B16" s="11242" t="s">
        <v>106</v>
      </c>
      <c r="C16" s="8872">
        <v>50102050</v>
      </c>
      <c r="D16" s="11252">
        <f>'WS-PS 2017'!J30</f>
        <v>410925</v>
      </c>
      <c r="E16" s="11252">
        <f>'WS-PS ACTUAL JUNE 2018'!H30</f>
        <v>190550</v>
      </c>
      <c r="F16" s="11443">
        <f t="shared" si="0"/>
        <v>691450</v>
      </c>
      <c r="G16" s="11252">
        <v>882000</v>
      </c>
      <c r="H16" s="11252"/>
      <c r="I16" s="11163"/>
      <c r="J16" s="11752">
        <f t="shared" si="1"/>
        <v>518400</v>
      </c>
      <c r="K16" s="7502">
        <f>10800*L11</f>
        <v>518400</v>
      </c>
    </row>
    <row r="17" spans="1:11" ht="15" customHeight="1">
      <c r="A17" s="11237"/>
      <c r="B17" s="7352" t="s">
        <v>10970</v>
      </c>
      <c r="C17" s="8802">
        <v>50102060</v>
      </c>
      <c r="D17" s="11252">
        <f>'WS-PS 2017'!K30</f>
        <v>62065.11</v>
      </c>
      <c r="E17" s="11252">
        <f>'WS-PS ACTUAL JUNE 2018'!I30</f>
        <v>29372.79</v>
      </c>
      <c r="F17" s="11443">
        <f t="shared" si="0"/>
        <v>58827.21</v>
      </c>
      <c r="G17" s="11252">
        <v>88200</v>
      </c>
      <c r="H17" s="11252"/>
      <c r="I17" s="11163"/>
      <c r="J17" s="11752">
        <f t="shared" si="1"/>
        <v>86400</v>
      </c>
      <c r="K17" s="7502">
        <f>1800*L11</f>
        <v>86400</v>
      </c>
    </row>
    <row r="18" spans="1:11" ht="15" customHeight="1">
      <c r="A18" s="11237"/>
      <c r="B18" s="7488" t="s">
        <v>10932</v>
      </c>
      <c r="C18" s="10368">
        <v>50102080</v>
      </c>
      <c r="D18" s="11252">
        <f>'WS-PS 2017'!L30</f>
        <v>175000</v>
      </c>
      <c r="E18" s="11252">
        <f>'WS-PS ACTUAL JUNE 2018'!J30</f>
        <v>0</v>
      </c>
      <c r="F18" s="11443">
        <f t="shared" si="0"/>
        <v>245000</v>
      </c>
      <c r="G18" s="11252">
        <v>245000</v>
      </c>
      <c r="H18" s="11252"/>
      <c r="I18" s="11163"/>
      <c r="J18" s="11752">
        <f t="shared" si="1"/>
        <v>240000</v>
      </c>
      <c r="K18" s="7502">
        <f>5000*L11</f>
        <v>240000</v>
      </c>
    </row>
    <row r="19" spans="1:11" ht="15" customHeight="1">
      <c r="A19" s="11237"/>
      <c r="B19" s="7287" t="s">
        <v>95</v>
      </c>
      <c r="C19" s="11729">
        <v>50102110</v>
      </c>
      <c r="D19" s="11252">
        <f>'WS-PS 2017'!N30</f>
        <v>2021794.59</v>
      </c>
      <c r="E19" s="11252">
        <f>'WS-PS ACTUAL JUNE 2018'!L30</f>
        <v>1034208.64</v>
      </c>
      <c r="F19" s="11443">
        <f t="shared" si="0"/>
        <v>1322282.3599999999</v>
      </c>
      <c r="G19" s="11252">
        <v>2356491</v>
      </c>
      <c r="H19" s="11252"/>
      <c r="I19" s="11163"/>
      <c r="J19" s="11752">
        <f t="shared" si="1"/>
        <v>3634191</v>
      </c>
      <c r="K19" s="11654">
        <f>25%*K11</f>
        <v>3634191</v>
      </c>
    </row>
    <row r="20" spans="1:11" ht="15" customHeight="1">
      <c r="A20" s="11237"/>
      <c r="B20" s="7488" t="s">
        <v>10934</v>
      </c>
      <c r="C20" s="8872">
        <v>50102120</v>
      </c>
      <c r="D20" s="11252">
        <f>'WS-PS 2017'!O30</f>
        <v>50000</v>
      </c>
      <c r="E20" s="11252">
        <f>'WS-PS ACTUAL JUNE 2018'!M30</f>
        <v>0</v>
      </c>
      <c r="F20" s="11443">
        <f>G20-E20</f>
        <v>30000</v>
      </c>
      <c r="G20" s="11252">
        <v>30000</v>
      </c>
      <c r="H20" s="11252"/>
      <c r="I20" s="11163"/>
      <c r="J20" s="11752">
        <f t="shared" si="1"/>
        <v>80000</v>
      </c>
      <c r="K20" s="7502">
        <v>80000</v>
      </c>
    </row>
    <row r="21" spans="1:11" ht="15" customHeight="1">
      <c r="A21" s="11237"/>
      <c r="B21" s="7488" t="s">
        <v>10933</v>
      </c>
      <c r="C21" s="8872">
        <v>50102140</v>
      </c>
      <c r="D21" s="11753">
        <f>'WS-PS 2017'!U30+'WS-PS 2017'!S30</f>
        <v>1653366.8</v>
      </c>
      <c r="E21" s="11753">
        <f>'WS-PS ACTUAL JUNE 2018'!O30</f>
        <v>292910</v>
      </c>
      <c r="F21" s="11443">
        <f t="shared" si="0"/>
        <v>2077372</v>
      </c>
      <c r="G21" s="11753">
        <v>2370282</v>
      </c>
      <c r="H21" s="11753"/>
      <c r="I21" s="11731"/>
      <c r="J21" s="11752">
        <f t="shared" si="1"/>
        <v>2422794</v>
      </c>
      <c r="K21" s="7502">
        <f>SUM(K11:K11)/12*2</f>
        <v>2422794</v>
      </c>
    </row>
    <row r="22" spans="1:11" ht="15" customHeight="1">
      <c r="A22" s="11237"/>
      <c r="B22" s="7287" t="s">
        <v>26</v>
      </c>
      <c r="C22" s="11729">
        <v>50102150</v>
      </c>
      <c r="D22" s="11252">
        <f>'WS-PS 2017'!T30</f>
        <v>193250</v>
      </c>
      <c r="E22" s="11252">
        <f>'WS-PS ACTUAL JUNE 2018'!Q30</f>
        <v>0</v>
      </c>
      <c r="F22" s="11443">
        <f>G22-E22</f>
        <v>245000</v>
      </c>
      <c r="G22" s="11252">
        <v>245000</v>
      </c>
      <c r="H22" s="11252"/>
      <c r="I22" s="11163"/>
      <c r="J22" s="11752">
        <f t="shared" si="1"/>
        <v>240000</v>
      </c>
      <c r="K22" s="10573">
        <f>K18</f>
        <v>240000</v>
      </c>
    </row>
    <row r="23" spans="1:11" ht="15" customHeight="1">
      <c r="A23" s="11237"/>
      <c r="B23" s="7488" t="s">
        <v>11497</v>
      </c>
      <c r="C23" s="11257">
        <v>50102990</v>
      </c>
      <c r="D23" s="11252">
        <v>0</v>
      </c>
      <c r="E23" s="11252">
        <f>'WS-PS ACTUAL JUNE 2018'!R30</f>
        <v>0</v>
      </c>
      <c r="F23" s="11443">
        <f>G23-E23</f>
        <v>681456</v>
      </c>
      <c r="G23" s="11252">
        <v>681456</v>
      </c>
      <c r="H23" s="11252"/>
      <c r="I23" s="11163"/>
      <c r="J23" s="11752">
        <v>0</v>
      </c>
      <c r="K23" s="7502">
        <f>K11/12*0.575</f>
        <v>696553.27499999991</v>
      </c>
    </row>
    <row r="24" spans="1:11" ht="15" customHeight="1">
      <c r="A24" s="11237"/>
      <c r="B24" s="7803" t="s">
        <v>11499</v>
      </c>
      <c r="C24" s="11059" t="s">
        <v>11495</v>
      </c>
      <c r="D24" s="11252">
        <f>'WS-PS 2017'!Q30</f>
        <v>0</v>
      </c>
      <c r="E24" s="11252">
        <f>'WS-PS ACTUAL JUNE 2018'!S30</f>
        <v>0</v>
      </c>
      <c r="F24" s="11443">
        <f>G24-E24</f>
        <v>0</v>
      </c>
      <c r="G24" s="11252">
        <v>0</v>
      </c>
      <c r="H24" s="11252"/>
      <c r="I24" s="11163"/>
      <c r="J24" s="11752">
        <f t="shared" si="1"/>
        <v>144000</v>
      </c>
      <c r="K24" s="7502">
        <f>3000*L11</f>
        <v>144000</v>
      </c>
    </row>
    <row r="25" spans="1:11" ht="15" customHeight="1">
      <c r="A25" s="11237"/>
      <c r="B25" s="11518" t="s">
        <v>59</v>
      </c>
      <c r="C25" s="8872">
        <v>50103010</v>
      </c>
      <c r="D25" s="11252">
        <f>'WS-PS 2017'!V30</f>
        <v>1168316.08</v>
      </c>
      <c r="E25" s="11252">
        <f>'WS-PS ACTUAL JUNE 2018'!T30</f>
        <v>621204.39</v>
      </c>
      <c r="F25" s="11443">
        <f t="shared" si="0"/>
        <v>1085398.6099999999</v>
      </c>
      <c r="G25" s="11252">
        <v>1706603</v>
      </c>
      <c r="H25" s="11252"/>
      <c r="I25" s="11163"/>
      <c r="J25" s="11752">
        <f t="shared" si="1"/>
        <v>1744411.68</v>
      </c>
      <c r="K25" s="11655">
        <f>SUM(K11:K11)*12%</f>
        <v>1744411.68</v>
      </c>
    </row>
    <row r="26" spans="1:11" ht="15" customHeight="1">
      <c r="A26" s="11237"/>
      <c r="B26" s="7803" t="s">
        <v>28</v>
      </c>
      <c r="C26" s="8872">
        <v>50103020</v>
      </c>
      <c r="D26" s="11252">
        <f>'WS-PS 2017'!W30</f>
        <v>45900</v>
      </c>
      <c r="E26" s="11252">
        <f>'WS-PS ACTUAL JUNE 2018'!U30</f>
        <v>22800</v>
      </c>
      <c r="F26" s="11443">
        <f t="shared" si="0"/>
        <v>36000</v>
      </c>
      <c r="G26" s="11252">
        <v>58800</v>
      </c>
      <c r="H26" s="11252"/>
      <c r="I26" s="11163"/>
      <c r="J26" s="11752">
        <f t="shared" si="1"/>
        <v>57600</v>
      </c>
      <c r="K26" s="7502">
        <f>1200*L11</f>
        <v>57600</v>
      </c>
    </row>
    <row r="27" spans="1:11" ht="15" customHeight="1">
      <c r="A27" s="11237"/>
      <c r="B27" s="7803" t="s">
        <v>29</v>
      </c>
      <c r="C27" s="8872">
        <v>50103030</v>
      </c>
      <c r="D27" s="11252">
        <f>'WS-PS 2017'!X30</f>
        <v>104475</v>
      </c>
      <c r="E27" s="11252">
        <f>'WS-PS ACTUAL JUNE 2018'!V30</f>
        <v>64348.41</v>
      </c>
      <c r="F27" s="11443">
        <f t="shared" si="0"/>
        <v>82651.59</v>
      </c>
      <c r="G27" s="11252">
        <v>147000</v>
      </c>
      <c r="H27" s="11252"/>
      <c r="I27" s="11163"/>
      <c r="J27" s="11752">
        <v>179427.10500000007</v>
      </c>
      <c r="K27" s="7502">
        <f>3600*L11</f>
        <v>172800</v>
      </c>
    </row>
    <row r="28" spans="1:11" ht="15" customHeight="1">
      <c r="A28" s="11237"/>
      <c r="B28" s="7803" t="s">
        <v>30</v>
      </c>
      <c r="C28" s="8872">
        <v>50103040</v>
      </c>
      <c r="D28" s="11252">
        <f>'WS-PS 2017'!Y30</f>
        <v>45744.81</v>
      </c>
      <c r="E28" s="11252">
        <f>'WS-PS ACTUAL JUNE 2018'!W30</f>
        <v>22751.13</v>
      </c>
      <c r="F28" s="11443">
        <f t="shared" si="0"/>
        <v>36048.869999999995</v>
      </c>
      <c r="G28" s="11252">
        <v>58800</v>
      </c>
      <c r="H28" s="11252"/>
      <c r="I28" s="11163"/>
      <c r="J28" s="11752">
        <f t="shared" si="1"/>
        <v>57600</v>
      </c>
      <c r="K28" s="7502">
        <f>K26</f>
        <v>57600</v>
      </c>
    </row>
    <row r="29" spans="1:11" ht="15" customHeight="1">
      <c r="A29" s="11237"/>
      <c r="B29" s="7488" t="s">
        <v>5025</v>
      </c>
      <c r="C29" s="11258">
        <v>50104990</v>
      </c>
      <c r="D29" s="11252">
        <f>'WS-PS 2017'!Z30</f>
        <v>981250</v>
      </c>
      <c r="E29" s="11252"/>
      <c r="F29" s="11443">
        <f t="shared" si="0"/>
        <v>0</v>
      </c>
      <c r="G29" s="11252">
        <v>0</v>
      </c>
      <c r="H29" s="11252"/>
      <c r="I29" s="11163"/>
      <c r="J29" s="11752">
        <f t="shared" si="1"/>
        <v>0</v>
      </c>
    </row>
    <row r="30" spans="1:11" ht="15" customHeight="1">
      <c r="A30" s="11237"/>
      <c r="B30" s="7355"/>
      <c r="C30" s="8872"/>
      <c r="D30" s="11252"/>
      <c r="E30" s="11252"/>
      <c r="F30" s="11252"/>
      <c r="G30" s="11252"/>
      <c r="H30" s="11252"/>
      <c r="I30" s="11163"/>
      <c r="J30" s="11269"/>
    </row>
    <row r="31" spans="1:11" ht="15" customHeight="1" thickBot="1">
      <c r="A31" s="11235"/>
      <c r="B31" s="7391" t="s">
        <v>37</v>
      </c>
      <c r="C31" s="11754"/>
      <c r="D31" s="9428">
        <f>SUM(D10:D30)</f>
        <v>17791023.359999999</v>
      </c>
      <c r="E31" s="9428">
        <f>SUM(E10:E30)</f>
        <v>8137472.6099999994</v>
      </c>
      <c r="F31" s="9428">
        <f>SUM(F10:F30)</f>
        <v>16494851.389999999</v>
      </c>
      <c r="G31" s="11300">
        <f>SUM(G10:G30)</f>
        <v>24632324</v>
      </c>
      <c r="H31" s="11300"/>
      <c r="I31" s="7327"/>
      <c r="J31" s="11301">
        <f>SUM(J10:J30)</f>
        <v>25501587.785</v>
      </c>
      <c r="K31" s="11748">
        <f>SUM(K11:K30)</f>
        <v>26191513.954999998</v>
      </c>
    </row>
    <row r="32" spans="1:11" ht="15" customHeight="1">
      <c r="A32" s="7385"/>
      <c r="B32" s="7386"/>
      <c r="C32" s="8788"/>
      <c r="D32" s="7388"/>
      <c r="E32" s="7388"/>
      <c r="F32" s="7388"/>
      <c r="G32" s="7388"/>
      <c r="H32" s="7388"/>
      <c r="I32" s="7389"/>
      <c r="J32" s="7388"/>
    </row>
    <row r="33" spans="1:10" ht="15" customHeight="1">
      <c r="A33" s="7352"/>
      <c r="B33" s="7361"/>
      <c r="C33" s="8789"/>
      <c r="D33" s="7364"/>
      <c r="E33" s="7364"/>
      <c r="F33" s="7364"/>
      <c r="G33" s="7364"/>
      <c r="H33" s="7364"/>
      <c r="I33" s="7350"/>
      <c r="J33" s="7364"/>
    </row>
    <row r="34" spans="1:10" ht="15" customHeight="1">
      <c r="A34" s="7352"/>
      <c r="B34" s="7361"/>
      <c r="C34" s="8789"/>
      <c r="D34" s="7364"/>
      <c r="E34" s="7364"/>
      <c r="F34" s="7364"/>
      <c r="G34" s="7364"/>
      <c r="H34" s="7364"/>
      <c r="I34" s="7350"/>
      <c r="J34" s="7364"/>
    </row>
    <row r="35" spans="1:10" ht="15" customHeight="1">
      <c r="A35" s="7352"/>
      <c r="B35" s="7361"/>
      <c r="C35" s="8789"/>
      <c r="D35" s="7364"/>
      <c r="E35" s="7364"/>
      <c r="F35" s="7364"/>
      <c r="G35" s="7364"/>
      <c r="H35" s="7364"/>
      <c r="I35" s="7350"/>
      <c r="J35" s="7364"/>
    </row>
    <row r="36" spans="1:10" ht="15" customHeight="1">
      <c r="A36" s="7352"/>
      <c r="B36" s="7361"/>
      <c r="C36" s="8789"/>
      <c r="D36" s="7364"/>
      <c r="E36" s="7364"/>
      <c r="F36" s="7364"/>
      <c r="G36" s="7364"/>
      <c r="H36" s="7364"/>
      <c r="I36" s="7350"/>
      <c r="J36" s="7364"/>
    </row>
    <row r="37" spans="1:10" ht="15" customHeight="1">
      <c r="A37" s="7352"/>
      <c r="B37" s="7361"/>
      <c r="C37" s="8789"/>
      <c r="D37" s="7364"/>
      <c r="E37" s="7364"/>
      <c r="F37" s="7364"/>
      <c r="G37" s="7364"/>
      <c r="H37" s="7364"/>
      <c r="I37" s="7350"/>
      <c r="J37" s="7364"/>
    </row>
    <row r="38" spans="1:10" ht="15" customHeight="1" thickBot="1">
      <c r="A38" s="7390" t="s">
        <v>137</v>
      </c>
      <c r="B38" s="7391"/>
      <c r="C38" s="8796"/>
      <c r="D38" s="7393"/>
      <c r="E38" s="7393"/>
      <c r="F38" s="7393"/>
      <c r="G38" s="7393"/>
      <c r="H38" s="7393"/>
      <c r="I38" s="7394"/>
      <c r="J38" s="7393"/>
    </row>
    <row r="39" spans="1:10" ht="15" customHeight="1">
      <c r="A39" s="11433"/>
      <c r="B39" s="11434"/>
      <c r="C39" s="11750" t="s">
        <v>9</v>
      </c>
      <c r="D39" s="9461" t="s">
        <v>10</v>
      </c>
      <c r="E39" s="14188" t="s">
        <v>10711</v>
      </c>
      <c r="F39" s="14189"/>
      <c r="G39" s="14190"/>
      <c r="H39" s="11769"/>
      <c r="I39" s="9462"/>
      <c r="J39" s="11437" t="s">
        <v>12</v>
      </c>
    </row>
    <row r="40" spans="1:10" ht="15" customHeight="1">
      <c r="A40" s="11237"/>
      <c r="B40" s="7356" t="s">
        <v>13</v>
      </c>
      <c r="C40" s="11536" t="s">
        <v>93</v>
      </c>
      <c r="D40" s="11438" t="s">
        <v>15</v>
      </c>
      <c r="E40" s="9502" t="s">
        <v>10709</v>
      </c>
      <c r="F40" s="9503" t="s">
        <v>10710</v>
      </c>
      <c r="G40" s="14191" t="s">
        <v>458</v>
      </c>
      <c r="H40" s="11770"/>
      <c r="I40" s="11108"/>
      <c r="J40" s="11439" t="s">
        <v>16</v>
      </c>
    </row>
    <row r="41" spans="1:10" ht="15" customHeight="1" thickBot="1">
      <c r="A41" s="11235"/>
      <c r="B41" s="7752"/>
      <c r="C41" s="11751" t="s">
        <v>94</v>
      </c>
      <c r="D41" s="7302">
        <v>2017</v>
      </c>
      <c r="E41" s="9467" t="s">
        <v>457</v>
      </c>
      <c r="F41" s="11661" t="s">
        <v>456</v>
      </c>
      <c r="G41" s="14192"/>
      <c r="H41" s="7496"/>
      <c r="I41" s="7322"/>
      <c r="J41" s="11442">
        <v>2019</v>
      </c>
    </row>
    <row r="42" spans="1:10" ht="15" customHeight="1">
      <c r="A42" s="11241"/>
      <c r="B42" s="7352" t="s">
        <v>38</v>
      </c>
      <c r="C42" s="8872"/>
      <c r="D42" s="11252"/>
      <c r="E42" s="11252"/>
      <c r="F42" s="11252"/>
      <c r="G42" s="11252"/>
      <c r="H42" s="11252"/>
      <c r="I42" s="11163"/>
      <c r="J42" s="11269"/>
    </row>
    <row r="43" spans="1:10" ht="15" customHeight="1">
      <c r="A43" s="11237"/>
      <c r="B43" s="7803" t="s">
        <v>391</v>
      </c>
      <c r="C43" s="10377">
        <v>50201010</v>
      </c>
      <c r="D43" s="11252">
        <f>'WS-MOOE 2017'!B30</f>
        <v>118517.62</v>
      </c>
      <c r="E43" s="11252">
        <f>'WS-MOOE ACTUAL JUNE 2018'!B31</f>
        <v>38634</v>
      </c>
      <c r="F43" s="11443">
        <f t="shared" ref="F43:F69" si="2">G43-E43</f>
        <v>161366</v>
      </c>
      <c r="G43" s="11252">
        <v>200000</v>
      </c>
      <c r="H43" s="11252">
        <v>67484</v>
      </c>
      <c r="I43" s="11163">
        <f>H43/G43</f>
        <v>0.33742</v>
      </c>
      <c r="J43" s="11269">
        <v>200000</v>
      </c>
    </row>
    <row r="44" spans="1:10" ht="15" customHeight="1">
      <c r="A44" s="11237"/>
      <c r="B44" s="7803" t="s">
        <v>10324</v>
      </c>
      <c r="C44" s="10377">
        <v>50202010</v>
      </c>
      <c r="D44" s="11252">
        <f>'WS-MOOE 2017'!H30</f>
        <v>161600</v>
      </c>
      <c r="E44" s="11252">
        <f>'WS-MOOE ACTUAL JUNE 2018'!G31</f>
        <v>15400</v>
      </c>
      <c r="F44" s="11443">
        <f t="shared" si="2"/>
        <v>484600</v>
      </c>
      <c r="G44" s="11252">
        <v>500000</v>
      </c>
      <c r="H44" s="11252">
        <v>134400</v>
      </c>
      <c r="I44" s="11163">
        <f t="shared" ref="I44:I69" si="3">H44/G44</f>
        <v>0.26879999999999998</v>
      </c>
      <c r="J44" s="11269">
        <v>500000</v>
      </c>
    </row>
    <row r="45" spans="1:10" ht="15" customHeight="1">
      <c r="A45" s="11237"/>
      <c r="B45" s="7803" t="s">
        <v>392</v>
      </c>
      <c r="C45" s="10377">
        <v>50203010</v>
      </c>
      <c r="D45" s="11252">
        <f>'WS-MOOE 2017'!J30</f>
        <v>548166.40000000002</v>
      </c>
      <c r="E45" s="11252">
        <f>'WS-MOOE ACTUAL JUNE 2018'!H31</f>
        <v>54415.5</v>
      </c>
      <c r="F45" s="11443">
        <f t="shared" si="2"/>
        <v>945584.5</v>
      </c>
      <c r="G45" s="11252">
        <v>1000000</v>
      </c>
      <c r="H45" s="11252">
        <v>906682.25</v>
      </c>
      <c r="I45" s="11163">
        <f t="shared" si="3"/>
        <v>0.90668225000000002</v>
      </c>
      <c r="J45" s="11269">
        <v>1200000</v>
      </c>
    </row>
    <row r="46" spans="1:10" ht="15" customHeight="1">
      <c r="A46" s="11237"/>
      <c r="B46" s="7287" t="s">
        <v>97</v>
      </c>
      <c r="C46" s="8802">
        <v>50203020</v>
      </c>
      <c r="D46" s="11252">
        <f>'WS-MOOE 2017'!M30</f>
        <v>55080</v>
      </c>
      <c r="E46" s="11252">
        <f>'WS-MOOE ACTUAL JUNE 2018'!J31</f>
        <v>27540</v>
      </c>
      <c r="F46" s="11443">
        <f t="shared" si="2"/>
        <v>72460</v>
      </c>
      <c r="G46" s="11252">
        <v>100000</v>
      </c>
      <c r="H46" s="11252">
        <v>34425</v>
      </c>
      <c r="I46" s="11163">
        <f t="shared" si="3"/>
        <v>0.34425</v>
      </c>
      <c r="J46" s="11269">
        <v>100000</v>
      </c>
    </row>
    <row r="47" spans="1:10" ht="15" customHeight="1">
      <c r="A47" s="11237"/>
      <c r="B47" s="7287" t="s">
        <v>98</v>
      </c>
      <c r="C47" s="8802">
        <v>50203050</v>
      </c>
      <c r="D47" s="11252">
        <f>'WS-MOOE 2017'!O30</f>
        <v>1857764.66</v>
      </c>
      <c r="E47" s="11252">
        <f>'WS-MOOE ACTUAL JUNE 2018'!L31</f>
        <v>917833.01</v>
      </c>
      <c r="F47" s="11443">
        <f t="shared" si="2"/>
        <v>2582166.9900000002</v>
      </c>
      <c r="G47" s="11252">
        <v>3500000</v>
      </c>
      <c r="H47" s="11252">
        <v>1192673.71</v>
      </c>
      <c r="I47" s="11163">
        <f t="shared" si="3"/>
        <v>0.34076391714285714</v>
      </c>
      <c r="J47" s="11269">
        <v>3500000</v>
      </c>
    </row>
    <row r="48" spans="1:10" ht="15" customHeight="1">
      <c r="A48" s="11237"/>
      <c r="B48" s="7287" t="s">
        <v>9122</v>
      </c>
      <c r="C48" s="8802">
        <v>50203070</v>
      </c>
      <c r="D48" s="11252">
        <f>'WS-MOOE 2017'!P30</f>
        <v>10680486.17</v>
      </c>
      <c r="E48" s="11252">
        <f>'WS-MOOE ACTUAL JUNE 2018'!M31</f>
        <v>199977</v>
      </c>
      <c r="F48" s="11443">
        <f t="shared" si="2"/>
        <v>14800023</v>
      </c>
      <c r="G48" s="11252">
        <v>15000000</v>
      </c>
      <c r="H48" s="11252">
        <v>11023443.050000001</v>
      </c>
      <c r="I48" s="11163">
        <f t="shared" si="3"/>
        <v>0.73489620333333339</v>
      </c>
      <c r="J48" s="11269">
        <v>15000000</v>
      </c>
    </row>
    <row r="49" spans="1:11" ht="15" customHeight="1">
      <c r="A49" s="11237"/>
      <c r="B49" s="7287" t="s">
        <v>135</v>
      </c>
      <c r="C49" s="8802">
        <v>50203080</v>
      </c>
      <c r="D49" s="11252">
        <f>'WS-MOOE 2017'!Q30</f>
        <v>6728756.1200000001</v>
      </c>
      <c r="E49" s="11252">
        <f>'WS-MOOE ACTUAL JUNE 2018'!N31</f>
        <v>561216.4</v>
      </c>
      <c r="F49" s="11443">
        <f t="shared" si="2"/>
        <v>12438783.6</v>
      </c>
      <c r="G49" s="11252">
        <v>13000000</v>
      </c>
      <c r="H49" s="11252">
        <v>11875810.109999999</v>
      </c>
      <c r="I49" s="11163">
        <f t="shared" si="3"/>
        <v>0.91352385461538455</v>
      </c>
      <c r="J49" s="11269">
        <v>14500000</v>
      </c>
      <c r="K49" s="7374" t="s">
        <v>12014</v>
      </c>
    </row>
    <row r="50" spans="1:11" ht="15" customHeight="1">
      <c r="A50" s="11237"/>
      <c r="B50" s="7287" t="s">
        <v>44</v>
      </c>
      <c r="C50" s="8802">
        <v>50203090</v>
      </c>
      <c r="D50" s="11252">
        <f>'WS-MOOE 2017'!R30</f>
        <v>110484</v>
      </c>
      <c r="E50" s="11252">
        <f>'WS-MOOE ACTUAL JUNE 2018'!O31</f>
        <v>50000</v>
      </c>
      <c r="F50" s="11443">
        <f t="shared" si="2"/>
        <v>300000</v>
      </c>
      <c r="G50" s="11252">
        <v>350000</v>
      </c>
      <c r="H50" s="11252">
        <v>75100</v>
      </c>
      <c r="I50" s="11163">
        <f t="shared" si="3"/>
        <v>0.21457142857142858</v>
      </c>
      <c r="J50" s="11269">
        <v>350000</v>
      </c>
    </row>
    <row r="51" spans="1:11" ht="15" customHeight="1">
      <c r="A51" s="11237"/>
      <c r="B51" s="7287" t="s">
        <v>45</v>
      </c>
      <c r="C51" s="8802">
        <v>50204010</v>
      </c>
      <c r="D51" s="11252">
        <f>'WS-MOOE 2017'!W30</f>
        <v>19042</v>
      </c>
      <c r="E51" s="11252">
        <f>'WS-MOOE ACTUAL JUNE 2018'!R31</f>
        <v>9014</v>
      </c>
      <c r="F51" s="11443">
        <f t="shared" si="2"/>
        <v>40986</v>
      </c>
      <c r="G51" s="11252">
        <v>50000</v>
      </c>
      <c r="H51" s="11252">
        <v>14054</v>
      </c>
      <c r="I51" s="11163">
        <f t="shared" si="3"/>
        <v>0.28108</v>
      </c>
      <c r="J51" s="11269">
        <v>50000</v>
      </c>
    </row>
    <row r="52" spans="1:11" ht="15" customHeight="1">
      <c r="A52" s="11237"/>
      <c r="B52" s="7287" t="s">
        <v>46</v>
      </c>
      <c r="C52" s="8802">
        <v>50204020</v>
      </c>
      <c r="D52" s="11252">
        <f>'WS-MOOE 2017'!X30</f>
        <v>2123280.6800000002</v>
      </c>
      <c r="E52" s="11252">
        <f>'WS-MOOE ACTUAL JUNE 2018'!S31</f>
        <v>879664.23</v>
      </c>
      <c r="F52" s="11443">
        <f t="shared" si="2"/>
        <v>1620335.77</v>
      </c>
      <c r="G52" s="11252">
        <v>2500000</v>
      </c>
      <c r="H52" s="11252">
        <v>1271620.8600000001</v>
      </c>
      <c r="I52" s="11163">
        <f t="shared" si="3"/>
        <v>0.50864834400000003</v>
      </c>
      <c r="J52" s="11269">
        <v>2600000</v>
      </c>
      <c r="K52" s="7374" t="s">
        <v>12015</v>
      </c>
    </row>
    <row r="53" spans="1:11" ht="15" hidden="1" customHeight="1">
      <c r="A53" s="11237"/>
      <c r="B53" s="7287" t="s">
        <v>10974</v>
      </c>
      <c r="C53" s="8802">
        <v>50203990</v>
      </c>
      <c r="D53" s="11252">
        <f>'WS-MOOE 2017'!Y30</f>
        <v>0</v>
      </c>
      <c r="E53" s="11252">
        <f>'WS-MOOE ACTUAL JUNE 2018'!T31</f>
        <v>0</v>
      </c>
      <c r="F53" s="11443">
        <f t="shared" si="2"/>
        <v>0</v>
      </c>
      <c r="G53" s="11252">
        <v>0</v>
      </c>
      <c r="H53" s="11252"/>
      <c r="I53" s="11163"/>
      <c r="J53" s="11269">
        <v>0</v>
      </c>
    </row>
    <row r="54" spans="1:11" ht="15" customHeight="1">
      <c r="A54" s="11237"/>
      <c r="B54" s="7287" t="s">
        <v>62</v>
      </c>
      <c r="C54" s="8802">
        <v>50205010</v>
      </c>
      <c r="D54" s="11252">
        <f>'WS-MOOE 2017'!Z30</f>
        <v>1678</v>
      </c>
      <c r="E54" s="11252">
        <f>'WS-MOOE ACTUAL JUNE 2018'!U31</f>
        <v>2821</v>
      </c>
      <c r="F54" s="11443">
        <f t="shared" si="2"/>
        <v>1179</v>
      </c>
      <c r="G54" s="11252">
        <v>4000</v>
      </c>
      <c r="H54" s="11252">
        <v>3968</v>
      </c>
      <c r="I54" s="11163">
        <f t="shared" si="3"/>
        <v>0.99199999999999999</v>
      </c>
      <c r="J54" s="11269">
        <v>5000</v>
      </c>
    </row>
    <row r="55" spans="1:11" ht="15" customHeight="1">
      <c r="A55" s="11237"/>
      <c r="B55" s="7536" t="s">
        <v>155</v>
      </c>
      <c r="C55" s="10149">
        <v>50205020</v>
      </c>
      <c r="D55" s="11252">
        <f>'WS-MOOE 2017'!AA30+'WS-MOOE 2017'!AC30</f>
        <v>26329.09</v>
      </c>
      <c r="E55" s="11252">
        <f>'WS-MOOE ACTUAL JUNE 2018'!V31</f>
        <v>11388.04</v>
      </c>
      <c r="F55" s="11443">
        <f t="shared" si="2"/>
        <v>42611.96</v>
      </c>
      <c r="G55" s="11252">
        <v>54000</v>
      </c>
      <c r="H55" s="11252">
        <v>13081.06</v>
      </c>
      <c r="I55" s="11163">
        <f t="shared" si="3"/>
        <v>0.24224185185185185</v>
      </c>
      <c r="J55" s="11269">
        <v>54000</v>
      </c>
    </row>
    <row r="56" spans="1:11" ht="15" hidden="1" customHeight="1">
      <c r="A56" s="11237"/>
      <c r="B56" s="7287" t="s">
        <v>310</v>
      </c>
      <c r="C56" s="8802"/>
      <c r="D56" s="11252"/>
      <c r="E56" s="11252"/>
      <c r="F56" s="11443">
        <f t="shared" si="2"/>
        <v>0</v>
      </c>
      <c r="G56" s="11252"/>
      <c r="H56" s="11252"/>
      <c r="I56" s="11163" t="e">
        <f t="shared" si="3"/>
        <v>#DIV/0!</v>
      </c>
      <c r="J56" s="11269"/>
    </row>
    <row r="57" spans="1:11" ht="15" customHeight="1">
      <c r="A57" s="11237"/>
      <c r="B57" s="7803" t="s">
        <v>10973</v>
      </c>
      <c r="C57" s="10377">
        <v>50205030</v>
      </c>
      <c r="D57" s="11252">
        <f>'WS-MOOE 2017'!AE30</f>
        <v>30754.98</v>
      </c>
      <c r="E57" s="11252">
        <f>'WS-MOOE ACTUAL JUNE 2018'!Z31</f>
        <v>10248.9</v>
      </c>
      <c r="F57" s="11443">
        <f t="shared" si="2"/>
        <v>49751.1</v>
      </c>
      <c r="G57" s="11252">
        <v>60000</v>
      </c>
      <c r="H57" s="11252">
        <v>17381.900000000001</v>
      </c>
      <c r="I57" s="11163">
        <f t="shared" si="3"/>
        <v>0.28969833333333334</v>
      </c>
      <c r="J57" s="11269">
        <v>60000</v>
      </c>
    </row>
    <row r="58" spans="1:11" ht="15" customHeight="1">
      <c r="A58" s="11237"/>
      <c r="B58" s="7287" t="s">
        <v>10972</v>
      </c>
      <c r="C58" s="8802">
        <v>50205040</v>
      </c>
      <c r="D58" s="11252">
        <f>'WS-MOOE 2017'!AF30</f>
        <v>6750</v>
      </c>
      <c r="E58" s="11252">
        <f>'WS-MOOE ACTUAL JUNE 2018'!AB31</f>
        <v>5400</v>
      </c>
      <c r="F58" s="11443">
        <f t="shared" si="2"/>
        <v>6600</v>
      </c>
      <c r="G58" s="11252">
        <v>12000</v>
      </c>
      <c r="H58" s="11252">
        <v>5400</v>
      </c>
      <c r="I58" s="11163">
        <f t="shared" si="3"/>
        <v>0.45</v>
      </c>
      <c r="J58" s="11269">
        <v>12000</v>
      </c>
    </row>
    <row r="59" spans="1:11" ht="15" customHeight="1">
      <c r="A59" s="11237"/>
      <c r="B59" s="7352" t="s">
        <v>10956</v>
      </c>
      <c r="C59" s="8872">
        <v>50212990</v>
      </c>
      <c r="D59" s="11252">
        <f>'WS-MOOE 2017'!AO30</f>
        <v>8579533.7599999998</v>
      </c>
      <c r="E59" s="11252">
        <f>'WS-MOOE ACTUAL JUNE 2018'!AJ31</f>
        <v>990325.08</v>
      </c>
      <c r="F59" s="11443">
        <f t="shared" si="2"/>
        <v>9674.9200000000419</v>
      </c>
      <c r="G59" s="11252">
        <v>1000000</v>
      </c>
      <c r="H59" s="11252">
        <v>990325.37</v>
      </c>
      <c r="I59" s="11163">
        <f t="shared" si="3"/>
        <v>0.99032536999999998</v>
      </c>
      <c r="J59" s="11269">
        <v>6000000</v>
      </c>
    </row>
    <row r="60" spans="1:11" ht="15" customHeight="1">
      <c r="A60" s="11237"/>
      <c r="B60" s="7488" t="s">
        <v>10955</v>
      </c>
      <c r="C60" s="11258">
        <v>50211990</v>
      </c>
      <c r="D60" s="11252">
        <f>'WS-MOOE 2017'!AL30</f>
        <v>4159300.97</v>
      </c>
      <c r="E60" s="11252">
        <f>'WS-MOOE ACTUAL JUNE 2018'!AF31</f>
        <v>3839269.43</v>
      </c>
      <c r="F60" s="11443">
        <f t="shared" si="2"/>
        <v>8160730.5700000003</v>
      </c>
      <c r="G60" s="11252">
        <v>12000000</v>
      </c>
      <c r="H60" s="11252">
        <v>9576985.7699999996</v>
      </c>
      <c r="I60" s="11163">
        <f t="shared" si="3"/>
        <v>0.79808214749999995</v>
      </c>
      <c r="J60" s="11269">
        <v>12000000</v>
      </c>
    </row>
    <row r="61" spans="1:11" ht="15" customHeight="1">
      <c r="A61" s="11237"/>
      <c r="B61" s="7287" t="s">
        <v>311</v>
      </c>
      <c r="C61" s="8802">
        <v>50212020</v>
      </c>
      <c r="D61" s="11252">
        <f>'WS-MOOE 2017'!AM30</f>
        <v>899998.27</v>
      </c>
      <c r="E61" s="11252">
        <f>'WS-MOOE ACTUAL JUNE 2018'!AG31</f>
        <v>350000</v>
      </c>
      <c r="F61" s="11443">
        <f t="shared" si="2"/>
        <v>750000</v>
      </c>
      <c r="G61" s="11252">
        <v>1100000</v>
      </c>
      <c r="H61" s="11252">
        <v>1050000</v>
      </c>
      <c r="I61" s="11163">
        <f t="shared" si="3"/>
        <v>0.95454545454545459</v>
      </c>
      <c r="J61" s="11269">
        <v>1100000</v>
      </c>
    </row>
    <row r="62" spans="1:11" ht="15" customHeight="1">
      <c r="A62" s="11237"/>
      <c r="B62" s="7287" t="s">
        <v>47</v>
      </c>
      <c r="C62" s="8802">
        <v>50212030</v>
      </c>
      <c r="D62" s="11252">
        <f>'WS-MOOE 2017'!AN30</f>
        <v>900000</v>
      </c>
      <c r="E62" s="11252">
        <f>'WS-MOOE ACTUAL JUNE 2018'!AH31</f>
        <v>355600</v>
      </c>
      <c r="F62" s="11443">
        <f t="shared" si="2"/>
        <v>744400</v>
      </c>
      <c r="G62" s="11252">
        <v>1100000</v>
      </c>
      <c r="H62" s="11252">
        <v>1067780</v>
      </c>
      <c r="I62" s="11163">
        <f t="shared" si="3"/>
        <v>0.97070909090909085</v>
      </c>
      <c r="J62" s="11269">
        <v>1100000</v>
      </c>
    </row>
    <row r="63" spans="1:11" ht="15" customHeight="1">
      <c r="A63" s="11237"/>
      <c r="B63" s="7488" t="s">
        <v>10959</v>
      </c>
      <c r="C63" s="10377">
        <v>50213040</v>
      </c>
      <c r="D63" s="8869">
        <f>'WS-MOOE 2017'!AS30</f>
        <v>86457.5</v>
      </c>
      <c r="E63" s="8869">
        <f>'WS-MOOE ACTUAL JUNE 2018'!AN31</f>
        <v>58299.37</v>
      </c>
      <c r="F63" s="11443">
        <f t="shared" si="2"/>
        <v>131700.63</v>
      </c>
      <c r="G63" s="8869">
        <v>190000</v>
      </c>
      <c r="H63" s="8869">
        <v>72764.820000000007</v>
      </c>
      <c r="I63" s="11163">
        <f t="shared" si="3"/>
        <v>0.38297273684210531</v>
      </c>
      <c r="J63" s="11463">
        <v>190000</v>
      </c>
    </row>
    <row r="64" spans="1:11" ht="15" hidden="1" customHeight="1">
      <c r="A64" s="11237"/>
      <c r="B64" s="7352" t="s">
        <v>109</v>
      </c>
      <c r="C64" s="8872"/>
      <c r="D64" s="8869"/>
      <c r="E64" s="8869"/>
      <c r="F64" s="11443">
        <f t="shared" si="2"/>
        <v>0</v>
      </c>
      <c r="G64" s="8869"/>
      <c r="H64" s="8869"/>
      <c r="I64" s="11163" t="e">
        <f t="shared" si="3"/>
        <v>#DIV/0!</v>
      </c>
      <c r="J64" s="11463"/>
    </row>
    <row r="65" spans="1:11" ht="15" customHeight="1">
      <c r="A65" s="11237"/>
      <c r="B65" s="7488" t="s">
        <v>10938</v>
      </c>
      <c r="C65" s="8872">
        <v>50213050</v>
      </c>
      <c r="D65" s="8869">
        <f>'WS-MOOE 2017'!AW30</f>
        <v>13885</v>
      </c>
      <c r="E65" s="8869">
        <f>'WS-MOOE ACTUAL JUNE 2018'!AS31</f>
        <v>12819</v>
      </c>
      <c r="F65" s="11443">
        <f t="shared" si="2"/>
        <v>367181</v>
      </c>
      <c r="G65" s="8869">
        <v>380000</v>
      </c>
      <c r="H65" s="8869">
        <v>87419</v>
      </c>
      <c r="I65" s="11163">
        <f t="shared" si="3"/>
        <v>0.23005</v>
      </c>
      <c r="J65" s="11463">
        <v>380000</v>
      </c>
    </row>
    <row r="66" spans="1:11" ht="15" customHeight="1">
      <c r="A66" s="11237"/>
      <c r="B66" s="7488" t="s">
        <v>10937</v>
      </c>
      <c r="C66" s="11258">
        <v>50213060</v>
      </c>
      <c r="D66" s="8869">
        <f>'WS-MOOE 2017'!BB30</f>
        <v>109526</v>
      </c>
      <c r="E66" s="8869">
        <f>'WS-MOOE ACTUAL JUNE 2018'!AT31</f>
        <v>70972.95</v>
      </c>
      <c r="F66" s="11443">
        <f t="shared" si="2"/>
        <v>79027.05</v>
      </c>
      <c r="G66" s="8869">
        <v>150000</v>
      </c>
      <c r="H66" s="8869">
        <v>75337.95</v>
      </c>
      <c r="I66" s="11163">
        <f t="shared" si="3"/>
        <v>0.50225299999999995</v>
      </c>
      <c r="J66" s="11463">
        <v>150000</v>
      </c>
    </row>
    <row r="67" spans="1:11" ht="15" customHeight="1">
      <c r="A67" s="11237"/>
      <c r="B67" s="7287" t="s">
        <v>110</v>
      </c>
      <c r="C67" s="8802">
        <v>50216010</v>
      </c>
      <c r="D67" s="8869">
        <f>'WS-MOOE 2017'!BG30</f>
        <v>35901</v>
      </c>
      <c r="E67" s="8869">
        <f>'WS-MOOE ACTUAL JUNE 2018'!AY31</f>
        <v>25240</v>
      </c>
      <c r="F67" s="11443">
        <f t="shared" si="2"/>
        <v>24760</v>
      </c>
      <c r="G67" s="8869">
        <v>50000</v>
      </c>
      <c r="H67" s="8869">
        <v>25240</v>
      </c>
      <c r="I67" s="11163">
        <f t="shared" si="3"/>
        <v>0.50480000000000003</v>
      </c>
      <c r="J67" s="11463">
        <v>50000</v>
      </c>
    </row>
    <row r="68" spans="1:11" ht="15" customHeight="1">
      <c r="A68" s="11237"/>
      <c r="B68" s="7287" t="s">
        <v>72</v>
      </c>
      <c r="C68" s="8802">
        <v>50215020</v>
      </c>
      <c r="D68" s="8869">
        <f>'WS-MOOE 2017'!BH30</f>
        <v>18159.91</v>
      </c>
      <c r="E68" s="8869">
        <f>'WS-MOOE ACTUAL JUNE 2018'!AZ31</f>
        <v>11403.75</v>
      </c>
      <c r="F68" s="11443">
        <f t="shared" si="2"/>
        <v>18596.25</v>
      </c>
      <c r="G68" s="8869">
        <v>30000</v>
      </c>
      <c r="H68" s="8869">
        <v>11403.75</v>
      </c>
      <c r="I68" s="11163">
        <f t="shared" si="3"/>
        <v>0.38012499999999999</v>
      </c>
      <c r="J68" s="11463">
        <v>30000</v>
      </c>
    </row>
    <row r="69" spans="1:11" ht="15" customHeight="1">
      <c r="A69" s="11237"/>
      <c r="B69" s="7287" t="s">
        <v>73</v>
      </c>
      <c r="C69" s="8802">
        <v>50299990</v>
      </c>
      <c r="D69" s="8869">
        <f>'WS-MOOE 2017'!BO30</f>
        <v>194968.45</v>
      </c>
      <c r="E69" s="8869">
        <f>'WS-MOOE ACTUAL JUNE 2018'!BI31+'WS-MOOE ACTUAL JUNE 2018'!BO31</f>
        <v>169446.15000000002</v>
      </c>
      <c r="F69" s="11443">
        <f t="shared" si="2"/>
        <v>830553.85</v>
      </c>
      <c r="G69" s="8869">
        <v>1000000</v>
      </c>
      <c r="H69" s="8869">
        <f>522502.85</f>
        <v>522502.85</v>
      </c>
      <c r="I69" s="11163">
        <f t="shared" si="3"/>
        <v>0.52250284999999996</v>
      </c>
      <c r="J69" s="11463">
        <v>1000000</v>
      </c>
    </row>
    <row r="70" spans="1:11" ht="15" customHeight="1">
      <c r="A70" s="11237"/>
      <c r="B70" s="7352"/>
      <c r="C70" s="8872"/>
      <c r="D70" s="11252"/>
      <c r="E70" s="11252"/>
      <c r="F70" s="11252"/>
      <c r="G70" s="8869"/>
      <c r="H70" s="8869"/>
      <c r="I70" s="8799"/>
      <c r="J70" s="11463"/>
    </row>
    <row r="71" spans="1:11" ht="15" customHeight="1" thickBot="1">
      <c r="A71" s="11235"/>
      <c r="B71" s="7391" t="s">
        <v>37</v>
      </c>
      <c r="C71" s="11754"/>
      <c r="D71" s="9428">
        <f>SUM(D42:D70)</f>
        <v>37466420.579999998</v>
      </c>
      <c r="E71" s="9428">
        <f>SUM(E42:E70)</f>
        <v>8666927.8100000005</v>
      </c>
      <c r="F71" s="9428">
        <f>SUM(F42:F70)</f>
        <v>44663072.190000005</v>
      </c>
      <c r="G71" s="9428">
        <f>SUM(G42:G70)</f>
        <v>53330000</v>
      </c>
      <c r="H71" s="9428">
        <f>SUM(H42:H70)</f>
        <v>40115283.450000003</v>
      </c>
      <c r="I71" s="11449">
        <f>H71/G71</f>
        <v>0.75220857772360783</v>
      </c>
      <c r="J71" s="11450">
        <f>SUM(J42:J70)</f>
        <v>60131000</v>
      </c>
      <c r="K71" s="10391">
        <f>(J71-G71)/G71</f>
        <v>0.12752672042002625</v>
      </c>
    </row>
    <row r="72" spans="1:11" ht="15" customHeight="1">
      <c r="A72" s="7754"/>
      <c r="B72" s="7768"/>
      <c r="C72" s="8791"/>
      <c r="D72" s="7769"/>
      <c r="E72" s="9471"/>
      <c r="F72" s="7388"/>
      <c r="G72" s="7769"/>
      <c r="H72" s="7770"/>
      <c r="I72" s="7771"/>
      <c r="J72" s="7769"/>
    </row>
    <row r="73" spans="1:11" ht="15" customHeight="1">
      <c r="A73" s="7352"/>
      <c r="B73" s="7361"/>
      <c r="C73" s="8789"/>
      <c r="D73" s="7364"/>
      <c r="E73" s="7364"/>
      <c r="F73" s="7364"/>
      <c r="G73" s="7364"/>
      <c r="H73" s="7364"/>
      <c r="I73" s="7350"/>
      <c r="J73" s="7351"/>
    </row>
    <row r="74" spans="1:11" ht="15" customHeight="1">
      <c r="A74" s="7352"/>
      <c r="B74" s="7361"/>
      <c r="C74" s="8789"/>
      <c r="D74" s="7364"/>
      <c r="E74" s="7364"/>
      <c r="F74" s="7364"/>
      <c r="G74" s="7364"/>
      <c r="H74" s="7364"/>
      <c r="I74" s="7350"/>
      <c r="J74" s="7351"/>
    </row>
    <row r="75" spans="1:11" ht="15" customHeight="1">
      <c r="A75" s="7352"/>
      <c r="B75" s="7361"/>
      <c r="C75" s="8789"/>
      <c r="D75" s="7364"/>
      <c r="E75" s="7364"/>
      <c r="F75" s="7364"/>
      <c r="G75" s="7364"/>
      <c r="H75" s="7364"/>
      <c r="I75" s="7350"/>
      <c r="J75" s="7351"/>
    </row>
    <row r="76" spans="1:11" ht="15" customHeight="1">
      <c r="A76" s="7352"/>
      <c r="B76" s="7361"/>
      <c r="C76" s="8789"/>
      <c r="D76" s="7364"/>
      <c r="E76" s="7364"/>
      <c r="F76" s="7364"/>
      <c r="G76" s="7364"/>
      <c r="H76" s="7364"/>
      <c r="I76" s="7350"/>
      <c r="J76" s="7351"/>
    </row>
    <row r="77" spans="1:11" ht="15" customHeight="1">
      <c r="A77" s="7352"/>
      <c r="B77" s="7361"/>
      <c r="C77" s="8789"/>
      <c r="D77" s="7364"/>
      <c r="E77" s="7364"/>
      <c r="F77" s="7364"/>
      <c r="G77" s="7364"/>
      <c r="H77" s="7364"/>
      <c r="I77" s="7350"/>
      <c r="J77" s="7351"/>
    </row>
    <row r="78" spans="1:11" ht="15" customHeight="1" thickBot="1">
      <c r="A78" s="7352" t="s">
        <v>10809</v>
      </c>
      <c r="B78" s="7361"/>
      <c r="C78" s="8789"/>
      <c r="D78" s="7364"/>
      <c r="E78" s="7364"/>
      <c r="F78" s="7364"/>
      <c r="G78" s="7364"/>
      <c r="H78" s="7364"/>
      <c r="I78" s="7350"/>
      <c r="J78" s="7364"/>
    </row>
    <row r="79" spans="1:11" ht="15" customHeight="1">
      <c r="A79" s="11433"/>
      <c r="B79" s="11434"/>
      <c r="C79" s="11750" t="s">
        <v>9</v>
      </c>
      <c r="D79" s="9461" t="s">
        <v>10</v>
      </c>
      <c r="E79" s="14188" t="s">
        <v>10711</v>
      </c>
      <c r="F79" s="14189"/>
      <c r="G79" s="14190"/>
      <c r="H79" s="11769"/>
      <c r="I79" s="9462"/>
      <c r="J79" s="11437" t="s">
        <v>12</v>
      </c>
    </row>
    <row r="80" spans="1:11" ht="15" customHeight="1">
      <c r="A80" s="11237"/>
      <c r="B80" s="7356" t="s">
        <v>13</v>
      </c>
      <c r="C80" s="11536" t="s">
        <v>93</v>
      </c>
      <c r="D80" s="11438" t="s">
        <v>15</v>
      </c>
      <c r="E80" s="9502" t="s">
        <v>10709</v>
      </c>
      <c r="F80" s="9503" t="s">
        <v>10710</v>
      </c>
      <c r="G80" s="14191" t="s">
        <v>458</v>
      </c>
      <c r="H80" s="11770"/>
      <c r="I80" s="11108"/>
      <c r="J80" s="11439" t="s">
        <v>16</v>
      </c>
    </row>
    <row r="81" spans="1:11" ht="15" customHeight="1" thickBot="1">
      <c r="A81" s="11235"/>
      <c r="B81" s="7752"/>
      <c r="C81" s="11751" t="s">
        <v>94</v>
      </c>
      <c r="D81" s="7302">
        <v>2017</v>
      </c>
      <c r="E81" s="9467" t="s">
        <v>457</v>
      </c>
      <c r="F81" s="11661" t="s">
        <v>456</v>
      </c>
      <c r="G81" s="14192"/>
      <c r="H81" s="7496"/>
      <c r="I81" s="7322"/>
      <c r="J81" s="11442">
        <v>2019</v>
      </c>
    </row>
    <row r="82" spans="1:11" ht="15" customHeight="1">
      <c r="A82" s="11237"/>
      <c r="B82" s="7356"/>
      <c r="C82" s="11536"/>
      <c r="D82" s="11438"/>
      <c r="E82" s="11438"/>
      <c r="F82" s="11438"/>
      <c r="G82" s="11438"/>
      <c r="H82" s="11438"/>
      <c r="I82" s="11108"/>
      <c r="J82" s="11439"/>
    </row>
    <row r="83" spans="1:11" ht="15" customHeight="1">
      <c r="A83" s="11241" t="s">
        <v>51</v>
      </c>
      <c r="B83" s="7352" t="s">
        <v>12232</v>
      </c>
      <c r="C83" s="8872"/>
      <c r="D83" s="11252" t="s">
        <v>9</v>
      </c>
      <c r="E83" s="11252"/>
      <c r="F83" s="11252"/>
      <c r="G83" s="8869" t="s">
        <v>9</v>
      </c>
      <c r="H83" s="11252"/>
      <c r="I83" s="11163"/>
      <c r="J83" s="11463" t="s">
        <v>9</v>
      </c>
    </row>
    <row r="84" spans="1:11" ht="15" customHeight="1">
      <c r="A84" s="11241"/>
      <c r="B84" s="7352"/>
      <c r="C84" s="8872"/>
      <c r="D84" s="11252"/>
      <c r="E84" s="11252"/>
      <c r="F84" s="11252"/>
      <c r="G84" s="8869"/>
      <c r="H84" s="11252"/>
      <c r="I84" s="11163"/>
      <c r="J84" s="11463"/>
    </row>
    <row r="85" spans="1:11" ht="15" customHeight="1">
      <c r="A85" s="11241"/>
      <c r="B85" s="7287" t="s">
        <v>10975</v>
      </c>
      <c r="C85" s="8802">
        <v>50704990</v>
      </c>
      <c r="D85" s="11252"/>
      <c r="E85" s="11252"/>
      <c r="F85" s="11252"/>
      <c r="G85" s="8869"/>
      <c r="H85" s="11252"/>
      <c r="I85" s="11163"/>
      <c r="J85" s="11463"/>
    </row>
    <row r="86" spans="1:11" ht="15" hidden="1" customHeight="1">
      <c r="A86" s="11241"/>
      <c r="B86" s="7718" t="s">
        <v>11554</v>
      </c>
      <c r="C86" s="10385"/>
      <c r="D86" s="11772"/>
      <c r="E86" s="11772"/>
      <c r="F86" s="11772"/>
      <c r="G86" s="8869"/>
      <c r="H86" s="11252"/>
      <c r="I86" s="11163"/>
      <c r="J86" s="11463">
        <v>0</v>
      </c>
      <c r="K86" s="7374" t="s">
        <v>11919</v>
      </c>
    </row>
    <row r="87" spans="1:11" ht="15" customHeight="1">
      <c r="A87" s="11241"/>
      <c r="B87" s="15089" t="s">
        <v>11555</v>
      </c>
      <c r="C87" s="15089"/>
      <c r="D87" s="15089"/>
      <c r="E87" s="15089"/>
      <c r="F87" s="15090"/>
      <c r="G87" s="8869"/>
      <c r="H87" s="11252"/>
      <c r="I87" s="11163"/>
      <c r="J87" s="11463">
        <v>1500000</v>
      </c>
    </row>
    <row r="88" spans="1:11" ht="15" customHeight="1">
      <c r="A88" s="11241"/>
      <c r="B88" s="7718" t="s">
        <v>11556</v>
      </c>
      <c r="C88" s="10385"/>
      <c r="D88" s="11772"/>
      <c r="E88" s="11772"/>
      <c r="F88" s="11772"/>
      <c r="G88" s="8869"/>
      <c r="H88" s="11252"/>
      <c r="I88" s="11163"/>
      <c r="J88" s="11463">
        <v>500000</v>
      </c>
    </row>
    <row r="89" spans="1:11" ht="15" hidden="1" customHeight="1">
      <c r="A89" s="11241"/>
      <c r="B89" s="7718" t="s">
        <v>11557</v>
      </c>
      <c r="C89" s="10385"/>
      <c r="D89" s="11772"/>
      <c r="E89" s="11772"/>
      <c r="F89" s="11772"/>
      <c r="G89" s="8869"/>
      <c r="H89" s="11252"/>
      <c r="I89" s="11163"/>
      <c r="J89" s="11463"/>
    </row>
    <row r="90" spans="1:11" ht="15" hidden="1" customHeight="1">
      <c r="A90" s="11241"/>
      <c r="B90" s="7718" t="s">
        <v>11558</v>
      </c>
      <c r="C90" s="10385"/>
      <c r="D90" s="11772"/>
      <c r="E90" s="11772"/>
      <c r="F90" s="11772"/>
      <c r="G90" s="8869"/>
      <c r="H90" s="11252"/>
      <c r="I90" s="11163"/>
      <c r="J90" s="11463">
        <v>0</v>
      </c>
    </row>
    <row r="91" spans="1:11" ht="15" customHeight="1">
      <c r="A91" s="11241"/>
      <c r="B91" s="7287" t="s">
        <v>122</v>
      </c>
      <c r="C91" s="8802">
        <v>50705020</v>
      </c>
      <c r="D91" s="8869">
        <f>'WS-CO 2017'!F29</f>
        <v>309888</v>
      </c>
      <c r="E91" s="8869"/>
      <c r="F91" s="11443">
        <f>G91-E91</f>
        <v>0</v>
      </c>
      <c r="G91" s="8869">
        <v>0</v>
      </c>
      <c r="H91" s="8869"/>
      <c r="I91" s="11163"/>
      <c r="J91" s="11463">
        <v>150000</v>
      </c>
    </row>
    <row r="92" spans="1:11" ht="15" hidden="1" customHeight="1">
      <c r="A92" s="11241"/>
      <c r="B92" s="7287" t="s">
        <v>11594</v>
      </c>
      <c r="C92" s="8802">
        <v>50705110</v>
      </c>
      <c r="D92" s="8869"/>
      <c r="E92" s="8869"/>
      <c r="F92" s="11443"/>
      <c r="G92" s="8869"/>
      <c r="H92" s="8869"/>
      <c r="I92" s="11163"/>
      <c r="J92" s="11463">
        <v>0</v>
      </c>
      <c r="K92" s="7374" t="s">
        <v>11917</v>
      </c>
    </row>
    <row r="93" spans="1:11" ht="15" customHeight="1">
      <c r="A93" s="11241"/>
      <c r="B93" s="7287" t="s">
        <v>12220</v>
      </c>
      <c r="C93" s="8802"/>
      <c r="D93" s="8869"/>
      <c r="E93" s="8869"/>
      <c r="F93" s="11443">
        <v>0</v>
      </c>
      <c r="G93" s="8869">
        <v>0</v>
      </c>
      <c r="H93" s="8869"/>
      <c r="I93" s="11163"/>
      <c r="J93" s="11463">
        <v>0</v>
      </c>
      <c r="K93" s="7351" t="s">
        <v>12214</v>
      </c>
    </row>
    <row r="94" spans="1:11" ht="15" customHeight="1">
      <c r="A94" s="11241"/>
      <c r="B94" s="7287" t="s">
        <v>5023</v>
      </c>
      <c r="C94" s="8802">
        <v>50707010</v>
      </c>
      <c r="D94" s="8869">
        <v>0</v>
      </c>
      <c r="E94" s="8869"/>
      <c r="F94" s="8869">
        <v>0</v>
      </c>
      <c r="G94" s="8869">
        <v>0</v>
      </c>
      <c r="H94" s="8869"/>
      <c r="I94" s="8799"/>
      <c r="J94" s="11463">
        <f>8000+6000+12000+4000+2000</f>
        <v>32000</v>
      </c>
    </row>
    <row r="95" spans="1:11" ht="15" hidden="1" customHeight="1">
      <c r="A95" s="11241"/>
      <c r="B95" s="7718" t="s">
        <v>11553</v>
      </c>
      <c r="C95" s="8802"/>
      <c r="D95" s="8869"/>
      <c r="E95" s="8869"/>
      <c r="F95" s="11252"/>
      <c r="G95" s="8869"/>
      <c r="H95" s="8869"/>
      <c r="I95" s="8799"/>
      <c r="J95" s="11463"/>
    </row>
    <row r="96" spans="1:11" ht="15" customHeight="1">
      <c r="A96" s="11241"/>
      <c r="B96" s="7784" t="s">
        <v>10977</v>
      </c>
      <c r="C96" s="8802">
        <v>50705990</v>
      </c>
      <c r="D96" s="8869">
        <f>'WS-CO 2017'!I29</f>
        <v>505350</v>
      </c>
      <c r="E96" s="8869"/>
      <c r="F96" s="11443">
        <f>G96-E96</f>
        <v>2300000</v>
      </c>
      <c r="G96" s="8869">
        <v>2300000</v>
      </c>
      <c r="H96" s="8869">
        <v>2291210</v>
      </c>
      <c r="I96" s="11163">
        <f>H96/G96</f>
        <v>0.99617826086956518</v>
      </c>
      <c r="J96" s="11463">
        <v>646000</v>
      </c>
      <c r="K96" s="7374" t="s">
        <v>12213</v>
      </c>
    </row>
    <row r="97" spans="1:11" ht="15" hidden="1" customHeight="1">
      <c r="A97" s="11241"/>
      <c r="B97" s="10373" t="s">
        <v>11998</v>
      </c>
      <c r="C97" s="8872"/>
      <c r="D97" s="8869"/>
      <c r="E97" s="8869"/>
      <c r="F97" s="11443"/>
      <c r="G97" s="8869"/>
      <c r="H97" s="8869"/>
      <c r="I97" s="8799"/>
      <c r="J97" s="11463"/>
    </row>
    <row r="98" spans="1:11" ht="15" customHeight="1">
      <c r="A98" s="11241"/>
      <c r="B98" s="7352"/>
      <c r="C98" s="8872"/>
      <c r="D98" s="8869"/>
      <c r="E98" s="8869"/>
      <c r="F98" s="8869"/>
      <c r="G98" s="8869"/>
      <c r="H98" s="8869"/>
      <c r="I98" s="8799"/>
      <c r="J98" s="11463"/>
    </row>
    <row r="99" spans="1:11" ht="15" customHeight="1">
      <c r="A99" s="11241"/>
      <c r="B99" s="7361" t="s">
        <v>37</v>
      </c>
      <c r="C99" s="8872"/>
      <c r="D99" s="11773">
        <f>SUM(D83:D98)</f>
        <v>815238</v>
      </c>
      <c r="E99" s="11773">
        <f>SUM(E83:E98)</f>
        <v>0</v>
      </c>
      <c r="F99" s="11773">
        <f>SUM(F83:F98)</f>
        <v>2300000</v>
      </c>
      <c r="G99" s="9538">
        <f>SUM(G83:G98)</f>
        <v>2300000</v>
      </c>
      <c r="H99" s="9538">
        <f>SUM(H83:H98)</f>
        <v>2291210</v>
      </c>
      <c r="I99" s="9466">
        <f>H99/G99</f>
        <v>0.99617826086956518</v>
      </c>
      <c r="J99" s="11761">
        <f>SUM(J83:J98)</f>
        <v>2828000</v>
      </c>
      <c r="K99" s="10391">
        <f>(J99-G99)/G99</f>
        <v>0.22956521739130434</v>
      </c>
    </row>
    <row r="100" spans="1:11" ht="15" customHeight="1">
      <c r="A100" s="11241"/>
      <c r="B100" s="7361"/>
      <c r="C100" s="8872"/>
      <c r="D100" s="11774"/>
      <c r="E100" s="11774"/>
      <c r="F100" s="11774"/>
      <c r="G100" s="8873"/>
      <c r="H100" s="8873"/>
      <c r="I100" s="8874"/>
      <c r="J100" s="11460"/>
    </row>
    <row r="101" spans="1:11" ht="15" customHeight="1">
      <c r="A101" s="11241" t="s">
        <v>53</v>
      </c>
      <c r="B101" s="7352" t="s">
        <v>54</v>
      </c>
      <c r="C101" s="8872"/>
      <c r="D101" s="8869"/>
      <c r="E101" s="8869"/>
      <c r="F101" s="8869"/>
      <c r="G101" s="8869"/>
      <c r="H101" s="8869"/>
      <c r="I101" s="8799"/>
      <c r="J101" s="11463"/>
    </row>
    <row r="102" spans="1:11" ht="15" customHeight="1">
      <c r="A102" s="11241"/>
      <c r="B102" s="7352"/>
      <c r="C102" s="8872"/>
      <c r="D102" s="8869"/>
      <c r="E102" s="8869"/>
      <c r="F102" s="11252"/>
      <c r="G102" s="8869"/>
      <c r="H102" s="11252"/>
      <c r="I102" s="11163"/>
      <c r="J102" s="11463"/>
    </row>
    <row r="103" spans="1:11" ht="15" customHeight="1">
      <c r="A103" s="11241"/>
      <c r="B103" s="7352" t="s">
        <v>10233</v>
      </c>
      <c r="C103" s="8872">
        <v>69902</v>
      </c>
      <c r="D103" s="8869"/>
      <c r="E103" s="8869"/>
      <c r="F103" s="11443">
        <f>G103-E103</f>
        <v>300000</v>
      </c>
      <c r="G103" s="8869">
        <v>300000</v>
      </c>
      <c r="H103" s="11252">
        <v>218466.8</v>
      </c>
      <c r="I103" s="11163">
        <f>H103/G103</f>
        <v>0.72822266666666657</v>
      </c>
      <c r="J103" s="11463">
        <v>300000</v>
      </c>
    </row>
    <row r="104" spans="1:11" ht="15" customHeight="1">
      <c r="A104" s="11241"/>
      <c r="B104" s="7352"/>
      <c r="C104" s="8872"/>
      <c r="D104" s="8869"/>
      <c r="E104" s="8869"/>
      <c r="F104" s="8869"/>
      <c r="G104" s="8869"/>
      <c r="H104" s="11252"/>
      <c r="I104" s="11163"/>
      <c r="J104" s="11463"/>
    </row>
    <row r="105" spans="1:11" s="7374" customFormat="1" ht="15" customHeight="1">
      <c r="A105" s="11288"/>
      <c r="B105" s="7361" t="s">
        <v>37</v>
      </c>
      <c r="C105" s="11536"/>
      <c r="D105" s="9538">
        <f>SUM(D101:D104)</f>
        <v>0</v>
      </c>
      <c r="E105" s="9538">
        <f>SUM(E101:E104)</f>
        <v>0</v>
      </c>
      <c r="F105" s="9538">
        <f>SUM(F101:F104)</f>
        <v>300000</v>
      </c>
      <c r="G105" s="9538">
        <f>SUM(G101:G104)</f>
        <v>300000</v>
      </c>
      <c r="H105" s="9538">
        <f>SUM(H101:H104)</f>
        <v>218466.8</v>
      </c>
      <c r="I105" s="11206"/>
      <c r="J105" s="11761">
        <f>SUM(J101:J104)</f>
        <v>300000</v>
      </c>
      <c r="K105" s="10391">
        <f>(J105-G105)/G105</f>
        <v>0</v>
      </c>
    </row>
    <row r="106" spans="1:11" s="7374" customFormat="1" ht="15" customHeight="1">
      <c r="A106" s="11288"/>
      <c r="B106" s="7361"/>
      <c r="C106" s="11536"/>
      <c r="D106" s="11283"/>
      <c r="E106" s="11283"/>
      <c r="F106" s="11283"/>
      <c r="G106" s="11283"/>
      <c r="H106" s="11284"/>
      <c r="I106" s="11220"/>
      <c r="J106" s="11775"/>
    </row>
    <row r="107" spans="1:11" ht="15" customHeight="1" thickBot="1">
      <c r="A107" s="11297"/>
      <c r="B107" s="11298" t="s">
        <v>55</v>
      </c>
      <c r="C107" s="11776"/>
      <c r="D107" s="9428">
        <f>(D31+D71+D99+D105)</f>
        <v>56072681.939999998</v>
      </c>
      <c r="E107" s="9428">
        <f>(E31+E71+E99+E105)</f>
        <v>16804400.420000002</v>
      </c>
      <c r="F107" s="9428">
        <f>(F31+F71+F99+F105)</f>
        <v>63757923.580000006</v>
      </c>
      <c r="G107" s="9428">
        <f>(G31+G71+G99+G105)</f>
        <v>80562324</v>
      </c>
      <c r="H107" s="11300"/>
      <c r="I107" s="7327"/>
      <c r="J107" s="11450">
        <f>(J31+J71+J99+J105)</f>
        <v>88760587.784999996</v>
      </c>
      <c r="K107" s="10391">
        <f>(J107-G107)/G107</f>
        <v>0.10176300009667046</v>
      </c>
    </row>
    <row r="108" spans="1:11" s="7333" customFormat="1" ht="15" customHeight="1">
      <c r="A108" s="7738" t="s">
        <v>4763</v>
      </c>
      <c r="B108" s="7738"/>
      <c r="C108" s="9346"/>
      <c r="D108" s="7740"/>
      <c r="E108" s="7740"/>
      <c r="F108" s="11771"/>
      <c r="G108" s="7741"/>
      <c r="H108" s="7740"/>
      <c r="I108" s="7742"/>
      <c r="J108" s="7741"/>
      <c r="K108" s="7748"/>
    </row>
    <row r="109" spans="1:11" ht="15" customHeight="1">
      <c r="A109" s="7335"/>
      <c r="B109" s="7335"/>
      <c r="C109" s="8785"/>
      <c r="D109" s="7336"/>
      <c r="E109" s="7336"/>
      <c r="F109" s="9430"/>
      <c r="G109" s="7334"/>
      <c r="H109" s="7336" t="s">
        <v>11069</v>
      </c>
      <c r="I109" s="7345">
        <v>57196980</v>
      </c>
      <c r="J109" s="7351"/>
    </row>
    <row r="110" spans="1:11" ht="15" hidden="1" customHeight="1">
      <c r="A110" s="7335" t="s">
        <v>3483</v>
      </c>
      <c r="B110" s="7335"/>
      <c r="C110" s="10884" t="s">
        <v>3484</v>
      </c>
      <c r="D110" s="7351"/>
      <c r="E110" s="7336"/>
      <c r="F110" s="9459" t="s">
        <v>10666</v>
      </c>
      <c r="G110" s="7351"/>
      <c r="H110" s="7336" t="s">
        <v>11070</v>
      </c>
      <c r="I110" s="7345">
        <f>G107-I109</f>
        <v>23365344</v>
      </c>
    </row>
    <row r="111" spans="1:11" ht="15" hidden="1" customHeight="1">
      <c r="A111" s="7335"/>
      <c r="B111" s="7335"/>
      <c r="D111" s="10884"/>
      <c r="E111" s="7336"/>
      <c r="F111" s="7336"/>
      <c r="G111" s="7339"/>
      <c r="H111" s="7336"/>
      <c r="I111" s="7286">
        <f>I110/I109</f>
        <v>0.408506602970996</v>
      </c>
    </row>
    <row r="112" spans="1:11" ht="15" hidden="1" customHeight="1">
      <c r="A112" s="7335"/>
      <c r="B112" s="7335"/>
      <c r="D112" s="10884"/>
      <c r="E112" s="7336"/>
      <c r="F112" s="7336"/>
      <c r="G112" s="7339"/>
      <c r="H112" s="7336"/>
      <c r="I112" s="7286"/>
    </row>
    <row r="113" spans="1:10" s="7374" customFormat="1" ht="15" hidden="1" customHeight="1">
      <c r="A113" s="15088" t="s">
        <v>11229</v>
      </c>
      <c r="B113" s="15088"/>
      <c r="C113" s="8794"/>
      <c r="D113" s="10872" t="s">
        <v>12059</v>
      </c>
      <c r="E113" s="9431"/>
      <c r="F113" s="9431"/>
      <c r="G113" s="7342" t="s">
        <v>10667</v>
      </c>
      <c r="H113" s="9431"/>
      <c r="I113" s="7284"/>
      <c r="J113" s="7343"/>
    </row>
    <row r="114" spans="1:10" ht="15" hidden="1" customHeight="1">
      <c r="A114" s="15087" t="s">
        <v>11224</v>
      </c>
      <c r="B114" s="15087"/>
      <c r="D114" s="10869" t="s">
        <v>3486</v>
      </c>
      <c r="E114" s="7336"/>
      <c r="F114" s="7336"/>
      <c r="G114" s="7344" t="s">
        <v>10668</v>
      </c>
      <c r="H114" s="7336"/>
      <c r="I114" s="7345"/>
    </row>
    <row r="115" spans="1:10" ht="15" customHeight="1">
      <c r="A115" s="7335"/>
      <c r="B115" s="7335"/>
      <c r="C115" s="8785"/>
      <c r="D115" s="7336"/>
      <c r="E115" s="7336"/>
      <c r="F115" s="7336"/>
      <c r="H115" s="7336"/>
      <c r="I115" s="7286"/>
    </row>
    <row r="116" spans="1:10" ht="15" customHeight="1">
      <c r="A116" s="7335"/>
      <c r="C116" s="11768"/>
      <c r="D116" s="7341"/>
      <c r="E116" s="7341"/>
      <c r="F116" s="7336"/>
      <c r="H116" s="7336"/>
      <c r="I116" s="7286"/>
    </row>
    <row r="117" spans="1:10" ht="15" customHeight="1">
      <c r="A117" s="7335"/>
      <c r="B117" s="7335"/>
      <c r="C117" s="8785"/>
      <c r="D117" s="7336"/>
      <c r="E117" s="7336"/>
      <c r="F117" s="7336"/>
      <c r="G117" s="7336"/>
      <c r="H117" s="7336"/>
      <c r="I117" s="7286"/>
      <c r="J117" s="7336"/>
    </row>
    <row r="118" spans="1:10" ht="15" customHeight="1">
      <c r="A118" s="7335"/>
      <c r="B118" s="7335"/>
      <c r="C118" s="8785"/>
      <c r="D118" s="7336"/>
      <c r="E118" s="7336"/>
      <c r="F118" s="7336"/>
      <c r="G118" s="7336"/>
      <c r="H118" s="7336"/>
      <c r="I118" s="7286"/>
      <c r="J118" s="7336"/>
    </row>
  </sheetData>
  <mergeCells count="11">
    <mergeCell ref="A114:B114"/>
    <mergeCell ref="A1:J1"/>
    <mergeCell ref="E6:G6"/>
    <mergeCell ref="G7:G8"/>
    <mergeCell ref="E79:G79"/>
    <mergeCell ref="G80:G81"/>
    <mergeCell ref="E39:G39"/>
    <mergeCell ref="G40:G41"/>
    <mergeCell ref="A113:B113"/>
    <mergeCell ref="B87:F87"/>
    <mergeCell ref="J3:J4"/>
  </mergeCells>
  <printOptions horizontalCentered="1" gridLinesSet="0"/>
  <pageMargins left="0.25" right="0.25" top="0.5" bottom="0.25" header="0.25" footer="0.25"/>
  <pageSetup paperSize="293" firstPageNumber="261" orientation="landscape" useFirstPageNumber="1" verticalDpi="300" r:id="rId1"/>
  <headerFooter alignWithMargins="0"/>
  <ignoredErrors>
    <ignoredError sqref="J31" unlockedFormula="1"/>
  </ignoredErrors>
</worksheet>
</file>

<file path=xl/worksheets/sheet134.xml><?xml version="1.0" encoding="utf-8"?>
<worksheet xmlns="http://schemas.openxmlformats.org/spreadsheetml/2006/main" xmlns:r="http://schemas.openxmlformats.org/officeDocument/2006/relationships">
  <sheetPr codeName="Sheet173">
    <tabColor rgb="FFFFFF00"/>
  </sheetPr>
  <dimension ref="A1:F36"/>
  <sheetViews>
    <sheetView topLeftCell="A7" workbookViewId="0">
      <selection activeCell="B29" sqref="B29"/>
    </sheetView>
  </sheetViews>
  <sheetFormatPr defaultColWidth="9.109375" defaultRowHeight="14.4"/>
  <cols>
    <col min="1" max="1" width="3.88671875" style="951" customWidth="1"/>
    <col min="2" max="2" width="29.44140625" style="951" customWidth="1"/>
    <col min="3" max="3" width="16.44140625" style="889" customWidth="1"/>
    <col min="4" max="4" width="15.88671875" style="959" customWidth="1"/>
    <col min="5" max="5" width="16.44140625" style="959" customWidth="1"/>
    <col min="6" max="6" width="15.44140625" style="959" customWidth="1"/>
    <col min="7" max="16384" width="9.109375" style="818"/>
  </cols>
  <sheetData>
    <row r="1" spans="1:6" s="881" customFormat="1" ht="18.75" customHeight="1">
      <c r="A1" s="946"/>
      <c r="B1" s="946" t="s">
        <v>3426</v>
      </c>
      <c r="C1" s="884"/>
      <c r="D1" s="952"/>
      <c r="E1" s="952"/>
      <c r="F1" s="952"/>
    </row>
    <row r="2" spans="1:6" s="881" customFormat="1" ht="15" customHeight="1">
      <c r="A2" s="946"/>
      <c r="B2" s="946"/>
      <c r="C2" s="884"/>
      <c r="D2" s="952"/>
      <c r="E2" s="952"/>
      <c r="F2" s="952"/>
    </row>
    <row r="3" spans="1:6" s="881" customFormat="1" ht="18.75" customHeight="1">
      <c r="A3" s="946"/>
      <c r="B3" s="946" t="s">
        <v>4802</v>
      </c>
      <c r="C3" s="884"/>
      <c r="D3" s="952"/>
      <c r="E3" s="952"/>
      <c r="F3" s="952"/>
    </row>
    <row r="4" spans="1:6" s="881" customFormat="1" ht="18.75" customHeight="1">
      <c r="A4" s="946"/>
      <c r="B4" s="946"/>
      <c r="C4" s="884"/>
      <c r="D4" s="952"/>
      <c r="E4" s="952"/>
      <c r="F4" s="952"/>
    </row>
    <row r="5" spans="1:6" s="881" customFormat="1">
      <c r="A5" s="1341"/>
      <c r="B5" s="15091" t="s">
        <v>3427</v>
      </c>
      <c r="C5" s="14207" t="s">
        <v>18</v>
      </c>
      <c r="D5" s="14207"/>
      <c r="E5" s="14207"/>
      <c r="F5" s="14987" t="s">
        <v>220</v>
      </c>
    </row>
    <row r="6" spans="1:6" s="882" customFormat="1">
      <c r="A6" s="1342"/>
      <c r="B6" s="15092"/>
      <c r="C6" s="1125" t="s">
        <v>2151</v>
      </c>
      <c r="D6" s="1126" t="s">
        <v>1973</v>
      </c>
      <c r="E6" s="1126" t="s">
        <v>52</v>
      </c>
      <c r="F6" s="14988"/>
    </row>
    <row r="7" spans="1:6" s="881" customFormat="1">
      <c r="A7" s="1288" t="s">
        <v>2048</v>
      </c>
      <c r="B7" s="946"/>
      <c r="C7" s="886"/>
      <c r="D7" s="953"/>
      <c r="E7" s="953"/>
      <c r="F7" s="953"/>
    </row>
    <row r="8" spans="1:6" s="881" customFormat="1">
      <c r="A8" s="1378"/>
      <c r="B8" s="946" t="s">
        <v>18</v>
      </c>
      <c r="C8" s="1008"/>
      <c r="D8" s="1036"/>
      <c r="E8" s="1036"/>
      <c r="F8" s="1036">
        <f>SUM(C8:E8)</f>
        <v>0</v>
      </c>
    </row>
    <row r="9" spans="1:6" ht="27.75" customHeight="1">
      <c r="A9" s="2581"/>
      <c r="B9" s="2582" t="s">
        <v>3650</v>
      </c>
      <c r="C9" s="887">
        <f>6004771.42+326859</f>
        <v>6331630.4199999999</v>
      </c>
      <c r="D9" s="887">
        <v>3514637.5</v>
      </c>
      <c r="E9" s="887">
        <f>'lbpf 3-HJAGNA'!J99</f>
        <v>2828000</v>
      </c>
      <c r="F9" s="887">
        <f>SUM(C9:E9)</f>
        <v>12674267.92</v>
      </c>
    </row>
    <row r="10" spans="1:6" ht="27.75" customHeight="1">
      <c r="A10" s="2581"/>
      <c r="B10" s="2582" t="s">
        <v>2000</v>
      </c>
      <c r="C10" s="887">
        <v>3786854.45</v>
      </c>
      <c r="D10" s="887">
        <v>4795570.5</v>
      </c>
      <c r="E10" s="887"/>
      <c r="F10" s="887">
        <f>SUM(C10:E10)</f>
        <v>8582424.9499999993</v>
      </c>
    </row>
    <row r="11" spans="1:6" ht="27.75" customHeight="1">
      <c r="A11" s="2581"/>
      <c r="B11" s="2582" t="s">
        <v>2008</v>
      </c>
      <c r="C11" s="887">
        <v>5325856.82</v>
      </c>
      <c r="D11" s="887">
        <f>3776770.5+59950</f>
        <v>3836720.5</v>
      </c>
      <c r="E11" s="887"/>
      <c r="F11" s="887">
        <f>SUM(C11:E11)</f>
        <v>9162577.3200000003</v>
      </c>
    </row>
    <row r="12" spans="1:6" ht="27.75" customHeight="1">
      <c r="A12" s="2581"/>
      <c r="B12" s="2582" t="s">
        <v>2081</v>
      </c>
      <c r="C12" s="887">
        <v>2870992.31</v>
      </c>
      <c r="D12" s="887">
        <v>4790471.5</v>
      </c>
      <c r="E12" s="887"/>
      <c r="F12" s="887">
        <f>SUM(C12:E12)</f>
        <v>7661463.8100000005</v>
      </c>
    </row>
    <row r="13" spans="1:6">
      <c r="A13" s="2579"/>
      <c r="B13" s="2580"/>
      <c r="C13" s="2387"/>
      <c r="D13" s="2139"/>
      <c r="E13" s="2139"/>
      <c r="F13" s="2139"/>
    </row>
    <row r="14" spans="1:6">
      <c r="A14" s="2579"/>
      <c r="B14" s="2580"/>
      <c r="C14" s="2387"/>
      <c r="D14" s="2139"/>
      <c r="E14" s="2139"/>
      <c r="F14" s="2139"/>
    </row>
    <row r="15" spans="1:6">
      <c r="A15" s="2579"/>
      <c r="B15" s="2580"/>
      <c r="C15" s="2387"/>
      <c r="D15" s="2139"/>
      <c r="E15" s="2139"/>
      <c r="F15" s="2139"/>
    </row>
    <row r="16" spans="1:6">
      <c r="A16" s="2579"/>
      <c r="B16" s="2580"/>
      <c r="C16" s="2387"/>
      <c r="D16" s="2139"/>
      <c r="E16" s="2139"/>
      <c r="F16" s="2139"/>
    </row>
    <row r="17" spans="1:6">
      <c r="A17" s="2579"/>
      <c r="B17" s="2580"/>
      <c r="C17" s="2387"/>
      <c r="D17" s="2139"/>
      <c r="E17" s="2139"/>
      <c r="F17" s="2139"/>
    </row>
    <row r="18" spans="1:6">
      <c r="A18" s="2579"/>
      <c r="B18" s="2580"/>
      <c r="C18" s="2387"/>
      <c r="D18" s="2139"/>
      <c r="E18" s="2139"/>
      <c r="F18" s="2139"/>
    </row>
    <row r="19" spans="1:6">
      <c r="A19" s="2579"/>
      <c r="B19" s="2580"/>
      <c r="C19" s="2387"/>
      <c r="D19" s="2139"/>
      <c r="E19" s="2139"/>
      <c r="F19" s="2139"/>
    </row>
    <row r="20" spans="1:6">
      <c r="A20" s="947"/>
      <c r="B20" s="960"/>
      <c r="C20" s="887"/>
      <c r="D20" s="954"/>
      <c r="E20" s="954"/>
      <c r="F20" s="954">
        <f>SUM(C20:E20)</f>
        <v>0</v>
      </c>
    </row>
    <row r="21" spans="1:6">
      <c r="A21" s="1345"/>
      <c r="B21" s="961"/>
      <c r="C21" s="888"/>
      <c r="D21" s="955"/>
      <c r="E21" s="955"/>
      <c r="F21" s="954">
        <f>SUM(C21:E21)</f>
        <v>0</v>
      </c>
    </row>
    <row r="22" spans="1:6" ht="18.75" customHeight="1">
      <c r="A22" s="1288" t="s">
        <v>3429</v>
      </c>
      <c r="C22" s="887"/>
      <c r="D22" s="954"/>
      <c r="E22" s="954"/>
      <c r="F22" s="956"/>
    </row>
    <row r="23" spans="1:6">
      <c r="A23" s="949"/>
      <c r="B23" s="1127"/>
      <c r="C23" s="945"/>
      <c r="D23" s="957"/>
      <c r="E23" s="957"/>
      <c r="F23" s="954">
        <f>SUM(C23:E23)</f>
        <v>0</v>
      </c>
    </row>
    <row r="24" spans="1:6">
      <c r="A24" s="2577"/>
      <c r="B24" s="2578"/>
      <c r="C24" s="2387"/>
      <c r="D24" s="2139"/>
      <c r="E24" s="2139"/>
      <c r="F24" s="2139"/>
    </row>
    <row r="25" spans="1:6">
      <c r="A25" s="2577"/>
      <c r="B25" s="2578"/>
      <c r="C25" s="2387"/>
      <c r="D25" s="2139"/>
      <c r="E25" s="2139"/>
      <c r="F25" s="2139"/>
    </row>
    <row r="26" spans="1:6">
      <c r="A26" s="2577"/>
      <c r="B26" s="2578"/>
      <c r="C26" s="2387"/>
      <c r="D26" s="2139"/>
      <c r="E26" s="2139"/>
      <c r="F26" s="2139"/>
    </row>
    <row r="27" spans="1:6">
      <c r="A27" s="2577"/>
      <c r="B27" s="2578"/>
      <c r="C27" s="2387"/>
      <c r="D27" s="2139"/>
      <c r="E27" s="2139"/>
      <c r="F27" s="2139"/>
    </row>
    <row r="28" spans="1:6">
      <c r="A28" s="2577"/>
      <c r="B28" s="2578"/>
      <c r="C28" s="2387"/>
      <c r="D28" s="2139"/>
      <c r="E28" s="2139"/>
      <c r="F28" s="2139"/>
    </row>
    <row r="29" spans="1:6">
      <c r="A29" s="2577"/>
      <c r="B29" s="2578"/>
      <c r="C29" s="2387"/>
      <c r="D29" s="2139"/>
      <c r="E29" s="2139"/>
      <c r="F29" s="2139"/>
    </row>
    <row r="30" spans="1:6">
      <c r="A30" s="948"/>
      <c r="B30" s="962"/>
      <c r="C30" s="887"/>
      <c r="D30" s="954"/>
      <c r="E30" s="954"/>
      <c r="F30" s="954"/>
    </row>
    <row r="31" spans="1:6" s="881" customFormat="1">
      <c r="A31" s="950"/>
      <c r="B31" s="963" t="s">
        <v>2850</v>
      </c>
      <c r="C31" s="892">
        <f>SUM(C7:C30)</f>
        <v>18315334</v>
      </c>
      <c r="D31" s="958">
        <f>SUM(D7:D30)</f>
        <v>16937400</v>
      </c>
      <c r="E31" s="958">
        <f>SUM(E7:E30)</f>
        <v>2828000</v>
      </c>
      <c r="F31" s="958">
        <f>SUM(F7:F30)</f>
        <v>38080734</v>
      </c>
    </row>
    <row r="36" spans="4:4">
      <c r="D36" s="889"/>
    </row>
  </sheetData>
  <mergeCells count="3">
    <mergeCell ref="B5:B6"/>
    <mergeCell ref="C5:E5"/>
    <mergeCell ref="F5:F6"/>
  </mergeCells>
  <printOptions horizontalCentered="1"/>
  <pageMargins left="0.5" right="0.25" top="0.75" bottom="0.5" header="0.3" footer="0.25"/>
  <pageSetup paperSize="119" firstPageNumber="263" orientation="portrait" useFirstPageNumber="1" verticalDpi="300" r:id="rId1"/>
</worksheet>
</file>

<file path=xl/worksheets/sheet135.xml><?xml version="1.0" encoding="utf-8"?>
<worksheet xmlns="http://schemas.openxmlformats.org/spreadsheetml/2006/main" xmlns:r="http://schemas.openxmlformats.org/officeDocument/2006/relationships">
  <sheetPr codeName="Sheet94">
    <tabColor rgb="FFFFFF00"/>
  </sheetPr>
  <dimension ref="A1:I91"/>
  <sheetViews>
    <sheetView showGridLines="0" topLeftCell="A53" workbookViewId="0">
      <selection activeCell="F53" sqref="F1:L1048576"/>
    </sheetView>
  </sheetViews>
  <sheetFormatPr defaultRowHeight="12.9" customHeight="1"/>
  <cols>
    <col min="1" max="1" width="40.5546875" style="7001" customWidth="1"/>
    <col min="2" max="3" width="8.5546875" style="7001" customWidth="1"/>
    <col min="4" max="6" width="14.5546875" style="7001" customWidth="1"/>
    <col min="7" max="7" width="13.109375" style="7001" customWidth="1"/>
    <col min="8" max="8" width="14.88671875" style="7001" customWidth="1"/>
    <col min="9" max="9" width="17.6640625" style="7001" customWidth="1"/>
    <col min="10" max="11" width="8.88671875" style="7001" customWidth="1"/>
    <col min="12" max="223" width="9.109375" style="7001"/>
    <col min="224" max="224" width="33" style="7001" customWidth="1"/>
    <col min="225" max="225" width="10.109375" style="7001" customWidth="1"/>
    <col min="226" max="226" width="8" style="7001" customWidth="1"/>
    <col min="227" max="227" width="11" style="7001" customWidth="1"/>
    <col min="228" max="228" width="13.109375" style="7001" customWidth="1"/>
    <col min="229" max="229" width="16.109375" style="7001" customWidth="1"/>
    <col min="230" max="479" width="9.109375" style="7001"/>
    <col min="480" max="480" width="33" style="7001" customWidth="1"/>
    <col min="481" max="481" width="10.109375" style="7001" customWidth="1"/>
    <col min="482" max="482" width="8" style="7001" customWidth="1"/>
    <col min="483" max="483" width="11" style="7001" customWidth="1"/>
    <col min="484" max="484" width="13.109375" style="7001" customWidth="1"/>
    <col min="485" max="485" width="16.109375" style="7001" customWidth="1"/>
    <col min="486" max="735" width="9.109375" style="7001"/>
    <col min="736" max="736" width="33" style="7001" customWidth="1"/>
    <col min="737" max="737" width="10.109375" style="7001" customWidth="1"/>
    <col min="738" max="738" width="8" style="7001" customWidth="1"/>
    <col min="739" max="739" width="11" style="7001" customWidth="1"/>
    <col min="740" max="740" width="13.109375" style="7001" customWidth="1"/>
    <col min="741" max="741" width="16.109375" style="7001" customWidth="1"/>
    <col min="742" max="991" width="9.109375" style="7001"/>
    <col min="992" max="992" width="33" style="7001" customWidth="1"/>
    <col min="993" max="993" width="10.109375" style="7001" customWidth="1"/>
    <col min="994" max="994" width="8" style="7001" customWidth="1"/>
    <col min="995" max="995" width="11" style="7001" customWidth="1"/>
    <col min="996" max="996" width="13.109375" style="7001" customWidth="1"/>
    <col min="997" max="997" width="16.109375" style="7001" customWidth="1"/>
    <col min="998" max="1247" width="9.109375" style="7001"/>
    <col min="1248" max="1248" width="33" style="7001" customWidth="1"/>
    <col min="1249" max="1249" width="10.109375" style="7001" customWidth="1"/>
    <col min="1250" max="1250" width="8" style="7001" customWidth="1"/>
    <col min="1251" max="1251" width="11" style="7001" customWidth="1"/>
    <col min="1252" max="1252" width="13.109375" style="7001" customWidth="1"/>
    <col min="1253" max="1253" width="16.109375" style="7001" customWidth="1"/>
    <col min="1254" max="1503" width="9.109375" style="7001"/>
    <col min="1504" max="1504" width="33" style="7001" customWidth="1"/>
    <col min="1505" max="1505" width="10.109375" style="7001" customWidth="1"/>
    <col min="1506" max="1506" width="8" style="7001" customWidth="1"/>
    <col min="1507" max="1507" width="11" style="7001" customWidth="1"/>
    <col min="1508" max="1508" width="13.109375" style="7001" customWidth="1"/>
    <col min="1509" max="1509" width="16.109375" style="7001" customWidth="1"/>
    <col min="1510" max="1759" width="9.109375" style="7001"/>
    <col min="1760" max="1760" width="33" style="7001" customWidth="1"/>
    <col min="1761" max="1761" width="10.109375" style="7001" customWidth="1"/>
    <col min="1762" max="1762" width="8" style="7001" customWidth="1"/>
    <col min="1763" max="1763" width="11" style="7001" customWidth="1"/>
    <col min="1764" max="1764" width="13.109375" style="7001" customWidth="1"/>
    <col min="1765" max="1765" width="16.109375" style="7001" customWidth="1"/>
    <col min="1766" max="2015" width="9.109375" style="7001"/>
    <col min="2016" max="2016" width="33" style="7001" customWidth="1"/>
    <col min="2017" max="2017" width="10.109375" style="7001" customWidth="1"/>
    <col min="2018" max="2018" width="8" style="7001" customWidth="1"/>
    <col min="2019" max="2019" width="11" style="7001" customWidth="1"/>
    <col min="2020" max="2020" width="13.109375" style="7001" customWidth="1"/>
    <col min="2021" max="2021" width="16.109375" style="7001" customWidth="1"/>
    <col min="2022" max="2271" width="9.109375" style="7001"/>
    <col min="2272" max="2272" width="33" style="7001" customWidth="1"/>
    <col min="2273" max="2273" width="10.109375" style="7001" customWidth="1"/>
    <col min="2274" max="2274" width="8" style="7001" customWidth="1"/>
    <col min="2275" max="2275" width="11" style="7001" customWidth="1"/>
    <col min="2276" max="2276" width="13.109375" style="7001" customWidth="1"/>
    <col min="2277" max="2277" width="16.109375" style="7001" customWidth="1"/>
    <col min="2278" max="2527" width="9.109375" style="7001"/>
    <col min="2528" max="2528" width="33" style="7001" customWidth="1"/>
    <col min="2529" max="2529" width="10.109375" style="7001" customWidth="1"/>
    <col min="2530" max="2530" width="8" style="7001" customWidth="1"/>
    <col min="2531" max="2531" width="11" style="7001" customWidth="1"/>
    <col min="2532" max="2532" width="13.109375" style="7001" customWidth="1"/>
    <col min="2533" max="2533" width="16.109375" style="7001" customWidth="1"/>
    <col min="2534" max="2783" width="9.109375" style="7001"/>
    <col min="2784" max="2784" width="33" style="7001" customWidth="1"/>
    <col min="2785" max="2785" width="10.109375" style="7001" customWidth="1"/>
    <col min="2786" max="2786" width="8" style="7001" customWidth="1"/>
    <col min="2787" max="2787" width="11" style="7001" customWidth="1"/>
    <col min="2788" max="2788" width="13.109375" style="7001" customWidth="1"/>
    <col min="2789" max="2789" width="16.109375" style="7001" customWidth="1"/>
    <col min="2790" max="3039" width="9.109375" style="7001"/>
    <col min="3040" max="3040" width="33" style="7001" customWidth="1"/>
    <col min="3041" max="3041" width="10.109375" style="7001" customWidth="1"/>
    <col min="3042" max="3042" width="8" style="7001" customWidth="1"/>
    <col min="3043" max="3043" width="11" style="7001" customWidth="1"/>
    <col min="3044" max="3044" width="13.109375" style="7001" customWidth="1"/>
    <col min="3045" max="3045" width="16.109375" style="7001" customWidth="1"/>
    <col min="3046" max="3295" width="9.109375" style="7001"/>
    <col min="3296" max="3296" width="33" style="7001" customWidth="1"/>
    <col min="3297" max="3297" width="10.109375" style="7001" customWidth="1"/>
    <col min="3298" max="3298" width="8" style="7001" customWidth="1"/>
    <col min="3299" max="3299" width="11" style="7001" customWidth="1"/>
    <col min="3300" max="3300" width="13.109375" style="7001" customWidth="1"/>
    <col min="3301" max="3301" width="16.109375" style="7001" customWidth="1"/>
    <col min="3302" max="3551" width="9.109375" style="7001"/>
    <col min="3552" max="3552" width="33" style="7001" customWidth="1"/>
    <col min="3553" max="3553" width="10.109375" style="7001" customWidth="1"/>
    <col min="3554" max="3554" width="8" style="7001" customWidth="1"/>
    <col min="3555" max="3555" width="11" style="7001" customWidth="1"/>
    <col min="3556" max="3556" width="13.109375" style="7001" customWidth="1"/>
    <col min="3557" max="3557" width="16.109375" style="7001" customWidth="1"/>
    <col min="3558" max="3807" width="9.109375" style="7001"/>
    <col min="3808" max="3808" width="33" style="7001" customWidth="1"/>
    <col min="3809" max="3809" width="10.109375" style="7001" customWidth="1"/>
    <col min="3810" max="3810" width="8" style="7001" customWidth="1"/>
    <col min="3811" max="3811" width="11" style="7001" customWidth="1"/>
    <col min="3812" max="3812" width="13.109375" style="7001" customWidth="1"/>
    <col min="3813" max="3813" width="16.109375" style="7001" customWidth="1"/>
    <col min="3814" max="4063" width="9.109375" style="7001"/>
    <col min="4064" max="4064" width="33" style="7001" customWidth="1"/>
    <col min="4065" max="4065" width="10.109375" style="7001" customWidth="1"/>
    <col min="4066" max="4066" width="8" style="7001" customWidth="1"/>
    <col min="4067" max="4067" width="11" style="7001" customWidth="1"/>
    <col min="4068" max="4068" width="13.109375" style="7001" customWidth="1"/>
    <col min="4069" max="4069" width="16.109375" style="7001" customWidth="1"/>
    <col min="4070" max="4319" width="9.109375" style="7001"/>
    <col min="4320" max="4320" width="33" style="7001" customWidth="1"/>
    <col min="4321" max="4321" width="10.109375" style="7001" customWidth="1"/>
    <col min="4322" max="4322" width="8" style="7001" customWidth="1"/>
    <col min="4323" max="4323" width="11" style="7001" customWidth="1"/>
    <col min="4324" max="4324" width="13.109375" style="7001" customWidth="1"/>
    <col min="4325" max="4325" width="16.109375" style="7001" customWidth="1"/>
    <col min="4326" max="4575" width="9.109375" style="7001"/>
    <col min="4576" max="4576" width="33" style="7001" customWidth="1"/>
    <col min="4577" max="4577" width="10.109375" style="7001" customWidth="1"/>
    <col min="4578" max="4578" width="8" style="7001" customWidth="1"/>
    <col min="4579" max="4579" width="11" style="7001" customWidth="1"/>
    <col min="4580" max="4580" width="13.109375" style="7001" customWidth="1"/>
    <col min="4581" max="4581" width="16.109375" style="7001" customWidth="1"/>
    <col min="4582" max="4831" width="9.109375" style="7001"/>
    <col min="4832" max="4832" width="33" style="7001" customWidth="1"/>
    <col min="4833" max="4833" width="10.109375" style="7001" customWidth="1"/>
    <col min="4834" max="4834" width="8" style="7001" customWidth="1"/>
    <col min="4835" max="4835" width="11" style="7001" customWidth="1"/>
    <col min="4836" max="4836" width="13.109375" style="7001" customWidth="1"/>
    <col min="4837" max="4837" width="16.109375" style="7001" customWidth="1"/>
    <col min="4838" max="5087" width="9.109375" style="7001"/>
    <col min="5088" max="5088" width="33" style="7001" customWidth="1"/>
    <col min="5089" max="5089" width="10.109375" style="7001" customWidth="1"/>
    <col min="5090" max="5090" width="8" style="7001" customWidth="1"/>
    <col min="5091" max="5091" width="11" style="7001" customWidth="1"/>
    <col min="5092" max="5092" width="13.109375" style="7001" customWidth="1"/>
    <col min="5093" max="5093" width="16.109375" style="7001" customWidth="1"/>
    <col min="5094" max="5343" width="9.109375" style="7001"/>
    <col min="5344" max="5344" width="33" style="7001" customWidth="1"/>
    <col min="5345" max="5345" width="10.109375" style="7001" customWidth="1"/>
    <col min="5346" max="5346" width="8" style="7001" customWidth="1"/>
    <col min="5347" max="5347" width="11" style="7001" customWidth="1"/>
    <col min="5348" max="5348" width="13.109375" style="7001" customWidth="1"/>
    <col min="5349" max="5349" width="16.109375" style="7001" customWidth="1"/>
    <col min="5350" max="5599" width="9.109375" style="7001"/>
    <col min="5600" max="5600" width="33" style="7001" customWidth="1"/>
    <col min="5601" max="5601" width="10.109375" style="7001" customWidth="1"/>
    <col min="5602" max="5602" width="8" style="7001" customWidth="1"/>
    <col min="5603" max="5603" width="11" style="7001" customWidth="1"/>
    <col min="5604" max="5604" width="13.109375" style="7001" customWidth="1"/>
    <col min="5605" max="5605" width="16.109375" style="7001" customWidth="1"/>
    <col min="5606" max="5855" width="9.109375" style="7001"/>
    <col min="5856" max="5856" width="33" style="7001" customWidth="1"/>
    <col min="5857" max="5857" width="10.109375" style="7001" customWidth="1"/>
    <col min="5858" max="5858" width="8" style="7001" customWidth="1"/>
    <col min="5859" max="5859" width="11" style="7001" customWidth="1"/>
    <col min="5860" max="5860" width="13.109375" style="7001" customWidth="1"/>
    <col min="5861" max="5861" width="16.109375" style="7001" customWidth="1"/>
    <col min="5862" max="6111" width="9.109375" style="7001"/>
    <col min="6112" max="6112" width="33" style="7001" customWidth="1"/>
    <col min="6113" max="6113" width="10.109375" style="7001" customWidth="1"/>
    <col min="6114" max="6114" width="8" style="7001" customWidth="1"/>
    <col min="6115" max="6115" width="11" style="7001" customWidth="1"/>
    <col min="6116" max="6116" width="13.109375" style="7001" customWidth="1"/>
    <col min="6117" max="6117" width="16.109375" style="7001" customWidth="1"/>
    <col min="6118" max="6367" width="9.109375" style="7001"/>
    <col min="6368" max="6368" width="33" style="7001" customWidth="1"/>
    <col min="6369" max="6369" width="10.109375" style="7001" customWidth="1"/>
    <col min="6370" max="6370" width="8" style="7001" customWidth="1"/>
    <col min="6371" max="6371" width="11" style="7001" customWidth="1"/>
    <col min="6372" max="6372" width="13.109375" style="7001" customWidth="1"/>
    <col min="6373" max="6373" width="16.109375" style="7001" customWidth="1"/>
    <col min="6374" max="6623" width="9.109375" style="7001"/>
    <col min="6624" max="6624" width="33" style="7001" customWidth="1"/>
    <col min="6625" max="6625" width="10.109375" style="7001" customWidth="1"/>
    <col min="6626" max="6626" width="8" style="7001" customWidth="1"/>
    <col min="6627" max="6627" width="11" style="7001" customWidth="1"/>
    <col min="6628" max="6628" width="13.109375" style="7001" customWidth="1"/>
    <col min="6629" max="6629" width="16.109375" style="7001" customWidth="1"/>
    <col min="6630" max="6879" width="9.109375" style="7001"/>
    <col min="6880" max="6880" width="33" style="7001" customWidth="1"/>
    <col min="6881" max="6881" width="10.109375" style="7001" customWidth="1"/>
    <col min="6882" max="6882" width="8" style="7001" customWidth="1"/>
    <col min="6883" max="6883" width="11" style="7001" customWidth="1"/>
    <col min="6884" max="6884" width="13.109375" style="7001" customWidth="1"/>
    <col min="6885" max="6885" width="16.109375" style="7001" customWidth="1"/>
    <col min="6886" max="7135" width="9.109375" style="7001"/>
    <col min="7136" max="7136" width="33" style="7001" customWidth="1"/>
    <col min="7137" max="7137" width="10.109375" style="7001" customWidth="1"/>
    <col min="7138" max="7138" width="8" style="7001" customWidth="1"/>
    <col min="7139" max="7139" width="11" style="7001" customWidth="1"/>
    <col min="7140" max="7140" width="13.109375" style="7001" customWidth="1"/>
    <col min="7141" max="7141" width="16.109375" style="7001" customWidth="1"/>
    <col min="7142" max="7391" width="9.109375" style="7001"/>
    <col min="7392" max="7392" width="33" style="7001" customWidth="1"/>
    <col min="7393" max="7393" width="10.109375" style="7001" customWidth="1"/>
    <col min="7394" max="7394" width="8" style="7001" customWidth="1"/>
    <col min="7395" max="7395" width="11" style="7001" customWidth="1"/>
    <col min="7396" max="7396" width="13.109375" style="7001" customWidth="1"/>
    <col min="7397" max="7397" width="16.109375" style="7001" customWidth="1"/>
    <col min="7398" max="7647" width="9.109375" style="7001"/>
    <col min="7648" max="7648" width="33" style="7001" customWidth="1"/>
    <col min="7649" max="7649" width="10.109375" style="7001" customWidth="1"/>
    <col min="7650" max="7650" width="8" style="7001" customWidth="1"/>
    <col min="7651" max="7651" width="11" style="7001" customWidth="1"/>
    <col min="7652" max="7652" width="13.109375" style="7001" customWidth="1"/>
    <col min="7653" max="7653" width="16.109375" style="7001" customWidth="1"/>
    <col min="7654" max="7903" width="9.109375" style="7001"/>
    <col min="7904" max="7904" width="33" style="7001" customWidth="1"/>
    <col min="7905" max="7905" width="10.109375" style="7001" customWidth="1"/>
    <col min="7906" max="7906" width="8" style="7001" customWidth="1"/>
    <col min="7907" max="7907" width="11" style="7001" customWidth="1"/>
    <col min="7908" max="7908" width="13.109375" style="7001" customWidth="1"/>
    <col min="7909" max="7909" width="16.109375" style="7001" customWidth="1"/>
    <col min="7910" max="8159" width="9.109375" style="7001"/>
    <col min="8160" max="8160" width="33" style="7001" customWidth="1"/>
    <col min="8161" max="8161" width="10.109375" style="7001" customWidth="1"/>
    <col min="8162" max="8162" width="8" style="7001" customWidth="1"/>
    <col min="8163" max="8163" width="11" style="7001" customWidth="1"/>
    <col min="8164" max="8164" width="13.109375" style="7001" customWidth="1"/>
    <col min="8165" max="8165" width="16.109375" style="7001" customWidth="1"/>
    <col min="8166" max="8415" width="9.109375" style="7001"/>
    <col min="8416" max="8416" width="33" style="7001" customWidth="1"/>
    <col min="8417" max="8417" width="10.109375" style="7001" customWidth="1"/>
    <col min="8418" max="8418" width="8" style="7001" customWidth="1"/>
    <col min="8419" max="8419" width="11" style="7001" customWidth="1"/>
    <col min="8420" max="8420" width="13.109375" style="7001" customWidth="1"/>
    <col min="8421" max="8421" width="16.109375" style="7001" customWidth="1"/>
    <col min="8422" max="8671" width="9.109375" style="7001"/>
    <col min="8672" max="8672" width="33" style="7001" customWidth="1"/>
    <col min="8673" max="8673" width="10.109375" style="7001" customWidth="1"/>
    <col min="8674" max="8674" width="8" style="7001" customWidth="1"/>
    <col min="8675" max="8675" width="11" style="7001" customWidth="1"/>
    <col min="8676" max="8676" width="13.109375" style="7001" customWidth="1"/>
    <col min="8677" max="8677" width="16.109375" style="7001" customWidth="1"/>
    <col min="8678" max="8927" width="9.109375" style="7001"/>
    <col min="8928" max="8928" width="33" style="7001" customWidth="1"/>
    <col min="8929" max="8929" width="10.109375" style="7001" customWidth="1"/>
    <col min="8930" max="8930" width="8" style="7001" customWidth="1"/>
    <col min="8931" max="8931" width="11" style="7001" customWidth="1"/>
    <col min="8932" max="8932" width="13.109375" style="7001" customWidth="1"/>
    <col min="8933" max="8933" width="16.109375" style="7001" customWidth="1"/>
    <col min="8934" max="9183" width="9.109375" style="7001"/>
    <col min="9184" max="9184" width="33" style="7001" customWidth="1"/>
    <col min="9185" max="9185" width="10.109375" style="7001" customWidth="1"/>
    <col min="9186" max="9186" width="8" style="7001" customWidth="1"/>
    <col min="9187" max="9187" width="11" style="7001" customWidth="1"/>
    <col min="9188" max="9188" width="13.109375" style="7001" customWidth="1"/>
    <col min="9189" max="9189" width="16.109375" style="7001" customWidth="1"/>
    <col min="9190" max="9439" width="9.109375" style="7001"/>
    <col min="9440" max="9440" width="33" style="7001" customWidth="1"/>
    <col min="9441" max="9441" width="10.109375" style="7001" customWidth="1"/>
    <col min="9442" max="9442" width="8" style="7001" customWidth="1"/>
    <col min="9443" max="9443" width="11" style="7001" customWidth="1"/>
    <col min="9444" max="9444" width="13.109375" style="7001" customWidth="1"/>
    <col min="9445" max="9445" width="16.109375" style="7001" customWidth="1"/>
    <col min="9446" max="9695" width="9.109375" style="7001"/>
    <col min="9696" max="9696" width="33" style="7001" customWidth="1"/>
    <col min="9697" max="9697" width="10.109375" style="7001" customWidth="1"/>
    <col min="9698" max="9698" width="8" style="7001" customWidth="1"/>
    <col min="9699" max="9699" width="11" style="7001" customWidth="1"/>
    <col min="9700" max="9700" width="13.109375" style="7001" customWidth="1"/>
    <col min="9701" max="9701" width="16.109375" style="7001" customWidth="1"/>
    <col min="9702" max="9951" width="9.109375" style="7001"/>
    <col min="9952" max="9952" width="33" style="7001" customWidth="1"/>
    <col min="9953" max="9953" width="10.109375" style="7001" customWidth="1"/>
    <col min="9954" max="9954" width="8" style="7001" customWidth="1"/>
    <col min="9955" max="9955" width="11" style="7001" customWidth="1"/>
    <col min="9956" max="9956" width="13.109375" style="7001" customWidth="1"/>
    <col min="9957" max="9957" width="16.109375" style="7001" customWidth="1"/>
    <col min="9958" max="10207" width="9.109375" style="7001"/>
    <col min="10208" max="10208" width="33" style="7001" customWidth="1"/>
    <col min="10209" max="10209" width="10.109375" style="7001" customWidth="1"/>
    <col min="10210" max="10210" width="8" style="7001" customWidth="1"/>
    <col min="10211" max="10211" width="11" style="7001" customWidth="1"/>
    <col min="10212" max="10212" width="13.109375" style="7001" customWidth="1"/>
    <col min="10213" max="10213" width="16.109375" style="7001" customWidth="1"/>
    <col min="10214" max="10463" width="9.109375" style="7001"/>
    <col min="10464" max="10464" width="33" style="7001" customWidth="1"/>
    <col min="10465" max="10465" width="10.109375" style="7001" customWidth="1"/>
    <col min="10466" max="10466" width="8" style="7001" customWidth="1"/>
    <col min="10467" max="10467" width="11" style="7001" customWidth="1"/>
    <col min="10468" max="10468" width="13.109375" style="7001" customWidth="1"/>
    <col min="10469" max="10469" width="16.109375" style="7001" customWidth="1"/>
    <col min="10470" max="10719" width="9.109375" style="7001"/>
    <col min="10720" max="10720" width="33" style="7001" customWidth="1"/>
    <col min="10721" max="10721" width="10.109375" style="7001" customWidth="1"/>
    <col min="10722" max="10722" width="8" style="7001" customWidth="1"/>
    <col min="10723" max="10723" width="11" style="7001" customWidth="1"/>
    <col min="10724" max="10724" width="13.109375" style="7001" customWidth="1"/>
    <col min="10725" max="10725" width="16.109375" style="7001" customWidth="1"/>
    <col min="10726" max="10975" width="9.109375" style="7001"/>
    <col min="10976" max="10976" width="33" style="7001" customWidth="1"/>
    <col min="10977" max="10977" width="10.109375" style="7001" customWidth="1"/>
    <col min="10978" max="10978" width="8" style="7001" customWidth="1"/>
    <col min="10979" max="10979" width="11" style="7001" customWidth="1"/>
    <col min="10980" max="10980" width="13.109375" style="7001" customWidth="1"/>
    <col min="10981" max="10981" width="16.109375" style="7001" customWidth="1"/>
    <col min="10982" max="11231" width="9.109375" style="7001"/>
    <col min="11232" max="11232" width="33" style="7001" customWidth="1"/>
    <col min="11233" max="11233" width="10.109375" style="7001" customWidth="1"/>
    <col min="11234" max="11234" width="8" style="7001" customWidth="1"/>
    <col min="11235" max="11235" width="11" style="7001" customWidth="1"/>
    <col min="11236" max="11236" width="13.109375" style="7001" customWidth="1"/>
    <col min="11237" max="11237" width="16.109375" style="7001" customWidth="1"/>
    <col min="11238" max="11487" width="9.109375" style="7001"/>
    <col min="11488" max="11488" width="33" style="7001" customWidth="1"/>
    <col min="11489" max="11489" width="10.109375" style="7001" customWidth="1"/>
    <col min="11490" max="11490" width="8" style="7001" customWidth="1"/>
    <col min="11491" max="11491" width="11" style="7001" customWidth="1"/>
    <col min="11492" max="11492" width="13.109375" style="7001" customWidth="1"/>
    <col min="11493" max="11493" width="16.109375" style="7001" customWidth="1"/>
    <col min="11494" max="11743" width="9.109375" style="7001"/>
    <col min="11744" max="11744" width="33" style="7001" customWidth="1"/>
    <col min="11745" max="11745" width="10.109375" style="7001" customWidth="1"/>
    <col min="11746" max="11746" width="8" style="7001" customWidth="1"/>
    <col min="11747" max="11747" width="11" style="7001" customWidth="1"/>
    <col min="11748" max="11748" width="13.109375" style="7001" customWidth="1"/>
    <col min="11749" max="11749" width="16.109375" style="7001" customWidth="1"/>
    <col min="11750" max="11999" width="9.109375" style="7001"/>
    <col min="12000" max="12000" width="33" style="7001" customWidth="1"/>
    <col min="12001" max="12001" width="10.109375" style="7001" customWidth="1"/>
    <col min="12002" max="12002" width="8" style="7001" customWidth="1"/>
    <col min="12003" max="12003" width="11" style="7001" customWidth="1"/>
    <col min="12004" max="12004" width="13.109375" style="7001" customWidth="1"/>
    <col min="12005" max="12005" width="16.109375" style="7001" customWidth="1"/>
    <col min="12006" max="12255" width="9.109375" style="7001"/>
    <col min="12256" max="12256" width="33" style="7001" customWidth="1"/>
    <col min="12257" max="12257" width="10.109375" style="7001" customWidth="1"/>
    <col min="12258" max="12258" width="8" style="7001" customWidth="1"/>
    <col min="12259" max="12259" width="11" style="7001" customWidth="1"/>
    <col min="12260" max="12260" width="13.109375" style="7001" customWidth="1"/>
    <col min="12261" max="12261" width="16.109375" style="7001" customWidth="1"/>
    <col min="12262" max="12511" width="9.109375" style="7001"/>
    <col min="12512" max="12512" width="33" style="7001" customWidth="1"/>
    <col min="12513" max="12513" width="10.109375" style="7001" customWidth="1"/>
    <col min="12514" max="12514" width="8" style="7001" customWidth="1"/>
    <col min="12515" max="12515" width="11" style="7001" customWidth="1"/>
    <col min="12516" max="12516" width="13.109375" style="7001" customWidth="1"/>
    <col min="12517" max="12517" width="16.109375" style="7001" customWidth="1"/>
    <col min="12518" max="12767" width="9.109375" style="7001"/>
    <col min="12768" max="12768" width="33" style="7001" customWidth="1"/>
    <col min="12769" max="12769" width="10.109375" style="7001" customWidth="1"/>
    <col min="12770" max="12770" width="8" style="7001" customWidth="1"/>
    <col min="12771" max="12771" width="11" style="7001" customWidth="1"/>
    <col min="12772" max="12772" width="13.109375" style="7001" customWidth="1"/>
    <col min="12773" max="12773" width="16.109375" style="7001" customWidth="1"/>
    <col min="12774" max="13023" width="9.109375" style="7001"/>
    <col min="13024" max="13024" width="33" style="7001" customWidth="1"/>
    <col min="13025" max="13025" width="10.109375" style="7001" customWidth="1"/>
    <col min="13026" max="13026" width="8" style="7001" customWidth="1"/>
    <col min="13027" max="13027" width="11" style="7001" customWidth="1"/>
    <col min="13028" max="13028" width="13.109375" style="7001" customWidth="1"/>
    <col min="13029" max="13029" width="16.109375" style="7001" customWidth="1"/>
    <col min="13030" max="13279" width="9.109375" style="7001"/>
    <col min="13280" max="13280" width="33" style="7001" customWidth="1"/>
    <col min="13281" max="13281" width="10.109375" style="7001" customWidth="1"/>
    <col min="13282" max="13282" width="8" style="7001" customWidth="1"/>
    <col min="13283" max="13283" width="11" style="7001" customWidth="1"/>
    <col min="13284" max="13284" width="13.109375" style="7001" customWidth="1"/>
    <col min="13285" max="13285" width="16.109375" style="7001" customWidth="1"/>
    <col min="13286" max="13535" width="9.109375" style="7001"/>
    <col min="13536" max="13536" width="33" style="7001" customWidth="1"/>
    <col min="13537" max="13537" width="10.109375" style="7001" customWidth="1"/>
    <col min="13538" max="13538" width="8" style="7001" customWidth="1"/>
    <col min="13539" max="13539" width="11" style="7001" customWidth="1"/>
    <col min="13540" max="13540" width="13.109375" style="7001" customWidth="1"/>
    <col min="13541" max="13541" width="16.109375" style="7001" customWidth="1"/>
    <col min="13542" max="13791" width="9.109375" style="7001"/>
    <col min="13792" max="13792" width="33" style="7001" customWidth="1"/>
    <col min="13793" max="13793" width="10.109375" style="7001" customWidth="1"/>
    <col min="13794" max="13794" width="8" style="7001" customWidth="1"/>
    <col min="13795" max="13795" width="11" style="7001" customWidth="1"/>
    <col min="13796" max="13796" width="13.109375" style="7001" customWidth="1"/>
    <col min="13797" max="13797" width="16.109375" style="7001" customWidth="1"/>
    <col min="13798" max="14047" width="9.109375" style="7001"/>
    <col min="14048" max="14048" width="33" style="7001" customWidth="1"/>
    <col min="14049" max="14049" width="10.109375" style="7001" customWidth="1"/>
    <col min="14050" max="14050" width="8" style="7001" customWidth="1"/>
    <col min="14051" max="14051" width="11" style="7001" customWidth="1"/>
    <col min="14052" max="14052" width="13.109375" style="7001" customWidth="1"/>
    <col min="14053" max="14053" width="16.109375" style="7001" customWidth="1"/>
    <col min="14054" max="14303" width="9.109375" style="7001"/>
    <col min="14304" max="14304" width="33" style="7001" customWidth="1"/>
    <col min="14305" max="14305" width="10.109375" style="7001" customWidth="1"/>
    <col min="14306" max="14306" width="8" style="7001" customWidth="1"/>
    <col min="14307" max="14307" width="11" style="7001" customWidth="1"/>
    <col min="14308" max="14308" width="13.109375" style="7001" customWidth="1"/>
    <col min="14309" max="14309" width="16.109375" style="7001" customWidth="1"/>
    <col min="14310" max="14559" width="9.109375" style="7001"/>
    <col min="14560" max="14560" width="33" style="7001" customWidth="1"/>
    <col min="14561" max="14561" width="10.109375" style="7001" customWidth="1"/>
    <col min="14562" max="14562" width="8" style="7001" customWidth="1"/>
    <col min="14563" max="14563" width="11" style="7001" customWidth="1"/>
    <col min="14564" max="14564" width="13.109375" style="7001" customWidth="1"/>
    <col min="14565" max="14565" width="16.109375" style="7001" customWidth="1"/>
    <col min="14566" max="14815" width="9.109375" style="7001"/>
    <col min="14816" max="14816" width="33" style="7001" customWidth="1"/>
    <col min="14817" max="14817" width="10.109375" style="7001" customWidth="1"/>
    <col min="14818" max="14818" width="8" style="7001" customWidth="1"/>
    <col min="14819" max="14819" width="11" style="7001" customWidth="1"/>
    <col min="14820" max="14820" width="13.109375" style="7001" customWidth="1"/>
    <col min="14821" max="14821" width="16.109375" style="7001" customWidth="1"/>
    <col min="14822" max="15071" width="9.109375" style="7001"/>
    <col min="15072" max="15072" width="33" style="7001" customWidth="1"/>
    <col min="15073" max="15073" width="10.109375" style="7001" customWidth="1"/>
    <col min="15074" max="15074" width="8" style="7001" customWidth="1"/>
    <col min="15075" max="15075" width="11" style="7001" customWidth="1"/>
    <col min="15076" max="15076" width="13.109375" style="7001" customWidth="1"/>
    <col min="15077" max="15077" width="16.109375" style="7001" customWidth="1"/>
    <col min="15078" max="15327" width="9.109375" style="7001"/>
    <col min="15328" max="15328" width="33" style="7001" customWidth="1"/>
    <col min="15329" max="15329" width="10.109375" style="7001" customWidth="1"/>
    <col min="15330" max="15330" width="8" style="7001" customWidth="1"/>
    <col min="15331" max="15331" width="11" style="7001" customWidth="1"/>
    <col min="15332" max="15332" width="13.109375" style="7001" customWidth="1"/>
    <col min="15333" max="15333" width="16.109375" style="7001" customWidth="1"/>
    <col min="15334" max="15583" width="9.109375" style="7001"/>
    <col min="15584" max="15584" width="33" style="7001" customWidth="1"/>
    <col min="15585" max="15585" width="10.109375" style="7001" customWidth="1"/>
    <col min="15586" max="15586" width="8" style="7001" customWidth="1"/>
    <col min="15587" max="15587" width="11" style="7001" customWidth="1"/>
    <col min="15588" max="15588" width="13.109375" style="7001" customWidth="1"/>
    <col min="15589" max="15589" width="16.109375" style="7001" customWidth="1"/>
    <col min="15590" max="15839" width="9.109375" style="7001"/>
    <col min="15840" max="15840" width="33" style="7001" customWidth="1"/>
    <col min="15841" max="15841" width="10.109375" style="7001" customWidth="1"/>
    <col min="15842" max="15842" width="8" style="7001" customWidth="1"/>
    <col min="15843" max="15843" width="11" style="7001" customWidth="1"/>
    <col min="15844" max="15844" width="13.109375" style="7001" customWidth="1"/>
    <col min="15845" max="15845" width="16.109375" style="7001" customWidth="1"/>
    <col min="15846" max="16095" width="9.109375" style="7001"/>
    <col min="16096" max="16096" width="33" style="7001" customWidth="1"/>
    <col min="16097" max="16097" width="10.109375" style="7001" customWidth="1"/>
    <col min="16098" max="16098" width="8" style="7001" customWidth="1"/>
    <col min="16099" max="16099" width="11" style="7001" customWidth="1"/>
    <col min="16100" max="16100" width="13.109375" style="7001" customWidth="1"/>
    <col min="16101" max="16101" width="16.109375" style="7001" customWidth="1"/>
    <col min="16102" max="16384" width="9.109375" style="7001"/>
  </cols>
  <sheetData>
    <row r="1" spans="1:8" ht="12.9" customHeight="1">
      <c r="A1" s="14395" t="s">
        <v>1087</v>
      </c>
      <c r="B1" s="14395"/>
      <c r="C1" s="14395"/>
      <c r="D1" s="14395"/>
      <c r="E1" s="14395"/>
      <c r="F1" s="14395"/>
    </row>
    <row r="3" spans="1:8" ht="12.9" customHeight="1">
      <c r="A3" s="7162" t="s">
        <v>1372</v>
      </c>
    </row>
    <row r="4" spans="1:8" ht="12.9" customHeight="1" thickBot="1">
      <c r="A4" s="7162"/>
    </row>
    <row r="5" spans="1:8" ht="12.9" customHeight="1">
      <c r="A5" s="9675" t="s">
        <v>842</v>
      </c>
      <c r="B5" s="10713" t="s">
        <v>1035</v>
      </c>
      <c r="C5" s="10713" t="s">
        <v>1036</v>
      </c>
      <c r="D5" s="14393" t="s">
        <v>1037</v>
      </c>
      <c r="E5" s="14393"/>
      <c r="F5" s="14394"/>
    </row>
    <row r="6" spans="1:8" ht="12.9" customHeight="1" thickBot="1">
      <c r="A6" s="9679" t="s">
        <v>1088</v>
      </c>
      <c r="B6" s="9755" t="s">
        <v>9</v>
      </c>
      <c r="C6" s="9755" t="s">
        <v>1039</v>
      </c>
      <c r="D6" s="9680" t="s">
        <v>10</v>
      </c>
      <c r="E6" s="9755" t="s">
        <v>11</v>
      </c>
      <c r="F6" s="9756" t="s">
        <v>11621</v>
      </c>
    </row>
    <row r="7" spans="1:8" s="6330" customFormat="1" ht="12.9" customHeight="1">
      <c r="A7" s="7167"/>
      <c r="B7" s="10750"/>
      <c r="C7" s="10750"/>
      <c r="D7" s="10750"/>
      <c r="E7" s="10750"/>
      <c r="F7" s="9651"/>
    </row>
    <row r="8" spans="1:8" s="6330" customFormat="1" ht="12.9" customHeight="1">
      <c r="A8" s="6230" t="s">
        <v>806</v>
      </c>
      <c r="B8" s="10751"/>
      <c r="C8" s="10751"/>
      <c r="D8" s="10751"/>
      <c r="E8" s="10751"/>
      <c r="F8" s="7242"/>
    </row>
    <row r="9" spans="1:8" ht="12.9" customHeight="1">
      <c r="A9" s="6230" t="s">
        <v>1089</v>
      </c>
      <c r="B9" s="7174"/>
      <c r="C9" s="7174"/>
      <c r="D9" s="7174"/>
      <c r="E9" s="7174"/>
      <c r="F9" s="7242"/>
    </row>
    <row r="10" spans="1:8" ht="12.9" hidden="1" customHeight="1">
      <c r="A10" s="7231" t="s">
        <v>11402</v>
      </c>
      <c r="B10" s="7172">
        <v>0</v>
      </c>
      <c r="C10" s="7172">
        <v>24</v>
      </c>
      <c r="D10" s="7177">
        <v>0</v>
      </c>
      <c r="E10" s="7177">
        <v>0</v>
      </c>
      <c r="F10" s="7177">
        <v>0</v>
      </c>
      <c r="G10" s="7001">
        <f>SUM(B10)</f>
        <v>0</v>
      </c>
      <c r="H10" s="7164">
        <f>SUM(F10)</f>
        <v>0</v>
      </c>
    </row>
    <row r="11" spans="1:8" ht="12.9" customHeight="1">
      <c r="A11" s="7231"/>
      <c r="B11" s="7174"/>
      <c r="C11" s="7174"/>
      <c r="D11" s="7174"/>
      <c r="E11" s="7174"/>
      <c r="F11" s="7242"/>
    </row>
    <row r="12" spans="1:8" ht="12.9" customHeight="1">
      <c r="A12" s="6230" t="s">
        <v>1252</v>
      </c>
      <c r="B12" s="7174"/>
      <c r="C12" s="7174"/>
      <c r="D12" s="7174"/>
      <c r="E12" s="7174"/>
      <c r="F12" s="7242"/>
    </row>
    <row r="13" spans="1:8" ht="12.9" customHeight="1">
      <c r="A13" s="6230" t="s">
        <v>1109</v>
      </c>
      <c r="B13" s="7174"/>
      <c r="C13" s="7174"/>
      <c r="D13" s="7174"/>
      <c r="E13" s="7174"/>
      <c r="F13" s="7242"/>
    </row>
    <row r="14" spans="1:8" ht="12.9" customHeight="1">
      <c r="A14" s="7231" t="s">
        <v>1138</v>
      </c>
      <c r="B14" s="7172"/>
      <c r="C14" s="7172" t="s">
        <v>9</v>
      </c>
      <c r="D14" s="7177"/>
      <c r="E14" s="7177"/>
      <c r="F14" s="7245"/>
    </row>
    <row r="15" spans="1:8" ht="12.9" customHeight="1">
      <c r="A15" s="7231"/>
      <c r="B15" s="7172"/>
      <c r="C15" s="7172"/>
      <c r="D15" s="7177"/>
      <c r="E15" s="7177"/>
      <c r="F15" s="7245"/>
    </row>
    <row r="16" spans="1:8" ht="12.9" customHeight="1">
      <c r="A16" s="6230" t="s">
        <v>1093</v>
      </c>
      <c r="B16" s="7172"/>
      <c r="C16" s="7172"/>
      <c r="D16" s="7177"/>
      <c r="E16" s="7177"/>
      <c r="F16" s="7245"/>
    </row>
    <row r="17" spans="1:9" ht="12.9" customHeight="1">
      <c r="A17" s="7231" t="s">
        <v>10557</v>
      </c>
      <c r="B17" s="7172">
        <v>1</v>
      </c>
      <c r="C17" s="7172">
        <v>23</v>
      </c>
      <c r="D17" s="7177">
        <v>699720</v>
      </c>
      <c r="E17" s="7177">
        <v>787248</v>
      </c>
      <c r="F17" s="7245">
        <v>900180</v>
      </c>
      <c r="I17" s="7164">
        <f>F17/12</f>
        <v>75015</v>
      </c>
    </row>
    <row r="18" spans="1:9" ht="12.9" customHeight="1">
      <c r="A18" s="7231" t="s">
        <v>1385</v>
      </c>
      <c r="B18" s="7172">
        <v>3</v>
      </c>
      <c r="C18" s="7172">
        <v>21</v>
      </c>
      <c r="D18" s="7177">
        <v>1808028</v>
      </c>
      <c r="E18" s="7177">
        <v>2018556</v>
      </c>
      <c r="F18" s="7245">
        <v>2233032</v>
      </c>
      <c r="I18" s="7164">
        <f t="shared" ref="I18:I44" si="0">F18/12</f>
        <v>186086</v>
      </c>
    </row>
    <row r="19" spans="1:9" ht="12.9" customHeight="1">
      <c r="A19" s="7231" t="s">
        <v>11297</v>
      </c>
      <c r="B19" s="7172">
        <v>0</v>
      </c>
      <c r="C19" s="7172">
        <v>20</v>
      </c>
      <c r="D19" s="7177"/>
      <c r="E19" s="7177">
        <v>581484</v>
      </c>
      <c r="F19" s="7245">
        <v>0</v>
      </c>
      <c r="I19" s="7164">
        <f t="shared" si="0"/>
        <v>0</v>
      </c>
    </row>
    <row r="20" spans="1:9" ht="12.9" customHeight="1">
      <c r="A20" s="7231" t="s">
        <v>10201</v>
      </c>
      <c r="B20" s="7172">
        <v>1</v>
      </c>
      <c r="C20" s="7172">
        <v>19</v>
      </c>
      <c r="D20" s="7177">
        <v>495996</v>
      </c>
      <c r="E20" s="7177">
        <v>536160</v>
      </c>
      <c r="F20" s="7245">
        <v>579576</v>
      </c>
      <c r="I20" s="7164">
        <f t="shared" si="0"/>
        <v>48298</v>
      </c>
    </row>
    <row r="21" spans="1:9" ht="12.9" customHeight="1">
      <c r="A21" s="7231" t="s">
        <v>10205</v>
      </c>
      <c r="B21" s="7172">
        <v>2</v>
      </c>
      <c r="C21" s="7172">
        <v>15</v>
      </c>
      <c r="D21" s="7177">
        <v>705348</v>
      </c>
      <c r="E21" s="7177">
        <v>748128</v>
      </c>
      <c r="F21" s="7245">
        <v>788976</v>
      </c>
      <c r="I21" s="7164">
        <f t="shared" si="0"/>
        <v>65748</v>
      </c>
    </row>
    <row r="22" spans="1:9" ht="12.9" customHeight="1">
      <c r="A22" s="7231" t="s">
        <v>10206</v>
      </c>
      <c r="B22" s="7172">
        <v>5</v>
      </c>
      <c r="C22" s="7172">
        <v>11</v>
      </c>
      <c r="D22" s="7177">
        <v>1248888</v>
      </c>
      <c r="E22" s="7177">
        <v>1290420</v>
      </c>
      <c r="F22" s="7245">
        <v>1333284</v>
      </c>
      <c r="I22" s="7164">
        <f t="shared" si="0"/>
        <v>111107</v>
      </c>
    </row>
    <row r="23" spans="1:9" ht="12.9" customHeight="1">
      <c r="A23" s="7231" t="s">
        <v>10202</v>
      </c>
      <c r="B23" s="7172">
        <v>2</v>
      </c>
      <c r="C23" s="7172">
        <v>15</v>
      </c>
      <c r="D23" s="7177">
        <v>697212</v>
      </c>
      <c r="E23" s="7177">
        <v>734892</v>
      </c>
      <c r="F23" s="7245">
        <v>774612</v>
      </c>
      <c r="I23" s="7164">
        <f t="shared" si="0"/>
        <v>64551</v>
      </c>
    </row>
    <row r="24" spans="1:9" ht="12.9" customHeight="1">
      <c r="A24" s="7231" t="s">
        <v>10425</v>
      </c>
      <c r="B24" s="7172">
        <v>1</v>
      </c>
      <c r="C24" s="7172">
        <v>15</v>
      </c>
      <c r="D24" s="7177">
        <v>358824</v>
      </c>
      <c r="E24" s="7177">
        <v>378540</v>
      </c>
      <c r="F24" s="7245">
        <v>399348</v>
      </c>
      <c r="I24" s="7164">
        <f t="shared" si="0"/>
        <v>33279</v>
      </c>
    </row>
    <row r="25" spans="1:9" ht="12.9" customHeight="1">
      <c r="A25" s="7231" t="s">
        <v>10204</v>
      </c>
      <c r="B25" s="7172">
        <v>0</v>
      </c>
      <c r="C25" s="7172">
        <v>15</v>
      </c>
      <c r="D25" s="7177">
        <v>358824</v>
      </c>
      <c r="E25" s="7177">
        <v>0</v>
      </c>
      <c r="F25" s="7245">
        <v>0</v>
      </c>
      <c r="I25" s="7164">
        <f t="shared" si="0"/>
        <v>0</v>
      </c>
    </row>
    <row r="26" spans="1:9" ht="12.9" customHeight="1">
      <c r="A26" s="7231" t="s">
        <v>10426</v>
      </c>
      <c r="B26" s="7172">
        <v>0</v>
      </c>
      <c r="C26" s="7172">
        <v>11</v>
      </c>
      <c r="D26" s="7177">
        <v>255684</v>
      </c>
      <c r="E26" s="7177">
        <v>264660</v>
      </c>
      <c r="F26" s="7245">
        <v>0</v>
      </c>
      <c r="I26" s="7164">
        <f t="shared" si="0"/>
        <v>0</v>
      </c>
    </row>
    <row r="27" spans="1:9" ht="12.9" customHeight="1">
      <c r="A27" s="7231" t="s">
        <v>3436</v>
      </c>
      <c r="B27" s="7172">
        <v>1</v>
      </c>
      <c r="C27" s="7172">
        <v>11</v>
      </c>
      <c r="D27" s="7177">
        <v>255684</v>
      </c>
      <c r="E27" s="7177">
        <v>264660</v>
      </c>
      <c r="F27" s="7245">
        <v>273948</v>
      </c>
      <c r="I27" s="7164">
        <f t="shared" si="0"/>
        <v>22829</v>
      </c>
    </row>
    <row r="28" spans="1:9" ht="12.9" customHeight="1">
      <c r="A28" s="7231" t="s">
        <v>10427</v>
      </c>
      <c r="B28" s="7172">
        <v>1</v>
      </c>
      <c r="C28" s="7172">
        <v>8</v>
      </c>
      <c r="D28" s="7177">
        <v>200928</v>
      </c>
      <c r="E28" s="7177">
        <v>206508</v>
      </c>
      <c r="F28" s="7245">
        <v>212256</v>
      </c>
      <c r="I28" s="7164">
        <f t="shared" si="0"/>
        <v>17688</v>
      </c>
    </row>
    <row r="29" spans="1:9" ht="12.9" customHeight="1">
      <c r="A29" s="7231" t="s">
        <v>10428</v>
      </c>
      <c r="B29" s="7172">
        <v>1</v>
      </c>
      <c r="C29" s="7172">
        <v>4</v>
      </c>
      <c r="D29" s="7177">
        <v>155124</v>
      </c>
      <c r="E29" s="7177">
        <v>161088</v>
      </c>
      <c r="F29" s="7245">
        <v>167292</v>
      </c>
      <c r="I29" s="7164">
        <f t="shared" si="0"/>
        <v>13941</v>
      </c>
    </row>
    <row r="30" spans="1:9" ht="12.9" customHeight="1">
      <c r="A30" s="7231" t="s">
        <v>9123</v>
      </c>
      <c r="B30" s="7172">
        <v>1</v>
      </c>
      <c r="C30" s="7172">
        <v>6</v>
      </c>
      <c r="D30" s="7177">
        <v>176772</v>
      </c>
      <c r="E30" s="7177">
        <v>182280</v>
      </c>
      <c r="F30" s="7245">
        <v>187968</v>
      </c>
      <c r="I30" s="7164">
        <f t="shared" si="0"/>
        <v>15664</v>
      </c>
    </row>
    <row r="31" spans="1:9" ht="12.9" customHeight="1">
      <c r="A31" s="7231" t="s">
        <v>1382</v>
      </c>
      <c r="B31" s="7172">
        <v>4</v>
      </c>
      <c r="C31" s="7172">
        <v>4</v>
      </c>
      <c r="D31" s="7177">
        <v>458700</v>
      </c>
      <c r="E31" s="7177">
        <v>316968</v>
      </c>
      <c r="F31" s="7245">
        <v>646680</v>
      </c>
      <c r="I31" s="7164">
        <f t="shared" si="0"/>
        <v>53890</v>
      </c>
    </row>
    <row r="32" spans="1:9" ht="12.9" customHeight="1">
      <c r="A32" s="7231" t="s">
        <v>9125</v>
      </c>
      <c r="B32" s="7172">
        <v>1</v>
      </c>
      <c r="C32" s="7172">
        <v>4</v>
      </c>
      <c r="D32" s="7177">
        <v>149760</v>
      </c>
      <c r="E32" s="7177">
        <v>155880</v>
      </c>
      <c r="F32" s="7245">
        <v>163500</v>
      </c>
      <c r="I32" s="7164">
        <f t="shared" si="0"/>
        <v>13625</v>
      </c>
    </row>
    <row r="33" spans="1:9" ht="12.9" hidden="1" customHeight="1">
      <c r="A33" s="7231" t="s">
        <v>10208</v>
      </c>
      <c r="B33" s="7172">
        <v>0</v>
      </c>
      <c r="C33" s="7172">
        <v>3</v>
      </c>
      <c r="D33" s="7177">
        <v>0</v>
      </c>
      <c r="E33" s="7177">
        <v>0</v>
      </c>
      <c r="F33" s="7245">
        <v>0</v>
      </c>
      <c r="I33" s="7164">
        <f t="shared" si="0"/>
        <v>0</v>
      </c>
    </row>
    <row r="34" spans="1:9" ht="12.9" customHeight="1">
      <c r="A34" s="7231" t="s">
        <v>10429</v>
      </c>
      <c r="B34" s="7172">
        <v>1</v>
      </c>
      <c r="C34" s="7172">
        <v>2</v>
      </c>
      <c r="D34" s="7177">
        <v>130272</v>
      </c>
      <c r="E34" s="7177">
        <v>137760</v>
      </c>
      <c r="F34" s="7245">
        <v>144408</v>
      </c>
      <c r="I34" s="7164">
        <f t="shared" si="0"/>
        <v>12034</v>
      </c>
    </row>
    <row r="35" spans="1:9" ht="12.9" customHeight="1">
      <c r="A35" s="7231" t="s">
        <v>3437</v>
      </c>
      <c r="B35" s="7172">
        <v>1</v>
      </c>
      <c r="C35" s="7172">
        <v>3</v>
      </c>
      <c r="D35" s="7177">
        <v>149760</v>
      </c>
      <c r="E35" s="7177">
        <v>146544</v>
      </c>
      <c r="F35" s="7245">
        <v>153072</v>
      </c>
      <c r="I35" s="7164">
        <f t="shared" si="0"/>
        <v>12756</v>
      </c>
    </row>
    <row r="36" spans="1:9" ht="12.9" customHeight="1">
      <c r="A36" s="7231" t="s">
        <v>10431</v>
      </c>
      <c r="B36" s="7172">
        <v>1</v>
      </c>
      <c r="C36" s="7172">
        <v>3</v>
      </c>
      <c r="D36" s="7177">
        <v>139068</v>
      </c>
      <c r="E36" s="7177">
        <v>146544</v>
      </c>
      <c r="F36" s="7245">
        <v>153072</v>
      </c>
      <c r="I36" s="7164">
        <f t="shared" si="0"/>
        <v>12756</v>
      </c>
    </row>
    <row r="37" spans="1:9" ht="12.9" customHeight="1">
      <c r="A37" s="7231" t="s">
        <v>10430</v>
      </c>
      <c r="B37" s="7172">
        <v>1</v>
      </c>
      <c r="C37" s="7172">
        <v>12</v>
      </c>
      <c r="D37" s="7178">
        <v>256644</v>
      </c>
      <c r="E37" s="7178">
        <v>268920</v>
      </c>
      <c r="F37" s="7246">
        <v>278664</v>
      </c>
      <c r="G37" s="7001">
        <f>SUM(B17:B37)</f>
        <v>28</v>
      </c>
      <c r="H37" s="7164">
        <f>SUM(F17:F37)</f>
        <v>9389868</v>
      </c>
      <c r="I37" s="7164">
        <f t="shared" si="0"/>
        <v>23222</v>
      </c>
    </row>
    <row r="38" spans="1:9" ht="12.9" customHeight="1">
      <c r="A38" s="7231" t="s">
        <v>168</v>
      </c>
      <c r="B38" s="7172"/>
      <c r="C38" s="7172"/>
      <c r="D38" s="7177"/>
      <c r="E38" s="7177"/>
      <c r="F38" s="7245"/>
      <c r="I38" s="7164">
        <f t="shared" si="0"/>
        <v>0</v>
      </c>
    </row>
    <row r="39" spans="1:9" ht="12.9" customHeight="1">
      <c r="A39" s="6230" t="s">
        <v>1135</v>
      </c>
      <c r="B39" s="7172"/>
      <c r="C39" s="7172"/>
      <c r="D39" s="7177"/>
      <c r="E39" s="7177"/>
      <c r="F39" s="7245"/>
      <c r="I39" s="7164">
        <f t="shared" si="0"/>
        <v>0</v>
      </c>
    </row>
    <row r="40" spans="1:9" ht="12.9" customHeight="1">
      <c r="A40" s="7231" t="s">
        <v>10432</v>
      </c>
      <c r="B40" s="7172">
        <v>0</v>
      </c>
      <c r="C40" s="7172">
        <v>15</v>
      </c>
      <c r="D40" s="7177">
        <v>346524</v>
      </c>
      <c r="E40" s="7177">
        <v>0</v>
      </c>
      <c r="F40" s="7245">
        <v>0</v>
      </c>
      <c r="I40" s="7164">
        <f t="shared" si="0"/>
        <v>0</v>
      </c>
    </row>
    <row r="41" spans="1:9" ht="12.9" customHeight="1">
      <c r="A41" s="7231" t="s">
        <v>9124</v>
      </c>
      <c r="B41" s="7172">
        <v>1</v>
      </c>
      <c r="C41" s="7172">
        <v>10</v>
      </c>
      <c r="D41" s="7177">
        <v>226752</v>
      </c>
      <c r="E41" s="7177">
        <v>232608</v>
      </c>
      <c r="F41" s="7245">
        <v>240612</v>
      </c>
      <c r="I41" s="7164">
        <f t="shared" si="0"/>
        <v>20051</v>
      </c>
    </row>
    <row r="42" spans="1:9" ht="12.9" customHeight="1">
      <c r="A42" s="7231" t="s">
        <v>1217</v>
      </c>
      <c r="B42" s="7172">
        <v>0</v>
      </c>
      <c r="C42" s="7172">
        <v>6</v>
      </c>
      <c r="D42" s="7177">
        <v>166212</v>
      </c>
      <c r="E42" s="7177">
        <v>173508</v>
      </c>
      <c r="F42" s="7245">
        <v>0</v>
      </c>
      <c r="I42" s="7164">
        <f t="shared" si="0"/>
        <v>0</v>
      </c>
    </row>
    <row r="43" spans="1:9" ht="12.9" customHeight="1">
      <c r="A43" s="7231" t="s">
        <v>3403</v>
      </c>
      <c r="B43" s="7172">
        <v>2</v>
      </c>
      <c r="C43" s="7172">
        <v>3</v>
      </c>
      <c r="D43" s="7177">
        <v>281904</v>
      </c>
      <c r="E43" s="7177">
        <v>296784</v>
      </c>
      <c r="F43" s="7245">
        <v>309720</v>
      </c>
      <c r="I43" s="7164">
        <f t="shared" si="0"/>
        <v>25810</v>
      </c>
    </row>
    <row r="44" spans="1:9" ht="12.9" customHeight="1" thickBot="1">
      <c r="A44" s="7231" t="s">
        <v>4973</v>
      </c>
      <c r="B44" s="8414">
        <v>7</v>
      </c>
      <c r="C44" s="8414">
        <v>1</v>
      </c>
      <c r="D44" s="8415">
        <v>864132</v>
      </c>
      <c r="E44" s="8415">
        <v>1038192</v>
      </c>
      <c r="F44" s="7245">
        <v>960168</v>
      </c>
      <c r="G44" s="7001">
        <f>SUM(B40:B44)</f>
        <v>10</v>
      </c>
      <c r="H44" s="7164">
        <f>SUM(F40:F44)</f>
        <v>1510500</v>
      </c>
      <c r="I44" s="7164">
        <f t="shared" si="0"/>
        <v>80014</v>
      </c>
    </row>
    <row r="45" spans="1:9" ht="12.9" customHeight="1" thickBot="1">
      <c r="A45" s="9838" t="s">
        <v>1159</v>
      </c>
      <c r="B45" s="10845">
        <f>SUM(B10:B44)</f>
        <v>38</v>
      </c>
      <c r="C45" s="10854"/>
      <c r="D45" s="9840">
        <f>SUM(D10:D44)</f>
        <v>10586760</v>
      </c>
      <c r="E45" s="9840">
        <f>SUM(E10:E44)</f>
        <v>11068332</v>
      </c>
      <c r="F45" s="10786">
        <f>SUM(F10:F44)</f>
        <v>10900368</v>
      </c>
    </row>
    <row r="46" spans="1:9" ht="12.9" customHeight="1">
      <c r="A46" s="7248"/>
      <c r="B46" s="9665"/>
      <c r="C46" s="9665"/>
      <c r="D46" s="9665"/>
      <c r="E46" s="9665"/>
      <c r="F46" s="9729"/>
    </row>
    <row r="47" spans="1:9" ht="12.9" customHeight="1">
      <c r="A47" s="7231" t="s">
        <v>1373</v>
      </c>
      <c r="B47" s="7168" t="s">
        <v>9</v>
      </c>
      <c r="C47" s="7174"/>
      <c r="D47" s="7174"/>
      <c r="E47" s="7174"/>
      <c r="F47" s="7242"/>
    </row>
    <row r="48" spans="1:9" ht="12.9" customHeight="1">
      <c r="A48" s="7231" t="s">
        <v>10155</v>
      </c>
      <c r="B48" s="7172">
        <v>1</v>
      </c>
      <c r="C48" s="7172">
        <v>24</v>
      </c>
      <c r="D48" s="7177">
        <v>772992</v>
      </c>
      <c r="E48" s="7177">
        <v>879588</v>
      </c>
      <c r="F48" s="7245">
        <v>1000872</v>
      </c>
      <c r="I48" s="7164">
        <f>F48/12</f>
        <v>83406</v>
      </c>
    </row>
    <row r="49" spans="1:9" ht="12.9" hidden="1" customHeight="1">
      <c r="A49" s="7231" t="s">
        <v>10156</v>
      </c>
      <c r="B49" s="7172">
        <v>0</v>
      </c>
      <c r="C49" s="7172">
        <v>23</v>
      </c>
      <c r="D49" s="7177">
        <v>0</v>
      </c>
      <c r="E49" s="7177">
        <v>0</v>
      </c>
      <c r="F49" s="7245">
        <v>0</v>
      </c>
      <c r="I49" s="7164">
        <f t="shared" ref="I49:I60" si="1">F49/12</f>
        <v>0</v>
      </c>
    </row>
    <row r="50" spans="1:9" ht="12.9" customHeight="1">
      <c r="A50" s="7231" t="s">
        <v>1344</v>
      </c>
      <c r="B50" s="7172">
        <v>1</v>
      </c>
      <c r="C50" s="7172">
        <v>20</v>
      </c>
      <c r="D50" s="7177"/>
      <c r="E50" s="7177">
        <v>564444</v>
      </c>
      <c r="F50" s="7245">
        <v>613860</v>
      </c>
      <c r="I50" s="7164">
        <f t="shared" si="1"/>
        <v>51155</v>
      </c>
    </row>
    <row r="51" spans="1:9" ht="12.9" customHeight="1">
      <c r="A51" s="7231" t="s">
        <v>1324</v>
      </c>
      <c r="B51" s="7172">
        <v>0</v>
      </c>
      <c r="C51" s="7172">
        <v>17</v>
      </c>
      <c r="D51" s="7177">
        <v>392964</v>
      </c>
      <c r="E51" s="7177">
        <v>0</v>
      </c>
      <c r="F51" s="7245">
        <v>0</v>
      </c>
      <c r="I51" s="7164">
        <f t="shared" si="1"/>
        <v>0</v>
      </c>
    </row>
    <row r="52" spans="1:9" ht="12.9" customHeight="1">
      <c r="A52" s="7231" t="s">
        <v>1349</v>
      </c>
      <c r="B52" s="7172">
        <v>1</v>
      </c>
      <c r="C52" s="7172">
        <v>15</v>
      </c>
      <c r="D52" s="7177"/>
      <c r="E52" s="7177">
        <v>348120</v>
      </c>
      <c r="F52" s="7245">
        <v>366372</v>
      </c>
      <c r="I52" s="7164">
        <f t="shared" si="1"/>
        <v>30531</v>
      </c>
    </row>
    <row r="53" spans="1:9" ht="12.9" customHeight="1">
      <c r="A53" s="7231" t="s">
        <v>1134</v>
      </c>
      <c r="B53" s="7172">
        <v>1</v>
      </c>
      <c r="C53" s="7172">
        <v>15</v>
      </c>
      <c r="D53" s="7177"/>
      <c r="E53" s="7177">
        <v>348120</v>
      </c>
      <c r="F53" s="7245">
        <v>366372</v>
      </c>
      <c r="I53" s="7164">
        <f t="shared" si="1"/>
        <v>30531</v>
      </c>
    </row>
    <row r="54" spans="1:9" ht="12.9" hidden="1" customHeight="1">
      <c r="A54" s="7231" t="s">
        <v>10157</v>
      </c>
      <c r="B54" s="7172">
        <v>0</v>
      </c>
      <c r="C54" s="7172">
        <v>12</v>
      </c>
      <c r="D54" s="7177">
        <v>0</v>
      </c>
      <c r="E54" s="7177">
        <v>0</v>
      </c>
      <c r="F54" s="7245">
        <v>0</v>
      </c>
      <c r="I54" s="7164">
        <f t="shared" si="1"/>
        <v>0</v>
      </c>
    </row>
    <row r="55" spans="1:9" ht="12.9" customHeight="1">
      <c r="A55" s="7231" t="s">
        <v>1350</v>
      </c>
      <c r="B55" s="9403">
        <v>1</v>
      </c>
      <c r="C55" s="9403">
        <v>11</v>
      </c>
      <c r="D55" s="9608"/>
      <c r="E55" s="9608"/>
      <c r="F55" s="9948">
        <v>249048</v>
      </c>
      <c r="I55" s="7164">
        <f t="shared" si="1"/>
        <v>20754</v>
      </c>
    </row>
    <row r="56" spans="1:9" ht="12.9" customHeight="1">
      <c r="A56" s="7231" t="s">
        <v>11298</v>
      </c>
      <c r="B56" s="7172">
        <v>1</v>
      </c>
      <c r="C56" s="7172">
        <v>11</v>
      </c>
      <c r="D56" s="7177"/>
      <c r="E56" s="7177">
        <v>242148</v>
      </c>
      <c r="F56" s="7245">
        <v>249048</v>
      </c>
      <c r="I56" s="7164">
        <f t="shared" si="1"/>
        <v>20754</v>
      </c>
    </row>
    <row r="57" spans="1:9" ht="12.9" customHeight="1">
      <c r="A57" s="7231" t="s">
        <v>1347</v>
      </c>
      <c r="B57" s="7172">
        <v>1</v>
      </c>
      <c r="C57" s="7172">
        <v>11</v>
      </c>
      <c r="D57" s="7177"/>
      <c r="E57" s="7177">
        <v>242148</v>
      </c>
      <c r="F57" s="7245">
        <v>249048</v>
      </c>
      <c r="I57" s="7164">
        <f t="shared" si="1"/>
        <v>20754</v>
      </c>
    </row>
    <row r="58" spans="1:9" ht="12.9" customHeight="1">
      <c r="A58" s="7231" t="s">
        <v>10701</v>
      </c>
      <c r="B58" s="7172">
        <v>1</v>
      </c>
      <c r="C58" s="7172">
        <v>10</v>
      </c>
      <c r="D58" s="7177">
        <v>218604</v>
      </c>
      <c r="E58" s="7177">
        <v>224616</v>
      </c>
      <c r="F58" s="7245">
        <v>230796</v>
      </c>
      <c r="I58" s="7164">
        <f t="shared" si="1"/>
        <v>19233</v>
      </c>
    </row>
    <row r="59" spans="1:9" ht="12.9" customHeight="1">
      <c r="A59" s="7231" t="s">
        <v>1217</v>
      </c>
      <c r="B59" s="7172">
        <v>1</v>
      </c>
      <c r="C59" s="7172">
        <v>6</v>
      </c>
      <c r="D59" s="9608"/>
      <c r="E59" s="9608"/>
      <c r="F59" s="9948">
        <v>178164</v>
      </c>
      <c r="I59" s="7164">
        <f t="shared" si="1"/>
        <v>14847</v>
      </c>
    </row>
    <row r="60" spans="1:9" ht="12.9" customHeight="1">
      <c r="A60" s="7231" t="s">
        <v>1357</v>
      </c>
      <c r="B60" s="7172">
        <v>0</v>
      </c>
      <c r="C60" s="7172">
        <v>4</v>
      </c>
      <c r="D60" s="7177">
        <v>145860</v>
      </c>
      <c r="E60" s="7177">
        <v>304176</v>
      </c>
      <c r="F60" s="7245">
        <v>0</v>
      </c>
      <c r="I60" s="7164">
        <f t="shared" si="1"/>
        <v>0</v>
      </c>
    </row>
    <row r="61" spans="1:9" ht="12.9" customHeight="1">
      <c r="A61" s="7231" t="s">
        <v>1175</v>
      </c>
      <c r="B61" s="7172">
        <v>1</v>
      </c>
      <c r="C61" s="7172">
        <v>1</v>
      </c>
      <c r="D61" s="7178">
        <v>119772</v>
      </c>
      <c r="E61" s="7178">
        <v>0</v>
      </c>
      <c r="F61" s="7246">
        <v>132816</v>
      </c>
    </row>
    <row r="62" spans="1:9" ht="12.9" hidden="1" customHeight="1">
      <c r="A62" s="7231" t="s">
        <v>1228</v>
      </c>
      <c r="B62" s="7172">
        <v>0</v>
      </c>
      <c r="C62" s="7172">
        <v>3</v>
      </c>
      <c r="D62" s="7177">
        <v>0</v>
      </c>
      <c r="E62" s="7177">
        <v>0</v>
      </c>
      <c r="F62" s="7245">
        <v>0</v>
      </c>
    </row>
    <row r="63" spans="1:9" ht="12.9" customHeight="1">
      <c r="A63" s="7231" t="s">
        <v>1374</v>
      </c>
      <c r="B63" s="9742">
        <f>SUM(B48:B62)</f>
        <v>10</v>
      </c>
      <c r="C63" s="9653"/>
      <c r="D63" s="9643">
        <f>SUM(D48:D62)</f>
        <v>1650192</v>
      </c>
      <c r="E63" s="9643">
        <f>SUM(E48:E62)</f>
        <v>3153360</v>
      </c>
      <c r="F63" s="9656">
        <f>SUM(F48:F62)</f>
        <v>3636396</v>
      </c>
    </row>
    <row r="64" spans="1:9" ht="12.9" customHeight="1" thickBot="1">
      <c r="A64" s="7235"/>
      <c r="B64" s="9758"/>
      <c r="C64" s="9758"/>
      <c r="D64" s="9758"/>
      <c r="E64" s="9758"/>
      <c r="F64" s="9759"/>
    </row>
    <row r="65" spans="1:8" ht="12.9" customHeight="1" thickBot="1">
      <c r="A65" s="9838" t="s">
        <v>1101</v>
      </c>
      <c r="B65" s="10845">
        <f>SUM(B45+B63)</f>
        <v>48</v>
      </c>
      <c r="C65" s="10421"/>
      <c r="D65" s="9840">
        <f>SUM(D45,D63)</f>
        <v>12236952</v>
      </c>
      <c r="E65" s="9840">
        <f>SUM(E45,E63)</f>
        <v>14221692</v>
      </c>
      <c r="F65" s="10786">
        <f>SUM(F45,F63)</f>
        <v>14536764</v>
      </c>
      <c r="H65" s="7164">
        <f>F65-14221692</f>
        <v>315072</v>
      </c>
    </row>
    <row r="66" spans="1:8" ht="12.9" customHeight="1">
      <c r="A66" s="10829"/>
      <c r="B66" s="10830"/>
      <c r="C66" s="9841"/>
      <c r="D66" s="10855"/>
      <c r="E66" s="10855"/>
      <c r="F66" s="10855"/>
      <c r="H66" s="7164"/>
    </row>
    <row r="67" spans="1:8" ht="12.9" customHeight="1">
      <c r="A67" s="7254"/>
      <c r="B67" s="7255"/>
      <c r="C67" s="6330"/>
      <c r="D67" s="7256"/>
      <c r="E67" s="7256"/>
      <c r="F67" s="7256"/>
      <c r="H67" s="7164"/>
    </row>
    <row r="68" spans="1:8" ht="12.9" customHeight="1">
      <c r="A68" s="7254"/>
      <c r="B68" s="7255"/>
      <c r="C68" s="6330"/>
      <c r="D68" s="7256"/>
      <c r="E68" s="7256"/>
      <c r="F68" s="7256"/>
      <c r="H68" s="7164"/>
    </row>
    <row r="69" spans="1:8" ht="12.9" customHeight="1">
      <c r="A69" s="7254"/>
      <c r="B69" s="7255"/>
      <c r="C69" s="6330"/>
      <c r="D69" s="7256"/>
      <c r="E69" s="7256"/>
      <c r="F69" s="7256"/>
      <c r="H69" s="7164"/>
    </row>
    <row r="70" spans="1:8" ht="12.9" customHeight="1">
      <c r="A70" s="7254"/>
      <c r="B70" s="7255"/>
      <c r="C70" s="6330"/>
      <c r="D70" s="7256"/>
      <c r="E70" s="7256"/>
      <c r="F70" s="7256"/>
      <c r="H70" s="7164"/>
    </row>
    <row r="71" spans="1:8" ht="12.9" customHeight="1">
      <c r="A71" s="7254"/>
      <c r="B71" s="7255"/>
      <c r="C71" s="6330"/>
      <c r="D71" s="7256"/>
      <c r="E71" s="7256"/>
      <c r="F71" s="7256"/>
      <c r="H71" s="7164"/>
    </row>
    <row r="72" spans="1:8" ht="12.9" customHeight="1" thickBot="1">
      <c r="A72" s="10819" t="s">
        <v>12054</v>
      </c>
      <c r="B72" s="10833"/>
      <c r="C72" s="10819"/>
      <c r="D72" s="10856"/>
      <c r="E72" s="10856"/>
      <c r="F72" s="10856"/>
      <c r="H72" s="7164"/>
    </row>
    <row r="73" spans="1:8" ht="12.9" customHeight="1">
      <c r="A73" s="6230" t="s">
        <v>1075</v>
      </c>
      <c r="B73" s="7174"/>
      <c r="C73" s="7174"/>
      <c r="D73" s="7174"/>
      <c r="E73" s="7174"/>
      <c r="F73" s="7242"/>
    </row>
    <row r="74" spans="1:8" ht="12.9" customHeight="1">
      <c r="A74" s="6230" t="s">
        <v>1102</v>
      </c>
      <c r="B74" s="7174"/>
      <c r="C74" s="7174"/>
      <c r="D74" s="7174"/>
      <c r="E74" s="7174"/>
      <c r="F74" s="7242"/>
    </row>
    <row r="75" spans="1:8" ht="12.9" customHeight="1">
      <c r="A75" s="6230"/>
      <c r="B75" s="10751"/>
      <c r="C75" s="10751"/>
      <c r="D75" s="10751"/>
      <c r="E75" s="10751"/>
      <c r="F75" s="7242"/>
    </row>
    <row r="76" spans="1:8" ht="12.9" customHeight="1">
      <c r="A76" s="7231" t="s">
        <v>1103</v>
      </c>
      <c r="B76" s="7172"/>
      <c r="C76" s="7174"/>
      <c r="D76" s="7174"/>
      <c r="E76" s="7174"/>
      <c r="F76" s="7242"/>
    </row>
    <row r="77" spans="1:8" ht="12.9" customHeight="1">
      <c r="A77" s="7231" t="s">
        <v>1078</v>
      </c>
      <c r="B77" s="7172"/>
      <c r="C77" s="7174"/>
      <c r="D77" s="7174"/>
      <c r="E77" s="7174"/>
      <c r="F77" s="7242"/>
    </row>
    <row r="78" spans="1:8" ht="12.9" customHeight="1">
      <c r="A78" s="7207" t="s">
        <v>10697</v>
      </c>
      <c r="B78" s="7172">
        <v>1</v>
      </c>
      <c r="C78" s="7174"/>
      <c r="D78" s="7174"/>
      <c r="E78" s="7174"/>
      <c r="F78" s="7242"/>
    </row>
    <row r="79" spans="1:8" ht="12.9" customHeight="1">
      <c r="A79" s="7207" t="s">
        <v>10707</v>
      </c>
      <c r="B79" s="7172"/>
      <c r="C79" s="7174"/>
      <c r="D79" s="7174"/>
      <c r="E79" s="7174"/>
      <c r="F79" s="7242"/>
    </row>
    <row r="80" spans="1:8" ht="12.9" customHeight="1">
      <c r="A80" s="7207"/>
      <c r="B80" s="8414"/>
      <c r="C80" s="10751"/>
      <c r="D80" s="10751"/>
      <c r="E80" s="10751"/>
      <c r="F80" s="7242"/>
    </row>
    <row r="81" spans="1:6" ht="12.9" customHeight="1">
      <c r="A81" s="7231" t="s">
        <v>1080</v>
      </c>
      <c r="B81" s="7172"/>
      <c r="C81" s="7174"/>
      <c r="D81" s="7174"/>
      <c r="E81" s="7174"/>
      <c r="F81" s="7242"/>
    </row>
    <row r="82" spans="1:6" ht="12.9" customHeight="1">
      <c r="A82" s="7231" t="s">
        <v>1104</v>
      </c>
      <c r="B82" s="7174"/>
      <c r="C82" s="7174"/>
      <c r="D82" s="7174"/>
      <c r="E82" s="7174"/>
      <c r="F82" s="7242"/>
    </row>
    <row r="83" spans="1:6" ht="12.9" customHeight="1">
      <c r="A83" s="7231" t="s">
        <v>1105</v>
      </c>
      <c r="B83" s="7189"/>
      <c r="C83" s="7189"/>
      <c r="D83" s="7189"/>
      <c r="E83" s="7189"/>
      <c r="F83" s="9778"/>
    </row>
    <row r="84" spans="1:6" ht="12.9" customHeight="1">
      <c r="A84" s="7231"/>
      <c r="B84" s="10426"/>
      <c r="C84" s="10426"/>
      <c r="D84" s="10426"/>
      <c r="E84" s="10426"/>
      <c r="F84" s="9778"/>
    </row>
    <row r="85" spans="1:6" ht="12.9" customHeight="1">
      <c r="A85" s="6230" t="s">
        <v>1083</v>
      </c>
      <c r="B85" s="7189"/>
      <c r="C85" s="7189"/>
      <c r="D85" s="7189"/>
      <c r="E85" s="7189"/>
      <c r="F85" s="9778"/>
    </row>
    <row r="86" spans="1:6" ht="12.9" customHeight="1">
      <c r="A86" s="7231"/>
      <c r="B86" s="7174"/>
      <c r="C86" s="7174"/>
      <c r="D86" s="7174"/>
      <c r="E86" s="7174"/>
      <c r="F86" s="7242"/>
    </row>
    <row r="87" spans="1:6" ht="12.9" customHeight="1">
      <c r="A87" s="7231" t="s">
        <v>1106</v>
      </c>
      <c r="B87" s="7174"/>
      <c r="C87" s="7174"/>
      <c r="D87" s="7174"/>
      <c r="E87" s="7174"/>
      <c r="F87" s="7242"/>
    </row>
    <row r="88" spans="1:6" ht="12.9" customHeight="1" thickBot="1">
      <c r="A88" s="7235"/>
      <c r="B88" s="9758"/>
      <c r="C88" s="9758"/>
      <c r="D88" s="9758"/>
      <c r="E88" s="9758"/>
      <c r="F88" s="9759"/>
    </row>
    <row r="89" spans="1:6" ht="12.9" customHeight="1">
      <c r="A89" s="7248"/>
      <c r="B89" s="9665"/>
      <c r="C89" s="9665"/>
      <c r="D89" s="9665"/>
      <c r="E89" s="9665"/>
      <c r="F89" s="9729"/>
    </row>
    <row r="90" spans="1:6" ht="12.9" customHeight="1">
      <c r="A90" s="6230" t="s">
        <v>1086</v>
      </c>
      <c r="B90" s="10751"/>
      <c r="C90" s="10751"/>
      <c r="D90" s="10751"/>
      <c r="E90" s="10751"/>
      <c r="F90" s="7242"/>
    </row>
    <row r="91" spans="1:6" ht="12.9" customHeight="1" thickBot="1">
      <c r="A91" s="7235"/>
      <c r="B91" s="9758"/>
      <c r="C91" s="9758"/>
      <c r="D91" s="9758"/>
      <c r="E91" s="9758"/>
      <c r="F91" s="9759"/>
    </row>
  </sheetData>
  <mergeCells count="2">
    <mergeCell ref="D5:F5"/>
    <mergeCell ref="A1:F1"/>
  </mergeCells>
  <pageMargins left="0.25" right="0.25" top="0.5" bottom="0.5" header="0.3" footer="0.3"/>
  <pageSetup paperSize="119" firstPageNumber="284" orientation="portrait" useFirstPageNumber="1" r:id="rId1"/>
  <headerFooter alignWithMargins="0"/>
</worksheet>
</file>

<file path=xl/worksheets/sheet136.xml><?xml version="1.0" encoding="utf-8"?>
<worksheet xmlns="http://schemas.openxmlformats.org/spreadsheetml/2006/main" xmlns:r="http://schemas.openxmlformats.org/officeDocument/2006/relationships">
  <sheetPr codeName="Sheet96">
    <tabColor rgb="FFFFFF00"/>
  </sheetPr>
  <dimension ref="A1:K154"/>
  <sheetViews>
    <sheetView showGridLines="0" topLeftCell="A145" workbookViewId="0">
      <selection activeCell="A97" sqref="A97:XFD97"/>
    </sheetView>
  </sheetViews>
  <sheetFormatPr defaultRowHeight="13.2"/>
  <cols>
    <col min="1" max="1" width="5.109375" style="605" customWidth="1"/>
    <col min="2" max="2" width="3" style="605" customWidth="1"/>
    <col min="3" max="3" width="30.44140625" style="605" customWidth="1"/>
    <col min="4" max="4" width="13.44140625" style="605" customWidth="1"/>
    <col min="5" max="5" width="16.88671875" style="607" customWidth="1"/>
    <col min="6" max="6" width="14.109375" style="607" customWidth="1"/>
    <col min="7" max="7" width="7.44140625" style="605" customWidth="1"/>
    <col min="8" max="8" width="7.109375" style="605" customWidth="1"/>
    <col min="9" max="9" width="27.88671875" style="605" customWidth="1"/>
    <col min="10" max="11" width="8.88671875" style="605" customWidth="1"/>
    <col min="12" max="256" width="9.109375" style="605"/>
    <col min="257" max="257" width="4.44140625" style="605" customWidth="1"/>
    <col min="258" max="258" width="2.109375" style="605" customWidth="1"/>
    <col min="259" max="259" width="36" style="605" customWidth="1"/>
    <col min="260" max="260" width="15.109375" style="605" customWidth="1"/>
    <col min="261" max="261" width="16.88671875" style="605" customWidth="1"/>
    <col min="262" max="262" width="14.109375" style="605" customWidth="1"/>
    <col min="263" max="263" width="5.88671875" style="605" customWidth="1"/>
    <col min="264" max="264" width="6.88671875" style="605" customWidth="1"/>
    <col min="265" max="265" width="27.88671875" style="605" customWidth="1"/>
    <col min="266" max="267" width="8.88671875" style="605" customWidth="1"/>
    <col min="268" max="512" width="9.109375" style="605"/>
    <col min="513" max="513" width="4.44140625" style="605" customWidth="1"/>
    <col min="514" max="514" width="2.109375" style="605" customWidth="1"/>
    <col min="515" max="515" width="36" style="605" customWidth="1"/>
    <col min="516" max="516" width="15.109375" style="605" customWidth="1"/>
    <col min="517" max="517" width="16.88671875" style="605" customWidth="1"/>
    <col min="518" max="518" width="14.109375" style="605" customWidth="1"/>
    <col min="519" max="519" width="5.88671875" style="605" customWidth="1"/>
    <col min="520" max="520" width="6.88671875" style="605" customWidth="1"/>
    <col min="521" max="521" width="27.88671875" style="605" customWidth="1"/>
    <col min="522" max="523" width="8.88671875" style="605" customWidth="1"/>
    <col min="524" max="768" width="9.109375" style="605"/>
    <col min="769" max="769" width="4.44140625" style="605" customWidth="1"/>
    <col min="770" max="770" width="2.109375" style="605" customWidth="1"/>
    <col min="771" max="771" width="36" style="605" customWidth="1"/>
    <col min="772" max="772" width="15.109375" style="605" customWidth="1"/>
    <col min="773" max="773" width="16.88671875" style="605" customWidth="1"/>
    <col min="774" max="774" width="14.109375" style="605" customWidth="1"/>
    <col min="775" max="775" width="5.88671875" style="605" customWidth="1"/>
    <col min="776" max="776" width="6.88671875" style="605" customWidth="1"/>
    <col min="777" max="777" width="27.88671875" style="605" customWidth="1"/>
    <col min="778" max="779" width="8.88671875" style="605" customWidth="1"/>
    <col min="780" max="1024" width="9.109375" style="605"/>
    <col min="1025" max="1025" width="4.44140625" style="605" customWidth="1"/>
    <col min="1026" max="1026" width="2.109375" style="605" customWidth="1"/>
    <col min="1027" max="1027" width="36" style="605" customWidth="1"/>
    <col min="1028" max="1028" width="15.109375" style="605" customWidth="1"/>
    <col min="1029" max="1029" width="16.88671875" style="605" customWidth="1"/>
    <col min="1030" max="1030" width="14.109375" style="605" customWidth="1"/>
    <col min="1031" max="1031" width="5.88671875" style="605" customWidth="1"/>
    <col min="1032" max="1032" width="6.88671875" style="605" customWidth="1"/>
    <col min="1033" max="1033" width="27.88671875" style="605" customWidth="1"/>
    <col min="1034" max="1035" width="8.88671875" style="605" customWidth="1"/>
    <col min="1036" max="1280" width="9.109375" style="605"/>
    <col min="1281" max="1281" width="4.44140625" style="605" customWidth="1"/>
    <col min="1282" max="1282" width="2.109375" style="605" customWidth="1"/>
    <col min="1283" max="1283" width="36" style="605" customWidth="1"/>
    <col min="1284" max="1284" width="15.109375" style="605" customWidth="1"/>
    <col min="1285" max="1285" width="16.88671875" style="605" customWidth="1"/>
    <col min="1286" max="1286" width="14.109375" style="605" customWidth="1"/>
    <col min="1287" max="1287" width="5.88671875" style="605" customWidth="1"/>
    <col min="1288" max="1288" width="6.88671875" style="605" customWidth="1"/>
    <col min="1289" max="1289" width="27.88671875" style="605" customWidth="1"/>
    <col min="1290" max="1291" width="8.88671875" style="605" customWidth="1"/>
    <col min="1292" max="1536" width="9.109375" style="605"/>
    <col min="1537" max="1537" width="4.44140625" style="605" customWidth="1"/>
    <col min="1538" max="1538" width="2.109375" style="605" customWidth="1"/>
    <col min="1539" max="1539" width="36" style="605" customWidth="1"/>
    <col min="1540" max="1540" width="15.109375" style="605" customWidth="1"/>
    <col min="1541" max="1541" width="16.88671875" style="605" customWidth="1"/>
    <col min="1542" max="1542" width="14.109375" style="605" customWidth="1"/>
    <col min="1543" max="1543" width="5.88671875" style="605" customWidth="1"/>
    <col min="1544" max="1544" width="6.88671875" style="605" customWidth="1"/>
    <col min="1545" max="1545" width="27.88671875" style="605" customWidth="1"/>
    <col min="1546" max="1547" width="8.88671875" style="605" customWidth="1"/>
    <col min="1548" max="1792" width="9.109375" style="605"/>
    <col min="1793" max="1793" width="4.44140625" style="605" customWidth="1"/>
    <col min="1794" max="1794" width="2.109375" style="605" customWidth="1"/>
    <col min="1795" max="1795" width="36" style="605" customWidth="1"/>
    <col min="1796" max="1796" width="15.109375" style="605" customWidth="1"/>
    <col min="1797" max="1797" width="16.88671875" style="605" customWidth="1"/>
    <col min="1798" max="1798" width="14.109375" style="605" customWidth="1"/>
    <col min="1799" max="1799" width="5.88671875" style="605" customWidth="1"/>
    <col min="1800" max="1800" width="6.88671875" style="605" customWidth="1"/>
    <col min="1801" max="1801" width="27.88671875" style="605" customWidth="1"/>
    <col min="1802" max="1803" width="8.88671875" style="605" customWidth="1"/>
    <col min="1804" max="2048" width="9.109375" style="605"/>
    <col min="2049" max="2049" width="4.44140625" style="605" customWidth="1"/>
    <col min="2050" max="2050" width="2.109375" style="605" customWidth="1"/>
    <col min="2051" max="2051" width="36" style="605" customWidth="1"/>
    <col min="2052" max="2052" width="15.109375" style="605" customWidth="1"/>
    <col min="2053" max="2053" width="16.88671875" style="605" customWidth="1"/>
    <col min="2054" max="2054" width="14.109375" style="605" customWidth="1"/>
    <col min="2055" max="2055" width="5.88671875" style="605" customWidth="1"/>
    <col min="2056" max="2056" width="6.88671875" style="605" customWidth="1"/>
    <col min="2057" max="2057" width="27.88671875" style="605" customWidth="1"/>
    <col min="2058" max="2059" width="8.88671875" style="605" customWidth="1"/>
    <col min="2060" max="2304" width="9.109375" style="605"/>
    <col min="2305" max="2305" width="4.44140625" style="605" customWidth="1"/>
    <col min="2306" max="2306" width="2.109375" style="605" customWidth="1"/>
    <col min="2307" max="2307" width="36" style="605" customWidth="1"/>
    <col min="2308" max="2308" width="15.109375" style="605" customWidth="1"/>
    <col min="2309" max="2309" width="16.88671875" style="605" customWidth="1"/>
    <col min="2310" max="2310" width="14.109375" style="605" customWidth="1"/>
    <col min="2311" max="2311" width="5.88671875" style="605" customWidth="1"/>
    <col min="2312" max="2312" width="6.88671875" style="605" customWidth="1"/>
    <col min="2313" max="2313" width="27.88671875" style="605" customWidth="1"/>
    <col min="2314" max="2315" width="8.88671875" style="605" customWidth="1"/>
    <col min="2316" max="2560" width="9.109375" style="605"/>
    <col min="2561" max="2561" width="4.44140625" style="605" customWidth="1"/>
    <col min="2562" max="2562" width="2.109375" style="605" customWidth="1"/>
    <col min="2563" max="2563" width="36" style="605" customWidth="1"/>
    <col min="2564" max="2564" width="15.109375" style="605" customWidth="1"/>
    <col min="2565" max="2565" width="16.88671875" style="605" customWidth="1"/>
    <col min="2566" max="2566" width="14.109375" style="605" customWidth="1"/>
    <col min="2567" max="2567" width="5.88671875" style="605" customWidth="1"/>
    <col min="2568" max="2568" width="6.88671875" style="605" customWidth="1"/>
    <col min="2569" max="2569" width="27.88671875" style="605" customWidth="1"/>
    <col min="2570" max="2571" width="8.88671875" style="605" customWidth="1"/>
    <col min="2572" max="2816" width="9.109375" style="605"/>
    <col min="2817" max="2817" width="4.44140625" style="605" customWidth="1"/>
    <col min="2818" max="2818" width="2.109375" style="605" customWidth="1"/>
    <col min="2819" max="2819" width="36" style="605" customWidth="1"/>
    <col min="2820" max="2820" width="15.109375" style="605" customWidth="1"/>
    <col min="2821" max="2821" width="16.88671875" style="605" customWidth="1"/>
    <col min="2822" max="2822" width="14.109375" style="605" customWidth="1"/>
    <col min="2823" max="2823" width="5.88671875" style="605" customWidth="1"/>
    <col min="2824" max="2824" width="6.88671875" style="605" customWidth="1"/>
    <col min="2825" max="2825" width="27.88671875" style="605" customWidth="1"/>
    <col min="2826" max="2827" width="8.88671875" style="605" customWidth="1"/>
    <col min="2828" max="3072" width="9.109375" style="605"/>
    <col min="3073" max="3073" width="4.44140625" style="605" customWidth="1"/>
    <col min="3074" max="3074" width="2.109375" style="605" customWidth="1"/>
    <col min="3075" max="3075" width="36" style="605" customWidth="1"/>
    <col min="3076" max="3076" width="15.109375" style="605" customWidth="1"/>
    <col min="3077" max="3077" width="16.88671875" style="605" customWidth="1"/>
    <col min="3078" max="3078" width="14.109375" style="605" customWidth="1"/>
    <col min="3079" max="3079" width="5.88671875" style="605" customWidth="1"/>
    <col min="3080" max="3080" width="6.88671875" style="605" customWidth="1"/>
    <col min="3081" max="3081" width="27.88671875" style="605" customWidth="1"/>
    <col min="3082" max="3083" width="8.88671875" style="605" customWidth="1"/>
    <col min="3084" max="3328" width="9.109375" style="605"/>
    <col min="3329" max="3329" width="4.44140625" style="605" customWidth="1"/>
    <col min="3330" max="3330" width="2.109375" style="605" customWidth="1"/>
    <col min="3331" max="3331" width="36" style="605" customWidth="1"/>
    <col min="3332" max="3332" width="15.109375" style="605" customWidth="1"/>
    <col min="3333" max="3333" width="16.88671875" style="605" customWidth="1"/>
    <col min="3334" max="3334" width="14.109375" style="605" customWidth="1"/>
    <col min="3335" max="3335" width="5.88671875" style="605" customWidth="1"/>
    <col min="3336" max="3336" width="6.88671875" style="605" customWidth="1"/>
    <col min="3337" max="3337" width="27.88671875" style="605" customWidth="1"/>
    <col min="3338" max="3339" width="8.88671875" style="605" customWidth="1"/>
    <col min="3340" max="3584" width="9.109375" style="605"/>
    <col min="3585" max="3585" width="4.44140625" style="605" customWidth="1"/>
    <col min="3586" max="3586" width="2.109375" style="605" customWidth="1"/>
    <col min="3587" max="3587" width="36" style="605" customWidth="1"/>
    <col min="3588" max="3588" width="15.109375" style="605" customWidth="1"/>
    <col min="3589" max="3589" width="16.88671875" style="605" customWidth="1"/>
    <col min="3590" max="3590" width="14.109375" style="605" customWidth="1"/>
    <col min="3591" max="3591" width="5.88671875" style="605" customWidth="1"/>
    <col min="3592" max="3592" width="6.88671875" style="605" customWidth="1"/>
    <col min="3593" max="3593" width="27.88671875" style="605" customWidth="1"/>
    <col min="3594" max="3595" width="8.88671875" style="605" customWidth="1"/>
    <col min="3596" max="3840" width="9.109375" style="605"/>
    <col min="3841" max="3841" width="4.44140625" style="605" customWidth="1"/>
    <col min="3842" max="3842" width="2.109375" style="605" customWidth="1"/>
    <col min="3843" max="3843" width="36" style="605" customWidth="1"/>
    <col min="3844" max="3844" width="15.109375" style="605" customWidth="1"/>
    <col min="3845" max="3845" width="16.88671875" style="605" customWidth="1"/>
    <col min="3846" max="3846" width="14.109375" style="605" customWidth="1"/>
    <col min="3847" max="3847" width="5.88671875" style="605" customWidth="1"/>
    <col min="3848" max="3848" width="6.88671875" style="605" customWidth="1"/>
    <col min="3849" max="3849" width="27.88671875" style="605" customWidth="1"/>
    <col min="3850" max="3851" width="8.88671875" style="605" customWidth="1"/>
    <col min="3852" max="4096" width="9.109375" style="605"/>
    <col min="4097" max="4097" width="4.44140625" style="605" customWidth="1"/>
    <col min="4098" max="4098" width="2.109375" style="605" customWidth="1"/>
    <col min="4099" max="4099" width="36" style="605" customWidth="1"/>
    <col min="4100" max="4100" width="15.109375" style="605" customWidth="1"/>
    <col min="4101" max="4101" width="16.88671875" style="605" customWidth="1"/>
    <col min="4102" max="4102" width="14.109375" style="605" customWidth="1"/>
    <col min="4103" max="4103" width="5.88671875" style="605" customWidth="1"/>
    <col min="4104" max="4104" width="6.88671875" style="605" customWidth="1"/>
    <col min="4105" max="4105" width="27.88671875" style="605" customWidth="1"/>
    <col min="4106" max="4107" width="8.88671875" style="605" customWidth="1"/>
    <col min="4108" max="4352" width="9.109375" style="605"/>
    <col min="4353" max="4353" width="4.44140625" style="605" customWidth="1"/>
    <col min="4354" max="4354" width="2.109375" style="605" customWidth="1"/>
    <col min="4355" max="4355" width="36" style="605" customWidth="1"/>
    <col min="4356" max="4356" width="15.109375" style="605" customWidth="1"/>
    <col min="4357" max="4357" width="16.88671875" style="605" customWidth="1"/>
    <col min="4358" max="4358" width="14.109375" style="605" customWidth="1"/>
    <col min="4359" max="4359" width="5.88671875" style="605" customWidth="1"/>
    <col min="4360" max="4360" width="6.88671875" style="605" customWidth="1"/>
    <col min="4361" max="4361" width="27.88671875" style="605" customWidth="1"/>
    <col min="4362" max="4363" width="8.88671875" style="605" customWidth="1"/>
    <col min="4364" max="4608" width="9.109375" style="605"/>
    <col min="4609" max="4609" width="4.44140625" style="605" customWidth="1"/>
    <col min="4610" max="4610" width="2.109375" style="605" customWidth="1"/>
    <col min="4611" max="4611" width="36" style="605" customWidth="1"/>
    <col min="4612" max="4612" width="15.109375" style="605" customWidth="1"/>
    <col min="4613" max="4613" width="16.88671875" style="605" customWidth="1"/>
    <col min="4614" max="4614" width="14.109375" style="605" customWidth="1"/>
    <col min="4615" max="4615" width="5.88671875" style="605" customWidth="1"/>
    <col min="4616" max="4616" width="6.88671875" style="605" customWidth="1"/>
    <col min="4617" max="4617" width="27.88671875" style="605" customWidth="1"/>
    <col min="4618" max="4619" width="8.88671875" style="605" customWidth="1"/>
    <col min="4620" max="4864" width="9.109375" style="605"/>
    <col min="4865" max="4865" width="4.44140625" style="605" customWidth="1"/>
    <col min="4866" max="4866" width="2.109375" style="605" customWidth="1"/>
    <col min="4867" max="4867" width="36" style="605" customWidth="1"/>
    <col min="4868" max="4868" width="15.109375" style="605" customWidth="1"/>
    <col min="4869" max="4869" width="16.88671875" style="605" customWidth="1"/>
    <col min="4870" max="4870" width="14.109375" style="605" customWidth="1"/>
    <col min="4871" max="4871" width="5.88671875" style="605" customWidth="1"/>
    <col min="4872" max="4872" width="6.88671875" style="605" customWidth="1"/>
    <col min="4873" max="4873" width="27.88671875" style="605" customWidth="1"/>
    <col min="4874" max="4875" width="8.88671875" style="605" customWidth="1"/>
    <col min="4876" max="5120" width="9.109375" style="605"/>
    <col min="5121" max="5121" width="4.44140625" style="605" customWidth="1"/>
    <col min="5122" max="5122" width="2.109375" style="605" customWidth="1"/>
    <col min="5123" max="5123" width="36" style="605" customWidth="1"/>
    <col min="5124" max="5124" width="15.109375" style="605" customWidth="1"/>
    <col min="5125" max="5125" width="16.88671875" style="605" customWidth="1"/>
    <col min="5126" max="5126" width="14.109375" style="605" customWidth="1"/>
    <col min="5127" max="5127" width="5.88671875" style="605" customWidth="1"/>
    <col min="5128" max="5128" width="6.88671875" style="605" customWidth="1"/>
    <col min="5129" max="5129" width="27.88671875" style="605" customWidth="1"/>
    <col min="5130" max="5131" width="8.88671875" style="605" customWidth="1"/>
    <col min="5132" max="5376" width="9.109375" style="605"/>
    <col min="5377" max="5377" width="4.44140625" style="605" customWidth="1"/>
    <col min="5378" max="5378" width="2.109375" style="605" customWidth="1"/>
    <col min="5379" max="5379" width="36" style="605" customWidth="1"/>
    <col min="5380" max="5380" width="15.109375" style="605" customWidth="1"/>
    <col min="5381" max="5381" width="16.88671875" style="605" customWidth="1"/>
    <col min="5382" max="5382" width="14.109375" style="605" customWidth="1"/>
    <col min="5383" max="5383" width="5.88671875" style="605" customWidth="1"/>
    <col min="5384" max="5384" width="6.88671875" style="605" customWidth="1"/>
    <col min="5385" max="5385" width="27.88671875" style="605" customWidth="1"/>
    <col min="5386" max="5387" width="8.88671875" style="605" customWidth="1"/>
    <col min="5388" max="5632" width="9.109375" style="605"/>
    <col min="5633" max="5633" width="4.44140625" style="605" customWidth="1"/>
    <col min="5634" max="5634" width="2.109375" style="605" customWidth="1"/>
    <col min="5635" max="5635" width="36" style="605" customWidth="1"/>
    <col min="5636" max="5636" width="15.109375" style="605" customWidth="1"/>
    <col min="5637" max="5637" width="16.88671875" style="605" customWidth="1"/>
    <col min="5638" max="5638" width="14.109375" style="605" customWidth="1"/>
    <col min="5639" max="5639" width="5.88671875" style="605" customWidth="1"/>
    <col min="5640" max="5640" width="6.88671875" style="605" customWidth="1"/>
    <col min="5641" max="5641" width="27.88671875" style="605" customWidth="1"/>
    <col min="5642" max="5643" width="8.88671875" style="605" customWidth="1"/>
    <col min="5644" max="5888" width="9.109375" style="605"/>
    <col min="5889" max="5889" width="4.44140625" style="605" customWidth="1"/>
    <col min="5890" max="5890" width="2.109375" style="605" customWidth="1"/>
    <col min="5891" max="5891" width="36" style="605" customWidth="1"/>
    <col min="5892" max="5892" width="15.109375" style="605" customWidth="1"/>
    <col min="5893" max="5893" width="16.88671875" style="605" customWidth="1"/>
    <col min="5894" max="5894" width="14.109375" style="605" customWidth="1"/>
    <col min="5895" max="5895" width="5.88671875" style="605" customWidth="1"/>
    <col min="5896" max="5896" width="6.88671875" style="605" customWidth="1"/>
    <col min="5897" max="5897" width="27.88671875" style="605" customWidth="1"/>
    <col min="5898" max="5899" width="8.88671875" style="605" customWidth="1"/>
    <col min="5900" max="6144" width="9.109375" style="605"/>
    <col min="6145" max="6145" width="4.44140625" style="605" customWidth="1"/>
    <col min="6146" max="6146" width="2.109375" style="605" customWidth="1"/>
    <col min="6147" max="6147" width="36" style="605" customWidth="1"/>
    <col min="6148" max="6148" width="15.109375" style="605" customWidth="1"/>
    <col min="6149" max="6149" width="16.88671875" style="605" customWidth="1"/>
    <col min="6150" max="6150" width="14.109375" style="605" customWidth="1"/>
    <col min="6151" max="6151" width="5.88671875" style="605" customWidth="1"/>
    <col min="6152" max="6152" width="6.88671875" style="605" customWidth="1"/>
    <col min="6153" max="6153" width="27.88671875" style="605" customWidth="1"/>
    <col min="6154" max="6155" width="8.88671875" style="605" customWidth="1"/>
    <col min="6156" max="6400" width="9.109375" style="605"/>
    <col min="6401" max="6401" width="4.44140625" style="605" customWidth="1"/>
    <col min="6402" max="6402" width="2.109375" style="605" customWidth="1"/>
    <col min="6403" max="6403" width="36" style="605" customWidth="1"/>
    <col min="6404" max="6404" width="15.109375" style="605" customWidth="1"/>
    <col min="6405" max="6405" width="16.88671875" style="605" customWidth="1"/>
    <col min="6406" max="6406" width="14.109375" style="605" customWidth="1"/>
    <col min="6407" max="6407" width="5.88671875" style="605" customWidth="1"/>
    <col min="6408" max="6408" width="6.88671875" style="605" customWidth="1"/>
    <col min="6409" max="6409" width="27.88671875" style="605" customWidth="1"/>
    <col min="6410" max="6411" width="8.88671875" style="605" customWidth="1"/>
    <col min="6412" max="6656" width="9.109375" style="605"/>
    <col min="6657" max="6657" width="4.44140625" style="605" customWidth="1"/>
    <col min="6658" max="6658" width="2.109375" style="605" customWidth="1"/>
    <col min="6659" max="6659" width="36" style="605" customWidth="1"/>
    <col min="6660" max="6660" width="15.109375" style="605" customWidth="1"/>
    <col min="6661" max="6661" width="16.88671875" style="605" customWidth="1"/>
    <col min="6662" max="6662" width="14.109375" style="605" customWidth="1"/>
    <col min="6663" max="6663" width="5.88671875" style="605" customWidth="1"/>
    <col min="6664" max="6664" width="6.88671875" style="605" customWidth="1"/>
    <col min="6665" max="6665" width="27.88671875" style="605" customWidth="1"/>
    <col min="6666" max="6667" width="8.88671875" style="605" customWidth="1"/>
    <col min="6668" max="6912" width="9.109375" style="605"/>
    <col min="6913" max="6913" width="4.44140625" style="605" customWidth="1"/>
    <col min="6914" max="6914" width="2.109375" style="605" customWidth="1"/>
    <col min="6915" max="6915" width="36" style="605" customWidth="1"/>
    <col min="6916" max="6916" width="15.109375" style="605" customWidth="1"/>
    <col min="6917" max="6917" width="16.88671875" style="605" customWidth="1"/>
    <col min="6918" max="6918" width="14.109375" style="605" customWidth="1"/>
    <col min="6919" max="6919" width="5.88671875" style="605" customWidth="1"/>
    <col min="6920" max="6920" width="6.88671875" style="605" customWidth="1"/>
    <col min="6921" max="6921" width="27.88671875" style="605" customWidth="1"/>
    <col min="6922" max="6923" width="8.88671875" style="605" customWidth="1"/>
    <col min="6924" max="7168" width="9.109375" style="605"/>
    <col min="7169" max="7169" width="4.44140625" style="605" customWidth="1"/>
    <col min="7170" max="7170" width="2.109375" style="605" customWidth="1"/>
    <col min="7171" max="7171" width="36" style="605" customWidth="1"/>
    <col min="7172" max="7172" width="15.109375" style="605" customWidth="1"/>
    <col min="7173" max="7173" width="16.88671875" style="605" customWidth="1"/>
    <col min="7174" max="7174" width="14.109375" style="605" customWidth="1"/>
    <col min="7175" max="7175" width="5.88671875" style="605" customWidth="1"/>
    <col min="7176" max="7176" width="6.88671875" style="605" customWidth="1"/>
    <col min="7177" max="7177" width="27.88671875" style="605" customWidth="1"/>
    <col min="7178" max="7179" width="8.88671875" style="605" customWidth="1"/>
    <col min="7180" max="7424" width="9.109375" style="605"/>
    <col min="7425" max="7425" width="4.44140625" style="605" customWidth="1"/>
    <col min="7426" max="7426" width="2.109375" style="605" customWidth="1"/>
    <col min="7427" max="7427" width="36" style="605" customWidth="1"/>
    <col min="7428" max="7428" width="15.109375" style="605" customWidth="1"/>
    <col min="7429" max="7429" width="16.88671875" style="605" customWidth="1"/>
    <col min="7430" max="7430" width="14.109375" style="605" customWidth="1"/>
    <col min="7431" max="7431" width="5.88671875" style="605" customWidth="1"/>
    <col min="7432" max="7432" width="6.88671875" style="605" customWidth="1"/>
    <col min="7433" max="7433" width="27.88671875" style="605" customWidth="1"/>
    <col min="7434" max="7435" width="8.88671875" style="605" customWidth="1"/>
    <col min="7436" max="7680" width="9.109375" style="605"/>
    <col min="7681" max="7681" width="4.44140625" style="605" customWidth="1"/>
    <col min="7682" max="7682" width="2.109375" style="605" customWidth="1"/>
    <col min="7683" max="7683" width="36" style="605" customWidth="1"/>
    <col min="7684" max="7684" width="15.109375" style="605" customWidth="1"/>
    <col min="7685" max="7685" width="16.88671875" style="605" customWidth="1"/>
    <col min="7686" max="7686" width="14.109375" style="605" customWidth="1"/>
    <col min="7687" max="7687" width="5.88671875" style="605" customWidth="1"/>
    <col min="7688" max="7688" width="6.88671875" style="605" customWidth="1"/>
    <col min="7689" max="7689" width="27.88671875" style="605" customWidth="1"/>
    <col min="7690" max="7691" width="8.88671875" style="605" customWidth="1"/>
    <col min="7692" max="7936" width="9.109375" style="605"/>
    <col min="7937" max="7937" width="4.44140625" style="605" customWidth="1"/>
    <col min="7938" max="7938" width="2.109375" style="605" customWidth="1"/>
    <col min="7939" max="7939" width="36" style="605" customWidth="1"/>
    <col min="7940" max="7940" width="15.109375" style="605" customWidth="1"/>
    <col min="7941" max="7941" width="16.88671875" style="605" customWidth="1"/>
    <col min="7942" max="7942" width="14.109375" style="605" customWidth="1"/>
    <col min="7943" max="7943" width="5.88671875" style="605" customWidth="1"/>
    <col min="7944" max="7944" width="6.88671875" style="605" customWidth="1"/>
    <col min="7945" max="7945" width="27.88671875" style="605" customWidth="1"/>
    <col min="7946" max="7947" width="8.88671875" style="605" customWidth="1"/>
    <col min="7948" max="8192" width="9.109375" style="605"/>
    <col min="8193" max="8193" width="4.44140625" style="605" customWidth="1"/>
    <col min="8194" max="8194" width="2.109375" style="605" customWidth="1"/>
    <col min="8195" max="8195" width="36" style="605" customWidth="1"/>
    <col min="8196" max="8196" width="15.109375" style="605" customWidth="1"/>
    <col min="8197" max="8197" width="16.88671875" style="605" customWidth="1"/>
    <col min="8198" max="8198" width="14.109375" style="605" customWidth="1"/>
    <col min="8199" max="8199" width="5.88671875" style="605" customWidth="1"/>
    <col min="8200" max="8200" width="6.88671875" style="605" customWidth="1"/>
    <col min="8201" max="8201" width="27.88671875" style="605" customWidth="1"/>
    <col min="8202" max="8203" width="8.88671875" style="605" customWidth="1"/>
    <col min="8204" max="8448" width="9.109375" style="605"/>
    <col min="8449" max="8449" width="4.44140625" style="605" customWidth="1"/>
    <col min="8450" max="8450" width="2.109375" style="605" customWidth="1"/>
    <col min="8451" max="8451" width="36" style="605" customWidth="1"/>
    <col min="8452" max="8452" width="15.109375" style="605" customWidth="1"/>
    <col min="8453" max="8453" width="16.88671875" style="605" customWidth="1"/>
    <col min="8454" max="8454" width="14.109375" style="605" customWidth="1"/>
    <col min="8455" max="8455" width="5.88671875" style="605" customWidth="1"/>
    <col min="8456" max="8456" width="6.88671875" style="605" customWidth="1"/>
    <col min="8457" max="8457" width="27.88671875" style="605" customWidth="1"/>
    <col min="8458" max="8459" width="8.88671875" style="605" customWidth="1"/>
    <col min="8460" max="8704" width="9.109375" style="605"/>
    <col min="8705" max="8705" width="4.44140625" style="605" customWidth="1"/>
    <col min="8706" max="8706" width="2.109375" style="605" customWidth="1"/>
    <col min="8707" max="8707" width="36" style="605" customWidth="1"/>
    <col min="8708" max="8708" width="15.109375" style="605" customWidth="1"/>
    <col min="8709" max="8709" width="16.88671875" style="605" customWidth="1"/>
    <col min="8710" max="8710" width="14.109375" style="605" customWidth="1"/>
    <col min="8711" max="8711" width="5.88671875" style="605" customWidth="1"/>
    <col min="8712" max="8712" width="6.88671875" style="605" customWidth="1"/>
    <col min="8713" max="8713" width="27.88671875" style="605" customWidth="1"/>
    <col min="8714" max="8715" width="8.88671875" style="605" customWidth="1"/>
    <col min="8716" max="8960" width="9.109375" style="605"/>
    <col min="8961" max="8961" width="4.44140625" style="605" customWidth="1"/>
    <col min="8962" max="8962" width="2.109375" style="605" customWidth="1"/>
    <col min="8963" max="8963" width="36" style="605" customWidth="1"/>
    <col min="8964" max="8964" width="15.109375" style="605" customWidth="1"/>
    <col min="8965" max="8965" width="16.88671875" style="605" customWidth="1"/>
    <col min="8966" max="8966" width="14.109375" style="605" customWidth="1"/>
    <col min="8967" max="8967" width="5.88671875" style="605" customWidth="1"/>
    <col min="8968" max="8968" width="6.88671875" style="605" customWidth="1"/>
    <col min="8969" max="8969" width="27.88671875" style="605" customWidth="1"/>
    <col min="8970" max="8971" width="8.88671875" style="605" customWidth="1"/>
    <col min="8972" max="9216" width="9.109375" style="605"/>
    <col min="9217" max="9217" width="4.44140625" style="605" customWidth="1"/>
    <col min="9218" max="9218" width="2.109375" style="605" customWidth="1"/>
    <col min="9219" max="9219" width="36" style="605" customWidth="1"/>
    <col min="9220" max="9220" width="15.109375" style="605" customWidth="1"/>
    <col min="9221" max="9221" width="16.88671875" style="605" customWidth="1"/>
    <col min="9222" max="9222" width="14.109375" style="605" customWidth="1"/>
    <col min="9223" max="9223" width="5.88671875" style="605" customWidth="1"/>
    <col min="9224" max="9224" width="6.88671875" style="605" customWidth="1"/>
    <col min="9225" max="9225" width="27.88671875" style="605" customWidth="1"/>
    <col min="9226" max="9227" width="8.88671875" style="605" customWidth="1"/>
    <col min="9228" max="9472" width="9.109375" style="605"/>
    <col min="9473" max="9473" width="4.44140625" style="605" customWidth="1"/>
    <col min="9474" max="9474" width="2.109375" style="605" customWidth="1"/>
    <col min="9475" max="9475" width="36" style="605" customWidth="1"/>
    <col min="9476" max="9476" width="15.109375" style="605" customWidth="1"/>
    <col min="9477" max="9477" width="16.88671875" style="605" customWidth="1"/>
    <col min="9478" max="9478" width="14.109375" style="605" customWidth="1"/>
    <col min="9479" max="9479" width="5.88671875" style="605" customWidth="1"/>
    <col min="9480" max="9480" width="6.88671875" style="605" customWidth="1"/>
    <col min="9481" max="9481" width="27.88671875" style="605" customWidth="1"/>
    <col min="9482" max="9483" width="8.88671875" style="605" customWidth="1"/>
    <col min="9484" max="9728" width="9.109375" style="605"/>
    <col min="9729" max="9729" width="4.44140625" style="605" customWidth="1"/>
    <col min="9730" max="9730" width="2.109375" style="605" customWidth="1"/>
    <col min="9731" max="9731" width="36" style="605" customWidth="1"/>
    <col min="9732" max="9732" width="15.109375" style="605" customWidth="1"/>
    <col min="9733" max="9733" width="16.88671875" style="605" customWidth="1"/>
    <col min="9734" max="9734" width="14.109375" style="605" customWidth="1"/>
    <col min="9735" max="9735" width="5.88671875" style="605" customWidth="1"/>
    <col min="9736" max="9736" width="6.88671875" style="605" customWidth="1"/>
    <col min="9737" max="9737" width="27.88671875" style="605" customWidth="1"/>
    <col min="9738" max="9739" width="8.88671875" style="605" customWidth="1"/>
    <col min="9740" max="9984" width="9.109375" style="605"/>
    <col min="9985" max="9985" width="4.44140625" style="605" customWidth="1"/>
    <col min="9986" max="9986" width="2.109375" style="605" customWidth="1"/>
    <col min="9987" max="9987" width="36" style="605" customWidth="1"/>
    <col min="9988" max="9988" width="15.109375" style="605" customWidth="1"/>
    <col min="9989" max="9989" width="16.88671875" style="605" customWidth="1"/>
    <col min="9990" max="9990" width="14.109375" style="605" customWidth="1"/>
    <col min="9991" max="9991" width="5.88671875" style="605" customWidth="1"/>
    <col min="9992" max="9992" width="6.88671875" style="605" customWidth="1"/>
    <col min="9993" max="9993" width="27.88671875" style="605" customWidth="1"/>
    <col min="9994" max="9995" width="8.88671875" style="605" customWidth="1"/>
    <col min="9996" max="10240" width="9.109375" style="605"/>
    <col min="10241" max="10241" width="4.44140625" style="605" customWidth="1"/>
    <col min="10242" max="10242" width="2.109375" style="605" customWidth="1"/>
    <col min="10243" max="10243" width="36" style="605" customWidth="1"/>
    <col min="10244" max="10244" width="15.109375" style="605" customWidth="1"/>
    <col min="10245" max="10245" width="16.88671875" style="605" customWidth="1"/>
    <col min="10246" max="10246" width="14.109375" style="605" customWidth="1"/>
    <col min="10247" max="10247" width="5.88671875" style="605" customWidth="1"/>
    <col min="10248" max="10248" width="6.88671875" style="605" customWidth="1"/>
    <col min="10249" max="10249" width="27.88671875" style="605" customWidth="1"/>
    <col min="10250" max="10251" width="8.88671875" style="605" customWidth="1"/>
    <col min="10252" max="10496" width="9.109375" style="605"/>
    <col min="10497" max="10497" width="4.44140625" style="605" customWidth="1"/>
    <col min="10498" max="10498" width="2.109375" style="605" customWidth="1"/>
    <col min="10499" max="10499" width="36" style="605" customWidth="1"/>
    <col min="10500" max="10500" width="15.109375" style="605" customWidth="1"/>
    <col min="10501" max="10501" width="16.88671875" style="605" customWidth="1"/>
    <col min="10502" max="10502" width="14.109375" style="605" customWidth="1"/>
    <col min="10503" max="10503" width="5.88671875" style="605" customWidth="1"/>
    <col min="10504" max="10504" width="6.88671875" style="605" customWidth="1"/>
    <col min="10505" max="10505" width="27.88671875" style="605" customWidth="1"/>
    <col min="10506" max="10507" width="8.88671875" style="605" customWidth="1"/>
    <col min="10508" max="10752" width="9.109375" style="605"/>
    <col min="10753" max="10753" width="4.44140625" style="605" customWidth="1"/>
    <col min="10754" max="10754" width="2.109375" style="605" customWidth="1"/>
    <col min="10755" max="10755" width="36" style="605" customWidth="1"/>
    <col min="10756" max="10756" width="15.109375" style="605" customWidth="1"/>
    <col min="10757" max="10757" width="16.88671875" style="605" customWidth="1"/>
    <col min="10758" max="10758" width="14.109375" style="605" customWidth="1"/>
    <col min="10759" max="10759" width="5.88671875" style="605" customWidth="1"/>
    <col min="10760" max="10760" width="6.88671875" style="605" customWidth="1"/>
    <col min="10761" max="10761" width="27.88671875" style="605" customWidth="1"/>
    <col min="10762" max="10763" width="8.88671875" style="605" customWidth="1"/>
    <col min="10764" max="11008" width="9.109375" style="605"/>
    <col min="11009" max="11009" width="4.44140625" style="605" customWidth="1"/>
    <col min="11010" max="11010" width="2.109375" style="605" customWidth="1"/>
    <col min="11011" max="11011" width="36" style="605" customWidth="1"/>
    <col min="11012" max="11012" width="15.109375" style="605" customWidth="1"/>
    <col min="11013" max="11013" width="16.88671875" style="605" customWidth="1"/>
    <col min="11014" max="11014" width="14.109375" style="605" customWidth="1"/>
    <col min="11015" max="11015" width="5.88671875" style="605" customWidth="1"/>
    <col min="11016" max="11016" width="6.88671875" style="605" customWidth="1"/>
    <col min="11017" max="11017" width="27.88671875" style="605" customWidth="1"/>
    <col min="11018" max="11019" width="8.88671875" style="605" customWidth="1"/>
    <col min="11020" max="11264" width="9.109375" style="605"/>
    <col min="11265" max="11265" width="4.44140625" style="605" customWidth="1"/>
    <col min="11266" max="11266" width="2.109375" style="605" customWidth="1"/>
    <col min="11267" max="11267" width="36" style="605" customWidth="1"/>
    <col min="11268" max="11268" width="15.109375" style="605" customWidth="1"/>
    <col min="11269" max="11269" width="16.88671875" style="605" customWidth="1"/>
    <col min="11270" max="11270" width="14.109375" style="605" customWidth="1"/>
    <col min="11271" max="11271" width="5.88671875" style="605" customWidth="1"/>
    <col min="11272" max="11272" width="6.88671875" style="605" customWidth="1"/>
    <col min="11273" max="11273" width="27.88671875" style="605" customWidth="1"/>
    <col min="11274" max="11275" width="8.88671875" style="605" customWidth="1"/>
    <col min="11276" max="11520" width="9.109375" style="605"/>
    <col min="11521" max="11521" width="4.44140625" style="605" customWidth="1"/>
    <col min="11522" max="11522" width="2.109375" style="605" customWidth="1"/>
    <col min="11523" max="11523" width="36" style="605" customWidth="1"/>
    <col min="11524" max="11524" width="15.109375" style="605" customWidth="1"/>
    <col min="11525" max="11525" width="16.88671875" style="605" customWidth="1"/>
    <col min="11526" max="11526" width="14.109375" style="605" customWidth="1"/>
    <col min="11527" max="11527" width="5.88671875" style="605" customWidth="1"/>
    <col min="11528" max="11528" width="6.88671875" style="605" customWidth="1"/>
    <col min="11529" max="11529" width="27.88671875" style="605" customWidth="1"/>
    <col min="11530" max="11531" width="8.88671875" style="605" customWidth="1"/>
    <col min="11532" max="11776" width="9.109375" style="605"/>
    <col min="11777" max="11777" width="4.44140625" style="605" customWidth="1"/>
    <col min="11778" max="11778" width="2.109375" style="605" customWidth="1"/>
    <col min="11779" max="11779" width="36" style="605" customWidth="1"/>
    <col min="11780" max="11780" width="15.109375" style="605" customWidth="1"/>
    <col min="11781" max="11781" width="16.88671875" style="605" customWidth="1"/>
    <col min="11782" max="11782" width="14.109375" style="605" customWidth="1"/>
    <col min="11783" max="11783" width="5.88671875" style="605" customWidth="1"/>
    <col min="11784" max="11784" width="6.88671875" style="605" customWidth="1"/>
    <col min="11785" max="11785" width="27.88671875" style="605" customWidth="1"/>
    <col min="11786" max="11787" width="8.88671875" style="605" customWidth="1"/>
    <col min="11788" max="12032" width="9.109375" style="605"/>
    <col min="12033" max="12033" width="4.44140625" style="605" customWidth="1"/>
    <col min="12034" max="12034" width="2.109375" style="605" customWidth="1"/>
    <col min="12035" max="12035" width="36" style="605" customWidth="1"/>
    <col min="12036" max="12036" width="15.109375" style="605" customWidth="1"/>
    <col min="12037" max="12037" width="16.88671875" style="605" customWidth="1"/>
    <col min="12038" max="12038" width="14.109375" style="605" customWidth="1"/>
    <col min="12039" max="12039" width="5.88671875" style="605" customWidth="1"/>
    <col min="12040" max="12040" width="6.88671875" style="605" customWidth="1"/>
    <col min="12041" max="12041" width="27.88671875" style="605" customWidth="1"/>
    <col min="12042" max="12043" width="8.88671875" style="605" customWidth="1"/>
    <col min="12044" max="12288" width="9.109375" style="605"/>
    <col min="12289" max="12289" width="4.44140625" style="605" customWidth="1"/>
    <col min="12290" max="12290" width="2.109375" style="605" customWidth="1"/>
    <col min="12291" max="12291" width="36" style="605" customWidth="1"/>
    <col min="12292" max="12292" width="15.109375" style="605" customWidth="1"/>
    <col min="12293" max="12293" width="16.88671875" style="605" customWidth="1"/>
    <col min="12294" max="12294" width="14.109375" style="605" customWidth="1"/>
    <col min="12295" max="12295" width="5.88671875" style="605" customWidth="1"/>
    <col min="12296" max="12296" width="6.88671875" style="605" customWidth="1"/>
    <col min="12297" max="12297" width="27.88671875" style="605" customWidth="1"/>
    <col min="12298" max="12299" width="8.88671875" style="605" customWidth="1"/>
    <col min="12300" max="12544" width="9.109375" style="605"/>
    <col min="12545" max="12545" width="4.44140625" style="605" customWidth="1"/>
    <col min="12546" max="12546" width="2.109375" style="605" customWidth="1"/>
    <col min="12547" max="12547" width="36" style="605" customWidth="1"/>
    <col min="12548" max="12548" width="15.109375" style="605" customWidth="1"/>
    <col min="12549" max="12549" width="16.88671875" style="605" customWidth="1"/>
    <col min="12550" max="12550" width="14.109375" style="605" customWidth="1"/>
    <col min="12551" max="12551" width="5.88671875" style="605" customWidth="1"/>
    <col min="12552" max="12552" width="6.88671875" style="605" customWidth="1"/>
    <col min="12553" max="12553" width="27.88671875" style="605" customWidth="1"/>
    <col min="12554" max="12555" width="8.88671875" style="605" customWidth="1"/>
    <col min="12556" max="12800" width="9.109375" style="605"/>
    <col min="12801" max="12801" width="4.44140625" style="605" customWidth="1"/>
    <col min="12802" max="12802" width="2.109375" style="605" customWidth="1"/>
    <col min="12803" max="12803" width="36" style="605" customWidth="1"/>
    <col min="12804" max="12804" width="15.109375" style="605" customWidth="1"/>
    <col min="12805" max="12805" width="16.88671875" style="605" customWidth="1"/>
    <col min="12806" max="12806" width="14.109375" style="605" customWidth="1"/>
    <col min="12807" max="12807" width="5.88671875" style="605" customWidth="1"/>
    <col min="12808" max="12808" width="6.88671875" style="605" customWidth="1"/>
    <col min="12809" max="12809" width="27.88671875" style="605" customWidth="1"/>
    <col min="12810" max="12811" width="8.88671875" style="605" customWidth="1"/>
    <col min="12812" max="13056" width="9.109375" style="605"/>
    <col min="13057" max="13057" width="4.44140625" style="605" customWidth="1"/>
    <col min="13058" max="13058" width="2.109375" style="605" customWidth="1"/>
    <col min="13059" max="13059" width="36" style="605" customWidth="1"/>
    <col min="13060" max="13060" width="15.109375" style="605" customWidth="1"/>
    <col min="13061" max="13061" width="16.88671875" style="605" customWidth="1"/>
    <col min="13062" max="13062" width="14.109375" style="605" customWidth="1"/>
    <col min="13063" max="13063" width="5.88671875" style="605" customWidth="1"/>
    <col min="13064" max="13064" width="6.88671875" style="605" customWidth="1"/>
    <col min="13065" max="13065" width="27.88671875" style="605" customWidth="1"/>
    <col min="13066" max="13067" width="8.88671875" style="605" customWidth="1"/>
    <col min="13068" max="13312" width="9.109375" style="605"/>
    <col min="13313" max="13313" width="4.44140625" style="605" customWidth="1"/>
    <col min="13314" max="13314" width="2.109375" style="605" customWidth="1"/>
    <col min="13315" max="13315" width="36" style="605" customWidth="1"/>
    <col min="13316" max="13316" width="15.109375" style="605" customWidth="1"/>
    <col min="13317" max="13317" width="16.88671875" style="605" customWidth="1"/>
    <col min="13318" max="13318" width="14.109375" style="605" customWidth="1"/>
    <col min="13319" max="13319" width="5.88671875" style="605" customWidth="1"/>
    <col min="13320" max="13320" width="6.88671875" style="605" customWidth="1"/>
    <col min="13321" max="13321" width="27.88671875" style="605" customWidth="1"/>
    <col min="13322" max="13323" width="8.88671875" style="605" customWidth="1"/>
    <col min="13324" max="13568" width="9.109375" style="605"/>
    <col min="13569" max="13569" width="4.44140625" style="605" customWidth="1"/>
    <col min="13570" max="13570" width="2.109375" style="605" customWidth="1"/>
    <col min="13571" max="13571" width="36" style="605" customWidth="1"/>
    <col min="13572" max="13572" width="15.109375" style="605" customWidth="1"/>
    <col min="13573" max="13573" width="16.88671875" style="605" customWidth="1"/>
    <col min="13574" max="13574" width="14.109375" style="605" customWidth="1"/>
    <col min="13575" max="13575" width="5.88671875" style="605" customWidth="1"/>
    <col min="13576" max="13576" width="6.88671875" style="605" customWidth="1"/>
    <col min="13577" max="13577" width="27.88671875" style="605" customWidth="1"/>
    <col min="13578" max="13579" width="8.88671875" style="605" customWidth="1"/>
    <col min="13580" max="13824" width="9.109375" style="605"/>
    <col min="13825" max="13825" width="4.44140625" style="605" customWidth="1"/>
    <col min="13826" max="13826" width="2.109375" style="605" customWidth="1"/>
    <col min="13827" max="13827" width="36" style="605" customWidth="1"/>
    <col min="13828" max="13828" width="15.109375" style="605" customWidth="1"/>
    <col min="13829" max="13829" width="16.88671875" style="605" customWidth="1"/>
    <col min="13830" max="13830" width="14.109375" style="605" customWidth="1"/>
    <col min="13831" max="13831" width="5.88671875" style="605" customWidth="1"/>
    <col min="13832" max="13832" width="6.88671875" style="605" customWidth="1"/>
    <col min="13833" max="13833" width="27.88671875" style="605" customWidth="1"/>
    <col min="13834" max="13835" width="8.88671875" style="605" customWidth="1"/>
    <col min="13836" max="14080" width="9.109375" style="605"/>
    <col min="14081" max="14081" width="4.44140625" style="605" customWidth="1"/>
    <col min="14082" max="14082" width="2.109375" style="605" customWidth="1"/>
    <col min="14083" max="14083" width="36" style="605" customWidth="1"/>
    <col min="14084" max="14084" width="15.109375" style="605" customWidth="1"/>
    <col min="14085" max="14085" width="16.88671875" style="605" customWidth="1"/>
    <col min="14086" max="14086" width="14.109375" style="605" customWidth="1"/>
    <col min="14087" max="14087" width="5.88671875" style="605" customWidth="1"/>
    <col min="14088" max="14088" width="6.88671875" style="605" customWidth="1"/>
    <col min="14089" max="14089" width="27.88671875" style="605" customWidth="1"/>
    <col min="14090" max="14091" width="8.88671875" style="605" customWidth="1"/>
    <col min="14092" max="14336" width="9.109375" style="605"/>
    <col min="14337" max="14337" width="4.44140625" style="605" customWidth="1"/>
    <col min="14338" max="14338" width="2.109375" style="605" customWidth="1"/>
    <col min="14339" max="14339" width="36" style="605" customWidth="1"/>
    <col min="14340" max="14340" width="15.109375" style="605" customWidth="1"/>
    <col min="14341" max="14341" width="16.88671875" style="605" customWidth="1"/>
    <col min="14342" max="14342" width="14.109375" style="605" customWidth="1"/>
    <col min="14343" max="14343" width="5.88671875" style="605" customWidth="1"/>
    <col min="14344" max="14344" width="6.88671875" style="605" customWidth="1"/>
    <col min="14345" max="14345" width="27.88671875" style="605" customWidth="1"/>
    <col min="14346" max="14347" width="8.88671875" style="605" customWidth="1"/>
    <col min="14348" max="14592" width="9.109375" style="605"/>
    <col min="14593" max="14593" width="4.44140625" style="605" customWidth="1"/>
    <col min="14594" max="14594" width="2.109375" style="605" customWidth="1"/>
    <col min="14595" max="14595" width="36" style="605" customWidth="1"/>
    <col min="14596" max="14596" width="15.109375" style="605" customWidth="1"/>
    <col min="14597" max="14597" width="16.88671875" style="605" customWidth="1"/>
    <col min="14598" max="14598" width="14.109375" style="605" customWidth="1"/>
    <col min="14599" max="14599" width="5.88671875" style="605" customWidth="1"/>
    <col min="14600" max="14600" width="6.88671875" style="605" customWidth="1"/>
    <col min="14601" max="14601" width="27.88671875" style="605" customWidth="1"/>
    <col min="14602" max="14603" width="8.88671875" style="605" customWidth="1"/>
    <col min="14604" max="14848" width="9.109375" style="605"/>
    <col min="14849" max="14849" width="4.44140625" style="605" customWidth="1"/>
    <col min="14850" max="14850" width="2.109375" style="605" customWidth="1"/>
    <col min="14851" max="14851" width="36" style="605" customWidth="1"/>
    <col min="14852" max="14852" width="15.109375" style="605" customWidth="1"/>
    <col min="14853" max="14853" width="16.88671875" style="605" customWidth="1"/>
    <col min="14854" max="14854" width="14.109375" style="605" customWidth="1"/>
    <col min="14855" max="14855" width="5.88671875" style="605" customWidth="1"/>
    <col min="14856" max="14856" width="6.88671875" style="605" customWidth="1"/>
    <col min="14857" max="14857" width="27.88671875" style="605" customWidth="1"/>
    <col min="14858" max="14859" width="8.88671875" style="605" customWidth="1"/>
    <col min="14860" max="15104" width="9.109375" style="605"/>
    <col min="15105" max="15105" width="4.44140625" style="605" customWidth="1"/>
    <col min="15106" max="15106" width="2.109375" style="605" customWidth="1"/>
    <col min="15107" max="15107" width="36" style="605" customWidth="1"/>
    <col min="15108" max="15108" width="15.109375" style="605" customWidth="1"/>
    <col min="15109" max="15109" width="16.88671875" style="605" customWidth="1"/>
    <col min="15110" max="15110" width="14.109375" style="605" customWidth="1"/>
    <col min="15111" max="15111" width="5.88671875" style="605" customWidth="1"/>
    <col min="15112" max="15112" width="6.88671875" style="605" customWidth="1"/>
    <col min="15113" max="15113" width="27.88671875" style="605" customWidth="1"/>
    <col min="15114" max="15115" width="8.88671875" style="605" customWidth="1"/>
    <col min="15116" max="15360" width="9.109375" style="605"/>
    <col min="15361" max="15361" width="4.44140625" style="605" customWidth="1"/>
    <col min="15362" max="15362" width="2.109375" style="605" customWidth="1"/>
    <col min="15363" max="15363" width="36" style="605" customWidth="1"/>
    <col min="15364" max="15364" width="15.109375" style="605" customWidth="1"/>
    <col min="15365" max="15365" width="16.88671875" style="605" customWidth="1"/>
    <col min="15366" max="15366" width="14.109375" style="605" customWidth="1"/>
    <col min="15367" max="15367" width="5.88671875" style="605" customWidth="1"/>
    <col min="15368" max="15368" width="6.88671875" style="605" customWidth="1"/>
    <col min="15369" max="15369" width="27.88671875" style="605" customWidth="1"/>
    <col min="15370" max="15371" width="8.88671875" style="605" customWidth="1"/>
    <col min="15372" max="15616" width="9.109375" style="605"/>
    <col min="15617" max="15617" width="4.44140625" style="605" customWidth="1"/>
    <col min="15618" max="15618" width="2.109375" style="605" customWidth="1"/>
    <col min="15619" max="15619" width="36" style="605" customWidth="1"/>
    <col min="15620" max="15620" width="15.109375" style="605" customWidth="1"/>
    <col min="15621" max="15621" width="16.88671875" style="605" customWidth="1"/>
    <col min="15622" max="15622" width="14.109375" style="605" customWidth="1"/>
    <col min="15623" max="15623" width="5.88671875" style="605" customWidth="1"/>
    <col min="15624" max="15624" width="6.88671875" style="605" customWidth="1"/>
    <col min="15625" max="15625" width="27.88671875" style="605" customWidth="1"/>
    <col min="15626" max="15627" width="8.88671875" style="605" customWidth="1"/>
    <col min="15628" max="15872" width="9.109375" style="605"/>
    <col min="15873" max="15873" width="4.44140625" style="605" customWidth="1"/>
    <col min="15874" max="15874" width="2.109375" style="605" customWidth="1"/>
    <col min="15875" max="15875" width="36" style="605" customWidth="1"/>
    <col min="15876" max="15876" width="15.109375" style="605" customWidth="1"/>
    <col min="15877" max="15877" width="16.88671875" style="605" customWidth="1"/>
    <col min="15878" max="15878" width="14.109375" style="605" customWidth="1"/>
    <col min="15879" max="15879" width="5.88671875" style="605" customWidth="1"/>
    <col min="15880" max="15880" width="6.88671875" style="605" customWidth="1"/>
    <col min="15881" max="15881" width="27.88671875" style="605" customWidth="1"/>
    <col min="15882" max="15883" width="8.88671875" style="605" customWidth="1"/>
    <col min="15884" max="16128" width="9.109375" style="605"/>
    <col min="16129" max="16129" width="4.44140625" style="605" customWidth="1"/>
    <col min="16130" max="16130" width="2.109375" style="605" customWidth="1"/>
    <col min="16131" max="16131" width="36" style="605" customWidth="1"/>
    <col min="16132" max="16132" width="15.109375" style="605" customWidth="1"/>
    <col min="16133" max="16133" width="16.88671875" style="605" customWidth="1"/>
    <col min="16134" max="16134" width="14.109375" style="605" customWidth="1"/>
    <col min="16135" max="16135" width="5.88671875" style="605" customWidth="1"/>
    <col min="16136" max="16136" width="6.88671875" style="605" customWidth="1"/>
    <col min="16137" max="16137" width="27.88671875" style="605" customWidth="1"/>
    <col min="16138" max="16139" width="8.88671875" style="605" customWidth="1"/>
    <col min="16140" max="16384" width="9.109375" style="605"/>
  </cols>
  <sheetData>
    <row r="1" spans="1:11" s="587" customFormat="1" ht="15.6">
      <c r="A1" s="15103" t="s">
        <v>2138</v>
      </c>
      <c r="B1" s="15103"/>
      <c r="C1" s="15103"/>
      <c r="D1" s="15103"/>
      <c r="E1" s="15103"/>
      <c r="F1" s="15103"/>
      <c r="G1" s="15103"/>
      <c r="H1" s="15103"/>
      <c r="I1" s="589"/>
      <c r="J1" s="589"/>
      <c r="K1" s="589"/>
    </row>
    <row r="2" spans="1:11" s="587" customFormat="1" ht="15.6">
      <c r="A2" s="590"/>
      <c r="B2" s="590"/>
      <c r="C2" s="590"/>
      <c r="D2" s="590"/>
      <c r="E2" s="591"/>
      <c r="F2" s="591"/>
      <c r="G2" s="590"/>
      <c r="H2" s="590"/>
      <c r="I2" s="590"/>
      <c r="J2" s="590"/>
      <c r="K2" s="590"/>
    </row>
    <row r="3" spans="1:11" s="594" customFormat="1" ht="15.6">
      <c r="A3" s="592" t="s">
        <v>4978</v>
      </c>
      <c r="B3" s="593"/>
      <c r="D3" s="593"/>
      <c r="E3" s="593"/>
      <c r="F3" s="593"/>
    </row>
    <row r="4" spans="1:11" s="594" customFormat="1" ht="15">
      <c r="A4" s="592" t="s">
        <v>4</v>
      </c>
      <c r="B4" s="592"/>
      <c r="D4" s="592" t="s">
        <v>92</v>
      </c>
      <c r="E4" s="592"/>
      <c r="F4" s="592"/>
    </row>
    <row r="5" spans="1:11" s="587" customFormat="1" ht="15.6">
      <c r="A5" s="587" t="s">
        <v>2182</v>
      </c>
      <c r="E5" s="588"/>
      <c r="F5" s="588"/>
      <c r="G5" s="590"/>
      <c r="H5" s="590"/>
      <c r="I5" s="590"/>
      <c r="J5" s="590"/>
      <c r="K5" s="590"/>
    </row>
    <row r="6" spans="1:11" s="587" customFormat="1" ht="15.6">
      <c r="A6" s="595"/>
      <c r="B6" s="595"/>
      <c r="C6" s="595"/>
      <c r="D6" s="595"/>
      <c r="E6" s="596"/>
      <c r="F6" s="597"/>
      <c r="G6" s="598"/>
      <c r="H6" s="598"/>
      <c r="I6" s="598"/>
      <c r="J6" s="598"/>
      <c r="K6" s="598"/>
    </row>
    <row r="7" spans="1:11" s="587" customFormat="1" ht="15.6">
      <c r="A7" s="589" t="s">
        <v>1751</v>
      </c>
      <c r="B7" s="599"/>
      <c r="C7" s="599"/>
      <c r="D7" s="599"/>
      <c r="E7" s="600"/>
      <c r="F7" s="591"/>
      <c r="G7" s="590"/>
      <c r="H7" s="590"/>
      <c r="I7" s="590"/>
      <c r="J7" s="590"/>
      <c r="K7" s="590"/>
    </row>
    <row r="8" spans="1:11" ht="9" customHeight="1">
      <c r="A8" s="601"/>
      <c r="B8" s="601"/>
      <c r="C8" s="601"/>
      <c r="D8" s="601"/>
      <c r="E8" s="602"/>
      <c r="F8" s="603"/>
      <c r="G8" s="604"/>
      <c r="H8" s="604"/>
      <c r="I8" s="604"/>
      <c r="J8" s="604"/>
      <c r="K8" s="604"/>
    </row>
    <row r="9" spans="1:11" ht="63.75" customHeight="1">
      <c r="A9" s="15093" t="s">
        <v>7145</v>
      </c>
      <c r="B9" s="15093"/>
      <c r="C9" s="15093"/>
      <c r="D9" s="15093"/>
      <c r="E9" s="15093"/>
      <c r="F9" s="15093"/>
      <c r="G9" s="15093"/>
      <c r="H9" s="15093"/>
      <c r="I9" s="604"/>
      <c r="J9" s="604"/>
      <c r="K9" s="604"/>
    </row>
    <row r="10" spans="1:11">
      <c r="A10" s="601"/>
      <c r="E10" s="602"/>
      <c r="F10" s="603"/>
      <c r="G10" s="604"/>
      <c r="H10" s="604"/>
      <c r="I10" s="604"/>
      <c r="J10" s="604"/>
      <c r="K10" s="604"/>
    </row>
    <row r="11" spans="1:11" s="587" customFormat="1" ht="15.6">
      <c r="A11" s="589" t="s">
        <v>2183</v>
      </c>
      <c r="B11" s="599"/>
      <c r="C11" s="599"/>
      <c r="D11" s="599"/>
      <c r="E11" s="600"/>
      <c r="F11" s="591"/>
      <c r="G11" s="590"/>
      <c r="H11" s="590"/>
      <c r="I11" s="590"/>
      <c r="J11" s="590"/>
      <c r="K11" s="590"/>
    </row>
    <row r="12" spans="1:11" ht="10.5" customHeight="1">
      <c r="A12" s="601"/>
      <c r="B12" s="601"/>
      <c r="C12" s="601"/>
      <c r="D12" s="601"/>
      <c r="E12" s="602"/>
      <c r="F12" s="603"/>
      <c r="G12" s="604"/>
      <c r="H12" s="604"/>
      <c r="I12" s="604"/>
      <c r="J12" s="604"/>
      <c r="K12" s="604"/>
    </row>
    <row r="13" spans="1:11" ht="30.75" customHeight="1">
      <c r="A13" s="554" t="s">
        <v>2090</v>
      </c>
      <c r="B13" s="15093" t="s">
        <v>2184</v>
      </c>
      <c r="C13" s="15094"/>
      <c r="D13" s="15094"/>
      <c r="E13" s="15094"/>
      <c r="F13" s="15094"/>
      <c r="G13" s="15094"/>
      <c r="H13" s="15094"/>
      <c r="I13" s="604"/>
      <c r="J13" s="604"/>
      <c r="K13" s="604"/>
    </row>
    <row r="14" spans="1:11">
      <c r="A14" s="554"/>
      <c r="B14" s="601"/>
      <c r="C14" s="606"/>
      <c r="D14" s="606"/>
      <c r="E14" s="602"/>
      <c r="F14" s="603"/>
      <c r="G14" s="604"/>
      <c r="H14" s="604"/>
      <c r="I14" s="604"/>
      <c r="J14" s="604"/>
      <c r="K14" s="604"/>
    </row>
    <row r="15" spans="1:11" ht="18" customHeight="1">
      <c r="A15" s="554" t="s">
        <v>2091</v>
      </c>
      <c r="B15" s="15093" t="s">
        <v>2185</v>
      </c>
      <c r="C15" s="15094"/>
      <c r="D15" s="15094"/>
      <c r="E15" s="15094"/>
      <c r="F15" s="15094"/>
      <c r="G15" s="15094"/>
      <c r="H15" s="15094"/>
      <c r="I15" s="604"/>
      <c r="J15" s="604"/>
      <c r="K15" s="604"/>
    </row>
    <row r="16" spans="1:11">
      <c r="A16" s="554"/>
      <c r="B16" s="601"/>
      <c r="C16" s="606"/>
      <c r="D16" s="606"/>
      <c r="E16" s="602"/>
      <c r="F16" s="603"/>
      <c r="G16" s="604"/>
      <c r="H16" s="604"/>
      <c r="I16" s="604"/>
      <c r="J16" s="604"/>
      <c r="K16" s="604"/>
    </row>
    <row r="17" spans="1:11" ht="30.75" customHeight="1">
      <c r="A17" s="554" t="s">
        <v>2092</v>
      </c>
      <c r="B17" s="15093" t="s">
        <v>2186</v>
      </c>
      <c r="C17" s="15094"/>
      <c r="D17" s="15094"/>
      <c r="E17" s="15094"/>
      <c r="F17" s="15094"/>
      <c r="G17" s="15094"/>
      <c r="H17" s="15094"/>
      <c r="I17" s="604"/>
      <c r="J17" s="604"/>
      <c r="K17" s="604"/>
    </row>
    <row r="18" spans="1:11" ht="9.75" customHeight="1">
      <c r="A18" s="554"/>
      <c r="B18" s="601"/>
      <c r="C18" s="554"/>
      <c r="D18" s="554"/>
      <c r="F18" s="603"/>
      <c r="G18" s="604"/>
      <c r="H18" s="604"/>
      <c r="I18" s="604"/>
      <c r="J18" s="604"/>
      <c r="K18" s="604"/>
    </row>
    <row r="19" spans="1:11" ht="15.75" customHeight="1">
      <c r="A19" s="554" t="s">
        <v>2094</v>
      </c>
      <c r="B19" s="15093" t="s">
        <v>2187</v>
      </c>
      <c r="C19" s="15094"/>
      <c r="D19" s="15094"/>
      <c r="E19" s="15094"/>
      <c r="F19" s="15094"/>
      <c r="G19" s="15094"/>
      <c r="H19" s="15094"/>
      <c r="I19" s="604"/>
      <c r="J19" s="604"/>
      <c r="K19" s="604"/>
    </row>
    <row r="20" spans="1:11" ht="13.5" customHeight="1">
      <c r="A20" s="601"/>
      <c r="B20" s="601"/>
      <c r="C20" s="601"/>
      <c r="D20" s="601"/>
      <c r="E20" s="602"/>
      <c r="F20" s="603"/>
      <c r="G20" s="604"/>
      <c r="H20" s="604"/>
      <c r="I20" s="604"/>
      <c r="J20" s="604"/>
      <c r="K20" s="604"/>
    </row>
    <row r="21" spans="1:11" ht="13.5" customHeight="1">
      <c r="A21" s="601"/>
      <c r="B21" s="601"/>
      <c r="C21" s="601"/>
      <c r="D21" s="601"/>
      <c r="E21" s="602"/>
      <c r="F21" s="603"/>
      <c r="G21" s="604"/>
      <c r="H21" s="604"/>
      <c r="I21" s="604"/>
      <c r="J21" s="604"/>
      <c r="K21" s="604"/>
    </row>
    <row r="22" spans="1:11" s="587" customFormat="1" ht="15.6">
      <c r="A22" s="589" t="s">
        <v>2188</v>
      </c>
      <c r="B22" s="599"/>
      <c r="C22" s="599"/>
      <c r="D22" s="599"/>
      <c r="E22" s="600"/>
      <c r="F22" s="591"/>
      <c r="G22" s="590"/>
      <c r="H22" s="590"/>
      <c r="I22" s="590"/>
      <c r="J22" s="590"/>
      <c r="K22" s="590"/>
    </row>
    <row r="23" spans="1:11" ht="11.25" customHeight="1">
      <c r="A23" s="601"/>
      <c r="B23" s="601"/>
      <c r="C23" s="601"/>
      <c r="D23" s="601"/>
      <c r="E23" s="602"/>
    </row>
    <row r="24" spans="1:11" s="612" customFormat="1" ht="10.199999999999999">
      <c r="A24" s="608" t="s">
        <v>468</v>
      </c>
      <c r="B24" s="608"/>
      <c r="C24" s="609"/>
      <c r="D24" s="610"/>
      <c r="E24" s="611"/>
      <c r="F24" s="611"/>
      <c r="G24" s="15095" t="s">
        <v>2031</v>
      </c>
      <c r="H24" s="15096"/>
    </row>
    <row r="25" spans="1:11" s="612" customFormat="1" ht="25.5" customHeight="1">
      <c r="A25" s="613" t="s">
        <v>2189</v>
      </c>
      <c r="B25" s="15099" t="s">
        <v>2190</v>
      </c>
      <c r="C25" s="15100"/>
      <c r="D25" s="614" t="s">
        <v>1763</v>
      </c>
      <c r="E25" s="615" t="s">
        <v>2029</v>
      </c>
      <c r="F25" s="615" t="s">
        <v>2030</v>
      </c>
      <c r="G25" s="15097"/>
      <c r="H25" s="15098"/>
    </row>
    <row r="26" spans="1:11" s="612" customFormat="1" ht="10.199999999999999">
      <c r="A26" s="616" t="s">
        <v>472</v>
      </c>
      <c r="B26" s="15101" t="s">
        <v>473</v>
      </c>
      <c r="C26" s="15102"/>
      <c r="D26" s="617" t="s">
        <v>474</v>
      </c>
      <c r="E26" s="618" t="s">
        <v>475</v>
      </c>
      <c r="F26" s="618" t="s">
        <v>476</v>
      </c>
      <c r="G26" s="619" t="s">
        <v>1789</v>
      </c>
      <c r="H26" s="619" t="s">
        <v>1790</v>
      </c>
    </row>
    <row r="27" spans="1:11" s="601" customFormat="1" ht="14.25" customHeight="1">
      <c r="A27" s="567"/>
      <c r="B27" s="555" t="s">
        <v>2191</v>
      </c>
      <c r="C27" s="556"/>
      <c r="D27" s="557">
        <f>'lbpf 3-HLOON'!J32</f>
        <v>26627023.435000002</v>
      </c>
      <c r="E27" s="558"/>
      <c r="F27" s="558"/>
      <c r="G27" s="559"/>
      <c r="H27" s="559"/>
    </row>
    <row r="28" spans="1:11" s="601" customFormat="1" ht="55.5" customHeight="1">
      <c r="A28" s="562"/>
      <c r="B28" s="560"/>
      <c r="C28" s="561" t="s">
        <v>2192</v>
      </c>
      <c r="D28" s="562"/>
      <c r="E28" s="563" t="s">
        <v>2193</v>
      </c>
      <c r="F28" s="563" t="s">
        <v>2194</v>
      </c>
      <c r="G28" s="564">
        <v>39814</v>
      </c>
      <c r="H28" s="564">
        <v>40178</v>
      </c>
    </row>
    <row r="29" spans="1:11" s="601" customFormat="1" ht="33.75" customHeight="1">
      <c r="A29" s="567"/>
      <c r="B29" s="565"/>
      <c r="C29" s="566" t="s">
        <v>2195</v>
      </c>
      <c r="D29" s="567"/>
      <c r="E29" s="558"/>
      <c r="F29" s="558"/>
      <c r="G29" s="559"/>
      <c r="H29" s="559"/>
    </row>
    <row r="30" spans="1:11" s="601" customFormat="1" ht="43.5" customHeight="1">
      <c r="A30" s="567"/>
      <c r="B30" s="565"/>
      <c r="C30" s="566" t="s">
        <v>2196</v>
      </c>
      <c r="D30" s="567"/>
      <c r="E30" s="558"/>
      <c r="F30" s="558"/>
      <c r="G30" s="559"/>
      <c r="H30" s="559"/>
    </row>
    <row r="31" spans="1:11" s="601" customFormat="1" ht="27.75" customHeight="1">
      <c r="A31" s="570"/>
      <c r="B31" s="568"/>
      <c r="C31" s="569" t="s">
        <v>2197</v>
      </c>
      <c r="D31" s="570"/>
      <c r="E31" s="571"/>
      <c r="F31" s="571"/>
      <c r="G31" s="572"/>
      <c r="H31" s="572"/>
    </row>
    <row r="32" spans="1:11" s="601" customFormat="1" ht="45" customHeight="1">
      <c r="A32" s="567"/>
      <c r="B32" s="565"/>
      <c r="C32" s="566" t="s">
        <v>2198</v>
      </c>
      <c r="D32" s="567"/>
      <c r="E32" s="558"/>
      <c r="F32" s="558"/>
      <c r="G32" s="559"/>
      <c r="H32" s="559"/>
    </row>
    <row r="33" spans="1:8" s="601" customFormat="1" ht="40.5" customHeight="1">
      <c r="A33" s="567"/>
      <c r="B33" s="565"/>
      <c r="C33" s="566" t="s">
        <v>2199</v>
      </c>
      <c r="D33" s="567"/>
      <c r="E33" s="558"/>
      <c r="F33" s="558"/>
      <c r="G33" s="559"/>
      <c r="H33" s="559"/>
    </row>
    <row r="34" spans="1:8" s="601" customFormat="1" ht="32.25" customHeight="1">
      <c r="A34" s="570"/>
      <c r="B34" s="568"/>
      <c r="C34" s="569" t="s">
        <v>2200</v>
      </c>
      <c r="D34" s="570"/>
      <c r="E34" s="571" t="s">
        <v>2201</v>
      </c>
      <c r="F34" s="571" t="s">
        <v>2202</v>
      </c>
      <c r="G34" s="573">
        <v>39814</v>
      </c>
      <c r="H34" s="573">
        <v>40178</v>
      </c>
    </row>
    <row r="35" spans="1:8" s="601" customFormat="1" ht="32.25" customHeight="1">
      <c r="A35" s="1765"/>
      <c r="B35" s="1765"/>
      <c r="C35" s="1763"/>
      <c r="D35" s="1765"/>
      <c r="E35" s="1763"/>
      <c r="F35" s="1763"/>
      <c r="G35" s="1766"/>
      <c r="H35" s="1766"/>
    </row>
    <row r="36" spans="1:8" s="601" customFormat="1" ht="32.25" customHeight="1">
      <c r="A36" s="1767"/>
      <c r="B36" s="1767"/>
      <c r="C36" s="561"/>
      <c r="D36" s="1767"/>
      <c r="E36" s="561"/>
      <c r="F36" s="561"/>
      <c r="G36" s="1768"/>
      <c r="H36" s="1768"/>
    </row>
    <row r="37" spans="1:8" s="601" customFormat="1" ht="15.75" customHeight="1">
      <c r="A37" s="1767"/>
      <c r="B37" s="1767"/>
      <c r="C37" s="561"/>
      <c r="D37" s="1767"/>
      <c r="E37" s="561"/>
      <c r="F37" s="561"/>
      <c r="G37" s="1768"/>
      <c r="H37" s="1768"/>
    </row>
    <row r="38" spans="1:8" s="601" customFormat="1" ht="15.75" customHeight="1">
      <c r="A38" s="1767"/>
      <c r="B38" s="1767"/>
      <c r="C38" s="561"/>
      <c r="D38" s="1767"/>
      <c r="E38" s="561"/>
      <c r="F38" s="561"/>
      <c r="G38" s="1768"/>
      <c r="H38" s="1768"/>
    </row>
    <row r="39" spans="1:8" s="601" customFormat="1" ht="15.75" customHeight="1">
      <c r="A39" s="1767"/>
      <c r="B39" s="1767"/>
      <c r="C39" s="561"/>
      <c r="D39" s="1767"/>
      <c r="E39" s="561"/>
      <c r="F39" s="561"/>
      <c r="G39" s="1768"/>
      <c r="H39" s="1768"/>
    </row>
    <row r="40" spans="1:8" s="601" customFormat="1" ht="15.75" customHeight="1">
      <c r="A40" s="1767"/>
      <c r="B40" s="1767"/>
      <c r="C40" s="561"/>
      <c r="D40" s="1767"/>
      <c r="E40" s="561"/>
      <c r="F40" s="561"/>
      <c r="G40" s="1768"/>
      <c r="H40" s="1768"/>
    </row>
    <row r="41" spans="1:8" s="601" customFormat="1" ht="13.5" customHeight="1">
      <c r="A41" s="1769"/>
      <c r="B41" s="1769"/>
      <c r="C41" s="1770"/>
      <c r="D41" s="1769"/>
      <c r="E41" s="1770"/>
      <c r="F41" s="1770"/>
      <c r="G41" s="1771"/>
      <c r="H41" s="1771"/>
    </row>
    <row r="42" spans="1:8" s="612" customFormat="1" ht="10.199999999999999">
      <c r="A42" s="608" t="s">
        <v>468</v>
      </c>
      <c r="B42" s="608"/>
      <c r="C42" s="609"/>
      <c r="D42" s="610"/>
      <c r="E42" s="611"/>
      <c r="F42" s="611"/>
      <c r="G42" s="15095" t="s">
        <v>2031</v>
      </c>
      <c r="H42" s="15096"/>
    </row>
    <row r="43" spans="1:8" s="612" customFormat="1" ht="25.5" customHeight="1">
      <c r="A43" s="613" t="s">
        <v>2189</v>
      </c>
      <c r="B43" s="15099" t="s">
        <v>2190</v>
      </c>
      <c r="C43" s="15100"/>
      <c r="D43" s="614" t="s">
        <v>1763</v>
      </c>
      <c r="E43" s="615" t="s">
        <v>2029</v>
      </c>
      <c r="F43" s="615" t="s">
        <v>2030</v>
      </c>
      <c r="G43" s="15097"/>
      <c r="H43" s="15098"/>
    </row>
    <row r="44" spans="1:8" s="612" customFormat="1" ht="10.199999999999999">
      <c r="A44" s="1618" t="s">
        <v>472</v>
      </c>
      <c r="B44" s="15101" t="s">
        <v>473</v>
      </c>
      <c r="C44" s="15102"/>
      <c r="D44" s="617" t="s">
        <v>474</v>
      </c>
      <c r="E44" s="618" t="s">
        <v>475</v>
      </c>
      <c r="F44" s="618" t="s">
        <v>476</v>
      </c>
      <c r="G44" s="619" t="s">
        <v>1789</v>
      </c>
      <c r="H44" s="619" t="s">
        <v>1790</v>
      </c>
    </row>
    <row r="45" spans="1:8" s="601" customFormat="1" ht="56.25" customHeight="1">
      <c r="A45" s="567"/>
      <c r="B45" s="565"/>
      <c r="C45" s="566" t="s">
        <v>2203</v>
      </c>
      <c r="D45" s="567"/>
      <c r="E45" s="558"/>
      <c r="F45" s="558"/>
      <c r="G45" s="574"/>
      <c r="H45" s="559"/>
    </row>
    <row r="46" spans="1:8" s="601" customFormat="1" ht="39.6">
      <c r="A46" s="578"/>
      <c r="B46" s="576"/>
      <c r="C46" s="577" t="s">
        <v>2204</v>
      </c>
      <c r="D46" s="578"/>
      <c r="E46" s="579" t="s">
        <v>2205</v>
      </c>
      <c r="F46" s="579" t="s">
        <v>2206</v>
      </c>
      <c r="G46" s="580">
        <v>39814</v>
      </c>
      <c r="H46" s="580">
        <v>40178</v>
      </c>
    </row>
    <row r="47" spans="1:8" s="601" customFormat="1" ht="54" customHeight="1">
      <c r="A47" s="567"/>
      <c r="B47" s="565"/>
      <c r="C47" s="566" t="s">
        <v>2207</v>
      </c>
      <c r="D47" s="567"/>
      <c r="E47" s="558" t="s">
        <v>2208</v>
      </c>
      <c r="F47" s="558" t="s">
        <v>2209</v>
      </c>
      <c r="G47" s="574">
        <v>39814</v>
      </c>
      <c r="H47" s="574">
        <v>40178</v>
      </c>
    </row>
    <row r="48" spans="1:8" s="601" customFormat="1" ht="39.75" customHeight="1">
      <c r="A48" s="567"/>
      <c r="B48" s="565"/>
      <c r="C48" s="566" t="s">
        <v>2210</v>
      </c>
      <c r="D48" s="567"/>
      <c r="E48" s="558" t="s">
        <v>2211</v>
      </c>
      <c r="F48" s="558" t="s">
        <v>2212</v>
      </c>
      <c r="G48" s="574">
        <v>39814</v>
      </c>
      <c r="H48" s="574">
        <v>40178</v>
      </c>
    </row>
    <row r="49" spans="1:8" s="601" customFormat="1" ht="29.25" customHeight="1">
      <c r="A49" s="567"/>
      <c r="B49" s="565"/>
      <c r="C49" s="566" t="s">
        <v>2213</v>
      </c>
      <c r="D49" s="567"/>
      <c r="E49" s="558"/>
      <c r="F49" s="558"/>
      <c r="G49" s="559"/>
      <c r="H49" s="559"/>
    </row>
    <row r="50" spans="1:8" s="601" customFormat="1" ht="52.8">
      <c r="A50" s="567"/>
      <c r="B50" s="565"/>
      <c r="C50" s="566" t="s">
        <v>2214</v>
      </c>
      <c r="D50" s="570"/>
      <c r="E50" s="558" t="s">
        <v>2215</v>
      </c>
      <c r="F50" s="558" t="s">
        <v>2216</v>
      </c>
      <c r="G50" s="574">
        <v>39814</v>
      </c>
      <c r="H50" s="574">
        <v>40178</v>
      </c>
    </row>
    <row r="51" spans="1:8" s="601" customFormat="1" ht="30" customHeight="1">
      <c r="A51" s="570"/>
      <c r="B51" s="568"/>
      <c r="C51" s="569" t="s">
        <v>2217</v>
      </c>
      <c r="D51" s="570"/>
      <c r="E51" s="571"/>
      <c r="F51" s="571"/>
      <c r="G51" s="572"/>
      <c r="H51" s="572"/>
    </row>
    <row r="52" spans="1:8" s="601" customFormat="1" ht="29.25" customHeight="1">
      <c r="A52" s="570"/>
      <c r="B52" s="568"/>
      <c r="C52" s="569" t="s">
        <v>2218</v>
      </c>
      <c r="D52" s="570"/>
      <c r="E52" s="571"/>
      <c r="F52" s="571"/>
      <c r="G52" s="572"/>
      <c r="H52" s="572"/>
    </row>
    <row r="53" spans="1:8" s="601" customFormat="1" ht="30" customHeight="1">
      <c r="A53" s="570"/>
      <c r="B53" s="568"/>
      <c r="C53" s="569" t="s">
        <v>2219</v>
      </c>
      <c r="D53" s="570"/>
      <c r="E53" s="571"/>
      <c r="F53" s="571"/>
      <c r="G53" s="572"/>
      <c r="H53" s="572"/>
    </row>
    <row r="54" spans="1:8" s="601" customFormat="1" ht="28.5" customHeight="1">
      <c r="A54" s="570"/>
      <c r="B54" s="568"/>
      <c r="C54" s="569" t="s">
        <v>2220</v>
      </c>
      <c r="D54" s="570"/>
      <c r="E54" s="571"/>
      <c r="F54" s="571"/>
      <c r="G54" s="572"/>
      <c r="H54" s="572"/>
    </row>
    <row r="55" spans="1:8" s="601" customFormat="1" ht="27" customHeight="1">
      <c r="A55" s="567"/>
      <c r="B55" s="565"/>
      <c r="C55" s="566" t="s">
        <v>2221</v>
      </c>
      <c r="D55" s="567"/>
      <c r="E55" s="558" t="s">
        <v>2222</v>
      </c>
      <c r="F55" s="558" t="s">
        <v>2223</v>
      </c>
      <c r="G55" s="574">
        <v>39814</v>
      </c>
      <c r="H55" s="574">
        <v>40178</v>
      </c>
    </row>
    <row r="56" spans="1:8" s="601" customFormat="1" ht="29.25" customHeight="1">
      <c r="A56" s="567"/>
      <c r="B56" s="565"/>
      <c r="C56" s="566" t="s">
        <v>2224</v>
      </c>
      <c r="D56" s="567"/>
      <c r="E56" s="558" t="s">
        <v>2225</v>
      </c>
      <c r="F56" s="558" t="s">
        <v>2226</v>
      </c>
      <c r="G56" s="574">
        <v>39814</v>
      </c>
      <c r="H56" s="574">
        <v>40178</v>
      </c>
    </row>
    <row r="57" spans="1:8" s="601" customFormat="1" ht="52.5" customHeight="1">
      <c r="A57" s="567"/>
      <c r="B57" s="565"/>
      <c r="C57" s="566" t="s">
        <v>2227</v>
      </c>
      <c r="D57" s="567"/>
      <c r="E57" s="558" t="s">
        <v>2228</v>
      </c>
      <c r="F57" s="558" t="s">
        <v>2229</v>
      </c>
      <c r="G57" s="574">
        <v>39814</v>
      </c>
      <c r="H57" s="574">
        <v>40178</v>
      </c>
    </row>
    <row r="58" spans="1:8" s="601" customFormat="1" ht="27" customHeight="1">
      <c r="A58" s="570"/>
      <c r="B58" s="568"/>
      <c r="C58" s="569" t="s">
        <v>2230</v>
      </c>
      <c r="D58" s="570"/>
      <c r="E58" s="571"/>
      <c r="F58" s="571"/>
      <c r="G58" s="572"/>
      <c r="H58" s="572"/>
    </row>
    <row r="59" spans="1:8" s="601" customFormat="1">
      <c r="A59" s="567"/>
      <c r="B59" s="555" t="s">
        <v>2231</v>
      </c>
      <c r="C59" s="575"/>
      <c r="D59" s="557">
        <v>1605212</v>
      </c>
      <c r="E59" s="558"/>
      <c r="F59" s="558"/>
      <c r="G59" s="559"/>
      <c r="H59" s="559"/>
    </row>
    <row r="60" spans="1:8" s="601" customFormat="1" ht="44.25" customHeight="1">
      <c r="A60" s="562"/>
      <c r="B60" s="560"/>
      <c r="C60" s="561" t="s">
        <v>2232</v>
      </c>
      <c r="D60" s="562"/>
      <c r="E60" s="563" t="s">
        <v>2233</v>
      </c>
      <c r="F60" s="563" t="s">
        <v>2234</v>
      </c>
      <c r="G60" s="564">
        <v>39814</v>
      </c>
      <c r="H60" s="564">
        <v>40178</v>
      </c>
    </row>
    <row r="61" spans="1:8" s="601" customFormat="1" ht="33" customHeight="1">
      <c r="A61" s="570"/>
      <c r="B61" s="568"/>
      <c r="C61" s="569" t="s">
        <v>2235</v>
      </c>
      <c r="D61" s="570"/>
      <c r="E61" s="571"/>
      <c r="F61" s="571"/>
      <c r="G61" s="572"/>
      <c r="H61" s="572"/>
    </row>
    <row r="62" spans="1:8" s="601" customFormat="1" ht="31.5" customHeight="1">
      <c r="A62" s="570"/>
      <c r="B62" s="568"/>
      <c r="C62" s="569" t="s">
        <v>2236</v>
      </c>
      <c r="D62" s="570"/>
      <c r="E62" s="571"/>
      <c r="F62" s="571"/>
      <c r="G62" s="572"/>
      <c r="H62" s="572"/>
    </row>
    <row r="63" spans="1:8" s="601" customFormat="1" ht="30" customHeight="1">
      <c r="A63" s="570"/>
      <c r="B63" s="568"/>
      <c r="C63" s="569" t="s">
        <v>2237</v>
      </c>
      <c r="D63" s="570"/>
      <c r="E63" s="571"/>
      <c r="F63" s="571"/>
      <c r="G63" s="572"/>
      <c r="H63" s="572"/>
    </row>
    <row r="64" spans="1:8" s="601" customFormat="1" ht="42" customHeight="1">
      <c r="A64" s="578"/>
      <c r="B64" s="576"/>
      <c r="C64" s="577" t="s">
        <v>2238</v>
      </c>
      <c r="D64" s="578"/>
      <c r="E64" s="579"/>
      <c r="F64" s="579"/>
      <c r="G64" s="581"/>
      <c r="H64" s="581"/>
    </row>
    <row r="65" spans="1:8" s="601" customFormat="1" ht="36" customHeight="1">
      <c r="A65" s="1765"/>
      <c r="B65" s="1765"/>
      <c r="C65" s="1763"/>
      <c r="D65" s="1765"/>
      <c r="E65" s="1763"/>
      <c r="F65" s="1763"/>
      <c r="G65" s="1776"/>
      <c r="H65" s="1776"/>
    </row>
    <row r="66" spans="1:8" s="601" customFormat="1" ht="18" customHeight="1">
      <c r="A66" s="1767"/>
      <c r="B66" s="1767"/>
      <c r="C66" s="561"/>
      <c r="D66" s="1767"/>
      <c r="E66" s="561"/>
      <c r="F66" s="561"/>
      <c r="G66" s="1777"/>
      <c r="H66" s="1777"/>
    </row>
    <row r="67" spans="1:8" s="601" customFormat="1" ht="18" customHeight="1">
      <c r="A67" s="1767"/>
      <c r="B67" s="1767"/>
      <c r="C67" s="561"/>
      <c r="D67" s="1767"/>
      <c r="E67" s="561"/>
      <c r="F67" s="561"/>
      <c r="G67" s="1777"/>
      <c r="H67" s="1777"/>
    </row>
    <row r="68" spans="1:8" s="601" customFormat="1" ht="18" customHeight="1">
      <c r="A68" s="1767"/>
      <c r="B68" s="1767"/>
      <c r="C68" s="561"/>
      <c r="D68" s="1767"/>
      <c r="E68" s="561"/>
      <c r="F68" s="561"/>
      <c r="G68" s="1777"/>
      <c r="H68" s="1777"/>
    </row>
    <row r="69" spans="1:8" s="601" customFormat="1" ht="18" customHeight="1">
      <c r="A69" s="1767"/>
      <c r="B69" s="1767"/>
      <c r="C69" s="561"/>
      <c r="D69" s="1767"/>
      <c r="E69" s="561"/>
      <c r="F69" s="561"/>
      <c r="G69" s="1777"/>
      <c r="H69" s="1777"/>
    </row>
    <row r="70" spans="1:8" s="612" customFormat="1" ht="10.199999999999999">
      <c r="A70" s="608" t="s">
        <v>468</v>
      </c>
      <c r="B70" s="608"/>
      <c r="C70" s="609"/>
      <c r="D70" s="610"/>
      <c r="E70" s="611"/>
      <c r="F70" s="611"/>
      <c r="G70" s="15095" t="s">
        <v>2031</v>
      </c>
      <c r="H70" s="15096"/>
    </row>
    <row r="71" spans="1:8" s="612" customFormat="1" ht="25.5" customHeight="1">
      <c r="A71" s="613" t="s">
        <v>2189</v>
      </c>
      <c r="B71" s="15099" t="s">
        <v>2190</v>
      </c>
      <c r="C71" s="15100"/>
      <c r="D71" s="614" t="s">
        <v>1763</v>
      </c>
      <c r="E71" s="615" t="s">
        <v>2029</v>
      </c>
      <c r="F71" s="615" t="s">
        <v>2030</v>
      </c>
      <c r="G71" s="15097"/>
      <c r="H71" s="15098"/>
    </row>
    <row r="72" spans="1:8" s="612" customFormat="1" ht="10.199999999999999">
      <c r="A72" s="1618" t="s">
        <v>472</v>
      </c>
      <c r="B72" s="15101" t="s">
        <v>473</v>
      </c>
      <c r="C72" s="15102"/>
      <c r="D72" s="617" t="s">
        <v>474</v>
      </c>
      <c r="E72" s="618" t="s">
        <v>475</v>
      </c>
      <c r="F72" s="618" t="s">
        <v>476</v>
      </c>
      <c r="G72" s="619" t="s">
        <v>1789</v>
      </c>
      <c r="H72" s="619" t="s">
        <v>1790</v>
      </c>
    </row>
    <row r="73" spans="1:8" s="601" customFormat="1" ht="34.5" customHeight="1">
      <c r="A73" s="1772"/>
      <c r="B73" s="1773"/>
      <c r="C73" s="1770" t="s">
        <v>2239</v>
      </c>
      <c r="D73" s="1772"/>
      <c r="E73" s="1774"/>
      <c r="F73" s="1774"/>
      <c r="G73" s="1775"/>
      <c r="H73" s="1775"/>
    </row>
    <row r="74" spans="1:8" s="601" customFormat="1" ht="45" customHeight="1">
      <c r="A74" s="567"/>
      <c r="B74" s="565"/>
      <c r="C74" s="566" t="s">
        <v>2240</v>
      </c>
      <c r="D74" s="567"/>
      <c r="E74" s="558"/>
      <c r="F74" s="558"/>
      <c r="G74" s="559"/>
      <c r="H74" s="559"/>
    </row>
    <row r="75" spans="1:8" s="601" customFormat="1" ht="30.75" customHeight="1">
      <c r="A75" s="570"/>
      <c r="B75" s="568"/>
      <c r="C75" s="569" t="s">
        <v>2241</v>
      </c>
      <c r="D75" s="570"/>
      <c r="E75" s="571"/>
      <c r="F75" s="571"/>
      <c r="G75" s="572"/>
      <c r="H75" s="572"/>
    </row>
    <row r="76" spans="1:8" s="601" customFormat="1" ht="27.75" customHeight="1">
      <c r="A76" s="567"/>
      <c r="B76" s="555" t="s">
        <v>2312</v>
      </c>
      <c r="C76" s="627" t="s">
        <v>2313</v>
      </c>
      <c r="D76" s="557">
        <v>3912500</v>
      </c>
      <c r="E76" s="558"/>
      <c r="F76" s="558"/>
      <c r="G76" s="559"/>
      <c r="H76" s="559"/>
    </row>
    <row r="77" spans="1:8" s="601" customFormat="1" ht="42" customHeight="1">
      <c r="A77" s="578"/>
      <c r="B77" s="576"/>
      <c r="C77" s="577" t="s">
        <v>2242</v>
      </c>
      <c r="D77" s="578"/>
      <c r="E77" s="579" t="s">
        <v>2233</v>
      </c>
      <c r="F77" s="579" t="s">
        <v>2243</v>
      </c>
      <c r="G77" s="580">
        <v>39814</v>
      </c>
      <c r="H77" s="580">
        <v>40178</v>
      </c>
    </row>
    <row r="78" spans="1:8" s="601" customFormat="1" ht="39.6">
      <c r="A78" s="848"/>
      <c r="B78" s="849"/>
      <c r="C78" s="850" t="s">
        <v>2244</v>
      </c>
      <c r="D78" s="848"/>
      <c r="E78" s="851" t="s">
        <v>2245</v>
      </c>
      <c r="F78" s="851" t="s">
        <v>2246</v>
      </c>
      <c r="G78" s="852">
        <v>39814</v>
      </c>
      <c r="H78" s="852">
        <v>40178</v>
      </c>
    </row>
    <row r="79" spans="1:8" s="601" customFormat="1">
      <c r="A79" s="578"/>
      <c r="B79" s="576"/>
      <c r="C79" s="577" t="s">
        <v>2247</v>
      </c>
      <c r="D79" s="578"/>
      <c r="E79" s="579"/>
      <c r="F79" s="579"/>
      <c r="G79" s="581"/>
      <c r="H79" s="581"/>
    </row>
    <row r="80" spans="1:8" s="601" customFormat="1" ht="43.5" customHeight="1">
      <c r="A80" s="567"/>
      <c r="B80" s="565"/>
      <c r="C80" s="566" t="s">
        <v>4804</v>
      </c>
      <c r="D80" s="567"/>
      <c r="E80" s="558" t="s">
        <v>2248</v>
      </c>
      <c r="F80" s="558" t="s">
        <v>4803</v>
      </c>
      <c r="G80" s="574">
        <v>39814</v>
      </c>
      <c r="H80" s="574">
        <v>40178</v>
      </c>
    </row>
    <row r="81" spans="1:8" s="601" customFormat="1" ht="44.25" customHeight="1">
      <c r="A81" s="567"/>
      <c r="B81" s="565"/>
      <c r="C81" s="566" t="s">
        <v>2249</v>
      </c>
      <c r="D81" s="567"/>
      <c r="E81" s="558"/>
      <c r="F81" s="558"/>
      <c r="G81" s="559"/>
      <c r="H81" s="559"/>
    </row>
    <row r="82" spans="1:8" s="601" customFormat="1" ht="28.5" customHeight="1">
      <c r="A82" s="570"/>
      <c r="B82" s="568"/>
      <c r="C82" s="569" t="s">
        <v>2250</v>
      </c>
      <c r="D82" s="570"/>
      <c r="E82" s="571"/>
      <c r="F82" s="571"/>
      <c r="G82" s="572"/>
      <c r="H82" s="572"/>
    </row>
    <row r="83" spans="1:8" s="601" customFormat="1" ht="32.25" customHeight="1">
      <c r="A83" s="570"/>
      <c r="B83" s="568"/>
      <c r="C83" s="569" t="s">
        <v>2251</v>
      </c>
      <c r="D83" s="570"/>
      <c r="E83" s="571"/>
      <c r="F83" s="571"/>
      <c r="G83" s="572"/>
      <c r="H83" s="572"/>
    </row>
    <row r="84" spans="1:8" s="601" customFormat="1" ht="43.5" customHeight="1">
      <c r="A84" s="567"/>
      <c r="B84" s="565"/>
      <c r="C84" s="566" t="s">
        <v>2252</v>
      </c>
      <c r="D84" s="567"/>
      <c r="E84" s="558"/>
      <c r="F84" s="558"/>
      <c r="G84" s="559"/>
      <c r="H84" s="559"/>
    </row>
    <row r="85" spans="1:8" s="601" customFormat="1" ht="42.75" customHeight="1">
      <c r="A85" s="567"/>
      <c r="B85" s="565"/>
      <c r="C85" s="566" t="s">
        <v>2253</v>
      </c>
      <c r="D85" s="567"/>
      <c r="E85" s="558"/>
      <c r="F85" s="558"/>
      <c r="G85" s="559"/>
      <c r="H85" s="559"/>
    </row>
    <row r="86" spans="1:8" s="601" customFormat="1" ht="42.75" customHeight="1">
      <c r="A86" s="570"/>
      <c r="B86" s="568"/>
      <c r="C86" s="569" t="s">
        <v>2254</v>
      </c>
      <c r="D86" s="570"/>
      <c r="E86" s="571"/>
      <c r="F86" s="571"/>
      <c r="G86" s="572"/>
      <c r="H86" s="572"/>
    </row>
    <row r="87" spans="1:8" s="601" customFormat="1" ht="71.25" customHeight="1">
      <c r="A87" s="567"/>
      <c r="B87" s="565"/>
      <c r="C87" s="566" t="s">
        <v>2255</v>
      </c>
      <c r="D87" s="567"/>
      <c r="E87" s="558" t="s">
        <v>2256</v>
      </c>
      <c r="F87" s="558" t="s">
        <v>2257</v>
      </c>
      <c r="G87" s="574">
        <v>39814</v>
      </c>
      <c r="H87" s="574">
        <v>40178</v>
      </c>
    </row>
    <row r="88" spans="1:8" s="601" customFormat="1" ht="31.5" customHeight="1">
      <c r="A88" s="570"/>
      <c r="B88" s="568"/>
      <c r="C88" s="569" t="s">
        <v>2258</v>
      </c>
      <c r="D88" s="570"/>
      <c r="E88" s="571"/>
      <c r="F88" s="571"/>
      <c r="G88" s="572"/>
      <c r="H88" s="572"/>
    </row>
    <row r="89" spans="1:8" s="601" customFormat="1" ht="34.5" customHeight="1">
      <c r="A89" s="1761"/>
      <c r="B89" s="1762"/>
      <c r="C89" s="1763" t="s">
        <v>2259</v>
      </c>
      <c r="D89" s="1761"/>
      <c r="E89" s="1764"/>
      <c r="F89" s="1764"/>
      <c r="G89" s="1778"/>
      <c r="H89" s="1778"/>
    </row>
    <row r="90" spans="1:8" s="601" customFormat="1">
      <c r="A90" s="1779"/>
      <c r="B90" s="1780" t="s">
        <v>2260</v>
      </c>
      <c r="C90" s="1767"/>
      <c r="D90" s="1779"/>
      <c r="E90" s="1781"/>
      <c r="F90" s="1781"/>
      <c r="G90" s="1782"/>
      <c r="H90" s="1782"/>
    </row>
    <row r="91" spans="1:8" s="601" customFormat="1">
      <c r="A91" s="562"/>
      <c r="B91" s="560"/>
      <c r="C91" s="582" t="s">
        <v>2261</v>
      </c>
      <c r="D91" s="583">
        <v>891500</v>
      </c>
      <c r="E91" s="563"/>
      <c r="F91" s="563"/>
      <c r="G91" s="584"/>
      <c r="H91" s="584"/>
    </row>
    <row r="92" spans="1:8" s="601" customFormat="1" ht="54.75" customHeight="1">
      <c r="A92" s="578"/>
      <c r="B92" s="576"/>
      <c r="C92" s="577" t="s">
        <v>2262</v>
      </c>
      <c r="D92" s="578"/>
      <c r="E92" s="579" t="s">
        <v>2263</v>
      </c>
      <c r="F92" s="579" t="s">
        <v>2264</v>
      </c>
      <c r="G92" s="580">
        <v>39814</v>
      </c>
      <c r="H92" s="580">
        <v>40178</v>
      </c>
    </row>
    <row r="93" spans="1:8" s="1767" customFormat="1" ht="34.5" customHeight="1">
      <c r="A93" s="1765"/>
      <c r="B93" s="1765"/>
      <c r="C93" s="1763"/>
      <c r="D93" s="1765"/>
      <c r="E93" s="1763"/>
      <c r="F93" s="1763"/>
      <c r="G93" s="1776"/>
      <c r="H93" s="1776"/>
    </row>
    <row r="94" spans="1:8" s="1767" customFormat="1" ht="15.75" customHeight="1">
      <c r="C94" s="561"/>
      <c r="E94" s="561"/>
      <c r="F94" s="561"/>
      <c r="G94" s="1777"/>
      <c r="H94" s="1777"/>
    </row>
    <row r="95" spans="1:8" s="1767" customFormat="1" ht="15.75" customHeight="1">
      <c r="C95" s="561"/>
      <c r="E95" s="561"/>
      <c r="F95" s="561"/>
      <c r="G95" s="1777"/>
      <c r="H95" s="1777"/>
    </row>
    <row r="96" spans="1:8" s="1767" customFormat="1" ht="15.75" customHeight="1">
      <c r="C96" s="561"/>
      <c r="E96" s="561"/>
      <c r="F96" s="561"/>
      <c r="G96" s="1777"/>
      <c r="H96" s="1777"/>
    </row>
    <row r="97" spans="1:8" s="1767" customFormat="1" ht="15.75" customHeight="1">
      <c r="C97" s="561"/>
      <c r="E97" s="561"/>
      <c r="F97" s="561"/>
      <c r="G97" s="1777"/>
      <c r="H97" s="1777"/>
    </row>
    <row r="98" spans="1:8" s="612" customFormat="1" ht="10.199999999999999">
      <c r="A98" s="608" t="s">
        <v>468</v>
      </c>
      <c r="B98" s="608"/>
      <c r="C98" s="609"/>
      <c r="D98" s="610"/>
      <c r="E98" s="611"/>
      <c r="F98" s="611"/>
      <c r="G98" s="15095" t="s">
        <v>2031</v>
      </c>
      <c r="H98" s="15096"/>
    </row>
    <row r="99" spans="1:8" s="612" customFormat="1" ht="25.5" customHeight="1">
      <c r="A99" s="613" t="s">
        <v>2189</v>
      </c>
      <c r="B99" s="15099" t="s">
        <v>2190</v>
      </c>
      <c r="C99" s="15100"/>
      <c r="D99" s="614" t="s">
        <v>1763</v>
      </c>
      <c r="E99" s="615" t="s">
        <v>2029</v>
      </c>
      <c r="F99" s="615" t="s">
        <v>2030</v>
      </c>
      <c r="G99" s="15097"/>
      <c r="H99" s="15098"/>
    </row>
    <row r="100" spans="1:8" s="612" customFormat="1" ht="10.199999999999999">
      <c r="A100" s="1618" t="s">
        <v>472</v>
      </c>
      <c r="B100" s="15101" t="s">
        <v>473</v>
      </c>
      <c r="C100" s="15102"/>
      <c r="D100" s="617" t="s">
        <v>474</v>
      </c>
      <c r="E100" s="618" t="s">
        <v>475</v>
      </c>
      <c r="F100" s="618" t="s">
        <v>476</v>
      </c>
      <c r="G100" s="619" t="s">
        <v>1789</v>
      </c>
      <c r="H100" s="619" t="s">
        <v>1790</v>
      </c>
    </row>
    <row r="101" spans="1:8" s="601" customFormat="1" ht="40.5" customHeight="1">
      <c r="A101" s="578"/>
      <c r="B101" s="576"/>
      <c r="C101" s="577" t="s">
        <v>2265</v>
      </c>
      <c r="D101" s="578"/>
      <c r="E101" s="579" t="s">
        <v>2266</v>
      </c>
      <c r="F101" s="579" t="s">
        <v>2267</v>
      </c>
      <c r="G101" s="580">
        <v>39814</v>
      </c>
      <c r="H101" s="580">
        <v>40178</v>
      </c>
    </row>
    <row r="102" spans="1:8" s="601" customFormat="1" ht="30" customHeight="1">
      <c r="A102" s="570"/>
      <c r="B102" s="568"/>
      <c r="C102" s="569" t="s">
        <v>2268</v>
      </c>
      <c r="D102" s="570"/>
      <c r="E102" s="571"/>
      <c r="F102" s="571"/>
      <c r="G102" s="572"/>
      <c r="H102" s="572"/>
    </row>
    <row r="103" spans="1:8" s="601" customFormat="1" ht="28.5" customHeight="1">
      <c r="A103" s="567"/>
      <c r="B103" s="565"/>
      <c r="C103" s="566" t="s">
        <v>2269</v>
      </c>
      <c r="D103" s="567"/>
      <c r="E103" s="558"/>
      <c r="F103" s="571"/>
      <c r="G103" s="572"/>
      <c r="H103" s="572"/>
    </row>
    <row r="104" spans="1:8" s="601" customFormat="1" ht="94.5" customHeight="1">
      <c r="A104" s="567"/>
      <c r="B104" s="565"/>
      <c r="C104" s="566" t="s">
        <v>2270</v>
      </c>
      <c r="D104" s="567"/>
      <c r="E104" s="558" t="s">
        <v>2271</v>
      </c>
      <c r="F104" s="585" t="s">
        <v>2272</v>
      </c>
      <c r="G104" s="574">
        <v>39814</v>
      </c>
      <c r="H104" s="574">
        <v>40178</v>
      </c>
    </row>
    <row r="105" spans="1:8" s="601" customFormat="1" ht="29.25" customHeight="1">
      <c r="A105" s="570"/>
      <c r="B105" s="568"/>
      <c r="C105" s="569" t="s">
        <v>2273</v>
      </c>
      <c r="D105" s="570"/>
      <c r="E105" s="571"/>
      <c r="F105" s="571"/>
      <c r="G105" s="572"/>
      <c r="H105" s="572"/>
    </row>
    <row r="106" spans="1:8" s="601" customFormat="1" ht="69.75" customHeight="1">
      <c r="A106" s="567"/>
      <c r="B106" s="565"/>
      <c r="C106" s="566" t="s">
        <v>2274</v>
      </c>
      <c r="D106" s="567"/>
      <c r="E106" s="558" t="s">
        <v>2275</v>
      </c>
      <c r="F106" s="558" t="s">
        <v>2257</v>
      </c>
      <c r="G106" s="574">
        <v>39814</v>
      </c>
      <c r="H106" s="574">
        <v>40178</v>
      </c>
    </row>
    <row r="107" spans="1:8" s="601" customFormat="1" ht="30.75" customHeight="1">
      <c r="A107" s="570"/>
      <c r="B107" s="568"/>
      <c r="C107" s="569" t="s">
        <v>2276</v>
      </c>
      <c r="D107" s="570"/>
      <c r="E107" s="571"/>
      <c r="F107" s="571"/>
      <c r="G107" s="572"/>
      <c r="H107" s="572"/>
    </row>
    <row r="108" spans="1:8" s="601" customFormat="1" ht="18" customHeight="1">
      <c r="A108" s="570"/>
      <c r="B108" s="568"/>
      <c r="C108" s="569" t="s">
        <v>2247</v>
      </c>
      <c r="D108" s="570"/>
      <c r="E108" s="571"/>
      <c r="F108" s="571"/>
      <c r="G108" s="572"/>
      <c r="H108" s="572"/>
    </row>
    <row r="109" spans="1:8" s="601" customFormat="1" ht="30.75" customHeight="1">
      <c r="A109" s="570"/>
      <c r="B109" s="568"/>
      <c r="C109" s="569" t="s">
        <v>2268</v>
      </c>
      <c r="D109" s="570"/>
      <c r="E109" s="571"/>
      <c r="F109" s="571"/>
      <c r="G109" s="572"/>
      <c r="H109" s="572"/>
    </row>
    <row r="110" spans="1:8" s="1789" customFormat="1" ht="18" customHeight="1">
      <c r="A110" s="1783"/>
      <c r="B110" s="1784"/>
      <c r="C110" s="1785" t="s">
        <v>2277</v>
      </c>
      <c r="D110" s="1786">
        <v>391500</v>
      </c>
      <c r="E110" s="1787"/>
      <c r="F110" s="1787"/>
      <c r="G110" s="1788"/>
      <c r="H110" s="1788"/>
    </row>
    <row r="111" spans="1:8" s="601" customFormat="1" ht="83.25" customHeight="1">
      <c r="A111" s="562"/>
      <c r="B111" s="560"/>
      <c r="C111" s="561" t="s">
        <v>2278</v>
      </c>
      <c r="D111" s="562"/>
      <c r="E111" s="563" t="s">
        <v>2097</v>
      </c>
      <c r="F111" s="563" t="s">
        <v>2279</v>
      </c>
      <c r="G111" s="564">
        <v>39814</v>
      </c>
      <c r="H111" s="564">
        <v>40178</v>
      </c>
    </row>
    <row r="112" spans="1:8" s="601" customFormat="1" ht="15" customHeight="1">
      <c r="A112" s="570"/>
      <c r="B112" s="568"/>
      <c r="C112" s="569" t="s">
        <v>2247</v>
      </c>
      <c r="D112" s="570"/>
      <c r="E112" s="571"/>
      <c r="F112" s="571"/>
      <c r="G112" s="572"/>
      <c r="H112" s="572"/>
    </row>
    <row r="113" spans="1:8" s="601" customFormat="1" ht="84" customHeight="1">
      <c r="A113" s="567"/>
      <c r="B113" s="565"/>
      <c r="C113" s="566" t="s">
        <v>2280</v>
      </c>
      <c r="D113" s="567"/>
      <c r="E113" s="558" t="s">
        <v>2281</v>
      </c>
      <c r="F113" s="558" t="s">
        <v>2282</v>
      </c>
      <c r="G113" s="574">
        <v>39814</v>
      </c>
      <c r="H113" s="574">
        <v>40178</v>
      </c>
    </row>
    <row r="114" spans="1:8" s="601" customFormat="1" ht="72" customHeight="1">
      <c r="A114" s="567"/>
      <c r="B114" s="565"/>
      <c r="C114" s="566" t="s">
        <v>2274</v>
      </c>
      <c r="D114" s="567"/>
      <c r="E114" s="558" t="s">
        <v>2275</v>
      </c>
      <c r="F114" s="558" t="s">
        <v>2257</v>
      </c>
      <c r="G114" s="574">
        <v>39814</v>
      </c>
      <c r="H114" s="574">
        <v>40178</v>
      </c>
    </row>
    <row r="115" spans="1:8" s="601" customFormat="1" ht="66.75" customHeight="1">
      <c r="A115" s="567"/>
      <c r="B115" s="565"/>
      <c r="C115" s="566" t="s">
        <v>2283</v>
      </c>
      <c r="D115" s="567"/>
      <c r="E115" s="558" t="s">
        <v>2284</v>
      </c>
      <c r="F115" s="558" t="s">
        <v>2285</v>
      </c>
      <c r="G115" s="574">
        <v>39814</v>
      </c>
      <c r="H115" s="574">
        <v>40178</v>
      </c>
    </row>
    <row r="116" spans="1:8" s="601" customFormat="1">
      <c r="A116" s="570"/>
      <c r="B116" s="568"/>
      <c r="C116" s="569" t="s">
        <v>2286</v>
      </c>
      <c r="D116" s="570"/>
      <c r="E116" s="571"/>
      <c r="F116" s="571"/>
      <c r="G116" s="572"/>
      <c r="H116" s="572"/>
    </row>
    <row r="117" spans="1:8" s="1767" customFormat="1" ht="21.75" customHeight="1">
      <c r="A117" s="1765"/>
      <c r="B117" s="1765"/>
      <c r="C117" s="1763"/>
      <c r="D117" s="1765"/>
      <c r="E117" s="1763"/>
      <c r="F117" s="1763"/>
      <c r="G117" s="1766"/>
      <c r="H117" s="1766"/>
    </row>
    <row r="118" spans="1:8" s="1767" customFormat="1" ht="21.75" customHeight="1">
      <c r="C118" s="561"/>
      <c r="E118" s="561"/>
      <c r="F118" s="561"/>
      <c r="G118" s="1768"/>
      <c r="H118" s="1768"/>
    </row>
    <row r="119" spans="1:8" s="1767" customFormat="1" ht="15" customHeight="1">
      <c r="C119" s="561"/>
      <c r="E119" s="561"/>
      <c r="F119" s="561"/>
      <c r="G119" s="1768"/>
      <c r="H119" s="1768"/>
    </row>
    <row r="120" spans="1:8" s="1767" customFormat="1" ht="15" customHeight="1">
      <c r="C120" s="561"/>
      <c r="E120" s="561"/>
      <c r="F120" s="561"/>
      <c r="G120" s="1768"/>
      <c r="H120" s="1768"/>
    </row>
    <row r="121" spans="1:8" s="601" customFormat="1" ht="14.25" customHeight="1">
      <c r="A121" s="1767"/>
      <c r="B121" s="1767"/>
      <c r="C121" s="561"/>
      <c r="D121" s="1767"/>
      <c r="E121" s="561"/>
      <c r="F121" s="561"/>
      <c r="G121" s="1768"/>
      <c r="H121" s="1790"/>
    </row>
    <row r="122" spans="1:8" s="612" customFormat="1" ht="10.199999999999999">
      <c r="A122" s="608" t="s">
        <v>468</v>
      </c>
      <c r="B122" s="608"/>
      <c r="C122" s="609"/>
      <c r="D122" s="610"/>
      <c r="E122" s="611"/>
      <c r="F122" s="611"/>
      <c r="G122" s="15095" t="s">
        <v>2031</v>
      </c>
      <c r="H122" s="15096"/>
    </row>
    <row r="123" spans="1:8" s="612" customFormat="1" ht="25.5" customHeight="1">
      <c r="A123" s="613" t="s">
        <v>2189</v>
      </c>
      <c r="B123" s="15099" t="s">
        <v>2190</v>
      </c>
      <c r="C123" s="15100"/>
      <c r="D123" s="614" t="s">
        <v>1763</v>
      </c>
      <c r="E123" s="615" t="s">
        <v>2029</v>
      </c>
      <c r="F123" s="615" t="s">
        <v>2030</v>
      </c>
      <c r="G123" s="15097"/>
      <c r="H123" s="15098"/>
    </row>
    <row r="124" spans="1:8" s="612" customFormat="1" ht="10.199999999999999">
      <c r="A124" s="1618" t="s">
        <v>472</v>
      </c>
      <c r="B124" s="15101" t="s">
        <v>473</v>
      </c>
      <c r="C124" s="15102"/>
      <c r="D124" s="617" t="s">
        <v>474</v>
      </c>
      <c r="E124" s="618" t="s">
        <v>475</v>
      </c>
      <c r="F124" s="618" t="s">
        <v>476</v>
      </c>
      <c r="G124" s="619" t="s">
        <v>1789</v>
      </c>
      <c r="H124" s="619" t="s">
        <v>1790</v>
      </c>
    </row>
    <row r="125" spans="1:8" s="2484" customFormat="1" ht="18" customHeight="1">
      <c r="A125" s="2479"/>
      <c r="B125" s="2480" t="s">
        <v>7146</v>
      </c>
      <c r="C125" s="2481" t="s">
        <v>7147</v>
      </c>
      <c r="D125" s="2485">
        <f>382000+382288</f>
        <v>764288</v>
      </c>
      <c r="E125" s="2482"/>
      <c r="F125" s="2482"/>
      <c r="G125" s="2483"/>
      <c r="H125" s="2483"/>
    </row>
    <row r="126" spans="1:8" s="601" customFormat="1" ht="85.5" customHeight="1">
      <c r="A126" s="560"/>
      <c r="B126" s="560"/>
      <c r="C126" s="561" t="s">
        <v>2287</v>
      </c>
      <c r="D126" s="560"/>
      <c r="E126" s="563" t="s">
        <v>2097</v>
      </c>
      <c r="F126" s="563" t="s">
        <v>2279</v>
      </c>
      <c r="G126" s="564">
        <v>39814</v>
      </c>
      <c r="H126" s="564">
        <v>40178</v>
      </c>
    </row>
    <row r="127" spans="1:8" s="601" customFormat="1" ht="19.5" customHeight="1">
      <c r="A127" s="570"/>
      <c r="B127" s="568"/>
      <c r="C127" s="569" t="s">
        <v>2247</v>
      </c>
      <c r="D127" s="570"/>
      <c r="E127" s="571"/>
      <c r="F127" s="571"/>
      <c r="G127" s="572"/>
      <c r="H127" s="572"/>
    </row>
    <row r="128" spans="1:8" s="601" customFormat="1" ht="28.5" customHeight="1">
      <c r="A128" s="570"/>
      <c r="B128" s="568"/>
      <c r="C128" s="569" t="s">
        <v>2288</v>
      </c>
      <c r="D128" s="570"/>
      <c r="E128" s="571"/>
      <c r="F128" s="571"/>
      <c r="G128" s="572"/>
      <c r="H128" s="572"/>
    </row>
    <row r="129" spans="1:8" s="601" customFormat="1" ht="27" customHeight="1">
      <c r="A129" s="570"/>
      <c r="B129" s="568"/>
      <c r="C129" s="569" t="s">
        <v>2269</v>
      </c>
      <c r="D129" s="570"/>
      <c r="E129" s="571"/>
      <c r="F129" s="571"/>
      <c r="G129" s="572"/>
      <c r="H129" s="572"/>
    </row>
    <row r="130" spans="1:8" s="601" customFormat="1" ht="30" customHeight="1">
      <c r="A130" s="570"/>
      <c r="B130" s="568"/>
      <c r="C130" s="569" t="s">
        <v>2274</v>
      </c>
      <c r="D130" s="570"/>
      <c r="E130" s="571"/>
      <c r="F130" s="571"/>
      <c r="G130" s="572"/>
      <c r="H130" s="572"/>
    </row>
    <row r="131" spans="1:8" s="601" customFormat="1" ht="40.5" customHeight="1">
      <c r="A131" s="570"/>
      <c r="B131" s="568"/>
      <c r="C131" s="569" t="s">
        <v>2289</v>
      </c>
      <c r="D131" s="570"/>
      <c r="E131" s="571"/>
      <c r="F131" s="571"/>
      <c r="G131" s="572"/>
      <c r="H131" s="572"/>
    </row>
    <row r="132" spans="1:8" s="601" customFormat="1" ht="29.25" customHeight="1">
      <c r="A132" s="570"/>
      <c r="B132" s="568"/>
      <c r="C132" s="569" t="s">
        <v>2290</v>
      </c>
      <c r="D132" s="570"/>
      <c r="E132" s="571"/>
      <c r="F132" s="571"/>
      <c r="G132" s="572"/>
      <c r="H132" s="572"/>
    </row>
    <row r="133" spans="1:8" s="1789" customFormat="1" ht="18" customHeight="1">
      <c r="A133" s="1783"/>
      <c r="B133" s="1784"/>
      <c r="C133" s="1785" t="s">
        <v>2291</v>
      </c>
      <c r="D133" s="1786">
        <v>1103000</v>
      </c>
      <c r="E133" s="1787"/>
      <c r="F133" s="1787"/>
      <c r="G133" s="1788"/>
      <c r="H133" s="1788"/>
    </row>
    <row r="134" spans="1:8" s="601" customFormat="1" ht="42.75" customHeight="1">
      <c r="A134" s="578"/>
      <c r="B134" s="576"/>
      <c r="C134" s="577" t="s">
        <v>2292</v>
      </c>
      <c r="D134" s="578"/>
      <c r="E134" s="579" t="s">
        <v>2293</v>
      </c>
      <c r="F134" s="579" t="s">
        <v>2294</v>
      </c>
      <c r="G134" s="580">
        <v>39814</v>
      </c>
      <c r="H134" s="580">
        <v>40178</v>
      </c>
    </row>
    <row r="135" spans="1:8" s="601" customFormat="1" ht="30" customHeight="1">
      <c r="A135" s="570"/>
      <c r="B135" s="568"/>
      <c r="C135" s="569" t="s">
        <v>2295</v>
      </c>
      <c r="D135" s="570"/>
      <c r="E135" s="571"/>
      <c r="F135" s="571"/>
      <c r="G135" s="573"/>
      <c r="H135" s="573"/>
    </row>
    <row r="136" spans="1:8" s="601" customFormat="1" ht="31.5" customHeight="1">
      <c r="A136" s="570"/>
      <c r="B136" s="568"/>
      <c r="C136" s="569" t="s">
        <v>2296</v>
      </c>
      <c r="D136" s="570"/>
      <c r="E136" s="571"/>
      <c r="F136" s="571"/>
      <c r="G136" s="572"/>
      <c r="H136" s="572"/>
    </row>
    <row r="137" spans="1:8" s="601" customFormat="1" ht="28.5" customHeight="1">
      <c r="A137" s="570"/>
      <c r="B137" s="568"/>
      <c r="C137" s="569" t="s">
        <v>2297</v>
      </c>
      <c r="D137" s="570"/>
      <c r="E137" s="571"/>
      <c r="F137" s="571"/>
      <c r="G137" s="572"/>
      <c r="H137" s="572"/>
    </row>
    <row r="138" spans="1:8" s="601" customFormat="1" ht="29.25" customHeight="1">
      <c r="A138" s="570"/>
      <c r="B138" s="568"/>
      <c r="C138" s="569" t="s">
        <v>2298</v>
      </c>
      <c r="D138" s="570"/>
      <c r="E138" s="571"/>
      <c r="F138" s="571"/>
      <c r="G138" s="572"/>
      <c r="H138" s="572"/>
    </row>
    <row r="139" spans="1:8" s="601" customFormat="1" ht="43.5" customHeight="1">
      <c r="A139" s="567"/>
      <c r="B139" s="565"/>
      <c r="C139" s="566" t="s">
        <v>2299</v>
      </c>
      <c r="D139" s="567"/>
      <c r="E139" s="558"/>
      <c r="F139" s="558"/>
      <c r="G139" s="559"/>
      <c r="H139" s="559"/>
    </row>
    <row r="140" spans="1:8" s="601" customFormat="1" ht="28.5" customHeight="1">
      <c r="A140" s="570"/>
      <c r="B140" s="568"/>
      <c r="C140" s="569" t="s">
        <v>2300</v>
      </c>
      <c r="D140" s="570"/>
      <c r="E140" s="571"/>
      <c r="F140" s="571"/>
      <c r="G140" s="572"/>
      <c r="H140" s="572"/>
    </row>
    <row r="141" spans="1:8" s="601" customFormat="1">
      <c r="A141" s="567"/>
      <c r="B141" s="565"/>
      <c r="C141" s="586" t="s">
        <v>2301</v>
      </c>
      <c r="D141" s="557">
        <v>2173000</v>
      </c>
      <c r="E141" s="558"/>
      <c r="F141" s="558"/>
      <c r="G141" s="559"/>
      <c r="H141" s="559"/>
    </row>
    <row r="142" spans="1:8" s="601" customFormat="1" ht="29.25" customHeight="1">
      <c r="A142" s="578"/>
      <c r="B142" s="576"/>
      <c r="C142" s="577" t="s">
        <v>2302</v>
      </c>
      <c r="D142" s="578"/>
      <c r="E142" s="579" t="s">
        <v>2303</v>
      </c>
      <c r="F142" s="579" t="s">
        <v>2304</v>
      </c>
      <c r="G142" s="580">
        <v>39814</v>
      </c>
      <c r="H142" s="580">
        <v>40178</v>
      </c>
    </row>
    <row r="143" spans="1:8" s="601" customFormat="1" ht="29.25" customHeight="1">
      <c r="A143" s="570"/>
      <c r="B143" s="568"/>
      <c r="C143" s="569" t="s">
        <v>2305</v>
      </c>
      <c r="D143" s="570"/>
      <c r="E143" s="571"/>
      <c r="F143" s="571"/>
      <c r="G143" s="572"/>
      <c r="H143" s="572"/>
    </row>
    <row r="144" spans="1:8" s="601" customFormat="1" ht="30" customHeight="1">
      <c r="A144" s="570"/>
      <c r="B144" s="568"/>
      <c r="C144" s="569" t="s">
        <v>2306</v>
      </c>
      <c r="D144" s="570"/>
      <c r="E144" s="571"/>
      <c r="F144" s="571"/>
      <c r="G144" s="572"/>
      <c r="H144" s="572"/>
    </row>
    <row r="145" spans="1:11" s="601" customFormat="1" ht="15.75" customHeight="1">
      <c r="A145" s="570"/>
      <c r="B145" s="568"/>
      <c r="C145" s="569" t="s">
        <v>2307</v>
      </c>
      <c r="D145" s="570"/>
      <c r="E145" s="571"/>
      <c r="F145" s="571"/>
      <c r="G145" s="572"/>
      <c r="H145" s="572"/>
    </row>
    <row r="146" spans="1:11" s="601" customFormat="1" ht="15.75" customHeight="1">
      <c r="A146" s="570"/>
      <c r="B146" s="568"/>
      <c r="C146" s="569" t="s">
        <v>2308</v>
      </c>
      <c r="D146" s="570"/>
      <c r="E146" s="571"/>
      <c r="F146" s="571"/>
      <c r="G146" s="572"/>
      <c r="H146" s="572"/>
    </row>
    <row r="147" spans="1:11" s="601" customFormat="1" ht="31.5" customHeight="1">
      <c r="A147" s="570"/>
      <c r="B147" s="568"/>
      <c r="C147" s="569" t="s">
        <v>2309</v>
      </c>
      <c r="D147" s="570"/>
      <c r="E147" s="571"/>
      <c r="F147" s="571"/>
      <c r="G147" s="572"/>
      <c r="H147" s="572"/>
    </row>
    <row r="148" spans="1:11" s="601" customFormat="1" ht="27.75" customHeight="1">
      <c r="A148" s="570"/>
      <c r="B148" s="568"/>
      <c r="C148" s="569" t="s">
        <v>2310</v>
      </c>
      <c r="D148" s="570"/>
      <c r="E148" s="571"/>
      <c r="F148" s="571"/>
      <c r="G148" s="572"/>
      <c r="H148" s="572"/>
    </row>
    <row r="149" spans="1:11" s="601" customFormat="1" ht="16.5" customHeight="1">
      <c r="A149" s="570"/>
      <c r="B149" s="568"/>
      <c r="C149" s="569" t="s">
        <v>2311</v>
      </c>
      <c r="D149" s="570"/>
      <c r="E149" s="571"/>
      <c r="F149" s="571"/>
      <c r="G149" s="572"/>
      <c r="H149" s="572"/>
    </row>
    <row r="150" spans="1:11" s="625" customFormat="1" ht="19.5" customHeight="1">
      <c r="A150" s="620"/>
      <c r="B150" s="621"/>
      <c r="C150" s="622" t="s">
        <v>220</v>
      </c>
      <c r="D150" s="623">
        <f>SUM(D27:D149)</f>
        <v>37468023.435000002</v>
      </c>
      <c r="E150" s="624"/>
      <c r="F150" s="624"/>
      <c r="G150" s="620"/>
      <c r="H150" s="620"/>
      <c r="J150" s="626"/>
      <c r="K150" s="626"/>
    </row>
    <row r="151" spans="1:11" s="601" customFormat="1">
      <c r="E151" s="602"/>
      <c r="F151" s="602"/>
      <c r="J151" s="606"/>
      <c r="K151" s="606"/>
    </row>
    <row r="152" spans="1:11">
      <c r="D152" s="970"/>
    </row>
    <row r="154" spans="1:11">
      <c r="D154" s="4134"/>
    </row>
  </sheetData>
  <mergeCells count="21">
    <mergeCell ref="B124:C124"/>
    <mergeCell ref="B72:C72"/>
    <mergeCell ref="G98:H99"/>
    <mergeCell ref="B99:C99"/>
    <mergeCell ref="B100:C100"/>
    <mergeCell ref="G122:H123"/>
    <mergeCell ref="B123:C123"/>
    <mergeCell ref="G42:H43"/>
    <mergeCell ref="B43:C43"/>
    <mergeCell ref="B44:C44"/>
    <mergeCell ref="G70:H71"/>
    <mergeCell ref="B71:C71"/>
    <mergeCell ref="B19:H19"/>
    <mergeCell ref="G24:H25"/>
    <mergeCell ref="B25:C25"/>
    <mergeCell ref="B26:C26"/>
    <mergeCell ref="A1:H1"/>
    <mergeCell ref="A9:H9"/>
    <mergeCell ref="B13:H13"/>
    <mergeCell ref="B15:H15"/>
    <mergeCell ref="B17:H17"/>
  </mergeCells>
  <pageMargins left="0.5" right="0.25" top="0.75" bottom="0.5" header="0.5" footer="0.25"/>
  <pageSetup paperSize="119" firstPageNumber="268" orientation="portrait" useFirstPageNumber="1" verticalDpi="300" r:id="rId1"/>
  <headerFooter alignWithMargins="0"/>
</worksheet>
</file>

<file path=xl/worksheets/sheet137.xml><?xml version="1.0" encoding="utf-8"?>
<worksheet xmlns="http://schemas.openxmlformats.org/spreadsheetml/2006/main" xmlns:r="http://schemas.openxmlformats.org/officeDocument/2006/relationships">
  <sheetPr codeName="Sheet97">
    <tabColor theme="8" tint="-0.249977111117893"/>
  </sheetPr>
  <dimension ref="A1:L133"/>
  <sheetViews>
    <sheetView showGridLines="0" topLeftCell="B3" workbookViewId="0">
      <pane xSplit="1" ySplit="6" topLeftCell="C86" activePane="bottomRight" state="frozen"/>
      <selection activeCell="B3" sqref="B3"/>
      <selection pane="topRight" activeCell="C3" sqref="C3"/>
      <selection pane="bottomLeft" activeCell="B9" sqref="B9"/>
      <selection pane="bottomRight" activeCell="J3" sqref="J1:Q1048576"/>
    </sheetView>
  </sheetViews>
  <sheetFormatPr defaultRowHeight="15" customHeight="1"/>
  <cols>
    <col min="1" max="1" width="3.88671875" style="7508" customWidth="1"/>
    <col min="2" max="2" width="55.5546875" style="7508" customWidth="1"/>
    <col min="3" max="3" width="12.5546875" style="7780" customWidth="1"/>
    <col min="4" max="7" width="15.5546875" style="7599" customWidth="1"/>
    <col min="8" max="8" width="14.5546875" style="7599" hidden="1" customWidth="1"/>
    <col min="9" max="9" width="8.88671875" style="7348" hidden="1" customWidth="1"/>
    <col min="10" max="10" width="15.5546875" style="7599" customWidth="1"/>
    <col min="11" max="11" width="17.109375" style="7588" customWidth="1"/>
    <col min="12" max="12" width="8.88671875" style="7600" customWidth="1"/>
    <col min="13" max="16" width="8.88671875" style="7508" customWidth="1"/>
    <col min="17" max="169" width="9.109375" style="7508"/>
    <col min="170" max="170" width="3.88671875" style="7508" customWidth="1"/>
    <col min="171" max="171" width="38.44140625" style="7508" customWidth="1"/>
    <col min="172" max="172" width="12.44140625" style="7508" customWidth="1"/>
    <col min="173" max="173" width="15" style="7508" customWidth="1"/>
    <col min="174" max="175" width="15.109375" style="7508" customWidth="1"/>
    <col min="176" max="425" width="9.109375" style="7508"/>
    <col min="426" max="426" width="3.88671875" style="7508" customWidth="1"/>
    <col min="427" max="427" width="38.44140625" style="7508" customWidth="1"/>
    <col min="428" max="428" width="12.44140625" style="7508" customWidth="1"/>
    <col min="429" max="429" width="15" style="7508" customWidth="1"/>
    <col min="430" max="431" width="15.109375" style="7508" customWidth="1"/>
    <col min="432" max="681" width="9.109375" style="7508"/>
    <col min="682" max="682" width="3.88671875" style="7508" customWidth="1"/>
    <col min="683" max="683" width="38.44140625" style="7508" customWidth="1"/>
    <col min="684" max="684" width="12.44140625" style="7508" customWidth="1"/>
    <col min="685" max="685" width="15" style="7508" customWidth="1"/>
    <col min="686" max="687" width="15.109375" style="7508" customWidth="1"/>
    <col min="688" max="937" width="9.109375" style="7508"/>
    <col min="938" max="938" width="3.88671875" style="7508" customWidth="1"/>
    <col min="939" max="939" width="38.44140625" style="7508" customWidth="1"/>
    <col min="940" max="940" width="12.44140625" style="7508" customWidth="1"/>
    <col min="941" max="941" width="15" style="7508" customWidth="1"/>
    <col min="942" max="943" width="15.109375" style="7508" customWidth="1"/>
    <col min="944" max="1193" width="9.109375" style="7508"/>
    <col min="1194" max="1194" width="3.88671875" style="7508" customWidth="1"/>
    <col min="1195" max="1195" width="38.44140625" style="7508" customWidth="1"/>
    <col min="1196" max="1196" width="12.44140625" style="7508" customWidth="1"/>
    <col min="1197" max="1197" width="15" style="7508" customWidth="1"/>
    <col min="1198" max="1199" width="15.109375" style="7508" customWidth="1"/>
    <col min="1200" max="1449" width="9.109375" style="7508"/>
    <col min="1450" max="1450" width="3.88671875" style="7508" customWidth="1"/>
    <col min="1451" max="1451" width="38.44140625" style="7508" customWidth="1"/>
    <col min="1452" max="1452" width="12.44140625" style="7508" customWidth="1"/>
    <col min="1453" max="1453" width="15" style="7508" customWidth="1"/>
    <col min="1454" max="1455" width="15.109375" style="7508" customWidth="1"/>
    <col min="1456" max="1705" width="9.109375" style="7508"/>
    <col min="1706" max="1706" width="3.88671875" style="7508" customWidth="1"/>
    <col min="1707" max="1707" width="38.44140625" style="7508" customWidth="1"/>
    <col min="1708" max="1708" width="12.44140625" style="7508" customWidth="1"/>
    <col min="1709" max="1709" width="15" style="7508" customWidth="1"/>
    <col min="1710" max="1711" width="15.109375" style="7508" customWidth="1"/>
    <col min="1712" max="1961" width="9.109375" style="7508"/>
    <col min="1962" max="1962" width="3.88671875" style="7508" customWidth="1"/>
    <col min="1963" max="1963" width="38.44140625" style="7508" customWidth="1"/>
    <col min="1964" max="1964" width="12.44140625" style="7508" customWidth="1"/>
    <col min="1965" max="1965" width="15" style="7508" customWidth="1"/>
    <col min="1966" max="1967" width="15.109375" style="7508" customWidth="1"/>
    <col min="1968" max="2217" width="9.109375" style="7508"/>
    <col min="2218" max="2218" width="3.88671875" style="7508" customWidth="1"/>
    <col min="2219" max="2219" width="38.44140625" style="7508" customWidth="1"/>
    <col min="2220" max="2220" width="12.44140625" style="7508" customWidth="1"/>
    <col min="2221" max="2221" width="15" style="7508" customWidth="1"/>
    <col min="2222" max="2223" width="15.109375" style="7508" customWidth="1"/>
    <col min="2224" max="2473" width="9.109375" style="7508"/>
    <col min="2474" max="2474" width="3.88671875" style="7508" customWidth="1"/>
    <col min="2475" max="2475" width="38.44140625" style="7508" customWidth="1"/>
    <col min="2476" max="2476" width="12.44140625" style="7508" customWidth="1"/>
    <col min="2477" max="2477" width="15" style="7508" customWidth="1"/>
    <col min="2478" max="2479" width="15.109375" style="7508" customWidth="1"/>
    <col min="2480" max="2729" width="9.109375" style="7508"/>
    <col min="2730" max="2730" width="3.88671875" style="7508" customWidth="1"/>
    <col min="2731" max="2731" width="38.44140625" style="7508" customWidth="1"/>
    <col min="2732" max="2732" width="12.44140625" style="7508" customWidth="1"/>
    <col min="2733" max="2733" width="15" style="7508" customWidth="1"/>
    <col min="2734" max="2735" width="15.109375" style="7508" customWidth="1"/>
    <col min="2736" max="2985" width="9.109375" style="7508"/>
    <col min="2986" max="2986" width="3.88671875" style="7508" customWidth="1"/>
    <col min="2987" max="2987" width="38.44140625" style="7508" customWidth="1"/>
    <col min="2988" max="2988" width="12.44140625" style="7508" customWidth="1"/>
    <col min="2989" max="2989" width="15" style="7508" customWidth="1"/>
    <col min="2990" max="2991" width="15.109375" style="7508" customWidth="1"/>
    <col min="2992" max="3241" width="9.109375" style="7508"/>
    <col min="3242" max="3242" width="3.88671875" style="7508" customWidth="1"/>
    <col min="3243" max="3243" width="38.44140625" style="7508" customWidth="1"/>
    <col min="3244" max="3244" width="12.44140625" style="7508" customWidth="1"/>
    <col min="3245" max="3245" width="15" style="7508" customWidth="1"/>
    <col min="3246" max="3247" width="15.109375" style="7508" customWidth="1"/>
    <col min="3248" max="3497" width="9.109375" style="7508"/>
    <col min="3498" max="3498" width="3.88671875" style="7508" customWidth="1"/>
    <col min="3499" max="3499" width="38.44140625" style="7508" customWidth="1"/>
    <col min="3500" max="3500" width="12.44140625" style="7508" customWidth="1"/>
    <col min="3501" max="3501" width="15" style="7508" customWidth="1"/>
    <col min="3502" max="3503" width="15.109375" style="7508" customWidth="1"/>
    <col min="3504" max="3753" width="9.109375" style="7508"/>
    <col min="3754" max="3754" width="3.88671875" style="7508" customWidth="1"/>
    <col min="3755" max="3755" width="38.44140625" style="7508" customWidth="1"/>
    <col min="3756" max="3756" width="12.44140625" style="7508" customWidth="1"/>
    <col min="3757" max="3757" width="15" style="7508" customWidth="1"/>
    <col min="3758" max="3759" width="15.109375" style="7508" customWidth="1"/>
    <col min="3760" max="4009" width="9.109375" style="7508"/>
    <col min="4010" max="4010" width="3.88671875" style="7508" customWidth="1"/>
    <col min="4011" max="4011" width="38.44140625" style="7508" customWidth="1"/>
    <col min="4012" max="4012" width="12.44140625" style="7508" customWidth="1"/>
    <col min="4013" max="4013" width="15" style="7508" customWidth="1"/>
    <col min="4014" max="4015" width="15.109375" style="7508" customWidth="1"/>
    <col min="4016" max="4265" width="9.109375" style="7508"/>
    <col min="4266" max="4266" width="3.88671875" style="7508" customWidth="1"/>
    <col min="4267" max="4267" width="38.44140625" style="7508" customWidth="1"/>
    <col min="4268" max="4268" width="12.44140625" style="7508" customWidth="1"/>
    <col min="4269" max="4269" width="15" style="7508" customWidth="1"/>
    <col min="4270" max="4271" width="15.109375" style="7508" customWidth="1"/>
    <col min="4272" max="4521" width="9.109375" style="7508"/>
    <col min="4522" max="4522" width="3.88671875" style="7508" customWidth="1"/>
    <col min="4523" max="4523" width="38.44140625" style="7508" customWidth="1"/>
    <col min="4524" max="4524" width="12.44140625" style="7508" customWidth="1"/>
    <col min="4525" max="4525" width="15" style="7508" customWidth="1"/>
    <col min="4526" max="4527" width="15.109375" style="7508" customWidth="1"/>
    <col min="4528" max="4777" width="9.109375" style="7508"/>
    <col min="4778" max="4778" width="3.88671875" style="7508" customWidth="1"/>
    <col min="4779" max="4779" width="38.44140625" style="7508" customWidth="1"/>
    <col min="4780" max="4780" width="12.44140625" style="7508" customWidth="1"/>
    <col min="4781" max="4781" width="15" style="7508" customWidth="1"/>
    <col min="4782" max="4783" width="15.109375" style="7508" customWidth="1"/>
    <col min="4784" max="5033" width="9.109375" style="7508"/>
    <col min="5034" max="5034" width="3.88671875" style="7508" customWidth="1"/>
    <col min="5035" max="5035" width="38.44140625" style="7508" customWidth="1"/>
    <col min="5036" max="5036" width="12.44140625" style="7508" customWidth="1"/>
    <col min="5037" max="5037" width="15" style="7508" customWidth="1"/>
    <col min="5038" max="5039" width="15.109375" style="7508" customWidth="1"/>
    <col min="5040" max="5289" width="9.109375" style="7508"/>
    <col min="5290" max="5290" width="3.88671875" style="7508" customWidth="1"/>
    <col min="5291" max="5291" width="38.44140625" style="7508" customWidth="1"/>
    <col min="5292" max="5292" width="12.44140625" style="7508" customWidth="1"/>
    <col min="5293" max="5293" width="15" style="7508" customWidth="1"/>
    <col min="5294" max="5295" width="15.109375" style="7508" customWidth="1"/>
    <col min="5296" max="5545" width="9.109375" style="7508"/>
    <col min="5546" max="5546" width="3.88671875" style="7508" customWidth="1"/>
    <col min="5547" max="5547" width="38.44140625" style="7508" customWidth="1"/>
    <col min="5548" max="5548" width="12.44140625" style="7508" customWidth="1"/>
    <col min="5549" max="5549" width="15" style="7508" customWidth="1"/>
    <col min="5550" max="5551" width="15.109375" style="7508" customWidth="1"/>
    <col min="5552" max="5801" width="9.109375" style="7508"/>
    <col min="5802" max="5802" width="3.88671875" style="7508" customWidth="1"/>
    <col min="5803" max="5803" width="38.44140625" style="7508" customWidth="1"/>
    <col min="5804" max="5804" width="12.44140625" style="7508" customWidth="1"/>
    <col min="5805" max="5805" width="15" style="7508" customWidth="1"/>
    <col min="5806" max="5807" width="15.109375" style="7508" customWidth="1"/>
    <col min="5808" max="6057" width="9.109375" style="7508"/>
    <col min="6058" max="6058" width="3.88671875" style="7508" customWidth="1"/>
    <col min="6059" max="6059" width="38.44140625" style="7508" customWidth="1"/>
    <col min="6060" max="6060" width="12.44140625" style="7508" customWidth="1"/>
    <col min="6061" max="6061" width="15" style="7508" customWidth="1"/>
    <col min="6062" max="6063" width="15.109375" style="7508" customWidth="1"/>
    <col min="6064" max="6313" width="9.109375" style="7508"/>
    <col min="6314" max="6314" width="3.88671875" style="7508" customWidth="1"/>
    <col min="6315" max="6315" width="38.44140625" style="7508" customWidth="1"/>
    <col min="6316" max="6316" width="12.44140625" style="7508" customWidth="1"/>
    <col min="6317" max="6317" width="15" style="7508" customWidth="1"/>
    <col min="6318" max="6319" width="15.109375" style="7508" customWidth="1"/>
    <col min="6320" max="6569" width="9.109375" style="7508"/>
    <col min="6570" max="6570" width="3.88671875" style="7508" customWidth="1"/>
    <col min="6571" max="6571" width="38.44140625" style="7508" customWidth="1"/>
    <col min="6572" max="6572" width="12.44140625" style="7508" customWidth="1"/>
    <col min="6573" max="6573" width="15" style="7508" customWidth="1"/>
    <col min="6574" max="6575" width="15.109375" style="7508" customWidth="1"/>
    <col min="6576" max="6825" width="9.109375" style="7508"/>
    <col min="6826" max="6826" width="3.88671875" style="7508" customWidth="1"/>
    <col min="6827" max="6827" width="38.44140625" style="7508" customWidth="1"/>
    <col min="6828" max="6828" width="12.44140625" style="7508" customWidth="1"/>
    <col min="6829" max="6829" width="15" style="7508" customWidth="1"/>
    <col min="6830" max="6831" width="15.109375" style="7508" customWidth="1"/>
    <col min="6832" max="7081" width="9.109375" style="7508"/>
    <col min="7082" max="7082" width="3.88671875" style="7508" customWidth="1"/>
    <col min="7083" max="7083" width="38.44140625" style="7508" customWidth="1"/>
    <col min="7084" max="7084" width="12.44140625" style="7508" customWidth="1"/>
    <col min="7085" max="7085" width="15" style="7508" customWidth="1"/>
    <col min="7086" max="7087" width="15.109375" style="7508" customWidth="1"/>
    <col min="7088" max="7337" width="9.109375" style="7508"/>
    <col min="7338" max="7338" width="3.88671875" style="7508" customWidth="1"/>
    <col min="7339" max="7339" width="38.44140625" style="7508" customWidth="1"/>
    <col min="7340" max="7340" width="12.44140625" style="7508" customWidth="1"/>
    <col min="7341" max="7341" width="15" style="7508" customWidth="1"/>
    <col min="7342" max="7343" width="15.109375" style="7508" customWidth="1"/>
    <col min="7344" max="7593" width="9.109375" style="7508"/>
    <col min="7594" max="7594" width="3.88671875" style="7508" customWidth="1"/>
    <col min="7595" max="7595" width="38.44140625" style="7508" customWidth="1"/>
    <col min="7596" max="7596" width="12.44140625" style="7508" customWidth="1"/>
    <col min="7597" max="7597" width="15" style="7508" customWidth="1"/>
    <col min="7598" max="7599" width="15.109375" style="7508" customWidth="1"/>
    <col min="7600" max="7849" width="9.109375" style="7508"/>
    <col min="7850" max="7850" width="3.88671875" style="7508" customWidth="1"/>
    <col min="7851" max="7851" width="38.44140625" style="7508" customWidth="1"/>
    <col min="7852" max="7852" width="12.44140625" style="7508" customWidth="1"/>
    <col min="7853" max="7853" width="15" style="7508" customWidth="1"/>
    <col min="7854" max="7855" width="15.109375" style="7508" customWidth="1"/>
    <col min="7856" max="8105" width="9.109375" style="7508"/>
    <col min="8106" max="8106" width="3.88671875" style="7508" customWidth="1"/>
    <col min="8107" max="8107" width="38.44140625" style="7508" customWidth="1"/>
    <col min="8108" max="8108" width="12.44140625" style="7508" customWidth="1"/>
    <col min="8109" max="8109" width="15" style="7508" customWidth="1"/>
    <col min="8110" max="8111" width="15.109375" style="7508" customWidth="1"/>
    <col min="8112" max="8361" width="9.109375" style="7508"/>
    <col min="8362" max="8362" width="3.88671875" style="7508" customWidth="1"/>
    <col min="8363" max="8363" width="38.44140625" style="7508" customWidth="1"/>
    <col min="8364" max="8364" width="12.44140625" style="7508" customWidth="1"/>
    <col min="8365" max="8365" width="15" style="7508" customWidth="1"/>
    <col min="8366" max="8367" width="15.109375" style="7508" customWidth="1"/>
    <col min="8368" max="8617" width="9.109375" style="7508"/>
    <col min="8618" max="8618" width="3.88671875" style="7508" customWidth="1"/>
    <col min="8619" max="8619" width="38.44140625" style="7508" customWidth="1"/>
    <col min="8620" max="8620" width="12.44140625" style="7508" customWidth="1"/>
    <col min="8621" max="8621" width="15" style="7508" customWidth="1"/>
    <col min="8622" max="8623" width="15.109375" style="7508" customWidth="1"/>
    <col min="8624" max="8873" width="9.109375" style="7508"/>
    <col min="8874" max="8874" width="3.88671875" style="7508" customWidth="1"/>
    <col min="8875" max="8875" width="38.44140625" style="7508" customWidth="1"/>
    <col min="8876" max="8876" width="12.44140625" style="7508" customWidth="1"/>
    <col min="8877" max="8877" width="15" style="7508" customWidth="1"/>
    <col min="8878" max="8879" width="15.109375" style="7508" customWidth="1"/>
    <col min="8880" max="9129" width="9.109375" style="7508"/>
    <col min="9130" max="9130" width="3.88671875" style="7508" customWidth="1"/>
    <col min="9131" max="9131" width="38.44140625" style="7508" customWidth="1"/>
    <col min="9132" max="9132" width="12.44140625" style="7508" customWidth="1"/>
    <col min="9133" max="9133" width="15" style="7508" customWidth="1"/>
    <col min="9134" max="9135" width="15.109375" style="7508" customWidth="1"/>
    <col min="9136" max="9385" width="9.109375" style="7508"/>
    <col min="9386" max="9386" width="3.88671875" style="7508" customWidth="1"/>
    <col min="9387" max="9387" width="38.44140625" style="7508" customWidth="1"/>
    <col min="9388" max="9388" width="12.44140625" style="7508" customWidth="1"/>
    <col min="9389" max="9389" width="15" style="7508" customWidth="1"/>
    <col min="9390" max="9391" width="15.109375" style="7508" customWidth="1"/>
    <col min="9392" max="9641" width="9.109375" style="7508"/>
    <col min="9642" max="9642" width="3.88671875" style="7508" customWidth="1"/>
    <col min="9643" max="9643" width="38.44140625" style="7508" customWidth="1"/>
    <col min="9644" max="9644" width="12.44140625" style="7508" customWidth="1"/>
    <col min="9645" max="9645" width="15" style="7508" customWidth="1"/>
    <col min="9646" max="9647" width="15.109375" style="7508" customWidth="1"/>
    <col min="9648" max="9897" width="9.109375" style="7508"/>
    <col min="9898" max="9898" width="3.88671875" style="7508" customWidth="1"/>
    <col min="9899" max="9899" width="38.44140625" style="7508" customWidth="1"/>
    <col min="9900" max="9900" width="12.44140625" style="7508" customWidth="1"/>
    <col min="9901" max="9901" width="15" style="7508" customWidth="1"/>
    <col min="9902" max="9903" width="15.109375" style="7508" customWidth="1"/>
    <col min="9904" max="10153" width="9.109375" style="7508"/>
    <col min="10154" max="10154" width="3.88671875" style="7508" customWidth="1"/>
    <col min="10155" max="10155" width="38.44140625" style="7508" customWidth="1"/>
    <col min="10156" max="10156" width="12.44140625" style="7508" customWidth="1"/>
    <col min="10157" max="10157" width="15" style="7508" customWidth="1"/>
    <col min="10158" max="10159" width="15.109375" style="7508" customWidth="1"/>
    <col min="10160" max="10409" width="9.109375" style="7508"/>
    <col min="10410" max="10410" width="3.88671875" style="7508" customWidth="1"/>
    <col min="10411" max="10411" width="38.44140625" style="7508" customWidth="1"/>
    <col min="10412" max="10412" width="12.44140625" style="7508" customWidth="1"/>
    <col min="10413" max="10413" width="15" style="7508" customWidth="1"/>
    <col min="10414" max="10415" width="15.109375" style="7508" customWidth="1"/>
    <col min="10416" max="10665" width="9.109375" style="7508"/>
    <col min="10666" max="10666" width="3.88671875" style="7508" customWidth="1"/>
    <col min="10667" max="10667" width="38.44140625" style="7508" customWidth="1"/>
    <col min="10668" max="10668" width="12.44140625" style="7508" customWidth="1"/>
    <col min="10669" max="10669" width="15" style="7508" customWidth="1"/>
    <col min="10670" max="10671" width="15.109375" style="7508" customWidth="1"/>
    <col min="10672" max="10921" width="9.109375" style="7508"/>
    <col min="10922" max="10922" width="3.88671875" style="7508" customWidth="1"/>
    <col min="10923" max="10923" width="38.44140625" style="7508" customWidth="1"/>
    <col min="10924" max="10924" width="12.44140625" style="7508" customWidth="1"/>
    <col min="10925" max="10925" width="15" style="7508" customWidth="1"/>
    <col min="10926" max="10927" width="15.109375" style="7508" customWidth="1"/>
    <col min="10928" max="11177" width="9.109375" style="7508"/>
    <col min="11178" max="11178" width="3.88671875" style="7508" customWidth="1"/>
    <col min="11179" max="11179" width="38.44140625" style="7508" customWidth="1"/>
    <col min="11180" max="11180" width="12.44140625" style="7508" customWidth="1"/>
    <col min="11181" max="11181" width="15" style="7508" customWidth="1"/>
    <col min="11182" max="11183" width="15.109375" style="7508" customWidth="1"/>
    <col min="11184" max="11433" width="9.109375" style="7508"/>
    <col min="11434" max="11434" width="3.88671875" style="7508" customWidth="1"/>
    <col min="11435" max="11435" width="38.44140625" style="7508" customWidth="1"/>
    <col min="11436" max="11436" width="12.44140625" style="7508" customWidth="1"/>
    <col min="11437" max="11437" width="15" style="7508" customWidth="1"/>
    <col min="11438" max="11439" width="15.109375" style="7508" customWidth="1"/>
    <col min="11440" max="11689" width="9.109375" style="7508"/>
    <col min="11690" max="11690" width="3.88671875" style="7508" customWidth="1"/>
    <col min="11691" max="11691" width="38.44140625" style="7508" customWidth="1"/>
    <col min="11692" max="11692" width="12.44140625" style="7508" customWidth="1"/>
    <col min="11693" max="11693" width="15" style="7508" customWidth="1"/>
    <col min="11694" max="11695" width="15.109375" style="7508" customWidth="1"/>
    <col min="11696" max="11945" width="9.109375" style="7508"/>
    <col min="11946" max="11946" width="3.88671875" style="7508" customWidth="1"/>
    <col min="11947" max="11947" width="38.44140625" style="7508" customWidth="1"/>
    <col min="11948" max="11948" width="12.44140625" style="7508" customWidth="1"/>
    <col min="11949" max="11949" width="15" style="7508" customWidth="1"/>
    <col min="11950" max="11951" width="15.109375" style="7508" customWidth="1"/>
    <col min="11952" max="12201" width="9.109375" style="7508"/>
    <col min="12202" max="12202" width="3.88671875" style="7508" customWidth="1"/>
    <col min="12203" max="12203" width="38.44140625" style="7508" customWidth="1"/>
    <col min="12204" max="12204" width="12.44140625" style="7508" customWidth="1"/>
    <col min="12205" max="12205" width="15" style="7508" customWidth="1"/>
    <col min="12206" max="12207" width="15.109375" style="7508" customWidth="1"/>
    <col min="12208" max="12457" width="9.109375" style="7508"/>
    <col min="12458" max="12458" width="3.88671875" style="7508" customWidth="1"/>
    <col min="12459" max="12459" width="38.44140625" style="7508" customWidth="1"/>
    <col min="12460" max="12460" width="12.44140625" style="7508" customWidth="1"/>
    <col min="12461" max="12461" width="15" style="7508" customWidth="1"/>
    <col min="12462" max="12463" width="15.109375" style="7508" customWidth="1"/>
    <col min="12464" max="12713" width="9.109375" style="7508"/>
    <col min="12714" max="12714" width="3.88671875" style="7508" customWidth="1"/>
    <col min="12715" max="12715" width="38.44140625" style="7508" customWidth="1"/>
    <col min="12716" max="12716" width="12.44140625" style="7508" customWidth="1"/>
    <col min="12717" max="12717" width="15" style="7508" customWidth="1"/>
    <col min="12718" max="12719" width="15.109375" style="7508" customWidth="1"/>
    <col min="12720" max="12969" width="9.109375" style="7508"/>
    <col min="12970" max="12970" width="3.88671875" style="7508" customWidth="1"/>
    <col min="12971" max="12971" width="38.44140625" style="7508" customWidth="1"/>
    <col min="12972" max="12972" width="12.44140625" style="7508" customWidth="1"/>
    <col min="12973" max="12973" width="15" style="7508" customWidth="1"/>
    <col min="12974" max="12975" width="15.109375" style="7508" customWidth="1"/>
    <col min="12976" max="13225" width="9.109375" style="7508"/>
    <col min="13226" max="13226" width="3.88671875" style="7508" customWidth="1"/>
    <col min="13227" max="13227" width="38.44140625" style="7508" customWidth="1"/>
    <col min="13228" max="13228" width="12.44140625" style="7508" customWidth="1"/>
    <col min="13229" max="13229" width="15" style="7508" customWidth="1"/>
    <col min="13230" max="13231" width="15.109375" style="7508" customWidth="1"/>
    <col min="13232" max="13481" width="9.109375" style="7508"/>
    <col min="13482" max="13482" width="3.88671875" style="7508" customWidth="1"/>
    <col min="13483" max="13483" width="38.44140625" style="7508" customWidth="1"/>
    <col min="13484" max="13484" width="12.44140625" style="7508" customWidth="1"/>
    <col min="13485" max="13485" width="15" style="7508" customWidth="1"/>
    <col min="13486" max="13487" width="15.109375" style="7508" customWidth="1"/>
    <col min="13488" max="13737" width="9.109375" style="7508"/>
    <col min="13738" max="13738" width="3.88671875" style="7508" customWidth="1"/>
    <col min="13739" max="13739" width="38.44140625" style="7508" customWidth="1"/>
    <col min="13740" max="13740" width="12.44140625" style="7508" customWidth="1"/>
    <col min="13741" max="13741" width="15" style="7508" customWidth="1"/>
    <col min="13742" max="13743" width="15.109375" style="7508" customWidth="1"/>
    <col min="13744" max="13993" width="9.109375" style="7508"/>
    <col min="13994" max="13994" width="3.88671875" style="7508" customWidth="1"/>
    <col min="13995" max="13995" width="38.44140625" style="7508" customWidth="1"/>
    <col min="13996" max="13996" width="12.44140625" style="7508" customWidth="1"/>
    <col min="13997" max="13997" width="15" style="7508" customWidth="1"/>
    <col min="13998" max="13999" width="15.109375" style="7508" customWidth="1"/>
    <col min="14000" max="14249" width="9.109375" style="7508"/>
    <col min="14250" max="14250" width="3.88671875" style="7508" customWidth="1"/>
    <col min="14251" max="14251" width="38.44140625" style="7508" customWidth="1"/>
    <col min="14252" max="14252" width="12.44140625" style="7508" customWidth="1"/>
    <col min="14253" max="14253" width="15" style="7508" customWidth="1"/>
    <col min="14254" max="14255" width="15.109375" style="7508" customWidth="1"/>
    <col min="14256" max="14505" width="9.109375" style="7508"/>
    <col min="14506" max="14506" width="3.88671875" style="7508" customWidth="1"/>
    <col min="14507" max="14507" width="38.44140625" style="7508" customWidth="1"/>
    <col min="14508" max="14508" width="12.44140625" style="7508" customWidth="1"/>
    <col min="14509" max="14509" width="15" style="7508" customWidth="1"/>
    <col min="14510" max="14511" width="15.109375" style="7508" customWidth="1"/>
    <col min="14512" max="14761" width="9.109375" style="7508"/>
    <col min="14762" max="14762" width="3.88671875" style="7508" customWidth="1"/>
    <col min="14763" max="14763" width="38.44140625" style="7508" customWidth="1"/>
    <col min="14764" max="14764" width="12.44140625" style="7508" customWidth="1"/>
    <col min="14765" max="14765" width="15" style="7508" customWidth="1"/>
    <col min="14766" max="14767" width="15.109375" style="7508" customWidth="1"/>
    <col min="14768" max="15017" width="9.109375" style="7508"/>
    <col min="15018" max="15018" width="3.88671875" style="7508" customWidth="1"/>
    <col min="15019" max="15019" width="38.44140625" style="7508" customWidth="1"/>
    <col min="15020" max="15020" width="12.44140625" style="7508" customWidth="1"/>
    <col min="15021" max="15021" width="15" style="7508" customWidth="1"/>
    <col min="15022" max="15023" width="15.109375" style="7508" customWidth="1"/>
    <col min="15024" max="15273" width="9.109375" style="7508"/>
    <col min="15274" max="15274" width="3.88671875" style="7508" customWidth="1"/>
    <col min="15275" max="15275" width="38.44140625" style="7508" customWidth="1"/>
    <col min="15276" max="15276" width="12.44140625" style="7508" customWidth="1"/>
    <col min="15277" max="15277" width="15" style="7508" customWidth="1"/>
    <col min="15278" max="15279" width="15.109375" style="7508" customWidth="1"/>
    <col min="15280" max="15529" width="9.109375" style="7508"/>
    <col min="15530" max="15530" width="3.88671875" style="7508" customWidth="1"/>
    <col min="15531" max="15531" width="38.44140625" style="7508" customWidth="1"/>
    <col min="15532" max="15532" width="12.44140625" style="7508" customWidth="1"/>
    <col min="15533" max="15533" width="15" style="7508" customWidth="1"/>
    <col min="15534" max="15535" width="15.109375" style="7508" customWidth="1"/>
    <col min="15536" max="15785" width="9.109375" style="7508"/>
    <col min="15786" max="15786" width="3.88671875" style="7508" customWidth="1"/>
    <col min="15787" max="15787" width="38.44140625" style="7508" customWidth="1"/>
    <col min="15788" max="15788" width="12.44140625" style="7508" customWidth="1"/>
    <col min="15789" max="15789" width="15" style="7508" customWidth="1"/>
    <col min="15790" max="15791" width="15.109375" style="7508" customWidth="1"/>
    <col min="15792" max="16041" width="9.109375" style="7508"/>
    <col min="16042" max="16042" width="3.88671875" style="7508" customWidth="1"/>
    <col min="16043" max="16043" width="38.44140625" style="7508" customWidth="1"/>
    <col min="16044" max="16044" width="12.44140625" style="7508" customWidth="1"/>
    <col min="16045" max="16045" width="15" style="7508" customWidth="1"/>
    <col min="16046" max="16047" width="15.109375" style="7508" customWidth="1"/>
    <col min="16048" max="16384" width="9.109375" style="7508"/>
  </cols>
  <sheetData>
    <row r="1" spans="1:12" ht="15" customHeight="1">
      <c r="A1" s="14912" t="s">
        <v>1</v>
      </c>
      <c r="B1" s="14912"/>
      <c r="C1" s="14912"/>
      <c r="D1" s="14912"/>
      <c r="E1" s="14912"/>
      <c r="F1" s="14912"/>
      <c r="G1" s="14912"/>
      <c r="H1" s="14912"/>
      <c r="I1" s="14912"/>
      <c r="J1" s="14912"/>
    </row>
    <row r="2" spans="1:12" ht="15" customHeight="1">
      <c r="A2" s="7509"/>
      <c r="B2" s="7510"/>
      <c r="C2" s="7773"/>
      <c r="D2" s="7512"/>
      <c r="E2" s="7512"/>
      <c r="F2" s="7512"/>
      <c r="G2" s="7512"/>
      <c r="H2" s="7512"/>
      <c r="I2" s="7280"/>
      <c r="J2" s="7512"/>
    </row>
    <row r="3" spans="1:12" ht="15" customHeight="1">
      <c r="A3" s="7509" t="s">
        <v>10733</v>
      </c>
      <c r="B3" s="7513"/>
      <c r="C3" s="7774" t="s">
        <v>10734</v>
      </c>
      <c r="D3" s="7515"/>
      <c r="E3" s="7515"/>
      <c r="F3" s="7515"/>
      <c r="G3" s="7515"/>
      <c r="H3" s="7515"/>
      <c r="I3" s="7284"/>
      <c r="J3" s="15106"/>
    </row>
    <row r="4" spans="1:12" ht="15" customHeight="1">
      <c r="A4" s="7509" t="s">
        <v>10735</v>
      </c>
      <c r="B4" s="7509"/>
      <c r="C4" s="7773" t="s">
        <v>92</v>
      </c>
      <c r="D4" s="7516"/>
      <c r="E4" s="7516"/>
      <c r="F4" s="7516"/>
      <c r="G4" s="7515"/>
      <c r="H4" s="7516"/>
      <c r="I4" s="7286"/>
      <c r="J4" s="15106"/>
    </row>
    <row r="5" spans="1:12" ht="15" customHeight="1" thickBot="1">
      <c r="A5" s="7517" t="s">
        <v>10736</v>
      </c>
      <c r="B5" s="7517"/>
      <c r="C5" s="7775" t="s">
        <v>8</v>
      </c>
      <c r="D5" s="7519"/>
      <c r="E5" s="7520"/>
      <c r="F5" s="7520"/>
      <c r="G5" s="7519"/>
      <c r="H5" s="7520"/>
      <c r="I5" s="7294"/>
      <c r="J5" s="7519"/>
    </row>
    <row r="6" spans="1:12" ht="15" customHeight="1">
      <c r="A6" s="11781"/>
      <c r="B6" s="11782"/>
      <c r="C6" s="11783" t="s">
        <v>9</v>
      </c>
      <c r="D6" s="11784" t="s">
        <v>10</v>
      </c>
      <c r="E6" s="14188" t="s">
        <v>10711</v>
      </c>
      <c r="F6" s="14189"/>
      <c r="G6" s="14190"/>
      <c r="H6" s="11080" t="s">
        <v>9985</v>
      </c>
      <c r="I6" s="9462"/>
      <c r="J6" s="11785" t="s">
        <v>12</v>
      </c>
    </row>
    <row r="7" spans="1:12" ht="15" customHeight="1">
      <c r="A7" s="7548"/>
      <c r="B7" s="7526" t="s">
        <v>13</v>
      </c>
      <c r="C7" s="15104" t="s">
        <v>14</v>
      </c>
      <c r="D7" s="11786" t="s">
        <v>15</v>
      </c>
      <c r="E7" s="9502" t="s">
        <v>10709</v>
      </c>
      <c r="F7" s="9503" t="s">
        <v>10710</v>
      </c>
      <c r="G7" s="14191" t="s">
        <v>458</v>
      </c>
      <c r="H7" s="11084" t="s">
        <v>11871</v>
      </c>
      <c r="I7" s="11108"/>
      <c r="J7" s="11787" t="s">
        <v>16</v>
      </c>
    </row>
    <row r="8" spans="1:12" s="7776" customFormat="1" ht="15" customHeight="1" thickBot="1">
      <c r="A8" s="11788"/>
      <c r="B8" s="11789"/>
      <c r="C8" s="15105"/>
      <c r="D8" s="7852">
        <v>2017</v>
      </c>
      <c r="E8" s="9467" t="s">
        <v>457</v>
      </c>
      <c r="F8" s="11661" t="s">
        <v>456</v>
      </c>
      <c r="G8" s="14192"/>
      <c r="H8" s="7302">
        <v>2018</v>
      </c>
      <c r="I8" s="7322"/>
      <c r="J8" s="11790">
        <v>2019</v>
      </c>
      <c r="K8" s="10598"/>
      <c r="L8" s="7854"/>
    </row>
    <row r="9" spans="1:12" ht="15" customHeight="1">
      <c r="A9" s="11791" t="s">
        <v>17</v>
      </c>
      <c r="B9" s="7536" t="s">
        <v>18</v>
      </c>
      <c r="C9" s="10139"/>
      <c r="D9" s="11792"/>
      <c r="E9" s="11792"/>
      <c r="F9" s="11792"/>
      <c r="G9" s="11792"/>
      <c r="H9" s="11792"/>
      <c r="I9" s="11163"/>
      <c r="J9" s="11793"/>
    </row>
    <row r="10" spans="1:12" ht="15" customHeight="1">
      <c r="A10" s="7548"/>
      <c r="B10" s="7536" t="s">
        <v>19</v>
      </c>
      <c r="C10" s="10139"/>
      <c r="D10" s="11792"/>
      <c r="E10" s="11792"/>
      <c r="F10" s="11792"/>
      <c r="G10" s="11792"/>
      <c r="H10" s="11792"/>
      <c r="I10" s="11163"/>
      <c r="J10" s="11793"/>
    </row>
    <row r="11" spans="1:12" ht="15" customHeight="1">
      <c r="A11" s="7548"/>
      <c r="B11" s="7352" t="s">
        <v>20</v>
      </c>
      <c r="C11" s="8872">
        <v>50101010</v>
      </c>
      <c r="D11" s="11794">
        <f>'WS-PS 2017'!B31</f>
        <v>8934962.7599999998</v>
      </c>
      <c r="E11" s="11794">
        <f>'WS-PS ACTUAL JUNE 2018'!B31</f>
        <v>5148342.9400000004</v>
      </c>
      <c r="F11" s="11794">
        <f>G11-E11</f>
        <v>9638957.0599999987</v>
      </c>
      <c r="G11" s="11794">
        <v>14787300</v>
      </c>
      <c r="H11" s="11794"/>
      <c r="I11" s="11165"/>
      <c r="J11" s="11795">
        <f>K11</f>
        <v>15102576</v>
      </c>
      <c r="K11" s="11778">
        <f>'staffing-loon'!F68</f>
        <v>15102576</v>
      </c>
      <c r="L11" s="7600">
        <f>'staffing-loon'!B68</f>
        <v>52</v>
      </c>
    </row>
    <row r="12" spans="1:12" ht="15" customHeight="1">
      <c r="A12" s="7548"/>
      <c r="B12" s="7352" t="s">
        <v>21</v>
      </c>
      <c r="C12" s="8872">
        <v>50102010</v>
      </c>
      <c r="D12" s="11792">
        <f>'WS-PS 2017'!F31</f>
        <v>907167.36</v>
      </c>
      <c r="E12" s="11792">
        <f>'WS-PS ACTUAL JUNE 2018'!D31</f>
        <v>476454.57</v>
      </c>
      <c r="F12" s="11794">
        <f t="shared" ref="F12:F29" si="0">G12-E12</f>
        <v>771545.42999999993</v>
      </c>
      <c r="G12" s="11792">
        <v>1248000</v>
      </c>
      <c r="H12" s="11792"/>
      <c r="I12" s="11163"/>
      <c r="J12" s="11795">
        <f t="shared" ref="J12:J29" si="1">K12</f>
        <v>1248000</v>
      </c>
      <c r="K12" s="7502">
        <f>24000*L11</f>
        <v>1248000</v>
      </c>
    </row>
    <row r="13" spans="1:12" ht="15" customHeight="1">
      <c r="A13" s="7548"/>
      <c r="B13" s="11242" t="s">
        <v>104</v>
      </c>
      <c r="C13" s="8872">
        <v>50102020</v>
      </c>
      <c r="D13" s="11792">
        <f>'WS-PS 2017'!G31</f>
        <v>39500</v>
      </c>
      <c r="E13" s="11792">
        <f>'WS-PS ACTUAL JUNE 2018'!E31</f>
        <v>18750</v>
      </c>
      <c r="F13" s="11794">
        <f t="shared" si="0"/>
        <v>41250</v>
      </c>
      <c r="G13" s="11792">
        <v>60000</v>
      </c>
      <c r="H13" s="11792"/>
      <c r="I13" s="11163"/>
      <c r="J13" s="11795">
        <f t="shared" si="1"/>
        <v>60000</v>
      </c>
      <c r="K13" s="7502">
        <v>60000</v>
      </c>
    </row>
    <row r="14" spans="1:12" ht="15" customHeight="1">
      <c r="A14" s="7548"/>
      <c r="B14" s="11242" t="s">
        <v>105</v>
      </c>
      <c r="C14" s="8872">
        <v>50102030</v>
      </c>
      <c r="D14" s="11792">
        <f>'WS-PS 2017'!H31</f>
        <v>37500</v>
      </c>
      <c r="E14" s="11792">
        <f>'WS-PS ACTUAL JUNE 2018'!F31</f>
        <v>18750</v>
      </c>
      <c r="F14" s="11794">
        <f t="shared" si="0"/>
        <v>41250</v>
      </c>
      <c r="G14" s="11792">
        <v>60000</v>
      </c>
      <c r="H14" s="11792"/>
      <c r="I14" s="11163"/>
      <c r="J14" s="11795">
        <f t="shared" si="1"/>
        <v>60000</v>
      </c>
      <c r="K14" s="7502">
        <v>60000</v>
      </c>
    </row>
    <row r="15" spans="1:12" ht="15" customHeight="1">
      <c r="A15" s="7548"/>
      <c r="B15" s="11242" t="s">
        <v>22</v>
      </c>
      <c r="C15" s="8872">
        <v>50102040</v>
      </c>
      <c r="D15" s="11792">
        <f>'WS-PS 2017'!I31</f>
        <v>195000</v>
      </c>
      <c r="E15" s="11792">
        <f>'WS-PS ACTUAL JUNE 2018'!G31</f>
        <v>223000</v>
      </c>
      <c r="F15" s="11794">
        <f t="shared" si="0"/>
        <v>37000</v>
      </c>
      <c r="G15" s="11792">
        <v>260000</v>
      </c>
      <c r="H15" s="11792"/>
      <c r="I15" s="11163"/>
      <c r="J15" s="11795">
        <f t="shared" si="1"/>
        <v>312000</v>
      </c>
      <c r="K15" s="7502">
        <f>6000*L11</f>
        <v>312000</v>
      </c>
    </row>
    <row r="16" spans="1:12" ht="15" customHeight="1">
      <c r="A16" s="7548"/>
      <c r="B16" s="11242" t="s">
        <v>106</v>
      </c>
      <c r="C16" s="8872">
        <v>50102050</v>
      </c>
      <c r="D16" s="11792">
        <f>'WS-PS 2017'!J31</f>
        <v>408025</v>
      </c>
      <c r="E16" s="11792">
        <f>'WS-PS ACTUAL JUNE 2018'!H31</f>
        <v>216925</v>
      </c>
      <c r="F16" s="11794">
        <f t="shared" si="0"/>
        <v>719075</v>
      </c>
      <c r="G16" s="11792">
        <v>936000</v>
      </c>
      <c r="H16" s="11792"/>
      <c r="I16" s="11163"/>
      <c r="J16" s="11795">
        <f t="shared" si="1"/>
        <v>561600</v>
      </c>
      <c r="K16" s="7502">
        <f>10800*L11</f>
        <v>561600</v>
      </c>
    </row>
    <row r="17" spans="1:11" ht="15" customHeight="1">
      <c r="A17" s="7548"/>
      <c r="B17" s="7352" t="s">
        <v>10970</v>
      </c>
      <c r="C17" s="8802">
        <v>50102060</v>
      </c>
      <c r="D17" s="11792">
        <f>'WS-PS 2017'!K31</f>
        <v>62539.76</v>
      </c>
      <c r="E17" s="11792">
        <f>'WS-PS ACTUAL JUNE 2018'!I31</f>
        <v>33293.480000000003</v>
      </c>
      <c r="F17" s="11794">
        <f t="shared" si="0"/>
        <v>60306.52</v>
      </c>
      <c r="G17" s="11792">
        <v>93600</v>
      </c>
      <c r="H17" s="11792"/>
      <c r="I17" s="11163"/>
      <c r="J17" s="11795">
        <f t="shared" si="1"/>
        <v>93600</v>
      </c>
      <c r="K17" s="7502">
        <f>1800*L11</f>
        <v>93600</v>
      </c>
    </row>
    <row r="18" spans="1:11" ht="15" customHeight="1">
      <c r="A18" s="7548"/>
      <c r="B18" s="7488" t="s">
        <v>10932</v>
      </c>
      <c r="C18" s="10368">
        <v>50102080</v>
      </c>
      <c r="D18" s="11792">
        <f>'WS-PS 2017'!L31</f>
        <v>200000</v>
      </c>
      <c r="E18" s="11792">
        <f>'WS-PS ACTUAL JUNE 2018'!J31</f>
        <v>0</v>
      </c>
      <c r="F18" s="11794">
        <f t="shared" si="0"/>
        <v>260000</v>
      </c>
      <c r="G18" s="11792">
        <v>260000</v>
      </c>
      <c r="H18" s="11792"/>
      <c r="I18" s="11163"/>
      <c r="J18" s="11795">
        <f t="shared" si="1"/>
        <v>260000</v>
      </c>
      <c r="K18" s="7502">
        <f>5000*L11</f>
        <v>260000</v>
      </c>
    </row>
    <row r="19" spans="1:11" ht="15" customHeight="1">
      <c r="A19" s="7548"/>
      <c r="B19" s="7287" t="s">
        <v>95</v>
      </c>
      <c r="C19" s="11729">
        <v>50102110</v>
      </c>
      <c r="D19" s="11792">
        <f>'WS-PS 2017'!N31</f>
        <v>1983617.68</v>
      </c>
      <c r="E19" s="11792">
        <f>'WS-PS ACTUAL JUNE 2018'!L31</f>
        <v>1181585.23</v>
      </c>
      <c r="F19" s="11794">
        <f t="shared" si="0"/>
        <v>951520.77</v>
      </c>
      <c r="G19" s="11792">
        <v>2133106</v>
      </c>
      <c r="H19" s="11792"/>
      <c r="I19" s="11163"/>
      <c r="J19" s="11795">
        <f t="shared" si="1"/>
        <v>3775644</v>
      </c>
      <c r="K19" s="11654">
        <f>25%*K11</f>
        <v>3775644</v>
      </c>
    </row>
    <row r="20" spans="1:11" ht="15" customHeight="1">
      <c r="A20" s="7548"/>
      <c r="B20" s="7488" t="s">
        <v>10934</v>
      </c>
      <c r="C20" s="8872">
        <v>50102120</v>
      </c>
      <c r="D20" s="11792">
        <f>'WS-PS 2017'!O31</f>
        <v>15000</v>
      </c>
      <c r="E20" s="11792">
        <f>'WS-PS ACTUAL JUNE 2018'!M31</f>
        <v>0</v>
      </c>
      <c r="F20" s="11794">
        <f>G20-E20</f>
        <v>15000</v>
      </c>
      <c r="G20" s="11792">
        <v>15000</v>
      </c>
      <c r="H20" s="11792"/>
      <c r="I20" s="11163"/>
      <c r="J20" s="11795">
        <f t="shared" si="1"/>
        <v>90000</v>
      </c>
      <c r="K20" s="7502">
        <v>90000</v>
      </c>
    </row>
    <row r="21" spans="1:11" ht="15" customHeight="1">
      <c r="A21" s="7548"/>
      <c r="B21" s="7488" t="s">
        <v>10933</v>
      </c>
      <c r="C21" s="8872">
        <v>50102140</v>
      </c>
      <c r="D21" s="11796">
        <f>'WS-PS 2017'!U31+'WS-PS 2017'!S31</f>
        <v>1494471</v>
      </c>
      <c r="E21" s="11796">
        <f>'WS-PS ACTUAL JUNE 2018'!O31</f>
        <v>731319</v>
      </c>
      <c r="F21" s="11794">
        <f t="shared" si="0"/>
        <v>1733231</v>
      </c>
      <c r="G21" s="11796">
        <v>2464550</v>
      </c>
      <c r="H21" s="11796"/>
      <c r="I21" s="11731"/>
      <c r="J21" s="11795">
        <f t="shared" si="1"/>
        <v>2517096</v>
      </c>
      <c r="K21" s="7502">
        <f>SUM(K11:K11)/12*2</f>
        <v>2517096</v>
      </c>
    </row>
    <row r="22" spans="1:11" ht="15" customHeight="1">
      <c r="A22" s="7548"/>
      <c r="B22" s="7287" t="s">
        <v>26</v>
      </c>
      <c r="C22" s="11729">
        <v>50102150</v>
      </c>
      <c r="D22" s="11792">
        <f>'WS-PS 2017'!T31</f>
        <v>200000</v>
      </c>
      <c r="E22" s="11792">
        <f>'WS-PS ACTUAL JUNE 2018'!Q31</f>
        <v>0</v>
      </c>
      <c r="F22" s="11794">
        <f>G22-E22</f>
        <v>260000</v>
      </c>
      <c r="G22" s="11792">
        <v>260000</v>
      </c>
      <c r="H22" s="11792"/>
      <c r="I22" s="11163"/>
      <c r="J22" s="11795">
        <f t="shared" si="1"/>
        <v>260000</v>
      </c>
      <c r="K22" s="10573">
        <f>K18</f>
        <v>260000</v>
      </c>
    </row>
    <row r="23" spans="1:11" ht="15" customHeight="1">
      <c r="A23" s="7548"/>
      <c r="B23" s="7488" t="s">
        <v>11497</v>
      </c>
      <c r="C23" s="11257">
        <v>50102990</v>
      </c>
      <c r="D23" s="11792">
        <v>0</v>
      </c>
      <c r="E23" s="11792">
        <f>'WS-PS ACTUAL JUNE 2018'!R31</f>
        <v>0</v>
      </c>
      <c r="F23" s="11794">
        <f>G23-E23</f>
        <v>708558</v>
      </c>
      <c r="G23" s="11792">
        <v>708558</v>
      </c>
      <c r="H23" s="11792"/>
      <c r="I23" s="11163"/>
      <c r="J23" s="11795">
        <v>0</v>
      </c>
      <c r="K23" s="7502">
        <f>K11/12*0.575</f>
        <v>723665.1</v>
      </c>
    </row>
    <row r="24" spans="1:11" ht="15" customHeight="1">
      <c r="A24" s="7548"/>
      <c r="B24" s="7803" t="s">
        <v>11499</v>
      </c>
      <c r="C24" s="11059" t="s">
        <v>11495</v>
      </c>
      <c r="D24" s="11792">
        <f>'WS-PS 2017'!Q31</f>
        <v>0</v>
      </c>
      <c r="E24" s="11792">
        <f>'WS-PS ACTUAL JUNE 2018'!S31</f>
        <v>0</v>
      </c>
      <c r="F24" s="11794">
        <f>G24-E24</f>
        <v>0</v>
      </c>
      <c r="G24" s="11792">
        <v>0</v>
      </c>
      <c r="H24" s="11792"/>
      <c r="I24" s="11163"/>
      <c r="J24" s="11795">
        <f t="shared" si="1"/>
        <v>156000</v>
      </c>
      <c r="K24" s="7502">
        <f>3000*L11</f>
        <v>156000</v>
      </c>
    </row>
    <row r="25" spans="1:11" ht="15" customHeight="1">
      <c r="A25" s="7548"/>
      <c r="B25" s="11518" t="s">
        <v>59</v>
      </c>
      <c r="C25" s="8872">
        <v>50103010</v>
      </c>
      <c r="D25" s="11792">
        <f>'WS-PS 2017'!V31</f>
        <v>1072195.54</v>
      </c>
      <c r="E25" s="11792">
        <f>'WS-PS ACTUAL JUNE 2018'!T31</f>
        <v>617801.16</v>
      </c>
      <c r="F25" s="11794">
        <f t="shared" si="0"/>
        <v>1156674.8399999999</v>
      </c>
      <c r="G25" s="11792">
        <v>1774476</v>
      </c>
      <c r="H25" s="11792"/>
      <c r="I25" s="11163"/>
      <c r="J25" s="11795">
        <f t="shared" si="1"/>
        <v>1812309.1199999999</v>
      </c>
      <c r="K25" s="11655">
        <f>SUM(K11:K11)*12%</f>
        <v>1812309.1199999999</v>
      </c>
    </row>
    <row r="26" spans="1:11" ht="15" customHeight="1">
      <c r="A26" s="7548"/>
      <c r="B26" s="7803" t="s">
        <v>28</v>
      </c>
      <c r="C26" s="8872">
        <v>50103020</v>
      </c>
      <c r="D26" s="11792">
        <f>'WS-PS 2017'!W31</f>
        <v>45500</v>
      </c>
      <c r="E26" s="11792">
        <f>'WS-PS ACTUAL JUNE 2018'!U31</f>
        <v>23900</v>
      </c>
      <c r="F26" s="11794">
        <f t="shared" si="0"/>
        <v>38500</v>
      </c>
      <c r="G26" s="11792">
        <v>62400</v>
      </c>
      <c r="H26" s="11792"/>
      <c r="I26" s="11163"/>
      <c r="J26" s="11795">
        <f t="shared" si="1"/>
        <v>62400</v>
      </c>
      <c r="K26" s="7502">
        <f>1200*L11</f>
        <v>62400</v>
      </c>
    </row>
    <row r="27" spans="1:11" ht="15" customHeight="1">
      <c r="A27" s="7548"/>
      <c r="B27" s="7803" t="s">
        <v>29</v>
      </c>
      <c r="C27" s="8872">
        <v>50103030</v>
      </c>
      <c r="D27" s="11792">
        <f>'WS-PS 2017'!X31</f>
        <v>100662.5</v>
      </c>
      <c r="E27" s="11792">
        <f>'WS-PS ACTUAL JUNE 2018'!V31</f>
        <v>66881.19</v>
      </c>
      <c r="F27" s="11794">
        <f t="shared" si="0"/>
        <v>72018.81</v>
      </c>
      <c r="G27" s="11792">
        <v>138900</v>
      </c>
      <c r="H27" s="11792"/>
      <c r="I27" s="11163"/>
      <c r="J27" s="11795">
        <v>193398.31500000012</v>
      </c>
      <c r="K27" s="7502">
        <f>3600*L11</f>
        <v>187200</v>
      </c>
    </row>
    <row r="28" spans="1:11" ht="15" customHeight="1">
      <c r="A28" s="7548"/>
      <c r="B28" s="7803" t="s">
        <v>30</v>
      </c>
      <c r="C28" s="8872">
        <v>50103040</v>
      </c>
      <c r="D28" s="11792">
        <f>'WS-PS 2017'!Y31</f>
        <v>45492.7</v>
      </c>
      <c r="E28" s="11792">
        <f>'WS-PS ACTUAL JUNE 2018'!W31</f>
        <v>23899.43</v>
      </c>
      <c r="F28" s="11794">
        <f t="shared" si="0"/>
        <v>38500.57</v>
      </c>
      <c r="G28" s="11792">
        <v>62400</v>
      </c>
      <c r="H28" s="11792"/>
      <c r="I28" s="11163"/>
      <c r="J28" s="11795">
        <f t="shared" si="1"/>
        <v>62400</v>
      </c>
      <c r="K28" s="7502">
        <f>K26</f>
        <v>62400</v>
      </c>
    </row>
    <row r="29" spans="1:11" ht="15" customHeight="1">
      <c r="A29" s="7548"/>
      <c r="B29" s="7488" t="s">
        <v>5025</v>
      </c>
      <c r="C29" s="11258">
        <v>50104990</v>
      </c>
      <c r="D29" s="11792">
        <f>'WS-PS 2017'!Z31</f>
        <v>1000000</v>
      </c>
      <c r="E29" s="11792"/>
      <c r="F29" s="11794">
        <f t="shared" si="0"/>
        <v>0</v>
      </c>
      <c r="G29" s="11792">
        <v>0</v>
      </c>
      <c r="H29" s="11792"/>
      <c r="I29" s="11163"/>
      <c r="J29" s="11795">
        <f t="shared" si="1"/>
        <v>0</v>
      </c>
    </row>
    <row r="30" spans="1:11" ht="15" customHeight="1">
      <c r="A30" s="7548"/>
      <c r="B30" s="7536"/>
      <c r="C30" s="10139"/>
      <c r="D30" s="11792"/>
      <c r="E30" s="11792"/>
      <c r="F30" s="11792"/>
      <c r="G30" s="11792"/>
      <c r="H30" s="11792"/>
      <c r="I30" s="11163"/>
      <c r="J30" s="11793"/>
    </row>
    <row r="31" spans="1:11" ht="15" customHeight="1">
      <c r="A31" s="7548"/>
      <c r="B31" s="7536"/>
      <c r="C31" s="10139"/>
      <c r="D31" s="7551"/>
      <c r="E31" s="11797"/>
      <c r="F31" s="11797"/>
      <c r="G31" s="11797"/>
      <c r="H31" s="11797"/>
      <c r="I31" s="7313"/>
      <c r="J31" s="11798"/>
    </row>
    <row r="32" spans="1:11" ht="15" customHeight="1" thickBot="1">
      <c r="A32" s="11799"/>
      <c r="B32" s="7850" t="s">
        <v>37</v>
      </c>
      <c r="C32" s="11800"/>
      <c r="D32" s="11801">
        <f>SUM(D10:D30)</f>
        <v>16741634.299999997</v>
      </c>
      <c r="E32" s="11801">
        <f>SUM(E10:E30)</f>
        <v>8780902</v>
      </c>
      <c r="F32" s="11801">
        <f>SUM(F10:F30)</f>
        <v>16543387.999999998</v>
      </c>
      <c r="G32" s="11802">
        <f>SUM(G10:G30)</f>
        <v>25324290</v>
      </c>
      <c r="H32" s="11802"/>
      <c r="I32" s="7327"/>
      <c r="J32" s="11803">
        <f>SUM(J10:J30)</f>
        <v>26627023.435000002</v>
      </c>
      <c r="K32" s="11780">
        <f>SUM(K11:K31)</f>
        <v>27344490.220000003</v>
      </c>
    </row>
    <row r="33" spans="1:10" ht="15" customHeight="1">
      <c r="A33" s="7555"/>
      <c r="B33" s="7556"/>
      <c r="C33" s="7777"/>
      <c r="D33" s="7558"/>
      <c r="E33" s="7558"/>
      <c r="F33" s="7558"/>
      <c r="G33" s="7558"/>
      <c r="H33" s="7558"/>
      <c r="I33" s="7389"/>
      <c r="J33" s="7558"/>
    </row>
    <row r="34" spans="1:10" ht="15" customHeight="1">
      <c r="A34" s="7536"/>
      <c r="B34" s="7552"/>
      <c r="C34" s="7778"/>
      <c r="D34" s="7560"/>
      <c r="E34" s="7560"/>
      <c r="F34" s="7560"/>
      <c r="G34" s="7560"/>
      <c r="H34" s="7560"/>
      <c r="I34" s="7350"/>
      <c r="J34" s="7560"/>
    </row>
    <row r="35" spans="1:10" ht="15" customHeight="1">
      <c r="A35" s="7536"/>
      <c r="B35" s="7552"/>
      <c r="C35" s="7778"/>
      <c r="D35" s="7560"/>
      <c r="E35" s="7560"/>
      <c r="F35" s="7560"/>
      <c r="G35" s="7560"/>
      <c r="H35" s="7560"/>
      <c r="I35" s="7350"/>
      <c r="J35" s="7560"/>
    </row>
    <row r="36" spans="1:10" ht="15" customHeight="1">
      <c r="A36" s="7536"/>
      <c r="B36" s="7552"/>
      <c r="C36" s="7778"/>
      <c r="D36" s="7560"/>
      <c r="E36" s="7560"/>
      <c r="F36" s="7560"/>
      <c r="G36" s="7560"/>
      <c r="H36" s="7560"/>
      <c r="I36" s="7350"/>
      <c r="J36" s="7560"/>
    </row>
    <row r="37" spans="1:10" ht="15" customHeight="1">
      <c r="A37" s="7536"/>
      <c r="B37" s="7552"/>
      <c r="C37" s="7778"/>
      <c r="D37" s="7560"/>
      <c r="E37" s="7560"/>
      <c r="F37" s="7560"/>
      <c r="G37" s="7560"/>
      <c r="H37" s="7560"/>
      <c r="I37" s="7350"/>
      <c r="J37" s="7560"/>
    </row>
    <row r="38" spans="1:10" ht="15" customHeight="1" thickBot="1">
      <c r="A38" s="7561" t="s">
        <v>153</v>
      </c>
      <c r="B38" s="7561"/>
      <c r="C38" s="7779"/>
      <c r="D38" s="9436"/>
      <c r="E38" s="9436"/>
      <c r="F38" s="9436"/>
      <c r="G38" s="7520" t="s">
        <v>9</v>
      </c>
      <c r="H38" s="7520"/>
      <c r="I38" s="7294"/>
      <c r="J38" s="7520" t="s">
        <v>9</v>
      </c>
    </row>
    <row r="39" spans="1:10" ht="15" customHeight="1">
      <c r="A39" s="11781"/>
      <c r="B39" s="11782"/>
      <c r="C39" s="11783" t="s">
        <v>9</v>
      </c>
      <c r="D39" s="11784" t="s">
        <v>10</v>
      </c>
      <c r="E39" s="14188" t="s">
        <v>10711</v>
      </c>
      <c r="F39" s="14189"/>
      <c r="G39" s="14190"/>
      <c r="H39" s="9461"/>
      <c r="I39" s="9462"/>
      <c r="J39" s="11785" t="s">
        <v>12</v>
      </c>
    </row>
    <row r="40" spans="1:10" ht="15" customHeight="1">
      <c r="A40" s="7548"/>
      <c r="B40" s="7526" t="s">
        <v>13</v>
      </c>
      <c r="C40" s="15104" t="s">
        <v>14</v>
      </c>
      <c r="D40" s="11786" t="s">
        <v>15</v>
      </c>
      <c r="E40" s="9502" t="s">
        <v>10709</v>
      </c>
      <c r="F40" s="9503" t="s">
        <v>10710</v>
      </c>
      <c r="G40" s="14191" t="s">
        <v>458</v>
      </c>
      <c r="H40" s="11438"/>
      <c r="I40" s="11108"/>
      <c r="J40" s="11787" t="s">
        <v>16</v>
      </c>
    </row>
    <row r="41" spans="1:10" ht="15" customHeight="1" thickBot="1">
      <c r="A41" s="11799"/>
      <c r="B41" s="11804"/>
      <c r="C41" s="15105"/>
      <c r="D41" s="7852">
        <v>2017</v>
      </c>
      <c r="E41" s="9467" t="s">
        <v>457</v>
      </c>
      <c r="F41" s="11661" t="s">
        <v>456</v>
      </c>
      <c r="G41" s="14192"/>
      <c r="H41" s="7302"/>
      <c r="I41" s="7322"/>
      <c r="J41" s="11790">
        <v>2019</v>
      </c>
    </row>
    <row r="42" spans="1:10" ht="15" customHeight="1">
      <c r="A42" s="7548"/>
      <c r="B42" s="7526"/>
      <c r="C42" s="11805"/>
      <c r="D42" s="11806"/>
      <c r="E42" s="11123"/>
      <c r="F42" s="11123"/>
      <c r="G42" s="11123"/>
      <c r="H42" s="11181"/>
      <c r="I42" s="11108"/>
      <c r="J42" s="11807"/>
    </row>
    <row r="43" spans="1:10" ht="15" customHeight="1">
      <c r="A43" s="11791"/>
      <c r="B43" s="7536" t="s">
        <v>38</v>
      </c>
      <c r="C43" s="10139"/>
      <c r="D43" s="11792"/>
      <c r="E43" s="11792"/>
      <c r="F43" s="11792"/>
      <c r="G43" s="11792"/>
      <c r="H43" s="11792"/>
      <c r="I43" s="11163"/>
      <c r="J43" s="11793"/>
    </row>
    <row r="44" spans="1:10" ht="15" customHeight="1">
      <c r="A44" s="7548"/>
      <c r="B44" s="7803" t="s">
        <v>391</v>
      </c>
      <c r="C44" s="10377">
        <v>50201010</v>
      </c>
      <c r="D44" s="11792">
        <f>'WS-MOOE 2017'!B31</f>
        <v>75742.5</v>
      </c>
      <c r="E44" s="11792">
        <f>'WS-MOOE ACTUAL JUNE 2018'!B32</f>
        <v>25040</v>
      </c>
      <c r="F44" s="11794">
        <f t="shared" ref="F44:F64" si="2">G44-E44</f>
        <v>174960</v>
      </c>
      <c r="G44" s="11792">
        <v>200000</v>
      </c>
      <c r="H44" s="11792">
        <v>35870</v>
      </c>
      <c r="I44" s="11163">
        <f>H44/G44</f>
        <v>0.17935000000000001</v>
      </c>
      <c r="J44" s="11793">
        <v>200000</v>
      </c>
    </row>
    <row r="45" spans="1:10" ht="15" customHeight="1">
      <c r="A45" s="7548"/>
      <c r="B45" s="7803" t="s">
        <v>10324</v>
      </c>
      <c r="C45" s="10377">
        <v>50202010</v>
      </c>
      <c r="D45" s="11792">
        <f>'WS-MOOE 2017'!H31</f>
        <v>159500</v>
      </c>
      <c r="E45" s="11792">
        <f>'WS-MOOE ACTUAL JUNE 2018'!G32</f>
        <v>4000</v>
      </c>
      <c r="F45" s="11794">
        <f t="shared" si="2"/>
        <v>196000</v>
      </c>
      <c r="G45" s="11792">
        <v>200000</v>
      </c>
      <c r="H45" s="11792">
        <v>92000</v>
      </c>
      <c r="I45" s="11163">
        <f t="shared" ref="I45:I64" si="3">H45/G45</f>
        <v>0.46</v>
      </c>
      <c r="J45" s="11793">
        <v>200000</v>
      </c>
    </row>
    <row r="46" spans="1:10" ht="15" customHeight="1">
      <c r="A46" s="7548"/>
      <c r="B46" s="7803" t="s">
        <v>392</v>
      </c>
      <c r="C46" s="10377">
        <v>50203010</v>
      </c>
      <c r="D46" s="11792">
        <f>'WS-MOOE 2017'!J31</f>
        <v>191179.95</v>
      </c>
      <c r="E46" s="11792">
        <f>'WS-MOOE ACTUAL JUNE 2018'!H32</f>
        <v>17016.8</v>
      </c>
      <c r="F46" s="11794">
        <f t="shared" si="2"/>
        <v>312983.2</v>
      </c>
      <c r="G46" s="11792">
        <v>330000</v>
      </c>
      <c r="H46" s="11792">
        <v>269432.3</v>
      </c>
      <c r="I46" s="11163">
        <f t="shared" si="3"/>
        <v>0.8164615151515151</v>
      </c>
      <c r="J46" s="11793">
        <v>330000</v>
      </c>
    </row>
    <row r="47" spans="1:10" ht="15" customHeight="1">
      <c r="A47" s="7548"/>
      <c r="B47" s="7287" t="s">
        <v>97</v>
      </c>
      <c r="C47" s="8802">
        <v>50203020</v>
      </c>
      <c r="D47" s="11792">
        <f>'WS-MOOE 2017'!M31</f>
        <v>34375</v>
      </c>
      <c r="E47" s="11792">
        <f>'WS-MOOE ACTUAL JUNE 2018'!J32</f>
        <v>13750</v>
      </c>
      <c r="F47" s="11794">
        <f t="shared" si="2"/>
        <v>26250</v>
      </c>
      <c r="G47" s="11792">
        <v>40000</v>
      </c>
      <c r="H47" s="11792">
        <v>20625</v>
      </c>
      <c r="I47" s="11163">
        <f t="shared" si="3"/>
        <v>0.515625</v>
      </c>
      <c r="J47" s="11793">
        <v>40000</v>
      </c>
    </row>
    <row r="48" spans="1:10" ht="15" customHeight="1">
      <c r="A48" s="7548"/>
      <c r="B48" s="7287" t="s">
        <v>98</v>
      </c>
      <c r="C48" s="8802">
        <v>50203050</v>
      </c>
      <c r="D48" s="11792">
        <f>'WS-MOOE 2017'!O31</f>
        <v>613014.62</v>
      </c>
      <c r="E48" s="11792">
        <f>'WS-MOOE ACTUAL JUNE 2018'!L32</f>
        <v>265214.03000000003</v>
      </c>
      <c r="F48" s="11794">
        <f t="shared" si="2"/>
        <v>564785.97</v>
      </c>
      <c r="G48" s="11792">
        <v>830000</v>
      </c>
      <c r="H48" s="11792">
        <v>326563.51</v>
      </c>
      <c r="I48" s="11163">
        <f t="shared" si="3"/>
        <v>0.3934500120481928</v>
      </c>
      <c r="J48" s="11793">
        <v>830000</v>
      </c>
    </row>
    <row r="49" spans="1:11" ht="15" customHeight="1">
      <c r="A49" s="7548"/>
      <c r="B49" s="7287" t="s">
        <v>9122</v>
      </c>
      <c r="C49" s="8802">
        <v>50203070</v>
      </c>
      <c r="D49" s="11792">
        <f>'WS-MOOE 2017'!P31</f>
        <v>1642059.08</v>
      </c>
      <c r="E49" s="11792">
        <f>'WS-MOOE ACTUAL JUNE 2018'!M32</f>
        <v>160436.29999999999</v>
      </c>
      <c r="F49" s="11794">
        <f t="shared" si="2"/>
        <v>2589563.7000000002</v>
      </c>
      <c r="G49" s="11792">
        <v>2750000</v>
      </c>
      <c r="H49" s="11792">
        <v>2173162.41</v>
      </c>
      <c r="I49" s="11163">
        <f t="shared" si="3"/>
        <v>0.79024087636363638</v>
      </c>
      <c r="J49" s="11793">
        <v>3000000</v>
      </c>
    </row>
    <row r="50" spans="1:11" ht="15" customHeight="1">
      <c r="A50" s="7548"/>
      <c r="B50" s="7287" t="s">
        <v>135</v>
      </c>
      <c r="C50" s="8802">
        <v>50203080</v>
      </c>
      <c r="D50" s="11792">
        <f>'WS-MOOE 2017'!Q31</f>
        <v>2082503.36</v>
      </c>
      <c r="E50" s="11792">
        <f>'WS-MOOE ACTUAL JUNE 2018'!N32</f>
        <v>106919.2</v>
      </c>
      <c r="F50" s="11794">
        <f t="shared" si="2"/>
        <v>3193080.8</v>
      </c>
      <c r="G50" s="11792">
        <v>3300000</v>
      </c>
      <c r="H50" s="11792">
        <v>2432861.35</v>
      </c>
      <c r="I50" s="11163">
        <f t="shared" si="3"/>
        <v>0.73723071212121216</v>
      </c>
      <c r="J50" s="11793">
        <v>3500000</v>
      </c>
    </row>
    <row r="51" spans="1:11" ht="15" customHeight="1">
      <c r="A51" s="7548"/>
      <c r="B51" s="7287" t="s">
        <v>44</v>
      </c>
      <c r="C51" s="8802">
        <v>50203090</v>
      </c>
      <c r="D51" s="11792">
        <f>'WS-MOOE 2017'!R31</f>
        <v>151401.41</v>
      </c>
      <c r="E51" s="11792">
        <f>'WS-MOOE ACTUAL JUNE 2018'!O32</f>
        <v>96521.52</v>
      </c>
      <c r="F51" s="11794">
        <f t="shared" si="2"/>
        <v>83478.48</v>
      </c>
      <c r="G51" s="11792">
        <v>180000</v>
      </c>
      <c r="H51" s="11792">
        <v>111521.52</v>
      </c>
      <c r="I51" s="11163">
        <f t="shared" si="3"/>
        <v>0.619564</v>
      </c>
      <c r="J51" s="11793">
        <v>200000</v>
      </c>
    </row>
    <row r="52" spans="1:11" ht="15" customHeight="1">
      <c r="A52" s="7548"/>
      <c r="B52" s="7287" t="s">
        <v>45</v>
      </c>
      <c r="C52" s="8802">
        <v>50204010</v>
      </c>
      <c r="D52" s="11792">
        <f>'WS-MOOE 2017'!W31</f>
        <v>74930.75</v>
      </c>
      <c r="E52" s="11792">
        <f>'WS-MOOE ACTUAL JUNE 2018'!R32</f>
        <v>31313.25</v>
      </c>
      <c r="F52" s="11794">
        <f t="shared" si="2"/>
        <v>188686.75</v>
      </c>
      <c r="G52" s="11792">
        <v>220000</v>
      </c>
      <c r="H52" s="11792">
        <v>40213.5</v>
      </c>
      <c r="I52" s="11163">
        <f t="shared" si="3"/>
        <v>0.18278863636363638</v>
      </c>
      <c r="J52" s="11793">
        <v>220000</v>
      </c>
    </row>
    <row r="53" spans="1:11" ht="15" customHeight="1">
      <c r="A53" s="7548"/>
      <c r="B53" s="7287" t="s">
        <v>46</v>
      </c>
      <c r="C53" s="8802">
        <v>50204020</v>
      </c>
      <c r="D53" s="11792">
        <f>'WS-MOOE 2017'!X31</f>
        <v>560283.1</v>
      </c>
      <c r="E53" s="11792">
        <f>'WS-MOOE ACTUAL JUNE 2018'!S32</f>
        <v>258179.67</v>
      </c>
      <c r="F53" s="11794">
        <f t="shared" si="2"/>
        <v>441820.32999999996</v>
      </c>
      <c r="G53" s="11792">
        <v>700000</v>
      </c>
      <c r="H53" s="11792">
        <v>387310.45</v>
      </c>
      <c r="I53" s="11163">
        <f t="shared" si="3"/>
        <v>0.55330064285714287</v>
      </c>
      <c r="J53" s="11793">
        <v>700000</v>
      </c>
    </row>
    <row r="54" spans="1:11" ht="15" customHeight="1">
      <c r="A54" s="7548"/>
      <c r="B54" s="7287" t="s">
        <v>10974</v>
      </c>
      <c r="C54" s="8802">
        <v>50203990</v>
      </c>
      <c r="D54" s="11792">
        <f>'WS-MOOE 2017'!Y31</f>
        <v>0</v>
      </c>
      <c r="E54" s="11792">
        <f>'WS-MOOE ACTUAL JUNE 2018'!T32</f>
        <v>0</v>
      </c>
      <c r="F54" s="11794">
        <f t="shared" si="2"/>
        <v>0</v>
      </c>
      <c r="G54" s="11792">
        <v>0</v>
      </c>
      <c r="H54" s="11792"/>
      <c r="I54" s="11163"/>
      <c r="J54" s="11793">
        <v>0</v>
      </c>
    </row>
    <row r="55" spans="1:11" ht="15" customHeight="1">
      <c r="A55" s="7548"/>
      <c r="B55" s="7287" t="s">
        <v>62</v>
      </c>
      <c r="C55" s="8802">
        <v>50205010</v>
      </c>
      <c r="D55" s="11792">
        <f>'WS-MOOE 2017'!Z31</f>
        <v>1285</v>
      </c>
      <c r="E55" s="11792">
        <f>'WS-MOOE ACTUAL JUNE 2018'!U32</f>
        <v>1250</v>
      </c>
      <c r="F55" s="11794">
        <f t="shared" si="2"/>
        <v>8750</v>
      </c>
      <c r="G55" s="11792">
        <v>10000</v>
      </c>
      <c r="H55" s="11792">
        <v>1750</v>
      </c>
      <c r="I55" s="11163">
        <f t="shared" si="3"/>
        <v>0.17499999999999999</v>
      </c>
      <c r="J55" s="11793">
        <v>10000</v>
      </c>
    </row>
    <row r="56" spans="1:11" ht="15" customHeight="1">
      <c r="A56" s="7548"/>
      <c r="B56" s="7536" t="s">
        <v>155</v>
      </c>
      <c r="C56" s="10149">
        <v>50205020</v>
      </c>
      <c r="D56" s="11792">
        <f>'WS-MOOE 2017'!AA31+'WS-MOOE 2017'!AC31</f>
        <v>49924.41</v>
      </c>
      <c r="E56" s="11792">
        <f>'WS-MOOE ACTUAL JUNE 2018'!V32</f>
        <v>16840.45</v>
      </c>
      <c r="F56" s="11794">
        <f t="shared" si="2"/>
        <v>51159.55</v>
      </c>
      <c r="G56" s="11792">
        <v>68000</v>
      </c>
      <c r="H56" s="11792">
        <v>22557.85</v>
      </c>
      <c r="I56" s="11163">
        <f t="shared" si="3"/>
        <v>0.33173308823529407</v>
      </c>
      <c r="J56" s="11793">
        <f>50000+18000</f>
        <v>68000</v>
      </c>
    </row>
    <row r="57" spans="1:11" ht="15" customHeight="1">
      <c r="A57" s="7548"/>
      <c r="B57" s="7803" t="s">
        <v>10973</v>
      </c>
      <c r="C57" s="10377">
        <v>50205030</v>
      </c>
      <c r="D57" s="11792">
        <f>'WS-MOOE 2017'!AE31</f>
        <v>9575.84</v>
      </c>
      <c r="E57" s="11792">
        <f>'WS-MOOE ACTUAL JUNE 2018'!Z32</f>
        <v>4614.1099999999997</v>
      </c>
      <c r="F57" s="11794">
        <f t="shared" si="2"/>
        <v>27385.89</v>
      </c>
      <c r="G57" s="11792">
        <v>32000</v>
      </c>
      <c r="H57" s="11792">
        <v>7055.53</v>
      </c>
      <c r="I57" s="11163">
        <f t="shared" si="3"/>
        <v>0.2204853125</v>
      </c>
      <c r="J57" s="11793">
        <v>32000</v>
      </c>
    </row>
    <row r="58" spans="1:11" ht="15" customHeight="1">
      <c r="A58" s="7548"/>
      <c r="B58" s="7352" t="s">
        <v>10956</v>
      </c>
      <c r="C58" s="8872">
        <v>50212990</v>
      </c>
      <c r="D58" s="11792">
        <f>'WS-MOOE 2017'!AO31</f>
        <v>2484900.06</v>
      </c>
      <c r="E58" s="11792">
        <f>'WS-MOOE ACTUAL JUNE 2018'!AJ32</f>
        <v>544651.24</v>
      </c>
      <c r="F58" s="11794">
        <f t="shared" si="2"/>
        <v>255348.76</v>
      </c>
      <c r="G58" s="11792">
        <v>800000</v>
      </c>
      <c r="H58" s="11792">
        <v>546239.99</v>
      </c>
      <c r="I58" s="11163">
        <f t="shared" si="3"/>
        <v>0.68279998750000004</v>
      </c>
      <c r="J58" s="11793">
        <v>1700000</v>
      </c>
      <c r="K58" s="7588" t="s">
        <v>12013</v>
      </c>
    </row>
    <row r="59" spans="1:11" ht="15" customHeight="1">
      <c r="A59" s="7548"/>
      <c r="B59" s="7488" t="s">
        <v>10955</v>
      </c>
      <c r="C59" s="11258">
        <v>50211990</v>
      </c>
      <c r="D59" s="11792">
        <f>'WS-MOOE 2017'!AL31</f>
        <v>1728970.62</v>
      </c>
      <c r="E59" s="11792">
        <f>'WS-MOOE ACTUAL JUNE 2018'!AF32</f>
        <v>1335469.7</v>
      </c>
      <c r="F59" s="11794">
        <f t="shared" si="2"/>
        <v>2664530.2999999998</v>
      </c>
      <c r="G59" s="11792">
        <v>4000000</v>
      </c>
      <c r="H59" s="11792">
        <v>3980111.45</v>
      </c>
      <c r="I59" s="11163">
        <f t="shared" si="3"/>
        <v>0.99502786250000008</v>
      </c>
      <c r="J59" s="11793">
        <v>5100000</v>
      </c>
    </row>
    <row r="60" spans="1:11" ht="15" hidden="1" customHeight="1">
      <c r="A60" s="7548"/>
      <c r="B60" s="7287" t="s">
        <v>311</v>
      </c>
      <c r="C60" s="8802">
        <v>50212020</v>
      </c>
      <c r="D60" s="11792"/>
      <c r="E60" s="11792"/>
      <c r="F60" s="11794"/>
      <c r="G60" s="11792"/>
      <c r="H60" s="11792"/>
      <c r="I60" s="11163"/>
      <c r="J60" s="11793">
        <v>0</v>
      </c>
    </row>
    <row r="61" spans="1:11" ht="15" customHeight="1">
      <c r="A61" s="7548"/>
      <c r="B61" s="7287" t="s">
        <v>47</v>
      </c>
      <c r="C61" s="8802">
        <v>50212030</v>
      </c>
      <c r="D61" s="11792"/>
      <c r="E61" s="11792"/>
      <c r="F61" s="11794"/>
      <c r="G61" s="11792"/>
      <c r="H61" s="11792"/>
      <c r="I61" s="11163"/>
      <c r="J61" s="11793">
        <v>500000</v>
      </c>
    </row>
    <row r="62" spans="1:11" ht="15" customHeight="1">
      <c r="A62" s="7548"/>
      <c r="B62" s="7488" t="s">
        <v>10959</v>
      </c>
      <c r="C62" s="10377">
        <v>50213040</v>
      </c>
      <c r="D62" s="11792">
        <f>'WS-MOOE 2017'!AS31</f>
        <v>58254.6</v>
      </c>
      <c r="E62" s="11792">
        <f>'WS-MOOE ACTUAL JUNE 2018'!AN32</f>
        <v>11211</v>
      </c>
      <c r="F62" s="11794">
        <f t="shared" si="2"/>
        <v>88789</v>
      </c>
      <c r="G62" s="11792">
        <v>100000</v>
      </c>
      <c r="H62" s="11792">
        <v>36266.5</v>
      </c>
      <c r="I62" s="11163">
        <f t="shared" si="3"/>
        <v>0.36266500000000002</v>
      </c>
      <c r="J62" s="11793">
        <v>100000</v>
      </c>
    </row>
    <row r="63" spans="1:11" ht="15" customHeight="1">
      <c r="A63" s="7548"/>
      <c r="B63" s="7488" t="s">
        <v>10938</v>
      </c>
      <c r="C63" s="8872">
        <v>50213050</v>
      </c>
      <c r="D63" s="11792">
        <f>'WS-MOOE 2017'!AW31</f>
        <v>7839</v>
      </c>
      <c r="E63" s="11792">
        <f>'WS-MOOE ACTUAL JUNE 2018'!AS32</f>
        <v>557</v>
      </c>
      <c r="F63" s="11794">
        <f t="shared" si="2"/>
        <v>99443</v>
      </c>
      <c r="G63" s="11792">
        <v>100000</v>
      </c>
      <c r="H63" s="11792">
        <v>37557</v>
      </c>
      <c r="I63" s="11163">
        <f t="shared" si="3"/>
        <v>0.37557000000000001</v>
      </c>
      <c r="J63" s="11793">
        <f>50000+50000</f>
        <v>100000</v>
      </c>
    </row>
    <row r="64" spans="1:11" ht="15" customHeight="1">
      <c r="A64" s="7548"/>
      <c r="B64" s="7488" t="s">
        <v>10937</v>
      </c>
      <c r="C64" s="11258">
        <v>50213060</v>
      </c>
      <c r="D64" s="11792">
        <f>'WS-MOOE 2017'!BB31</f>
        <v>91380</v>
      </c>
      <c r="E64" s="11792">
        <f>'WS-MOOE ACTUAL JUNE 2018'!AT32</f>
        <v>7000</v>
      </c>
      <c r="F64" s="11794">
        <f t="shared" si="2"/>
        <v>93000</v>
      </c>
      <c r="G64" s="11792">
        <v>100000</v>
      </c>
      <c r="H64" s="11792">
        <v>45553</v>
      </c>
      <c r="I64" s="11163">
        <f t="shared" si="3"/>
        <v>0.45552999999999999</v>
      </c>
      <c r="J64" s="11793">
        <v>100000</v>
      </c>
    </row>
    <row r="65" spans="1:10" ht="15" customHeight="1" thickBot="1">
      <c r="A65" s="11799"/>
      <c r="B65" s="7561"/>
      <c r="C65" s="11800"/>
      <c r="D65" s="11777"/>
      <c r="E65" s="11777"/>
      <c r="F65" s="11777"/>
      <c r="G65" s="11777"/>
      <c r="H65" s="11777"/>
      <c r="I65" s="7728"/>
      <c r="J65" s="11808"/>
    </row>
    <row r="66" spans="1:10" ht="15" customHeight="1">
      <c r="A66" s="7536"/>
      <c r="B66" s="7536"/>
      <c r="C66" s="7778"/>
      <c r="D66" s="9439"/>
      <c r="E66" s="9439"/>
      <c r="F66" s="9439"/>
      <c r="G66" s="7574"/>
      <c r="H66" s="7574"/>
      <c r="I66" s="7290"/>
      <c r="J66" s="7574"/>
    </row>
    <row r="67" spans="1:10" ht="15" customHeight="1">
      <c r="A67" s="7536"/>
      <c r="B67" s="7536"/>
      <c r="C67" s="7778"/>
      <c r="D67" s="9439"/>
      <c r="E67" s="9439"/>
      <c r="F67" s="9439"/>
      <c r="G67" s="7574"/>
      <c r="H67" s="7574"/>
      <c r="I67" s="7290"/>
      <c r="J67" s="7574"/>
    </row>
    <row r="68" spans="1:10" ht="15" customHeight="1">
      <c r="A68" s="7536"/>
      <c r="B68" s="7536"/>
      <c r="C68" s="7778"/>
      <c r="D68" s="9439"/>
      <c r="E68" s="9439"/>
      <c r="F68" s="9439"/>
      <c r="G68" s="7574"/>
      <c r="H68" s="7574"/>
      <c r="I68" s="7290"/>
      <c r="J68" s="7574"/>
    </row>
    <row r="69" spans="1:10" ht="15" customHeight="1">
      <c r="A69" s="7536"/>
      <c r="B69" s="7536"/>
      <c r="C69" s="7778"/>
      <c r="D69" s="9439"/>
      <c r="E69" s="9439"/>
      <c r="F69" s="9439"/>
      <c r="G69" s="7574"/>
      <c r="H69" s="7574"/>
      <c r="I69" s="7290"/>
      <c r="J69" s="7574"/>
    </row>
    <row r="70" spans="1:10" ht="15" customHeight="1">
      <c r="A70" s="7536"/>
      <c r="B70" s="7536"/>
      <c r="C70" s="7778"/>
      <c r="D70" s="9439"/>
      <c r="E70" s="9439"/>
      <c r="F70" s="9439"/>
      <c r="G70" s="7574"/>
      <c r="H70" s="7574"/>
      <c r="I70" s="7290"/>
      <c r="J70" s="7574"/>
    </row>
    <row r="71" spans="1:10" ht="15" customHeight="1">
      <c r="A71" s="7536"/>
      <c r="B71" s="7536"/>
      <c r="C71" s="7778"/>
      <c r="D71" s="9439"/>
      <c r="E71" s="9439"/>
      <c r="F71" s="9439"/>
      <c r="G71" s="7574"/>
      <c r="H71" s="7574"/>
      <c r="I71" s="7290"/>
      <c r="J71" s="7574"/>
    </row>
    <row r="72" spans="1:10" ht="15" customHeight="1">
      <c r="A72" s="7536"/>
      <c r="B72" s="7536"/>
      <c r="C72" s="7778"/>
      <c r="D72" s="9439"/>
      <c r="E72" s="9439"/>
      <c r="F72" s="9439"/>
      <c r="G72" s="7574"/>
      <c r="H72" s="7574"/>
      <c r="I72" s="7290"/>
      <c r="J72" s="7574"/>
    </row>
    <row r="73" spans="1:10" ht="15" customHeight="1">
      <c r="A73" s="7536"/>
      <c r="B73" s="7536"/>
      <c r="C73" s="7778"/>
      <c r="D73" s="9439"/>
      <c r="E73" s="9439"/>
      <c r="F73" s="9439"/>
      <c r="G73" s="7574"/>
      <c r="H73" s="7574"/>
      <c r="I73" s="7290"/>
      <c r="J73" s="7574"/>
    </row>
    <row r="74" spans="1:10" ht="15" customHeight="1">
      <c r="A74" s="7536"/>
      <c r="B74" s="7536"/>
      <c r="C74" s="7778"/>
      <c r="D74" s="9439"/>
      <c r="E74" s="9439"/>
      <c r="F74" s="9439"/>
      <c r="G74" s="7574"/>
      <c r="H74" s="7574"/>
      <c r="I74" s="7290"/>
      <c r="J74" s="7574"/>
    </row>
    <row r="75" spans="1:10" ht="15" customHeight="1">
      <c r="A75" s="7536"/>
      <c r="B75" s="7536"/>
      <c r="C75" s="7778"/>
      <c r="D75" s="9439"/>
      <c r="E75" s="9439"/>
      <c r="F75" s="9439"/>
      <c r="G75" s="7574"/>
      <c r="H75" s="7574"/>
      <c r="I75" s="7290"/>
      <c r="J75" s="7574"/>
    </row>
    <row r="76" spans="1:10" ht="15" customHeight="1" thickBot="1">
      <c r="A76" s="7517" t="s">
        <v>10737</v>
      </c>
      <c r="B76" s="7517"/>
      <c r="C76" s="7775"/>
      <c r="D76" s="9469"/>
      <c r="E76" s="9436"/>
      <c r="F76" s="9436"/>
      <c r="G76" s="7519" t="s">
        <v>9</v>
      </c>
      <c r="H76" s="7520"/>
      <c r="I76" s="7294"/>
      <c r="J76" s="7519" t="s">
        <v>9</v>
      </c>
    </row>
    <row r="77" spans="1:10" ht="15" customHeight="1">
      <c r="A77" s="11781"/>
      <c r="B77" s="11782"/>
      <c r="C77" s="11783" t="s">
        <v>9</v>
      </c>
      <c r="D77" s="11784" t="s">
        <v>10</v>
      </c>
      <c r="E77" s="14188" t="s">
        <v>10711</v>
      </c>
      <c r="F77" s="14189"/>
      <c r="G77" s="14190"/>
      <c r="H77" s="9461"/>
      <c r="I77" s="9462"/>
      <c r="J77" s="11785" t="s">
        <v>12</v>
      </c>
    </row>
    <row r="78" spans="1:10" ht="15" customHeight="1">
      <c r="A78" s="7548"/>
      <c r="B78" s="7526" t="s">
        <v>13</v>
      </c>
      <c r="C78" s="15104" t="s">
        <v>14</v>
      </c>
      <c r="D78" s="11786" t="s">
        <v>15</v>
      </c>
      <c r="E78" s="9502" t="s">
        <v>10709</v>
      </c>
      <c r="F78" s="9503" t="s">
        <v>10710</v>
      </c>
      <c r="G78" s="14191" t="s">
        <v>458</v>
      </c>
      <c r="H78" s="11438"/>
      <c r="I78" s="11108"/>
      <c r="J78" s="11787" t="s">
        <v>16</v>
      </c>
    </row>
    <row r="79" spans="1:10" ht="15" customHeight="1" thickBot="1">
      <c r="A79" s="11799"/>
      <c r="B79" s="11804"/>
      <c r="C79" s="15105"/>
      <c r="D79" s="7852">
        <v>2017</v>
      </c>
      <c r="E79" s="9467" t="s">
        <v>457</v>
      </c>
      <c r="F79" s="11661" t="s">
        <v>456</v>
      </c>
      <c r="G79" s="14192"/>
      <c r="H79" s="7302"/>
      <c r="I79" s="7322"/>
      <c r="J79" s="11790">
        <v>2019</v>
      </c>
    </row>
    <row r="80" spans="1:10" ht="15" customHeight="1">
      <c r="A80" s="7548"/>
      <c r="B80" s="7526"/>
      <c r="C80" s="11811"/>
      <c r="D80" s="11786"/>
      <c r="E80" s="11786"/>
      <c r="F80" s="11786"/>
      <c r="G80" s="11786"/>
      <c r="H80" s="11786"/>
      <c r="I80" s="11108"/>
      <c r="J80" s="11787"/>
    </row>
    <row r="81" spans="1:11" ht="15" customHeight="1">
      <c r="A81" s="7548"/>
      <c r="B81" s="7287" t="s">
        <v>110</v>
      </c>
      <c r="C81" s="8802">
        <v>50216010</v>
      </c>
      <c r="D81" s="11792">
        <f>'WS-MOOE 2017'!BG31</f>
        <v>18870</v>
      </c>
      <c r="E81" s="11792">
        <f>'WS-MOOE ACTUAL JUNE 2018'!AY32</f>
        <v>19700</v>
      </c>
      <c r="F81" s="11794">
        <f>G81-E81</f>
        <v>5300</v>
      </c>
      <c r="G81" s="11792">
        <v>25000</v>
      </c>
      <c r="H81" s="11792">
        <v>21700</v>
      </c>
      <c r="I81" s="11163">
        <f>H81/G81</f>
        <v>0.86799999999999999</v>
      </c>
      <c r="J81" s="11793">
        <v>25000</v>
      </c>
    </row>
    <row r="82" spans="1:11" ht="15" customHeight="1">
      <c r="A82" s="7548"/>
      <c r="B82" s="7287" t="s">
        <v>72</v>
      </c>
      <c r="C82" s="8802">
        <v>50215020</v>
      </c>
      <c r="D82" s="11792">
        <f>'WS-MOOE 2017'!BH31</f>
        <v>6900</v>
      </c>
      <c r="E82" s="11792">
        <f>'WS-MOOE ACTUAL JUNE 2018'!AZ32</f>
        <v>5850</v>
      </c>
      <c r="F82" s="11794">
        <f>G82-E82</f>
        <v>14150</v>
      </c>
      <c r="G82" s="11792">
        <v>20000</v>
      </c>
      <c r="H82" s="11792">
        <v>6150</v>
      </c>
      <c r="I82" s="11163">
        <f>H82/G82</f>
        <v>0.3075</v>
      </c>
      <c r="J82" s="11793">
        <v>20000</v>
      </c>
    </row>
    <row r="83" spans="1:11" ht="15" customHeight="1">
      <c r="A83" s="7548"/>
      <c r="B83" s="7536" t="s">
        <v>102</v>
      </c>
      <c r="C83" s="10149">
        <v>50215030</v>
      </c>
      <c r="D83" s="11792">
        <f>'WS-MOOE 2017'!BN31</f>
        <v>0</v>
      </c>
      <c r="E83" s="11792">
        <f>'WS-MOOE ACTUAL JUNE 2018'!BA32</f>
        <v>0</v>
      </c>
      <c r="F83" s="11794">
        <f>G83-E83</f>
        <v>10000</v>
      </c>
      <c r="G83" s="11792">
        <v>10000</v>
      </c>
      <c r="H83" s="11792">
        <v>0</v>
      </c>
      <c r="I83" s="11163">
        <f>H83/G83</f>
        <v>0</v>
      </c>
      <c r="J83" s="11793">
        <v>10000</v>
      </c>
    </row>
    <row r="84" spans="1:11" ht="15" customHeight="1">
      <c r="A84" s="7548"/>
      <c r="B84" s="7536" t="s">
        <v>50</v>
      </c>
      <c r="C84" s="10149">
        <v>50299990</v>
      </c>
      <c r="D84" s="11792">
        <f>'WS-MOOE 2017'!BO31</f>
        <v>646992.09</v>
      </c>
      <c r="E84" s="11792">
        <f>'WS-MOOE ACTUAL JUNE 2018'!BI32</f>
        <v>36233.870000000003</v>
      </c>
      <c r="F84" s="11794">
        <f>G84-E84</f>
        <v>813766.13</v>
      </c>
      <c r="G84" s="11792">
        <v>850000</v>
      </c>
      <c r="H84" s="11792">
        <v>689862.52</v>
      </c>
      <c r="I84" s="11163">
        <f>H84/G84</f>
        <v>0.81160296470588233</v>
      </c>
      <c r="J84" s="11793">
        <v>850000</v>
      </c>
    </row>
    <row r="85" spans="1:11" ht="15" customHeight="1">
      <c r="A85" s="7548"/>
      <c r="B85" s="7536"/>
      <c r="C85" s="10139"/>
      <c r="D85" s="11797"/>
      <c r="E85" s="11797"/>
      <c r="F85" s="11797"/>
      <c r="G85" s="11797"/>
      <c r="H85" s="11797"/>
      <c r="I85" s="7313"/>
      <c r="J85" s="11798"/>
    </row>
    <row r="86" spans="1:11" ht="15" customHeight="1">
      <c r="A86" s="7548"/>
      <c r="B86" s="7552" t="s">
        <v>37</v>
      </c>
      <c r="C86" s="10139"/>
      <c r="D86" s="11812">
        <f>SUM(D44:D65,D81:D85)</f>
        <v>10689881.389999999</v>
      </c>
      <c r="E86" s="11813">
        <f>SUM(E44:E65,E81:E85)</f>
        <v>2961768.1399999997</v>
      </c>
      <c r="F86" s="11813">
        <f>SUM(F44:F65,F81:F85)</f>
        <v>11903231.860000001</v>
      </c>
      <c r="G86" s="11813">
        <f>SUM(G44:G65,G81:G85)</f>
        <v>14865000</v>
      </c>
      <c r="H86" s="11813">
        <f>SUM(H44:H85)</f>
        <v>11284363.879999999</v>
      </c>
      <c r="I86" s="11814">
        <f>H86/G86</f>
        <v>0.759123032626976</v>
      </c>
      <c r="J86" s="11815">
        <f>SUM(J44:J65,J81:J85)</f>
        <v>17835000</v>
      </c>
      <c r="K86" s="10391">
        <f>(J86-G86)/G86</f>
        <v>0.19979818365287588</v>
      </c>
    </row>
    <row r="87" spans="1:11" ht="15" customHeight="1">
      <c r="A87" s="7548"/>
      <c r="B87" s="7552"/>
      <c r="C87" s="10139"/>
      <c r="D87" s="11816"/>
      <c r="E87" s="11816"/>
      <c r="F87" s="11816"/>
      <c r="G87" s="11816"/>
      <c r="H87" s="11816"/>
      <c r="I87" s="11163"/>
      <c r="J87" s="11817"/>
    </row>
    <row r="88" spans="1:11" ht="15" customHeight="1">
      <c r="A88" s="11791" t="s">
        <v>51</v>
      </c>
      <c r="B88" s="7536" t="s">
        <v>52</v>
      </c>
      <c r="C88" s="10139"/>
      <c r="D88" s="11792"/>
      <c r="E88" s="11792"/>
      <c r="F88" s="11792"/>
      <c r="G88" s="11792"/>
      <c r="H88" s="11792"/>
      <c r="I88" s="11163"/>
      <c r="J88" s="11793"/>
    </row>
    <row r="89" spans="1:11" ht="15" customHeight="1">
      <c r="A89" s="11791"/>
      <c r="B89" s="7287" t="s">
        <v>3344</v>
      </c>
      <c r="C89" s="8802">
        <v>50705020</v>
      </c>
      <c r="D89" s="11792">
        <f>'WS-CO 2017'!F30</f>
        <v>34985</v>
      </c>
      <c r="E89" s="11792"/>
      <c r="F89" s="11794">
        <f>G89-E89</f>
        <v>200000</v>
      </c>
      <c r="G89" s="11792">
        <v>200000</v>
      </c>
      <c r="H89" s="11792">
        <v>200000</v>
      </c>
      <c r="I89" s="11163">
        <f>H89/G89</f>
        <v>1</v>
      </c>
      <c r="J89" s="11818">
        <v>140000</v>
      </c>
    </row>
    <row r="90" spans="1:11" ht="15" hidden="1" customHeight="1">
      <c r="A90" s="11791"/>
      <c r="B90" s="11819" t="s">
        <v>11604</v>
      </c>
      <c r="C90" s="8802"/>
      <c r="D90" s="11792"/>
      <c r="E90" s="11792"/>
      <c r="F90" s="11794"/>
      <c r="G90" s="7574"/>
      <c r="H90" s="11792"/>
      <c r="I90" s="11163"/>
      <c r="J90" s="11818"/>
      <c r="K90" s="7588" t="s">
        <v>11823</v>
      </c>
    </row>
    <row r="91" spans="1:11" ht="15" hidden="1" customHeight="1">
      <c r="A91" s="11791"/>
      <c r="B91" s="11820" t="s">
        <v>11929</v>
      </c>
      <c r="C91" s="8802"/>
      <c r="D91" s="11792"/>
      <c r="E91" s="11792"/>
      <c r="F91" s="11794"/>
      <c r="G91" s="7574"/>
      <c r="H91" s="11792"/>
      <c r="I91" s="11163"/>
      <c r="J91" s="11818"/>
    </row>
    <row r="92" spans="1:11" ht="15" hidden="1" customHeight="1">
      <c r="A92" s="11791" t="s">
        <v>9</v>
      </c>
      <c r="B92" s="11819" t="s">
        <v>11930</v>
      </c>
      <c r="C92" s="8802"/>
      <c r="D92" s="11792"/>
      <c r="E92" s="11792"/>
      <c r="F92" s="11794"/>
      <c r="G92" s="7574"/>
      <c r="H92" s="11792"/>
      <c r="I92" s="11163"/>
      <c r="J92" s="11818"/>
    </row>
    <row r="93" spans="1:11" ht="15" hidden="1" customHeight="1">
      <c r="A93" s="11791"/>
      <c r="B93" s="11819" t="s">
        <v>11605</v>
      </c>
      <c r="C93" s="8802"/>
      <c r="D93" s="11792"/>
      <c r="E93" s="11792"/>
      <c r="F93" s="11794"/>
      <c r="G93" s="7574"/>
      <c r="H93" s="11792"/>
      <c r="I93" s="11163"/>
      <c r="J93" s="11818"/>
    </row>
    <row r="94" spans="1:11" ht="15" customHeight="1">
      <c r="A94" s="11791"/>
      <c r="B94" s="7751" t="s">
        <v>11932</v>
      </c>
      <c r="C94" s="8802"/>
      <c r="D94" s="11792"/>
      <c r="E94" s="11792"/>
      <c r="F94" s="11794"/>
      <c r="G94" s="7574"/>
      <c r="H94" s="11792"/>
      <c r="I94" s="11163"/>
      <c r="J94" s="11818">
        <v>70000</v>
      </c>
      <c r="K94" s="7508"/>
    </row>
    <row r="95" spans="1:11" ht="15" customHeight="1">
      <c r="A95" s="11791"/>
      <c r="B95" s="7536" t="s">
        <v>11594</v>
      </c>
      <c r="C95" s="8802">
        <v>50705110</v>
      </c>
      <c r="D95" s="11792">
        <f>'WS-CO 2017'!H26</f>
        <v>97978</v>
      </c>
      <c r="E95" s="11792"/>
      <c r="F95" s="11792"/>
      <c r="G95" s="10374"/>
      <c r="H95" s="11792"/>
      <c r="I95" s="11163"/>
      <c r="J95" s="11821"/>
    </row>
    <row r="96" spans="1:11" ht="15" hidden="1" customHeight="1">
      <c r="A96" s="11791"/>
      <c r="B96" s="7536" t="s">
        <v>11999</v>
      </c>
      <c r="C96" s="8802"/>
      <c r="D96" s="11792"/>
      <c r="E96" s="11792"/>
      <c r="F96" s="11792"/>
      <c r="G96" s="10374"/>
      <c r="H96" s="11792"/>
      <c r="I96" s="11163"/>
      <c r="J96" s="11821"/>
    </row>
    <row r="97" spans="1:12" ht="15" hidden="1" customHeight="1">
      <c r="A97" s="11791"/>
      <c r="B97" s="7536" t="s">
        <v>12000</v>
      </c>
      <c r="C97" s="8802"/>
      <c r="D97" s="11792"/>
      <c r="E97" s="11792"/>
      <c r="F97" s="11792"/>
      <c r="G97" s="10374"/>
      <c r="H97" s="11792"/>
      <c r="I97" s="11163"/>
      <c r="J97" s="11821"/>
    </row>
    <row r="98" spans="1:12" ht="15" customHeight="1">
      <c r="A98" s="11791"/>
      <c r="B98" s="7784" t="s">
        <v>10977</v>
      </c>
      <c r="C98" s="8802">
        <v>50705990</v>
      </c>
      <c r="D98" s="11792"/>
      <c r="E98" s="11792"/>
      <c r="F98" s="11792"/>
      <c r="G98" s="11792"/>
      <c r="H98" s="11792"/>
      <c r="I98" s="11163"/>
      <c r="J98" s="11818">
        <v>130000</v>
      </c>
    </row>
    <row r="99" spans="1:12" ht="15" hidden="1" customHeight="1">
      <c r="A99" s="11791"/>
      <c r="B99" s="11819" t="s">
        <v>11613</v>
      </c>
      <c r="C99" s="8802"/>
      <c r="D99" s="11792"/>
      <c r="E99" s="11792"/>
      <c r="F99" s="11792"/>
      <c r="G99" s="11792"/>
      <c r="H99" s="11792"/>
      <c r="I99" s="11163"/>
      <c r="J99" s="11818"/>
    </row>
    <row r="100" spans="1:12" ht="15" hidden="1" customHeight="1">
      <c r="A100" s="11791"/>
      <c r="B100" s="11819" t="s">
        <v>11610</v>
      </c>
      <c r="C100" s="8802"/>
      <c r="D100" s="11792"/>
      <c r="E100" s="11792"/>
      <c r="F100" s="11792"/>
      <c r="G100" s="11792"/>
      <c r="H100" s="11792"/>
      <c r="I100" s="11163"/>
      <c r="J100" s="11818"/>
    </row>
    <row r="101" spans="1:12" ht="15" hidden="1" customHeight="1">
      <c r="A101" s="11791"/>
      <c r="B101" s="11819" t="s">
        <v>11609</v>
      </c>
      <c r="C101" s="8802"/>
      <c r="D101" s="11792"/>
      <c r="E101" s="11792"/>
      <c r="F101" s="11792"/>
      <c r="G101" s="11792"/>
      <c r="H101" s="11792"/>
      <c r="I101" s="11163"/>
      <c r="J101" s="11818"/>
    </row>
    <row r="102" spans="1:12" ht="15" hidden="1" customHeight="1">
      <c r="A102" s="11791"/>
      <c r="B102" s="11819" t="s">
        <v>11611</v>
      </c>
      <c r="C102" s="8802"/>
      <c r="D102" s="11792"/>
      <c r="E102" s="11792"/>
      <c r="F102" s="11792"/>
      <c r="G102" s="11792"/>
      <c r="H102" s="11792"/>
      <c r="I102" s="11163"/>
      <c r="J102" s="11818"/>
    </row>
    <row r="103" spans="1:12" ht="15" hidden="1" customHeight="1">
      <c r="A103" s="11791"/>
      <c r="B103" s="11819" t="s">
        <v>11612</v>
      </c>
      <c r="C103" s="8802"/>
      <c r="D103" s="11792"/>
      <c r="E103" s="11792"/>
      <c r="F103" s="11792"/>
      <c r="G103" s="11792"/>
      <c r="H103" s="11792"/>
      <c r="I103" s="11163"/>
      <c r="J103" s="11818"/>
    </row>
    <row r="104" spans="1:12" ht="15" hidden="1" customHeight="1">
      <c r="A104" s="11791"/>
      <c r="B104" s="11819" t="s">
        <v>11931</v>
      </c>
      <c r="C104" s="8802"/>
      <c r="D104" s="11792"/>
      <c r="E104" s="11792"/>
      <c r="F104" s="11792"/>
      <c r="G104" s="11792"/>
      <c r="H104" s="11792"/>
      <c r="I104" s="11163"/>
      <c r="J104" s="11818"/>
    </row>
    <row r="105" spans="1:12" ht="15" hidden="1" customHeight="1">
      <c r="A105" s="11791"/>
      <c r="B105" s="11822" t="s">
        <v>10501</v>
      </c>
      <c r="C105" s="8802">
        <v>50706010</v>
      </c>
      <c r="D105" s="11792"/>
      <c r="E105" s="11792"/>
      <c r="F105" s="11792"/>
      <c r="G105" s="11823"/>
      <c r="H105" s="11792">
        <v>150000</v>
      </c>
      <c r="I105" s="11163"/>
      <c r="J105" s="11824"/>
    </row>
    <row r="106" spans="1:12" s="10677" customFormat="1" ht="15" hidden="1" customHeight="1">
      <c r="A106" s="11825"/>
      <c r="B106" s="11826"/>
      <c r="C106" s="10385"/>
      <c r="D106" s="11827"/>
      <c r="E106" s="11827"/>
      <c r="F106" s="11827"/>
      <c r="G106" s="11828"/>
      <c r="H106" s="11827"/>
      <c r="I106" s="11829"/>
      <c r="J106" s="11830"/>
      <c r="K106" s="10378" t="s">
        <v>11970</v>
      </c>
      <c r="L106" s="10676"/>
    </row>
    <row r="107" spans="1:12" ht="15" customHeight="1">
      <c r="A107" s="11791"/>
      <c r="B107" s="11680" t="s">
        <v>9987</v>
      </c>
      <c r="C107" s="8802">
        <v>50707010</v>
      </c>
      <c r="D107" s="11792">
        <f>'WS-CO 2017'!K30</f>
        <v>0</v>
      </c>
      <c r="E107" s="11792"/>
      <c r="F107" s="11794">
        <f>G107-E107</f>
        <v>200000</v>
      </c>
      <c r="G107" s="11792">
        <v>200000</v>
      </c>
      <c r="H107" s="11792">
        <v>200000</v>
      </c>
      <c r="I107" s="11163">
        <f>H107/G107</f>
        <v>1</v>
      </c>
      <c r="J107" s="11818">
        <v>100000</v>
      </c>
    </row>
    <row r="108" spans="1:12" ht="15" hidden="1" customHeight="1">
      <c r="A108" s="11791"/>
      <c r="B108" s="11819" t="s">
        <v>11606</v>
      </c>
      <c r="C108" s="8802"/>
      <c r="D108" s="11792"/>
      <c r="E108" s="11792"/>
      <c r="F108" s="11792"/>
      <c r="G108" s="10374"/>
      <c r="H108" s="11792"/>
      <c r="I108" s="11163"/>
      <c r="J108" s="11831"/>
    </row>
    <row r="109" spans="1:12" ht="15" hidden="1" customHeight="1">
      <c r="A109" s="11791"/>
      <c r="B109" s="11819" t="s">
        <v>11607</v>
      </c>
      <c r="C109" s="8802"/>
      <c r="D109" s="11792"/>
      <c r="E109" s="11792"/>
      <c r="F109" s="11792"/>
      <c r="G109" s="11792"/>
      <c r="H109" s="11792"/>
      <c r="I109" s="11163"/>
      <c r="J109" s="11818"/>
    </row>
    <row r="110" spans="1:12" ht="15" hidden="1" customHeight="1">
      <c r="A110" s="11791"/>
      <c r="B110" s="11819" t="s">
        <v>11608</v>
      </c>
      <c r="C110" s="8802"/>
      <c r="D110" s="11792"/>
      <c r="E110" s="11792"/>
      <c r="F110" s="11792"/>
      <c r="G110" s="11823"/>
      <c r="H110" s="11792"/>
      <c r="I110" s="11163"/>
      <c r="J110" s="11832"/>
    </row>
    <row r="111" spans="1:12" ht="15" customHeight="1">
      <c r="A111" s="11791"/>
      <c r="B111" s="7552" t="s">
        <v>37</v>
      </c>
      <c r="C111" s="10139"/>
      <c r="D111" s="11813">
        <f>SUM(D88:D110)</f>
        <v>132963</v>
      </c>
      <c r="E111" s="11813">
        <f>SUM(E88:E110)</f>
        <v>0</v>
      </c>
      <c r="F111" s="11813">
        <f>SUM(F88:F110)</f>
        <v>400000</v>
      </c>
      <c r="G111" s="11813">
        <f>SUM(G88:G110)</f>
        <v>400000</v>
      </c>
      <c r="H111" s="11813">
        <f>H89+H107</f>
        <v>400000</v>
      </c>
      <c r="I111" s="11206">
        <f>H111/G111</f>
        <v>1</v>
      </c>
      <c r="J111" s="11815">
        <f>SUM(J88:J110)</f>
        <v>440000</v>
      </c>
      <c r="K111" s="10391">
        <f>(J111-G111)/G111</f>
        <v>0.1</v>
      </c>
    </row>
    <row r="112" spans="1:12" ht="15" customHeight="1">
      <c r="A112" s="11791"/>
      <c r="B112" s="7552"/>
      <c r="C112" s="10139"/>
      <c r="D112" s="11816"/>
      <c r="E112" s="11816"/>
      <c r="F112" s="11816"/>
      <c r="G112" s="11816"/>
      <c r="H112" s="11816"/>
      <c r="I112" s="11210"/>
      <c r="J112" s="11817"/>
    </row>
    <row r="113" spans="1:12" ht="15" customHeight="1">
      <c r="A113" s="11791" t="s">
        <v>53</v>
      </c>
      <c r="B113" s="7536" t="s">
        <v>54</v>
      </c>
      <c r="C113" s="10139"/>
      <c r="D113" s="11792"/>
      <c r="E113" s="11792"/>
      <c r="F113" s="11792"/>
      <c r="G113" s="11792"/>
      <c r="H113" s="11792"/>
      <c r="I113" s="11163"/>
      <c r="J113" s="11793"/>
    </row>
    <row r="114" spans="1:12" ht="15" customHeight="1">
      <c r="A114" s="11791"/>
      <c r="B114" s="7536"/>
      <c r="C114" s="10139"/>
      <c r="D114" s="7551"/>
      <c r="E114" s="11797"/>
      <c r="F114" s="11797"/>
      <c r="G114" s="11797"/>
      <c r="H114" s="11797"/>
      <c r="I114" s="7313"/>
      <c r="J114" s="11798"/>
    </row>
    <row r="115" spans="1:12" s="7588" customFormat="1" ht="15" customHeight="1">
      <c r="A115" s="11833"/>
      <c r="B115" s="11834" t="s">
        <v>37</v>
      </c>
      <c r="C115" s="11811"/>
      <c r="D115" s="11812">
        <v>0</v>
      </c>
      <c r="E115" s="11812">
        <v>0</v>
      </c>
      <c r="F115" s="11812">
        <v>0</v>
      </c>
      <c r="G115" s="11813">
        <v>0</v>
      </c>
      <c r="H115" s="11813"/>
      <c r="I115" s="11206"/>
      <c r="J115" s="11815">
        <v>0</v>
      </c>
      <c r="L115" s="10262"/>
    </row>
    <row r="116" spans="1:12" s="7588" customFormat="1" ht="15" customHeight="1">
      <c r="A116" s="11835"/>
      <c r="B116" s="7857"/>
      <c r="C116" s="11836"/>
      <c r="D116" s="11812"/>
      <c r="E116" s="11813"/>
      <c r="F116" s="11813"/>
      <c r="G116" s="11813"/>
      <c r="H116" s="11813"/>
      <c r="I116" s="11206"/>
      <c r="J116" s="11815"/>
      <c r="L116" s="10262"/>
    </row>
    <row r="117" spans="1:12" ht="15" customHeight="1" thickBot="1">
      <c r="A117" s="11799"/>
      <c r="B117" s="7850" t="s">
        <v>55</v>
      </c>
      <c r="C117" s="11800"/>
      <c r="D117" s="11837">
        <f>(D32+D86+D111+D115)</f>
        <v>27564478.689999998</v>
      </c>
      <c r="E117" s="11837">
        <f>(E32+E86+E111+E115)</f>
        <v>11742670.140000001</v>
      </c>
      <c r="F117" s="11837">
        <f>(F32+F86+F111+F115)</f>
        <v>28846619.859999999</v>
      </c>
      <c r="G117" s="11837">
        <f>(G32+G86+G111+G115)</f>
        <v>40589290</v>
      </c>
      <c r="H117" s="11837"/>
      <c r="I117" s="11176"/>
      <c r="J117" s="11838">
        <f>(J32+J86+J111+J115)</f>
        <v>44902023.435000002</v>
      </c>
      <c r="K117" s="10391">
        <f>(J117-G117)/G117</f>
        <v>0.10625299025925318</v>
      </c>
    </row>
    <row r="118" spans="1:12" s="7333" customFormat="1" ht="15" customHeight="1">
      <c r="A118" s="7738" t="s">
        <v>4763</v>
      </c>
      <c r="B118" s="7738"/>
      <c r="C118" s="11809"/>
      <c r="D118" s="7740"/>
      <c r="E118" s="7740"/>
      <c r="F118" s="11771"/>
      <c r="G118" s="9457"/>
      <c r="H118" s="7745"/>
      <c r="I118" s="7747"/>
      <c r="J118" s="11810"/>
      <c r="K118" s="7748"/>
      <c r="L118" s="7842"/>
    </row>
    <row r="119" spans="1:12" ht="15" customHeight="1">
      <c r="A119" s="7509"/>
      <c r="B119" s="7509"/>
      <c r="C119" s="7773"/>
      <c r="D119" s="7516"/>
      <c r="E119" s="7516"/>
      <c r="F119" s="7516"/>
      <c r="G119" s="7597"/>
      <c r="H119" s="7515"/>
      <c r="I119" s="7284"/>
      <c r="J119" s="7597"/>
    </row>
    <row r="120" spans="1:12" ht="15" hidden="1" customHeight="1">
      <c r="A120" s="7335" t="s">
        <v>3483</v>
      </c>
      <c r="B120" s="7335"/>
      <c r="C120" s="7508"/>
      <c r="D120" s="7773" t="s">
        <v>3484</v>
      </c>
      <c r="E120" s="7336"/>
      <c r="F120" s="7336"/>
      <c r="G120" s="7337" t="s">
        <v>10666</v>
      </c>
      <c r="H120" s="7336"/>
      <c r="I120" s="7286"/>
      <c r="J120" s="7338"/>
    </row>
    <row r="121" spans="1:12" s="7588" customFormat="1" ht="15" hidden="1" customHeight="1">
      <c r="A121" s="7335"/>
      <c r="B121" s="7335"/>
      <c r="D121" s="7773"/>
      <c r="E121" s="7336"/>
      <c r="F121" s="7336"/>
      <c r="G121" s="7339"/>
      <c r="H121" s="7336"/>
      <c r="I121" s="7286"/>
      <c r="J121" s="7338"/>
      <c r="L121" s="10262"/>
    </row>
    <row r="122" spans="1:12" s="7588" customFormat="1" ht="15" hidden="1" customHeight="1">
      <c r="A122" s="7335"/>
      <c r="B122" s="7335"/>
      <c r="D122" s="7773"/>
      <c r="E122" s="7336"/>
      <c r="F122" s="7336"/>
      <c r="G122" s="7339"/>
      <c r="H122" s="7336"/>
      <c r="I122" s="7286"/>
      <c r="J122" s="7338"/>
      <c r="L122" s="10262"/>
    </row>
    <row r="123" spans="1:12" ht="15" hidden="1" customHeight="1">
      <c r="A123" s="7335"/>
      <c r="B123" s="7335"/>
      <c r="C123" s="7508"/>
      <c r="D123" s="7773"/>
      <c r="E123" s="7336"/>
      <c r="F123" s="7336"/>
      <c r="G123" s="7339"/>
      <c r="H123" s="7336"/>
      <c r="I123" s="7286"/>
      <c r="J123" s="7338"/>
    </row>
    <row r="124" spans="1:12" ht="15" hidden="1" customHeight="1">
      <c r="B124" s="10885" t="s">
        <v>12062</v>
      </c>
      <c r="C124" s="7508"/>
      <c r="D124" s="10872" t="s">
        <v>12063</v>
      </c>
      <c r="E124" s="9431"/>
      <c r="F124" s="9431"/>
      <c r="G124" s="7342" t="s">
        <v>10667</v>
      </c>
      <c r="H124" s="9431"/>
      <c r="I124" s="7284"/>
      <c r="J124" s="7343"/>
    </row>
    <row r="125" spans="1:12" ht="15" hidden="1" customHeight="1">
      <c r="B125" s="10884" t="s">
        <v>11228</v>
      </c>
      <c r="C125" s="7508"/>
      <c r="D125" s="9470" t="s">
        <v>10343</v>
      </c>
      <c r="E125" s="7336"/>
      <c r="F125" s="7336"/>
      <c r="G125" s="7344" t="s">
        <v>10668</v>
      </c>
      <c r="H125" s="7336"/>
      <c r="I125" s="7286"/>
      <c r="J125" s="7338"/>
    </row>
    <row r="126" spans="1:12" ht="15" customHeight="1">
      <c r="A126" s="7509"/>
      <c r="B126" s="7509"/>
      <c r="C126" s="7773"/>
      <c r="D126" s="7516"/>
      <c r="E126" s="7516"/>
      <c r="F126" s="7516"/>
      <c r="G126" s="7516"/>
      <c r="H126" s="8876">
        <f>J117-G117</f>
        <v>4312733.4350000024</v>
      </c>
      <c r="I126" s="8877">
        <f>H126/G117</f>
        <v>0.10625299025925318</v>
      </c>
      <c r="J126" s="7516"/>
    </row>
    <row r="127" spans="1:12" ht="15" customHeight="1">
      <c r="A127" s="7509"/>
      <c r="B127" s="7509"/>
      <c r="C127" s="7773"/>
      <c r="D127" s="7516"/>
      <c r="E127" s="7516"/>
      <c r="F127" s="7516"/>
      <c r="G127" s="7516"/>
      <c r="H127" s="8876"/>
      <c r="I127" s="8877"/>
      <c r="J127" s="7516"/>
    </row>
    <row r="128" spans="1:12" ht="15" customHeight="1">
      <c r="A128" s="7509"/>
      <c r="B128" s="7509"/>
      <c r="C128" s="7773"/>
      <c r="D128" s="7516"/>
      <c r="E128" s="7516"/>
      <c r="F128" s="7516"/>
      <c r="G128" s="7516"/>
      <c r="H128" s="8876"/>
      <c r="I128" s="8877"/>
      <c r="J128" s="7516"/>
    </row>
    <row r="129" spans="1:10" ht="15" customHeight="1">
      <c r="A129" s="7509"/>
      <c r="B129" s="7509"/>
      <c r="C129" s="7773"/>
      <c r="D129" s="7516"/>
      <c r="E129" s="7516"/>
      <c r="F129" s="7516"/>
      <c r="G129" s="7516"/>
      <c r="H129" s="8876"/>
      <c r="I129" s="8877"/>
      <c r="J129" s="7516"/>
    </row>
    <row r="130" spans="1:10" ht="15" hidden="1" customHeight="1">
      <c r="A130" s="7509"/>
      <c r="B130" s="7509"/>
      <c r="C130" s="7773"/>
      <c r="D130" s="7516"/>
      <c r="E130" s="7516"/>
      <c r="F130" s="7336" t="s">
        <v>11069</v>
      </c>
      <c r="G130" s="7516">
        <v>31229420</v>
      </c>
      <c r="H130" s="7516" t="s">
        <v>9</v>
      </c>
      <c r="I130" s="7286"/>
      <c r="J130" s="7516"/>
    </row>
    <row r="131" spans="1:10" ht="15" hidden="1" customHeight="1">
      <c r="A131" s="7509"/>
      <c r="B131" s="7509"/>
      <c r="C131" s="7773"/>
      <c r="D131" s="7516"/>
      <c r="E131" s="7516"/>
      <c r="F131" s="7336" t="s">
        <v>11070</v>
      </c>
      <c r="G131" s="7516">
        <f>G117-G130</f>
        <v>9359870</v>
      </c>
      <c r="H131" s="7516"/>
      <c r="I131" s="7286"/>
      <c r="J131" s="7516"/>
    </row>
    <row r="132" spans="1:10" ht="15" hidden="1" customHeight="1">
      <c r="F132" s="7336"/>
      <c r="G132" s="7899">
        <f>G131/G130</f>
        <v>0.29971321913759524</v>
      </c>
    </row>
    <row r="133" spans="1:10" ht="15" hidden="1" customHeight="1"/>
  </sheetData>
  <mergeCells count="11">
    <mergeCell ref="C7:C8"/>
    <mergeCell ref="C78:C79"/>
    <mergeCell ref="A1:J1"/>
    <mergeCell ref="E77:G77"/>
    <mergeCell ref="G78:G79"/>
    <mergeCell ref="E6:G6"/>
    <mergeCell ref="G7:G8"/>
    <mergeCell ref="E39:G39"/>
    <mergeCell ref="C40:C41"/>
    <mergeCell ref="G40:G41"/>
    <mergeCell ref="J3:J4"/>
  </mergeCells>
  <printOptions horizontalCentered="1" gridLinesSet="0"/>
  <pageMargins left="0.25" right="0.25" top="0.5" bottom="0.25" header="0.25" footer="0.25"/>
  <pageSetup paperSize="119" firstPageNumber="273" orientation="landscape" useFirstPageNumber="1" r:id="rId1"/>
  <headerFooter alignWithMargins="0"/>
</worksheet>
</file>

<file path=xl/worksheets/sheet138.xml><?xml version="1.0" encoding="utf-8"?>
<worksheet xmlns="http://schemas.openxmlformats.org/spreadsheetml/2006/main" xmlns:r="http://schemas.openxmlformats.org/officeDocument/2006/relationships">
  <sheetPr codeName="Sheet174">
    <tabColor rgb="FFFFFF00"/>
  </sheetPr>
  <dimension ref="A1:F48"/>
  <sheetViews>
    <sheetView workbookViewId="0">
      <selection activeCell="B1" sqref="B1:B2"/>
    </sheetView>
  </sheetViews>
  <sheetFormatPr defaultColWidth="9.109375" defaultRowHeight="14.4"/>
  <cols>
    <col min="1" max="1" width="3.88671875" style="951" customWidth="1"/>
    <col min="2" max="2" width="34.88671875" style="951" customWidth="1"/>
    <col min="3" max="3" width="14.109375" style="889" customWidth="1"/>
    <col min="4" max="4" width="14.88671875" style="959" customWidth="1"/>
    <col min="5" max="5" width="15.109375" style="959" customWidth="1"/>
    <col min="6" max="6" width="14.109375" style="959" customWidth="1"/>
    <col min="7" max="16384" width="9.109375" style="818"/>
  </cols>
  <sheetData>
    <row r="1" spans="1:6" s="881" customFormat="1" ht="21" customHeight="1">
      <c r="A1" s="946"/>
      <c r="B1" s="946" t="s">
        <v>3426</v>
      </c>
      <c r="C1" s="884"/>
      <c r="D1" s="952"/>
      <c r="E1" s="952"/>
      <c r="F1" s="952"/>
    </row>
    <row r="2" spans="1:6" s="881" customFormat="1" ht="16.5" customHeight="1">
      <c r="A2" s="946"/>
      <c r="B2" s="946" t="s">
        <v>4805</v>
      </c>
      <c r="C2" s="884"/>
      <c r="D2" s="952"/>
      <c r="E2" s="952"/>
      <c r="F2" s="952"/>
    </row>
    <row r="3" spans="1:6" s="881" customFormat="1" ht="16.5" customHeight="1">
      <c r="A3" s="946"/>
      <c r="B3" s="946"/>
      <c r="C3" s="884"/>
      <c r="D3" s="952"/>
      <c r="E3" s="952"/>
      <c r="F3" s="952"/>
    </row>
    <row r="4" spans="1:6" s="881" customFormat="1">
      <c r="A4" s="1341"/>
      <c r="B4" s="14985" t="s">
        <v>3427</v>
      </c>
      <c r="C4" s="14207" t="s">
        <v>18</v>
      </c>
      <c r="D4" s="14207"/>
      <c r="E4" s="14207"/>
      <c r="F4" s="14987" t="s">
        <v>220</v>
      </c>
    </row>
    <row r="5" spans="1:6" s="882" customFormat="1" ht="28.8">
      <c r="A5" s="1342"/>
      <c r="B5" s="14986"/>
      <c r="C5" s="1002" t="s">
        <v>2151</v>
      </c>
      <c r="D5" s="1043" t="s">
        <v>1973</v>
      </c>
      <c r="E5" s="1043" t="s">
        <v>52</v>
      </c>
      <c r="F5" s="14988"/>
    </row>
    <row r="6" spans="1:6" s="881" customFormat="1">
      <c r="A6" s="1288" t="s">
        <v>2048</v>
      </c>
      <c r="B6" s="972"/>
      <c r="C6" s="886"/>
      <c r="D6" s="953"/>
      <c r="E6" s="953"/>
      <c r="F6" s="953"/>
    </row>
    <row r="7" spans="1:6" s="881" customFormat="1">
      <c r="A7" s="1378"/>
      <c r="B7" s="2486" t="s">
        <v>18</v>
      </c>
      <c r="C7" s="1008"/>
      <c r="D7" s="1036"/>
      <c r="E7" s="1036"/>
      <c r="F7" s="1036"/>
    </row>
    <row r="8" spans="1:6">
      <c r="A8" s="947"/>
      <c r="B8" s="960" t="s">
        <v>3650</v>
      </c>
      <c r="C8" s="887">
        <f>'lbpf 3-HLOON'!J32</f>
        <v>26627023.435000002</v>
      </c>
      <c r="D8" s="954">
        <f>2478500+988788</f>
        <v>3467288</v>
      </c>
      <c r="E8" s="954"/>
      <c r="F8" s="1036">
        <f t="shared" ref="F8:F47" si="0">SUM(C8:E8)</f>
        <v>30094311.435000002</v>
      </c>
    </row>
    <row r="9" spans="1:6">
      <c r="A9" s="947"/>
      <c r="B9" s="960" t="s">
        <v>2000</v>
      </c>
      <c r="C9" s="887"/>
      <c r="D9" s="954">
        <v>1605212</v>
      </c>
      <c r="E9" s="954"/>
      <c r="F9" s="1036">
        <f t="shared" si="0"/>
        <v>1605212</v>
      </c>
    </row>
    <row r="10" spans="1:6">
      <c r="A10" s="947"/>
      <c r="B10" s="960" t="s">
        <v>2008</v>
      </c>
      <c r="C10" s="887"/>
      <c r="D10" s="954">
        <v>1912500</v>
      </c>
      <c r="E10" s="954"/>
      <c r="F10" s="1036">
        <f t="shared" si="0"/>
        <v>1912500</v>
      </c>
    </row>
    <row r="11" spans="1:6">
      <c r="A11" s="947"/>
      <c r="B11" s="960" t="s">
        <v>2081</v>
      </c>
      <c r="C11" s="887"/>
      <c r="D11" s="954"/>
      <c r="E11" s="954"/>
      <c r="F11" s="1036"/>
    </row>
    <row r="12" spans="1:6">
      <c r="A12" s="947"/>
      <c r="B12" s="960" t="s">
        <v>3651</v>
      </c>
      <c r="C12" s="887"/>
      <c r="D12" s="954">
        <v>891500</v>
      </c>
      <c r="E12" s="954"/>
      <c r="F12" s="1036">
        <f t="shared" si="0"/>
        <v>891500</v>
      </c>
    </row>
    <row r="13" spans="1:6">
      <c r="A13" s="947"/>
      <c r="B13" s="960" t="s">
        <v>3652</v>
      </c>
      <c r="C13" s="887"/>
      <c r="D13" s="954">
        <v>391500</v>
      </c>
      <c r="E13" s="954"/>
      <c r="F13" s="1036">
        <f t="shared" si="0"/>
        <v>391500</v>
      </c>
    </row>
    <row r="14" spans="1:6">
      <c r="A14" s="947"/>
      <c r="B14" s="951" t="s">
        <v>7148</v>
      </c>
      <c r="C14" s="887"/>
      <c r="D14" s="954">
        <v>382000</v>
      </c>
      <c r="E14" s="954"/>
      <c r="F14" s="1036">
        <f t="shared" si="0"/>
        <v>382000</v>
      </c>
    </row>
    <row r="15" spans="1:6">
      <c r="A15" s="947"/>
      <c r="B15" s="960" t="s">
        <v>3653</v>
      </c>
      <c r="C15" s="887"/>
      <c r="D15" s="954">
        <v>103000</v>
      </c>
      <c r="E15" s="954"/>
      <c r="F15" s="1036">
        <f t="shared" si="0"/>
        <v>103000</v>
      </c>
    </row>
    <row r="16" spans="1:6">
      <c r="A16" s="947"/>
      <c r="B16" s="960" t="s">
        <v>3654</v>
      </c>
      <c r="C16" s="887"/>
      <c r="D16" s="954">
        <v>1173000</v>
      </c>
      <c r="E16" s="954"/>
      <c r="F16" s="1036">
        <f t="shared" si="0"/>
        <v>1173000</v>
      </c>
    </row>
    <row r="17" spans="1:6">
      <c r="A17" s="1345"/>
      <c r="B17" s="1356"/>
      <c r="C17" s="888"/>
      <c r="D17" s="955"/>
      <c r="E17" s="955"/>
      <c r="F17" s="1036"/>
    </row>
    <row r="18" spans="1:6">
      <c r="A18" s="1288" t="s">
        <v>3429</v>
      </c>
      <c r="B18" s="960"/>
      <c r="C18" s="887"/>
      <c r="D18" s="954"/>
      <c r="E18" s="954"/>
      <c r="F18" s="2489"/>
    </row>
    <row r="19" spans="1:6">
      <c r="A19" s="1591"/>
      <c r="B19" s="2486" t="s">
        <v>7149</v>
      </c>
      <c r="C19" s="1559"/>
      <c r="D19" s="1573"/>
      <c r="E19" s="1573"/>
      <c r="F19" s="1036"/>
    </row>
    <row r="20" spans="1:6">
      <c r="A20" s="1591"/>
      <c r="B20" s="1387" t="s">
        <v>7150</v>
      </c>
      <c r="C20" s="1559"/>
      <c r="D20" s="1573"/>
      <c r="E20" s="1573">
        <v>100000</v>
      </c>
      <c r="F20" s="1036">
        <f t="shared" si="0"/>
        <v>100000</v>
      </c>
    </row>
    <row r="21" spans="1:6">
      <c r="A21" s="1378"/>
      <c r="B21" s="2487" t="s">
        <v>7151</v>
      </c>
      <c r="C21" s="2387"/>
      <c r="D21" s="2139"/>
      <c r="E21" s="2139">
        <v>250000</v>
      </c>
      <c r="F21" s="1036">
        <f t="shared" si="0"/>
        <v>250000</v>
      </c>
    </row>
    <row r="22" spans="1:6">
      <c r="A22" s="1378"/>
      <c r="B22" s="2487" t="s">
        <v>7152</v>
      </c>
      <c r="C22" s="2387"/>
      <c r="D22" s="2139"/>
      <c r="E22" s="2139">
        <v>250000</v>
      </c>
      <c r="F22" s="1036">
        <f t="shared" si="0"/>
        <v>250000</v>
      </c>
    </row>
    <row r="23" spans="1:6">
      <c r="A23" s="1378"/>
      <c r="B23" s="2487" t="s">
        <v>7153</v>
      </c>
      <c r="C23" s="2387"/>
      <c r="D23" s="2139"/>
      <c r="E23" s="2139">
        <v>500000</v>
      </c>
      <c r="F23" s="1036">
        <f t="shared" si="0"/>
        <v>500000</v>
      </c>
    </row>
    <row r="24" spans="1:6">
      <c r="A24" s="1378"/>
      <c r="B24" s="2487" t="s">
        <v>7154</v>
      </c>
      <c r="C24" s="2387"/>
      <c r="D24" s="2139"/>
      <c r="E24" s="2139">
        <v>200000</v>
      </c>
      <c r="F24" s="1036">
        <f t="shared" si="0"/>
        <v>200000</v>
      </c>
    </row>
    <row r="25" spans="1:6">
      <c r="A25" s="1378"/>
      <c r="B25" s="2487" t="s">
        <v>7156</v>
      </c>
      <c r="C25" s="2387"/>
      <c r="D25" s="2139"/>
      <c r="E25" s="2139">
        <v>200000</v>
      </c>
      <c r="F25" s="1036">
        <f t="shared" si="0"/>
        <v>200000</v>
      </c>
    </row>
    <row r="26" spans="1:6">
      <c r="A26" s="1378"/>
      <c r="B26" s="2487" t="s">
        <v>7155</v>
      </c>
      <c r="C26" s="2387"/>
      <c r="D26" s="2139"/>
      <c r="E26" s="2139">
        <v>1000000</v>
      </c>
      <c r="F26" s="1036">
        <f t="shared" si="0"/>
        <v>1000000</v>
      </c>
    </row>
    <row r="27" spans="1:6">
      <c r="A27" s="1378"/>
      <c r="B27" s="2487" t="s">
        <v>7157</v>
      </c>
      <c r="C27" s="2387"/>
      <c r="D27" s="2139"/>
      <c r="E27" s="2139">
        <v>500000</v>
      </c>
      <c r="F27" s="1036">
        <f t="shared" si="0"/>
        <v>500000</v>
      </c>
    </row>
    <row r="28" spans="1:6">
      <c r="A28" s="1378"/>
      <c r="B28" s="2487" t="s">
        <v>7158</v>
      </c>
      <c r="C28" s="2387"/>
      <c r="D28" s="2139"/>
      <c r="E28" s="2139"/>
      <c r="F28" s="1036"/>
    </row>
    <row r="29" spans="1:6">
      <c r="A29" s="1378"/>
      <c r="B29" s="2487" t="s">
        <v>7159</v>
      </c>
      <c r="C29" s="2387"/>
      <c r="D29" s="2139"/>
      <c r="E29" s="2139">
        <v>1500000</v>
      </c>
      <c r="F29" s="1036">
        <f t="shared" si="0"/>
        <v>1500000</v>
      </c>
    </row>
    <row r="30" spans="1:6">
      <c r="A30" s="1378"/>
      <c r="B30" s="2487" t="s">
        <v>7160</v>
      </c>
      <c r="C30" s="2387"/>
      <c r="D30" s="2139"/>
      <c r="E30" s="2139">
        <v>300000</v>
      </c>
      <c r="F30" s="1036">
        <f t="shared" si="0"/>
        <v>300000</v>
      </c>
    </row>
    <row r="31" spans="1:6">
      <c r="A31" s="1378"/>
      <c r="B31" s="2487" t="s">
        <v>7161</v>
      </c>
      <c r="C31" s="2387"/>
      <c r="D31" s="2139"/>
      <c r="E31" s="2139">
        <v>115000</v>
      </c>
      <c r="F31" s="1036">
        <f t="shared" si="0"/>
        <v>115000</v>
      </c>
    </row>
    <row r="32" spans="1:6">
      <c r="A32" s="1378"/>
      <c r="B32" s="2487" t="s">
        <v>7162</v>
      </c>
      <c r="C32" s="2387"/>
      <c r="D32" s="2139"/>
      <c r="E32" s="2139">
        <v>1000000</v>
      </c>
      <c r="F32" s="1036">
        <f t="shared" si="0"/>
        <v>1000000</v>
      </c>
    </row>
    <row r="33" spans="1:6">
      <c r="A33" s="1378"/>
      <c r="B33" s="2487" t="s">
        <v>7163</v>
      </c>
      <c r="C33" s="2387"/>
      <c r="D33" s="2139"/>
      <c r="E33" s="2139">
        <v>500000</v>
      </c>
      <c r="F33" s="1036">
        <f t="shared" si="0"/>
        <v>500000</v>
      </c>
    </row>
    <row r="34" spans="1:6">
      <c r="A34" s="1378"/>
      <c r="B34" s="2487" t="s">
        <v>7164</v>
      </c>
      <c r="C34" s="2387"/>
      <c r="D34" s="2139"/>
      <c r="E34" s="2139">
        <v>300000</v>
      </c>
      <c r="F34" s="1036">
        <f t="shared" si="0"/>
        <v>300000</v>
      </c>
    </row>
    <row r="35" spans="1:6">
      <c r="A35" s="1378"/>
      <c r="B35" s="2487" t="s">
        <v>7165</v>
      </c>
      <c r="C35" s="2387"/>
      <c r="D35" s="2139"/>
      <c r="E35" s="2139">
        <v>100000</v>
      </c>
      <c r="F35" s="1036">
        <f t="shared" si="0"/>
        <v>100000</v>
      </c>
    </row>
    <row r="36" spans="1:6">
      <c r="A36" s="1378"/>
      <c r="B36" s="2487" t="s">
        <v>7166</v>
      </c>
      <c r="C36" s="2387"/>
      <c r="D36" s="2139"/>
      <c r="E36" s="2139">
        <v>850000</v>
      </c>
      <c r="F36" s="1036">
        <f t="shared" si="0"/>
        <v>850000</v>
      </c>
    </row>
    <row r="37" spans="1:6">
      <c r="A37" s="1378"/>
      <c r="B37" s="2487" t="s">
        <v>7167</v>
      </c>
      <c r="C37" s="2387"/>
      <c r="D37" s="2139"/>
      <c r="E37" s="2139">
        <v>750000</v>
      </c>
      <c r="F37" s="1036">
        <f t="shared" si="0"/>
        <v>750000</v>
      </c>
    </row>
    <row r="38" spans="1:6">
      <c r="A38" s="1378"/>
      <c r="B38" s="2487" t="s">
        <v>7168</v>
      </c>
      <c r="C38" s="2387"/>
      <c r="D38" s="2139"/>
      <c r="E38" s="2139">
        <v>900000</v>
      </c>
      <c r="F38" s="1036">
        <f t="shared" si="0"/>
        <v>900000</v>
      </c>
    </row>
    <row r="39" spans="1:6">
      <c r="A39" s="1378"/>
      <c r="B39" s="2487" t="s">
        <v>7169</v>
      </c>
      <c r="C39" s="2387"/>
      <c r="D39" s="2139"/>
      <c r="E39" s="2139">
        <v>800000</v>
      </c>
      <c r="F39" s="1036">
        <f t="shared" si="0"/>
        <v>800000</v>
      </c>
    </row>
    <row r="40" spans="1:6">
      <c r="A40" s="1378"/>
      <c r="B40" s="2487" t="s">
        <v>7170</v>
      </c>
      <c r="C40" s="2387"/>
      <c r="D40" s="2139"/>
      <c r="E40" s="2139">
        <v>300000</v>
      </c>
      <c r="F40" s="1036">
        <f t="shared" si="0"/>
        <v>300000</v>
      </c>
    </row>
    <row r="41" spans="1:6">
      <c r="A41" s="1378"/>
      <c r="B41" s="2487" t="s">
        <v>7171</v>
      </c>
      <c r="C41" s="2387"/>
      <c r="D41" s="2139"/>
      <c r="E41" s="2139">
        <v>100000</v>
      </c>
      <c r="F41" s="1036">
        <f t="shared" si="0"/>
        <v>100000</v>
      </c>
    </row>
    <row r="42" spans="1:6">
      <c r="A42" s="1378"/>
      <c r="B42" s="2487" t="s">
        <v>7172</v>
      </c>
      <c r="C42" s="2387"/>
      <c r="D42" s="2139"/>
      <c r="E42" s="2139">
        <v>300000</v>
      </c>
      <c r="F42" s="1036">
        <f t="shared" si="0"/>
        <v>300000</v>
      </c>
    </row>
    <row r="43" spans="1:6">
      <c r="A43" s="1378"/>
      <c r="B43" s="2488" t="s">
        <v>3445</v>
      </c>
      <c r="C43" s="2387"/>
      <c r="D43" s="2139"/>
      <c r="E43" s="2139"/>
      <c r="F43" s="1036"/>
    </row>
    <row r="44" spans="1:6">
      <c r="A44" s="1378"/>
      <c r="B44" s="2487" t="s">
        <v>7173</v>
      </c>
      <c r="C44" s="2387"/>
      <c r="D44" s="2139"/>
      <c r="E44" s="2139"/>
      <c r="F44" s="1036"/>
    </row>
    <row r="45" spans="1:6">
      <c r="A45" s="1378"/>
      <c r="B45" s="2487" t="s">
        <v>7174</v>
      </c>
      <c r="C45" s="2387"/>
      <c r="D45" s="2139"/>
      <c r="E45" s="2139">
        <v>150000</v>
      </c>
      <c r="F45" s="1036">
        <f t="shared" si="0"/>
        <v>150000</v>
      </c>
    </row>
    <row r="46" spans="1:6">
      <c r="A46" s="1378"/>
      <c r="B46" s="2487" t="s">
        <v>7175</v>
      </c>
      <c r="C46" s="2387"/>
      <c r="D46" s="2139"/>
      <c r="E46" s="2139">
        <v>500000</v>
      </c>
      <c r="F46" s="1036">
        <f t="shared" si="0"/>
        <v>500000</v>
      </c>
    </row>
    <row r="47" spans="1:6">
      <c r="A47" s="1378"/>
      <c r="B47" s="2487" t="s">
        <v>7176</v>
      </c>
      <c r="C47" s="2387"/>
      <c r="D47" s="2139"/>
      <c r="E47" s="2139">
        <v>115000</v>
      </c>
      <c r="F47" s="1036">
        <f t="shared" si="0"/>
        <v>115000</v>
      </c>
    </row>
    <row r="48" spans="1:6" s="881" customFormat="1" ht="28.5" customHeight="1">
      <c r="A48" s="5348"/>
      <c r="B48" s="5361" t="s">
        <v>2850</v>
      </c>
      <c r="C48" s="892">
        <f>SUM(C6:C47)</f>
        <v>26627023.435000002</v>
      </c>
      <c r="D48" s="892">
        <f>SUM(D6:D47)</f>
        <v>9926000</v>
      </c>
      <c r="E48" s="892">
        <f>SUM(E6:E47)</f>
        <v>11580000</v>
      </c>
      <c r="F48" s="892">
        <f>SUM(F6:F47)</f>
        <v>48133023.435000002</v>
      </c>
    </row>
  </sheetData>
  <mergeCells count="3">
    <mergeCell ref="B4:B5"/>
    <mergeCell ref="C4:E4"/>
    <mergeCell ref="F4:F5"/>
  </mergeCells>
  <printOptions horizontalCentered="1"/>
  <pageMargins left="0.5" right="0.25" top="0.75" bottom="0.5" header="0.5" footer="0.25"/>
  <pageSetup paperSize="119" firstPageNumber="275" orientation="portrait" useFirstPageNumber="1" verticalDpi="300" r:id="rId1"/>
</worksheet>
</file>

<file path=xl/worksheets/sheet139.xml><?xml version="1.0" encoding="utf-8"?>
<worksheet xmlns="http://schemas.openxmlformats.org/spreadsheetml/2006/main" xmlns:r="http://schemas.openxmlformats.org/officeDocument/2006/relationships">
  <sheetPr codeName="Sheet98">
    <tabColor rgb="FFFFFF00"/>
  </sheetPr>
  <dimension ref="A1:I88"/>
  <sheetViews>
    <sheetView showGridLines="0" workbookViewId="0">
      <selection activeCell="F55" sqref="F1:P1048576"/>
    </sheetView>
  </sheetViews>
  <sheetFormatPr defaultRowHeight="12.9" customHeight="1"/>
  <cols>
    <col min="1" max="1" width="40.5546875" style="7001" customWidth="1"/>
    <col min="2" max="3" width="8.5546875" style="7001" customWidth="1"/>
    <col min="4" max="6" width="14.5546875" style="7001" customWidth="1"/>
    <col min="7" max="7" width="13.88671875" style="7001" customWidth="1"/>
    <col min="8" max="8" width="15.6640625" style="7001" customWidth="1"/>
    <col min="9" max="9" width="14.33203125" style="7001" customWidth="1"/>
    <col min="10" max="15" width="8.88671875" style="7001" customWidth="1"/>
    <col min="16" max="256" width="9.109375" style="7001"/>
    <col min="257" max="257" width="35.109375" style="7001" customWidth="1"/>
    <col min="258" max="258" width="8.109375" style="7001" customWidth="1"/>
    <col min="259" max="260" width="9.109375" style="7001"/>
    <col min="261" max="261" width="14" style="7001" customWidth="1"/>
    <col min="262" max="262" width="14.109375" style="7001" customWidth="1"/>
    <col min="263" max="263" width="9.109375" style="7001"/>
    <col min="264" max="264" width="11.109375" style="7001" customWidth="1"/>
    <col min="265" max="265" width="11" style="7001" customWidth="1"/>
    <col min="266" max="512" width="9.109375" style="7001"/>
    <col min="513" max="513" width="35.109375" style="7001" customWidth="1"/>
    <col min="514" max="514" width="8.109375" style="7001" customWidth="1"/>
    <col min="515" max="516" width="9.109375" style="7001"/>
    <col min="517" max="517" width="14" style="7001" customWidth="1"/>
    <col min="518" max="518" width="14.109375" style="7001" customWidth="1"/>
    <col min="519" max="519" width="9.109375" style="7001"/>
    <col min="520" max="520" width="11.109375" style="7001" customWidth="1"/>
    <col min="521" max="521" width="11" style="7001" customWidth="1"/>
    <col min="522" max="768" width="9.109375" style="7001"/>
    <col min="769" max="769" width="35.109375" style="7001" customWidth="1"/>
    <col min="770" max="770" width="8.109375" style="7001" customWidth="1"/>
    <col min="771" max="772" width="9.109375" style="7001"/>
    <col min="773" max="773" width="14" style="7001" customWidth="1"/>
    <col min="774" max="774" width="14.109375" style="7001" customWidth="1"/>
    <col min="775" max="775" width="9.109375" style="7001"/>
    <col min="776" max="776" width="11.109375" style="7001" customWidth="1"/>
    <col min="777" max="777" width="11" style="7001" customWidth="1"/>
    <col min="778" max="1024" width="9.109375" style="7001"/>
    <col min="1025" max="1025" width="35.109375" style="7001" customWidth="1"/>
    <col min="1026" max="1026" width="8.109375" style="7001" customWidth="1"/>
    <col min="1027" max="1028" width="9.109375" style="7001"/>
    <col min="1029" max="1029" width="14" style="7001" customWidth="1"/>
    <col min="1030" max="1030" width="14.109375" style="7001" customWidth="1"/>
    <col min="1031" max="1031" width="9.109375" style="7001"/>
    <col min="1032" max="1032" width="11.109375" style="7001" customWidth="1"/>
    <col min="1033" max="1033" width="11" style="7001" customWidth="1"/>
    <col min="1034" max="1280" width="9.109375" style="7001"/>
    <col min="1281" max="1281" width="35.109375" style="7001" customWidth="1"/>
    <col min="1282" max="1282" width="8.109375" style="7001" customWidth="1"/>
    <col min="1283" max="1284" width="9.109375" style="7001"/>
    <col min="1285" max="1285" width="14" style="7001" customWidth="1"/>
    <col min="1286" max="1286" width="14.109375" style="7001" customWidth="1"/>
    <col min="1287" max="1287" width="9.109375" style="7001"/>
    <col min="1288" max="1288" width="11.109375" style="7001" customWidth="1"/>
    <col min="1289" max="1289" width="11" style="7001" customWidth="1"/>
    <col min="1290" max="1536" width="9.109375" style="7001"/>
    <col min="1537" max="1537" width="35.109375" style="7001" customWidth="1"/>
    <col min="1538" max="1538" width="8.109375" style="7001" customWidth="1"/>
    <col min="1539" max="1540" width="9.109375" style="7001"/>
    <col min="1541" max="1541" width="14" style="7001" customWidth="1"/>
    <col min="1542" max="1542" width="14.109375" style="7001" customWidth="1"/>
    <col min="1543" max="1543" width="9.109375" style="7001"/>
    <col min="1544" max="1544" width="11.109375" style="7001" customWidth="1"/>
    <col min="1545" max="1545" width="11" style="7001" customWidth="1"/>
    <col min="1546" max="1792" width="9.109375" style="7001"/>
    <col min="1793" max="1793" width="35.109375" style="7001" customWidth="1"/>
    <col min="1794" max="1794" width="8.109375" style="7001" customWidth="1"/>
    <col min="1795" max="1796" width="9.109375" style="7001"/>
    <col min="1797" max="1797" width="14" style="7001" customWidth="1"/>
    <col min="1798" max="1798" width="14.109375" style="7001" customWidth="1"/>
    <col min="1799" max="1799" width="9.109375" style="7001"/>
    <col min="1800" max="1800" width="11.109375" style="7001" customWidth="1"/>
    <col min="1801" max="1801" width="11" style="7001" customWidth="1"/>
    <col min="1802" max="2048" width="9.109375" style="7001"/>
    <col min="2049" max="2049" width="35.109375" style="7001" customWidth="1"/>
    <col min="2050" max="2050" width="8.109375" style="7001" customWidth="1"/>
    <col min="2051" max="2052" width="9.109375" style="7001"/>
    <col min="2053" max="2053" width="14" style="7001" customWidth="1"/>
    <col min="2054" max="2054" width="14.109375" style="7001" customWidth="1"/>
    <col min="2055" max="2055" width="9.109375" style="7001"/>
    <col min="2056" max="2056" width="11.109375" style="7001" customWidth="1"/>
    <col min="2057" max="2057" width="11" style="7001" customWidth="1"/>
    <col min="2058" max="2304" width="9.109375" style="7001"/>
    <col min="2305" max="2305" width="35.109375" style="7001" customWidth="1"/>
    <col min="2306" max="2306" width="8.109375" style="7001" customWidth="1"/>
    <col min="2307" max="2308" width="9.109375" style="7001"/>
    <col min="2309" max="2309" width="14" style="7001" customWidth="1"/>
    <col min="2310" max="2310" width="14.109375" style="7001" customWidth="1"/>
    <col min="2311" max="2311" width="9.109375" style="7001"/>
    <col min="2312" max="2312" width="11.109375" style="7001" customWidth="1"/>
    <col min="2313" max="2313" width="11" style="7001" customWidth="1"/>
    <col min="2314" max="2560" width="9.109375" style="7001"/>
    <col min="2561" max="2561" width="35.109375" style="7001" customWidth="1"/>
    <col min="2562" max="2562" width="8.109375" style="7001" customWidth="1"/>
    <col min="2563" max="2564" width="9.109375" style="7001"/>
    <col min="2565" max="2565" width="14" style="7001" customWidth="1"/>
    <col min="2566" max="2566" width="14.109375" style="7001" customWidth="1"/>
    <col min="2567" max="2567" width="9.109375" style="7001"/>
    <col min="2568" max="2568" width="11.109375" style="7001" customWidth="1"/>
    <col min="2569" max="2569" width="11" style="7001" customWidth="1"/>
    <col min="2570" max="2816" width="9.109375" style="7001"/>
    <col min="2817" max="2817" width="35.109375" style="7001" customWidth="1"/>
    <col min="2818" max="2818" width="8.109375" style="7001" customWidth="1"/>
    <col min="2819" max="2820" width="9.109375" style="7001"/>
    <col min="2821" max="2821" width="14" style="7001" customWidth="1"/>
    <col min="2822" max="2822" width="14.109375" style="7001" customWidth="1"/>
    <col min="2823" max="2823" width="9.109375" style="7001"/>
    <col min="2824" max="2824" width="11.109375" style="7001" customWidth="1"/>
    <col min="2825" max="2825" width="11" style="7001" customWidth="1"/>
    <col min="2826" max="3072" width="9.109375" style="7001"/>
    <col min="3073" max="3073" width="35.109375" style="7001" customWidth="1"/>
    <col min="3074" max="3074" width="8.109375" style="7001" customWidth="1"/>
    <col min="3075" max="3076" width="9.109375" style="7001"/>
    <col min="3077" max="3077" width="14" style="7001" customWidth="1"/>
    <col min="3078" max="3078" width="14.109375" style="7001" customWidth="1"/>
    <col min="3079" max="3079" width="9.109375" style="7001"/>
    <col min="3080" max="3080" width="11.109375" style="7001" customWidth="1"/>
    <col min="3081" max="3081" width="11" style="7001" customWidth="1"/>
    <col min="3082" max="3328" width="9.109375" style="7001"/>
    <col min="3329" max="3329" width="35.109375" style="7001" customWidth="1"/>
    <col min="3330" max="3330" width="8.109375" style="7001" customWidth="1"/>
    <col min="3331" max="3332" width="9.109375" style="7001"/>
    <col min="3333" max="3333" width="14" style="7001" customWidth="1"/>
    <col min="3334" max="3334" width="14.109375" style="7001" customWidth="1"/>
    <col min="3335" max="3335" width="9.109375" style="7001"/>
    <col min="3336" max="3336" width="11.109375" style="7001" customWidth="1"/>
    <col min="3337" max="3337" width="11" style="7001" customWidth="1"/>
    <col min="3338" max="3584" width="9.109375" style="7001"/>
    <col min="3585" max="3585" width="35.109375" style="7001" customWidth="1"/>
    <col min="3586" max="3586" width="8.109375" style="7001" customWidth="1"/>
    <col min="3587" max="3588" width="9.109375" style="7001"/>
    <col min="3589" max="3589" width="14" style="7001" customWidth="1"/>
    <col min="3590" max="3590" width="14.109375" style="7001" customWidth="1"/>
    <col min="3591" max="3591" width="9.109375" style="7001"/>
    <col min="3592" max="3592" width="11.109375" style="7001" customWidth="1"/>
    <col min="3593" max="3593" width="11" style="7001" customWidth="1"/>
    <col min="3594" max="3840" width="9.109375" style="7001"/>
    <col min="3841" max="3841" width="35.109375" style="7001" customWidth="1"/>
    <col min="3842" max="3842" width="8.109375" style="7001" customWidth="1"/>
    <col min="3843" max="3844" width="9.109375" style="7001"/>
    <col min="3845" max="3845" width="14" style="7001" customWidth="1"/>
    <col min="3846" max="3846" width="14.109375" style="7001" customWidth="1"/>
    <col min="3847" max="3847" width="9.109375" style="7001"/>
    <col min="3848" max="3848" width="11.109375" style="7001" customWidth="1"/>
    <col min="3849" max="3849" width="11" style="7001" customWidth="1"/>
    <col min="3850" max="4096" width="9.109375" style="7001"/>
    <col min="4097" max="4097" width="35.109375" style="7001" customWidth="1"/>
    <col min="4098" max="4098" width="8.109375" style="7001" customWidth="1"/>
    <col min="4099" max="4100" width="9.109375" style="7001"/>
    <col min="4101" max="4101" width="14" style="7001" customWidth="1"/>
    <col min="4102" max="4102" width="14.109375" style="7001" customWidth="1"/>
    <col min="4103" max="4103" width="9.109375" style="7001"/>
    <col min="4104" max="4104" width="11.109375" style="7001" customWidth="1"/>
    <col min="4105" max="4105" width="11" style="7001" customWidth="1"/>
    <col min="4106" max="4352" width="9.109375" style="7001"/>
    <col min="4353" max="4353" width="35.109375" style="7001" customWidth="1"/>
    <col min="4354" max="4354" width="8.109375" style="7001" customWidth="1"/>
    <col min="4355" max="4356" width="9.109375" style="7001"/>
    <col min="4357" max="4357" width="14" style="7001" customWidth="1"/>
    <col min="4358" max="4358" width="14.109375" style="7001" customWidth="1"/>
    <col min="4359" max="4359" width="9.109375" style="7001"/>
    <col min="4360" max="4360" width="11.109375" style="7001" customWidth="1"/>
    <col min="4361" max="4361" width="11" style="7001" customWidth="1"/>
    <col min="4362" max="4608" width="9.109375" style="7001"/>
    <col min="4609" max="4609" width="35.109375" style="7001" customWidth="1"/>
    <col min="4610" max="4610" width="8.109375" style="7001" customWidth="1"/>
    <col min="4611" max="4612" width="9.109375" style="7001"/>
    <col min="4613" max="4613" width="14" style="7001" customWidth="1"/>
    <col min="4614" max="4614" width="14.109375" style="7001" customWidth="1"/>
    <col min="4615" max="4615" width="9.109375" style="7001"/>
    <col min="4616" max="4616" width="11.109375" style="7001" customWidth="1"/>
    <col min="4617" max="4617" width="11" style="7001" customWidth="1"/>
    <col min="4618" max="4864" width="9.109375" style="7001"/>
    <col min="4865" max="4865" width="35.109375" style="7001" customWidth="1"/>
    <col min="4866" max="4866" width="8.109375" style="7001" customWidth="1"/>
    <col min="4867" max="4868" width="9.109375" style="7001"/>
    <col min="4869" max="4869" width="14" style="7001" customWidth="1"/>
    <col min="4870" max="4870" width="14.109375" style="7001" customWidth="1"/>
    <col min="4871" max="4871" width="9.109375" style="7001"/>
    <col min="4872" max="4872" width="11.109375" style="7001" customWidth="1"/>
    <col min="4873" max="4873" width="11" style="7001" customWidth="1"/>
    <col min="4874" max="5120" width="9.109375" style="7001"/>
    <col min="5121" max="5121" width="35.109375" style="7001" customWidth="1"/>
    <col min="5122" max="5122" width="8.109375" style="7001" customWidth="1"/>
    <col min="5123" max="5124" width="9.109375" style="7001"/>
    <col min="5125" max="5125" width="14" style="7001" customWidth="1"/>
    <col min="5126" max="5126" width="14.109375" style="7001" customWidth="1"/>
    <col min="5127" max="5127" width="9.109375" style="7001"/>
    <col min="5128" max="5128" width="11.109375" style="7001" customWidth="1"/>
    <col min="5129" max="5129" width="11" style="7001" customWidth="1"/>
    <col min="5130" max="5376" width="9.109375" style="7001"/>
    <col min="5377" max="5377" width="35.109375" style="7001" customWidth="1"/>
    <col min="5378" max="5378" width="8.109375" style="7001" customWidth="1"/>
    <col min="5379" max="5380" width="9.109375" style="7001"/>
    <col min="5381" max="5381" width="14" style="7001" customWidth="1"/>
    <col min="5382" max="5382" width="14.109375" style="7001" customWidth="1"/>
    <col min="5383" max="5383" width="9.109375" style="7001"/>
    <col min="5384" max="5384" width="11.109375" style="7001" customWidth="1"/>
    <col min="5385" max="5385" width="11" style="7001" customWidth="1"/>
    <col min="5386" max="5632" width="9.109375" style="7001"/>
    <col min="5633" max="5633" width="35.109375" style="7001" customWidth="1"/>
    <col min="5634" max="5634" width="8.109375" style="7001" customWidth="1"/>
    <col min="5635" max="5636" width="9.109375" style="7001"/>
    <col min="5637" max="5637" width="14" style="7001" customWidth="1"/>
    <col min="5638" max="5638" width="14.109375" style="7001" customWidth="1"/>
    <col min="5639" max="5639" width="9.109375" style="7001"/>
    <col min="5640" max="5640" width="11.109375" style="7001" customWidth="1"/>
    <col min="5641" max="5641" width="11" style="7001" customWidth="1"/>
    <col min="5642" max="5888" width="9.109375" style="7001"/>
    <col min="5889" max="5889" width="35.109375" style="7001" customWidth="1"/>
    <col min="5890" max="5890" width="8.109375" style="7001" customWidth="1"/>
    <col min="5891" max="5892" width="9.109375" style="7001"/>
    <col min="5893" max="5893" width="14" style="7001" customWidth="1"/>
    <col min="5894" max="5894" width="14.109375" style="7001" customWidth="1"/>
    <col min="5895" max="5895" width="9.109375" style="7001"/>
    <col min="5896" max="5896" width="11.109375" style="7001" customWidth="1"/>
    <col min="5897" max="5897" width="11" style="7001" customWidth="1"/>
    <col min="5898" max="6144" width="9.109375" style="7001"/>
    <col min="6145" max="6145" width="35.109375" style="7001" customWidth="1"/>
    <col min="6146" max="6146" width="8.109375" style="7001" customWidth="1"/>
    <col min="6147" max="6148" width="9.109375" style="7001"/>
    <col min="6149" max="6149" width="14" style="7001" customWidth="1"/>
    <col min="6150" max="6150" width="14.109375" style="7001" customWidth="1"/>
    <col min="6151" max="6151" width="9.109375" style="7001"/>
    <col min="6152" max="6152" width="11.109375" style="7001" customWidth="1"/>
    <col min="6153" max="6153" width="11" style="7001" customWidth="1"/>
    <col min="6154" max="6400" width="9.109375" style="7001"/>
    <col min="6401" max="6401" width="35.109375" style="7001" customWidth="1"/>
    <col min="6402" max="6402" width="8.109375" style="7001" customWidth="1"/>
    <col min="6403" max="6404" width="9.109375" style="7001"/>
    <col min="6405" max="6405" width="14" style="7001" customWidth="1"/>
    <col min="6406" max="6406" width="14.109375" style="7001" customWidth="1"/>
    <col min="6407" max="6407" width="9.109375" style="7001"/>
    <col min="6408" max="6408" width="11.109375" style="7001" customWidth="1"/>
    <col min="6409" max="6409" width="11" style="7001" customWidth="1"/>
    <col min="6410" max="6656" width="9.109375" style="7001"/>
    <col min="6657" max="6657" width="35.109375" style="7001" customWidth="1"/>
    <col min="6658" max="6658" width="8.109375" style="7001" customWidth="1"/>
    <col min="6659" max="6660" width="9.109375" style="7001"/>
    <col min="6661" max="6661" width="14" style="7001" customWidth="1"/>
    <col min="6662" max="6662" width="14.109375" style="7001" customWidth="1"/>
    <col min="6663" max="6663" width="9.109375" style="7001"/>
    <col min="6664" max="6664" width="11.109375" style="7001" customWidth="1"/>
    <col min="6665" max="6665" width="11" style="7001" customWidth="1"/>
    <col min="6666" max="6912" width="9.109375" style="7001"/>
    <col min="6913" max="6913" width="35.109375" style="7001" customWidth="1"/>
    <col min="6914" max="6914" width="8.109375" style="7001" customWidth="1"/>
    <col min="6915" max="6916" width="9.109375" style="7001"/>
    <col min="6917" max="6917" width="14" style="7001" customWidth="1"/>
    <col min="6918" max="6918" width="14.109375" style="7001" customWidth="1"/>
    <col min="6919" max="6919" width="9.109375" style="7001"/>
    <col min="6920" max="6920" width="11.109375" style="7001" customWidth="1"/>
    <col min="6921" max="6921" width="11" style="7001" customWidth="1"/>
    <col min="6922" max="7168" width="9.109375" style="7001"/>
    <col min="7169" max="7169" width="35.109375" style="7001" customWidth="1"/>
    <col min="7170" max="7170" width="8.109375" style="7001" customWidth="1"/>
    <col min="7171" max="7172" width="9.109375" style="7001"/>
    <col min="7173" max="7173" width="14" style="7001" customWidth="1"/>
    <col min="7174" max="7174" width="14.109375" style="7001" customWidth="1"/>
    <col min="7175" max="7175" width="9.109375" style="7001"/>
    <col min="7176" max="7176" width="11.109375" style="7001" customWidth="1"/>
    <col min="7177" max="7177" width="11" style="7001" customWidth="1"/>
    <col min="7178" max="7424" width="9.109375" style="7001"/>
    <col min="7425" max="7425" width="35.109375" style="7001" customWidth="1"/>
    <col min="7426" max="7426" width="8.109375" style="7001" customWidth="1"/>
    <col min="7427" max="7428" width="9.109375" style="7001"/>
    <col min="7429" max="7429" width="14" style="7001" customWidth="1"/>
    <col min="7430" max="7430" width="14.109375" style="7001" customWidth="1"/>
    <col min="7431" max="7431" width="9.109375" style="7001"/>
    <col min="7432" max="7432" width="11.109375" style="7001" customWidth="1"/>
    <col min="7433" max="7433" width="11" style="7001" customWidth="1"/>
    <col min="7434" max="7680" width="9.109375" style="7001"/>
    <col min="7681" max="7681" width="35.109375" style="7001" customWidth="1"/>
    <col min="7682" max="7682" width="8.109375" style="7001" customWidth="1"/>
    <col min="7683" max="7684" width="9.109375" style="7001"/>
    <col min="7685" max="7685" width="14" style="7001" customWidth="1"/>
    <col min="7686" max="7686" width="14.109375" style="7001" customWidth="1"/>
    <col min="7687" max="7687" width="9.109375" style="7001"/>
    <col min="7688" max="7688" width="11.109375" style="7001" customWidth="1"/>
    <col min="7689" max="7689" width="11" style="7001" customWidth="1"/>
    <col min="7690" max="7936" width="9.109375" style="7001"/>
    <col min="7937" max="7937" width="35.109375" style="7001" customWidth="1"/>
    <col min="7938" max="7938" width="8.109375" style="7001" customWidth="1"/>
    <col min="7939" max="7940" width="9.109375" style="7001"/>
    <col min="7941" max="7941" width="14" style="7001" customWidth="1"/>
    <col min="7942" max="7942" width="14.109375" style="7001" customWidth="1"/>
    <col min="7943" max="7943" width="9.109375" style="7001"/>
    <col min="7944" max="7944" width="11.109375" style="7001" customWidth="1"/>
    <col min="7945" max="7945" width="11" style="7001" customWidth="1"/>
    <col min="7946" max="8192" width="9.109375" style="7001"/>
    <col min="8193" max="8193" width="35.109375" style="7001" customWidth="1"/>
    <col min="8194" max="8194" width="8.109375" style="7001" customWidth="1"/>
    <col min="8195" max="8196" width="9.109375" style="7001"/>
    <col min="8197" max="8197" width="14" style="7001" customWidth="1"/>
    <col min="8198" max="8198" width="14.109375" style="7001" customWidth="1"/>
    <col min="8199" max="8199" width="9.109375" style="7001"/>
    <col min="8200" max="8200" width="11.109375" style="7001" customWidth="1"/>
    <col min="8201" max="8201" width="11" style="7001" customWidth="1"/>
    <col min="8202" max="8448" width="9.109375" style="7001"/>
    <col min="8449" max="8449" width="35.109375" style="7001" customWidth="1"/>
    <col min="8450" max="8450" width="8.109375" style="7001" customWidth="1"/>
    <col min="8451" max="8452" width="9.109375" style="7001"/>
    <col min="8453" max="8453" width="14" style="7001" customWidth="1"/>
    <col min="8454" max="8454" width="14.109375" style="7001" customWidth="1"/>
    <col min="8455" max="8455" width="9.109375" style="7001"/>
    <col min="8456" max="8456" width="11.109375" style="7001" customWidth="1"/>
    <col min="8457" max="8457" width="11" style="7001" customWidth="1"/>
    <col min="8458" max="8704" width="9.109375" style="7001"/>
    <col min="8705" max="8705" width="35.109375" style="7001" customWidth="1"/>
    <col min="8706" max="8706" width="8.109375" style="7001" customWidth="1"/>
    <col min="8707" max="8708" width="9.109375" style="7001"/>
    <col min="8709" max="8709" width="14" style="7001" customWidth="1"/>
    <col min="8710" max="8710" width="14.109375" style="7001" customWidth="1"/>
    <col min="8711" max="8711" width="9.109375" style="7001"/>
    <col min="8712" max="8712" width="11.109375" style="7001" customWidth="1"/>
    <col min="8713" max="8713" width="11" style="7001" customWidth="1"/>
    <col min="8714" max="8960" width="9.109375" style="7001"/>
    <col min="8961" max="8961" width="35.109375" style="7001" customWidth="1"/>
    <col min="8962" max="8962" width="8.109375" style="7001" customWidth="1"/>
    <col min="8963" max="8964" width="9.109375" style="7001"/>
    <col min="8965" max="8965" width="14" style="7001" customWidth="1"/>
    <col min="8966" max="8966" width="14.109375" style="7001" customWidth="1"/>
    <col min="8967" max="8967" width="9.109375" style="7001"/>
    <col min="8968" max="8968" width="11.109375" style="7001" customWidth="1"/>
    <col min="8969" max="8969" width="11" style="7001" customWidth="1"/>
    <col min="8970" max="9216" width="9.109375" style="7001"/>
    <col min="9217" max="9217" width="35.109375" style="7001" customWidth="1"/>
    <col min="9218" max="9218" width="8.109375" style="7001" customWidth="1"/>
    <col min="9219" max="9220" width="9.109375" style="7001"/>
    <col min="9221" max="9221" width="14" style="7001" customWidth="1"/>
    <col min="9222" max="9222" width="14.109375" style="7001" customWidth="1"/>
    <col min="9223" max="9223" width="9.109375" style="7001"/>
    <col min="9224" max="9224" width="11.109375" style="7001" customWidth="1"/>
    <col min="9225" max="9225" width="11" style="7001" customWidth="1"/>
    <col min="9226" max="9472" width="9.109375" style="7001"/>
    <col min="9473" max="9473" width="35.109375" style="7001" customWidth="1"/>
    <col min="9474" max="9474" width="8.109375" style="7001" customWidth="1"/>
    <col min="9475" max="9476" width="9.109375" style="7001"/>
    <col min="9477" max="9477" width="14" style="7001" customWidth="1"/>
    <col min="9478" max="9478" width="14.109375" style="7001" customWidth="1"/>
    <col min="9479" max="9479" width="9.109375" style="7001"/>
    <col min="9480" max="9480" width="11.109375" style="7001" customWidth="1"/>
    <col min="9481" max="9481" width="11" style="7001" customWidth="1"/>
    <col min="9482" max="9728" width="9.109375" style="7001"/>
    <col min="9729" max="9729" width="35.109375" style="7001" customWidth="1"/>
    <col min="9730" max="9730" width="8.109375" style="7001" customWidth="1"/>
    <col min="9731" max="9732" width="9.109375" style="7001"/>
    <col min="9733" max="9733" width="14" style="7001" customWidth="1"/>
    <col min="9734" max="9734" width="14.109375" style="7001" customWidth="1"/>
    <col min="9735" max="9735" width="9.109375" style="7001"/>
    <col min="9736" max="9736" width="11.109375" style="7001" customWidth="1"/>
    <col min="9737" max="9737" width="11" style="7001" customWidth="1"/>
    <col min="9738" max="9984" width="9.109375" style="7001"/>
    <col min="9985" max="9985" width="35.109375" style="7001" customWidth="1"/>
    <col min="9986" max="9986" width="8.109375" style="7001" customWidth="1"/>
    <col min="9987" max="9988" width="9.109375" style="7001"/>
    <col min="9989" max="9989" width="14" style="7001" customWidth="1"/>
    <col min="9990" max="9990" width="14.109375" style="7001" customWidth="1"/>
    <col min="9991" max="9991" width="9.109375" style="7001"/>
    <col min="9992" max="9992" width="11.109375" style="7001" customWidth="1"/>
    <col min="9993" max="9993" width="11" style="7001" customWidth="1"/>
    <col min="9994" max="10240" width="9.109375" style="7001"/>
    <col min="10241" max="10241" width="35.109375" style="7001" customWidth="1"/>
    <col min="10242" max="10242" width="8.109375" style="7001" customWidth="1"/>
    <col min="10243" max="10244" width="9.109375" style="7001"/>
    <col min="10245" max="10245" width="14" style="7001" customWidth="1"/>
    <col min="10246" max="10246" width="14.109375" style="7001" customWidth="1"/>
    <col min="10247" max="10247" width="9.109375" style="7001"/>
    <col min="10248" max="10248" width="11.109375" style="7001" customWidth="1"/>
    <col min="10249" max="10249" width="11" style="7001" customWidth="1"/>
    <col min="10250" max="10496" width="9.109375" style="7001"/>
    <col min="10497" max="10497" width="35.109375" style="7001" customWidth="1"/>
    <col min="10498" max="10498" width="8.109375" style="7001" customWidth="1"/>
    <col min="10499" max="10500" width="9.109375" style="7001"/>
    <col min="10501" max="10501" width="14" style="7001" customWidth="1"/>
    <col min="10502" max="10502" width="14.109375" style="7001" customWidth="1"/>
    <col min="10503" max="10503" width="9.109375" style="7001"/>
    <col min="10504" max="10504" width="11.109375" style="7001" customWidth="1"/>
    <col min="10505" max="10505" width="11" style="7001" customWidth="1"/>
    <col min="10506" max="10752" width="9.109375" style="7001"/>
    <col min="10753" max="10753" width="35.109375" style="7001" customWidth="1"/>
    <col min="10754" max="10754" width="8.109375" style="7001" customWidth="1"/>
    <col min="10755" max="10756" width="9.109375" style="7001"/>
    <col min="10757" max="10757" width="14" style="7001" customWidth="1"/>
    <col min="10758" max="10758" width="14.109375" style="7001" customWidth="1"/>
    <col min="10759" max="10759" width="9.109375" style="7001"/>
    <col min="10760" max="10760" width="11.109375" style="7001" customWidth="1"/>
    <col min="10761" max="10761" width="11" style="7001" customWidth="1"/>
    <col min="10762" max="11008" width="9.109375" style="7001"/>
    <col min="11009" max="11009" width="35.109375" style="7001" customWidth="1"/>
    <col min="11010" max="11010" width="8.109375" style="7001" customWidth="1"/>
    <col min="11011" max="11012" width="9.109375" style="7001"/>
    <col min="11013" max="11013" width="14" style="7001" customWidth="1"/>
    <col min="11014" max="11014" width="14.109375" style="7001" customWidth="1"/>
    <col min="11015" max="11015" width="9.109375" style="7001"/>
    <col min="11016" max="11016" width="11.109375" style="7001" customWidth="1"/>
    <col min="11017" max="11017" width="11" style="7001" customWidth="1"/>
    <col min="11018" max="11264" width="9.109375" style="7001"/>
    <col min="11265" max="11265" width="35.109375" style="7001" customWidth="1"/>
    <col min="11266" max="11266" width="8.109375" style="7001" customWidth="1"/>
    <col min="11267" max="11268" width="9.109375" style="7001"/>
    <col min="11269" max="11269" width="14" style="7001" customWidth="1"/>
    <col min="11270" max="11270" width="14.109375" style="7001" customWidth="1"/>
    <col min="11271" max="11271" width="9.109375" style="7001"/>
    <col min="11272" max="11272" width="11.109375" style="7001" customWidth="1"/>
    <col min="11273" max="11273" width="11" style="7001" customWidth="1"/>
    <col min="11274" max="11520" width="9.109375" style="7001"/>
    <col min="11521" max="11521" width="35.109375" style="7001" customWidth="1"/>
    <col min="11522" max="11522" width="8.109375" style="7001" customWidth="1"/>
    <col min="11523" max="11524" width="9.109375" style="7001"/>
    <col min="11525" max="11525" width="14" style="7001" customWidth="1"/>
    <col min="11526" max="11526" width="14.109375" style="7001" customWidth="1"/>
    <col min="11527" max="11527" width="9.109375" style="7001"/>
    <col min="11528" max="11528" width="11.109375" style="7001" customWidth="1"/>
    <col min="11529" max="11529" width="11" style="7001" customWidth="1"/>
    <col min="11530" max="11776" width="9.109375" style="7001"/>
    <col min="11777" max="11777" width="35.109375" style="7001" customWidth="1"/>
    <col min="11778" max="11778" width="8.109375" style="7001" customWidth="1"/>
    <col min="11779" max="11780" width="9.109375" style="7001"/>
    <col min="11781" max="11781" width="14" style="7001" customWidth="1"/>
    <col min="11782" max="11782" width="14.109375" style="7001" customWidth="1"/>
    <col min="11783" max="11783" width="9.109375" style="7001"/>
    <col min="11784" max="11784" width="11.109375" style="7001" customWidth="1"/>
    <col min="11785" max="11785" width="11" style="7001" customWidth="1"/>
    <col min="11786" max="12032" width="9.109375" style="7001"/>
    <col min="12033" max="12033" width="35.109375" style="7001" customWidth="1"/>
    <col min="12034" max="12034" width="8.109375" style="7001" customWidth="1"/>
    <col min="12035" max="12036" width="9.109375" style="7001"/>
    <col min="12037" max="12037" width="14" style="7001" customWidth="1"/>
    <col min="12038" max="12038" width="14.109375" style="7001" customWidth="1"/>
    <col min="12039" max="12039" width="9.109375" style="7001"/>
    <col min="12040" max="12040" width="11.109375" style="7001" customWidth="1"/>
    <col min="12041" max="12041" width="11" style="7001" customWidth="1"/>
    <col min="12042" max="12288" width="9.109375" style="7001"/>
    <col min="12289" max="12289" width="35.109375" style="7001" customWidth="1"/>
    <col min="12290" max="12290" width="8.109375" style="7001" customWidth="1"/>
    <col min="12291" max="12292" width="9.109375" style="7001"/>
    <col min="12293" max="12293" width="14" style="7001" customWidth="1"/>
    <col min="12294" max="12294" width="14.109375" style="7001" customWidth="1"/>
    <col min="12295" max="12295" width="9.109375" style="7001"/>
    <col min="12296" max="12296" width="11.109375" style="7001" customWidth="1"/>
    <col min="12297" max="12297" width="11" style="7001" customWidth="1"/>
    <col min="12298" max="12544" width="9.109375" style="7001"/>
    <col min="12545" max="12545" width="35.109375" style="7001" customWidth="1"/>
    <col min="12546" max="12546" width="8.109375" style="7001" customWidth="1"/>
    <col min="12547" max="12548" width="9.109375" style="7001"/>
    <col min="12549" max="12549" width="14" style="7001" customWidth="1"/>
    <col min="12550" max="12550" width="14.109375" style="7001" customWidth="1"/>
    <col min="12551" max="12551" width="9.109375" style="7001"/>
    <col min="12552" max="12552" width="11.109375" style="7001" customWidth="1"/>
    <col min="12553" max="12553" width="11" style="7001" customWidth="1"/>
    <col min="12554" max="12800" width="9.109375" style="7001"/>
    <col min="12801" max="12801" width="35.109375" style="7001" customWidth="1"/>
    <col min="12802" max="12802" width="8.109375" style="7001" customWidth="1"/>
    <col min="12803" max="12804" width="9.109375" style="7001"/>
    <col min="12805" max="12805" width="14" style="7001" customWidth="1"/>
    <col min="12806" max="12806" width="14.109375" style="7001" customWidth="1"/>
    <col min="12807" max="12807" width="9.109375" style="7001"/>
    <col min="12808" max="12808" width="11.109375" style="7001" customWidth="1"/>
    <col min="12809" max="12809" width="11" style="7001" customWidth="1"/>
    <col min="12810" max="13056" width="9.109375" style="7001"/>
    <col min="13057" max="13057" width="35.109375" style="7001" customWidth="1"/>
    <col min="13058" max="13058" width="8.109375" style="7001" customWidth="1"/>
    <col min="13059" max="13060" width="9.109375" style="7001"/>
    <col min="13061" max="13061" width="14" style="7001" customWidth="1"/>
    <col min="13062" max="13062" width="14.109375" style="7001" customWidth="1"/>
    <col min="13063" max="13063" width="9.109375" style="7001"/>
    <col min="13064" max="13064" width="11.109375" style="7001" customWidth="1"/>
    <col min="13065" max="13065" width="11" style="7001" customWidth="1"/>
    <col min="13066" max="13312" width="9.109375" style="7001"/>
    <col min="13313" max="13313" width="35.109375" style="7001" customWidth="1"/>
    <col min="13314" max="13314" width="8.109375" style="7001" customWidth="1"/>
    <col min="13315" max="13316" width="9.109375" style="7001"/>
    <col min="13317" max="13317" width="14" style="7001" customWidth="1"/>
    <col min="13318" max="13318" width="14.109375" style="7001" customWidth="1"/>
    <col min="13319" max="13319" width="9.109375" style="7001"/>
    <col min="13320" max="13320" width="11.109375" style="7001" customWidth="1"/>
    <col min="13321" max="13321" width="11" style="7001" customWidth="1"/>
    <col min="13322" max="13568" width="9.109375" style="7001"/>
    <col min="13569" max="13569" width="35.109375" style="7001" customWidth="1"/>
    <col min="13570" max="13570" width="8.109375" style="7001" customWidth="1"/>
    <col min="13571" max="13572" width="9.109375" style="7001"/>
    <col min="13573" max="13573" width="14" style="7001" customWidth="1"/>
    <col min="13574" max="13574" width="14.109375" style="7001" customWidth="1"/>
    <col min="13575" max="13575" width="9.109375" style="7001"/>
    <col min="13576" max="13576" width="11.109375" style="7001" customWidth="1"/>
    <col min="13577" max="13577" width="11" style="7001" customWidth="1"/>
    <col min="13578" max="13824" width="9.109375" style="7001"/>
    <col min="13825" max="13825" width="35.109375" style="7001" customWidth="1"/>
    <col min="13826" max="13826" width="8.109375" style="7001" customWidth="1"/>
    <col min="13827" max="13828" width="9.109375" style="7001"/>
    <col min="13829" max="13829" width="14" style="7001" customWidth="1"/>
    <col min="13830" max="13830" width="14.109375" style="7001" customWidth="1"/>
    <col min="13831" max="13831" width="9.109375" style="7001"/>
    <col min="13832" max="13832" width="11.109375" style="7001" customWidth="1"/>
    <col min="13833" max="13833" width="11" style="7001" customWidth="1"/>
    <col min="13834" max="14080" width="9.109375" style="7001"/>
    <col min="14081" max="14081" width="35.109375" style="7001" customWidth="1"/>
    <col min="14082" max="14082" width="8.109375" style="7001" customWidth="1"/>
    <col min="14083" max="14084" width="9.109375" style="7001"/>
    <col min="14085" max="14085" width="14" style="7001" customWidth="1"/>
    <col min="14086" max="14086" width="14.109375" style="7001" customWidth="1"/>
    <col min="14087" max="14087" width="9.109375" style="7001"/>
    <col min="14088" max="14088" width="11.109375" style="7001" customWidth="1"/>
    <col min="14089" max="14089" width="11" style="7001" customWidth="1"/>
    <col min="14090" max="14336" width="9.109375" style="7001"/>
    <col min="14337" max="14337" width="35.109375" style="7001" customWidth="1"/>
    <col min="14338" max="14338" width="8.109375" style="7001" customWidth="1"/>
    <col min="14339" max="14340" width="9.109375" style="7001"/>
    <col min="14341" max="14341" width="14" style="7001" customWidth="1"/>
    <col min="14342" max="14342" width="14.109375" style="7001" customWidth="1"/>
    <col min="14343" max="14343" width="9.109375" style="7001"/>
    <col min="14344" max="14344" width="11.109375" style="7001" customWidth="1"/>
    <col min="14345" max="14345" width="11" style="7001" customWidth="1"/>
    <col min="14346" max="14592" width="9.109375" style="7001"/>
    <col min="14593" max="14593" width="35.109375" style="7001" customWidth="1"/>
    <col min="14594" max="14594" width="8.109375" style="7001" customWidth="1"/>
    <col min="14595" max="14596" width="9.109375" style="7001"/>
    <col min="14597" max="14597" width="14" style="7001" customWidth="1"/>
    <col min="14598" max="14598" width="14.109375" style="7001" customWidth="1"/>
    <col min="14599" max="14599" width="9.109375" style="7001"/>
    <col min="14600" max="14600" width="11.109375" style="7001" customWidth="1"/>
    <col min="14601" max="14601" width="11" style="7001" customWidth="1"/>
    <col min="14602" max="14848" width="9.109375" style="7001"/>
    <col min="14849" max="14849" width="35.109375" style="7001" customWidth="1"/>
    <col min="14850" max="14850" width="8.109375" style="7001" customWidth="1"/>
    <col min="14851" max="14852" width="9.109375" style="7001"/>
    <col min="14853" max="14853" width="14" style="7001" customWidth="1"/>
    <col min="14854" max="14854" width="14.109375" style="7001" customWidth="1"/>
    <col min="14855" max="14855" width="9.109375" style="7001"/>
    <col min="14856" max="14856" width="11.109375" style="7001" customWidth="1"/>
    <col min="14857" max="14857" width="11" style="7001" customWidth="1"/>
    <col min="14858" max="15104" width="9.109375" style="7001"/>
    <col min="15105" max="15105" width="35.109375" style="7001" customWidth="1"/>
    <col min="15106" max="15106" width="8.109375" style="7001" customWidth="1"/>
    <col min="15107" max="15108" width="9.109375" style="7001"/>
    <col min="15109" max="15109" width="14" style="7001" customWidth="1"/>
    <col min="15110" max="15110" width="14.109375" style="7001" customWidth="1"/>
    <col min="15111" max="15111" width="9.109375" style="7001"/>
    <col min="15112" max="15112" width="11.109375" style="7001" customWidth="1"/>
    <col min="15113" max="15113" width="11" style="7001" customWidth="1"/>
    <col min="15114" max="15360" width="9.109375" style="7001"/>
    <col min="15361" max="15361" width="35.109375" style="7001" customWidth="1"/>
    <col min="15362" max="15362" width="8.109375" style="7001" customWidth="1"/>
    <col min="15363" max="15364" width="9.109375" style="7001"/>
    <col min="15365" max="15365" width="14" style="7001" customWidth="1"/>
    <col min="15366" max="15366" width="14.109375" style="7001" customWidth="1"/>
    <col min="15367" max="15367" width="9.109375" style="7001"/>
    <col min="15368" max="15368" width="11.109375" style="7001" customWidth="1"/>
    <col min="15369" max="15369" width="11" style="7001" customWidth="1"/>
    <col min="15370" max="15616" width="9.109375" style="7001"/>
    <col min="15617" max="15617" width="35.109375" style="7001" customWidth="1"/>
    <col min="15618" max="15618" width="8.109375" style="7001" customWidth="1"/>
    <col min="15619" max="15620" width="9.109375" style="7001"/>
    <col min="15621" max="15621" width="14" style="7001" customWidth="1"/>
    <col min="15622" max="15622" width="14.109375" style="7001" customWidth="1"/>
    <col min="15623" max="15623" width="9.109375" style="7001"/>
    <col min="15624" max="15624" width="11.109375" style="7001" customWidth="1"/>
    <col min="15625" max="15625" width="11" style="7001" customWidth="1"/>
    <col min="15626" max="15872" width="9.109375" style="7001"/>
    <col min="15873" max="15873" width="35.109375" style="7001" customWidth="1"/>
    <col min="15874" max="15874" width="8.109375" style="7001" customWidth="1"/>
    <col min="15875" max="15876" width="9.109375" style="7001"/>
    <col min="15877" max="15877" width="14" style="7001" customWidth="1"/>
    <col min="15878" max="15878" width="14.109375" style="7001" customWidth="1"/>
    <col min="15879" max="15879" width="9.109375" style="7001"/>
    <col min="15880" max="15880" width="11.109375" style="7001" customWidth="1"/>
    <col min="15881" max="15881" width="11" style="7001" customWidth="1"/>
    <col min="15882" max="16128" width="9.109375" style="7001"/>
    <col min="16129" max="16129" width="35.109375" style="7001" customWidth="1"/>
    <col min="16130" max="16130" width="8.109375" style="7001" customWidth="1"/>
    <col min="16131" max="16132" width="9.109375" style="7001"/>
    <col min="16133" max="16133" width="14" style="7001" customWidth="1"/>
    <col min="16134" max="16134" width="14.109375" style="7001" customWidth="1"/>
    <col min="16135" max="16135" width="9.109375" style="7001"/>
    <col min="16136" max="16136" width="11.109375" style="7001" customWidth="1"/>
    <col min="16137" max="16137" width="11" style="7001" customWidth="1"/>
    <col min="16138" max="16384" width="9.109375" style="7001"/>
  </cols>
  <sheetData>
    <row r="1" spans="1:9" ht="12.9" customHeight="1">
      <c r="A1" s="14395" t="s">
        <v>1087</v>
      </c>
      <c r="B1" s="14395"/>
      <c r="C1" s="14395"/>
      <c r="D1" s="14395"/>
      <c r="E1" s="14395"/>
      <c r="F1" s="14395"/>
    </row>
    <row r="3" spans="1:9" ht="12.9" customHeight="1">
      <c r="A3" s="7162" t="s">
        <v>1375</v>
      </c>
    </row>
    <row r="4" spans="1:9" ht="12.9" customHeight="1" thickBot="1">
      <c r="A4" s="7162"/>
    </row>
    <row r="5" spans="1:9" ht="12.9" customHeight="1">
      <c r="A5" s="9675" t="s">
        <v>842</v>
      </c>
      <c r="B5" s="10713" t="s">
        <v>1035</v>
      </c>
      <c r="C5" s="10713" t="s">
        <v>1036</v>
      </c>
      <c r="D5" s="14393" t="s">
        <v>1037</v>
      </c>
      <c r="E5" s="14393"/>
      <c r="F5" s="14394"/>
    </row>
    <row r="6" spans="1:9" ht="12.9" customHeight="1" thickBot="1">
      <c r="A6" s="9679" t="s">
        <v>1088</v>
      </c>
      <c r="B6" s="9755" t="s">
        <v>9</v>
      </c>
      <c r="C6" s="9755" t="s">
        <v>1039</v>
      </c>
      <c r="D6" s="9680" t="s">
        <v>10</v>
      </c>
      <c r="E6" s="9755" t="s">
        <v>11</v>
      </c>
      <c r="F6" s="9756" t="s">
        <v>11621</v>
      </c>
    </row>
    <row r="7" spans="1:9" ht="12.9" customHeight="1">
      <c r="A7" s="7248" t="s">
        <v>1139</v>
      </c>
      <c r="B7" s="9665"/>
      <c r="C7" s="9665"/>
      <c r="D7" s="9665"/>
      <c r="E7" s="9665"/>
      <c r="F7" s="9729"/>
    </row>
    <row r="8" spans="1:9" ht="12.9" customHeight="1">
      <c r="A8" s="6230" t="s">
        <v>1149</v>
      </c>
      <c r="B8" s="7174"/>
      <c r="C8" s="7174"/>
      <c r="D8" s="9636"/>
      <c r="E8" s="9636"/>
      <c r="F8" s="10413"/>
    </row>
    <row r="9" spans="1:9" ht="12.9" customHeight="1">
      <c r="A9" s="7231" t="s">
        <v>313</v>
      </c>
      <c r="B9" s="7172">
        <v>0</v>
      </c>
      <c r="C9" s="7172">
        <v>24</v>
      </c>
      <c r="D9" s="9608">
        <v>816096</v>
      </c>
      <c r="E9" s="9608">
        <v>0</v>
      </c>
      <c r="F9" s="9948">
        <v>0</v>
      </c>
      <c r="G9" s="7001">
        <f>SUM(B9)</f>
        <v>0</v>
      </c>
      <c r="H9" s="7164">
        <f>SUM(F9)</f>
        <v>0</v>
      </c>
    </row>
    <row r="10" spans="1:9" ht="12.9" customHeight="1">
      <c r="A10" s="7231"/>
      <c r="B10" s="7174"/>
      <c r="C10" s="7174"/>
      <c r="D10" s="9636"/>
      <c r="E10" s="9636"/>
      <c r="F10" s="10413"/>
    </row>
    <row r="11" spans="1:9" ht="12.9" customHeight="1">
      <c r="A11" s="6230" t="s">
        <v>1151</v>
      </c>
      <c r="B11" s="7174"/>
      <c r="C11" s="7174"/>
      <c r="D11" s="9636"/>
      <c r="E11" s="9636"/>
      <c r="F11" s="10413"/>
    </row>
    <row r="12" spans="1:9" ht="12.9" customHeight="1">
      <c r="A12" s="6230" t="s">
        <v>1109</v>
      </c>
      <c r="B12" s="7174"/>
      <c r="C12" s="7174"/>
      <c r="D12" s="9636"/>
      <c r="E12" s="9636"/>
      <c r="F12" s="10413"/>
    </row>
    <row r="13" spans="1:9" ht="12.9" customHeight="1">
      <c r="A13" s="7231" t="s">
        <v>1138</v>
      </c>
      <c r="B13" s="7172"/>
      <c r="C13" s="7172" t="s">
        <v>9</v>
      </c>
      <c r="D13" s="9608"/>
      <c r="E13" s="9608"/>
      <c r="F13" s="9948"/>
    </row>
    <row r="14" spans="1:9" ht="12.9" customHeight="1">
      <c r="A14" s="7231" t="s">
        <v>9</v>
      </c>
      <c r="B14" s="7172"/>
      <c r="C14" s="7172"/>
      <c r="D14" s="9608"/>
      <c r="E14" s="9608"/>
      <c r="F14" s="9948"/>
    </row>
    <row r="15" spans="1:9" ht="12.9" customHeight="1">
      <c r="A15" s="6230" t="s">
        <v>1137</v>
      </c>
      <c r="B15" s="7172"/>
      <c r="C15" s="7172"/>
      <c r="D15" s="9608"/>
      <c r="E15" s="9608"/>
      <c r="F15" s="9948"/>
    </row>
    <row r="16" spans="1:9" ht="12.9" customHeight="1">
      <c r="A16" s="7231" t="s">
        <v>11299</v>
      </c>
      <c r="B16" s="7172">
        <v>0</v>
      </c>
      <c r="C16" s="7172">
        <v>23</v>
      </c>
      <c r="D16" s="9608"/>
      <c r="E16" s="9608">
        <v>823176</v>
      </c>
      <c r="F16" s="9948">
        <v>0</v>
      </c>
      <c r="I16" s="7164">
        <f>F16/12</f>
        <v>0</v>
      </c>
    </row>
    <row r="17" spans="1:9" ht="12.9" customHeight="1">
      <c r="A17" s="7231" t="s">
        <v>9219</v>
      </c>
      <c r="B17" s="7172">
        <v>2</v>
      </c>
      <c r="C17" s="7172">
        <v>21</v>
      </c>
      <c r="D17" s="9608">
        <v>1162476</v>
      </c>
      <c r="E17" s="9608">
        <v>1280340</v>
      </c>
      <c r="F17" s="9948">
        <v>1421832</v>
      </c>
      <c r="I17" s="7164">
        <f t="shared" ref="I17:I45" si="0">F17/12</f>
        <v>118486</v>
      </c>
    </row>
    <row r="18" spans="1:9" ht="12.9" customHeight="1">
      <c r="A18" s="7231" t="s">
        <v>9220</v>
      </c>
      <c r="B18" s="7172">
        <v>1</v>
      </c>
      <c r="C18" s="7172">
        <v>19</v>
      </c>
      <c r="D18" s="9608">
        <v>489312</v>
      </c>
      <c r="E18" s="9608">
        <v>536160</v>
      </c>
      <c r="F18" s="9948">
        <v>579576</v>
      </c>
      <c r="I18" s="7164">
        <f t="shared" si="0"/>
        <v>48298</v>
      </c>
    </row>
    <row r="19" spans="1:9" ht="12.9" customHeight="1">
      <c r="A19" s="7231" t="s">
        <v>9221</v>
      </c>
      <c r="B19" s="7172">
        <v>2</v>
      </c>
      <c r="C19" s="7172">
        <v>15</v>
      </c>
      <c r="D19" s="9608">
        <v>701352</v>
      </c>
      <c r="E19" s="9608">
        <v>743724</v>
      </c>
      <c r="F19" s="9948">
        <v>784212</v>
      </c>
      <c r="I19" s="7164">
        <f t="shared" si="0"/>
        <v>65351</v>
      </c>
    </row>
    <row r="20" spans="1:9" ht="12.9" customHeight="1">
      <c r="A20" s="7231" t="s">
        <v>9222</v>
      </c>
      <c r="B20" s="7172">
        <v>5</v>
      </c>
      <c r="C20" s="7172">
        <v>11</v>
      </c>
      <c r="D20" s="9608">
        <v>1240284</v>
      </c>
      <c r="E20" s="9608">
        <v>1284024</v>
      </c>
      <c r="F20" s="9948">
        <v>1333284</v>
      </c>
      <c r="I20" s="7164">
        <f t="shared" si="0"/>
        <v>111107</v>
      </c>
    </row>
    <row r="21" spans="1:9" ht="12.9" customHeight="1">
      <c r="A21" s="7231" t="s">
        <v>9223</v>
      </c>
      <c r="B21" s="7172">
        <v>1</v>
      </c>
      <c r="C21" s="7172">
        <v>17</v>
      </c>
      <c r="D21" s="9608">
        <v>416484</v>
      </c>
      <c r="E21" s="9608">
        <v>448452</v>
      </c>
      <c r="F21" s="9948">
        <v>477288</v>
      </c>
      <c r="I21" s="7164">
        <f t="shared" si="0"/>
        <v>39774</v>
      </c>
    </row>
    <row r="22" spans="1:9" ht="12.9" customHeight="1">
      <c r="A22" s="7231" t="s">
        <v>9224</v>
      </c>
      <c r="B22" s="7172">
        <v>2</v>
      </c>
      <c r="C22" s="7172">
        <v>15</v>
      </c>
      <c r="D22" s="9608">
        <v>693096</v>
      </c>
      <c r="E22" s="9608">
        <v>734892</v>
      </c>
      <c r="F22" s="9948">
        <v>774612</v>
      </c>
      <c r="I22" s="7164">
        <f t="shared" si="0"/>
        <v>64551</v>
      </c>
    </row>
    <row r="23" spans="1:9" ht="12.9" customHeight="1">
      <c r="A23" s="7231" t="s">
        <v>10412</v>
      </c>
      <c r="B23" s="7172">
        <v>1</v>
      </c>
      <c r="C23" s="7172">
        <v>15</v>
      </c>
      <c r="D23" s="9609">
        <v>330780</v>
      </c>
      <c r="E23" s="9609">
        <v>352308</v>
      </c>
      <c r="F23" s="10401">
        <v>370908</v>
      </c>
      <c r="I23" s="7164">
        <f t="shared" si="0"/>
        <v>30909</v>
      </c>
    </row>
    <row r="24" spans="1:9" ht="12.9" customHeight="1">
      <c r="A24" s="7231" t="s">
        <v>9225</v>
      </c>
      <c r="B24" s="7172">
        <v>1</v>
      </c>
      <c r="C24" s="7172">
        <v>15</v>
      </c>
      <c r="D24" s="9608">
        <v>0</v>
      </c>
      <c r="E24" s="9608">
        <v>0</v>
      </c>
      <c r="F24" s="9948">
        <v>366372</v>
      </c>
      <c r="I24" s="7164">
        <f t="shared" si="0"/>
        <v>30531</v>
      </c>
    </row>
    <row r="25" spans="1:9" ht="12.9" customHeight="1">
      <c r="A25" s="7231" t="s">
        <v>9226</v>
      </c>
      <c r="B25" s="7172">
        <v>1</v>
      </c>
      <c r="C25" s="7172">
        <v>13</v>
      </c>
      <c r="D25" s="9608">
        <v>291780</v>
      </c>
      <c r="E25" s="9608">
        <v>308232</v>
      </c>
      <c r="F25" s="9948">
        <v>322008</v>
      </c>
      <c r="I25" s="7164">
        <f t="shared" si="0"/>
        <v>26834</v>
      </c>
    </row>
    <row r="26" spans="1:9" ht="12.9" customHeight="1">
      <c r="A26" s="7231" t="s">
        <v>11300</v>
      </c>
      <c r="B26" s="7172">
        <v>1</v>
      </c>
      <c r="C26" s="7172">
        <v>11</v>
      </c>
      <c r="D26" s="9608"/>
      <c r="E26" s="9608">
        <v>242148</v>
      </c>
      <c r="F26" s="9948">
        <v>249048</v>
      </c>
      <c r="I26" s="7164">
        <f t="shared" si="0"/>
        <v>20754</v>
      </c>
    </row>
    <row r="27" spans="1:9" ht="12.9" customHeight="1">
      <c r="A27" s="7231" t="s">
        <v>11301</v>
      </c>
      <c r="B27" s="9403">
        <v>1</v>
      </c>
      <c r="C27" s="9403">
        <v>10</v>
      </c>
      <c r="D27" s="9608"/>
      <c r="E27" s="9608"/>
      <c r="F27" s="9948">
        <v>230796</v>
      </c>
      <c r="I27" s="7164">
        <f t="shared" si="0"/>
        <v>19233</v>
      </c>
    </row>
    <row r="28" spans="1:9" ht="12.9" customHeight="1">
      <c r="A28" s="7231" t="s">
        <v>9227</v>
      </c>
      <c r="B28" s="7172">
        <v>0</v>
      </c>
      <c r="C28" s="7172">
        <v>8</v>
      </c>
      <c r="D28" s="9608">
        <v>191628</v>
      </c>
      <c r="E28" s="9608">
        <v>197196</v>
      </c>
      <c r="F28" s="9948">
        <v>0</v>
      </c>
      <c r="I28" s="7164">
        <f t="shared" si="0"/>
        <v>0</v>
      </c>
    </row>
    <row r="29" spans="1:9" ht="12.9" customHeight="1">
      <c r="A29" s="7231" t="s">
        <v>7229</v>
      </c>
      <c r="B29" s="7172">
        <v>1</v>
      </c>
      <c r="C29" s="7172">
        <v>12</v>
      </c>
      <c r="D29" s="9608">
        <v>256644</v>
      </c>
      <c r="E29" s="9608">
        <v>265788</v>
      </c>
      <c r="F29" s="9948">
        <v>278664</v>
      </c>
      <c r="I29" s="7164">
        <f t="shared" si="0"/>
        <v>23222</v>
      </c>
    </row>
    <row r="30" spans="1:9" ht="12.9" customHeight="1">
      <c r="A30" s="7231" t="s">
        <v>9228</v>
      </c>
      <c r="B30" s="7172">
        <v>1</v>
      </c>
      <c r="C30" s="7172">
        <v>6</v>
      </c>
      <c r="D30" s="9608">
        <v>169152</v>
      </c>
      <c r="E30" s="9608">
        <v>174936</v>
      </c>
      <c r="F30" s="9948">
        <v>180912</v>
      </c>
      <c r="I30" s="7164">
        <f t="shared" si="0"/>
        <v>15076</v>
      </c>
    </row>
    <row r="31" spans="1:9" ht="12.9" customHeight="1">
      <c r="A31" s="7231" t="s">
        <v>1465</v>
      </c>
      <c r="B31" s="7172">
        <v>4</v>
      </c>
      <c r="C31" s="7172">
        <v>4</v>
      </c>
      <c r="D31" s="9608">
        <v>451980</v>
      </c>
      <c r="E31" s="9608">
        <v>460056</v>
      </c>
      <c r="F31" s="9948">
        <v>640404</v>
      </c>
      <c r="I31" s="7164">
        <f t="shared" si="0"/>
        <v>53367</v>
      </c>
    </row>
    <row r="32" spans="1:9" ht="12.9" customHeight="1">
      <c r="A32" s="7231" t="s">
        <v>9229</v>
      </c>
      <c r="B32" s="7172">
        <v>1</v>
      </c>
      <c r="C32" s="7172">
        <v>4</v>
      </c>
      <c r="D32" s="9608">
        <v>155124</v>
      </c>
      <c r="E32" s="9608">
        <v>161088</v>
      </c>
      <c r="F32" s="9948">
        <v>167292</v>
      </c>
      <c r="I32" s="7164">
        <f t="shared" si="0"/>
        <v>13941</v>
      </c>
    </row>
    <row r="33" spans="1:9" ht="12.9" customHeight="1">
      <c r="A33" s="7231" t="s">
        <v>9231</v>
      </c>
      <c r="B33" s="7172">
        <v>1</v>
      </c>
      <c r="C33" s="7172">
        <v>3</v>
      </c>
      <c r="D33" s="9608">
        <v>139068</v>
      </c>
      <c r="E33" s="9608">
        <v>146544</v>
      </c>
      <c r="F33" s="9948">
        <v>153072</v>
      </c>
      <c r="I33" s="7164">
        <f t="shared" si="0"/>
        <v>12756</v>
      </c>
    </row>
    <row r="34" spans="1:9" ht="12.9" customHeight="1">
      <c r="A34" s="7231" t="s">
        <v>9232</v>
      </c>
      <c r="B34" s="7172">
        <v>1</v>
      </c>
      <c r="C34" s="7172">
        <v>2</v>
      </c>
      <c r="D34" s="9608">
        <v>130272</v>
      </c>
      <c r="E34" s="9608">
        <v>137760</v>
      </c>
      <c r="F34" s="9948">
        <v>144408</v>
      </c>
      <c r="I34" s="7164">
        <f t="shared" si="0"/>
        <v>12034</v>
      </c>
    </row>
    <row r="35" spans="1:9" ht="12.9" customHeight="1">
      <c r="A35" s="7231" t="s">
        <v>9230</v>
      </c>
      <c r="B35" s="7172">
        <v>1</v>
      </c>
      <c r="C35" s="7172">
        <v>1</v>
      </c>
      <c r="D35" s="9608">
        <v>249660</v>
      </c>
      <c r="E35" s="9608">
        <v>263544</v>
      </c>
      <c r="F35" s="9948">
        <v>136176</v>
      </c>
      <c r="I35" s="7164">
        <f t="shared" si="0"/>
        <v>11348</v>
      </c>
    </row>
    <row r="36" spans="1:9" ht="12.9" customHeight="1">
      <c r="A36" s="7231" t="s">
        <v>9233</v>
      </c>
      <c r="B36" s="7172">
        <v>1</v>
      </c>
      <c r="C36" s="7172">
        <v>3</v>
      </c>
      <c r="D36" s="9608">
        <v>139068</v>
      </c>
      <c r="E36" s="9608">
        <v>145344</v>
      </c>
      <c r="F36" s="9948">
        <v>153072</v>
      </c>
      <c r="I36" s="7164">
        <f t="shared" si="0"/>
        <v>12756</v>
      </c>
    </row>
    <row r="37" spans="1:9" ht="12.9" customHeight="1">
      <c r="A37" s="7231" t="s">
        <v>9</v>
      </c>
      <c r="B37" s="7172"/>
      <c r="C37" s="7172"/>
      <c r="D37" s="9608"/>
      <c r="E37" s="9608"/>
      <c r="F37" s="9948"/>
      <c r="I37" s="7164">
        <f t="shared" si="0"/>
        <v>0</v>
      </c>
    </row>
    <row r="38" spans="1:9" ht="12.9" customHeight="1">
      <c r="A38" s="6230" t="s">
        <v>1094</v>
      </c>
      <c r="B38" s="7172"/>
      <c r="C38" s="7172"/>
      <c r="D38" s="9608"/>
      <c r="E38" s="9608"/>
      <c r="F38" s="9948"/>
      <c r="G38" s="7001">
        <f>SUM(B16:B37)</f>
        <v>29</v>
      </c>
      <c r="H38" s="7164">
        <f>SUM(F16:F36)</f>
        <v>8763936</v>
      </c>
      <c r="I38" s="7164">
        <f t="shared" si="0"/>
        <v>0</v>
      </c>
    </row>
    <row r="39" spans="1:9" ht="12.9" customHeight="1">
      <c r="A39" s="7231" t="s">
        <v>1256</v>
      </c>
      <c r="B39" s="7172">
        <v>1</v>
      </c>
      <c r="C39" s="7172">
        <v>15</v>
      </c>
      <c r="D39" s="9608">
        <v>342528</v>
      </c>
      <c r="E39" s="9608">
        <v>365184</v>
      </c>
      <c r="F39" s="9948">
        <v>384864</v>
      </c>
      <c r="I39" s="7164">
        <f t="shared" si="0"/>
        <v>32072</v>
      </c>
    </row>
    <row r="40" spans="1:9" ht="12.9" customHeight="1">
      <c r="A40" s="7231" t="s">
        <v>1364</v>
      </c>
      <c r="B40" s="7172">
        <v>1</v>
      </c>
      <c r="C40" s="7172">
        <v>10</v>
      </c>
      <c r="D40" s="9608">
        <v>218604</v>
      </c>
      <c r="E40" s="9608">
        <v>226596</v>
      </c>
      <c r="F40" s="9948">
        <v>232728</v>
      </c>
      <c r="I40" s="7164">
        <f t="shared" si="0"/>
        <v>19394</v>
      </c>
    </row>
    <row r="41" spans="1:9" ht="12.9" customHeight="1">
      <c r="A41" s="7231" t="s">
        <v>1259</v>
      </c>
      <c r="B41" s="7172">
        <v>1</v>
      </c>
      <c r="C41" s="7172">
        <v>6</v>
      </c>
      <c r="D41" s="9608">
        <v>166212</v>
      </c>
      <c r="E41" s="9608">
        <v>172080</v>
      </c>
      <c r="F41" s="9948">
        <v>179532</v>
      </c>
      <c r="I41" s="7164">
        <f t="shared" si="0"/>
        <v>14961</v>
      </c>
    </row>
    <row r="42" spans="1:9" ht="12.9" customHeight="1">
      <c r="A42" s="7231" t="s">
        <v>1260</v>
      </c>
      <c r="B42" s="7172">
        <v>0</v>
      </c>
      <c r="C42" s="7172">
        <v>4</v>
      </c>
      <c r="D42" s="9608">
        <v>145860</v>
      </c>
      <c r="E42" s="9608">
        <v>0</v>
      </c>
      <c r="F42" s="9948">
        <v>0</v>
      </c>
      <c r="I42" s="7164">
        <f t="shared" si="0"/>
        <v>0</v>
      </c>
    </row>
    <row r="43" spans="1:9" ht="12.9" customHeight="1">
      <c r="A43" s="7231" t="s">
        <v>1261</v>
      </c>
      <c r="B43" s="7172">
        <v>2</v>
      </c>
      <c r="C43" s="7172">
        <v>3</v>
      </c>
      <c r="D43" s="9608">
        <v>419712</v>
      </c>
      <c r="E43" s="9608">
        <v>439668</v>
      </c>
      <c r="F43" s="9948">
        <v>307368</v>
      </c>
      <c r="I43" s="7164">
        <f>F43/12</f>
        <v>25614</v>
      </c>
    </row>
    <row r="44" spans="1:9" ht="12.9" customHeight="1">
      <c r="A44" s="7231" t="s">
        <v>1263</v>
      </c>
      <c r="B44" s="9683">
        <v>6</v>
      </c>
      <c r="C44" s="9683">
        <v>1</v>
      </c>
      <c r="D44" s="10403">
        <v>736656</v>
      </c>
      <c r="E44" s="10403">
        <v>775980</v>
      </c>
      <c r="F44" s="9746">
        <v>819504</v>
      </c>
      <c r="G44" s="7001">
        <f>SUM(B39:B44)</f>
        <v>11</v>
      </c>
      <c r="H44" s="7164">
        <f>SUM(F39:F44)</f>
        <v>1923996</v>
      </c>
      <c r="I44" s="7164">
        <f t="shared" si="0"/>
        <v>68292</v>
      </c>
    </row>
    <row r="45" spans="1:9" ht="12.9" customHeight="1">
      <c r="A45" s="7231"/>
      <c r="B45" s="7172"/>
      <c r="C45" s="7172"/>
      <c r="D45" s="9608"/>
      <c r="E45" s="9608"/>
      <c r="F45" s="9948"/>
      <c r="H45" s="7267"/>
      <c r="I45" s="7164">
        <f t="shared" si="0"/>
        <v>0</v>
      </c>
    </row>
    <row r="46" spans="1:9" ht="12.9" customHeight="1">
      <c r="A46" s="6230" t="s">
        <v>1159</v>
      </c>
      <c r="B46" s="7168">
        <f>SUM(B9:B44)</f>
        <v>40</v>
      </c>
      <c r="C46" s="7174"/>
      <c r="D46" s="9644">
        <f>SUM(D9:D45)</f>
        <v>10053828</v>
      </c>
      <c r="E46" s="9644">
        <f>SUM(E9:E45)</f>
        <v>10685220</v>
      </c>
      <c r="F46" s="10423">
        <f>SUM(F9:F45)</f>
        <v>10687932</v>
      </c>
      <c r="H46" s="7267"/>
      <c r="I46" s="7267"/>
    </row>
    <row r="47" spans="1:9" ht="12.9" customHeight="1">
      <c r="A47" s="7231"/>
      <c r="B47" s="9780"/>
      <c r="C47" s="9780"/>
      <c r="D47" s="10424"/>
      <c r="E47" s="10424"/>
      <c r="F47" s="10425"/>
      <c r="H47" s="7267"/>
      <c r="I47" s="7267"/>
    </row>
    <row r="48" spans="1:9" ht="12.9" customHeight="1">
      <c r="A48" s="7231" t="s">
        <v>1113</v>
      </c>
      <c r="B48" s="7168" t="s">
        <v>9</v>
      </c>
      <c r="C48" s="7174"/>
      <c r="D48" s="9636"/>
      <c r="E48" s="9636"/>
      <c r="F48" s="10413"/>
      <c r="H48" s="7267"/>
      <c r="I48" s="7267"/>
    </row>
    <row r="49" spans="1:9" ht="12.9" customHeight="1">
      <c r="A49" s="7231" t="s">
        <v>313</v>
      </c>
      <c r="B49" s="7172">
        <v>1</v>
      </c>
      <c r="C49" s="7172">
        <v>24</v>
      </c>
      <c r="D49" s="9608">
        <v>0</v>
      </c>
      <c r="E49" s="9636">
        <v>879588</v>
      </c>
      <c r="F49" s="9949">
        <v>1000872</v>
      </c>
      <c r="H49" s="7267"/>
      <c r="I49" s="7267">
        <f>F49/12</f>
        <v>83406</v>
      </c>
    </row>
    <row r="50" spans="1:9" ht="12.9" customHeight="1">
      <c r="A50" s="7231" t="s">
        <v>9219</v>
      </c>
      <c r="B50" s="7172">
        <v>2</v>
      </c>
      <c r="C50" s="7172">
        <v>21</v>
      </c>
      <c r="D50" s="9608">
        <v>1146696</v>
      </c>
      <c r="E50" s="9608">
        <v>1261296</v>
      </c>
      <c r="F50" s="9948">
        <v>1387320</v>
      </c>
      <c r="H50" s="7267"/>
      <c r="I50" s="7267">
        <f t="shared" ref="I50:I64" si="1">F50/12</f>
        <v>115610</v>
      </c>
    </row>
    <row r="51" spans="1:9" ht="12.9" customHeight="1">
      <c r="A51" s="7231" t="s">
        <v>1255</v>
      </c>
      <c r="B51" s="7172">
        <v>1</v>
      </c>
      <c r="C51" s="7172">
        <v>18</v>
      </c>
      <c r="D51" s="9608"/>
      <c r="E51" s="9608">
        <v>457020</v>
      </c>
      <c r="F51" s="9948">
        <v>487644</v>
      </c>
      <c r="H51" s="7267"/>
      <c r="I51" s="7267">
        <f t="shared" si="1"/>
        <v>40637</v>
      </c>
    </row>
    <row r="52" spans="1:9" ht="12.9" customHeight="1">
      <c r="A52" s="7231" t="s">
        <v>9225</v>
      </c>
      <c r="B52" s="7172">
        <v>0</v>
      </c>
      <c r="C52" s="7172">
        <v>15</v>
      </c>
      <c r="D52" s="9608">
        <v>330780</v>
      </c>
      <c r="E52" s="9608">
        <v>348120</v>
      </c>
      <c r="F52" s="9948">
        <v>0</v>
      </c>
      <c r="H52" s="7267"/>
      <c r="I52" s="7267">
        <f t="shared" si="1"/>
        <v>0</v>
      </c>
    </row>
    <row r="53" spans="1:9" ht="12.9" hidden="1" customHeight="1">
      <c r="A53" s="7231" t="s">
        <v>10412</v>
      </c>
      <c r="B53" s="7172">
        <v>0</v>
      </c>
      <c r="C53" s="7172">
        <v>15</v>
      </c>
      <c r="D53" s="9608">
        <v>0</v>
      </c>
      <c r="E53" s="9608">
        <v>0</v>
      </c>
      <c r="F53" s="9948">
        <v>0</v>
      </c>
      <c r="I53" s="7267">
        <f t="shared" si="1"/>
        <v>0</v>
      </c>
    </row>
    <row r="54" spans="1:9" ht="12.9" hidden="1" customHeight="1">
      <c r="A54" s="7231" t="s">
        <v>7229</v>
      </c>
      <c r="B54" s="7172">
        <v>0</v>
      </c>
      <c r="C54" s="7172">
        <v>12</v>
      </c>
      <c r="D54" s="9608">
        <v>0</v>
      </c>
      <c r="E54" s="9608">
        <v>0</v>
      </c>
      <c r="F54" s="9948">
        <v>0</v>
      </c>
      <c r="I54" s="7267">
        <f t="shared" si="1"/>
        <v>0</v>
      </c>
    </row>
    <row r="55" spans="1:9" ht="12.9" customHeight="1">
      <c r="A55" s="7231" t="s">
        <v>9222</v>
      </c>
      <c r="B55" s="7172">
        <v>2</v>
      </c>
      <c r="C55" s="7172">
        <v>11</v>
      </c>
      <c r="D55" s="9608">
        <v>0</v>
      </c>
      <c r="E55" s="9608">
        <v>484296</v>
      </c>
      <c r="F55" s="9948">
        <v>498096</v>
      </c>
      <c r="I55" s="7267">
        <f t="shared" si="1"/>
        <v>41508</v>
      </c>
    </row>
    <row r="56" spans="1:9" ht="12.9" customHeight="1">
      <c r="A56" s="7231" t="s">
        <v>12027</v>
      </c>
      <c r="B56" s="9403">
        <v>1</v>
      </c>
      <c r="C56" s="9403">
        <v>11</v>
      </c>
      <c r="D56" s="9608"/>
      <c r="E56" s="9608"/>
      <c r="F56" s="9948">
        <v>249048</v>
      </c>
      <c r="I56" s="7267">
        <f t="shared" si="1"/>
        <v>20754</v>
      </c>
    </row>
    <row r="57" spans="1:9" ht="12.9" customHeight="1">
      <c r="A57" s="7207" t="s">
        <v>11301</v>
      </c>
      <c r="B57" s="7206">
        <v>0</v>
      </c>
      <c r="C57" s="7206">
        <v>10</v>
      </c>
      <c r="D57" s="9626">
        <v>218604</v>
      </c>
      <c r="E57" s="9626">
        <v>224616</v>
      </c>
      <c r="F57" s="9948">
        <v>0</v>
      </c>
      <c r="I57" s="7267">
        <f t="shared" si="1"/>
        <v>0</v>
      </c>
    </row>
    <row r="58" spans="1:9" ht="12.9" customHeight="1">
      <c r="A58" s="7207" t="s">
        <v>11629</v>
      </c>
      <c r="B58" s="9614">
        <v>1</v>
      </c>
      <c r="C58" s="9614"/>
      <c r="D58" s="9626"/>
      <c r="E58" s="9626"/>
      <c r="F58" s="9950">
        <v>201096</v>
      </c>
      <c r="I58" s="7267">
        <f t="shared" si="1"/>
        <v>16758</v>
      </c>
    </row>
    <row r="59" spans="1:9" ht="12.9" hidden="1" customHeight="1">
      <c r="A59" s="7231" t="s">
        <v>1259</v>
      </c>
      <c r="B59" s="7172">
        <v>0</v>
      </c>
      <c r="C59" s="7172">
        <v>6</v>
      </c>
      <c r="D59" s="9608">
        <v>0</v>
      </c>
      <c r="E59" s="9608">
        <v>0</v>
      </c>
      <c r="F59" s="9948">
        <v>0</v>
      </c>
      <c r="I59" s="7267">
        <f t="shared" si="1"/>
        <v>0</v>
      </c>
    </row>
    <row r="60" spans="1:9" ht="12.9" customHeight="1">
      <c r="A60" s="7231" t="s">
        <v>1260</v>
      </c>
      <c r="B60" s="7172">
        <v>1</v>
      </c>
      <c r="C60" s="7172">
        <v>4</v>
      </c>
      <c r="D60" s="9609">
        <v>0</v>
      </c>
      <c r="E60" s="9609">
        <v>152088</v>
      </c>
      <c r="F60" s="10401">
        <v>158568</v>
      </c>
      <c r="I60" s="7267">
        <f t="shared" si="1"/>
        <v>13214</v>
      </c>
    </row>
    <row r="61" spans="1:9" ht="12.9" customHeight="1">
      <c r="A61" s="7231" t="s">
        <v>1465</v>
      </c>
      <c r="B61" s="7172">
        <v>0</v>
      </c>
      <c r="C61" s="7172">
        <v>4</v>
      </c>
      <c r="D61" s="9608">
        <v>291720</v>
      </c>
      <c r="E61" s="9608">
        <v>152088</v>
      </c>
      <c r="F61" s="9948">
        <v>0</v>
      </c>
      <c r="I61" s="7267">
        <f t="shared" si="1"/>
        <v>0</v>
      </c>
    </row>
    <row r="62" spans="1:9" ht="12.9" customHeight="1">
      <c r="A62" s="7231" t="s">
        <v>1261</v>
      </c>
      <c r="B62" s="7172">
        <v>2</v>
      </c>
      <c r="C62" s="7172">
        <v>3</v>
      </c>
      <c r="D62" s="9609">
        <v>136644</v>
      </c>
      <c r="E62" s="9609">
        <v>142968</v>
      </c>
      <c r="F62" s="10401">
        <v>299184</v>
      </c>
      <c r="I62" s="7267">
        <f t="shared" si="1"/>
        <v>24932</v>
      </c>
    </row>
    <row r="63" spans="1:9" ht="12.9" hidden="1" customHeight="1">
      <c r="A63" s="7231" t="s">
        <v>1263</v>
      </c>
      <c r="B63" s="9403">
        <v>0</v>
      </c>
      <c r="C63" s="9403">
        <v>1</v>
      </c>
      <c r="D63" s="9608">
        <v>0</v>
      </c>
      <c r="E63" s="9608">
        <v>0</v>
      </c>
      <c r="F63" s="9948">
        <v>0</v>
      </c>
      <c r="H63" s="7267"/>
      <c r="I63" s="7267">
        <f t="shared" si="1"/>
        <v>0</v>
      </c>
    </row>
    <row r="64" spans="1:9" s="6330" customFormat="1" ht="12.9" customHeight="1">
      <c r="A64" s="7231" t="s">
        <v>11630</v>
      </c>
      <c r="B64" s="9403">
        <v>1</v>
      </c>
      <c r="C64" s="9403">
        <v>1</v>
      </c>
      <c r="D64" s="9608">
        <v>0</v>
      </c>
      <c r="E64" s="9608">
        <v>0</v>
      </c>
      <c r="F64" s="9948">
        <v>132816</v>
      </c>
      <c r="I64" s="7267">
        <f t="shared" si="1"/>
        <v>11068</v>
      </c>
    </row>
    <row r="65" spans="1:9" s="6330" customFormat="1" ht="12.9" customHeight="1">
      <c r="A65" s="7231"/>
      <c r="B65" s="10402"/>
      <c r="C65" s="10402"/>
      <c r="D65" s="10403"/>
      <c r="E65" s="10403"/>
      <c r="F65" s="9746"/>
      <c r="I65" s="7267"/>
    </row>
    <row r="66" spans="1:9" ht="12.9" customHeight="1">
      <c r="A66" s="7231" t="s">
        <v>1376</v>
      </c>
      <c r="B66" s="9652">
        <f>SUM(B48:B64)</f>
        <v>12</v>
      </c>
      <c r="C66" s="9653"/>
      <c r="D66" s="9654">
        <f>SUM(D48:D64)</f>
        <v>2124444</v>
      </c>
      <c r="E66" s="9654">
        <f>SUM(E48:E64)</f>
        <v>4102080</v>
      </c>
      <c r="F66" s="9655">
        <f>SUM(F48:F64)</f>
        <v>4414644</v>
      </c>
    </row>
    <row r="67" spans="1:9" ht="12.9" customHeight="1" thickBot="1">
      <c r="A67" s="7231"/>
      <c r="B67" s="7172"/>
      <c r="C67" s="7172"/>
      <c r="D67" s="9636"/>
      <c r="E67" s="9636"/>
      <c r="F67" s="10413"/>
    </row>
    <row r="68" spans="1:9" ht="12.9" customHeight="1" thickBot="1">
      <c r="A68" s="7251" t="s">
        <v>1101</v>
      </c>
      <c r="B68" s="9728">
        <f>SUM(B46+B66)</f>
        <v>52</v>
      </c>
      <c r="C68" s="9657"/>
      <c r="D68" s="9840">
        <f>SUM(D46+D66)</f>
        <v>12178272</v>
      </c>
      <c r="E68" s="9840">
        <f>SUM(E46+E66)</f>
        <v>14787300</v>
      </c>
      <c r="F68" s="10786">
        <f>SUM(F46+F66)</f>
        <v>15102576</v>
      </c>
      <c r="H68" s="7164">
        <f>F68-14787300</f>
        <v>315276</v>
      </c>
    </row>
    <row r="69" spans="1:9" ht="12.9" customHeight="1">
      <c r="A69" s="9841"/>
      <c r="B69" s="9842"/>
      <c r="C69" s="9842"/>
      <c r="D69" s="9841"/>
      <c r="E69" s="9841"/>
      <c r="F69" s="9841"/>
    </row>
    <row r="70" spans="1:9" ht="12.9" customHeight="1">
      <c r="A70" s="6330"/>
      <c r="B70" s="6231"/>
      <c r="C70" s="6231"/>
      <c r="D70" s="6330"/>
      <c r="E70" s="6330"/>
      <c r="F70" s="6330"/>
    </row>
    <row r="71" spans="1:9" ht="12.9" customHeight="1" thickBot="1">
      <c r="A71" s="10819" t="s">
        <v>12055</v>
      </c>
      <c r="B71" s="10818"/>
      <c r="C71" s="10818"/>
      <c r="D71" s="10819"/>
      <c r="E71" s="10819"/>
      <c r="F71" s="10819"/>
    </row>
    <row r="72" spans="1:9" ht="12.9" customHeight="1">
      <c r="A72" s="6230" t="s">
        <v>1075</v>
      </c>
      <c r="B72" s="7172"/>
      <c r="C72" s="7172"/>
      <c r="D72" s="7174"/>
      <c r="E72" s="7174"/>
      <c r="F72" s="7242"/>
    </row>
    <row r="73" spans="1:9" ht="12.9" customHeight="1">
      <c r="A73" s="6230" t="s">
        <v>1102</v>
      </c>
      <c r="B73" s="7172"/>
      <c r="C73" s="7174"/>
      <c r="D73" s="7174"/>
      <c r="E73" s="7174"/>
      <c r="F73" s="7242"/>
    </row>
    <row r="74" spans="1:9" ht="12.9" customHeight="1">
      <c r="A74" s="7231" t="s">
        <v>1103</v>
      </c>
      <c r="B74" s="7172">
        <v>1</v>
      </c>
      <c r="C74" s="7174"/>
      <c r="D74" s="7174"/>
      <c r="E74" s="7174"/>
      <c r="F74" s="7242"/>
    </row>
    <row r="75" spans="1:9" ht="12.9" customHeight="1">
      <c r="A75" s="7231" t="s">
        <v>1078</v>
      </c>
      <c r="B75" s="7172"/>
      <c r="C75" s="7174"/>
      <c r="D75" s="7174"/>
      <c r="E75" s="7174"/>
      <c r="F75" s="7242"/>
    </row>
    <row r="76" spans="1:9" ht="12.9" customHeight="1">
      <c r="A76" s="7207" t="s">
        <v>10697</v>
      </c>
      <c r="B76" s="7172">
        <v>2</v>
      </c>
      <c r="C76" s="7174"/>
      <c r="D76" s="7174"/>
      <c r="E76" s="7174"/>
      <c r="F76" s="7242"/>
    </row>
    <row r="77" spans="1:9" ht="12.9" customHeight="1">
      <c r="A77" s="7207" t="s">
        <v>10707</v>
      </c>
      <c r="B77" s="7172"/>
      <c r="C77" s="7174"/>
      <c r="D77" s="7174"/>
      <c r="E77" s="7174"/>
      <c r="F77" s="7242"/>
    </row>
    <row r="78" spans="1:9" ht="12.9" customHeight="1">
      <c r="A78" s="7207"/>
      <c r="B78" s="8414"/>
      <c r="C78" s="10751"/>
      <c r="D78" s="10751"/>
      <c r="E78" s="10751"/>
      <c r="F78" s="7242"/>
    </row>
    <row r="79" spans="1:9" ht="12.9" customHeight="1">
      <c r="A79" s="6230" t="s">
        <v>1080</v>
      </c>
      <c r="B79" s="7172"/>
      <c r="C79" s="7174"/>
      <c r="D79" s="7174"/>
      <c r="E79" s="7174"/>
      <c r="F79" s="7242"/>
    </row>
    <row r="80" spans="1:9" ht="12.9" customHeight="1">
      <c r="A80" s="7231" t="s">
        <v>1104</v>
      </c>
      <c r="B80" s="7172"/>
      <c r="C80" s="7174"/>
      <c r="D80" s="7174"/>
      <c r="E80" s="7174"/>
      <c r="F80" s="7242"/>
    </row>
    <row r="81" spans="1:6" ht="12.9" customHeight="1">
      <c r="A81" s="7231" t="s">
        <v>1105</v>
      </c>
      <c r="B81" s="7174"/>
      <c r="C81" s="7174"/>
      <c r="D81" s="7174"/>
      <c r="E81" s="7174"/>
      <c r="F81" s="7242"/>
    </row>
    <row r="82" spans="1:6" ht="12.9" customHeight="1">
      <c r="A82" s="7231"/>
      <c r="B82" s="7189"/>
      <c r="C82" s="7189"/>
      <c r="D82" s="7189"/>
      <c r="E82" s="7189"/>
      <c r="F82" s="9778"/>
    </row>
    <row r="83" spans="1:6" ht="12.9" customHeight="1">
      <c r="A83" s="6230" t="s">
        <v>1083</v>
      </c>
      <c r="B83" s="9676"/>
      <c r="C83" s="9676"/>
      <c r="D83" s="9676"/>
      <c r="E83" s="9676"/>
      <c r="F83" s="9744"/>
    </row>
    <row r="84" spans="1:6" ht="12.9" customHeight="1">
      <c r="A84" s="7231"/>
      <c r="B84" s="9780"/>
      <c r="C84" s="9780"/>
      <c r="D84" s="9780"/>
      <c r="E84" s="9780"/>
      <c r="F84" s="9688"/>
    </row>
    <row r="85" spans="1:6" ht="12.9" customHeight="1" thickBot="1">
      <c r="A85" s="7235" t="s">
        <v>1106</v>
      </c>
      <c r="B85" s="7174"/>
      <c r="C85" s="7174"/>
      <c r="D85" s="7174"/>
      <c r="E85" s="7174"/>
      <c r="F85" s="7242"/>
    </row>
    <row r="86" spans="1:6" ht="12.9" customHeight="1">
      <c r="A86" s="7248"/>
      <c r="B86" s="9665"/>
      <c r="C86" s="9665"/>
      <c r="D86" s="9665"/>
      <c r="E86" s="9665"/>
      <c r="F86" s="9729"/>
    </row>
    <row r="87" spans="1:6" ht="12.9" customHeight="1">
      <c r="A87" s="6230" t="s">
        <v>1086</v>
      </c>
      <c r="B87" s="7174"/>
      <c r="C87" s="7174"/>
      <c r="D87" s="7174"/>
      <c r="E87" s="7174"/>
      <c r="F87" s="7242"/>
    </row>
    <row r="88" spans="1:6" ht="12.9" customHeight="1" thickBot="1">
      <c r="A88" s="7235"/>
      <c r="B88" s="9758"/>
      <c r="C88" s="9758"/>
      <c r="D88" s="9758"/>
      <c r="E88" s="9758"/>
      <c r="F88" s="9759"/>
    </row>
  </sheetData>
  <mergeCells count="2">
    <mergeCell ref="D5:F5"/>
    <mergeCell ref="A1:F1"/>
  </mergeCells>
  <pageMargins left="0.25" right="0.25" top="0.5" bottom="0.5" header="0.3" footer="0.3"/>
  <pageSetup paperSize="119" firstPageNumber="298" orientation="portrait" useFirstPageNumber="1" r:id="rId1"/>
  <headerFooter alignWithMargins="0"/>
</worksheet>
</file>

<file path=xl/worksheets/sheet14.xml><?xml version="1.0" encoding="utf-8"?>
<worksheet xmlns="http://schemas.openxmlformats.org/spreadsheetml/2006/main" xmlns:r="http://schemas.openxmlformats.org/officeDocument/2006/relationships">
  <sheetPr codeName="Sheet7">
    <tabColor rgb="FF7030A0"/>
  </sheetPr>
  <dimension ref="A1:G245"/>
  <sheetViews>
    <sheetView showGridLines="0" topLeftCell="A74" workbookViewId="0">
      <selection activeCell="A96" sqref="A96:XFD96"/>
    </sheetView>
  </sheetViews>
  <sheetFormatPr defaultRowHeight="13.5" customHeight="1"/>
  <cols>
    <col min="1" max="1" width="3.109375" style="6100" customWidth="1"/>
    <col min="2" max="2" width="59.109375" style="6101" customWidth="1"/>
    <col min="3" max="3" width="15.44140625" style="6103" customWidth="1"/>
    <col min="4" max="4" width="17.88671875" style="5787" customWidth="1"/>
    <col min="5" max="5" width="9.109375" style="6101"/>
    <col min="6" max="6" width="17" style="6101" customWidth="1"/>
    <col min="7" max="7" width="14.44140625" style="6101" bestFit="1" customWidth="1"/>
    <col min="8" max="245" width="9.109375" style="6101"/>
    <col min="246" max="246" width="44.88671875" style="6101" customWidth="1"/>
    <col min="247" max="247" width="31.109375" style="6101" customWidth="1"/>
    <col min="248" max="248" width="17.88671875" style="6101" customWidth="1"/>
    <col min="249" max="501" width="9.109375" style="6101"/>
    <col min="502" max="502" width="44.88671875" style="6101" customWidth="1"/>
    <col min="503" max="503" width="31.109375" style="6101" customWidth="1"/>
    <col min="504" max="504" width="17.88671875" style="6101" customWidth="1"/>
    <col min="505" max="757" width="9.109375" style="6101"/>
    <col min="758" max="758" width="44.88671875" style="6101" customWidth="1"/>
    <col min="759" max="759" width="31.109375" style="6101" customWidth="1"/>
    <col min="760" max="760" width="17.88671875" style="6101" customWidth="1"/>
    <col min="761" max="1013" width="9.109375" style="6101"/>
    <col min="1014" max="1014" width="44.88671875" style="6101" customWidth="1"/>
    <col min="1015" max="1015" width="31.109375" style="6101" customWidth="1"/>
    <col min="1016" max="1016" width="17.88671875" style="6101" customWidth="1"/>
    <col min="1017" max="1269" width="9.109375" style="6101"/>
    <col min="1270" max="1270" width="44.88671875" style="6101" customWidth="1"/>
    <col min="1271" max="1271" width="31.109375" style="6101" customWidth="1"/>
    <col min="1272" max="1272" width="17.88671875" style="6101" customWidth="1"/>
    <col min="1273" max="1525" width="9.109375" style="6101"/>
    <col min="1526" max="1526" width="44.88671875" style="6101" customWidth="1"/>
    <col min="1527" max="1527" width="31.109375" style="6101" customWidth="1"/>
    <col min="1528" max="1528" width="17.88671875" style="6101" customWidth="1"/>
    <col min="1529" max="1781" width="9.109375" style="6101"/>
    <col min="1782" max="1782" width="44.88671875" style="6101" customWidth="1"/>
    <col min="1783" max="1783" width="31.109375" style="6101" customWidth="1"/>
    <col min="1784" max="1784" width="17.88671875" style="6101" customWidth="1"/>
    <col min="1785" max="2037" width="9.109375" style="6101"/>
    <col min="2038" max="2038" width="44.88671875" style="6101" customWidth="1"/>
    <col min="2039" max="2039" width="31.109375" style="6101" customWidth="1"/>
    <col min="2040" max="2040" width="17.88671875" style="6101" customWidth="1"/>
    <col min="2041" max="2293" width="9.109375" style="6101"/>
    <col min="2294" max="2294" width="44.88671875" style="6101" customWidth="1"/>
    <col min="2295" max="2295" width="31.109375" style="6101" customWidth="1"/>
    <col min="2296" max="2296" width="17.88671875" style="6101" customWidth="1"/>
    <col min="2297" max="2549" width="9.109375" style="6101"/>
    <col min="2550" max="2550" width="44.88671875" style="6101" customWidth="1"/>
    <col min="2551" max="2551" width="31.109375" style="6101" customWidth="1"/>
    <col min="2552" max="2552" width="17.88671875" style="6101" customWidth="1"/>
    <col min="2553" max="2805" width="9.109375" style="6101"/>
    <col min="2806" max="2806" width="44.88671875" style="6101" customWidth="1"/>
    <col min="2807" max="2807" width="31.109375" style="6101" customWidth="1"/>
    <col min="2808" max="2808" width="17.88671875" style="6101" customWidth="1"/>
    <col min="2809" max="3061" width="9.109375" style="6101"/>
    <col min="3062" max="3062" width="44.88671875" style="6101" customWidth="1"/>
    <col min="3063" max="3063" width="31.109375" style="6101" customWidth="1"/>
    <col min="3064" max="3064" width="17.88671875" style="6101" customWidth="1"/>
    <col min="3065" max="3317" width="9.109375" style="6101"/>
    <col min="3318" max="3318" width="44.88671875" style="6101" customWidth="1"/>
    <col min="3319" max="3319" width="31.109375" style="6101" customWidth="1"/>
    <col min="3320" max="3320" width="17.88671875" style="6101" customWidth="1"/>
    <col min="3321" max="3573" width="9.109375" style="6101"/>
    <col min="3574" max="3574" width="44.88671875" style="6101" customWidth="1"/>
    <col min="3575" max="3575" width="31.109375" style="6101" customWidth="1"/>
    <col min="3576" max="3576" width="17.88671875" style="6101" customWidth="1"/>
    <col min="3577" max="3829" width="9.109375" style="6101"/>
    <col min="3830" max="3830" width="44.88671875" style="6101" customWidth="1"/>
    <col min="3831" max="3831" width="31.109375" style="6101" customWidth="1"/>
    <col min="3832" max="3832" width="17.88671875" style="6101" customWidth="1"/>
    <col min="3833" max="4085" width="9.109375" style="6101"/>
    <col min="4086" max="4086" width="44.88671875" style="6101" customWidth="1"/>
    <col min="4087" max="4087" width="31.109375" style="6101" customWidth="1"/>
    <col min="4088" max="4088" width="17.88671875" style="6101" customWidth="1"/>
    <col min="4089" max="4341" width="9.109375" style="6101"/>
    <col min="4342" max="4342" width="44.88671875" style="6101" customWidth="1"/>
    <col min="4343" max="4343" width="31.109375" style="6101" customWidth="1"/>
    <col min="4344" max="4344" width="17.88671875" style="6101" customWidth="1"/>
    <col min="4345" max="4597" width="9.109375" style="6101"/>
    <col min="4598" max="4598" width="44.88671875" style="6101" customWidth="1"/>
    <col min="4599" max="4599" width="31.109375" style="6101" customWidth="1"/>
    <col min="4600" max="4600" width="17.88671875" style="6101" customWidth="1"/>
    <col min="4601" max="4853" width="9.109375" style="6101"/>
    <col min="4854" max="4854" width="44.88671875" style="6101" customWidth="1"/>
    <col min="4855" max="4855" width="31.109375" style="6101" customWidth="1"/>
    <col min="4856" max="4856" width="17.88671875" style="6101" customWidth="1"/>
    <col min="4857" max="5109" width="9.109375" style="6101"/>
    <col min="5110" max="5110" width="44.88671875" style="6101" customWidth="1"/>
    <col min="5111" max="5111" width="31.109375" style="6101" customWidth="1"/>
    <col min="5112" max="5112" width="17.88671875" style="6101" customWidth="1"/>
    <col min="5113" max="5365" width="9.109375" style="6101"/>
    <col min="5366" max="5366" width="44.88671875" style="6101" customWidth="1"/>
    <col min="5367" max="5367" width="31.109375" style="6101" customWidth="1"/>
    <col min="5368" max="5368" width="17.88671875" style="6101" customWidth="1"/>
    <col min="5369" max="5621" width="9.109375" style="6101"/>
    <col min="5622" max="5622" width="44.88671875" style="6101" customWidth="1"/>
    <col min="5623" max="5623" width="31.109375" style="6101" customWidth="1"/>
    <col min="5624" max="5624" width="17.88671875" style="6101" customWidth="1"/>
    <col min="5625" max="5877" width="9.109375" style="6101"/>
    <col min="5878" max="5878" width="44.88671875" style="6101" customWidth="1"/>
    <col min="5879" max="5879" width="31.109375" style="6101" customWidth="1"/>
    <col min="5880" max="5880" width="17.88671875" style="6101" customWidth="1"/>
    <col min="5881" max="6133" width="9.109375" style="6101"/>
    <col min="6134" max="6134" width="44.88671875" style="6101" customWidth="1"/>
    <col min="6135" max="6135" width="31.109375" style="6101" customWidth="1"/>
    <col min="6136" max="6136" width="17.88671875" style="6101" customWidth="1"/>
    <col min="6137" max="6389" width="9.109375" style="6101"/>
    <col min="6390" max="6390" width="44.88671875" style="6101" customWidth="1"/>
    <col min="6391" max="6391" width="31.109375" style="6101" customWidth="1"/>
    <col min="6392" max="6392" width="17.88671875" style="6101" customWidth="1"/>
    <col min="6393" max="6645" width="9.109375" style="6101"/>
    <col min="6646" max="6646" width="44.88671875" style="6101" customWidth="1"/>
    <col min="6647" max="6647" width="31.109375" style="6101" customWidth="1"/>
    <col min="6648" max="6648" width="17.88671875" style="6101" customWidth="1"/>
    <col min="6649" max="6901" width="9.109375" style="6101"/>
    <col min="6902" max="6902" width="44.88671875" style="6101" customWidth="1"/>
    <col min="6903" max="6903" width="31.109375" style="6101" customWidth="1"/>
    <col min="6904" max="6904" width="17.88671875" style="6101" customWidth="1"/>
    <col min="6905" max="7157" width="9.109375" style="6101"/>
    <col min="7158" max="7158" width="44.88671875" style="6101" customWidth="1"/>
    <col min="7159" max="7159" width="31.109375" style="6101" customWidth="1"/>
    <col min="7160" max="7160" width="17.88671875" style="6101" customWidth="1"/>
    <col min="7161" max="7413" width="9.109375" style="6101"/>
    <col min="7414" max="7414" width="44.88671875" style="6101" customWidth="1"/>
    <col min="7415" max="7415" width="31.109375" style="6101" customWidth="1"/>
    <col min="7416" max="7416" width="17.88671875" style="6101" customWidth="1"/>
    <col min="7417" max="7669" width="9.109375" style="6101"/>
    <col min="7670" max="7670" width="44.88671875" style="6101" customWidth="1"/>
    <col min="7671" max="7671" width="31.109375" style="6101" customWidth="1"/>
    <col min="7672" max="7672" width="17.88671875" style="6101" customWidth="1"/>
    <col min="7673" max="7925" width="9.109375" style="6101"/>
    <col min="7926" max="7926" width="44.88671875" style="6101" customWidth="1"/>
    <col min="7927" max="7927" width="31.109375" style="6101" customWidth="1"/>
    <col min="7928" max="7928" width="17.88671875" style="6101" customWidth="1"/>
    <col min="7929" max="8181" width="9.109375" style="6101"/>
    <col min="8182" max="8182" width="44.88671875" style="6101" customWidth="1"/>
    <col min="8183" max="8183" width="31.109375" style="6101" customWidth="1"/>
    <col min="8184" max="8184" width="17.88671875" style="6101" customWidth="1"/>
    <col min="8185" max="8437" width="9.109375" style="6101"/>
    <col min="8438" max="8438" width="44.88671875" style="6101" customWidth="1"/>
    <col min="8439" max="8439" width="31.109375" style="6101" customWidth="1"/>
    <col min="8440" max="8440" width="17.88671875" style="6101" customWidth="1"/>
    <col min="8441" max="8693" width="9.109375" style="6101"/>
    <col min="8694" max="8694" width="44.88671875" style="6101" customWidth="1"/>
    <col min="8695" max="8695" width="31.109375" style="6101" customWidth="1"/>
    <col min="8696" max="8696" width="17.88671875" style="6101" customWidth="1"/>
    <col min="8697" max="8949" width="9.109375" style="6101"/>
    <col min="8950" max="8950" width="44.88671875" style="6101" customWidth="1"/>
    <col min="8951" max="8951" width="31.109375" style="6101" customWidth="1"/>
    <col min="8952" max="8952" width="17.88671875" style="6101" customWidth="1"/>
    <col min="8953" max="9205" width="9.109375" style="6101"/>
    <col min="9206" max="9206" width="44.88671875" style="6101" customWidth="1"/>
    <col min="9207" max="9207" width="31.109375" style="6101" customWidth="1"/>
    <col min="9208" max="9208" width="17.88671875" style="6101" customWidth="1"/>
    <col min="9209" max="9461" width="9.109375" style="6101"/>
    <col min="9462" max="9462" width="44.88671875" style="6101" customWidth="1"/>
    <col min="9463" max="9463" width="31.109375" style="6101" customWidth="1"/>
    <col min="9464" max="9464" width="17.88671875" style="6101" customWidth="1"/>
    <col min="9465" max="9717" width="9.109375" style="6101"/>
    <col min="9718" max="9718" width="44.88671875" style="6101" customWidth="1"/>
    <col min="9719" max="9719" width="31.109375" style="6101" customWidth="1"/>
    <col min="9720" max="9720" width="17.88671875" style="6101" customWidth="1"/>
    <col min="9721" max="9973" width="9.109375" style="6101"/>
    <col min="9974" max="9974" width="44.88671875" style="6101" customWidth="1"/>
    <col min="9975" max="9975" width="31.109375" style="6101" customWidth="1"/>
    <col min="9976" max="9976" width="17.88671875" style="6101" customWidth="1"/>
    <col min="9977" max="10229" width="9.109375" style="6101"/>
    <col min="10230" max="10230" width="44.88671875" style="6101" customWidth="1"/>
    <col min="10231" max="10231" width="31.109375" style="6101" customWidth="1"/>
    <col min="10232" max="10232" width="17.88671875" style="6101" customWidth="1"/>
    <col min="10233" max="10485" width="9.109375" style="6101"/>
    <col min="10486" max="10486" width="44.88671875" style="6101" customWidth="1"/>
    <col min="10487" max="10487" width="31.109375" style="6101" customWidth="1"/>
    <col min="10488" max="10488" width="17.88671875" style="6101" customWidth="1"/>
    <col min="10489" max="10741" width="9.109375" style="6101"/>
    <col min="10742" max="10742" width="44.88671875" style="6101" customWidth="1"/>
    <col min="10743" max="10743" width="31.109375" style="6101" customWidth="1"/>
    <col min="10744" max="10744" width="17.88671875" style="6101" customWidth="1"/>
    <col min="10745" max="10997" width="9.109375" style="6101"/>
    <col min="10998" max="10998" width="44.88671875" style="6101" customWidth="1"/>
    <col min="10999" max="10999" width="31.109375" style="6101" customWidth="1"/>
    <col min="11000" max="11000" width="17.88671875" style="6101" customWidth="1"/>
    <col min="11001" max="11253" width="9.109375" style="6101"/>
    <col min="11254" max="11254" width="44.88671875" style="6101" customWidth="1"/>
    <col min="11255" max="11255" width="31.109375" style="6101" customWidth="1"/>
    <col min="11256" max="11256" width="17.88671875" style="6101" customWidth="1"/>
    <col min="11257" max="11509" width="9.109375" style="6101"/>
    <col min="11510" max="11510" width="44.88671875" style="6101" customWidth="1"/>
    <col min="11511" max="11511" width="31.109375" style="6101" customWidth="1"/>
    <col min="11512" max="11512" width="17.88671875" style="6101" customWidth="1"/>
    <col min="11513" max="11765" width="9.109375" style="6101"/>
    <col min="11766" max="11766" width="44.88671875" style="6101" customWidth="1"/>
    <col min="11767" max="11767" width="31.109375" style="6101" customWidth="1"/>
    <col min="11768" max="11768" width="17.88671875" style="6101" customWidth="1"/>
    <col min="11769" max="12021" width="9.109375" style="6101"/>
    <col min="12022" max="12022" width="44.88671875" style="6101" customWidth="1"/>
    <col min="12023" max="12023" width="31.109375" style="6101" customWidth="1"/>
    <col min="12024" max="12024" width="17.88671875" style="6101" customWidth="1"/>
    <col min="12025" max="12277" width="9.109375" style="6101"/>
    <col min="12278" max="12278" width="44.88671875" style="6101" customWidth="1"/>
    <col min="12279" max="12279" width="31.109375" style="6101" customWidth="1"/>
    <col min="12280" max="12280" width="17.88671875" style="6101" customWidth="1"/>
    <col min="12281" max="12533" width="9.109375" style="6101"/>
    <col min="12534" max="12534" width="44.88671875" style="6101" customWidth="1"/>
    <col min="12535" max="12535" width="31.109375" style="6101" customWidth="1"/>
    <col min="12536" max="12536" width="17.88671875" style="6101" customWidth="1"/>
    <col min="12537" max="12789" width="9.109375" style="6101"/>
    <col min="12790" max="12790" width="44.88671875" style="6101" customWidth="1"/>
    <col min="12791" max="12791" width="31.109375" style="6101" customWidth="1"/>
    <col min="12792" max="12792" width="17.88671875" style="6101" customWidth="1"/>
    <col min="12793" max="13045" width="9.109375" style="6101"/>
    <col min="13046" max="13046" width="44.88671875" style="6101" customWidth="1"/>
    <col min="13047" max="13047" width="31.109375" style="6101" customWidth="1"/>
    <col min="13048" max="13048" width="17.88671875" style="6101" customWidth="1"/>
    <col min="13049" max="13301" width="9.109375" style="6101"/>
    <col min="13302" max="13302" width="44.88671875" style="6101" customWidth="1"/>
    <col min="13303" max="13303" width="31.109375" style="6101" customWidth="1"/>
    <col min="13304" max="13304" width="17.88671875" style="6101" customWidth="1"/>
    <col min="13305" max="13557" width="9.109375" style="6101"/>
    <col min="13558" max="13558" width="44.88671875" style="6101" customWidth="1"/>
    <col min="13559" max="13559" width="31.109375" style="6101" customWidth="1"/>
    <col min="13560" max="13560" width="17.88671875" style="6101" customWidth="1"/>
    <col min="13561" max="13813" width="9.109375" style="6101"/>
    <col min="13814" max="13814" width="44.88671875" style="6101" customWidth="1"/>
    <col min="13815" max="13815" width="31.109375" style="6101" customWidth="1"/>
    <col min="13816" max="13816" width="17.88671875" style="6101" customWidth="1"/>
    <col min="13817" max="14069" width="9.109375" style="6101"/>
    <col min="14070" max="14070" width="44.88671875" style="6101" customWidth="1"/>
    <col min="14071" max="14071" width="31.109375" style="6101" customWidth="1"/>
    <col min="14072" max="14072" width="17.88671875" style="6101" customWidth="1"/>
    <col min="14073" max="14325" width="9.109375" style="6101"/>
    <col min="14326" max="14326" width="44.88671875" style="6101" customWidth="1"/>
    <col min="14327" max="14327" width="31.109375" style="6101" customWidth="1"/>
    <col min="14328" max="14328" width="17.88671875" style="6101" customWidth="1"/>
    <col min="14329" max="14581" width="9.109375" style="6101"/>
    <col min="14582" max="14582" width="44.88671875" style="6101" customWidth="1"/>
    <col min="14583" max="14583" width="31.109375" style="6101" customWidth="1"/>
    <col min="14584" max="14584" width="17.88671875" style="6101" customWidth="1"/>
    <col min="14585" max="14837" width="9.109375" style="6101"/>
    <col min="14838" max="14838" width="44.88671875" style="6101" customWidth="1"/>
    <col min="14839" max="14839" width="31.109375" style="6101" customWidth="1"/>
    <col min="14840" max="14840" width="17.88671875" style="6101" customWidth="1"/>
    <col min="14841" max="15093" width="9.109375" style="6101"/>
    <col min="15094" max="15094" width="44.88671875" style="6101" customWidth="1"/>
    <col min="15095" max="15095" width="31.109375" style="6101" customWidth="1"/>
    <col min="15096" max="15096" width="17.88671875" style="6101" customWidth="1"/>
    <col min="15097" max="15349" width="9.109375" style="6101"/>
    <col min="15350" max="15350" width="44.88671875" style="6101" customWidth="1"/>
    <col min="15351" max="15351" width="31.109375" style="6101" customWidth="1"/>
    <col min="15352" max="15352" width="17.88671875" style="6101" customWidth="1"/>
    <col min="15353" max="15605" width="9.109375" style="6101"/>
    <col min="15606" max="15606" width="44.88671875" style="6101" customWidth="1"/>
    <col min="15607" max="15607" width="31.109375" style="6101" customWidth="1"/>
    <col min="15608" max="15608" width="17.88671875" style="6101" customWidth="1"/>
    <col min="15609" max="15861" width="9.109375" style="6101"/>
    <col min="15862" max="15862" width="44.88671875" style="6101" customWidth="1"/>
    <col min="15863" max="15863" width="31.109375" style="6101" customWidth="1"/>
    <col min="15864" max="15864" width="17.88671875" style="6101" customWidth="1"/>
    <col min="15865" max="16117" width="9.109375" style="6101"/>
    <col min="16118" max="16118" width="44.88671875" style="6101" customWidth="1"/>
    <col min="16119" max="16119" width="31.109375" style="6101" customWidth="1"/>
    <col min="16120" max="16120" width="17.88671875" style="6101" customWidth="1"/>
    <col min="16121" max="16384" width="9.109375" style="6101"/>
  </cols>
  <sheetData>
    <row r="1" spans="1:6" ht="13.5" customHeight="1">
      <c r="A1" s="6104"/>
      <c r="B1" s="14043" t="s">
        <v>1681</v>
      </c>
      <c r="C1" s="14043"/>
      <c r="D1" s="14043"/>
    </row>
    <row r="2" spans="1:6" ht="13.5" customHeight="1">
      <c r="A2" s="6104"/>
      <c r="B2" s="14044" t="s">
        <v>10357</v>
      </c>
      <c r="C2" s="14044"/>
      <c r="D2" s="14044"/>
    </row>
    <row r="3" spans="1:6" ht="13.5" customHeight="1" thickBot="1">
      <c r="A3" s="6105"/>
      <c r="B3" s="6106"/>
      <c r="C3" s="6107"/>
      <c r="D3" s="6108"/>
    </row>
    <row r="4" spans="1:6" ht="13.5" customHeight="1" thickBot="1">
      <c r="A4" s="6109"/>
      <c r="B4" s="6110" t="s">
        <v>460</v>
      </c>
      <c r="C4" s="6110" t="s">
        <v>532</v>
      </c>
      <c r="D4" s="6111" t="s">
        <v>458</v>
      </c>
    </row>
    <row r="5" spans="1:6" ht="13.5" customHeight="1">
      <c r="A5" s="6112"/>
      <c r="B5" s="6113"/>
      <c r="C5" s="6114"/>
      <c r="D5" s="6115"/>
    </row>
    <row r="6" spans="1:6" ht="13.5" customHeight="1">
      <c r="A6" s="14039" t="s">
        <v>4826</v>
      </c>
      <c r="B6" s="14040"/>
      <c r="C6" s="6116"/>
      <c r="D6" s="6115"/>
    </row>
    <row r="7" spans="1:6" ht="13.5" customHeight="1">
      <c r="A7" s="6117"/>
      <c r="B7" s="6113"/>
      <c r="C7" s="6118"/>
      <c r="D7" s="6115"/>
    </row>
    <row r="8" spans="1:6" ht="13.5" customHeight="1">
      <c r="A8" s="6119" t="s">
        <v>329</v>
      </c>
      <c r="B8" s="6113"/>
      <c r="C8" s="6118" t="s">
        <v>568</v>
      </c>
      <c r="D8" s="6115">
        <f>summary!J61</f>
        <v>404379576.20000005</v>
      </c>
    </row>
    <row r="9" spans="1:6" ht="13.5" customHeight="1">
      <c r="A9" s="6119" t="s">
        <v>1722</v>
      </c>
      <c r="B9" s="6113"/>
      <c r="C9" s="6118" t="s">
        <v>568</v>
      </c>
      <c r="D9" s="6115">
        <f>summary!J62</f>
        <v>120267144.05000001</v>
      </c>
    </row>
    <row r="10" spans="1:6" ht="13.5" customHeight="1">
      <c r="A10" s="6119" t="s">
        <v>1721</v>
      </c>
      <c r="B10" s="6113"/>
      <c r="C10" s="6118" t="s">
        <v>568</v>
      </c>
      <c r="D10" s="6115">
        <f>summary!J63</f>
        <v>22180000</v>
      </c>
    </row>
    <row r="11" spans="1:6" ht="13.5" customHeight="1">
      <c r="A11" s="6119" t="s">
        <v>1720</v>
      </c>
      <c r="B11" s="6113"/>
      <c r="C11" s="6118" t="s">
        <v>568</v>
      </c>
      <c r="D11" s="6115">
        <f>summary!J64</f>
        <v>0</v>
      </c>
    </row>
    <row r="12" spans="1:6" ht="13.5" customHeight="1">
      <c r="A12" s="6120" t="s">
        <v>9334</v>
      </c>
      <c r="B12" s="6113"/>
      <c r="C12" s="6118" t="s">
        <v>568</v>
      </c>
      <c r="D12" s="6121">
        <f>summary!C55+summary!C56</f>
        <v>29729493.324999772</v>
      </c>
    </row>
    <row r="13" spans="1:6" ht="13.5" customHeight="1">
      <c r="A13" s="6122"/>
      <c r="B13" s="6123" t="s">
        <v>182</v>
      </c>
      <c r="C13" s="6124"/>
      <c r="D13" s="6125">
        <f>SUM(D8:D12)</f>
        <v>576556213.57499981</v>
      </c>
      <c r="F13" s="6126">
        <f>SUM(D8:D11)</f>
        <v>546826720.25</v>
      </c>
    </row>
    <row r="14" spans="1:6" ht="13.5" customHeight="1" thickBot="1">
      <c r="A14" s="6127"/>
      <c r="B14" s="6128"/>
      <c r="C14" s="6129"/>
      <c r="D14" s="6130"/>
      <c r="F14" s="6126"/>
    </row>
    <row r="15" spans="1:6" ht="13.5" customHeight="1">
      <c r="A15" s="6122"/>
      <c r="B15" s="6104" t="s">
        <v>9</v>
      </c>
      <c r="C15" s="6124"/>
      <c r="D15" s="6131"/>
    </row>
    <row r="16" spans="1:6" ht="13.5" customHeight="1">
      <c r="A16" s="14041" t="s">
        <v>4830</v>
      </c>
      <c r="B16" s="14042"/>
      <c r="C16" s="6118"/>
      <c r="D16" s="6115"/>
    </row>
    <row r="17" spans="1:6" ht="13.5" customHeight="1">
      <c r="A17" s="6119"/>
      <c r="B17" s="6132" t="s">
        <v>4983</v>
      </c>
      <c r="C17" s="6118"/>
      <c r="D17" s="6115">
        <f>'lbpf 3-GO'!K129</f>
        <v>48900000</v>
      </c>
      <c r="F17" s="5787">
        <v>12000000</v>
      </c>
    </row>
    <row r="18" spans="1:6" ht="13.5" hidden="1" customHeight="1">
      <c r="A18" s="6119"/>
      <c r="B18" s="6113" t="s">
        <v>4984</v>
      </c>
      <c r="C18" s="6118"/>
      <c r="D18" s="6115">
        <f>'lbpf 3-SP'!K231</f>
        <v>0</v>
      </c>
      <c r="F18" s="6126">
        <v>33900000</v>
      </c>
    </row>
    <row r="19" spans="1:6" ht="13.5" customHeight="1">
      <c r="A19" s="6122"/>
      <c r="B19" s="6113"/>
      <c r="C19" s="6124"/>
      <c r="D19" s="6131"/>
      <c r="F19" s="6126"/>
    </row>
    <row r="20" spans="1:6" s="6137" customFormat="1" ht="13.5" customHeight="1">
      <c r="A20" s="6133" t="s">
        <v>325</v>
      </c>
      <c r="B20" s="6134"/>
      <c r="C20" s="6135"/>
      <c r="D20" s="6136"/>
    </row>
    <row r="21" spans="1:6" s="5798" customFormat="1" ht="13.5" customHeight="1">
      <c r="A21" s="6138"/>
      <c r="B21" s="5799" t="s">
        <v>336</v>
      </c>
      <c r="C21" s="6139" t="s">
        <v>568</v>
      </c>
      <c r="D21" s="6140">
        <f>'nonoff '!K26</f>
        <v>25000</v>
      </c>
    </row>
    <row r="22" spans="1:6" s="5798" customFormat="1" ht="13.5" customHeight="1">
      <c r="A22" s="6138"/>
      <c r="B22" s="5799" t="s">
        <v>337</v>
      </c>
      <c r="C22" s="6139" t="s">
        <v>568</v>
      </c>
      <c r="D22" s="6140">
        <f>'nonoff '!K27</f>
        <v>200000</v>
      </c>
    </row>
    <row r="23" spans="1:6" s="5798" customFormat="1" ht="13.5" customHeight="1">
      <c r="A23" s="6138"/>
      <c r="B23" s="5799" t="s">
        <v>338</v>
      </c>
      <c r="C23" s="6139" t="s">
        <v>568</v>
      </c>
      <c r="D23" s="6140">
        <f>'nonoff '!K28</f>
        <v>100000</v>
      </c>
    </row>
    <row r="24" spans="1:6" s="5798" customFormat="1" ht="13.5" hidden="1" customHeight="1">
      <c r="A24" s="6138"/>
      <c r="B24" s="5799" t="s">
        <v>339</v>
      </c>
      <c r="C24" s="6139" t="s">
        <v>568</v>
      </c>
      <c r="D24" s="6140">
        <f>'nonoff '!K29</f>
        <v>0</v>
      </c>
    </row>
    <row r="25" spans="1:6" s="5798" customFormat="1" ht="13.5" customHeight="1">
      <c r="A25" s="6138"/>
      <c r="B25" s="5799" t="s">
        <v>340</v>
      </c>
      <c r="C25" s="6139" t="s">
        <v>568</v>
      </c>
      <c r="D25" s="6140">
        <f>'nonoff '!K30</f>
        <v>100000</v>
      </c>
    </row>
    <row r="26" spans="1:6" s="5798" customFormat="1" ht="13.5" customHeight="1">
      <c r="A26" s="6138"/>
      <c r="B26" s="5799" t="s">
        <v>341</v>
      </c>
      <c r="C26" s="6139" t="s">
        <v>568</v>
      </c>
      <c r="D26" s="6140">
        <f>'nonoff '!K31</f>
        <v>100000</v>
      </c>
    </row>
    <row r="27" spans="1:6" s="5798" customFormat="1" ht="13.5" customHeight="1">
      <c r="A27" s="6138"/>
      <c r="B27" s="5799" t="s">
        <v>342</v>
      </c>
      <c r="C27" s="6139" t="s">
        <v>568</v>
      </c>
      <c r="D27" s="6140">
        <f>'nonoff '!K32</f>
        <v>100000</v>
      </c>
    </row>
    <row r="28" spans="1:6" s="5798" customFormat="1" ht="13.5" customHeight="1">
      <c r="A28" s="6138"/>
      <c r="B28" s="5799" t="s">
        <v>343</v>
      </c>
      <c r="C28" s="6139" t="s">
        <v>568</v>
      </c>
      <c r="D28" s="6140">
        <f>'nonoff '!K33</f>
        <v>100000</v>
      </c>
    </row>
    <row r="29" spans="1:6" s="5798" customFormat="1" ht="13.5" customHeight="1">
      <c r="A29" s="6138"/>
      <c r="B29" s="5799" t="s">
        <v>344</v>
      </c>
      <c r="C29" s="6139" t="s">
        <v>568</v>
      </c>
      <c r="D29" s="6140">
        <f>'nonoff '!K34</f>
        <v>100000</v>
      </c>
    </row>
    <row r="30" spans="1:6" s="5798" customFormat="1" ht="13.5" customHeight="1">
      <c r="A30" s="6120"/>
      <c r="B30" s="5799" t="s">
        <v>356</v>
      </c>
      <c r="C30" s="6141" t="s">
        <v>568</v>
      </c>
      <c r="D30" s="6142">
        <f>'nonoff '!K35</f>
        <v>250000</v>
      </c>
    </row>
    <row r="31" spans="1:6" s="5798" customFormat="1" ht="13.5" customHeight="1">
      <c r="A31" s="6120"/>
      <c r="B31" s="5799" t="s">
        <v>357</v>
      </c>
      <c r="C31" s="6141" t="s">
        <v>568</v>
      </c>
      <c r="D31" s="6142">
        <f>'nonoff '!K36</f>
        <v>250000</v>
      </c>
    </row>
    <row r="32" spans="1:6" s="5798" customFormat="1" ht="13.5" customHeight="1">
      <c r="A32" s="6120"/>
      <c r="B32" s="5799" t="s">
        <v>358</v>
      </c>
      <c r="C32" s="6141" t="s">
        <v>568</v>
      </c>
      <c r="D32" s="6142">
        <f>'nonoff '!K37</f>
        <v>700000</v>
      </c>
    </row>
    <row r="33" spans="1:4" s="5798" customFormat="1" ht="13.5" customHeight="1">
      <c r="A33" s="6120"/>
      <c r="B33" s="5799" t="s">
        <v>359</v>
      </c>
      <c r="C33" s="6141" t="s">
        <v>568</v>
      </c>
      <c r="D33" s="6142">
        <f>'nonoff '!K38</f>
        <v>0</v>
      </c>
    </row>
    <row r="34" spans="1:4" s="5798" customFormat="1" ht="13.5" hidden="1" customHeight="1">
      <c r="A34" s="6120"/>
      <c r="B34" s="5799" t="s">
        <v>360</v>
      </c>
      <c r="C34" s="6141" t="s">
        <v>568</v>
      </c>
      <c r="D34" s="6142">
        <f>'nonoff '!K39</f>
        <v>0</v>
      </c>
    </row>
    <row r="35" spans="1:4" s="5798" customFormat="1" ht="13.5" customHeight="1">
      <c r="A35" s="6120"/>
      <c r="B35" s="5799" t="s">
        <v>362</v>
      </c>
      <c r="C35" s="6141" t="s">
        <v>568</v>
      </c>
      <c r="D35" s="6142">
        <f>'nonoff '!K49</f>
        <v>200000</v>
      </c>
    </row>
    <row r="36" spans="1:4" s="5798" customFormat="1" ht="13.5" customHeight="1">
      <c r="A36" s="6138"/>
      <c r="B36" s="5799" t="s">
        <v>4740</v>
      </c>
      <c r="C36" s="6141" t="s">
        <v>568</v>
      </c>
      <c r="D36" s="6142">
        <f>'nonoff '!K50</f>
        <v>0</v>
      </c>
    </row>
    <row r="37" spans="1:4" s="5798" customFormat="1" ht="13.5" customHeight="1">
      <c r="A37" s="6138"/>
      <c r="B37" s="5799" t="s">
        <v>364</v>
      </c>
      <c r="C37" s="6141" t="s">
        <v>568</v>
      </c>
      <c r="D37" s="6142">
        <f>'nonoff '!K51</f>
        <v>100000</v>
      </c>
    </row>
    <row r="38" spans="1:4" s="5798" customFormat="1" ht="13.5" customHeight="1">
      <c r="A38" s="6138"/>
      <c r="B38" s="6143" t="s">
        <v>9150</v>
      </c>
      <c r="C38" s="6141" t="s">
        <v>568</v>
      </c>
      <c r="D38" s="6142">
        <f>'nonoff '!K53</f>
        <v>200000</v>
      </c>
    </row>
    <row r="39" spans="1:4" s="5798" customFormat="1" ht="13.5" customHeight="1">
      <c r="A39" s="6138"/>
      <c r="B39" s="5799" t="s">
        <v>345</v>
      </c>
      <c r="C39" s="6139" t="s">
        <v>568</v>
      </c>
      <c r="D39" s="6140">
        <f>'nonoff '!K54</f>
        <v>30000</v>
      </c>
    </row>
    <row r="40" spans="1:4" s="5798" customFormat="1" ht="13.5" customHeight="1">
      <c r="A40" s="6138"/>
      <c r="B40" s="5799" t="s">
        <v>9158</v>
      </c>
      <c r="C40" s="6139" t="s">
        <v>568</v>
      </c>
      <c r="D40" s="6140">
        <f>'nonoff '!K55</f>
        <v>100000</v>
      </c>
    </row>
    <row r="41" spans="1:4" s="5798" customFormat="1" ht="13.5" customHeight="1">
      <c r="A41" s="6138"/>
      <c r="B41" s="5799" t="s">
        <v>346</v>
      </c>
      <c r="C41" s="6139" t="s">
        <v>568</v>
      </c>
      <c r="D41" s="6140">
        <f>'nonoff '!K56</f>
        <v>350000</v>
      </c>
    </row>
    <row r="42" spans="1:4" s="5798" customFormat="1" ht="13.5" customHeight="1">
      <c r="A42" s="6138"/>
      <c r="B42" s="5799" t="s">
        <v>351</v>
      </c>
      <c r="C42" s="6139" t="s">
        <v>568</v>
      </c>
      <c r="D42" s="6140">
        <f>'nonoff '!K57</f>
        <v>3308000</v>
      </c>
    </row>
    <row r="43" spans="1:4" s="5798" customFormat="1" ht="13.5" customHeight="1">
      <c r="A43" s="6138"/>
      <c r="B43" s="5799" t="s">
        <v>347</v>
      </c>
      <c r="C43" s="6139" t="s">
        <v>4828</v>
      </c>
      <c r="D43" s="6140"/>
    </row>
    <row r="44" spans="1:4" s="5798" customFormat="1" ht="13.5" customHeight="1">
      <c r="A44" s="6138"/>
      <c r="B44" s="5799" t="s">
        <v>4717</v>
      </c>
      <c r="C44" s="6139"/>
      <c r="D44" s="6140">
        <f>'nonoff '!K59</f>
        <v>1870000</v>
      </c>
    </row>
    <row r="45" spans="1:4" s="5798" customFormat="1" ht="13.5" customHeight="1">
      <c r="A45" s="6138"/>
      <c r="B45" s="5799" t="s">
        <v>348</v>
      </c>
      <c r="C45" s="6139" t="s">
        <v>4829</v>
      </c>
      <c r="D45" s="6140">
        <f>'nonoff '!K60</f>
        <v>1462087.5</v>
      </c>
    </row>
    <row r="46" spans="1:4" s="5798" customFormat="1" ht="13.5" customHeight="1">
      <c r="A46" s="6138"/>
      <c r="B46" s="5799" t="s">
        <v>349</v>
      </c>
      <c r="C46" s="6139" t="s">
        <v>4827</v>
      </c>
      <c r="D46" s="6140">
        <f>'nonoff '!K61</f>
        <v>0</v>
      </c>
    </row>
    <row r="47" spans="1:4" s="5798" customFormat="1" ht="13.5" customHeight="1">
      <c r="A47" s="6138"/>
      <c r="B47" s="5799" t="s">
        <v>350</v>
      </c>
      <c r="C47" s="6139" t="s">
        <v>4829</v>
      </c>
      <c r="D47" s="6140">
        <f>'nonoff '!K62</f>
        <v>500000</v>
      </c>
    </row>
    <row r="48" spans="1:4" s="5798" customFormat="1" ht="13.5" customHeight="1">
      <c r="A48" s="6144"/>
      <c r="B48" s="5901" t="s">
        <v>10078</v>
      </c>
      <c r="C48" s="6145"/>
      <c r="D48" s="6140">
        <f>'nonoff '!K63</f>
        <v>100000</v>
      </c>
    </row>
    <row r="49" spans="1:4" s="5798" customFormat="1" ht="13.5" customHeight="1">
      <c r="A49" s="6144"/>
      <c r="B49" s="5902" t="s">
        <v>10100</v>
      </c>
      <c r="C49" s="6145"/>
      <c r="D49" s="6236">
        <f>'nonoff '!K64</f>
        <v>200000</v>
      </c>
    </row>
    <row r="50" spans="1:4" s="5798" customFormat="1" ht="13.5" customHeight="1">
      <c r="A50" s="6144"/>
      <c r="B50" s="6193" t="s">
        <v>10433</v>
      </c>
      <c r="C50" s="6145"/>
      <c r="D50" s="6146">
        <v>200000</v>
      </c>
    </row>
    <row r="51" spans="1:4" s="5796" customFormat="1" ht="13.5" customHeight="1">
      <c r="A51" s="6138"/>
      <c r="B51" s="5865" t="s">
        <v>182</v>
      </c>
      <c r="C51" s="6147"/>
      <c r="D51" s="6148">
        <f>SUM(D21:D50)</f>
        <v>10645087.5</v>
      </c>
    </row>
    <row r="52" spans="1:4" s="5796" customFormat="1" ht="13.5" customHeight="1">
      <c r="A52" s="6138"/>
      <c r="B52" s="5865"/>
      <c r="C52" s="6147"/>
      <c r="D52" s="6148"/>
    </row>
    <row r="53" spans="1:4" s="6152" customFormat="1" ht="13.5" customHeight="1">
      <c r="A53" s="6119" t="s">
        <v>1683</v>
      </c>
      <c r="B53" s="6149"/>
      <c r="C53" s="6150"/>
      <c r="D53" s="6151"/>
    </row>
    <row r="54" spans="1:4" s="5798" customFormat="1" ht="13.5" hidden="1" customHeight="1">
      <c r="A54" s="6153"/>
      <c r="B54" s="5799" t="s">
        <v>365</v>
      </c>
      <c r="C54" s="6141" t="s">
        <v>568</v>
      </c>
      <c r="D54" s="6142" t="str">
        <f>'nonoff '!K73</f>
        <v>transferred to EDC</v>
      </c>
    </row>
    <row r="55" spans="1:4" s="5798" customFormat="1" ht="13.5" hidden="1" customHeight="1">
      <c r="A55" s="6138"/>
      <c r="B55" s="5799" t="s">
        <v>3296</v>
      </c>
      <c r="C55" s="6141" t="s">
        <v>568</v>
      </c>
      <c r="D55" s="6142" t="str">
        <f>'nonoff '!K74</f>
        <v>transferred to EDC</v>
      </c>
    </row>
    <row r="56" spans="1:4" s="5798" customFormat="1" ht="13.5" customHeight="1">
      <c r="A56" s="6153"/>
      <c r="B56" s="5799" t="s">
        <v>366</v>
      </c>
      <c r="C56" s="6141" t="s">
        <v>568</v>
      </c>
      <c r="D56" s="6142">
        <f>'nonoff '!K77</f>
        <v>1000000</v>
      </c>
    </row>
    <row r="57" spans="1:4" s="5798" customFormat="1" ht="13.5" customHeight="1">
      <c r="A57" s="6153"/>
      <c r="B57" s="5799" t="s">
        <v>367</v>
      </c>
      <c r="C57" s="6141" t="s">
        <v>568</v>
      </c>
      <c r="D57" s="6115"/>
    </row>
    <row r="58" spans="1:4" s="5798" customFormat="1" ht="13.5" customHeight="1">
      <c r="A58" s="6154"/>
      <c r="B58" s="5799" t="s">
        <v>368</v>
      </c>
      <c r="C58" s="6141" t="s">
        <v>568</v>
      </c>
      <c r="D58" s="6140">
        <f>'nonoff '!K79</f>
        <v>30000000</v>
      </c>
    </row>
    <row r="59" spans="1:4" s="5798" customFormat="1" ht="13.5" customHeight="1">
      <c r="A59" s="6138"/>
      <c r="B59" s="5799" t="s">
        <v>9335</v>
      </c>
      <c r="C59" s="6141" t="s">
        <v>568</v>
      </c>
      <c r="D59" s="6140">
        <f>'nonoff '!K189</f>
        <v>10000000</v>
      </c>
    </row>
    <row r="60" spans="1:4" s="5798" customFormat="1" ht="13.5" customHeight="1">
      <c r="A60" s="6144"/>
      <c r="B60" s="5799" t="s">
        <v>9336</v>
      </c>
      <c r="C60" s="5874"/>
      <c r="D60" s="6155"/>
    </row>
    <row r="61" spans="1:4" s="5798" customFormat="1" ht="13.5" customHeight="1">
      <c r="A61" s="6154"/>
      <c r="B61" s="5799" t="s">
        <v>370</v>
      </c>
      <c r="C61" s="6141" t="s">
        <v>3316</v>
      </c>
      <c r="D61" s="6140">
        <f>'nonoff '!K80</f>
        <v>0</v>
      </c>
    </row>
    <row r="62" spans="1:4" s="5798" customFormat="1" ht="13.5" customHeight="1">
      <c r="A62" s="6154"/>
      <c r="B62" s="5799" t="s">
        <v>372</v>
      </c>
      <c r="C62" s="6141" t="s">
        <v>3316</v>
      </c>
      <c r="D62" s="6140">
        <f>'nonoff '!K81</f>
        <v>100000</v>
      </c>
    </row>
    <row r="63" spans="1:4" s="5798" customFormat="1" ht="13.5" customHeight="1">
      <c r="A63" s="6154"/>
      <c r="B63" s="5799" t="s">
        <v>373</v>
      </c>
      <c r="C63" s="6141" t="s">
        <v>4837</v>
      </c>
      <c r="D63" s="6140">
        <f>'nonoff '!K82</f>
        <v>0</v>
      </c>
    </row>
    <row r="64" spans="1:4" s="5798" customFormat="1" ht="13.5" customHeight="1">
      <c r="A64" s="6154"/>
      <c r="B64" s="6156" t="s">
        <v>3066</v>
      </c>
      <c r="C64" s="6141"/>
      <c r="D64" s="6140"/>
    </row>
    <row r="65" spans="1:4" s="5798" customFormat="1" ht="13.5" customHeight="1">
      <c r="A65" s="6120"/>
      <c r="B65" s="5799" t="s">
        <v>374</v>
      </c>
      <c r="C65" s="6141" t="s">
        <v>596</v>
      </c>
      <c r="D65" s="6140">
        <f>'nonoff '!K84</f>
        <v>100000</v>
      </c>
    </row>
    <row r="66" spans="1:4" s="5798" customFormat="1" ht="13.5" customHeight="1">
      <c r="A66" s="6154"/>
      <c r="B66" s="5799" t="s">
        <v>3298</v>
      </c>
      <c r="C66" s="6141" t="s">
        <v>596</v>
      </c>
      <c r="D66" s="6140">
        <f>'nonoff '!K85</f>
        <v>3000000</v>
      </c>
    </row>
    <row r="67" spans="1:4" s="5798" customFormat="1" ht="13.5" customHeight="1">
      <c r="A67" s="6138"/>
      <c r="B67" s="6170" t="s">
        <v>3302</v>
      </c>
      <c r="C67" s="6171" t="s">
        <v>2051</v>
      </c>
      <c r="D67" s="6140">
        <f>'nonoff '!K100</f>
        <v>2000000</v>
      </c>
    </row>
    <row r="68" spans="1:4" s="5798" customFormat="1" ht="13.5" customHeight="1">
      <c r="A68" s="6154"/>
      <c r="B68" s="6170" t="s">
        <v>3304</v>
      </c>
      <c r="C68" s="6171" t="s">
        <v>2051</v>
      </c>
      <c r="D68" s="6140">
        <f>'nonoff '!K112</f>
        <v>3000000</v>
      </c>
    </row>
    <row r="69" spans="1:4" s="5798" customFormat="1" ht="13.5" customHeight="1">
      <c r="A69" s="6154"/>
      <c r="B69" s="6170" t="s">
        <v>3305</v>
      </c>
      <c r="C69" s="6171" t="s">
        <v>2051</v>
      </c>
      <c r="D69" s="6140">
        <f>'nonoff '!K127</f>
        <v>1500000</v>
      </c>
    </row>
    <row r="70" spans="1:4" s="5798" customFormat="1" ht="13.5" customHeight="1" thickBot="1">
      <c r="A70" s="6154"/>
      <c r="B70" s="6170" t="s">
        <v>3306</v>
      </c>
      <c r="C70" s="6171" t="s">
        <v>2051</v>
      </c>
      <c r="D70" s="6140">
        <f>'nonoff '!K139</f>
        <v>4500000</v>
      </c>
    </row>
    <row r="71" spans="1:4" s="5798" customFormat="1" ht="13.5" customHeight="1">
      <c r="A71" s="6157"/>
      <c r="B71" s="6158"/>
      <c r="C71" s="6159"/>
      <c r="D71" s="6160"/>
    </row>
    <row r="72" spans="1:4" s="5798" customFormat="1" ht="13.5" customHeight="1">
      <c r="A72" s="6161"/>
      <c r="B72" s="6156"/>
      <c r="C72" s="5872"/>
      <c r="D72" s="5858"/>
    </row>
    <row r="73" spans="1:4" s="5798" customFormat="1" ht="13.5" customHeight="1">
      <c r="A73" s="6161"/>
      <c r="B73" s="6156"/>
      <c r="C73" s="5872"/>
      <c r="D73" s="5858"/>
    </row>
    <row r="74" spans="1:4" s="5798" customFormat="1" ht="13.5" customHeight="1">
      <c r="A74" s="6161"/>
      <c r="B74" s="6156"/>
      <c r="C74" s="5872"/>
      <c r="D74" s="5858"/>
    </row>
    <row r="75" spans="1:4" s="5798" customFormat="1" ht="13.5" customHeight="1">
      <c r="A75" s="6161"/>
      <c r="B75" s="6156"/>
      <c r="C75" s="5872"/>
      <c r="D75" s="5858"/>
    </row>
    <row r="76" spans="1:4" s="6166" customFormat="1" ht="13.5" customHeight="1" thickBot="1">
      <c r="A76" s="6162" t="s">
        <v>4832</v>
      </c>
      <c r="B76" s="6163"/>
      <c r="C76" s="6164"/>
      <c r="D76" s="6165"/>
    </row>
    <row r="77" spans="1:4" ht="13.5" customHeight="1" thickBot="1">
      <c r="A77" s="6109"/>
      <c r="B77" s="6110" t="s">
        <v>460</v>
      </c>
      <c r="C77" s="6110" t="s">
        <v>532</v>
      </c>
      <c r="D77" s="6111" t="s">
        <v>458</v>
      </c>
    </row>
    <row r="78" spans="1:4" ht="4.5" customHeight="1">
      <c r="A78" s="6112"/>
      <c r="B78" s="6167"/>
      <c r="C78" s="6168"/>
      <c r="D78" s="6169"/>
    </row>
    <row r="79" spans="1:4" s="5798" customFormat="1" ht="13.5" customHeight="1">
      <c r="A79" s="6154"/>
      <c r="B79" s="6170" t="s">
        <v>3392</v>
      </c>
      <c r="C79" s="6171" t="s">
        <v>2051</v>
      </c>
      <c r="D79" s="6140">
        <f>'nonoff '!K140</f>
        <v>3000000</v>
      </c>
    </row>
    <row r="80" spans="1:4" s="5798" customFormat="1" ht="13.5" customHeight="1">
      <c r="A80" s="6120"/>
      <c r="B80" s="6170" t="s">
        <v>3390</v>
      </c>
      <c r="C80" s="6171" t="s">
        <v>2051</v>
      </c>
      <c r="D80" s="6140">
        <f>'nonoff '!K154</f>
        <v>2900000</v>
      </c>
    </row>
    <row r="81" spans="1:6" s="5798" customFormat="1" ht="13.5" hidden="1" customHeight="1">
      <c r="A81" s="6120"/>
      <c r="B81" s="6170" t="s">
        <v>3391</v>
      </c>
      <c r="C81" s="6171" t="s">
        <v>2051</v>
      </c>
      <c r="D81" s="6140">
        <f>'nonoff '!K155</f>
        <v>0</v>
      </c>
    </row>
    <row r="82" spans="1:6" s="5798" customFormat="1" ht="13.5" customHeight="1">
      <c r="A82" s="5869"/>
      <c r="B82" s="5906" t="s">
        <v>10309</v>
      </c>
      <c r="C82" s="5876"/>
      <c r="D82" s="6140">
        <f>'nonoff '!K167</f>
        <v>900000</v>
      </c>
    </row>
    <row r="83" spans="1:6" s="5798" customFormat="1" ht="13.5" customHeight="1">
      <c r="A83" s="5869"/>
      <c r="B83" s="5906" t="s">
        <v>10310</v>
      </c>
      <c r="C83" s="5876"/>
      <c r="D83" s="6140"/>
    </row>
    <row r="84" spans="1:6" s="5798" customFormat="1" ht="13.5" customHeight="1">
      <c r="A84" s="6138"/>
      <c r="B84" s="5799" t="s">
        <v>4714</v>
      </c>
      <c r="C84" s="6171" t="s">
        <v>2051</v>
      </c>
      <c r="D84" s="6140">
        <f>'nonoff '!K169</f>
        <v>400000</v>
      </c>
    </row>
    <row r="85" spans="1:6" s="5798" customFormat="1" ht="13.5" customHeight="1">
      <c r="A85" s="6138"/>
      <c r="B85" s="5799" t="s">
        <v>4734</v>
      </c>
      <c r="C85" s="6141" t="s">
        <v>4838</v>
      </c>
      <c r="D85" s="6140">
        <f>'nonoff '!K190</f>
        <v>0</v>
      </c>
    </row>
    <row r="86" spans="1:6" s="5798" customFormat="1" ht="13.5" hidden="1" customHeight="1">
      <c r="A86" s="6120"/>
      <c r="B86" s="5799" t="s">
        <v>353</v>
      </c>
      <c r="C86" s="6141" t="s">
        <v>4838</v>
      </c>
      <c r="D86" s="6115">
        <v>0</v>
      </c>
    </row>
    <row r="87" spans="1:6" s="5798" customFormat="1" ht="13.5" customHeight="1">
      <c r="A87" s="6120"/>
      <c r="B87" s="5799" t="s">
        <v>355</v>
      </c>
      <c r="C87" s="6141" t="s">
        <v>4838</v>
      </c>
      <c r="D87" s="6115">
        <f>'nonoff '!K202</f>
        <v>0</v>
      </c>
      <c r="F87" s="5813"/>
    </row>
    <row r="88" spans="1:6" s="5798" customFormat="1" ht="13.5" customHeight="1">
      <c r="A88" s="5869"/>
      <c r="B88" s="5799" t="s">
        <v>9120</v>
      </c>
      <c r="C88" s="5874" t="s">
        <v>581</v>
      </c>
      <c r="D88" s="6115">
        <f>'nonoff '!K203</f>
        <v>5000000</v>
      </c>
    </row>
    <row r="89" spans="1:6" s="5798" customFormat="1" ht="13.5" customHeight="1">
      <c r="A89" s="5869"/>
      <c r="B89" s="5907" t="s">
        <v>10311</v>
      </c>
      <c r="C89" s="5874"/>
      <c r="D89" s="6115">
        <f>'nonoff '!K214</f>
        <v>0</v>
      </c>
    </row>
    <row r="90" spans="1:6" s="5798" customFormat="1" ht="13.5" customHeight="1">
      <c r="A90" s="5869"/>
      <c r="B90" s="5905" t="s">
        <v>10301</v>
      </c>
      <c r="C90" s="5874"/>
      <c r="D90" s="6115">
        <f>'nonoff '!K215</f>
        <v>0</v>
      </c>
    </row>
    <row r="91" spans="1:6" s="5798" customFormat="1" ht="13.5" customHeight="1">
      <c r="A91" s="5869"/>
      <c r="B91" s="5799" t="s">
        <v>4955</v>
      </c>
      <c r="C91" s="5874" t="s">
        <v>568</v>
      </c>
      <c r="D91" s="6115">
        <f>'nonoff '!K216</f>
        <v>0</v>
      </c>
    </row>
    <row r="92" spans="1:6" s="5798" customFormat="1" ht="13.5" customHeight="1">
      <c r="A92" s="6138"/>
      <c r="B92" s="5799" t="s">
        <v>3284</v>
      </c>
      <c r="C92" s="6171" t="s">
        <v>568</v>
      </c>
      <c r="D92" s="6115">
        <f>'nonoff '!K223</f>
        <v>3500000</v>
      </c>
    </row>
    <row r="93" spans="1:6" s="5798" customFormat="1" ht="13.5" customHeight="1">
      <c r="A93" s="6138"/>
      <c r="B93" s="5799" t="s">
        <v>3285</v>
      </c>
      <c r="C93" s="6171" t="s">
        <v>568</v>
      </c>
      <c r="D93" s="6115">
        <f>'nonoff '!K224</f>
        <v>1500000</v>
      </c>
    </row>
    <row r="94" spans="1:6" s="5798" customFormat="1" ht="13.5" customHeight="1">
      <c r="A94" s="6120"/>
      <c r="B94" s="5799" t="s">
        <v>379</v>
      </c>
      <c r="C94" s="6171" t="s">
        <v>568</v>
      </c>
      <c r="D94" s="6172">
        <f>'nonoff '!K225</f>
        <v>3500000</v>
      </c>
    </row>
    <row r="95" spans="1:6" s="5798" customFormat="1" ht="13.5" hidden="1" customHeight="1">
      <c r="A95" s="5869"/>
      <c r="B95" s="5799" t="s">
        <v>10158</v>
      </c>
      <c r="C95" s="5874"/>
      <c r="D95" s="6115">
        <f>'nonoff '!K217</f>
        <v>0</v>
      </c>
    </row>
    <row r="96" spans="1:6" s="5796" customFormat="1" ht="13.5" customHeight="1">
      <c r="A96" s="6120"/>
      <c r="B96" s="5865" t="s">
        <v>182</v>
      </c>
      <c r="C96" s="6173"/>
      <c r="D96" s="6174">
        <f>SUM(D54:D95)</f>
        <v>75900000</v>
      </c>
      <c r="F96" s="5797"/>
    </row>
    <row r="97" spans="1:4" s="6152" customFormat="1" ht="13.5" customHeight="1">
      <c r="A97" s="6119" t="s">
        <v>1685</v>
      </c>
      <c r="B97" s="6149"/>
      <c r="C97" s="6150"/>
      <c r="D97" s="6175"/>
    </row>
    <row r="98" spans="1:4" s="5796" customFormat="1" ht="13.5" customHeight="1">
      <c r="A98" s="6154"/>
      <c r="B98" s="5799" t="s">
        <v>10312</v>
      </c>
      <c r="C98" s="6139" t="s">
        <v>568</v>
      </c>
      <c r="D98" s="6115">
        <f>'nonoff '!K249</f>
        <v>1000000</v>
      </c>
    </row>
    <row r="99" spans="1:4" s="5798" customFormat="1" ht="13.5" customHeight="1">
      <c r="A99" s="6120"/>
      <c r="B99" s="5799" t="s">
        <v>376</v>
      </c>
      <c r="C99" s="6139" t="s">
        <v>568</v>
      </c>
      <c r="D99" s="6115">
        <f>'nonoff '!K250</f>
        <v>0</v>
      </c>
    </row>
    <row r="100" spans="1:4" s="5798" customFormat="1" ht="13.5" customHeight="1">
      <c r="A100" s="6120"/>
      <c r="B100" s="5799" t="s">
        <v>377</v>
      </c>
      <c r="C100" s="6139" t="s">
        <v>568</v>
      </c>
      <c r="D100" s="6115">
        <f>'nonoff '!K251</f>
        <v>2000000</v>
      </c>
    </row>
    <row r="101" spans="1:4" s="5798" customFormat="1" ht="13.5" customHeight="1">
      <c r="A101" s="6120"/>
      <c r="B101" s="5799" t="s">
        <v>836</v>
      </c>
      <c r="C101" s="6139" t="s">
        <v>568</v>
      </c>
      <c r="D101" s="6115">
        <f>'nonoff '!K252</f>
        <v>200000</v>
      </c>
    </row>
    <row r="102" spans="1:4" s="5798" customFormat="1" ht="13.5" customHeight="1">
      <c r="A102" s="6120"/>
      <c r="B102" s="5799" t="s">
        <v>381</v>
      </c>
      <c r="C102" s="6139" t="s">
        <v>568</v>
      </c>
      <c r="D102" s="6115">
        <f>'lbpf 3-PYDO'!K77</f>
        <v>2400000</v>
      </c>
    </row>
    <row r="103" spans="1:4" s="5798" customFormat="1" ht="13.5" customHeight="1">
      <c r="A103" s="6120"/>
      <c r="B103" s="5799" t="s">
        <v>4739</v>
      </c>
      <c r="C103" s="6139" t="s">
        <v>568</v>
      </c>
      <c r="D103" s="6115">
        <f>'lbpf 3-PYDO'!K78</f>
        <v>2000000</v>
      </c>
    </row>
    <row r="104" spans="1:4" s="5798" customFormat="1" ht="13.5" customHeight="1">
      <c r="A104" s="6120"/>
      <c r="B104" s="5799" t="s">
        <v>835</v>
      </c>
      <c r="C104" s="6139" t="s">
        <v>568</v>
      </c>
      <c r="D104" s="6115">
        <f>'lbpf 3-PYDO'!K79</f>
        <v>2400000</v>
      </c>
    </row>
    <row r="105" spans="1:4" s="5798" customFormat="1" ht="13.5" customHeight="1">
      <c r="A105" s="6120"/>
      <c r="B105" s="5799" t="s">
        <v>382</v>
      </c>
      <c r="C105" s="6139" t="s">
        <v>568</v>
      </c>
      <c r="D105" s="6115">
        <f>'lbpf 3-PYDO'!K80</f>
        <v>0</v>
      </c>
    </row>
    <row r="106" spans="1:4" ht="13.5" customHeight="1">
      <c r="A106" s="6119"/>
      <c r="B106" s="6176" t="s">
        <v>4986</v>
      </c>
      <c r="C106" s="6118" t="s">
        <v>2051</v>
      </c>
      <c r="D106" s="6115">
        <f>'nonoff '!K257</f>
        <v>475000</v>
      </c>
    </row>
    <row r="107" spans="1:4" s="6180" customFormat="1" ht="13.5" customHeight="1">
      <c r="A107" s="6177"/>
      <c r="B107" s="6178" t="s">
        <v>4987</v>
      </c>
      <c r="C107" s="6179"/>
      <c r="D107" s="6115">
        <f>'nonoff '!K258</f>
        <v>0</v>
      </c>
    </row>
    <row r="108" spans="1:4" s="5798" customFormat="1" ht="13.5" customHeight="1">
      <c r="A108" s="5869"/>
      <c r="B108" s="6170" t="s">
        <v>3388</v>
      </c>
      <c r="C108" s="5876" t="s">
        <v>578</v>
      </c>
      <c r="D108" s="6115">
        <f>'nonoff '!K259</f>
        <v>5878700</v>
      </c>
    </row>
    <row r="109" spans="1:4" s="5798" customFormat="1" ht="13.5" customHeight="1">
      <c r="A109" s="5869"/>
      <c r="B109" s="6176" t="s">
        <v>10102</v>
      </c>
      <c r="C109" s="5876" t="s">
        <v>578</v>
      </c>
      <c r="D109" s="6115">
        <f>'nonoff '!K277</f>
        <v>3500000</v>
      </c>
    </row>
    <row r="110" spans="1:4" s="5798" customFormat="1" ht="13.5" customHeight="1">
      <c r="A110" s="5869"/>
      <c r="B110" s="6176" t="s">
        <v>9996</v>
      </c>
      <c r="C110" s="5876" t="s">
        <v>578</v>
      </c>
      <c r="D110" s="6115">
        <f>'nonoff '!K294</f>
        <v>1300000</v>
      </c>
    </row>
    <row r="111" spans="1:4" s="5798" customFormat="1" ht="13.5" customHeight="1">
      <c r="A111" s="5869"/>
      <c r="B111" s="6176" t="s">
        <v>9997</v>
      </c>
      <c r="C111" s="5876" t="s">
        <v>578</v>
      </c>
      <c r="D111" s="6115">
        <f>'nonoff '!K295</f>
        <v>200000</v>
      </c>
    </row>
    <row r="112" spans="1:4" s="5798" customFormat="1" ht="13.5" customHeight="1">
      <c r="A112" s="5869"/>
      <c r="B112" s="6176" t="s">
        <v>9998</v>
      </c>
      <c r="C112" s="5876" t="s">
        <v>578</v>
      </c>
      <c r="D112" s="6115">
        <f>'nonoff '!K296</f>
        <v>150000</v>
      </c>
    </row>
    <row r="113" spans="1:4" s="5798" customFormat="1" ht="13.5" customHeight="1">
      <c r="A113" s="5869"/>
      <c r="B113" s="6170" t="s">
        <v>3303</v>
      </c>
      <c r="C113" s="5876" t="s">
        <v>578</v>
      </c>
      <c r="D113" s="6115">
        <f>'nonoff '!K297</f>
        <v>0</v>
      </c>
    </row>
    <row r="114" spans="1:4" s="5798" customFormat="1" ht="13.5" customHeight="1">
      <c r="A114" s="6120"/>
      <c r="B114" s="6170" t="s">
        <v>3389</v>
      </c>
      <c r="C114" s="6171" t="s">
        <v>568</v>
      </c>
      <c r="D114" s="6115">
        <f>'nonoff '!K299</f>
        <v>11900000</v>
      </c>
    </row>
    <row r="115" spans="1:4" s="5798" customFormat="1" ht="13.5" customHeight="1">
      <c r="A115" s="6138"/>
      <c r="B115" s="5799" t="s">
        <v>4745</v>
      </c>
      <c r="C115" s="6171" t="s">
        <v>568</v>
      </c>
      <c r="D115" s="6115">
        <f>'nonoff '!K300</f>
        <v>0</v>
      </c>
    </row>
    <row r="116" spans="1:4" s="5798" customFormat="1" ht="13.5" customHeight="1">
      <c r="A116" s="6120"/>
      <c r="B116" s="5799" t="s">
        <v>4718</v>
      </c>
      <c r="C116" s="6171" t="s">
        <v>568</v>
      </c>
      <c r="D116" s="6115">
        <f>'nonoff '!K301</f>
        <v>5000000</v>
      </c>
    </row>
    <row r="117" spans="1:4" s="5798" customFormat="1" ht="13.5" customHeight="1">
      <c r="A117" s="6138"/>
      <c r="B117" s="5799" t="s">
        <v>4707</v>
      </c>
      <c r="C117" s="6171" t="s">
        <v>568</v>
      </c>
      <c r="D117" s="6115">
        <f>'nonoff '!K302</f>
        <v>4000000</v>
      </c>
    </row>
    <row r="118" spans="1:4" s="5798" customFormat="1" ht="13.5" customHeight="1">
      <c r="A118" s="6120"/>
      <c r="B118" s="5799" t="s">
        <v>380</v>
      </c>
      <c r="C118" s="6171" t="s">
        <v>568</v>
      </c>
      <c r="D118" s="6115">
        <f>'nonoff '!K303</f>
        <v>3500000</v>
      </c>
    </row>
    <row r="119" spans="1:4" s="5798" customFormat="1" ht="13.5" customHeight="1">
      <c r="A119" s="6138"/>
      <c r="B119" s="5799" t="s">
        <v>4716</v>
      </c>
      <c r="C119" s="6171" t="s">
        <v>568</v>
      </c>
      <c r="D119" s="6115">
        <f>'nonoff '!K312</f>
        <v>3000000</v>
      </c>
    </row>
    <row r="120" spans="1:4" s="5798" customFormat="1" ht="13.5" customHeight="1">
      <c r="A120" s="6138"/>
      <c r="B120" s="5799" t="s">
        <v>386</v>
      </c>
      <c r="C120" s="6141" t="s">
        <v>568</v>
      </c>
      <c r="D120" s="6115">
        <f>'nonoff '!K313</f>
        <v>0</v>
      </c>
    </row>
    <row r="121" spans="1:4" s="5798" customFormat="1" ht="13.5" customHeight="1">
      <c r="A121" s="6138"/>
      <c r="B121" s="5799" t="s">
        <v>3291</v>
      </c>
      <c r="C121" s="6141" t="s">
        <v>568</v>
      </c>
      <c r="D121" s="6115">
        <f>'nonoff '!K314</f>
        <v>500000</v>
      </c>
    </row>
    <row r="122" spans="1:4" s="5798" customFormat="1" ht="13.5" customHeight="1">
      <c r="A122" s="6138"/>
      <c r="B122" s="5799" t="s">
        <v>4746</v>
      </c>
      <c r="C122" s="6141" t="s">
        <v>568</v>
      </c>
      <c r="D122" s="6115">
        <f>'nonoff '!K315</f>
        <v>750000</v>
      </c>
    </row>
    <row r="123" spans="1:4" s="5798" customFormat="1" ht="27" customHeight="1">
      <c r="A123" s="6144"/>
      <c r="B123" s="6181" t="s">
        <v>10093</v>
      </c>
      <c r="C123" s="5874" t="s">
        <v>568</v>
      </c>
      <c r="D123" s="6182">
        <f>'nonoff '!K338</f>
        <v>4000000</v>
      </c>
    </row>
    <row r="124" spans="1:4" s="5798" customFormat="1" ht="13.5" hidden="1" customHeight="1">
      <c r="A124" s="6144"/>
      <c r="B124" s="6181" t="s">
        <v>10196</v>
      </c>
      <c r="C124" s="5874" t="s">
        <v>568</v>
      </c>
      <c r="D124" s="6182">
        <f>'nonoff '!K339</f>
        <v>0</v>
      </c>
    </row>
    <row r="125" spans="1:4" s="5798" customFormat="1" ht="13.5" hidden="1" customHeight="1">
      <c r="A125" s="6183"/>
      <c r="B125" s="6181" t="s">
        <v>10179</v>
      </c>
      <c r="C125" s="5874"/>
      <c r="D125" s="6182">
        <f>'nonoff '!K340</f>
        <v>0</v>
      </c>
    </row>
    <row r="126" spans="1:4" s="5798" customFormat="1" ht="13.5" hidden="1" customHeight="1">
      <c r="A126" s="6144"/>
      <c r="B126" s="6181" t="s">
        <v>10180</v>
      </c>
      <c r="C126" s="5874" t="s">
        <v>568</v>
      </c>
      <c r="D126" s="6182">
        <f>'nonoff '!K341</f>
        <v>0</v>
      </c>
    </row>
    <row r="127" spans="1:4" s="5798" customFormat="1" ht="13.5" hidden="1" customHeight="1">
      <c r="A127" s="6183"/>
      <c r="B127" s="6181" t="s">
        <v>10181</v>
      </c>
      <c r="C127" s="5874"/>
      <c r="D127" s="6182">
        <f>'nonoff '!K342</f>
        <v>0</v>
      </c>
    </row>
    <row r="128" spans="1:4" s="5798" customFormat="1" ht="13.5" hidden="1" customHeight="1">
      <c r="A128" s="6144"/>
      <c r="B128" s="6184" t="s">
        <v>10082</v>
      </c>
      <c r="C128" s="5874" t="s">
        <v>568</v>
      </c>
      <c r="D128" s="6182">
        <f>'nonoff '!K343</f>
        <v>0</v>
      </c>
    </row>
    <row r="129" spans="1:4" s="5798" customFormat="1" ht="13.5" hidden="1" customHeight="1">
      <c r="A129" s="6144"/>
      <c r="B129" s="6184" t="s">
        <v>10090</v>
      </c>
      <c r="C129" s="5874" t="s">
        <v>568</v>
      </c>
      <c r="D129" s="6182">
        <f>'nonoff '!K344</f>
        <v>0</v>
      </c>
    </row>
    <row r="130" spans="1:4" s="5798" customFormat="1" ht="13.5" hidden="1" customHeight="1">
      <c r="A130" s="6144"/>
      <c r="B130" s="5910" t="s">
        <v>10094</v>
      </c>
      <c r="C130" s="5874" t="s">
        <v>568</v>
      </c>
      <c r="D130" s="6182">
        <f>'nonoff '!K345</f>
        <v>0</v>
      </c>
    </row>
    <row r="131" spans="1:4" s="5798" customFormat="1" ht="13.5" hidden="1" customHeight="1">
      <c r="A131" s="6144"/>
      <c r="B131" s="6185" t="s">
        <v>10083</v>
      </c>
      <c r="C131" s="5874" t="s">
        <v>568</v>
      </c>
      <c r="D131" s="6182">
        <f>'nonoff '!K346</f>
        <v>0</v>
      </c>
    </row>
    <row r="132" spans="1:4" s="5798" customFormat="1" ht="13.5" hidden="1" customHeight="1">
      <c r="A132" s="6144"/>
      <c r="B132" s="6185" t="s">
        <v>10189</v>
      </c>
      <c r="C132" s="5874" t="s">
        <v>568</v>
      </c>
      <c r="D132" s="6182">
        <f>'nonoff '!K347</f>
        <v>0</v>
      </c>
    </row>
    <row r="133" spans="1:4" s="5798" customFormat="1" ht="13.5" hidden="1" customHeight="1">
      <c r="A133" s="6183"/>
      <c r="B133" s="5910" t="s">
        <v>10183</v>
      </c>
      <c r="C133" s="5874"/>
      <c r="D133" s="6182">
        <f>'nonoff '!K348</f>
        <v>0</v>
      </c>
    </row>
    <row r="134" spans="1:4" s="5798" customFormat="1" ht="13.5" hidden="1" customHeight="1">
      <c r="A134" s="6144"/>
      <c r="B134" s="6185" t="s">
        <v>10190</v>
      </c>
      <c r="C134" s="5874" t="s">
        <v>568</v>
      </c>
      <c r="D134" s="6182">
        <f>'nonoff '!K349</f>
        <v>0</v>
      </c>
    </row>
    <row r="135" spans="1:4" s="5798" customFormat="1" ht="13.5" hidden="1" customHeight="1">
      <c r="A135" s="6183"/>
      <c r="B135" s="5910" t="s">
        <v>10191</v>
      </c>
      <c r="C135" s="5874"/>
      <c r="D135" s="6182">
        <f>'nonoff '!K350</f>
        <v>0</v>
      </c>
    </row>
    <row r="136" spans="1:4" s="5798" customFormat="1" ht="14.25" hidden="1" customHeight="1">
      <c r="A136" s="6144"/>
      <c r="B136" s="6185" t="s">
        <v>10185</v>
      </c>
      <c r="C136" s="5874" t="s">
        <v>568</v>
      </c>
      <c r="D136" s="6182">
        <f>'nonoff '!K351</f>
        <v>0</v>
      </c>
    </row>
    <row r="137" spans="1:4" s="5798" customFormat="1" ht="12.75" hidden="1" customHeight="1">
      <c r="A137" s="6183"/>
      <c r="B137" s="5910" t="s">
        <v>10192</v>
      </c>
      <c r="C137" s="5874"/>
      <c r="D137" s="6182">
        <f>'nonoff '!K352</f>
        <v>0</v>
      </c>
    </row>
    <row r="138" spans="1:4" s="5798" customFormat="1" ht="15.75" hidden="1" customHeight="1">
      <c r="A138" s="6144"/>
      <c r="B138" s="6185" t="s">
        <v>10097</v>
      </c>
      <c r="C138" s="5874" t="s">
        <v>568</v>
      </c>
      <c r="D138" s="6182">
        <f>'nonoff '!K353</f>
        <v>0</v>
      </c>
    </row>
    <row r="139" spans="1:4" s="5798" customFormat="1" ht="15.75" hidden="1" customHeight="1">
      <c r="A139" s="6144"/>
      <c r="B139" s="6185" t="s">
        <v>10091</v>
      </c>
      <c r="C139" s="5874" t="s">
        <v>568</v>
      </c>
      <c r="D139" s="6182">
        <f>'nonoff '!K354</f>
        <v>0</v>
      </c>
    </row>
    <row r="140" spans="1:4" s="5798" customFormat="1" ht="15.75" hidden="1" customHeight="1">
      <c r="A140" s="6144"/>
      <c r="B140" s="6185" t="s">
        <v>10193</v>
      </c>
      <c r="C140" s="5874" t="s">
        <v>568</v>
      </c>
      <c r="D140" s="6182">
        <f>'nonoff '!K355</f>
        <v>0</v>
      </c>
    </row>
    <row r="141" spans="1:4" s="5798" customFormat="1" ht="13.5" hidden="1" customHeight="1">
      <c r="A141" s="6144"/>
      <c r="B141" s="5910" t="s">
        <v>10194</v>
      </c>
      <c r="C141" s="5874" t="s">
        <v>568</v>
      </c>
      <c r="D141" s="6182">
        <f>'nonoff '!K355</f>
        <v>0</v>
      </c>
    </row>
    <row r="142" spans="1:4" s="5798" customFormat="1" ht="13.5" hidden="1" customHeight="1">
      <c r="A142" s="6183" t="s">
        <v>168</v>
      </c>
      <c r="B142" s="5910" t="s">
        <v>10195</v>
      </c>
      <c r="C142" s="5874"/>
      <c r="D142" s="6182"/>
    </row>
    <row r="143" spans="1:4" s="5798" customFormat="1" ht="13.5" customHeight="1">
      <c r="A143" s="6144"/>
      <c r="B143" s="6185" t="s">
        <v>10099</v>
      </c>
      <c r="C143" s="5874" t="s">
        <v>568</v>
      </c>
      <c r="D143" s="6182">
        <f>'nonoff '!K377</f>
        <v>4000000</v>
      </c>
    </row>
    <row r="144" spans="1:4" s="5798" customFormat="1" ht="13.5" customHeight="1">
      <c r="A144" s="6144"/>
      <c r="B144" s="6181" t="s">
        <v>10084</v>
      </c>
      <c r="C144" s="5874" t="s">
        <v>568</v>
      </c>
      <c r="D144" s="6182">
        <f>'nonoff '!K378</f>
        <v>5000000</v>
      </c>
    </row>
    <row r="145" spans="1:4" s="5798" customFormat="1" ht="13.5" customHeight="1">
      <c r="A145" s="6144"/>
      <c r="B145" s="6181" t="s">
        <v>10085</v>
      </c>
      <c r="C145" s="5874" t="s">
        <v>568</v>
      </c>
      <c r="D145" s="6182">
        <f>'nonoff '!K379</f>
        <v>10000000</v>
      </c>
    </row>
    <row r="146" spans="1:4" s="5798" customFormat="1" ht="13.5" customHeight="1">
      <c r="A146" s="6144"/>
      <c r="B146" s="6181" t="s">
        <v>10086</v>
      </c>
      <c r="C146" s="5874" t="s">
        <v>568</v>
      </c>
      <c r="D146" s="6182">
        <f>'nonoff '!K380</f>
        <v>3000000</v>
      </c>
    </row>
    <row r="147" spans="1:4" s="5798" customFormat="1" ht="13.5" customHeight="1">
      <c r="A147" s="6144"/>
      <c r="B147" s="6181" t="s">
        <v>10087</v>
      </c>
      <c r="C147" s="5874" t="s">
        <v>568</v>
      </c>
      <c r="D147" s="6182">
        <f>'nonoff '!K381</f>
        <v>8000000</v>
      </c>
    </row>
    <row r="148" spans="1:4" s="5798" customFormat="1" ht="13.5" customHeight="1">
      <c r="A148" s="6144"/>
      <c r="B148" s="6185" t="s">
        <v>10101</v>
      </c>
      <c r="C148" s="5874" t="s">
        <v>568</v>
      </c>
      <c r="D148" s="6182">
        <f>'nonoff '!K382</f>
        <v>0</v>
      </c>
    </row>
    <row r="149" spans="1:4" s="5798" customFormat="1" ht="13.5" customHeight="1">
      <c r="A149" s="6144"/>
      <c r="B149" s="6185" t="s">
        <v>10118</v>
      </c>
      <c r="C149" s="5874" t="s">
        <v>568</v>
      </c>
      <c r="D149" s="6186">
        <f>'nonoff '!K383</f>
        <v>0</v>
      </c>
    </row>
    <row r="150" spans="1:4" s="5796" customFormat="1" ht="13.5" customHeight="1">
      <c r="A150" s="5869"/>
      <c r="B150" s="5865" t="s">
        <v>182</v>
      </c>
      <c r="C150" s="6187"/>
      <c r="D150" s="6188">
        <f>SUM(D98:D149)</f>
        <v>84153700</v>
      </c>
    </row>
    <row r="151" spans="1:4" ht="13.5" customHeight="1">
      <c r="A151" s="6122" t="s">
        <v>1686</v>
      </c>
      <c r="B151" s="6113"/>
      <c r="C151" s="6124"/>
      <c r="D151" s="6131"/>
    </row>
    <row r="152" spans="1:4" s="5798" customFormat="1" ht="13.5" customHeight="1">
      <c r="A152" s="5868"/>
      <c r="B152" s="5904" t="s">
        <v>3383</v>
      </c>
      <c r="C152" s="5874" t="s">
        <v>568</v>
      </c>
      <c r="D152" s="6155">
        <f>'nonoff '!K412</f>
        <v>500000</v>
      </c>
    </row>
    <row r="153" spans="1:4" s="5798" customFormat="1" ht="13.5" customHeight="1">
      <c r="A153" s="6144"/>
      <c r="B153" s="5900" t="s">
        <v>3382</v>
      </c>
      <c r="C153" s="5874" t="s">
        <v>568</v>
      </c>
      <c r="D153" s="6155">
        <f>'nonoff '!K413</f>
        <v>0</v>
      </c>
    </row>
    <row r="154" spans="1:4" s="5798" customFormat="1" ht="13.5" customHeight="1">
      <c r="A154" s="6144"/>
      <c r="B154" s="5881" t="s">
        <v>384</v>
      </c>
      <c r="C154" s="5874" t="s">
        <v>568</v>
      </c>
      <c r="D154" s="6155">
        <f>'nonoff '!K414</f>
        <v>3500000</v>
      </c>
    </row>
    <row r="155" spans="1:4" s="5798" customFormat="1" ht="13.5" customHeight="1">
      <c r="A155" s="5869"/>
      <c r="B155" s="5881" t="s">
        <v>385</v>
      </c>
      <c r="C155" s="6141" t="s">
        <v>568</v>
      </c>
      <c r="D155" s="6155">
        <f>'nonoff '!K415</f>
        <v>4000000</v>
      </c>
    </row>
    <row r="156" spans="1:4" s="5798" customFormat="1" ht="13.5" customHeight="1">
      <c r="A156" s="5869"/>
      <c r="B156" s="5881" t="s">
        <v>387</v>
      </c>
      <c r="C156" s="6141" t="s">
        <v>568</v>
      </c>
      <c r="D156" s="6155">
        <f>'nonoff '!K416</f>
        <v>1500000</v>
      </c>
    </row>
    <row r="157" spans="1:4" s="5798" customFormat="1" ht="13.5" customHeight="1">
      <c r="A157" s="6144"/>
      <c r="B157" s="5881" t="s">
        <v>10095</v>
      </c>
      <c r="C157" s="5874" t="s">
        <v>568</v>
      </c>
      <c r="D157" s="6155">
        <f>'nonoff '!K417</f>
        <v>1600000</v>
      </c>
    </row>
    <row r="158" spans="1:4" s="5798" customFormat="1" ht="13.5" customHeight="1">
      <c r="A158" s="6138"/>
      <c r="B158" s="5912" t="s">
        <v>9999</v>
      </c>
      <c r="C158" s="6141"/>
      <c r="D158" s="6155">
        <f>'nonoff '!K418</f>
        <v>0</v>
      </c>
    </row>
    <row r="159" spans="1:4" s="5798" customFormat="1" ht="13.5" customHeight="1">
      <c r="A159" s="6138"/>
      <c r="B159" s="5881" t="s">
        <v>3292</v>
      </c>
      <c r="C159" s="6141" t="s">
        <v>568</v>
      </c>
      <c r="D159" s="6155">
        <f>'nonoff '!K429</f>
        <v>0</v>
      </c>
    </row>
    <row r="160" spans="1:4" s="5798" customFormat="1" ht="13.5" customHeight="1">
      <c r="A160" s="6138"/>
      <c r="B160" s="5881" t="s">
        <v>4982</v>
      </c>
      <c r="C160" s="5874"/>
      <c r="D160" s="6146">
        <f>'nonoff '!K430</f>
        <v>0</v>
      </c>
    </row>
    <row r="161" spans="1:6" s="5796" customFormat="1" ht="13.5" customHeight="1" thickBot="1">
      <c r="A161" s="6144"/>
      <c r="B161" s="5865" t="s">
        <v>182</v>
      </c>
      <c r="C161" s="5814"/>
      <c r="D161" s="6188">
        <f>SUM(D152:D160)</f>
        <v>11100000</v>
      </c>
      <c r="F161" s="5797">
        <f>D13+D51+D96+D150+D161</f>
        <v>758355001.07499981</v>
      </c>
    </row>
    <row r="162" spans="1:6" s="5798" customFormat="1" ht="13.5" customHeight="1">
      <c r="A162" s="6189"/>
      <c r="B162" s="6190"/>
      <c r="C162" s="6191"/>
      <c r="D162" s="6192"/>
    </row>
    <row r="163" spans="1:6" s="5798" customFormat="1" ht="13.5" customHeight="1">
      <c r="A163" s="5806"/>
      <c r="B163" s="6193"/>
      <c r="C163" s="5872"/>
      <c r="D163" s="5786"/>
    </row>
    <row r="164" spans="1:6" s="5798" customFormat="1" ht="13.5" customHeight="1">
      <c r="A164" s="5806"/>
      <c r="B164" s="6193"/>
      <c r="C164" s="5872"/>
      <c r="D164" s="5786"/>
    </row>
    <row r="165" spans="1:6" s="5798" customFormat="1" ht="13.5" customHeight="1">
      <c r="A165" s="5806"/>
      <c r="B165" s="6193"/>
      <c r="C165" s="5872"/>
      <c r="D165" s="5786"/>
    </row>
    <row r="166" spans="1:6" s="5798" customFormat="1" ht="13.5" customHeight="1">
      <c r="A166" s="5806"/>
      <c r="B166" s="6193"/>
      <c r="C166" s="5872"/>
      <c r="D166" s="5786"/>
    </row>
    <row r="167" spans="1:6" s="5798" customFormat="1" ht="13.5" customHeight="1">
      <c r="A167" s="5806"/>
      <c r="B167" s="6193"/>
      <c r="C167" s="5872"/>
      <c r="D167" s="5786"/>
    </row>
    <row r="168" spans="1:6" s="6166" customFormat="1" ht="13.5" customHeight="1" thickBot="1">
      <c r="A168" s="6162" t="s">
        <v>4831</v>
      </c>
      <c r="B168" s="6163"/>
      <c r="C168" s="6164"/>
      <c r="D168" s="6165"/>
    </row>
    <row r="169" spans="1:6" ht="13.5" customHeight="1" thickBot="1">
      <c r="A169" s="6109"/>
      <c r="B169" s="6110" t="s">
        <v>460</v>
      </c>
      <c r="C169" s="6110" t="s">
        <v>532</v>
      </c>
      <c r="D169" s="6111" t="s">
        <v>458</v>
      </c>
    </row>
    <row r="170" spans="1:6" s="5798" customFormat="1" ht="13.5" hidden="1" customHeight="1">
      <c r="A170" s="6144"/>
      <c r="B170" s="5799" t="s">
        <v>9337</v>
      </c>
      <c r="C170" s="5874" t="s">
        <v>568</v>
      </c>
      <c r="D170" s="6155">
        <v>0</v>
      </c>
    </row>
    <row r="171" spans="1:6" s="5796" customFormat="1" ht="6" customHeight="1">
      <c r="A171" s="5869"/>
      <c r="B171" s="5865"/>
      <c r="C171" s="6187"/>
      <c r="D171" s="6188"/>
    </row>
    <row r="172" spans="1:6" s="5796" customFormat="1" ht="6" customHeight="1">
      <c r="A172" s="6144"/>
      <c r="B172" s="5865"/>
      <c r="C172" s="5814"/>
      <c r="D172" s="6188"/>
    </row>
    <row r="173" spans="1:6" s="5798" customFormat="1" ht="13.5" customHeight="1">
      <c r="A173" s="6194" t="s">
        <v>4836</v>
      </c>
      <c r="B173" s="6195"/>
      <c r="C173" s="5874"/>
      <c r="D173" s="6155"/>
      <c r="F173" s="5813"/>
    </row>
    <row r="174" spans="1:6" ht="13.5" customHeight="1">
      <c r="A174" s="6122"/>
      <c r="B174" s="6196" t="s">
        <v>3482</v>
      </c>
      <c r="C174" s="6124" t="s">
        <v>593</v>
      </c>
      <c r="D174" s="6155">
        <f>'lbpf 3-BEPO'!K100</f>
        <v>7000000</v>
      </c>
    </row>
    <row r="175" spans="1:6" ht="13.5" customHeight="1">
      <c r="A175" s="6119"/>
      <c r="B175" s="6197" t="s">
        <v>4736</v>
      </c>
      <c r="C175" s="6118" t="s">
        <v>593</v>
      </c>
      <c r="D175" s="6140">
        <f>'lbpf 3-BEPO'!K103</f>
        <v>1500000</v>
      </c>
      <c r="F175" s="6126">
        <f>SUM(D174:D175)</f>
        <v>8500000</v>
      </c>
    </row>
    <row r="176" spans="1:6" s="5798" customFormat="1" ht="13.5" customHeight="1">
      <c r="A176" s="6138"/>
      <c r="B176" s="5799" t="s">
        <v>3288</v>
      </c>
      <c r="C176" s="6171" t="s">
        <v>10317</v>
      </c>
      <c r="D176" s="6115">
        <f>'lbpf 3-EDCOM'!K71</f>
        <v>8000000</v>
      </c>
      <c r="F176" s="5813">
        <f>SUM(D176)</f>
        <v>8000000</v>
      </c>
    </row>
    <row r="177" spans="1:6" s="5798" customFormat="1" ht="13.5" customHeight="1">
      <c r="A177" s="6144"/>
      <c r="B177" s="5803" t="s">
        <v>365</v>
      </c>
      <c r="C177" s="6616" t="s">
        <v>10318</v>
      </c>
      <c r="D177" s="6131">
        <f>'lbpf 3-EDCENTER'!K74</f>
        <v>6000000</v>
      </c>
      <c r="F177" s="5813"/>
    </row>
    <row r="178" spans="1:6" s="5798" customFormat="1" ht="13.5" customHeight="1">
      <c r="A178" s="6144"/>
      <c r="B178" s="5803" t="s">
        <v>3296</v>
      </c>
      <c r="C178" s="6616" t="s">
        <v>10318</v>
      </c>
      <c r="D178" s="6131">
        <f>'lbpf 3-EDCENTER'!K76</f>
        <v>6000000</v>
      </c>
      <c r="F178" s="5813">
        <f>SUM(D177:D178)</f>
        <v>12000000</v>
      </c>
    </row>
    <row r="179" spans="1:6" ht="13.5" customHeight="1">
      <c r="A179" s="6119"/>
      <c r="B179" s="6198" t="s">
        <v>3785</v>
      </c>
      <c r="C179" s="6118" t="s">
        <v>594</v>
      </c>
      <c r="D179" s="6115">
        <f>'lbpf 3-BIPC'!K99</f>
        <v>329250</v>
      </c>
    </row>
    <row r="180" spans="1:6" ht="13.5" customHeight="1">
      <c r="A180" s="6119"/>
      <c r="B180" s="6198" t="s">
        <v>3786</v>
      </c>
      <c r="C180" s="6118" t="s">
        <v>594</v>
      </c>
      <c r="D180" s="6115">
        <f>'lbpf 3-BIPC'!K105</f>
        <v>688125</v>
      </c>
    </row>
    <row r="181" spans="1:6" ht="13.5" customHeight="1">
      <c r="A181" s="6119"/>
      <c r="B181" s="6198" t="s">
        <v>3787</v>
      </c>
      <c r="C181" s="6118" t="s">
        <v>594</v>
      </c>
      <c r="D181" s="6115">
        <f>'lbpf 3-BIPC'!K116</f>
        <v>175000</v>
      </c>
      <c r="F181" s="6126">
        <f>SUM(D179:D181)</f>
        <v>1192375</v>
      </c>
    </row>
    <row r="182" spans="1:6" ht="13.5" hidden="1" customHeight="1">
      <c r="A182" s="6119"/>
      <c r="B182" s="6198" t="s">
        <v>3788</v>
      </c>
      <c r="C182" s="6118" t="s">
        <v>594</v>
      </c>
      <c r="D182" s="6115">
        <v>0</v>
      </c>
    </row>
    <row r="183" spans="1:6" ht="13.5" hidden="1" customHeight="1">
      <c r="A183" s="6119"/>
      <c r="B183" s="6198" t="s">
        <v>3789</v>
      </c>
      <c r="C183" s="6118" t="s">
        <v>594</v>
      </c>
      <c r="D183" s="6115">
        <v>0</v>
      </c>
    </row>
    <row r="184" spans="1:6" ht="13.5" hidden="1" customHeight="1">
      <c r="A184" s="6119"/>
      <c r="B184" s="5795" t="s">
        <v>3790</v>
      </c>
      <c r="C184" s="6118" t="s">
        <v>594</v>
      </c>
      <c r="D184" s="6115">
        <v>0</v>
      </c>
    </row>
    <row r="185" spans="1:6" ht="13.5" customHeight="1">
      <c r="A185" s="6119"/>
      <c r="B185" s="5799" t="s">
        <v>3286</v>
      </c>
      <c r="C185" s="6118" t="s">
        <v>595</v>
      </c>
      <c r="D185" s="6115">
        <f>'lbpf 3-BTO'!K91</f>
        <v>2596965</v>
      </c>
      <c r="F185" s="6126">
        <f>SUM(D185)</f>
        <v>2596965</v>
      </c>
    </row>
    <row r="186" spans="1:6" ht="13.5" customHeight="1">
      <c r="A186" s="6122"/>
      <c r="B186" s="6199" t="s">
        <v>4738</v>
      </c>
      <c r="C186" s="6124" t="s">
        <v>1724</v>
      </c>
      <c r="D186" s="6131">
        <f>'lbpf 3-BICTU'!K68</f>
        <v>500000</v>
      </c>
      <c r="F186" s="6126">
        <f>SUM(D186)</f>
        <v>500000</v>
      </c>
    </row>
    <row r="187" spans="1:6" ht="13.5" customHeight="1">
      <c r="A187" s="6119"/>
      <c r="B187" s="5799" t="s">
        <v>3290</v>
      </c>
      <c r="C187" s="6118" t="s">
        <v>4823</v>
      </c>
      <c r="D187" s="6115">
        <f>'lbpf 3-PHRMD'!J97</f>
        <v>2000000</v>
      </c>
      <c r="F187" s="6126">
        <f>SUM(D187)</f>
        <v>2000000</v>
      </c>
    </row>
    <row r="188" spans="1:6" ht="13.5" customHeight="1">
      <c r="A188" s="6119"/>
      <c r="B188" s="6200" t="s">
        <v>4765</v>
      </c>
      <c r="C188" s="6118" t="s">
        <v>571</v>
      </c>
      <c r="D188" s="6201">
        <f>'lbpf 3-PPDO'!J91</f>
        <v>270000</v>
      </c>
    </row>
    <row r="189" spans="1:6" ht="13.5" customHeight="1">
      <c r="A189" s="6119"/>
      <c r="B189" s="6200" t="s">
        <v>4675</v>
      </c>
      <c r="C189" s="6118" t="s">
        <v>571</v>
      </c>
      <c r="D189" s="6201">
        <f>'lbpf 3-PPDO'!J92</f>
        <v>300000</v>
      </c>
    </row>
    <row r="190" spans="1:6" ht="13.5" customHeight="1">
      <c r="A190" s="6119"/>
      <c r="B190" s="6200" t="s">
        <v>4676</v>
      </c>
      <c r="C190" s="6118" t="s">
        <v>571</v>
      </c>
      <c r="D190" s="6201">
        <f>'lbpf 3-PPDO'!J101</f>
        <v>0</v>
      </c>
    </row>
    <row r="191" spans="1:6" ht="13.5" customHeight="1">
      <c r="A191" s="6119"/>
      <c r="B191" s="6200" t="s">
        <v>4677</v>
      </c>
      <c r="C191" s="6118" t="s">
        <v>571</v>
      </c>
      <c r="D191" s="6201">
        <f>'lbpf 3-PPDO'!J93</f>
        <v>800000</v>
      </c>
    </row>
    <row r="192" spans="1:6" ht="13.5" customHeight="1">
      <c r="A192" s="6119"/>
      <c r="B192" s="6200" t="s">
        <v>4678</v>
      </c>
      <c r="C192" s="6118" t="s">
        <v>571</v>
      </c>
      <c r="D192" s="6201">
        <f>'lbpf 3-PPDO'!J99</f>
        <v>0</v>
      </c>
    </row>
    <row r="193" spans="1:6" ht="13.5" customHeight="1">
      <c r="A193" s="6119"/>
      <c r="B193" s="6200" t="s">
        <v>4679</v>
      </c>
      <c r="C193" s="6118" t="s">
        <v>571</v>
      </c>
      <c r="D193" s="6201">
        <f>'lbpf 3-PPDO'!J94</f>
        <v>100000</v>
      </c>
    </row>
    <row r="194" spans="1:6" ht="13.5" customHeight="1">
      <c r="A194" s="6122"/>
      <c r="B194" s="6200" t="s">
        <v>10169</v>
      </c>
      <c r="C194" s="6118" t="s">
        <v>571</v>
      </c>
      <c r="D194" s="6202">
        <f>'lbpf 3-PPDO'!J95</f>
        <v>250000</v>
      </c>
      <c r="F194" s="6126">
        <f>SUM(D188:D194)</f>
        <v>1720000</v>
      </c>
    </row>
    <row r="195" spans="1:6" ht="13.5" customHeight="1">
      <c r="A195" s="6119"/>
      <c r="B195" s="6203" t="s">
        <v>4824</v>
      </c>
      <c r="C195" s="6118" t="s">
        <v>3314</v>
      </c>
      <c r="D195" s="6115">
        <f>'lbpf 3-PBMO'!J90</f>
        <v>400000</v>
      </c>
      <c r="F195" s="6126">
        <f>SUM(D195)</f>
        <v>400000</v>
      </c>
    </row>
    <row r="196" spans="1:6" ht="13.5" customHeight="1">
      <c r="A196" s="6119"/>
      <c r="B196" s="5862" t="s">
        <v>4682</v>
      </c>
      <c r="C196" s="6118" t="s">
        <v>574</v>
      </c>
      <c r="D196" s="6115">
        <f>'lbpf 3-PAccO'!J92</f>
        <v>800000</v>
      </c>
      <c r="F196" s="6126"/>
    </row>
    <row r="197" spans="1:6" ht="13.5" hidden="1" customHeight="1">
      <c r="A197" s="6119"/>
      <c r="B197" s="5867" t="s">
        <v>4683</v>
      </c>
      <c r="C197" s="6118" t="s">
        <v>575</v>
      </c>
      <c r="D197" s="6115">
        <f>'lbpf 3-PTO'!J95</f>
        <v>0</v>
      </c>
      <c r="F197" s="6126"/>
    </row>
    <row r="198" spans="1:6" ht="13.5" customHeight="1">
      <c r="A198" s="6119"/>
      <c r="B198" s="5862" t="s">
        <v>4712</v>
      </c>
      <c r="C198" s="6118" t="s">
        <v>576</v>
      </c>
      <c r="D198" s="6140">
        <f>'lbpf 3-PAssO'!J98</f>
        <v>250000</v>
      </c>
    </row>
    <row r="199" spans="1:6" ht="13.5" customHeight="1">
      <c r="A199" s="6119"/>
      <c r="B199" s="5862" t="s">
        <v>4713</v>
      </c>
      <c r="C199" s="6118" t="s">
        <v>576</v>
      </c>
      <c r="D199" s="6140">
        <f>'lbpf 3-PAssO'!J99</f>
        <v>150000</v>
      </c>
      <c r="F199" s="6126"/>
    </row>
    <row r="200" spans="1:6" ht="13.5" customHeight="1">
      <c r="A200" s="6122"/>
      <c r="B200" s="744" t="s">
        <v>10484</v>
      </c>
      <c r="C200" s="6118" t="s">
        <v>576</v>
      </c>
      <c r="D200" s="6155">
        <v>500000</v>
      </c>
      <c r="F200" s="6126">
        <f>SUM(D198:D200)</f>
        <v>900000</v>
      </c>
    </row>
    <row r="201" spans="1:6" ht="15.75" customHeight="1">
      <c r="A201" s="6122"/>
      <c r="B201" s="5799" t="s">
        <v>10334</v>
      </c>
      <c r="C201" s="6124" t="s">
        <v>3315</v>
      </c>
      <c r="D201" s="6155">
        <f>'lbpf 3-LEGAL'!J89</f>
        <v>0</v>
      </c>
    </row>
    <row r="202" spans="1:6" ht="13.5" customHeight="1">
      <c r="A202" s="6119"/>
      <c r="B202" s="5799" t="s">
        <v>4950</v>
      </c>
      <c r="C202" s="6118" t="s">
        <v>581</v>
      </c>
      <c r="D202" s="6140">
        <f>'lbpf 3-PHO'!J97</f>
        <v>445000</v>
      </c>
    </row>
    <row r="203" spans="1:6" ht="13.5" customHeight="1">
      <c r="A203" s="6119"/>
      <c r="B203" s="5799" t="s">
        <v>4949</v>
      </c>
      <c r="C203" s="6118" t="s">
        <v>581</v>
      </c>
      <c r="D203" s="6140">
        <f>'lbpf 3-PHO'!J98</f>
        <v>1000000</v>
      </c>
    </row>
    <row r="204" spans="1:6" ht="13.5" customHeight="1">
      <c r="A204" s="6119"/>
      <c r="B204" s="5799" t="s">
        <v>4951</v>
      </c>
      <c r="C204" s="6118" t="s">
        <v>581</v>
      </c>
      <c r="D204" s="6140">
        <f>'lbpf 3-PHO'!J99</f>
        <v>2000000</v>
      </c>
    </row>
    <row r="205" spans="1:6" ht="13.5" customHeight="1">
      <c r="A205" s="6119"/>
      <c r="B205" s="5799" t="s">
        <v>4952</v>
      </c>
      <c r="C205" s="6118" t="s">
        <v>581</v>
      </c>
      <c r="D205" s="6140">
        <f>'lbpf 3-PHO'!J100</f>
        <v>460000</v>
      </c>
    </row>
    <row r="206" spans="1:6" ht="13.5" customHeight="1">
      <c r="A206" s="6119"/>
      <c r="B206" s="5799" t="s">
        <v>4953</v>
      </c>
      <c r="C206" s="6118" t="s">
        <v>581</v>
      </c>
      <c r="D206" s="6140">
        <f>'lbpf 3-PHO'!J101</f>
        <v>500000</v>
      </c>
    </row>
    <row r="207" spans="1:6" ht="13.5" customHeight="1">
      <c r="A207" s="6119"/>
      <c r="B207" s="5799" t="s">
        <v>4954</v>
      </c>
      <c r="C207" s="6118" t="s">
        <v>581</v>
      </c>
      <c r="D207" s="6140">
        <f>'lbpf 3-PHO'!J102</f>
        <v>250000</v>
      </c>
    </row>
    <row r="208" spans="1:6" ht="13.5" customHeight="1">
      <c r="A208" s="6119"/>
      <c r="B208" s="5799" t="s">
        <v>3294</v>
      </c>
      <c r="C208" s="6118" t="s">
        <v>581</v>
      </c>
      <c r="D208" s="6140">
        <f>'lbpf 3-PHO'!J103</f>
        <v>1100000</v>
      </c>
    </row>
    <row r="209" spans="1:6" ht="13.5" customHeight="1">
      <c r="A209" s="6122"/>
      <c r="B209" s="6195" t="s">
        <v>3295</v>
      </c>
      <c r="C209" s="6204" t="s">
        <v>581</v>
      </c>
      <c r="D209" s="6140">
        <f>'lbpf 3-PHO'!J104</f>
        <v>751000</v>
      </c>
    </row>
    <row r="210" spans="1:6" ht="13.5" customHeight="1">
      <c r="A210" s="6122"/>
      <c r="B210" s="6205" t="s">
        <v>3293</v>
      </c>
      <c r="C210" s="6206" t="s">
        <v>581</v>
      </c>
      <c r="D210" s="6140">
        <f>'lbpf 3-PHO'!J105</f>
        <v>1550000</v>
      </c>
    </row>
    <row r="211" spans="1:6" ht="13.5" customHeight="1">
      <c r="A211" s="6122"/>
      <c r="B211" s="6205" t="s">
        <v>4988</v>
      </c>
      <c r="C211" s="6206" t="s">
        <v>581</v>
      </c>
      <c r="D211" s="6140">
        <f>'lbpf 3-PHO'!J106</f>
        <v>10710000</v>
      </c>
    </row>
    <row r="212" spans="1:6" ht="13.5" customHeight="1">
      <c r="A212" s="6122"/>
      <c r="B212" s="6205" t="s">
        <v>10106</v>
      </c>
      <c r="C212" s="6206" t="s">
        <v>581</v>
      </c>
      <c r="D212" s="6155">
        <f>'lbpf 3-PHO'!J107</f>
        <v>0</v>
      </c>
      <c r="F212" s="6126"/>
    </row>
    <row r="213" spans="1:6" ht="13.5" customHeight="1">
      <c r="A213" s="6122"/>
      <c r="B213" s="6205" t="s">
        <v>10239</v>
      </c>
      <c r="C213" s="6206" t="s">
        <v>581</v>
      </c>
      <c r="D213" s="6155">
        <f>'lbpf 3-PHO'!J108</f>
        <v>240000</v>
      </c>
      <c r="F213" s="6126"/>
    </row>
    <row r="214" spans="1:6" ht="13.5" customHeight="1">
      <c r="A214" s="6122"/>
      <c r="B214" s="6205" t="s">
        <v>10240</v>
      </c>
      <c r="C214" s="6206" t="s">
        <v>581</v>
      </c>
      <c r="D214" s="6155">
        <f>'lbpf 3-PHO'!J109</f>
        <v>200000</v>
      </c>
      <c r="F214" s="6126"/>
    </row>
    <row r="215" spans="1:6" ht="13.5" customHeight="1">
      <c r="A215" s="6122"/>
      <c r="B215" s="6205" t="s">
        <v>10241</v>
      </c>
      <c r="C215" s="6206" t="s">
        <v>581</v>
      </c>
      <c r="D215" s="6155">
        <f>'lbpf 3-PHO'!J110</f>
        <v>150000</v>
      </c>
      <c r="F215" s="6126"/>
    </row>
    <row r="216" spans="1:6" ht="13.5" customHeight="1">
      <c r="A216" s="6122"/>
      <c r="B216" s="6205" t="s">
        <v>10242</v>
      </c>
      <c r="C216" s="6206" t="s">
        <v>581</v>
      </c>
      <c r="D216" s="6155">
        <f>'lbpf 3-PHO'!J127</f>
        <v>840000</v>
      </c>
      <c r="F216" s="6126"/>
    </row>
    <row r="217" spans="1:6" ht="13.5" customHeight="1">
      <c r="A217" s="6122"/>
      <c r="B217" s="6205" t="s">
        <v>10485</v>
      </c>
      <c r="C217" s="6206" t="s">
        <v>581</v>
      </c>
      <c r="D217" s="6155">
        <v>100000</v>
      </c>
      <c r="F217" s="6126"/>
    </row>
    <row r="218" spans="1:6" ht="13.5" customHeight="1">
      <c r="A218" s="6122"/>
      <c r="B218" s="6205" t="s">
        <v>10243</v>
      </c>
      <c r="C218" s="6206" t="s">
        <v>581</v>
      </c>
      <c r="D218" s="6155">
        <f>'lbpf 3-PHO'!J129</f>
        <v>400000</v>
      </c>
      <c r="F218" s="6126"/>
    </row>
    <row r="219" spans="1:6" ht="13.5" customHeight="1">
      <c r="A219" s="6122"/>
      <c r="B219" s="6205" t="s">
        <v>10244</v>
      </c>
      <c r="C219" s="6206" t="s">
        <v>581</v>
      </c>
      <c r="D219" s="6155">
        <f>'lbpf 3-PHO'!J130</f>
        <v>320000</v>
      </c>
      <c r="F219" s="6126"/>
    </row>
    <row r="220" spans="1:6" ht="13.5" customHeight="1">
      <c r="A220" s="6122"/>
      <c r="B220" s="6205" t="s">
        <v>10245</v>
      </c>
      <c r="C220" s="6206" t="s">
        <v>581</v>
      </c>
      <c r="D220" s="6155">
        <f>'lbpf 3-PHO'!J133</f>
        <v>305000</v>
      </c>
      <c r="F220" s="6126"/>
    </row>
    <row r="221" spans="1:6" ht="13.5" customHeight="1">
      <c r="A221" s="6122"/>
      <c r="B221" s="6205" t="s">
        <v>10246</v>
      </c>
      <c r="C221" s="6206" t="s">
        <v>581</v>
      </c>
      <c r="D221" s="6155">
        <f>'lbpf 3-PHO'!J134</f>
        <v>735000</v>
      </c>
      <c r="F221" s="6126"/>
    </row>
    <row r="222" spans="1:6" ht="13.5" customHeight="1">
      <c r="A222" s="6122"/>
      <c r="B222" s="6205" t="s">
        <v>10296</v>
      </c>
      <c r="C222" s="6206" t="s">
        <v>581</v>
      </c>
      <c r="D222" s="6155">
        <f>'lbpf 3-PHO'!J135</f>
        <v>625000</v>
      </c>
      <c r="F222" s="6126">
        <f>SUM(D202:D222)</f>
        <v>22681000</v>
      </c>
    </row>
    <row r="223" spans="1:6" ht="13.5" customHeight="1">
      <c r="A223" s="6122"/>
      <c r="B223" s="6205" t="s">
        <v>10332</v>
      </c>
      <c r="C223" s="6206" t="s">
        <v>584</v>
      </c>
      <c r="D223" s="6155">
        <f>'lbpf 3-HJAGNA'!J103</f>
        <v>300000</v>
      </c>
      <c r="F223" s="6126">
        <f>SUM(D223)</f>
        <v>300000</v>
      </c>
    </row>
    <row r="224" spans="1:6" ht="13.5" customHeight="1">
      <c r="A224" s="6122"/>
      <c r="B224" s="6205" t="s">
        <v>1684</v>
      </c>
      <c r="C224" s="6206" t="s">
        <v>3316</v>
      </c>
      <c r="D224" s="6140">
        <f>'lbpf 3-PSWD'!J98</f>
        <v>4000000</v>
      </c>
    </row>
    <row r="225" spans="1:7" ht="13.5" customHeight="1">
      <c r="A225" s="6122"/>
      <c r="B225" s="6205" t="s">
        <v>4825</v>
      </c>
      <c r="C225" s="6206" t="s">
        <v>3316</v>
      </c>
      <c r="D225" s="6140">
        <f>'lbpf 3-PSWD'!J99</f>
        <v>4000000</v>
      </c>
      <c r="F225" s="6126">
        <f>SUM(D224:D225)</f>
        <v>8000000</v>
      </c>
    </row>
    <row r="226" spans="1:7" ht="13.5" hidden="1" customHeight="1">
      <c r="A226" s="6122"/>
      <c r="B226" s="6207" t="s">
        <v>3308</v>
      </c>
      <c r="C226" s="6206" t="s">
        <v>3317</v>
      </c>
      <c r="D226" s="6140">
        <v>0</v>
      </c>
    </row>
    <row r="227" spans="1:7" ht="13.5" customHeight="1">
      <c r="A227" s="6119"/>
      <c r="B227" s="6207" t="s">
        <v>3309</v>
      </c>
      <c r="C227" s="6206" t="s">
        <v>3317</v>
      </c>
      <c r="D227" s="6140">
        <f>'lbpf 3-VET'!K92</f>
        <v>2500000</v>
      </c>
    </row>
    <row r="228" spans="1:7" ht="13.5" customHeight="1">
      <c r="A228" s="6119"/>
      <c r="B228" s="6218" t="s">
        <v>3384</v>
      </c>
      <c r="C228" s="6206" t="s">
        <v>3317</v>
      </c>
      <c r="D228" s="6140">
        <f>'lbpf 3-VET'!K101</f>
        <v>1500000</v>
      </c>
    </row>
    <row r="229" spans="1:7" ht="13.5" customHeight="1">
      <c r="A229" s="6119"/>
      <c r="B229" s="6205" t="s">
        <v>4985</v>
      </c>
      <c r="C229" s="6206" t="s">
        <v>3317</v>
      </c>
      <c r="D229" s="6140">
        <f>'lbpf 3-VET'!K113</f>
        <v>1000000</v>
      </c>
    </row>
    <row r="230" spans="1:7" ht="13.5" hidden="1" customHeight="1">
      <c r="A230" s="6119"/>
      <c r="B230" s="6218" t="s">
        <v>4981</v>
      </c>
      <c r="C230" s="6206" t="s">
        <v>3317</v>
      </c>
      <c r="D230" s="6140">
        <v>0</v>
      </c>
    </row>
    <row r="231" spans="1:7" ht="13.5" customHeight="1">
      <c r="A231" s="6119"/>
      <c r="B231" s="6207" t="s">
        <v>3307</v>
      </c>
      <c r="C231" s="6206" t="s">
        <v>3317</v>
      </c>
      <c r="D231" s="6140">
        <f>'lbpf 3-VET'!K117</f>
        <v>2000000</v>
      </c>
    </row>
    <row r="232" spans="1:7" ht="13.5" customHeight="1">
      <c r="A232" s="6122"/>
      <c r="B232" s="6207" t="s">
        <v>5176</v>
      </c>
      <c r="C232" s="6206" t="s">
        <v>3317</v>
      </c>
      <c r="D232" s="6155">
        <f>'lbpf 3-VET'!K119</f>
        <v>3000000</v>
      </c>
    </row>
    <row r="233" spans="1:7" ht="13.5" customHeight="1">
      <c r="A233" s="6122"/>
      <c r="B233" s="6170" t="s">
        <v>5177</v>
      </c>
      <c r="C233" s="6118" t="s">
        <v>3317</v>
      </c>
      <c r="D233" s="6155">
        <f>'lbpf 3-VET'!K129</f>
        <v>1500000</v>
      </c>
    </row>
    <row r="234" spans="1:7" ht="13.5" customHeight="1">
      <c r="A234" s="6122"/>
      <c r="B234" s="6170" t="s">
        <v>5180</v>
      </c>
      <c r="C234" s="6118" t="s">
        <v>3317</v>
      </c>
      <c r="D234" s="6155">
        <f>'lbpf 3-VET'!K139</f>
        <v>2500000</v>
      </c>
    </row>
    <row r="235" spans="1:7" ht="13.5" customHeight="1">
      <c r="A235" s="6122"/>
      <c r="B235" s="6170" t="s">
        <v>5179</v>
      </c>
      <c r="C235" s="6118" t="s">
        <v>3317</v>
      </c>
      <c r="D235" s="6155">
        <f>'lbpf 3-VET'!K147</f>
        <v>500000</v>
      </c>
    </row>
    <row r="236" spans="1:7" ht="13.5" customHeight="1">
      <c r="A236" s="6119"/>
      <c r="B236" s="6170" t="s">
        <v>5181</v>
      </c>
      <c r="C236" s="6118" t="s">
        <v>3317</v>
      </c>
      <c r="D236" s="6146">
        <f>'lbpf 3-VET'!K150</f>
        <v>0</v>
      </c>
      <c r="F236" s="6126">
        <f>SUM(D227:D236)</f>
        <v>14500000</v>
      </c>
    </row>
    <row r="237" spans="1:7" s="6212" customFormat="1" ht="22.5" customHeight="1" thickBot="1">
      <c r="A237" s="6208"/>
      <c r="B237" s="6209" t="s">
        <v>182</v>
      </c>
      <c r="C237" s="6210"/>
      <c r="D237" s="6211">
        <f>SUM(D173:D236)</f>
        <v>84090340</v>
      </c>
      <c r="F237" s="6213">
        <f>D237+D17</f>
        <v>132990340</v>
      </c>
      <c r="G237" s="6214"/>
    </row>
    <row r="238" spans="1:7" ht="24" customHeight="1" thickBot="1">
      <c r="A238" s="6109"/>
      <c r="B238" s="6215" t="s">
        <v>10356</v>
      </c>
      <c r="C238" s="6216"/>
      <c r="D238" s="6217">
        <f>D237+D13+D161+D150+D96+D51+D17+D18</f>
        <v>891345341.07499981</v>
      </c>
      <c r="F238" s="6126">
        <f>D238-F13</f>
        <v>344518620.82499981</v>
      </c>
      <c r="G238" s="6101" t="s">
        <v>10333</v>
      </c>
    </row>
    <row r="239" spans="1:7" ht="14.25" customHeight="1"/>
    <row r="240" spans="1:7" s="6098" customFormat="1" ht="12.75" hidden="1" customHeight="1">
      <c r="A240" s="6096"/>
      <c r="B240" s="6095" t="s">
        <v>9177</v>
      </c>
      <c r="C240" s="6095" t="s">
        <v>3485</v>
      </c>
    </row>
    <row r="241" spans="1:4" s="6099" customFormat="1" ht="12.75" hidden="1" customHeight="1">
      <c r="B241" s="6096"/>
      <c r="C241" s="6096"/>
    </row>
    <row r="242" spans="1:4" s="6098" customFormat="1" ht="12.75" hidden="1" customHeight="1">
      <c r="A242" s="6096"/>
      <c r="B242" s="6096"/>
      <c r="C242" s="6096"/>
      <c r="D242" s="6096"/>
    </row>
    <row r="243" spans="1:4" ht="12.75" hidden="1" customHeight="1">
      <c r="B243" s="6097" t="s">
        <v>10166</v>
      </c>
      <c r="C243" s="6096"/>
      <c r="D243" s="6096"/>
    </row>
    <row r="244" spans="1:4" s="6103" customFormat="1" ht="16.5" hidden="1" customHeight="1">
      <c r="A244" s="6102"/>
      <c r="B244" s="5877" t="s">
        <v>10358</v>
      </c>
      <c r="C244" s="5815"/>
      <c r="D244" s="5815"/>
    </row>
    <row r="245" spans="1:4" ht="16.5" hidden="1" customHeight="1">
      <c r="C245" s="6101"/>
      <c r="D245" s="6101"/>
    </row>
  </sheetData>
  <mergeCells count="4">
    <mergeCell ref="A6:B6"/>
    <mergeCell ref="A16:B16"/>
    <mergeCell ref="B1:D1"/>
    <mergeCell ref="B2:D2"/>
  </mergeCells>
  <printOptions horizontalCentered="1"/>
  <pageMargins left="0.5" right="0.25" top="0.5" bottom="0.25" header="0.5" footer="0.25"/>
  <pageSetup paperSize="136" scale="95" orientation="portrait" verticalDpi="300" r:id="rId1"/>
  <headerFooter alignWithMargins="0"/>
</worksheet>
</file>

<file path=xl/worksheets/sheet140.xml><?xml version="1.0" encoding="utf-8"?>
<worksheet xmlns="http://schemas.openxmlformats.org/spreadsheetml/2006/main" xmlns:r="http://schemas.openxmlformats.org/officeDocument/2006/relationships">
  <sheetPr codeName="Sheet175">
    <tabColor rgb="FFFFFF00"/>
  </sheetPr>
  <dimension ref="A1:S261"/>
  <sheetViews>
    <sheetView topLeftCell="A55" zoomScaleSheetLayoutView="85" workbookViewId="0">
      <selection activeCell="C23" sqref="C23"/>
    </sheetView>
  </sheetViews>
  <sheetFormatPr defaultRowHeight="13.8"/>
  <cols>
    <col min="1" max="1" width="5.44140625" style="2156" customWidth="1"/>
    <col min="2" max="2" width="12.88671875" style="2156" customWidth="1"/>
    <col min="3" max="3" width="23.109375" style="2156" customWidth="1"/>
    <col min="4" max="4" width="15.88671875" style="4168" bestFit="1" customWidth="1"/>
    <col min="5" max="5" width="15.44140625" style="2156" customWidth="1"/>
    <col min="6" max="6" width="21.109375" style="2156" customWidth="1"/>
    <col min="7" max="7" width="8.88671875" style="2156" customWidth="1"/>
    <col min="8" max="8" width="8" style="2156" customWidth="1"/>
    <col min="9" max="9" width="8.109375" style="2156" customWidth="1"/>
    <col min="10" max="10" width="0.109375" style="2156" hidden="1" customWidth="1"/>
    <col min="11" max="11" width="7.44140625" style="2156" hidden="1" customWidth="1"/>
    <col min="12" max="12" width="5.88671875" style="2156" hidden="1" customWidth="1"/>
    <col min="13" max="13" width="2.109375" style="2156" hidden="1" customWidth="1"/>
    <col min="14" max="14" width="17.109375" style="2156" hidden="1" customWidth="1"/>
    <col min="15" max="15" width="10.109375" style="2156" hidden="1" customWidth="1"/>
    <col min="16" max="256" width="9.109375" style="2156"/>
    <col min="257" max="257" width="5.44140625" style="2156" customWidth="1"/>
    <col min="258" max="258" width="12.88671875" style="2156" customWidth="1"/>
    <col min="259" max="259" width="23.109375" style="2156" customWidth="1"/>
    <col min="260" max="260" width="14.109375" style="2156" bestFit="1" customWidth="1"/>
    <col min="261" max="261" width="15.44140625" style="2156" customWidth="1"/>
    <col min="262" max="262" width="21.109375" style="2156" customWidth="1"/>
    <col min="263" max="263" width="8.88671875" style="2156" customWidth="1"/>
    <col min="264" max="264" width="8" style="2156" customWidth="1"/>
    <col min="265" max="265" width="8.109375" style="2156" customWidth="1"/>
    <col min="266" max="271" width="0" style="2156" hidden="1" customWidth="1"/>
    <col min="272" max="512" width="9.109375" style="2156"/>
    <col min="513" max="513" width="5.44140625" style="2156" customWidth="1"/>
    <col min="514" max="514" width="12.88671875" style="2156" customWidth="1"/>
    <col min="515" max="515" width="23.109375" style="2156" customWidth="1"/>
    <col min="516" max="516" width="14.109375" style="2156" bestFit="1" customWidth="1"/>
    <col min="517" max="517" width="15.44140625" style="2156" customWidth="1"/>
    <col min="518" max="518" width="21.109375" style="2156" customWidth="1"/>
    <col min="519" max="519" width="8.88671875" style="2156" customWidth="1"/>
    <col min="520" max="520" width="8" style="2156" customWidth="1"/>
    <col min="521" max="521" width="8.109375" style="2156" customWidth="1"/>
    <col min="522" max="527" width="0" style="2156" hidden="1" customWidth="1"/>
    <col min="528" max="768" width="9.109375" style="2156"/>
    <col min="769" max="769" width="5.44140625" style="2156" customWidth="1"/>
    <col min="770" max="770" width="12.88671875" style="2156" customWidth="1"/>
    <col min="771" max="771" width="23.109375" style="2156" customWidth="1"/>
    <col min="772" max="772" width="14.109375" style="2156" bestFit="1" customWidth="1"/>
    <col min="773" max="773" width="15.44140625" style="2156" customWidth="1"/>
    <col min="774" max="774" width="21.109375" style="2156" customWidth="1"/>
    <col min="775" max="775" width="8.88671875" style="2156" customWidth="1"/>
    <col min="776" max="776" width="8" style="2156" customWidth="1"/>
    <col min="777" max="777" width="8.109375" style="2156" customWidth="1"/>
    <col min="778" max="783" width="0" style="2156" hidden="1" customWidth="1"/>
    <col min="784" max="1024" width="9.109375" style="2156"/>
    <col min="1025" max="1025" width="5.44140625" style="2156" customWidth="1"/>
    <col min="1026" max="1026" width="12.88671875" style="2156" customWidth="1"/>
    <col min="1027" max="1027" width="23.109375" style="2156" customWidth="1"/>
    <col min="1028" max="1028" width="14.109375" style="2156" bestFit="1" customWidth="1"/>
    <col min="1029" max="1029" width="15.44140625" style="2156" customWidth="1"/>
    <col min="1030" max="1030" width="21.109375" style="2156" customWidth="1"/>
    <col min="1031" max="1031" width="8.88671875" style="2156" customWidth="1"/>
    <col min="1032" max="1032" width="8" style="2156" customWidth="1"/>
    <col min="1033" max="1033" width="8.109375" style="2156" customWidth="1"/>
    <col min="1034" max="1039" width="0" style="2156" hidden="1" customWidth="1"/>
    <col min="1040" max="1280" width="9.109375" style="2156"/>
    <col min="1281" max="1281" width="5.44140625" style="2156" customWidth="1"/>
    <col min="1282" max="1282" width="12.88671875" style="2156" customWidth="1"/>
    <col min="1283" max="1283" width="23.109375" style="2156" customWidth="1"/>
    <col min="1284" max="1284" width="14.109375" style="2156" bestFit="1" customWidth="1"/>
    <col min="1285" max="1285" width="15.44140625" style="2156" customWidth="1"/>
    <col min="1286" max="1286" width="21.109375" style="2156" customWidth="1"/>
    <col min="1287" max="1287" width="8.88671875" style="2156" customWidth="1"/>
    <col min="1288" max="1288" width="8" style="2156" customWidth="1"/>
    <col min="1289" max="1289" width="8.109375" style="2156" customWidth="1"/>
    <col min="1290" max="1295" width="0" style="2156" hidden="1" customWidth="1"/>
    <col min="1296" max="1536" width="9.109375" style="2156"/>
    <col min="1537" max="1537" width="5.44140625" style="2156" customWidth="1"/>
    <col min="1538" max="1538" width="12.88671875" style="2156" customWidth="1"/>
    <col min="1539" max="1539" width="23.109375" style="2156" customWidth="1"/>
    <col min="1540" max="1540" width="14.109375" style="2156" bestFit="1" customWidth="1"/>
    <col min="1541" max="1541" width="15.44140625" style="2156" customWidth="1"/>
    <col min="1542" max="1542" width="21.109375" style="2156" customWidth="1"/>
    <col min="1543" max="1543" width="8.88671875" style="2156" customWidth="1"/>
    <col min="1544" max="1544" width="8" style="2156" customWidth="1"/>
    <col min="1545" max="1545" width="8.109375" style="2156" customWidth="1"/>
    <col min="1546" max="1551" width="0" style="2156" hidden="1" customWidth="1"/>
    <col min="1552" max="1792" width="9.109375" style="2156"/>
    <col min="1793" max="1793" width="5.44140625" style="2156" customWidth="1"/>
    <col min="1794" max="1794" width="12.88671875" style="2156" customWidth="1"/>
    <col min="1795" max="1795" width="23.109375" style="2156" customWidth="1"/>
    <col min="1796" max="1796" width="14.109375" style="2156" bestFit="1" customWidth="1"/>
    <col min="1797" max="1797" width="15.44140625" style="2156" customWidth="1"/>
    <col min="1798" max="1798" width="21.109375" style="2156" customWidth="1"/>
    <col min="1799" max="1799" width="8.88671875" style="2156" customWidth="1"/>
    <col min="1800" max="1800" width="8" style="2156" customWidth="1"/>
    <col min="1801" max="1801" width="8.109375" style="2156" customWidth="1"/>
    <col min="1802" max="1807" width="0" style="2156" hidden="1" customWidth="1"/>
    <col min="1808" max="2048" width="9.109375" style="2156"/>
    <col min="2049" max="2049" width="5.44140625" style="2156" customWidth="1"/>
    <col min="2050" max="2050" width="12.88671875" style="2156" customWidth="1"/>
    <col min="2051" max="2051" width="23.109375" style="2156" customWidth="1"/>
    <col min="2052" max="2052" width="14.109375" style="2156" bestFit="1" customWidth="1"/>
    <col min="2053" max="2053" width="15.44140625" style="2156" customWidth="1"/>
    <col min="2054" max="2054" width="21.109375" style="2156" customWidth="1"/>
    <col min="2055" max="2055" width="8.88671875" style="2156" customWidth="1"/>
    <col min="2056" max="2056" width="8" style="2156" customWidth="1"/>
    <col min="2057" max="2057" width="8.109375" style="2156" customWidth="1"/>
    <col min="2058" max="2063" width="0" style="2156" hidden="1" customWidth="1"/>
    <col min="2064" max="2304" width="9.109375" style="2156"/>
    <col min="2305" max="2305" width="5.44140625" style="2156" customWidth="1"/>
    <col min="2306" max="2306" width="12.88671875" style="2156" customWidth="1"/>
    <col min="2307" max="2307" width="23.109375" style="2156" customWidth="1"/>
    <col min="2308" max="2308" width="14.109375" style="2156" bestFit="1" customWidth="1"/>
    <col min="2309" max="2309" width="15.44140625" style="2156" customWidth="1"/>
    <col min="2310" max="2310" width="21.109375" style="2156" customWidth="1"/>
    <col min="2311" max="2311" width="8.88671875" style="2156" customWidth="1"/>
    <col min="2312" max="2312" width="8" style="2156" customWidth="1"/>
    <col min="2313" max="2313" width="8.109375" style="2156" customWidth="1"/>
    <col min="2314" max="2319" width="0" style="2156" hidden="1" customWidth="1"/>
    <col min="2320" max="2560" width="9.109375" style="2156"/>
    <col min="2561" max="2561" width="5.44140625" style="2156" customWidth="1"/>
    <col min="2562" max="2562" width="12.88671875" style="2156" customWidth="1"/>
    <col min="2563" max="2563" width="23.109375" style="2156" customWidth="1"/>
    <col min="2564" max="2564" width="14.109375" style="2156" bestFit="1" customWidth="1"/>
    <col min="2565" max="2565" width="15.44140625" style="2156" customWidth="1"/>
    <col min="2566" max="2566" width="21.109375" style="2156" customWidth="1"/>
    <col min="2567" max="2567" width="8.88671875" style="2156" customWidth="1"/>
    <col min="2568" max="2568" width="8" style="2156" customWidth="1"/>
    <col min="2569" max="2569" width="8.109375" style="2156" customWidth="1"/>
    <col min="2570" max="2575" width="0" style="2156" hidden="1" customWidth="1"/>
    <col min="2576" max="2816" width="9.109375" style="2156"/>
    <col min="2817" max="2817" width="5.44140625" style="2156" customWidth="1"/>
    <col min="2818" max="2818" width="12.88671875" style="2156" customWidth="1"/>
    <col min="2819" max="2819" width="23.109375" style="2156" customWidth="1"/>
    <col min="2820" max="2820" width="14.109375" style="2156" bestFit="1" customWidth="1"/>
    <col min="2821" max="2821" width="15.44140625" style="2156" customWidth="1"/>
    <col min="2822" max="2822" width="21.109375" style="2156" customWidth="1"/>
    <col min="2823" max="2823" width="8.88671875" style="2156" customWidth="1"/>
    <col min="2824" max="2824" width="8" style="2156" customWidth="1"/>
    <col min="2825" max="2825" width="8.109375" style="2156" customWidth="1"/>
    <col min="2826" max="2831" width="0" style="2156" hidden="1" customWidth="1"/>
    <col min="2832" max="3072" width="9.109375" style="2156"/>
    <col min="3073" max="3073" width="5.44140625" style="2156" customWidth="1"/>
    <col min="3074" max="3074" width="12.88671875" style="2156" customWidth="1"/>
    <col min="3075" max="3075" width="23.109375" style="2156" customWidth="1"/>
    <col min="3076" max="3076" width="14.109375" style="2156" bestFit="1" customWidth="1"/>
    <col min="3077" max="3077" width="15.44140625" style="2156" customWidth="1"/>
    <col min="3078" max="3078" width="21.109375" style="2156" customWidth="1"/>
    <col min="3079" max="3079" width="8.88671875" style="2156" customWidth="1"/>
    <col min="3080" max="3080" width="8" style="2156" customWidth="1"/>
    <col min="3081" max="3081" width="8.109375" style="2156" customWidth="1"/>
    <col min="3082" max="3087" width="0" style="2156" hidden="1" customWidth="1"/>
    <col min="3088" max="3328" width="9.109375" style="2156"/>
    <col min="3329" max="3329" width="5.44140625" style="2156" customWidth="1"/>
    <col min="3330" max="3330" width="12.88671875" style="2156" customWidth="1"/>
    <col min="3331" max="3331" width="23.109375" style="2156" customWidth="1"/>
    <col min="3332" max="3332" width="14.109375" style="2156" bestFit="1" customWidth="1"/>
    <col min="3333" max="3333" width="15.44140625" style="2156" customWidth="1"/>
    <col min="3334" max="3334" width="21.109375" style="2156" customWidth="1"/>
    <col min="3335" max="3335" width="8.88671875" style="2156" customWidth="1"/>
    <col min="3336" max="3336" width="8" style="2156" customWidth="1"/>
    <col min="3337" max="3337" width="8.109375" style="2156" customWidth="1"/>
    <col min="3338" max="3343" width="0" style="2156" hidden="1" customWidth="1"/>
    <col min="3344" max="3584" width="9.109375" style="2156"/>
    <col min="3585" max="3585" width="5.44140625" style="2156" customWidth="1"/>
    <col min="3586" max="3586" width="12.88671875" style="2156" customWidth="1"/>
    <col min="3587" max="3587" width="23.109375" style="2156" customWidth="1"/>
    <col min="3588" max="3588" width="14.109375" style="2156" bestFit="1" customWidth="1"/>
    <col min="3589" max="3589" width="15.44140625" style="2156" customWidth="1"/>
    <col min="3590" max="3590" width="21.109375" style="2156" customWidth="1"/>
    <col min="3591" max="3591" width="8.88671875" style="2156" customWidth="1"/>
    <col min="3592" max="3592" width="8" style="2156" customWidth="1"/>
    <col min="3593" max="3593" width="8.109375" style="2156" customWidth="1"/>
    <col min="3594" max="3599" width="0" style="2156" hidden="1" customWidth="1"/>
    <col min="3600" max="3840" width="9.109375" style="2156"/>
    <col min="3841" max="3841" width="5.44140625" style="2156" customWidth="1"/>
    <col min="3842" max="3842" width="12.88671875" style="2156" customWidth="1"/>
    <col min="3843" max="3843" width="23.109375" style="2156" customWidth="1"/>
    <col min="3844" max="3844" width="14.109375" style="2156" bestFit="1" customWidth="1"/>
    <col min="3845" max="3845" width="15.44140625" style="2156" customWidth="1"/>
    <col min="3846" max="3846" width="21.109375" style="2156" customWidth="1"/>
    <col min="3847" max="3847" width="8.88671875" style="2156" customWidth="1"/>
    <col min="3848" max="3848" width="8" style="2156" customWidth="1"/>
    <col min="3849" max="3849" width="8.109375" style="2156" customWidth="1"/>
    <col min="3850" max="3855" width="0" style="2156" hidden="1" customWidth="1"/>
    <col min="3856" max="4096" width="9.109375" style="2156"/>
    <col min="4097" max="4097" width="5.44140625" style="2156" customWidth="1"/>
    <col min="4098" max="4098" width="12.88671875" style="2156" customWidth="1"/>
    <col min="4099" max="4099" width="23.109375" style="2156" customWidth="1"/>
    <col min="4100" max="4100" width="14.109375" style="2156" bestFit="1" customWidth="1"/>
    <col min="4101" max="4101" width="15.44140625" style="2156" customWidth="1"/>
    <col min="4102" max="4102" width="21.109375" style="2156" customWidth="1"/>
    <col min="4103" max="4103" width="8.88671875" style="2156" customWidth="1"/>
    <col min="4104" max="4104" width="8" style="2156" customWidth="1"/>
    <col min="4105" max="4105" width="8.109375" style="2156" customWidth="1"/>
    <col min="4106" max="4111" width="0" style="2156" hidden="1" customWidth="1"/>
    <col min="4112" max="4352" width="9.109375" style="2156"/>
    <col min="4353" max="4353" width="5.44140625" style="2156" customWidth="1"/>
    <col min="4354" max="4354" width="12.88671875" style="2156" customWidth="1"/>
    <col min="4355" max="4355" width="23.109375" style="2156" customWidth="1"/>
    <col min="4356" max="4356" width="14.109375" style="2156" bestFit="1" customWidth="1"/>
    <col min="4357" max="4357" width="15.44140625" style="2156" customWidth="1"/>
    <col min="4358" max="4358" width="21.109375" style="2156" customWidth="1"/>
    <col min="4359" max="4359" width="8.88671875" style="2156" customWidth="1"/>
    <col min="4360" max="4360" width="8" style="2156" customWidth="1"/>
    <col min="4361" max="4361" width="8.109375" style="2156" customWidth="1"/>
    <col min="4362" max="4367" width="0" style="2156" hidden="1" customWidth="1"/>
    <col min="4368" max="4608" width="9.109375" style="2156"/>
    <col min="4609" max="4609" width="5.44140625" style="2156" customWidth="1"/>
    <col min="4610" max="4610" width="12.88671875" style="2156" customWidth="1"/>
    <col min="4611" max="4611" width="23.109375" style="2156" customWidth="1"/>
    <col min="4612" max="4612" width="14.109375" style="2156" bestFit="1" customWidth="1"/>
    <col min="4613" max="4613" width="15.44140625" style="2156" customWidth="1"/>
    <col min="4614" max="4614" width="21.109375" style="2156" customWidth="1"/>
    <col min="4615" max="4615" width="8.88671875" style="2156" customWidth="1"/>
    <col min="4616" max="4616" width="8" style="2156" customWidth="1"/>
    <col min="4617" max="4617" width="8.109375" style="2156" customWidth="1"/>
    <col min="4618" max="4623" width="0" style="2156" hidden="1" customWidth="1"/>
    <col min="4624" max="4864" width="9.109375" style="2156"/>
    <col min="4865" max="4865" width="5.44140625" style="2156" customWidth="1"/>
    <col min="4866" max="4866" width="12.88671875" style="2156" customWidth="1"/>
    <col min="4867" max="4867" width="23.109375" style="2156" customWidth="1"/>
    <col min="4868" max="4868" width="14.109375" style="2156" bestFit="1" customWidth="1"/>
    <col min="4869" max="4869" width="15.44140625" style="2156" customWidth="1"/>
    <col min="4870" max="4870" width="21.109375" style="2156" customWidth="1"/>
    <col min="4871" max="4871" width="8.88671875" style="2156" customWidth="1"/>
    <col min="4872" max="4872" width="8" style="2156" customWidth="1"/>
    <col min="4873" max="4873" width="8.109375" style="2156" customWidth="1"/>
    <col min="4874" max="4879" width="0" style="2156" hidden="1" customWidth="1"/>
    <col min="4880" max="5120" width="9.109375" style="2156"/>
    <col min="5121" max="5121" width="5.44140625" style="2156" customWidth="1"/>
    <col min="5122" max="5122" width="12.88671875" style="2156" customWidth="1"/>
    <col min="5123" max="5123" width="23.109375" style="2156" customWidth="1"/>
    <col min="5124" max="5124" width="14.109375" style="2156" bestFit="1" customWidth="1"/>
    <col min="5125" max="5125" width="15.44140625" style="2156" customWidth="1"/>
    <col min="5126" max="5126" width="21.109375" style="2156" customWidth="1"/>
    <col min="5127" max="5127" width="8.88671875" style="2156" customWidth="1"/>
    <col min="5128" max="5128" width="8" style="2156" customWidth="1"/>
    <col min="5129" max="5129" width="8.109375" style="2156" customWidth="1"/>
    <col min="5130" max="5135" width="0" style="2156" hidden="1" customWidth="1"/>
    <col min="5136" max="5376" width="9.109375" style="2156"/>
    <col min="5377" max="5377" width="5.44140625" style="2156" customWidth="1"/>
    <col min="5378" max="5378" width="12.88671875" style="2156" customWidth="1"/>
    <col min="5379" max="5379" width="23.109375" style="2156" customWidth="1"/>
    <col min="5380" max="5380" width="14.109375" style="2156" bestFit="1" customWidth="1"/>
    <col min="5381" max="5381" width="15.44140625" style="2156" customWidth="1"/>
    <col min="5382" max="5382" width="21.109375" style="2156" customWidth="1"/>
    <col min="5383" max="5383" width="8.88671875" style="2156" customWidth="1"/>
    <col min="5384" max="5384" width="8" style="2156" customWidth="1"/>
    <col min="5385" max="5385" width="8.109375" style="2156" customWidth="1"/>
    <col min="5386" max="5391" width="0" style="2156" hidden="1" customWidth="1"/>
    <col min="5392" max="5632" width="9.109375" style="2156"/>
    <col min="5633" max="5633" width="5.44140625" style="2156" customWidth="1"/>
    <col min="5634" max="5634" width="12.88671875" style="2156" customWidth="1"/>
    <col min="5635" max="5635" width="23.109375" style="2156" customWidth="1"/>
    <col min="5636" max="5636" width="14.109375" style="2156" bestFit="1" customWidth="1"/>
    <col min="5637" max="5637" width="15.44140625" style="2156" customWidth="1"/>
    <col min="5638" max="5638" width="21.109375" style="2156" customWidth="1"/>
    <col min="5639" max="5639" width="8.88671875" style="2156" customWidth="1"/>
    <col min="5640" max="5640" width="8" style="2156" customWidth="1"/>
    <col min="5641" max="5641" width="8.109375" style="2156" customWidth="1"/>
    <col min="5642" max="5647" width="0" style="2156" hidden="1" customWidth="1"/>
    <col min="5648" max="5888" width="9.109375" style="2156"/>
    <col min="5889" max="5889" width="5.44140625" style="2156" customWidth="1"/>
    <col min="5890" max="5890" width="12.88671875" style="2156" customWidth="1"/>
    <col min="5891" max="5891" width="23.109375" style="2156" customWidth="1"/>
    <col min="5892" max="5892" width="14.109375" style="2156" bestFit="1" customWidth="1"/>
    <col min="5893" max="5893" width="15.44140625" style="2156" customWidth="1"/>
    <col min="5894" max="5894" width="21.109375" style="2156" customWidth="1"/>
    <col min="5895" max="5895" width="8.88671875" style="2156" customWidth="1"/>
    <col min="5896" max="5896" width="8" style="2156" customWidth="1"/>
    <col min="5897" max="5897" width="8.109375" style="2156" customWidth="1"/>
    <col min="5898" max="5903" width="0" style="2156" hidden="1" customWidth="1"/>
    <col min="5904" max="6144" width="9.109375" style="2156"/>
    <col min="6145" max="6145" width="5.44140625" style="2156" customWidth="1"/>
    <col min="6146" max="6146" width="12.88671875" style="2156" customWidth="1"/>
    <col min="6147" max="6147" width="23.109375" style="2156" customWidth="1"/>
    <col min="6148" max="6148" width="14.109375" style="2156" bestFit="1" customWidth="1"/>
    <col min="6149" max="6149" width="15.44140625" style="2156" customWidth="1"/>
    <col min="6150" max="6150" width="21.109375" style="2156" customWidth="1"/>
    <col min="6151" max="6151" width="8.88671875" style="2156" customWidth="1"/>
    <col min="6152" max="6152" width="8" style="2156" customWidth="1"/>
    <col min="6153" max="6153" width="8.109375" style="2156" customWidth="1"/>
    <col min="6154" max="6159" width="0" style="2156" hidden="1" customWidth="1"/>
    <col min="6160" max="6400" width="9.109375" style="2156"/>
    <col min="6401" max="6401" width="5.44140625" style="2156" customWidth="1"/>
    <col min="6402" max="6402" width="12.88671875" style="2156" customWidth="1"/>
    <col min="6403" max="6403" width="23.109375" style="2156" customWidth="1"/>
    <col min="6404" max="6404" width="14.109375" style="2156" bestFit="1" customWidth="1"/>
    <col min="6405" max="6405" width="15.44140625" style="2156" customWidth="1"/>
    <col min="6406" max="6406" width="21.109375" style="2156" customWidth="1"/>
    <col min="6407" max="6407" width="8.88671875" style="2156" customWidth="1"/>
    <col min="6408" max="6408" width="8" style="2156" customWidth="1"/>
    <col min="6409" max="6409" width="8.109375" style="2156" customWidth="1"/>
    <col min="6410" max="6415" width="0" style="2156" hidden="1" customWidth="1"/>
    <col min="6416" max="6656" width="9.109375" style="2156"/>
    <col min="6657" max="6657" width="5.44140625" style="2156" customWidth="1"/>
    <col min="6658" max="6658" width="12.88671875" style="2156" customWidth="1"/>
    <col min="6659" max="6659" width="23.109375" style="2156" customWidth="1"/>
    <col min="6660" max="6660" width="14.109375" style="2156" bestFit="1" customWidth="1"/>
    <col min="6661" max="6661" width="15.44140625" style="2156" customWidth="1"/>
    <col min="6662" max="6662" width="21.109375" style="2156" customWidth="1"/>
    <col min="6663" max="6663" width="8.88671875" style="2156" customWidth="1"/>
    <col min="6664" max="6664" width="8" style="2156" customWidth="1"/>
    <col min="6665" max="6665" width="8.109375" style="2156" customWidth="1"/>
    <col min="6666" max="6671" width="0" style="2156" hidden="1" customWidth="1"/>
    <col min="6672" max="6912" width="9.109375" style="2156"/>
    <col min="6913" max="6913" width="5.44140625" style="2156" customWidth="1"/>
    <col min="6914" max="6914" width="12.88671875" style="2156" customWidth="1"/>
    <col min="6915" max="6915" width="23.109375" style="2156" customWidth="1"/>
    <col min="6916" max="6916" width="14.109375" style="2156" bestFit="1" customWidth="1"/>
    <col min="6917" max="6917" width="15.44140625" style="2156" customWidth="1"/>
    <col min="6918" max="6918" width="21.109375" style="2156" customWidth="1"/>
    <col min="6919" max="6919" width="8.88671875" style="2156" customWidth="1"/>
    <col min="6920" max="6920" width="8" style="2156" customWidth="1"/>
    <col min="6921" max="6921" width="8.109375" style="2156" customWidth="1"/>
    <col min="6922" max="6927" width="0" style="2156" hidden="1" customWidth="1"/>
    <col min="6928" max="7168" width="9.109375" style="2156"/>
    <col min="7169" max="7169" width="5.44140625" style="2156" customWidth="1"/>
    <col min="7170" max="7170" width="12.88671875" style="2156" customWidth="1"/>
    <col min="7171" max="7171" width="23.109375" style="2156" customWidth="1"/>
    <col min="7172" max="7172" width="14.109375" style="2156" bestFit="1" customWidth="1"/>
    <col min="7173" max="7173" width="15.44140625" style="2156" customWidth="1"/>
    <col min="7174" max="7174" width="21.109375" style="2156" customWidth="1"/>
    <col min="7175" max="7175" width="8.88671875" style="2156" customWidth="1"/>
    <col min="7176" max="7176" width="8" style="2156" customWidth="1"/>
    <col min="7177" max="7177" width="8.109375" style="2156" customWidth="1"/>
    <col min="7178" max="7183" width="0" style="2156" hidden="1" customWidth="1"/>
    <col min="7184" max="7424" width="9.109375" style="2156"/>
    <col min="7425" max="7425" width="5.44140625" style="2156" customWidth="1"/>
    <col min="7426" max="7426" width="12.88671875" style="2156" customWidth="1"/>
    <col min="7427" max="7427" width="23.109375" style="2156" customWidth="1"/>
    <col min="7428" max="7428" width="14.109375" style="2156" bestFit="1" customWidth="1"/>
    <col min="7429" max="7429" width="15.44140625" style="2156" customWidth="1"/>
    <col min="7430" max="7430" width="21.109375" style="2156" customWidth="1"/>
    <col min="7431" max="7431" width="8.88671875" style="2156" customWidth="1"/>
    <col min="7432" max="7432" width="8" style="2156" customWidth="1"/>
    <col min="7433" max="7433" width="8.109375" style="2156" customWidth="1"/>
    <col min="7434" max="7439" width="0" style="2156" hidden="1" customWidth="1"/>
    <col min="7440" max="7680" width="9.109375" style="2156"/>
    <col min="7681" max="7681" width="5.44140625" style="2156" customWidth="1"/>
    <col min="7682" max="7682" width="12.88671875" style="2156" customWidth="1"/>
    <col min="7683" max="7683" width="23.109375" style="2156" customWidth="1"/>
    <col min="7684" max="7684" width="14.109375" style="2156" bestFit="1" customWidth="1"/>
    <col min="7685" max="7685" width="15.44140625" style="2156" customWidth="1"/>
    <col min="7686" max="7686" width="21.109375" style="2156" customWidth="1"/>
    <col min="7687" max="7687" width="8.88671875" style="2156" customWidth="1"/>
    <col min="7688" max="7688" width="8" style="2156" customWidth="1"/>
    <col min="7689" max="7689" width="8.109375" style="2156" customWidth="1"/>
    <col min="7690" max="7695" width="0" style="2156" hidden="1" customWidth="1"/>
    <col min="7696" max="7936" width="9.109375" style="2156"/>
    <col min="7937" max="7937" width="5.44140625" style="2156" customWidth="1"/>
    <col min="7938" max="7938" width="12.88671875" style="2156" customWidth="1"/>
    <col min="7939" max="7939" width="23.109375" style="2156" customWidth="1"/>
    <col min="7940" max="7940" width="14.109375" style="2156" bestFit="1" customWidth="1"/>
    <col min="7941" max="7941" width="15.44140625" style="2156" customWidth="1"/>
    <col min="7942" max="7942" width="21.109375" style="2156" customWidth="1"/>
    <col min="7943" max="7943" width="8.88671875" style="2156" customWidth="1"/>
    <col min="7944" max="7944" width="8" style="2156" customWidth="1"/>
    <col min="7945" max="7945" width="8.109375" style="2156" customWidth="1"/>
    <col min="7946" max="7951" width="0" style="2156" hidden="1" customWidth="1"/>
    <col min="7952" max="8192" width="9.109375" style="2156"/>
    <col min="8193" max="8193" width="5.44140625" style="2156" customWidth="1"/>
    <col min="8194" max="8194" width="12.88671875" style="2156" customWidth="1"/>
    <col min="8195" max="8195" width="23.109375" style="2156" customWidth="1"/>
    <col min="8196" max="8196" width="14.109375" style="2156" bestFit="1" customWidth="1"/>
    <col min="8197" max="8197" width="15.44140625" style="2156" customWidth="1"/>
    <col min="8198" max="8198" width="21.109375" style="2156" customWidth="1"/>
    <col min="8199" max="8199" width="8.88671875" style="2156" customWidth="1"/>
    <col min="8200" max="8200" width="8" style="2156" customWidth="1"/>
    <col min="8201" max="8201" width="8.109375" style="2156" customWidth="1"/>
    <col min="8202" max="8207" width="0" style="2156" hidden="1" customWidth="1"/>
    <col min="8208" max="8448" width="9.109375" style="2156"/>
    <col min="8449" max="8449" width="5.44140625" style="2156" customWidth="1"/>
    <col min="8450" max="8450" width="12.88671875" style="2156" customWidth="1"/>
    <col min="8451" max="8451" width="23.109375" style="2156" customWidth="1"/>
    <col min="8452" max="8452" width="14.109375" style="2156" bestFit="1" customWidth="1"/>
    <col min="8453" max="8453" width="15.44140625" style="2156" customWidth="1"/>
    <col min="8454" max="8454" width="21.109375" style="2156" customWidth="1"/>
    <col min="8455" max="8455" width="8.88671875" style="2156" customWidth="1"/>
    <col min="8456" max="8456" width="8" style="2156" customWidth="1"/>
    <col min="8457" max="8457" width="8.109375" style="2156" customWidth="1"/>
    <col min="8458" max="8463" width="0" style="2156" hidden="1" customWidth="1"/>
    <col min="8464" max="8704" width="9.109375" style="2156"/>
    <col min="8705" max="8705" width="5.44140625" style="2156" customWidth="1"/>
    <col min="8706" max="8706" width="12.88671875" style="2156" customWidth="1"/>
    <col min="8707" max="8707" width="23.109375" style="2156" customWidth="1"/>
    <col min="8708" max="8708" width="14.109375" style="2156" bestFit="1" customWidth="1"/>
    <col min="8709" max="8709" width="15.44140625" style="2156" customWidth="1"/>
    <col min="8710" max="8710" width="21.109375" style="2156" customWidth="1"/>
    <col min="8711" max="8711" width="8.88671875" style="2156" customWidth="1"/>
    <col min="8712" max="8712" width="8" style="2156" customWidth="1"/>
    <col min="8713" max="8713" width="8.109375" style="2156" customWidth="1"/>
    <col min="8714" max="8719" width="0" style="2156" hidden="1" customWidth="1"/>
    <col min="8720" max="8960" width="9.109375" style="2156"/>
    <col min="8961" max="8961" width="5.44140625" style="2156" customWidth="1"/>
    <col min="8962" max="8962" width="12.88671875" style="2156" customWidth="1"/>
    <col min="8963" max="8963" width="23.109375" style="2156" customWidth="1"/>
    <col min="8964" max="8964" width="14.109375" style="2156" bestFit="1" customWidth="1"/>
    <col min="8965" max="8965" width="15.44140625" style="2156" customWidth="1"/>
    <col min="8966" max="8966" width="21.109375" style="2156" customWidth="1"/>
    <col min="8967" max="8967" width="8.88671875" style="2156" customWidth="1"/>
    <col min="8968" max="8968" width="8" style="2156" customWidth="1"/>
    <col min="8969" max="8969" width="8.109375" style="2156" customWidth="1"/>
    <col min="8970" max="8975" width="0" style="2156" hidden="1" customWidth="1"/>
    <col min="8976" max="9216" width="9.109375" style="2156"/>
    <col min="9217" max="9217" width="5.44140625" style="2156" customWidth="1"/>
    <col min="9218" max="9218" width="12.88671875" style="2156" customWidth="1"/>
    <col min="9219" max="9219" width="23.109375" style="2156" customWidth="1"/>
    <col min="9220" max="9220" width="14.109375" style="2156" bestFit="1" customWidth="1"/>
    <col min="9221" max="9221" width="15.44140625" style="2156" customWidth="1"/>
    <col min="9222" max="9222" width="21.109375" style="2156" customWidth="1"/>
    <col min="9223" max="9223" width="8.88671875" style="2156" customWidth="1"/>
    <col min="9224" max="9224" width="8" style="2156" customWidth="1"/>
    <col min="9225" max="9225" width="8.109375" style="2156" customWidth="1"/>
    <col min="9226" max="9231" width="0" style="2156" hidden="1" customWidth="1"/>
    <col min="9232" max="9472" width="9.109375" style="2156"/>
    <col min="9473" max="9473" width="5.44140625" style="2156" customWidth="1"/>
    <col min="9474" max="9474" width="12.88671875" style="2156" customWidth="1"/>
    <col min="9475" max="9475" width="23.109375" style="2156" customWidth="1"/>
    <col min="9476" max="9476" width="14.109375" style="2156" bestFit="1" customWidth="1"/>
    <col min="9477" max="9477" width="15.44140625" style="2156" customWidth="1"/>
    <col min="9478" max="9478" width="21.109375" style="2156" customWidth="1"/>
    <col min="9479" max="9479" width="8.88671875" style="2156" customWidth="1"/>
    <col min="9480" max="9480" width="8" style="2156" customWidth="1"/>
    <col min="9481" max="9481" width="8.109375" style="2156" customWidth="1"/>
    <col min="9482" max="9487" width="0" style="2156" hidden="1" customWidth="1"/>
    <col min="9488" max="9728" width="9.109375" style="2156"/>
    <col min="9729" max="9729" width="5.44140625" style="2156" customWidth="1"/>
    <col min="9730" max="9730" width="12.88671875" style="2156" customWidth="1"/>
    <col min="9731" max="9731" width="23.109375" style="2156" customWidth="1"/>
    <col min="9732" max="9732" width="14.109375" style="2156" bestFit="1" customWidth="1"/>
    <col min="9733" max="9733" width="15.44140625" style="2156" customWidth="1"/>
    <col min="9734" max="9734" width="21.109375" style="2156" customWidth="1"/>
    <col min="9735" max="9735" width="8.88671875" style="2156" customWidth="1"/>
    <col min="9736" max="9736" width="8" style="2156" customWidth="1"/>
    <col min="9737" max="9737" width="8.109375" style="2156" customWidth="1"/>
    <col min="9738" max="9743" width="0" style="2156" hidden="1" customWidth="1"/>
    <col min="9744" max="9984" width="9.109375" style="2156"/>
    <col min="9985" max="9985" width="5.44140625" style="2156" customWidth="1"/>
    <col min="9986" max="9986" width="12.88671875" style="2156" customWidth="1"/>
    <col min="9987" max="9987" width="23.109375" style="2156" customWidth="1"/>
    <col min="9988" max="9988" width="14.109375" style="2156" bestFit="1" customWidth="1"/>
    <col min="9989" max="9989" width="15.44140625" style="2156" customWidth="1"/>
    <col min="9990" max="9990" width="21.109375" style="2156" customWidth="1"/>
    <col min="9991" max="9991" width="8.88671875" style="2156" customWidth="1"/>
    <col min="9992" max="9992" width="8" style="2156" customWidth="1"/>
    <col min="9993" max="9993" width="8.109375" style="2156" customWidth="1"/>
    <col min="9994" max="9999" width="0" style="2156" hidden="1" customWidth="1"/>
    <col min="10000" max="10240" width="9.109375" style="2156"/>
    <col min="10241" max="10241" width="5.44140625" style="2156" customWidth="1"/>
    <col min="10242" max="10242" width="12.88671875" style="2156" customWidth="1"/>
    <col min="10243" max="10243" width="23.109375" style="2156" customWidth="1"/>
    <col min="10244" max="10244" width="14.109375" style="2156" bestFit="1" customWidth="1"/>
    <col min="10245" max="10245" width="15.44140625" style="2156" customWidth="1"/>
    <col min="10246" max="10246" width="21.109375" style="2156" customWidth="1"/>
    <col min="10247" max="10247" width="8.88671875" style="2156" customWidth="1"/>
    <col min="10248" max="10248" width="8" style="2156" customWidth="1"/>
    <col min="10249" max="10249" width="8.109375" style="2156" customWidth="1"/>
    <col min="10250" max="10255" width="0" style="2156" hidden="1" customWidth="1"/>
    <col min="10256" max="10496" width="9.109375" style="2156"/>
    <col min="10497" max="10497" width="5.44140625" style="2156" customWidth="1"/>
    <col min="10498" max="10498" width="12.88671875" style="2156" customWidth="1"/>
    <col min="10499" max="10499" width="23.109375" style="2156" customWidth="1"/>
    <col min="10500" max="10500" width="14.109375" style="2156" bestFit="1" customWidth="1"/>
    <col min="10501" max="10501" width="15.44140625" style="2156" customWidth="1"/>
    <col min="10502" max="10502" width="21.109375" style="2156" customWidth="1"/>
    <col min="10503" max="10503" width="8.88671875" style="2156" customWidth="1"/>
    <col min="10504" max="10504" width="8" style="2156" customWidth="1"/>
    <col min="10505" max="10505" width="8.109375" style="2156" customWidth="1"/>
    <col min="10506" max="10511" width="0" style="2156" hidden="1" customWidth="1"/>
    <col min="10512" max="10752" width="9.109375" style="2156"/>
    <col min="10753" max="10753" width="5.44140625" style="2156" customWidth="1"/>
    <col min="10754" max="10754" width="12.88671875" style="2156" customWidth="1"/>
    <col min="10755" max="10755" width="23.109375" style="2156" customWidth="1"/>
    <col min="10756" max="10756" width="14.109375" style="2156" bestFit="1" customWidth="1"/>
    <col min="10757" max="10757" width="15.44140625" style="2156" customWidth="1"/>
    <col min="10758" max="10758" width="21.109375" style="2156" customWidth="1"/>
    <col min="10759" max="10759" width="8.88671875" style="2156" customWidth="1"/>
    <col min="10760" max="10760" width="8" style="2156" customWidth="1"/>
    <col min="10761" max="10761" width="8.109375" style="2156" customWidth="1"/>
    <col min="10762" max="10767" width="0" style="2156" hidden="1" customWidth="1"/>
    <col min="10768" max="11008" width="9.109375" style="2156"/>
    <col min="11009" max="11009" width="5.44140625" style="2156" customWidth="1"/>
    <col min="11010" max="11010" width="12.88671875" style="2156" customWidth="1"/>
    <col min="11011" max="11011" width="23.109375" style="2156" customWidth="1"/>
    <col min="11012" max="11012" width="14.109375" style="2156" bestFit="1" customWidth="1"/>
    <col min="11013" max="11013" width="15.44140625" style="2156" customWidth="1"/>
    <col min="11014" max="11014" width="21.109375" style="2156" customWidth="1"/>
    <col min="11015" max="11015" width="8.88671875" style="2156" customWidth="1"/>
    <col min="11016" max="11016" width="8" style="2156" customWidth="1"/>
    <col min="11017" max="11017" width="8.109375" style="2156" customWidth="1"/>
    <col min="11018" max="11023" width="0" style="2156" hidden="1" customWidth="1"/>
    <col min="11024" max="11264" width="9.109375" style="2156"/>
    <col min="11265" max="11265" width="5.44140625" style="2156" customWidth="1"/>
    <col min="11266" max="11266" width="12.88671875" style="2156" customWidth="1"/>
    <col min="11267" max="11267" width="23.109375" style="2156" customWidth="1"/>
    <col min="11268" max="11268" width="14.109375" style="2156" bestFit="1" customWidth="1"/>
    <col min="11269" max="11269" width="15.44140625" style="2156" customWidth="1"/>
    <col min="11270" max="11270" width="21.109375" style="2156" customWidth="1"/>
    <col min="11271" max="11271" width="8.88671875" style="2156" customWidth="1"/>
    <col min="11272" max="11272" width="8" style="2156" customWidth="1"/>
    <col min="11273" max="11273" width="8.109375" style="2156" customWidth="1"/>
    <col min="11274" max="11279" width="0" style="2156" hidden="1" customWidth="1"/>
    <col min="11280" max="11520" width="9.109375" style="2156"/>
    <col min="11521" max="11521" width="5.44140625" style="2156" customWidth="1"/>
    <col min="11522" max="11522" width="12.88671875" style="2156" customWidth="1"/>
    <col min="11523" max="11523" width="23.109375" style="2156" customWidth="1"/>
    <col min="11524" max="11524" width="14.109375" style="2156" bestFit="1" customWidth="1"/>
    <col min="11525" max="11525" width="15.44140625" style="2156" customWidth="1"/>
    <col min="11526" max="11526" width="21.109375" style="2156" customWidth="1"/>
    <col min="11527" max="11527" width="8.88671875" style="2156" customWidth="1"/>
    <col min="11528" max="11528" width="8" style="2156" customWidth="1"/>
    <col min="11529" max="11529" width="8.109375" style="2156" customWidth="1"/>
    <col min="11530" max="11535" width="0" style="2156" hidden="1" customWidth="1"/>
    <col min="11536" max="11776" width="9.109375" style="2156"/>
    <col min="11777" max="11777" width="5.44140625" style="2156" customWidth="1"/>
    <col min="11778" max="11778" width="12.88671875" style="2156" customWidth="1"/>
    <col min="11779" max="11779" width="23.109375" style="2156" customWidth="1"/>
    <col min="11780" max="11780" width="14.109375" style="2156" bestFit="1" customWidth="1"/>
    <col min="11781" max="11781" width="15.44140625" style="2156" customWidth="1"/>
    <col min="11782" max="11782" width="21.109375" style="2156" customWidth="1"/>
    <col min="11783" max="11783" width="8.88671875" style="2156" customWidth="1"/>
    <col min="11784" max="11784" width="8" style="2156" customWidth="1"/>
    <col min="11785" max="11785" width="8.109375" style="2156" customWidth="1"/>
    <col min="11786" max="11791" width="0" style="2156" hidden="1" customWidth="1"/>
    <col min="11792" max="12032" width="9.109375" style="2156"/>
    <col min="12033" max="12033" width="5.44140625" style="2156" customWidth="1"/>
    <col min="12034" max="12034" width="12.88671875" style="2156" customWidth="1"/>
    <col min="12035" max="12035" width="23.109375" style="2156" customWidth="1"/>
    <col min="12036" max="12036" width="14.109375" style="2156" bestFit="1" customWidth="1"/>
    <col min="12037" max="12037" width="15.44140625" style="2156" customWidth="1"/>
    <col min="12038" max="12038" width="21.109375" style="2156" customWidth="1"/>
    <col min="12039" max="12039" width="8.88671875" style="2156" customWidth="1"/>
    <col min="12040" max="12040" width="8" style="2156" customWidth="1"/>
    <col min="12041" max="12041" width="8.109375" style="2156" customWidth="1"/>
    <col min="12042" max="12047" width="0" style="2156" hidden="1" customWidth="1"/>
    <col min="12048" max="12288" width="9.109375" style="2156"/>
    <col min="12289" max="12289" width="5.44140625" style="2156" customWidth="1"/>
    <col min="12290" max="12290" width="12.88671875" style="2156" customWidth="1"/>
    <col min="12291" max="12291" width="23.109375" style="2156" customWidth="1"/>
    <col min="12292" max="12292" width="14.109375" style="2156" bestFit="1" customWidth="1"/>
    <col min="12293" max="12293" width="15.44140625" style="2156" customWidth="1"/>
    <col min="12294" max="12294" width="21.109375" style="2156" customWidth="1"/>
    <col min="12295" max="12295" width="8.88671875" style="2156" customWidth="1"/>
    <col min="12296" max="12296" width="8" style="2156" customWidth="1"/>
    <col min="12297" max="12297" width="8.109375" style="2156" customWidth="1"/>
    <col min="12298" max="12303" width="0" style="2156" hidden="1" customWidth="1"/>
    <col min="12304" max="12544" width="9.109375" style="2156"/>
    <col min="12545" max="12545" width="5.44140625" style="2156" customWidth="1"/>
    <col min="12546" max="12546" width="12.88671875" style="2156" customWidth="1"/>
    <col min="12547" max="12547" width="23.109375" style="2156" customWidth="1"/>
    <col min="12548" max="12548" width="14.109375" style="2156" bestFit="1" customWidth="1"/>
    <col min="12549" max="12549" width="15.44140625" style="2156" customWidth="1"/>
    <col min="12550" max="12550" width="21.109375" style="2156" customWidth="1"/>
    <col min="12551" max="12551" width="8.88671875" style="2156" customWidth="1"/>
    <col min="12552" max="12552" width="8" style="2156" customWidth="1"/>
    <col min="12553" max="12553" width="8.109375" style="2156" customWidth="1"/>
    <col min="12554" max="12559" width="0" style="2156" hidden="1" customWidth="1"/>
    <col min="12560" max="12800" width="9.109375" style="2156"/>
    <col min="12801" max="12801" width="5.44140625" style="2156" customWidth="1"/>
    <col min="12802" max="12802" width="12.88671875" style="2156" customWidth="1"/>
    <col min="12803" max="12803" width="23.109375" style="2156" customWidth="1"/>
    <col min="12804" max="12804" width="14.109375" style="2156" bestFit="1" customWidth="1"/>
    <col min="12805" max="12805" width="15.44140625" style="2156" customWidth="1"/>
    <col min="12806" max="12806" width="21.109375" style="2156" customWidth="1"/>
    <col min="12807" max="12807" width="8.88671875" style="2156" customWidth="1"/>
    <col min="12808" max="12808" width="8" style="2156" customWidth="1"/>
    <col min="12809" max="12809" width="8.109375" style="2156" customWidth="1"/>
    <col min="12810" max="12815" width="0" style="2156" hidden="1" customWidth="1"/>
    <col min="12816" max="13056" width="9.109375" style="2156"/>
    <col min="13057" max="13057" width="5.44140625" style="2156" customWidth="1"/>
    <col min="13058" max="13058" width="12.88671875" style="2156" customWidth="1"/>
    <col min="13059" max="13059" width="23.109375" style="2156" customWidth="1"/>
    <col min="13060" max="13060" width="14.109375" style="2156" bestFit="1" customWidth="1"/>
    <col min="13061" max="13061" width="15.44140625" style="2156" customWidth="1"/>
    <col min="13062" max="13062" width="21.109375" style="2156" customWidth="1"/>
    <col min="13063" max="13063" width="8.88671875" style="2156" customWidth="1"/>
    <col min="13064" max="13064" width="8" style="2156" customWidth="1"/>
    <col min="13065" max="13065" width="8.109375" style="2156" customWidth="1"/>
    <col min="13066" max="13071" width="0" style="2156" hidden="1" customWidth="1"/>
    <col min="13072" max="13312" width="9.109375" style="2156"/>
    <col min="13313" max="13313" width="5.44140625" style="2156" customWidth="1"/>
    <col min="13314" max="13314" width="12.88671875" style="2156" customWidth="1"/>
    <col min="13315" max="13315" width="23.109375" style="2156" customWidth="1"/>
    <col min="13316" max="13316" width="14.109375" style="2156" bestFit="1" customWidth="1"/>
    <col min="13317" max="13317" width="15.44140625" style="2156" customWidth="1"/>
    <col min="13318" max="13318" width="21.109375" style="2156" customWidth="1"/>
    <col min="13319" max="13319" width="8.88671875" style="2156" customWidth="1"/>
    <col min="13320" max="13320" width="8" style="2156" customWidth="1"/>
    <col min="13321" max="13321" width="8.109375" style="2156" customWidth="1"/>
    <col min="13322" max="13327" width="0" style="2156" hidden="1" customWidth="1"/>
    <col min="13328" max="13568" width="9.109375" style="2156"/>
    <col min="13569" max="13569" width="5.44140625" style="2156" customWidth="1"/>
    <col min="13570" max="13570" width="12.88671875" style="2156" customWidth="1"/>
    <col min="13571" max="13571" width="23.109375" style="2156" customWidth="1"/>
    <col min="13572" max="13572" width="14.109375" style="2156" bestFit="1" customWidth="1"/>
    <col min="13573" max="13573" width="15.44140625" style="2156" customWidth="1"/>
    <col min="13574" max="13574" width="21.109375" style="2156" customWidth="1"/>
    <col min="13575" max="13575" width="8.88671875" style="2156" customWidth="1"/>
    <col min="13576" max="13576" width="8" style="2156" customWidth="1"/>
    <col min="13577" max="13577" width="8.109375" style="2156" customWidth="1"/>
    <col min="13578" max="13583" width="0" style="2156" hidden="1" customWidth="1"/>
    <col min="13584" max="13824" width="9.109375" style="2156"/>
    <col min="13825" max="13825" width="5.44140625" style="2156" customWidth="1"/>
    <col min="13826" max="13826" width="12.88671875" style="2156" customWidth="1"/>
    <col min="13827" max="13827" width="23.109375" style="2156" customWidth="1"/>
    <col min="13828" max="13828" width="14.109375" style="2156" bestFit="1" customWidth="1"/>
    <col min="13829" max="13829" width="15.44140625" style="2156" customWidth="1"/>
    <col min="13830" max="13830" width="21.109375" style="2156" customWidth="1"/>
    <col min="13831" max="13831" width="8.88671875" style="2156" customWidth="1"/>
    <col min="13832" max="13832" width="8" style="2156" customWidth="1"/>
    <col min="13833" max="13833" width="8.109375" style="2156" customWidth="1"/>
    <col min="13834" max="13839" width="0" style="2156" hidden="1" customWidth="1"/>
    <col min="13840" max="14080" width="9.109375" style="2156"/>
    <col min="14081" max="14081" width="5.44140625" style="2156" customWidth="1"/>
    <col min="14082" max="14082" width="12.88671875" style="2156" customWidth="1"/>
    <col min="14083" max="14083" width="23.109375" style="2156" customWidth="1"/>
    <col min="14084" max="14084" width="14.109375" style="2156" bestFit="1" customWidth="1"/>
    <col min="14085" max="14085" width="15.44140625" style="2156" customWidth="1"/>
    <col min="14086" max="14086" width="21.109375" style="2156" customWidth="1"/>
    <col min="14087" max="14087" width="8.88671875" style="2156" customWidth="1"/>
    <col min="14088" max="14088" width="8" style="2156" customWidth="1"/>
    <col min="14089" max="14089" width="8.109375" style="2156" customWidth="1"/>
    <col min="14090" max="14095" width="0" style="2156" hidden="1" customWidth="1"/>
    <col min="14096" max="14336" width="9.109375" style="2156"/>
    <col min="14337" max="14337" width="5.44140625" style="2156" customWidth="1"/>
    <col min="14338" max="14338" width="12.88671875" style="2156" customWidth="1"/>
    <col min="14339" max="14339" width="23.109375" style="2156" customWidth="1"/>
    <col min="14340" max="14340" width="14.109375" style="2156" bestFit="1" customWidth="1"/>
    <col min="14341" max="14341" width="15.44140625" style="2156" customWidth="1"/>
    <col min="14342" max="14342" width="21.109375" style="2156" customWidth="1"/>
    <col min="14343" max="14343" width="8.88671875" style="2156" customWidth="1"/>
    <col min="14344" max="14344" width="8" style="2156" customWidth="1"/>
    <col min="14345" max="14345" width="8.109375" style="2156" customWidth="1"/>
    <col min="14346" max="14351" width="0" style="2156" hidden="1" customWidth="1"/>
    <col min="14352" max="14592" width="9.109375" style="2156"/>
    <col min="14593" max="14593" width="5.44140625" style="2156" customWidth="1"/>
    <col min="14594" max="14594" width="12.88671875" style="2156" customWidth="1"/>
    <col min="14595" max="14595" width="23.109375" style="2156" customWidth="1"/>
    <col min="14596" max="14596" width="14.109375" style="2156" bestFit="1" customWidth="1"/>
    <col min="14597" max="14597" width="15.44140625" style="2156" customWidth="1"/>
    <col min="14598" max="14598" width="21.109375" style="2156" customWidth="1"/>
    <col min="14599" max="14599" width="8.88671875" style="2156" customWidth="1"/>
    <col min="14600" max="14600" width="8" style="2156" customWidth="1"/>
    <col min="14601" max="14601" width="8.109375" style="2156" customWidth="1"/>
    <col min="14602" max="14607" width="0" style="2156" hidden="1" customWidth="1"/>
    <col min="14608" max="14848" width="9.109375" style="2156"/>
    <col min="14849" max="14849" width="5.44140625" style="2156" customWidth="1"/>
    <col min="14850" max="14850" width="12.88671875" style="2156" customWidth="1"/>
    <col min="14851" max="14851" width="23.109375" style="2156" customWidth="1"/>
    <col min="14852" max="14852" width="14.109375" style="2156" bestFit="1" customWidth="1"/>
    <col min="14853" max="14853" width="15.44140625" style="2156" customWidth="1"/>
    <col min="14854" max="14854" width="21.109375" style="2156" customWidth="1"/>
    <col min="14855" max="14855" width="8.88671875" style="2156" customWidth="1"/>
    <col min="14856" max="14856" width="8" style="2156" customWidth="1"/>
    <col min="14857" max="14857" width="8.109375" style="2156" customWidth="1"/>
    <col min="14858" max="14863" width="0" style="2156" hidden="1" customWidth="1"/>
    <col min="14864" max="15104" width="9.109375" style="2156"/>
    <col min="15105" max="15105" width="5.44140625" style="2156" customWidth="1"/>
    <col min="15106" max="15106" width="12.88671875" style="2156" customWidth="1"/>
    <col min="15107" max="15107" width="23.109375" style="2156" customWidth="1"/>
    <col min="15108" max="15108" width="14.109375" style="2156" bestFit="1" customWidth="1"/>
    <col min="15109" max="15109" width="15.44140625" style="2156" customWidth="1"/>
    <col min="15110" max="15110" width="21.109375" style="2156" customWidth="1"/>
    <col min="15111" max="15111" width="8.88671875" style="2156" customWidth="1"/>
    <col min="15112" max="15112" width="8" style="2156" customWidth="1"/>
    <col min="15113" max="15113" width="8.109375" style="2156" customWidth="1"/>
    <col min="15114" max="15119" width="0" style="2156" hidden="1" customWidth="1"/>
    <col min="15120" max="15360" width="9.109375" style="2156"/>
    <col min="15361" max="15361" width="5.44140625" style="2156" customWidth="1"/>
    <col min="15362" max="15362" width="12.88671875" style="2156" customWidth="1"/>
    <col min="15363" max="15363" width="23.109375" style="2156" customWidth="1"/>
    <col min="15364" max="15364" width="14.109375" style="2156" bestFit="1" customWidth="1"/>
    <col min="15365" max="15365" width="15.44140625" style="2156" customWidth="1"/>
    <col min="15366" max="15366" width="21.109375" style="2156" customWidth="1"/>
    <col min="15367" max="15367" width="8.88671875" style="2156" customWidth="1"/>
    <col min="15368" max="15368" width="8" style="2156" customWidth="1"/>
    <col min="15369" max="15369" width="8.109375" style="2156" customWidth="1"/>
    <col min="15370" max="15375" width="0" style="2156" hidden="1" customWidth="1"/>
    <col min="15376" max="15616" width="9.109375" style="2156"/>
    <col min="15617" max="15617" width="5.44140625" style="2156" customWidth="1"/>
    <col min="15618" max="15618" width="12.88671875" style="2156" customWidth="1"/>
    <col min="15619" max="15619" width="23.109375" style="2156" customWidth="1"/>
    <col min="15620" max="15620" width="14.109375" style="2156" bestFit="1" customWidth="1"/>
    <col min="15621" max="15621" width="15.44140625" style="2156" customWidth="1"/>
    <col min="15622" max="15622" width="21.109375" style="2156" customWidth="1"/>
    <col min="15623" max="15623" width="8.88671875" style="2156" customWidth="1"/>
    <col min="15624" max="15624" width="8" style="2156" customWidth="1"/>
    <col min="15625" max="15625" width="8.109375" style="2156" customWidth="1"/>
    <col min="15626" max="15631" width="0" style="2156" hidden="1" customWidth="1"/>
    <col min="15632" max="15872" width="9.109375" style="2156"/>
    <col min="15873" max="15873" width="5.44140625" style="2156" customWidth="1"/>
    <col min="15874" max="15874" width="12.88671875" style="2156" customWidth="1"/>
    <col min="15875" max="15875" width="23.109375" style="2156" customWidth="1"/>
    <col min="15876" max="15876" width="14.109375" style="2156" bestFit="1" customWidth="1"/>
    <col min="15877" max="15877" width="15.44140625" style="2156" customWidth="1"/>
    <col min="15878" max="15878" width="21.109375" style="2156" customWidth="1"/>
    <col min="15879" max="15879" width="8.88671875" style="2156" customWidth="1"/>
    <col min="15880" max="15880" width="8" style="2156" customWidth="1"/>
    <col min="15881" max="15881" width="8.109375" style="2156" customWidth="1"/>
    <col min="15882" max="15887" width="0" style="2156" hidden="1" customWidth="1"/>
    <col min="15888" max="16128" width="9.109375" style="2156"/>
    <col min="16129" max="16129" width="5.44140625" style="2156" customWidth="1"/>
    <col min="16130" max="16130" width="12.88671875" style="2156" customWidth="1"/>
    <col min="16131" max="16131" width="23.109375" style="2156" customWidth="1"/>
    <col min="16132" max="16132" width="14.109375" style="2156" bestFit="1" customWidth="1"/>
    <col min="16133" max="16133" width="15.44140625" style="2156" customWidth="1"/>
    <col min="16134" max="16134" width="21.109375" style="2156" customWidth="1"/>
    <col min="16135" max="16135" width="8.88671875" style="2156" customWidth="1"/>
    <col min="16136" max="16136" width="8" style="2156" customWidth="1"/>
    <col min="16137" max="16137" width="8.109375" style="2156" customWidth="1"/>
    <col min="16138" max="16143" width="0" style="2156" hidden="1" customWidth="1"/>
    <col min="16144" max="16384" width="9.109375" style="2156"/>
  </cols>
  <sheetData>
    <row r="1" spans="1:19" ht="15.6">
      <c r="A1" s="15107" t="s">
        <v>2138</v>
      </c>
      <c r="B1" s="15107"/>
      <c r="C1" s="15107"/>
      <c r="D1" s="15107"/>
      <c r="E1" s="15107"/>
      <c r="F1" s="15107"/>
      <c r="G1" s="15107"/>
      <c r="H1" s="15107"/>
      <c r="I1" s="15107"/>
    </row>
    <row r="2" spans="1:19">
      <c r="A2" s="2157"/>
      <c r="B2" s="2157"/>
      <c r="C2" s="2157"/>
      <c r="D2" s="4170"/>
      <c r="E2" s="2157"/>
      <c r="F2" s="2157"/>
      <c r="G2" s="2157"/>
      <c r="H2" s="2157"/>
      <c r="I2" s="2157"/>
      <c r="J2" s="2157"/>
      <c r="K2" s="2157"/>
      <c r="L2" s="2157"/>
      <c r="M2" s="2157"/>
      <c r="N2" s="2157"/>
      <c r="R2" s="2159"/>
      <c r="S2" s="2159"/>
    </row>
    <row r="3" spans="1:19" ht="15.6">
      <c r="A3" s="2157" t="s">
        <v>6040</v>
      </c>
      <c r="C3" s="5077" t="s">
        <v>9924</v>
      </c>
      <c r="D3" s="4170"/>
      <c r="E3" s="2157"/>
      <c r="F3" s="2157"/>
      <c r="G3" s="2157"/>
      <c r="H3" s="2157"/>
      <c r="I3" s="2157"/>
      <c r="J3" s="2157"/>
      <c r="K3" s="2157"/>
      <c r="L3" s="2157"/>
      <c r="M3" s="2157"/>
      <c r="N3" s="2157"/>
      <c r="Q3" s="2159"/>
      <c r="R3" s="2159"/>
      <c r="S3" s="2159"/>
    </row>
    <row r="4" spans="1:19">
      <c r="A4" s="2157" t="s">
        <v>6041</v>
      </c>
      <c r="C4" s="2218" t="s">
        <v>9922</v>
      </c>
      <c r="D4" s="4170"/>
      <c r="E4" s="2157"/>
      <c r="F4" s="2157"/>
      <c r="G4" s="2157"/>
      <c r="H4" s="2157"/>
      <c r="I4" s="2157"/>
      <c r="J4" s="2157"/>
      <c r="K4" s="2157"/>
      <c r="L4" s="2157"/>
      <c r="M4" s="2157"/>
      <c r="N4" s="2157"/>
    </row>
    <row r="5" spans="1:19">
      <c r="A5" s="2157" t="s">
        <v>2037</v>
      </c>
      <c r="B5" s="2157"/>
      <c r="C5" s="2218" t="s">
        <v>9923</v>
      </c>
      <c r="D5" s="4170"/>
      <c r="E5" s="2157"/>
      <c r="F5" s="2157"/>
      <c r="G5" s="2157"/>
      <c r="H5" s="2157"/>
      <c r="I5" s="2157"/>
      <c r="J5" s="2157"/>
      <c r="K5" s="2157"/>
      <c r="L5" s="2157"/>
      <c r="M5" s="2157"/>
      <c r="N5" s="2157"/>
    </row>
    <row r="6" spans="1:19" s="2159" customFormat="1">
      <c r="A6" s="2160"/>
      <c r="B6" s="2160"/>
      <c r="C6" s="2160"/>
      <c r="D6" s="4171"/>
      <c r="E6" s="2160"/>
      <c r="F6" s="2160"/>
      <c r="G6" s="2160"/>
      <c r="H6" s="2160"/>
      <c r="I6" s="2160"/>
      <c r="J6" s="2160"/>
      <c r="K6" s="2160"/>
      <c r="L6" s="2160"/>
      <c r="M6" s="2160"/>
      <c r="N6" s="2160"/>
    </row>
    <row r="7" spans="1:19">
      <c r="A7" s="2161" t="s">
        <v>9926</v>
      </c>
      <c r="B7" s="2189" t="s">
        <v>9927</v>
      </c>
      <c r="C7" s="2160"/>
      <c r="D7" s="4171"/>
      <c r="E7" s="2160"/>
      <c r="F7" s="2160"/>
      <c r="G7" s="2160"/>
      <c r="H7" s="2160"/>
      <c r="I7" s="2160"/>
      <c r="J7" s="2160"/>
      <c r="K7" s="2160"/>
      <c r="L7" s="2160"/>
      <c r="M7" s="2160"/>
      <c r="N7" s="2160"/>
    </row>
    <row r="8" spans="1:19" ht="19.5" customHeight="1">
      <c r="A8" s="2160"/>
      <c r="B8" s="2161" t="s">
        <v>2039</v>
      </c>
      <c r="C8" s="2161"/>
      <c r="D8" s="4171"/>
      <c r="E8" s="2160"/>
      <c r="F8" s="2160"/>
      <c r="G8" s="2160"/>
      <c r="H8" s="2160"/>
      <c r="I8" s="2160"/>
      <c r="J8" s="2160"/>
      <c r="K8" s="2160"/>
      <c r="L8" s="2160"/>
      <c r="M8" s="2160"/>
      <c r="N8" s="2160"/>
    </row>
    <row r="9" spans="1:19">
      <c r="A9" s="2160" t="s">
        <v>2040</v>
      </c>
      <c r="B9" s="2160"/>
      <c r="C9" s="2160"/>
      <c r="D9" s="4171"/>
      <c r="E9" s="2160"/>
      <c r="F9" s="2160"/>
      <c r="G9" s="2160"/>
      <c r="H9" s="2160"/>
      <c r="I9" s="2160"/>
      <c r="J9" s="2160"/>
      <c r="K9" s="2160"/>
      <c r="L9" s="2160"/>
      <c r="M9" s="2160"/>
      <c r="N9" s="2160"/>
    </row>
    <row r="10" spans="1:19" ht="8.25" customHeight="1">
      <c r="A10" s="2160"/>
      <c r="B10" s="2160"/>
      <c r="C10" s="2160"/>
      <c r="D10" s="4171"/>
      <c r="E10" s="2160"/>
      <c r="F10" s="2160"/>
      <c r="G10" s="2160"/>
      <c r="H10" s="2160"/>
      <c r="I10" s="2160"/>
      <c r="J10" s="2160"/>
      <c r="K10" s="2160"/>
      <c r="L10" s="2160"/>
      <c r="M10" s="2160"/>
      <c r="N10" s="2160"/>
    </row>
    <row r="11" spans="1:19">
      <c r="A11" s="2160"/>
      <c r="B11" s="2160" t="s">
        <v>6042</v>
      </c>
      <c r="C11" s="2160"/>
      <c r="D11" s="4171"/>
      <c r="E11" s="2160"/>
      <c r="F11" s="2160"/>
      <c r="G11" s="2160"/>
      <c r="H11" s="2160"/>
      <c r="I11" s="2160"/>
      <c r="J11" s="2160"/>
      <c r="K11" s="2160"/>
      <c r="L11" s="2160"/>
      <c r="M11" s="2160"/>
      <c r="N11" s="2160"/>
    </row>
    <row r="12" spans="1:19">
      <c r="A12" s="2160" t="s">
        <v>6043</v>
      </c>
      <c r="B12" s="2160"/>
      <c r="C12" s="2160"/>
      <c r="D12" s="4171"/>
      <c r="E12" s="2160"/>
      <c r="F12" s="2160"/>
      <c r="G12" s="2160"/>
      <c r="H12" s="2160"/>
      <c r="I12" s="2160"/>
      <c r="J12" s="2160"/>
      <c r="K12" s="2160"/>
      <c r="L12" s="2160"/>
      <c r="M12" s="2160"/>
      <c r="N12" s="2160"/>
    </row>
    <row r="13" spans="1:19">
      <c r="A13" s="2160"/>
      <c r="B13" s="2160"/>
      <c r="C13" s="2160"/>
      <c r="D13" s="4171"/>
      <c r="E13" s="2160"/>
      <c r="F13" s="2160"/>
      <c r="G13" s="2160"/>
      <c r="H13" s="2160"/>
      <c r="I13" s="2160"/>
      <c r="J13" s="2160"/>
      <c r="K13" s="2160"/>
      <c r="L13" s="2160"/>
      <c r="M13" s="2160"/>
      <c r="N13" s="2160"/>
    </row>
    <row r="14" spans="1:19">
      <c r="A14" s="2189" t="s">
        <v>2955</v>
      </c>
      <c r="B14" s="2189" t="s">
        <v>9925</v>
      </c>
      <c r="C14" s="2160"/>
      <c r="D14" s="4171"/>
      <c r="E14" s="2160"/>
      <c r="F14" s="2160"/>
      <c r="G14" s="2160"/>
      <c r="H14" s="2160"/>
      <c r="I14" s="2160"/>
      <c r="J14" s="2160"/>
      <c r="K14" s="2160"/>
      <c r="L14" s="2160"/>
      <c r="M14" s="2160"/>
      <c r="N14" s="2160"/>
    </row>
    <row r="15" spans="1:19">
      <c r="A15" s="2160"/>
      <c r="B15" s="2160" t="s">
        <v>2041</v>
      </c>
      <c r="C15" s="2160"/>
      <c r="D15" s="4171"/>
      <c r="E15" s="2160"/>
      <c r="F15" s="2160"/>
      <c r="G15" s="2160"/>
      <c r="H15" s="2160"/>
      <c r="I15" s="2160"/>
      <c r="J15" s="2160"/>
      <c r="K15" s="2160"/>
      <c r="L15" s="2160"/>
      <c r="M15" s="2160"/>
      <c r="N15" s="2160"/>
    </row>
    <row r="16" spans="1:19">
      <c r="A16" s="2162" t="s">
        <v>2042</v>
      </c>
      <c r="B16" s="2160"/>
      <c r="C16" s="2160"/>
      <c r="D16" s="4171"/>
      <c r="E16" s="2160"/>
      <c r="F16" s="2160"/>
      <c r="G16" s="2160"/>
      <c r="H16" s="2160"/>
      <c r="I16" s="2160"/>
      <c r="J16" s="2160"/>
      <c r="K16" s="2160"/>
      <c r="L16" s="2160"/>
      <c r="M16" s="2160"/>
      <c r="N16" s="2160"/>
    </row>
    <row r="17" spans="1:14">
      <c r="A17" s="2160"/>
      <c r="B17" s="2160"/>
      <c r="C17" s="2160"/>
      <c r="D17" s="4171"/>
      <c r="E17" s="2160"/>
      <c r="F17" s="2160"/>
      <c r="G17" s="2160"/>
      <c r="H17" s="2160"/>
      <c r="I17" s="2160"/>
      <c r="J17" s="2160"/>
      <c r="K17" s="2160"/>
      <c r="L17" s="2160"/>
      <c r="M17" s="2160"/>
      <c r="N17" s="2160"/>
    </row>
    <row r="18" spans="1:14">
      <c r="A18" s="2218" t="s">
        <v>2925</v>
      </c>
      <c r="B18" s="2158" t="s">
        <v>2044</v>
      </c>
      <c r="C18" s="2163"/>
      <c r="J18" s="2160"/>
      <c r="K18" s="2160"/>
      <c r="L18" s="2160"/>
      <c r="M18" s="2160"/>
      <c r="N18" s="2160"/>
    </row>
    <row r="19" spans="1:14" ht="14.4" thickBot="1">
      <c r="A19" s="2156" t="s">
        <v>9</v>
      </c>
      <c r="J19" s="2159"/>
      <c r="K19" s="2159"/>
      <c r="L19" s="2159"/>
      <c r="M19" s="2159"/>
      <c r="N19" s="2159"/>
    </row>
    <row r="20" spans="1:14" s="2157" customFormat="1" ht="13.2">
      <c r="A20" s="2170" t="s">
        <v>2045</v>
      </c>
      <c r="B20" s="15113" t="s">
        <v>2046</v>
      </c>
      <c r="C20" s="15114"/>
      <c r="D20" s="4182" t="s">
        <v>1736</v>
      </c>
      <c r="E20" s="15138" t="s">
        <v>1760</v>
      </c>
      <c r="F20" s="15141" t="s">
        <v>1764</v>
      </c>
      <c r="G20" s="2164"/>
      <c r="H20" s="15133" t="s">
        <v>1978</v>
      </c>
      <c r="I20" s="15134"/>
      <c r="J20" s="2160"/>
      <c r="K20" s="2160"/>
      <c r="L20" s="2160"/>
      <c r="M20" s="2160"/>
      <c r="N20" s="2160"/>
    </row>
    <row r="21" spans="1:14" s="2157" customFormat="1" ht="13.2">
      <c r="A21" s="2168" t="s">
        <v>468</v>
      </c>
      <c r="B21" s="15115"/>
      <c r="C21" s="15116"/>
      <c r="D21" s="4183"/>
      <c r="E21" s="15139"/>
      <c r="F21" s="15142"/>
      <c r="G21" s="2165"/>
      <c r="H21" s="15135" t="s">
        <v>1993</v>
      </c>
      <c r="I21" s="15136"/>
      <c r="J21" s="2160"/>
      <c r="K21" s="2160"/>
      <c r="L21" s="2160"/>
      <c r="M21" s="2160"/>
      <c r="N21" s="2160"/>
    </row>
    <row r="22" spans="1:14" s="2157" customFormat="1" thickBot="1">
      <c r="A22" s="4135" t="s">
        <v>2047</v>
      </c>
      <c r="B22" s="15117"/>
      <c r="C22" s="15118"/>
      <c r="D22" s="4184"/>
      <c r="E22" s="15140"/>
      <c r="F22" s="15143"/>
      <c r="G22" s="2166"/>
      <c r="H22" s="2167" t="s">
        <v>1789</v>
      </c>
      <c r="I22" s="2167" t="s">
        <v>1790</v>
      </c>
      <c r="J22" s="2174"/>
      <c r="K22" s="2160"/>
      <c r="L22" s="2160"/>
      <c r="M22" s="2160"/>
      <c r="N22" s="2160"/>
    </row>
    <row r="23" spans="1:14" s="2157" customFormat="1" ht="13.2">
      <c r="A23" s="2168"/>
      <c r="B23" s="2169"/>
      <c r="C23" s="4040"/>
      <c r="D23" s="4172"/>
      <c r="E23" s="4041"/>
      <c r="F23" s="4042"/>
      <c r="G23" s="2164"/>
      <c r="H23" s="2170"/>
      <c r="I23" s="2168"/>
      <c r="J23" s="2160"/>
      <c r="K23" s="2160"/>
      <c r="L23" s="2160"/>
      <c r="M23" s="2160"/>
      <c r="N23" s="2160"/>
    </row>
    <row r="24" spans="1:14" s="2157" customFormat="1" ht="13.2">
      <c r="A24" s="2192"/>
      <c r="B24" s="2172" t="s">
        <v>6044</v>
      </c>
      <c r="C24" s="2160"/>
      <c r="D24" s="4173">
        <f>5754041.6-679535</f>
        <v>5074506.5999999996</v>
      </c>
      <c r="E24" s="2160"/>
      <c r="F24" s="2174"/>
      <c r="G24" s="2210"/>
      <c r="H24" s="2192"/>
      <c r="I24" s="2192"/>
      <c r="J24" s="2160"/>
      <c r="K24" s="2160"/>
      <c r="L24" s="2160"/>
      <c r="M24" s="2160"/>
      <c r="N24" s="2160"/>
    </row>
    <row r="25" spans="1:14" s="2157" customFormat="1">
      <c r="A25" s="2192"/>
      <c r="B25" s="2172" t="s">
        <v>3771</v>
      </c>
      <c r="C25" s="4136" t="s">
        <v>1973</v>
      </c>
      <c r="D25" s="4173">
        <v>1190800</v>
      </c>
      <c r="E25" s="2173" t="s">
        <v>6045</v>
      </c>
      <c r="F25" s="2174" t="s">
        <v>6046</v>
      </c>
      <c r="G25" s="2175">
        <v>5000</v>
      </c>
      <c r="H25" s="2187" t="s">
        <v>6047</v>
      </c>
      <c r="I25" s="2187" t="s">
        <v>6048</v>
      </c>
      <c r="J25" s="2160"/>
      <c r="K25" s="2160"/>
      <c r="L25" s="2160"/>
      <c r="M25" s="2160"/>
      <c r="N25" s="2160"/>
    </row>
    <row r="26" spans="1:14" s="2157" customFormat="1" ht="13.2">
      <c r="A26" s="2192"/>
      <c r="B26" s="2174" t="s">
        <v>6049</v>
      </c>
      <c r="C26" s="2160"/>
      <c r="D26" s="4174"/>
      <c r="E26" s="2173" t="s">
        <v>6050</v>
      </c>
      <c r="F26" s="2174" t="s">
        <v>6051</v>
      </c>
      <c r="G26" s="2182">
        <v>20</v>
      </c>
      <c r="H26" s="2187"/>
      <c r="I26" s="2187"/>
      <c r="J26" s="2160"/>
      <c r="K26" s="2160"/>
      <c r="L26" s="2160"/>
      <c r="M26" s="2160"/>
      <c r="N26" s="2160"/>
    </row>
    <row r="27" spans="1:14" s="2157" customFormat="1" ht="13.2">
      <c r="A27" s="2192"/>
      <c r="B27" s="2174" t="s">
        <v>6052</v>
      </c>
      <c r="C27" s="2160"/>
      <c r="D27" s="4174"/>
      <c r="E27" s="2173" t="s">
        <v>6053</v>
      </c>
      <c r="F27" s="4037" t="s">
        <v>6054</v>
      </c>
      <c r="G27" s="2173">
        <v>385</v>
      </c>
      <c r="H27" s="2187"/>
      <c r="I27" s="2187"/>
      <c r="J27" s="2160"/>
      <c r="K27" s="2160"/>
      <c r="L27" s="2160"/>
      <c r="M27" s="2160"/>
      <c r="N27" s="2160"/>
    </row>
    <row r="28" spans="1:14" s="2157" customFormat="1" ht="13.2">
      <c r="A28" s="2192"/>
      <c r="B28" s="2174" t="s">
        <v>6055</v>
      </c>
      <c r="C28" s="2160"/>
      <c r="D28" s="4174"/>
      <c r="E28" s="2173" t="s">
        <v>6056</v>
      </c>
      <c r="F28" s="2176" t="s">
        <v>6057</v>
      </c>
      <c r="G28" s="2177">
        <v>0.8</v>
      </c>
      <c r="H28" s="2187"/>
      <c r="I28" s="2187"/>
      <c r="J28" s="2160"/>
      <c r="K28" s="2160"/>
      <c r="L28" s="2160"/>
      <c r="M28" s="2160"/>
      <c r="N28" s="2160"/>
    </row>
    <row r="29" spans="1:14" s="2157" customFormat="1" ht="13.2">
      <c r="A29" s="2192"/>
      <c r="B29" s="2174" t="s">
        <v>6058</v>
      </c>
      <c r="C29" s="2160"/>
      <c r="D29" s="4174"/>
      <c r="E29" s="2173" t="s">
        <v>6059</v>
      </c>
      <c r="F29" s="2176" t="s">
        <v>6060</v>
      </c>
      <c r="G29" s="2173">
        <v>2500</v>
      </c>
      <c r="H29" s="4137"/>
      <c r="I29" s="4137"/>
      <c r="J29" s="2160"/>
      <c r="K29" s="2160"/>
      <c r="L29" s="2160"/>
      <c r="M29" s="2160"/>
      <c r="N29" s="2160"/>
    </row>
    <row r="30" spans="1:14" s="2157" customFormat="1" ht="13.2">
      <c r="A30" s="2192"/>
      <c r="B30" s="2178" t="s">
        <v>6061</v>
      </c>
      <c r="C30" s="2160"/>
      <c r="D30" s="4174"/>
      <c r="E30" s="2190"/>
      <c r="F30" s="2176" t="s">
        <v>6062</v>
      </c>
      <c r="G30" s="2173">
        <v>1700</v>
      </c>
      <c r="H30" s="2187"/>
      <c r="I30" s="2187"/>
      <c r="J30" s="2160"/>
      <c r="K30" s="2160"/>
      <c r="L30" s="2160"/>
      <c r="M30" s="2160"/>
      <c r="N30" s="2160"/>
    </row>
    <row r="31" spans="1:14" s="2157" customFormat="1" ht="13.2">
      <c r="A31" s="2192"/>
      <c r="B31" s="2178" t="s">
        <v>6063</v>
      </c>
      <c r="C31" s="2160"/>
      <c r="D31" s="4174"/>
      <c r="E31" s="2190"/>
      <c r="F31" s="2176" t="s">
        <v>6064</v>
      </c>
      <c r="G31" s="2173">
        <v>800</v>
      </c>
      <c r="H31" s="4138"/>
      <c r="I31" s="4138"/>
      <c r="J31" s="2160"/>
      <c r="K31" s="2160"/>
      <c r="L31" s="2160"/>
      <c r="M31" s="2160"/>
      <c r="N31" s="2160"/>
    </row>
    <row r="32" spans="1:14" s="2157" customFormat="1" ht="13.2">
      <c r="A32" s="2192"/>
      <c r="B32" s="2174" t="s">
        <v>6065</v>
      </c>
      <c r="C32" s="2160"/>
      <c r="D32" s="4174"/>
      <c r="E32" s="2190"/>
      <c r="F32" s="2176" t="s">
        <v>6066</v>
      </c>
      <c r="G32" s="2180">
        <v>4.0000000000000002E-4</v>
      </c>
      <c r="H32" s="4138"/>
      <c r="I32" s="4138"/>
      <c r="J32" s="2160"/>
      <c r="K32" s="2160"/>
      <c r="L32" s="2160"/>
      <c r="M32" s="2160"/>
      <c r="N32" s="2160"/>
    </row>
    <row r="33" spans="1:14" s="2157" customFormat="1" ht="13.2">
      <c r="A33" s="2192"/>
      <c r="B33" s="2174" t="s">
        <v>6067</v>
      </c>
      <c r="C33" s="2160"/>
      <c r="D33" s="4174"/>
      <c r="E33" s="2190"/>
      <c r="F33" s="4037" t="s">
        <v>6068</v>
      </c>
      <c r="G33" s="2173">
        <v>24</v>
      </c>
      <c r="H33" s="2187"/>
      <c r="I33" s="2187"/>
      <c r="J33" s="2160"/>
      <c r="K33" s="2160"/>
      <c r="L33" s="2160"/>
      <c r="M33" s="2160"/>
      <c r="N33" s="2160"/>
    </row>
    <row r="34" spans="1:14" s="2157" customFormat="1" ht="13.2">
      <c r="A34" s="2192"/>
      <c r="B34" s="2174" t="s">
        <v>6069</v>
      </c>
      <c r="C34" s="2160"/>
      <c r="D34" s="4174"/>
      <c r="E34" s="2190"/>
      <c r="F34" s="4037" t="s">
        <v>6070</v>
      </c>
      <c r="G34" s="2173" t="s">
        <v>6071</v>
      </c>
      <c r="H34" s="2187"/>
      <c r="I34" s="2187"/>
      <c r="J34" s="2160"/>
      <c r="K34" s="2160"/>
      <c r="L34" s="2160"/>
      <c r="M34" s="2160"/>
      <c r="N34" s="2160"/>
    </row>
    <row r="35" spans="1:14" s="2157" customFormat="1" ht="13.2">
      <c r="A35" s="2192"/>
      <c r="B35" s="2160"/>
      <c r="C35" s="2160"/>
      <c r="D35" s="4174"/>
      <c r="E35" s="2190"/>
      <c r="F35" s="4139"/>
      <c r="G35" s="4140"/>
      <c r="H35" s="2187"/>
      <c r="I35" s="2187"/>
      <c r="J35" s="2160"/>
      <c r="K35" s="2160"/>
      <c r="L35" s="2160"/>
      <c r="M35" s="2160"/>
      <c r="N35" s="2160"/>
    </row>
    <row r="36" spans="1:14" s="2157" customFormat="1" ht="13.2">
      <c r="A36" s="2192"/>
      <c r="B36" s="2181" t="s">
        <v>6072</v>
      </c>
      <c r="C36" s="4136"/>
      <c r="D36" s="4174">
        <v>4397687.2</v>
      </c>
      <c r="E36" s="2190"/>
      <c r="F36" s="2174" t="s">
        <v>6073</v>
      </c>
      <c r="G36" s="2182">
        <v>380</v>
      </c>
      <c r="H36" s="2187" t="s">
        <v>6047</v>
      </c>
      <c r="I36" s="2187" t="s">
        <v>6048</v>
      </c>
      <c r="J36" s="2160"/>
      <c r="K36" s="2160"/>
      <c r="L36" s="2160"/>
      <c r="M36" s="2160"/>
      <c r="N36" s="2160"/>
    </row>
    <row r="37" spans="1:14" s="2157" customFormat="1" ht="52.8">
      <c r="A37" s="2192"/>
      <c r="B37" s="15111" t="s">
        <v>6074</v>
      </c>
      <c r="C37" s="15112"/>
      <c r="D37" s="4175">
        <v>2021670</v>
      </c>
      <c r="E37" s="2183" t="s">
        <v>6075</v>
      </c>
      <c r="F37" s="2174" t="s">
        <v>6076</v>
      </c>
      <c r="G37" s="2182">
        <v>100</v>
      </c>
      <c r="H37" s="2187"/>
      <c r="I37" s="2187"/>
      <c r="J37" s="2160"/>
      <c r="K37" s="2160"/>
      <c r="L37" s="2160"/>
      <c r="M37" s="2160"/>
      <c r="N37" s="2160"/>
    </row>
    <row r="38" spans="1:14" s="2157" customFormat="1" ht="13.2">
      <c r="A38" s="2192"/>
      <c r="B38" s="2174" t="s">
        <v>6077</v>
      </c>
      <c r="C38" s="2160"/>
      <c r="D38" s="4174"/>
      <c r="E38" s="4036" t="s">
        <v>6078</v>
      </c>
      <c r="F38" s="2174" t="s">
        <v>6079</v>
      </c>
      <c r="G38" s="2210"/>
      <c r="H38" s="2187"/>
      <c r="I38" s="2187"/>
      <c r="J38" s="2160"/>
      <c r="K38" s="2160"/>
      <c r="L38" s="2160"/>
      <c r="M38" s="2160"/>
      <c r="N38" s="2160"/>
    </row>
    <row r="39" spans="1:14" s="2157" customFormat="1" ht="13.2">
      <c r="A39" s="2192"/>
      <c r="B39" s="2174" t="s">
        <v>3774</v>
      </c>
      <c r="C39" s="2160"/>
      <c r="D39" s="4174"/>
      <c r="E39" s="2183" t="s">
        <v>6080</v>
      </c>
      <c r="F39" s="2174"/>
      <c r="G39" s="2210"/>
      <c r="H39" s="2187"/>
      <c r="I39" s="2187"/>
      <c r="J39" s="2160"/>
      <c r="K39" s="2160"/>
      <c r="L39" s="2160"/>
      <c r="M39" s="2160"/>
      <c r="N39" s="2160"/>
    </row>
    <row r="40" spans="1:14" s="2157" customFormat="1" ht="13.2">
      <c r="A40" s="2192"/>
      <c r="B40" s="2174" t="s">
        <v>3773</v>
      </c>
      <c r="C40" s="2160"/>
      <c r="D40" s="4174"/>
      <c r="E40" s="2183" t="s">
        <v>6081</v>
      </c>
      <c r="F40" s="2174"/>
      <c r="G40" s="2210"/>
      <c r="H40" s="2187"/>
      <c r="I40" s="2187"/>
      <c r="J40" s="2160"/>
      <c r="K40" s="2160"/>
      <c r="L40" s="2160"/>
      <c r="M40" s="2160"/>
      <c r="N40" s="2160"/>
    </row>
    <row r="41" spans="1:14" s="2157" customFormat="1" ht="13.2">
      <c r="A41" s="2192"/>
      <c r="B41" s="2174"/>
      <c r="C41" s="2160"/>
      <c r="D41" s="4174"/>
      <c r="E41" s="2183" t="s">
        <v>6082</v>
      </c>
      <c r="F41" s="2174"/>
      <c r="G41" s="2210"/>
      <c r="H41" s="2187"/>
      <c r="I41" s="2187"/>
      <c r="J41" s="2160"/>
      <c r="K41" s="2160"/>
      <c r="L41" s="2160"/>
      <c r="M41" s="2160"/>
      <c r="N41" s="2160"/>
    </row>
    <row r="42" spans="1:14" s="2157" customFormat="1" ht="13.2">
      <c r="A42" s="2192"/>
      <c r="B42" s="2178" t="s">
        <v>6083</v>
      </c>
      <c r="C42" s="2160"/>
      <c r="D42" s="4174"/>
      <c r="E42" s="2184"/>
      <c r="F42" s="2174"/>
      <c r="G42" s="2210"/>
      <c r="H42" s="2187"/>
      <c r="I42" s="2187"/>
      <c r="J42" s="2160"/>
      <c r="K42" s="2160"/>
      <c r="L42" s="2160"/>
      <c r="M42" s="2160"/>
      <c r="N42" s="2160"/>
    </row>
    <row r="43" spans="1:14" s="2157" customFormat="1" ht="14.25" customHeight="1">
      <c r="A43" s="2192"/>
      <c r="B43" s="15109" t="s">
        <v>6084</v>
      </c>
      <c r="C43" s="15110"/>
      <c r="D43" s="4174">
        <v>485151.84</v>
      </c>
      <c r="E43" s="2173" t="s">
        <v>5128</v>
      </c>
      <c r="F43" s="2185" t="s">
        <v>6085</v>
      </c>
      <c r="G43" s="2186">
        <v>9000</v>
      </c>
      <c r="H43" s="2187" t="s">
        <v>6047</v>
      </c>
      <c r="I43" s="2187" t="s">
        <v>6048</v>
      </c>
      <c r="J43" s="2160"/>
      <c r="K43" s="2160"/>
      <c r="L43" s="2160"/>
      <c r="M43" s="2160"/>
      <c r="N43" s="2160"/>
    </row>
    <row r="44" spans="1:14" s="2157" customFormat="1" ht="14.25" customHeight="1">
      <c r="A44" s="2192"/>
      <c r="B44" s="2174" t="s">
        <v>6086</v>
      </c>
      <c r="C44" s="2160"/>
      <c r="D44" s="4173">
        <v>505734.44</v>
      </c>
      <c r="E44" s="2187" t="s">
        <v>6087</v>
      </c>
      <c r="F44" s="2174"/>
      <c r="G44" s="2210"/>
      <c r="H44" s="2187"/>
      <c r="I44" s="2187"/>
      <c r="J44" s="2160"/>
      <c r="K44" s="2160"/>
      <c r="L44" s="2160"/>
      <c r="M44" s="2160"/>
      <c r="N44" s="2160"/>
    </row>
    <row r="45" spans="1:14" s="2157" customFormat="1" ht="13.2">
      <c r="A45" s="2192"/>
      <c r="B45" s="2174" t="s">
        <v>6088</v>
      </c>
      <c r="C45" s="2160"/>
      <c r="D45" s="4174"/>
      <c r="E45" s="2173" t="s">
        <v>6089</v>
      </c>
      <c r="F45" s="2174"/>
      <c r="G45" s="2210"/>
      <c r="H45" s="2187"/>
      <c r="I45" s="2187"/>
      <c r="J45" s="2160"/>
      <c r="K45" s="2160"/>
      <c r="L45" s="2160"/>
      <c r="M45" s="2160"/>
      <c r="N45" s="2160"/>
    </row>
    <row r="46" spans="1:14" s="2157" customFormat="1" ht="13.2">
      <c r="A46" s="2192"/>
      <c r="B46" s="2157" t="s">
        <v>6096</v>
      </c>
      <c r="C46" s="4141" t="s">
        <v>1973</v>
      </c>
      <c r="D46" s="4174">
        <v>654300</v>
      </c>
      <c r="E46" s="2173" t="s">
        <v>6090</v>
      </c>
      <c r="F46" s="2174"/>
      <c r="G46" s="2210"/>
      <c r="H46" s="2187"/>
      <c r="I46" s="2187"/>
      <c r="J46" s="2160"/>
      <c r="K46" s="2160"/>
      <c r="L46" s="2160"/>
      <c r="M46" s="2160"/>
      <c r="N46" s="2160"/>
    </row>
    <row r="47" spans="1:14" s="2157" customFormat="1" ht="13.2">
      <c r="A47" s="2192"/>
      <c r="D47" s="4174"/>
      <c r="E47" s="2190"/>
      <c r="F47" s="2174"/>
      <c r="G47" s="2210"/>
      <c r="H47" s="2187"/>
      <c r="I47" s="2187"/>
      <c r="J47" s="2160"/>
      <c r="K47" s="2160"/>
      <c r="L47" s="2160"/>
      <c r="M47" s="2160"/>
      <c r="N47" s="2160"/>
    </row>
    <row r="48" spans="1:14" s="2157" customFormat="1" ht="13.2">
      <c r="A48" s="2192"/>
      <c r="B48" s="2188" t="s">
        <v>9558</v>
      </c>
      <c r="C48" s="2162"/>
      <c r="D48" s="4174">
        <v>290009.2</v>
      </c>
      <c r="E48" s="2190"/>
      <c r="F48" s="2174"/>
      <c r="G48" s="2210"/>
      <c r="H48" s="2187" t="s">
        <v>6047</v>
      </c>
      <c r="I48" s="2187" t="s">
        <v>6048</v>
      </c>
      <c r="J48" s="2160"/>
      <c r="K48" s="2160"/>
      <c r="L48" s="2160"/>
      <c r="M48" s="2160"/>
      <c r="N48" s="2160"/>
    </row>
    <row r="49" spans="1:15" s="2157" customFormat="1" ht="13.2">
      <c r="A49" s="2192"/>
      <c r="B49" s="2174" t="s">
        <v>6091</v>
      </c>
      <c r="C49" s="2160"/>
      <c r="D49" s="4174">
        <v>271200</v>
      </c>
      <c r="E49" s="2173" t="s">
        <v>6092</v>
      </c>
      <c r="F49" s="2174" t="s">
        <v>6093</v>
      </c>
      <c r="G49" s="2194">
        <v>1000</v>
      </c>
      <c r="H49" s="2187"/>
      <c r="I49" s="2187"/>
      <c r="J49" s="2160"/>
      <c r="K49" s="2160"/>
      <c r="L49" s="2160"/>
      <c r="M49" s="2160"/>
      <c r="N49" s="2160"/>
    </row>
    <row r="50" spans="1:15" s="2157" customFormat="1" ht="13.2">
      <c r="A50" s="2192"/>
      <c r="B50" s="2174" t="s">
        <v>6094</v>
      </c>
      <c r="C50" s="2160"/>
      <c r="D50" s="4176"/>
      <c r="E50" s="2187" t="s">
        <v>6095</v>
      </c>
      <c r="F50" s="2174"/>
      <c r="G50" s="4038"/>
      <c r="H50" s="2187"/>
      <c r="I50" s="2187"/>
      <c r="J50" s="2174"/>
      <c r="K50" s="2160"/>
      <c r="L50" s="2160"/>
      <c r="M50" s="2160"/>
      <c r="N50" s="2160"/>
    </row>
    <row r="51" spans="1:15" s="2157" customFormat="1" ht="13.2">
      <c r="A51" s="2192"/>
      <c r="B51" s="2174" t="s">
        <v>6096</v>
      </c>
      <c r="D51" s="4174"/>
      <c r="E51" s="2173" t="s">
        <v>6097</v>
      </c>
      <c r="F51" s="2174"/>
      <c r="G51" s="4038"/>
      <c r="H51" s="2187"/>
      <c r="I51" s="2187"/>
      <c r="J51" s="2160"/>
      <c r="K51" s="2160"/>
      <c r="L51" s="2160"/>
      <c r="M51" s="2160"/>
      <c r="N51" s="2160"/>
    </row>
    <row r="52" spans="1:15" s="2157" customFormat="1" ht="13.2">
      <c r="A52" s="2192"/>
      <c r="B52" s="2174"/>
      <c r="D52" s="4174"/>
      <c r="E52" s="2173" t="s">
        <v>6098</v>
      </c>
      <c r="F52" s="2174"/>
      <c r="G52" s="4038"/>
      <c r="H52" s="2187"/>
      <c r="I52" s="2187"/>
      <c r="J52" s="2160"/>
      <c r="K52" s="2160"/>
      <c r="L52" s="2160"/>
      <c r="M52" s="2160"/>
      <c r="N52" s="2160"/>
    </row>
    <row r="53" spans="1:15" s="2157" customFormat="1" ht="13.2">
      <c r="A53" s="2192"/>
      <c r="B53" s="2174"/>
      <c r="D53" s="4174"/>
      <c r="E53" s="2173"/>
      <c r="F53" s="2174"/>
      <c r="G53" s="4038"/>
      <c r="H53" s="2187"/>
      <c r="I53" s="2187"/>
      <c r="J53" s="2160"/>
      <c r="K53" s="2160"/>
      <c r="L53" s="2160"/>
      <c r="M53" s="2160"/>
      <c r="N53" s="2160"/>
    </row>
    <row r="54" spans="1:15" s="2157" customFormat="1" ht="13.2">
      <c r="A54" s="2192"/>
      <c r="B54" s="2174" t="s">
        <v>6099</v>
      </c>
      <c r="D54" s="4174"/>
      <c r="E54" s="2173" t="s">
        <v>6100</v>
      </c>
      <c r="F54" s="2174" t="s">
        <v>6101</v>
      </c>
      <c r="G54" s="4038">
        <v>360</v>
      </c>
      <c r="H54" s="2187"/>
      <c r="I54" s="2187"/>
      <c r="J54" s="2160"/>
      <c r="K54" s="2160"/>
      <c r="L54" s="2160"/>
      <c r="M54" s="2160"/>
      <c r="N54" s="2160"/>
    </row>
    <row r="55" spans="1:15" s="2157" customFormat="1" ht="13.2">
      <c r="A55" s="2192"/>
      <c r="B55" s="2174"/>
      <c r="D55" s="4174"/>
      <c r="E55" s="2173" t="s">
        <v>6102</v>
      </c>
      <c r="F55" s="2174"/>
      <c r="G55" s="4038"/>
      <c r="H55" s="2187"/>
      <c r="I55" s="2187"/>
      <c r="J55" s="2160"/>
      <c r="K55" s="2160"/>
      <c r="L55" s="2160"/>
      <c r="M55" s="2160"/>
      <c r="N55" s="2160"/>
    </row>
    <row r="56" spans="1:15" s="2157" customFormat="1" ht="13.2">
      <c r="A56" s="2192"/>
      <c r="B56" s="2174"/>
      <c r="D56" s="4174"/>
      <c r="E56" s="2173" t="s">
        <v>6103</v>
      </c>
      <c r="F56" s="2174"/>
      <c r="G56" s="4038"/>
      <c r="H56" s="2187"/>
      <c r="I56" s="2187"/>
      <c r="J56" s="2160"/>
      <c r="K56" s="2160"/>
      <c r="L56" s="2160"/>
      <c r="M56" s="2160"/>
      <c r="N56" s="2160"/>
    </row>
    <row r="57" spans="1:15" s="2157" customFormat="1" ht="13.2">
      <c r="A57" s="2192"/>
      <c r="B57" s="2172" t="s">
        <v>9559</v>
      </c>
      <c r="D57" s="4174">
        <v>840049.6</v>
      </c>
      <c r="E57" s="2190"/>
      <c r="F57" s="2174"/>
      <c r="G57" s="4038"/>
      <c r="H57" s="2187" t="s">
        <v>6047</v>
      </c>
      <c r="I57" s="2187" t="s">
        <v>6048</v>
      </c>
      <c r="J57" s="2160"/>
      <c r="K57" s="2160"/>
      <c r="L57" s="2160"/>
      <c r="M57" s="2160"/>
      <c r="N57" s="2160"/>
    </row>
    <row r="58" spans="1:15" s="2157" customFormat="1" ht="13.2">
      <c r="A58" s="2192"/>
      <c r="B58" s="2174" t="s">
        <v>6104</v>
      </c>
      <c r="C58" s="2160"/>
      <c r="D58" s="4174"/>
      <c r="E58" s="2173" t="s">
        <v>6105</v>
      </c>
      <c r="F58" s="2185" t="s">
        <v>6106</v>
      </c>
      <c r="G58" s="4038">
        <v>800</v>
      </c>
      <c r="H58" s="2187"/>
      <c r="I58" s="2187"/>
      <c r="J58" s="2160"/>
      <c r="K58" s="2160"/>
      <c r="L58" s="2160"/>
      <c r="M58" s="2160"/>
      <c r="N58" s="2160"/>
    </row>
    <row r="59" spans="1:15" s="2157" customFormat="1" ht="13.2">
      <c r="A59" s="2192"/>
      <c r="B59" s="2174" t="s">
        <v>9560</v>
      </c>
      <c r="C59" s="2210"/>
      <c r="D59" s="4174">
        <v>148830</v>
      </c>
      <c r="E59" s="2173" t="s">
        <v>6107</v>
      </c>
      <c r="F59" s="2185" t="s">
        <v>6108</v>
      </c>
      <c r="G59" s="4038">
        <v>84</v>
      </c>
      <c r="H59" s="2187"/>
      <c r="I59" s="2187"/>
      <c r="J59" s="2160"/>
      <c r="K59" s="2160"/>
      <c r="L59" s="2160"/>
      <c r="M59" s="2160"/>
      <c r="N59" s="2160"/>
    </row>
    <row r="60" spans="1:15" s="2157" customFormat="1" ht="13.2">
      <c r="A60" s="2192"/>
      <c r="B60" s="2174"/>
      <c r="C60" s="2160"/>
      <c r="D60" s="4174"/>
      <c r="E60" s="2190" t="s">
        <v>6109</v>
      </c>
      <c r="F60" s="2185" t="s">
        <v>6110</v>
      </c>
      <c r="G60" s="4038">
        <v>60</v>
      </c>
      <c r="H60" s="2187"/>
      <c r="I60" s="2187"/>
      <c r="J60" s="2160"/>
      <c r="K60" s="2160"/>
      <c r="L60" s="2160"/>
      <c r="M60" s="2160"/>
      <c r="N60" s="2160"/>
    </row>
    <row r="61" spans="1:15" s="2157" customFormat="1" ht="13.2">
      <c r="A61" s="2192"/>
      <c r="B61" s="2174" t="s">
        <v>6077</v>
      </c>
      <c r="C61" s="2160"/>
      <c r="D61" s="4174"/>
      <c r="E61" s="2190"/>
      <c r="F61" s="2185" t="s">
        <v>6111</v>
      </c>
      <c r="G61" s="4038">
        <v>84</v>
      </c>
      <c r="H61" s="2187"/>
      <c r="I61" s="2187"/>
      <c r="J61" s="2160"/>
      <c r="K61" s="2210"/>
      <c r="L61" s="2160"/>
      <c r="M61" s="2160"/>
      <c r="N61" s="2160"/>
      <c r="O61" s="2210"/>
    </row>
    <row r="62" spans="1:15" s="2157" customFormat="1" ht="13.2">
      <c r="A62" s="2192"/>
      <c r="B62" s="2191" t="s">
        <v>9561</v>
      </c>
      <c r="C62" s="2160"/>
      <c r="D62" s="4173">
        <v>514950.92</v>
      </c>
      <c r="E62" s="2187"/>
      <c r="F62" s="4139"/>
      <c r="G62" s="4140"/>
      <c r="H62" s="2187" t="s">
        <v>6047</v>
      </c>
      <c r="I62" s="2187" t="s">
        <v>6048</v>
      </c>
      <c r="J62" s="2160"/>
      <c r="K62" s="2210"/>
      <c r="L62" s="2160"/>
      <c r="M62" s="2160"/>
      <c r="N62" s="2160"/>
      <c r="O62" s="2210"/>
    </row>
    <row r="63" spans="1:15" s="2157" customFormat="1" ht="13.2">
      <c r="A63" s="2192"/>
      <c r="B63" s="2192" t="s">
        <v>9562</v>
      </c>
      <c r="C63" s="2160"/>
      <c r="D63" s="4174">
        <v>70360</v>
      </c>
      <c r="E63" s="2193" t="s">
        <v>6105</v>
      </c>
      <c r="F63" s="4037" t="s">
        <v>6112</v>
      </c>
      <c r="G63" s="2194">
        <v>20000</v>
      </c>
      <c r="H63" s="2187"/>
      <c r="I63" s="2187"/>
      <c r="J63" s="4142"/>
      <c r="K63" s="4143"/>
      <c r="L63" s="2160"/>
      <c r="M63" s="2160"/>
      <c r="N63" s="2160"/>
      <c r="O63" s="2210"/>
    </row>
    <row r="64" spans="1:15" s="2157" customFormat="1" ht="13.2">
      <c r="A64" s="2192"/>
      <c r="B64" s="2192" t="s">
        <v>9563</v>
      </c>
      <c r="C64" s="2160"/>
      <c r="D64" s="4173">
        <v>4000000</v>
      </c>
      <c r="E64" s="2193" t="s">
        <v>6113</v>
      </c>
      <c r="F64" s="4139"/>
      <c r="G64" s="4140"/>
      <c r="H64" s="2187"/>
      <c r="I64" s="2187"/>
      <c r="J64" s="2160"/>
      <c r="K64" s="2210"/>
      <c r="L64" s="2160"/>
      <c r="M64" s="2160"/>
      <c r="N64" s="2160"/>
      <c r="O64" s="2210"/>
    </row>
    <row r="65" spans="1:15" s="2157" customFormat="1" ht="13.2">
      <c r="A65" s="2192"/>
      <c r="B65" s="2192" t="s">
        <v>3772</v>
      </c>
      <c r="C65" s="2160"/>
      <c r="D65" s="4174"/>
      <c r="E65" s="2193" t="s">
        <v>6114</v>
      </c>
      <c r="F65" s="4139"/>
      <c r="G65" s="4140"/>
      <c r="H65" s="2187"/>
      <c r="I65" s="2187"/>
      <c r="J65" s="2160"/>
      <c r="K65" s="2210"/>
      <c r="L65" s="2160"/>
      <c r="M65" s="2160"/>
      <c r="N65" s="2160"/>
      <c r="O65" s="2210"/>
    </row>
    <row r="66" spans="1:15" s="2157" customFormat="1" ht="13.2">
      <c r="A66" s="2192"/>
      <c r="B66" s="2174" t="s">
        <v>3773</v>
      </c>
      <c r="C66" s="2160"/>
      <c r="D66" s="4173"/>
      <c r="E66" s="2193" t="s">
        <v>611</v>
      </c>
      <c r="F66" s="4139"/>
      <c r="G66" s="4140"/>
      <c r="H66" s="2187"/>
      <c r="I66" s="2187"/>
      <c r="J66" s="2160"/>
      <c r="K66" s="2210"/>
      <c r="L66" s="2160"/>
      <c r="M66" s="2160"/>
      <c r="N66" s="2160"/>
      <c r="O66" s="2210"/>
    </row>
    <row r="67" spans="1:15" s="2157" customFormat="1" ht="13.2">
      <c r="A67" s="2192"/>
      <c r="B67" s="2178" t="s">
        <v>6115</v>
      </c>
      <c r="C67" s="2160"/>
      <c r="D67" s="4174"/>
      <c r="E67" s="2190"/>
      <c r="F67" s="4139"/>
      <c r="G67" s="4140"/>
      <c r="H67" s="2187"/>
      <c r="I67" s="2187"/>
      <c r="J67" s="2160"/>
      <c r="K67" s="2210"/>
      <c r="L67" s="2160"/>
      <c r="M67" s="2160"/>
      <c r="N67" s="2160"/>
      <c r="O67" s="2210"/>
    </row>
    <row r="68" spans="1:15" s="2157" customFormat="1" ht="13.2">
      <c r="A68" s="2192"/>
      <c r="B68" s="2178" t="s">
        <v>9564</v>
      </c>
      <c r="C68" s="2160"/>
      <c r="D68" s="4174">
        <v>1206627.1200000001</v>
      </c>
      <c r="E68" s="2190"/>
      <c r="F68" s="4139"/>
      <c r="G68" s="4140"/>
      <c r="H68" s="2187" t="s">
        <v>6047</v>
      </c>
      <c r="I68" s="2187" t="s">
        <v>6048</v>
      </c>
      <c r="J68" s="2160"/>
      <c r="K68" s="2210"/>
      <c r="L68" s="2160"/>
      <c r="M68" s="2160"/>
      <c r="N68" s="2160"/>
      <c r="O68" s="2210"/>
    </row>
    <row r="69" spans="1:15" s="2157" customFormat="1">
      <c r="A69" s="2192"/>
      <c r="B69" s="2192" t="s">
        <v>9565</v>
      </c>
      <c r="C69" s="2160"/>
      <c r="D69" s="4174">
        <v>671000</v>
      </c>
      <c r="E69" s="2173" t="s">
        <v>6116</v>
      </c>
      <c r="F69" s="2196" t="s">
        <v>6117</v>
      </c>
      <c r="G69" s="2197" t="s">
        <v>6118</v>
      </c>
      <c r="H69" s="2187"/>
      <c r="I69" s="2187"/>
      <c r="J69" s="2160"/>
      <c r="K69" s="2210"/>
      <c r="L69" s="2160"/>
      <c r="M69" s="2160"/>
      <c r="N69" s="2160"/>
      <c r="O69" s="2210"/>
    </row>
    <row r="70" spans="1:15" s="2157" customFormat="1">
      <c r="A70" s="2192"/>
      <c r="B70" s="2192" t="s">
        <v>6119</v>
      </c>
      <c r="C70" s="2160"/>
      <c r="D70" s="4174"/>
      <c r="E70" s="2173" t="s">
        <v>6120</v>
      </c>
      <c r="F70" s="15144" t="s">
        <v>6121</v>
      </c>
      <c r="G70" s="2198">
        <v>5500</v>
      </c>
      <c r="H70" s="2187"/>
      <c r="I70" s="2187"/>
      <c r="J70" s="4142"/>
      <c r="K70" s="4143"/>
      <c r="L70" s="4142"/>
      <c r="M70" s="4142"/>
      <c r="N70" s="4142"/>
      <c r="O70" s="4143"/>
    </row>
    <row r="71" spans="1:15" s="2157" customFormat="1">
      <c r="A71" s="2192"/>
      <c r="B71" s="2192" t="s">
        <v>6122</v>
      </c>
      <c r="C71" s="2160"/>
      <c r="D71" s="4174"/>
      <c r="E71" s="2173" t="s">
        <v>6123</v>
      </c>
      <c r="F71" s="15144"/>
      <c r="G71" s="2198">
        <v>15000</v>
      </c>
      <c r="H71" s="2187"/>
      <c r="I71" s="2187"/>
      <c r="J71" s="2160"/>
      <c r="K71" s="2160"/>
      <c r="L71" s="2160"/>
      <c r="M71" s="2160"/>
      <c r="N71" s="2160"/>
    </row>
    <row r="72" spans="1:15" s="2157" customFormat="1">
      <c r="A72" s="2192"/>
      <c r="B72" s="2174" t="s">
        <v>6124</v>
      </c>
      <c r="C72" s="2160"/>
      <c r="D72" s="4174"/>
      <c r="E72" s="2173" t="s">
        <v>6125</v>
      </c>
      <c r="F72" s="15144"/>
      <c r="G72" s="2197" t="s">
        <v>6126</v>
      </c>
      <c r="H72" s="2187"/>
      <c r="I72" s="2187"/>
      <c r="J72" s="2160"/>
      <c r="K72" s="2160"/>
      <c r="L72" s="2160"/>
      <c r="M72" s="2160"/>
      <c r="N72" s="2160"/>
    </row>
    <row r="73" spans="1:15" s="2157" customFormat="1">
      <c r="A73" s="2192"/>
      <c r="B73" s="2174" t="s">
        <v>3773</v>
      </c>
      <c r="C73" s="2160"/>
      <c r="D73" s="4174"/>
      <c r="E73" s="2173"/>
      <c r="F73" s="15144"/>
      <c r="G73" s="2197"/>
      <c r="H73" s="2187"/>
      <c r="I73" s="2187"/>
      <c r="J73" s="2160"/>
      <c r="K73" s="2160"/>
      <c r="L73" s="2160"/>
      <c r="M73" s="2160"/>
      <c r="N73" s="2160"/>
    </row>
    <row r="74" spans="1:15" s="2157" customFormat="1">
      <c r="A74" s="4150"/>
      <c r="B74" s="4150"/>
      <c r="C74" s="4150"/>
      <c r="D74" s="4177"/>
      <c r="E74" s="4151"/>
      <c r="F74" s="4152"/>
      <c r="G74" s="4153"/>
      <c r="H74" s="4154"/>
      <c r="I74" s="4154"/>
      <c r="J74" s="2160"/>
      <c r="K74" s="2160"/>
      <c r="L74" s="2160"/>
      <c r="M74" s="2160"/>
      <c r="N74" s="2160"/>
    </row>
    <row r="75" spans="1:15" s="2157" customFormat="1">
      <c r="A75" s="2160"/>
      <c r="B75" s="2160"/>
      <c r="C75" s="2160"/>
      <c r="D75" s="4178"/>
      <c r="E75" s="2173"/>
      <c r="F75" s="4155"/>
      <c r="G75" s="2201"/>
      <c r="H75" s="2190"/>
      <c r="I75" s="2190"/>
      <c r="J75" s="2160"/>
      <c r="K75" s="2160"/>
      <c r="L75" s="2160"/>
      <c r="M75" s="2160"/>
      <c r="N75" s="2160"/>
    </row>
    <row r="76" spans="1:15" s="2157" customFormat="1">
      <c r="A76" s="2160"/>
      <c r="B76" s="2160"/>
      <c r="C76" s="2160"/>
      <c r="D76" s="4178"/>
      <c r="E76" s="2173"/>
      <c r="F76" s="4155"/>
      <c r="G76" s="2201"/>
      <c r="H76" s="2190"/>
      <c r="I76" s="2190"/>
      <c r="J76" s="2160"/>
      <c r="K76" s="2160"/>
      <c r="L76" s="2160"/>
      <c r="M76" s="2160"/>
      <c r="N76" s="2160"/>
    </row>
    <row r="77" spans="1:15" s="2157" customFormat="1">
      <c r="A77" s="2160"/>
      <c r="B77" s="2160"/>
      <c r="C77" s="2160"/>
      <c r="D77" s="4178"/>
      <c r="E77" s="2173"/>
      <c r="F77" s="4155"/>
      <c r="G77" s="2201"/>
      <c r="H77" s="2190"/>
      <c r="I77" s="2190"/>
      <c r="J77" s="2160"/>
      <c r="K77" s="2160"/>
      <c r="L77" s="2160"/>
      <c r="M77" s="2160"/>
      <c r="N77" s="2160"/>
    </row>
    <row r="78" spans="1:15" s="2157" customFormat="1">
      <c r="A78" s="2160"/>
      <c r="B78" s="2160"/>
      <c r="C78" s="2160"/>
      <c r="D78" s="4178"/>
      <c r="E78" s="2173"/>
      <c r="F78" s="4155"/>
      <c r="G78" s="2201"/>
      <c r="H78" s="2190"/>
      <c r="I78" s="2190"/>
      <c r="J78" s="2160"/>
      <c r="K78" s="2160"/>
      <c r="L78" s="2160"/>
      <c r="M78" s="2160"/>
      <c r="N78" s="2160"/>
    </row>
    <row r="79" spans="1:15" s="2157" customFormat="1">
      <c r="A79" s="2160"/>
      <c r="B79" s="2160"/>
      <c r="C79" s="2160"/>
      <c r="D79" s="4178"/>
      <c r="E79" s="2173"/>
      <c r="F79" s="4155"/>
      <c r="G79" s="2201"/>
      <c r="H79" s="2190"/>
      <c r="I79" s="2190"/>
      <c r="J79" s="2160"/>
      <c r="K79" s="2160"/>
      <c r="L79" s="2160"/>
      <c r="M79" s="2160"/>
      <c r="N79" s="2160"/>
    </row>
    <row r="80" spans="1:15" s="2157" customFormat="1">
      <c r="A80" s="2160"/>
      <c r="B80" s="2160"/>
      <c r="C80" s="2160"/>
      <c r="D80" s="4178"/>
      <c r="E80" s="2173"/>
      <c r="F80" s="4155"/>
      <c r="G80" s="2201"/>
      <c r="H80" s="2190"/>
      <c r="I80" s="2190"/>
      <c r="J80" s="2160"/>
      <c r="K80" s="2160"/>
      <c r="L80" s="2160"/>
      <c r="M80" s="2160"/>
      <c r="N80" s="2160"/>
    </row>
    <row r="81" spans="1:15" s="2157" customFormat="1" ht="14.4" thickBot="1">
      <c r="A81" s="4156"/>
      <c r="B81" s="4156"/>
      <c r="C81" s="4156"/>
      <c r="D81" s="4179"/>
      <c r="E81" s="4157"/>
      <c r="F81" s="4158"/>
      <c r="G81" s="4159"/>
      <c r="H81" s="4160"/>
      <c r="I81" s="4160"/>
      <c r="J81" s="2160"/>
      <c r="K81" s="2160"/>
      <c r="L81" s="2160"/>
      <c r="M81" s="2160"/>
      <c r="N81" s="2160"/>
    </row>
    <row r="82" spans="1:15" s="2157" customFormat="1" ht="13.2">
      <c r="A82" s="2170" t="s">
        <v>2045</v>
      </c>
      <c r="B82" s="15113" t="s">
        <v>2046</v>
      </c>
      <c r="C82" s="15114"/>
      <c r="D82" s="4182" t="s">
        <v>1736</v>
      </c>
      <c r="E82" s="15138" t="s">
        <v>1760</v>
      </c>
      <c r="F82" s="15141" t="s">
        <v>1764</v>
      </c>
      <c r="G82" s="2164"/>
      <c r="H82" s="15133" t="s">
        <v>1978</v>
      </c>
      <c r="I82" s="15134"/>
      <c r="J82" s="2160"/>
      <c r="K82" s="2160"/>
      <c r="L82" s="2160"/>
      <c r="M82" s="2160"/>
      <c r="N82" s="2160"/>
    </row>
    <row r="83" spans="1:15" s="2157" customFormat="1" ht="13.2">
      <c r="A83" s="2168" t="s">
        <v>468</v>
      </c>
      <c r="B83" s="15115"/>
      <c r="C83" s="15116"/>
      <c r="D83" s="4183"/>
      <c r="E83" s="15139"/>
      <c r="F83" s="15142"/>
      <c r="G83" s="2165"/>
      <c r="H83" s="15135" t="s">
        <v>1993</v>
      </c>
      <c r="I83" s="15136"/>
      <c r="J83" s="2160"/>
      <c r="K83" s="2160"/>
      <c r="L83" s="2160"/>
      <c r="M83" s="2160"/>
      <c r="N83" s="2160"/>
    </row>
    <row r="84" spans="1:15" s="2157" customFormat="1" thickBot="1">
      <c r="A84" s="4135" t="s">
        <v>2047</v>
      </c>
      <c r="B84" s="15117"/>
      <c r="C84" s="15118"/>
      <c r="D84" s="4184"/>
      <c r="E84" s="15140"/>
      <c r="F84" s="15143"/>
      <c r="G84" s="2166"/>
      <c r="H84" s="2167" t="s">
        <v>1789</v>
      </c>
      <c r="I84" s="2167" t="s">
        <v>1790</v>
      </c>
      <c r="J84" s="2174"/>
      <c r="K84" s="2160"/>
      <c r="L84" s="2160"/>
      <c r="M84" s="2160"/>
      <c r="N84" s="2160"/>
    </row>
    <row r="85" spans="1:15" s="2157" customFormat="1" ht="14.25" customHeight="1">
      <c r="A85" s="2192"/>
      <c r="B85" s="15119" t="s">
        <v>6127</v>
      </c>
      <c r="C85" s="15120"/>
      <c r="D85" s="4174">
        <v>3479927.08</v>
      </c>
      <c r="F85" s="4139"/>
      <c r="G85" s="4140"/>
      <c r="H85" s="2187"/>
      <c r="I85" s="2187"/>
    </row>
    <row r="86" spans="1:15" s="2157" customFormat="1" ht="13.5" customHeight="1">
      <c r="A86" s="2192"/>
      <c r="B86" s="15129" t="s">
        <v>9566</v>
      </c>
      <c r="C86" s="15130"/>
      <c r="D86" s="4174">
        <v>2471840</v>
      </c>
      <c r="F86" s="4139"/>
      <c r="G86" s="4140"/>
      <c r="H86" s="2187"/>
      <c r="I86" s="2187"/>
      <c r="J86" s="2160"/>
      <c r="K86" s="2160"/>
      <c r="L86" s="2160"/>
      <c r="M86" s="2160"/>
      <c r="N86" s="2160"/>
      <c r="O86" s="2160"/>
    </row>
    <row r="87" spans="1:15" s="2157" customFormat="1" ht="13.5" customHeight="1">
      <c r="A87" s="2192"/>
      <c r="B87" s="2199"/>
      <c r="C87" s="2199"/>
      <c r="D87" s="4174"/>
      <c r="E87" s="2173" t="s">
        <v>6128</v>
      </c>
      <c r="F87" s="4139"/>
      <c r="G87" s="4140"/>
      <c r="H87" s="2187"/>
      <c r="I87" s="2187"/>
      <c r="J87" s="2160"/>
      <c r="K87" s="2160"/>
      <c r="L87" s="2160"/>
      <c r="M87" s="2160"/>
      <c r="N87" s="2160"/>
      <c r="O87" s="2160"/>
    </row>
    <row r="88" spans="1:15" s="2157" customFormat="1" ht="13.5" customHeight="1">
      <c r="A88" s="2192"/>
      <c r="B88" s="2199"/>
      <c r="C88" s="2199"/>
      <c r="D88" s="4174"/>
      <c r="E88" s="2173" t="s">
        <v>6129</v>
      </c>
      <c r="F88" s="4139"/>
      <c r="G88" s="4140"/>
      <c r="H88" s="2187"/>
      <c r="I88" s="2187"/>
      <c r="J88" s="2160"/>
      <c r="K88" s="2160"/>
      <c r="L88" s="2160"/>
      <c r="M88" s="2160"/>
      <c r="N88" s="2160"/>
      <c r="O88" s="2160"/>
    </row>
    <row r="89" spans="1:15" s="2157" customFormat="1" ht="13.2">
      <c r="A89" s="2192"/>
      <c r="D89" s="4174"/>
      <c r="E89" s="2173" t="s">
        <v>6130</v>
      </c>
      <c r="F89" s="4139"/>
      <c r="G89" s="4140"/>
      <c r="H89" s="2187"/>
      <c r="I89" s="2187"/>
      <c r="J89" s="2160"/>
      <c r="K89" s="2160"/>
      <c r="L89" s="2160"/>
      <c r="M89" s="2160"/>
      <c r="N89" s="2160"/>
      <c r="O89" s="2160"/>
    </row>
    <row r="90" spans="1:15" s="2157" customFormat="1" ht="13.2">
      <c r="A90" s="2192"/>
      <c r="D90" s="4174"/>
      <c r="E90" s="2173" t="s">
        <v>6131</v>
      </c>
      <c r="F90" s="4139"/>
      <c r="G90" s="4140"/>
      <c r="H90" s="2187"/>
      <c r="I90" s="2187"/>
      <c r="J90" s="2160"/>
      <c r="K90" s="2160"/>
      <c r="L90" s="2160"/>
      <c r="M90" s="2160"/>
      <c r="N90" s="2160"/>
      <c r="O90" s="2160"/>
    </row>
    <row r="91" spans="1:15" s="2157" customFormat="1" ht="13.2">
      <c r="A91" s="2192"/>
      <c r="B91" s="2200"/>
      <c r="C91" s="2160"/>
      <c r="D91" s="4174"/>
      <c r="E91" s="2173" t="s">
        <v>6132</v>
      </c>
      <c r="F91" s="4139"/>
      <c r="G91" s="4140"/>
      <c r="H91" s="2187"/>
      <c r="I91" s="2187"/>
      <c r="J91" s="2160"/>
      <c r="K91" s="2160"/>
      <c r="L91" s="2160"/>
      <c r="M91" s="2160"/>
      <c r="N91" s="2160"/>
      <c r="O91" s="2160"/>
    </row>
    <row r="92" spans="1:15" s="2157" customFormat="1" ht="13.2">
      <c r="A92" s="2192"/>
      <c r="B92" s="2200"/>
      <c r="C92" s="2160"/>
      <c r="D92" s="4174"/>
      <c r="E92" s="2173" t="s">
        <v>6133</v>
      </c>
      <c r="F92" s="4139"/>
      <c r="G92" s="4140"/>
      <c r="H92" s="2187"/>
      <c r="I92" s="2187"/>
      <c r="J92" s="2160"/>
      <c r="K92" s="2160"/>
      <c r="L92" s="2160"/>
      <c r="M92" s="2160"/>
      <c r="N92" s="2160"/>
      <c r="O92" s="2160"/>
    </row>
    <row r="93" spans="1:15" s="2157" customFormat="1" ht="13.2">
      <c r="A93" s="2192"/>
      <c r="B93" s="2200"/>
      <c r="C93" s="2160"/>
      <c r="D93" s="4174"/>
      <c r="E93" s="2173" t="s">
        <v>6134</v>
      </c>
      <c r="F93" s="4139"/>
      <c r="G93" s="4140"/>
      <c r="H93" s="2187"/>
      <c r="I93" s="2187"/>
      <c r="J93" s="2160"/>
      <c r="K93" s="2160"/>
      <c r="L93" s="2160"/>
      <c r="M93" s="2160"/>
      <c r="N93" s="2160"/>
      <c r="O93" s="2160"/>
    </row>
    <row r="94" spans="1:15" s="2157" customFormat="1" ht="13.2">
      <c r="A94" s="2192"/>
      <c r="B94" s="2200"/>
      <c r="C94" s="2160"/>
      <c r="D94" s="4174"/>
      <c r="E94" s="2173" t="s">
        <v>6135</v>
      </c>
      <c r="F94" s="2200" t="s">
        <v>6136</v>
      </c>
      <c r="G94" s="2173">
        <v>1</v>
      </c>
      <c r="H94" s="2187"/>
      <c r="I94" s="2187"/>
      <c r="J94" s="2160"/>
      <c r="K94" s="2160"/>
      <c r="L94" s="2160"/>
      <c r="M94" s="2160"/>
      <c r="N94" s="2160"/>
      <c r="O94" s="2160"/>
    </row>
    <row r="95" spans="1:15" s="2157" customFormat="1" ht="13.2">
      <c r="A95" s="2192"/>
      <c r="B95" s="2200"/>
      <c r="C95" s="2160"/>
      <c r="D95" s="4174"/>
      <c r="E95" s="2173" t="s">
        <v>6137</v>
      </c>
      <c r="F95" s="2200" t="s">
        <v>6138</v>
      </c>
      <c r="G95" s="2173">
        <v>1</v>
      </c>
      <c r="H95" s="2187"/>
      <c r="I95" s="2187"/>
      <c r="J95" s="2160"/>
      <c r="K95" s="2160"/>
      <c r="L95" s="2160"/>
      <c r="M95" s="2160"/>
      <c r="N95" s="2160"/>
      <c r="O95" s="2160"/>
    </row>
    <row r="96" spans="1:15" s="2157" customFormat="1" ht="13.2">
      <c r="A96" s="2192"/>
      <c r="B96" s="2200"/>
      <c r="C96" s="2160"/>
      <c r="D96" s="4174"/>
      <c r="E96" s="2173" t="s">
        <v>6139</v>
      </c>
      <c r="F96" s="2200" t="s">
        <v>6140</v>
      </c>
      <c r="G96" s="2173">
        <v>1</v>
      </c>
      <c r="H96" s="2187"/>
      <c r="I96" s="2187"/>
      <c r="J96" s="2160"/>
      <c r="K96" s="2160"/>
      <c r="L96" s="2160"/>
      <c r="M96" s="2160"/>
      <c r="N96" s="2160"/>
      <c r="O96" s="2160"/>
    </row>
    <row r="97" spans="1:15" s="2157" customFormat="1" ht="13.2">
      <c r="A97" s="2192"/>
      <c r="B97" s="2188" t="s">
        <v>6141</v>
      </c>
      <c r="C97" s="2162"/>
      <c r="D97" s="4174"/>
      <c r="E97" s="2184"/>
      <c r="F97" s="2200"/>
      <c r="G97" s="2190"/>
      <c r="H97" s="2187" t="s">
        <v>6047</v>
      </c>
      <c r="I97" s="2187" t="s">
        <v>6048</v>
      </c>
      <c r="J97" s="2160"/>
      <c r="K97" s="2160"/>
      <c r="L97" s="2160"/>
      <c r="M97" s="2160"/>
      <c r="N97" s="2160"/>
      <c r="O97" s="2160"/>
    </row>
    <row r="98" spans="1:15" s="2157" customFormat="1">
      <c r="A98" s="2192"/>
      <c r="B98" s="15127" t="s">
        <v>6142</v>
      </c>
      <c r="C98" s="15128"/>
      <c r="D98" s="4174"/>
      <c r="E98" s="15108" t="s">
        <v>6143</v>
      </c>
      <c r="F98" s="15137" t="s">
        <v>6144</v>
      </c>
      <c r="G98" s="2201"/>
      <c r="H98" s="2187"/>
      <c r="I98" s="2187"/>
      <c r="J98" s="2160"/>
      <c r="K98" s="2160"/>
      <c r="L98" s="2160"/>
      <c r="M98" s="2160"/>
      <c r="N98" s="2160"/>
      <c r="O98" s="2160"/>
    </row>
    <row r="99" spans="1:15" s="2157" customFormat="1" ht="13.2">
      <c r="A99" s="2192"/>
      <c r="B99" s="2200" t="s">
        <v>6145</v>
      </c>
      <c r="C99" s="2160"/>
      <c r="D99" s="4174"/>
      <c r="E99" s="15108"/>
      <c r="F99" s="15137"/>
      <c r="G99" s="2173">
        <v>6</v>
      </c>
      <c r="H99" s="2187"/>
      <c r="I99" s="2187"/>
      <c r="J99" s="2160"/>
      <c r="K99" s="2160"/>
      <c r="L99" s="2160"/>
      <c r="M99" s="2160"/>
      <c r="N99" s="2160"/>
      <c r="O99" s="2160"/>
    </row>
    <row r="100" spans="1:15" s="2157" customFormat="1" ht="13.2">
      <c r="A100" s="2192"/>
      <c r="B100" s="2200"/>
      <c r="C100" s="2160"/>
      <c r="D100" s="4174"/>
      <c r="E100" s="15108"/>
      <c r="F100" s="2200"/>
      <c r="G100" s="2190"/>
      <c r="H100" s="2187"/>
      <c r="I100" s="2187"/>
      <c r="J100" s="2160"/>
      <c r="K100" s="2160"/>
      <c r="L100" s="2160"/>
      <c r="M100" s="2160"/>
      <c r="N100" s="2160"/>
      <c r="O100" s="2160"/>
    </row>
    <row r="101" spans="1:15" s="2157" customFormat="1" ht="13.2">
      <c r="A101" s="2192"/>
      <c r="B101" s="2200"/>
      <c r="C101" s="2160"/>
      <c r="D101" s="4174"/>
      <c r="E101" s="2173" t="s">
        <v>6146</v>
      </c>
      <c r="F101" s="2200"/>
      <c r="G101" s="2190"/>
      <c r="H101" s="2187"/>
      <c r="I101" s="2187"/>
      <c r="J101" s="2160"/>
      <c r="K101" s="2160"/>
      <c r="L101" s="2160"/>
      <c r="M101" s="2160"/>
      <c r="N101" s="2160"/>
      <c r="O101" s="2160"/>
    </row>
    <row r="102" spans="1:15" s="2157" customFormat="1" ht="13.2">
      <c r="A102" s="2192"/>
      <c r="B102" s="2200"/>
      <c r="C102" s="2160"/>
      <c r="D102" s="4174"/>
      <c r="E102" s="2173"/>
      <c r="F102" s="2200"/>
      <c r="G102" s="2190"/>
      <c r="H102" s="2187"/>
      <c r="I102" s="2187"/>
      <c r="J102" s="2160"/>
      <c r="K102" s="2160"/>
      <c r="L102" s="2160"/>
      <c r="M102" s="2160"/>
      <c r="N102" s="2160"/>
      <c r="O102" s="2160"/>
    </row>
    <row r="103" spans="1:15" s="2157" customFormat="1">
      <c r="A103" s="2192"/>
      <c r="B103" s="2200"/>
      <c r="C103" s="2160"/>
      <c r="D103" s="4174"/>
      <c r="E103" s="15108" t="s">
        <v>6147</v>
      </c>
      <c r="F103" s="2202" t="s">
        <v>6148</v>
      </c>
      <c r="G103" s="2201">
        <v>10</v>
      </c>
      <c r="H103" s="2187"/>
      <c r="I103" s="2187"/>
      <c r="J103" s="2160"/>
      <c r="K103" s="2160"/>
      <c r="L103" s="2160"/>
      <c r="M103" s="2160"/>
      <c r="N103" s="2160"/>
      <c r="O103" s="2160"/>
    </row>
    <row r="104" spans="1:15" s="2157" customFormat="1">
      <c r="A104" s="2192"/>
      <c r="B104" s="2200"/>
      <c r="C104" s="2160"/>
      <c r="D104" s="4174"/>
      <c r="E104" s="15108"/>
      <c r="F104" s="2202" t="s">
        <v>6149</v>
      </c>
      <c r="G104" s="2201">
        <v>300</v>
      </c>
      <c r="H104" s="2187"/>
      <c r="I104" s="2187"/>
      <c r="J104" s="2160"/>
      <c r="K104" s="2160"/>
      <c r="L104" s="2160"/>
      <c r="M104" s="2160"/>
      <c r="N104" s="2160"/>
      <c r="O104" s="2160"/>
    </row>
    <row r="105" spans="1:15" s="2157" customFormat="1">
      <c r="A105" s="2192"/>
      <c r="B105" s="2200"/>
      <c r="C105" s="2160"/>
      <c r="D105" s="4174"/>
      <c r="E105" s="15108"/>
      <c r="F105" s="4039" t="s">
        <v>6150</v>
      </c>
      <c r="G105" s="2201">
        <v>5</v>
      </c>
      <c r="H105" s="2187"/>
      <c r="I105" s="2187"/>
      <c r="J105" s="2160"/>
      <c r="K105" s="2160"/>
      <c r="L105" s="2160"/>
      <c r="M105" s="2160"/>
      <c r="N105" s="2160"/>
      <c r="O105" s="2160"/>
    </row>
    <row r="106" spans="1:15" s="2157" customFormat="1" ht="10.5" customHeight="1">
      <c r="A106" s="2192"/>
      <c r="B106" s="2200"/>
      <c r="C106" s="2160"/>
      <c r="D106" s="4174"/>
      <c r="E106" s="15108"/>
      <c r="F106" s="2200"/>
      <c r="G106" s="2190"/>
      <c r="H106" s="2187"/>
      <c r="I106" s="2187"/>
      <c r="J106" s="2160"/>
      <c r="K106" s="2160"/>
      <c r="L106" s="2160"/>
      <c r="M106" s="2160"/>
      <c r="N106" s="2160"/>
      <c r="O106" s="2160"/>
    </row>
    <row r="107" spans="1:15" s="2157" customFormat="1" ht="13.2">
      <c r="A107" s="2192"/>
      <c r="B107" s="2200"/>
      <c r="C107" s="2160"/>
      <c r="D107" s="4174"/>
      <c r="E107" s="2203" t="s">
        <v>6151</v>
      </c>
      <c r="F107" s="2200"/>
      <c r="G107" s="2190"/>
      <c r="H107" s="2187"/>
      <c r="I107" s="2187"/>
      <c r="J107" s="2160"/>
      <c r="K107" s="2160"/>
      <c r="L107" s="2160"/>
      <c r="M107" s="2160"/>
      <c r="N107" s="2160"/>
      <c r="O107" s="2160"/>
    </row>
    <row r="108" spans="1:15" s="2157" customFormat="1" ht="13.2">
      <c r="A108" s="2192"/>
      <c r="B108" s="2200"/>
      <c r="C108" s="2160"/>
      <c r="D108" s="4174"/>
      <c r="E108" s="2173"/>
      <c r="F108" s="2200" t="s">
        <v>6152</v>
      </c>
      <c r="G108" s="2190"/>
      <c r="H108" s="2187"/>
      <c r="I108" s="2187"/>
      <c r="J108" s="2160"/>
      <c r="K108" s="2160"/>
      <c r="L108" s="2160"/>
      <c r="M108" s="2160"/>
      <c r="N108" s="2160"/>
      <c r="O108" s="2160"/>
    </row>
    <row r="109" spans="1:15" s="2157" customFormat="1" ht="13.2">
      <c r="A109" s="2192"/>
      <c r="B109" s="2200"/>
      <c r="C109" s="2160"/>
      <c r="D109" s="4174"/>
      <c r="E109" s="2173" t="s">
        <v>6153</v>
      </c>
      <c r="F109" s="2200" t="s">
        <v>6154</v>
      </c>
      <c r="G109" s="2173">
        <v>384</v>
      </c>
      <c r="H109" s="2187"/>
      <c r="I109" s="2187"/>
      <c r="J109" s="2160"/>
      <c r="K109" s="2160"/>
      <c r="L109" s="2160"/>
      <c r="M109" s="2160"/>
      <c r="N109" s="2160"/>
      <c r="O109" s="2160"/>
    </row>
    <row r="110" spans="1:15" s="2157" customFormat="1" ht="13.2">
      <c r="A110" s="2192"/>
      <c r="B110" s="2200"/>
      <c r="C110" s="2160"/>
      <c r="D110" s="4174"/>
      <c r="E110" s="2173" t="s">
        <v>6155</v>
      </c>
      <c r="F110" s="2200" t="s">
        <v>6156</v>
      </c>
      <c r="G110" s="2173">
        <v>500</v>
      </c>
      <c r="H110" s="2187"/>
      <c r="I110" s="2187"/>
      <c r="J110" s="2160"/>
      <c r="K110" s="2160"/>
      <c r="L110" s="2160"/>
      <c r="M110" s="2160"/>
      <c r="N110" s="2160"/>
      <c r="O110" s="2160"/>
    </row>
    <row r="111" spans="1:15" s="2157" customFormat="1" ht="13.2">
      <c r="A111" s="2192"/>
      <c r="B111" s="2200"/>
      <c r="C111" s="2160"/>
      <c r="D111" s="4174"/>
      <c r="E111" s="2173"/>
      <c r="F111" s="2200" t="s">
        <v>6157</v>
      </c>
      <c r="G111" s="2173">
        <v>70</v>
      </c>
      <c r="H111" s="2187"/>
      <c r="I111" s="2187"/>
      <c r="J111" s="2160"/>
      <c r="K111" s="2160"/>
      <c r="L111" s="2160"/>
      <c r="M111" s="2160"/>
      <c r="N111" s="2160"/>
      <c r="O111" s="2160"/>
    </row>
    <row r="112" spans="1:15" s="2157" customFormat="1">
      <c r="A112" s="2192"/>
      <c r="B112" s="4186" t="s">
        <v>6158</v>
      </c>
      <c r="C112" s="2160"/>
      <c r="D112" s="4174"/>
      <c r="E112" s="2173" t="s">
        <v>5126</v>
      </c>
      <c r="F112" s="4144" t="s">
        <v>6159</v>
      </c>
      <c r="H112" s="2187"/>
      <c r="I112" s="2187"/>
      <c r="J112" s="2160"/>
      <c r="K112" s="2160"/>
      <c r="L112" s="2160"/>
      <c r="M112" s="2160"/>
      <c r="N112" s="2160"/>
      <c r="O112" s="2160"/>
    </row>
    <row r="113" spans="1:15" s="2157" customFormat="1">
      <c r="A113" s="2192"/>
      <c r="B113" s="2174"/>
      <c r="C113" s="2160"/>
      <c r="D113" s="4174"/>
      <c r="E113" s="4145" t="s">
        <v>6160</v>
      </c>
      <c r="F113" s="2200" t="s">
        <v>3758</v>
      </c>
      <c r="G113" s="2173">
        <v>2</v>
      </c>
      <c r="H113" s="2187"/>
      <c r="I113" s="2187"/>
      <c r="J113" s="2160"/>
      <c r="K113" s="2160"/>
      <c r="L113" s="2160"/>
      <c r="M113" s="2160"/>
      <c r="N113" s="2160"/>
      <c r="O113" s="2160"/>
    </row>
    <row r="114" spans="1:15" s="2157" customFormat="1" ht="13.2">
      <c r="A114" s="2192"/>
      <c r="B114" s="2174"/>
      <c r="C114" s="2160"/>
      <c r="D114" s="4174"/>
      <c r="E114" s="2187" t="s">
        <v>6161</v>
      </c>
      <c r="F114" s="2200" t="s">
        <v>3759</v>
      </c>
      <c r="G114" s="2173">
        <v>2</v>
      </c>
      <c r="H114" s="2187"/>
      <c r="I114" s="2187"/>
      <c r="J114" s="2160"/>
      <c r="K114" s="2160"/>
      <c r="L114" s="2160"/>
      <c r="M114" s="2160"/>
      <c r="N114" s="2160"/>
      <c r="O114" s="2160"/>
    </row>
    <row r="115" spans="1:15" s="2157" customFormat="1">
      <c r="A115" s="2192"/>
      <c r="B115" s="2174"/>
      <c r="C115" s="2160"/>
      <c r="D115" s="4174"/>
      <c r="E115" s="4145" t="s">
        <v>6162</v>
      </c>
      <c r="F115" s="2200" t="s">
        <v>6163</v>
      </c>
      <c r="G115" s="2173">
        <v>1</v>
      </c>
      <c r="H115" s="2187"/>
      <c r="I115" s="2187"/>
      <c r="J115" s="2160"/>
      <c r="K115" s="2160"/>
      <c r="L115" s="2160"/>
      <c r="M115" s="2160"/>
      <c r="N115" s="2160"/>
      <c r="O115" s="2160"/>
    </row>
    <row r="116" spans="1:15" s="2157" customFormat="1">
      <c r="A116" s="2192"/>
      <c r="B116" s="2174"/>
      <c r="C116" s="2210"/>
      <c r="D116" s="4174"/>
      <c r="E116" s="4145" t="s">
        <v>1922</v>
      </c>
      <c r="F116" s="2174" t="s">
        <v>6164</v>
      </c>
      <c r="G116" s="2173">
        <v>4</v>
      </c>
      <c r="H116" s="2187"/>
      <c r="I116" s="2187"/>
      <c r="J116" s="2160"/>
      <c r="K116" s="2160"/>
      <c r="L116" s="2160"/>
      <c r="M116" s="2160"/>
      <c r="N116" s="2160"/>
      <c r="O116" s="2160"/>
    </row>
    <row r="117" spans="1:15" s="2157" customFormat="1" ht="13.2">
      <c r="A117" s="2192"/>
      <c r="B117" s="2174"/>
      <c r="C117" s="2160"/>
      <c r="D117" s="4174"/>
      <c r="E117" s="2173" t="s">
        <v>6165</v>
      </c>
      <c r="F117" s="4146" t="s">
        <v>1929</v>
      </c>
      <c r="H117" s="2187"/>
      <c r="I117" s="2187"/>
      <c r="J117" s="2160"/>
      <c r="K117" s="2160"/>
      <c r="L117" s="2160"/>
      <c r="M117" s="2160"/>
      <c r="N117" s="2160"/>
      <c r="O117" s="2160"/>
    </row>
    <row r="118" spans="1:15" s="2157" customFormat="1" ht="13.2">
      <c r="A118" s="2192"/>
      <c r="B118" s="2174"/>
      <c r="C118" s="2160"/>
      <c r="D118" s="4174"/>
      <c r="E118" s="2173" t="s">
        <v>6166</v>
      </c>
      <c r="F118" s="2200" t="s">
        <v>6167</v>
      </c>
      <c r="G118" s="2173">
        <v>34</v>
      </c>
      <c r="H118" s="2187"/>
      <c r="I118" s="2187"/>
      <c r="J118" s="2160"/>
      <c r="K118" s="2160"/>
      <c r="L118" s="2160"/>
      <c r="M118" s="2160"/>
      <c r="N118" s="2160"/>
      <c r="O118" s="2160"/>
    </row>
    <row r="119" spans="1:15" s="2157" customFormat="1" ht="13.2">
      <c r="A119" s="2192"/>
      <c r="B119" s="2174"/>
      <c r="C119" s="2160"/>
      <c r="D119" s="4174"/>
      <c r="E119" s="2173" t="s">
        <v>6168</v>
      </c>
      <c r="F119" s="2200" t="s">
        <v>6169</v>
      </c>
      <c r="H119" s="2187"/>
      <c r="I119" s="2187"/>
      <c r="J119" s="2160"/>
      <c r="K119" s="2160"/>
      <c r="L119" s="2160"/>
      <c r="M119" s="2160"/>
      <c r="N119" s="2160"/>
      <c r="O119" s="2160"/>
    </row>
    <row r="120" spans="1:15" s="2157" customFormat="1" ht="13.2">
      <c r="A120" s="2192"/>
      <c r="B120" s="2174"/>
      <c r="C120" s="2160"/>
      <c r="D120" s="4174"/>
      <c r="E120" s="2173" t="s">
        <v>6170</v>
      </c>
      <c r="F120" s="2174" t="s">
        <v>6171</v>
      </c>
      <c r="G120" s="2190"/>
      <c r="H120" s="2187"/>
      <c r="I120" s="2187"/>
      <c r="J120" s="2160"/>
      <c r="K120" s="2160"/>
      <c r="L120" s="2160"/>
      <c r="M120" s="2160"/>
      <c r="N120" s="2160"/>
      <c r="O120" s="2160"/>
    </row>
    <row r="121" spans="1:15" s="2157" customFormat="1" ht="13.2">
      <c r="A121" s="2192"/>
      <c r="B121" s="2174"/>
      <c r="C121" s="2160"/>
      <c r="D121" s="4174"/>
      <c r="E121" s="2173" t="s">
        <v>6172</v>
      </c>
      <c r="F121" s="2174" t="s">
        <v>6169</v>
      </c>
      <c r="G121" s="2173">
        <v>68</v>
      </c>
      <c r="H121" s="2187"/>
      <c r="I121" s="2187"/>
      <c r="J121" s="2160"/>
      <c r="K121" s="2160"/>
      <c r="L121" s="2160"/>
      <c r="M121" s="2160"/>
      <c r="N121" s="2160"/>
      <c r="O121" s="2160"/>
    </row>
    <row r="122" spans="1:15" s="2157" customFormat="1" ht="13.2">
      <c r="A122" s="2192"/>
      <c r="B122" s="2174"/>
      <c r="C122" s="2160"/>
      <c r="D122" s="4174"/>
      <c r="E122" s="2173" t="s">
        <v>6173</v>
      </c>
      <c r="F122" s="2174" t="s">
        <v>6174</v>
      </c>
      <c r="G122" s="2190"/>
      <c r="H122" s="2187"/>
      <c r="I122" s="2187"/>
      <c r="J122" s="2160"/>
      <c r="K122" s="2160"/>
      <c r="L122" s="2160"/>
      <c r="M122" s="2160"/>
      <c r="N122" s="2160"/>
      <c r="O122" s="2160"/>
    </row>
    <row r="123" spans="1:15" s="2157" customFormat="1" ht="13.2">
      <c r="A123" s="2192"/>
      <c r="B123" s="4185" t="s">
        <v>6175</v>
      </c>
      <c r="C123" s="2160"/>
      <c r="D123" s="4174"/>
      <c r="E123" s="2173" t="s">
        <v>5127</v>
      </c>
      <c r="F123" s="2174"/>
      <c r="G123" s="2190"/>
      <c r="H123" s="2187"/>
      <c r="I123" s="2187"/>
      <c r="J123" s="2160"/>
      <c r="K123" s="2160"/>
      <c r="L123" s="2160"/>
      <c r="M123" s="2160"/>
      <c r="N123" s="2160"/>
      <c r="O123" s="2160"/>
    </row>
    <row r="124" spans="1:15" s="2157" customFormat="1" ht="13.2">
      <c r="A124" s="2192"/>
      <c r="B124" s="2204" t="s">
        <v>6176</v>
      </c>
      <c r="C124" s="2160"/>
      <c r="D124" s="4174"/>
      <c r="E124" s="2173" t="s">
        <v>6177</v>
      </c>
      <c r="F124" s="2200" t="s">
        <v>6152</v>
      </c>
      <c r="G124" s="2190"/>
      <c r="H124" s="2187"/>
      <c r="I124" s="2187"/>
      <c r="J124" s="2160"/>
      <c r="K124" s="2160"/>
      <c r="L124" s="2160"/>
      <c r="M124" s="2160"/>
      <c r="N124" s="2160"/>
      <c r="O124" s="2160"/>
    </row>
    <row r="125" spans="1:15" s="2157" customFormat="1" ht="13.2">
      <c r="A125" s="2192"/>
      <c r="B125" s="2200"/>
      <c r="C125" s="2210"/>
      <c r="D125" s="4174"/>
      <c r="E125" s="2173" t="s">
        <v>6178</v>
      </c>
      <c r="F125" s="2200" t="s">
        <v>6154</v>
      </c>
      <c r="G125" s="2173">
        <v>384</v>
      </c>
      <c r="H125" s="2187"/>
      <c r="I125" s="2187"/>
      <c r="J125" s="2160"/>
      <c r="K125" s="2160"/>
      <c r="L125" s="2160"/>
      <c r="M125" s="2160"/>
      <c r="N125" s="2160"/>
      <c r="O125" s="2160"/>
    </row>
    <row r="126" spans="1:15" s="2157" customFormat="1" ht="13.2">
      <c r="A126" s="2192"/>
      <c r="B126" s="2200"/>
      <c r="C126" s="2210"/>
      <c r="D126" s="4174"/>
      <c r="E126" s="2173" t="s">
        <v>6179</v>
      </c>
      <c r="F126" s="2200" t="s">
        <v>6156</v>
      </c>
      <c r="G126" s="2173">
        <v>500</v>
      </c>
      <c r="H126" s="2187"/>
      <c r="I126" s="2187"/>
      <c r="J126" s="2160"/>
      <c r="K126" s="2160"/>
      <c r="L126" s="2160"/>
      <c r="M126" s="2160"/>
      <c r="N126" s="2160"/>
      <c r="O126" s="2160"/>
    </row>
    <row r="127" spans="1:15" s="2157" customFormat="1" ht="13.2">
      <c r="A127" s="2192"/>
      <c r="B127" s="2204" t="s">
        <v>6180</v>
      </c>
      <c r="C127" s="2160"/>
      <c r="D127" s="4174"/>
      <c r="F127" s="2174" t="s">
        <v>6157</v>
      </c>
      <c r="G127" s="2182">
        <v>70</v>
      </c>
      <c r="H127" s="2187"/>
      <c r="I127" s="2187"/>
      <c r="J127" s="2160"/>
      <c r="K127" s="2160"/>
      <c r="L127" s="2160"/>
      <c r="M127" s="2160"/>
      <c r="N127" s="2160"/>
      <c r="O127" s="2160"/>
    </row>
    <row r="128" spans="1:15" s="2157" customFormat="1" ht="13.2">
      <c r="A128" s="2192"/>
      <c r="B128" s="2205" t="s">
        <v>6181</v>
      </c>
      <c r="C128" s="2160"/>
      <c r="D128" s="4174"/>
      <c r="F128" s="2174" t="s">
        <v>6182</v>
      </c>
      <c r="G128" s="2182">
        <v>408</v>
      </c>
      <c r="H128" s="2187"/>
      <c r="I128" s="2187"/>
      <c r="J128" s="2160"/>
      <c r="K128" s="2160"/>
      <c r="L128" s="2160"/>
      <c r="M128" s="2160"/>
      <c r="N128" s="2160"/>
      <c r="O128" s="2160"/>
    </row>
    <row r="129" spans="1:18" s="2157" customFormat="1" ht="13.2">
      <c r="A129" s="2192"/>
      <c r="B129" s="2204" t="s">
        <v>6183</v>
      </c>
      <c r="C129" s="2160"/>
      <c r="D129" s="4174"/>
      <c r="E129" s="2173"/>
      <c r="F129" s="2174" t="s">
        <v>6184</v>
      </c>
      <c r="G129" s="2173">
        <v>12</v>
      </c>
      <c r="H129" s="2187"/>
      <c r="I129" s="2187"/>
      <c r="J129" s="2160"/>
      <c r="K129" s="2160"/>
      <c r="L129" s="2160"/>
      <c r="M129" s="2160"/>
      <c r="N129" s="2160"/>
      <c r="O129" s="2160"/>
    </row>
    <row r="130" spans="1:18" s="2157" customFormat="1" ht="13.2">
      <c r="A130" s="2192"/>
      <c r="B130" s="2204" t="s">
        <v>6185</v>
      </c>
      <c r="C130" s="2160"/>
      <c r="D130" s="4174"/>
      <c r="E130" s="2173"/>
      <c r="F130" s="2200"/>
      <c r="G130" s="2190"/>
      <c r="H130" s="2187"/>
      <c r="I130" s="2187"/>
      <c r="J130" s="2160"/>
      <c r="K130" s="2160"/>
      <c r="L130" s="2160"/>
      <c r="M130" s="2160"/>
      <c r="N130" s="2160"/>
      <c r="O130" s="2160"/>
    </row>
    <row r="131" spans="1:18" s="2157" customFormat="1" ht="13.2">
      <c r="A131" s="2192"/>
      <c r="B131" s="2192" t="s">
        <v>6186</v>
      </c>
      <c r="C131" s="2210"/>
      <c r="D131" s="4174"/>
      <c r="E131" s="2173" t="s">
        <v>6187</v>
      </c>
      <c r="F131" s="2200" t="s">
        <v>6188</v>
      </c>
      <c r="G131" s="2173">
        <v>1</v>
      </c>
      <c r="H131" s="2187"/>
      <c r="I131" s="2187"/>
      <c r="J131" s="2160"/>
      <c r="K131" s="2160"/>
      <c r="L131" s="2160"/>
      <c r="M131" s="2160"/>
      <c r="N131" s="2160"/>
      <c r="O131" s="2160"/>
    </row>
    <row r="132" spans="1:18" s="2157" customFormat="1" ht="13.2">
      <c r="A132" s="2192"/>
      <c r="B132" s="2174"/>
      <c r="C132" s="2210"/>
      <c r="D132" s="4174"/>
      <c r="E132" s="2173" t="s">
        <v>1850</v>
      </c>
      <c r="F132" s="2200" t="s">
        <v>6189</v>
      </c>
      <c r="G132" s="2173">
        <v>1</v>
      </c>
      <c r="H132" s="2187"/>
      <c r="I132" s="2187"/>
      <c r="J132" s="2160"/>
      <c r="K132" s="2160"/>
      <c r="L132" s="2160"/>
      <c r="M132" s="2160"/>
      <c r="N132" s="2160"/>
      <c r="O132" s="2160"/>
    </row>
    <row r="133" spans="1:18" s="2157" customFormat="1" ht="13.2">
      <c r="A133" s="2192"/>
      <c r="B133" s="2200"/>
      <c r="C133" s="2160"/>
      <c r="D133" s="4174"/>
      <c r="E133" s="2173" t="s">
        <v>6190</v>
      </c>
      <c r="F133" s="2200" t="s">
        <v>6191</v>
      </c>
      <c r="G133" s="2173">
        <v>1</v>
      </c>
      <c r="H133" s="2187"/>
      <c r="I133" s="2187"/>
      <c r="J133" s="2160"/>
      <c r="K133" s="2160"/>
      <c r="L133" s="2160"/>
      <c r="M133" s="2160"/>
      <c r="N133" s="2160"/>
      <c r="O133" s="2160"/>
    </row>
    <row r="134" spans="1:18" s="2157" customFormat="1" ht="13.2">
      <c r="A134" s="2192"/>
      <c r="B134" s="2200"/>
      <c r="C134" s="2160"/>
      <c r="D134" s="4174"/>
      <c r="E134" s="2173"/>
      <c r="F134" s="2200" t="s">
        <v>6192</v>
      </c>
      <c r="G134" s="2173">
        <v>3</v>
      </c>
      <c r="H134" s="2187"/>
      <c r="I134" s="2187"/>
      <c r="J134" s="2160"/>
      <c r="K134" s="2160"/>
      <c r="L134" s="2160"/>
      <c r="M134" s="2160"/>
      <c r="N134" s="2160"/>
      <c r="O134" s="2160"/>
    </row>
    <row r="135" spans="1:18" s="2157" customFormat="1" ht="13.2">
      <c r="A135" s="2192"/>
      <c r="B135" s="2200"/>
      <c r="C135" s="2160"/>
      <c r="D135" s="4174"/>
      <c r="E135" s="2173"/>
      <c r="F135" s="2200" t="s">
        <v>6193</v>
      </c>
      <c r="G135" s="2190"/>
      <c r="H135" s="2187"/>
      <c r="I135" s="2187"/>
      <c r="J135" s="2160"/>
      <c r="K135" s="2160"/>
      <c r="L135" s="2160"/>
      <c r="M135" s="2160"/>
      <c r="N135" s="2160"/>
      <c r="O135" s="2160"/>
    </row>
    <row r="136" spans="1:18" s="2157" customFormat="1" ht="13.2">
      <c r="A136" s="2192"/>
      <c r="B136" s="2181" t="s">
        <v>6194</v>
      </c>
      <c r="C136" s="2162"/>
      <c r="D136" s="4174"/>
      <c r="E136" s="2190"/>
      <c r="F136" s="4139"/>
      <c r="G136" s="4140"/>
      <c r="H136" s="2187" t="s">
        <v>6047</v>
      </c>
      <c r="I136" s="2187" t="s">
        <v>6048</v>
      </c>
      <c r="J136" s="2160"/>
      <c r="K136" s="2160"/>
      <c r="L136" s="2160"/>
      <c r="M136" s="2160"/>
      <c r="N136" s="2160"/>
      <c r="O136" s="2160"/>
      <c r="Q136" s="2160"/>
      <c r="R136" s="2160"/>
    </row>
    <row r="137" spans="1:18" s="2157" customFormat="1" ht="13.2">
      <c r="A137" s="2192"/>
      <c r="B137" s="2181" t="s">
        <v>3775</v>
      </c>
      <c r="C137" s="2162"/>
      <c r="D137" s="4174"/>
      <c r="E137" s="2190"/>
      <c r="F137" s="4139"/>
      <c r="G137" s="4140"/>
      <c r="H137" s="2187"/>
      <c r="I137" s="2187"/>
      <c r="J137" s="2160"/>
      <c r="K137" s="2160"/>
      <c r="L137" s="2160"/>
      <c r="M137" s="2160"/>
      <c r="N137" s="2160"/>
      <c r="O137" s="2160"/>
      <c r="Q137" s="2160"/>
      <c r="R137" s="2160"/>
    </row>
    <row r="138" spans="1:18" s="2157" customFormat="1" ht="13.2">
      <c r="A138" s="2192"/>
      <c r="B138" s="2204" t="s">
        <v>6195</v>
      </c>
      <c r="C138" s="2160"/>
      <c r="D138" s="4174"/>
      <c r="E138" s="2173" t="s">
        <v>6196</v>
      </c>
      <c r="F138" s="4037" t="s">
        <v>6197</v>
      </c>
      <c r="G138" s="4038">
        <v>96</v>
      </c>
      <c r="H138" s="2187"/>
      <c r="I138" s="2187"/>
      <c r="J138" s="2160"/>
      <c r="K138" s="2160"/>
      <c r="L138" s="2160"/>
      <c r="M138" s="2160"/>
      <c r="N138" s="2160"/>
      <c r="O138" s="2160"/>
      <c r="R138" s="2160"/>
    </row>
    <row r="139" spans="1:18" s="2157" customFormat="1" ht="13.2">
      <c r="A139" s="2192"/>
      <c r="B139" s="2192" t="s">
        <v>6198</v>
      </c>
      <c r="C139" s="2160"/>
      <c r="D139" s="4174"/>
      <c r="E139" s="2173" t="s">
        <v>6199</v>
      </c>
      <c r="F139" s="4037" t="s">
        <v>6200</v>
      </c>
      <c r="G139" s="4038">
        <v>96</v>
      </c>
      <c r="H139" s="2187"/>
      <c r="I139" s="2187"/>
      <c r="J139" s="2160"/>
      <c r="K139" s="2160"/>
      <c r="L139" s="2160"/>
      <c r="M139" s="2160"/>
      <c r="N139" s="2160"/>
      <c r="O139" s="2160"/>
    </row>
    <row r="140" spans="1:18" s="2157" customFormat="1" ht="13.2">
      <c r="A140" s="2192"/>
      <c r="B140" s="2200"/>
      <c r="C140" s="2160"/>
      <c r="D140" s="4174"/>
      <c r="E140" s="2173" t="s">
        <v>6201</v>
      </c>
      <c r="F140" s="4139"/>
      <c r="G140" s="4140"/>
      <c r="H140" s="2187"/>
      <c r="I140" s="2187"/>
      <c r="J140" s="2160"/>
      <c r="K140" s="2160"/>
      <c r="L140" s="2160"/>
      <c r="M140" s="2160"/>
      <c r="N140" s="2160"/>
      <c r="O140" s="2160"/>
    </row>
    <row r="141" spans="1:18" s="2157" customFormat="1" ht="13.2">
      <c r="A141" s="2192"/>
      <c r="B141" s="2192" t="s">
        <v>6202</v>
      </c>
      <c r="C141" s="2160"/>
      <c r="D141" s="4174"/>
      <c r="E141" s="2173" t="s">
        <v>6203</v>
      </c>
      <c r="F141" s="4037" t="s">
        <v>6204</v>
      </c>
      <c r="G141" s="4038">
        <v>288</v>
      </c>
      <c r="H141" s="2187"/>
      <c r="I141" s="2187"/>
      <c r="J141" s="2160"/>
      <c r="K141" s="2160"/>
      <c r="L141" s="2160"/>
      <c r="M141" s="2160"/>
      <c r="N141" s="2160"/>
      <c r="O141" s="2160"/>
    </row>
    <row r="142" spans="1:18" s="2157" customFormat="1" ht="13.2">
      <c r="A142" s="2192"/>
      <c r="B142" s="2174" t="s">
        <v>3776</v>
      </c>
      <c r="C142" s="2160"/>
      <c r="D142" s="4174"/>
      <c r="E142" s="2173" t="s">
        <v>6179</v>
      </c>
      <c r="F142" s="4037" t="s">
        <v>6204</v>
      </c>
      <c r="G142" s="4038">
        <v>50</v>
      </c>
      <c r="H142" s="2187"/>
      <c r="I142" s="2187"/>
      <c r="J142" s="2160"/>
      <c r="K142" s="2160"/>
      <c r="L142" s="2160"/>
      <c r="M142" s="2160"/>
      <c r="N142" s="2160"/>
      <c r="O142" s="2160"/>
    </row>
    <row r="143" spans="1:18" s="2157" customFormat="1" ht="13.2">
      <c r="A143" s="2192"/>
      <c r="B143" s="2162" t="s">
        <v>3777</v>
      </c>
      <c r="C143" s="2162"/>
      <c r="D143" s="4174"/>
      <c r="E143" s="2190"/>
      <c r="F143" s="4139"/>
      <c r="G143" s="4140"/>
      <c r="H143" s="2192"/>
      <c r="J143" s="2160"/>
      <c r="K143" s="2160"/>
      <c r="L143" s="2160"/>
      <c r="M143" s="2160"/>
      <c r="N143" s="2160"/>
      <c r="O143" s="2160"/>
    </row>
    <row r="144" spans="1:18" s="2157" customFormat="1" ht="13.2">
      <c r="A144" s="2192"/>
      <c r="B144" s="2192" t="s">
        <v>6202</v>
      </c>
      <c r="C144" s="2160"/>
      <c r="D144" s="4174"/>
      <c r="E144" s="2190"/>
      <c r="F144" s="4037" t="s">
        <v>6205</v>
      </c>
      <c r="G144" s="2194">
        <v>3700</v>
      </c>
      <c r="H144" s="2187"/>
      <c r="I144" s="2187"/>
      <c r="J144" s="2160"/>
      <c r="K144" s="2160"/>
      <c r="L144" s="2160"/>
      <c r="M144" s="2160"/>
      <c r="N144" s="2160"/>
      <c r="O144" s="2160"/>
    </row>
    <row r="145" spans="1:15" s="2157" customFormat="1" ht="13.2">
      <c r="A145" s="2192"/>
      <c r="B145" s="2174" t="s">
        <v>3776</v>
      </c>
      <c r="C145" s="2160"/>
      <c r="D145" s="4174"/>
      <c r="E145" s="2190"/>
      <c r="F145" s="4139"/>
      <c r="G145" s="4140"/>
      <c r="H145" s="2187"/>
      <c r="I145" s="2187"/>
      <c r="J145" s="2160"/>
      <c r="K145" s="2160"/>
      <c r="L145" s="2160"/>
      <c r="M145" s="2160"/>
      <c r="N145" s="2160"/>
      <c r="O145" s="2160"/>
    </row>
    <row r="146" spans="1:15" s="2157" customFormat="1" ht="13.2">
      <c r="A146" s="2192"/>
      <c r="B146" s="2181" t="s">
        <v>6206</v>
      </c>
      <c r="C146" s="2162"/>
      <c r="D146" s="4174"/>
      <c r="E146" s="2173" t="s">
        <v>6207</v>
      </c>
      <c r="F146" s="2206" t="s">
        <v>6208</v>
      </c>
      <c r="G146" s="2207">
        <v>1</v>
      </c>
      <c r="H146" s="2187" t="s">
        <v>6047</v>
      </c>
      <c r="I146" s="2187" t="s">
        <v>6048</v>
      </c>
      <c r="J146" s="2160"/>
      <c r="K146" s="2160"/>
      <c r="L146" s="2160"/>
      <c r="M146" s="2160"/>
      <c r="N146" s="2160"/>
      <c r="O146" s="2160"/>
    </row>
    <row r="147" spans="1:15" s="2157" customFormat="1" ht="13.2">
      <c r="A147" s="2192"/>
      <c r="B147" s="2178"/>
      <c r="C147" s="2162"/>
      <c r="D147" s="4174"/>
      <c r="E147" s="2173" t="s">
        <v>6209</v>
      </c>
      <c r="F147" s="2208" t="s">
        <v>3604</v>
      </c>
      <c r="G147" s="2207">
        <v>1</v>
      </c>
      <c r="H147" s="2187"/>
      <c r="I147" s="2187"/>
      <c r="J147" s="2160"/>
      <c r="K147" s="2160"/>
      <c r="L147" s="2160"/>
      <c r="M147" s="2160"/>
      <c r="N147" s="2160"/>
      <c r="O147" s="2160"/>
    </row>
    <row r="148" spans="1:15" s="2157" customFormat="1" ht="13.2">
      <c r="A148" s="2192"/>
      <c r="B148" s="2178"/>
      <c r="C148" s="2162"/>
      <c r="D148" s="4174"/>
      <c r="E148" s="2173" t="s">
        <v>6210</v>
      </c>
      <c r="F148" s="2206" t="s">
        <v>3601</v>
      </c>
      <c r="G148" s="2207">
        <v>1</v>
      </c>
      <c r="H148" s="2187"/>
      <c r="I148" s="2187"/>
      <c r="J148" s="2160"/>
      <c r="K148" s="2160"/>
      <c r="L148" s="2160"/>
      <c r="M148" s="2160"/>
      <c r="N148" s="2160"/>
      <c r="O148" s="2160"/>
    </row>
    <row r="149" spans="1:15" s="2157" customFormat="1" ht="26.4">
      <c r="A149" s="2192"/>
      <c r="B149" s="2178"/>
      <c r="C149" s="2162"/>
      <c r="D149" s="4174"/>
      <c r="E149" s="2190"/>
      <c r="F149" s="2206" t="s">
        <v>6211</v>
      </c>
      <c r="G149" s="2207">
        <v>1</v>
      </c>
      <c r="H149" s="2187"/>
      <c r="I149" s="2187"/>
      <c r="J149" s="2160"/>
      <c r="K149" s="2160"/>
      <c r="L149" s="2160"/>
      <c r="M149" s="2160"/>
      <c r="N149" s="2160"/>
      <c r="O149" s="2160"/>
    </row>
    <row r="150" spans="1:15" s="2157" customFormat="1" ht="39.6">
      <c r="A150" s="2192"/>
      <c r="B150" s="2178"/>
      <c r="C150" s="2162"/>
      <c r="D150" s="4174"/>
      <c r="E150" s="2190"/>
      <c r="F150" s="2206" t="s">
        <v>9568</v>
      </c>
      <c r="G150" s="2207">
        <v>4</v>
      </c>
      <c r="H150" s="2187"/>
      <c r="I150" s="2187"/>
      <c r="J150" s="2160"/>
      <c r="K150" s="2160"/>
      <c r="L150" s="2160"/>
      <c r="M150" s="2160"/>
      <c r="N150" s="2160"/>
      <c r="O150" s="2160"/>
    </row>
    <row r="151" spans="1:15" s="2157" customFormat="1" ht="26.4">
      <c r="A151" s="2192"/>
      <c r="B151" s="2178"/>
      <c r="C151" s="2162"/>
      <c r="D151" s="4174"/>
      <c r="E151" s="2190"/>
      <c r="F151" s="2206" t="s">
        <v>6212</v>
      </c>
      <c r="G151" s="2207">
        <v>4</v>
      </c>
      <c r="H151" s="2187"/>
      <c r="I151" s="2187"/>
      <c r="J151" s="2160"/>
      <c r="K151" s="2160"/>
      <c r="L151" s="2160"/>
      <c r="M151" s="2160"/>
      <c r="N151" s="2160"/>
      <c r="O151" s="2160"/>
    </row>
    <row r="152" spans="1:15" s="2157" customFormat="1" ht="13.2">
      <c r="A152" s="2192"/>
      <c r="B152" s="2178"/>
      <c r="C152" s="2162"/>
      <c r="D152" s="4174"/>
      <c r="E152" s="2190"/>
      <c r="F152" s="2206" t="s">
        <v>6213</v>
      </c>
      <c r="G152" s="2207">
        <v>2</v>
      </c>
      <c r="H152" s="2187"/>
      <c r="I152" s="2187"/>
      <c r="J152" s="2160"/>
      <c r="K152" s="2160"/>
      <c r="L152" s="2160"/>
      <c r="M152" s="2160"/>
      <c r="N152" s="2160"/>
      <c r="O152" s="2160"/>
    </row>
    <row r="153" spans="1:15" s="2157" customFormat="1" ht="13.2">
      <c r="A153" s="4150"/>
      <c r="B153" s="4161"/>
      <c r="C153" s="4161"/>
      <c r="D153" s="4177"/>
      <c r="E153" s="4154"/>
      <c r="F153" s="4162"/>
      <c r="G153" s="4163"/>
      <c r="H153" s="4154"/>
      <c r="I153" s="4154"/>
      <c r="J153" s="2160"/>
      <c r="K153" s="2160"/>
      <c r="L153" s="2160"/>
      <c r="M153" s="2160"/>
      <c r="N153" s="2160"/>
      <c r="O153" s="2160"/>
    </row>
    <row r="154" spans="1:15" s="2157" customFormat="1" ht="13.2">
      <c r="A154" s="2160"/>
      <c r="B154" s="2162"/>
      <c r="C154" s="2162"/>
      <c r="D154" s="4178"/>
      <c r="E154" s="2190"/>
      <c r="F154" s="4164"/>
      <c r="G154" s="2207"/>
      <c r="H154" s="2190"/>
      <c r="I154" s="2190"/>
      <c r="J154" s="2160"/>
      <c r="K154" s="2160"/>
      <c r="L154" s="2160"/>
      <c r="M154" s="2160"/>
      <c r="N154" s="2160"/>
      <c r="O154" s="2160"/>
    </row>
    <row r="155" spans="1:15" s="2157" customFormat="1" ht="13.2">
      <c r="A155" s="2160"/>
      <c r="B155" s="2162"/>
      <c r="C155" s="2162"/>
      <c r="D155" s="4178"/>
      <c r="E155" s="2190"/>
      <c r="F155" s="4164"/>
      <c r="G155" s="2207"/>
      <c r="H155" s="2190"/>
      <c r="I155" s="2190"/>
      <c r="J155" s="2160"/>
      <c r="K155" s="2160"/>
      <c r="L155" s="2160"/>
      <c r="M155" s="2160"/>
      <c r="N155" s="2160"/>
      <c r="O155" s="2160"/>
    </row>
    <row r="156" spans="1:15" s="2157" customFormat="1" ht="13.2">
      <c r="A156" s="2160"/>
      <c r="B156" s="2162"/>
      <c r="C156" s="2162"/>
      <c r="D156" s="4178"/>
      <c r="E156" s="2190"/>
      <c r="F156" s="4164"/>
      <c r="G156" s="2207"/>
      <c r="H156" s="2190"/>
      <c r="I156" s="2190"/>
      <c r="J156" s="2160"/>
      <c r="K156" s="2160"/>
      <c r="L156" s="2160"/>
      <c r="M156" s="2160"/>
      <c r="N156" s="2160"/>
      <c r="O156" s="2160"/>
    </row>
    <row r="157" spans="1:15" s="2157" customFormat="1" ht="13.2">
      <c r="A157" s="2160"/>
      <c r="B157" s="2162"/>
      <c r="C157" s="2162"/>
      <c r="D157" s="4178"/>
      <c r="E157" s="2190"/>
      <c r="F157" s="4164"/>
      <c r="G157" s="2207"/>
      <c r="H157" s="2190"/>
      <c r="I157" s="2190"/>
      <c r="J157" s="2160"/>
      <c r="K157" s="2160"/>
      <c r="L157" s="2160"/>
      <c r="M157" s="2160"/>
      <c r="N157" s="2160"/>
      <c r="O157" s="2160"/>
    </row>
    <row r="158" spans="1:15" s="2157" customFormat="1" ht="13.2">
      <c r="A158" s="2160"/>
      <c r="B158" s="2162"/>
      <c r="C158" s="2162"/>
      <c r="D158" s="4178"/>
      <c r="E158" s="2190"/>
      <c r="F158" s="4164"/>
      <c r="G158" s="2207"/>
      <c r="H158" s="2190"/>
      <c r="I158" s="2190"/>
      <c r="J158" s="2160"/>
      <c r="K158" s="2160"/>
      <c r="L158" s="2160"/>
      <c r="M158" s="2160"/>
      <c r="N158" s="2160"/>
      <c r="O158" s="2160"/>
    </row>
    <row r="159" spans="1:15" s="2157" customFormat="1" ht="13.2">
      <c r="A159" s="2160"/>
      <c r="B159" s="2162"/>
      <c r="C159" s="2162"/>
      <c r="D159" s="4178"/>
      <c r="E159" s="2190"/>
      <c r="F159" s="4164"/>
      <c r="G159" s="2207"/>
      <c r="H159" s="2190"/>
      <c r="I159" s="2190"/>
      <c r="J159" s="2160"/>
      <c r="K159" s="2160"/>
      <c r="L159" s="2160"/>
      <c r="M159" s="2160"/>
      <c r="N159" s="2160"/>
      <c r="O159" s="2160"/>
    </row>
    <row r="160" spans="1:15" s="2157" customFormat="1" ht="13.2">
      <c r="A160" s="2160"/>
      <c r="B160" s="2162"/>
      <c r="C160" s="2162"/>
      <c r="D160" s="4178"/>
      <c r="E160" s="2190"/>
      <c r="F160" s="4164"/>
      <c r="G160" s="2207"/>
      <c r="H160" s="2190"/>
      <c r="I160" s="2190"/>
      <c r="J160" s="2160"/>
      <c r="K160" s="2160"/>
      <c r="L160" s="2160"/>
      <c r="M160" s="2160"/>
      <c r="N160" s="2160"/>
      <c r="O160" s="2160"/>
    </row>
    <row r="161" spans="1:15" s="2157" customFormat="1" ht="13.2">
      <c r="A161" s="2160"/>
      <c r="B161" s="2162"/>
      <c r="C161" s="2162"/>
      <c r="D161" s="4178"/>
      <c r="E161" s="2190"/>
      <c r="F161" s="4164"/>
      <c r="G161" s="2207"/>
      <c r="H161" s="2190"/>
      <c r="I161" s="2190"/>
      <c r="J161" s="2160"/>
      <c r="K161" s="2160"/>
      <c r="L161" s="2160"/>
      <c r="M161" s="2160"/>
      <c r="N161" s="2160"/>
      <c r="O161" s="2160"/>
    </row>
    <row r="162" spans="1:15" s="2157" customFormat="1" thickBot="1">
      <c r="A162" s="4156"/>
      <c r="B162" s="4165"/>
      <c r="C162" s="4165"/>
      <c r="D162" s="4179"/>
      <c r="E162" s="4160"/>
      <c r="F162" s="4166"/>
      <c r="G162" s="4167"/>
      <c r="H162" s="4160"/>
      <c r="I162" s="4160"/>
      <c r="J162" s="2160"/>
      <c r="K162" s="2160"/>
      <c r="L162" s="2160"/>
      <c r="M162" s="2160"/>
      <c r="N162" s="2160"/>
      <c r="O162" s="2160"/>
    </row>
    <row r="163" spans="1:15" s="2157" customFormat="1" ht="13.2">
      <c r="A163" s="2170" t="s">
        <v>2045</v>
      </c>
      <c r="B163" s="15113" t="s">
        <v>2046</v>
      </c>
      <c r="C163" s="15114"/>
      <c r="D163" s="4182" t="s">
        <v>1736</v>
      </c>
      <c r="E163" s="15138" t="s">
        <v>1760</v>
      </c>
      <c r="F163" s="15141" t="s">
        <v>1764</v>
      </c>
      <c r="G163" s="2164"/>
      <c r="H163" s="15133" t="s">
        <v>1978</v>
      </c>
      <c r="I163" s="15134"/>
      <c r="J163" s="2160"/>
      <c r="K163" s="2160"/>
      <c r="L163" s="2160"/>
      <c r="M163" s="2160"/>
      <c r="N163" s="2160"/>
    </row>
    <row r="164" spans="1:15" s="2157" customFormat="1" ht="13.2">
      <c r="A164" s="2168" t="s">
        <v>468</v>
      </c>
      <c r="B164" s="15115"/>
      <c r="C164" s="15116"/>
      <c r="D164" s="4183"/>
      <c r="E164" s="15139"/>
      <c r="F164" s="15142"/>
      <c r="G164" s="2165"/>
      <c r="H164" s="15135" t="s">
        <v>1993</v>
      </c>
      <c r="I164" s="15136"/>
      <c r="J164" s="2160"/>
      <c r="K164" s="2160"/>
      <c r="L164" s="2160"/>
      <c r="M164" s="2160"/>
      <c r="N164" s="2160"/>
    </row>
    <row r="165" spans="1:15" s="2157" customFormat="1" thickBot="1">
      <c r="A165" s="4135" t="s">
        <v>2047</v>
      </c>
      <c r="B165" s="15117"/>
      <c r="C165" s="15118"/>
      <c r="D165" s="4184"/>
      <c r="E165" s="15140"/>
      <c r="F165" s="15143"/>
      <c r="G165" s="2166"/>
      <c r="H165" s="2167" t="s">
        <v>1789</v>
      </c>
      <c r="I165" s="2167" t="s">
        <v>1790</v>
      </c>
      <c r="J165" s="2174"/>
      <c r="K165" s="2160"/>
      <c r="L165" s="2160"/>
      <c r="M165" s="2160"/>
      <c r="N165" s="2160"/>
    </row>
    <row r="166" spans="1:15" s="2157" customFormat="1" ht="13.2">
      <c r="A166" s="2192"/>
      <c r="B166" s="2174" t="s">
        <v>3778</v>
      </c>
      <c r="C166" s="2160"/>
      <c r="D166" s="4174"/>
      <c r="E166" s="2190" t="s">
        <v>6214</v>
      </c>
      <c r="F166" s="4037" t="s">
        <v>6215</v>
      </c>
      <c r="G166" s="4038">
        <v>12</v>
      </c>
      <c r="H166" s="2187"/>
      <c r="I166" s="2187"/>
      <c r="J166" s="2160"/>
      <c r="K166" s="2160"/>
      <c r="L166" s="2160"/>
      <c r="M166" s="2160"/>
      <c r="N166" s="2160"/>
      <c r="O166" s="2160"/>
    </row>
    <row r="167" spans="1:15" s="2157" customFormat="1" ht="13.2">
      <c r="A167" s="2192"/>
      <c r="B167" s="2160"/>
      <c r="C167" s="2160"/>
      <c r="D167" s="4174"/>
      <c r="E167" s="2173" t="s">
        <v>6216</v>
      </c>
      <c r="F167" s="4139"/>
      <c r="G167" s="4140"/>
      <c r="H167" s="2187"/>
      <c r="I167" s="2187"/>
      <c r="J167" s="2160"/>
      <c r="K167" s="2160"/>
      <c r="L167" s="2160"/>
      <c r="M167" s="2160"/>
      <c r="N167" s="2160"/>
      <c r="O167" s="2160"/>
    </row>
    <row r="168" spans="1:15" s="2157" customFormat="1" ht="13.2">
      <c r="A168" s="2192"/>
      <c r="B168" s="2160"/>
      <c r="C168" s="2160"/>
      <c r="D168" s="4174"/>
      <c r="E168" s="2173" t="s">
        <v>6217</v>
      </c>
      <c r="F168" s="4139"/>
      <c r="G168" s="4140"/>
      <c r="H168" s="2187"/>
      <c r="I168" s="2187"/>
      <c r="J168" s="2160"/>
      <c r="K168" s="2160"/>
      <c r="L168" s="2160"/>
      <c r="M168" s="2160"/>
      <c r="N168" s="2160"/>
      <c r="O168" s="2160"/>
    </row>
    <row r="169" spans="1:15" s="2157" customFormat="1" ht="13.2">
      <c r="A169" s="2192"/>
      <c r="B169" s="2160"/>
      <c r="C169" s="2160"/>
      <c r="D169" s="4174"/>
      <c r="E169" s="2173"/>
      <c r="F169" s="4139"/>
      <c r="G169" s="4140"/>
      <c r="H169" s="2187"/>
      <c r="I169" s="2187"/>
      <c r="J169" s="2160"/>
      <c r="K169" s="2160"/>
      <c r="L169" s="2160"/>
      <c r="M169" s="2160"/>
      <c r="N169" s="2160"/>
      <c r="O169" s="2160"/>
    </row>
    <row r="170" spans="1:15" s="2157" customFormat="1" ht="13.2">
      <c r="A170" s="2192"/>
      <c r="B170" s="2160" t="s">
        <v>6218</v>
      </c>
      <c r="C170" s="2160"/>
      <c r="D170" s="4174"/>
      <c r="E170" s="2173" t="s">
        <v>5126</v>
      </c>
      <c r="F170" s="4037" t="s">
        <v>6219</v>
      </c>
      <c r="G170" s="4038" t="s">
        <v>6220</v>
      </c>
      <c r="H170" s="2187"/>
      <c r="I170" s="2187"/>
      <c r="J170" s="2160"/>
      <c r="K170" s="2160"/>
      <c r="L170" s="2160"/>
      <c r="M170" s="2160"/>
      <c r="N170" s="2160"/>
      <c r="O170" s="2160"/>
    </row>
    <row r="171" spans="1:15" s="2157" customFormat="1" ht="13.2">
      <c r="A171" s="2192"/>
      <c r="B171" s="2160"/>
      <c r="C171" s="2160"/>
      <c r="D171" s="4174"/>
      <c r="E171" s="2190" t="s">
        <v>6221</v>
      </c>
      <c r="F171" s="4037" t="s">
        <v>6222</v>
      </c>
      <c r="G171" s="2194">
        <v>8690</v>
      </c>
      <c r="H171" s="2187"/>
      <c r="I171" s="2187"/>
      <c r="J171" s="2160"/>
      <c r="K171" s="2160"/>
      <c r="L171" s="2160"/>
      <c r="M171" s="2160"/>
      <c r="N171" s="2160"/>
      <c r="O171" s="2160"/>
    </row>
    <row r="172" spans="1:15" s="2157" customFormat="1" ht="13.2">
      <c r="A172" s="2192"/>
      <c r="B172" s="2160"/>
      <c r="C172" s="2160"/>
      <c r="D172" s="4174"/>
      <c r="E172" s="2190"/>
      <c r="F172" s="4037" t="s">
        <v>6223</v>
      </c>
      <c r="G172" s="2194">
        <v>8845</v>
      </c>
      <c r="H172" s="2187"/>
      <c r="I172" s="2187"/>
      <c r="J172" s="2160"/>
      <c r="K172" s="2160"/>
      <c r="L172" s="2160"/>
      <c r="M172" s="2160"/>
      <c r="N172" s="2160"/>
      <c r="O172" s="2160"/>
    </row>
    <row r="173" spans="1:15" s="2157" customFormat="1" ht="13.2">
      <c r="A173" s="2192"/>
      <c r="B173" s="2160"/>
      <c r="C173" s="2160"/>
      <c r="D173" s="4174"/>
      <c r="E173" s="2190" t="s">
        <v>6224</v>
      </c>
      <c r="F173" s="4037" t="s">
        <v>6225</v>
      </c>
      <c r="G173" s="2194">
        <v>1600</v>
      </c>
      <c r="H173" s="2187"/>
      <c r="I173" s="2187"/>
      <c r="J173" s="2160"/>
      <c r="K173" s="2160"/>
      <c r="L173" s="2160"/>
      <c r="M173" s="2160"/>
      <c r="N173" s="2160"/>
      <c r="O173" s="2160"/>
    </row>
    <row r="174" spans="1:15" s="2157" customFormat="1" ht="13.2">
      <c r="A174" s="2192"/>
      <c r="B174" s="2160"/>
      <c r="C174" s="2160"/>
      <c r="D174" s="4174"/>
      <c r="E174" s="2190" t="s">
        <v>6226</v>
      </c>
      <c r="F174" s="4037" t="s">
        <v>6227</v>
      </c>
      <c r="G174" s="4038">
        <v>12</v>
      </c>
      <c r="H174" s="2187"/>
      <c r="I174" s="2187"/>
      <c r="J174" s="2160"/>
      <c r="K174" s="2160"/>
      <c r="L174" s="2160"/>
      <c r="M174" s="2160"/>
      <c r="N174" s="2160"/>
      <c r="O174" s="2160"/>
    </row>
    <row r="175" spans="1:15" s="2157" customFormat="1" ht="13.2">
      <c r="A175" s="2192"/>
      <c r="B175" s="2160" t="s">
        <v>3779</v>
      </c>
      <c r="C175" s="2160"/>
      <c r="D175" s="4174"/>
      <c r="E175" s="2187"/>
      <c r="H175" s="2187"/>
      <c r="I175" s="2187"/>
      <c r="J175" s="2160"/>
      <c r="K175" s="2160"/>
      <c r="L175" s="2160"/>
      <c r="M175" s="2160"/>
      <c r="N175" s="2160"/>
      <c r="O175" s="2160"/>
    </row>
    <row r="176" spans="1:15" s="2157" customFormat="1" ht="13.2">
      <c r="A176" s="2192"/>
      <c r="B176" s="2160"/>
      <c r="C176" s="2160"/>
      <c r="D176" s="4174"/>
      <c r="E176" s="2187"/>
      <c r="H176" s="2187"/>
      <c r="I176" s="2187"/>
      <c r="J176" s="2160"/>
      <c r="K176" s="2160"/>
      <c r="L176" s="2160"/>
      <c r="M176" s="2160"/>
      <c r="N176" s="2160"/>
      <c r="O176" s="2160"/>
    </row>
    <row r="177" spans="1:9" s="2157" customFormat="1">
      <c r="A177" s="2192"/>
      <c r="B177" s="2160" t="s">
        <v>3780</v>
      </c>
      <c r="C177" s="2160"/>
      <c r="D177" s="4174"/>
      <c r="E177" s="2190" t="s">
        <v>6228</v>
      </c>
      <c r="F177" s="2174" t="s">
        <v>6229</v>
      </c>
      <c r="G177" s="2201">
        <v>55</v>
      </c>
      <c r="H177" s="2187"/>
      <c r="I177" s="2187"/>
    </row>
    <row r="178" spans="1:9" s="2157" customFormat="1">
      <c r="A178" s="2192"/>
      <c r="B178" s="2160"/>
      <c r="C178" s="2160"/>
      <c r="D178" s="4174"/>
      <c r="E178" s="2173" t="s">
        <v>6230</v>
      </c>
      <c r="F178" s="2174" t="s">
        <v>4482</v>
      </c>
      <c r="G178" s="2201">
        <v>6</v>
      </c>
      <c r="H178" s="2187"/>
      <c r="I178" s="2187"/>
    </row>
    <row r="179" spans="1:9" s="2157" customFormat="1">
      <c r="A179" s="2192"/>
      <c r="B179" s="2160"/>
      <c r="C179" s="2160"/>
      <c r="D179" s="4174"/>
      <c r="E179" s="2173" t="s">
        <v>6231</v>
      </c>
      <c r="F179" s="2174" t="s">
        <v>1855</v>
      </c>
      <c r="G179" s="2201">
        <v>120</v>
      </c>
      <c r="H179" s="2187"/>
      <c r="I179" s="2187"/>
    </row>
    <row r="180" spans="1:9" s="2157" customFormat="1">
      <c r="A180" s="2192"/>
      <c r="B180" s="2160"/>
      <c r="C180" s="2160"/>
      <c r="D180" s="4174"/>
      <c r="E180" s="2203"/>
      <c r="F180" s="2174" t="s">
        <v>6232</v>
      </c>
      <c r="G180" s="2201">
        <v>12</v>
      </c>
      <c r="H180" s="2187"/>
      <c r="I180" s="2187"/>
    </row>
    <row r="181" spans="1:9" s="2157" customFormat="1">
      <c r="A181" s="2192"/>
      <c r="B181" s="2160"/>
      <c r="C181" s="2160"/>
      <c r="D181" s="4174"/>
      <c r="E181" s="2203"/>
      <c r="F181" s="2174" t="s">
        <v>6233</v>
      </c>
      <c r="G181" s="2201">
        <v>190</v>
      </c>
      <c r="H181" s="2187"/>
      <c r="I181" s="2187"/>
    </row>
    <row r="182" spans="1:9" s="2157" customFormat="1" ht="13.2">
      <c r="A182" s="2192"/>
      <c r="B182" s="2160" t="s">
        <v>6234</v>
      </c>
      <c r="C182" s="2160"/>
      <c r="D182" s="4174"/>
      <c r="E182" s="2157" t="s">
        <v>6235</v>
      </c>
      <c r="F182" s="2174"/>
      <c r="H182" s="2187"/>
      <c r="I182" s="2187"/>
    </row>
    <row r="183" spans="1:9" s="2157" customFormat="1">
      <c r="A183" s="2192"/>
      <c r="B183" s="2160" t="s">
        <v>9567</v>
      </c>
      <c r="C183" s="2160"/>
      <c r="D183" s="4174"/>
      <c r="E183" s="2157" t="s">
        <v>6236</v>
      </c>
      <c r="F183" s="2174" t="s">
        <v>6237</v>
      </c>
      <c r="G183" s="2201">
        <v>30</v>
      </c>
      <c r="H183" s="2187"/>
      <c r="I183" s="2187"/>
    </row>
    <row r="184" spans="1:9" s="2157" customFormat="1">
      <c r="A184" s="2192"/>
      <c r="B184" s="2160"/>
      <c r="C184" s="2160"/>
      <c r="D184" s="4174"/>
      <c r="E184" s="2157" t="s">
        <v>6238</v>
      </c>
      <c r="F184" s="2174" t="s">
        <v>4178</v>
      </c>
      <c r="G184" s="2201">
        <v>176</v>
      </c>
      <c r="H184" s="2187"/>
      <c r="I184" s="2187"/>
    </row>
    <row r="185" spans="1:9" s="2157" customFormat="1">
      <c r="A185" s="2192"/>
      <c r="B185" s="2160"/>
      <c r="C185" s="2160"/>
      <c r="D185" s="4174"/>
      <c r="F185" s="2174"/>
      <c r="G185" s="2201"/>
      <c r="H185" s="2187"/>
      <c r="I185" s="2187"/>
    </row>
    <row r="186" spans="1:9" s="2157" customFormat="1" ht="13.2">
      <c r="A186" s="2192"/>
      <c r="B186" s="15125" t="s">
        <v>6239</v>
      </c>
      <c r="C186" s="15126"/>
      <c r="D186" s="4174"/>
      <c r="E186" s="2157" t="s">
        <v>6240</v>
      </c>
      <c r="F186" s="4037" t="s">
        <v>6241</v>
      </c>
      <c r="G186" s="4038"/>
      <c r="H186" s="2187"/>
      <c r="I186" s="2187"/>
    </row>
    <row r="187" spans="1:9" s="2157" customFormat="1" ht="13.2">
      <c r="A187" s="2192"/>
      <c r="B187" s="2173"/>
      <c r="C187" s="2173"/>
      <c r="D187" s="4174"/>
      <c r="E187" s="2157" t="s">
        <v>6242</v>
      </c>
      <c r="F187" s="4037"/>
      <c r="G187" s="4140"/>
      <c r="H187" s="2187"/>
      <c r="I187" s="2187"/>
    </row>
    <row r="188" spans="1:9" s="2157" customFormat="1" ht="13.2">
      <c r="A188" s="2192"/>
      <c r="B188" s="2173"/>
      <c r="C188" s="2173"/>
      <c r="D188" s="4174"/>
      <c r="E188" s="2157" t="s">
        <v>6243</v>
      </c>
      <c r="F188" s="4139"/>
      <c r="G188" s="4140"/>
      <c r="H188" s="2187"/>
      <c r="I188" s="2187"/>
    </row>
    <row r="189" spans="1:9" s="2157" customFormat="1" ht="13.2">
      <c r="A189" s="2192"/>
      <c r="B189" s="2173"/>
      <c r="C189" s="2173"/>
      <c r="D189" s="4174"/>
      <c r="F189" s="4139"/>
      <c r="G189" s="4140"/>
      <c r="H189" s="2187"/>
      <c r="I189" s="2187"/>
    </row>
    <row r="190" spans="1:9" s="2157" customFormat="1">
      <c r="A190" s="2192"/>
      <c r="B190" s="2160" t="s">
        <v>6244</v>
      </c>
      <c r="C190" s="2160"/>
      <c r="D190" s="4174"/>
      <c r="E190" s="2173" t="s">
        <v>6245</v>
      </c>
      <c r="F190" s="2196" t="s">
        <v>6246</v>
      </c>
      <c r="G190" s="2201">
        <v>600</v>
      </c>
      <c r="H190" s="2187"/>
      <c r="I190" s="2187"/>
    </row>
    <row r="191" spans="1:9" s="2157" customFormat="1">
      <c r="A191" s="2192"/>
      <c r="B191" s="2209" t="s">
        <v>6247</v>
      </c>
      <c r="C191" s="2209"/>
      <c r="D191" s="4174"/>
      <c r="E191" s="2173" t="s">
        <v>6248</v>
      </c>
      <c r="F191" s="2196" t="s">
        <v>6249</v>
      </c>
      <c r="G191" s="2201">
        <v>600</v>
      </c>
      <c r="H191" s="2187"/>
      <c r="I191" s="2187"/>
    </row>
    <row r="192" spans="1:9" s="2157" customFormat="1">
      <c r="A192" s="2192"/>
      <c r="B192" s="2209"/>
      <c r="C192" s="2209"/>
      <c r="D192" s="4174"/>
      <c r="E192" s="2173" t="s">
        <v>6250</v>
      </c>
      <c r="F192" s="2196" t="s">
        <v>6251</v>
      </c>
      <c r="G192" s="2197"/>
      <c r="H192" s="2187"/>
      <c r="I192" s="2187"/>
    </row>
    <row r="193" spans="1:9" s="2157" customFormat="1" ht="13.2">
      <c r="A193" s="2192"/>
      <c r="B193" s="2209"/>
      <c r="C193" s="2209"/>
      <c r="D193" s="4174"/>
      <c r="E193" s="2173" t="s">
        <v>1895</v>
      </c>
      <c r="F193" s="4139"/>
      <c r="G193" s="4140"/>
      <c r="H193" s="2187"/>
      <c r="I193" s="2187"/>
    </row>
    <row r="194" spans="1:9" s="2157" customFormat="1" ht="13.2">
      <c r="A194" s="2192"/>
      <c r="B194" s="2160" t="s">
        <v>6252</v>
      </c>
      <c r="C194" s="2160"/>
      <c r="D194" s="4174"/>
      <c r="E194" s="2190"/>
      <c r="F194" s="4139"/>
      <c r="G194" s="4140"/>
      <c r="H194" s="2187" t="s">
        <v>6047</v>
      </c>
      <c r="I194" s="2187" t="s">
        <v>6048</v>
      </c>
    </row>
    <row r="195" spans="1:9" s="2157" customFormat="1" ht="13.2">
      <c r="A195" s="2192"/>
      <c r="B195" s="2160" t="s">
        <v>6253</v>
      </c>
      <c r="C195" s="2160"/>
      <c r="D195" s="4174"/>
      <c r="E195" s="2190"/>
      <c r="F195" s="4139"/>
      <c r="G195" s="4140"/>
      <c r="H195" s="2187"/>
      <c r="I195" s="2187"/>
    </row>
    <row r="196" spans="1:9" s="2157" customFormat="1">
      <c r="A196" s="2192"/>
      <c r="B196" s="2192" t="s">
        <v>6254</v>
      </c>
      <c r="C196" s="2160"/>
      <c r="D196" s="4174"/>
      <c r="E196" s="2173" t="s">
        <v>6255</v>
      </c>
      <c r="F196" s="2196" t="s">
        <v>6256</v>
      </c>
      <c r="G196" s="2201"/>
      <c r="H196" s="2187"/>
      <c r="I196" s="2187"/>
    </row>
    <row r="197" spans="1:9" s="2157" customFormat="1">
      <c r="A197" s="2192"/>
      <c r="B197" s="2174" t="s">
        <v>6257</v>
      </c>
      <c r="C197" s="2210"/>
      <c r="D197" s="4174"/>
      <c r="E197" s="2203" t="s">
        <v>6258</v>
      </c>
      <c r="F197" s="2196" t="s">
        <v>6259</v>
      </c>
      <c r="G197" s="2201">
        <v>722</v>
      </c>
      <c r="H197" s="2187"/>
      <c r="I197" s="2187"/>
    </row>
    <row r="198" spans="1:9" s="2157" customFormat="1" ht="13.2">
      <c r="A198" s="2192"/>
      <c r="B198" s="2174"/>
      <c r="C198" s="2210"/>
      <c r="D198" s="4174"/>
      <c r="E198" s="2190" t="s">
        <v>6260</v>
      </c>
      <c r="F198" s="4139"/>
      <c r="G198" s="4140"/>
      <c r="H198" s="2187"/>
      <c r="I198" s="2187"/>
    </row>
    <row r="199" spans="1:9" s="2157" customFormat="1" ht="13.2">
      <c r="A199" s="2192"/>
      <c r="B199" s="2174"/>
      <c r="C199" s="2210"/>
      <c r="D199" s="4174"/>
      <c r="E199" s="2190" t="s">
        <v>6261</v>
      </c>
      <c r="F199" s="4139"/>
      <c r="G199" s="4140"/>
      <c r="H199" s="2187"/>
      <c r="I199" s="2187"/>
    </row>
    <row r="200" spans="1:9" s="2157" customFormat="1" ht="13.2">
      <c r="A200" s="2192"/>
      <c r="B200" s="2174"/>
      <c r="C200" s="2210"/>
      <c r="D200" s="4174"/>
      <c r="E200" s="2190"/>
      <c r="F200" s="4139"/>
      <c r="G200" s="4140"/>
      <c r="H200" s="2187"/>
      <c r="I200" s="2187"/>
    </row>
    <row r="201" spans="1:9" s="2157" customFormat="1" ht="13.2">
      <c r="A201" s="2192"/>
      <c r="B201" s="2192" t="s">
        <v>3781</v>
      </c>
      <c r="C201" s="2210"/>
      <c r="D201" s="4174"/>
      <c r="E201" s="2173" t="s">
        <v>5127</v>
      </c>
      <c r="F201" s="4037" t="s">
        <v>6262</v>
      </c>
      <c r="G201" s="4038">
        <v>3</v>
      </c>
      <c r="H201" s="2187"/>
      <c r="I201" s="2187"/>
    </row>
    <row r="202" spans="1:9" s="2157" customFormat="1" ht="13.2">
      <c r="A202" s="2192"/>
      <c r="B202" s="2174"/>
      <c r="C202" s="2210"/>
      <c r="D202" s="4174"/>
      <c r="E202" s="2173" t="s">
        <v>6263</v>
      </c>
      <c r="F202" s="4139"/>
      <c r="G202" s="4140"/>
      <c r="H202" s="2187"/>
      <c r="I202" s="2187"/>
    </row>
    <row r="203" spans="1:9" s="2157" customFormat="1" ht="13.2">
      <c r="A203" s="2192"/>
      <c r="B203" s="2174" t="s">
        <v>6264</v>
      </c>
      <c r="C203" s="2210"/>
      <c r="D203" s="4174"/>
      <c r="E203" s="2173"/>
      <c r="F203" s="4139"/>
      <c r="G203" s="4140"/>
      <c r="H203" s="2187"/>
      <c r="I203" s="2187"/>
    </row>
    <row r="204" spans="1:9" s="2157" customFormat="1" ht="13.2">
      <c r="A204" s="2192"/>
      <c r="B204" s="2174" t="s">
        <v>6265</v>
      </c>
      <c r="C204" s="2210"/>
      <c r="D204" s="4174"/>
      <c r="E204" s="2173" t="s">
        <v>5127</v>
      </c>
      <c r="F204" s="4037" t="s">
        <v>6266</v>
      </c>
      <c r="G204" s="4140" t="s">
        <v>6267</v>
      </c>
      <c r="H204" s="2187"/>
      <c r="I204" s="2187"/>
    </row>
    <row r="205" spans="1:9" s="2157" customFormat="1" ht="13.2">
      <c r="A205" s="2192"/>
      <c r="B205" s="2174"/>
      <c r="C205" s="2210"/>
      <c r="D205" s="4174"/>
      <c r="E205" s="2173" t="s">
        <v>6268</v>
      </c>
      <c r="F205" s="4139"/>
      <c r="G205" s="4140"/>
      <c r="H205" s="2187"/>
      <c r="I205" s="2187"/>
    </row>
    <row r="206" spans="1:9" s="2157" customFormat="1" ht="13.2">
      <c r="A206" s="2192"/>
      <c r="B206" s="2174"/>
      <c r="C206" s="2210"/>
      <c r="D206" s="4174"/>
      <c r="E206" s="2173" t="s">
        <v>6269</v>
      </c>
      <c r="F206" s="4139"/>
      <c r="G206" s="4140"/>
      <c r="H206" s="2187"/>
      <c r="I206" s="2187"/>
    </row>
    <row r="207" spans="1:9" s="2157" customFormat="1" ht="13.2">
      <c r="A207" s="2192"/>
      <c r="B207" s="2192" t="s">
        <v>3782</v>
      </c>
      <c r="C207" s="2210"/>
      <c r="D207" s="4174"/>
      <c r="F207" s="4139"/>
      <c r="G207" s="4140"/>
      <c r="H207" s="2187"/>
      <c r="I207" s="2187"/>
    </row>
    <row r="208" spans="1:9" s="2157" customFormat="1" ht="13.2">
      <c r="A208" s="2192"/>
      <c r="B208" s="2192" t="s">
        <v>6270</v>
      </c>
      <c r="C208" s="2160"/>
      <c r="D208" s="4174"/>
      <c r="E208" s="2184" t="s">
        <v>6271</v>
      </c>
      <c r="F208" s="4037" t="s">
        <v>6272</v>
      </c>
      <c r="G208" s="4038">
        <v>12</v>
      </c>
      <c r="H208" s="2187"/>
      <c r="I208" s="2187"/>
    </row>
    <row r="209" spans="1:19" s="2157" customFormat="1" ht="13.2">
      <c r="A209" s="2192"/>
      <c r="B209" s="2174" t="s">
        <v>6273</v>
      </c>
      <c r="C209" s="2210"/>
      <c r="D209" s="4174"/>
      <c r="E209" s="2173" t="s">
        <v>6268</v>
      </c>
      <c r="F209" s="4139"/>
      <c r="G209" s="4140"/>
      <c r="H209" s="2187"/>
      <c r="I209" s="2187"/>
    </row>
    <row r="210" spans="1:19" s="2157" customFormat="1" ht="13.2">
      <c r="A210" s="2192"/>
      <c r="B210" s="2174"/>
      <c r="C210" s="2160"/>
      <c r="D210" s="4174"/>
      <c r="E210" s="2173" t="s">
        <v>6274</v>
      </c>
      <c r="F210" s="4139"/>
      <c r="G210" s="4140"/>
      <c r="H210" s="2187"/>
      <c r="I210" s="2187"/>
    </row>
    <row r="211" spans="1:19" s="2157" customFormat="1" ht="13.2">
      <c r="A211" s="2192"/>
      <c r="B211" s="2192" t="s">
        <v>3783</v>
      </c>
      <c r="C211" s="2160"/>
      <c r="D211" s="4174"/>
      <c r="E211" s="2173" t="s">
        <v>5127</v>
      </c>
      <c r="F211" s="4139" t="s">
        <v>6275</v>
      </c>
      <c r="G211" s="4038">
        <v>12</v>
      </c>
      <c r="H211" s="2187"/>
      <c r="I211" s="2187"/>
    </row>
    <row r="212" spans="1:19" s="2157" customFormat="1" ht="13.2">
      <c r="A212" s="2192"/>
      <c r="B212" s="2174"/>
      <c r="C212" s="2160"/>
      <c r="D212" s="4174"/>
      <c r="E212" s="2173" t="s">
        <v>6276</v>
      </c>
      <c r="F212" s="4139"/>
      <c r="G212" s="4140"/>
      <c r="H212" s="2187"/>
      <c r="I212" s="2187"/>
    </row>
    <row r="213" spans="1:19" s="2157" customFormat="1" ht="13.2">
      <c r="A213" s="2192"/>
      <c r="B213" s="2174"/>
      <c r="C213" s="2160"/>
      <c r="D213" s="4174"/>
      <c r="E213" s="2173" t="s">
        <v>6277</v>
      </c>
      <c r="F213" s="4139"/>
      <c r="G213" s="4140"/>
      <c r="H213" s="2187"/>
      <c r="I213" s="2187"/>
    </row>
    <row r="214" spans="1:19" s="2157" customFormat="1" ht="13.2">
      <c r="A214" s="2192"/>
      <c r="B214" s="15125" t="s">
        <v>6278</v>
      </c>
      <c r="C214" s="15126"/>
      <c r="D214" s="4174"/>
      <c r="E214" s="2190"/>
      <c r="F214" s="4139"/>
      <c r="G214" s="4140"/>
      <c r="H214" s="2187"/>
      <c r="I214" s="2187"/>
      <c r="S214" s="4147"/>
    </row>
    <row r="215" spans="1:19" s="2157" customFormat="1" ht="13.2">
      <c r="A215" s="2192"/>
      <c r="B215" s="2192" t="s">
        <v>6279</v>
      </c>
      <c r="C215" s="2160"/>
      <c r="D215" s="4174"/>
      <c r="E215" s="2173" t="s">
        <v>6280</v>
      </c>
      <c r="F215" s="4037" t="s">
        <v>6281</v>
      </c>
      <c r="G215" s="4038">
        <v>365</v>
      </c>
      <c r="H215" s="2187"/>
      <c r="I215" s="2187"/>
    </row>
    <row r="216" spans="1:19" s="2157" customFormat="1" ht="13.2">
      <c r="A216" s="2192"/>
      <c r="B216" s="2174"/>
      <c r="C216" s="2210"/>
      <c r="D216" s="4174"/>
      <c r="E216" s="2173" t="s">
        <v>6282</v>
      </c>
      <c r="F216" s="4037" t="s">
        <v>6283</v>
      </c>
      <c r="G216" s="4038">
        <v>365</v>
      </c>
      <c r="H216" s="2187"/>
      <c r="I216" s="2187"/>
    </row>
    <row r="217" spans="1:19" s="2157" customFormat="1" ht="13.2">
      <c r="A217" s="2192"/>
      <c r="B217" s="2174"/>
      <c r="C217" s="2210"/>
      <c r="D217" s="4174"/>
      <c r="E217" s="2173" t="s">
        <v>6284</v>
      </c>
      <c r="F217" s="4139"/>
      <c r="G217" s="4140"/>
      <c r="H217" s="2187"/>
      <c r="I217" s="2187"/>
    </row>
    <row r="218" spans="1:19" s="2157" customFormat="1" ht="13.2">
      <c r="A218" s="2192"/>
      <c r="B218" s="2192" t="s">
        <v>6285</v>
      </c>
      <c r="C218" s="2160"/>
      <c r="D218" s="4174"/>
      <c r="E218" s="2190"/>
      <c r="F218" s="4139"/>
      <c r="G218" s="4140"/>
      <c r="H218" s="2187"/>
      <c r="I218" s="2187"/>
    </row>
    <row r="219" spans="1:19" s="2157" customFormat="1" ht="13.2">
      <c r="A219" s="2192"/>
      <c r="B219" s="2192" t="s">
        <v>6286</v>
      </c>
      <c r="C219" s="2160"/>
      <c r="D219" s="4174"/>
      <c r="E219" s="2190"/>
      <c r="F219" s="4139"/>
      <c r="G219" s="4140"/>
      <c r="H219" s="2187"/>
      <c r="I219" s="2187"/>
    </row>
    <row r="220" spans="1:19" s="2157" customFormat="1">
      <c r="A220" s="2192"/>
      <c r="B220" s="2192" t="s">
        <v>6287</v>
      </c>
      <c r="C220" s="2160"/>
      <c r="D220" s="4174"/>
      <c r="E220" s="2173" t="s">
        <v>6288</v>
      </c>
      <c r="F220" s="2196" t="s">
        <v>6289</v>
      </c>
      <c r="G220" s="2201">
        <v>12</v>
      </c>
      <c r="H220" s="2187"/>
      <c r="I220" s="2187"/>
    </row>
    <row r="221" spans="1:19" s="2157" customFormat="1">
      <c r="A221" s="2192"/>
      <c r="B221" s="2174" t="s">
        <v>6290</v>
      </c>
      <c r="C221" s="2210"/>
      <c r="D221" s="4180"/>
      <c r="E221" s="2173" t="s">
        <v>6291</v>
      </c>
      <c r="F221" s="2196" t="s">
        <v>6292</v>
      </c>
      <c r="G221" s="2201">
        <v>5</v>
      </c>
      <c r="H221" s="2187"/>
      <c r="I221" s="2187"/>
    </row>
    <row r="222" spans="1:19" s="2157" customFormat="1">
      <c r="A222" s="2192"/>
      <c r="D222" s="4174"/>
      <c r="E222" s="2173" t="s">
        <v>6293</v>
      </c>
      <c r="F222" s="2196" t="s">
        <v>6294</v>
      </c>
      <c r="G222" s="2201">
        <v>12</v>
      </c>
      <c r="H222" s="2187"/>
      <c r="I222" s="2187"/>
    </row>
    <row r="223" spans="1:19" s="2157" customFormat="1">
      <c r="A223" s="2192"/>
      <c r="D223" s="4174"/>
      <c r="E223" s="2173" t="s">
        <v>6295</v>
      </c>
      <c r="F223" s="2196" t="s">
        <v>6296</v>
      </c>
      <c r="G223" s="2201" t="s">
        <v>2772</v>
      </c>
      <c r="H223" s="2187"/>
      <c r="I223" s="2187"/>
    </row>
    <row r="224" spans="1:19" s="2157" customFormat="1" ht="13.2">
      <c r="A224" s="2192"/>
      <c r="B224" s="2184" t="s">
        <v>6297</v>
      </c>
      <c r="C224" s="2160"/>
      <c r="D224" s="4174"/>
      <c r="E224" s="2173" t="s">
        <v>6298</v>
      </c>
      <c r="F224" s="4139"/>
      <c r="G224" s="4140"/>
      <c r="H224" s="2187" t="s">
        <v>6047</v>
      </c>
      <c r="I224" s="2187" t="s">
        <v>6048</v>
      </c>
    </row>
    <row r="225" spans="1:10" s="2157" customFormat="1" ht="13.2">
      <c r="A225" s="2192"/>
      <c r="B225" s="2160"/>
      <c r="C225" s="2160"/>
      <c r="D225" s="4174"/>
      <c r="E225" s="2157" t="s">
        <v>6299</v>
      </c>
      <c r="F225" s="4139"/>
      <c r="G225" s="4148">
        <v>1</v>
      </c>
      <c r="H225" s="2187"/>
      <c r="I225" s="2187"/>
    </row>
    <row r="226" spans="1:10" s="2157" customFormat="1" ht="13.2">
      <c r="A226" s="2192"/>
      <c r="B226" s="2160"/>
      <c r="C226" s="2160"/>
      <c r="D226" s="4174"/>
      <c r="E226" s="2157" t="s">
        <v>6300</v>
      </c>
      <c r="F226" s="4139"/>
      <c r="G226" s="4149"/>
      <c r="H226" s="2187"/>
      <c r="I226" s="2187"/>
    </row>
    <row r="227" spans="1:10" ht="10.5" customHeight="1">
      <c r="A227" s="2171"/>
      <c r="B227" s="15121" t="s">
        <v>458</v>
      </c>
      <c r="C227" s="15122"/>
      <c r="D227" s="15131">
        <f>SUM(D85:D86,D23:D71)</f>
        <v>28294644.000000004</v>
      </c>
      <c r="E227" s="2211"/>
      <c r="F227" s="2212"/>
      <c r="G227" s="2213"/>
      <c r="H227" s="2214"/>
      <c r="I227" s="2214"/>
    </row>
    <row r="228" spans="1:10">
      <c r="A228" s="2215"/>
      <c r="B228" s="15123"/>
      <c r="C228" s="15124"/>
      <c r="D228" s="15132"/>
      <c r="E228" s="2216"/>
      <c r="F228" s="2217"/>
      <c r="G228" s="2195"/>
      <c r="H228" s="2215"/>
      <c r="I228" s="2215"/>
    </row>
    <row r="229" spans="1:10">
      <c r="A229" s="2159"/>
      <c r="B229" s="2159"/>
      <c r="C229" s="2159"/>
      <c r="D229" s="4181"/>
      <c r="E229" s="2179"/>
      <c r="F229" s="2159"/>
      <c r="G229" s="2159"/>
      <c r="H229" s="2159"/>
      <c r="I229" s="2159"/>
    </row>
    <row r="230" spans="1:10" ht="14.25" hidden="1" customHeight="1">
      <c r="A230" s="2156" t="s">
        <v>3483</v>
      </c>
      <c r="B230" s="2159"/>
      <c r="C230" s="2159"/>
    </row>
    <row r="231" spans="1:10" ht="14.25" hidden="1" customHeight="1">
      <c r="B231" s="2159"/>
      <c r="C231" s="2159"/>
    </row>
    <row r="232" spans="1:10" ht="14.25" hidden="1" customHeight="1">
      <c r="B232" s="2159"/>
      <c r="C232" s="2159"/>
    </row>
    <row r="233" spans="1:10" ht="15" hidden="1" customHeight="1">
      <c r="A233" s="2218" t="s">
        <v>6301</v>
      </c>
      <c r="B233" s="2189" t="s">
        <v>6302</v>
      </c>
      <c r="C233" s="2159"/>
    </row>
    <row r="234" spans="1:10" ht="14.25" hidden="1" customHeight="1">
      <c r="A234" s="2156" t="s">
        <v>6303</v>
      </c>
      <c r="B234" s="2159"/>
      <c r="C234" s="2159"/>
      <c r="E234" s="2156" t="s">
        <v>6304</v>
      </c>
    </row>
    <row r="235" spans="1:10" ht="14.25" hidden="1" customHeight="1">
      <c r="B235" s="2159"/>
      <c r="C235" s="2159"/>
      <c r="J235" s="2156" t="s">
        <v>9</v>
      </c>
    </row>
    <row r="236" spans="1:10" ht="14.25" hidden="1" customHeight="1">
      <c r="B236" s="2159"/>
      <c r="C236" s="2159"/>
    </row>
    <row r="237" spans="1:10" ht="15" hidden="1" customHeight="1">
      <c r="B237" s="2159"/>
      <c r="C237" s="2159"/>
      <c r="F237" s="2158" t="s">
        <v>6305</v>
      </c>
      <c r="G237" s="2158"/>
    </row>
    <row r="238" spans="1:10" ht="14.25" hidden="1" customHeight="1">
      <c r="B238" s="2159"/>
      <c r="C238" s="2159"/>
      <c r="F238" s="2156" t="s">
        <v>3548</v>
      </c>
    </row>
    <row r="239" spans="1:10" ht="14.25" hidden="1" customHeight="1">
      <c r="B239" s="2159"/>
      <c r="C239" s="2159"/>
    </row>
    <row r="240" spans="1:10" ht="14.25" hidden="1" customHeight="1">
      <c r="A240" s="2156" t="s">
        <v>6306</v>
      </c>
      <c r="B240" s="2159"/>
      <c r="C240" s="2159"/>
    </row>
    <row r="241" spans="1:11" ht="15" hidden="1" customHeight="1">
      <c r="B241" s="2159"/>
      <c r="C241" s="2159"/>
      <c r="J241" s="2158" t="s">
        <v>9</v>
      </c>
    </row>
    <row r="242" spans="1:11" ht="14.25" hidden="1" customHeight="1">
      <c r="A242" s="2156" t="s">
        <v>6307</v>
      </c>
      <c r="B242" s="2159"/>
      <c r="C242" s="2159"/>
      <c r="K242" s="2156" t="s">
        <v>9</v>
      </c>
    </row>
    <row r="243" spans="1:11" ht="14.25" hidden="1" customHeight="1">
      <c r="A243" s="2156" t="s">
        <v>6308</v>
      </c>
      <c r="B243" s="2159"/>
      <c r="C243" s="2159"/>
    </row>
    <row r="244" spans="1:11" ht="14.25" hidden="1" customHeight="1">
      <c r="A244" s="2156" t="s">
        <v>6309</v>
      </c>
      <c r="B244" s="2159"/>
      <c r="C244" s="2159"/>
    </row>
    <row r="245" spans="1:11" ht="14.25" hidden="1" customHeight="1">
      <c r="A245" s="2156" t="s">
        <v>6310</v>
      </c>
      <c r="B245" s="2159"/>
      <c r="C245" s="2159"/>
    </row>
    <row r="246" spans="1:11" ht="14.25" hidden="1" customHeight="1">
      <c r="A246" s="2156" t="s">
        <v>6311</v>
      </c>
      <c r="B246" s="2159"/>
      <c r="C246" s="2159"/>
    </row>
    <row r="247" spans="1:11" ht="14.25" hidden="1" customHeight="1">
      <c r="A247" s="2156" t="s">
        <v>6312</v>
      </c>
      <c r="B247" s="2159"/>
      <c r="C247" s="2159"/>
    </row>
    <row r="248" spans="1:11" ht="14.25" hidden="1" customHeight="1">
      <c r="A248" s="2156" t="s">
        <v>6313</v>
      </c>
      <c r="B248" s="2159"/>
      <c r="C248" s="2159"/>
    </row>
    <row r="249" spans="1:11" ht="14.25" hidden="1" customHeight="1">
      <c r="A249" s="2156" t="s">
        <v>6314</v>
      </c>
      <c r="B249" s="2159"/>
      <c r="C249" s="2159"/>
    </row>
    <row r="250" spans="1:11" ht="14.25" hidden="1" customHeight="1">
      <c r="A250" s="2156" t="s">
        <v>6315</v>
      </c>
      <c r="B250" s="2159"/>
      <c r="C250" s="2159"/>
    </row>
    <row r="251" spans="1:11" ht="14.25" hidden="1" customHeight="1">
      <c r="A251" s="2156" t="s">
        <v>6316</v>
      </c>
      <c r="B251" s="2159"/>
      <c r="C251" s="2159"/>
    </row>
    <row r="252" spans="1:11" ht="14.25" hidden="1" customHeight="1">
      <c r="A252" s="2156" t="s">
        <v>6317</v>
      </c>
      <c r="B252" s="2159"/>
      <c r="C252" s="2159"/>
    </row>
    <row r="253" spans="1:11" ht="14.25" hidden="1" customHeight="1">
      <c r="B253" s="2159" t="s">
        <v>6318</v>
      </c>
      <c r="C253" s="2159"/>
    </row>
    <row r="254" spans="1:11" ht="14.25" hidden="1" customHeight="1">
      <c r="A254" s="2156" t="s">
        <v>6319</v>
      </c>
      <c r="B254" s="2159"/>
      <c r="C254" s="2159"/>
    </row>
    <row r="255" spans="1:11" ht="14.25" hidden="1" customHeight="1">
      <c r="B255" s="2159" t="s">
        <v>6320</v>
      </c>
      <c r="C255" s="2159"/>
    </row>
    <row r="256" spans="1:11" ht="14.25" hidden="1" customHeight="1">
      <c r="B256" s="2159"/>
      <c r="C256" s="2159"/>
    </row>
    <row r="257" spans="3:3" ht="14.25" hidden="1" customHeight="1"/>
    <row r="258" spans="3:3" ht="14.25" hidden="1" customHeight="1"/>
    <row r="261" spans="3:3">
      <c r="C261" s="4169"/>
    </row>
  </sheetData>
  <mergeCells count="29">
    <mergeCell ref="D227:D228"/>
    <mergeCell ref="H20:I20"/>
    <mergeCell ref="H21:I21"/>
    <mergeCell ref="E98:E100"/>
    <mergeCell ref="F98:F99"/>
    <mergeCell ref="E20:E22"/>
    <mergeCell ref="F20:F22"/>
    <mergeCell ref="F70:F73"/>
    <mergeCell ref="E82:E84"/>
    <mergeCell ref="F82:F84"/>
    <mergeCell ref="H82:I82"/>
    <mergeCell ref="H83:I83"/>
    <mergeCell ref="E163:E165"/>
    <mergeCell ref="F163:F165"/>
    <mergeCell ref="H163:I163"/>
    <mergeCell ref="H164:I164"/>
    <mergeCell ref="B227:C228"/>
    <mergeCell ref="B214:C214"/>
    <mergeCell ref="B186:C186"/>
    <mergeCell ref="B98:C98"/>
    <mergeCell ref="B86:C86"/>
    <mergeCell ref="B163:C165"/>
    <mergeCell ref="A1:I1"/>
    <mergeCell ref="E103:E106"/>
    <mergeCell ref="B43:C43"/>
    <mergeCell ref="B37:C37"/>
    <mergeCell ref="B20:C22"/>
    <mergeCell ref="B82:C84"/>
    <mergeCell ref="B85:C85"/>
  </mergeCells>
  <printOptions horizontalCentered="1"/>
  <pageMargins left="0.5" right="0.25" top="0.75" bottom="0.5" header="0.36" footer="0.25"/>
  <pageSetup paperSize="119" scale="80" orientation="portrait" horizontalDpi="4294967293" r:id="rId1"/>
  <headerFooter alignWithMargins="0"/>
</worksheet>
</file>

<file path=xl/worksheets/sheet141.xml><?xml version="1.0" encoding="utf-8"?>
<worksheet xmlns="http://schemas.openxmlformats.org/spreadsheetml/2006/main" xmlns:r="http://schemas.openxmlformats.org/officeDocument/2006/relationships">
  <sheetPr codeName="Sheet101">
    <tabColor theme="8" tint="-0.249977111117893"/>
  </sheetPr>
  <dimension ref="A1:L119"/>
  <sheetViews>
    <sheetView showGridLines="0" zoomScaleSheetLayoutView="96" workbookViewId="0">
      <selection activeCell="K14" sqref="K14"/>
    </sheetView>
  </sheetViews>
  <sheetFormatPr defaultRowHeight="15" customHeight="1"/>
  <cols>
    <col min="1" max="1" width="3.88671875" style="7275" customWidth="1"/>
    <col min="2" max="2" width="55.5546875" style="7275" customWidth="1"/>
    <col min="3" max="3" width="12.5546875" style="7346" customWidth="1"/>
    <col min="4" max="7" width="15.5546875" style="7347" customWidth="1"/>
    <col min="8" max="8" width="13.6640625" style="7347" hidden="1" customWidth="1"/>
    <col min="9" max="9" width="8.44140625" style="7348" hidden="1" customWidth="1"/>
    <col min="10" max="10" width="15.5546875" style="7347" customWidth="1"/>
    <col min="11" max="11" width="16.88671875" style="7275" customWidth="1"/>
    <col min="12" max="12" width="6.44140625" style="7275" customWidth="1"/>
    <col min="13" max="22" width="8.88671875" style="7275" customWidth="1"/>
    <col min="23" max="113" width="9.109375" style="7275"/>
    <col min="114" max="114" width="3.88671875" style="7275" customWidth="1"/>
    <col min="115" max="115" width="37.44140625" style="7275" customWidth="1"/>
    <col min="116" max="116" width="10.44140625" style="7275" customWidth="1"/>
    <col min="117" max="117" width="16.44140625" style="7275" customWidth="1"/>
    <col min="118" max="119" width="15.109375" style="7275" customWidth="1"/>
    <col min="120" max="369" width="9.109375" style="7275"/>
    <col min="370" max="370" width="3.88671875" style="7275" customWidth="1"/>
    <col min="371" max="371" width="37.44140625" style="7275" customWidth="1"/>
    <col min="372" max="372" width="10.44140625" style="7275" customWidth="1"/>
    <col min="373" max="373" width="16.44140625" style="7275" customWidth="1"/>
    <col min="374" max="375" width="15.109375" style="7275" customWidth="1"/>
    <col min="376" max="625" width="9.109375" style="7275"/>
    <col min="626" max="626" width="3.88671875" style="7275" customWidth="1"/>
    <col min="627" max="627" width="37.44140625" style="7275" customWidth="1"/>
    <col min="628" max="628" width="10.44140625" style="7275" customWidth="1"/>
    <col min="629" max="629" width="16.44140625" style="7275" customWidth="1"/>
    <col min="630" max="631" width="15.109375" style="7275" customWidth="1"/>
    <col min="632" max="881" width="9.109375" style="7275"/>
    <col min="882" max="882" width="3.88671875" style="7275" customWidth="1"/>
    <col min="883" max="883" width="37.44140625" style="7275" customWidth="1"/>
    <col min="884" max="884" width="10.44140625" style="7275" customWidth="1"/>
    <col min="885" max="885" width="16.44140625" style="7275" customWidth="1"/>
    <col min="886" max="887" width="15.109375" style="7275" customWidth="1"/>
    <col min="888" max="1137" width="9.109375" style="7275"/>
    <col min="1138" max="1138" width="3.88671875" style="7275" customWidth="1"/>
    <col min="1139" max="1139" width="37.44140625" style="7275" customWidth="1"/>
    <col min="1140" max="1140" width="10.44140625" style="7275" customWidth="1"/>
    <col min="1141" max="1141" width="16.44140625" style="7275" customWidth="1"/>
    <col min="1142" max="1143" width="15.109375" style="7275" customWidth="1"/>
    <col min="1144" max="1393" width="9.109375" style="7275"/>
    <col min="1394" max="1394" width="3.88671875" style="7275" customWidth="1"/>
    <col min="1395" max="1395" width="37.44140625" style="7275" customWidth="1"/>
    <col min="1396" max="1396" width="10.44140625" style="7275" customWidth="1"/>
    <col min="1397" max="1397" width="16.44140625" style="7275" customWidth="1"/>
    <col min="1398" max="1399" width="15.109375" style="7275" customWidth="1"/>
    <col min="1400" max="1649" width="9.109375" style="7275"/>
    <col min="1650" max="1650" width="3.88671875" style="7275" customWidth="1"/>
    <col min="1651" max="1651" width="37.44140625" style="7275" customWidth="1"/>
    <col min="1652" max="1652" width="10.44140625" style="7275" customWidth="1"/>
    <col min="1653" max="1653" width="16.44140625" style="7275" customWidth="1"/>
    <col min="1654" max="1655" width="15.109375" style="7275" customWidth="1"/>
    <col min="1656" max="1905" width="9.109375" style="7275"/>
    <col min="1906" max="1906" width="3.88671875" style="7275" customWidth="1"/>
    <col min="1907" max="1907" width="37.44140625" style="7275" customWidth="1"/>
    <col min="1908" max="1908" width="10.44140625" style="7275" customWidth="1"/>
    <col min="1909" max="1909" width="16.44140625" style="7275" customWidth="1"/>
    <col min="1910" max="1911" width="15.109375" style="7275" customWidth="1"/>
    <col min="1912" max="2161" width="9.109375" style="7275"/>
    <col min="2162" max="2162" width="3.88671875" style="7275" customWidth="1"/>
    <col min="2163" max="2163" width="37.44140625" style="7275" customWidth="1"/>
    <col min="2164" max="2164" width="10.44140625" style="7275" customWidth="1"/>
    <col min="2165" max="2165" width="16.44140625" style="7275" customWidth="1"/>
    <col min="2166" max="2167" width="15.109375" style="7275" customWidth="1"/>
    <col min="2168" max="2417" width="9.109375" style="7275"/>
    <col min="2418" max="2418" width="3.88671875" style="7275" customWidth="1"/>
    <col min="2419" max="2419" width="37.44140625" style="7275" customWidth="1"/>
    <col min="2420" max="2420" width="10.44140625" style="7275" customWidth="1"/>
    <col min="2421" max="2421" width="16.44140625" style="7275" customWidth="1"/>
    <col min="2422" max="2423" width="15.109375" style="7275" customWidth="1"/>
    <col min="2424" max="2673" width="9.109375" style="7275"/>
    <col min="2674" max="2674" width="3.88671875" style="7275" customWidth="1"/>
    <col min="2675" max="2675" width="37.44140625" style="7275" customWidth="1"/>
    <col min="2676" max="2676" width="10.44140625" style="7275" customWidth="1"/>
    <col min="2677" max="2677" width="16.44140625" style="7275" customWidth="1"/>
    <col min="2678" max="2679" width="15.109375" style="7275" customWidth="1"/>
    <col min="2680" max="2929" width="9.109375" style="7275"/>
    <col min="2930" max="2930" width="3.88671875" style="7275" customWidth="1"/>
    <col min="2931" max="2931" width="37.44140625" style="7275" customWidth="1"/>
    <col min="2932" max="2932" width="10.44140625" style="7275" customWidth="1"/>
    <col min="2933" max="2933" width="16.44140625" style="7275" customWidth="1"/>
    <col min="2934" max="2935" width="15.109375" style="7275" customWidth="1"/>
    <col min="2936" max="3185" width="9.109375" style="7275"/>
    <col min="3186" max="3186" width="3.88671875" style="7275" customWidth="1"/>
    <col min="3187" max="3187" width="37.44140625" style="7275" customWidth="1"/>
    <col min="3188" max="3188" width="10.44140625" style="7275" customWidth="1"/>
    <col min="3189" max="3189" width="16.44140625" style="7275" customWidth="1"/>
    <col min="3190" max="3191" width="15.109375" style="7275" customWidth="1"/>
    <col min="3192" max="3441" width="9.109375" style="7275"/>
    <col min="3442" max="3442" width="3.88671875" style="7275" customWidth="1"/>
    <col min="3443" max="3443" width="37.44140625" style="7275" customWidth="1"/>
    <col min="3444" max="3444" width="10.44140625" style="7275" customWidth="1"/>
    <col min="3445" max="3445" width="16.44140625" style="7275" customWidth="1"/>
    <col min="3446" max="3447" width="15.109375" style="7275" customWidth="1"/>
    <col min="3448" max="3697" width="9.109375" style="7275"/>
    <col min="3698" max="3698" width="3.88671875" style="7275" customWidth="1"/>
    <col min="3699" max="3699" width="37.44140625" style="7275" customWidth="1"/>
    <col min="3700" max="3700" width="10.44140625" style="7275" customWidth="1"/>
    <col min="3701" max="3701" width="16.44140625" style="7275" customWidth="1"/>
    <col min="3702" max="3703" width="15.109375" style="7275" customWidth="1"/>
    <col min="3704" max="3953" width="9.109375" style="7275"/>
    <col min="3954" max="3954" width="3.88671875" style="7275" customWidth="1"/>
    <col min="3955" max="3955" width="37.44140625" style="7275" customWidth="1"/>
    <col min="3956" max="3956" width="10.44140625" style="7275" customWidth="1"/>
    <col min="3957" max="3957" width="16.44140625" style="7275" customWidth="1"/>
    <col min="3958" max="3959" width="15.109375" style="7275" customWidth="1"/>
    <col min="3960" max="4209" width="9.109375" style="7275"/>
    <col min="4210" max="4210" width="3.88671875" style="7275" customWidth="1"/>
    <col min="4211" max="4211" width="37.44140625" style="7275" customWidth="1"/>
    <col min="4212" max="4212" width="10.44140625" style="7275" customWidth="1"/>
    <col min="4213" max="4213" width="16.44140625" style="7275" customWidth="1"/>
    <col min="4214" max="4215" width="15.109375" style="7275" customWidth="1"/>
    <col min="4216" max="4465" width="9.109375" style="7275"/>
    <col min="4466" max="4466" width="3.88671875" style="7275" customWidth="1"/>
    <col min="4467" max="4467" width="37.44140625" style="7275" customWidth="1"/>
    <col min="4468" max="4468" width="10.44140625" style="7275" customWidth="1"/>
    <col min="4469" max="4469" width="16.44140625" style="7275" customWidth="1"/>
    <col min="4470" max="4471" width="15.109375" style="7275" customWidth="1"/>
    <col min="4472" max="4721" width="9.109375" style="7275"/>
    <col min="4722" max="4722" width="3.88671875" style="7275" customWidth="1"/>
    <col min="4723" max="4723" width="37.44140625" style="7275" customWidth="1"/>
    <col min="4724" max="4724" width="10.44140625" style="7275" customWidth="1"/>
    <col min="4725" max="4725" width="16.44140625" style="7275" customWidth="1"/>
    <col min="4726" max="4727" width="15.109375" style="7275" customWidth="1"/>
    <col min="4728" max="4977" width="9.109375" style="7275"/>
    <col min="4978" max="4978" width="3.88671875" style="7275" customWidth="1"/>
    <col min="4979" max="4979" width="37.44140625" style="7275" customWidth="1"/>
    <col min="4980" max="4980" width="10.44140625" style="7275" customWidth="1"/>
    <col min="4981" max="4981" width="16.44140625" style="7275" customWidth="1"/>
    <col min="4982" max="4983" width="15.109375" style="7275" customWidth="1"/>
    <col min="4984" max="5233" width="9.109375" style="7275"/>
    <col min="5234" max="5234" width="3.88671875" style="7275" customWidth="1"/>
    <col min="5235" max="5235" width="37.44140625" style="7275" customWidth="1"/>
    <col min="5236" max="5236" width="10.44140625" style="7275" customWidth="1"/>
    <col min="5237" max="5237" width="16.44140625" style="7275" customWidth="1"/>
    <col min="5238" max="5239" width="15.109375" style="7275" customWidth="1"/>
    <col min="5240" max="5489" width="9.109375" style="7275"/>
    <col min="5490" max="5490" width="3.88671875" style="7275" customWidth="1"/>
    <col min="5491" max="5491" width="37.44140625" style="7275" customWidth="1"/>
    <col min="5492" max="5492" width="10.44140625" style="7275" customWidth="1"/>
    <col min="5493" max="5493" width="16.44140625" style="7275" customWidth="1"/>
    <col min="5494" max="5495" width="15.109375" style="7275" customWidth="1"/>
    <col min="5496" max="5745" width="9.109375" style="7275"/>
    <col min="5746" max="5746" width="3.88671875" style="7275" customWidth="1"/>
    <col min="5747" max="5747" width="37.44140625" style="7275" customWidth="1"/>
    <col min="5748" max="5748" width="10.44140625" style="7275" customWidth="1"/>
    <col min="5749" max="5749" width="16.44140625" style="7275" customWidth="1"/>
    <col min="5750" max="5751" width="15.109375" style="7275" customWidth="1"/>
    <col min="5752" max="6001" width="9.109375" style="7275"/>
    <col min="6002" max="6002" width="3.88671875" style="7275" customWidth="1"/>
    <col min="6003" max="6003" width="37.44140625" style="7275" customWidth="1"/>
    <col min="6004" max="6004" width="10.44140625" style="7275" customWidth="1"/>
    <col min="6005" max="6005" width="16.44140625" style="7275" customWidth="1"/>
    <col min="6006" max="6007" width="15.109375" style="7275" customWidth="1"/>
    <col min="6008" max="6257" width="9.109375" style="7275"/>
    <col min="6258" max="6258" width="3.88671875" style="7275" customWidth="1"/>
    <col min="6259" max="6259" width="37.44140625" style="7275" customWidth="1"/>
    <col min="6260" max="6260" width="10.44140625" style="7275" customWidth="1"/>
    <col min="6261" max="6261" width="16.44140625" style="7275" customWidth="1"/>
    <col min="6262" max="6263" width="15.109375" style="7275" customWidth="1"/>
    <col min="6264" max="6513" width="9.109375" style="7275"/>
    <col min="6514" max="6514" width="3.88671875" style="7275" customWidth="1"/>
    <col min="6515" max="6515" width="37.44140625" style="7275" customWidth="1"/>
    <col min="6516" max="6516" width="10.44140625" style="7275" customWidth="1"/>
    <col min="6517" max="6517" width="16.44140625" style="7275" customWidth="1"/>
    <col min="6518" max="6519" width="15.109375" style="7275" customWidth="1"/>
    <col min="6520" max="6769" width="9.109375" style="7275"/>
    <col min="6770" max="6770" width="3.88671875" style="7275" customWidth="1"/>
    <col min="6771" max="6771" width="37.44140625" style="7275" customWidth="1"/>
    <col min="6772" max="6772" width="10.44140625" style="7275" customWidth="1"/>
    <col min="6773" max="6773" width="16.44140625" style="7275" customWidth="1"/>
    <col min="6774" max="6775" width="15.109375" style="7275" customWidth="1"/>
    <col min="6776" max="7025" width="9.109375" style="7275"/>
    <col min="7026" max="7026" width="3.88671875" style="7275" customWidth="1"/>
    <col min="7027" max="7027" width="37.44140625" style="7275" customWidth="1"/>
    <col min="7028" max="7028" width="10.44140625" style="7275" customWidth="1"/>
    <col min="7029" max="7029" width="16.44140625" style="7275" customWidth="1"/>
    <col min="7030" max="7031" width="15.109375" style="7275" customWidth="1"/>
    <col min="7032" max="7281" width="9.109375" style="7275"/>
    <col min="7282" max="7282" width="3.88671875" style="7275" customWidth="1"/>
    <col min="7283" max="7283" width="37.44140625" style="7275" customWidth="1"/>
    <col min="7284" max="7284" width="10.44140625" style="7275" customWidth="1"/>
    <col min="7285" max="7285" width="16.44140625" style="7275" customWidth="1"/>
    <col min="7286" max="7287" width="15.109375" style="7275" customWidth="1"/>
    <col min="7288" max="7537" width="9.109375" style="7275"/>
    <col min="7538" max="7538" width="3.88671875" style="7275" customWidth="1"/>
    <col min="7539" max="7539" width="37.44140625" style="7275" customWidth="1"/>
    <col min="7540" max="7540" width="10.44140625" style="7275" customWidth="1"/>
    <col min="7541" max="7541" width="16.44140625" style="7275" customWidth="1"/>
    <col min="7542" max="7543" width="15.109375" style="7275" customWidth="1"/>
    <col min="7544" max="7793" width="9.109375" style="7275"/>
    <col min="7794" max="7794" width="3.88671875" style="7275" customWidth="1"/>
    <col min="7795" max="7795" width="37.44140625" style="7275" customWidth="1"/>
    <col min="7796" max="7796" width="10.44140625" style="7275" customWidth="1"/>
    <col min="7797" max="7797" width="16.44140625" style="7275" customWidth="1"/>
    <col min="7798" max="7799" width="15.109375" style="7275" customWidth="1"/>
    <col min="7800" max="8049" width="9.109375" style="7275"/>
    <col min="8050" max="8050" width="3.88671875" style="7275" customWidth="1"/>
    <col min="8051" max="8051" width="37.44140625" style="7275" customWidth="1"/>
    <col min="8052" max="8052" width="10.44140625" style="7275" customWidth="1"/>
    <col min="8053" max="8053" width="16.44140625" style="7275" customWidth="1"/>
    <col min="8054" max="8055" width="15.109375" style="7275" customWidth="1"/>
    <col min="8056" max="8305" width="9.109375" style="7275"/>
    <col min="8306" max="8306" width="3.88671875" style="7275" customWidth="1"/>
    <col min="8307" max="8307" width="37.44140625" style="7275" customWidth="1"/>
    <col min="8308" max="8308" width="10.44140625" style="7275" customWidth="1"/>
    <col min="8309" max="8309" width="16.44140625" style="7275" customWidth="1"/>
    <col min="8310" max="8311" width="15.109375" style="7275" customWidth="1"/>
    <col min="8312" max="8561" width="9.109375" style="7275"/>
    <col min="8562" max="8562" width="3.88671875" style="7275" customWidth="1"/>
    <col min="8563" max="8563" width="37.44140625" style="7275" customWidth="1"/>
    <col min="8564" max="8564" width="10.44140625" style="7275" customWidth="1"/>
    <col min="8565" max="8565" width="16.44140625" style="7275" customWidth="1"/>
    <col min="8566" max="8567" width="15.109375" style="7275" customWidth="1"/>
    <col min="8568" max="8817" width="9.109375" style="7275"/>
    <col min="8818" max="8818" width="3.88671875" style="7275" customWidth="1"/>
    <col min="8819" max="8819" width="37.44140625" style="7275" customWidth="1"/>
    <col min="8820" max="8820" width="10.44140625" style="7275" customWidth="1"/>
    <col min="8821" max="8821" width="16.44140625" style="7275" customWidth="1"/>
    <col min="8822" max="8823" width="15.109375" style="7275" customWidth="1"/>
    <col min="8824" max="9073" width="9.109375" style="7275"/>
    <col min="9074" max="9074" width="3.88671875" style="7275" customWidth="1"/>
    <col min="9075" max="9075" width="37.44140625" style="7275" customWidth="1"/>
    <col min="9076" max="9076" width="10.44140625" style="7275" customWidth="1"/>
    <col min="9077" max="9077" width="16.44140625" style="7275" customWidth="1"/>
    <col min="9078" max="9079" width="15.109375" style="7275" customWidth="1"/>
    <col min="9080" max="9329" width="9.109375" style="7275"/>
    <col min="9330" max="9330" width="3.88671875" style="7275" customWidth="1"/>
    <col min="9331" max="9331" width="37.44140625" style="7275" customWidth="1"/>
    <col min="9332" max="9332" width="10.44140625" style="7275" customWidth="1"/>
    <col min="9333" max="9333" width="16.44140625" style="7275" customWidth="1"/>
    <col min="9334" max="9335" width="15.109375" style="7275" customWidth="1"/>
    <col min="9336" max="9585" width="9.109375" style="7275"/>
    <col min="9586" max="9586" width="3.88671875" style="7275" customWidth="1"/>
    <col min="9587" max="9587" width="37.44140625" style="7275" customWidth="1"/>
    <col min="9588" max="9588" width="10.44140625" style="7275" customWidth="1"/>
    <col min="9589" max="9589" width="16.44140625" style="7275" customWidth="1"/>
    <col min="9590" max="9591" width="15.109375" style="7275" customWidth="1"/>
    <col min="9592" max="9841" width="9.109375" style="7275"/>
    <col min="9842" max="9842" width="3.88671875" style="7275" customWidth="1"/>
    <col min="9843" max="9843" width="37.44140625" style="7275" customWidth="1"/>
    <col min="9844" max="9844" width="10.44140625" style="7275" customWidth="1"/>
    <col min="9845" max="9845" width="16.44140625" style="7275" customWidth="1"/>
    <col min="9846" max="9847" width="15.109375" style="7275" customWidth="1"/>
    <col min="9848" max="10097" width="9.109375" style="7275"/>
    <col min="10098" max="10098" width="3.88671875" style="7275" customWidth="1"/>
    <col min="10099" max="10099" width="37.44140625" style="7275" customWidth="1"/>
    <col min="10100" max="10100" width="10.44140625" style="7275" customWidth="1"/>
    <col min="10101" max="10101" width="16.44140625" style="7275" customWidth="1"/>
    <col min="10102" max="10103" width="15.109375" style="7275" customWidth="1"/>
    <col min="10104" max="10353" width="9.109375" style="7275"/>
    <col min="10354" max="10354" width="3.88671875" style="7275" customWidth="1"/>
    <col min="10355" max="10355" width="37.44140625" style="7275" customWidth="1"/>
    <col min="10356" max="10356" width="10.44140625" style="7275" customWidth="1"/>
    <col min="10357" max="10357" width="16.44140625" style="7275" customWidth="1"/>
    <col min="10358" max="10359" width="15.109375" style="7275" customWidth="1"/>
    <col min="10360" max="10609" width="9.109375" style="7275"/>
    <col min="10610" max="10610" width="3.88671875" style="7275" customWidth="1"/>
    <col min="10611" max="10611" width="37.44140625" style="7275" customWidth="1"/>
    <col min="10612" max="10612" width="10.44140625" style="7275" customWidth="1"/>
    <col min="10613" max="10613" width="16.44140625" style="7275" customWidth="1"/>
    <col min="10614" max="10615" width="15.109375" style="7275" customWidth="1"/>
    <col min="10616" max="10865" width="9.109375" style="7275"/>
    <col min="10866" max="10866" width="3.88671875" style="7275" customWidth="1"/>
    <col min="10867" max="10867" width="37.44140625" style="7275" customWidth="1"/>
    <col min="10868" max="10868" width="10.44140625" style="7275" customWidth="1"/>
    <col min="10869" max="10869" width="16.44140625" style="7275" customWidth="1"/>
    <col min="10870" max="10871" width="15.109375" style="7275" customWidth="1"/>
    <col min="10872" max="11121" width="9.109375" style="7275"/>
    <col min="11122" max="11122" width="3.88671875" style="7275" customWidth="1"/>
    <col min="11123" max="11123" width="37.44140625" style="7275" customWidth="1"/>
    <col min="11124" max="11124" width="10.44140625" style="7275" customWidth="1"/>
    <col min="11125" max="11125" width="16.44140625" style="7275" customWidth="1"/>
    <col min="11126" max="11127" width="15.109375" style="7275" customWidth="1"/>
    <col min="11128" max="11377" width="9.109375" style="7275"/>
    <col min="11378" max="11378" width="3.88671875" style="7275" customWidth="1"/>
    <col min="11379" max="11379" width="37.44140625" style="7275" customWidth="1"/>
    <col min="11380" max="11380" width="10.44140625" style="7275" customWidth="1"/>
    <col min="11381" max="11381" width="16.44140625" style="7275" customWidth="1"/>
    <col min="11382" max="11383" width="15.109375" style="7275" customWidth="1"/>
    <col min="11384" max="11633" width="9.109375" style="7275"/>
    <col min="11634" max="11634" width="3.88671875" style="7275" customWidth="1"/>
    <col min="11635" max="11635" width="37.44140625" style="7275" customWidth="1"/>
    <col min="11636" max="11636" width="10.44140625" style="7275" customWidth="1"/>
    <col min="11637" max="11637" width="16.44140625" style="7275" customWidth="1"/>
    <col min="11638" max="11639" width="15.109375" style="7275" customWidth="1"/>
    <col min="11640" max="11889" width="9.109375" style="7275"/>
    <col min="11890" max="11890" width="3.88671875" style="7275" customWidth="1"/>
    <col min="11891" max="11891" width="37.44140625" style="7275" customWidth="1"/>
    <col min="11892" max="11892" width="10.44140625" style="7275" customWidth="1"/>
    <col min="11893" max="11893" width="16.44140625" style="7275" customWidth="1"/>
    <col min="11894" max="11895" width="15.109375" style="7275" customWidth="1"/>
    <col min="11896" max="12145" width="9.109375" style="7275"/>
    <col min="12146" max="12146" width="3.88671875" style="7275" customWidth="1"/>
    <col min="12147" max="12147" width="37.44140625" style="7275" customWidth="1"/>
    <col min="12148" max="12148" width="10.44140625" style="7275" customWidth="1"/>
    <col min="12149" max="12149" width="16.44140625" style="7275" customWidth="1"/>
    <col min="12150" max="12151" width="15.109375" style="7275" customWidth="1"/>
    <col min="12152" max="12401" width="9.109375" style="7275"/>
    <col min="12402" max="12402" width="3.88671875" style="7275" customWidth="1"/>
    <col min="12403" max="12403" width="37.44140625" style="7275" customWidth="1"/>
    <col min="12404" max="12404" width="10.44140625" style="7275" customWidth="1"/>
    <col min="12405" max="12405" width="16.44140625" style="7275" customWidth="1"/>
    <col min="12406" max="12407" width="15.109375" style="7275" customWidth="1"/>
    <col min="12408" max="12657" width="9.109375" style="7275"/>
    <col min="12658" max="12658" width="3.88671875" style="7275" customWidth="1"/>
    <col min="12659" max="12659" width="37.44140625" style="7275" customWidth="1"/>
    <col min="12660" max="12660" width="10.44140625" style="7275" customWidth="1"/>
    <col min="12661" max="12661" width="16.44140625" style="7275" customWidth="1"/>
    <col min="12662" max="12663" width="15.109375" style="7275" customWidth="1"/>
    <col min="12664" max="12913" width="9.109375" style="7275"/>
    <col min="12914" max="12914" width="3.88671875" style="7275" customWidth="1"/>
    <col min="12915" max="12915" width="37.44140625" style="7275" customWidth="1"/>
    <col min="12916" max="12916" width="10.44140625" style="7275" customWidth="1"/>
    <col min="12917" max="12917" width="16.44140625" style="7275" customWidth="1"/>
    <col min="12918" max="12919" width="15.109375" style="7275" customWidth="1"/>
    <col min="12920" max="13169" width="9.109375" style="7275"/>
    <col min="13170" max="13170" width="3.88671875" style="7275" customWidth="1"/>
    <col min="13171" max="13171" width="37.44140625" style="7275" customWidth="1"/>
    <col min="13172" max="13172" width="10.44140625" style="7275" customWidth="1"/>
    <col min="13173" max="13173" width="16.44140625" style="7275" customWidth="1"/>
    <col min="13174" max="13175" width="15.109375" style="7275" customWidth="1"/>
    <col min="13176" max="13425" width="9.109375" style="7275"/>
    <col min="13426" max="13426" width="3.88671875" style="7275" customWidth="1"/>
    <col min="13427" max="13427" width="37.44140625" style="7275" customWidth="1"/>
    <col min="13428" max="13428" width="10.44140625" style="7275" customWidth="1"/>
    <col min="13429" max="13429" width="16.44140625" style="7275" customWidth="1"/>
    <col min="13430" max="13431" width="15.109375" style="7275" customWidth="1"/>
    <col min="13432" max="13681" width="9.109375" style="7275"/>
    <col min="13682" max="13682" width="3.88671875" style="7275" customWidth="1"/>
    <col min="13683" max="13683" width="37.44140625" style="7275" customWidth="1"/>
    <col min="13684" max="13684" width="10.44140625" style="7275" customWidth="1"/>
    <col min="13685" max="13685" width="16.44140625" style="7275" customWidth="1"/>
    <col min="13686" max="13687" width="15.109375" style="7275" customWidth="1"/>
    <col min="13688" max="13937" width="9.109375" style="7275"/>
    <col min="13938" max="13938" width="3.88671875" style="7275" customWidth="1"/>
    <col min="13939" max="13939" width="37.44140625" style="7275" customWidth="1"/>
    <col min="13940" max="13940" width="10.44140625" style="7275" customWidth="1"/>
    <col min="13941" max="13941" width="16.44140625" style="7275" customWidth="1"/>
    <col min="13942" max="13943" width="15.109375" style="7275" customWidth="1"/>
    <col min="13944" max="14193" width="9.109375" style="7275"/>
    <col min="14194" max="14194" width="3.88671875" style="7275" customWidth="1"/>
    <col min="14195" max="14195" width="37.44140625" style="7275" customWidth="1"/>
    <col min="14196" max="14196" width="10.44140625" style="7275" customWidth="1"/>
    <col min="14197" max="14197" width="16.44140625" style="7275" customWidth="1"/>
    <col min="14198" max="14199" width="15.109375" style="7275" customWidth="1"/>
    <col min="14200" max="14449" width="9.109375" style="7275"/>
    <col min="14450" max="14450" width="3.88671875" style="7275" customWidth="1"/>
    <col min="14451" max="14451" width="37.44140625" style="7275" customWidth="1"/>
    <col min="14452" max="14452" width="10.44140625" style="7275" customWidth="1"/>
    <col min="14453" max="14453" width="16.44140625" style="7275" customWidth="1"/>
    <col min="14454" max="14455" width="15.109375" style="7275" customWidth="1"/>
    <col min="14456" max="14705" width="9.109375" style="7275"/>
    <col min="14706" max="14706" width="3.88671875" style="7275" customWidth="1"/>
    <col min="14707" max="14707" width="37.44140625" style="7275" customWidth="1"/>
    <col min="14708" max="14708" width="10.44140625" style="7275" customWidth="1"/>
    <col min="14709" max="14709" width="16.44140625" style="7275" customWidth="1"/>
    <col min="14710" max="14711" width="15.109375" style="7275" customWidth="1"/>
    <col min="14712" max="14961" width="9.109375" style="7275"/>
    <col min="14962" max="14962" width="3.88671875" style="7275" customWidth="1"/>
    <col min="14963" max="14963" width="37.44140625" style="7275" customWidth="1"/>
    <col min="14964" max="14964" width="10.44140625" style="7275" customWidth="1"/>
    <col min="14965" max="14965" width="16.44140625" style="7275" customWidth="1"/>
    <col min="14966" max="14967" width="15.109375" style="7275" customWidth="1"/>
    <col min="14968" max="15217" width="9.109375" style="7275"/>
    <col min="15218" max="15218" width="3.88671875" style="7275" customWidth="1"/>
    <col min="15219" max="15219" width="37.44140625" style="7275" customWidth="1"/>
    <col min="15220" max="15220" width="10.44140625" style="7275" customWidth="1"/>
    <col min="15221" max="15221" width="16.44140625" style="7275" customWidth="1"/>
    <col min="15222" max="15223" width="15.109375" style="7275" customWidth="1"/>
    <col min="15224" max="15473" width="9.109375" style="7275"/>
    <col min="15474" max="15474" width="3.88671875" style="7275" customWidth="1"/>
    <col min="15475" max="15475" width="37.44140625" style="7275" customWidth="1"/>
    <col min="15476" max="15476" width="10.44140625" style="7275" customWidth="1"/>
    <col min="15477" max="15477" width="16.44140625" style="7275" customWidth="1"/>
    <col min="15478" max="15479" width="15.109375" style="7275" customWidth="1"/>
    <col min="15480" max="15729" width="9.109375" style="7275"/>
    <col min="15730" max="15730" width="3.88671875" style="7275" customWidth="1"/>
    <col min="15731" max="15731" width="37.44140625" style="7275" customWidth="1"/>
    <col min="15732" max="15732" width="10.44140625" style="7275" customWidth="1"/>
    <col min="15733" max="15733" width="16.44140625" style="7275" customWidth="1"/>
    <col min="15734" max="15735" width="15.109375" style="7275" customWidth="1"/>
    <col min="15736" max="15985" width="9.109375" style="7275"/>
    <col min="15986" max="15986" width="3.88671875" style="7275" customWidth="1"/>
    <col min="15987" max="15987" width="37.44140625" style="7275" customWidth="1"/>
    <col min="15988" max="15988" width="10.44140625" style="7275" customWidth="1"/>
    <col min="15989" max="15989" width="16.44140625" style="7275" customWidth="1"/>
    <col min="15990" max="15991" width="15.109375" style="7275" customWidth="1"/>
    <col min="15992" max="16384" width="9.109375" style="7275"/>
  </cols>
  <sheetData>
    <row r="1" spans="1:12" ht="15" customHeight="1">
      <c r="A1" s="14807" t="s">
        <v>1</v>
      </c>
      <c r="B1" s="14807"/>
      <c r="C1" s="14807"/>
      <c r="D1" s="14807"/>
      <c r="E1" s="14807"/>
      <c r="F1" s="14807"/>
      <c r="G1" s="14807"/>
      <c r="H1" s="14807"/>
      <c r="I1" s="14807"/>
      <c r="J1" s="14807"/>
    </row>
    <row r="2" spans="1:12" ht="15" customHeight="1">
      <c r="A2" s="7276"/>
      <c r="B2" s="7277"/>
      <c r="C2" s="7278"/>
      <c r="D2" s="7279"/>
      <c r="E2" s="7279"/>
      <c r="F2" s="7279"/>
      <c r="G2" s="7279"/>
      <c r="H2" s="7279"/>
      <c r="I2" s="7280"/>
      <c r="J2" s="7279"/>
    </row>
    <row r="3" spans="1:12" ht="15" customHeight="1">
      <c r="A3" s="7276" t="s">
        <v>2</v>
      </c>
      <c r="B3" s="7281"/>
      <c r="C3" s="7282" t="s">
        <v>10731</v>
      </c>
      <c r="D3" s="7283"/>
      <c r="E3" s="7283"/>
      <c r="F3" s="7283"/>
      <c r="G3" s="7283"/>
      <c r="H3" s="7283"/>
      <c r="I3" s="7284"/>
      <c r="J3" s="7283"/>
    </row>
    <row r="4" spans="1:12" ht="15" customHeight="1">
      <c r="A4" s="7276" t="s">
        <v>10716</v>
      </c>
      <c r="B4" s="7276"/>
      <c r="C4" s="7278" t="s">
        <v>92</v>
      </c>
      <c r="D4" s="7285"/>
      <c r="E4" s="7285"/>
      <c r="F4" s="7285"/>
      <c r="G4" s="7283"/>
      <c r="H4" s="7285"/>
      <c r="I4" s="7286"/>
      <c r="J4" s="14952"/>
    </row>
    <row r="5" spans="1:12" ht="15" customHeight="1">
      <c r="A5" s="7287" t="s">
        <v>7</v>
      </c>
      <c r="B5" s="7287"/>
      <c r="C5" s="7288" t="s">
        <v>8</v>
      </c>
      <c r="D5" s="7289"/>
      <c r="E5" s="7289"/>
      <c r="F5" s="7289"/>
      <c r="G5" s="7289"/>
      <c r="H5" s="7289"/>
      <c r="I5" s="7290"/>
      <c r="J5" s="14952"/>
    </row>
    <row r="6" spans="1:12" s="7314" customFormat="1" ht="15" customHeight="1" thickBot="1">
      <c r="A6" s="7287"/>
      <c r="B6" s="7287"/>
      <c r="C6" s="7288"/>
      <c r="D6" s="7289"/>
      <c r="E6" s="7289"/>
      <c r="F6" s="7289"/>
      <c r="G6" s="7289"/>
      <c r="H6" s="7289"/>
      <c r="I6" s="7290"/>
      <c r="J6" s="7289"/>
    </row>
    <row r="7" spans="1:12" ht="15" customHeight="1">
      <c r="A7" s="7694"/>
      <c r="B7" s="11658"/>
      <c r="C7" s="9460" t="s">
        <v>9</v>
      </c>
      <c r="D7" s="10868" t="s">
        <v>10</v>
      </c>
      <c r="E7" s="14188" t="s">
        <v>10711</v>
      </c>
      <c r="F7" s="14189"/>
      <c r="G7" s="14190"/>
      <c r="H7" s="11080" t="s">
        <v>9985</v>
      </c>
      <c r="I7" s="9462"/>
      <c r="J7" s="11733" t="s">
        <v>12</v>
      </c>
    </row>
    <row r="8" spans="1:12" ht="15" customHeight="1">
      <c r="A8" s="7657"/>
      <c r="B8" s="7295" t="s">
        <v>13</v>
      </c>
      <c r="C8" s="15145" t="s">
        <v>14</v>
      </c>
      <c r="D8" s="11123" t="s">
        <v>15</v>
      </c>
      <c r="E8" s="9502" t="s">
        <v>10709</v>
      </c>
      <c r="F8" s="9503" t="s">
        <v>10710</v>
      </c>
      <c r="G8" s="14191" t="s">
        <v>458</v>
      </c>
      <c r="H8" s="11084" t="s">
        <v>11871</v>
      </c>
      <c r="I8" s="11108"/>
      <c r="J8" s="11734" t="s">
        <v>16</v>
      </c>
    </row>
    <row r="9" spans="1:12" ht="15" customHeight="1" thickBot="1">
      <c r="A9" s="7699"/>
      <c r="B9" s="7897"/>
      <c r="C9" s="15146"/>
      <c r="D9" s="9455">
        <v>2017</v>
      </c>
      <c r="E9" s="9467" t="s">
        <v>457</v>
      </c>
      <c r="F9" s="11661" t="s">
        <v>456</v>
      </c>
      <c r="G9" s="14192"/>
      <c r="H9" s="7302">
        <v>2018</v>
      </c>
      <c r="I9" s="7322"/>
      <c r="J9" s="11735">
        <v>2019</v>
      </c>
    </row>
    <row r="10" spans="1:12" ht="15" customHeight="1">
      <c r="A10" s="11840" t="s">
        <v>17</v>
      </c>
      <c r="B10" s="11841" t="s">
        <v>18</v>
      </c>
      <c r="C10" s="11842"/>
      <c r="D10" s="9479"/>
      <c r="E10" s="9479"/>
      <c r="F10" s="9479"/>
      <c r="G10" s="8878"/>
      <c r="H10" s="9479"/>
      <c r="I10" s="9480"/>
      <c r="J10" s="11743"/>
    </row>
    <row r="11" spans="1:12" ht="15" customHeight="1">
      <c r="A11" s="7657"/>
      <c r="B11" s="7287" t="s">
        <v>19</v>
      </c>
      <c r="C11" s="10136"/>
      <c r="D11" s="11664"/>
      <c r="E11" s="11664"/>
      <c r="F11" s="11664"/>
      <c r="G11" s="8798"/>
      <c r="H11" s="11664"/>
      <c r="I11" s="11163"/>
      <c r="J11" s="11691"/>
    </row>
    <row r="12" spans="1:12" ht="15" customHeight="1">
      <c r="A12" s="7657"/>
      <c r="B12" s="7352" t="s">
        <v>20</v>
      </c>
      <c r="C12" s="8872">
        <v>50101010</v>
      </c>
      <c r="D12" s="10137">
        <f>'WS-PS 2017'!B32</f>
        <v>8363824.71</v>
      </c>
      <c r="E12" s="10137">
        <f>'WS-PS ACTUAL JUNE 2018'!B32</f>
        <v>4627525.7300000004</v>
      </c>
      <c r="F12" s="10137">
        <f>G12-E12</f>
        <v>7177462.2699999996</v>
      </c>
      <c r="G12" s="10137">
        <v>11804988</v>
      </c>
      <c r="H12" s="10137"/>
      <c r="I12" s="11445"/>
      <c r="J12" s="11843">
        <f>K12</f>
        <v>12860592</v>
      </c>
      <c r="K12" s="11719">
        <f>'staffing-catig'!F54</f>
        <v>12860592</v>
      </c>
      <c r="L12" s="7346">
        <f>'staffing-catig'!B54</f>
        <v>39</v>
      </c>
    </row>
    <row r="13" spans="1:12" ht="15" customHeight="1">
      <c r="A13" s="7657"/>
      <c r="B13" s="7352" t="s">
        <v>21</v>
      </c>
      <c r="C13" s="8872">
        <v>50102010</v>
      </c>
      <c r="D13" s="8798">
        <f>'WS-PS 2017'!F32</f>
        <v>652000</v>
      </c>
      <c r="E13" s="8798">
        <f>'WS-PS ACTUAL JUNE 2018'!D32</f>
        <v>346727.28</v>
      </c>
      <c r="F13" s="10137">
        <f t="shared" ref="F13:F31" si="0">G13-E13</f>
        <v>565272.72</v>
      </c>
      <c r="G13" s="8798">
        <v>912000</v>
      </c>
      <c r="H13" s="8798"/>
      <c r="I13" s="8799"/>
      <c r="J13" s="11843">
        <f t="shared" ref="J13:J31" si="1">K13</f>
        <v>936000</v>
      </c>
      <c r="K13" s="7310">
        <f>24000*L12</f>
        <v>936000</v>
      </c>
    </row>
    <row r="14" spans="1:12" ht="15" customHeight="1">
      <c r="A14" s="7657"/>
      <c r="B14" s="11242" t="s">
        <v>104</v>
      </c>
      <c r="C14" s="8872">
        <v>50102020</v>
      </c>
      <c r="D14" s="8798">
        <f>'WS-PS 2017'!G32</f>
        <v>60000</v>
      </c>
      <c r="E14" s="8798">
        <f>'WS-PS ACTUAL JUNE 2018'!E32</f>
        <v>20000</v>
      </c>
      <c r="F14" s="10137">
        <f t="shared" si="0"/>
        <v>40000</v>
      </c>
      <c r="G14" s="8798">
        <v>60000</v>
      </c>
      <c r="H14" s="8798"/>
      <c r="I14" s="8799"/>
      <c r="J14" s="11843">
        <f t="shared" si="1"/>
        <v>60000</v>
      </c>
      <c r="K14" s="7310">
        <v>60000</v>
      </c>
    </row>
    <row r="15" spans="1:12" ht="15" customHeight="1">
      <c r="A15" s="7657"/>
      <c r="B15" s="11242" t="s">
        <v>105</v>
      </c>
      <c r="C15" s="8872">
        <v>50102030</v>
      </c>
      <c r="D15" s="8798">
        <f>'WS-PS 2017'!H32</f>
        <v>60000</v>
      </c>
      <c r="E15" s="8798">
        <f>'WS-PS ACTUAL JUNE 2018'!F32</f>
        <v>20000</v>
      </c>
      <c r="F15" s="10137">
        <f t="shared" si="0"/>
        <v>40000</v>
      </c>
      <c r="G15" s="8798">
        <v>60000</v>
      </c>
      <c r="H15" s="8798"/>
      <c r="I15" s="8799"/>
      <c r="J15" s="11843">
        <f t="shared" si="1"/>
        <v>60000</v>
      </c>
      <c r="K15" s="7310">
        <v>60000</v>
      </c>
    </row>
    <row r="16" spans="1:12" ht="15" customHeight="1">
      <c r="A16" s="7657"/>
      <c r="B16" s="11242" t="s">
        <v>22</v>
      </c>
      <c r="C16" s="8872">
        <v>50102040</v>
      </c>
      <c r="D16" s="8798">
        <f>'WS-PS 2017'!I32</f>
        <v>140000</v>
      </c>
      <c r="E16" s="8798">
        <f>'WS-PS ACTUAL JUNE 2018'!G32</f>
        <v>168000</v>
      </c>
      <c r="F16" s="10137">
        <f t="shared" si="0"/>
        <v>22000</v>
      </c>
      <c r="G16" s="8798">
        <v>190000</v>
      </c>
      <c r="H16" s="8798"/>
      <c r="I16" s="8799"/>
      <c r="J16" s="11843">
        <f t="shared" si="1"/>
        <v>234000</v>
      </c>
      <c r="K16" s="7310">
        <f>6000*L12</f>
        <v>234000</v>
      </c>
    </row>
    <row r="17" spans="1:11" ht="15" customHeight="1">
      <c r="A17" s="7657"/>
      <c r="B17" s="11242" t="s">
        <v>106</v>
      </c>
      <c r="C17" s="8872">
        <v>50102050</v>
      </c>
      <c r="D17" s="8798">
        <f>'WS-PS 2017'!J32</f>
        <v>299900</v>
      </c>
      <c r="E17" s="8798">
        <f>'WS-PS ACTUAL JUNE 2018'!H32</f>
        <v>155425</v>
      </c>
      <c r="F17" s="10137">
        <f t="shared" si="0"/>
        <v>528575</v>
      </c>
      <c r="G17" s="8798">
        <v>684000</v>
      </c>
      <c r="H17" s="8798"/>
      <c r="I17" s="8799"/>
      <c r="J17" s="11843">
        <f t="shared" si="1"/>
        <v>421200</v>
      </c>
      <c r="K17" s="7310">
        <f>10800*L12</f>
        <v>421200</v>
      </c>
    </row>
    <row r="18" spans="1:11" ht="15" customHeight="1">
      <c r="A18" s="7657"/>
      <c r="B18" s="7352" t="s">
        <v>10970</v>
      </c>
      <c r="C18" s="8802">
        <v>50102060</v>
      </c>
      <c r="D18" s="8798">
        <f>'WS-PS 2017'!K32</f>
        <v>45508.98</v>
      </c>
      <c r="E18" s="8798">
        <f>'WS-PS ACTUAL JUNE 2018'!I32</f>
        <v>23935.19</v>
      </c>
      <c r="F18" s="10137">
        <f t="shared" si="0"/>
        <v>44464.81</v>
      </c>
      <c r="G18" s="8798">
        <v>68400</v>
      </c>
      <c r="H18" s="8798"/>
      <c r="I18" s="8799"/>
      <c r="J18" s="11843">
        <f t="shared" si="1"/>
        <v>70200</v>
      </c>
      <c r="K18" s="7310">
        <f>1800*L12</f>
        <v>70200</v>
      </c>
    </row>
    <row r="19" spans="1:11" ht="15" customHeight="1">
      <c r="A19" s="7657"/>
      <c r="B19" s="7488" t="s">
        <v>10932</v>
      </c>
      <c r="C19" s="10368">
        <v>50102080</v>
      </c>
      <c r="D19" s="8798">
        <f>'WS-PS 2017'!L32</f>
        <v>137500</v>
      </c>
      <c r="E19" s="8798">
        <f>'WS-PS ACTUAL JUNE 2018'!J32</f>
        <v>0</v>
      </c>
      <c r="F19" s="10137">
        <f t="shared" si="0"/>
        <v>190000</v>
      </c>
      <c r="G19" s="8798">
        <v>190000</v>
      </c>
      <c r="H19" s="8798"/>
      <c r="I19" s="8799"/>
      <c r="J19" s="11843">
        <f t="shared" si="1"/>
        <v>195000</v>
      </c>
      <c r="K19" s="7310">
        <f>5000*L12</f>
        <v>195000</v>
      </c>
    </row>
    <row r="20" spans="1:11" ht="15" customHeight="1">
      <c r="A20" s="7657"/>
      <c r="B20" s="7287" t="s">
        <v>95</v>
      </c>
      <c r="C20" s="11729">
        <v>50102110</v>
      </c>
      <c r="D20" s="8798">
        <f>'WS-PS 2017'!N32</f>
        <v>1696799.54</v>
      </c>
      <c r="E20" s="8798">
        <f>'WS-PS ACTUAL JUNE 2018'!L32</f>
        <v>964839.3</v>
      </c>
      <c r="F20" s="10137">
        <f t="shared" si="0"/>
        <v>998882.7</v>
      </c>
      <c r="G20" s="8798">
        <v>1963722</v>
      </c>
      <c r="H20" s="8798"/>
      <c r="I20" s="8799"/>
      <c r="J20" s="11843">
        <f t="shared" si="1"/>
        <v>3215148</v>
      </c>
      <c r="K20" s="11719">
        <f>25%*K12</f>
        <v>3215148</v>
      </c>
    </row>
    <row r="21" spans="1:11" ht="15" customHeight="1">
      <c r="A21" s="7657"/>
      <c r="B21" s="7488" t="s">
        <v>10934</v>
      </c>
      <c r="C21" s="8872">
        <v>50102120</v>
      </c>
      <c r="D21" s="8798">
        <f>'WS-PS 2017'!O32</f>
        <v>35000</v>
      </c>
      <c r="E21" s="8798">
        <f>'WS-PS ACTUAL JUNE 2018'!M32</f>
        <v>15000</v>
      </c>
      <c r="F21" s="10137">
        <f>G21-E21</f>
        <v>5000</v>
      </c>
      <c r="G21" s="8798">
        <v>20000</v>
      </c>
      <c r="H21" s="8798"/>
      <c r="I21" s="8799"/>
      <c r="J21" s="11843">
        <f t="shared" si="1"/>
        <v>50000</v>
      </c>
      <c r="K21" s="7310">
        <v>50000</v>
      </c>
    </row>
    <row r="22" spans="1:11" ht="15" customHeight="1">
      <c r="A22" s="7657"/>
      <c r="B22" s="7287" t="s">
        <v>113</v>
      </c>
      <c r="C22" s="8802">
        <v>50102130</v>
      </c>
      <c r="D22" s="8798">
        <f>'WS-PS 2017'!R32</f>
        <v>0</v>
      </c>
      <c r="E22" s="8798">
        <f>'WS-PS ACTUAL JUNE 2018'!N32</f>
        <v>0</v>
      </c>
      <c r="F22" s="10137">
        <f t="shared" si="0"/>
        <v>30000</v>
      </c>
      <c r="G22" s="8798">
        <v>30000</v>
      </c>
      <c r="H22" s="8798"/>
      <c r="I22" s="8799"/>
      <c r="J22" s="11843">
        <v>30000</v>
      </c>
      <c r="K22" s="7310">
        <v>30000</v>
      </c>
    </row>
    <row r="23" spans="1:11" ht="15" customHeight="1">
      <c r="A23" s="7657"/>
      <c r="B23" s="7488" t="s">
        <v>10933</v>
      </c>
      <c r="C23" s="8872">
        <v>50102140</v>
      </c>
      <c r="D23" s="11844">
        <f>'WS-PS 2017'!U32+'WS-PS 2017'!S32</f>
        <v>1389191.9</v>
      </c>
      <c r="E23" s="11844">
        <f>'WS-PS ACTUAL JUNE 2018'!O32</f>
        <v>764992</v>
      </c>
      <c r="F23" s="10137">
        <f t="shared" si="0"/>
        <v>1202506</v>
      </c>
      <c r="G23" s="11844">
        <v>1967498</v>
      </c>
      <c r="H23" s="11844"/>
      <c r="I23" s="11845"/>
      <c r="J23" s="11843">
        <f t="shared" si="1"/>
        <v>2143432</v>
      </c>
      <c r="K23" s="7310">
        <f>SUM(K11:K12)/12*2</f>
        <v>2143432</v>
      </c>
    </row>
    <row r="24" spans="1:11" ht="15" customHeight="1">
      <c r="A24" s="7657"/>
      <c r="B24" s="7287" t="s">
        <v>26</v>
      </c>
      <c r="C24" s="11729">
        <v>50102150</v>
      </c>
      <c r="D24" s="8798">
        <f>'WS-PS 2017'!T32</f>
        <v>140000</v>
      </c>
      <c r="E24" s="8798">
        <f>'WS-PS ACTUAL JUNE 2018'!Q32</f>
        <v>0</v>
      </c>
      <c r="F24" s="10137">
        <f>G24-E24</f>
        <v>190000</v>
      </c>
      <c r="G24" s="8798">
        <v>190000</v>
      </c>
      <c r="H24" s="8798"/>
      <c r="I24" s="8799"/>
      <c r="J24" s="11843">
        <f t="shared" si="1"/>
        <v>195000</v>
      </c>
      <c r="K24" s="7371">
        <f>K19</f>
        <v>195000</v>
      </c>
    </row>
    <row r="25" spans="1:11" ht="15" customHeight="1">
      <c r="A25" s="7657"/>
      <c r="B25" s="7488" t="s">
        <v>11497</v>
      </c>
      <c r="C25" s="11257">
        <v>50102990</v>
      </c>
      <c r="D25" s="8798">
        <v>0</v>
      </c>
      <c r="E25" s="8798">
        <f>'WS-PS ACTUAL JUNE 2018'!R32</f>
        <v>0</v>
      </c>
      <c r="F25" s="10137">
        <f>G25-E25</f>
        <v>565656</v>
      </c>
      <c r="G25" s="8798">
        <v>565656</v>
      </c>
      <c r="H25" s="8798"/>
      <c r="I25" s="8799"/>
      <c r="J25" s="11843"/>
      <c r="K25" s="7310">
        <f>K12/12*0.575</f>
        <v>616236.69999999995</v>
      </c>
    </row>
    <row r="26" spans="1:11" ht="15" customHeight="1">
      <c r="A26" s="7657"/>
      <c r="B26" s="7803" t="s">
        <v>11499</v>
      </c>
      <c r="C26" s="11059" t="s">
        <v>11495</v>
      </c>
      <c r="D26" s="8798">
        <f>'WS-PS 2017'!Q32</f>
        <v>0</v>
      </c>
      <c r="E26" s="8798">
        <f>'WS-PS ACTUAL JUNE 2018'!S32</f>
        <v>0</v>
      </c>
      <c r="F26" s="10137">
        <f>G26-E26</f>
        <v>0</v>
      </c>
      <c r="G26" s="8798">
        <v>0</v>
      </c>
      <c r="H26" s="8798"/>
      <c r="I26" s="8799"/>
      <c r="J26" s="11843">
        <f t="shared" si="1"/>
        <v>117000</v>
      </c>
      <c r="K26" s="7310">
        <f>3000*L12</f>
        <v>117000</v>
      </c>
    </row>
    <row r="27" spans="1:11" ht="15" customHeight="1">
      <c r="A27" s="7657"/>
      <c r="B27" s="11518" t="s">
        <v>59</v>
      </c>
      <c r="C27" s="8872">
        <v>50103010</v>
      </c>
      <c r="D27" s="8798">
        <f>'WS-PS 2017'!V32</f>
        <v>1003658.95</v>
      </c>
      <c r="E27" s="8798">
        <f>'WS-PS ACTUAL JUNE 2018'!T32</f>
        <v>555302.72</v>
      </c>
      <c r="F27" s="10137">
        <f t="shared" si="0"/>
        <v>861295.28</v>
      </c>
      <c r="G27" s="8798">
        <v>1416598</v>
      </c>
      <c r="H27" s="8798"/>
      <c r="I27" s="8799"/>
      <c r="J27" s="11843">
        <f t="shared" si="1"/>
        <v>1543271.04</v>
      </c>
      <c r="K27" s="11720">
        <f>SUM(K11:K12)*12%</f>
        <v>1543271.04</v>
      </c>
    </row>
    <row r="28" spans="1:11" ht="15" customHeight="1">
      <c r="A28" s="7657"/>
      <c r="B28" s="7803" t="s">
        <v>28</v>
      </c>
      <c r="C28" s="8872">
        <v>50103020</v>
      </c>
      <c r="D28" s="8798">
        <f>'WS-PS 2017'!W32</f>
        <v>32400</v>
      </c>
      <c r="E28" s="8798">
        <f>'WS-PS ACTUAL JUNE 2018'!U32</f>
        <v>17400</v>
      </c>
      <c r="F28" s="10137">
        <f t="shared" si="0"/>
        <v>27000</v>
      </c>
      <c r="G28" s="8798">
        <v>44400</v>
      </c>
      <c r="H28" s="8798"/>
      <c r="I28" s="8799"/>
      <c r="J28" s="11843">
        <f t="shared" si="1"/>
        <v>46800</v>
      </c>
      <c r="K28" s="7310">
        <f>1200*L12</f>
        <v>46800</v>
      </c>
    </row>
    <row r="29" spans="1:11" ht="15" customHeight="1">
      <c r="A29" s="7657"/>
      <c r="B29" s="7803" t="s">
        <v>29</v>
      </c>
      <c r="C29" s="8872">
        <v>50103030</v>
      </c>
      <c r="D29" s="8798">
        <f>'WS-PS 2017'!X32</f>
        <v>86300</v>
      </c>
      <c r="E29" s="8798">
        <f>'WS-PS ACTUAL JUNE 2018'!V32</f>
        <v>57538.74</v>
      </c>
      <c r="F29" s="10137">
        <f t="shared" si="0"/>
        <v>56461.26</v>
      </c>
      <c r="G29" s="8798">
        <v>114000</v>
      </c>
      <c r="H29" s="8798"/>
      <c r="I29" s="8799"/>
      <c r="J29" s="11843">
        <v>154005.55500000008</v>
      </c>
      <c r="K29" s="7310">
        <f>3600*L12</f>
        <v>140400</v>
      </c>
    </row>
    <row r="30" spans="1:11" ht="15" customHeight="1">
      <c r="A30" s="7657"/>
      <c r="B30" s="7803" t="s">
        <v>30</v>
      </c>
      <c r="C30" s="8872">
        <v>50103040</v>
      </c>
      <c r="D30" s="8798">
        <f>'WS-PS 2017'!Y32</f>
        <v>32590.52</v>
      </c>
      <c r="E30" s="8798">
        <f>'WS-PS ACTUAL JUNE 2018'!W32</f>
        <v>17400</v>
      </c>
      <c r="F30" s="10137">
        <f t="shared" si="0"/>
        <v>27000</v>
      </c>
      <c r="G30" s="8798">
        <v>44400</v>
      </c>
      <c r="H30" s="8798"/>
      <c r="I30" s="8799"/>
      <c r="J30" s="11843">
        <f t="shared" si="1"/>
        <v>46800</v>
      </c>
      <c r="K30" s="7310">
        <f>K28</f>
        <v>46800</v>
      </c>
    </row>
    <row r="31" spans="1:11" ht="15" customHeight="1">
      <c r="A31" s="7657"/>
      <c r="B31" s="7488" t="s">
        <v>5025</v>
      </c>
      <c r="C31" s="11258">
        <v>50104990</v>
      </c>
      <c r="D31" s="8798">
        <f>'WS-PS 2017'!Z32</f>
        <v>693750</v>
      </c>
      <c r="E31" s="8798"/>
      <c r="F31" s="10137">
        <f t="shared" si="0"/>
        <v>0</v>
      </c>
      <c r="G31" s="8798">
        <v>0</v>
      </c>
      <c r="H31" s="8798"/>
      <c r="I31" s="8799"/>
      <c r="J31" s="11843">
        <f t="shared" si="1"/>
        <v>0</v>
      </c>
    </row>
    <row r="32" spans="1:11" ht="15" customHeight="1">
      <c r="A32" s="7657"/>
      <c r="B32" s="7311"/>
      <c r="C32" s="11846"/>
      <c r="D32" s="8798"/>
      <c r="E32" s="8798"/>
      <c r="F32" s="8798"/>
      <c r="G32" s="8798"/>
      <c r="H32" s="8798"/>
      <c r="I32" s="8799"/>
      <c r="J32" s="11691"/>
    </row>
    <row r="33" spans="1:11" ht="15" customHeight="1">
      <c r="A33" s="7657"/>
      <c r="B33" s="7287"/>
      <c r="C33" s="11846"/>
      <c r="D33" s="7660"/>
      <c r="E33" s="7660"/>
      <c r="F33" s="7660"/>
      <c r="G33" s="7660"/>
      <c r="H33" s="7660"/>
      <c r="I33" s="7373"/>
      <c r="J33" s="11736"/>
    </row>
    <row r="34" spans="1:11" ht="15" customHeight="1" thickBot="1">
      <c r="A34" s="7699"/>
      <c r="B34" s="7781" t="s">
        <v>37</v>
      </c>
      <c r="C34" s="11732"/>
      <c r="D34" s="11847">
        <f>SUM(D11:D33)</f>
        <v>14868424.6</v>
      </c>
      <c r="E34" s="11847">
        <f>SUM(E11:E33)</f>
        <v>7754085.9600000009</v>
      </c>
      <c r="F34" s="11847">
        <f>SUM(F11:F33)</f>
        <v>12571576.039999997</v>
      </c>
      <c r="G34" s="11847">
        <f>SUM(G11:G33)</f>
        <v>20325662</v>
      </c>
      <c r="H34" s="11847"/>
      <c r="I34" s="7737"/>
      <c r="J34" s="11848">
        <f>SUM(J11:J33)</f>
        <v>22378448.594999999</v>
      </c>
      <c r="K34" s="11657">
        <f>SUM(K12:K33)</f>
        <v>22981079.739999998</v>
      </c>
    </row>
    <row r="35" spans="1:11" ht="15" customHeight="1">
      <c r="A35" s="7688"/>
      <c r="B35" s="7689"/>
      <c r="C35" s="7690"/>
      <c r="D35" s="7691"/>
      <c r="E35" s="7691"/>
      <c r="F35" s="7691"/>
      <c r="G35" s="7691"/>
      <c r="H35" s="7691"/>
      <c r="I35" s="7389"/>
      <c r="J35" s="7691"/>
    </row>
    <row r="36" spans="1:11" ht="15" customHeight="1">
      <c r="A36" s="7287"/>
      <c r="B36" s="7315"/>
      <c r="C36" s="7288"/>
      <c r="D36" s="7349"/>
      <c r="E36" s="7349"/>
      <c r="F36" s="7349"/>
      <c r="G36" s="7349"/>
      <c r="H36" s="7349"/>
      <c r="I36" s="7350"/>
      <c r="J36" s="7349"/>
    </row>
    <row r="37" spans="1:11" ht="15" customHeight="1">
      <c r="A37" s="7287"/>
      <c r="B37" s="7315"/>
      <c r="C37" s="7288"/>
      <c r="D37" s="7349"/>
      <c r="E37" s="7349"/>
      <c r="F37" s="7349"/>
      <c r="G37" s="7349"/>
      <c r="H37" s="7349"/>
      <c r="I37" s="7350"/>
      <c r="J37" s="7349"/>
    </row>
    <row r="38" spans="1:11" ht="15" customHeight="1" thickBot="1">
      <c r="A38" s="7291" t="s">
        <v>10910</v>
      </c>
      <c r="B38" s="7291"/>
      <c r="C38" s="7292"/>
      <c r="D38" s="7693"/>
      <c r="E38" s="7693"/>
      <c r="F38" s="7693"/>
      <c r="G38" s="7293"/>
      <c r="H38" s="7293"/>
      <c r="I38" s="7294"/>
      <c r="J38" s="7293"/>
    </row>
    <row r="39" spans="1:11" ht="15" customHeight="1">
      <c r="A39" s="7694"/>
      <c r="B39" s="11658"/>
      <c r="C39" s="9460" t="s">
        <v>9</v>
      </c>
      <c r="D39" s="10868" t="s">
        <v>10</v>
      </c>
      <c r="E39" s="14188" t="s">
        <v>10711</v>
      </c>
      <c r="F39" s="14189"/>
      <c r="G39" s="14190"/>
      <c r="H39" s="9461"/>
      <c r="I39" s="9462"/>
      <c r="J39" s="11733" t="s">
        <v>12</v>
      </c>
    </row>
    <row r="40" spans="1:11" ht="15" customHeight="1">
      <c r="A40" s="7657"/>
      <c r="B40" s="7295" t="s">
        <v>13</v>
      </c>
      <c r="C40" s="15145" t="s">
        <v>14</v>
      </c>
      <c r="D40" s="11123" t="s">
        <v>15</v>
      </c>
      <c r="E40" s="9502" t="s">
        <v>10709</v>
      </c>
      <c r="F40" s="9503" t="s">
        <v>10710</v>
      </c>
      <c r="G40" s="14191" t="s">
        <v>458</v>
      </c>
      <c r="H40" s="11438"/>
      <c r="I40" s="11108"/>
      <c r="J40" s="11734" t="s">
        <v>16</v>
      </c>
    </row>
    <row r="41" spans="1:11" ht="15" customHeight="1" thickBot="1">
      <c r="A41" s="7699"/>
      <c r="B41" s="7897"/>
      <c r="C41" s="15146"/>
      <c r="D41" s="9455">
        <v>2017</v>
      </c>
      <c r="E41" s="9467" t="s">
        <v>457</v>
      </c>
      <c r="F41" s="11661" t="s">
        <v>456</v>
      </c>
      <c r="G41" s="14192"/>
      <c r="H41" s="7302"/>
      <c r="I41" s="7322"/>
      <c r="J41" s="11735">
        <v>2019</v>
      </c>
    </row>
    <row r="42" spans="1:11" ht="15" customHeight="1">
      <c r="A42" s="7694"/>
      <c r="B42" s="11658"/>
      <c r="C42" s="11849"/>
      <c r="D42" s="11850"/>
      <c r="E42" s="9463"/>
      <c r="F42" s="10868"/>
      <c r="G42" s="9463"/>
      <c r="H42" s="11851"/>
      <c r="I42" s="9462"/>
      <c r="J42" s="11852"/>
    </row>
    <row r="43" spans="1:11" ht="15" customHeight="1">
      <c r="A43" s="11663"/>
      <c r="B43" s="7287" t="s">
        <v>38</v>
      </c>
      <c r="C43" s="10136"/>
      <c r="D43" s="8798"/>
      <c r="E43" s="8798"/>
      <c r="F43" s="8798"/>
      <c r="G43" s="8798"/>
      <c r="H43" s="8798"/>
      <c r="I43" s="8799"/>
      <c r="J43" s="11691"/>
    </row>
    <row r="44" spans="1:11" ht="15" customHeight="1">
      <c r="A44" s="7657"/>
      <c r="B44" s="7803" t="s">
        <v>391</v>
      </c>
      <c r="C44" s="10377">
        <v>50201010</v>
      </c>
      <c r="D44" s="8798">
        <f>'WS-MOOE 2017'!B32</f>
        <v>74792.850000000006</v>
      </c>
      <c r="E44" s="8798">
        <f>'WS-MOOE ACTUAL JUNE 2018'!B33</f>
        <v>11793</v>
      </c>
      <c r="F44" s="10137">
        <f t="shared" ref="F44:F65" si="2">G44-E44</f>
        <v>168207</v>
      </c>
      <c r="G44" s="8798">
        <v>180000</v>
      </c>
      <c r="H44" s="8798">
        <v>21095</v>
      </c>
      <c r="I44" s="8799">
        <f>H44/G44</f>
        <v>0.11719444444444445</v>
      </c>
      <c r="J44" s="11691">
        <v>180000</v>
      </c>
    </row>
    <row r="45" spans="1:11" ht="15" customHeight="1">
      <c r="A45" s="7657"/>
      <c r="B45" s="7803" t="s">
        <v>10324</v>
      </c>
      <c r="C45" s="10377">
        <v>50202010</v>
      </c>
      <c r="D45" s="8798">
        <f>'WS-MOOE 2017'!H32</f>
        <v>25800</v>
      </c>
      <c r="E45" s="8798">
        <f>'WS-MOOE ACTUAL JUNE 2018'!G33</f>
        <v>3500</v>
      </c>
      <c r="F45" s="10137">
        <f t="shared" si="2"/>
        <v>196500</v>
      </c>
      <c r="G45" s="8798">
        <v>200000</v>
      </c>
      <c r="H45" s="8798">
        <v>9200</v>
      </c>
      <c r="I45" s="8799">
        <f t="shared" ref="I45:I65" si="3">H45/G45</f>
        <v>4.5999999999999999E-2</v>
      </c>
      <c r="J45" s="11691">
        <v>200000</v>
      </c>
    </row>
    <row r="46" spans="1:11" ht="15" customHeight="1">
      <c r="A46" s="7657"/>
      <c r="B46" s="7803" t="s">
        <v>392</v>
      </c>
      <c r="C46" s="10377">
        <v>50203010</v>
      </c>
      <c r="D46" s="8798">
        <f>'WS-MOOE 2017'!J32</f>
        <v>114898.65</v>
      </c>
      <c r="E46" s="8798">
        <f>'WS-MOOE ACTUAL JUNE 2018'!H33</f>
        <v>23978.1</v>
      </c>
      <c r="F46" s="10137">
        <f t="shared" si="2"/>
        <v>276021.90000000002</v>
      </c>
      <c r="G46" s="8798">
        <v>300000</v>
      </c>
      <c r="H46" s="8798">
        <v>80673.100000000006</v>
      </c>
      <c r="I46" s="8799">
        <f t="shared" si="3"/>
        <v>0.26891033333333336</v>
      </c>
      <c r="J46" s="11691">
        <v>300000</v>
      </c>
    </row>
    <row r="47" spans="1:11" ht="15" customHeight="1">
      <c r="A47" s="7657"/>
      <c r="B47" s="7287" t="s">
        <v>97</v>
      </c>
      <c r="C47" s="8802">
        <v>50203020</v>
      </c>
      <c r="D47" s="8798">
        <f>'WS-MOOE 2017'!M32</f>
        <v>30280</v>
      </c>
      <c r="E47" s="8798">
        <f>'WS-MOOE ACTUAL JUNE 2018'!J33</f>
        <v>13750</v>
      </c>
      <c r="F47" s="10137">
        <f t="shared" si="2"/>
        <v>36250</v>
      </c>
      <c r="G47" s="8798">
        <v>50000</v>
      </c>
      <c r="H47" s="8798">
        <v>27500</v>
      </c>
      <c r="I47" s="8799">
        <f t="shared" si="3"/>
        <v>0.55000000000000004</v>
      </c>
      <c r="J47" s="11691">
        <v>50000</v>
      </c>
    </row>
    <row r="48" spans="1:11" ht="15" customHeight="1">
      <c r="A48" s="7657"/>
      <c r="B48" s="7287" t="s">
        <v>98</v>
      </c>
      <c r="C48" s="8802">
        <v>50203050</v>
      </c>
      <c r="D48" s="8798">
        <f>'WS-MOOE 2017'!O32</f>
        <v>1077623.55</v>
      </c>
      <c r="E48" s="8798">
        <f>'WS-MOOE ACTUAL JUNE 2018'!L33</f>
        <v>513283.25</v>
      </c>
      <c r="F48" s="10137">
        <f t="shared" si="2"/>
        <v>1086716.75</v>
      </c>
      <c r="G48" s="8798">
        <v>1600000</v>
      </c>
      <c r="H48" s="8798">
        <v>732491</v>
      </c>
      <c r="I48" s="8799">
        <f t="shared" si="3"/>
        <v>0.457806875</v>
      </c>
      <c r="J48" s="11691">
        <v>1600000</v>
      </c>
    </row>
    <row r="49" spans="1:10" ht="15" customHeight="1">
      <c r="A49" s="7657"/>
      <c r="B49" s="7287" t="s">
        <v>9122</v>
      </c>
      <c r="C49" s="8802">
        <v>50203070</v>
      </c>
      <c r="D49" s="8798">
        <f>'WS-MOOE 2017'!P32</f>
        <v>5201912.71</v>
      </c>
      <c r="E49" s="8798">
        <f>'WS-MOOE ACTUAL JUNE 2018'!M33</f>
        <v>92620.5</v>
      </c>
      <c r="F49" s="10137">
        <f t="shared" si="2"/>
        <v>7907379.5</v>
      </c>
      <c r="G49" s="8798">
        <v>8000000</v>
      </c>
      <c r="H49" s="8798">
        <v>4423128.3</v>
      </c>
      <c r="I49" s="8799">
        <f t="shared" si="3"/>
        <v>0.55289103750000002</v>
      </c>
      <c r="J49" s="11691">
        <v>8500000</v>
      </c>
    </row>
    <row r="50" spans="1:10" ht="15" customHeight="1">
      <c r="A50" s="7657"/>
      <c r="B50" s="7287" t="s">
        <v>135</v>
      </c>
      <c r="C50" s="8802">
        <v>50203080</v>
      </c>
      <c r="D50" s="8798">
        <f>'WS-MOOE 2017'!Q32</f>
        <v>2805115</v>
      </c>
      <c r="E50" s="8798">
        <f>'WS-MOOE ACTUAL JUNE 2018'!N33</f>
        <v>380352.65</v>
      </c>
      <c r="F50" s="10137">
        <f t="shared" si="2"/>
        <v>5619647.3499999996</v>
      </c>
      <c r="G50" s="8798">
        <v>6000000</v>
      </c>
      <c r="H50" s="8798">
        <v>5614339.5300000003</v>
      </c>
      <c r="I50" s="8799">
        <f t="shared" si="3"/>
        <v>0.93572325500000009</v>
      </c>
      <c r="J50" s="11691">
        <v>6000000</v>
      </c>
    </row>
    <row r="51" spans="1:10" ht="15" customHeight="1">
      <c r="A51" s="7657"/>
      <c r="B51" s="7287" t="s">
        <v>44</v>
      </c>
      <c r="C51" s="8802">
        <v>50203090</v>
      </c>
      <c r="D51" s="8798">
        <f>'WS-MOOE 2017'!R32</f>
        <v>150980.81</v>
      </c>
      <c r="E51" s="8798">
        <f>'WS-MOOE ACTUAL JUNE 2018'!O33</f>
        <v>40000</v>
      </c>
      <c r="F51" s="10137">
        <f t="shared" si="2"/>
        <v>160000</v>
      </c>
      <c r="G51" s="8798">
        <v>200000</v>
      </c>
      <c r="H51" s="8798">
        <v>97631.63</v>
      </c>
      <c r="I51" s="8799">
        <f t="shared" si="3"/>
        <v>0.48815815000000001</v>
      </c>
      <c r="J51" s="11691">
        <v>200000</v>
      </c>
    </row>
    <row r="52" spans="1:10" ht="15" customHeight="1">
      <c r="A52" s="7657"/>
      <c r="B52" s="7287" t="s">
        <v>45</v>
      </c>
      <c r="C52" s="8802">
        <v>50204010</v>
      </c>
      <c r="D52" s="8798">
        <f>'WS-MOOE 2017'!W32</f>
        <v>167580</v>
      </c>
      <c r="E52" s="8798">
        <f>'WS-MOOE ACTUAL JUNE 2018'!R33</f>
        <v>81285</v>
      </c>
      <c r="F52" s="10137">
        <f t="shared" si="2"/>
        <v>68715</v>
      </c>
      <c r="G52" s="8798">
        <v>150000</v>
      </c>
      <c r="H52" s="8798">
        <v>113370</v>
      </c>
      <c r="I52" s="8799">
        <f t="shared" si="3"/>
        <v>0.75580000000000003</v>
      </c>
      <c r="J52" s="11691">
        <v>165000</v>
      </c>
    </row>
    <row r="53" spans="1:10" ht="15" customHeight="1">
      <c r="A53" s="7657"/>
      <c r="B53" s="7287" t="s">
        <v>46</v>
      </c>
      <c r="C53" s="8802">
        <v>50204020</v>
      </c>
      <c r="D53" s="8798">
        <f>'WS-MOOE 2017'!X32</f>
        <v>377901.44</v>
      </c>
      <c r="E53" s="8798">
        <f>'WS-MOOE ACTUAL JUNE 2018'!S33</f>
        <v>262973.40000000002</v>
      </c>
      <c r="F53" s="10137">
        <f t="shared" si="2"/>
        <v>387026.6</v>
      </c>
      <c r="G53" s="8798">
        <v>650000</v>
      </c>
      <c r="H53" s="8798">
        <v>346511.92</v>
      </c>
      <c r="I53" s="8799">
        <f t="shared" si="3"/>
        <v>0.53309526153846154</v>
      </c>
      <c r="J53" s="11691">
        <v>685000</v>
      </c>
    </row>
    <row r="54" spans="1:10" ht="15" customHeight="1">
      <c r="A54" s="7657"/>
      <c r="B54" s="7287" t="s">
        <v>10974</v>
      </c>
      <c r="C54" s="8802">
        <v>50203990</v>
      </c>
      <c r="D54" s="8798">
        <f>'WS-MOOE 2017'!Y32</f>
        <v>0</v>
      </c>
      <c r="E54" s="8798">
        <f>'WS-MOOE ACTUAL JUNE 2018'!T33</f>
        <v>0</v>
      </c>
      <c r="F54" s="10137">
        <f t="shared" si="2"/>
        <v>30000</v>
      </c>
      <c r="G54" s="8798">
        <v>30000</v>
      </c>
      <c r="H54" s="8798">
        <v>0</v>
      </c>
      <c r="I54" s="8799">
        <f t="shared" si="3"/>
        <v>0</v>
      </c>
      <c r="J54" s="11691">
        <v>30000</v>
      </c>
    </row>
    <row r="55" spans="1:10" ht="15" customHeight="1">
      <c r="A55" s="7657"/>
      <c r="B55" s="7287" t="s">
        <v>62</v>
      </c>
      <c r="C55" s="8802">
        <v>50205010</v>
      </c>
      <c r="D55" s="8798">
        <f>'WS-MOOE 2017'!Z32</f>
        <v>419</v>
      </c>
      <c r="E55" s="8798">
        <f>'WS-MOOE ACTUAL JUNE 2018'!U33</f>
        <v>1477.75</v>
      </c>
      <c r="F55" s="10137">
        <f t="shared" si="2"/>
        <v>2522.25</v>
      </c>
      <c r="G55" s="8798">
        <v>4000</v>
      </c>
      <c r="H55" s="8798">
        <v>1477.75</v>
      </c>
      <c r="I55" s="8799">
        <f t="shared" si="3"/>
        <v>0.36943749999999997</v>
      </c>
      <c r="J55" s="11691">
        <v>4000</v>
      </c>
    </row>
    <row r="56" spans="1:10" ht="15" customHeight="1">
      <c r="A56" s="7657"/>
      <c r="B56" s="7536" t="s">
        <v>155</v>
      </c>
      <c r="C56" s="10149">
        <v>50205020</v>
      </c>
      <c r="D56" s="8798">
        <f>'WS-MOOE 2017'!AA32+'WS-MOOE 2017'!AC32</f>
        <v>30063.29</v>
      </c>
      <c r="E56" s="8798">
        <f>'WS-MOOE ACTUAL JUNE 2018'!V33</f>
        <v>13342.33</v>
      </c>
      <c r="F56" s="10137">
        <f t="shared" si="2"/>
        <v>40657.67</v>
      </c>
      <c r="G56" s="8798">
        <v>54000</v>
      </c>
      <c r="H56" s="8798">
        <v>19059.84</v>
      </c>
      <c r="I56" s="8799">
        <f>H56/G56</f>
        <v>0.35296</v>
      </c>
      <c r="J56" s="11691">
        <v>54000</v>
      </c>
    </row>
    <row r="57" spans="1:10" ht="15" customHeight="1">
      <c r="A57" s="7657"/>
      <c r="B57" s="7287" t="s">
        <v>310</v>
      </c>
      <c r="C57" s="8802"/>
      <c r="D57" s="8798"/>
      <c r="E57" s="8798"/>
      <c r="F57" s="10137">
        <f t="shared" si="2"/>
        <v>0</v>
      </c>
      <c r="G57" s="8798"/>
      <c r="H57" s="8798"/>
      <c r="I57" s="8799"/>
      <c r="J57" s="11691"/>
    </row>
    <row r="58" spans="1:10" ht="15" customHeight="1">
      <c r="A58" s="7657"/>
      <c r="B58" s="7803" t="s">
        <v>10973</v>
      </c>
      <c r="C58" s="10377">
        <v>50205030</v>
      </c>
      <c r="D58" s="8798">
        <f>'WS-MOOE 2017'!AE32</f>
        <v>15192</v>
      </c>
      <c r="E58" s="8798">
        <f>'WS-MOOE ACTUAL JUNE 2018'!Z33</f>
        <v>6604.49</v>
      </c>
      <c r="F58" s="10137">
        <f t="shared" si="2"/>
        <v>29395.510000000002</v>
      </c>
      <c r="G58" s="8798">
        <v>36000</v>
      </c>
      <c r="H58" s="8798">
        <v>10400.49</v>
      </c>
      <c r="I58" s="8799">
        <f t="shared" si="3"/>
        <v>0.28890250000000001</v>
      </c>
      <c r="J58" s="11691">
        <v>36000</v>
      </c>
    </row>
    <row r="59" spans="1:10" ht="15" customHeight="1">
      <c r="A59" s="7657"/>
      <c r="B59" s="7287" t="s">
        <v>10961</v>
      </c>
      <c r="C59" s="8802">
        <v>50299020</v>
      </c>
      <c r="D59" s="8798">
        <f>'WS-MOOE 2017'!BJ32</f>
        <v>0</v>
      </c>
      <c r="E59" s="8798">
        <f>'WS-MOOE ACTUAL JUNE 2018'!BC33</f>
        <v>0</v>
      </c>
      <c r="F59" s="10137">
        <f t="shared" si="2"/>
        <v>4000</v>
      </c>
      <c r="G59" s="8798">
        <v>4000</v>
      </c>
      <c r="H59" s="8798">
        <v>0</v>
      </c>
      <c r="I59" s="8799">
        <f t="shared" si="3"/>
        <v>0</v>
      </c>
      <c r="J59" s="11691">
        <v>4000</v>
      </c>
    </row>
    <row r="60" spans="1:10" ht="15" customHeight="1">
      <c r="A60" s="7657"/>
      <c r="B60" s="7352" t="s">
        <v>10956</v>
      </c>
      <c r="C60" s="8872">
        <v>50212990</v>
      </c>
      <c r="D60" s="8798">
        <f>'WS-MOOE 2017'!AO32</f>
        <v>3128895.01</v>
      </c>
      <c r="E60" s="8798">
        <f>'WS-MOOE ACTUAL JUNE 2018'!AJ33</f>
        <v>865831.87</v>
      </c>
      <c r="F60" s="10137">
        <f t="shared" si="2"/>
        <v>134168.13</v>
      </c>
      <c r="G60" s="8798">
        <v>1000000</v>
      </c>
      <c r="H60" s="8798">
        <v>1718542.52</v>
      </c>
      <c r="I60" s="8799">
        <f t="shared" si="3"/>
        <v>1.71854252</v>
      </c>
      <c r="J60" s="11691">
        <v>2365000</v>
      </c>
    </row>
    <row r="61" spans="1:10" ht="15" customHeight="1">
      <c r="A61" s="7657"/>
      <c r="B61" s="7488" t="s">
        <v>10955</v>
      </c>
      <c r="C61" s="11258">
        <v>50211990</v>
      </c>
      <c r="D61" s="8798">
        <f>'WS-MOOE 2017'!AL32</f>
        <v>1293067.23</v>
      </c>
      <c r="E61" s="8798">
        <f>'WS-MOOE ACTUAL JUNE 2018'!AF33</f>
        <v>1526015.47</v>
      </c>
      <c r="F61" s="10137">
        <f t="shared" si="2"/>
        <v>3273984.5300000003</v>
      </c>
      <c r="G61" s="8798">
        <v>4800000</v>
      </c>
      <c r="H61" s="8798">
        <v>3807437.51</v>
      </c>
      <c r="I61" s="8799">
        <f t="shared" si="3"/>
        <v>0.79321614791666661</v>
      </c>
      <c r="J61" s="11691">
        <v>5770000</v>
      </c>
    </row>
    <row r="62" spans="1:10" ht="15" customHeight="1">
      <c r="A62" s="7657"/>
      <c r="B62" s="7287" t="s">
        <v>311</v>
      </c>
      <c r="C62" s="8802">
        <v>50212020</v>
      </c>
      <c r="D62" s="8798">
        <f>'WS-MOOE 2017'!AM32</f>
        <v>754784.68</v>
      </c>
      <c r="E62" s="8798">
        <f>'WS-MOOE ACTUAL JUNE 2018'!AG33</f>
        <v>0</v>
      </c>
      <c r="F62" s="10137">
        <f t="shared" si="2"/>
        <v>800000</v>
      </c>
      <c r="G62" s="8798">
        <v>800000</v>
      </c>
      <c r="H62" s="8798">
        <v>750000</v>
      </c>
      <c r="I62" s="8799">
        <f t="shared" si="3"/>
        <v>0.9375</v>
      </c>
      <c r="J62" s="11691">
        <v>840000</v>
      </c>
    </row>
    <row r="63" spans="1:10" ht="15" customHeight="1">
      <c r="A63" s="7657"/>
      <c r="B63" s="7287" t="s">
        <v>47</v>
      </c>
      <c r="C63" s="8802">
        <v>50212030</v>
      </c>
      <c r="D63" s="8798">
        <f>'WS-MOOE 2017'!AN32</f>
        <v>362903</v>
      </c>
      <c r="E63" s="8798">
        <f>'WS-MOOE ACTUAL JUNE 2018'!AH33</f>
        <v>254000</v>
      </c>
      <c r="F63" s="10137">
        <f t="shared" si="2"/>
        <v>546000</v>
      </c>
      <c r="G63" s="8798">
        <v>800000</v>
      </c>
      <c r="H63" s="8798">
        <v>750000</v>
      </c>
      <c r="I63" s="8799">
        <f t="shared" si="3"/>
        <v>0.9375</v>
      </c>
      <c r="J63" s="11691">
        <v>910000</v>
      </c>
    </row>
    <row r="64" spans="1:10" ht="15" customHeight="1">
      <c r="A64" s="7657"/>
      <c r="B64" s="7488" t="s">
        <v>10959</v>
      </c>
      <c r="C64" s="10377">
        <v>50213040</v>
      </c>
      <c r="D64" s="8798">
        <f>'WS-MOOE 2017'!AS32</f>
        <v>68760.75</v>
      </c>
      <c r="E64" s="8798">
        <f>'WS-MOOE ACTUAL JUNE 2018'!AN33</f>
        <v>15500</v>
      </c>
      <c r="F64" s="10137">
        <f t="shared" si="2"/>
        <v>184500</v>
      </c>
      <c r="G64" s="8798">
        <v>200000</v>
      </c>
      <c r="H64" s="8798">
        <v>71054.2</v>
      </c>
      <c r="I64" s="8799">
        <f t="shared" si="3"/>
        <v>0.355271</v>
      </c>
      <c r="J64" s="11691">
        <v>200000</v>
      </c>
    </row>
    <row r="65" spans="1:10" s="7314" customFormat="1" ht="15" customHeight="1" thickBot="1">
      <c r="A65" s="7699"/>
      <c r="B65" s="7291" t="s">
        <v>109</v>
      </c>
      <c r="C65" s="11672"/>
      <c r="D65" s="11704"/>
      <c r="E65" s="11704"/>
      <c r="F65" s="11853">
        <f t="shared" si="2"/>
        <v>0</v>
      </c>
      <c r="G65" s="11704"/>
      <c r="H65" s="11704">
        <v>0</v>
      </c>
      <c r="I65" s="7573" t="e">
        <f t="shared" si="3"/>
        <v>#DIV/0!</v>
      </c>
      <c r="J65" s="11854"/>
    </row>
    <row r="66" spans="1:10" ht="15" customHeight="1">
      <c r="A66" s="7287"/>
      <c r="B66" s="7287"/>
      <c r="C66" s="7288"/>
      <c r="D66" s="7669"/>
      <c r="E66" s="7669"/>
      <c r="F66" s="7669"/>
      <c r="G66" s="7289"/>
      <c r="H66" s="7289"/>
      <c r="I66" s="7290"/>
      <c r="J66" s="7289"/>
    </row>
    <row r="67" spans="1:10" ht="15" customHeight="1">
      <c r="A67" s="7287"/>
      <c r="B67" s="7287"/>
      <c r="C67" s="7288"/>
      <c r="D67" s="7669"/>
      <c r="E67" s="7669"/>
      <c r="F67" s="7669"/>
      <c r="G67" s="7289"/>
      <c r="H67" s="7289"/>
      <c r="I67" s="7290"/>
      <c r="J67" s="7289"/>
    </row>
    <row r="68" spans="1:10" ht="15" customHeight="1">
      <c r="A68" s="7287"/>
      <c r="B68" s="7287"/>
      <c r="C68" s="7288"/>
      <c r="D68" s="7669"/>
      <c r="E68" s="7669"/>
      <c r="F68" s="7669"/>
      <c r="G68" s="7289"/>
      <c r="H68" s="7289"/>
      <c r="I68" s="7290"/>
      <c r="J68" s="7289"/>
    </row>
    <row r="69" spans="1:10" ht="15" customHeight="1">
      <c r="A69" s="7287"/>
      <c r="B69" s="7287"/>
      <c r="C69" s="7288"/>
      <c r="D69" s="7669"/>
      <c r="E69" s="7669"/>
      <c r="F69" s="7669"/>
      <c r="G69" s="7289"/>
      <c r="H69" s="7289"/>
      <c r="I69" s="7290"/>
      <c r="J69" s="7289"/>
    </row>
    <row r="70" spans="1:10" ht="15" customHeight="1">
      <c r="A70" s="7287"/>
      <c r="B70" s="7287"/>
      <c r="C70" s="7288"/>
      <c r="D70" s="7669"/>
      <c r="E70" s="7669"/>
      <c r="F70" s="7669"/>
      <c r="G70" s="7289"/>
      <c r="H70" s="7289"/>
      <c r="I70" s="7290"/>
      <c r="J70" s="7289"/>
    </row>
    <row r="71" spans="1:10" ht="15" customHeight="1">
      <c r="A71" s="7287"/>
      <c r="B71" s="7287"/>
      <c r="C71" s="7288"/>
      <c r="D71" s="7669"/>
      <c r="E71" s="7669"/>
      <c r="F71" s="7669"/>
      <c r="G71" s="7289"/>
      <c r="H71" s="7289"/>
      <c r="I71" s="7290"/>
      <c r="J71" s="7289"/>
    </row>
    <row r="72" spans="1:10" ht="15" customHeight="1">
      <c r="A72" s="7287"/>
      <c r="B72" s="7287"/>
      <c r="C72" s="7288"/>
      <c r="D72" s="7669"/>
      <c r="E72" s="7669"/>
      <c r="F72" s="7669"/>
      <c r="G72" s="7289"/>
      <c r="H72" s="7289"/>
      <c r="I72" s="7290"/>
      <c r="J72" s="7289"/>
    </row>
    <row r="73" spans="1:10" ht="15" customHeight="1">
      <c r="A73" s="7287"/>
      <c r="B73" s="7287"/>
      <c r="C73" s="7288"/>
      <c r="D73" s="7669"/>
      <c r="E73" s="7669"/>
      <c r="F73" s="7669"/>
      <c r="G73" s="7289"/>
      <c r="H73" s="7289"/>
      <c r="I73" s="7290"/>
      <c r="J73" s="7289"/>
    </row>
    <row r="74" spans="1:10" ht="15" customHeight="1">
      <c r="A74" s="7287"/>
      <c r="B74" s="7287"/>
      <c r="C74" s="7288"/>
      <c r="D74" s="7669"/>
      <c r="E74" s="7669"/>
      <c r="F74" s="7669"/>
      <c r="G74" s="7289"/>
      <c r="H74" s="7289"/>
      <c r="I74" s="7290"/>
      <c r="J74" s="7289"/>
    </row>
    <row r="75" spans="1:10" ht="15" customHeight="1" thickBot="1">
      <c r="A75" s="7287" t="s">
        <v>10732</v>
      </c>
      <c r="B75" s="7287"/>
      <c r="C75" s="7288"/>
      <c r="D75" s="7669"/>
      <c r="E75" s="7669"/>
      <c r="F75" s="7669"/>
      <c r="G75" s="7641"/>
      <c r="H75" s="7293"/>
      <c r="I75" s="7294"/>
      <c r="J75" s="7641"/>
    </row>
    <row r="76" spans="1:10" ht="15" customHeight="1">
      <c r="A76" s="7694"/>
      <c r="B76" s="11658"/>
      <c r="C76" s="9460" t="s">
        <v>9</v>
      </c>
      <c r="D76" s="10868" t="s">
        <v>10</v>
      </c>
      <c r="E76" s="14188" t="s">
        <v>10711</v>
      </c>
      <c r="F76" s="14189"/>
      <c r="G76" s="14190"/>
      <c r="H76" s="9461"/>
      <c r="I76" s="9462"/>
      <c r="J76" s="11733" t="s">
        <v>12</v>
      </c>
    </row>
    <row r="77" spans="1:10" ht="15" customHeight="1">
      <c r="A77" s="7657"/>
      <c r="B77" s="7295" t="s">
        <v>13</v>
      </c>
      <c r="C77" s="15145" t="s">
        <v>14</v>
      </c>
      <c r="D77" s="11123" t="s">
        <v>15</v>
      </c>
      <c r="E77" s="9502" t="s">
        <v>10709</v>
      </c>
      <c r="F77" s="9503" t="s">
        <v>10710</v>
      </c>
      <c r="G77" s="14191" t="s">
        <v>458</v>
      </c>
      <c r="H77" s="11438"/>
      <c r="I77" s="11108"/>
      <c r="J77" s="11734" t="s">
        <v>16</v>
      </c>
    </row>
    <row r="78" spans="1:10" ht="15" customHeight="1" thickBot="1">
      <c r="A78" s="7699"/>
      <c r="B78" s="7897"/>
      <c r="C78" s="15146"/>
      <c r="D78" s="9455">
        <v>2017</v>
      </c>
      <c r="E78" s="9467" t="s">
        <v>457</v>
      </c>
      <c r="F78" s="11661" t="s">
        <v>456</v>
      </c>
      <c r="G78" s="14192"/>
      <c r="H78" s="7302"/>
      <c r="I78" s="7322"/>
      <c r="J78" s="11735">
        <v>2019</v>
      </c>
    </row>
    <row r="79" spans="1:10" ht="15" customHeight="1">
      <c r="A79" s="7694"/>
      <c r="B79" s="7488" t="s">
        <v>10938</v>
      </c>
      <c r="C79" s="8872">
        <v>50213050</v>
      </c>
      <c r="D79" s="8878">
        <f>'WS-MOOE 2017'!AW32</f>
        <v>4230</v>
      </c>
      <c r="E79" s="8878">
        <f>'WS-MOOE ACTUAL JUNE 2018'!AS33</f>
        <v>15000</v>
      </c>
      <c r="F79" s="9468">
        <f>G79-E79</f>
        <v>85000</v>
      </c>
      <c r="G79" s="8878">
        <v>100000</v>
      </c>
      <c r="H79" s="8878">
        <v>15000</v>
      </c>
      <c r="I79" s="9464">
        <f>H79/G79</f>
        <v>0.15</v>
      </c>
      <c r="J79" s="11743">
        <f>50000+50000</f>
        <v>100000</v>
      </c>
    </row>
    <row r="80" spans="1:10" ht="15" customHeight="1">
      <c r="A80" s="7657"/>
      <c r="B80" s="7488" t="s">
        <v>10937</v>
      </c>
      <c r="C80" s="11258">
        <v>50213060</v>
      </c>
      <c r="D80" s="8798">
        <f>'WS-MOOE 2017'!BB32</f>
        <v>61999.51</v>
      </c>
      <c r="E80" s="8798">
        <f>'WS-MOOE ACTUAL JUNE 2018'!AT33</f>
        <v>87540</v>
      </c>
      <c r="F80" s="10137">
        <f>G80-E80</f>
        <v>62460</v>
      </c>
      <c r="G80" s="8798">
        <v>150000</v>
      </c>
      <c r="H80" s="8798">
        <v>87540</v>
      </c>
      <c r="I80" s="8799">
        <f>H80/G80</f>
        <v>0.58360000000000001</v>
      </c>
      <c r="J80" s="11691">
        <v>150000</v>
      </c>
    </row>
    <row r="81" spans="1:11" ht="15" customHeight="1">
      <c r="A81" s="7657"/>
      <c r="B81" s="7287" t="s">
        <v>110</v>
      </c>
      <c r="C81" s="8802">
        <v>50216010</v>
      </c>
      <c r="D81" s="8798">
        <f>'WS-MOOE 2017'!BG32</f>
        <v>15000</v>
      </c>
      <c r="E81" s="8798">
        <f>'WS-MOOE ACTUAL JUNE 2018'!AY33</f>
        <v>20000</v>
      </c>
      <c r="F81" s="10137">
        <f>G81-E81</f>
        <v>0</v>
      </c>
      <c r="G81" s="8798">
        <v>20000</v>
      </c>
      <c r="H81" s="8798">
        <v>20000</v>
      </c>
      <c r="I81" s="8799">
        <f>H81/G81</f>
        <v>1</v>
      </c>
      <c r="J81" s="11691">
        <v>30000</v>
      </c>
    </row>
    <row r="82" spans="1:11" ht="15" customHeight="1">
      <c r="A82" s="7657"/>
      <c r="B82" s="7287" t="s">
        <v>72</v>
      </c>
      <c r="C82" s="8802">
        <v>50215020</v>
      </c>
      <c r="D82" s="8798">
        <f>'WS-MOOE 2017'!BH32</f>
        <v>13500</v>
      </c>
      <c r="E82" s="8798">
        <f>'WS-MOOE ACTUAL JUNE 2018'!AZ33</f>
        <v>15300</v>
      </c>
      <c r="F82" s="10137">
        <f>G82-E82</f>
        <v>4700</v>
      </c>
      <c r="G82" s="8798">
        <v>20000</v>
      </c>
      <c r="H82" s="8798">
        <v>17700</v>
      </c>
      <c r="I82" s="8799">
        <f>H82/G82</f>
        <v>0.88500000000000001</v>
      </c>
      <c r="J82" s="11691">
        <v>25000</v>
      </c>
    </row>
    <row r="83" spans="1:11" ht="15" customHeight="1">
      <c r="A83" s="7657"/>
      <c r="B83" s="7287" t="s">
        <v>73</v>
      </c>
      <c r="C83" s="8802">
        <v>50299990</v>
      </c>
      <c r="D83" s="8798">
        <f>'WS-MOOE 2017'!BO32</f>
        <v>160659.26</v>
      </c>
      <c r="E83" s="8798">
        <f>'WS-MOOE ACTUAL JUNE 2018'!BI33</f>
        <v>35487.35</v>
      </c>
      <c r="F83" s="10137">
        <f>G83-E83</f>
        <v>264512.65000000002</v>
      </c>
      <c r="G83" s="8798">
        <v>300000</v>
      </c>
      <c r="H83" s="8798">
        <v>78947.95</v>
      </c>
      <c r="I83" s="8799">
        <f>H83/G83</f>
        <v>0.26315983333333332</v>
      </c>
      <c r="J83" s="11691">
        <v>300000</v>
      </c>
    </row>
    <row r="84" spans="1:11" ht="15" customHeight="1">
      <c r="A84" s="7657"/>
      <c r="B84" s="7287" t="s">
        <v>9</v>
      </c>
      <c r="C84" s="10136"/>
      <c r="D84" s="7660" t="s">
        <v>9</v>
      </c>
      <c r="E84" s="7660"/>
      <c r="F84" s="7660"/>
      <c r="G84" s="7660"/>
      <c r="H84" s="7660"/>
      <c r="I84" s="7373"/>
      <c r="J84" s="11736"/>
    </row>
    <row r="85" spans="1:11" ht="15" customHeight="1">
      <c r="A85" s="7657"/>
      <c r="B85" s="7315" t="s">
        <v>37</v>
      </c>
      <c r="C85" s="10136"/>
      <c r="D85" s="9465">
        <f>SUM(D44:D65,D79:D84)</f>
        <v>15936358.739999998</v>
      </c>
      <c r="E85" s="9465">
        <f>SUM(E44:E65,E79:E84)</f>
        <v>4279635.1599999992</v>
      </c>
      <c r="F85" s="9465">
        <f>SUM(F44:F65,F79:F84)</f>
        <v>21368364.84</v>
      </c>
      <c r="G85" s="11694">
        <f>SUM(G44:G65,G79:G84)</f>
        <v>25648000</v>
      </c>
      <c r="H85" s="9465">
        <f>SUM(H44:H65,H79:H84)</f>
        <v>18813100.739999998</v>
      </c>
      <c r="I85" s="9466"/>
      <c r="J85" s="11696">
        <f>SUM(J44:J65,J79:J84)</f>
        <v>28698000</v>
      </c>
      <c r="K85" s="10391">
        <f>(J85-G85)/G85</f>
        <v>0.11891765439800374</v>
      </c>
    </row>
    <row r="86" spans="1:11" ht="15" customHeight="1">
      <c r="A86" s="11663" t="s">
        <v>51</v>
      </c>
      <c r="B86" s="7287" t="s">
        <v>112</v>
      </c>
      <c r="C86" s="10136"/>
      <c r="D86" s="8798"/>
      <c r="E86" s="8798"/>
      <c r="F86" s="8798"/>
      <c r="G86" s="11697"/>
      <c r="H86" s="8798"/>
      <c r="I86" s="8799"/>
      <c r="J86" s="11700"/>
      <c r="K86" s="7340"/>
    </row>
    <row r="87" spans="1:11" ht="15" customHeight="1">
      <c r="A87" s="11663"/>
      <c r="B87" s="11680"/>
      <c r="C87" s="11855"/>
      <c r="D87" s="8798"/>
      <c r="E87" s="8798"/>
      <c r="F87" s="8798"/>
      <c r="G87" s="8798"/>
      <c r="H87" s="8798"/>
      <c r="I87" s="8799"/>
      <c r="J87" s="11691"/>
      <c r="K87" s="7340"/>
    </row>
    <row r="88" spans="1:11" ht="15" customHeight="1">
      <c r="A88" s="11663"/>
      <c r="B88" s="7287" t="s">
        <v>122</v>
      </c>
      <c r="C88" s="8802">
        <v>50705020</v>
      </c>
      <c r="D88" s="8798"/>
      <c r="E88" s="8798"/>
      <c r="F88" s="10137">
        <f>G88-E88</f>
        <v>325000</v>
      </c>
      <c r="G88" s="11839">
        <v>325000</v>
      </c>
      <c r="H88" s="8798">
        <v>100000</v>
      </c>
      <c r="I88" s="8799">
        <f>H88/G88</f>
        <v>0.30769230769230771</v>
      </c>
      <c r="J88" s="11856">
        <v>0</v>
      </c>
      <c r="K88" s="7340"/>
    </row>
    <row r="89" spans="1:11" ht="15" customHeight="1">
      <c r="A89" s="11663"/>
      <c r="B89" s="7287" t="s">
        <v>5023</v>
      </c>
      <c r="C89" s="8802">
        <v>50707010</v>
      </c>
      <c r="D89" s="8798"/>
      <c r="E89" s="8798"/>
      <c r="F89" s="10137">
        <f t="shared" ref="F89:F95" si="4">G89-E89</f>
        <v>200000</v>
      </c>
      <c r="G89" s="11857">
        <v>200000</v>
      </c>
      <c r="H89" s="8798">
        <v>200000</v>
      </c>
      <c r="I89" s="8799">
        <f>H89/G89</f>
        <v>1</v>
      </c>
      <c r="J89" s="11858">
        <v>0</v>
      </c>
      <c r="K89" s="7340"/>
    </row>
    <row r="90" spans="1:11" ht="15" customHeight="1">
      <c r="A90" s="11663"/>
      <c r="B90" s="7488" t="s">
        <v>10963</v>
      </c>
      <c r="C90" s="10144">
        <v>50705030</v>
      </c>
      <c r="D90" s="8798">
        <f>'WS-CO 2017'!H31</f>
        <v>39460</v>
      </c>
      <c r="E90" s="8798"/>
      <c r="F90" s="10137">
        <f t="shared" si="4"/>
        <v>0</v>
      </c>
      <c r="G90" s="11839">
        <v>0</v>
      </c>
      <c r="H90" s="8798"/>
      <c r="I90" s="8799"/>
      <c r="J90" s="11859">
        <v>240000</v>
      </c>
      <c r="K90" s="7340"/>
    </row>
    <row r="91" spans="1:11" ht="15" hidden="1" customHeight="1">
      <c r="A91" s="11663"/>
      <c r="B91" s="7488" t="s">
        <v>11941</v>
      </c>
      <c r="C91" s="10144"/>
      <c r="D91" s="8798"/>
      <c r="E91" s="8798"/>
      <c r="F91" s="10137"/>
      <c r="G91" s="11839"/>
      <c r="H91" s="8798"/>
      <c r="I91" s="8799"/>
      <c r="J91" s="11859"/>
      <c r="K91" s="7340"/>
    </row>
    <row r="92" spans="1:11" ht="15" hidden="1" customHeight="1">
      <c r="A92" s="11663"/>
      <c r="B92" s="7784" t="s">
        <v>11595</v>
      </c>
      <c r="C92" s="8802">
        <v>50705070</v>
      </c>
      <c r="D92" s="8798"/>
      <c r="E92" s="8798"/>
      <c r="F92" s="10137">
        <f t="shared" si="4"/>
        <v>0</v>
      </c>
      <c r="G92" s="11839">
        <v>0</v>
      </c>
      <c r="H92" s="8798"/>
      <c r="I92" s="8799"/>
      <c r="J92" s="11859"/>
      <c r="K92" s="7340"/>
    </row>
    <row r="93" spans="1:11" ht="15" hidden="1" customHeight="1">
      <c r="A93" s="11663"/>
      <c r="B93" s="11860" t="s">
        <v>11942</v>
      </c>
      <c r="C93" s="11861"/>
      <c r="D93" s="8798"/>
      <c r="E93" s="8798"/>
      <c r="F93" s="10137"/>
      <c r="G93" s="11839"/>
      <c r="H93" s="8798"/>
      <c r="I93" s="8799"/>
      <c r="J93" s="11859"/>
      <c r="K93" s="7340"/>
    </row>
    <row r="94" spans="1:11" ht="15" hidden="1" customHeight="1">
      <c r="A94" s="11663"/>
      <c r="B94" s="7287" t="s">
        <v>10534</v>
      </c>
      <c r="C94" s="8802">
        <v>50706010</v>
      </c>
      <c r="D94" s="8798"/>
      <c r="E94" s="8798"/>
      <c r="F94" s="10137">
        <f t="shared" si="4"/>
        <v>0</v>
      </c>
      <c r="G94" s="8798">
        <v>0</v>
      </c>
      <c r="H94" s="8798"/>
      <c r="I94" s="8799"/>
      <c r="J94" s="11133"/>
      <c r="K94" s="7340" t="s">
        <v>11878</v>
      </c>
    </row>
    <row r="95" spans="1:11" ht="15" customHeight="1">
      <c r="A95" s="11663"/>
      <c r="B95" s="11680" t="s">
        <v>10535</v>
      </c>
      <c r="C95" s="11855">
        <v>50705110</v>
      </c>
      <c r="D95" s="8798"/>
      <c r="E95" s="8798"/>
      <c r="F95" s="10137">
        <f t="shared" si="4"/>
        <v>50000</v>
      </c>
      <c r="G95" s="8798">
        <v>50000</v>
      </c>
      <c r="H95" s="8798">
        <v>50000</v>
      </c>
      <c r="I95" s="8799">
        <f>H95/G95</f>
        <v>1</v>
      </c>
      <c r="J95" s="11497">
        <v>0</v>
      </c>
      <c r="K95" s="8063">
        <v>1000000</v>
      </c>
    </row>
    <row r="96" spans="1:11" ht="15" customHeight="1">
      <c r="A96" s="11663"/>
      <c r="B96" s="11680"/>
      <c r="C96" s="11855"/>
      <c r="D96" s="8798"/>
      <c r="E96" s="8798"/>
      <c r="F96" s="8798"/>
      <c r="G96" s="8798"/>
      <c r="H96" s="8798"/>
      <c r="I96" s="8799"/>
      <c r="J96" s="11497"/>
      <c r="K96" s="7340"/>
    </row>
    <row r="97" spans="1:11" ht="15" customHeight="1">
      <c r="A97" s="11663"/>
      <c r="B97" s="11693" t="s">
        <v>37</v>
      </c>
      <c r="C97" s="11855"/>
      <c r="D97" s="9465">
        <f>SUM(D87:D96)</f>
        <v>39460</v>
      </c>
      <c r="E97" s="9465">
        <f>SUM(E87:E96)</f>
        <v>0</v>
      </c>
      <c r="F97" s="9465">
        <f>SUM(F87:F96)</f>
        <v>575000</v>
      </c>
      <c r="G97" s="9465">
        <f>SUM(G87:G96)</f>
        <v>575000</v>
      </c>
      <c r="H97" s="9465">
        <f>SUM(H86:H96)</f>
        <v>350000</v>
      </c>
      <c r="I97" s="9466"/>
      <c r="J97" s="11744">
        <f>SUM(J87:J96)</f>
        <v>240000</v>
      </c>
      <c r="K97" s="10391">
        <f>(J97-G97)/G97</f>
        <v>-0.58260869565217388</v>
      </c>
    </row>
    <row r="98" spans="1:11" ht="15" customHeight="1">
      <c r="A98" s="11663"/>
      <c r="B98" s="7287"/>
      <c r="C98" s="10136"/>
      <c r="D98" s="8798"/>
      <c r="E98" s="8798"/>
      <c r="F98" s="8798"/>
      <c r="G98" s="8798"/>
      <c r="H98" s="8798"/>
      <c r="I98" s="8799"/>
      <c r="J98" s="11691"/>
      <c r="K98" s="7340"/>
    </row>
    <row r="99" spans="1:11" ht="15" customHeight="1">
      <c r="A99" s="11663" t="s">
        <v>53</v>
      </c>
      <c r="B99" s="7287" t="s">
        <v>54</v>
      </c>
      <c r="C99" s="10136"/>
      <c r="D99" s="8798"/>
      <c r="E99" s="8798"/>
      <c r="F99" s="8798"/>
      <c r="G99" s="8798"/>
      <c r="H99" s="8798"/>
      <c r="I99" s="8799"/>
      <c r="J99" s="11691"/>
    </row>
    <row r="100" spans="1:11" ht="15" customHeight="1">
      <c r="A100" s="11663"/>
      <c r="B100" s="7287"/>
      <c r="C100" s="10136"/>
      <c r="D100" s="8798"/>
      <c r="E100" s="8798"/>
      <c r="F100" s="8798"/>
      <c r="G100" s="8798"/>
      <c r="H100" s="8798"/>
      <c r="I100" s="8799"/>
      <c r="J100" s="11691"/>
    </row>
    <row r="101" spans="1:11" s="7340" customFormat="1" ht="15" customHeight="1">
      <c r="A101" s="11862"/>
      <c r="B101" s="7315" t="s">
        <v>37</v>
      </c>
      <c r="C101" s="11727"/>
      <c r="D101" s="9465">
        <v>0</v>
      </c>
      <c r="E101" s="9465">
        <v>0</v>
      </c>
      <c r="F101" s="9465">
        <v>0</v>
      </c>
      <c r="G101" s="9465">
        <v>0</v>
      </c>
      <c r="H101" s="9465"/>
      <c r="I101" s="9466"/>
      <c r="J101" s="11744">
        <v>0</v>
      </c>
    </row>
    <row r="102" spans="1:11" s="7340" customFormat="1" ht="15" customHeight="1">
      <c r="A102" s="11863"/>
      <c r="B102" s="11864"/>
      <c r="C102" s="11865"/>
      <c r="D102" s="9465"/>
      <c r="E102" s="9465"/>
      <c r="F102" s="9465"/>
      <c r="G102" s="9465"/>
      <c r="H102" s="9465"/>
      <c r="I102" s="9466"/>
      <c r="J102" s="11744"/>
    </row>
    <row r="103" spans="1:11" ht="15" customHeight="1" thickBot="1">
      <c r="A103" s="7699"/>
      <c r="B103" s="7781" t="s">
        <v>55</v>
      </c>
      <c r="C103" s="11732"/>
      <c r="D103" s="11847">
        <f>(D34+D85+D97+D99)</f>
        <v>30844243.339999996</v>
      </c>
      <c r="E103" s="11847">
        <f>(E34+E85+E97+E99)</f>
        <v>12033721.120000001</v>
      </c>
      <c r="F103" s="11847">
        <f>(F34+F85+F97+F99)</f>
        <v>34514940.879999995</v>
      </c>
      <c r="G103" s="11847">
        <f>(G34+G85+G97+G101)</f>
        <v>46548662</v>
      </c>
      <c r="H103" s="11847"/>
      <c r="I103" s="7737"/>
      <c r="J103" s="11848">
        <f>(J34+J85+J97+J101)</f>
        <v>51316448.594999999</v>
      </c>
      <c r="K103" s="10391">
        <f>(J103-G103)/G103</f>
        <v>0.10242585694514697</v>
      </c>
    </row>
    <row r="104" spans="1:11" s="7333" customFormat="1" ht="15" customHeight="1">
      <c r="A104" s="7738" t="s">
        <v>4763</v>
      </c>
      <c r="B104" s="7738"/>
      <c r="C104" s="7739"/>
      <c r="D104" s="7740"/>
      <c r="E104" s="7740"/>
      <c r="F104" s="7740"/>
      <c r="G104" s="7741"/>
      <c r="H104" s="7740"/>
      <c r="I104" s="7742"/>
      <c r="J104" s="7741"/>
    </row>
    <row r="105" spans="1:11" ht="15" customHeight="1">
      <c r="A105" s="7276"/>
      <c r="B105" s="7276"/>
      <c r="C105" s="7278"/>
      <c r="D105" s="9430"/>
      <c r="E105" s="7285"/>
      <c r="F105" s="7285"/>
      <c r="G105" s="8875" t="s">
        <v>9</v>
      </c>
      <c r="H105" s="7283"/>
      <c r="I105" s="7284"/>
      <c r="J105" s="7597" t="s">
        <v>9</v>
      </c>
    </row>
    <row r="106" spans="1:11" ht="15" hidden="1" customHeight="1">
      <c r="A106" s="7335" t="s">
        <v>3483</v>
      </c>
      <c r="B106" s="7335"/>
      <c r="C106" s="10884" t="s">
        <v>3484</v>
      </c>
      <c r="D106" s="7275"/>
      <c r="E106" s="7336"/>
      <c r="F106" s="7337" t="s">
        <v>10666</v>
      </c>
      <c r="G106" s="7275"/>
      <c r="H106" s="7336"/>
      <c r="I106" s="7286"/>
      <c r="J106" s="7338"/>
    </row>
    <row r="107" spans="1:11" s="7340" customFormat="1" ht="15" hidden="1" customHeight="1">
      <c r="A107" s="7335"/>
      <c r="B107" s="7335"/>
      <c r="D107" s="10884"/>
      <c r="E107" s="7336"/>
      <c r="F107" s="7336"/>
      <c r="G107" s="7339"/>
      <c r="H107" s="7336"/>
      <c r="I107" s="7286"/>
      <c r="J107" s="7338"/>
    </row>
    <row r="108" spans="1:11" s="7340" customFormat="1" ht="15" hidden="1" customHeight="1">
      <c r="A108" s="7335"/>
      <c r="B108" s="7335"/>
      <c r="D108" s="10884"/>
      <c r="E108" s="7336"/>
      <c r="F108" s="7336"/>
      <c r="G108" s="7339"/>
      <c r="H108" s="7336"/>
      <c r="I108" s="7286"/>
      <c r="J108" s="7338"/>
    </row>
    <row r="109" spans="1:11" ht="15" hidden="1" customHeight="1">
      <c r="A109" s="7335"/>
      <c r="B109" s="7335"/>
      <c r="C109" s="7275"/>
      <c r="D109" s="10884"/>
      <c r="E109" s="7336"/>
      <c r="F109" s="7336"/>
      <c r="G109" s="7339"/>
      <c r="H109" s="7336"/>
      <c r="I109" s="7286"/>
      <c r="J109" s="7338"/>
    </row>
    <row r="110" spans="1:11" ht="15" hidden="1" customHeight="1">
      <c r="A110" s="7341" t="s">
        <v>9167</v>
      </c>
      <c r="B110" s="7341"/>
      <c r="C110" s="7275"/>
      <c r="D110" s="10874" t="s">
        <v>12059</v>
      </c>
      <c r="E110" s="9431"/>
      <c r="F110" s="9431"/>
      <c r="G110" s="7342" t="s">
        <v>10667</v>
      </c>
      <c r="H110" s="9431"/>
      <c r="I110" s="9431"/>
      <c r="J110" s="9431"/>
    </row>
    <row r="111" spans="1:11" ht="15" hidden="1" customHeight="1">
      <c r="A111" s="7335" t="s">
        <v>4768</v>
      </c>
      <c r="B111" s="7335"/>
      <c r="C111" s="7275"/>
      <c r="D111" s="10878" t="s">
        <v>3486</v>
      </c>
      <c r="E111" s="7336"/>
      <c r="F111" s="7336"/>
      <c r="G111" s="7344" t="s">
        <v>10668</v>
      </c>
      <c r="H111" s="7336"/>
      <c r="I111" s="7286"/>
      <c r="J111" s="7338"/>
    </row>
    <row r="112" spans="1:11" ht="15" customHeight="1">
      <c r="A112" s="7335"/>
      <c r="B112" s="7335"/>
      <c r="C112" s="7275"/>
      <c r="D112" s="10878"/>
      <c r="E112" s="7336"/>
      <c r="F112" s="7336"/>
      <c r="G112" s="7344"/>
      <c r="H112" s="7336"/>
      <c r="I112" s="7286"/>
      <c r="J112" s="7338"/>
    </row>
    <row r="113" spans="1:10" ht="15" customHeight="1">
      <c r="A113" s="7335"/>
      <c r="B113" s="7335"/>
      <c r="C113" s="7275"/>
      <c r="D113" s="10878"/>
      <c r="E113" s="7336"/>
      <c r="F113" s="7336"/>
      <c r="G113" s="7344"/>
      <c r="H113" s="7336"/>
      <c r="I113" s="7286"/>
      <c r="J113" s="7338"/>
    </row>
    <row r="114" spans="1:10" ht="15" hidden="1" customHeight="1">
      <c r="A114" s="7276"/>
      <c r="B114" s="7276"/>
      <c r="C114" s="7278"/>
      <c r="D114" s="7285"/>
      <c r="E114" s="7285"/>
      <c r="F114" s="7285"/>
      <c r="G114" s="7285" t="s">
        <v>11072</v>
      </c>
      <c r="H114" s="8879">
        <f>J103-G103</f>
        <v>4767786.5949999988</v>
      </c>
      <c r="I114" s="8877">
        <f>H114/G103</f>
        <v>0.10242585694514697</v>
      </c>
      <c r="J114" s="7285"/>
    </row>
    <row r="115" spans="1:10" ht="15" hidden="1" customHeight="1">
      <c r="A115" s="7276"/>
      <c r="B115" s="7276"/>
      <c r="C115" s="7278"/>
      <c r="D115" s="7285"/>
      <c r="E115" s="7285"/>
      <c r="F115" s="7285"/>
      <c r="G115" s="7285"/>
      <c r="H115" s="8879"/>
      <c r="I115" s="8877"/>
      <c r="J115" s="7285"/>
    </row>
    <row r="116" spans="1:10" ht="15" hidden="1" customHeight="1">
      <c r="A116" s="7276"/>
      <c r="B116" s="7276"/>
      <c r="C116" s="7278"/>
      <c r="D116" s="7285"/>
      <c r="E116" s="7285"/>
      <c r="F116" s="7285"/>
      <c r="G116" s="7285"/>
      <c r="I116" s="7286"/>
      <c r="J116" s="7285"/>
    </row>
    <row r="117" spans="1:10" ht="15" hidden="1" customHeight="1">
      <c r="G117" s="7336" t="s">
        <v>11069</v>
      </c>
      <c r="H117" s="7347">
        <v>30935585</v>
      </c>
    </row>
    <row r="118" spans="1:10" ht="15" hidden="1" customHeight="1">
      <c r="G118" s="7336" t="s">
        <v>11070</v>
      </c>
      <c r="H118" s="7347">
        <f>G103-H117</f>
        <v>15613077</v>
      </c>
    </row>
    <row r="119" spans="1:10" ht="15" customHeight="1">
      <c r="H119" s="7899"/>
    </row>
  </sheetData>
  <mergeCells count="11">
    <mergeCell ref="C8:C9"/>
    <mergeCell ref="C77:C78"/>
    <mergeCell ref="A1:J1"/>
    <mergeCell ref="E7:G7"/>
    <mergeCell ref="G8:G9"/>
    <mergeCell ref="E76:G76"/>
    <mergeCell ref="G77:G78"/>
    <mergeCell ref="E39:G39"/>
    <mergeCell ref="C40:C41"/>
    <mergeCell ref="G40:G41"/>
    <mergeCell ref="J4:J5"/>
  </mergeCells>
  <printOptions horizontalCentered="1" gridLinesSet="0"/>
  <pageMargins left="0.25" right="0.25" top="0.5" bottom="0.25" header="0.25" footer="0.25"/>
  <pageSetup paperSize="119" firstPageNumber="284" orientation="landscape" useFirstPageNumber="1" r:id="rId1"/>
  <headerFooter alignWithMargins="0"/>
</worksheet>
</file>

<file path=xl/worksheets/sheet142.xml><?xml version="1.0" encoding="utf-8"?>
<worksheet xmlns="http://schemas.openxmlformats.org/spreadsheetml/2006/main" xmlns:r="http://schemas.openxmlformats.org/officeDocument/2006/relationships">
  <sheetPr codeName="Sheet176">
    <tabColor rgb="FFFFFF00"/>
  </sheetPr>
  <dimension ref="A1:J42"/>
  <sheetViews>
    <sheetView topLeftCell="A4" workbookViewId="0">
      <selection activeCell="G27" sqref="G27"/>
    </sheetView>
  </sheetViews>
  <sheetFormatPr defaultColWidth="9.109375" defaultRowHeight="13.2"/>
  <cols>
    <col min="1" max="1" width="37" style="2219" customWidth="1"/>
    <col min="2" max="2" width="2.88671875" style="2226" customWidth="1"/>
    <col min="3" max="3" width="14" style="2219" customWidth="1"/>
    <col min="4" max="4" width="18.109375" style="2219" customWidth="1"/>
    <col min="5" max="5" width="13" style="2219" customWidth="1"/>
    <col min="6" max="6" width="13.44140625" style="2219" customWidth="1"/>
    <col min="7" max="256" width="9.109375" style="2219"/>
    <col min="257" max="257" width="37" style="2219" customWidth="1"/>
    <col min="258" max="258" width="2.88671875" style="2219" customWidth="1"/>
    <col min="259" max="259" width="15.44140625" style="2219" customWidth="1"/>
    <col min="260" max="260" width="18.44140625" style="2219" customWidth="1"/>
    <col min="261" max="261" width="13" style="2219" customWidth="1"/>
    <col min="262" max="262" width="14.109375" style="2219" customWidth="1"/>
    <col min="263" max="512" width="9.109375" style="2219"/>
    <col min="513" max="513" width="37" style="2219" customWidth="1"/>
    <col min="514" max="514" width="2.88671875" style="2219" customWidth="1"/>
    <col min="515" max="515" width="15.44140625" style="2219" customWidth="1"/>
    <col min="516" max="516" width="18.44140625" style="2219" customWidth="1"/>
    <col min="517" max="517" width="13" style="2219" customWidth="1"/>
    <col min="518" max="518" width="14.109375" style="2219" customWidth="1"/>
    <col min="519" max="768" width="9.109375" style="2219"/>
    <col min="769" max="769" width="37" style="2219" customWidth="1"/>
    <col min="770" max="770" width="2.88671875" style="2219" customWidth="1"/>
    <col min="771" max="771" width="15.44140625" style="2219" customWidth="1"/>
    <col min="772" max="772" width="18.44140625" style="2219" customWidth="1"/>
    <col min="773" max="773" width="13" style="2219" customWidth="1"/>
    <col min="774" max="774" width="14.109375" style="2219" customWidth="1"/>
    <col min="775" max="1024" width="9.109375" style="2219"/>
    <col min="1025" max="1025" width="37" style="2219" customWidth="1"/>
    <col min="1026" max="1026" width="2.88671875" style="2219" customWidth="1"/>
    <col min="1027" max="1027" width="15.44140625" style="2219" customWidth="1"/>
    <col min="1028" max="1028" width="18.44140625" style="2219" customWidth="1"/>
    <col min="1029" max="1029" width="13" style="2219" customWidth="1"/>
    <col min="1030" max="1030" width="14.109375" style="2219" customWidth="1"/>
    <col min="1031" max="1280" width="9.109375" style="2219"/>
    <col min="1281" max="1281" width="37" style="2219" customWidth="1"/>
    <col min="1282" max="1282" width="2.88671875" style="2219" customWidth="1"/>
    <col min="1283" max="1283" width="15.44140625" style="2219" customWidth="1"/>
    <col min="1284" max="1284" width="18.44140625" style="2219" customWidth="1"/>
    <col min="1285" max="1285" width="13" style="2219" customWidth="1"/>
    <col min="1286" max="1286" width="14.109375" style="2219" customWidth="1"/>
    <col min="1287" max="1536" width="9.109375" style="2219"/>
    <col min="1537" max="1537" width="37" style="2219" customWidth="1"/>
    <col min="1538" max="1538" width="2.88671875" style="2219" customWidth="1"/>
    <col min="1539" max="1539" width="15.44140625" style="2219" customWidth="1"/>
    <col min="1540" max="1540" width="18.44140625" style="2219" customWidth="1"/>
    <col min="1541" max="1541" width="13" style="2219" customWidth="1"/>
    <col min="1542" max="1542" width="14.109375" style="2219" customWidth="1"/>
    <col min="1543" max="1792" width="9.109375" style="2219"/>
    <col min="1793" max="1793" width="37" style="2219" customWidth="1"/>
    <col min="1794" max="1794" width="2.88671875" style="2219" customWidth="1"/>
    <col min="1795" max="1795" width="15.44140625" style="2219" customWidth="1"/>
    <col min="1796" max="1796" width="18.44140625" style="2219" customWidth="1"/>
    <col min="1797" max="1797" width="13" style="2219" customWidth="1"/>
    <col min="1798" max="1798" width="14.109375" style="2219" customWidth="1"/>
    <col min="1799" max="2048" width="9.109375" style="2219"/>
    <col min="2049" max="2049" width="37" style="2219" customWidth="1"/>
    <col min="2050" max="2050" width="2.88671875" style="2219" customWidth="1"/>
    <col min="2051" max="2051" width="15.44140625" style="2219" customWidth="1"/>
    <col min="2052" max="2052" width="18.44140625" style="2219" customWidth="1"/>
    <col min="2053" max="2053" width="13" style="2219" customWidth="1"/>
    <col min="2054" max="2054" width="14.109375" style="2219" customWidth="1"/>
    <col min="2055" max="2304" width="9.109375" style="2219"/>
    <col min="2305" max="2305" width="37" style="2219" customWidth="1"/>
    <col min="2306" max="2306" width="2.88671875" style="2219" customWidth="1"/>
    <col min="2307" max="2307" width="15.44140625" style="2219" customWidth="1"/>
    <col min="2308" max="2308" width="18.44140625" style="2219" customWidth="1"/>
    <col min="2309" max="2309" width="13" style="2219" customWidth="1"/>
    <col min="2310" max="2310" width="14.109375" style="2219" customWidth="1"/>
    <col min="2311" max="2560" width="9.109375" style="2219"/>
    <col min="2561" max="2561" width="37" style="2219" customWidth="1"/>
    <col min="2562" max="2562" width="2.88671875" style="2219" customWidth="1"/>
    <col min="2563" max="2563" width="15.44140625" style="2219" customWidth="1"/>
    <col min="2564" max="2564" width="18.44140625" style="2219" customWidth="1"/>
    <col min="2565" max="2565" width="13" style="2219" customWidth="1"/>
    <col min="2566" max="2566" width="14.109375" style="2219" customWidth="1"/>
    <col min="2567" max="2816" width="9.109375" style="2219"/>
    <col min="2817" max="2817" width="37" style="2219" customWidth="1"/>
    <col min="2818" max="2818" width="2.88671875" style="2219" customWidth="1"/>
    <col min="2819" max="2819" width="15.44140625" style="2219" customWidth="1"/>
    <col min="2820" max="2820" width="18.44140625" style="2219" customWidth="1"/>
    <col min="2821" max="2821" width="13" style="2219" customWidth="1"/>
    <col min="2822" max="2822" width="14.109375" style="2219" customWidth="1"/>
    <col min="2823" max="3072" width="9.109375" style="2219"/>
    <col min="3073" max="3073" width="37" style="2219" customWidth="1"/>
    <col min="3074" max="3074" width="2.88671875" style="2219" customWidth="1"/>
    <col min="3075" max="3075" width="15.44140625" style="2219" customWidth="1"/>
    <col min="3076" max="3076" width="18.44140625" style="2219" customWidth="1"/>
    <col min="3077" max="3077" width="13" style="2219" customWidth="1"/>
    <col min="3078" max="3078" width="14.109375" style="2219" customWidth="1"/>
    <col min="3079" max="3328" width="9.109375" style="2219"/>
    <col min="3329" max="3329" width="37" style="2219" customWidth="1"/>
    <col min="3330" max="3330" width="2.88671875" style="2219" customWidth="1"/>
    <col min="3331" max="3331" width="15.44140625" style="2219" customWidth="1"/>
    <col min="3332" max="3332" width="18.44140625" style="2219" customWidth="1"/>
    <col min="3333" max="3333" width="13" style="2219" customWidth="1"/>
    <col min="3334" max="3334" width="14.109375" style="2219" customWidth="1"/>
    <col min="3335" max="3584" width="9.109375" style="2219"/>
    <col min="3585" max="3585" width="37" style="2219" customWidth="1"/>
    <col min="3586" max="3586" width="2.88671875" style="2219" customWidth="1"/>
    <col min="3587" max="3587" width="15.44140625" style="2219" customWidth="1"/>
    <col min="3588" max="3588" width="18.44140625" style="2219" customWidth="1"/>
    <col min="3589" max="3589" width="13" style="2219" customWidth="1"/>
    <col min="3590" max="3590" width="14.109375" style="2219" customWidth="1"/>
    <col min="3591" max="3840" width="9.109375" style="2219"/>
    <col min="3841" max="3841" width="37" style="2219" customWidth="1"/>
    <col min="3842" max="3842" width="2.88671875" style="2219" customWidth="1"/>
    <col min="3843" max="3843" width="15.44140625" style="2219" customWidth="1"/>
    <col min="3844" max="3844" width="18.44140625" style="2219" customWidth="1"/>
    <col min="3845" max="3845" width="13" style="2219" customWidth="1"/>
    <col min="3846" max="3846" width="14.109375" style="2219" customWidth="1"/>
    <col min="3847" max="4096" width="9.109375" style="2219"/>
    <col min="4097" max="4097" width="37" style="2219" customWidth="1"/>
    <col min="4098" max="4098" width="2.88671875" style="2219" customWidth="1"/>
    <col min="4099" max="4099" width="15.44140625" style="2219" customWidth="1"/>
    <col min="4100" max="4100" width="18.44140625" style="2219" customWidth="1"/>
    <col min="4101" max="4101" width="13" style="2219" customWidth="1"/>
    <col min="4102" max="4102" width="14.109375" style="2219" customWidth="1"/>
    <col min="4103" max="4352" width="9.109375" style="2219"/>
    <col min="4353" max="4353" width="37" style="2219" customWidth="1"/>
    <col min="4354" max="4354" width="2.88671875" style="2219" customWidth="1"/>
    <col min="4355" max="4355" width="15.44140625" style="2219" customWidth="1"/>
    <col min="4356" max="4356" width="18.44140625" style="2219" customWidth="1"/>
    <col min="4357" max="4357" width="13" style="2219" customWidth="1"/>
    <col min="4358" max="4358" width="14.109375" style="2219" customWidth="1"/>
    <col min="4359" max="4608" width="9.109375" style="2219"/>
    <col min="4609" max="4609" width="37" style="2219" customWidth="1"/>
    <col min="4610" max="4610" width="2.88671875" style="2219" customWidth="1"/>
    <col min="4611" max="4611" width="15.44140625" style="2219" customWidth="1"/>
    <col min="4612" max="4612" width="18.44140625" style="2219" customWidth="1"/>
    <col min="4613" max="4613" width="13" style="2219" customWidth="1"/>
    <col min="4614" max="4614" width="14.109375" style="2219" customWidth="1"/>
    <col min="4615" max="4864" width="9.109375" style="2219"/>
    <col min="4865" max="4865" width="37" style="2219" customWidth="1"/>
    <col min="4866" max="4866" width="2.88671875" style="2219" customWidth="1"/>
    <col min="4867" max="4867" width="15.44140625" style="2219" customWidth="1"/>
    <col min="4868" max="4868" width="18.44140625" style="2219" customWidth="1"/>
    <col min="4869" max="4869" width="13" style="2219" customWidth="1"/>
    <col min="4870" max="4870" width="14.109375" style="2219" customWidth="1"/>
    <col min="4871" max="5120" width="9.109375" style="2219"/>
    <col min="5121" max="5121" width="37" style="2219" customWidth="1"/>
    <col min="5122" max="5122" width="2.88671875" style="2219" customWidth="1"/>
    <col min="5123" max="5123" width="15.44140625" style="2219" customWidth="1"/>
    <col min="5124" max="5124" width="18.44140625" style="2219" customWidth="1"/>
    <col min="5125" max="5125" width="13" style="2219" customWidth="1"/>
    <col min="5126" max="5126" width="14.109375" style="2219" customWidth="1"/>
    <col min="5127" max="5376" width="9.109375" style="2219"/>
    <col min="5377" max="5377" width="37" style="2219" customWidth="1"/>
    <col min="5378" max="5378" width="2.88671875" style="2219" customWidth="1"/>
    <col min="5379" max="5379" width="15.44140625" style="2219" customWidth="1"/>
    <col min="5380" max="5380" width="18.44140625" style="2219" customWidth="1"/>
    <col min="5381" max="5381" width="13" style="2219" customWidth="1"/>
    <col min="5382" max="5382" width="14.109375" style="2219" customWidth="1"/>
    <col min="5383" max="5632" width="9.109375" style="2219"/>
    <col min="5633" max="5633" width="37" style="2219" customWidth="1"/>
    <col min="5634" max="5634" width="2.88671875" style="2219" customWidth="1"/>
    <col min="5635" max="5635" width="15.44140625" style="2219" customWidth="1"/>
    <col min="5636" max="5636" width="18.44140625" style="2219" customWidth="1"/>
    <col min="5637" max="5637" width="13" style="2219" customWidth="1"/>
    <col min="5638" max="5638" width="14.109375" style="2219" customWidth="1"/>
    <col min="5639" max="5888" width="9.109375" style="2219"/>
    <col min="5889" max="5889" width="37" style="2219" customWidth="1"/>
    <col min="5890" max="5890" width="2.88671875" style="2219" customWidth="1"/>
    <col min="5891" max="5891" width="15.44140625" style="2219" customWidth="1"/>
    <col min="5892" max="5892" width="18.44140625" style="2219" customWidth="1"/>
    <col min="5893" max="5893" width="13" style="2219" customWidth="1"/>
    <col min="5894" max="5894" width="14.109375" style="2219" customWidth="1"/>
    <col min="5895" max="6144" width="9.109375" style="2219"/>
    <col min="6145" max="6145" width="37" style="2219" customWidth="1"/>
    <col min="6146" max="6146" width="2.88671875" style="2219" customWidth="1"/>
    <col min="6147" max="6147" width="15.44140625" style="2219" customWidth="1"/>
    <col min="6148" max="6148" width="18.44140625" style="2219" customWidth="1"/>
    <col min="6149" max="6149" width="13" style="2219" customWidth="1"/>
    <col min="6150" max="6150" width="14.109375" style="2219" customWidth="1"/>
    <col min="6151" max="6400" width="9.109375" style="2219"/>
    <col min="6401" max="6401" width="37" style="2219" customWidth="1"/>
    <col min="6402" max="6402" width="2.88671875" style="2219" customWidth="1"/>
    <col min="6403" max="6403" width="15.44140625" style="2219" customWidth="1"/>
    <col min="6404" max="6404" width="18.44140625" style="2219" customWidth="1"/>
    <col min="6405" max="6405" width="13" style="2219" customWidth="1"/>
    <col min="6406" max="6406" width="14.109375" style="2219" customWidth="1"/>
    <col min="6407" max="6656" width="9.109375" style="2219"/>
    <col min="6657" max="6657" width="37" style="2219" customWidth="1"/>
    <col min="6658" max="6658" width="2.88671875" style="2219" customWidth="1"/>
    <col min="6659" max="6659" width="15.44140625" style="2219" customWidth="1"/>
    <col min="6660" max="6660" width="18.44140625" style="2219" customWidth="1"/>
    <col min="6661" max="6661" width="13" style="2219" customWidth="1"/>
    <col min="6662" max="6662" width="14.109375" style="2219" customWidth="1"/>
    <col min="6663" max="6912" width="9.109375" style="2219"/>
    <col min="6913" max="6913" width="37" style="2219" customWidth="1"/>
    <col min="6914" max="6914" width="2.88671875" style="2219" customWidth="1"/>
    <col min="6915" max="6915" width="15.44140625" style="2219" customWidth="1"/>
    <col min="6916" max="6916" width="18.44140625" style="2219" customWidth="1"/>
    <col min="6917" max="6917" width="13" style="2219" customWidth="1"/>
    <col min="6918" max="6918" width="14.109375" style="2219" customWidth="1"/>
    <col min="6919" max="7168" width="9.109375" style="2219"/>
    <col min="7169" max="7169" width="37" style="2219" customWidth="1"/>
    <col min="7170" max="7170" width="2.88671875" style="2219" customWidth="1"/>
    <col min="7171" max="7171" width="15.44140625" style="2219" customWidth="1"/>
    <col min="7172" max="7172" width="18.44140625" style="2219" customWidth="1"/>
    <col min="7173" max="7173" width="13" style="2219" customWidth="1"/>
    <col min="7174" max="7174" width="14.109375" style="2219" customWidth="1"/>
    <col min="7175" max="7424" width="9.109375" style="2219"/>
    <col min="7425" max="7425" width="37" style="2219" customWidth="1"/>
    <col min="7426" max="7426" width="2.88671875" style="2219" customWidth="1"/>
    <col min="7427" max="7427" width="15.44140625" style="2219" customWidth="1"/>
    <col min="7428" max="7428" width="18.44140625" style="2219" customWidth="1"/>
    <col min="7429" max="7429" width="13" style="2219" customWidth="1"/>
    <col min="7430" max="7430" width="14.109375" style="2219" customWidth="1"/>
    <col min="7431" max="7680" width="9.109375" style="2219"/>
    <col min="7681" max="7681" width="37" style="2219" customWidth="1"/>
    <col min="7682" max="7682" width="2.88671875" style="2219" customWidth="1"/>
    <col min="7683" max="7683" width="15.44140625" style="2219" customWidth="1"/>
    <col min="7684" max="7684" width="18.44140625" style="2219" customWidth="1"/>
    <col min="7685" max="7685" width="13" style="2219" customWidth="1"/>
    <col min="7686" max="7686" width="14.109375" style="2219" customWidth="1"/>
    <col min="7687" max="7936" width="9.109375" style="2219"/>
    <col min="7937" max="7937" width="37" style="2219" customWidth="1"/>
    <col min="7938" max="7938" width="2.88671875" style="2219" customWidth="1"/>
    <col min="7939" max="7939" width="15.44140625" style="2219" customWidth="1"/>
    <col min="7940" max="7940" width="18.44140625" style="2219" customWidth="1"/>
    <col min="7941" max="7941" width="13" style="2219" customWidth="1"/>
    <col min="7942" max="7942" width="14.109375" style="2219" customWidth="1"/>
    <col min="7943" max="8192" width="9.109375" style="2219"/>
    <col min="8193" max="8193" width="37" style="2219" customWidth="1"/>
    <col min="8194" max="8194" width="2.88671875" style="2219" customWidth="1"/>
    <col min="8195" max="8195" width="15.44140625" style="2219" customWidth="1"/>
    <col min="8196" max="8196" width="18.44140625" style="2219" customWidth="1"/>
    <col min="8197" max="8197" width="13" style="2219" customWidth="1"/>
    <col min="8198" max="8198" width="14.109375" style="2219" customWidth="1"/>
    <col min="8199" max="8448" width="9.109375" style="2219"/>
    <col min="8449" max="8449" width="37" style="2219" customWidth="1"/>
    <col min="8450" max="8450" width="2.88671875" style="2219" customWidth="1"/>
    <col min="8451" max="8451" width="15.44140625" style="2219" customWidth="1"/>
    <col min="8452" max="8452" width="18.44140625" style="2219" customWidth="1"/>
    <col min="8453" max="8453" width="13" style="2219" customWidth="1"/>
    <col min="8454" max="8454" width="14.109375" style="2219" customWidth="1"/>
    <col min="8455" max="8704" width="9.109375" style="2219"/>
    <col min="8705" max="8705" width="37" style="2219" customWidth="1"/>
    <col min="8706" max="8706" width="2.88671875" style="2219" customWidth="1"/>
    <col min="8707" max="8707" width="15.44140625" style="2219" customWidth="1"/>
    <col min="8708" max="8708" width="18.44140625" style="2219" customWidth="1"/>
    <col min="8709" max="8709" width="13" style="2219" customWidth="1"/>
    <col min="8710" max="8710" width="14.109375" style="2219" customWidth="1"/>
    <col min="8711" max="8960" width="9.109375" style="2219"/>
    <col min="8961" max="8961" width="37" style="2219" customWidth="1"/>
    <col min="8962" max="8962" width="2.88671875" style="2219" customWidth="1"/>
    <col min="8963" max="8963" width="15.44140625" style="2219" customWidth="1"/>
    <col min="8964" max="8964" width="18.44140625" style="2219" customWidth="1"/>
    <col min="8965" max="8965" width="13" style="2219" customWidth="1"/>
    <col min="8966" max="8966" width="14.109375" style="2219" customWidth="1"/>
    <col min="8967" max="9216" width="9.109375" style="2219"/>
    <col min="9217" max="9217" width="37" style="2219" customWidth="1"/>
    <col min="9218" max="9218" width="2.88671875" style="2219" customWidth="1"/>
    <col min="9219" max="9219" width="15.44140625" style="2219" customWidth="1"/>
    <col min="9220" max="9220" width="18.44140625" style="2219" customWidth="1"/>
    <col min="9221" max="9221" width="13" style="2219" customWidth="1"/>
    <col min="9222" max="9222" width="14.109375" style="2219" customWidth="1"/>
    <col min="9223" max="9472" width="9.109375" style="2219"/>
    <col min="9473" max="9473" width="37" style="2219" customWidth="1"/>
    <col min="9474" max="9474" width="2.88671875" style="2219" customWidth="1"/>
    <col min="9475" max="9475" width="15.44140625" style="2219" customWidth="1"/>
    <col min="9476" max="9476" width="18.44140625" style="2219" customWidth="1"/>
    <col min="9477" max="9477" width="13" style="2219" customWidth="1"/>
    <col min="9478" max="9478" width="14.109375" style="2219" customWidth="1"/>
    <col min="9479" max="9728" width="9.109375" style="2219"/>
    <col min="9729" max="9729" width="37" style="2219" customWidth="1"/>
    <col min="9730" max="9730" width="2.88671875" style="2219" customWidth="1"/>
    <col min="9731" max="9731" width="15.44140625" style="2219" customWidth="1"/>
    <col min="9732" max="9732" width="18.44140625" style="2219" customWidth="1"/>
    <col min="9733" max="9733" width="13" style="2219" customWidth="1"/>
    <col min="9734" max="9734" width="14.109375" style="2219" customWidth="1"/>
    <col min="9735" max="9984" width="9.109375" style="2219"/>
    <col min="9985" max="9985" width="37" style="2219" customWidth="1"/>
    <col min="9986" max="9986" width="2.88671875" style="2219" customWidth="1"/>
    <col min="9987" max="9987" width="15.44140625" style="2219" customWidth="1"/>
    <col min="9988" max="9988" width="18.44140625" style="2219" customWidth="1"/>
    <col min="9989" max="9989" width="13" style="2219" customWidth="1"/>
    <col min="9990" max="9990" width="14.109375" style="2219" customWidth="1"/>
    <col min="9991" max="10240" width="9.109375" style="2219"/>
    <col min="10241" max="10241" width="37" style="2219" customWidth="1"/>
    <col min="10242" max="10242" width="2.88671875" style="2219" customWidth="1"/>
    <col min="10243" max="10243" width="15.44140625" style="2219" customWidth="1"/>
    <col min="10244" max="10244" width="18.44140625" style="2219" customWidth="1"/>
    <col min="10245" max="10245" width="13" style="2219" customWidth="1"/>
    <col min="10246" max="10246" width="14.109375" style="2219" customWidth="1"/>
    <col min="10247" max="10496" width="9.109375" style="2219"/>
    <col min="10497" max="10497" width="37" style="2219" customWidth="1"/>
    <col min="10498" max="10498" width="2.88671875" style="2219" customWidth="1"/>
    <col min="10499" max="10499" width="15.44140625" style="2219" customWidth="1"/>
    <col min="10500" max="10500" width="18.44140625" style="2219" customWidth="1"/>
    <col min="10501" max="10501" width="13" style="2219" customWidth="1"/>
    <col min="10502" max="10502" width="14.109375" style="2219" customWidth="1"/>
    <col min="10503" max="10752" width="9.109375" style="2219"/>
    <col min="10753" max="10753" width="37" style="2219" customWidth="1"/>
    <col min="10754" max="10754" width="2.88671875" style="2219" customWidth="1"/>
    <col min="10755" max="10755" width="15.44140625" style="2219" customWidth="1"/>
    <col min="10756" max="10756" width="18.44140625" style="2219" customWidth="1"/>
    <col min="10757" max="10757" width="13" style="2219" customWidth="1"/>
    <col min="10758" max="10758" width="14.109375" style="2219" customWidth="1"/>
    <col min="10759" max="11008" width="9.109375" style="2219"/>
    <col min="11009" max="11009" width="37" style="2219" customWidth="1"/>
    <col min="11010" max="11010" width="2.88671875" style="2219" customWidth="1"/>
    <col min="11011" max="11011" width="15.44140625" style="2219" customWidth="1"/>
    <col min="11012" max="11012" width="18.44140625" style="2219" customWidth="1"/>
    <col min="11013" max="11013" width="13" style="2219" customWidth="1"/>
    <col min="11014" max="11014" width="14.109375" style="2219" customWidth="1"/>
    <col min="11015" max="11264" width="9.109375" style="2219"/>
    <col min="11265" max="11265" width="37" style="2219" customWidth="1"/>
    <col min="11266" max="11266" width="2.88671875" style="2219" customWidth="1"/>
    <col min="11267" max="11267" width="15.44140625" style="2219" customWidth="1"/>
    <col min="11268" max="11268" width="18.44140625" style="2219" customWidth="1"/>
    <col min="11269" max="11269" width="13" style="2219" customWidth="1"/>
    <col min="11270" max="11270" width="14.109375" style="2219" customWidth="1"/>
    <col min="11271" max="11520" width="9.109375" style="2219"/>
    <col min="11521" max="11521" width="37" style="2219" customWidth="1"/>
    <col min="11522" max="11522" width="2.88671875" style="2219" customWidth="1"/>
    <col min="11523" max="11523" width="15.44140625" style="2219" customWidth="1"/>
    <col min="11524" max="11524" width="18.44140625" style="2219" customWidth="1"/>
    <col min="11525" max="11525" width="13" style="2219" customWidth="1"/>
    <col min="11526" max="11526" width="14.109375" style="2219" customWidth="1"/>
    <col min="11527" max="11776" width="9.109375" style="2219"/>
    <col min="11777" max="11777" width="37" style="2219" customWidth="1"/>
    <col min="11778" max="11778" width="2.88671875" style="2219" customWidth="1"/>
    <col min="11779" max="11779" width="15.44140625" style="2219" customWidth="1"/>
    <col min="11780" max="11780" width="18.44140625" style="2219" customWidth="1"/>
    <col min="11781" max="11781" width="13" style="2219" customWidth="1"/>
    <col min="11782" max="11782" width="14.109375" style="2219" customWidth="1"/>
    <col min="11783" max="12032" width="9.109375" style="2219"/>
    <col min="12033" max="12033" width="37" style="2219" customWidth="1"/>
    <col min="12034" max="12034" width="2.88671875" style="2219" customWidth="1"/>
    <col min="12035" max="12035" width="15.44140625" style="2219" customWidth="1"/>
    <col min="12036" max="12036" width="18.44140625" style="2219" customWidth="1"/>
    <col min="12037" max="12037" width="13" style="2219" customWidth="1"/>
    <col min="12038" max="12038" width="14.109375" style="2219" customWidth="1"/>
    <col min="12039" max="12288" width="9.109375" style="2219"/>
    <col min="12289" max="12289" width="37" style="2219" customWidth="1"/>
    <col min="12290" max="12290" width="2.88671875" style="2219" customWidth="1"/>
    <col min="12291" max="12291" width="15.44140625" style="2219" customWidth="1"/>
    <col min="12292" max="12292" width="18.44140625" style="2219" customWidth="1"/>
    <col min="12293" max="12293" width="13" style="2219" customWidth="1"/>
    <col min="12294" max="12294" width="14.109375" style="2219" customWidth="1"/>
    <col min="12295" max="12544" width="9.109375" style="2219"/>
    <col min="12545" max="12545" width="37" style="2219" customWidth="1"/>
    <col min="12546" max="12546" width="2.88671875" style="2219" customWidth="1"/>
    <col min="12547" max="12547" width="15.44140625" style="2219" customWidth="1"/>
    <col min="12548" max="12548" width="18.44140625" style="2219" customWidth="1"/>
    <col min="12549" max="12549" width="13" style="2219" customWidth="1"/>
    <col min="12550" max="12550" width="14.109375" style="2219" customWidth="1"/>
    <col min="12551" max="12800" width="9.109375" style="2219"/>
    <col min="12801" max="12801" width="37" style="2219" customWidth="1"/>
    <col min="12802" max="12802" width="2.88671875" style="2219" customWidth="1"/>
    <col min="12803" max="12803" width="15.44140625" style="2219" customWidth="1"/>
    <col min="12804" max="12804" width="18.44140625" style="2219" customWidth="1"/>
    <col min="12805" max="12805" width="13" style="2219" customWidth="1"/>
    <col min="12806" max="12806" width="14.109375" style="2219" customWidth="1"/>
    <col min="12807" max="13056" width="9.109375" style="2219"/>
    <col min="13057" max="13057" width="37" style="2219" customWidth="1"/>
    <col min="13058" max="13058" width="2.88671875" style="2219" customWidth="1"/>
    <col min="13059" max="13059" width="15.44140625" style="2219" customWidth="1"/>
    <col min="13060" max="13060" width="18.44140625" style="2219" customWidth="1"/>
    <col min="13061" max="13061" width="13" style="2219" customWidth="1"/>
    <col min="13062" max="13062" width="14.109375" style="2219" customWidth="1"/>
    <col min="13063" max="13312" width="9.109375" style="2219"/>
    <col min="13313" max="13313" width="37" style="2219" customWidth="1"/>
    <col min="13314" max="13314" width="2.88671875" style="2219" customWidth="1"/>
    <col min="13315" max="13315" width="15.44140625" style="2219" customWidth="1"/>
    <col min="13316" max="13316" width="18.44140625" style="2219" customWidth="1"/>
    <col min="13317" max="13317" width="13" style="2219" customWidth="1"/>
    <col min="13318" max="13318" width="14.109375" style="2219" customWidth="1"/>
    <col min="13319" max="13568" width="9.109375" style="2219"/>
    <col min="13569" max="13569" width="37" style="2219" customWidth="1"/>
    <col min="13570" max="13570" width="2.88671875" style="2219" customWidth="1"/>
    <col min="13571" max="13571" width="15.44140625" style="2219" customWidth="1"/>
    <col min="13572" max="13572" width="18.44140625" style="2219" customWidth="1"/>
    <col min="13573" max="13573" width="13" style="2219" customWidth="1"/>
    <col min="13574" max="13574" width="14.109375" style="2219" customWidth="1"/>
    <col min="13575" max="13824" width="9.109375" style="2219"/>
    <col min="13825" max="13825" width="37" style="2219" customWidth="1"/>
    <col min="13826" max="13826" width="2.88671875" style="2219" customWidth="1"/>
    <col min="13827" max="13827" width="15.44140625" style="2219" customWidth="1"/>
    <col min="13828" max="13828" width="18.44140625" style="2219" customWidth="1"/>
    <col min="13829" max="13829" width="13" style="2219" customWidth="1"/>
    <col min="13830" max="13830" width="14.109375" style="2219" customWidth="1"/>
    <col min="13831" max="14080" width="9.109375" style="2219"/>
    <col min="14081" max="14081" width="37" style="2219" customWidth="1"/>
    <col min="14082" max="14082" width="2.88671875" style="2219" customWidth="1"/>
    <col min="14083" max="14083" width="15.44140625" style="2219" customWidth="1"/>
    <col min="14084" max="14084" width="18.44140625" style="2219" customWidth="1"/>
    <col min="14085" max="14085" width="13" style="2219" customWidth="1"/>
    <col min="14086" max="14086" width="14.109375" style="2219" customWidth="1"/>
    <col min="14087" max="14336" width="9.109375" style="2219"/>
    <col min="14337" max="14337" width="37" style="2219" customWidth="1"/>
    <col min="14338" max="14338" width="2.88671875" style="2219" customWidth="1"/>
    <col min="14339" max="14339" width="15.44140625" style="2219" customWidth="1"/>
    <col min="14340" max="14340" width="18.44140625" style="2219" customWidth="1"/>
    <col min="14341" max="14341" width="13" style="2219" customWidth="1"/>
    <col min="14342" max="14342" width="14.109375" style="2219" customWidth="1"/>
    <col min="14343" max="14592" width="9.109375" style="2219"/>
    <col min="14593" max="14593" width="37" style="2219" customWidth="1"/>
    <col min="14594" max="14594" width="2.88671875" style="2219" customWidth="1"/>
    <col min="14595" max="14595" width="15.44140625" style="2219" customWidth="1"/>
    <col min="14596" max="14596" width="18.44140625" style="2219" customWidth="1"/>
    <col min="14597" max="14597" width="13" style="2219" customWidth="1"/>
    <col min="14598" max="14598" width="14.109375" style="2219" customWidth="1"/>
    <col min="14599" max="14848" width="9.109375" style="2219"/>
    <col min="14849" max="14849" width="37" style="2219" customWidth="1"/>
    <col min="14850" max="14850" width="2.88671875" style="2219" customWidth="1"/>
    <col min="14851" max="14851" width="15.44140625" style="2219" customWidth="1"/>
    <col min="14852" max="14852" width="18.44140625" style="2219" customWidth="1"/>
    <col min="14853" max="14853" width="13" style="2219" customWidth="1"/>
    <col min="14854" max="14854" width="14.109375" style="2219" customWidth="1"/>
    <col min="14855" max="15104" width="9.109375" style="2219"/>
    <col min="15105" max="15105" width="37" style="2219" customWidth="1"/>
    <col min="15106" max="15106" width="2.88671875" style="2219" customWidth="1"/>
    <col min="15107" max="15107" width="15.44140625" style="2219" customWidth="1"/>
    <col min="15108" max="15108" width="18.44140625" style="2219" customWidth="1"/>
    <col min="15109" max="15109" width="13" style="2219" customWidth="1"/>
    <col min="15110" max="15110" width="14.109375" style="2219" customWidth="1"/>
    <col min="15111" max="15360" width="9.109375" style="2219"/>
    <col min="15361" max="15361" width="37" style="2219" customWidth="1"/>
    <col min="15362" max="15362" width="2.88671875" style="2219" customWidth="1"/>
    <col min="15363" max="15363" width="15.44140625" style="2219" customWidth="1"/>
    <col min="15364" max="15364" width="18.44140625" style="2219" customWidth="1"/>
    <col min="15365" max="15365" width="13" style="2219" customWidth="1"/>
    <col min="15366" max="15366" width="14.109375" style="2219" customWidth="1"/>
    <col min="15367" max="15616" width="9.109375" style="2219"/>
    <col min="15617" max="15617" width="37" style="2219" customWidth="1"/>
    <col min="15618" max="15618" width="2.88671875" style="2219" customWidth="1"/>
    <col min="15619" max="15619" width="15.44140625" style="2219" customWidth="1"/>
    <col min="15620" max="15620" width="18.44140625" style="2219" customWidth="1"/>
    <col min="15621" max="15621" width="13" style="2219" customWidth="1"/>
    <col min="15622" max="15622" width="14.109375" style="2219" customWidth="1"/>
    <col min="15623" max="15872" width="9.109375" style="2219"/>
    <col min="15873" max="15873" width="37" style="2219" customWidth="1"/>
    <col min="15874" max="15874" width="2.88671875" style="2219" customWidth="1"/>
    <col min="15875" max="15875" width="15.44140625" style="2219" customWidth="1"/>
    <col min="15876" max="15876" width="18.44140625" style="2219" customWidth="1"/>
    <col min="15877" max="15877" width="13" style="2219" customWidth="1"/>
    <col min="15878" max="15878" width="14.109375" style="2219" customWidth="1"/>
    <col min="15879" max="16128" width="9.109375" style="2219"/>
    <col min="16129" max="16129" width="37" style="2219" customWidth="1"/>
    <col min="16130" max="16130" width="2.88671875" style="2219" customWidth="1"/>
    <col min="16131" max="16131" width="15.44140625" style="2219" customWidth="1"/>
    <col min="16132" max="16132" width="18.44140625" style="2219" customWidth="1"/>
    <col min="16133" max="16133" width="13" style="2219" customWidth="1"/>
    <col min="16134" max="16134" width="14.109375" style="2219" customWidth="1"/>
    <col min="16135" max="16384" width="9.109375" style="2219"/>
  </cols>
  <sheetData>
    <row r="1" spans="1:6" s="4220" customFormat="1" ht="13.8">
      <c r="A1" s="4218" t="s">
        <v>4673</v>
      </c>
      <c r="B1" s="4219"/>
    </row>
    <row r="2" spans="1:6" s="4220" customFormat="1" ht="13.8">
      <c r="B2" s="4219"/>
    </row>
    <row r="3" spans="1:6" s="4220" customFormat="1" ht="13.8">
      <c r="A3" s="4218" t="s">
        <v>9569</v>
      </c>
      <c r="B3" s="4219"/>
    </row>
    <row r="5" spans="1:6">
      <c r="A5" s="4188" t="s">
        <v>9</v>
      </c>
      <c r="B5" s="4198"/>
      <c r="C5" s="4221" t="s">
        <v>6321</v>
      </c>
      <c r="D5" s="4222"/>
      <c r="E5" s="4223"/>
      <c r="F5" s="2220"/>
    </row>
    <row r="6" spans="1:6">
      <c r="A6" s="4189" t="s">
        <v>6322</v>
      </c>
      <c r="B6" s="2221"/>
      <c r="C6" s="4224" t="s">
        <v>3876</v>
      </c>
      <c r="D6" s="4225" t="s">
        <v>6323</v>
      </c>
      <c r="E6" s="4224" t="s">
        <v>5053</v>
      </c>
      <c r="F6" s="2222" t="s">
        <v>220</v>
      </c>
    </row>
    <row r="7" spans="1:6">
      <c r="A7" s="4190"/>
      <c r="B7" s="4199"/>
      <c r="C7" s="2223" t="s">
        <v>563</v>
      </c>
      <c r="D7" s="2224" t="s">
        <v>6324</v>
      </c>
      <c r="E7" s="2223" t="s">
        <v>5054</v>
      </c>
      <c r="F7" s="2225"/>
    </row>
    <row r="8" spans="1:6" ht="19.5" customHeight="1">
      <c r="A8" s="4191"/>
      <c r="C8" s="4203"/>
      <c r="D8" s="4203"/>
      <c r="E8" s="4203"/>
      <c r="F8" s="4203"/>
    </row>
    <row r="9" spans="1:6" ht="19.5" customHeight="1">
      <c r="A9" s="4192" t="s">
        <v>2048</v>
      </c>
      <c r="C9" s="4204"/>
      <c r="D9" s="4204"/>
      <c r="E9" s="4204"/>
      <c r="F9" s="4204"/>
    </row>
    <row r="10" spans="1:6" ht="19.5" customHeight="1">
      <c r="A10" s="4193" t="s">
        <v>6325</v>
      </c>
      <c r="C10" s="4205">
        <f>2754041.6+247065</f>
        <v>3001106.6</v>
      </c>
      <c r="D10" s="4205">
        <f>3190800+73400</f>
        <v>3264200</v>
      </c>
      <c r="E10" s="4205"/>
      <c r="F10" s="4205">
        <f>SUM(C10:E10)</f>
        <v>6265306.5999999996</v>
      </c>
    </row>
    <row r="11" spans="1:6" ht="19.5" customHeight="1">
      <c r="A11" s="4193" t="s">
        <v>6326</v>
      </c>
      <c r="C11" s="4206">
        <v>4397687.2</v>
      </c>
      <c r="D11" s="4206">
        <v>4021670</v>
      </c>
      <c r="E11" s="4206"/>
      <c r="F11" s="4205">
        <f>SUM(C11:E11)</f>
        <v>8419357.1999999993</v>
      </c>
    </row>
    <row r="12" spans="1:6" ht="19.5" customHeight="1">
      <c r="A12" s="4193" t="s">
        <v>6327</v>
      </c>
      <c r="C12" s="4206">
        <v>2635896</v>
      </c>
      <c r="D12" s="4206">
        <v>2144690</v>
      </c>
      <c r="E12" s="4206"/>
      <c r="F12" s="4205">
        <f>SUM(C12:E12)</f>
        <v>4780586</v>
      </c>
    </row>
    <row r="13" spans="1:6" ht="19.5" customHeight="1">
      <c r="A13" s="4193" t="s">
        <v>6328</v>
      </c>
      <c r="C13" s="4207">
        <v>4686554.2</v>
      </c>
      <c r="D13" s="4207">
        <v>4142840</v>
      </c>
      <c r="E13" s="4207"/>
      <c r="F13" s="4205">
        <f>SUM(C13:E13)</f>
        <v>8829394.1999999993</v>
      </c>
    </row>
    <row r="14" spans="1:6" ht="19.5" customHeight="1">
      <c r="A14" s="4194" t="s">
        <v>6329</v>
      </c>
      <c r="C14" s="4208">
        <f>SUM(C10:C13)</f>
        <v>14721244</v>
      </c>
      <c r="D14" s="4208">
        <f>SUM(D10:D13)</f>
        <v>13573400</v>
      </c>
      <c r="E14" s="4208"/>
      <c r="F14" s="4205">
        <f>SUM(C14:E14)</f>
        <v>28294644</v>
      </c>
    </row>
    <row r="15" spans="1:6" ht="18" customHeight="1">
      <c r="A15" s="4194" t="s">
        <v>6330</v>
      </c>
      <c r="C15" s="4204"/>
      <c r="D15" s="4204"/>
      <c r="E15" s="4204"/>
      <c r="F15" s="4204"/>
    </row>
    <row r="16" spans="1:6" ht="19.5" customHeight="1">
      <c r="A16" s="4192" t="s">
        <v>6331</v>
      </c>
      <c r="C16" s="4204"/>
      <c r="D16" s="4204"/>
      <c r="E16" s="4204"/>
      <c r="F16" s="4204"/>
    </row>
    <row r="17" spans="1:10" ht="19.5" customHeight="1">
      <c r="A17" s="4193" t="s">
        <v>6332</v>
      </c>
      <c r="C17" s="4209"/>
      <c r="D17" s="4209">
        <v>4000000</v>
      </c>
      <c r="E17" s="4209"/>
      <c r="F17" s="4209">
        <v>4000000</v>
      </c>
    </row>
    <row r="18" spans="1:10" ht="19.5" customHeight="1">
      <c r="A18" s="4195" t="s">
        <v>6329</v>
      </c>
      <c r="B18" s="4200"/>
      <c r="C18" s="4210">
        <f>SUM(C17:C17)</f>
        <v>0</v>
      </c>
      <c r="D18" s="4210">
        <f>SUM(D17:D17)</f>
        <v>4000000</v>
      </c>
      <c r="E18" s="4210">
        <f>SUM(E17:E17)</f>
        <v>0</v>
      </c>
      <c r="F18" s="4211">
        <f>SUM(C18+D18+E18)</f>
        <v>4000000</v>
      </c>
    </row>
    <row r="19" spans="1:10" ht="19.5" customHeight="1">
      <c r="A19" s="4194"/>
      <c r="C19" s="4212"/>
      <c r="D19" s="4212"/>
      <c r="E19" s="4212"/>
      <c r="F19" s="4212"/>
    </row>
    <row r="20" spans="1:10" ht="18.75" customHeight="1">
      <c r="A20" s="4194"/>
      <c r="C20" s="5362"/>
      <c r="D20" s="5362"/>
      <c r="E20" s="5363"/>
      <c r="F20" s="5362"/>
      <c r="J20" s="2227"/>
    </row>
    <row r="21" spans="1:10" ht="19.5" customHeight="1">
      <c r="A21" s="4193"/>
      <c r="C21" s="5362"/>
      <c r="D21" s="5362"/>
      <c r="E21" s="5364"/>
      <c r="F21" s="5362"/>
    </row>
    <row r="22" spans="1:10" ht="18.75" customHeight="1">
      <c r="A22" s="4193"/>
      <c r="C22" s="5362"/>
      <c r="D22" s="5362"/>
      <c r="E22" s="5364"/>
      <c r="F22" s="5362"/>
    </row>
    <row r="23" spans="1:10" ht="18.75" customHeight="1">
      <c r="A23" s="4193"/>
      <c r="C23" s="4209"/>
      <c r="D23" s="4216"/>
      <c r="E23" s="4205"/>
      <c r="F23" s="4209"/>
    </row>
    <row r="24" spans="1:10" ht="19.5" customHeight="1">
      <c r="A24" s="4196" t="s">
        <v>6333</v>
      </c>
      <c r="B24" s="4201"/>
      <c r="C24" s="4213">
        <f>SUM(C20:C23)</f>
        <v>0</v>
      </c>
      <c r="D24" s="4213">
        <f>SUM(D20:D23)</f>
        <v>0</v>
      </c>
      <c r="E24" s="4214"/>
      <c r="F24" s="4213">
        <f>SUM(F20:F23)</f>
        <v>0</v>
      </c>
    </row>
    <row r="25" spans="1:10">
      <c r="A25" s="4194" t="s">
        <v>9</v>
      </c>
      <c r="C25" s="4204"/>
      <c r="D25" s="4204"/>
      <c r="E25" s="4204"/>
      <c r="F25" s="4204"/>
    </row>
    <row r="26" spans="1:10">
      <c r="A26" s="4192" t="s">
        <v>6334</v>
      </c>
      <c r="C26" s="4215">
        <f>SUM(C24+C14)</f>
        <v>14721244</v>
      </c>
      <c r="D26" s="4215">
        <f>SUM(D24+D14)</f>
        <v>13573400</v>
      </c>
      <c r="E26" s="4215">
        <f>SUM(E24+E14)</f>
        <v>0</v>
      </c>
      <c r="F26" s="4215">
        <f>SUM(F24+F14)</f>
        <v>28294644</v>
      </c>
    </row>
    <row r="27" spans="1:10">
      <c r="A27" s="4197"/>
      <c r="B27" s="4202" t="s">
        <v>9</v>
      </c>
      <c r="C27" s="4216"/>
      <c r="D27" s="4216"/>
      <c r="E27" s="4216"/>
      <c r="F27" s="4216"/>
    </row>
    <row r="29" spans="1:10" ht="13.8" hidden="1">
      <c r="A29" s="2147" t="s">
        <v>3483</v>
      </c>
      <c r="B29" s="2228"/>
      <c r="C29" s="3156"/>
      <c r="D29" s="369"/>
      <c r="E29" s="2147"/>
      <c r="F29" s="2147"/>
      <c r="G29" s="2147"/>
      <c r="H29" s="2147"/>
    </row>
    <row r="30" spans="1:10" ht="13.8" hidden="1">
      <c r="A30" s="2147"/>
      <c r="B30" s="2228"/>
      <c r="C30" s="2228"/>
      <c r="D30" s="2147"/>
      <c r="E30" s="2147"/>
      <c r="F30" s="2147"/>
      <c r="G30" s="2147"/>
      <c r="H30" s="2147"/>
    </row>
    <row r="31" spans="1:10" ht="13.8" hidden="1">
      <c r="A31" s="2147"/>
      <c r="B31" s="2228"/>
      <c r="C31" s="4187"/>
      <c r="D31" s="4217"/>
      <c r="E31" s="2147"/>
      <c r="F31" s="2147"/>
      <c r="G31" s="2147"/>
      <c r="H31" s="2147"/>
    </row>
    <row r="32" spans="1:10" ht="13.8" hidden="1">
      <c r="A32" s="2229" t="s">
        <v>6302</v>
      </c>
      <c r="C32" s="2228"/>
      <c r="G32" s="2147"/>
      <c r="H32" s="2147"/>
    </row>
    <row r="33" spans="1:8" ht="13.8" hidden="1">
      <c r="A33" s="2146" t="s">
        <v>6335</v>
      </c>
      <c r="B33" s="2228"/>
      <c r="C33" s="2228"/>
      <c r="D33" s="2147" t="s">
        <v>6336</v>
      </c>
      <c r="E33" s="2147"/>
      <c r="F33" s="2147"/>
      <c r="H33" s="2147"/>
    </row>
    <row r="34" spans="1:8" ht="13.8" hidden="1">
      <c r="A34" s="2147"/>
      <c r="B34" s="2228"/>
      <c r="C34" s="2228"/>
      <c r="D34" s="2147"/>
      <c r="E34" s="2147"/>
      <c r="F34" s="2147"/>
      <c r="H34" s="2147"/>
    </row>
    <row r="35" spans="1:8" ht="13.8" hidden="1">
      <c r="A35" s="2147"/>
      <c r="B35" s="2228"/>
      <c r="C35" s="2228"/>
      <c r="D35" s="2147"/>
      <c r="E35" s="2147"/>
      <c r="F35" s="2147"/>
      <c r="H35" s="2147"/>
    </row>
    <row r="36" spans="1:8" ht="13.8" hidden="1">
      <c r="A36" s="2147"/>
      <c r="B36" s="2228"/>
      <c r="C36" s="2228"/>
      <c r="D36" s="2147"/>
      <c r="E36" s="2145" t="s">
        <v>5182</v>
      </c>
      <c r="F36" s="2147"/>
      <c r="H36" s="2147"/>
    </row>
    <row r="37" spans="1:8" ht="13.8" hidden="1">
      <c r="A37" s="2147"/>
      <c r="B37" s="2228"/>
      <c r="C37" s="2228"/>
      <c r="D37" s="2147"/>
      <c r="E37" s="2147" t="s">
        <v>3548</v>
      </c>
      <c r="F37" s="2147"/>
      <c r="H37" s="2147"/>
    </row>
    <row r="38" spans="1:8" hidden="1"/>
    <row r="39" spans="1:8" hidden="1"/>
    <row r="40" spans="1:8" hidden="1"/>
    <row r="41" spans="1:8" hidden="1"/>
    <row r="42" spans="1:8" hidden="1"/>
  </sheetData>
  <pageMargins left="0.5" right="0.25" top="0.75" bottom="0.5" header="0.5" footer="0.25"/>
  <pageSetup paperSize="119" orientation="portrait" horizontalDpi="300" verticalDpi="300" r:id="rId1"/>
  <headerFooter alignWithMargins="0"/>
</worksheet>
</file>

<file path=xl/worksheets/sheet143.xml><?xml version="1.0" encoding="utf-8"?>
<worksheet xmlns="http://schemas.openxmlformats.org/spreadsheetml/2006/main" xmlns:r="http://schemas.openxmlformats.org/officeDocument/2006/relationships">
  <sheetPr codeName="Sheet102">
    <tabColor rgb="FFFFFF00"/>
  </sheetPr>
  <dimension ref="A1:H92"/>
  <sheetViews>
    <sheetView showGridLines="0" topLeftCell="A31" workbookViewId="0">
      <selection activeCell="G31" sqref="G1:M1048576"/>
    </sheetView>
  </sheetViews>
  <sheetFormatPr defaultRowHeight="12.9" customHeight="1"/>
  <cols>
    <col min="1" max="1" width="40.5546875" style="7001" customWidth="1"/>
    <col min="2" max="3" width="8.5546875" style="7001" customWidth="1"/>
    <col min="4" max="6" width="14.5546875" style="7001" customWidth="1"/>
    <col min="7" max="7" width="12.88671875" style="7001" hidden="1" customWidth="1"/>
    <col min="8" max="8" width="14.88671875" style="7001" hidden="1" customWidth="1"/>
    <col min="9" max="13" width="0" style="7001" hidden="1" customWidth="1"/>
    <col min="14" max="256" width="9.109375" style="7001"/>
    <col min="257" max="257" width="33.44140625" style="7001" customWidth="1"/>
    <col min="258" max="258" width="10.88671875" style="7001" customWidth="1"/>
    <col min="259" max="259" width="10.44140625" style="7001" customWidth="1"/>
    <col min="260" max="260" width="11.109375" style="7001" customWidth="1"/>
    <col min="261" max="261" width="14.44140625" style="7001" customWidth="1"/>
    <col min="262" max="262" width="15.109375" style="7001" customWidth="1"/>
    <col min="263" max="512" width="9.109375" style="7001"/>
    <col min="513" max="513" width="33.44140625" style="7001" customWidth="1"/>
    <col min="514" max="514" width="10.88671875" style="7001" customWidth="1"/>
    <col min="515" max="515" width="10.44140625" style="7001" customWidth="1"/>
    <col min="516" max="516" width="11.109375" style="7001" customWidth="1"/>
    <col min="517" max="517" width="14.44140625" style="7001" customWidth="1"/>
    <col min="518" max="518" width="15.109375" style="7001" customWidth="1"/>
    <col min="519" max="768" width="9.109375" style="7001"/>
    <col min="769" max="769" width="33.44140625" style="7001" customWidth="1"/>
    <col min="770" max="770" width="10.88671875" style="7001" customWidth="1"/>
    <col min="771" max="771" width="10.44140625" style="7001" customWidth="1"/>
    <col min="772" max="772" width="11.109375" style="7001" customWidth="1"/>
    <col min="773" max="773" width="14.44140625" style="7001" customWidth="1"/>
    <col min="774" max="774" width="15.109375" style="7001" customWidth="1"/>
    <col min="775" max="1024" width="9.109375" style="7001"/>
    <col min="1025" max="1025" width="33.44140625" style="7001" customWidth="1"/>
    <col min="1026" max="1026" width="10.88671875" style="7001" customWidth="1"/>
    <col min="1027" max="1027" width="10.44140625" style="7001" customWidth="1"/>
    <col min="1028" max="1028" width="11.109375" style="7001" customWidth="1"/>
    <col min="1029" max="1029" width="14.44140625" style="7001" customWidth="1"/>
    <col min="1030" max="1030" width="15.109375" style="7001" customWidth="1"/>
    <col min="1031" max="1280" width="9.109375" style="7001"/>
    <col min="1281" max="1281" width="33.44140625" style="7001" customWidth="1"/>
    <col min="1282" max="1282" width="10.88671875" style="7001" customWidth="1"/>
    <col min="1283" max="1283" width="10.44140625" style="7001" customWidth="1"/>
    <col min="1284" max="1284" width="11.109375" style="7001" customWidth="1"/>
    <col min="1285" max="1285" width="14.44140625" style="7001" customWidth="1"/>
    <col min="1286" max="1286" width="15.109375" style="7001" customWidth="1"/>
    <col min="1287" max="1536" width="9.109375" style="7001"/>
    <col min="1537" max="1537" width="33.44140625" style="7001" customWidth="1"/>
    <col min="1538" max="1538" width="10.88671875" style="7001" customWidth="1"/>
    <col min="1539" max="1539" width="10.44140625" style="7001" customWidth="1"/>
    <col min="1540" max="1540" width="11.109375" style="7001" customWidth="1"/>
    <col min="1541" max="1541" width="14.44140625" style="7001" customWidth="1"/>
    <col min="1542" max="1542" width="15.109375" style="7001" customWidth="1"/>
    <col min="1543" max="1792" width="9.109375" style="7001"/>
    <col min="1793" max="1793" width="33.44140625" style="7001" customWidth="1"/>
    <col min="1794" max="1794" width="10.88671875" style="7001" customWidth="1"/>
    <col min="1795" max="1795" width="10.44140625" style="7001" customWidth="1"/>
    <col min="1796" max="1796" width="11.109375" style="7001" customWidth="1"/>
    <col min="1797" max="1797" width="14.44140625" style="7001" customWidth="1"/>
    <col min="1798" max="1798" width="15.109375" style="7001" customWidth="1"/>
    <col min="1799" max="2048" width="9.109375" style="7001"/>
    <col min="2049" max="2049" width="33.44140625" style="7001" customWidth="1"/>
    <col min="2050" max="2050" width="10.88671875" style="7001" customWidth="1"/>
    <col min="2051" max="2051" width="10.44140625" style="7001" customWidth="1"/>
    <col min="2052" max="2052" width="11.109375" style="7001" customWidth="1"/>
    <col min="2053" max="2053" width="14.44140625" style="7001" customWidth="1"/>
    <col min="2054" max="2054" width="15.109375" style="7001" customWidth="1"/>
    <col min="2055" max="2304" width="9.109375" style="7001"/>
    <col min="2305" max="2305" width="33.44140625" style="7001" customWidth="1"/>
    <col min="2306" max="2306" width="10.88671875" style="7001" customWidth="1"/>
    <col min="2307" max="2307" width="10.44140625" style="7001" customWidth="1"/>
    <col min="2308" max="2308" width="11.109375" style="7001" customWidth="1"/>
    <col min="2309" max="2309" width="14.44140625" style="7001" customWidth="1"/>
    <col min="2310" max="2310" width="15.109375" style="7001" customWidth="1"/>
    <col min="2311" max="2560" width="9.109375" style="7001"/>
    <col min="2561" max="2561" width="33.44140625" style="7001" customWidth="1"/>
    <col min="2562" max="2562" width="10.88671875" style="7001" customWidth="1"/>
    <col min="2563" max="2563" width="10.44140625" style="7001" customWidth="1"/>
    <col min="2564" max="2564" width="11.109375" style="7001" customWidth="1"/>
    <col min="2565" max="2565" width="14.44140625" style="7001" customWidth="1"/>
    <col min="2566" max="2566" width="15.109375" style="7001" customWidth="1"/>
    <col min="2567" max="2816" width="9.109375" style="7001"/>
    <col min="2817" max="2817" width="33.44140625" style="7001" customWidth="1"/>
    <col min="2818" max="2818" width="10.88671875" style="7001" customWidth="1"/>
    <col min="2819" max="2819" width="10.44140625" style="7001" customWidth="1"/>
    <col min="2820" max="2820" width="11.109375" style="7001" customWidth="1"/>
    <col min="2821" max="2821" width="14.44140625" style="7001" customWidth="1"/>
    <col min="2822" max="2822" width="15.109375" style="7001" customWidth="1"/>
    <col min="2823" max="3072" width="9.109375" style="7001"/>
    <col min="3073" max="3073" width="33.44140625" style="7001" customWidth="1"/>
    <col min="3074" max="3074" width="10.88671875" style="7001" customWidth="1"/>
    <col min="3075" max="3075" width="10.44140625" style="7001" customWidth="1"/>
    <col min="3076" max="3076" width="11.109375" style="7001" customWidth="1"/>
    <col min="3077" max="3077" width="14.44140625" style="7001" customWidth="1"/>
    <col min="3078" max="3078" width="15.109375" style="7001" customWidth="1"/>
    <col min="3079" max="3328" width="9.109375" style="7001"/>
    <col min="3329" max="3329" width="33.44140625" style="7001" customWidth="1"/>
    <col min="3330" max="3330" width="10.88671875" style="7001" customWidth="1"/>
    <col min="3331" max="3331" width="10.44140625" style="7001" customWidth="1"/>
    <col min="3332" max="3332" width="11.109375" style="7001" customWidth="1"/>
    <col min="3333" max="3333" width="14.44140625" style="7001" customWidth="1"/>
    <col min="3334" max="3334" width="15.109375" style="7001" customWidth="1"/>
    <col min="3335" max="3584" width="9.109375" style="7001"/>
    <col min="3585" max="3585" width="33.44140625" style="7001" customWidth="1"/>
    <col min="3586" max="3586" width="10.88671875" style="7001" customWidth="1"/>
    <col min="3587" max="3587" width="10.44140625" style="7001" customWidth="1"/>
    <col min="3588" max="3588" width="11.109375" style="7001" customWidth="1"/>
    <col min="3589" max="3589" width="14.44140625" style="7001" customWidth="1"/>
    <col min="3590" max="3590" width="15.109375" style="7001" customWidth="1"/>
    <col min="3591" max="3840" width="9.109375" style="7001"/>
    <col min="3841" max="3841" width="33.44140625" style="7001" customWidth="1"/>
    <col min="3842" max="3842" width="10.88671875" style="7001" customWidth="1"/>
    <col min="3843" max="3843" width="10.44140625" style="7001" customWidth="1"/>
    <col min="3844" max="3844" width="11.109375" style="7001" customWidth="1"/>
    <col min="3845" max="3845" width="14.44140625" style="7001" customWidth="1"/>
    <col min="3846" max="3846" width="15.109375" style="7001" customWidth="1"/>
    <col min="3847" max="4096" width="9.109375" style="7001"/>
    <col min="4097" max="4097" width="33.44140625" style="7001" customWidth="1"/>
    <col min="4098" max="4098" width="10.88671875" style="7001" customWidth="1"/>
    <col min="4099" max="4099" width="10.44140625" style="7001" customWidth="1"/>
    <col min="4100" max="4100" width="11.109375" style="7001" customWidth="1"/>
    <col min="4101" max="4101" width="14.44140625" style="7001" customWidth="1"/>
    <col min="4102" max="4102" width="15.109375" style="7001" customWidth="1"/>
    <col min="4103" max="4352" width="9.109375" style="7001"/>
    <col min="4353" max="4353" width="33.44140625" style="7001" customWidth="1"/>
    <col min="4354" max="4354" width="10.88671875" style="7001" customWidth="1"/>
    <col min="4355" max="4355" width="10.44140625" style="7001" customWidth="1"/>
    <col min="4356" max="4356" width="11.109375" style="7001" customWidth="1"/>
    <col min="4357" max="4357" width="14.44140625" style="7001" customWidth="1"/>
    <col min="4358" max="4358" width="15.109375" style="7001" customWidth="1"/>
    <col min="4359" max="4608" width="9.109375" style="7001"/>
    <col min="4609" max="4609" width="33.44140625" style="7001" customWidth="1"/>
    <col min="4610" max="4610" width="10.88671875" style="7001" customWidth="1"/>
    <col min="4611" max="4611" width="10.44140625" style="7001" customWidth="1"/>
    <col min="4612" max="4612" width="11.109375" style="7001" customWidth="1"/>
    <col min="4613" max="4613" width="14.44140625" style="7001" customWidth="1"/>
    <col min="4614" max="4614" width="15.109375" style="7001" customWidth="1"/>
    <col min="4615" max="4864" width="9.109375" style="7001"/>
    <col min="4865" max="4865" width="33.44140625" style="7001" customWidth="1"/>
    <col min="4866" max="4866" width="10.88671875" style="7001" customWidth="1"/>
    <col min="4867" max="4867" width="10.44140625" style="7001" customWidth="1"/>
    <col min="4868" max="4868" width="11.109375" style="7001" customWidth="1"/>
    <col min="4869" max="4869" width="14.44140625" style="7001" customWidth="1"/>
    <col min="4870" max="4870" width="15.109375" style="7001" customWidth="1"/>
    <col min="4871" max="5120" width="9.109375" style="7001"/>
    <col min="5121" max="5121" width="33.44140625" style="7001" customWidth="1"/>
    <col min="5122" max="5122" width="10.88671875" style="7001" customWidth="1"/>
    <col min="5123" max="5123" width="10.44140625" style="7001" customWidth="1"/>
    <col min="5124" max="5124" width="11.109375" style="7001" customWidth="1"/>
    <col min="5125" max="5125" width="14.44140625" style="7001" customWidth="1"/>
    <col min="5126" max="5126" width="15.109375" style="7001" customWidth="1"/>
    <col min="5127" max="5376" width="9.109375" style="7001"/>
    <col min="5377" max="5377" width="33.44140625" style="7001" customWidth="1"/>
    <col min="5378" max="5378" width="10.88671875" style="7001" customWidth="1"/>
    <col min="5379" max="5379" width="10.44140625" style="7001" customWidth="1"/>
    <col min="5380" max="5380" width="11.109375" style="7001" customWidth="1"/>
    <col min="5381" max="5381" width="14.44140625" style="7001" customWidth="1"/>
    <col min="5382" max="5382" width="15.109375" style="7001" customWidth="1"/>
    <col min="5383" max="5632" width="9.109375" style="7001"/>
    <col min="5633" max="5633" width="33.44140625" style="7001" customWidth="1"/>
    <col min="5634" max="5634" width="10.88671875" style="7001" customWidth="1"/>
    <col min="5635" max="5635" width="10.44140625" style="7001" customWidth="1"/>
    <col min="5636" max="5636" width="11.109375" style="7001" customWidth="1"/>
    <col min="5637" max="5637" width="14.44140625" style="7001" customWidth="1"/>
    <col min="5638" max="5638" width="15.109375" style="7001" customWidth="1"/>
    <col min="5639" max="5888" width="9.109375" style="7001"/>
    <col min="5889" max="5889" width="33.44140625" style="7001" customWidth="1"/>
    <col min="5890" max="5890" width="10.88671875" style="7001" customWidth="1"/>
    <col min="5891" max="5891" width="10.44140625" style="7001" customWidth="1"/>
    <col min="5892" max="5892" width="11.109375" style="7001" customWidth="1"/>
    <col min="5893" max="5893" width="14.44140625" style="7001" customWidth="1"/>
    <col min="5894" max="5894" width="15.109375" style="7001" customWidth="1"/>
    <col min="5895" max="6144" width="9.109375" style="7001"/>
    <col min="6145" max="6145" width="33.44140625" style="7001" customWidth="1"/>
    <col min="6146" max="6146" width="10.88671875" style="7001" customWidth="1"/>
    <col min="6147" max="6147" width="10.44140625" style="7001" customWidth="1"/>
    <col min="6148" max="6148" width="11.109375" style="7001" customWidth="1"/>
    <col min="6149" max="6149" width="14.44140625" style="7001" customWidth="1"/>
    <col min="6150" max="6150" width="15.109375" style="7001" customWidth="1"/>
    <col min="6151" max="6400" width="9.109375" style="7001"/>
    <col min="6401" max="6401" width="33.44140625" style="7001" customWidth="1"/>
    <col min="6402" max="6402" width="10.88671875" style="7001" customWidth="1"/>
    <col min="6403" max="6403" width="10.44140625" style="7001" customWidth="1"/>
    <col min="6404" max="6404" width="11.109375" style="7001" customWidth="1"/>
    <col min="6405" max="6405" width="14.44140625" style="7001" customWidth="1"/>
    <col min="6406" max="6406" width="15.109375" style="7001" customWidth="1"/>
    <col min="6407" max="6656" width="9.109375" style="7001"/>
    <col min="6657" max="6657" width="33.44140625" style="7001" customWidth="1"/>
    <col min="6658" max="6658" width="10.88671875" style="7001" customWidth="1"/>
    <col min="6659" max="6659" width="10.44140625" style="7001" customWidth="1"/>
    <col min="6660" max="6660" width="11.109375" style="7001" customWidth="1"/>
    <col min="6661" max="6661" width="14.44140625" style="7001" customWidth="1"/>
    <col min="6662" max="6662" width="15.109375" style="7001" customWidth="1"/>
    <col min="6663" max="6912" width="9.109375" style="7001"/>
    <col min="6913" max="6913" width="33.44140625" style="7001" customWidth="1"/>
    <col min="6914" max="6914" width="10.88671875" style="7001" customWidth="1"/>
    <col min="6915" max="6915" width="10.44140625" style="7001" customWidth="1"/>
    <col min="6916" max="6916" width="11.109375" style="7001" customWidth="1"/>
    <col min="6917" max="6917" width="14.44140625" style="7001" customWidth="1"/>
    <col min="6918" max="6918" width="15.109375" style="7001" customWidth="1"/>
    <col min="6919" max="7168" width="9.109375" style="7001"/>
    <col min="7169" max="7169" width="33.44140625" style="7001" customWidth="1"/>
    <col min="7170" max="7170" width="10.88671875" style="7001" customWidth="1"/>
    <col min="7171" max="7171" width="10.44140625" style="7001" customWidth="1"/>
    <col min="7172" max="7172" width="11.109375" style="7001" customWidth="1"/>
    <col min="7173" max="7173" width="14.44140625" style="7001" customWidth="1"/>
    <col min="7174" max="7174" width="15.109375" style="7001" customWidth="1"/>
    <col min="7175" max="7424" width="9.109375" style="7001"/>
    <col min="7425" max="7425" width="33.44140625" style="7001" customWidth="1"/>
    <col min="7426" max="7426" width="10.88671875" style="7001" customWidth="1"/>
    <col min="7427" max="7427" width="10.44140625" style="7001" customWidth="1"/>
    <col min="7428" max="7428" width="11.109375" style="7001" customWidth="1"/>
    <col min="7429" max="7429" width="14.44140625" style="7001" customWidth="1"/>
    <col min="7430" max="7430" width="15.109375" style="7001" customWidth="1"/>
    <col min="7431" max="7680" width="9.109375" style="7001"/>
    <col min="7681" max="7681" width="33.44140625" style="7001" customWidth="1"/>
    <col min="7682" max="7682" width="10.88671875" style="7001" customWidth="1"/>
    <col min="7683" max="7683" width="10.44140625" style="7001" customWidth="1"/>
    <col min="7684" max="7684" width="11.109375" style="7001" customWidth="1"/>
    <col min="7685" max="7685" width="14.44140625" style="7001" customWidth="1"/>
    <col min="7686" max="7686" width="15.109375" style="7001" customWidth="1"/>
    <col min="7687" max="7936" width="9.109375" style="7001"/>
    <col min="7937" max="7937" width="33.44140625" style="7001" customWidth="1"/>
    <col min="7938" max="7938" width="10.88671875" style="7001" customWidth="1"/>
    <col min="7939" max="7939" width="10.44140625" style="7001" customWidth="1"/>
    <col min="7940" max="7940" width="11.109375" style="7001" customWidth="1"/>
    <col min="7941" max="7941" width="14.44140625" style="7001" customWidth="1"/>
    <col min="7942" max="7942" width="15.109375" style="7001" customWidth="1"/>
    <col min="7943" max="8192" width="9.109375" style="7001"/>
    <col min="8193" max="8193" width="33.44140625" style="7001" customWidth="1"/>
    <col min="8194" max="8194" width="10.88671875" style="7001" customWidth="1"/>
    <col min="8195" max="8195" width="10.44140625" style="7001" customWidth="1"/>
    <col min="8196" max="8196" width="11.109375" style="7001" customWidth="1"/>
    <col min="8197" max="8197" width="14.44140625" style="7001" customWidth="1"/>
    <col min="8198" max="8198" width="15.109375" style="7001" customWidth="1"/>
    <col min="8199" max="8448" width="9.109375" style="7001"/>
    <col min="8449" max="8449" width="33.44140625" style="7001" customWidth="1"/>
    <col min="8450" max="8450" width="10.88671875" style="7001" customWidth="1"/>
    <col min="8451" max="8451" width="10.44140625" style="7001" customWidth="1"/>
    <col min="8452" max="8452" width="11.109375" style="7001" customWidth="1"/>
    <col min="8453" max="8453" width="14.44140625" style="7001" customWidth="1"/>
    <col min="8454" max="8454" width="15.109375" style="7001" customWidth="1"/>
    <col min="8455" max="8704" width="9.109375" style="7001"/>
    <col min="8705" max="8705" width="33.44140625" style="7001" customWidth="1"/>
    <col min="8706" max="8706" width="10.88671875" style="7001" customWidth="1"/>
    <col min="8707" max="8707" width="10.44140625" style="7001" customWidth="1"/>
    <col min="8708" max="8708" width="11.109375" style="7001" customWidth="1"/>
    <col min="8709" max="8709" width="14.44140625" style="7001" customWidth="1"/>
    <col min="8710" max="8710" width="15.109375" style="7001" customWidth="1"/>
    <col min="8711" max="8960" width="9.109375" style="7001"/>
    <col min="8961" max="8961" width="33.44140625" style="7001" customWidth="1"/>
    <col min="8962" max="8962" width="10.88671875" style="7001" customWidth="1"/>
    <col min="8963" max="8963" width="10.44140625" style="7001" customWidth="1"/>
    <col min="8964" max="8964" width="11.109375" style="7001" customWidth="1"/>
    <col min="8965" max="8965" width="14.44140625" style="7001" customWidth="1"/>
    <col min="8966" max="8966" width="15.109375" style="7001" customWidth="1"/>
    <col min="8967" max="9216" width="9.109375" style="7001"/>
    <col min="9217" max="9217" width="33.44140625" style="7001" customWidth="1"/>
    <col min="9218" max="9218" width="10.88671875" style="7001" customWidth="1"/>
    <col min="9219" max="9219" width="10.44140625" style="7001" customWidth="1"/>
    <col min="9220" max="9220" width="11.109375" style="7001" customWidth="1"/>
    <col min="9221" max="9221" width="14.44140625" style="7001" customWidth="1"/>
    <col min="9222" max="9222" width="15.109375" style="7001" customWidth="1"/>
    <col min="9223" max="9472" width="9.109375" style="7001"/>
    <col min="9473" max="9473" width="33.44140625" style="7001" customWidth="1"/>
    <col min="9474" max="9474" width="10.88671875" style="7001" customWidth="1"/>
    <col min="9475" max="9475" width="10.44140625" style="7001" customWidth="1"/>
    <col min="9476" max="9476" width="11.109375" style="7001" customWidth="1"/>
    <col min="9477" max="9477" width="14.44140625" style="7001" customWidth="1"/>
    <col min="9478" max="9478" width="15.109375" style="7001" customWidth="1"/>
    <col min="9479" max="9728" width="9.109375" style="7001"/>
    <col min="9729" max="9729" width="33.44140625" style="7001" customWidth="1"/>
    <col min="9730" max="9730" width="10.88671875" style="7001" customWidth="1"/>
    <col min="9731" max="9731" width="10.44140625" style="7001" customWidth="1"/>
    <col min="9732" max="9732" width="11.109375" style="7001" customWidth="1"/>
    <col min="9733" max="9733" width="14.44140625" style="7001" customWidth="1"/>
    <col min="9734" max="9734" width="15.109375" style="7001" customWidth="1"/>
    <col min="9735" max="9984" width="9.109375" style="7001"/>
    <col min="9985" max="9985" width="33.44140625" style="7001" customWidth="1"/>
    <col min="9986" max="9986" width="10.88671875" style="7001" customWidth="1"/>
    <col min="9987" max="9987" width="10.44140625" style="7001" customWidth="1"/>
    <col min="9988" max="9988" width="11.109375" style="7001" customWidth="1"/>
    <col min="9989" max="9989" width="14.44140625" style="7001" customWidth="1"/>
    <col min="9990" max="9990" width="15.109375" style="7001" customWidth="1"/>
    <col min="9991" max="10240" width="9.109375" style="7001"/>
    <col min="10241" max="10241" width="33.44140625" style="7001" customWidth="1"/>
    <col min="10242" max="10242" width="10.88671875" style="7001" customWidth="1"/>
    <col min="10243" max="10243" width="10.44140625" style="7001" customWidth="1"/>
    <col min="10244" max="10244" width="11.109375" style="7001" customWidth="1"/>
    <col min="10245" max="10245" width="14.44140625" style="7001" customWidth="1"/>
    <col min="10246" max="10246" width="15.109375" style="7001" customWidth="1"/>
    <col min="10247" max="10496" width="9.109375" style="7001"/>
    <col min="10497" max="10497" width="33.44140625" style="7001" customWidth="1"/>
    <col min="10498" max="10498" width="10.88671875" style="7001" customWidth="1"/>
    <col min="10499" max="10499" width="10.44140625" style="7001" customWidth="1"/>
    <col min="10500" max="10500" width="11.109375" style="7001" customWidth="1"/>
    <col min="10501" max="10501" width="14.44140625" style="7001" customWidth="1"/>
    <col min="10502" max="10502" width="15.109375" style="7001" customWidth="1"/>
    <col min="10503" max="10752" width="9.109375" style="7001"/>
    <col min="10753" max="10753" width="33.44140625" style="7001" customWidth="1"/>
    <col min="10754" max="10754" width="10.88671875" style="7001" customWidth="1"/>
    <col min="10755" max="10755" width="10.44140625" style="7001" customWidth="1"/>
    <col min="10756" max="10756" width="11.109375" style="7001" customWidth="1"/>
    <col min="10757" max="10757" width="14.44140625" style="7001" customWidth="1"/>
    <col min="10758" max="10758" width="15.109375" style="7001" customWidth="1"/>
    <col min="10759" max="11008" width="9.109375" style="7001"/>
    <col min="11009" max="11009" width="33.44140625" style="7001" customWidth="1"/>
    <col min="11010" max="11010" width="10.88671875" style="7001" customWidth="1"/>
    <col min="11011" max="11011" width="10.44140625" style="7001" customWidth="1"/>
    <col min="11012" max="11012" width="11.109375" style="7001" customWidth="1"/>
    <col min="11013" max="11013" width="14.44140625" style="7001" customWidth="1"/>
    <col min="11014" max="11014" width="15.109375" style="7001" customWidth="1"/>
    <col min="11015" max="11264" width="9.109375" style="7001"/>
    <col min="11265" max="11265" width="33.44140625" style="7001" customWidth="1"/>
    <col min="11266" max="11266" width="10.88671875" style="7001" customWidth="1"/>
    <col min="11267" max="11267" width="10.44140625" style="7001" customWidth="1"/>
    <col min="11268" max="11268" width="11.109375" style="7001" customWidth="1"/>
    <col min="11269" max="11269" width="14.44140625" style="7001" customWidth="1"/>
    <col min="11270" max="11270" width="15.109375" style="7001" customWidth="1"/>
    <col min="11271" max="11520" width="9.109375" style="7001"/>
    <col min="11521" max="11521" width="33.44140625" style="7001" customWidth="1"/>
    <col min="11522" max="11522" width="10.88671875" style="7001" customWidth="1"/>
    <col min="11523" max="11523" width="10.44140625" style="7001" customWidth="1"/>
    <col min="11524" max="11524" width="11.109375" style="7001" customWidth="1"/>
    <col min="11525" max="11525" width="14.44140625" style="7001" customWidth="1"/>
    <col min="11526" max="11526" width="15.109375" style="7001" customWidth="1"/>
    <col min="11527" max="11776" width="9.109375" style="7001"/>
    <col min="11777" max="11777" width="33.44140625" style="7001" customWidth="1"/>
    <col min="11778" max="11778" width="10.88671875" style="7001" customWidth="1"/>
    <col min="11779" max="11779" width="10.44140625" style="7001" customWidth="1"/>
    <col min="11780" max="11780" width="11.109375" style="7001" customWidth="1"/>
    <col min="11781" max="11781" width="14.44140625" style="7001" customWidth="1"/>
    <col min="11782" max="11782" width="15.109375" style="7001" customWidth="1"/>
    <col min="11783" max="12032" width="9.109375" style="7001"/>
    <col min="12033" max="12033" width="33.44140625" style="7001" customWidth="1"/>
    <col min="12034" max="12034" width="10.88671875" style="7001" customWidth="1"/>
    <col min="12035" max="12035" width="10.44140625" style="7001" customWidth="1"/>
    <col min="12036" max="12036" width="11.109375" style="7001" customWidth="1"/>
    <col min="12037" max="12037" width="14.44140625" style="7001" customWidth="1"/>
    <col min="12038" max="12038" width="15.109375" style="7001" customWidth="1"/>
    <col min="12039" max="12288" width="9.109375" style="7001"/>
    <col min="12289" max="12289" width="33.44140625" style="7001" customWidth="1"/>
    <col min="12290" max="12290" width="10.88671875" style="7001" customWidth="1"/>
    <col min="12291" max="12291" width="10.44140625" style="7001" customWidth="1"/>
    <col min="12292" max="12292" width="11.109375" style="7001" customWidth="1"/>
    <col min="12293" max="12293" width="14.44140625" style="7001" customWidth="1"/>
    <col min="12294" max="12294" width="15.109375" style="7001" customWidth="1"/>
    <col min="12295" max="12544" width="9.109375" style="7001"/>
    <col min="12545" max="12545" width="33.44140625" style="7001" customWidth="1"/>
    <col min="12546" max="12546" width="10.88671875" style="7001" customWidth="1"/>
    <col min="12547" max="12547" width="10.44140625" style="7001" customWidth="1"/>
    <col min="12548" max="12548" width="11.109375" style="7001" customWidth="1"/>
    <col min="12549" max="12549" width="14.44140625" style="7001" customWidth="1"/>
    <col min="12550" max="12550" width="15.109375" style="7001" customWidth="1"/>
    <col min="12551" max="12800" width="9.109375" style="7001"/>
    <col min="12801" max="12801" width="33.44140625" style="7001" customWidth="1"/>
    <col min="12802" max="12802" width="10.88671875" style="7001" customWidth="1"/>
    <col min="12803" max="12803" width="10.44140625" style="7001" customWidth="1"/>
    <col min="12804" max="12804" width="11.109375" style="7001" customWidth="1"/>
    <col min="12805" max="12805" width="14.44140625" style="7001" customWidth="1"/>
    <col min="12806" max="12806" width="15.109375" style="7001" customWidth="1"/>
    <col min="12807" max="13056" width="9.109375" style="7001"/>
    <col min="13057" max="13057" width="33.44140625" style="7001" customWidth="1"/>
    <col min="13058" max="13058" width="10.88671875" style="7001" customWidth="1"/>
    <col min="13059" max="13059" width="10.44140625" style="7001" customWidth="1"/>
    <col min="13060" max="13060" width="11.109375" style="7001" customWidth="1"/>
    <col min="13061" max="13061" width="14.44140625" style="7001" customWidth="1"/>
    <col min="13062" max="13062" width="15.109375" style="7001" customWidth="1"/>
    <col min="13063" max="13312" width="9.109375" style="7001"/>
    <col min="13313" max="13313" width="33.44140625" style="7001" customWidth="1"/>
    <col min="13314" max="13314" width="10.88671875" style="7001" customWidth="1"/>
    <col min="13315" max="13315" width="10.44140625" style="7001" customWidth="1"/>
    <col min="13316" max="13316" width="11.109375" style="7001" customWidth="1"/>
    <col min="13317" max="13317" width="14.44140625" style="7001" customWidth="1"/>
    <col min="13318" max="13318" width="15.109375" style="7001" customWidth="1"/>
    <col min="13319" max="13568" width="9.109375" style="7001"/>
    <col min="13569" max="13569" width="33.44140625" style="7001" customWidth="1"/>
    <col min="13570" max="13570" width="10.88671875" style="7001" customWidth="1"/>
    <col min="13571" max="13571" width="10.44140625" style="7001" customWidth="1"/>
    <col min="13572" max="13572" width="11.109375" style="7001" customWidth="1"/>
    <col min="13573" max="13573" width="14.44140625" style="7001" customWidth="1"/>
    <col min="13574" max="13574" width="15.109375" style="7001" customWidth="1"/>
    <col min="13575" max="13824" width="9.109375" style="7001"/>
    <col min="13825" max="13825" width="33.44140625" style="7001" customWidth="1"/>
    <col min="13826" max="13826" width="10.88671875" style="7001" customWidth="1"/>
    <col min="13827" max="13827" width="10.44140625" style="7001" customWidth="1"/>
    <col min="13828" max="13828" width="11.109375" style="7001" customWidth="1"/>
    <col min="13829" max="13829" width="14.44140625" style="7001" customWidth="1"/>
    <col min="13830" max="13830" width="15.109375" style="7001" customWidth="1"/>
    <col min="13831" max="14080" width="9.109375" style="7001"/>
    <col min="14081" max="14081" width="33.44140625" style="7001" customWidth="1"/>
    <col min="14082" max="14082" width="10.88671875" style="7001" customWidth="1"/>
    <col min="14083" max="14083" width="10.44140625" style="7001" customWidth="1"/>
    <col min="14084" max="14084" width="11.109375" style="7001" customWidth="1"/>
    <col min="14085" max="14085" width="14.44140625" style="7001" customWidth="1"/>
    <col min="14086" max="14086" width="15.109375" style="7001" customWidth="1"/>
    <col min="14087" max="14336" width="9.109375" style="7001"/>
    <col min="14337" max="14337" width="33.44140625" style="7001" customWidth="1"/>
    <col min="14338" max="14338" width="10.88671875" style="7001" customWidth="1"/>
    <col min="14339" max="14339" width="10.44140625" style="7001" customWidth="1"/>
    <col min="14340" max="14340" width="11.109375" style="7001" customWidth="1"/>
    <col min="14341" max="14341" width="14.44140625" style="7001" customWidth="1"/>
    <col min="14342" max="14342" width="15.109375" style="7001" customWidth="1"/>
    <col min="14343" max="14592" width="9.109375" style="7001"/>
    <col min="14593" max="14593" width="33.44140625" style="7001" customWidth="1"/>
    <col min="14594" max="14594" width="10.88671875" style="7001" customWidth="1"/>
    <col min="14595" max="14595" width="10.44140625" style="7001" customWidth="1"/>
    <col min="14596" max="14596" width="11.109375" style="7001" customWidth="1"/>
    <col min="14597" max="14597" width="14.44140625" style="7001" customWidth="1"/>
    <col min="14598" max="14598" width="15.109375" style="7001" customWidth="1"/>
    <col min="14599" max="14848" width="9.109375" style="7001"/>
    <col min="14849" max="14849" width="33.44140625" style="7001" customWidth="1"/>
    <col min="14850" max="14850" width="10.88671875" style="7001" customWidth="1"/>
    <col min="14851" max="14851" width="10.44140625" style="7001" customWidth="1"/>
    <col min="14852" max="14852" width="11.109375" style="7001" customWidth="1"/>
    <col min="14853" max="14853" width="14.44140625" style="7001" customWidth="1"/>
    <col min="14854" max="14854" width="15.109375" style="7001" customWidth="1"/>
    <col min="14855" max="15104" width="9.109375" style="7001"/>
    <col min="15105" max="15105" width="33.44140625" style="7001" customWidth="1"/>
    <col min="15106" max="15106" width="10.88671875" style="7001" customWidth="1"/>
    <col min="15107" max="15107" width="10.44140625" style="7001" customWidth="1"/>
    <col min="15108" max="15108" width="11.109375" style="7001" customWidth="1"/>
    <col min="15109" max="15109" width="14.44140625" style="7001" customWidth="1"/>
    <col min="15110" max="15110" width="15.109375" style="7001" customWidth="1"/>
    <col min="15111" max="15360" width="9.109375" style="7001"/>
    <col min="15361" max="15361" width="33.44140625" style="7001" customWidth="1"/>
    <col min="15362" max="15362" width="10.88671875" style="7001" customWidth="1"/>
    <col min="15363" max="15363" width="10.44140625" style="7001" customWidth="1"/>
    <col min="15364" max="15364" width="11.109375" style="7001" customWidth="1"/>
    <col min="15365" max="15365" width="14.44140625" style="7001" customWidth="1"/>
    <col min="15366" max="15366" width="15.109375" style="7001" customWidth="1"/>
    <col min="15367" max="15616" width="9.109375" style="7001"/>
    <col min="15617" max="15617" width="33.44140625" style="7001" customWidth="1"/>
    <col min="15618" max="15618" width="10.88671875" style="7001" customWidth="1"/>
    <col min="15619" max="15619" width="10.44140625" style="7001" customWidth="1"/>
    <col min="15620" max="15620" width="11.109375" style="7001" customWidth="1"/>
    <col min="15621" max="15621" width="14.44140625" style="7001" customWidth="1"/>
    <col min="15622" max="15622" width="15.109375" style="7001" customWidth="1"/>
    <col min="15623" max="15872" width="9.109375" style="7001"/>
    <col min="15873" max="15873" width="33.44140625" style="7001" customWidth="1"/>
    <col min="15874" max="15874" width="10.88671875" style="7001" customWidth="1"/>
    <col min="15875" max="15875" width="10.44140625" style="7001" customWidth="1"/>
    <col min="15876" max="15876" width="11.109375" style="7001" customWidth="1"/>
    <col min="15877" max="15877" width="14.44140625" style="7001" customWidth="1"/>
    <col min="15878" max="15878" width="15.109375" style="7001" customWidth="1"/>
    <col min="15879" max="16128" width="9.109375" style="7001"/>
    <col min="16129" max="16129" width="33.44140625" style="7001" customWidth="1"/>
    <col min="16130" max="16130" width="10.88671875" style="7001" customWidth="1"/>
    <col min="16131" max="16131" width="10.44140625" style="7001" customWidth="1"/>
    <col min="16132" max="16132" width="11.109375" style="7001" customWidth="1"/>
    <col min="16133" max="16133" width="14.44140625" style="7001" customWidth="1"/>
    <col min="16134" max="16134" width="15.109375" style="7001" customWidth="1"/>
    <col min="16135" max="16384" width="9.109375" style="7001"/>
  </cols>
  <sheetData>
    <row r="1" spans="1:8" ht="12.9" customHeight="1">
      <c r="A1" s="14395" t="s">
        <v>1087</v>
      </c>
      <c r="B1" s="14395"/>
      <c r="C1" s="14395"/>
      <c r="D1" s="14395"/>
      <c r="E1" s="14395"/>
      <c r="F1" s="14395"/>
    </row>
    <row r="3" spans="1:8" ht="12.9" customHeight="1">
      <c r="A3" s="7162" t="s">
        <v>1377</v>
      </c>
    </row>
    <row r="4" spans="1:8" ht="12.9" customHeight="1" thickBot="1"/>
    <row r="5" spans="1:8" ht="12.9" customHeight="1">
      <c r="A5" s="9675" t="s">
        <v>842</v>
      </c>
      <c r="B5" s="10713" t="s">
        <v>1035</v>
      </c>
      <c r="C5" s="10713" t="s">
        <v>1036</v>
      </c>
      <c r="D5" s="14393" t="s">
        <v>1037</v>
      </c>
      <c r="E5" s="14393"/>
      <c r="F5" s="14394"/>
    </row>
    <row r="6" spans="1:8" ht="12.9" customHeight="1" thickBot="1">
      <c r="A6" s="9679" t="s">
        <v>1088</v>
      </c>
      <c r="B6" s="9755" t="s">
        <v>9</v>
      </c>
      <c r="C6" s="9755" t="s">
        <v>1039</v>
      </c>
      <c r="D6" s="9755" t="s">
        <v>10</v>
      </c>
      <c r="E6" s="9755" t="s">
        <v>11</v>
      </c>
      <c r="F6" s="9756" t="s">
        <v>11621</v>
      </c>
    </row>
    <row r="7" spans="1:8" ht="12.9" customHeight="1">
      <c r="A7" s="7248" t="s">
        <v>9</v>
      </c>
      <c r="B7" s="9665"/>
      <c r="C7" s="9665"/>
      <c r="D7" s="9665"/>
      <c r="E7" s="9665"/>
      <c r="F7" s="9729"/>
    </row>
    <row r="8" spans="1:8" ht="12.9" customHeight="1">
      <c r="A8" s="6230" t="s">
        <v>1139</v>
      </c>
      <c r="B8" s="7174"/>
      <c r="C8" s="7174"/>
      <c r="D8" s="7174"/>
      <c r="E8" s="7174"/>
      <c r="F8" s="7242"/>
    </row>
    <row r="9" spans="1:8" ht="12.9" customHeight="1">
      <c r="A9" s="6230" t="s">
        <v>1149</v>
      </c>
      <c r="B9" s="7174"/>
      <c r="C9" s="7174"/>
      <c r="D9" s="7174"/>
      <c r="E9" s="7174"/>
      <c r="F9" s="7242"/>
    </row>
    <row r="10" spans="1:8" ht="12.9" customHeight="1">
      <c r="A10" s="7231" t="s">
        <v>313</v>
      </c>
      <c r="B10" s="7172">
        <v>1</v>
      </c>
      <c r="C10" s="7172">
        <v>24</v>
      </c>
      <c r="D10" s="7177">
        <v>816096</v>
      </c>
      <c r="E10" s="7177">
        <v>947508</v>
      </c>
      <c r="F10" s="7245">
        <v>1085268</v>
      </c>
      <c r="G10" s="7001">
        <f>SUM(B10)</f>
        <v>1</v>
      </c>
      <c r="H10" s="7164">
        <f>SUM(F10)</f>
        <v>1085268</v>
      </c>
    </row>
    <row r="11" spans="1:8" ht="12.9" customHeight="1">
      <c r="A11" s="7231"/>
      <c r="B11" s="7174"/>
      <c r="C11" s="7174"/>
      <c r="D11" s="7174"/>
      <c r="E11" s="7174"/>
      <c r="F11" s="7242"/>
    </row>
    <row r="12" spans="1:8" ht="12.9" customHeight="1">
      <c r="A12" s="6230" t="s">
        <v>1151</v>
      </c>
      <c r="B12" s="7174"/>
      <c r="C12" s="7174"/>
      <c r="D12" s="7174"/>
      <c r="E12" s="7174"/>
      <c r="F12" s="7242"/>
    </row>
    <row r="13" spans="1:8" ht="12.9" customHeight="1">
      <c r="A13" s="6230" t="s">
        <v>1109</v>
      </c>
      <c r="B13" s="7174"/>
      <c r="C13" s="7174"/>
      <c r="D13" s="7174"/>
      <c r="E13" s="7174"/>
      <c r="F13" s="7242"/>
    </row>
    <row r="14" spans="1:8" ht="12.9" customHeight="1">
      <c r="A14" s="7231" t="s">
        <v>1385</v>
      </c>
      <c r="B14" s="7172">
        <v>3</v>
      </c>
      <c r="C14" s="7172">
        <v>21</v>
      </c>
      <c r="D14" s="7177">
        <v>1751496</v>
      </c>
      <c r="E14" s="7177">
        <v>1949208</v>
      </c>
      <c r="F14" s="7245">
        <v>2149632</v>
      </c>
    </row>
    <row r="15" spans="1:8" ht="12.9" customHeight="1">
      <c r="A15" s="7231" t="s">
        <v>10201</v>
      </c>
      <c r="B15" s="7172">
        <v>1</v>
      </c>
      <c r="C15" s="7172">
        <v>19</v>
      </c>
      <c r="D15" s="7177">
        <v>516612</v>
      </c>
      <c r="E15" s="7177">
        <v>560640</v>
      </c>
      <c r="F15" s="7245">
        <v>608424</v>
      </c>
    </row>
    <row r="16" spans="1:8" ht="12.9" customHeight="1">
      <c r="A16" s="7231" t="s">
        <v>3435</v>
      </c>
      <c r="B16" s="7172">
        <v>1</v>
      </c>
      <c r="C16" s="7172">
        <v>17</v>
      </c>
      <c r="D16" s="7177">
        <v>426288</v>
      </c>
      <c r="E16" s="7177">
        <v>453852</v>
      </c>
      <c r="F16" s="7245">
        <v>483204</v>
      </c>
    </row>
    <row r="17" spans="1:8" ht="12.9" customHeight="1">
      <c r="A17" s="7231" t="s">
        <v>10202</v>
      </c>
      <c r="B17" s="7172">
        <v>2</v>
      </c>
      <c r="C17" s="7172">
        <v>15</v>
      </c>
      <c r="D17" s="7177">
        <v>338568</v>
      </c>
      <c r="E17" s="7177">
        <v>360852</v>
      </c>
      <c r="F17" s="7245">
        <v>746532</v>
      </c>
    </row>
    <row r="18" spans="1:8" ht="12.9" customHeight="1">
      <c r="A18" s="7231" t="s">
        <v>10203</v>
      </c>
      <c r="B18" s="7172">
        <v>1</v>
      </c>
      <c r="C18" s="7172">
        <v>6</v>
      </c>
      <c r="D18" s="7177">
        <v>176772</v>
      </c>
      <c r="E18" s="7177">
        <v>182280</v>
      </c>
      <c r="F18" s="7245">
        <v>187968</v>
      </c>
    </row>
    <row r="19" spans="1:8" ht="12.9" customHeight="1">
      <c r="A19" s="7231" t="s">
        <v>10425</v>
      </c>
      <c r="B19" s="7172">
        <v>1</v>
      </c>
      <c r="C19" s="7172">
        <v>15</v>
      </c>
      <c r="D19" s="7177">
        <v>358824</v>
      </c>
      <c r="E19" s="7177">
        <v>378540</v>
      </c>
      <c r="F19" s="7245">
        <v>399348</v>
      </c>
    </row>
    <row r="20" spans="1:8" ht="12.9" customHeight="1">
      <c r="A20" s="7231" t="s">
        <v>10204</v>
      </c>
      <c r="B20" s="7172">
        <v>1</v>
      </c>
      <c r="C20" s="7172">
        <v>15</v>
      </c>
      <c r="D20" s="7177">
        <v>354684</v>
      </c>
      <c r="E20" s="7177">
        <v>374040</v>
      </c>
      <c r="F20" s="7245">
        <v>399348</v>
      </c>
    </row>
    <row r="21" spans="1:8" ht="12.9" customHeight="1">
      <c r="A21" s="7231" t="s">
        <v>10205</v>
      </c>
      <c r="B21" s="7172">
        <v>3</v>
      </c>
      <c r="C21" s="7172">
        <v>15</v>
      </c>
      <c r="D21" s="7177">
        <v>1072332</v>
      </c>
      <c r="E21" s="7177">
        <v>1131120</v>
      </c>
      <c r="F21" s="7245">
        <v>1198044</v>
      </c>
    </row>
    <row r="22" spans="1:8" ht="12.9" customHeight="1">
      <c r="A22" s="7231" t="s">
        <v>10206</v>
      </c>
      <c r="B22" s="7172">
        <v>3</v>
      </c>
      <c r="C22" s="7172">
        <v>11</v>
      </c>
      <c r="D22" s="7177">
        <v>493608</v>
      </c>
      <c r="E22" s="7177">
        <v>509544</v>
      </c>
      <c r="F22" s="7245">
        <v>775008</v>
      </c>
    </row>
    <row r="23" spans="1:8" ht="12.9" customHeight="1">
      <c r="A23" s="7231" t="s">
        <v>10702</v>
      </c>
      <c r="B23" s="9403">
        <v>1</v>
      </c>
      <c r="C23" s="9403">
        <v>10</v>
      </c>
      <c r="D23" s="7177">
        <v>0</v>
      </c>
      <c r="E23" s="7177">
        <v>0</v>
      </c>
      <c r="F23" s="9948">
        <v>230796</v>
      </c>
    </row>
    <row r="24" spans="1:8" ht="12.9" customHeight="1">
      <c r="A24" s="7231" t="s">
        <v>10700</v>
      </c>
      <c r="B24" s="9403">
        <v>1</v>
      </c>
      <c r="C24" s="9403">
        <v>10</v>
      </c>
      <c r="D24" s="7177">
        <v>0</v>
      </c>
      <c r="E24" s="7177">
        <v>0</v>
      </c>
      <c r="F24" s="9948">
        <v>230796</v>
      </c>
    </row>
    <row r="25" spans="1:8" ht="12.9" customHeight="1">
      <c r="A25" s="7231" t="s">
        <v>1382</v>
      </c>
      <c r="B25" s="7172">
        <v>3</v>
      </c>
      <c r="C25" s="7172">
        <v>4</v>
      </c>
      <c r="D25" s="7177">
        <v>456000</v>
      </c>
      <c r="E25" s="7177">
        <v>314352</v>
      </c>
      <c r="F25" s="7245">
        <v>486840</v>
      </c>
    </row>
    <row r="26" spans="1:8" ht="12.9" customHeight="1">
      <c r="A26" s="7231" t="s">
        <v>10207</v>
      </c>
      <c r="B26" s="7172">
        <v>1</v>
      </c>
      <c r="C26" s="7172">
        <v>4</v>
      </c>
      <c r="D26" s="7177">
        <v>153768</v>
      </c>
      <c r="E26" s="7177">
        <v>159780</v>
      </c>
      <c r="F26" s="7245">
        <v>167292</v>
      </c>
    </row>
    <row r="27" spans="1:8" ht="12.9" customHeight="1">
      <c r="A27" s="7231" t="s">
        <v>10208</v>
      </c>
      <c r="B27" s="7172">
        <v>1</v>
      </c>
      <c r="C27" s="7172">
        <v>3</v>
      </c>
      <c r="D27" s="7177">
        <v>145320</v>
      </c>
      <c r="E27" s="7177">
        <v>0</v>
      </c>
      <c r="F27" s="7245">
        <v>149592</v>
      </c>
    </row>
    <row r="28" spans="1:8" ht="12.9" customHeight="1">
      <c r="A28" s="7231" t="s">
        <v>3437</v>
      </c>
      <c r="B28" s="7172">
        <v>1</v>
      </c>
      <c r="C28" s="7172">
        <v>3</v>
      </c>
      <c r="D28" s="7177">
        <v>0</v>
      </c>
      <c r="E28" s="7177">
        <v>145344</v>
      </c>
      <c r="F28" s="7245">
        <v>149592</v>
      </c>
    </row>
    <row r="29" spans="1:8" ht="12.9" customHeight="1">
      <c r="A29" s="7231" t="s">
        <v>10209</v>
      </c>
      <c r="B29" s="7172">
        <v>1</v>
      </c>
      <c r="C29" s="7172">
        <v>6</v>
      </c>
      <c r="D29" s="7177">
        <v>170652</v>
      </c>
      <c r="E29" s="7177">
        <v>176388</v>
      </c>
      <c r="F29" s="7245">
        <v>183708</v>
      </c>
    </row>
    <row r="30" spans="1:8" ht="12.9" customHeight="1">
      <c r="A30" s="7231" t="s">
        <v>1418</v>
      </c>
      <c r="B30" s="7172">
        <v>1</v>
      </c>
      <c r="C30" s="7172">
        <v>5</v>
      </c>
      <c r="D30" s="7177">
        <v>165588</v>
      </c>
      <c r="E30" s="7177">
        <v>171360</v>
      </c>
      <c r="F30" s="7245">
        <v>177324</v>
      </c>
    </row>
    <row r="31" spans="1:8" ht="12.9" customHeight="1">
      <c r="A31" s="7231" t="s">
        <v>9</v>
      </c>
      <c r="B31" s="7172"/>
      <c r="C31" s="7172"/>
      <c r="D31" s="7177"/>
      <c r="E31" s="7177"/>
      <c r="F31" s="7245"/>
      <c r="G31" s="7001">
        <f>SUM(B14:B31)</f>
        <v>26</v>
      </c>
      <c r="H31" s="7164">
        <f>SUM(F14:F30)</f>
        <v>8723448</v>
      </c>
    </row>
    <row r="32" spans="1:8" ht="12.9" customHeight="1">
      <c r="A32" s="6230" t="s">
        <v>1094</v>
      </c>
      <c r="B32" s="7172"/>
      <c r="C32" s="7172"/>
      <c r="D32" s="7177"/>
      <c r="E32" s="7177"/>
      <c r="F32" s="7245"/>
    </row>
    <row r="33" spans="1:8" ht="12.9" customHeight="1">
      <c r="A33" s="7231" t="s">
        <v>10432</v>
      </c>
      <c r="B33" s="7172">
        <v>1</v>
      </c>
      <c r="C33" s="7172">
        <v>15</v>
      </c>
      <c r="D33" s="7177">
        <v>358824</v>
      </c>
      <c r="E33" s="7177">
        <v>378540</v>
      </c>
      <c r="F33" s="7245">
        <v>399348</v>
      </c>
    </row>
    <row r="34" spans="1:8" ht="12.9" customHeight="1">
      <c r="A34" s="7231" t="s">
        <v>1264</v>
      </c>
      <c r="B34" s="7172">
        <v>1</v>
      </c>
      <c r="C34" s="7172">
        <v>11</v>
      </c>
      <c r="D34" s="7177">
        <v>255684</v>
      </c>
      <c r="E34" s="7177">
        <v>264660</v>
      </c>
      <c r="F34" s="7245">
        <v>273948</v>
      </c>
    </row>
    <row r="35" spans="1:8" ht="12.9" hidden="1" customHeight="1">
      <c r="A35" s="7231" t="s">
        <v>1218</v>
      </c>
      <c r="B35" s="7172">
        <v>0</v>
      </c>
      <c r="C35" s="7172">
        <v>4</v>
      </c>
      <c r="D35" s="7177">
        <v>0</v>
      </c>
      <c r="E35" s="7177">
        <v>0</v>
      </c>
      <c r="F35" s="7245">
        <v>0</v>
      </c>
    </row>
    <row r="36" spans="1:8" ht="12.9" customHeight="1">
      <c r="A36" s="7231" t="s">
        <v>3403</v>
      </c>
      <c r="B36" s="7172">
        <v>1</v>
      </c>
      <c r="C36" s="7172">
        <v>3</v>
      </c>
      <c r="D36" s="7177">
        <v>137856</v>
      </c>
      <c r="E36" s="7177">
        <v>144156</v>
      </c>
      <c r="F36" s="7245">
        <v>150744</v>
      </c>
    </row>
    <row r="37" spans="1:8" ht="12.9" customHeight="1" thickBot="1">
      <c r="A37" s="7231" t="s">
        <v>4973</v>
      </c>
      <c r="B37" s="8414">
        <v>4</v>
      </c>
      <c r="C37" s="8414">
        <v>1</v>
      </c>
      <c r="D37" s="8415">
        <v>243960</v>
      </c>
      <c r="E37" s="8415">
        <v>511176</v>
      </c>
      <c r="F37" s="7245">
        <v>537984</v>
      </c>
      <c r="G37" s="7001">
        <f>SUM(B33:B37)</f>
        <v>7</v>
      </c>
      <c r="H37" s="7164">
        <f>SUM(F33:F37)</f>
        <v>1362024</v>
      </c>
    </row>
    <row r="38" spans="1:8" ht="12.9" customHeight="1" thickBot="1">
      <c r="A38" s="9838" t="s">
        <v>1159</v>
      </c>
      <c r="B38" s="10845">
        <f>SUM(B10:B37)</f>
        <v>34</v>
      </c>
      <c r="C38" s="10421"/>
      <c r="D38" s="9840">
        <f>SUM(D10:D37)</f>
        <v>8392932</v>
      </c>
      <c r="E38" s="9840">
        <f>SUM(E10:E37)</f>
        <v>9113340</v>
      </c>
      <c r="F38" s="10786">
        <f>SUM(F10:F37)</f>
        <v>11170740</v>
      </c>
    </row>
    <row r="39" spans="1:8" ht="6.9" customHeight="1">
      <c r="A39" s="7231"/>
      <c r="B39" s="7174"/>
      <c r="C39" s="7174"/>
      <c r="D39" s="7174"/>
      <c r="E39" s="7174"/>
      <c r="F39" s="7242"/>
    </row>
    <row r="40" spans="1:8" ht="12.9" customHeight="1">
      <c r="A40" s="7231" t="s">
        <v>1113</v>
      </c>
      <c r="B40" s="7168" t="s">
        <v>9</v>
      </c>
      <c r="C40" s="7174"/>
      <c r="D40" s="7174"/>
      <c r="E40" s="7174"/>
      <c r="F40" s="7242"/>
    </row>
    <row r="41" spans="1:8" ht="12.9" customHeight="1">
      <c r="A41" s="7231" t="s">
        <v>1385</v>
      </c>
      <c r="B41" s="7172">
        <v>1</v>
      </c>
      <c r="C41" s="7172">
        <v>21</v>
      </c>
      <c r="D41" s="7177">
        <v>573348</v>
      </c>
      <c r="E41" s="7177">
        <v>630648</v>
      </c>
      <c r="F41" s="7245">
        <v>693660</v>
      </c>
    </row>
    <row r="42" spans="1:8" ht="12.9" customHeight="1">
      <c r="A42" s="7231" t="s">
        <v>10202</v>
      </c>
      <c r="B42" s="7172">
        <v>0</v>
      </c>
      <c r="C42" s="7172">
        <v>15</v>
      </c>
      <c r="D42" s="7177">
        <v>330780</v>
      </c>
      <c r="E42" s="7177">
        <v>348120</v>
      </c>
      <c r="F42" s="7179">
        <v>0</v>
      </c>
    </row>
    <row r="43" spans="1:8" ht="12.9" customHeight="1">
      <c r="A43" s="7231" t="s">
        <v>10206</v>
      </c>
      <c r="B43" s="7172">
        <v>3</v>
      </c>
      <c r="C43" s="7172">
        <v>11</v>
      </c>
      <c r="D43" s="7177">
        <v>235440</v>
      </c>
      <c r="E43" s="7177">
        <v>968592</v>
      </c>
      <c r="F43" s="7245">
        <v>747144</v>
      </c>
    </row>
    <row r="44" spans="1:8" ht="12.9" customHeight="1">
      <c r="A44" s="7231" t="s">
        <v>10426</v>
      </c>
      <c r="B44" s="9403">
        <v>1</v>
      </c>
      <c r="C44" s="9403">
        <v>11</v>
      </c>
      <c r="D44" s="9608"/>
      <c r="E44" s="9608"/>
      <c r="F44" s="9948">
        <v>249048</v>
      </c>
    </row>
    <row r="45" spans="1:8" ht="12.9" customHeight="1">
      <c r="A45" s="7207" t="s">
        <v>10700</v>
      </c>
      <c r="B45" s="7206">
        <v>0</v>
      </c>
      <c r="C45" s="7206">
        <v>10</v>
      </c>
      <c r="D45" s="9670">
        <v>218604</v>
      </c>
      <c r="E45" s="9670">
        <v>224616</v>
      </c>
      <c r="F45" s="7179">
        <v>0</v>
      </c>
    </row>
    <row r="46" spans="1:8" ht="12.9" customHeight="1">
      <c r="A46" s="7207" t="s">
        <v>10702</v>
      </c>
      <c r="B46" s="7206">
        <v>0</v>
      </c>
      <c r="C46" s="7206">
        <v>10</v>
      </c>
      <c r="D46" s="9670">
        <v>218604</v>
      </c>
      <c r="E46" s="9670">
        <v>224616</v>
      </c>
      <c r="F46" s="7179">
        <v>0</v>
      </c>
    </row>
    <row r="47" spans="1:8" ht="12.9" customHeight="1">
      <c r="A47" s="7231" t="s">
        <v>1382</v>
      </c>
      <c r="B47" s="7206">
        <v>0</v>
      </c>
      <c r="C47" s="7206">
        <v>4</v>
      </c>
      <c r="D47" s="9670"/>
      <c r="E47" s="9670">
        <v>152088</v>
      </c>
      <c r="F47" s="7179">
        <v>0</v>
      </c>
    </row>
    <row r="48" spans="1:8" ht="12.9" hidden="1" customHeight="1">
      <c r="A48" s="7231" t="s">
        <v>1145</v>
      </c>
      <c r="B48" s="7172">
        <v>0</v>
      </c>
      <c r="C48" s="7172">
        <v>4</v>
      </c>
      <c r="D48" s="7177">
        <v>0</v>
      </c>
      <c r="E48" s="7177">
        <v>0</v>
      </c>
      <c r="F48" s="7245">
        <v>0</v>
      </c>
    </row>
    <row r="49" spans="1:6" ht="12.9" customHeight="1">
      <c r="A49" s="7231" t="s">
        <v>10208</v>
      </c>
      <c r="B49" s="7172">
        <v>0</v>
      </c>
      <c r="C49" s="7172">
        <v>3</v>
      </c>
      <c r="D49" s="7177"/>
      <c r="E49" s="7177">
        <v>142968</v>
      </c>
      <c r="F49" s="7179">
        <v>0</v>
      </c>
    </row>
    <row r="50" spans="1:6" ht="12.9" customHeight="1">
      <c r="A50" s="7231" t="s">
        <v>3437</v>
      </c>
      <c r="B50" s="7172">
        <v>0</v>
      </c>
      <c r="C50" s="7172">
        <v>3</v>
      </c>
      <c r="D50" s="9762">
        <v>136644</v>
      </c>
      <c r="E50" s="9762">
        <v>0</v>
      </c>
      <c r="F50" s="7179">
        <v>0</v>
      </c>
    </row>
    <row r="51" spans="1:6" ht="12.9" customHeight="1">
      <c r="A51" s="7231" t="s">
        <v>4973</v>
      </c>
      <c r="B51" s="7172">
        <v>0</v>
      </c>
      <c r="C51" s="7172">
        <v>1</v>
      </c>
      <c r="D51" s="7177">
        <v>239544</v>
      </c>
      <c r="E51" s="7177">
        <v>0</v>
      </c>
      <c r="F51" s="7245">
        <v>0</v>
      </c>
    </row>
    <row r="52" spans="1:6" s="7165" customFormat="1" ht="12.9" customHeight="1">
      <c r="A52" s="7207" t="s">
        <v>791</v>
      </c>
      <c r="B52" s="10857">
        <f>SUM(B41:B51)</f>
        <v>5</v>
      </c>
      <c r="C52" s="9630"/>
      <c r="D52" s="9668">
        <f>SUM(D41:D51)</f>
        <v>1952964</v>
      </c>
      <c r="E52" s="9668">
        <f>SUM(E41:E51)</f>
        <v>2691648</v>
      </c>
      <c r="F52" s="9669">
        <f>SUM(F41:F51)</f>
        <v>1689852</v>
      </c>
    </row>
    <row r="53" spans="1:6" ht="6.9" customHeight="1" thickBot="1">
      <c r="A53" s="7235"/>
      <c r="B53" s="9645"/>
      <c r="C53" s="9645"/>
      <c r="D53" s="9758"/>
      <c r="E53" s="9758"/>
      <c r="F53" s="9759"/>
    </row>
    <row r="54" spans="1:6" ht="12.9" customHeight="1" thickBot="1">
      <c r="A54" s="9838" t="s">
        <v>1101</v>
      </c>
      <c r="B54" s="10845">
        <f>SUM(B38+B52)</f>
        <v>39</v>
      </c>
      <c r="C54" s="9839"/>
      <c r="D54" s="9840">
        <f>SUM(D38+D52)</f>
        <v>10345896</v>
      </c>
      <c r="E54" s="9840">
        <f>SUM(E38+E52)</f>
        <v>11804988</v>
      </c>
      <c r="F54" s="10786">
        <f>SUM(F38+F52)</f>
        <v>12860592</v>
      </c>
    </row>
    <row r="55" spans="1:6" ht="8.1" customHeight="1">
      <c r="A55" s="7231"/>
      <c r="B55" s="7172"/>
      <c r="C55" s="7172"/>
      <c r="D55" s="7174"/>
      <c r="E55" s="7174"/>
      <c r="F55" s="7242"/>
    </row>
    <row r="56" spans="1:6" ht="12.9" customHeight="1">
      <c r="A56" s="6230" t="s">
        <v>1075</v>
      </c>
      <c r="B56" s="7172"/>
      <c r="C56" s="7172"/>
      <c r="D56" s="7174"/>
      <c r="E56" s="7174"/>
      <c r="F56" s="7242"/>
    </row>
    <row r="57" spans="1:6" ht="12.9" customHeight="1">
      <c r="A57" s="6230" t="s">
        <v>1102</v>
      </c>
      <c r="B57" s="7174"/>
      <c r="C57" s="7174"/>
      <c r="D57" s="7174"/>
      <c r="E57" s="7174"/>
      <c r="F57" s="7242"/>
    </row>
    <row r="58" spans="1:6" ht="12.9" customHeight="1">
      <c r="A58" s="7231" t="s">
        <v>1103</v>
      </c>
      <c r="B58" s="7172">
        <v>1</v>
      </c>
      <c r="C58" s="7174"/>
      <c r="D58" s="7174"/>
      <c r="E58" s="7174"/>
      <c r="F58" s="7242"/>
    </row>
    <row r="59" spans="1:6" ht="12.9" customHeight="1">
      <c r="A59" s="7231" t="s">
        <v>1078</v>
      </c>
      <c r="B59" s="7172"/>
      <c r="C59" s="7174"/>
      <c r="D59" s="7174"/>
      <c r="E59" s="7174"/>
      <c r="F59" s="7242"/>
    </row>
    <row r="60" spans="1:6" ht="12.9" customHeight="1">
      <c r="A60" s="7231" t="s">
        <v>1079</v>
      </c>
      <c r="B60" s="7174"/>
      <c r="C60" s="7174"/>
      <c r="D60" s="7174"/>
      <c r="E60" s="7174"/>
      <c r="F60" s="7242"/>
    </row>
    <row r="61" spans="1:6" ht="6.6" customHeight="1">
      <c r="A61" s="7231" t="s">
        <v>168</v>
      </c>
      <c r="B61" s="7174"/>
      <c r="C61" s="7174"/>
      <c r="D61" s="7174"/>
      <c r="E61" s="7174"/>
      <c r="F61" s="7242"/>
    </row>
    <row r="62" spans="1:6" ht="12.9" customHeight="1">
      <c r="A62" s="7231" t="s">
        <v>1080</v>
      </c>
      <c r="B62" s="7174"/>
      <c r="C62" s="7174"/>
      <c r="D62" s="7174"/>
      <c r="E62" s="7174"/>
      <c r="F62" s="7242"/>
    </row>
    <row r="63" spans="1:6" ht="12.9" customHeight="1">
      <c r="A63" s="7231" t="s">
        <v>1104</v>
      </c>
      <c r="B63" s="7174"/>
      <c r="C63" s="7174"/>
      <c r="D63" s="7174"/>
      <c r="E63" s="7174"/>
      <c r="F63" s="7242"/>
    </row>
    <row r="64" spans="1:6" ht="12.9" customHeight="1">
      <c r="A64" s="7231" t="s">
        <v>1105</v>
      </c>
      <c r="B64" s="7189"/>
      <c r="C64" s="7189"/>
      <c r="D64" s="7189"/>
      <c r="E64" s="7189"/>
      <c r="F64" s="9778"/>
    </row>
    <row r="65" spans="1:6" ht="12.9" customHeight="1">
      <c r="A65" s="6230" t="s">
        <v>1083</v>
      </c>
      <c r="B65" s="9676"/>
      <c r="C65" s="9676"/>
      <c r="D65" s="9676"/>
      <c r="E65" s="9676"/>
      <c r="F65" s="9744"/>
    </row>
    <row r="66" spans="1:6" ht="8.4" customHeight="1">
      <c r="A66" s="7231"/>
      <c r="B66" s="10424"/>
      <c r="C66" s="10424"/>
      <c r="D66" s="10424"/>
      <c r="E66" s="10424"/>
      <c r="F66" s="10425"/>
    </row>
    <row r="67" spans="1:6" ht="12.9" customHeight="1">
      <c r="A67" s="6230" t="s">
        <v>1106</v>
      </c>
      <c r="B67" s="10751"/>
      <c r="C67" s="10751"/>
      <c r="D67" s="10751"/>
      <c r="E67" s="10751"/>
      <c r="F67" s="7242"/>
    </row>
    <row r="68" spans="1:6" ht="6.6" customHeight="1" thickBot="1">
      <c r="A68" s="7231"/>
      <c r="B68" s="9758"/>
      <c r="C68" s="9758"/>
      <c r="D68" s="9758"/>
      <c r="E68" s="9758"/>
      <c r="F68" s="9759"/>
    </row>
    <row r="69" spans="1:6" ht="7.5" customHeight="1">
      <c r="A69" s="9736" t="s">
        <v>9</v>
      </c>
      <c r="B69" s="9665"/>
      <c r="C69" s="9665"/>
      <c r="D69" s="9665"/>
      <c r="E69" s="9665"/>
      <c r="F69" s="9729"/>
    </row>
    <row r="70" spans="1:6" ht="12.9" customHeight="1">
      <c r="A70" s="6230" t="s">
        <v>1086</v>
      </c>
      <c r="B70" s="10751"/>
      <c r="C70" s="10751"/>
      <c r="D70" s="10751"/>
      <c r="E70" s="10751"/>
      <c r="F70" s="7242"/>
    </row>
    <row r="71" spans="1:6" ht="6.6" customHeight="1" thickBot="1">
      <c r="A71" s="7235"/>
      <c r="B71" s="9758"/>
      <c r="C71" s="9758"/>
      <c r="D71" s="9758"/>
      <c r="E71" s="9758"/>
      <c r="F71" s="9759"/>
    </row>
    <row r="72" spans="1:6" ht="12.9" customHeight="1">
      <c r="A72" s="6330"/>
      <c r="B72" s="6330"/>
      <c r="C72" s="6330"/>
      <c r="D72" s="6330"/>
      <c r="E72" s="6330"/>
      <c r="F72" s="6330"/>
    </row>
    <row r="73" spans="1:6" ht="12.9" customHeight="1">
      <c r="A73" s="6330"/>
      <c r="B73" s="6330"/>
      <c r="C73" s="6330"/>
      <c r="D73" s="6330"/>
      <c r="E73" s="6330"/>
      <c r="F73" s="6330"/>
    </row>
    <row r="74" spans="1:6" ht="12.9" customHeight="1">
      <c r="A74" s="6330"/>
      <c r="B74" s="6330"/>
      <c r="C74" s="6330"/>
      <c r="D74" s="6330"/>
      <c r="E74" s="6330"/>
      <c r="F74" s="6330"/>
    </row>
    <row r="75" spans="1:6" ht="12.9" customHeight="1">
      <c r="A75" s="6330"/>
      <c r="B75" s="6330"/>
      <c r="C75" s="6330"/>
      <c r="D75" s="6330"/>
      <c r="E75" s="6330"/>
      <c r="F75" s="6330"/>
    </row>
    <row r="76" spans="1:6" ht="12.9" customHeight="1">
      <c r="A76" s="6330"/>
      <c r="B76" s="6330"/>
      <c r="C76" s="6330"/>
      <c r="D76" s="6330"/>
      <c r="E76" s="6330"/>
      <c r="F76" s="6330"/>
    </row>
    <row r="77" spans="1:6" ht="12.9" customHeight="1">
      <c r="A77" s="6330"/>
      <c r="B77" s="6330"/>
      <c r="C77" s="6330"/>
      <c r="D77" s="6330"/>
      <c r="E77" s="6330"/>
      <c r="F77" s="6330"/>
    </row>
    <row r="78" spans="1:6" ht="12.9" customHeight="1">
      <c r="A78" s="6330"/>
      <c r="B78" s="6330"/>
      <c r="C78" s="6330"/>
      <c r="D78" s="6330"/>
      <c r="E78" s="6330"/>
      <c r="F78" s="6330"/>
    </row>
    <row r="79" spans="1:6" ht="12.9" customHeight="1">
      <c r="A79" s="6330"/>
      <c r="B79" s="6330"/>
      <c r="C79" s="6330"/>
      <c r="D79" s="6330"/>
      <c r="E79" s="6330"/>
      <c r="F79" s="6330"/>
    </row>
    <row r="80" spans="1:6" ht="12.9" customHeight="1">
      <c r="A80" s="6330"/>
      <c r="B80" s="6330"/>
      <c r="C80" s="6330"/>
      <c r="D80" s="6330"/>
      <c r="E80" s="6330"/>
      <c r="F80" s="6330"/>
    </row>
    <row r="81" spans="1:6" ht="12.9" customHeight="1">
      <c r="A81" s="6330"/>
      <c r="B81" s="6330"/>
      <c r="C81" s="6330"/>
      <c r="D81" s="6330"/>
      <c r="E81" s="6330"/>
      <c r="F81" s="6330"/>
    </row>
    <row r="82" spans="1:6" ht="12.9" customHeight="1">
      <c r="A82" s="6330"/>
      <c r="B82" s="6330"/>
      <c r="C82" s="6330"/>
      <c r="D82" s="6330"/>
      <c r="E82" s="6330"/>
      <c r="F82" s="6330"/>
    </row>
    <row r="83" spans="1:6" ht="12.9" customHeight="1">
      <c r="A83" s="6330"/>
      <c r="B83" s="6330"/>
      <c r="C83" s="6330"/>
      <c r="D83" s="6330"/>
      <c r="E83" s="6330"/>
      <c r="F83" s="6330"/>
    </row>
    <row r="84" spans="1:6" ht="12.9" customHeight="1">
      <c r="A84" s="6330"/>
      <c r="B84" s="6330"/>
      <c r="C84" s="6330"/>
      <c r="D84" s="6330"/>
      <c r="E84" s="6330"/>
      <c r="F84" s="6330"/>
    </row>
    <row r="85" spans="1:6" ht="12.9" customHeight="1">
      <c r="A85" s="6330"/>
      <c r="B85" s="6330"/>
      <c r="C85" s="6330"/>
      <c r="D85" s="6330"/>
      <c r="E85" s="6330"/>
      <c r="F85" s="6330"/>
    </row>
    <row r="86" spans="1:6" ht="12.9" customHeight="1">
      <c r="A86" s="6330"/>
      <c r="B86" s="6330"/>
      <c r="C86" s="6330"/>
      <c r="D86" s="6330"/>
      <c r="E86" s="6330"/>
      <c r="F86" s="6330"/>
    </row>
    <row r="87" spans="1:6" ht="12.9" customHeight="1">
      <c r="A87" s="6330"/>
      <c r="B87" s="6330"/>
      <c r="C87" s="6330"/>
      <c r="D87" s="6330"/>
      <c r="E87" s="6330"/>
      <c r="F87" s="6330"/>
    </row>
    <row r="88" spans="1:6" ht="12.9" customHeight="1">
      <c r="A88" s="6330"/>
      <c r="B88" s="6330"/>
      <c r="C88" s="6330"/>
      <c r="D88" s="6330"/>
      <c r="E88" s="6330"/>
      <c r="F88" s="6330"/>
    </row>
    <row r="89" spans="1:6" ht="12.9" customHeight="1">
      <c r="A89" s="6330"/>
      <c r="B89" s="6330"/>
      <c r="C89" s="6330"/>
      <c r="D89" s="6330"/>
      <c r="E89" s="6330"/>
      <c r="F89" s="6330"/>
    </row>
    <row r="90" spans="1:6" ht="12.9" customHeight="1">
      <c r="A90" s="6330"/>
      <c r="B90" s="6330"/>
      <c r="C90" s="6330"/>
      <c r="D90" s="6330"/>
      <c r="E90" s="6330"/>
      <c r="F90" s="6330"/>
    </row>
    <row r="91" spans="1:6" ht="12.9" customHeight="1">
      <c r="A91" s="6330"/>
      <c r="B91" s="6330"/>
      <c r="C91" s="6330"/>
      <c r="D91" s="6330"/>
      <c r="E91" s="6330"/>
      <c r="F91" s="6330"/>
    </row>
    <row r="92" spans="1:6" ht="12.9" customHeight="1">
      <c r="A92" s="6330"/>
      <c r="B92" s="6330"/>
      <c r="C92" s="6330"/>
      <c r="D92" s="6330"/>
      <c r="E92" s="6330"/>
      <c r="F92" s="6330"/>
    </row>
  </sheetData>
  <mergeCells count="2">
    <mergeCell ref="D5:F5"/>
    <mergeCell ref="A1:F1"/>
  </mergeCells>
  <pageMargins left="0.25" right="0.25" top="0.5" bottom="0.5" header="0.3" footer="0.3"/>
  <pageSetup paperSize="119" firstPageNumber="309" orientation="portrait" useFirstPageNumber="1" r:id="rId1"/>
  <headerFooter alignWithMargins="0"/>
</worksheet>
</file>

<file path=xl/worksheets/sheet144.xml><?xml version="1.0" encoding="utf-8"?>
<worksheet xmlns="http://schemas.openxmlformats.org/spreadsheetml/2006/main" xmlns:r="http://schemas.openxmlformats.org/officeDocument/2006/relationships">
  <sheetPr codeName="Sheet177">
    <tabColor rgb="FFFFFF00"/>
  </sheetPr>
  <dimension ref="A1:G111"/>
  <sheetViews>
    <sheetView workbookViewId="0">
      <selection activeCell="C10" sqref="C10"/>
    </sheetView>
  </sheetViews>
  <sheetFormatPr defaultColWidth="9.109375" defaultRowHeight="13.8"/>
  <cols>
    <col min="1" max="1" width="5.44140625" style="4226" customWidth="1"/>
    <col min="2" max="2" width="33" style="4226" customWidth="1"/>
    <col min="3" max="3" width="13.44140625" style="4226" customWidth="1"/>
    <col min="4" max="4" width="15.109375" style="4226" customWidth="1"/>
    <col min="5" max="5" width="13.44140625" style="4226" customWidth="1"/>
    <col min="6" max="6" width="8.109375" style="4226" customWidth="1"/>
    <col min="7" max="7" width="8.44140625" style="4226" customWidth="1"/>
    <col min="8" max="16384" width="9.109375" style="4226"/>
  </cols>
  <sheetData>
    <row r="1" spans="1:7" s="4246" customFormat="1" ht="15.6">
      <c r="A1" s="15147" t="s">
        <v>8866</v>
      </c>
      <c r="B1" s="15147"/>
      <c r="C1" s="15147"/>
      <c r="D1" s="15147"/>
      <c r="E1" s="15147"/>
      <c r="F1" s="15147"/>
      <c r="G1" s="15147"/>
    </row>
    <row r="2" spans="1:7" s="4246" customFormat="1" ht="8.25" customHeight="1"/>
    <row r="3" spans="1:7" s="4246" customFormat="1" ht="15" customHeight="1">
      <c r="A3" s="4246" t="s">
        <v>2855</v>
      </c>
      <c r="C3" s="2555" t="s">
        <v>3613</v>
      </c>
    </row>
    <row r="4" spans="1:7" ht="15" customHeight="1">
      <c r="A4" s="4226" t="s">
        <v>6630</v>
      </c>
      <c r="C4" s="4226" t="s">
        <v>92</v>
      </c>
    </row>
    <row r="5" spans="1:7" ht="12" customHeight="1"/>
    <row r="6" spans="1:7" ht="15" customHeight="1">
      <c r="A6" s="2553" t="s">
        <v>2054</v>
      </c>
    </row>
    <row r="7" spans="1:7" s="4227" customFormat="1" ht="81" customHeight="1">
      <c r="A7" s="15148" t="s">
        <v>8936</v>
      </c>
      <c r="B7" s="15148"/>
      <c r="C7" s="15148"/>
      <c r="D7" s="15148"/>
      <c r="E7" s="15148"/>
      <c r="F7" s="15148"/>
      <c r="G7" s="15148"/>
    </row>
    <row r="8" spans="1:7" ht="15" customHeight="1">
      <c r="A8" s="2553" t="s">
        <v>1753</v>
      </c>
    </row>
    <row r="9" spans="1:7" ht="15" customHeight="1">
      <c r="A9" s="4226" t="s">
        <v>8867</v>
      </c>
    </row>
    <row r="10" spans="1:7" ht="15" customHeight="1">
      <c r="A10" s="4226" t="s">
        <v>8868</v>
      </c>
    </row>
    <row r="11" spans="1:7" ht="15" customHeight="1">
      <c r="A11" s="4226" t="s">
        <v>8869</v>
      </c>
    </row>
    <row r="12" spans="1:7" ht="15" customHeight="1">
      <c r="A12" s="4226" t="s">
        <v>8870</v>
      </c>
    </row>
    <row r="13" spans="1:7" ht="15" customHeight="1">
      <c r="A13" s="4226" t="s">
        <v>8871</v>
      </c>
    </row>
    <row r="14" spans="1:7" ht="15" customHeight="1">
      <c r="A14" s="4226" t="s">
        <v>8872</v>
      </c>
    </row>
    <row r="15" spans="1:7" ht="15" customHeight="1">
      <c r="A15" s="4226" t="s">
        <v>8873</v>
      </c>
    </row>
    <row r="16" spans="1:7" ht="15" customHeight="1">
      <c r="A16" s="4226" t="s">
        <v>8874</v>
      </c>
    </row>
    <row r="17" spans="1:7" ht="15" customHeight="1">
      <c r="A17" s="4226" t="s">
        <v>8875</v>
      </c>
    </row>
    <row r="18" spans="1:7" ht="15" customHeight="1">
      <c r="A18" s="4226" t="s">
        <v>8876</v>
      </c>
    </row>
    <row r="19" spans="1:7" ht="6" customHeight="1"/>
    <row r="20" spans="1:7" ht="17.25" customHeight="1">
      <c r="A20" s="2553" t="s">
        <v>2055</v>
      </c>
    </row>
    <row r="21" spans="1:7" ht="13.5" customHeight="1">
      <c r="A21" s="4228" t="s">
        <v>1981</v>
      </c>
      <c r="B21" s="4228" t="s">
        <v>2057</v>
      </c>
      <c r="C21" s="4228" t="s">
        <v>1736</v>
      </c>
      <c r="D21" s="4228" t="s">
        <v>1787</v>
      </c>
      <c r="E21" s="4229"/>
      <c r="F21" s="4230" t="s">
        <v>8877</v>
      </c>
      <c r="G21" s="4231"/>
    </row>
    <row r="22" spans="1:7" ht="11.25" customHeight="1">
      <c r="A22" s="4232" t="s">
        <v>8878</v>
      </c>
      <c r="B22" s="4232"/>
      <c r="C22" s="4232"/>
      <c r="D22" s="4232" t="s">
        <v>1804</v>
      </c>
      <c r="E22" s="4233" t="s">
        <v>1764</v>
      </c>
      <c r="F22" s="4234" t="s">
        <v>8879</v>
      </c>
      <c r="G22" s="4235"/>
    </row>
    <row r="23" spans="1:7" ht="14.25" customHeight="1">
      <c r="A23" s="4236"/>
      <c r="B23" s="4236"/>
      <c r="C23" s="4236"/>
      <c r="D23" s="4236"/>
      <c r="E23" s="4236"/>
      <c r="F23" s="4236" t="s">
        <v>2032</v>
      </c>
      <c r="G23" s="4236" t="s">
        <v>2033</v>
      </c>
    </row>
    <row r="24" spans="1:7" ht="17.25" customHeight="1">
      <c r="A24" s="4237"/>
      <c r="B24" s="4238" t="s">
        <v>3610</v>
      </c>
      <c r="C24" s="4237"/>
      <c r="D24" s="4237"/>
      <c r="E24" s="4237"/>
      <c r="F24" s="4237"/>
      <c r="G24" s="4237"/>
    </row>
    <row r="25" spans="1:7" ht="17.25" customHeight="1">
      <c r="A25" s="4239"/>
      <c r="B25" s="4240" t="s">
        <v>8880</v>
      </c>
      <c r="C25" s="4241">
        <v>3737829.84</v>
      </c>
      <c r="D25" s="4239" t="s">
        <v>8881</v>
      </c>
      <c r="E25" s="4239" t="s">
        <v>8882</v>
      </c>
      <c r="F25" s="4232" t="s">
        <v>1766</v>
      </c>
      <c r="G25" s="4232" t="s">
        <v>1767</v>
      </c>
    </row>
    <row r="26" spans="1:7" ht="15" customHeight="1">
      <c r="A26" s="4239"/>
      <c r="B26" s="4239" t="s">
        <v>8883</v>
      </c>
      <c r="C26" s="4239"/>
      <c r="D26" s="4239" t="s">
        <v>8884</v>
      </c>
      <c r="E26" s="4239" t="s">
        <v>8885</v>
      </c>
      <c r="F26" s="4232">
        <v>2014</v>
      </c>
      <c r="G26" s="4232">
        <v>2014</v>
      </c>
    </row>
    <row r="27" spans="1:7" ht="15" customHeight="1">
      <c r="A27" s="4239"/>
      <c r="B27" s="4239" t="s">
        <v>8886</v>
      </c>
      <c r="C27" s="4239"/>
      <c r="D27" s="4239" t="s">
        <v>8887</v>
      </c>
      <c r="E27" s="4239" t="s">
        <v>6125</v>
      </c>
      <c r="F27" s="4232"/>
      <c r="G27" s="4232"/>
    </row>
    <row r="28" spans="1:7" ht="15" customHeight="1">
      <c r="A28" s="4239"/>
      <c r="B28" s="4239" t="s">
        <v>8888</v>
      </c>
      <c r="C28" s="4239"/>
      <c r="D28" s="4239" t="s">
        <v>6125</v>
      </c>
      <c r="E28" s="4239"/>
      <c r="F28" s="4239"/>
      <c r="G28" s="4239"/>
    </row>
    <row r="29" spans="1:7" ht="19.5" customHeight="1">
      <c r="A29" s="4239"/>
      <c r="B29" s="4240" t="s">
        <v>3611</v>
      </c>
      <c r="C29" s="4241">
        <f>2671550.27+82506.36</f>
        <v>2754056.63</v>
      </c>
      <c r="D29" s="4239" t="s">
        <v>8889</v>
      </c>
      <c r="E29" s="4239" t="s">
        <v>8890</v>
      </c>
      <c r="F29" s="4239"/>
      <c r="G29" s="4239"/>
    </row>
    <row r="30" spans="1:7" ht="14.25" customHeight="1">
      <c r="A30" s="4239"/>
      <c r="B30" s="4239" t="s">
        <v>8891</v>
      </c>
      <c r="C30" s="4239"/>
      <c r="D30" s="4239" t="s">
        <v>8892</v>
      </c>
      <c r="E30" s="4239" t="s">
        <v>8893</v>
      </c>
      <c r="F30" s="4239"/>
      <c r="G30" s="4239"/>
    </row>
    <row r="31" spans="1:7" ht="21" customHeight="1">
      <c r="A31" s="4239"/>
      <c r="B31" s="4240" t="s">
        <v>3612</v>
      </c>
      <c r="C31" s="4241">
        <v>2072597.16</v>
      </c>
      <c r="D31" s="4239" t="s">
        <v>8881</v>
      </c>
      <c r="E31" s="4239" t="s">
        <v>8894</v>
      </c>
      <c r="F31" s="4239"/>
      <c r="G31" s="4239"/>
    </row>
    <row r="32" spans="1:7" ht="13.5" customHeight="1">
      <c r="A32" s="4239"/>
      <c r="B32" s="4239" t="s">
        <v>8895</v>
      </c>
      <c r="C32" s="4239"/>
      <c r="D32" s="4239" t="s">
        <v>8896</v>
      </c>
      <c r="E32" s="4239" t="s">
        <v>8897</v>
      </c>
      <c r="F32" s="4239"/>
      <c r="G32" s="4239"/>
    </row>
    <row r="33" spans="1:7" ht="13.5" customHeight="1">
      <c r="A33" s="4239"/>
      <c r="B33" s="4239" t="s">
        <v>8898</v>
      </c>
      <c r="C33" s="4239"/>
      <c r="D33" s="4239" t="s">
        <v>8899</v>
      </c>
      <c r="E33" s="4239" t="s">
        <v>8900</v>
      </c>
      <c r="F33" s="4239"/>
      <c r="G33" s="4239"/>
    </row>
    <row r="34" spans="1:7" ht="13.5" customHeight="1">
      <c r="A34" s="4239"/>
      <c r="B34" s="4239"/>
      <c r="C34" s="4239"/>
      <c r="D34" s="4239" t="s">
        <v>8900</v>
      </c>
      <c r="E34" s="4239" t="s">
        <v>8901</v>
      </c>
      <c r="F34" s="4239"/>
      <c r="G34" s="4239"/>
    </row>
    <row r="35" spans="1:7" ht="13.5" customHeight="1">
      <c r="A35" s="4239"/>
      <c r="B35" s="4239"/>
      <c r="C35" s="4239"/>
      <c r="D35" s="4239" t="s">
        <v>8902</v>
      </c>
      <c r="E35" s="4239"/>
      <c r="F35" s="4239"/>
      <c r="G35" s="4239"/>
    </row>
    <row r="36" spans="1:7" ht="17.25" customHeight="1">
      <c r="A36" s="4239"/>
      <c r="B36" s="4240" t="s">
        <v>3614</v>
      </c>
      <c r="C36" s="4241">
        <v>1155323.44</v>
      </c>
      <c r="D36" s="4239" t="s">
        <v>8903</v>
      </c>
      <c r="E36" s="4239" t="s">
        <v>8904</v>
      </c>
      <c r="F36" s="4239"/>
      <c r="G36" s="4239"/>
    </row>
    <row r="37" spans="1:7" ht="15" customHeight="1">
      <c r="A37" s="4239"/>
      <c r="B37" s="4239" t="s">
        <v>8905</v>
      </c>
      <c r="C37" s="4239"/>
      <c r="D37" s="4239" t="s">
        <v>8906</v>
      </c>
      <c r="E37" s="4239" t="s">
        <v>8907</v>
      </c>
      <c r="F37" s="4239"/>
      <c r="G37" s="4239"/>
    </row>
    <row r="38" spans="1:7" ht="21" customHeight="1">
      <c r="A38" s="4239"/>
      <c r="B38" s="4240" t="s">
        <v>3615</v>
      </c>
      <c r="C38" s="4241">
        <v>4515369.93</v>
      </c>
      <c r="D38" s="4239" t="s">
        <v>8908</v>
      </c>
      <c r="E38" s="4239" t="s">
        <v>8909</v>
      </c>
      <c r="F38" s="4239"/>
      <c r="G38" s="4239"/>
    </row>
    <row r="39" spans="1:7" ht="14.25" customHeight="1">
      <c r="A39" s="4239"/>
      <c r="B39" s="4239" t="s">
        <v>8910</v>
      </c>
      <c r="C39" s="4239"/>
      <c r="D39" s="4239" t="s">
        <v>8911</v>
      </c>
      <c r="E39" s="4247" t="s">
        <v>8912</v>
      </c>
      <c r="F39" s="4247"/>
      <c r="G39" s="4239"/>
    </row>
    <row r="40" spans="1:7" ht="14.25" customHeight="1">
      <c r="A40" s="4239"/>
      <c r="B40" s="4239" t="s">
        <v>8913</v>
      </c>
      <c r="C40" s="4239"/>
      <c r="D40" s="4239" t="s">
        <v>8914</v>
      </c>
      <c r="E40" s="4247"/>
      <c r="F40" s="4247"/>
      <c r="G40" s="4239"/>
    </row>
    <row r="41" spans="1:7" ht="14.25" customHeight="1">
      <c r="A41" s="4239"/>
      <c r="B41" s="4239"/>
      <c r="C41" s="4239"/>
      <c r="D41" s="4239" t="s">
        <v>8915</v>
      </c>
      <c r="E41" s="4247"/>
      <c r="F41" s="4247"/>
      <c r="G41" s="4239"/>
    </row>
    <row r="42" spans="1:7" ht="14.25" customHeight="1">
      <c r="A42" s="4239"/>
      <c r="B42" s="4239"/>
      <c r="C42" s="4239"/>
      <c r="D42" s="4239" t="s">
        <v>8916</v>
      </c>
      <c r="E42" s="4247"/>
      <c r="F42" s="4247"/>
      <c r="G42" s="4239"/>
    </row>
    <row r="43" spans="1:7" ht="16.5" customHeight="1">
      <c r="A43" s="4239"/>
      <c r="B43" s="4240" t="s">
        <v>8917</v>
      </c>
      <c r="C43" s="4241">
        <v>70000</v>
      </c>
      <c r="D43" s="4239" t="s">
        <v>8918</v>
      </c>
      <c r="E43" s="4247" t="s">
        <v>8919</v>
      </c>
      <c r="F43" s="4247"/>
      <c r="G43" s="4239"/>
    </row>
    <row r="44" spans="1:7" ht="13.5" customHeight="1">
      <c r="A44" s="4239"/>
      <c r="B44" s="4240" t="s">
        <v>2650</v>
      </c>
      <c r="C44" s="4239"/>
      <c r="D44" s="4239" t="s">
        <v>8920</v>
      </c>
      <c r="E44" s="4247" t="s">
        <v>8921</v>
      </c>
      <c r="F44" s="4247"/>
      <c r="G44" s="4239"/>
    </row>
    <row r="45" spans="1:7" ht="13.5" customHeight="1">
      <c r="A45" s="4239"/>
      <c r="B45" s="4239" t="s">
        <v>8922</v>
      </c>
      <c r="C45" s="4239"/>
      <c r="D45" s="4239" t="s">
        <v>8923</v>
      </c>
      <c r="E45" s="4247" t="s">
        <v>8924</v>
      </c>
      <c r="F45" s="4247"/>
      <c r="G45" s="4239"/>
    </row>
    <row r="46" spans="1:7" ht="13.5" customHeight="1">
      <c r="A46" s="4239"/>
      <c r="B46" s="4239" t="s">
        <v>8925</v>
      </c>
      <c r="C46" s="4239"/>
      <c r="D46" s="4239" t="s">
        <v>8926</v>
      </c>
      <c r="E46" s="4247" t="s">
        <v>8927</v>
      </c>
      <c r="F46" s="4247"/>
      <c r="G46" s="4239"/>
    </row>
    <row r="47" spans="1:7" ht="13.5" customHeight="1">
      <c r="A47" s="4239"/>
      <c r="B47" s="4239" t="s">
        <v>8928</v>
      </c>
      <c r="C47" s="4239"/>
      <c r="D47" s="4239"/>
      <c r="E47" s="4247" t="s">
        <v>1874</v>
      </c>
      <c r="F47" s="4247"/>
      <c r="G47" s="4239"/>
    </row>
    <row r="48" spans="1:7" ht="18.75" customHeight="1">
      <c r="A48" s="4239"/>
      <c r="B48" s="4240" t="s">
        <v>3616</v>
      </c>
      <c r="C48" s="4241">
        <v>146000</v>
      </c>
      <c r="D48" s="4239" t="s">
        <v>8929</v>
      </c>
      <c r="E48" s="4247" t="s">
        <v>8930</v>
      </c>
      <c r="F48" s="4247"/>
      <c r="G48" s="4239"/>
    </row>
    <row r="49" spans="1:7" ht="15.75" customHeight="1">
      <c r="A49" s="4239"/>
      <c r="B49" s="4242" t="s">
        <v>8931</v>
      </c>
      <c r="C49" s="4243"/>
      <c r="D49" s="4242" t="s">
        <v>8932</v>
      </c>
      <c r="E49" s="4248" t="s">
        <v>8933</v>
      </c>
      <c r="F49" s="4247"/>
      <c r="G49" s="4239"/>
    </row>
    <row r="50" spans="1:7" ht="15.75" customHeight="1">
      <c r="A50" s="4239"/>
      <c r="B50" s="4244" t="s">
        <v>8934</v>
      </c>
      <c r="C50" s="4239"/>
      <c r="E50" s="4248" t="s">
        <v>8935</v>
      </c>
      <c r="F50" s="4247"/>
      <c r="G50" s="4239"/>
    </row>
    <row r="51" spans="1:7" s="4227" customFormat="1" ht="15" customHeight="1">
      <c r="A51" s="4249"/>
      <c r="B51" s="4250" t="s">
        <v>220</v>
      </c>
      <c r="C51" s="4251">
        <f>SUM(C24:C49)</f>
        <v>14451176.999999998</v>
      </c>
      <c r="D51" s="4252"/>
      <c r="E51" s="4249"/>
      <c r="F51" s="4249"/>
      <c r="G51" s="4249"/>
    </row>
    <row r="52" spans="1:7">
      <c r="A52" s="4243"/>
      <c r="B52" s="4245"/>
    </row>
    <row r="53" spans="1:7">
      <c r="A53" s="4243"/>
    </row>
    <row r="54" spans="1:7">
      <c r="A54" s="4243"/>
      <c r="C54" s="4253"/>
    </row>
    <row r="55" spans="1:7">
      <c r="A55" s="4243"/>
    </row>
    <row r="56" spans="1:7">
      <c r="A56" s="4243"/>
      <c r="C56" s="4254"/>
    </row>
    <row r="57" spans="1:7">
      <c r="A57" s="4243"/>
    </row>
    <row r="58" spans="1:7">
      <c r="A58" s="4243"/>
    </row>
    <row r="59" spans="1:7">
      <c r="A59" s="4243"/>
    </row>
    <row r="60" spans="1:7">
      <c r="A60" s="4243"/>
    </row>
    <row r="61" spans="1:7">
      <c r="A61" s="4243"/>
    </row>
    <row r="62" spans="1:7">
      <c r="A62" s="4243"/>
    </row>
    <row r="63" spans="1:7">
      <c r="A63" s="4243"/>
    </row>
    <row r="64" spans="1:7">
      <c r="A64" s="4243"/>
    </row>
    <row r="65" spans="1:1">
      <c r="A65" s="4243"/>
    </row>
    <row r="66" spans="1:1">
      <c r="A66" s="4243"/>
    </row>
    <row r="67" spans="1:1">
      <c r="A67" s="4243"/>
    </row>
    <row r="68" spans="1:1">
      <c r="A68" s="4243"/>
    </row>
    <row r="69" spans="1:1">
      <c r="A69" s="4243"/>
    </row>
    <row r="70" spans="1:1">
      <c r="A70" s="4243"/>
    </row>
    <row r="71" spans="1:1">
      <c r="A71" s="4243"/>
    </row>
    <row r="72" spans="1:1">
      <c r="A72" s="4243"/>
    </row>
    <row r="73" spans="1:1">
      <c r="A73" s="4243"/>
    </row>
    <row r="74" spans="1:1">
      <c r="A74" s="4243"/>
    </row>
    <row r="75" spans="1:1">
      <c r="A75" s="4243"/>
    </row>
    <row r="76" spans="1:1">
      <c r="A76" s="4243"/>
    </row>
    <row r="77" spans="1:1">
      <c r="A77" s="4243"/>
    </row>
    <row r="78" spans="1:1">
      <c r="A78" s="4243"/>
    </row>
    <row r="79" spans="1:1">
      <c r="A79" s="4243"/>
    </row>
    <row r="80" spans="1:1">
      <c r="A80" s="4243"/>
    </row>
    <row r="81" spans="1:1">
      <c r="A81" s="4243"/>
    </row>
    <row r="82" spans="1:1">
      <c r="A82" s="4243"/>
    </row>
    <row r="83" spans="1:1">
      <c r="A83" s="4243"/>
    </row>
    <row r="84" spans="1:1">
      <c r="A84" s="4243"/>
    </row>
    <row r="85" spans="1:1">
      <c r="A85" s="4243"/>
    </row>
    <row r="86" spans="1:1">
      <c r="A86" s="4243"/>
    </row>
    <row r="87" spans="1:1">
      <c r="A87" s="4243"/>
    </row>
    <row r="88" spans="1:1">
      <c r="A88" s="4243"/>
    </row>
    <row r="89" spans="1:1">
      <c r="A89" s="4243"/>
    </row>
    <row r="90" spans="1:1">
      <c r="A90" s="4243"/>
    </row>
    <row r="91" spans="1:1">
      <c r="A91" s="4243"/>
    </row>
    <row r="92" spans="1:1">
      <c r="A92" s="4243"/>
    </row>
    <row r="93" spans="1:1">
      <c r="A93" s="4243"/>
    </row>
    <row r="94" spans="1:1">
      <c r="A94" s="4243"/>
    </row>
    <row r="95" spans="1:1">
      <c r="A95" s="4243"/>
    </row>
    <row r="96" spans="1:1">
      <c r="A96" s="4243"/>
    </row>
    <row r="97" spans="1:1">
      <c r="A97" s="4243"/>
    </row>
    <row r="98" spans="1:1">
      <c r="A98" s="4243"/>
    </row>
    <row r="99" spans="1:1">
      <c r="A99" s="4243"/>
    </row>
    <row r="100" spans="1:1">
      <c r="A100" s="4243"/>
    </row>
    <row r="101" spans="1:1">
      <c r="A101" s="4243"/>
    </row>
    <row r="102" spans="1:1">
      <c r="A102" s="4243"/>
    </row>
    <row r="103" spans="1:1">
      <c r="A103" s="4243"/>
    </row>
    <row r="104" spans="1:1">
      <c r="A104" s="4243"/>
    </row>
    <row r="105" spans="1:1">
      <c r="A105" s="4243"/>
    </row>
    <row r="106" spans="1:1">
      <c r="A106" s="4243"/>
    </row>
    <row r="107" spans="1:1">
      <c r="A107" s="4243"/>
    </row>
    <row r="108" spans="1:1">
      <c r="A108" s="4243"/>
    </row>
    <row r="109" spans="1:1">
      <c r="A109" s="4243"/>
    </row>
    <row r="110" spans="1:1">
      <c r="A110" s="4243"/>
    </row>
    <row r="111" spans="1:1">
      <c r="A111" s="4243"/>
    </row>
  </sheetData>
  <mergeCells count="2">
    <mergeCell ref="A1:G1"/>
    <mergeCell ref="A7:G7"/>
  </mergeCells>
  <pageMargins left="0.5" right="0.25" top="0.75" bottom="0.5" header="0.3" footer="0.25"/>
  <pageSetup paperSize="119" orientation="portrait" horizontalDpi="120" verticalDpi="72" r:id="rId1"/>
</worksheet>
</file>

<file path=xl/worksheets/sheet145.xml><?xml version="1.0" encoding="utf-8"?>
<worksheet xmlns="http://schemas.openxmlformats.org/spreadsheetml/2006/main" xmlns:r="http://schemas.openxmlformats.org/officeDocument/2006/relationships">
  <sheetPr codeName="Sheet105">
    <tabColor theme="8" tint="-0.249977111117893"/>
  </sheetPr>
  <dimension ref="A1:L144"/>
  <sheetViews>
    <sheetView showGridLines="0" topLeftCell="B3" workbookViewId="0">
      <selection activeCell="J3" sqref="J1:S1048576"/>
    </sheetView>
  </sheetViews>
  <sheetFormatPr defaultRowHeight="15" customHeight="1"/>
  <cols>
    <col min="1" max="1" width="3.88671875" style="7351" customWidth="1"/>
    <col min="2" max="2" width="55.5546875" style="7351" customWidth="1"/>
    <col min="3" max="3" width="12.5546875" style="7383" customWidth="1"/>
    <col min="4" max="7" width="15.5546875" style="7338" customWidth="1"/>
    <col min="8" max="8" width="13.6640625" style="7338" hidden="1" customWidth="1"/>
    <col min="9" max="9" width="9.109375" style="7348" hidden="1" customWidth="1"/>
    <col min="10" max="10" width="15.5546875" style="7338" customWidth="1"/>
    <col min="11" max="11" width="16.33203125" style="7351" customWidth="1"/>
    <col min="12" max="12" width="5.88671875" style="7621" customWidth="1"/>
    <col min="13" max="18" width="8.88671875" style="7351" customWidth="1"/>
    <col min="19" max="150" width="9.109375" style="7351"/>
    <col min="151" max="151" width="3.88671875" style="7351" customWidth="1"/>
    <col min="152" max="152" width="39.88671875" style="7351" customWidth="1"/>
    <col min="153" max="153" width="8.88671875" style="7351" customWidth="1"/>
    <col min="154" max="154" width="16.109375" style="7351" customWidth="1"/>
    <col min="155" max="155" width="16.44140625" style="7351" customWidth="1"/>
    <col min="156" max="156" width="14.88671875" style="7351" customWidth="1"/>
    <col min="157" max="406" width="9.109375" style="7351"/>
    <col min="407" max="407" width="3.88671875" style="7351" customWidth="1"/>
    <col min="408" max="408" width="39.88671875" style="7351" customWidth="1"/>
    <col min="409" max="409" width="8.88671875" style="7351" customWidth="1"/>
    <col min="410" max="410" width="16.109375" style="7351" customWidth="1"/>
    <col min="411" max="411" width="16.44140625" style="7351" customWidth="1"/>
    <col min="412" max="412" width="14.88671875" style="7351" customWidth="1"/>
    <col min="413" max="662" width="9.109375" style="7351"/>
    <col min="663" max="663" width="3.88671875" style="7351" customWidth="1"/>
    <col min="664" max="664" width="39.88671875" style="7351" customWidth="1"/>
    <col min="665" max="665" width="8.88671875" style="7351" customWidth="1"/>
    <col min="666" max="666" width="16.109375" style="7351" customWidth="1"/>
    <col min="667" max="667" width="16.44140625" style="7351" customWidth="1"/>
    <col min="668" max="668" width="14.88671875" style="7351" customWidth="1"/>
    <col min="669" max="918" width="9.109375" style="7351"/>
    <col min="919" max="919" width="3.88671875" style="7351" customWidth="1"/>
    <col min="920" max="920" width="39.88671875" style="7351" customWidth="1"/>
    <col min="921" max="921" width="8.88671875" style="7351" customWidth="1"/>
    <col min="922" max="922" width="16.109375" style="7351" customWidth="1"/>
    <col min="923" max="923" width="16.44140625" style="7351" customWidth="1"/>
    <col min="924" max="924" width="14.88671875" style="7351" customWidth="1"/>
    <col min="925" max="1174" width="9.109375" style="7351"/>
    <col min="1175" max="1175" width="3.88671875" style="7351" customWidth="1"/>
    <col min="1176" max="1176" width="39.88671875" style="7351" customWidth="1"/>
    <col min="1177" max="1177" width="8.88671875" style="7351" customWidth="1"/>
    <col min="1178" max="1178" width="16.109375" style="7351" customWidth="1"/>
    <col min="1179" max="1179" width="16.44140625" style="7351" customWidth="1"/>
    <col min="1180" max="1180" width="14.88671875" style="7351" customWidth="1"/>
    <col min="1181" max="1430" width="9.109375" style="7351"/>
    <col min="1431" max="1431" width="3.88671875" style="7351" customWidth="1"/>
    <col min="1432" max="1432" width="39.88671875" style="7351" customWidth="1"/>
    <col min="1433" max="1433" width="8.88671875" style="7351" customWidth="1"/>
    <col min="1434" max="1434" width="16.109375" style="7351" customWidth="1"/>
    <col min="1435" max="1435" width="16.44140625" style="7351" customWidth="1"/>
    <col min="1436" max="1436" width="14.88671875" style="7351" customWidth="1"/>
    <col min="1437" max="1686" width="9.109375" style="7351"/>
    <col min="1687" max="1687" width="3.88671875" style="7351" customWidth="1"/>
    <col min="1688" max="1688" width="39.88671875" style="7351" customWidth="1"/>
    <col min="1689" max="1689" width="8.88671875" style="7351" customWidth="1"/>
    <col min="1690" max="1690" width="16.109375" style="7351" customWidth="1"/>
    <col min="1691" max="1691" width="16.44140625" style="7351" customWidth="1"/>
    <col min="1692" max="1692" width="14.88671875" style="7351" customWidth="1"/>
    <col min="1693" max="1942" width="9.109375" style="7351"/>
    <col min="1943" max="1943" width="3.88671875" style="7351" customWidth="1"/>
    <col min="1944" max="1944" width="39.88671875" style="7351" customWidth="1"/>
    <col min="1945" max="1945" width="8.88671875" style="7351" customWidth="1"/>
    <col min="1946" max="1946" width="16.109375" style="7351" customWidth="1"/>
    <col min="1947" max="1947" width="16.44140625" style="7351" customWidth="1"/>
    <col min="1948" max="1948" width="14.88671875" style="7351" customWidth="1"/>
    <col min="1949" max="2198" width="9.109375" style="7351"/>
    <col min="2199" max="2199" width="3.88671875" style="7351" customWidth="1"/>
    <col min="2200" max="2200" width="39.88671875" style="7351" customWidth="1"/>
    <col min="2201" max="2201" width="8.88671875" style="7351" customWidth="1"/>
    <col min="2202" max="2202" width="16.109375" style="7351" customWidth="1"/>
    <col min="2203" max="2203" width="16.44140625" style="7351" customWidth="1"/>
    <col min="2204" max="2204" width="14.88671875" style="7351" customWidth="1"/>
    <col min="2205" max="2454" width="9.109375" style="7351"/>
    <col min="2455" max="2455" width="3.88671875" style="7351" customWidth="1"/>
    <col min="2456" max="2456" width="39.88671875" style="7351" customWidth="1"/>
    <col min="2457" max="2457" width="8.88671875" style="7351" customWidth="1"/>
    <col min="2458" max="2458" width="16.109375" style="7351" customWidth="1"/>
    <col min="2459" max="2459" width="16.44140625" style="7351" customWidth="1"/>
    <col min="2460" max="2460" width="14.88671875" style="7351" customWidth="1"/>
    <col min="2461" max="2710" width="9.109375" style="7351"/>
    <col min="2711" max="2711" width="3.88671875" style="7351" customWidth="1"/>
    <col min="2712" max="2712" width="39.88671875" style="7351" customWidth="1"/>
    <col min="2713" max="2713" width="8.88671875" style="7351" customWidth="1"/>
    <col min="2714" max="2714" width="16.109375" style="7351" customWidth="1"/>
    <col min="2715" max="2715" width="16.44140625" style="7351" customWidth="1"/>
    <col min="2716" max="2716" width="14.88671875" style="7351" customWidth="1"/>
    <col min="2717" max="2966" width="9.109375" style="7351"/>
    <col min="2967" max="2967" width="3.88671875" style="7351" customWidth="1"/>
    <col min="2968" max="2968" width="39.88671875" style="7351" customWidth="1"/>
    <col min="2969" max="2969" width="8.88671875" style="7351" customWidth="1"/>
    <col min="2970" max="2970" width="16.109375" style="7351" customWidth="1"/>
    <col min="2971" max="2971" width="16.44140625" style="7351" customWidth="1"/>
    <col min="2972" max="2972" width="14.88671875" style="7351" customWidth="1"/>
    <col min="2973" max="3222" width="9.109375" style="7351"/>
    <col min="3223" max="3223" width="3.88671875" style="7351" customWidth="1"/>
    <col min="3224" max="3224" width="39.88671875" style="7351" customWidth="1"/>
    <col min="3225" max="3225" width="8.88671875" style="7351" customWidth="1"/>
    <col min="3226" max="3226" width="16.109375" style="7351" customWidth="1"/>
    <col min="3227" max="3227" width="16.44140625" style="7351" customWidth="1"/>
    <col min="3228" max="3228" width="14.88671875" style="7351" customWidth="1"/>
    <col min="3229" max="3478" width="9.109375" style="7351"/>
    <col min="3479" max="3479" width="3.88671875" style="7351" customWidth="1"/>
    <col min="3480" max="3480" width="39.88671875" style="7351" customWidth="1"/>
    <col min="3481" max="3481" width="8.88671875" style="7351" customWidth="1"/>
    <col min="3482" max="3482" width="16.109375" style="7351" customWidth="1"/>
    <col min="3483" max="3483" width="16.44140625" style="7351" customWidth="1"/>
    <col min="3484" max="3484" width="14.88671875" style="7351" customWidth="1"/>
    <col min="3485" max="3734" width="9.109375" style="7351"/>
    <col min="3735" max="3735" width="3.88671875" style="7351" customWidth="1"/>
    <col min="3736" max="3736" width="39.88671875" style="7351" customWidth="1"/>
    <col min="3737" max="3737" width="8.88671875" style="7351" customWidth="1"/>
    <col min="3738" max="3738" width="16.109375" style="7351" customWidth="1"/>
    <col min="3739" max="3739" width="16.44140625" style="7351" customWidth="1"/>
    <col min="3740" max="3740" width="14.88671875" style="7351" customWidth="1"/>
    <col min="3741" max="3990" width="9.109375" style="7351"/>
    <col min="3991" max="3991" width="3.88671875" style="7351" customWidth="1"/>
    <col min="3992" max="3992" width="39.88671875" style="7351" customWidth="1"/>
    <col min="3993" max="3993" width="8.88671875" style="7351" customWidth="1"/>
    <col min="3994" max="3994" width="16.109375" style="7351" customWidth="1"/>
    <col min="3995" max="3995" width="16.44140625" style="7351" customWidth="1"/>
    <col min="3996" max="3996" width="14.88671875" style="7351" customWidth="1"/>
    <col min="3997" max="4246" width="9.109375" style="7351"/>
    <col min="4247" max="4247" width="3.88671875" style="7351" customWidth="1"/>
    <col min="4248" max="4248" width="39.88671875" style="7351" customWidth="1"/>
    <col min="4249" max="4249" width="8.88671875" style="7351" customWidth="1"/>
    <col min="4250" max="4250" width="16.109375" style="7351" customWidth="1"/>
    <col min="4251" max="4251" width="16.44140625" style="7351" customWidth="1"/>
    <col min="4252" max="4252" width="14.88671875" style="7351" customWidth="1"/>
    <col min="4253" max="4502" width="9.109375" style="7351"/>
    <col min="4503" max="4503" width="3.88671875" style="7351" customWidth="1"/>
    <col min="4504" max="4504" width="39.88671875" style="7351" customWidth="1"/>
    <col min="4505" max="4505" width="8.88671875" style="7351" customWidth="1"/>
    <col min="4506" max="4506" width="16.109375" style="7351" customWidth="1"/>
    <col min="4507" max="4507" width="16.44140625" style="7351" customWidth="1"/>
    <col min="4508" max="4508" width="14.88671875" style="7351" customWidth="1"/>
    <col min="4509" max="4758" width="9.109375" style="7351"/>
    <col min="4759" max="4759" width="3.88671875" style="7351" customWidth="1"/>
    <col min="4760" max="4760" width="39.88671875" style="7351" customWidth="1"/>
    <col min="4761" max="4761" width="8.88671875" style="7351" customWidth="1"/>
    <col min="4762" max="4762" width="16.109375" style="7351" customWidth="1"/>
    <col min="4763" max="4763" width="16.44140625" style="7351" customWidth="1"/>
    <col min="4764" max="4764" width="14.88671875" style="7351" customWidth="1"/>
    <col min="4765" max="5014" width="9.109375" style="7351"/>
    <col min="5015" max="5015" width="3.88671875" style="7351" customWidth="1"/>
    <col min="5016" max="5016" width="39.88671875" style="7351" customWidth="1"/>
    <col min="5017" max="5017" width="8.88671875" style="7351" customWidth="1"/>
    <col min="5018" max="5018" width="16.109375" style="7351" customWidth="1"/>
    <col min="5019" max="5019" width="16.44140625" style="7351" customWidth="1"/>
    <col min="5020" max="5020" width="14.88671875" style="7351" customWidth="1"/>
    <col min="5021" max="5270" width="9.109375" style="7351"/>
    <col min="5271" max="5271" width="3.88671875" style="7351" customWidth="1"/>
    <col min="5272" max="5272" width="39.88671875" style="7351" customWidth="1"/>
    <col min="5273" max="5273" width="8.88671875" style="7351" customWidth="1"/>
    <col min="5274" max="5274" width="16.109375" style="7351" customWidth="1"/>
    <col min="5275" max="5275" width="16.44140625" style="7351" customWidth="1"/>
    <col min="5276" max="5276" width="14.88671875" style="7351" customWidth="1"/>
    <col min="5277" max="5526" width="9.109375" style="7351"/>
    <col min="5527" max="5527" width="3.88671875" style="7351" customWidth="1"/>
    <col min="5528" max="5528" width="39.88671875" style="7351" customWidth="1"/>
    <col min="5529" max="5529" width="8.88671875" style="7351" customWidth="1"/>
    <col min="5530" max="5530" width="16.109375" style="7351" customWidth="1"/>
    <col min="5531" max="5531" width="16.44140625" style="7351" customWidth="1"/>
    <col min="5532" max="5532" width="14.88671875" style="7351" customWidth="1"/>
    <col min="5533" max="5782" width="9.109375" style="7351"/>
    <col min="5783" max="5783" width="3.88671875" style="7351" customWidth="1"/>
    <col min="5784" max="5784" width="39.88671875" style="7351" customWidth="1"/>
    <col min="5785" max="5785" width="8.88671875" style="7351" customWidth="1"/>
    <col min="5786" max="5786" width="16.109375" style="7351" customWidth="1"/>
    <col min="5787" max="5787" width="16.44140625" style="7351" customWidth="1"/>
    <col min="5788" max="5788" width="14.88671875" style="7351" customWidth="1"/>
    <col min="5789" max="6038" width="9.109375" style="7351"/>
    <col min="6039" max="6039" width="3.88671875" style="7351" customWidth="1"/>
    <col min="6040" max="6040" width="39.88671875" style="7351" customWidth="1"/>
    <col min="6041" max="6041" width="8.88671875" style="7351" customWidth="1"/>
    <col min="6042" max="6042" width="16.109375" style="7351" customWidth="1"/>
    <col min="6043" max="6043" width="16.44140625" style="7351" customWidth="1"/>
    <col min="6044" max="6044" width="14.88671875" style="7351" customWidth="1"/>
    <col min="6045" max="6294" width="9.109375" style="7351"/>
    <col min="6295" max="6295" width="3.88671875" style="7351" customWidth="1"/>
    <col min="6296" max="6296" width="39.88671875" style="7351" customWidth="1"/>
    <col min="6297" max="6297" width="8.88671875" style="7351" customWidth="1"/>
    <col min="6298" max="6298" width="16.109375" style="7351" customWidth="1"/>
    <col min="6299" max="6299" width="16.44140625" style="7351" customWidth="1"/>
    <col min="6300" max="6300" width="14.88671875" style="7351" customWidth="1"/>
    <col min="6301" max="6550" width="9.109375" style="7351"/>
    <col min="6551" max="6551" width="3.88671875" style="7351" customWidth="1"/>
    <col min="6552" max="6552" width="39.88671875" style="7351" customWidth="1"/>
    <col min="6553" max="6553" width="8.88671875" style="7351" customWidth="1"/>
    <col min="6554" max="6554" width="16.109375" style="7351" customWidth="1"/>
    <col min="6555" max="6555" width="16.44140625" style="7351" customWidth="1"/>
    <col min="6556" max="6556" width="14.88671875" style="7351" customWidth="1"/>
    <col min="6557" max="6806" width="9.109375" style="7351"/>
    <col min="6807" max="6807" width="3.88671875" style="7351" customWidth="1"/>
    <col min="6808" max="6808" width="39.88671875" style="7351" customWidth="1"/>
    <col min="6809" max="6809" width="8.88671875" style="7351" customWidth="1"/>
    <col min="6810" max="6810" width="16.109375" style="7351" customWidth="1"/>
    <col min="6811" max="6811" width="16.44140625" style="7351" customWidth="1"/>
    <col min="6812" max="6812" width="14.88671875" style="7351" customWidth="1"/>
    <col min="6813" max="7062" width="9.109375" style="7351"/>
    <col min="7063" max="7063" width="3.88671875" style="7351" customWidth="1"/>
    <col min="7064" max="7064" width="39.88671875" style="7351" customWidth="1"/>
    <col min="7065" max="7065" width="8.88671875" style="7351" customWidth="1"/>
    <col min="7066" max="7066" width="16.109375" style="7351" customWidth="1"/>
    <col min="7067" max="7067" width="16.44140625" style="7351" customWidth="1"/>
    <col min="7068" max="7068" width="14.88671875" style="7351" customWidth="1"/>
    <col min="7069" max="7318" width="9.109375" style="7351"/>
    <col min="7319" max="7319" width="3.88671875" style="7351" customWidth="1"/>
    <col min="7320" max="7320" width="39.88671875" style="7351" customWidth="1"/>
    <col min="7321" max="7321" width="8.88671875" style="7351" customWidth="1"/>
    <col min="7322" max="7322" width="16.109375" style="7351" customWidth="1"/>
    <col min="7323" max="7323" width="16.44140625" style="7351" customWidth="1"/>
    <col min="7324" max="7324" width="14.88671875" style="7351" customWidth="1"/>
    <col min="7325" max="7574" width="9.109375" style="7351"/>
    <col min="7575" max="7575" width="3.88671875" style="7351" customWidth="1"/>
    <col min="7576" max="7576" width="39.88671875" style="7351" customWidth="1"/>
    <col min="7577" max="7577" width="8.88671875" style="7351" customWidth="1"/>
    <col min="7578" max="7578" width="16.109375" style="7351" customWidth="1"/>
    <col min="7579" max="7579" width="16.44140625" style="7351" customWidth="1"/>
    <col min="7580" max="7580" width="14.88671875" style="7351" customWidth="1"/>
    <col min="7581" max="7830" width="9.109375" style="7351"/>
    <col min="7831" max="7831" width="3.88671875" style="7351" customWidth="1"/>
    <col min="7832" max="7832" width="39.88671875" style="7351" customWidth="1"/>
    <col min="7833" max="7833" width="8.88671875" style="7351" customWidth="1"/>
    <col min="7834" max="7834" width="16.109375" style="7351" customWidth="1"/>
    <col min="7835" max="7835" width="16.44140625" style="7351" customWidth="1"/>
    <col min="7836" max="7836" width="14.88671875" style="7351" customWidth="1"/>
    <col min="7837" max="8086" width="9.109375" style="7351"/>
    <col min="8087" max="8087" width="3.88671875" style="7351" customWidth="1"/>
    <col min="8088" max="8088" width="39.88671875" style="7351" customWidth="1"/>
    <col min="8089" max="8089" width="8.88671875" style="7351" customWidth="1"/>
    <col min="8090" max="8090" width="16.109375" style="7351" customWidth="1"/>
    <col min="8091" max="8091" width="16.44140625" style="7351" customWidth="1"/>
    <col min="8092" max="8092" width="14.88671875" style="7351" customWidth="1"/>
    <col min="8093" max="8342" width="9.109375" style="7351"/>
    <col min="8343" max="8343" width="3.88671875" style="7351" customWidth="1"/>
    <col min="8344" max="8344" width="39.88671875" style="7351" customWidth="1"/>
    <col min="8345" max="8345" width="8.88671875" style="7351" customWidth="1"/>
    <col min="8346" max="8346" width="16.109375" style="7351" customWidth="1"/>
    <col min="8347" max="8347" width="16.44140625" style="7351" customWidth="1"/>
    <col min="8348" max="8348" width="14.88671875" style="7351" customWidth="1"/>
    <col min="8349" max="8598" width="9.109375" style="7351"/>
    <col min="8599" max="8599" width="3.88671875" style="7351" customWidth="1"/>
    <col min="8600" max="8600" width="39.88671875" style="7351" customWidth="1"/>
    <col min="8601" max="8601" width="8.88671875" style="7351" customWidth="1"/>
    <col min="8602" max="8602" width="16.109375" style="7351" customWidth="1"/>
    <col min="8603" max="8603" width="16.44140625" style="7351" customWidth="1"/>
    <col min="8604" max="8604" width="14.88671875" style="7351" customWidth="1"/>
    <col min="8605" max="8854" width="9.109375" style="7351"/>
    <col min="8855" max="8855" width="3.88671875" style="7351" customWidth="1"/>
    <col min="8856" max="8856" width="39.88671875" style="7351" customWidth="1"/>
    <col min="8857" max="8857" width="8.88671875" style="7351" customWidth="1"/>
    <col min="8858" max="8858" width="16.109375" style="7351" customWidth="1"/>
    <col min="8859" max="8859" width="16.44140625" style="7351" customWidth="1"/>
    <col min="8860" max="8860" width="14.88671875" style="7351" customWidth="1"/>
    <col min="8861" max="9110" width="9.109375" style="7351"/>
    <col min="9111" max="9111" width="3.88671875" style="7351" customWidth="1"/>
    <col min="9112" max="9112" width="39.88671875" style="7351" customWidth="1"/>
    <col min="9113" max="9113" width="8.88671875" style="7351" customWidth="1"/>
    <col min="9114" max="9114" width="16.109375" style="7351" customWidth="1"/>
    <col min="9115" max="9115" width="16.44140625" style="7351" customWidth="1"/>
    <col min="9116" max="9116" width="14.88671875" style="7351" customWidth="1"/>
    <col min="9117" max="9366" width="9.109375" style="7351"/>
    <col min="9367" max="9367" width="3.88671875" style="7351" customWidth="1"/>
    <col min="9368" max="9368" width="39.88671875" style="7351" customWidth="1"/>
    <col min="9369" max="9369" width="8.88671875" style="7351" customWidth="1"/>
    <col min="9370" max="9370" width="16.109375" style="7351" customWidth="1"/>
    <col min="9371" max="9371" width="16.44140625" style="7351" customWidth="1"/>
    <col min="9372" max="9372" width="14.88671875" style="7351" customWidth="1"/>
    <col min="9373" max="9622" width="9.109375" style="7351"/>
    <col min="9623" max="9623" width="3.88671875" style="7351" customWidth="1"/>
    <col min="9624" max="9624" width="39.88671875" style="7351" customWidth="1"/>
    <col min="9625" max="9625" width="8.88671875" style="7351" customWidth="1"/>
    <col min="9626" max="9626" width="16.109375" style="7351" customWidth="1"/>
    <col min="9627" max="9627" width="16.44140625" style="7351" customWidth="1"/>
    <col min="9628" max="9628" width="14.88671875" style="7351" customWidth="1"/>
    <col min="9629" max="9878" width="9.109375" style="7351"/>
    <col min="9879" max="9879" width="3.88671875" style="7351" customWidth="1"/>
    <col min="9880" max="9880" width="39.88671875" style="7351" customWidth="1"/>
    <col min="9881" max="9881" width="8.88671875" style="7351" customWidth="1"/>
    <col min="9882" max="9882" width="16.109375" style="7351" customWidth="1"/>
    <col min="9883" max="9883" width="16.44140625" style="7351" customWidth="1"/>
    <col min="9884" max="9884" width="14.88671875" style="7351" customWidth="1"/>
    <col min="9885" max="10134" width="9.109375" style="7351"/>
    <col min="10135" max="10135" width="3.88671875" style="7351" customWidth="1"/>
    <col min="10136" max="10136" width="39.88671875" style="7351" customWidth="1"/>
    <col min="10137" max="10137" width="8.88671875" style="7351" customWidth="1"/>
    <col min="10138" max="10138" width="16.109375" style="7351" customWidth="1"/>
    <col min="10139" max="10139" width="16.44140625" style="7351" customWidth="1"/>
    <col min="10140" max="10140" width="14.88671875" style="7351" customWidth="1"/>
    <col min="10141" max="10390" width="9.109375" style="7351"/>
    <col min="10391" max="10391" width="3.88671875" style="7351" customWidth="1"/>
    <col min="10392" max="10392" width="39.88671875" style="7351" customWidth="1"/>
    <col min="10393" max="10393" width="8.88671875" style="7351" customWidth="1"/>
    <col min="10394" max="10394" width="16.109375" style="7351" customWidth="1"/>
    <col min="10395" max="10395" width="16.44140625" style="7351" customWidth="1"/>
    <col min="10396" max="10396" width="14.88671875" style="7351" customWidth="1"/>
    <col min="10397" max="10646" width="9.109375" style="7351"/>
    <col min="10647" max="10647" width="3.88671875" style="7351" customWidth="1"/>
    <col min="10648" max="10648" width="39.88671875" style="7351" customWidth="1"/>
    <col min="10649" max="10649" width="8.88671875" style="7351" customWidth="1"/>
    <col min="10650" max="10650" width="16.109375" style="7351" customWidth="1"/>
    <col min="10651" max="10651" width="16.44140625" style="7351" customWidth="1"/>
    <col min="10652" max="10652" width="14.88671875" style="7351" customWidth="1"/>
    <col min="10653" max="10902" width="9.109375" style="7351"/>
    <col min="10903" max="10903" width="3.88671875" style="7351" customWidth="1"/>
    <col min="10904" max="10904" width="39.88671875" style="7351" customWidth="1"/>
    <col min="10905" max="10905" width="8.88671875" style="7351" customWidth="1"/>
    <col min="10906" max="10906" width="16.109375" style="7351" customWidth="1"/>
    <col min="10907" max="10907" width="16.44140625" style="7351" customWidth="1"/>
    <col min="10908" max="10908" width="14.88671875" style="7351" customWidth="1"/>
    <col min="10909" max="11158" width="9.109375" style="7351"/>
    <col min="11159" max="11159" width="3.88671875" style="7351" customWidth="1"/>
    <col min="11160" max="11160" width="39.88671875" style="7351" customWidth="1"/>
    <col min="11161" max="11161" width="8.88671875" style="7351" customWidth="1"/>
    <col min="11162" max="11162" width="16.109375" style="7351" customWidth="1"/>
    <col min="11163" max="11163" width="16.44140625" style="7351" customWidth="1"/>
    <col min="11164" max="11164" width="14.88671875" style="7351" customWidth="1"/>
    <col min="11165" max="11414" width="9.109375" style="7351"/>
    <col min="11415" max="11415" width="3.88671875" style="7351" customWidth="1"/>
    <col min="11416" max="11416" width="39.88671875" style="7351" customWidth="1"/>
    <col min="11417" max="11417" width="8.88671875" style="7351" customWidth="1"/>
    <col min="11418" max="11418" width="16.109375" style="7351" customWidth="1"/>
    <col min="11419" max="11419" width="16.44140625" style="7351" customWidth="1"/>
    <col min="11420" max="11420" width="14.88671875" style="7351" customWidth="1"/>
    <col min="11421" max="11670" width="9.109375" style="7351"/>
    <col min="11671" max="11671" width="3.88671875" style="7351" customWidth="1"/>
    <col min="11672" max="11672" width="39.88671875" style="7351" customWidth="1"/>
    <col min="11673" max="11673" width="8.88671875" style="7351" customWidth="1"/>
    <col min="11674" max="11674" width="16.109375" style="7351" customWidth="1"/>
    <col min="11675" max="11675" width="16.44140625" style="7351" customWidth="1"/>
    <col min="11676" max="11676" width="14.88671875" style="7351" customWidth="1"/>
    <col min="11677" max="11926" width="9.109375" style="7351"/>
    <col min="11927" max="11927" width="3.88671875" style="7351" customWidth="1"/>
    <col min="11928" max="11928" width="39.88671875" style="7351" customWidth="1"/>
    <col min="11929" max="11929" width="8.88671875" style="7351" customWidth="1"/>
    <col min="11930" max="11930" width="16.109375" style="7351" customWidth="1"/>
    <col min="11931" max="11931" width="16.44140625" style="7351" customWidth="1"/>
    <col min="11932" max="11932" width="14.88671875" style="7351" customWidth="1"/>
    <col min="11933" max="12182" width="9.109375" style="7351"/>
    <col min="12183" max="12183" width="3.88671875" style="7351" customWidth="1"/>
    <col min="12184" max="12184" width="39.88671875" style="7351" customWidth="1"/>
    <col min="12185" max="12185" width="8.88671875" style="7351" customWidth="1"/>
    <col min="12186" max="12186" width="16.109375" style="7351" customWidth="1"/>
    <col min="12187" max="12187" width="16.44140625" style="7351" customWidth="1"/>
    <col min="12188" max="12188" width="14.88671875" style="7351" customWidth="1"/>
    <col min="12189" max="12438" width="9.109375" style="7351"/>
    <col min="12439" max="12439" width="3.88671875" style="7351" customWidth="1"/>
    <col min="12440" max="12440" width="39.88671875" style="7351" customWidth="1"/>
    <col min="12441" max="12441" width="8.88671875" style="7351" customWidth="1"/>
    <col min="12442" max="12442" width="16.109375" style="7351" customWidth="1"/>
    <col min="12443" max="12443" width="16.44140625" style="7351" customWidth="1"/>
    <col min="12444" max="12444" width="14.88671875" style="7351" customWidth="1"/>
    <col min="12445" max="12694" width="9.109375" style="7351"/>
    <col min="12695" max="12695" width="3.88671875" style="7351" customWidth="1"/>
    <col min="12696" max="12696" width="39.88671875" style="7351" customWidth="1"/>
    <col min="12697" max="12697" width="8.88671875" style="7351" customWidth="1"/>
    <col min="12698" max="12698" width="16.109375" style="7351" customWidth="1"/>
    <col min="12699" max="12699" width="16.44140625" style="7351" customWidth="1"/>
    <col min="12700" max="12700" width="14.88671875" style="7351" customWidth="1"/>
    <col min="12701" max="12950" width="9.109375" style="7351"/>
    <col min="12951" max="12951" width="3.88671875" style="7351" customWidth="1"/>
    <col min="12952" max="12952" width="39.88671875" style="7351" customWidth="1"/>
    <col min="12953" max="12953" width="8.88671875" style="7351" customWidth="1"/>
    <col min="12954" max="12954" width="16.109375" style="7351" customWidth="1"/>
    <col min="12955" max="12955" width="16.44140625" style="7351" customWidth="1"/>
    <col min="12956" max="12956" width="14.88671875" style="7351" customWidth="1"/>
    <col min="12957" max="13206" width="9.109375" style="7351"/>
    <col min="13207" max="13207" width="3.88671875" style="7351" customWidth="1"/>
    <col min="13208" max="13208" width="39.88671875" style="7351" customWidth="1"/>
    <col min="13209" max="13209" width="8.88671875" style="7351" customWidth="1"/>
    <col min="13210" max="13210" width="16.109375" style="7351" customWidth="1"/>
    <col min="13211" max="13211" width="16.44140625" style="7351" customWidth="1"/>
    <col min="13212" max="13212" width="14.88671875" style="7351" customWidth="1"/>
    <col min="13213" max="13462" width="9.109375" style="7351"/>
    <col min="13463" max="13463" width="3.88671875" style="7351" customWidth="1"/>
    <col min="13464" max="13464" width="39.88671875" style="7351" customWidth="1"/>
    <col min="13465" max="13465" width="8.88671875" style="7351" customWidth="1"/>
    <col min="13466" max="13466" width="16.109375" style="7351" customWidth="1"/>
    <col min="13467" max="13467" width="16.44140625" style="7351" customWidth="1"/>
    <col min="13468" max="13468" width="14.88671875" style="7351" customWidth="1"/>
    <col min="13469" max="13718" width="9.109375" style="7351"/>
    <col min="13719" max="13719" width="3.88671875" style="7351" customWidth="1"/>
    <col min="13720" max="13720" width="39.88671875" style="7351" customWidth="1"/>
    <col min="13721" max="13721" width="8.88671875" style="7351" customWidth="1"/>
    <col min="13722" max="13722" width="16.109375" style="7351" customWidth="1"/>
    <col min="13723" max="13723" width="16.44140625" style="7351" customWidth="1"/>
    <col min="13724" max="13724" width="14.88671875" style="7351" customWidth="1"/>
    <col min="13725" max="13974" width="9.109375" style="7351"/>
    <col min="13975" max="13975" width="3.88671875" style="7351" customWidth="1"/>
    <col min="13976" max="13976" width="39.88671875" style="7351" customWidth="1"/>
    <col min="13977" max="13977" width="8.88671875" style="7351" customWidth="1"/>
    <col min="13978" max="13978" width="16.109375" style="7351" customWidth="1"/>
    <col min="13979" max="13979" width="16.44140625" style="7351" customWidth="1"/>
    <col min="13980" max="13980" width="14.88671875" style="7351" customWidth="1"/>
    <col min="13981" max="14230" width="9.109375" style="7351"/>
    <col min="14231" max="14231" width="3.88671875" style="7351" customWidth="1"/>
    <col min="14232" max="14232" width="39.88671875" style="7351" customWidth="1"/>
    <col min="14233" max="14233" width="8.88671875" style="7351" customWidth="1"/>
    <col min="14234" max="14234" width="16.109375" style="7351" customWidth="1"/>
    <col min="14235" max="14235" width="16.44140625" style="7351" customWidth="1"/>
    <col min="14236" max="14236" width="14.88671875" style="7351" customWidth="1"/>
    <col min="14237" max="14486" width="9.109375" style="7351"/>
    <col min="14487" max="14487" width="3.88671875" style="7351" customWidth="1"/>
    <col min="14488" max="14488" width="39.88671875" style="7351" customWidth="1"/>
    <col min="14489" max="14489" width="8.88671875" style="7351" customWidth="1"/>
    <col min="14490" max="14490" width="16.109375" style="7351" customWidth="1"/>
    <col min="14491" max="14491" width="16.44140625" style="7351" customWidth="1"/>
    <col min="14492" max="14492" width="14.88671875" style="7351" customWidth="1"/>
    <col min="14493" max="14742" width="9.109375" style="7351"/>
    <col min="14743" max="14743" width="3.88671875" style="7351" customWidth="1"/>
    <col min="14744" max="14744" width="39.88671875" style="7351" customWidth="1"/>
    <col min="14745" max="14745" width="8.88671875" style="7351" customWidth="1"/>
    <col min="14746" max="14746" width="16.109375" style="7351" customWidth="1"/>
    <col min="14747" max="14747" width="16.44140625" style="7351" customWidth="1"/>
    <col min="14748" max="14748" width="14.88671875" style="7351" customWidth="1"/>
    <col min="14749" max="14998" width="9.109375" style="7351"/>
    <col min="14999" max="14999" width="3.88671875" style="7351" customWidth="1"/>
    <col min="15000" max="15000" width="39.88671875" style="7351" customWidth="1"/>
    <col min="15001" max="15001" width="8.88671875" style="7351" customWidth="1"/>
    <col min="15002" max="15002" width="16.109375" style="7351" customWidth="1"/>
    <col min="15003" max="15003" width="16.44140625" style="7351" customWidth="1"/>
    <col min="15004" max="15004" width="14.88671875" style="7351" customWidth="1"/>
    <col min="15005" max="15254" width="9.109375" style="7351"/>
    <col min="15255" max="15255" width="3.88671875" style="7351" customWidth="1"/>
    <col min="15256" max="15256" width="39.88671875" style="7351" customWidth="1"/>
    <col min="15257" max="15257" width="8.88671875" style="7351" customWidth="1"/>
    <col min="15258" max="15258" width="16.109375" style="7351" customWidth="1"/>
    <col min="15259" max="15259" width="16.44140625" style="7351" customWidth="1"/>
    <col min="15260" max="15260" width="14.88671875" style="7351" customWidth="1"/>
    <col min="15261" max="15510" width="9.109375" style="7351"/>
    <col min="15511" max="15511" width="3.88671875" style="7351" customWidth="1"/>
    <col min="15512" max="15512" width="39.88671875" style="7351" customWidth="1"/>
    <col min="15513" max="15513" width="8.88671875" style="7351" customWidth="1"/>
    <col min="15514" max="15514" width="16.109375" style="7351" customWidth="1"/>
    <col min="15515" max="15515" width="16.44140625" style="7351" customWidth="1"/>
    <col min="15516" max="15516" width="14.88671875" style="7351" customWidth="1"/>
    <col min="15517" max="15766" width="9.109375" style="7351"/>
    <col min="15767" max="15767" width="3.88671875" style="7351" customWidth="1"/>
    <col min="15768" max="15768" width="39.88671875" style="7351" customWidth="1"/>
    <col min="15769" max="15769" width="8.88671875" style="7351" customWidth="1"/>
    <col min="15770" max="15770" width="16.109375" style="7351" customWidth="1"/>
    <col min="15771" max="15771" width="16.44140625" style="7351" customWidth="1"/>
    <col min="15772" max="15772" width="14.88671875" style="7351" customWidth="1"/>
    <col min="15773" max="16022" width="9.109375" style="7351"/>
    <col min="16023" max="16023" width="3.88671875" style="7351" customWidth="1"/>
    <col min="16024" max="16024" width="39.88671875" style="7351" customWidth="1"/>
    <col min="16025" max="16025" width="8.88671875" style="7351" customWidth="1"/>
    <col min="16026" max="16026" width="16.109375" style="7351" customWidth="1"/>
    <col min="16027" max="16027" width="16.44140625" style="7351" customWidth="1"/>
    <col min="16028" max="16028" width="14.88671875" style="7351" customWidth="1"/>
    <col min="16029" max="16384" width="9.109375" style="7351"/>
  </cols>
  <sheetData>
    <row r="1" spans="1:12" ht="15" customHeight="1">
      <c r="A1" s="14432" t="s">
        <v>1</v>
      </c>
      <c r="B1" s="14432"/>
      <c r="C1" s="14432"/>
      <c r="D1" s="14432"/>
      <c r="E1" s="14432"/>
      <c r="F1" s="14432"/>
      <c r="G1" s="14432"/>
      <c r="H1" s="14432"/>
      <c r="I1" s="14432"/>
      <c r="J1" s="14432"/>
    </row>
    <row r="2" spans="1:12" ht="15" customHeight="1">
      <c r="A2" s="7335"/>
      <c r="B2" s="7719"/>
      <c r="C2" s="10884"/>
      <c r="D2" s="7720"/>
      <c r="E2" s="7720"/>
      <c r="F2" s="7720"/>
      <c r="G2" s="7720"/>
      <c r="H2" s="7720"/>
      <c r="I2" s="7280"/>
      <c r="J2" s="7720"/>
    </row>
    <row r="3" spans="1:12" ht="15" customHeight="1">
      <c r="A3" s="7335" t="s">
        <v>2</v>
      </c>
      <c r="B3" s="7341"/>
      <c r="C3" s="10885" t="s">
        <v>10729</v>
      </c>
      <c r="D3" s="9431"/>
      <c r="E3" s="9431"/>
      <c r="F3" s="9431"/>
      <c r="G3" s="9431"/>
      <c r="H3" s="9431"/>
      <c r="I3" s="7284"/>
      <c r="J3" s="9431"/>
    </row>
    <row r="4" spans="1:12" ht="15" customHeight="1">
      <c r="A4" s="7335" t="s">
        <v>4</v>
      </c>
      <c r="B4" s="7335"/>
      <c r="C4" s="10884" t="s">
        <v>92</v>
      </c>
      <c r="D4" s="7336"/>
      <c r="E4" s="7336"/>
      <c r="F4" s="7336"/>
      <c r="G4" s="9431"/>
      <c r="H4" s="7336"/>
      <c r="I4" s="7286"/>
      <c r="J4" s="14775"/>
    </row>
    <row r="5" spans="1:12" ht="15" customHeight="1">
      <c r="A5" s="7352" t="s">
        <v>7</v>
      </c>
      <c r="B5" s="7352"/>
      <c r="C5" s="7353" t="s">
        <v>8</v>
      </c>
      <c r="D5" s="7354"/>
      <c r="E5" s="7354"/>
      <c r="F5" s="7354"/>
      <c r="G5" s="7354"/>
      <c r="H5" s="7354"/>
      <c r="I5" s="7290"/>
      <c r="J5" s="14775"/>
    </row>
    <row r="6" spans="1:12" s="7355" customFormat="1" ht="15" customHeight="1" thickBot="1">
      <c r="A6" s="7352"/>
      <c r="B6" s="7352"/>
      <c r="C6" s="7353"/>
      <c r="D6" s="7354"/>
      <c r="E6" s="7354"/>
      <c r="F6" s="7354"/>
      <c r="G6" s="7354"/>
      <c r="H6" s="7354"/>
      <c r="I6" s="7290"/>
      <c r="J6" s="7354"/>
      <c r="L6" s="9598"/>
    </row>
    <row r="7" spans="1:12" ht="15" customHeight="1">
      <c r="A7" s="11433"/>
      <c r="B7" s="11434"/>
      <c r="C7" s="11436" t="s">
        <v>9</v>
      </c>
      <c r="D7" s="9461" t="s">
        <v>10</v>
      </c>
      <c r="E7" s="14188" t="s">
        <v>10711</v>
      </c>
      <c r="F7" s="14189"/>
      <c r="G7" s="14190"/>
      <c r="H7" s="11080" t="s">
        <v>9985</v>
      </c>
      <c r="I7" s="9462"/>
      <c r="J7" s="11437" t="s">
        <v>12</v>
      </c>
    </row>
    <row r="8" spans="1:12" ht="15" customHeight="1">
      <c r="A8" s="11237"/>
      <c r="B8" s="7356" t="s">
        <v>13</v>
      </c>
      <c r="C8" s="14430" t="s">
        <v>14</v>
      </c>
      <c r="D8" s="11438" t="s">
        <v>15</v>
      </c>
      <c r="E8" s="9502" t="s">
        <v>10709</v>
      </c>
      <c r="F8" s="9503" t="s">
        <v>10710</v>
      </c>
      <c r="G8" s="14191" t="s">
        <v>458</v>
      </c>
      <c r="H8" s="11084" t="s">
        <v>11871</v>
      </c>
      <c r="I8" s="11108"/>
      <c r="J8" s="11439" t="s">
        <v>16</v>
      </c>
    </row>
    <row r="9" spans="1:12" ht="15" customHeight="1" thickBot="1">
      <c r="A9" s="11235"/>
      <c r="B9" s="7752"/>
      <c r="C9" s="14431"/>
      <c r="D9" s="7302">
        <v>2017</v>
      </c>
      <c r="E9" s="9467" t="s">
        <v>457</v>
      </c>
      <c r="F9" s="11661" t="s">
        <v>456</v>
      </c>
      <c r="G9" s="14192"/>
      <c r="H9" s="7302">
        <v>2018</v>
      </c>
      <c r="I9" s="7322"/>
      <c r="J9" s="11442">
        <v>2019</v>
      </c>
    </row>
    <row r="10" spans="1:12" ht="15" customHeight="1">
      <c r="A10" s="11241" t="s">
        <v>17</v>
      </c>
      <c r="B10" s="7352" t="s">
        <v>18</v>
      </c>
      <c r="C10" s="10387"/>
      <c r="D10" s="11252"/>
      <c r="E10" s="11252"/>
      <c r="F10" s="11252"/>
      <c r="G10" s="11252"/>
      <c r="H10" s="11252"/>
      <c r="I10" s="11163"/>
      <c r="J10" s="11269"/>
    </row>
    <row r="11" spans="1:12" ht="15" customHeight="1">
      <c r="A11" s="11237"/>
      <c r="B11" s="7352" t="s">
        <v>19</v>
      </c>
      <c r="C11" s="10387"/>
      <c r="D11" s="11252"/>
      <c r="E11" s="11252"/>
      <c r="F11" s="11252"/>
      <c r="G11" s="11252"/>
      <c r="H11" s="11252"/>
      <c r="I11" s="11163"/>
      <c r="J11" s="11269"/>
    </row>
    <row r="12" spans="1:12" ht="15" customHeight="1">
      <c r="A12" s="11237"/>
      <c r="B12" s="7287" t="s">
        <v>20</v>
      </c>
      <c r="C12" s="8872">
        <v>50101010</v>
      </c>
      <c r="D12" s="11443">
        <f>'WS-PS 2017'!B33</f>
        <v>3586428</v>
      </c>
      <c r="E12" s="11443">
        <f>'WS-PS ACTUAL JUNE 2018'!B33</f>
        <v>2060467.8</v>
      </c>
      <c r="F12" s="11443">
        <f>G12-E12</f>
        <v>4544368.2</v>
      </c>
      <c r="G12" s="11443">
        <v>6604836</v>
      </c>
      <c r="H12" s="11443"/>
      <c r="I12" s="11165"/>
      <c r="J12" s="11752">
        <f>K12</f>
        <v>8169492</v>
      </c>
      <c r="K12" s="7371">
        <f>'staffing-clarin'!F50</f>
        <v>8169492</v>
      </c>
      <c r="L12" s="7621">
        <f>'staffing-clarin'!B50</f>
        <v>25</v>
      </c>
    </row>
    <row r="13" spans="1:12" ht="15" customHeight="1">
      <c r="A13" s="11237"/>
      <c r="B13" s="7287" t="s">
        <v>21</v>
      </c>
      <c r="C13" s="8872">
        <v>50102010</v>
      </c>
      <c r="D13" s="11252">
        <f>'WS-PS 2017'!F33</f>
        <v>336000</v>
      </c>
      <c r="E13" s="11252">
        <f>'WS-PS ACTUAL JUNE 2018'!D33</f>
        <v>174922.45</v>
      </c>
      <c r="F13" s="11443">
        <f t="shared" ref="F13:F28" si="0">G13-E13</f>
        <v>377077.55</v>
      </c>
      <c r="G13" s="11252">
        <v>552000</v>
      </c>
      <c r="H13" s="11252"/>
      <c r="I13" s="11163"/>
      <c r="J13" s="11752">
        <f t="shared" ref="J13:J28" si="1">K13</f>
        <v>600000</v>
      </c>
      <c r="K13" s="7310">
        <f>24000*L12</f>
        <v>600000</v>
      </c>
    </row>
    <row r="14" spans="1:12" ht="15" customHeight="1">
      <c r="A14" s="11237"/>
      <c r="B14" s="11242" t="s">
        <v>22</v>
      </c>
      <c r="C14" s="8872">
        <v>50102040</v>
      </c>
      <c r="D14" s="11252">
        <f>'WS-PS 2017'!I33</f>
        <v>65000</v>
      </c>
      <c r="E14" s="11252">
        <f>'WS-PS ACTUAL JUNE 2018'!G33</f>
        <v>84000</v>
      </c>
      <c r="F14" s="11443">
        <f t="shared" si="0"/>
        <v>31000</v>
      </c>
      <c r="G14" s="11252">
        <v>115000</v>
      </c>
      <c r="H14" s="11252"/>
      <c r="I14" s="11163"/>
      <c r="J14" s="11752">
        <f t="shared" si="1"/>
        <v>150000</v>
      </c>
      <c r="K14" s="7310">
        <f>6000*L12</f>
        <v>150000</v>
      </c>
    </row>
    <row r="15" spans="1:12" ht="15" customHeight="1">
      <c r="A15" s="11237"/>
      <c r="B15" s="11242" t="s">
        <v>106</v>
      </c>
      <c r="C15" s="8872">
        <v>50102050</v>
      </c>
      <c r="D15" s="11252">
        <f>'WS-PS 2017'!J33</f>
        <v>158600</v>
      </c>
      <c r="E15" s="11252">
        <f>'WS-PS ACTUAL JUNE 2018'!H33</f>
        <v>79800</v>
      </c>
      <c r="F15" s="11443">
        <f t="shared" si="0"/>
        <v>334200</v>
      </c>
      <c r="G15" s="11252">
        <v>414000</v>
      </c>
      <c r="H15" s="11252"/>
      <c r="I15" s="11163"/>
      <c r="J15" s="11752">
        <f t="shared" si="1"/>
        <v>270000</v>
      </c>
      <c r="K15" s="7310">
        <f>10800*L12</f>
        <v>270000</v>
      </c>
    </row>
    <row r="16" spans="1:12" ht="15" customHeight="1">
      <c r="A16" s="11237"/>
      <c r="B16" s="7352" t="s">
        <v>10970</v>
      </c>
      <c r="C16" s="8802">
        <v>50102060</v>
      </c>
      <c r="D16" s="11252">
        <f>'WS-PS 2017'!K33</f>
        <v>23512.46</v>
      </c>
      <c r="E16" s="11252">
        <f>'WS-PS ACTUAL JUNE 2018'!I33</f>
        <v>12146.55</v>
      </c>
      <c r="F16" s="11443">
        <f t="shared" si="0"/>
        <v>29253.45</v>
      </c>
      <c r="G16" s="11252">
        <v>41400</v>
      </c>
      <c r="H16" s="11252"/>
      <c r="I16" s="11163"/>
      <c r="J16" s="11752">
        <f t="shared" si="1"/>
        <v>45000</v>
      </c>
      <c r="K16" s="7310">
        <f>1800*L12</f>
        <v>45000</v>
      </c>
    </row>
    <row r="17" spans="1:11" ht="15" customHeight="1">
      <c r="A17" s="11237"/>
      <c r="B17" s="7488" t="s">
        <v>10932</v>
      </c>
      <c r="C17" s="10368">
        <v>50102080</v>
      </c>
      <c r="D17" s="11252">
        <f>'WS-PS 2017'!L33</f>
        <v>70000</v>
      </c>
      <c r="E17" s="11252">
        <f>'WS-PS ACTUAL JUNE 2018'!J33</f>
        <v>0</v>
      </c>
      <c r="F17" s="11443">
        <f t="shared" si="0"/>
        <v>115000</v>
      </c>
      <c r="G17" s="11252">
        <v>115000</v>
      </c>
      <c r="H17" s="11252"/>
      <c r="I17" s="11163"/>
      <c r="J17" s="11752">
        <f t="shared" si="1"/>
        <v>125000</v>
      </c>
      <c r="K17" s="7310">
        <f>5000*L12</f>
        <v>125000</v>
      </c>
    </row>
    <row r="18" spans="1:11" ht="15" customHeight="1">
      <c r="A18" s="11237"/>
      <c r="B18" s="7287" t="s">
        <v>95</v>
      </c>
      <c r="C18" s="11729">
        <v>50102110</v>
      </c>
      <c r="D18" s="11252">
        <f>'WS-PS 2017'!N33</f>
        <v>746740.89</v>
      </c>
      <c r="E18" s="11252">
        <f>'WS-PS ACTUAL JUNE 2018'!L33</f>
        <v>421485.69</v>
      </c>
      <c r="F18" s="11443">
        <f t="shared" si="0"/>
        <v>536944.31000000006</v>
      </c>
      <c r="G18" s="11252">
        <v>958430</v>
      </c>
      <c r="H18" s="11252"/>
      <c r="I18" s="11163"/>
      <c r="J18" s="11752">
        <f t="shared" si="1"/>
        <v>2042373</v>
      </c>
      <c r="K18" s="11719">
        <f>25%*K12</f>
        <v>2042373</v>
      </c>
    </row>
    <row r="19" spans="1:11" ht="15" customHeight="1">
      <c r="A19" s="11237"/>
      <c r="B19" s="7488" t="s">
        <v>10934</v>
      </c>
      <c r="C19" s="8872">
        <v>50102120</v>
      </c>
      <c r="D19" s="11252">
        <f>'WS-PS 2017'!O33</f>
        <v>5000</v>
      </c>
      <c r="E19" s="11252">
        <f>'WS-PS ACTUAL JUNE 2018'!M33</f>
        <v>5000</v>
      </c>
      <c r="F19" s="11443">
        <f>G19-E19</f>
        <v>25000</v>
      </c>
      <c r="G19" s="11252">
        <v>30000</v>
      </c>
      <c r="H19" s="11252"/>
      <c r="I19" s="11163"/>
      <c r="J19" s="11752">
        <f t="shared" si="1"/>
        <v>10000</v>
      </c>
      <c r="K19" s="7310">
        <v>10000</v>
      </c>
    </row>
    <row r="20" spans="1:11" ht="15" customHeight="1">
      <c r="A20" s="11237"/>
      <c r="B20" s="7488" t="s">
        <v>10933</v>
      </c>
      <c r="C20" s="8872">
        <v>50102140</v>
      </c>
      <c r="D20" s="11252">
        <f>'WS-PS 2017'!U33+'WS-PS 2017'!S33</f>
        <v>585901</v>
      </c>
      <c r="E20" s="11252">
        <f>'WS-PS ACTUAL JUNE 2018'!O33</f>
        <v>0</v>
      </c>
      <c r="F20" s="11443">
        <f>G20-E20</f>
        <v>1100806</v>
      </c>
      <c r="G20" s="11252">
        <v>1100806</v>
      </c>
      <c r="H20" s="11252"/>
      <c r="I20" s="11163"/>
      <c r="J20" s="11752">
        <f t="shared" si="1"/>
        <v>1361582</v>
      </c>
      <c r="K20" s="7310">
        <f>SUM(K12:K12)/12*2</f>
        <v>1361582</v>
      </c>
    </row>
    <row r="21" spans="1:11" ht="15" customHeight="1">
      <c r="A21" s="11237"/>
      <c r="B21" s="7287" t="s">
        <v>26</v>
      </c>
      <c r="C21" s="11729">
        <v>50102150</v>
      </c>
      <c r="D21" s="11252">
        <f>'WS-PS 2017'!T33</f>
        <v>70000</v>
      </c>
      <c r="E21" s="11252">
        <f>'WS-PS ACTUAL JUNE 2018'!Q33</f>
        <v>0</v>
      </c>
      <c r="F21" s="11443">
        <f t="shared" si="0"/>
        <v>115000</v>
      </c>
      <c r="G21" s="11252">
        <v>115000</v>
      </c>
      <c r="H21" s="11252"/>
      <c r="I21" s="11163"/>
      <c r="J21" s="11752">
        <f t="shared" si="1"/>
        <v>125000</v>
      </c>
      <c r="K21" s="7371">
        <f>K17</f>
        <v>125000</v>
      </c>
    </row>
    <row r="22" spans="1:11" ht="15" customHeight="1">
      <c r="A22" s="11237"/>
      <c r="B22" s="7488" t="s">
        <v>11497</v>
      </c>
      <c r="C22" s="11257">
        <v>50102990</v>
      </c>
      <c r="D22" s="11252">
        <v>0</v>
      </c>
      <c r="E22" s="11252">
        <f>'WS-PS ACTUAL JUNE 2018'!R33</f>
        <v>0</v>
      </c>
      <c r="F22" s="11443">
        <f>G22-E22</f>
        <v>316482</v>
      </c>
      <c r="G22" s="11252">
        <v>316482</v>
      </c>
      <c r="H22" s="11252"/>
      <c r="I22" s="11163"/>
      <c r="J22" s="11752">
        <v>0</v>
      </c>
      <c r="K22" s="7310">
        <f>K12/12*0.575</f>
        <v>391454.82499999995</v>
      </c>
    </row>
    <row r="23" spans="1:11" ht="15" customHeight="1">
      <c r="A23" s="11237"/>
      <c r="B23" s="7803" t="s">
        <v>11499</v>
      </c>
      <c r="C23" s="11059" t="s">
        <v>11495</v>
      </c>
      <c r="D23" s="11252">
        <f>'WS-PS 2017'!Q33</f>
        <v>0</v>
      </c>
      <c r="E23" s="11252">
        <f>'WS-PS ACTUAL JUNE 2018'!S33</f>
        <v>0</v>
      </c>
      <c r="F23" s="11443">
        <f>G23-E23</f>
        <v>0</v>
      </c>
      <c r="G23" s="11252">
        <v>0</v>
      </c>
      <c r="H23" s="11252"/>
      <c r="I23" s="11163"/>
      <c r="J23" s="11752">
        <f t="shared" si="1"/>
        <v>75000</v>
      </c>
      <c r="K23" s="7310">
        <f>3000*L12</f>
        <v>75000</v>
      </c>
    </row>
    <row r="24" spans="1:11" ht="15" customHeight="1">
      <c r="A24" s="11237"/>
      <c r="B24" s="11518" t="s">
        <v>59</v>
      </c>
      <c r="C24" s="8872">
        <v>50103010</v>
      </c>
      <c r="D24" s="11252">
        <f>'WS-PS 2017'!V33</f>
        <v>430376.02</v>
      </c>
      <c r="E24" s="11252">
        <f>'WS-PS ACTUAL JUNE 2018'!T33</f>
        <v>245183.74</v>
      </c>
      <c r="F24" s="11443">
        <f t="shared" si="0"/>
        <v>547396.26</v>
      </c>
      <c r="G24" s="11252">
        <v>792580</v>
      </c>
      <c r="H24" s="11252"/>
      <c r="I24" s="11163"/>
      <c r="J24" s="11752">
        <f t="shared" si="1"/>
        <v>980339.03999999992</v>
      </c>
      <c r="K24" s="11720">
        <f>SUM(K12:K12)*12%</f>
        <v>980339.03999999992</v>
      </c>
    </row>
    <row r="25" spans="1:11" ht="15" customHeight="1">
      <c r="A25" s="11237"/>
      <c r="B25" s="7803" t="s">
        <v>28</v>
      </c>
      <c r="C25" s="8872">
        <v>50103020</v>
      </c>
      <c r="D25" s="11252">
        <f>'WS-PS 2017'!W33</f>
        <v>16800</v>
      </c>
      <c r="E25" s="11252">
        <f>'WS-PS ACTUAL JUNE 2018'!U33</f>
        <v>8700</v>
      </c>
      <c r="F25" s="11443">
        <f t="shared" si="0"/>
        <v>18900</v>
      </c>
      <c r="G25" s="11252">
        <v>27600</v>
      </c>
      <c r="H25" s="11252"/>
      <c r="I25" s="11163"/>
      <c r="J25" s="11752">
        <f t="shared" si="1"/>
        <v>30000</v>
      </c>
      <c r="K25" s="7310">
        <f>1200*L12</f>
        <v>30000</v>
      </c>
    </row>
    <row r="26" spans="1:11" ht="15" customHeight="1">
      <c r="A26" s="11237"/>
      <c r="B26" s="7803" t="s">
        <v>29</v>
      </c>
      <c r="C26" s="8872">
        <v>50103030</v>
      </c>
      <c r="D26" s="11252">
        <f>'WS-PS 2017'!X33</f>
        <v>38525</v>
      </c>
      <c r="E26" s="11252">
        <f>'WS-PS ACTUAL JUNE 2018'!V33</f>
        <v>24929.81</v>
      </c>
      <c r="F26" s="11443">
        <f t="shared" si="0"/>
        <v>32570.19</v>
      </c>
      <c r="G26" s="11252">
        <v>57500</v>
      </c>
      <c r="H26" s="11252"/>
      <c r="I26" s="11163"/>
      <c r="J26" s="11752">
        <v>87568.635000000009</v>
      </c>
      <c r="K26" s="7310">
        <f>3600*L12</f>
        <v>90000</v>
      </c>
    </row>
    <row r="27" spans="1:11" ht="15" customHeight="1">
      <c r="A27" s="11237"/>
      <c r="B27" s="7803" t="s">
        <v>30</v>
      </c>
      <c r="C27" s="8872">
        <v>50103040</v>
      </c>
      <c r="D27" s="11252">
        <f>'WS-PS 2017'!Y33</f>
        <v>16797.689999999999</v>
      </c>
      <c r="E27" s="11252">
        <f>'WS-PS ACTUAL JUNE 2018'!W33</f>
        <v>8700</v>
      </c>
      <c r="F27" s="11443">
        <f t="shared" si="0"/>
        <v>18900</v>
      </c>
      <c r="G27" s="11252">
        <v>27600</v>
      </c>
      <c r="H27" s="11252"/>
      <c r="I27" s="11163"/>
      <c r="J27" s="11752">
        <f t="shared" si="1"/>
        <v>30000</v>
      </c>
      <c r="K27" s="7310">
        <f>K25</f>
        <v>30000</v>
      </c>
    </row>
    <row r="28" spans="1:11" ht="15" customHeight="1">
      <c r="A28" s="11237"/>
      <c r="B28" s="7488" t="s">
        <v>5025</v>
      </c>
      <c r="C28" s="11258">
        <v>50104990</v>
      </c>
      <c r="D28" s="11252">
        <f>'WS-PS 2017'!Z33</f>
        <v>350000</v>
      </c>
      <c r="E28" s="11252"/>
      <c r="F28" s="11443">
        <f t="shared" si="0"/>
        <v>0</v>
      </c>
      <c r="G28" s="11252">
        <v>0</v>
      </c>
      <c r="H28" s="11252"/>
      <c r="I28" s="11163"/>
      <c r="J28" s="11752">
        <f t="shared" si="1"/>
        <v>0</v>
      </c>
    </row>
    <row r="29" spans="1:11" ht="15" customHeight="1">
      <c r="A29" s="11237"/>
      <c r="B29" s="7352"/>
      <c r="C29" s="10387"/>
      <c r="D29" s="7725"/>
      <c r="E29" s="7725"/>
      <c r="F29" s="7725"/>
      <c r="G29" s="7725"/>
      <c r="H29" s="7725"/>
      <c r="I29" s="7313"/>
      <c r="J29" s="11287"/>
    </row>
    <row r="30" spans="1:11" ht="15" customHeight="1" thickBot="1">
      <c r="A30" s="11235"/>
      <c r="B30" s="7391" t="s">
        <v>37</v>
      </c>
      <c r="C30" s="11261"/>
      <c r="D30" s="11457">
        <f>SUM(D11:D29)</f>
        <v>6499681.0599999996</v>
      </c>
      <c r="E30" s="11457">
        <f>SUM(E11:E29)</f>
        <v>3125336.0399999996</v>
      </c>
      <c r="F30" s="11457">
        <f>SUM(F11:F29)</f>
        <v>8142897.96</v>
      </c>
      <c r="G30" s="11457">
        <f>SUM(G11:G29)</f>
        <v>11268234</v>
      </c>
      <c r="H30" s="11457"/>
      <c r="I30" s="11176"/>
      <c r="J30" s="11458">
        <f>SUM(J11:J29)</f>
        <v>14101354.674999999</v>
      </c>
      <c r="K30" s="11748">
        <f>SUM(K12:K29)</f>
        <v>14495240.864999998</v>
      </c>
    </row>
    <row r="31" spans="1:11" ht="15" customHeight="1">
      <c r="A31" s="7385"/>
      <c r="B31" s="7386"/>
      <c r="C31" s="7387"/>
      <c r="D31" s="7388"/>
      <c r="E31" s="7388"/>
      <c r="F31" s="7388"/>
      <c r="G31" s="7388"/>
      <c r="H31" s="7388"/>
      <c r="I31" s="7389"/>
      <c r="J31" s="7388"/>
    </row>
    <row r="32" spans="1:11" ht="15" customHeight="1">
      <c r="A32" s="7352"/>
      <c r="B32" s="7361"/>
      <c r="C32" s="7353"/>
      <c r="D32" s="7364"/>
      <c r="E32" s="7364"/>
      <c r="F32" s="7364"/>
      <c r="G32" s="7364"/>
      <c r="H32" s="7364"/>
      <c r="I32" s="7350"/>
      <c r="J32" s="7364"/>
    </row>
    <row r="33" spans="1:11" ht="15" customHeight="1">
      <c r="A33" s="7352"/>
      <c r="B33" s="7361"/>
      <c r="C33" s="7353"/>
      <c r="D33" s="7364"/>
      <c r="E33" s="7364"/>
      <c r="F33" s="7364"/>
      <c r="G33" s="7364"/>
      <c r="H33" s="7364"/>
      <c r="I33" s="7350"/>
      <c r="J33" s="7364"/>
    </row>
    <row r="34" spans="1:11" ht="15" customHeight="1">
      <c r="A34" s="7352"/>
      <c r="B34" s="7361"/>
      <c r="C34" s="7353"/>
      <c r="D34" s="7364"/>
      <c r="E34" s="7364"/>
      <c r="F34" s="7364"/>
      <c r="G34" s="7364"/>
      <c r="H34" s="7364"/>
      <c r="I34" s="7350"/>
      <c r="J34" s="7364"/>
    </row>
    <row r="35" spans="1:11" ht="15" customHeight="1">
      <c r="A35" s="7352"/>
      <c r="B35" s="7361"/>
      <c r="C35" s="7353"/>
      <c r="D35" s="7364"/>
      <c r="E35" s="7364"/>
      <c r="F35" s="7364"/>
      <c r="G35" s="7364"/>
      <c r="H35" s="7364"/>
      <c r="I35" s="7350"/>
      <c r="J35" s="7364"/>
    </row>
    <row r="36" spans="1:11" ht="15" customHeight="1">
      <c r="A36" s="7352"/>
      <c r="B36" s="7361"/>
      <c r="C36" s="7353"/>
      <c r="D36" s="7364"/>
      <c r="E36" s="7364"/>
      <c r="F36" s="7364"/>
      <c r="G36" s="7364"/>
      <c r="H36" s="7364"/>
      <c r="I36" s="7350"/>
      <c r="J36" s="7364"/>
    </row>
    <row r="37" spans="1:11" ht="15" customHeight="1">
      <c r="A37" s="7352"/>
      <c r="B37" s="7361"/>
      <c r="C37" s="7353"/>
      <c r="D37" s="7364"/>
      <c r="E37" s="7364"/>
      <c r="F37" s="7364"/>
      <c r="G37" s="7364"/>
      <c r="H37" s="7364"/>
      <c r="I37" s="7350"/>
      <c r="J37" s="7364"/>
    </row>
    <row r="38" spans="1:11" ht="15" customHeight="1" thickBot="1">
      <c r="A38" s="7390" t="s">
        <v>120</v>
      </c>
      <c r="B38" s="7390"/>
      <c r="C38" s="7392"/>
      <c r="D38" s="7750"/>
      <c r="E38" s="7750"/>
      <c r="F38" s="7750"/>
      <c r="G38" s="7724" t="s">
        <v>9</v>
      </c>
      <c r="H38" s="7724"/>
      <c r="I38" s="7294"/>
      <c r="J38" s="7724" t="s">
        <v>9</v>
      </c>
    </row>
    <row r="39" spans="1:11" ht="15" customHeight="1">
      <c r="A39" s="11433"/>
      <c r="B39" s="11434"/>
      <c r="C39" s="11436" t="s">
        <v>9</v>
      </c>
      <c r="D39" s="9461" t="s">
        <v>10</v>
      </c>
      <c r="E39" s="14188" t="s">
        <v>10711</v>
      </c>
      <c r="F39" s="14189"/>
      <c r="G39" s="14190"/>
      <c r="H39" s="9461"/>
      <c r="I39" s="9462"/>
      <c r="J39" s="11437" t="s">
        <v>12</v>
      </c>
    </row>
    <row r="40" spans="1:11" ht="15" customHeight="1">
      <c r="A40" s="11237"/>
      <c r="B40" s="7356" t="s">
        <v>13</v>
      </c>
      <c r="C40" s="14430" t="s">
        <v>14</v>
      </c>
      <c r="D40" s="11438" t="s">
        <v>15</v>
      </c>
      <c r="E40" s="9502" t="s">
        <v>10709</v>
      </c>
      <c r="F40" s="9503" t="s">
        <v>10710</v>
      </c>
      <c r="G40" s="14191" t="s">
        <v>458</v>
      </c>
      <c r="H40" s="11181"/>
      <c r="I40" s="11108"/>
      <c r="J40" s="11439" t="s">
        <v>16</v>
      </c>
    </row>
    <row r="41" spans="1:11" ht="15" customHeight="1" thickBot="1">
      <c r="A41" s="11235"/>
      <c r="B41" s="7752"/>
      <c r="C41" s="14431"/>
      <c r="D41" s="7302">
        <v>2017</v>
      </c>
      <c r="E41" s="9467" t="s">
        <v>457</v>
      </c>
      <c r="F41" s="11661" t="s">
        <v>456</v>
      </c>
      <c r="G41" s="14192"/>
      <c r="H41" s="7302"/>
      <c r="I41" s="7322"/>
      <c r="J41" s="11442">
        <v>2019</v>
      </c>
    </row>
    <row r="42" spans="1:11" ht="15" customHeight="1">
      <c r="A42" s="11237"/>
      <c r="B42" s="7356"/>
      <c r="C42" s="11452"/>
      <c r="D42" s="11181"/>
      <c r="E42" s="11123"/>
      <c r="F42" s="11123"/>
      <c r="G42" s="11123"/>
      <c r="H42" s="11181"/>
      <c r="I42" s="11108"/>
      <c r="J42" s="11453"/>
    </row>
    <row r="43" spans="1:11" ht="15" customHeight="1">
      <c r="A43" s="11241"/>
      <c r="B43" s="7352" t="s">
        <v>38</v>
      </c>
      <c r="C43" s="10387"/>
      <c r="D43" s="11252"/>
      <c r="E43" s="11252"/>
      <c r="F43" s="11252"/>
      <c r="G43" s="11252"/>
      <c r="H43" s="11252"/>
      <c r="I43" s="11163"/>
      <c r="J43" s="11269"/>
    </row>
    <row r="44" spans="1:11" ht="15" customHeight="1">
      <c r="A44" s="11237"/>
      <c r="B44" s="7803" t="s">
        <v>391</v>
      </c>
      <c r="C44" s="10377">
        <v>50201010</v>
      </c>
      <c r="D44" s="11252">
        <f>'WS-MOOE 2017'!B33</f>
        <v>87248.5</v>
      </c>
      <c r="E44" s="11252">
        <f>'WS-MOOE ACTUAL JUNE 2018'!B34</f>
        <v>33679</v>
      </c>
      <c r="F44" s="11443">
        <f t="shared" ref="F44:F63" si="2">G44-E44</f>
        <v>56321</v>
      </c>
      <c r="G44" s="11252">
        <v>90000</v>
      </c>
      <c r="H44" s="11252">
        <v>54350</v>
      </c>
      <c r="I44" s="11163">
        <f>H44/G44</f>
        <v>0.60388888888888892</v>
      </c>
      <c r="J44" s="11269">
        <f>90000+60000</f>
        <v>150000</v>
      </c>
      <c r="K44" s="7351" t="s">
        <v>12216</v>
      </c>
    </row>
    <row r="45" spans="1:11" ht="15" customHeight="1">
      <c r="A45" s="11237"/>
      <c r="B45" s="7803" t="s">
        <v>10324</v>
      </c>
      <c r="C45" s="10377">
        <v>50202010</v>
      </c>
      <c r="D45" s="11252">
        <f>'WS-MOOE 2017'!H33</f>
        <v>29000</v>
      </c>
      <c r="E45" s="11252">
        <f>'WS-MOOE ACTUAL JUNE 2018'!G34</f>
        <v>0</v>
      </c>
      <c r="F45" s="11443">
        <f t="shared" si="2"/>
        <v>150000</v>
      </c>
      <c r="G45" s="11252">
        <v>150000</v>
      </c>
      <c r="H45" s="11252">
        <v>18125</v>
      </c>
      <c r="I45" s="11163">
        <f t="shared" ref="I45:I63" si="3">H45/G45</f>
        <v>0.12083333333333333</v>
      </c>
      <c r="J45" s="11269">
        <v>200000</v>
      </c>
    </row>
    <row r="46" spans="1:11" ht="15" customHeight="1">
      <c r="A46" s="11237"/>
      <c r="B46" s="7803" t="s">
        <v>392</v>
      </c>
      <c r="C46" s="10377">
        <v>50203010</v>
      </c>
      <c r="D46" s="11252">
        <f>'WS-MOOE 2017'!J33</f>
        <v>115692.4</v>
      </c>
      <c r="E46" s="11252">
        <f>'WS-MOOE ACTUAL JUNE 2018'!H34</f>
        <v>55568.800000000003</v>
      </c>
      <c r="F46" s="11443">
        <f t="shared" si="2"/>
        <v>207007.2</v>
      </c>
      <c r="G46" s="11252">
        <v>262576</v>
      </c>
      <c r="H46" s="11252">
        <v>68068.800000000003</v>
      </c>
      <c r="I46" s="11163">
        <f t="shared" si="3"/>
        <v>0.25923465967948328</v>
      </c>
      <c r="J46" s="11269">
        <v>265000</v>
      </c>
    </row>
    <row r="47" spans="1:11" ht="15" customHeight="1">
      <c r="A47" s="11237"/>
      <c r="B47" s="7287" t="s">
        <v>97</v>
      </c>
      <c r="C47" s="8802">
        <v>50203020</v>
      </c>
      <c r="D47" s="11252">
        <f>'WS-MOOE 2017'!M33</f>
        <v>34375</v>
      </c>
      <c r="E47" s="11252">
        <f>'WS-MOOE ACTUAL JUNE 2018'!J34</f>
        <v>13750</v>
      </c>
      <c r="F47" s="11443">
        <f t="shared" si="2"/>
        <v>56250</v>
      </c>
      <c r="G47" s="11252">
        <v>70000</v>
      </c>
      <c r="H47" s="11252">
        <v>20625</v>
      </c>
      <c r="I47" s="11163">
        <f t="shared" si="3"/>
        <v>0.29464285714285715</v>
      </c>
      <c r="J47" s="11269">
        <v>70000</v>
      </c>
    </row>
    <row r="48" spans="1:11" ht="15" customHeight="1">
      <c r="A48" s="11237"/>
      <c r="B48" s="7287" t="s">
        <v>98</v>
      </c>
      <c r="C48" s="8802">
        <v>50203050</v>
      </c>
      <c r="D48" s="11252">
        <f>'WS-MOOE 2017'!O33</f>
        <v>361044.5</v>
      </c>
      <c r="E48" s="11252">
        <f>'WS-MOOE ACTUAL JUNE 2018'!L34</f>
        <v>215397.9</v>
      </c>
      <c r="F48" s="11443">
        <f t="shared" si="2"/>
        <v>484602.1</v>
      </c>
      <c r="G48" s="11252">
        <v>700000</v>
      </c>
      <c r="H48" s="11252">
        <v>274503.84999999998</v>
      </c>
      <c r="I48" s="11163">
        <f t="shared" si="3"/>
        <v>0.39214835714285712</v>
      </c>
      <c r="J48" s="11269">
        <v>620000</v>
      </c>
      <c r="K48" s="7351" t="s">
        <v>12217</v>
      </c>
    </row>
    <row r="49" spans="1:11" ht="15" customHeight="1">
      <c r="A49" s="11237"/>
      <c r="B49" s="7287" t="s">
        <v>9122</v>
      </c>
      <c r="C49" s="8802">
        <v>50203070</v>
      </c>
      <c r="D49" s="11252">
        <f>'WS-MOOE 2017'!P33</f>
        <v>3019109</v>
      </c>
      <c r="E49" s="11252">
        <f>'WS-MOOE ACTUAL JUNE 2018'!M34</f>
        <v>20000</v>
      </c>
      <c r="F49" s="11443">
        <f t="shared" si="2"/>
        <v>3980000</v>
      </c>
      <c r="G49" s="11252">
        <v>4000000</v>
      </c>
      <c r="H49" s="11252">
        <v>3605894.66</v>
      </c>
      <c r="I49" s="11163">
        <f t="shared" si="3"/>
        <v>0.90147366500000004</v>
      </c>
      <c r="J49" s="11463">
        <v>4000000</v>
      </c>
    </row>
    <row r="50" spans="1:11" ht="15" customHeight="1">
      <c r="A50" s="11237"/>
      <c r="B50" s="7287" t="s">
        <v>135</v>
      </c>
      <c r="C50" s="8802">
        <v>50203080</v>
      </c>
      <c r="D50" s="11252">
        <f>'WS-MOOE 2017'!Q33</f>
        <v>1787704.94</v>
      </c>
      <c r="E50" s="11252">
        <f>'WS-MOOE ACTUAL JUNE 2018'!N34</f>
        <v>88356.25</v>
      </c>
      <c r="F50" s="11443">
        <f t="shared" si="2"/>
        <v>3929682.75</v>
      </c>
      <c r="G50" s="11252">
        <v>4018039</v>
      </c>
      <c r="H50" s="11252">
        <v>3980192.6</v>
      </c>
      <c r="I50" s="11163">
        <f t="shared" si="3"/>
        <v>0.99058087788595384</v>
      </c>
      <c r="J50" s="11463">
        <v>4600000</v>
      </c>
    </row>
    <row r="51" spans="1:11" ht="15" customHeight="1">
      <c r="A51" s="11237"/>
      <c r="B51" s="7287" t="s">
        <v>44</v>
      </c>
      <c r="C51" s="8802">
        <v>50203090</v>
      </c>
      <c r="D51" s="11252">
        <f>'WS-MOOE 2017'!R33</f>
        <v>162935.45000000001</v>
      </c>
      <c r="E51" s="11252">
        <f>'WS-MOOE ACTUAL JUNE 2018'!O34</f>
        <v>75899.839999999997</v>
      </c>
      <c r="F51" s="11443">
        <f t="shared" si="2"/>
        <v>104100.16</v>
      </c>
      <c r="G51" s="11252">
        <v>180000</v>
      </c>
      <c r="H51" s="11252">
        <v>85399.84</v>
      </c>
      <c r="I51" s="11163">
        <f t="shared" si="3"/>
        <v>0.47444355555555556</v>
      </c>
      <c r="J51" s="11463">
        <v>300000</v>
      </c>
    </row>
    <row r="52" spans="1:11" ht="15" customHeight="1">
      <c r="A52" s="11237"/>
      <c r="B52" s="7287" t="s">
        <v>11003</v>
      </c>
      <c r="C52" s="8802">
        <v>50203990</v>
      </c>
      <c r="D52" s="11252">
        <f>'WS-MOOE 2017'!V33</f>
        <v>78143.070000000007</v>
      </c>
      <c r="E52" s="11252">
        <f>'WS-MOOE ACTUAL JUNE 2018'!T34</f>
        <v>11363</v>
      </c>
      <c r="F52" s="11443">
        <f>G52-E52</f>
        <v>136192</v>
      </c>
      <c r="G52" s="11252">
        <v>147555</v>
      </c>
      <c r="H52" s="11252">
        <v>15163</v>
      </c>
      <c r="I52" s="11163">
        <f>H52/G52</f>
        <v>0.10276168208464641</v>
      </c>
      <c r="J52" s="11463">
        <v>200000</v>
      </c>
    </row>
    <row r="53" spans="1:11" ht="15" hidden="1" customHeight="1">
      <c r="A53" s="11237"/>
      <c r="B53" s="7352" t="s">
        <v>9937</v>
      </c>
      <c r="C53" s="10387"/>
      <c r="D53" s="11252"/>
      <c r="E53" s="11252"/>
      <c r="F53" s="11443">
        <f>G53-E53</f>
        <v>0</v>
      </c>
      <c r="G53" s="11252"/>
      <c r="H53" s="11252"/>
      <c r="I53" s="11163" t="e">
        <f>H53/G53</f>
        <v>#DIV/0!</v>
      </c>
      <c r="J53" s="11760"/>
    </row>
    <row r="54" spans="1:11" ht="15" customHeight="1">
      <c r="A54" s="11237"/>
      <c r="B54" s="7287" t="s">
        <v>45</v>
      </c>
      <c r="C54" s="8802">
        <v>50204010</v>
      </c>
      <c r="D54" s="11252">
        <f>'WS-MOOE 2017'!W33</f>
        <v>38662.400000000001</v>
      </c>
      <c r="E54" s="11252">
        <f>'WS-MOOE ACTUAL JUNE 2018'!R34</f>
        <v>10422.15</v>
      </c>
      <c r="F54" s="11443">
        <f t="shared" si="2"/>
        <v>49577.85</v>
      </c>
      <c r="G54" s="11252">
        <v>60000</v>
      </c>
      <c r="H54" s="11252">
        <v>15019.9</v>
      </c>
      <c r="I54" s="11163">
        <f t="shared" si="3"/>
        <v>0.25033166666666667</v>
      </c>
      <c r="J54" s="11463">
        <v>60000</v>
      </c>
    </row>
    <row r="55" spans="1:11" ht="15" customHeight="1">
      <c r="A55" s="11237"/>
      <c r="B55" s="7287" t="s">
        <v>46</v>
      </c>
      <c r="C55" s="8802">
        <v>50204020</v>
      </c>
      <c r="D55" s="11252">
        <f>'WS-MOOE 2017'!X33</f>
        <v>206882.88</v>
      </c>
      <c r="E55" s="11252">
        <f>'WS-MOOE ACTUAL JUNE 2018'!S34</f>
        <v>157830.20000000001</v>
      </c>
      <c r="F55" s="11443">
        <f t="shared" si="2"/>
        <v>142169.79999999999</v>
      </c>
      <c r="G55" s="11252">
        <v>300000</v>
      </c>
      <c r="H55" s="11252">
        <v>215374.51</v>
      </c>
      <c r="I55" s="11163">
        <f t="shared" si="3"/>
        <v>0.7179150333333334</v>
      </c>
      <c r="J55" s="11463">
        <v>380000</v>
      </c>
      <c r="K55" s="7351" t="s">
        <v>12218</v>
      </c>
    </row>
    <row r="56" spans="1:11" ht="15" customHeight="1">
      <c r="A56" s="11237"/>
      <c r="B56" s="7287" t="s">
        <v>62</v>
      </c>
      <c r="C56" s="8802">
        <v>50205010</v>
      </c>
      <c r="D56" s="11252">
        <f>'WS-MOOE 2017'!Z33</f>
        <v>479.5</v>
      </c>
      <c r="E56" s="11252">
        <f>'WS-MOOE ACTUAL JUNE 2018'!U34</f>
        <v>285</v>
      </c>
      <c r="F56" s="11443">
        <f t="shared" si="2"/>
        <v>7715</v>
      </c>
      <c r="G56" s="11252">
        <v>8000</v>
      </c>
      <c r="H56" s="11252">
        <v>285</v>
      </c>
      <c r="I56" s="11163">
        <f t="shared" si="3"/>
        <v>3.5624999999999997E-2</v>
      </c>
      <c r="J56" s="11463">
        <v>8000</v>
      </c>
    </row>
    <row r="57" spans="1:11" ht="15" customHeight="1">
      <c r="A57" s="11237"/>
      <c r="B57" s="7536" t="s">
        <v>155</v>
      </c>
      <c r="C57" s="10149">
        <v>50205020</v>
      </c>
      <c r="D57" s="11252">
        <f>'WS-MOOE 2017'!AA33</f>
        <v>56180.160000000003</v>
      </c>
      <c r="E57" s="11252">
        <f>'WS-MOOE ACTUAL JUNE 2018'!V34</f>
        <v>28246.39</v>
      </c>
      <c r="F57" s="11443">
        <f t="shared" si="2"/>
        <v>19753.61</v>
      </c>
      <c r="G57" s="11252">
        <v>48000</v>
      </c>
      <c r="H57" s="11252">
        <v>39866.230000000003</v>
      </c>
      <c r="I57" s="11163">
        <f t="shared" si="3"/>
        <v>0.8305464583333334</v>
      </c>
      <c r="J57" s="11463">
        <f>72000+18000</f>
        <v>90000</v>
      </c>
    </row>
    <row r="58" spans="1:11" ht="15" hidden="1" customHeight="1">
      <c r="A58" s="11237"/>
      <c r="B58" s="7287" t="s">
        <v>310</v>
      </c>
      <c r="C58" s="8802"/>
      <c r="D58" s="11252">
        <f>'WS-MOOE 2017'!AC33</f>
        <v>0</v>
      </c>
      <c r="E58" s="11252"/>
      <c r="F58" s="11443">
        <f t="shared" si="2"/>
        <v>0</v>
      </c>
      <c r="G58" s="11252">
        <v>0</v>
      </c>
      <c r="H58" s="11252"/>
      <c r="I58" s="11163" t="e">
        <f t="shared" si="3"/>
        <v>#DIV/0!</v>
      </c>
      <c r="J58" s="11269">
        <v>0</v>
      </c>
    </row>
    <row r="59" spans="1:11" ht="15" customHeight="1">
      <c r="A59" s="11237"/>
      <c r="B59" s="7352" t="s">
        <v>100</v>
      </c>
      <c r="C59" s="8872">
        <v>50299030</v>
      </c>
      <c r="D59" s="11252">
        <f>'WS-MOOE 2017'!BK33</f>
        <v>59421.63</v>
      </c>
      <c r="E59" s="11252">
        <f>'WS-MOOE ACTUAL JUNE 2018'!BE34</f>
        <v>18659.71</v>
      </c>
      <c r="F59" s="11443">
        <f t="shared" si="2"/>
        <v>41340.29</v>
      </c>
      <c r="G59" s="11252">
        <v>60000</v>
      </c>
      <c r="H59" s="11252">
        <v>28322.31</v>
      </c>
      <c r="I59" s="11163">
        <f t="shared" si="3"/>
        <v>0.47203850000000003</v>
      </c>
      <c r="J59" s="11269">
        <v>60000</v>
      </c>
    </row>
    <row r="60" spans="1:11" ht="15" customHeight="1">
      <c r="A60" s="11237"/>
      <c r="B60" s="7352" t="s">
        <v>10956</v>
      </c>
      <c r="C60" s="8872">
        <v>50212990</v>
      </c>
      <c r="D60" s="11252">
        <f>'WS-MOOE 2017'!AO33</f>
        <v>2512336.66</v>
      </c>
      <c r="E60" s="11252">
        <f>'WS-MOOE ACTUAL JUNE 2018'!AJ34</f>
        <v>835312.32</v>
      </c>
      <c r="F60" s="11443">
        <f t="shared" si="2"/>
        <v>664687.68000000005</v>
      </c>
      <c r="G60" s="11252">
        <v>1500000</v>
      </c>
      <c r="H60" s="11252">
        <v>1450105.36</v>
      </c>
      <c r="I60" s="11163">
        <f t="shared" si="3"/>
        <v>0.96673690666666678</v>
      </c>
      <c r="J60" s="11269">
        <v>1790000</v>
      </c>
    </row>
    <row r="61" spans="1:11" ht="15" customHeight="1">
      <c r="A61" s="11237"/>
      <c r="B61" s="7488" t="s">
        <v>10955</v>
      </c>
      <c r="C61" s="11258">
        <v>50211990</v>
      </c>
      <c r="D61" s="11252">
        <f>'WS-MOOE 2017'!AL33</f>
        <v>930129.43</v>
      </c>
      <c r="E61" s="11252">
        <f>'WS-MOOE ACTUAL JUNE 2018'!AF34</f>
        <v>997401.63</v>
      </c>
      <c r="F61" s="11443">
        <f t="shared" si="2"/>
        <v>4502598.37</v>
      </c>
      <c r="G61" s="11252">
        <v>5500000</v>
      </c>
      <c r="H61" s="11252">
        <v>3118408.96</v>
      </c>
      <c r="I61" s="11163">
        <f t="shared" si="3"/>
        <v>0.56698344727272731</v>
      </c>
      <c r="J61" s="11269">
        <v>6400000</v>
      </c>
      <c r="K61" s="7351" t="s">
        <v>12215</v>
      </c>
    </row>
    <row r="62" spans="1:11" ht="15" customHeight="1">
      <c r="A62" s="11237"/>
      <c r="B62" s="7287" t="s">
        <v>47</v>
      </c>
      <c r="C62" s="8802">
        <v>50212030</v>
      </c>
      <c r="D62" s="11252"/>
      <c r="E62" s="11252"/>
      <c r="F62" s="11443"/>
      <c r="G62" s="11252"/>
      <c r="H62" s="11252"/>
      <c r="I62" s="11163"/>
      <c r="J62" s="11269">
        <v>432000</v>
      </c>
    </row>
    <row r="63" spans="1:11" ht="15" customHeight="1">
      <c r="A63" s="11237"/>
      <c r="B63" s="7488" t="s">
        <v>10959</v>
      </c>
      <c r="C63" s="10377">
        <v>50213040</v>
      </c>
      <c r="D63" s="11252">
        <f>'WS-MOOE 2017'!AS33</f>
        <v>27810.65</v>
      </c>
      <c r="E63" s="11252">
        <f>'WS-MOOE ACTUAL JUNE 2018'!AN34</f>
        <v>5755.15</v>
      </c>
      <c r="F63" s="11443">
        <f t="shared" si="2"/>
        <v>64244.85</v>
      </c>
      <c r="G63" s="11252">
        <v>70000</v>
      </c>
      <c r="H63" s="11252">
        <v>5755.15</v>
      </c>
      <c r="I63" s="11163">
        <f t="shared" si="3"/>
        <v>8.2216428571428565E-2</v>
      </c>
      <c r="J63" s="11269">
        <v>70000</v>
      </c>
    </row>
    <row r="64" spans="1:11" ht="15" customHeight="1" thickBot="1">
      <c r="A64" s="11235"/>
      <c r="B64" s="7390"/>
      <c r="C64" s="11261"/>
      <c r="D64" s="11867"/>
      <c r="E64" s="11867"/>
      <c r="F64" s="11867"/>
      <c r="G64" s="7727"/>
      <c r="H64" s="7727"/>
      <c r="I64" s="7728"/>
      <c r="J64" s="11757"/>
    </row>
    <row r="65" spans="1:10" ht="15" customHeight="1">
      <c r="A65" s="7352"/>
      <c r="B65" s="7352"/>
      <c r="C65" s="7353"/>
      <c r="D65" s="7729"/>
      <c r="E65" s="7729"/>
      <c r="F65" s="7729"/>
      <c r="G65" s="7354"/>
      <c r="H65" s="7354"/>
      <c r="I65" s="7290"/>
      <c r="J65" s="7354"/>
    </row>
    <row r="66" spans="1:10" ht="15" customHeight="1">
      <c r="A66" s="7352"/>
      <c r="B66" s="7352"/>
      <c r="C66" s="7353"/>
      <c r="D66" s="7729"/>
      <c r="E66" s="7729"/>
      <c r="F66" s="7729"/>
      <c r="G66" s="7354"/>
      <c r="H66" s="7354"/>
      <c r="I66" s="7290"/>
      <c r="J66" s="7354"/>
    </row>
    <row r="67" spans="1:10" ht="15" customHeight="1">
      <c r="A67" s="7352"/>
      <c r="B67" s="7352"/>
      <c r="C67" s="7353"/>
      <c r="D67" s="7729"/>
      <c r="E67" s="7729"/>
      <c r="F67" s="7729"/>
      <c r="G67" s="7354"/>
      <c r="H67" s="7354"/>
      <c r="I67" s="7290"/>
      <c r="J67" s="7354"/>
    </row>
    <row r="68" spans="1:10" ht="15" customHeight="1">
      <c r="A68" s="7352"/>
      <c r="B68" s="7352"/>
      <c r="C68" s="7353"/>
      <c r="D68" s="7729"/>
      <c r="E68" s="7729"/>
      <c r="F68" s="7729"/>
      <c r="G68" s="7354"/>
      <c r="H68" s="7354"/>
      <c r="I68" s="7290"/>
      <c r="J68" s="7354"/>
    </row>
    <row r="69" spans="1:10" ht="15" customHeight="1">
      <c r="A69" s="7352"/>
      <c r="B69" s="7352"/>
      <c r="C69" s="7353"/>
      <c r="D69" s="7729"/>
      <c r="E69" s="7729"/>
      <c r="F69" s="7729"/>
      <c r="G69" s="7354"/>
      <c r="H69" s="7354"/>
      <c r="I69" s="7290"/>
      <c r="J69" s="7354"/>
    </row>
    <row r="70" spans="1:10" ht="15" customHeight="1">
      <c r="A70" s="7352"/>
      <c r="B70" s="7352"/>
      <c r="C70" s="7353"/>
      <c r="D70" s="7729"/>
      <c r="E70" s="7729"/>
      <c r="F70" s="7729"/>
      <c r="G70" s="7354"/>
      <c r="H70" s="7354"/>
      <c r="I70" s="7290"/>
      <c r="J70" s="7354"/>
    </row>
    <row r="71" spans="1:10" ht="15" customHeight="1">
      <c r="A71" s="7352"/>
      <c r="B71" s="7352"/>
      <c r="C71" s="7353"/>
      <c r="D71" s="7729"/>
      <c r="E71" s="7729"/>
      <c r="F71" s="7729"/>
      <c r="G71" s="7354"/>
      <c r="H71" s="7354"/>
      <c r="I71" s="7290"/>
      <c r="J71" s="7354"/>
    </row>
    <row r="72" spans="1:10" ht="15" customHeight="1">
      <c r="A72" s="7352"/>
      <c r="B72" s="7352"/>
      <c r="C72" s="7353"/>
      <c r="D72" s="7729"/>
      <c r="E72" s="7729"/>
      <c r="F72" s="7729"/>
      <c r="G72" s="7354"/>
      <c r="H72" s="7354"/>
      <c r="I72" s="7290"/>
      <c r="J72" s="7354"/>
    </row>
    <row r="73" spans="1:10" ht="15" customHeight="1">
      <c r="A73" s="7352"/>
      <c r="B73" s="7352"/>
      <c r="C73" s="7353"/>
      <c r="D73" s="7729"/>
      <c r="E73" s="7729"/>
      <c r="F73" s="7729"/>
      <c r="G73" s="7354"/>
      <c r="H73" s="7354"/>
      <c r="I73" s="7290"/>
      <c r="J73" s="7354"/>
    </row>
    <row r="74" spans="1:10" ht="15" customHeight="1">
      <c r="A74" s="7352"/>
      <c r="B74" s="7352"/>
      <c r="C74" s="7353"/>
      <c r="D74" s="7729"/>
      <c r="E74" s="7729"/>
      <c r="F74" s="7729"/>
      <c r="G74" s="7354"/>
      <c r="H74" s="7354"/>
      <c r="I74" s="7290"/>
      <c r="J74" s="7354"/>
    </row>
    <row r="75" spans="1:10" ht="15" customHeight="1">
      <c r="A75" s="7352"/>
      <c r="B75" s="7352"/>
      <c r="C75" s="7353"/>
      <c r="D75" s="7729"/>
      <c r="E75" s="7729"/>
      <c r="F75" s="7729"/>
      <c r="G75" s="7354"/>
      <c r="H75" s="7354"/>
      <c r="I75" s="7290"/>
      <c r="J75" s="7354"/>
    </row>
    <row r="76" spans="1:10" ht="15" customHeight="1">
      <c r="A76" s="7352"/>
      <c r="B76" s="7352"/>
      <c r="C76" s="7353"/>
      <c r="D76" s="7729"/>
      <c r="E76" s="7729"/>
      <c r="F76" s="7729"/>
      <c r="G76" s="7354"/>
      <c r="H76" s="7354"/>
      <c r="I76" s="7290"/>
      <c r="J76" s="7354"/>
    </row>
    <row r="77" spans="1:10" ht="15" customHeight="1" thickBot="1">
      <c r="A77" s="7352" t="s">
        <v>10730</v>
      </c>
      <c r="B77" s="7352"/>
      <c r="C77" s="7353"/>
      <c r="D77" s="7729"/>
      <c r="E77" s="7729"/>
      <c r="F77" s="7729"/>
      <c r="G77" s="7723" t="s">
        <v>9</v>
      </c>
      <c r="H77" s="7724"/>
      <c r="I77" s="7294"/>
      <c r="J77" s="7723" t="s">
        <v>9</v>
      </c>
    </row>
    <row r="78" spans="1:10" ht="15" customHeight="1">
      <c r="A78" s="11433"/>
      <c r="B78" s="11434"/>
      <c r="C78" s="11436" t="s">
        <v>9</v>
      </c>
      <c r="D78" s="9461" t="s">
        <v>10</v>
      </c>
      <c r="E78" s="14188" t="s">
        <v>10711</v>
      </c>
      <c r="F78" s="14189"/>
      <c r="G78" s="14190"/>
      <c r="H78" s="9461"/>
      <c r="I78" s="9462"/>
      <c r="J78" s="11437" t="s">
        <v>12</v>
      </c>
    </row>
    <row r="79" spans="1:10" ht="15" customHeight="1">
      <c r="A79" s="11237"/>
      <c r="B79" s="7356" t="s">
        <v>13</v>
      </c>
      <c r="C79" s="14430" t="s">
        <v>14</v>
      </c>
      <c r="D79" s="11438" t="s">
        <v>15</v>
      </c>
      <c r="E79" s="9502" t="s">
        <v>10709</v>
      </c>
      <c r="F79" s="9503" t="s">
        <v>10710</v>
      </c>
      <c r="G79" s="14191" t="s">
        <v>458</v>
      </c>
      <c r="H79" s="11181"/>
      <c r="I79" s="11108"/>
      <c r="J79" s="11439" t="s">
        <v>16</v>
      </c>
    </row>
    <row r="80" spans="1:10" ht="15" customHeight="1" thickBot="1">
      <c r="A80" s="11235"/>
      <c r="B80" s="7752"/>
      <c r="C80" s="14431"/>
      <c r="D80" s="7302">
        <v>2017</v>
      </c>
      <c r="E80" s="9467" t="s">
        <v>457</v>
      </c>
      <c r="F80" s="11661" t="s">
        <v>456</v>
      </c>
      <c r="G80" s="14192"/>
      <c r="H80" s="7302"/>
      <c r="I80" s="7322"/>
      <c r="J80" s="11442">
        <v>2019</v>
      </c>
    </row>
    <row r="81" spans="1:12" ht="15" customHeight="1">
      <c r="A81" s="11237"/>
      <c r="B81" s="7352"/>
      <c r="C81" s="10387"/>
      <c r="D81" s="11454"/>
      <c r="E81" s="11454"/>
      <c r="F81" s="11454"/>
      <c r="G81" s="11252"/>
      <c r="H81" s="11252"/>
      <c r="I81" s="11163"/>
      <c r="J81" s="11269"/>
    </row>
    <row r="82" spans="1:12" ht="15" customHeight="1">
      <c r="A82" s="11237"/>
      <c r="B82" s="7488" t="s">
        <v>10938</v>
      </c>
      <c r="C82" s="8872">
        <v>50213050</v>
      </c>
      <c r="D82" s="11252">
        <f>'WS-MOOE 2017'!AW33</f>
        <v>52276.5</v>
      </c>
      <c r="E82" s="11252">
        <f>'WS-MOOE ACTUAL JUNE 2018'!AS34</f>
        <v>37192</v>
      </c>
      <c r="F82" s="11443">
        <f t="shared" ref="F82:F87" si="4">G82-E82</f>
        <v>92858</v>
      </c>
      <c r="G82" s="11252">
        <v>130050</v>
      </c>
      <c r="H82" s="11252">
        <v>37192</v>
      </c>
      <c r="I82" s="11163">
        <f>H82/G82</f>
        <v>0.28598231449442524</v>
      </c>
      <c r="J82" s="11269">
        <f>23000+30000</f>
        <v>53000</v>
      </c>
    </row>
    <row r="83" spans="1:12" ht="15" customHeight="1">
      <c r="A83" s="11237"/>
      <c r="B83" s="7488" t="s">
        <v>10937</v>
      </c>
      <c r="C83" s="11258">
        <v>50213060</v>
      </c>
      <c r="D83" s="11252">
        <f>'WS-MOOE 2017'!BB33</f>
        <v>38702</v>
      </c>
      <c r="E83" s="11252">
        <f>'WS-MOOE ACTUAL JUNE 2018'!AT34</f>
        <v>28380.5</v>
      </c>
      <c r="F83" s="11443">
        <f t="shared" si="4"/>
        <v>236619.5</v>
      </c>
      <c r="G83" s="11252">
        <v>265000</v>
      </c>
      <c r="H83" s="11252">
        <v>138710.5</v>
      </c>
      <c r="I83" s="11163">
        <f>H83/G83</f>
        <v>0.52343584905660379</v>
      </c>
      <c r="J83" s="11269">
        <v>252000</v>
      </c>
    </row>
    <row r="84" spans="1:12" ht="15" customHeight="1">
      <c r="A84" s="11237"/>
      <c r="B84" s="7287" t="s">
        <v>110</v>
      </c>
      <c r="C84" s="8802">
        <v>50216010</v>
      </c>
      <c r="D84" s="11252">
        <f>'WS-MOOE 2017'!BG33</f>
        <v>5120</v>
      </c>
      <c r="E84" s="11252">
        <f>'WS-MOOE ACTUAL JUNE 2018'!AY34</f>
        <v>10200</v>
      </c>
      <c r="F84" s="11443">
        <f t="shared" si="4"/>
        <v>19800</v>
      </c>
      <c r="G84" s="11252">
        <v>30000</v>
      </c>
      <c r="H84" s="11252">
        <v>10200</v>
      </c>
      <c r="I84" s="11163">
        <f>H84/G84</f>
        <v>0.34</v>
      </c>
      <c r="J84" s="11269">
        <v>30000</v>
      </c>
    </row>
    <row r="85" spans="1:12" ht="15" customHeight="1">
      <c r="A85" s="11237"/>
      <c r="B85" s="7287" t="s">
        <v>72</v>
      </c>
      <c r="C85" s="8802">
        <v>50215020</v>
      </c>
      <c r="D85" s="11252">
        <f>'WS-MOOE 2017'!BH33</f>
        <v>8100</v>
      </c>
      <c r="E85" s="11252">
        <f>'WS-MOOE ACTUAL JUNE 2018'!AZ34</f>
        <v>12375</v>
      </c>
      <c r="F85" s="11443">
        <f t="shared" si="4"/>
        <v>7625</v>
      </c>
      <c r="G85" s="11252">
        <v>20000</v>
      </c>
      <c r="H85" s="11252">
        <v>12375</v>
      </c>
      <c r="I85" s="11163">
        <f>H85/G85</f>
        <v>0.61875000000000002</v>
      </c>
      <c r="J85" s="11269">
        <v>60000</v>
      </c>
    </row>
    <row r="86" spans="1:12" ht="15" customHeight="1">
      <c r="A86" s="11237"/>
      <c r="B86" s="7287" t="s">
        <v>73</v>
      </c>
      <c r="C86" s="8802">
        <v>50299990</v>
      </c>
      <c r="D86" s="11252">
        <f>'WS-MOOE 2017'!BO33</f>
        <v>36326.300000000003</v>
      </c>
      <c r="E86" s="11252">
        <f>'WS-MOOE ACTUAL JUNE 2018'!BI34</f>
        <v>1804</v>
      </c>
      <c r="F86" s="11443">
        <f t="shared" si="4"/>
        <v>70695</v>
      </c>
      <c r="G86" s="11252">
        <v>72499</v>
      </c>
      <c r="H86" s="11252">
        <v>9554</v>
      </c>
      <c r="I86" s="11163">
        <f>H86/G86</f>
        <v>0.13178112801555883</v>
      </c>
      <c r="J86" s="11269">
        <v>100000</v>
      </c>
    </row>
    <row r="87" spans="1:12" ht="15" customHeight="1">
      <c r="A87" s="11237"/>
      <c r="B87" s="7352" t="s">
        <v>10661</v>
      </c>
      <c r="C87" s="10387"/>
      <c r="D87" s="10486">
        <v>0</v>
      </c>
      <c r="E87" s="7725"/>
      <c r="F87" s="11443">
        <f t="shared" si="4"/>
        <v>0</v>
      </c>
      <c r="G87" s="7725"/>
      <c r="H87" s="7725"/>
      <c r="I87" s="7313"/>
      <c r="J87" s="11287"/>
    </row>
    <row r="88" spans="1:12" ht="15" customHeight="1">
      <c r="A88" s="11237"/>
      <c r="B88" s="7361" t="s">
        <v>37</v>
      </c>
      <c r="C88" s="10387"/>
      <c r="D88" s="9538">
        <f>SUM(D44:D64,D82:D86)</f>
        <v>9647680.9700000007</v>
      </c>
      <c r="E88" s="11281">
        <f>SUM(E44:E64,E82:E86)</f>
        <v>2657878.84</v>
      </c>
      <c r="F88" s="11281">
        <f>SUM(F44:F64,F82:F86)</f>
        <v>15023840.159999998</v>
      </c>
      <c r="G88" s="11281">
        <f>SUM(G44:G64,G82:G87)</f>
        <v>17681719</v>
      </c>
      <c r="H88" s="11281">
        <f>SUM(H44:H87)</f>
        <v>13203491.67</v>
      </c>
      <c r="I88" s="11814">
        <f>H88/G88</f>
        <v>0.7467312239268139</v>
      </c>
      <c r="J88" s="11282">
        <f>SUM(J44:J64,J82:J87)</f>
        <v>20190000</v>
      </c>
      <c r="K88" s="10391">
        <f>(J88-G88)/G88</f>
        <v>0.14185730471115393</v>
      </c>
    </row>
    <row r="89" spans="1:12" ht="15" customHeight="1">
      <c r="A89" s="11237"/>
      <c r="B89" s="7352"/>
      <c r="C89" s="10387"/>
      <c r="D89" s="11454"/>
      <c r="E89" s="11454"/>
      <c r="F89" s="11454"/>
      <c r="G89" s="11252"/>
      <c r="H89" s="11252"/>
      <c r="I89" s="11163"/>
      <c r="J89" s="11269"/>
    </row>
    <row r="90" spans="1:12" ht="15" customHeight="1">
      <c r="A90" s="11241" t="s">
        <v>51</v>
      </c>
      <c r="B90" s="7352" t="s">
        <v>121</v>
      </c>
      <c r="C90" s="10387"/>
      <c r="D90" s="11454"/>
      <c r="E90" s="11454"/>
      <c r="F90" s="11454"/>
      <c r="G90" s="8869"/>
      <c r="H90" s="8869"/>
      <c r="I90" s="8799"/>
      <c r="J90" s="11463"/>
    </row>
    <row r="91" spans="1:12" ht="15" customHeight="1">
      <c r="A91" s="11241"/>
      <c r="B91" s="7352"/>
      <c r="C91" s="10387"/>
      <c r="D91" s="11454"/>
      <c r="E91" s="11454"/>
      <c r="F91" s="11454"/>
      <c r="G91" s="8869"/>
      <c r="H91" s="8869"/>
      <c r="I91" s="8799"/>
      <c r="J91" s="11463"/>
    </row>
    <row r="92" spans="1:12" ht="15" hidden="1" customHeight="1">
      <c r="A92" s="11241"/>
      <c r="B92" s="7287" t="s">
        <v>10975</v>
      </c>
      <c r="C92" s="8802">
        <v>50704990</v>
      </c>
      <c r="D92" s="11454"/>
      <c r="E92" s="11454"/>
      <c r="F92" s="11454"/>
      <c r="G92" s="8869"/>
      <c r="H92" s="8869"/>
      <c r="I92" s="8799"/>
      <c r="J92" s="11463"/>
    </row>
    <row r="93" spans="1:12" ht="15" hidden="1" customHeight="1">
      <c r="A93" s="11241"/>
      <c r="B93" s="7287" t="s">
        <v>11587</v>
      </c>
      <c r="C93" s="8802"/>
      <c r="D93" s="11454"/>
      <c r="E93" s="11454"/>
      <c r="F93" s="11454"/>
      <c r="G93" s="8869"/>
      <c r="H93" s="8869"/>
      <c r="I93" s="8799"/>
      <c r="J93" s="11268"/>
      <c r="K93" s="11252">
        <v>1000000</v>
      </c>
    </row>
    <row r="94" spans="1:12" ht="15" hidden="1" customHeight="1">
      <c r="A94" s="11241"/>
      <c r="B94" s="7287" t="s">
        <v>11588</v>
      </c>
      <c r="C94" s="8802"/>
      <c r="D94" s="11454"/>
      <c r="E94" s="11454"/>
      <c r="F94" s="11454"/>
      <c r="G94" s="8869"/>
      <c r="H94" s="8869"/>
      <c r="I94" s="8799"/>
      <c r="J94" s="11268"/>
      <c r="K94" s="11252">
        <v>1500000</v>
      </c>
    </row>
    <row r="95" spans="1:12" ht="15" hidden="1" customHeight="1">
      <c r="A95" s="11241"/>
      <c r="B95" s="7287" t="s">
        <v>11589</v>
      </c>
      <c r="C95" s="8802"/>
      <c r="D95" s="11454"/>
      <c r="E95" s="11454"/>
      <c r="F95" s="11454"/>
      <c r="G95" s="8869"/>
      <c r="H95" s="8869"/>
      <c r="I95" s="8799"/>
      <c r="J95" s="11463"/>
      <c r="K95" s="7310">
        <v>40000</v>
      </c>
    </row>
    <row r="96" spans="1:12" s="7732" customFormat="1" ht="15" customHeight="1">
      <c r="A96" s="11472"/>
      <c r="B96" s="7287" t="s">
        <v>3344</v>
      </c>
      <c r="C96" s="8802">
        <v>50705020</v>
      </c>
      <c r="D96" s="11474"/>
      <c r="E96" s="11474"/>
      <c r="F96" s="11443">
        <f>G96-E96</f>
        <v>632500</v>
      </c>
      <c r="G96" s="8880">
        <v>632500</v>
      </c>
      <c r="H96" s="10560">
        <v>392660</v>
      </c>
      <c r="I96" s="8799">
        <f>H96/G96</f>
        <v>0.62080632411067194</v>
      </c>
      <c r="J96" s="11363">
        <v>20000</v>
      </c>
      <c r="K96" s="7760"/>
      <c r="L96" s="10690" t="s">
        <v>12003</v>
      </c>
    </row>
    <row r="97" spans="1:12" ht="15" customHeight="1">
      <c r="A97" s="11241"/>
      <c r="B97" s="7287" t="s">
        <v>9987</v>
      </c>
      <c r="C97" s="8802">
        <v>50707010</v>
      </c>
      <c r="D97" s="11454">
        <v>0</v>
      </c>
      <c r="E97" s="11454"/>
      <c r="F97" s="11443">
        <f>G97-E97</f>
        <v>200000</v>
      </c>
      <c r="G97" s="8869">
        <v>200000</v>
      </c>
      <c r="H97" s="8869">
        <v>6000</v>
      </c>
      <c r="I97" s="8799">
        <f>H97/G97</f>
        <v>0.03</v>
      </c>
      <c r="J97" s="11363">
        <v>0</v>
      </c>
      <c r="K97" s="7310"/>
    </row>
    <row r="98" spans="1:12" ht="15" hidden="1" customHeight="1">
      <c r="A98" s="11241"/>
      <c r="B98" s="7287" t="s">
        <v>11592</v>
      </c>
      <c r="C98" s="8802"/>
      <c r="D98" s="11454"/>
      <c r="E98" s="11454"/>
      <c r="F98" s="11443"/>
      <c r="G98" s="8869"/>
      <c r="H98" s="8869"/>
      <c r="I98" s="8799"/>
      <c r="J98" s="11363"/>
      <c r="K98" s="7310">
        <v>590484</v>
      </c>
    </row>
    <row r="99" spans="1:12" ht="15" customHeight="1">
      <c r="A99" s="11241"/>
      <c r="B99" s="7488" t="s">
        <v>10976</v>
      </c>
      <c r="C99" s="10144">
        <v>50705030</v>
      </c>
      <c r="D99" s="11454">
        <v>0</v>
      </c>
      <c r="E99" s="11454"/>
      <c r="F99" s="11443">
        <f>G99-E99</f>
        <v>0</v>
      </c>
      <c r="G99" s="8869">
        <v>0</v>
      </c>
      <c r="H99" s="8869"/>
      <c r="I99" s="8799"/>
      <c r="J99" s="11463">
        <v>310000</v>
      </c>
      <c r="K99" s="10573">
        <f>SUM(K100:K102)</f>
        <v>310000</v>
      </c>
    </row>
    <row r="100" spans="1:12" ht="15" hidden="1" customHeight="1">
      <c r="A100" s="11241"/>
      <c r="B100" s="7488"/>
      <c r="C100" s="10144"/>
      <c r="D100" s="11454"/>
      <c r="E100" s="11454"/>
      <c r="F100" s="11443"/>
      <c r="G100" s="8869"/>
      <c r="H100" s="8869"/>
      <c r="I100" s="8799"/>
      <c r="J100" s="11463"/>
      <c r="K100" s="7310">
        <v>130000</v>
      </c>
      <c r="L100" s="7621" t="s">
        <v>11967</v>
      </c>
    </row>
    <row r="101" spans="1:12" ht="15" hidden="1" customHeight="1">
      <c r="A101" s="11241"/>
      <c r="B101" s="7488"/>
      <c r="C101" s="10144"/>
      <c r="D101" s="11454"/>
      <c r="E101" s="11454"/>
      <c r="F101" s="11443"/>
      <c r="G101" s="8869"/>
      <c r="H101" s="8869"/>
      <c r="I101" s="8799"/>
      <c r="J101" s="11463"/>
      <c r="K101" s="7310">
        <v>140000</v>
      </c>
      <c r="L101" s="7621" t="s">
        <v>11968</v>
      </c>
    </row>
    <row r="102" spans="1:12" ht="15" hidden="1" customHeight="1">
      <c r="A102" s="11241"/>
      <c r="B102" s="7488"/>
      <c r="C102" s="10144"/>
      <c r="D102" s="11454"/>
      <c r="E102" s="11454"/>
      <c r="F102" s="11443"/>
      <c r="G102" s="8869"/>
      <c r="H102" s="8869"/>
      <c r="I102" s="8799"/>
      <c r="J102" s="11463"/>
      <c r="K102" s="7310">
        <v>40000</v>
      </c>
      <c r="L102" s="7621" t="s">
        <v>11969</v>
      </c>
    </row>
    <row r="103" spans="1:12" ht="15" hidden="1" customHeight="1">
      <c r="A103" s="11241"/>
      <c r="B103" s="7488"/>
      <c r="C103" s="10144"/>
      <c r="D103" s="11454"/>
      <c r="E103" s="11454"/>
      <c r="F103" s="11443"/>
      <c r="G103" s="8869"/>
      <c r="H103" s="8869"/>
      <c r="I103" s="8799"/>
      <c r="J103" s="11463"/>
      <c r="K103" s="7310"/>
    </row>
    <row r="104" spans="1:12" ht="15" hidden="1" customHeight="1">
      <c r="A104" s="11241"/>
      <c r="B104" s="7488"/>
      <c r="C104" s="10144"/>
      <c r="D104" s="11454"/>
      <c r="E104" s="11454"/>
      <c r="F104" s="11443"/>
      <c r="G104" s="8869"/>
      <c r="H104" s="8869"/>
      <c r="I104" s="8799"/>
      <c r="J104" s="11463"/>
      <c r="K104" s="7310"/>
    </row>
    <row r="105" spans="1:12" ht="15" hidden="1" customHeight="1">
      <c r="A105" s="11241"/>
      <c r="B105" s="7488"/>
      <c r="C105" s="10144"/>
      <c r="D105" s="11454"/>
      <c r="E105" s="11454"/>
      <c r="F105" s="11443"/>
      <c r="G105" s="8869"/>
      <c r="H105" s="8869"/>
      <c r="I105" s="8799"/>
      <c r="J105" s="11463"/>
      <c r="K105" s="7310"/>
    </row>
    <row r="106" spans="1:12" ht="15" hidden="1" customHeight="1">
      <c r="A106" s="11241"/>
      <c r="B106" s="7488"/>
      <c r="C106" s="10144"/>
      <c r="D106" s="11454"/>
      <c r="E106" s="11454"/>
      <c r="F106" s="11443"/>
      <c r="G106" s="8869"/>
      <c r="H106" s="8869"/>
      <c r="I106" s="8799"/>
      <c r="J106" s="11463"/>
      <c r="K106" s="7310"/>
    </row>
    <row r="107" spans="1:12" ht="15" hidden="1" customHeight="1">
      <c r="A107" s="11241"/>
      <c r="B107" s="7488"/>
      <c r="C107" s="10144"/>
      <c r="D107" s="11454"/>
      <c r="E107" s="11454"/>
      <c r="F107" s="11443"/>
      <c r="G107" s="8869"/>
      <c r="H107" s="8869"/>
      <c r="I107" s="8799"/>
      <c r="J107" s="11463"/>
      <c r="K107" s="7310"/>
    </row>
    <row r="108" spans="1:12" ht="15" hidden="1" customHeight="1">
      <c r="A108" s="11241"/>
      <c r="B108" s="7488"/>
      <c r="C108" s="10144"/>
      <c r="D108" s="11454"/>
      <c r="E108" s="11454"/>
      <c r="F108" s="11443"/>
      <c r="G108" s="8869"/>
      <c r="H108" s="8869"/>
      <c r="I108" s="8799"/>
      <c r="J108" s="11463"/>
      <c r="K108" s="7310"/>
    </row>
    <row r="109" spans="1:12" s="7732" customFormat="1" ht="15" hidden="1" customHeight="1">
      <c r="A109" s="11472"/>
      <c r="B109" s="7287" t="s">
        <v>11590</v>
      </c>
      <c r="C109" s="8802">
        <v>50705110</v>
      </c>
      <c r="D109" s="11474"/>
      <c r="E109" s="11474"/>
      <c r="F109" s="11474"/>
      <c r="G109" s="8880"/>
      <c r="H109" s="10560"/>
      <c r="I109" s="8799"/>
      <c r="J109" s="11868"/>
      <c r="K109" s="10031">
        <f>SUM(K110:K120)</f>
        <v>1531000</v>
      </c>
      <c r="L109" s="10690"/>
    </row>
    <row r="110" spans="1:12" s="7732" customFormat="1" ht="15" hidden="1" customHeight="1">
      <c r="A110" s="11472"/>
      <c r="B110" s="7287"/>
      <c r="C110" s="8802"/>
      <c r="D110" s="11474"/>
      <c r="E110" s="11474"/>
      <c r="F110" s="11474"/>
      <c r="G110" s="8880"/>
      <c r="H110" s="10560"/>
      <c r="I110" s="8799"/>
      <c r="J110" s="11868"/>
      <c r="K110" s="7760">
        <v>25000</v>
      </c>
      <c r="L110" s="10690" t="s">
        <v>11958</v>
      </c>
    </row>
    <row r="111" spans="1:12" s="7732" customFormat="1" ht="15" hidden="1" customHeight="1">
      <c r="A111" s="11472"/>
      <c r="B111" s="7287"/>
      <c r="C111" s="8802"/>
      <c r="D111" s="11474"/>
      <c r="E111" s="11474"/>
      <c r="F111" s="11474"/>
      <c r="G111" s="8880"/>
      <c r="H111" s="10560"/>
      <c r="I111" s="8799"/>
      <c r="J111" s="11868"/>
      <c r="K111" s="7760">
        <v>120000</v>
      </c>
      <c r="L111" s="10690" t="s">
        <v>11960</v>
      </c>
    </row>
    <row r="112" spans="1:12" s="7732" customFormat="1" ht="15" hidden="1" customHeight="1">
      <c r="A112" s="11472"/>
      <c r="B112" s="7287"/>
      <c r="C112" s="8802"/>
      <c r="D112" s="11474"/>
      <c r="E112" s="11474"/>
      <c r="F112" s="11474"/>
      <c r="G112" s="8880"/>
      <c r="H112" s="10560"/>
      <c r="I112" s="8799"/>
      <c r="J112" s="11868"/>
      <c r="K112" s="7760">
        <v>150000</v>
      </c>
      <c r="L112" s="10690" t="s">
        <v>11961</v>
      </c>
    </row>
    <row r="113" spans="1:12" s="7732" customFormat="1" ht="15" hidden="1" customHeight="1">
      <c r="A113" s="11472"/>
      <c r="B113" s="7287"/>
      <c r="C113" s="8802"/>
      <c r="D113" s="11474"/>
      <c r="E113" s="11474"/>
      <c r="F113" s="11474"/>
      <c r="G113" s="8880"/>
      <c r="H113" s="10560"/>
      <c r="I113" s="8799"/>
      <c r="J113" s="11868"/>
      <c r="K113" s="7760">
        <v>100000</v>
      </c>
      <c r="L113" s="10690" t="s">
        <v>11959</v>
      </c>
    </row>
    <row r="114" spans="1:12" s="7732" customFormat="1" ht="15" hidden="1" customHeight="1">
      <c r="A114" s="11472"/>
      <c r="B114" s="7287"/>
      <c r="C114" s="8802"/>
      <c r="D114" s="11474"/>
      <c r="E114" s="11474"/>
      <c r="F114" s="11474"/>
      <c r="G114" s="8880"/>
      <c r="H114" s="10560"/>
      <c r="I114" s="8799"/>
      <c r="J114" s="11868"/>
      <c r="K114" s="7760">
        <v>150000</v>
      </c>
      <c r="L114" s="10690" t="s">
        <v>11962</v>
      </c>
    </row>
    <row r="115" spans="1:12" s="7732" customFormat="1" ht="15" hidden="1" customHeight="1">
      <c r="A115" s="11472"/>
      <c r="B115" s="7287"/>
      <c r="C115" s="8802"/>
      <c r="D115" s="11474"/>
      <c r="E115" s="11474"/>
      <c r="F115" s="11474"/>
      <c r="G115" s="8880"/>
      <c r="H115" s="10560"/>
      <c r="I115" s="8799"/>
      <c r="J115" s="11868"/>
      <c r="K115" s="7760">
        <v>150000</v>
      </c>
      <c r="L115" s="10690" t="s">
        <v>11966</v>
      </c>
    </row>
    <row r="116" spans="1:12" s="7732" customFormat="1" ht="15" hidden="1" customHeight="1">
      <c r="A116" s="11472"/>
      <c r="B116" s="7287"/>
      <c r="C116" s="8802"/>
      <c r="D116" s="11474"/>
      <c r="E116" s="11474"/>
      <c r="F116" s="11474"/>
      <c r="G116" s="8880"/>
      <c r="H116" s="10560"/>
      <c r="I116" s="8799"/>
      <c r="J116" s="11868"/>
      <c r="K116" s="7760">
        <v>150000</v>
      </c>
      <c r="L116" s="10690" t="s">
        <v>11963</v>
      </c>
    </row>
    <row r="117" spans="1:12" s="7732" customFormat="1" ht="15" hidden="1" customHeight="1">
      <c r="A117" s="11472"/>
      <c r="B117" s="7287"/>
      <c r="C117" s="8802"/>
      <c r="D117" s="11474"/>
      <c r="E117" s="11474"/>
      <c r="F117" s="11474"/>
      <c r="G117" s="8880"/>
      <c r="H117" s="10560"/>
      <c r="I117" s="8799"/>
      <c r="J117" s="11868"/>
      <c r="K117" s="7760">
        <v>250000</v>
      </c>
      <c r="L117" s="10690" t="s">
        <v>11964</v>
      </c>
    </row>
    <row r="118" spans="1:12" s="7732" customFormat="1" ht="15" hidden="1" customHeight="1">
      <c r="A118" s="11472"/>
      <c r="B118" s="7287"/>
      <c r="C118" s="8802"/>
      <c r="D118" s="11474"/>
      <c r="E118" s="11474"/>
      <c r="F118" s="11474"/>
      <c r="G118" s="8880"/>
      <c r="H118" s="10560"/>
      <c r="I118" s="8799"/>
      <c r="J118" s="11868"/>
      <c r="K118" s="7760">
        <v>200000</v>
      </c>
      <c r="L118" s="10690" t="s">
        <v>11965</v>
      </c>
    </row>
    <row r="119" spans="1:12" s="7732" customFormat="1" ht="15" hidden="1" customHeight="1">
      <c r="A119" s="11472"/>
      <c r="B119" s="7287" t="s">
        <v>11593</v>
      </c>
      <c r="C119" s="10068"/>
      <c r="D119" s="11474"/>
      <c r="E119" s="11474"/>
      <c r="F119" s="11474"/>
      <c r="G119" s="8880"/>
      <c r="H119" s="10560"/>
      <c r="I119" s="8799"/>
      <c r="J119" s="11868"/>
      <c r="K119" s="7760">
        <v>80000</v>
      </c>
      <c r="L119" s="10690" t="s">
        <v>12001</v>
      </c>
    </row>
    <row r="120" spans="1:12" s="7732" customFormat="1" ht="15" hidden="1" customHeight="1">
      <c r="A120" s="11472"/>
      <c r="B120" s="7287" t="s">
        <v>10534</v>
      </c>
      <c r="C120" s="8802">
        <v>50706010</v>
      </c>
      <c r="D120" s="11474"/>
      <c r="E120" s="11474"/>
      <c r="F120" s="11443">
        <f>G120-E120</f>
        <v>0</v>
      </c>
      <c r="G120" s="8880">
        <v>0</v>
      </c>
      <c r="H120" s="10560"/>
      <c r="I120" s="10110"/>
      <c r="J120" s="11868"/>
      <c r="K120" s="7760">
        <v>156000</v>
      </c>
      <c r="L120" s="10690" t="s">
        <v>12002</v>
      </c>
    </row>
    <row r="121" spans="1:12" s="7374" customFormat="1" ht="15" customHeight="1">
      <c r="A121" s="11869"/>
      <c r="B121" s="7361" t="s">
        <v>4686</v>
      </c>
      <c r="C121" s="10111"/>
      <c r="D121" s="9538">
        <f>SUM(D89:D120)</f>
        <v>0</v>
      </c>
      <c r="E121" s="9538">
        <f>SUM(E89:E120)</f>
        <v>0</v>
      </c>
      <c r="F121" s="9538">
        <f>SUM(F89:F120)</f>
        <v>832500</v>
      </c>
      <c r="G121" s="9538">
        <f>SUM(G89:G120)</f>
        <v>832500</v>
      </c>
      <c r="H121" s="9538">
        <f>SUM(H95:H120)</f>
        <v>398660</v>
      </c>
      <c r="I121" s="9466"/>
      <c r="J121" s="11761">
        <f>SUM(J89:J120)</f>
        <v>330000</v>
      </c>
      <c r="K121" s="10391">
        <f>(J121-G121)/G121</f>
        <v>-0.60360360360360366</v>
      </c>
      <c r="L121" s="9597"/>
    </row>
    <row r="122" spans="1:12" s="7374" customFormat="1" ht="15" customHeight="1">
      <c r="A122" s="11869"/>
      <c r="B122" s="7361"/>
      <c r="C122" s="10111"/>
      <c r="D122" s="11272"/>
      <c r="E122" s="11272"/>
      <c r="F122" s="11272"/>
      <c r="G122" s="8873"/>
      <c r="H122" s="8873"/>
      <c r="I122" s="8874"/>
      <c r="J122" s="11460"/>
      <c r="L122" s="9597"/>
    </row>
    <row r="123" spans="1:12" ht="15" customHeight="1">
      <c r="A123" s="11241" t="s">
        <v>53</v>
      </c>
      <c r="B123" s="7352" t="s">
        <v>54</v>
      </c>
      <c r="C123" s="10387"/>
      <c r="D123" s="11252"/>
      <c r="E123" s="11252"/>
      <c r="F123" s="11252"/>
      <c r="G123" s="8869"/>
      <c r="H123" s="11252"/>
      <c r="I123" s="11163"/>
      <c r="J123" s="11463"/>
    </row>
    <row r="124" spans="1:12" ht="15" customHeight="1">
      <c r="A124" s="11241"/>
      <c r="B124" s="7352"/>
      <c r="C124" s="10387"/>
      <c r="D124" s="11252"/>
      <c r="E124" s="11252"/>
      <c r="F124" s="11252"/>
      <c r="G124" s="8869"/>
      <c r="H124" s="11252"/>
      <c r="I124" s="11163"/>
      <c r="J124" s="11463"/>
    </row>
    <row r="125" spans="1:12" s="7374" customFormat="1" ht="15" customHeight="1">
      <c r="A125" s="11288"/>
      <c r="B125" s="11758" t="s">
        <v>4685</v>
      </c>
      <c r="C125" s="10111"/>
      <c r="D125" s="9538"/>
      <c r="E125" s="11281"/>
      <c r="F125" s="11281"/>
      <c r="G125" s="9538"/>
      <c r="H125" s="11281"/>
      <c r="I125" s="11206"/>
      <c r="J125" s="11761"/>
      <c r="L125" s="9597"/>
    </row>
    <row r="126" spans="1:12" s="7374" customFormat="1" ht="15" customHeight="1" thickBot="1">
      <c r="A126" s="11870"/>
      <c r="B126" s="7734"/>
      <c r="C126" s="7735"/>
      <c r="D126" s="7736"/>
      <c r="E126" s="7736"/>
      <c r="F126" s="7736"/>
      <c r="G126" s="7736"/>
      <c r="H126" s="7736"/>
      <c r="I126" s="7737"/>
      <c r="J126" s="11759"/>
      <c r="L126" s="9597"/>
    </row>
    <row r="127" spans="1:12" ht="15" customHeight="1" thickBot="1">
      <c r="A127" s="11871"/>
      <c r="B127" s="11872" t="s">
        <v>55</v>
      </c>
      <c r="C127" s="10122"/>
      <c r="D127" s="11873">
        <f>(D30+D88+D121+D123)</f>
        <v>16147362.030000001</v>
      </c>
      <c r="E127" s="11873">
        <f>(E30+E88+E121+E123)</f>
        <v>5783214.879999999</v>
      </c>
      <c r="F127" s="11873">
        <f>(F30+F88+F121+F123)</f>
        <v>23999238.119999997</v>
      </c>
      <c r="G127" s="11873">
        <f>(G30+G88+G121+G125)</f>
        <v>29782453</v>
      </c>
      <c r="H127" s="11873"/>
      <c r="I127" s="11874"/>
      <c r="J127" s="11875">
        <f>(J30+J88+J121+J125)</f>
        <v>34621354.674999997</v>
      </c>
      <c r="K127" s="10391">
        <f>(J127-G127)/G127</f>
        <v>0.1624749202156047</v>
      </c>
    </row>
    <row r="128" spans="1:12" s="7333" customFormat="1" ht="15" customHeight="1">
      <c r="A128" s="7738" t="s">
        <v>4763</v>
      </c>
      <c r="B128" s="7738"/>
      <c r="C128" s="7739"/>
      <c r="D128" s="7740"/>
      <c r="E128" s="7740"/>
      <c r="F128" s="7740"/>
      <c r="G128" s="7741"/>
      <c r="H128" s="7740"/>
      <c r="I128" s="7742"/>
      <c r="J128" s="7741"/>
      <c r="L128" s="10689"/>
    </row>
    <row r="129" spans="1:12" s="7748" customFormat="1" ht="15" customHeight="1">
      <c r="A129" s="7743"/>
      <c r="B129" s="7743"/>
      <c r="C129" s="7744"/>
      <c r="D129" s="7745"/>
      <c r="E129" s="7745"/>
      <c r="F129" s="7745"/>
      <c r="G129" s="11866"/>
      <c r="H129" s="7745"/>
      <c r="I129" s="7747"/>
      <c r="J129" s="7746"/>
      <c r="L129" s="10571"/>
    </row>
    <row r="130" spans="1:12" ht="15" hidden="1" customHeight="1">
      <c r="A130" s="7335" t="s">
        <v>11226</v>
      </c>
      <c r="B130" s="7335"/>
      <c r="C130" s="10884" t="s">
        <v>3484</v>
      </c>
      <c r="D130" s="7351"/>
      <c r="E130" s="7336"/>
      <c r="F130" s="9459" t="s">
        <v>10666</v>
      </c>
      <c r="G130" s="7351"/>
      <c r="H130" s="7336"/>
      <c r="I130" s="7286"/>
    </row>
    <row r="131" spans="1:12" ht="15" hidden="1" customHeight="1">
      <c r="A131" s="7335"/>
      <c r="B131" s="7335"/>
      <c r="C131" s="7351"/>
      <c r="D131" s="10884"/>
      <c r="E131" s="7336"/>
      <c r="F131" s="7336"/>
      <c r="G131" s="7339"/>
      <c r="H131" s="7336"/>
      <c r="I131" s="7286"/>
    </row>
    <row r="132" spans="1:12" ht="15" hidden="1" customHeight="1">
      <c r="A132" s="7335"/>
      <c r="B132" s="7335"/>
      <c r="C132" s="7351"/>
      <c r="D132" s="10884"/>
      <c r="E132" s="7336"/>
      <c r="F132" s="7336"/>
      <c r="G132" s="7339"/>
      <c r="H132" s="7336"/>
      <c r="I132" s="7286"/>
    </row>
    <row r="133" spans="1:12" s="7374" customFormat="1" ht="15" hidden="1" customHeight="1">
      <c r="A133" s="7335"/>
      <c r="B133" s="7335"/>
      <c r="D133" s="10884"/>
      <c r="E133" s="7336"/>
      <c r="F133" s="7336"/>
      <c r="G133" s="7339"/>
      <c r="H133" s="7336"/>
      <c r="I133" s="7286"/>
      <c r="J133" s="7338"/>
      <c r="L133" s="9597"/>
    </row>
    <row r="134" spans="1:12" s="7383" customFormat="1" ht="15" hidden="1" customHeight="1">
      <c r="A134" s="7341"/>
      <c r="B134" s="10885" t="s">
        <v>9168</v>
      </c>
      <c r="D134" s="10872" t="s">
        <v>12059</v>
      </c>
      <c r="E134" s="9431"/>
      <c r="F134" s="9431"/>
      <c r="G134" s="7342" t="s">
        <v>10667</v>
      </c>
      <c r="H134" s="9431"/>
      <c r="I134" s="7284"/>
      <c r="J134" s="7343"/>
      <c r="L134" s="7621"/>
    </row>
    <row r="135" spans="1:12" ht="15" hidden="1" customHeight="1">
      <c r="B135" s="10884" t="s">
        <v>10114</v>
      </c>
      <c r="C135" s="7351"/>
      <c r="D135" s="10869" t="s">
        <v>3486</v>
      </c>
      <c r="E135" s="7336"/>
      <c r="F135" s="7336"/>
      <c r="G135" s="7344" t="s">
        <v>10668</v>
      </c>
      <c r="H135" s="7336"/>
      <c r="I135" s="7286"/>
    </row>
    <row r="136" spans="1:12" ht="15" customHeight="1">
      <c r="B136" s="10884"/>
      <c r="C136" s="7351"/>
      <c r="D136" s="10869"/>
      <c r="E136" s="7336"/>
      <c r="F136" s="7336"/>
      <c r="G136" s="7344"/>
      <c r="H136" s="7336"/>
      <c r="I136" s="7286"/>
    </row>
    <row r="137" spans="1:12" ht="15" customHeight="1">
      <c r="B137" s="10884"/>
      <c r="C137" s="7351"/>
      <c r="D137" s="10869"/>
      <c r="E137" s="7336"/>
      <c r="F137" s="7336"/>
      <c r="G137" s="7344"/>
      <c r="H137" s="7336"/>
      <c r="I137" s="7286"/>
    </row>
    <row r="138" spans="1:12" ht="15" customHeight="1">
      <c r="B138" s="10884"/>
      <c r="C138" s="7351"/>
      <c r="D138" s="10869"/>
      <c r="E138" s="7336"/>
      <c r="F138" s="7336"/>
      <c r="G138" s="7344"/>
      <c r="H138" s="7336"/>
      <c r="I138" s="7286"/>
    </row>
    <row r="139" spans="1:12" ht="15" hidden="1" customHeight="1">
      <c r="A139" s="7335"/>
      <c r="B139" s="7335"/>
      <c r="C139" s="10884"/>
      <c r="D139" s="7336"/>
      <c r="E139" s="7336"/>
      <c r="F139" s="7336"/>
      <c r="G139" s="7336" t="s">
        <v>11072</v>
      </c>
      <c r="H139" s="9431">
        <f>J127-G127</f>
        <v>4838901.674999997</v>
      </c>
      <c r="I139" s="7284">
        <f>H139/G127</f>
        <v>0.1624749202156047</v>
      </c>
      <c r="J139" s="7336"/>
    </row>
    <row r="140" spans="1:12" ht="15" hidden="1" customHeight="1">
      <c r="A140" s="7335"/>
      <c r="B140" s="7335"/>
      <c r="C140" s="10884"/>
      <c r="D140" s="7336"/>
      <c r="E140" s="7336"/>
      <c r="F140" s="7336"/>
      <c r="G140" s="7336"/>
      <c r="H140" s="8881"/>
      <c r="I140" s="7284"/>
      <c r="J140" s="7336"/>
    </row>
    <row r="141" spans="1:12" ht="15" hidden="1" customHeight="1">
      <c r="A141" s="7335"/>
      <c r="B141" s="7335"/>
      <c r="C141" s="10884"/>
      <c r="D141" s="7336"/>
      <c r="E141" s="7336"/>
      <c r="F141" s="7336"/>
      <c r="G141" s="7336"/>
      <c r="I141" s="7286"/>
      <c r="J141" s="7336"/>
    </row>
    <row r="142" spans="1:12" ht="15" hidden="1" customHeight="1">
      <c r="A142" s="7335"/>
      <c r="B142" s="7335"/>
      <c r="C142" s="10884"/>
      <c r="D142" s="7336"/>
      <c r="E142" s="7336"/>
      <c r="F142" s="7336"/>
      <c r="G142" s="7336" t="s">
        <v>11069</v>
      </c>
      <c r="H142" s="7336">
        <v>16831948</v>
      </c>
      <c r="I142" s="7286"/>
      <c r="J142" s="7336"/>
    </row>
    <row r="143" spans="1:12" ht="15" hidden="1" customHeight="1">
      <c r="A143" s="7335"/>
      <c r="B143" s="7335"/>
      <c r="C143" s="10884"/>
      <c r="D143" s="7336"/>
      <c r="E143" s="7336"/>
      <c r="F143" s="7336"/>
      <c r="G143" s="7336" t="s">
        <v>11070</v>
      </c>
      <c r="H143" s="7336">
        <f>G127-H142</f>
        <v>12950505</v>
      </c>
      <c r="I143" s="7286"/>
      <c r="J143" s="7336"/>
    </row>
    <row r="144" spans="1:12" ht="15" customHeight="1">
      <c r="A144" s="7335"/>
      <c r="B144" s="7335"/>
      <c r="C144" s="10884"/>
      <c r="D144" s="7336"/>
      <c r="E144" s="7336"/>
      <c r="F144" s="7336"/>
      <c r="G144" s="7336"/>
      <c r="H144" s="9430"/>
      <c r="I144" s="7286"/>
      <c r="J144" s="7336"/>
    </row>
  </sheetData>
  <mergeCells count="11">
    <mergeCell ref="C8:C9"/>
    <mergeCell ref="C79:C80"/>
    <mergeCell ref="A1:J1"/>
    <mergeCell ref="E78:G78"/>
    <mergeCell ref="G79:G80"/>
    <mergeCell ref="E7:G7"/>
    <mergeCell ref="G8:G9"/>
    <mergeCell ref="E39:G39"/>
    <mergeCell ref="C40:C41"/>
    <mergeCell ref="G40:G41"/>
    <mergeCell ref="J4:J5"/>
  </mergeCells>
  <printOptions horizontalCentered="1" gridLinesSet="0"/>
  <pageMargins left="0.25" right="0.25" top="0.5" bottom="0.25" header="0.25" footer="0.25"/>
  <pageSetup paperSize="119" firstPageNumber="291" orientation="landscape" useFirstPageNumber="1" r:id="rId1"/>
  <headerFooter alignWithMargins="0"/>
</worksheet>
</file>

<file path=xl/worksheets/sheet146.xml><?xml version="1.0" encoding="utf-8"?>
<worksheet xmlns="http://schemas.openxmlformats.org/spreadsheetml/2006/main" xmlns:r="http://schemas.openxmlformats.org/officeDocument/2006/relationships">
  <sheetPr codeName="Sheet178">
    <tabColor rgb="FFFFFF00"/>
  </sheetPr>
  <dimension ref="A1:F33"/>
  <sheetViews>
    <sheetView topLeftCell="A22" workbookViewId="0">
      <selection activeCell="E35" sqref="E35"/>
    </sheetView>
  </sheetViews>
  <sheetFormatPr defaultColWidth="9.109375" defaultRowHeight="14.4"/>
  <cols>
    <col min="1" max="1" width="29.109375" style="2545" customWidth="1"/>
    <col min="2" max="2" width="14.44140625" style="2545" customWidth="1"/>
    <col min="3" max="3" width="14" style="2545" customWidth="1"/>
    <col min="4" max="4" width="11.88671875" style="2545" customWidth="1"/>
    <col min="5" max="5" width="13.109375" style="2545" customWidth="1"/>
    <col min="6" max="6" width="14" style="2545" customWidth="1"/>
    <col min="7" max="16384" width="9.109375" style="2545"/>
  </cols>
  <sheetData>
    <row r="1" spans="1:6" ht="15.6">
      <c r="A1" s="827" t="s">
        <v>8937</v>
      </c>
    </row>
    <row r="3" spans="1:6" ht="15.6">
      <c r="A3" s="827" t="s">
        <v>4806</v>
      </c>
    </row>
    <row r="5" spans="1:6" ht="18.75" customHeight="1">
      <c r="A5" s="2556" t="s">
        <v>8938</v>
      </c>
      <c r="B5" s="2557" t="s">
        <v>8939</v>
      </c>
      <c r="C5" s="2558"/>
      <c r="D5" s="2558"/>
      <c r="E5" s="2559"/>
      <c r="F5" s="2551"/>
    </row>
    <row r="6" spans="1:6" ht="19.5" customHeight="1">
      <c r="A6" s="2544"/>
      <c r="B6" s="2549" t="s">
        <v>2151</v>
      </c>
      <c r="C6" s="2560" t="s">
        <v>1973</v>
      </c>
      <c r="D6" s="2560" t="s">
        <v>8940</v>
      </c>
      <c r="E6" s="2560" t="s">
        <v>8941</v>
      </c>
      <c r="F6" s="2561" t="s">
        <v>220</v>
      </c>
    </row>
    <row r="7" spans="1:6">
      <c r="A7" s="2562"/>
      <c r="B7" s="2552"/>
      <c r="C7" s="2552"/>
      <c r="D7" s="2550" t="s">
        <v>8942</v>
      </c>
      <c r="E7" s="2552" t="s">
        <v>8943</v>
      </c>
      <c r="F7" s="2552"/>
    </row>
    <row r="8" spans="1:6">
      <c r="A8" s="2551"/>
      <c r="B8" s="2551"/>
      <c r="C8" s="2551"/>
      <c r="D8" s="2551"/>
      <c r="E8" s="2551"/>
      <c r="F8" s="2551"/>
    </row>
    <row r="9" spans="1:6">
      <c r="A9" s="2025" t="s">
        <v>2048</v>
      </c>
      <c r="B9" s="2386">
        <f>'lbpf 3-HCLARIN'!J30</f>
        <v>14101354.674999999</v>
      </c>
      <c r="C9" s="2386">
        <f>'lbpf 3-HCLARIN'!J88</f>
        <v>20190000</v>
      </c>
      <c r="D9" s="2025"/>
      <c r="E9" s="2386"/>
      <c r="F9" s="2563">
        <f>SUM(B9:E9)</f>
        <v>34291354.674999997</v>
      </c>
    </row>
    <row r="10" spans="1:6">
      <c r="A10" s="2025"/>
      <c r="B10" s="2025"/>
      <c r="C10" s="2025"/>
      <c r="D10" s="2025"/>
      <c r="E10" s="2025"/>
      <c r="F10" s="2025"/>
    </row>
    <row r="11" spans="1:6">
      <c r="A11" s="2025" t="s">
        <v>8944</v>
      </c>
      <c r="B11" s="2025"/>
      <c r="C11" s="2025"/>
      <c r="D11" s="2025"/>
      <c r="E11" s="2025"/>
      <c r="F11" s="2025"/>
    </row>
    <row r="12" spans="1:6">
      <c r="A12" s="2025" t="s">
        <v>8945</v>
      </c>
      <c r="B12" s="2025"/>
      <c r="C12" s="2025"/>
      <c r="D12" s="2025"/>
      <c r="E12" s="2025"/>
      <c r="F12" s="2025"/>
    </row>
    <row r="13" spans="1:6">
      <c r="A13" s="2025" t="s">
        <v>8946</v>
      </c>
      <c r="B13" s="2025"/>
      <c r="C13" s="2025"/>
      <c r="D13" s="2025"/>
      <c r="E13" s="2025"/>
      <c r="F13" s="2025"/>
    </row>
    <row r="14" spans="1:6">
      <c r="A14" s="2025" t="s">
        <v>8947</v>
      </c>
      <c r="B14" s="2025"/>
      <c r="C14" s="2025"/>
      <c r="D14" s="2025"/>
      <c r="E14" s="2025"/>
      <c r="F14" s="2025"/>
    </row>
    <row r="15" spans="1:6">
      <c r="A15" s="2025" t="s">
        <v>8948</v>
      </c>
      <c r="B15" s="2025"/>
      <c r="C15" s="2025"/>
      <c r="D15" s="2025"/>
      <c r="E15" s="2025"/>
      <c r="F15" s="2025"/>
    </row>
    <row r="16" spans="1:6">
      <c r="A16" s="2025" t="s">
        <v>8949</v>
      </c>
      <c r="B16" s="2025"/>
      <c r="C16" s="2025"/>
      <c r="D16" s="2025"/>
      <c r="E16" s="2025"/>
      <c r="F16" s="2025"/>
    </row>
    <row r="17" spans="1:6">
      <c r="A17" s="2025" t="s">
        <v>8950</v>
      </c>
      <c r="B17" s="2025"/>
      <c r="C17" s="2025"/>
      <c r="D17" s="2025"/>
      <c r="E17" s="2025"/>
      <c r="F17" s="2025"/>
    </row>
    <row r="18" spans="1:6">
      <c r="A18" s="2025" t="s">
        <v>8951</v>
      </c>
      <c r="B18" s="2025"/>
      <c r="C18" s="2025"/>
      <c r="D18" s="2025"/>
      <c r="E18" s="2025"/>
      <c r="F18" s="2025"/>
    </row>
    <row r="19" spans="1:6">
      <c r="A19" s="2025" t="s">
        <v>8950</v>
      </c>
      <c r="B19" s="2025"/>
      <c r="C19" s="2025"/>
      <c r="D19" s="2025"/>
      <c r="E19" s="2025"/>
      <c r="F19" s="2025"/>
    </row>
    <row r="20" spans="1:6">
      <c r="A20" s="2552"/>
      <c r="B20" s="2552"/>
      <c r="C20" s="2552"/>
      <c r="D20" s="2552"/>
      <c r="E20" s="2552"/>
      <c r="F20" s="2552"/>
    </row>
    <row r="21" spans="1:6">
      <c r="A21" s="2551"/>
      <c r="B21" s="2551"/>
      <c r="C21" s="2551"/>
      <c r="D21" s="2551"/>
      <c r="E21" s="2551"/>
      <c r="F21" s="2551"/>
    </row>
    <row r="22" spans="1:6">
      <c r="A22" s="2025" t="s">
        <v>3429</v>
      </c>
      <c r="B22" s="2025"/>
      <c r="C22" s="2025"/>
      <c r="D22" s="2025"/>
      <c r="E22" s="2025"/>
      <c r="F22" s="2025"/>
    </row>
    <row r="23" spans="1:6">
      <c r="A23" s="2025"/>
      <c r="B23" s="2025"/>
      <c r="C23" s="2025"/>
      <c r="D23" s="2025"/>
      <c r="E23" s="2025"/>
      <c r="F23" s="2025"/>
    </row>
    <row r="24" spans="1:6">
      <c r="A24" s="2025" t="s">
        <v>8952</v>
      </c>
      <c r="B24" s="2025"/>
      <c r="C24" s="2025"/>
      <c r="D24" s="2025"/>
      <c r="E24" s="2025"/>
      <c r="F24" s="2025"/>
    </row>
    <row r="25" spans="1:6">
      <c r="A25" s="2025" t="s">
        <v>8953</v>
      </c>
      <c r="B25" s="2025"/>
      <c r="C25" s="2025"/>
      <c r="D25" s="2025"/>
      <c r="E25" s="2025"/>
      <c r="F25" s="2025"/>
    </row>
    <row r="26" spans="1:6">
      <c r="A26" s="2025"/>
      <c r="B26" s="2025"/>
      <c r="C26" s="2025"/>
      <c r="D26" s="2025"/>
      <c r="E26" s="2025"/>
      <c r="F26" s="2025"/>
    </row>
    <row r="27" spans="1:6">
      <c r="A27" s="2551" t="s">
        <v>8954</v>
      </c>
      <c r="B27" s="2551"/>
      <c r="C27" s="2551"/>
      <c r="D27" s="2551"/>
      <c r="E27" s="2551"/>
      <c r="F27" s="2551"/>
    </row>
    <row r="28" spans="1:6">
      <c r="A28" s="2025"/>
      <c r="B28" s="2025"/>
      <c r="C28" s="2025"/>
      <c r="D28" s="2025"/>
      <c r="E28" s="2025"/>
      <c r="F28" s="2025"/>
    </row>
    <row r="29" spans="1:6">
      <c r="A29" s="2025" t="s">
        <v>8955</v>
      </c>
      <c r="B29" s="2025"/>
      <c r="C29" s="2025"/>
      <c r="D29" s="2025"/>
      <c r="E29" s="2025"/>
      <c r="F29" s="2025"/>
    </row>
    <row r="30" spans="1:6">
      <c r="A30" s="2025" t="s">
        <v>8953</v>
      </c>
      <c r="B30" s="2025"/>
      <c r="C30" s="2025"/>
      <c r="D30" s="2025"/>
      <c r="E30" s="2025"/>
      <c r="F30" s="2025"/>
    </row>
    <row r="31" spans="1:6">
      <c r="A31" s="2552"/>
      <c r="B31" s="2552"/>
      <c r="C31" s="2552"/>
      <c r="D31" s="2552"/>
      <c r="E31" s="2552"/>
      <c r="F31" s="2552"/>
    </row>
    <row r="32" spans="1:6">
      <c r="A32" s="2551"/>
      <c r="B32" s="2551"/>
      <c r="C32" s="2551"/>
      <c r="D32" s="2551"/>
      <c r="E32" s="2551"/>
      <c r="F32" s="2551"/>
    </row>
    <row r="33" spans="1:6">
      <c r="A33" s="2564" t="s">
        <v>2850</v>
      </c>
      <c r="B33" s="2565">
        <f>SUM(B8:B31)</f>
        <v>14101354.674999999</v>
      </c>
      <c r="C33" s="2565">
        <f>SUM(C8:C31)</f>
        <v>20190000</v>
      </c>
      <c r="D33" s="2565">
        <f>SUM(D8:D31)</f>
        <v>0</v>
      </c>
      <c r="E33" s="2565">
        <f>SUM(E8:E31)</f>
        <v>0</v>
      </c>
      <c r="F33" s="2565">
        <f>SUM(F8:F31)</f>
        <v>34291354.674999997</v>
      </c>
    </row>
  </sheetData>
  <pageMargins left="0.5" right="0.25" top="0.75" bottom="0.5" header="0.3" footer="0.25"/>
  <pageSetup paperSize="119" orientation="portrait" horizontalDpi="120" verticalDpi="72" r:id="rId1"/>
</worksheet>
</file>

<file path=xl/worksheets/sheet147.xml><?xml version="1.0" encoding="utf-8"?>
<worksheet xmlns="http://schemas.openxmlformats.org/spreadsheetml/2006/main" xmlns:r="http://schemas.openxmlformats.org/officeDocument/2006/relationships">
  <sheetPr codeName="Sheet106">
    <tabColor rgb="FFFFFF00"/>
  </sheetPr>
  <dimension ref="A1:H80"/>
  <sheetViews>
    <sheetView showGridLines="0" workbookViewId="0">
      <selection activeCell="G13" sqref="G13"/>
    </sheetView>
  </sheetViews>
  <sheetFormatPr defaultRowHeight="12.9" customHeight="1"/>
  <cols>
    <col min="1" max="1" width="40.5546875" style="7001" customWidth="1"/>
    <col min="2" max="2" width="8.5546875" style="7166" customWidth="1"/>
    <col min="3" max="3" width="8.5546875" style="7001" customWidth="1"/>
    <col min="4" max="6" width="14.5546875" style="7001" customWidth="1"/>
    <col min="7" max="7" width="12.88671875" style="7001" customWidth="1"/>
    <col min="8" max="8" width="15.109375" style="7001" customWidth="1"/>
    <col min="9" max="12" width="8.88671875" style="7001" customWidth="1"/>
    <col min="13" max="256" width="9.109375" style="7001"/>
    <col min="257" max="257" width="33.109375" style="7001" customWidth="1"/>
    <col min="258" max="258" width="9.109375" style="7001"/>
    <col min="259" max="259" width="9.88671875" style="7001" customWidth="1"/>
    <col min="260" max="260" width="10.44140625" style="7001" customWidth="1"/>
    <col min="261" max="261" width="13" style="7001" customWidth="1"/>
    <col min="262" max="262" width="15.88671875" style="7001" customWidth="1"/>
    <col min="263" max="512" width="9.109375" style="7001"/>
    <col min="513" max="513" width="33.109375" style="7001" customWidth="1"/>
    <col min="514" max="514" width="9.109375" style="7001"/>
    <col min="515" max="515" width="9.88671875" style="7001" customWidth="1"/>
    <col min="516" max="516" width="10.44140625" style="7001" customWidth="1"/>
    <col min="517" max="517" width="13" style="7001" customWidth="1"/>
    <col min="518" max="518" width="15.88671875" style="7001" customWidth="1"/>
    <col min="519" max="768" width="9.109375" style="7001"/>
    <col min="769" max="769" width="33.109375" style="7001" customWidth="1"/>
    <col min="770" max="770" width="9.109375" style="7001"/>
    <col min="771" max="771" width="9.88671875" style="7001" customWidth="1"/>
    <col min="772" max="772" width="10.44140625" style="7001" customWidth="1"/>
    <col min="773" max="773" width="13" style="7001" customWidth="1"/>
    <col min="774" max="774" width="15.88671875" style="7001" customWidth="1"/>
    <col min="775" max="1024" width="9.109375" style="7001"/>
    <col min="1025" max="1025" width="33.109375" style="7001" customWidth="1"/>
    <col min="1026" max="1026" width="9.109375" style="7001"/>
    <col min="1027" max="1027" width="9.88671875" style="7001" customWidth="1"/>
    <col min="1028" max="1028" width="10.44140625" style="7001" customWidth="1"/>
    <col min="1029" max="1029" width="13" style="7001" customWidth="1"/>
    <col min="1030" max="1030" width="15.88671875" style="7001" customWidth="1"/>
    <col min="1031" max="1280" width="9.109375" style="7001"/>
    <col min="1281" max="1281" width="33.109375" style="7001" customWidth="1"/>
    <col min="1282" max="1282" width="9.109375" style="7001"/>
    <col min="1283" max="1283" width="9.88671875" style="7001" customWidth="1"/>
    <col min="1284" max="1284" width="10.44140625" style="7001" customWidth="1"/>
    <col min="1285" max="1285" width="13" style="7001" customWidth="1"/>
    <col min="1286" max="1286" width="15.88671875" style="7001" customWidth="1"/>
    <col min="1287" max="1536" width="9.109375" style="7001"/>
    <col min="1537" max="1537" width="33.109375" style="7001" customWidth="1"/>
    <col min="1538" max="1538" width="9.109375" style="7001"/>
    <col min="1539" max="1539" width="9.88671875" style="7001" customWidth="1"/>
    <col min="1540" max="1540" width="10.44140625" style="7001" customWidth="1"/>
    <col min="1541" max="1541" width="13" style="7001" customWidth="1"/>
    <col min="1542" max="1542" width="15.88671875" style="7001" customWidth="1"/>
    <col min="1543" max="1792" width="9.109375" style="7001"/>
    <col min="1793" max="1793" width="33.109375" style="7001" customWidth="1"/>
    <col min="1794" max="1794" width="9.109375" style="7001"/>
    <col min="1795" max="1795" width="9.88671875" style="7001" customWidth="1"/>
    <col min="1796" max="1796" width="10.44140625" style="7001" customWidth="1"/>
    <col min="1797" max="1797" width="13" style="7001" customWidth="1"/>
    <col min="1798" max="1798" width="15.88671875" style="7001" customWidth="1"/>
    <col min="1799" max="2048" width="9.109375" style="7001"/>
    <col min="2049" max="2049" width="33.109375" style="7001" customWidth="1"/>
    <col min="2050" max="2050" width="9.109375" style="7001"/>
    <col min="2051" max="2051" width="9.88671875" style="7001" customWidth="1"/>
    <col min="2052" max="2052" width="10.44140625" style="7001" customWidth="1"/>
    <col min="2053" max="2053" width="13" style="7001" customWidth="1"/>
    <col min="2054" max="2054" width="15.88671875" style="7001" customWidth="1"/>
    <col min="2055" max="2304" width="9.109375" style="7001"/>
    <col min="2305" max="2305" width="33.109375" style="7001" customWidth="1"/>
    <col min="2306" max="2306" width="9.109375" style="7001"/>
    <col min="2307" max="2307" width="9.88671875" style="7001" customWidth="1"/>
    <col min="2308" max="2308" width="10.44140625" style="7001" customWidth="1"/>
    <col min="2309" max="2309" width="13" style="7001" customWidth="1"/>
    <col min="2310" max="2310" width="15.88671875" style="7001" customWidth="1"/>
    <col min="2311" max="2560" width="9.109375" style="7001"/>
    <col min="2561" max="2561" width="33.109375" style="7001" customWidth="1"/>
    <col min="2562" max="2562" width="9.109375" style="7001"/>
    <col min="2563" max="2563" width="9.88671875" style="7001" customWidth="1"/>
    <col min="2564" max="2564" width="10.44140625" style="7001" customWidth="1"/>
    <col min="2565" max="2565" width="13" style="7001" customWidth="1"/>
    <col min="2566" max="2566" width="15.88671875" style="7001" customWidth="1"/>
    <col min="2567" max="2816" width="9.109375" style="7001"/>
    <col min="2817" max="2817" width="33.109375" style="7001" customWidth="1"/>
    <col min="2818" max="2818" width="9.109375" style="7001"/>
    <col min="2819" max="2819" width="9.88671875" style="7001" customWidth="1"/>
    <col min="2820" max="2820" width="10.44140625" style="7001" customWidth="1"/>
    <col min="2821" max="2821" width="13" style="7001" customWidth="1"/>
    <col min="2822" max="2822" width="15.88671875" style="7001" customWidth="1"/>
    <col min="2823" max="3072" width="9.109375" style="7001"/>
    <col min="3073" max="3073" width="33.109375" style="7001" customWidth="1"/>
    <col min="3074" max="3074" width="9.109375" style="7001"/>
    <col min="3075" max="3075" width="9.88671875" style="7001" customWidth="1"/>
    <col min="3076" max="3076" width="10.44140625" style="7001" customWidth="1"/>
    <col min="3077" max="3077" width="13" style="7001" customWidth="1"/>
    <col min="3078" max="3078" width="15.88671875" style="7001" customWidth="1"/>
    <col min="3079" max="3328" width="9.109375" style="7001"/>
    <col min="3329" max="3329" width="33.109375" style="7001" customWidth="1"/>
    <col min="3330" max="3330" width="9.109375" style="7001"/>
    <col min="3331" max="3331" width="9.88671875" style="7001" customWidth="1"/>
    <col min="3332" max="3332" width="10.44140625" style="7001" customWidth="1"/>
    <col min="3333" max="3333" width="13" style="7001" customWidth="1"/>
    <col min="3334" max="3334" width="15.88671875" style="7001" customWidth="1"/>
    <col min="3335" max="3584" width="9.109375" style="7001"/>
    <col min="3585" max="3585" width="33.109375" style="7001" customWidth="1"/>
    <col min="3586" max="3586" width="9.109375" style="7001"/>
    <col min="3587" max="3587" width="9.88671875" style="7001" customWidth="1"/>
    <col min="3588" max="3588" width="10.44140625" style="7001" customWidth="1"/>
    <col min="3589" max="3589" width="13" style="7001" customWidth="1"/>
    <col min="3590" max="3590" width="15.88671875" style="7001" customWidth="1"/>
    <col min="3591" max="3840" width="9.109375" style="7001"/>
    <col min="3841" max="3841" width="33.109375" style="7001" customWidth="1"/>
    <col min="3842" max="3842" width="9.109375" style="7001"/>
    <col min="3843" max="3843" width="9.88671875" style="7001" customWidth="1"/>
    <col min="3844" max="3844" width="10.44140625" style="7001" customWidth="1"/>
    <col min="3845" max="3845" width="13" style="7001" customWidth="1"/>
    <col min="3846" max="3846" width="15.88671875" style="7001" customWidth="1"/>
    <col min="3847" max="4096" width="9.109375" style="7001"/>
    <col min="4097" max="4097" width="33.109375" style="7001" customWidth="1"/>
    <col min="4098" max="4098" width="9.109375" style="7001"/>
    <col min="4099" max="4099" width="9.88671875" style="7001" customWidth="1"/>
    <col min="4100" max="4100" width="10.44140625" style="7001" customWidth="1"/>
    <col min="4101" max="4101" width="13" style="7001" customWidth="1"/>
    <col min="4102" max="4102" width="15.88671875" style="7001" customWidth="1"/>
    <col min="4103" max="4352" width="9.109375" style="7001"/>
    <col min="4353" max="4353" width="33.109375" style="7001" customWidth="1"/>
    <col min="4354" max="4354" width="9.109375" style="7001"/>
    <col min="4355" max="4355" width="9.88671875" style="7001" customWidth="1"/>
    <col min="4356" max="4356" width="10.44140625" style="7001" customWidth="1"/>
    <col min="4357" max="4357" width="13" style="7001" customWidth="1"/>
    <col min="4358" max="4358" width="15.88671875" style="7001" customWidth="1"/>
    <col min="4359" max="4608" width="9.109375" style="7001"/>
    <col min="4609" max="4609" width="33.109375" style="7001" customWidth="1"/>
    <col min="4610" max="4610" width="9.109375" style="7001"/>
    <col min="4611" max="4611" width="9.88671875" style="7001" customWidth="1"/>
    <col min="4612" max="4612" width="10.44140625" style="7001" customWidth="1"/>
    <col min="4613" max="4613" width="13" style="7001" customWidth="1"/>
    <col min="4614" max="4614" width="15.88671875" style="7001" customWidth="1"/>
    <col min="4615" max="4864" width="9.109375" style="7001"/>
    <col min="4865" max="4865" width="33.109375" style="7001" customWidth="1"/>
    <col min="4866" max="4866" width="9.109375" style="7001"/>
    <col min="4867" max="4867" width="9.88671875" style="7001" customWidth="1"/>
    <col min="4868" max="4868" width="10.44140625" style="7001" customWidth="1"/>
    <col min="4869" max="4869" width="13" style="7001" customWidth="1"/>
    <col min="4870" max="4870" width="15.88671875" style="7001" customWidth="1"/>
    <col min="4871" max="5120" width="9.109375" style="7001"/>
    <col min="5121" max="5121" width="33.109375" style="7001" customWidth="1"/>
    <col min="5122" max="5122" width="9.109375" style="7001"/>
    <col min="5123" max="5123" width="9.88671875" style="7001" customWidth="1"/>
    <col min="5124" max="5124" width="10.44140625" style="7001" customWidth="1"/>
    <col min="5125" max="5125" width="13" style="7001" customWidth="1"/>
    <col min="5126" max="5126" width="15.88671875" style="7001" customWidth="1"/>
    <col min="5127" max="5376" width="9.109375" style="7001"/>
    <col min="5377" max="5377" width="33.109375" style="7001" customWidth="1"/>
    <col min="5378" max="5378" width="9.109375" style="7001"/>
    <col min="5379" max="5379" width="9.88671875" style="7001" customWidth="1"/>
    <col min="5380" max="5380" width="10.44140625" style="7001" customWidth="1"/>
    <col min="5381" max="5381" width="13" style="7001" customWidth="1"/>
    <col min="5382" max="5382" width="15.88671875" style="7001" customWidth="1"/>
    <col min="5383" max="5632" width="9.109375" style="7001"/>
    <col min="5633" max="5633" width="33.109375" style="7001" customWidth="1"/>
    <col min="5634" max="5634" width="9.109375" style="7001"/>
    <col min="5635" max="5635" width="9.88671875" style="7001" customWidth="1"/>
    <col min="5636" max="5636" width="10.44140625" style="7001" customWidth="1"/>
    <col min="5637" max="5637" width="13" style="7001" customWidth="1"/>
    <col min="5638" max="5638" width="15.88671875" style="7001" customWidth="1"/>
    <col min="5639" max="5888" width="9.109375" style="7001"/>
    <col min="5889" max="5889" width="33.109375" style="7001" customWidth="1"/>
    <col min="5890" max="5890" width="9.109375" style="7001"/>
    <col min="5891" max="5891" width="9.88671875" style="7001" customWidth="1"/>
    <col min="5892" max="5892" width="10.44140625" style="7001" customWidth="1"/>
    <col min="5893" max="5893" width="13" style="7001" customWidth="1"/>
    <col min="5894" max="5894" width="15.88671875" style="7001" customWidth="1"/>
    <col min="5895" max="6144" width="9.109375" style="7001"/>
    <col min="6145" max="6145" width="33.109375" style="7001" customWidth="1"/>
    <col min="6146" max="6146" width="9.109375" style="7001"/>
    <col min="6147" max="6147" width="9.88671875" style="7001" customWidth="1"/>
    <col min="6148" max="6148" width="10.44140625" style="7001" customWidth="1"/>
    <col min="6149" max="6149" width="13" style="7001" customWidth="1"/>
    <col min="6150" max="6150" width="15.88671875" style="7001" customWidth="1"/>
    <col min="6151" max="6400" width="9.109375" style="7001"/>
    <col min="6401" max="6401" width="33.109375" style="7001" customWidth="1"/>
    <col min="6402" max="6402" width="9.109375" style="7001"/>
    <col min="6403" max="6403" width="9.88671875" style="7001" customWidth="1"/>
    <col min="6404" max="6404" width="10.44140625" style="7001" customWidth="1"/>
    <col min="6405" max="6405" width="13" style="7001" customWidth="1"/>
    <col min="6406" max="6406" width="15.88671875" style="7001" customWidth="1"/>
    <col min="6407" max="6656" width="9.109375" style="7001"/>
    <col min="6657" max="6657" width="33.109375" style="7001" customWidth="1"/>
    <col min="6658" max="6658" width="9.109375" style="7001"/>
    <col min="6659" max="6659" width="9.88671875" style="7001" customWidth="1"/>
    <col min="6660" max="6660" width="10.44140625" style="7001" customWidth="1"/>
    <col min="6661" max="6661" width="13" style="7001" customWidth="1"/>
    <col min="6662" max="6662" width="15.88671875" style="7001" customWidth="1"/>
    <col min="6663" max="6912" width="9.109375" style="7001"/>
    <col min="6913" max="6913" width="33.109375" style="7001" customWidth="1"/>
    <col min="6914" max="6914" width="9.109375" style="7001"/>
    <col min="6915" max="6915" width="9.88671875" style="7001" customWidth="1"/>
    <col min="6916" max="6916" width="10.44140625" style="7001" customWidth="1"/>
    <col min="6917" max="6917" width="13" style="7001" customWidth="1"/>
    <col min="6918" max="6918" width="15.88671875" style="7001" customWidth="1"/>
    <col min="6919" max="7168" width="9.109375" style="7001"/>
    <col min="7169" max="7169" width="33.109375" style="7001" customWidth="1"/>
    <col min="7170" max="7170" width="9.109375" style="7001"/>
    <col min="7171" max="7171" width="9.88671875" style="7001" customWidth="1"/>
    <col min="7172" max="7172" width="10.44140625" style="7001" customWidth="1"/>
    <col min="7173" max="7173" width="13" style="7001" customWidth="1"/>
    <col min="7174" max="7174" width="15.88671875" style="7001" customWidth="1"/>
    <col min="7175" max="7424" width="9.109375" style="7001"/>
    <col min="7425" max="7425" width="33.109375" style="7001" customWidth="1"/>
    <col min="7426" max="7426" width="9.109375" style="7001"/>
    <col min="7427" max="7427" width="9.88671875" style="7001" customWidth="1"/>
    <col min="7428" max="7428" width="10.44140625" style="7001" customWidth="1"/>
    <col min="7429" max="7429" width="13" style="7001" customWidth="1"/>
    <col min="7430" max="7430" width="15.88671875" style="7001" customWidth="1"/>
    <col min="7431" max="7680" width="9.109375" style="7001"/>
    <col min="7681" max="7681" width="33.109375" style="7001" customWidth="1"/>
    <col min="7682" max="7682" width="9.109375" style="7001"/>
    <col min="7683" max="7683" width="9.88671875" style="7001" customWidth="1"/>
    <col min="7684" max="7684" width="10.44140625" style="7001" customWidth="1"/>
    <col min="7685" max="7685" width="13" style="7001" customWidth="1"/>
    <col min="7686" max="7686" width="15.88671875" style="7001" customWidth="1"/>
    <col min="7687" max="7936" width="9.109375" style="7001"/>
    <col min="7937" max="7937" width="33.109375" style="7001" customWidth="1"/>
    <col min="7938" max="7938" width="9.109375" style="7001"/>
    <col min="7939" max="7939" width="9.88671875" style="7001" customWidth="1"/>
    <col min="7940" max="7940" width="10.44140625" style="7001" customWidth="1"/>
    <col min="7941" max="7941" width="13" style="7001" customWidth="1"/>
    <col min="7942" max="7942" width="15.88671875" style="7001" customWidth="1"/>
    <col min="7943" max="8192" width="9.109375" style="7001"/>
    <col min="8193" max="8193" width="33.109375" style="7001" customWidth="1"/>
    <col min="8194" max="8194" width="9.109375" style="7001"/>
    <col min="8195" max="8195" width="9.88671875" style="7001" customWidth="1"/>
    <col min="8196" max="8196" width="10.44140625" style="7001" customWidth="1"/>
    <col min="8197" max="8197" width="13" style="7001" customWidth="1"/>
    <col min="8198" max="8198" width="15.88671875" style="7001" customWidth="1"/>
    <col min="8199" max="8448" width="9.109375" style="7001"/>
    <col min="8449" max="8449" width="33.109375" style="7001" customWidth="1"/>
    <col min="8450" max="8450" width="9.109375" style="7001"/>
    <col min="8451" max="8451" width="9.88671875" style="7001" customWidth="1"/>
    <col min="8452" max="8452" width="10.44140625" style="7001" customWidth="1"/>
    <col min="8453" max="8453" width="13" style="7001" customWidth="1"/>
    <col min="8454" max="8454" width="15.88671875" style="7001" customWidth="1"/>
    <col min="8455" max="8704" width="9.109375" style="7001"/>
    <col min="8705" max="8705" width="33.109375" style="7001" customWidth="1"/>
    <col min="8706" max="8706" width="9.109375" style="7001"/>
    <col min="8707" max="8707" width="9.88671875" style="7001" customWidth="1"/>
    <col min="8708" max="8708" width="10.44140625" style="7001" customWidth="1"/>
    <col min="8709" max="8709" width="13" style="7001" customWidth="1"/>
    <col min="8710" max="8710" width="15.88671875" style="7001" customWidth="1"/>
    <col min="8711" max="8960" width="9.109375" style="7001"/>
    <col min="8961" max="8961" width="33.109375" style="7001" customWidth="1"/>
    <col min="8962" max="8962" width="9.109375" style="7001"/>
    <col min="8963" max="8963" width="9.88671875" style="7001" customWidth="1"/>
    <col min="8964" max="8964" width="10.44140625" style="7001" customWidth="1"/>
    <col min="8965" max="8965" width="13" style="7001" customWidth="1"/>
    <col min="8966" max="8966" width="15.88671875" style="7001" customWidth="1"/>
    <col min="8967" max="9216" width="9.109375" style="7001"/>
    <col min="9217" max="9217" width="33.109375" style="7001" customWidth="1"/>
    <col min="9218" max="9218" width="9.109375" style="7001"/>
    <col min="9219" max="9219" width="9.88671875" style="7001" customWidth="1"/>
    <col min="9220" max="9220" width="10.44140625" style="7001" customWidth="1"/>
    <col min="9221" max="9221" width="13" style="7001" customWidth="1"/>
    <col min="9222" max="9222" width="15.88671875" style="7001" customWidth="1"/>
    <col min="9223" max="9472" width="9.109375" style="7001"/>
    <col min="9473" max="9473" width="33.109375" style="7001" customWidth="1"/>
    <col min="9474" max="9474" width="9.109375" style="7001"/>
    <col min="9475" max="9475" width="9.88671875" style="7001" customWidth="1"/>
    <col min="9476" max="9476" width="10.44140625" style="7001" customWidth="1"/>
    <col min="9477" max="9477" width="13" style="7001" customWidth="1"/>
    <col min="9478" max="9478" width="15.88671875" style="7001" customWidth="1"/>
    <col min="9479" max="9728" width="9.109375" style="7001"/>
    <col min="9729" max="9729" width="33.109375" style="7001" customWidth="1"/>
    <col min="9730" max="9730" width="9.109375" style="7001"/>
    <col min="9731" max="9731" width="9.88671875" style="7001" customWidth="1"/>
    <col min="9732" max="9732" width="10.44140625" style="7001" customWidth="1"/>
    <col min="9733" max="9733" width="13" style="7001" customWidth="1"/>
    <col min="9734" max="9734" width="15.88671875" style="7001" customWidth="1"/>
    <col min="9735" max="9984" width="9.109375" style="7001"/>
    <col min="9985" max="9985" width="33.109375" style="7001" customWidth="1"/>
    <col min="9986" max="9986" width="9.109375" style="7001"/>
    <col min="9987" max="9987" width="9.88671875" style="7001" customWidth="1"/>
    <col min="9988" max="9988" width="10.44140625" style="7001" customWidth="1"/>
    <col min="9989" max="9989" width="13" style="7001" customWidth="1"/>
    <col min="9990" max="9990" width="15.88671875" style="7001" customWidth="1"/>
    <col min="9991" max="10240" width="9.109375" style="7001"/>
    <col min="10241" max="10241" width="33.109375" style="7001" customWidth="1"/>
    <col min="10242" max="10242" width="9.109375" style="7001"/>
    <col min="10243" max="10243" width="9.88671875" style="7001" customWidth="1"/>
    <col min="10244" max="10244" width="10.44140625" style="7001" customWidth="1"/>
    <col min="10245" max="10245" width="13" style="7001" customWidth="1"/>
    <col min="10246" max="10246" width="15.88671875" style="7001" customWidth="1"/>
    <col min="10247" max="10496" width="9.109375" style="7001"/>
    <col min="10497" max="10497" width="33.109375" style="7001" customWidth="1"/>
    <col min="10498" max="10498" width="9.109375" style="7001"/>
    <col min="10499" max="10499" width="9.88671875" style="7001" customWidth="1"/>
    <col min="10500" max="10500" width="10.44140625" style="7001" customWidth="1"/>
    <col min="10501" max="10501" width="13" style="7001" customWidth="1"/>
    <col min="10502" max="10502" width="15.88671875" style="7001" customWidth="1"/>
    <col min="10503" max="10752" width="9.109375" style="7001"/>
    <col min="10753" max="10753" width="33.109375" style="7001" customWidth="1"/>
    <col min="10754" max="10754" width="9.109375" style="7001"/>
    <col min="10755" max="10755" width="9.88671875" style="7001" customWidth="1"/>
    <col min="10756" max="10756" width="10.44140625" style="7001" customWidth="1"/>
    <col min="10757" max="10757" width="13" style="7001" customWidth="1"/>
    <col min="10758" max="10758" width="15.88671875" style="7001" customWidth="1"/>
    <col min="10759" max="11008" width="9.109375" style="7001"/>
    <col min="11009" max="11009" width="33.109375" style="7001" customWidth="1"/>
    <col min="11010" max="11010" width="9.109375" style="7001"/>
    <col min="11011" max="11011" width="9.88671875" style="7001" customWidth="1"/>
    <col min="11012" max="11012" width="10.44140625" style="7001" customWidth="1"/>
    <col min="11013" max="11013" width="13" style="7001" customWidth="1"/>
    <col min="11014" max="11014" width="15.88671875" style="7001" customWidth="1"/>
    <col min="11015" max="11264" width="9.109375" style="7001"/>
    <col min="11265" max="11265" width="33.109375" style="7001" customWidth="1"/>
    <col min="11266" max="11266" width="9.109375" style="7001"/>
    <col min="11267" max="11267" width="9.88671875" style="7001" customWidth="1"/>
    <col min="11268" max="11268" width="10.44140625" style="7001" customWidth="1"/>
    <col min="11269" max="11269" width="13" style="7001" customWidth="1"/>
    <col min="11270" max="11270" width="15.88671875" style="7001" customWidth="1"/>
    <col min="11271" max="11520" width="9.109375" style="7001"/>
    <col min="11521" max="11521" width="33.109375" style="7001" customWidth="1"/>
    <col min="11522" max="11522" width="9.109375" style="7001"/>
    <col min="11523" max="11523" width="9.88671875" style="7001" customWidth="1"/>
    <col min="11524" max="11524" width="10.44140625" style="7001" customWidth="1"/>
    <col min="11525" max="11525" width="13" style="7001" customWidth="1"/>
    <col min="11526" max="11526" width="15.88671875" style="7001" customWidth="1"/>
    <col min="11527" max="11776" width="9.109375" style="7001"/>
    <col min="11777" max="11777" width="33.109375" style="7001" customWidth="1"/>
    <col min="11778" max="11778" width="9.109375" style="7001"/>
    <col min="11779" max="11779" width="9.88671875" style="7001" customWidth="1"/>
    <col min="11780" max="11780" width="10.44140625" style="7001" customWidth="1"/>
    <col min="11781" max="11781" width="13" style="7001" customWidth="1"/>
    <col min="11782" max="11782" width="15.88671875" style="7001" customWidth="1"/>
    <col min="11783" max="12032" width="9.109375" style="7001"/>
    <col min="12033" max="12033" width="33.109375" style="7001" customWidth="1"/>
    <col min="12034" max="12034" width="9.109375" style="7001"/>
    <col min="12035" max="12035" width="9.88671875" style="7001" customWidth="1"/>
    <col min="12036" max="12036" width="10.44140625" style="7001" customWidth="1"/>
    <col min="12037" max="12037" width="13" style="7001" customWidth="1"/>
    <col min="12038" max="12038" width="15.88671875" style="7001" customWidth="1"/>
    <col min="12039" max="12288" width="9.109375" style="7001"/>
    <col min="12289" max="12289" width="33.109375" style="7001" customWidth="1"/>
    <col min="12290" max="12290" width="9.109375" style="7001"/>
    <col min="12291" max="12291" width="9.88671875" style="7001" customWidth="1"/>
    <col min="12292" max="12292" width="10.44140625" style="7001" customWidth="1"/>
    <col min="12293" max="12293" width="13" style="7001" customWidth="1"/>
    <col min="12294" max="12294" width="15.88671875" style="7001" customWidth="1"/>
    <col min="12295" max="12544" width="9.109375" style="7001"/>
    <col min="12545" max="12545" width="33.109375" style="7001" customWidth="1"/>
    <col min="12546" max="12546" width="9.109375" style="7001"/>
    <col min="12547" max="12547" width="9.88671875" style="7001" customWidth="1"/>
    <col min="12548" max="12548" width="10.44140625" style="7001" customWidth="1"/>
    <col min="12549" max="12549" width="13" style="7001" customWidth="1"/>
    <col min="12550" max="12550" width="15.88671875" style="7001" customWidth="1"/>
    <col min="12551" max="12800" width="9.109375" style="7001"/>
    <col min="12801" max="12801" width="33.109375" style="7001" customWidth="1"/>
    <col min="12802" max="12802" width="9.109375" style="7001"/>
    <col min="12803" max="12803" width="9.88671875" style="7001" customWidth="1"/>
    <col min="12804" max="12804" width="10.44140625" style="7001" customWidth="1"/>
    <col min="12805" max="12805" width="13" style="7001" customWidth="1"/>
    <col min="12806" max="12806" width="15.88671875" style="7001" customWidth="1"/>
    <col min="12807" max="13056" width="9.109375" style="7001"/>
    <col min="13057" max="13057" width="33.109375" style="7001" customWidth="1"/>
    <col min="13058" max="13058" width="9.109375" style="7001"/>
    <col min="13059" max="13059" width="9.88671875" style="7001" customWidth="1"/>
    <col min="13060" max="13060" width="10.44140625" style="7001" customWidth="1"/>
    <col min="13061" max="13061" width="13" style="7001" customWidth="1"/>
    <col min="13062" max="13062" width="15.88671875" style="7001" customWidth="1"/>
    <col min="13063" max="13312" width="9.109375" style="7001"/>
    <col min="13313" max="13313" width="33.109375" style="7001" customWidth="1"/>
    <col min="13314" max="13314" width="9.109375" style="7001"/>
    <col min="13315" max="13315" width="9.88671875" style="7001" customWidth="1"/>
    <col min="13316" max="13316" width="10.44140625" style="7001" customWidth="1"/>
    <col min="13317" max="13317" width="13" style="7001" customWidth="1"/>
    <col min="13318" max="13318" width="15.88671875" style="7001" customWidth="1"/>
    <col min="13319" max="13568" width="9.109375" style="7001"/>
    <col min="13569" max="13569" width="33.109375" style="7001" customWidth="1"/>
    <col min="13570" max="13570" width="9.109375" style="7001"/>
    <col min="13571" max="13571" width="9.88671875" style="7001" customWidth="1"/>
    <col min="13572" max="13572" width="10.44140625" style="7001" customWidth="1"/>
    <col min="13573" max="13573" width="13" style="7001" customWidth="1"/>
    <col min="13574" max="13574" width="15.88671875" style="7001" customWidth="1"/>
    <col min="13575" max="13824" width="9.109375" style="7001"/>
    <col min="13825" max="13825" width="33.109375" style="7001" customWidth="1"/>
    <col min="13826" max="13826" width="9.109375" style="7001"/>
    <col min="13827" max="13827" width="9.88671875" style="7001" customWidth="1"/>
    <col min="13828" max="13828" width="10.44140625" style="7001" customWidth="1"/>
    <col min="13829" max="13829" width="13" style="7001" customWidth="1"/>
    <col min="13830" max="13830" width="15.88671875" style="7001" customWidth="1"/>
    <col min="13831" max="14080" width="9.109375" style="7001"/>
    <col min="14081" max="14081" width="33.109375" style="7001" customWidth="1"/>
    <col min="14082" max="14082" width="9.109375" style="7001"/>
    <col min="14083" max="14083" width="9.88671875" style="7001" customWidth="1"/>
    <col min="14084" max="14084" width="10.44140625" style="7001" customWidth="1"/>
    <col min="14085" max="14085" width="13" style="7001" customWidth="1"/>
    <col min="14086" max="14086" width="15.88671875" style="7001" customWidth="1"/>
    <col min="14087" max="14336" width="9.109375" style="7001"/>
    <col min="14337" max="14337" width="33.109375" style="7001" customWidth="1"/>
    <col min="14338" max="14338" width="9.109375" style="7001"/>
    <col min="14339" max="14339" width="9.88671875" style="7001" customWidth="1"/>
    <col min="14340" max="14340" width="10.44140625" style="7001" customWidth="1"/>
    <col min="14341" max="14341" width="13" style="7001" customWidth="1"/>
    <col min="14342" max="14342" width="15.88671875" style="7001" customWidth="1"/>
    <col min="14343" max="14592" width="9.109375" style="7001"/>
    <col min="14593" max="14593" width="33.109375" style="7001" customWidth="1"/>
    <col min="14594" max="14594" width="9.109375" style="7001"/>
    <col min="14595" max="14595" width="9.88671875" style="7001" customWidth="1"/>
    <col min="14596" max="14596" width="10.44140625" style="7001" customWidth="1"/>
    <col min="14597" max="14597" width="13" style="7001" customWidth="1"/>
    <col min="14598" max="14598" width="15.88671875" style="7001" customWidth="1"/>
    <col min="14599" max="14848" width="9.109375" style="7001"/>
    <col min="14849" max="14849" width="33.109375" style="7001" customWidth="1"/>
    <col min="14850" max="14850" width="9.109375" style="7001"/>
    <col min="14851" max="14851" width="9.88671875" style="7001" customWidth="1"/>
    <col min="14852" max="14852" width="10.44140625" style="7001" customWidth="1"/>
    <col min="14853" max="14853" width="13" style="7001" customWidth="1"/>
    <col min="14854" max="14854" width="15.88671875" style="7001" customWidth="1"/>
    <col min="14855" max="15104" width="9.109375" style="7001"/>
    <col min="15105" max="15105" width="33.109375" style="7001" customWidth="1"/>
    <col min="15106" max="15106" width="9.109375" style="7001"/>
    <col min="15107" max="15107" width="9.88671875" style="7001" customWidth="1"/>
    <col min="15108" max="15108" width="10.44140625" style="7001" customWidth="1"/>
    <col min="15109" max="15109" width="13" style="7001" customWidth="1"/>
    <col min="15110" max="15110" width="15.88671875" style="7001" customWidth="1"/>
    <col min="15111" max="15360" width="9.109375" style="7001"/>
    <col min="15361" max="15361" width="33.109375" style="7001" customWidth="1"/>
    <col min="15362" max="15362" width="9.109375" style="7001"/>
    <col min="15363" max="15363" width="9.88671875" style="7001" customWidth="1"/>
    <col min="15364" max="15364" width="10.44140625" style="7001" customWidth="1"/>
    <col min="15365" max="15365" width="13" style="7001" customWidth="1"/>
    <col min="15366" max="15366" width="15.88671875" style="7001" customWidth="1"/>
    <col min="15367" max="15616" width="9.109375" style="7001"/>
    <col min="15617" max="15617" width="33.109375" style="7001" customWidth="1"/>
    <col min="15618" max="15618" width="9.109375" style="7001"/>
    <col min="15619" max="15619" width="9.88671875" style="7001" customWidth="1"/>
    <col min="15620" max="15620" width="10.44140625" style="7001" customWidth="1"/>
    <col min="15621" max="15621" width="13" style="7001" customWidth="1"/>
    <col min="15622" max="15622" width="15.88671875" style="7001" customWidth="1"/>
    <col min="15623" max="15872" width="9.109375" style="7001"/>
    <col min="15873" max="15873" width="33.109375" style="7001" customWidth="1"/>
    <col min="15874" max="15874" width="9.109375" style="7001"/>
    <col min="15875" max="15875" width="9.88671875" style="7001" customWidth="1"/>
    <col min="15876" max="15876" width="10.44140625" style="7001" customWidth="1"/>
    <col min="15877" max="15877" width="13" style="7001" customWidth="1"/>
    <col min="15878" max="15878" width="15.88671875" style="7001" customWidth="1"/>
    <col min="15879" max="16128" width="9.109375" style="7001"/>
    <col min="16129" max="16129" width="33.109375" style="7001" customWidth="1"/>
    <col min="16130" max="16130" width="9.109375" style="7001"/>
    <col min="16131" max="16131" width="9.88671875" style="7001" customWidth="1"/>
    <col min="16132" max="16132" width="10.44140625" style="7001" customWidth="1"/>
    <col min="16133" max="16133" width="13" style="7001" customWidth="1"/>
    <col min="16134" max="16134" width="15.88671875" style="7001" customWidth="1"/>
    <col min="16135" max="16384" width="9.109375" style="7001"/>
  </cols>
  <sheetData>
    <row r="1" spans="1:6" ht="12.9" customHeight="1">
      <c r="A1" s="14395" t="s">
        <v>1087</v>
      </c>
      <c r="B1" s="14395"/>
      <c r="C1" s="14395"/>
      <c r="D1" s="14395"/>
      <c r="E1" s="14395"/>
      <c r="F1" s="14395"/>
    </row>
    <row r="3" spans="1:6" ht="12.9" customHeight="1">
      <c r="A3" s="7162" t="s">
        <v>1383</v>
      </c>
    </row>
    <row r="4" spans="1:6" ht="12.9" customHeight="1" thickBot="1"/>
    <row r="5" spans="1:6" ht="12.9" customHeight="1">
      <c r="A5" s="9675" t="s">
        <v>842</v>
      </c>
      <c r="B5" s="10713" t="s">
        <v>1035</v>
      </c>
      <c r="C5" s="10713" t="s">
        <v>1036</v>
      </c>
      <c r="D5" s="14393" t="s">
        <v>1037</v>
      </c>
      <c r="E5" s="14393"/>
      <c r="F5" s="14394"/>
    </row>
    <row r="6" spans="1:6" ht="12.9" customHeight="1" thickBot="1">
      <c r="A6" s="9679" t="s">
        <v>1088</v>
      </c>
      <c r="B6" s="9755" t="s">
        <v>9</v>
      </c>
      <c r="C6" s="9755" t="s">
        <v>1039</v>
      </c>
      <c r="D6" s="9680" t="s">
        <v>10</v>
      </c>
      <c r="E6" s="9755" t="s">
        <v>11</v>
      </c>
      <c r="F6" s="9756" t="s">
        <v>11621</v>
      </c>
    </row>
    <row r="7" spans="1:6" ht="12.9" customHeight="1">
      <c r="A7" s="7231" t="s">
        <v>9</v>
      </c>
      <c r="B7" s="9666"/>
      <c r="C7" s="7174"/>
      <c r="D7" s="9665"/>
      <c r="E7" s="9665"/>
      <c r="F7" s="9729"/>
    </row>
    <row r="8" spans="1:6" ht="12.9" customHeight="1">
      <c r="A8" s="7231" t="s">
        <v>1139</v>
      </c>
      <c r="B8" s="7172"/>
      <c r="C8" s="7174"/>
      <c r="D8" s="9636"/>
      <c r="E8" s="9636"/>
      <c r="F8" s="10413"/>
    </row>
    <row r="9" spans="1:6" ht="12.9" customHeight="1">
      <c r="A9" s="6230" t="s">
        <v>1149</v>
      </c>
      <c r="B9" s="7172"/>
      <c r="C9" s="7174"/>
      <c r="D9" s="9636"/>
      <c r="E9" s="9636"/>
      <c r="F9" s="10413"/>
    </row>
    <row r="10" spans="1:6" ht="12.9" customHeight="1">
      <c r="A10" s="7231" t="s">
        <v>1310</v>
      </c>
      <c r="B10" s="7172"/>
      <c r="C10" s="7174"/>
      <c r="D10" s="9636"/>
      <c r="E10" s="9636"/>
      <c r="F10" s="10413"/>
    </row>
    <row r="11" spans="1:6" ht="12.9" customHeight="1">
      <c r="A11" s="7231"/>
      <c r="B11" s="7172"/>
      <c r="C11" s="7174"/>
      <c r="D11" s="9636"/>
      <c r="E11" s="9636"/>
      <c r="F11" s="10413"/>
    </row>
    <row r="12" spans="1:6" ht="12.9" customHeight="1">
      <c r="A12" s="6230" t="s">
        <v>1151</v>
      </c>
      <c r="B12" s="7172"/>
      <c r="C12" s="7174"/>
      <c r="D12" s="9636"/>
      <c r="E12" s="9636"/>
      <c r="F12" s="10413"/>
    </row>
    <row r="13" spans="1:6" ht="12.9" customHeight="1">
      <c r="A13" s="6230" t="s">
        <v>1109</v>
      </c>
      <c r="B13" s="7172"/>
      <c r="C13" s="7174"/>
      <c r="D13" s="9636"/>
      <c r="E13" s="9636"/>
      <c r="F13" s="10413"/>
    </row>
    <row r="14" spans="1:6" ht="12.9" customHeight="1">
      <c r="A14" s="7231" t="s">
        <v>9</v>
      </c>
      <c r="B14" s="7172" t="s">
        <v>9</v>
      </c>
      <c r="C14" s="7172" t="s">
        <v>9</v>
      </c>
      <c r="D14" s="9608" t="s">
        <v>9</v>
      </c>
      <c r="E14" s="9608"/>
      <c r="F14" s="9948"/>
    </row>
    <row r="15" spans="1:6" ht="12.9" customHeight="1">
      <c r="A15" s="6230" t="s">
        <v>1152</v>
      </c>
      <c r="B15" s="7172"/>
      <c r="C15" s="7172"/>
      <c r="D15" s="9608"/>
      <c r="E15" s="9608"/>
      <c r="F15" s="9948"/>
    </row>
    <row r="16" spans="1:6" ht="12.9" customHeight="1">
      <c r="A16" s="7231" t="s">
        <v>1399</v>
      </c>
      <c r="B16" s="9403">
        <v>2</v>
      </c>
      <c r="C16" s="9403">
        <v>23</v>
      </c>
      <c r="D16" s="9608">
        <v>0</v>
      </c>
      <c r="E16" s="9608">
        <v>0</v>
      </c>
      <c r="F16" s="9948">
        <f>885732+944988</f>
        <v>1830720</v>
      </c>
    </row>
    <row r="17" spans="1:8" ht="12.9" customHeight="1">
      <c r="A17" s="7231" t="s">
        <v>1343</v>
      </c>
      <c r="B17" s="7172">
        <v>1</v>
      </c>
      <c r="C17" s="7172">
        <v>21</v>
      </c>
      <c r="D17" s="9608">
        <v>1178256</v>
      </c>
      <c r="E17" s="9608">
        <v>1299384</v>
      </c>
      <c r="F17" s="9948">
        <v>716484</v>
      </c>
    </row>
    <row r="18" spans="1:8" ht="12.9" customHeight="1">
      <c r="A18" s="7231" t="s">
        <v>1348</v>
      </c>
      <c r="B18" s="7172">
        <v>1</v>
      </c>
      <c r="C18" s="7172">
        <v>15</v>
      </c>
      <c r="D18" s="9608">
        <v>358824</v>
      </c>
      <c r="E18" s="9608">
        <v>378540</v>
      </c>
      <c r="F18" s="9948">
        <v>399348</v>
      </c>
    </row>
    <row r="19" spans="1:8" ht="12.9" customHeight="1">
      <c r="A19" s="7231" t="s">
        <v>1346</v>
      </c>
      <c r="B19" s="7172">
        <v>1</v>
      </c>
      <c r="C19" s="7172">
        <v>15</v>
      </c>
      <c r="D19" s="9608">
        <v>358824</v>
      </c>
      <c r="E19" s="9608">
        <v>378540</v>
      </c>
      <c r="F19" s="9948">
        <v>399348</v>
      </c>
    </row>
    <row r="20" spans="1:8" ht="12.9" customHeight="1">
      <c r="A20" s="7231" t="s">
        <v>1347</v>
      </c>
      <c r="B20" s="7172">
        <v>2</v>
      </c>
      <c r="C20" s="7172">
        <v>11</v>
      </c>
      <c r="D20" s="9608">
        <v>490716</v>
      </c>
      <c r="E20" s="9608">
        <v>506328</v>
      </c>
      <c r="F20" s="9948">
        <v>522408</v>
      </c>
    </row>
    <row r="21" spans="1:8" ht="12.9" customHeight="1">
      <c r="A21" s="7231" t="s">
        <v>1327</v>
      </c>
      <c r="B21" s="9403">
        <v>1</v>
      </c>
      <c r="C21" s="9403">
        <v>11</v>
      </c>
      <c r="D21" s="9608">
        <v>0</v>
      </c>
      <c r="E21" s="9608">
        <v>0</v>
      </c>
      <c r="F21" s="9948">
        <v>249048</v>
      </c>
    </row>
    <row r="22" spans="1:8" ht="12.9" customHeight="1">
      <c r="A22" s="7231" t="s">
        <v>11628</v>
      </c>
      <c r="B22" s="9403">
        <v>1</v>
      </c>
      <c r="C22" s="9403">
        <v>6</v>
      </c>
      <c r="D22" s="9608">
        <v>0</v>
      </c>
      <c r="E22" s="9608">
        <v>0</v>
      </c>
      <c r="F22" s="9948">
        <v>178164</v>
      </c>
    </row>
    <row r="23" spans="1:8" ht="12.9" customHeight="1">
      <c r="A23" s="7231" t="s">
        <v>1384</v>
      </c>
      <c r="B23" s="7172">
        <v>3</v>
      </c>
      <c r="C23" s="7172">
        <v>4</v>
      </c>
      <c r="D23" s="9608">
        <v>444048</v>
      </c>
      <c r="E23" s="9608">
        <v>463824</v>
      </c>
      <c r="F23" s="9948">
        <v>484296</v>
      </c>
    </row>
    <row r="24" spans="1:8" ht="12.9" customHeight="1">
      <c r="A24" s="7231" t="s">
        <v>1359</v>
      </c>
      <c r="B24" s="7172">
        <v>1</v>
      </c>
      <c r="C24" s="7172">
        <v>4</v>
      </c>
      <c r="D24" s="9608">
        <v>155124</v>
      </c>
      <c r="E24" s="9608">
        <v>161088</v>
      </c>
      <c r="F24" s="9948">
        <v>167292</v>
      </c>
    </row>
    <row r="25" spans="1:8" ht="12.9" customHeight="1">
      <c r="A25" s="7231" t="s">
        <v>1360</v>
      </c>
      <c r="B25" s="7172">
        <v>1</v>
      </c>
      <c r="C25" s="7172">
        <v>3</v>
      </c>
      <c r="D25" s="9608"/>
      <c r="E25" s="9608">
        <v>142968</v>
      </c>
      <c r="F25" s="9948">
        <v>150744</v>
      </c>
    </row>
    <row r="26" spans="1:8" ht="12.9" customHeight="1">
      <c r="A26" s="7231" t="s">
        <v>168</v>
      </c>
      <c r="B26" s="7172"/>
      <c r="C26" s="7172"/>
      <c r="D26" s="9608"/>
      <c r="E26" s="9608"/>
      <c r="F26" s="9948"/>
    </row>
    <row r="27" spans="1:8" ht="12.9" customHeight="1">
      <c r="A27" s="6230" t="s">
        <v>1094</v>
      </c>
      <c r="B27" s="7172"/>
      <c r="C27" s="7172"/>
      <c r="D27" s="9608"/>
      <c r="E27" s="9608"/>
      <c r="F27" s="9948"/>
      <c r="G27" s="7001">
        <f>SUM(B16:B25)</f>
        <v>14</v>
      </c>
      <c r="H27" s="7164">
        <f>SUM(F16:F26)</f>
        <v>5097852</v>
      </c>
    </row>
    <row r="28" spans="1:8" ht="12.9" customHeight="1">
      <c r="A28" s="7231" t="s">
        <v>1172</v>
      </c>
      <c r="B28" s="9403">
        <v>1</v>
      </c>
      <c r="C28" s="9403">
        <v>10</v>
      </c>
      <c r="D28" s="9608">
        <v>0</v>
      </c>
      <c r="E28" s="9608">
        <v>0</v>
      </c>
      <c r="F28" s="9948">
        <v>230796</v>
      </c>
    </row>
    <row r="29" spans="1:8" ht="12.9" customHeight="1">
      <c r="A29" s="7231" t="s">
        <v>1381</v>
      </c>
      <c r="B29" s="7172">
        <v>1</v>
      </c>
      <c r="C29" s="7172">
        <v>9</v>
      </c>
      <c r="D29" s="9608">
        <v>217296</v>
      </c>
      <c r="E29" s="9608">
        <v>222900</v>
      </c>
      <c r="F29" s="9948">
        <v>228648</v>
      </c>
    </row>
    <row r="30" spans="1:8" ht="12.9" customHeight="1">
      <c r="A30" s="7231" t="s">
        <v>1155</v>
      </c>
      <c r="B30" s="7172">
        <v>0</v>
      </c>
      <c r="C30" s="7172">
        <v>4</v>
      </c>
      <c r="D30" s="9608">
        <v>147144</v>
      </c>
      <c r="E30" s="9608">
        <v>153336</v>
      </c>
      <c r="F30" s="9948">
        <v>0</v>
      </c>
    </row>
    <row r="31" spans="1:8" ht="12.9" customHeight="1" thickBot="1">
      <c r="A31" s="7231" t="s">
        <v>1175</v>
      </c>
      <c r="B31" s="7172">
        <v>1</v>
      </c>
      <c r="C31" s="7172">
        <v>1</v>
      </c>
      <c r="D31" s="9608">
        <v>119772</v>
      </c>
      <c r="E31" s="9608">
        <v>126120</v>
      </c>
      <c r="F31" s="9948">
        <v>133920</v>
      </c>
    </row>
    <row r="32" spans="1:8" ht="12.9" customHeight="1" thickBot="1">
      <c r="A32" s="9838" t="s">
        <v>1159</v>
      </c>
      <c r="B32" s="10845">
        <f>SUM(B11:B31)</f>
        <v>17</v>
      </c>
      <c r="C32" s="10421"/>
      <c r="D32" s="9840">
        <f>SUM(D14:D31)</f>
        <v>3470004</v>
      </c>
      <c r="E32" s="9840">
        <f>SUM(E14:E31)</f>
        <v>3833028</v>
      </c>
      <c r="F32" s="10786">
        <f>SUM(F14:F31)</f>
        <v>5691216</v>
      </c>
      <c r="G32" s="7001">
        <f>SUM(B28:B31)</f>
        <v>3</v>
      </c>
      <c r="H32" s="7164">
        <f>SUM(F28:F31)</f>
        <v>593364</v>
      </c>
    </row>
    <row r="33" spans="1:6" ht="12.9" customHeight="1">
      <c r="A33" s="7231"/>
      <c r="B33" s="7172"/>
      <c r="C33" s="7174"/>
      <c r="D33" s="9636"/>
      <c r="E33" s="9636"/>
      <c r="F33" s="10413"/>
    </row>
    <row r="34" spans="1:6" ht="12.9" customHeight="1">
      <c r="A34" s="7231" t="s">
        <v>1113</v>
      </c>
      <c r="B34" s="7168" t="s">
        <v>9</v>
      </c>
      <c r="C34" s="7174"/>
      <c r="D34" s="9636"/>
      <c r="E34" s="9636"/>
      <c r="F34" s="10413"/>
    </row>
    <row r="35" spans="1:6" ht="12.9" customHeight="1">
      <c r="A35" s="7231" t="s">
        <v>1389</v>
      </c>
      <c r="B35" s="7172">
        <v>0</v>
      </c>
      <c r="C35" s="7172">
        <v>23</v>
      </c>
      <c r="D35" s="9608">
        <v>699720</v>
      </c>
      <c r="E35" s="9608">
        <v>787248</v>
      </c>
      <c r="F35" s="9948">
        <v>0</v>
      </c>
    </row>
    <row r="36" spans="1:6" ht="12.9" customHeight="1">
      <c r="A36" s="7231" t="s">
        <v>1385</v>
      </c>
      <c r="B36" s="9403">
        <v>1</v>
      </c>
      <c r="C36" s="9403">
        <v>21</v>
      </c>
      <c r="D36" s="9608">
        <v>0</v>
      </c>
      <c r="E36" s="9608">
        <v>0</v>
      </c>
      <c r="F36" s="9948">
        <v>693660</v>
      </c>
    </row>
    <row r="37" spans="1:6" ht="12.9" customHeight="1">
      <c r="A37" s="7231" t="s">
        <v>11266</v>
      </c>
      <c r="B37" s="7172">
        <v>1</v>
      </c>
      <c r="C37" s="7172">
        <v>17</v>
      </c>
      <c r="D37" s="9608">
        <v>0</v>
      </c>
      <c r="E37" s="9608">
        <v>417372</v>
      </c>
      <c r="F37" s="9948">
        <v>443304</v>
      </c>
    </row>
    <row r="38" spans="1:6" ht="12.9" customHeight="1">
      <c r="A38" s="7231" t="s">
        <v>11265</v>
      </c>
      <c r="B38" s="7172"/>
      <c r="C38" s="7172">
        <v>14</v>
      </c>
      <c r="D38" s="9608">
        <v>0</v>
      </c>
      <c r="E38" s="9608">
        <v>317928</v>
      </c>
      <c r="F38" s="9948" t="s">
        <v>12022</v>
      </c>
    </row>
    <row r="39" spans="1:6" ht="12.9" customHeight="1">
      <c r="A39" s="7231" t="s">
        <v>12028</v>
      </c>
      <c r="B39" s="9403">
        <v>1</v>
      </c>
      <c r="C39" s="9403">
        <v>13</v>
      </c>
      <c r="D39" s="9608"/>
      <c r="E39" s="9608"/>
      <c r="F39" s="9948">
        <v>302784</v>
      </c>
    </row>
    <row r="40" spans="1:6" ht="12.9" customHeight="1">
      <c r="A40" s="7231" t="s">
        <v>10426</v>
      </c>
      <c r="B40" s="9403">
        <v>1</v>
      </c>
      <c r="C40" s="9403">
        <v>11</v>
      </c>
      <c r="D40" s="9608"/>
      <c r="E40" s="9608"/>
      <c r="F40" s="9948">
        <v>249048</v>
      </c>
    </row>
    <row r="41" spans="1:6" ht="12.9" customHeight="1">
      <c r="A41" s="7231" t="s">
        <v>10206</v>
      </c>
      <c r="B41" s="7172">
        <v>2</v>
      </c>
      <c r="C41" s="7172">
        <v>11</v>
      </c>
      <c r="D41" s="9608">
        <v>0</v>
      </c>
      <c r="E41" s="9608">
        <v>484296</v>
      </c>
      <c r="F41" s="9948">
        <v>498096</v>
      </c>
    </row>
    <row r="42" spans="1:6" ht="12.9" customHeight="1">
      <c r="A42" s="7231" t="s">
        <v>10704</v>
      </c>
      <c r="B42" s="7172">
        <v>0</v>
      </c>
      <c r="C42" s="7172">
        <v>11</v>
      </c>
      <c r="D42" s="9608">
        <v>235440</v>
      </c>
      <c r="E42" s="9608">
        <v>242148</v>
      </c>
      <c r="F42" s="9948">
        <v>0</v>
      </c>
    </row>
    <row r="43" spans="1:6" ht="12.9" customHeight="1">
      <c r="A43" s="7231" t="s">
        <v>10703</v>
      </c>
      <c r="B43" s="7172">
        <v>0</v>
      </c>
      <c r="C43" s="7172">
        <v>10</v>
      </c>
      <c r="D43" s="9608">
        <v>218604</v>
      </c>
      <c r="E43" s="9608">
        <v>224616</v>
      </c>
      <c r="F43" s="9948">
        <v>0</v>
      </c>
    </row>
    <row r="44" spans="1:6" ht="12.9" customHeight="1">
      <c r="A44" s="7231" t="s">
        <v>10705</v>
      </c>
      <c r="B44" s="7172">
        <v>0</v>
      </c>
      <c r="C44" s="7172">
        <v>6</v>
      </c>
      <c r="D44" s="9608">
        <v>166212</v>
      </c>
      <c r="E44" s="9608">
        <v>172080</v>
      </c>
      <c r="F44" s="9948">
        <v>0</v>
      </c>
    </row>
    <row r="45" spans="1:6" ht="12.9" customHeight="1">
      <c r="A45" s="7231" t="s">
        <v>1360</v>
      </c>
      <c r="B45" s="7172">
        <v>0</v>
      </c>
      <c r="C45" s="7172">
        <v>3</v>
      </c>
      <c r="D45" s="9608">
        <v>136644</v>
      </c>
      <c r="E45" s="9608">
        <v>0</v>
      </c>
      <c r="F45" s="9948">
        <v>0</v>
      </c>
    </row>
    <row r="46" spans="1:6" ht="12.9" customHeight="1">
      <c r="A46" s="7231" t="s">
        <v>1302</v>
      </c>
      <c r="B46" s="9403">
        <v>1</v>
      </c>
      <c r="C46" s="9403">
        <v>4</v>
      </c>
      <c r="D46" s="9608">
        <v>0</v>
      </c>
      <c r="E46" s="9608">
        <v>0</v>
      </c>
      <c r="F46" s="9948">
        <v>158568</v>
      </c>
    </row>
    <row r="47" spans="1:6" ht="12.9" customHeight="1">
      <c r="A47" s="7231" t="s">
        <v>1175</v>
      </c>
      <c r="B47" s="7172">
        <v>1</v>
      </c>
      <c r="C47" s="7172">
        <v>1</v>
      </c>
      <c r="D47" s="9608">
        <v>119772</v>
      </c>
      <c r="E47" s="9608">
        <v>126120</v>
      </c>
      <c r="F47" s="9948">
        <v>132816</v>
      </c>
    </row>
    <row r="48" spans="1:6" s="7165" customFormat="1" ht="12.9" customHeight="1">
      <c r="A48" s="7207" t="s">
        <v>1386</v>
      </c>
      <c r="B48" s="9836">
        <f>SUM(B35:B47)</f>
        <v>8</v>
      </c>
      <c r="C48" s="9837"/>
      <c r="D48" s="9619">
        <v>232812</v>
      </c>
      <c r="E48" s="9619">
        <f>SUM(E35:E47)</f>
        <v>2771808</v>
      </c>
      <c r="F48" s="7221">
        <f>SUM(F35:F47)</f>
        <v>2478276</v>
      </c>
    </row>
    <row r="49" spans="1:6" ht="8.4" customHeight="1" thickBot="1">
      <c r="A49" s="7235"/>
      <c r="B49" s="9645"/>
      <c r="C49" s="9645"/>
      <c r="D49" s="9758"/>
      <c r="E49" s="9758"/>
      <c r="F49" s="9759"/>
    </row>
    <row r="50" spans="1:6" ht="12.9" customHeight="1" thickBot="1">
      <c r="A50" s="9838" t="s">
        <v>1101</v>
      </c>
      <c r="B50" s="10845">
        <f>SUM(B32+B48)</f>
        <v>25</v>
      </c>
      <c r="C50" s="9839"/>
      <c r="D50" s="9840">
        <f>SUM(D32,D48)</f>
        <v>3702816</v>
      </c>
      <c r="E50" s="9840">
        <f>SUM(E32,E48)</f>
        <v>6604836</v>
      </c>
      <c r="F50" s="10786">
        <f>SUM(F32,F48)</f>
        <v>8169492</v>
      </c>
    </row>
    <row r="51" spans="1:6" ht="7.5" customHeight="1">
      <c r="A51" s="7231"/>
      <c r="B51" s="7172"/>
      <c r="C51" s="7172"/>
      <c r="D51" s="9636"/>
      <c r="E51" s="9636"/>
      <c r="F51" s="10413"/>
    </row>
    <row r="52" spans="1:6" ht="12.9" customHeight="1">
      <c r="A52" s="7231" t="s">
        <v>1075</v>
      </c>
      <c r="B52" s="7172"/>
      <c r="C52" s="7172"/>
      <c r="D52" s="9636"/>
      <c r="E52" s="9636"/>
      <c r="F52" s="10413"/>
    </row>
    <row r="53" spans="1:6" ht="12.9" customHeight="1">
      <c r="A53" s="7231" t="s">
        <v>1102</v>
      </c>
      <c r="B53" s="7172"/>
      <c r="C53" s="7174"/>
      <c r="D53" s="9636"/>
      <c r="E53" s="9636"/>
      <c r="F53" s="10413"/>
    </row>
    <row r="54" spans="1:6" ht="12.9" customHeight="1">
      <c r="A54" s="7231" t="s">
        <v>1103</v>
      </c>
      <c r="B54" s="7172">
        <v>2</v>
      </c>
      <c r="C54" s="7174"/>
      <c r="D54" s="9636"/>
      <c r="E54" s="9636"/>
      <c r="F54" s="10413"/>
    </row>
    <row r="55" spans="1:6" ht="12.9" customHeight="1">
      <c r="A55" s="7231" t="s">
        <v>1078</v>
      </c>
      <c r="B55" s="7172">
        <v>1</v>
      </c>
      <c r="C55" s="7174"/>
      <c r="D55" s="9636"/>
      <c r="E55" s="9636"/>
      <c r="F55" s="10413"/>
    </row>
    <row r="56" spans="1:6" ht="12.9" customHeight="1">
      <c r="A56" s="7207" t="s">
        <v>10707</v>
      </c>
      <c r="B56" s="7172">
        <v>1</v>
      </c>
      <c r="C56" s="7174"/>
      <c r="D56" s="9636"/>
      <c r="E56" s="9636"/>
      <c r="F56" s="10413"/>
    </row>
    <row r="57" spans="1:6" ht="8.1" customHeight="1">
      <c r="A57" s="7231" t="s">
        <v>168</v>
      </c>
      <c r="B57" s="7172"/>
      <c r="C57" s="7174"/>
      <c r="D57" s="9636"/>
      <c r="E57" s="9636"/>
      <c r="F57" s="10413"/>
    </row>
    <row r="58" spans="1:6" ht="12.9" customHeight="1">
      <c r="A58" s="7231" t="s">
        <v>1080</v>
      </c>
      <c r="B58" s="7172"/>
      <c r="C58" s="7174"/>
      <c r="D58" s="9636"/>
      <c r="E58" s="9636"/>
      <c r="F58" s="10413"/>
    </row>
    <row r="59" spans="1:6" ht="12.9" customHeight="1">
      <c r="A59" s="7231" t="s">
        <v>1104</v>
      </c>
      <c r="B59" s="7172"/>
      <c r="C59" s="7174"/>
      <c r="D59" s="9636"/>
      <c r="E59" s="9636"/>
      <c r="F59" s="10413"/>
    </row>
    <row r="60" spans="1:6" ht="12.9" customHeight="1">
      <c r="A60" s="7231" t="s">
        <v>1105</v>
      </c>
      <c r="B60" s="7172"/>
      <c r="C60" s="7174"/>
      <c r="D60" s="9636"/>
      <c r="E60" s="9636"/>
      <c r="F60" s="10413"/>
    </row>
    <row r="61" spans="1:6" ht="6.9" customHeight="1">
      <c r="A61" s="9767"/>
      <c r="B61" s="9683"/>
      <c r="C61" s="7189"/>
      <c r="D61" s="10426"/>
      <c r="E61" s="10426"/>
      <c r="F61" s="9778"/>
    </row>
    <row r="62" spans="1:6" ht="12.9" customHeight="1">
      <c r="A62" s="7238" t="s">
        <v>1083</v>
      </c>
      <c r="B62" s="9653"/>
      <c r="C62" s="9676"/>
      <c r="D62" s="9676"/>
      <c r="E62" s="9676"/>
      <c r="F62" s="9744"/>
    </row>
    <row r="63" spans="1:6" ht="9" customHeight="1">
      <c r="A63" s="9782"/>
      <c r="B63" s="9768"/>
      <c r="C63" s="9780"/>
      <c r="D63" s="10424"/>
      <c r="E63" s="10424"/>
      <c r="F63" s="10425"/>
    </row>
    <row r="64" spans="1:6" ht="12.9" customHeight="1">
      <c r="A64" s="7231" t="s">
        <v>1106</v>
      </c>
      <c r="B64" s="7172"/>
      <c r="C64" s="7174"/>
      <c r="D64" s="9636"/>
      <c r="E64" s="9636"/>
      <c r="F64" s="10413"/>
    </row>
    <row r="65" spans="1:6" ht="8.1" customHeight="1" thickBot="1">
      <c r="A65" s="7231"/>
      <c r="B65" s="8414"/>
      <c r="C65" s="10751"/>
      <c r="D65" s="10751"/>
      <c r="E65" s="10751"/>
      <c r="F65" s="7242"/>
    </row>
    <row r="66" spans="1:6" ht="8.4" customHeight="1">
      <c r="A66" s="7248"/>
      <c r="B66" s="9666"/>
      <c r="C66" s="9665"/>
      <c r="D66" s="9665"/>
      <c r="E66" s="9665"/>
      <c r="F66" s="9729"/>
    </row>
    <row r="67" spans="1:6" ht="12.9" customHeight="1">
      <c r="A67" s="6230" t="s">
        <v>1086</v>
      </c>
      <c r="B67" s="8414"/>
      <c r="C67" s="10751"/>
      <c r="D67" s="10751"/>
      <c r="E67" s="10751"/>
      <c r="F67" s="7242"/>
    </row>
    <row r="68" spans="1:6" ht="6.9" customHeight="1" thickBot="1">
      <c r="A68" s="7235"/>
      <c r="B68" s="9645"/>
      <c r="C68" s="9758"/>
      <c r="D68" s="9758"/>
      <c r="E68" s="9758"/>
      <c r="F68" s="9759"/>
    </row>
    <row r="69" spans="1:6" ht="12.9" customHeight="1">
      <c r="A69" s="6330"/>
      <c r="B69" s="6231"/>
      <c r="C69" s="6330"/>
      <c r="D69" s="6330"/>
      <c r="E69" s="6330"/>
      <c r="F69" s="6330"/>
    </row>
    <row r="70" spans="1:6" ht="12.9" customHeight="1">
      <c r="A70" s="6330"/>
      <c r="B70" s="6231"/>
      <c r="C70" s="6330"/>
      <c r="D70" s="6330"/>
      <c r="E70" s="6330"/>
      <c r="F70" s="6330"/>
    </row>
    <row r="71" spans="1:6" ht="12.9" customHeight="1">
      <c r="A71" s="6330"/>
      <c r="B71" s="6231"/>
      <c r="C71" s="6330"/>
      <c r="D71" s="6330"/>
      <c r="E71" s="6330"/>
      <c r="F71" s="6330"/>
    </row>
    <row r="72" spans="1:6" ht="12.9" customHeight="1">
      <c r="A72" s="6330"/>
      <c r="B72" s="6231"/>
      <c r="C72" s="6330"/>
      <c r="D72" s="6330"/>
      <c r="E72" s="6330"/>
      <c r="F72" s="6330"/>
    </row>
    <row r="73" spans="1:6" ht="12.9" customHeight="1">
      <c r="A73" s="6330"/>
      <c r="B73" s="6231"/>
      <c r="C73" s="6330"/>
      <c r="D73" s="6330"/>
      <c r="E73" s="6330"/>
      <c r="F73" s="6330"/>
    </row>
    <row r="74" spans="1:6" ht="12.9" customHeight="1">
      <c r="A74" s="6330"/>
      <c r="B74" s="6231"/>
      <c r="C74" s="6330"/>
      <c r="D74" s="6330"/>
      <c r="E74" s="6330"/>
      <c r="F74" s="6330"/>
    </row>
    <row r="75" spans="1:6" ht="12.9" customHeight="1">
      <c r="A75" s="6330"/>
      <c r="B75" s="6231"/>
      <c r="C75" s="6330"/>
      <c r="D75" s="6330"/>
      <c r="E75" s="6330"/>
      <c r="F75" s="6330"/>
    </row>
    <row r="76" spans="1:6" ht="12.9" customHeight="1">
      <c r="A76" s="6330"/>
      <c r="B76" s="6231"/>
      <c r="C76" s="6330"/>
      <c r="D76" s="6330"/>
      <c r="E76" s="6330"/>
      <c r="F76" s="6330"/>
    </row>
    <row r="77" spans="1:6" ht="12.9" customHeight="1">
      <c r="A77" s="6330"/>
      <c r="B77" s="6231"/>
      <c r="C77" s="6330"/>
      <c r="D77" s="6330"/>
      <c r="E77" s="6330"/>
      <c r="F77" s="6330"/>
    </row>
    <row r="78" spans="1:6" ht="12.9" customHeight="1">
      <c r="A78" s="6330"/>
      <c r="B78" s="6231"/>
      <c r="C78" s="6330"/>
      <c r="D78" s="6330"/>
      <c r="E78" s="6330"/>
      <c r="F78" s="6330"/>
    </row>
    <row r="79" spans="1:6" ht="12.9" customHeight="1">
      <c r="A79" s="6330"/>
      <c r="B79" s="6231"/>
      <c r="C79" s="6330"/>
      <c r="D79" s="6330"/>
      <c r="E79" s="6330"/>
      <c r="F79" s="6330"/>
    </row>
    <row r="80" spans="1:6" ht="12.9" customHeight="1">
      <c r="A80" s="6330"/>
      <c r="B80" s="6231"/>
      <c r="C80" s="6330"/>
      <c r="D80" s="6330"/>
      <c r="E80" s="6330"/>
      <c r="F80" s="6330"/>
    </row>
  </sheetData>
  <mergeCells count="2">
    <mergeCell ref="D5:F5"/>
    <mergeCell ref="A1:F1"/>
  </mergeCells>
  <pageMargins left="0.25" right="0.25" top="0.5" bottom="0.5" header="0.3" footer="0.3"/>
  <pageSetup paperSize="119" firstPageNumber="315" orientation="portrait" useFirstPageNumber="1" r:id="rId1"/>
  <headerFooter alignWithMargins="0"/>
</worksheet>
</file>

<file path=xl/worksheets/sheet148.xml><?xml version="1.0" encoding="utf-8"?>
<worksheet xmlns="http://schemas.openxmlformats.org/spreadsheetml/2006/main" xmlns:r="http://schemas.openxmlformats.org/officeDocument/2006/relationships">
  <sheetPr codeName="Sheet108">
    <tabColor rgb="FFFFFF00"/>
  </sheetPr>
  <dimension ref="A1:G106"/>
  <sheetViews>
    <sheetView showGridLines="0" workbookViewId="0">
      <selection activeCell="E100" sqref="E100:E102"/>
    </sheetView>
  </sheetViews>
  <sheetFormatPr defaultRowHeight="13.2"/>
  <cols>
    <col min="1" max="1" width="5.109375" style="438" customWidth="1"/>
    <col min="2" max="2" width="39" style="454" customWidth="1"/>
    <col min="3" max="3" width="13.44140625" style="455" customWidth="1"/>
    <col min="4" max="4" width="14.88671875" style="454" customWidth="1"/>
    <col min="5" max="5" width="12.109375" style="438" customWidth="1"/>
    <col min="6" max="7" width="6.88671875" style="438" customWidth="1"/>
    <col min="8" max="256" width="9.109375" style="438"/>
    <col min="257" max="257" width="5.109375" style="438" customWidth="1"/>
    <col min="258" max="258" width="42" style="438" customWidth="1"/>
    <col min="259" max="259" width="16.109375" style="438" customWidth="1"/>
    <col min="260" max="260" width="14.88671875" style="438" customWidth="1"/>
    <col min="261" max="261" width="10.109375" style="438" customWidth="1"/>
    <col min="262" max="262" width="6.109375" style="438" customWidth="1"/>
    <col min="263" max="263" width="6.44140625" style="438" customWidth="1"/>
    <col min="264" max="512" width="9.109375" style="438"/>
    <col min="513" max="513" width="5.109375" style="438" customWidth="1"/>
    <col min="514" max="514" width="42" style="438" customWidth="1"/>
    <col min="515" max="515" width="16.109375" style="438" customWidth="1"/>
    <col min="516" max="516" width="14.88671875" style="438" customWidth="1"/>
    <col min="517" max="517" width="10.109375" style="438" customWidth="1"/>
    <col min="518" max="518" width="6.109375" style="438" customWidth="1"/>
    <col min="519" max="519" width="6.44140625" style="438" customWidth="1"/>
    <col min="520" max="768" width="9.109375" style="438"/>
    <col min="769" max="769" width="5.109375" style="438" customWidth="1"/>
    <col min="770" max="770" width="42" style="438" customWidth="1"/>
    <col min="771" max="771" width="16.109375" style="438" customWidth="1"/>
    <col min="772" max="772" width="14.88671875" style="438" customWidth="1"/>
    <col min="773" max="773" width="10.109375" style="438" customWidth="1"/>
    <col min="774" max="774" width="6.109375" style="438" customWidth="1"/>
    <col min="775" max="775" width="6.44140625" style="438" customWidth="1"/>
    <col min="776" max="1024" width="9.109375" style="438"/>
    <col min="1025" max="1025" width="5.109375" style="438" customWidth="1"/>
    <col min="1026" max="1026" width="42" style="438" customWidth="1"/>
    <col min="1027" max="1027" width="16.109375" style="438" customWidth="1"/>
    <col min="1028" max="1028" width="14.88671875" style="438" customWidth="1"/>
    <col min="1029" max="1029" width="10.109375" style="438" customWidth="1"/>
    <col min="1030" max="1030" width="6.109375" style="438" customWidth="1"/>
    <col min="1031" max="1031" width="6.44140625" style="438" customWidth="1"/>
    <col min="1032" max="1280" width="9.109375" style="438"/>
    <col min="1281" max="1281" width="5.109375" style="438" customWidth="1"/>
    <col min="1282" max="1282" width="42" style="438" customWidth="1"/>
    <col min="1283" max="1283" width="16.109375" style="438" customWidth="1"/>
    <col min="1284" max="1284" width="14.88671875" style="438" customWidth="1"/>
    <col min="1285" max="1285" width="10.109375" style="438" customWidth="1"/>
    <col min="1286" max="1286" width="6.109375" style="438" customWidth="1"/>
    <col min="1287" max="1287" width="6.44140625" style="438" customWidth="1"/>
    <col min="1288" max="1536" width="9.109375" style="438"/>
    <col min="1537" max="1537" width="5.109375" style="438" customWidth="1"/>
    <col min="1538" max="1538" width="42" style="438" customWidth="1"/>
    <col min="1539" max="1539" width="16.109375" style="438" customWidth="1"/>
    <col min="1540" max="1540" width="14.88671875" style="438" customWidth="1"/>
    <col min="1541" max="1541" width="10.109375" style="438" customWidth="1"/>
    <col min="1542" max="1542" width="6.109375" style="438" customWidth="1"/>
    <col min="1543" max="1543" width="6.44140625" style="438" customWidth="1"/>
    <col min="1544" max="1792" width="9.109375" style="438"/>
    <col min="1793" max="1793" width="5.109375" style="438" customWidth="1"/>
    <col min="1794" max="1794" width="42" style="438" customWidth="1"/>
    <col min="1795" max="1795" width="16.109375" style="438" customWidth="1"/>
    <col min="1796" max="1796" width="14.88671875" style="438" customWidth="1"/>
    <col min="1797" max="1797" width="10.109375" style="438" customWidth="1"/>
    <col min="1798" max="1798" width="6.109375" style="438" customWidth="1"/>
    <col min="1799" max="1799" width="6.44140625" style="438" customWidth="1"/>
    <col min="1800" max="2048" width="9.109375" style="438"/>
    <col min="2049" max="2049" width="5.109375" style="438" customWidth="1"/>
    <col min="2050" max="2050" width="42" style="438" customWidth="1"/>
    <col min="2051" max="2051" width="16.109375" style="438" customWidth="1"/>
    <col min="2052" max="2052" width="14.88671875" style="438" customWidth="1"/>
    <col min="2053" max="2053" width="10.109375" style="438" customWidth="1"/>
    <col min="2054" max="2054" width="6.109375" style="438" customWidth="1"/>
    <col min="2055" max="2055" width="6.44140625" style="438" customWidth="1"/>
    <col min="2056" max="2304" width="9.109375" style="438"/>
    <col min="2305" max="2305" width="5.109375" style="438" customWidth="1"/>
    <col min="2306" max="2306" width="42" style="438" customWidth="1"/>
    <col min="2307" max="2307" width="16.109375" style="438" customWidth="1"/>
    <col min="2308" max="2308" width="14.88671875" style="438" customWidth="1"/>
    <col min="2309" max="2309" width="10.109375" style="438" customWidth="1"/>
    <col min="2310" max="2310" width="6.109375" style="438" customWidth="1"/>
    <col min="2311" max="2311" width="6.44140625" style="438" customWidth="1"/>
    <col min="2312" max="2560" width="9.109375" style="438"/>
    <col min="2561" max="2561" width="5.109375" style="438" customWidth="1"/>
    <col min="2562" max="2562" width="42" style="438" customWidth="1"/>
    <col min="2563" max="2563" width="16.109375" style="438" customWidth="1"/>
    <col min="2564" max="2564" width="14.88671875" style="438" customWidth="1"/>
    <col min="2565" max="2565" width="10.109375" style="438" customWidth="1"/>
    <col min="2566" max="2566" width="6.109375" style="438" customWidth="1"/>
    <col min="2567" max="2567" width="6.44140625" style="438" customWidth="1"/>
    <col min="2568" max="2816" width="9.109375" style="438"/>
    <col min="2817" max="2817" width="5.109375" style="438" customWidth="1"/>
    <col min="2818" max="2818" width="42" style="438" customWidth="1"/>
    <col min="2819" max="2819" width="16.109375" style="438" customWidth="1"/>
    <col min="2820" max="2820" width="14.88671875" style="438" customWidth="1"/>
    <col min="2821" max="2821" width="10.109375" style="438" customWidth="1"/>
    <col min="2822" max="2822" width="6.109375" style="438" customWidth="1"/>
    <col min="2823" max="2823" width="6.44140625" style="438" customWidth="1"/>
    <col min="2824" max="3072" width="9.109375" style="438"/>
    <col min="3073" max="3073" width="5.109375" style="438" customWidth="1"/>
    <col min="3074" max="3074" width="42" style="438" customWidth="1"/>
    <col min="3075" max="3075" width="16.109375" style="438" customWidth="1"/>
    <col min="3076" max="3076" width="14.88671875" style="438" customWidth="1"/>
    <col min="3077" max="3077" width="10.109375" style="438" customWidth="1"/>
    <col min="3078" max="3078" width="6.109375" style="438" customWidth="1"/>
    <col min="3079" max="3079" width="6.44140625" style="438" customWidth="1"/>
    <col min="3080" max="3328" width="9.109375" style="438"/>
    <col min="3329" max="3329" width="5.109375" style="438" customWidth="1"/>
    <col min="3330" max="3330" width="42" style="438" customWidth="1"/>
    <col min="3331" max="3331" width="16.109375" style="438" customWidth="1"/>
    <col min="3332" max="3332" width="14.88671875" style="438" customWidth="1"/>
    <col min="3333" max="3333" width="10.109375" style="438" customWidth="1"/>
    <col min="3334" max="3334" width="6.109375" style="438" customWidth="1"/>
    <col min="3335" max="3335" width="6.44140625" style="438" customWidth="1"/>
    <col min="3336" max="3584" width="9.109375" style="438"/>
    <col min="3585" max="3585" width="5.109375" style="438" customWidth="1"/>
    <col min="3586" max="3586" width="42" style="438" customWidth="1"/>
    <col min="3587" max="3587" width="16.109375" style="438" customWidth="1"/>
    <col min="3588" max="3588" width="14.88671875" style="438" customWidth="1"/>
    <col min="3589" max="3589" width="10.109375" style="438" customWidth="1"/>
    <col min="3590" max="3590" width="6.109375" style="438" customWidth="1"/>
    <col min="3591" max="3591" width="6.44140625" style="438" customWidth="1"/>
    <col min="3592" max="3840" width="9.109375" style="438"/>
    <col min="3841" max="3841" width="5.109375" style="438" customWidth="1"/>
    <col min="3842" max="3842" width="42" style="438" customWidth="1"/>
    <col min="3843" max="3843" width="16.109375" style="438" customWidth="1"/>
    <col min="3844" max="3844" width="14.88671875" style="438" customWidth="1"/>
    <col min="3845" max="3845" width="10.109375" style="438" customWidth="1"/>
    <col min="3846" max="3846" width="6.109375" style="438" customWidth="1"/>
    <col min="3847" max="3847" width="6.44140625" style="438" customWidth="1"/>
    <col min="3848" max="4096" width="9.109375" style="438"/>
    <col min="4097" max="4097" width="5.109375" style="438" customWidth="1"/>
    <col min="4098" max="4098" width="42" style="438" customWidth="1"/>
    <col min="4099" max="4099" width="16.109375" style="438" customWidth="1"/>
    <col min="4100" max="4100" width="14.88671875" style="438" customWidth="1"/>
    <col min="4101" max="4101" width="10.109375" style="438" customWidth="1"/>
    <col min="4102" max="4102" width="6.109375" style="438" customWidth="1"/>
    <col min="4103" max="4103" width="6.44140625" style="438" customWidth="1"/>
    <col min="4104" max="4352" width="9.109375" style="438"/>
    <col min="4353" max="4353" width="5.109375" style="438" customWidth="1"/>
    <col min="4354" max="4354" width="42" style="438" customWidth="1"/>
    <col min="4355" max="4355" width="16.109375" style="438" customWidth="1"/>
    <col min="4356" max="4356" width="14.88671875" style="438" customWidth="1"/>
    <col min="4357" max="4357" width="10.109375" style="438" customWidth="1"/>
    <col min="4358" max="4358" width="6.109375" style="438" customWidth="1"/>
    <col min="4359" max="4359" width="6.44140625" style="438" customWidth="1"/>
    <col min="4360" max="4608" width="9.109375" style="438"/>
    <col min="4609" max="4609" width="5.109375" style="438" customWidth="1"/>
    <col min="4610" max="4610" width="42" style="438" customWidth="1"/>
    <col min="4611" max="4611" width="16.109375" style="438" customWidth="1"/>
    <col min="4612" max="4612" width="14.88671875" style="438" customWidth="1"/>
    <col min="4613" max="4613" width="10.109375" style="438" customWidth="1"/>
    <col min="4614" max="4614" width="6.109375" style="438" customWidth="1"/>
    <col min="4615" max="4615" width="6.44140625" style="438" customWidth="1"/>
    <col min="4616" max="4864" width="9.109375" style="438"/>
    <col min="4865" max="4865" width="5.109375" style="438" customWidth="1"/>
    <col min="4866" max="4866" width="42" style="438" customWidth="1"/>
    <col min="4867" max="4867" width="16.109375" style="438" customWidth="1"/>
    <col min="4868" max="4868" width="14.88671875" style="438" customWidth="1"/>
    <col min="4869" max="4869" width="10.109375" style="438" customWidth="1"/>
    <col min="4870" max="4870" width="6.109375" style="438" customWidth="1"/>
    <col min="4871" max="4871" width="6.44140625" style="438" customWidth="1"/>
    <col min="4872" max="5120" width="9.109375" style="438"/>
    <col min="5121" max="5121" width="5.109375" style="438" customWidth="1"/>
    <col min="5122" max="5122" width="42" style="438" customWidth="1"/>
    <col min="5123" max="5123" width="16.109375" style="438" customWidth="1"/>
    <col min="5124" max="5124" width="14.88671875" style="438" customWidth="1"/>
    <col min="5125" max="5125" width="10.109375" style="438" customWidth="1"/>
    <col min="5126" max="5126" width="6.109375" style="438" customWidth="1"/>
    <col min="5127" max="5127" width="6.44140625" style="438" customWidth="1"/>
    <col min="5128" max="5376" width="9.109375" style="438"/>
    <col min="5377" max="5377" width="5.109375" style="438" customWidth="1"/>
    <col min="5378" max="5378" width="42" style="438" customWidth="1"/>
    <col min="5379" max="5379" width="16.109375" style="438" customWidth="1"/>
    <col min="5380" max="5380" width="14.88671875" style="438" customWidth="1"/>
    <col min="5381" max="5381" width="10.109375" style="438" customWidth="1"/>
    <col min="5382" max="5382" width="6.109375" style="438" customWidth="1"/>
    <col min="5383" max="5383" width="6.44140625" style="438" customWidth="1"/>
    <col min="5384" max="5632" width="9.109375" style="438"/>
    <col min="5633" max="5633" width="5.109375" style="438" customWidth="1"/>
    <col min="5634" max="5634" width="42" style="438" customWidth="1"/>
    <col min="5635" max="5635" width="16.109375" style="438" customWidth="1"/>
    <col min="5636" max="5636" width="14.88671875" style="438" customWidth="1"/>
    <col min="5637" max="5637" width="10.109375" style="438" customWidth="1"/>
    <col min="5638" max="5638" width="6.109375" style="438" customWidth="1"/>
    <col min="5639" max="5639" width="6.44140625" style="438" customWidth="1"/>
    <col min="5640" max="5888" width="9.109375" style="438"/>
    <col min="5889" max="5889" width="5.109375" style="438" customWidth="1"/>
    <col min="5890" max="5890" width="42" style="438" customWidth="1"/>
    <col min="5891" max="5891" width="16.109375" style="438" customWidth="1"/>
    <col min="5892" max="5892" width="14.88671875" style="438" customWidth="1"/>
    <col min="5893" max="5893" width="10.109375" style="438" customWidth="1"/>
    <col min="5894" max="5894" width="6.109375" style="438" customWidth="1"/>
    <col min="5895" max="5895" width="6.44140625" style="438" customWidth="1"/>
    <col min="5896" max="6144" width="9.109375" style="438"/>
    <col min="6145" max="6145" width="5.109375" style="438" customWidth="1"/>
    <col min="6146" max="6146" width="42" style="438" customWidth="1"/>
    <col min="6147" max="6147" width="16.109375" style="438" customWidth="1"/>
    <col min="6148" max="6148" width="14.88671875" style="438" customWidth="1"/>
    <col min="6149" max="6149" width="10.109375" style="438" customWidth="1"/>
    <col min="6150" max="6150" width="6.109375" style="438" customWidth="1"/>
    <col min="6151" max="6151" width="6.44140625" style="438" customWidth="1"/>
    <col min="6152" max="6400" width="9.109375" style="438"/>
    <col min="6401" max="6401" width="5.109375" style="438" customWidth="1"/>
    <col min="6402" max="6402" width="42" style="438" customWidth="1"/>
    <col min="6403" max="6403" width="16.109375" style="438" customWidth="1"/>
    <col min="6404" max="6404" width="14.88671875" style="438" customWidth="1"/>
    <col min="6405" max="6405" width="10.109375" style="438" customWidth="1"/>
    <col min="6406" max="6406" width="6.109375" style="438" customWidth="1"/>
    <col min="6407" max="6407" width="6.44140625" style="438" customWidth="1"/>
    <col min="6408" max="6656" width="9.109375" style="438"/>
    <col min="6657" max="6657" width="5.109375" style="438" customWidth="1"/>
    <col min="6658" max="6658" width="42" style="438" customWidth="1"/>
    <col min="6659" max="6659" width="16.109375" style="438" customWidth="1"/>
    <col min="6660" max="6660" width="14.88671875" style="438" customWidth="1"/>
    <col min="6661" max="6661" width="10.109375" style="438" customWidth="1"/>
    <col min="6662" max="6662" width="6.109375" style="438" customWidth="1"/>
    <col min="6663" max="6663" width="6.44140625" style="438" customWidth="1"/>
    <col min="6664" max="6912" width="9.109375" style="438"/>
    <col min="6913" max="6913" width="5.109375" style="438" customWidth="1"/>
    <col min="6914" max="6914" width="42" style="438" customWidth="1"/>
    <col min="6915" max="6915" width="16.109375" style="438" customWidth="1"/>
    <col min="6916" max="6916" width="14.88671875" style="438" customWidth="1"/>
    <col min="6917" max="6917" width="10.109375" style="438" customWidth="1"/>
    <col min="6918" max="6918" width="6.109375" style="438" customWidth="1"/>
    <col min="6919" max="6919" width="6.44140625" style="438" customWidth="1"/>
    <col min="6920" max="7168" width="9.109375" style="438"/>
    <col min="7169" max="7169" width="5.109375" style="438" customWidth="1"/>
    <col min="7170" max="7170" width="42" style="438" customWidth="1"/>
    <col min="7171" max="7171" width="16.109375" style="438" customWidth="1"/>
    <col min="7172" max="7172" width="14.88671875" style="438" customWidth="1"/>
    <col min="7173" max="7173" width="10.109375" style="438" customWidth="1"/>
    <col min="7174" max="7174" width="6.109375" style="438" customWidth="1"/>
    <col min="7175" max="7175" width="6.44140625" style="438" customWidth="1"/>
    <col min="7176" max="7424" width="9.109375" style="438"/>
    <col min="7425" max="7425" width="5.109375" style="438" customWidth="1"/>
    <col min="7426" max="7426" width="42" style="438" customWidth="1"/>
    <col min="7427" max="7427" width="16.109375" style="438" customWidth="1"/>
    <col min="7428" max="7428" width="14.88671875" style="438" customWidth="1"/>
    <col min="7429" max="7429" width="10.109375" style="438" customWidth="1"/>
    <col min="7430" max="7430" width="6.109375" style="438" customWidth="1"/>
    <col min="7431" max="7431" width="6.44140625" style="438" customWidth="1"/>
    <col min="7432" max="7680" width="9.109375" style="438"/>
    <col min="7681" max="7681" width="5.109375" style="438" customWidth="1"/>
    <col min="7682" max="7682" width="42" style="438" customWidth="1"/>
    <col min="7683" max="7683" width="16.109375" style="438" customWidth="1"/>
    <col min="7684" max="7684" width="14.88671875" style="438" customWidth="1"/>
    <col min="7685" max="7685" width="10.109375" style="438" customWidth="1"/>
    <col min="7686" max="7686" width="6.109375" style="438" customWidth="1"/>
    <col min="7687" max="7687" width="6.44140625" style="438" customWidth="1"/>
    <col min="7688" max="7936" width="9.109375" style="438"/>
    <col min="7937" max="7937" width="5.109375" style="438" customWidth="1"/>
    <col min="7938" max="7938" width="42" style="438" customWidth="1"/>
    <col min="7939" max="7939" width="16.109375" style="438" customWidth="1"/>
    <col min="7940" max="7940" width="14.88671875" style="438" customWidth="1"/>
    <col min="7941" max="7941" width="10.109375" style="438" customWidth="1"/>
    <col min="7942" max="7942" width="6.109375" style="438" customWidth="1"/>
    <col min="7943" max="7943" width="6.44140625" style="438" customWidth="1"/>
    <col min="7944" max="8192" width="9.109375" style="438"/>
    <col min="8193" max="8193" width="5.109375" style="438" customWidth="1"/>
    <col min="8194" max="8194" width="42" style="438" customWidth="1"/>
    <col min="8195" max="8195" width="16.109375" style="438" customWidth="1"/>
    <col min="8196" max="8196" width="14.88671875" style="438" customWidth="1"/>
    <col min="8197" max="8197" width="10.109375" style="438" customWidth="1"/>
    <col min="8198" max="8198" width="6.109375" style="438" customWidth="1"/>
    <col min="8199" max="8199" width="6.44140625" style="438" customWidth="1"/>
    <col min="8200" max="8448" width="9.109375" style="438"/>
    <col min="8449" max="8449" width="5.109375" style="438" customWidth="1"/>
    <col min="8450" max="8450" width="42" style="438" customWidth="1"/>
    <col min="8451" max="8451" width="16.109375" style="438" customWidth="1"/>
    <col min="8452" max="8452" width="14.88671875" style="438" customWidth="1"/>
    <col min="8453" max="8453" width="10.109375" style="438" customWidth="1"/>
    <col min="8454" max="8454" width="6.109375" style="438" customWidth="1"/>
    <col min="8455" max="8455" width="6.44140625" style="438" customWidth="1"/>
    <col min="8456" max="8704" width="9.109375" style="438"/>
    <col min="8705" max="8705" width="5.109375" style="438" customWidth="1"/>
    <col min="8706" max="8706" width="42" style="438" customWidth="1"/>
    <col min="8707" max="8707" width="16.109375" style="438" customWidth="1"/>
    <col min="8708" max="8708" width="14.88671875" style="438" customWidth="1"/>
    <col min="8709" max="8709" width="10.109375" style="438" customWidth="1"/>
    <col min="8710" max="8710" width="6.109375" style="438" customWidth="1"/>
    <col min="8711" max="8711" width="6.44140625" style="438" customWidth="1"/>
    <col min="8712" max="8960" width="9.109375" style="438"/>
    <col min="8961" max="8961" width="5.109375" style="438" customWidth="1"/>
    <col min="8962" max="8962" width="42" style="438" customWidth="1"/>
    <col min="8963" max="8963" width="16.109375" style="438" customWidth="1"/>
    <col min="8964" max="8964" width="14.88671875" style="438" customWidth="1"/>
    <col min="8965" max="8965" width="10.109375" style="438" customWidth="1"/>
    <col min="8966" max="8966" width="6.109375" style="438" customWidth="1"/>
    <col min="8967" max="8967" width="6.44140625" style="438" customWidth="1"/>
    <col min="8968" max="9216" width="9.109375" style="438"/>
    <col min="9217" max="9217" width="5.109375" style="438" customWidth="1"/>
    <col min="9218" max="9218" width="42" style="438" customWidth="1"/>
    <col min="9219" max="9219" width="16.109375" style="438" customWidth="1"/>
    <col min="9220" max="9220" width="14.88671875" style="438" customWidth="1"/>
    <col min="9221" max="9221" width="10.109375" style="438" customWidth="1"/>
    <col min="9222" max="9222" width="6.109375" style="438" customWidth="1"/>
    <col min="9223" max="9223" width="6.44140625" style="438" customWidth="1"/>
    <col min="9224" max="9472" width="9.109375" style="438"/>
    <col min="9473" max="9473" width="5.109375" style="438" customWidth="1"/>
    <col min="9474" max="9474" width="42" style="438" customWidth="1"/>
    <col min="9475" max="9475" width="16.109375" style="438" customWidth="1"/>
    <col min="9476" max="9476" width="14.88671875" style="438" customWidth="1"/>
    <col min="9477" max="9477" width="10.109375" style="438" customWidth="1"/>
    <col min="9478" max="9478" width="6.109375" style="438" customWidth="1"/>
    <col min="9479" max="9479" width="6.44140625" style="438" customWidth="1"/>
    <col min="9480" max="9728" width="9.109375" style="438"/>
    <col min="9729" max="9729" width="5.109375" style="438" customWidth="1"/>
    <col min="9730" max="9730" width="42" style="438" customWidth="1"/>
    <col min="9731" max="9731" width="16.109375" style="438" customWidth="1"/>
    <col min="9732" max="9732" width="14.88671875" style="438" customWidth="1"/>
    <col min="9733" max="9733" width="10.109375" style="438" customWidth="1"/>
    <col min="9734" max="9734" width="6.109375" style="438" customWidth="1"/>
    <col min="9735" max="9735" width="6.44140625" style="438" customWidth="1"/>
    <col min="9736" max="9984" width="9.109375" style="438"/>
    <col min="9985" max="9985" width="5.109375" style="438" customWidth="1"/>
    <col min="9986" max="9986" width="42" style="438" customWidth="1"/>
    <col min="9987" max="9987" width="16.109375" style="438" customWidth="1"/>
    <col min="9988" max="9988" width="14.88671875" style="438" customWidth="1"/>
    <col min="9989" max="9989" width="10.109375" style="438" customWidth="1"/>
    <col min="9990" max="9990" width="6.109375" style="438" customWidth="1"/>
    <col min="9991" max="9991" width="6.44140625" style="438" customWidth="1"/>
    <col min="9992" max="10240" width="9.109375" style="438"/>
    <col min="10241" max="10241" width="5.109375" style="438" customWidth="1"/>
    <col min="10242" max="10242" width="42" style="438" customWidth="1"/>
    <col min="10243" max="10243" width="16.109375" style="438" customWidth="1"/>
    <col min="10244" max="10244" width="14.88671875" style="438" customWidth="1"/>
    <col min="10245" max="10245" width="10.109375" style="438" customWidth="1"/>
    <col min="10246" max="10246" width="6.109375" style="438" customWidth="1"/>
    <col min="10247" max="10247" width="6.44140625" style="438" customWidth="1"/>
    <col min="10248" max="10496" width="9.109375" style="438"/>
    <col min="10497" max="10497" width="5.109375" style="438" customWidth="1"/>
    <col min="10498" max="10498" width="42" style="438" customWidth="1"/>
    <col min="10499" max="10499" width="16.109375" style="438" customWidth="1"/>
    <col min="10500" max="10500" width="14.88671875" style="438" customWidth="1"/>
    <col min="10501" max="10501" width="10.109375" style="438" customWidth="1"/>
    <col min="10502" max="10502" width="6.109375" style="438" customWidth="1"/>
    <col min="10503" max="10503" width="6.44140625" style="438" customWidth="1"/>
    <col min="10504" max="10752" width="9.109375" style="438"/>
    <col min="10753" max="10753" width="5.109375" style="438" customWidth="1"/>
    <col min="10754" max="10754" width="42" style="438" customWidth="1"/>
    <col min="10755" max="10755" width="16.109375" style="438" customWidth="1"/>
    <col min="10756" max="10756" width="14.88671875" style="438" customWidth="1"/>
    <col min="10757" max="10757" width="10.109375" style="438" customWidth="1"/>
    <col min="10758" max="10758" width="6.109375" style="438" customWidth="1"/>
    <col min="10759" max="10759" width="6.44140625" style="438" customWidth="1"/>
    <col min="10760" max="11008" width="9.109375" style="438"/>
    <col min="11009" max="11009" width="5.109375" style="438" customWidth="1"/>
    <col min="11010" max="11010" width="42" style="438" customWidth="1"/>
    <col min="11011" max="11011" width="16.109375" style="438" customWidth="1"/>
    <col min="11012" max="11012" width="14.88671875" style="438" customWidth="1"/>
    <col min="11013" max="11013" width="10.109375" style="438" customWidth="1"/>
    <col min="11014" max="11014" width="6.109375" style="438" customWidth="1"/>
    <col min="11015" max="11015" width="6.44140625" style="438" customWidth="1"/>
    <col min="11016" max="11264" width="9.109375" style="438"/>
    <col min="11265" max="11265" width="5.109375" style="438" customWidth="1"/>
    <col min="11266" max="11266" width="42" style="438" customWidth="1"/>
    <col min="11267" max="11267" width="16.109375" style="438" customWidth="1"/>
    <col min="11268" max="11268" width="14.88671875" style="438" customWidth="1"/>
    <col min="11269" max="11269" width="10.109375" style="438" customWidth="1"/>
    <col min="11270" max="11270" width="6.109375" style="438" customWidth="1"/>
    <col min="11271" max="11271" width="6.44140625" style="438" customWidth="1"/>
    <col min="11272" max="11520" width="9.109375" style="438"/>
    <col min="11521" max="11521" width="5.109375" style="438" customWidth="1"/>
    <col min="11522" max="11522" width="42" style="438" customWidth="1"/>
    <col min="11523" max="11523" width="16.109375" style="438" customWidth="1"/>
    <col min="11524" max="11524" width="14.88671875" style="438" customWidth="1"/>
    <col min="11525" max="11525" width="10.109375" style="438" customWidth="1"/>
    <col min="11526" max="11526" width="6.109375" style="438" customWidth="1"/>
    <col min="11527" max="11527" width="6.44140625" style="438" customWidth="1"/>
    <col min="11528" max="11776" width="9.109375" style="438"/>
    <col min="11777" max="11777" width="5.109375" style="438" customWidth="1"/>
    <col min="11778" max="11778" width="42" style="438" customWidth="1"/>
    <col min="11779" max="11779" width="16.109375" style="438" customWidth="1"/>
    <col min="11780" max="11780" width="14.88671875" style="438" customWidth="1"/>
    <col min="11781" max="11781" width="10.109375" style="438" customWidth="1"/>
    <col min="11782" max="11782" width="6.109375" style="438" customWidth="1"/>
    <col min="11783" max="11783" width="6.44140625" style="438" customWidth="1"/>
    <col min="11784" max="12032" width="9.109375" style="438"/>
    <col min="12033" max="12033" width="5.109375" style="438" customWidth="1"/>
    <col min="12034" max="12034" width="42" style="438" customWidth="1"/>
    <col min="12035" max="12035" width="16.109375" style="438" customWidth="1"/>
    <col min="12036" max="12036" width="14.88671875" style="438" customWidth="1"/>
    <col min="12037" max="12037" width="10.109375" style="438" customWidth="1"/>
    <col min="12038" max="12038" width="6.109375" style="438" customWidth="1"/>
    <col min="12039" max="12039" width="6.44140625" style="438" customWidth="1"/>
    <col min="12040" max="12288" width="9.109375" style="438"/>
    <col min="12289" max="12289" width="5.109375" style="438" customWidth="1"/>
    <col min="12290" max="12290" width="42" style="438" customWidth="1"/>
    <col min="12291" max="12291" width="16.109375" style="438" customWidth="1"/>
    <col min="12292" max="12292" width="14.88671875" style="438" customWidth="1"/>
    <col min="12293" max="12293" width="10.109375" style="438" customWidth="1"/>
    <col min="12294" max="12294" width="6.109375" style="438" customWidth="1"/>
    <col min="12295" max="12295" width="6.44140625" style="438" customWidth="1"/>
    <col min="12296" max="12544" width="9.109375" style="438"/>
    <col min="12545" max="12545" width="5.109375" style="438" customWidth="1"/>
    <col min="12546" max="12546" width="42" style="438" customWidth="1"/>
    <col min="12547" max="12547" width="16.109375" style="438" customWidth="1"/>
    <col min="12548" max="12548" width="14.88671875" style="438" customWidth="1"/>
    <col min="12549" max="12549" width="10.109375" style="438" customWidth="1"/>
    <col min="12550" max="12550" width="6.109375" style="438" customWidth="1"/>
    <col min="12551" max="12551" width="6.44140625" style="438" customWidth="1"/>
    <col min="12552" max="12800" width="9.109375" style="438"/>
    <col min="12801" max="12801" width="5.109375" style="438" customWidth="1"/>
    <col min="12802" max="12802" width="42" style="438" customWidth="1"/>
    <col min="12803" max="12803" width="16.109375" style="438" customWidth="1"/>
    <col min="12804" max="12804" width="14.88671875" style="438" customWidth="1"/>
    <col min="12805" max="12805" width="10.109375" style="438" customWidth="1"/>
    <col min="12806" max="12806" width="6.109375" style="438" customWidth="1"/>
    <col min="12807" max="12807" width="6.44140625" style="438" customWidth="1"/>
    <col min="12808" max="13056" width="9.109375" style="438"/>
    <col min="13057" max="13057" width="5.109375" style="438" customWidth="1"/>
    <col min="13058" max="13058" width="42" style="438" customWidth="1"/>
    <col min="13059" max="13059" width="16.109375" style="438" customWidth="1"/>
    <col min="13060" max="13060" width="14.88671875" style="438" customWidth="1"/>
    <col min="13061" max="13061" width="10.109375" style="438" customWidth="1"/>
    <col min="13062" max="13062" width="6.109375" style="438" customWidth="1"/>
    <col min="13063" max="13063" width="6.44140625" style="438" customWidth="1"/>
    <col min="13064" max="13312" width="9.109375" style="438"/>
    <col min="13313" max="13313" width="5.109375" style="438" customWidth="1"/>
    <col min="13314" max="13314" width="42" style="438" customWidth="1"/>
    <col min="13315" max="13315" width="16.109375" style="438" customWidth="1"/>
    <col min="13316" max="13316" width="14.88671875" style="438" customWidth="1"/>
    <col min="13317" max="13317" width="10.109375" style="438" customWidth="1"/>
    <col min="13318" max="13318" width="6.109375" style="438" customWidth="1"/>
    <col min="13319" max="13319" width="6.44140625" style="438" customWidth="1"/>
    <col min="13320" max="13568" width="9.109375" style="438"/>
    <col min="13569" max="13569" width="5.109375" style="438" customWidth="1"/>
    <col min="13570" max="13570" width="42" style="438" customWidth="1"/>
    <col min="13571" max="13571" width="16.109375" style="438" customWidth="1"/>
    <col min="13572" max="13572" width="14.88671875" style="438" customWidth="1"/>
    <col min="13573" max="13573" width="10.109375" style="438" customWidth="1"/>
    <col min="13574" max="13574" width="6.109375" style="438" customWidth="1"/>
    <col min="13575" max="13575" width="6.44140625" style="438" customWidth="1"/>
    <col min="13576" max="13824" width="9.109375" style="438"/>
    <col min="13825" max="13825" width="5.109375" style="438" customWidth="1"/>
    <col min="13826" max="13826" width="42" style="438" customWidth="1"/>
    <col min="13827" max="13827" width="16.109375" style="438" customWidth="1"/>
    <col min="13828" max="13828" width="14.88671875" style="438" customWidth="1"/>
    <col min="13829" max="13829" width="10.109375" style="438" customWidth="1"/>
    <col min="13830" max="13830" width="6.109375" style="438" customWidth="1"/>
    <col min="13831" max="13831" width="6.44140625" style="438" customWidth="1"/>
    <col min="13832" max="14080" width="9.109375" style="438"/>
    <col min="14081" max="14081" width="5.109375" style="438" customWidth="1"/>
    <col min="14082" max="14082" width="42" style="438" customWidth="1"/>
    <col min="14083" max="14083" width="16.109375" style="438" customWidth="1"/>
    <col min="14084" max="14084" width="14.88671875" style="438" customWidth="1"/>
    <col min="14085" max="14085" width="10.109375" style="438" customWidth="1"/>
    <col min="14086" max="14086" width="6.109375" style="438" customWidth="1"/>
    <col min="14087" max="14087" width="6.44140625" style="438" customWidth="1"/>
    <col min="14088" max="14336" width="9.109375" style="438"/>
    <col min="14337" max="14337" width="5.109375" style="438" customWidth="1"/>
    <col min="14338" max="14338" width="42" style="438" customWidth="1"/>
    <col min="14339" max="14339" width="16.109375" style="438" customWidth="1"/>
    <col min="14340" max="14340" width="14.88671875" style="438" customWidth="1"/>
    <col min="14341" max="14341" width="10.109375" style="438" customWidth="1"/>
    <col min="14342" max="14342" width="6.109375" style="438" customWidth="1"/>
    <col min="14343" max="14343" width="6.44140625" style="438" customWidth="1"/>
    <col min="14344" max="14592" width="9.109375" style="438"/>
    <col min="14593" max="14593" width="5.109375" style="438" customWidth="1"/>
    <col min="14594" max="14594" width="42" style="438" customWidth="1"/>
    <col min="14595" max="14595" width="16.109375" style="438" customWidth="1"/>
    <col min="14596" max="14596" width="14.88671875" style="438" customWidth="1"/>
    <col min="14597" max="14597" width="10.109375" style="438" customWidth="1"/>
    <col min="14598" max="14598" width="6.109375" style="438" customWidth="1"/>
    <col min="14599" max="14599" width="6.44140625" style="438" customWidth="1"/>
    <col min="14600" max="14848" width="9.109375" style="438"/>
    <col min="14849" max="14849" width="5.109375" style="438" customWidth="1"/>
    <col min="14850" max="14850" width="42" style="438" customWidth="1"/>
    <col min="14851" max="14851" width="16.109375" style="438" customWidth="1"/>
    <col min="14852" max="14852" width="14.88671875" style="438" customWidth="1"/>
    <col min="14853" max="14853" width="10.109375" style="438" customWidth="1"/>
    <col min="14854" max="14854" width="6.109375" style="438" customWidth="1"/>
    <col min="14855" max="14855" width="6.44140625" style="438" customWidth="1"/>
    <col min="14856" max="15104" width="9.109375" style="438"/>
    <col min="15105" max="15105" width="5.109375" style="438" customWidth="1"/>
    <col min="15106" max="15106" width="42" style="438" customWidth="1"/>
    <col min="15107" max="15107" width="16.109375" style="438" customWidth="1"/>
    <col min="15108" max="15108" width="14.88671875" style="438" customWidth="1"/>
    <col min="15109" max="15109" width="10.109375" style="438" customWidth="1"/>
    <col min="15110" max="15110" width="6.109375" style="438" customWidth="1"/>
    <col min="15111" max="15111" width="6.44140625" style="438" customWidth="1"/>
    <col min="15112" max="15360" width="9.109375" style="438"/>
    <col min="15361" max="15361" width="5.109375" style="438" customWidth="1"/>
    <col min="15362" max="15362" width="42" style="438" customWidth="1"/>
    <col min="15363" max="15363" width="16.109375" style="438" customWidth="1"/>
    <col min="15364" max="15364" width="14.88671875" style="438" customWidth="1"/>
    <col min="15365" max="15365" width="10.109375" style="438" customWidth="1"/>
    <col min="15366" max="15366" width="6.109375" style="438" customWidth="1"/>
    <col min="15367" max="15367" width="6.44140625" style="438" customWidth="1"/>
    <col min="15368" max="15616" width="9.109375" style="438"/>
    <col min="15617" max="15617" width="5.109375" style="438" customWidth="1"/>
    <col min="15618" max="15618" width="42" style="438" customWidth="1"/>
    <col min="15619" max="15619" width="16.109375" style="438" customWidth="1"/>
    <col min="15620" max="15620" width="14.88671875" style="438" customWidth="1"/>
    <col min="15621" max="15621" width="10.109375" style="438" customWidth="1"/>
    <col min="15622" max="15622" width="6.109375" style="438" customWidth="1"/>
    <col min="15623" max="15623" width="6.44140625" style="438" customWidth="1"/>
    <col min="15624" max="15872" width="9.109375" style="438"/>
    <col min="15873" max="15873" width="5.109375" style="438" customWidth="1"/>
    <col min="15874" max="15874" width="42" style="438" customWidth="1"/>
    <col min="15875" max="15875" width="16.109375" style="438" customWidth="1"/>
    <col min="15876" max="15876" width="14.88671875" style="438" customWidth="1"/>
    <col min="15877" max="15877" width="10.109375" style="438" customWidth="1"/>
    <col min="15878" max="15878" width="6.109375" style="438" customWidth="1"/>
    <col min="15879" max="15879" width="6.44140625" style="438" customWidth="1"/>
    <col min="15880" max="16128" width="9.109375" style="438"/>
    <col min="16129" max="16129" width="5.109375" style="438" customWidth="1"/>
    <col min="16130" max="16130" width="42" style="438" customWidth="1"/>
    <col min="16131" max="16131" width="16.109375" style="438" customWidth="1"/>
    <col min="16132" max="16132" width="14.88671875" style="438" customWidth="1"/>
    <col min="16133" max="16133" width="10.109375" style="438" customWidth="1"/>
    <col min="16134" max="16134" width="6.109375" style="438" customWidth="1"/>
    <col min="16135" max="16135" width="6.44140625" style="438" customWidth="1"/>
    <col min="16136" max="16384" width="9.109375" style="438"/>
  </cols>
  <sheetData>
    <row r="1" spans="1:7" s="446" customFormat="1" ht="15.6">
      <c r="A1" s="15151" t="s">
        <v>1728</v>
      </c>
      <c r="B1" s="15151"/>
      <c r="C1" s="15151"/>
      <c r="D1" s="15151"/>
      <c r="E1" s="15151"/>
      <c r="F1" s="15151"/>
      <c r="G1" s="15151"/>
    </row>
    <row r="3" spans="1:7" s="446" customFormat="1" ht="15.6">
      <c r="A3" s="447" t="s">
        <v>9570</v>
      </c>
      <c r="B3" s="448"/>
      <c r="C3" s="472"/>
      <c r="D3" s="448"/>
    </row>
    <row r="4" spans="1:7" s="446" customFormat="1" ht="15.6">
      <c r="A4" s="447" t="s">
        <v>9571</v>
      </c>
      <c r="B4" s="448"/>
      <c r="C4" s="472"/>
      <c r="D4" s="448"/>
    </row>
    <row r="5" spans="1:7">
      <c r="A5" s="456"/>
    </row>
    <row r="6" spans="1:7" s="446" customFormat="1" ht="15.6">
      <c r="A6" s="447" t="s">
        <v>1988</v>
      </c>
      <c r="B6" s="448"/>
      <c r="C6" s="472"/>
      <c r="D6" s="448"/>
    </row>
    <row r="7" spans="1:7" ht="48.75" customHeight="1">
      <c r="A7" s="15152" t="s">
        <v>7022</v>
      </c>
      <c r="B7" s="15152"/>
      <c r="C7" s="15152"/>
      <c r="D7" s="15152"/>
      <c r="E7" s="15152"/>
      <c r="F7" s="15152"/>
      <c r="G7" s="15152"/>
    </row>
    <row r="8" spans="1:7">
      <c r="A8" s="15153"/>
      <c r="B8" s="15153"/>
      <c r="C8" s="15153"/>
      <c r="D8" s="15153"/>
      <c r="E8" s="15153"/>
      <c r="F8" s="15153"/>
      <c r="G8" s="15153"/>
    </row>
    <row r="9" spans="1:7" ht="15.6">
      <c r="A9" s="447" t="s">
        <v>1989</v>
      </c>
    </row>
    <row r="10" spans="1:7" ht="17.25" customHeight="1">
      <c r="B10" s="438" t="s">
        <v>7023</v>
      </c>
    </row>
    <row r="11" spans="1:7" ht="17.25" customHeight="1">
      <c r="B11" s="438" t="s">
        <v>7024</v>
      </c>
    </row>
    <row r="12" spans="1:7" ht="17.25" customHeight="1">
      <c r="B12" s="438" t="s">
        <v>2860</v>
      </c>
    </row>
    <row r="13" spans="1:7" ht="17.25" customHeight="1">
      <c r="B13" s="438" t="s">
        <v>7025</v>
      </c>
    </row>
    <row r="14" spans="1:7" ht="17.25" customHeight="1">
      <c r="B14" s="454" t="s">
        <v>7026</v>
      </c>
    </row>
    <row r="15" spans="1:7" ht="17.25" customHeight="1">
      <c r="B15" s="454" t="s">
        <v>7027</v>
      </c>
    </row>
    <row r="16" spans="1:7" ht="17.25" customHeight="1">
      <c r="B16" s="454" t="s">
        <v>7028</v>
      </c>
    </row>
    <row r="18" spans="1:7" ht="15.6">
      <c r="A18" s="447" t="s">
        <v>1990</v>
      </c>
    </row>
    <row r="19" spans="1:7" ht="13.8" thickBot="1">
      <c r="A19" s="456"/>
    </row>
    <row r="20" spans="1:7" ht="15.75" customHeight="1">
      <c r="A20" s="436" t="s">
        <v>94</v>
      </c>
      <c r="B20" s="436" t="s">
        <v>1991</v>
      </c>
      <c r="C20" s="437" t="s">
        <v>1736</v>
      </c>
      <c r="D20" s="15154" t="s">
        <v>1760</v>
      </c>
      <c r="E20" s="436" t="s">
        <v>1764</v>
      </c>
      <c r="F20" s="15156" t="s">
        <v>1978</v>
      </c>
      <c r="G20" s="15156"/>
    </row>
    <row r="21" spans="1:7" ht="21" thickBot="1">
      <c r="A21" s="473" t="s">
        <v>1788</v>
      </c>
      <c r="B21" s="439" t="s">
        <v>1992</v>
      </c>
      <c r="C21" s="440"/>
      <c r="D21" s="15155"/>
      <c r="E21" s="439"/>
      <c r="F21" s="15157" t="s">
        <v>1993</v>
      </c>
      <c r="G21" s="15157"/>
    </row>
    <row r="22" spans="1:7" s="443" customFormat="1" ht="17.25" customHeight="1" thickBot="1">
      <c r="A22" s="441" t="s">
        <v>1994</v>
      </c>
      <c r="B22" s="441" t="s">
        <v>1995</v>
      </c>
      <c r="C22" s="442" t="s">
        <v>1996</v>
      </c>
      <c r="D22" s="441" t="s">
        <v>1997</v>
      </c>
      <c r="E22" s="441" t="s">
        <v>1998</v>
      </c>
      <c r="F22" s="441" t="s">
        <v>1789</v>
      </c>
      <c r="G22" s="441" t="s">
        <v>1790</v>
      </c>
    </row>
    <row r="23" spans="1:7" s="445" customFormat="1" ht="25.5" customHeight="1">
      <c r="A23" s="444">
        <v>3000</v>
      </c>
      <c r="B23" s="457" t="s">
        <v>1999</v>
      </c>
      <c r="C23" s="458"/>
      <c r="D23" s="444"/>
      <c r="E23" s="444"/>
      <c r="F23" s="444"/>
      <c r="G23" s="444"/>
    </row>
    <row r="24" spans="1:7" s="461" customFormat="1">
      <c r="A24" s="459"/>
      <c r="B24" s="449" t="s">
        <v>3657</v>
      </c>
      <c r="C24" s="460">
        <v>3657532</v>
      </c>
      <c r="D24" s="449"/>
      <c r="E24" s="449"/>
      <c r="F24" s="449"/>
      <c r="G24" s="449"/>
    </row>
    <row r="25" spans="1:7" ht="16.5" customHeight="1">
      <c r="A25" s="450"/>
      <c r="B25" s="1050" t="s">
        <v>3658</v>
      </c>
      <c r="C25" s="462"/>
      <c r="D25" s="15158" t="s">
        <v>3656</v>
      </c>
      <c r="E25" s="450" t="s">
        <v>2001</v>
      </c>
      <c r="F25" s="15150" t="s">
        <v>5125</v>
      </c>
      <c r="G25" s="15150" t="s">
        <v>5113</v>
      </c>
    </row>
    <row r="26" spans="1:7" ht="45" customHeight="1">
      <c r="A26" s="450"/>
      <c r="B26" s="1050" t="s">
        <v>3655</v>
      </c>
      <c r="C26" s="462"/>
      <c r="D26" s="15158"/>
      <c r="E26" s="450"/>
      <c r="F26" s="15150"/>
      <c r="G26" s="15150"/>
    </row>
    <row r="27" spans="1:7" ht="27" customHeight="1">
      <c r="A27" s="450"/>
      <c r="B27" s="1050" t="s">
        <v>3659</v>
      </c>
      <c r="C27" s="462"/>
      <c r="D27" s="15158" t="s">
        <v>7029</v>
      </c>
      <c r="E27" s="450"/>
      <c r="F27" s="450"/>
      <c r="G27" s="450"/>
    </row>
    <row r="28" spans="1:7" ht="27" customHeight="1">
      <c r="A28" s="450"/>
      <c r="B28" s="450" t="s">
        <v>2002</v>
      </c>
      <c r="C28" s="462"/>
      <c r="D28" s="15158"/>
      <c r="E28" s="450"/>
      <c r="F28" s="450"/>
      <c r="G28" s="450"/>
    </row>
    <row r="29" spans="1:7">
      <c r="A29" s="450"/>
      <c r="B29" s="450" t="s">
        <v>2003</v>
      </c>
      <c r="C29" s="462"/>
      <c r="D29" s="853"/>
      <c r="E29" s="450"/>
      <c r="F29" s="450"/>
      <c r="G29" s="450"/>
    </row>
    <row r="30" spans="1:7" ht="15.75" customHeight="1">
      <c r="A30" s="450"/>
      <c r="B30" s="450" t="s">
        <v>2004</v>
      </c>
      <c r="C30" s="462"/>
      <c r="D30" s="450"/>
      <c r="E30" s="450"/>
      <c r="F30" s="15150"/>
      <c r="G30" s="15150"/>
    </row>
    <row r="31" spans="1:7" ht="24.75" customHeight="1">
      <c r="A31" s="450"/>
      <c r="B31" s="450" t="s">
        <v>2005</v>
      </c>
      <c r="C31" s="462"/>
      <c r="D31" s="450"/>
      <c r="E31" s="450"/>
      <c r="F31" s="15150"/>
      <c r="G31" s="15150"/>
    </row>
    <row r="32" spans="1:7" ht="27" customHeight="1">
      <c r="A32" s="450"/>
      <c r="B32" s="1050" t="s">
        <v>3660</v>
      </c>
      <c r="C32" s="462"/>
      <c r="D32" s="15149" t="s">
        <v>7030</v>
      </c>
      <c r="E32" s="15150" t="s">
        <v>2006</v>
      </c>
      <c r="F32" s="450"/>
      <c r="G32" s="450"/>
    </row>
    <row r="33" spans="1:7" ht="32.25" customHeight="1">
      <c r="A33" s="450"/>
      <c r="B33" s="450" t="s">
        <v>2007</v>
      </c>
      <c r="C33" s="462"/>
      <c r="D33" s="15149"/>
      <c r="E33" s="15150"/>
      <c r="F33" s="450"/>
      <c r="G33" s="450"/>
    </row>
    <row r="34" spans="1:7" ht="56.25" customHeight="1">
      <c r="A34" s="450"/>
      <c r="B34" s="1050" t="s">
        <v>3661</v>
      </c>
      <c r="C34" s="462"/>
      <c r="D34" s="2391" t="s">
        <v>7031</v>
      </c>
      <c r="E34" s="2395" t="s">
        <v>7032</v>
      </c>
      <c r="F34" s="450"/>
      <c r="G34" s="450"/>
    </row>
    <row r="35" spans="1:7" s="465" customFormat="1">
      <c r="A35" s="463"/>
      <c r="B35" s="449" t="s">
        <v>3662</v>
      </c>
      <c r="C35" s="460">
        <f>2709515+313140</f>
        <v>3022655</v>
      </c>
      <c r="D35" s="464"/>
      <c r="E35" s="464"/>
      <c r="F35" s="15150" t="s">
        <v>5125</v>
      </c>
      <c r="G35" s="15150" t="s">
        <v>5113</v>
      </c>
    </row>
    <row r="36" spans="1:7" ht="25.5" customHeight="1">
      <c r="A36" s="450"/>
      <c r="B36" s="1050" t="s">
        <v>3663</v>
      </c>
      <c r="C36" s="462"/>
      <c r="D36" s="15149" t="s">
        <v>7033</v>
      </c>
      <c r="E36" s="15150" t="s">
        <v>7034</v>
      </c>
      <c r="F36" s="15150"/>
      <c r="G36" s="15150"/>
    </row>
    <row r="37" spans="1:7">
      <c r="A37" s="450"/>
      <c r="B37" s="450" t="s">
        <v>2009</v>
      </c>
      <c r="C37" s="462"/>
      <c r="D37" s="15149"/>
      <c r="E37" s="15150"/>
      <c r="F37" s="450"/>
      <c r="G37" s="450"/>
    </row>
    <row r="38" spans="1:7" ht="27" thickBot="1">
      <c r="A38" s="450"/>
      <c r="B38" s="450" t="s">
        <v>2010</v>
      </c>
      <c r="C38" s="462"/>
      <c r="D38" s="15159"/>
      <c r="E38" s="15160"/>
      <c r="F38" s="450"/>
      <c r="G38" s="450"/>
    </row>
    <row r="39" spans="1:7" ht="15.75" customHeight="1">
      <c r="A39" s="855"/>
      <c r="B39" s="855"/>
      <c r="C39" s="856"/>
      <c r="D39" s="857"/>
      <c r="E39" s="858"/>
      <c r="F39" s="855"/>
      <c r="G39" s="855"/>
    </row>
    <row r="40" spans="1:7" s="1380" customFormat="1" ht="15.75" customHeight="1">
      <c r="A40" s="1791"/>
      <c r="B40" s="1791"/>
      <c r="C40" s="1792"/>
      <c r="D40" s="1793"/>
      <c r="E40" s="1794"/>
      <c r="F40" s="1791"/>
      <c r="G40" s="1791"/>
    </row>
    <row r="41" spans="1:7" s="1380" customFormat="1" ht="15.75" customHeight="1">
      <c r="A41" s="1791"/>
      <c r="B41" s="1791"/>
      <c r="C41" s="1792"/>
      <c r="D41" s="1793"/>
      <c r="E41" s="1794"/>
      <c r="F41" s="1791"/>
      <c r="G41" s="1791"/>
    </row>
    <row r="42" spans="1:7" s="1380" customFormat="1" ht="15.75" customHeight="1">
      <c r="A42" s="1791"/>
      <c r="B42" s="1791"/>
      <c r="C42" s="1792"/>
      <c r="D42" s="1793"/>
      <c r="E42" s="1794"/>
      <c r="F42" s="1791"/>
      <c r="G42" s="1791"/>
    </row>
    <row r="43" spans="1:7" s="1380" customFormat="1" ht="15.75" customHeight="1">
      <c r="A43" s="1791"/>
      <c r="B43" s="1791"/>
      <c r="C43" s="1792"/>
      <c r="D43" s="1793"/>
      <c r="E43" s="1794"/>
      <c r="F43" s="1791"/>
      <c r="G43" s="1791"/>
    </row>
    <row r="44" spans="1:7" s="1380" customFormat="1" ht="15.75" customHeight="1" thickBot="1">
      <c r="A44" s="1791"/>
      <c r="B44" s="1791"/>
      <c r="C44" s="1792"/>
      <c r="D44" s="1793"/>
      <c r="E44" s="1794"/>
      <c r="F44" s="1791"/>
      <c r="G44" s="1791"/>
    </row>
    <row r="45" spans="1:7" ht="15.75" customHeight="1">
      <c r="A45" s="1620" t="s">
        <v>94</v>
      </c>
      <c r="B45" s="1620" t="s">
        <v>1991</v>
      </c>
      <c r="C45" s="437" t="s">
        <v>1736</v>
      </c>
      <c r="D45" s="15154" t="s">
        <v>1760</v>
      </c>
      <c r="E45" s="1620" t="s">
        <v>1764</v>
      </c>
      <c r="F45" s="15156" t="s">
        <v>1978</v>
      </c>
      <c r="G45" s="15156"/>
    </row>
    <row r="46" spans="1:7" ht="21" thickBot="1">
      <c r="A46" s="473" t="s">
        <v>1788</v>
      </c>
      <c r="B46" s="1621" t="s">
        <v>1992</v>
      </c>
      <c r="C46" s="440"/>
      <c r="D46" s="15155"/>
      <c r="E46" s="1621"/>
      <c r="F46" s="15157" t="s">
        <v>1993</v>
      </c>
      <c r="G46" s="15157"/>
    </row>
    <row r="47" spans="1:7" s="443" customFormat="1" ht="17.25" customHeight="1" thickBot="1">
      <c r="A47" s="1622" t="s">
        <v>1994</v>
      </c>
      <c r="B47" s="1622" t="s">
        <v>1995</v>
      </c>
      <c r="C47" s="442" t="s">
        <v>1996</v>
      </c>
      <c r="D47" s="1622" t="s">
        <v>1997</v>
      </c>
      <c r="E47" s="1622" t="s">
        <v>1998</v>
      </c>
      <c r="F47" s="1622" t="s">
        <v>1789</v>
      </c>
      <c r="G47" s="1622" t="s">
        <v>1790</v>
      </c>
    </row>
    <row r="48" spans="1:7" ht="26.4">
      <c r="A48" s="450"/>
      <c r="B48" s="2395" t="s">
        <v>7035</v>
      </c>
      <c r="C48" s="462"/>
      <c r="D48" s="1619"/>
      <c r="E48" s="1619"/>
      <c r="F48" s="450"/>
      <c r="G48" s="450"/>
    </row>
    <row r="49" spans="1:7" ht="15.75" customHeight="1">
      <c r="A49" s="450"/>
      <c r="B49" s="450" t="s">
        <v>2011</v>
      </c>
      <c r="C49" s="462"/>
      <c r="D49" s="1619"/>
      <c r="E49" s="1619"/>
      <c r="F49" s="450"/>
      <c r="G49" s="450"/>
    </row>
    <row r="50" spans="1:7" ht="16.5" customHeight="1">
      <c r="A50" s="450"/>
      <c r="B50" s="1050" t="s">
        <v>3664</v>
      </c>
      <c r="C50" s="462"/>
      <c r="D50" s="15149" t="s">
        <v>3665</v>
      </c>
      <c r="E50" s="15150" t="s">
        <v>7036</v>
      </c>
      <c r="F50" s="450"/>
      <c r="G50" s="450"/>
    </row>
    <row r="51" spans="1:7" ht="27" customHeight="1">
      <c r="A51" s="450"/>
      <c r="B51" s="450" t="s">
        <v>2012</v>
      </c>
      <c r="C51" s="462"/>
      <c r="D51" s="15149"/>
      <c r="E51" s="15150"/>
      <c r="F51" s="450"/>
      <c r="G51" s="450"/>
    </row>
    <row r="52" spans="1:7" ht="17.25" customHeight="1">
      <c r="A52" s="853"/>
      <c r="B52" s="853" t="s">
        <v>7037</v>
      </c>
      <c r="C52" s="854"/>
      <c r="D52" s="15163" t="s">
        <v>2013</v>
      </c>
      <c r="E52" s="15163" t="s">
        <v>3666</v>
      </c>
      <c r="F52" s="853"/>
      <c r="G52" s="853"/>
    </row>
    <row r="53" spans="1:7" ht="30" customHeight="1">
      <c r="A53" s="2397"/>
      <c r="B53" s="2397" t="s">
        <v>7038</v>
      </c>
      <c r="C53" s="2398"/>
      <c r="D53" s="15163"/>
      <c r="E53" s="15163"/>
      <c r="F53" s="2397"/>
      <c r="G53" s="2397"/>
    </row>
    <row r="54" spans="1:7" s="466" customFormat="1" ht="22.5" customHeight="1">
      <c r="A54" s="463"/>
      <c r="B54" s="449" t="s">
        <v>3667</v>
      </c>
      <c r="C54" s="460">
        <v>2040622</v>
      </c>
      <c r="D54" s="464"/>
      <c r="E54" s="464"/>
      <c r="F54" s="15150" t="s">
        <v>5125</v>
      </c>
      <c r="G54" s="15150" t="s">
        <v>5113</v>
      </c>
    </row>
    <row r="55" spans="1:7" ht="15.75" customHeight="1">
      <c r="A55" s="451"/>
      <c r="B55" s="1050" t="s">
        <v>3668</v>
      </c>
      <c r="C55" s="462"/>
      <c r="D55" s="15158" t="s">
        <v>7039</v>
      </c>
      <c r="E55" s="15150"/>
      <c r="F55" s="15150"/>
      <c r="G55" s="15150"/>
    </row>
    <row r="56" spans="1:7" ht="20.25" customHeight="1">
      <c r="A56" s="450"/>
      <c r="B56" s="450" t="s">
        <v>2014</v>
      </c>
      <c r="C56" s="462"/>
      <c r="D56" s="15158"/>
      <c r="E56" s="15150"/>
      <c r="F56" s="450"/>
      <c r="G56" s="450"/>
    </row>
    <row r="57" spans="1:7" ht="29.25" customHeight="1">
      <c r="A57" s="450"/>
      <c r="B57" s="450" t="s">
        <v>2015</v>
      </c>
      <c r="C57" s="462"/>
      <c r="D57" s="15158"/>
      <c r="E57" s="450"/>
      <c r="F57" s="450"/>
      <c r="G57" s="450"/>
    </row>
    <row r="58" spans="1:7" ht="19.5" customHeight="1">
      <c r="A58" s="853"/>
      <c r="B58" s="853" t="s">
        <v>3669</v>
      </c>
      <c r="C58" s="854"/>
      <c r="D58" s="15158"/>
      <c r="E58" s="853"/>
      <c r="F58" s="853"/>
      <c r="G58" s="853"/>
    </row>
    <row r="59" spans="1:7" ht="17.25" customHeight="1">
      <c r="A59" s="853"/>
      <c r="B59" s="853" t="s">
        <v>3670</v>
      </c>
      <c r="C59" s="854"/>
      <c r="D59" s="15158"/>
      <c r="E59" s="853"/>
      <c r="F59" s="853"/>
      <c r="G59" s="853"/>
    </row>
    <row r="60" spans="1:7" ht="33.75" customHeight="1">
      <c r="A60" s="450"/>
      <c r="B60" s="450" t="s">
        <v>2016</v>
      </c>
      <c r="C60" s="462"/>
      <c r="D60" s="15158"/>
      <c r="E60" s="450" t="s">
        <v>168</v>
      </c>
      <c r="F60" s="450"/>
      <c r="G60" s="450"/>
    </row>
    <row r="61" spans="1:7" ht="12.75" customHeight="1">
      <c r="A61" s="450"/>
      <c r="B61" s="1050" t="s">
        <v>3671</v>
      </c>
      <c r="C61" s="462"/>
      <c r="D61" s="15158" t="s">
        <v>7040</v>
      </c>
      <c r="E61" s="15150" t="s">
        <v>3672</v>
      </c>
      <c r="F61" s="450"/>
      <c r="G61" s="450"/>
    </row>
    <row r="62" spans="1:7" ht="33.75" customHeight="1">
      <c r="A62" s="450"/>
      <c r="B62" s="450" t="s">
        <v>2017</v>
      </c>
      <c r="C62" s="462"/>
      <c r="D62" s="15158"/>
      <c r="E62" s="15150"/>
      <c r="F62" s="450"/>
      <c r="G62" s="450"/>
    </row>
    <row r="63" spans="1:7" ht="27" customHeight="1">
      <c r="A63" s="450"/>
      <c r="B63" s="2395" t="s">
        <v>7041</v>
      </c>
      <c r="C63" s="462"/>
      <c r="D63" s="15158"/>
      <c r="E63" s="15163" t="s">
        <v>7042</v>
      </c>
      <c r="F63" s="450"/>
      <c r="G63" s="450"/>
    </row>
    <row r="64" spans="1:7" ht="15.75" customHeight="1">
      <c r="A64" s="450"/>
      <c r="B64" s="2395" t="s">
        <v>7044</v>
      </c>
      <c r="C64" s="462"/>
      <c r="D64" s="15158" t="s">
        <v>2018</v>
      </c>
      <c r="E64" s="15163"/>
      <c r="F64" s="450"/>
      <c r="G64" s="450"/>
    </row>
    <row r="65" spans="1:7" ht="32.25" customHeight="1">
      <c r="A65" s="450"/>
      <c r="B65" s="2395" t="s">
        <v>7043</v>
      </c>
      <c r="C65" s="462"/>
      <c r="D65" s="15162"/>
      <c r="E65" s="1053"/>
      <c r="F65" s="450"/>
      <c r="G65" s="450"/>
    </row>
    <row r="66" spans="1:7" ht="27.75" customHeight="1">
      <c r="A66" s="450"/>
      <c r="B66" s="1050" t="s">
        <v>3673</v>
      </c>
      <c r="C66" s="462"/>
      <c r="D66" s="15163" t="s">
        <v>7045</v>
      </c>
      <c r="E66" s="15158" t="s">
        <v>3424</v>
      </c>
      <c r="F66" s="450"/>
      <c r="G66" s="450"/>
    </row>
    <row r="67" spans="1:7" ht="45" customHeight="1">
      <c r="A67" s="450"/>
      <c r="B67" s="450" t="s">
        <v>2019</v>
      </c>
      <c r="C67" s="462"/>
      <c r="D67" s="15163"/>
      <c r="E67" s="15158"/>
      <c r="F67" s="450"/>
      <c r="G67" s="450"/>
    </row>
    <row r="68" spans="1:7" s="465" customFormat="1" ht="16.5" customHeight="1">
      <c r="A68" s="464"/>
      <c r="B68" s="449" t="s">
        <v>3674</v>
      </c>
      <c r="C68" s="460">
        <v>5775188</v>
      </c>
      <c r="D68" s="1052"/>
      <c r="E68" s="1054"/>
      <c r="F68" s="15150" t="s">
        <v>5125</v>
      </c>
      <c r="G68" s="15150" t="s">
        <v>5113</v>
      </c>
    </row>
    <row r="69" spans="1:7" s="456" customFormat="1" ht="12.75" customHeight="1">
      <c r="A69" s="451"/>
      <c r="B69" s="2395" t="s">
        <v>7046</v>
      </c>
      <c r="C69" s="468"/>
      <c r="D69" s="15163" t="s">
        <v>7047</v>
      </c>
      <c r="E69" s="15163" t="s">
        <v>7048</v>
      </c>
      <c r="F69" s="15150"/>
      <c r="G69" s="15150"/>
    </row>
    <row r="70" spans="1:7" s="456" customFormat="1">
      <c r="A70" s="451"/>
      <c r="B70" s="450" t="s">
        <v>2020</v>
      </c>
      <c r="C70" s="468"/>
      <c r="D70" s="15163"/>
      <c r="E70" s="15163"/>
      <c r="F70" s="451"/>
      <c r="G70" s="451"/>
    </row>
    <row r="71" spans="1:7" s="456" customFormat="1" ht="26.4">
      <c r="A71" s="451"/>
      <c r="B71" s="450" t="s">
        <v>2021</v>
      </c>
      <c r="C71" s="468"/>
      <c r="D71" s="2397"/>
      <c r="E71" s="15163"/>
      <c r="F71" s="451"/>
      <c r="G71" s="451"/>
    </row>
    <row r="72" spans="1:7" s="456" customFormat="1" ht="15.75" customHeight="1">
      <c r="A72" s="451"/>
      <c r="B72" s="450" t="s">
        <v>2022</v>
      </c>
      <c r="C72" s="468"/>
      <c r="D72" s="2397"/>
      <c r="E72" s="15163"/>
      <c r="F72" s="451"/>
      <c r="G72" s="451"/>
    </row>
    <row r="73" spans="1:7" s="456" customFormat="1" ht="31.5" customHeight="1">
      <c r="A73" s="451"/>
      <c r="B73" s="1050" t="s">
        <v>3675</v>
      </c>
      <c r="C73" s="468"/>
      <c r="D73" s="2393" t="s">
        <v>7049</v>
      </c>
      <c r="E73" s="2397" t="s">
        <v>7050</v>
      </c>
      <c r="F73" s="451"/>
      <c r="G73" s="451"/>
    </row>
    <row r="74" spans="1:7" s="456" customFormat="1" ht="54.75" customHeight="1" thickBot="1">
      <c r="A74" s="451"/>
      <c r="B74" s="2395" t="s">
        <v>7051</v>
      </c>
      <c r="C74" s="468"/>
      <c r="D74" s="467" t="s">
        <v>2023</v>
      </c>
      <c r="E74" s="2394" t="s">
        <v>7052</v>
      </c>
      <c r="F74" s="451"/>
      <c r="G74" s="451"/>
    </row>
    <row r="75" spans="1:7" s="456" customFormat="1" ht="18.75" customHeight="1">
      <c r="A75" s="4255"/>
      <c r="B75" s="4256"/>
      <c r="C75" s="4257"/>
      <c r="D75" s="4258"/>
      <c r="E75" s="4258"/>
      <c r="F75" s="4255"/>
      <c r="G75" s="4255"/>
    </row>
    <row r="76" spans="1:7" s="456" customFormat="1" ht="18.75" customHeight="1">
      <c r="A76" s="4259"/>
      <c r="B76" s="1791"/>
      <c r="C76" s="4260"/>
      <c r="D76" s="1793"/>
      <c r="E76" s="1793"/>
      <c r="F76" s="4259"/>
      <c r="G76" s="4259"/>
    </row>
    <row r="77" spans="1:7" s="456" customFormat="1" ht="18.75" customHeight="1">
      <c r="A77" s="4259"/>
      <c r="B77" s="1791"/>
      <c r="C77" s="4260"/>
      <c r="D77" s="1793"/>
      <c r="E77" s="1793"/>
      <c r="F77" s="4259"/>
      <c r="G77" s="4259"/>
    </row>
    <row r="78" spans="1:7" s="456" customFormat="1" ht="18.75" customHeight="1">
      <c r="A78" s="4259"/>
      <c r="B78" s="1791"/>
      <c r="C78" s="4260"/>
      <c r="D78" s="1793"/>
      <c r="E78" s="1793"/>
      <c r="F78" s="4259"/>
      <c r="G78" s="4259"/>
    </row>
    <row r="79" spans="1:7" s="456" customFormat="1" ht="18.75" customHeight="1">
      <c r="A79" s="4259"/>
      <c r="B79" s="1791"/>
      <c r="C79" s="4260"/>
      <c r="D79" s="1793"/>
      <c r="E79" s="1793"/>
      <c r="F79" s="4259"/>
      <c r="G79" s="4259"/>
    </row>
    <row r="80" spans="1:7" s="456" customFormat="1" ht="18.75" customHeight="1">
      <c r="A80" s="4259"/>
      <c r="B80" s="1791"/>
      <c r="C80" s="4260"/>
      <c r="D80" s="1793"/>
      <c r="E80" s="1793"/>
      <c r="F80" s="4259"/>
      <c r="G80" s="4259"/>
    </row>
    <row r="81" spans="1:7" s="456" customFormat="1" ht="18.75" customHeight="1">
      <c r="A81" s="4259"/>
      <c r="B81" s="1791"/>
      <c r="C81" s="4260"/>
      <c r="D81" s="1793"/>
      <c r="E81" s="1793"/>
      <c r="F81" s="4259"/>
      <c r="G81" s="4259"/>
    </row>
    <row r="82" spans="1:7" s="456" customFormat="1" ht="18.75" customHeight="1" thickBot="1">
      <c r="A82" s="4261"/>
      <c r="B82" s="4262"/>
      <c r="C82" s="4263"/>
      <c r="D82" s="4264"/>
      <c r="E82" s="4264"/>
      <c r="F82" s="4261"/>
      <c r="G82" s="4261"/>
    </row>
    <row r="83" spans="1:7" ht="15.75" customHeight="1">
      <c r="A83" s="1620" t="s">
        <v>94</v>
      </c>
      <c r="B83" s="1620" t="s">
        <v>1991</v>
      </c>
      <c r="C83" s="437" t="s">
        <v>1736</v>
      </c>
      <c r="D83" s="15154" t="s">
        <v>1760</v>
      </c>
      <c r="E83" s="1620" t="s">
        <v>1764</v>
      </c>
      <c r="F83" s="15156" t="s">
        <v>1978</v>
      </c>
      <c r="G83" s="15156"/>
    </row>
    <row r="84" spans="1:7" ht="21" thickBot="1">
      <c r="A84" s="473" t="s">
        <v>1788</v>
      </c>
      <c r="B84" s="1621" t="s">
        <v>1992</v>
      </c>
      <c r="C84" s="440"/>
      <c r="D84" s="15155"/>
      <c r="E84" s="1621"/>
      <c r="F84" s="15157" t="s">
        <v>1993</v>
      </c>
      <c r="G84" s="15157"/>
    </row>
    <row r="85" spans="1:7" s="443" customFormat="1" ht="17.25" customHeight="1" thickBot="1">
      <c r="A85" s="1622" t="s">
        <v>1994</v>
      </c>
      <c r="B85" s="1622" t="s">
        <v>1995</v>
      </c>
      <c r="C85" s="442" t="s">
        <v>1996</v>
      </c>
      <c r="D85" s="1622" t="s">
        <v>1997</v>
      </c>
      <c r="E85" s="1622" t="s">
        <v>1998</v>
      </c>
      <c r="F85" s="1622" t="s">
        <v>1789</v>
      </c>
      <c r="G85" s="1622" t="s">
        <v>1790</v>
      </c>
    </row>
    <row r="86" spans="1:7" s="456" customFormat="1" ht="45.75" customHeight="1">
      <c r="A86" s="1055"/>
      <c r="B86" s="853" t="s">
        <v>7053</v>
      </c>
      <c r="C86" s="1056"/>
      <c r="D86" s="2392" t="s">
        <v>7054</v>
      </c>
      <c r="E86" s="2392" t="s">
        <v>7055</v>
      </c>
      <c r="F86" s="1055"/>
      <c r="G86" s="1055"/>
    </row>
    <row r="87" spans="1:7" s="456" customFormat="1" ht="106.5" customHeight="1">
      <c r="A87" s="451"/>
      <c r="B87" s="1050" t="s">
        <v>3676</v>
      </c>
      <c r="C87" s="468"/>
      <c r="D87" s="2394" t="s">
        <v>7056</v>
      </c>
      <c r="E87" s="2394" t="s">
        <v>7057</v>
      </c>
      <c r="F87" s="451"/>
      <c r="G87" s="451"/>
    </row>
    <row r="88" spans="1:7" s="456" customFormat="1" ht="20.25" customHeight="1">
      <c r="A88" s="451"/>
      <c r="B88" s="1050" t="s">
        <v>3677</v>
      </c>
      <c r="C88" s="468"/>
      <c r="D88" s="15149" t="s">
        <v>2024</v>
      </c>
      <c r="E88" s="15150" t="s">
        <v>7058</v>
      </c>
      <c r="F88" s="451"/>
      <c r="G88" s="451"/>
    </row>
    <row r="89" spans="1:7" s="456" customFormat="1" ht="20.25" customHeight="1">
      <c r="A89" s="451"/>
      <c r="B89" s="450" t="s">
        <v>2025</v>
      </c>
      <c r="C89" s="468"/>
      <c r="D89" s="15149"/>
      <c r="E89" s="15150"/>
      <c r="F89" s="451"/>
      <c r="G89" s="451"/>
    </row>
    <row r="90" spans="1:7" ht="29.25" customHeight="1">
      <c r="A90" s="4265"/>
      <c r="B90" s="2397" t="s">
        <v>7059</v>
      </c>
      <c r="C90" s="2398" t="s">
        <v>275</v>
      </c>
      <c r="D90" s="2397" t="s">
        <v>7066</v>
      </c>
      <c r="E90" s="15164" t="s">
        <v>7067</v>
      </c>
      <c r="F90" s="2397"/>
      <c r="G90" s="2397"/>
    </row>
    <row r="91" spans="1:7" ht="14.25" customHeight="1">
      <c r="A91" s="2397"/>
      <c r="B91" s="2397" t="s">
        <v>7060</v>
      </c>
      <c r="C91" s="2398"/>
      <c r="D91" s="15163" t="s">
        <v>2027</v>
      </c>
      <c r="E91" s="15164"/>
      <c r="F91" s="2397"/>
      <c r="G91" s="2397"/>
    </row>
    <row r="92" spans="1:7" ht="14.25" customHeight="1">
      <c r="A92" s="2397"/>
      <c r="B92" s="2397" t="s">
        <v>7061</v>
      </c>
      <c r="C92" s="2398" t="s">
        <v>275</v>
      </c>
      <c r="D92" s="15163"/>
      <c r="E92" s="2397"/>
      <c r="F92" s="2397"/>
      <c r="G92" s="2397"/>
    </row>
    <row r="93" spans="1:7" s="1380" customFormat="1" ht="15.75" customHeight="1">
      <c r="A93" s="2397"/>
      <c r="B93" s="2397" t="s">
        <v>7062</v>
      </c>
      <c r="C93" s="2398"/>
      <c r="D93" s="15163"/>
      <c r="E93" s="2397"/>
      <c r="F93" s="2397"/>
      <c r="G93" s="2397"/>
    </row>
    <row r="94" spans="1:7" s="1380" customFormat="1" ht="15.75" customHeight="1">
      <c r="A94" s="2397"/>
      <c r="B94" s="2395" t="s">
        <v>7063</v>
      </c>
      <c r="C94" s="2398"/>
      <c r="D94" s="2397"/>
      <c r="E94" s="2397"/>
      <c r="F94" s="2397"/>
      <c r="G94" s="2397"/>
    </row>
    <row r="95" spans="1:7" ht="15" customHeight="1">
      <c r="A95" s="450"/>
      <c r="B95" s="2395" t="s">
        <v>7064</v>
      </c>
      <c r="C95" s="462"/>
      <c r="D95" s="1307"/>
      <c r="E95" s="450"/>
      <c r="F95" s="450"/>
      <c r="G95" s="450"/>
    </row>
    <row r="96" spans="1:7" ht="15.75" customHeight="1">
      <c r="A96" s="450"/>
      <c r="B96" s="450" t="s">
        <v>2026</v>
      </c>
      <c r="C96" s="462"/>
      <c r="D96" s="450"/>
      <c r="E96" s="450"/>
      <c r="F96" s="450"/>
      <c r="G96" s="450"/>
    </row>
    <row r="97" spans="1:7" ht="15.75" customHeight="1">
      <c r="A97" s="2397"/>
      <c r="B97" s="2395" t="s">
        <v>7065</v>
      </c>
      <c r="C97" s="2398"/>
      <c r="D97" s="2397"/>
      <c r="E97" s="2397"/>
      <c r="F97" s="2397"/>
      <c r="G97" s="2397"/>
    </row>
    <row r="98" spans="1:7" s="454" customFormat="1" ht="23.25" customHeight="1">
      <c r="A98" s="2399"/>
      <c r="B98" s="2399" t="s">
        <v>3678</v>
      </c>
      <c r="C98" s="2400"/>
      <c r="D98" s="2399"/>
      <c r="E98" s="2399"/>
      <c r="F98" s="2399"/>
      <c r="G98" s="2399"/>
    </row>
    <row r="99" spans="1:7" ht="48" customHeight="1">
      <c r="A99" s="853"/>
      <c r="B99" s="853" t="s">
        <v>7068</v>
      </c>
      <c r="C99" s="854"/>
      <c r="D99" s="853" t="s">
        <v>7069</v>
      </c>
      <c r="E99" s="853" t="s">
        <v>7070</v>
      </c>
      <c r="F99" s="853"/>
      <c r="G99" s="853"/>
    </row>
    <row r="100" spans="1:7" ht="19.5" customHeight="1">
      <c r="A100" s="450"/>
      <c r="B100" s="15149" t="s">
        <v>7071</v>
      </c>
      <c r="C100" s="468"/>
      <c r="D100" s="15161" t="s">
        <v>7072</v>
      </c>
      <c r="E100" s="15149" t="s">
        <v>7073</v>
      </c>
      <c r="F100" s="450"/>
      <c r="G100" s="450"/>
    </row>
    <row r="101" spans="1:7">
      <c r="A101" s="450"/>
      <c r="B101" s="15149"/>
      <c r="C101" s="468"/>
      <c r="D101" s="15161"/>
      <c r="E101" s="15149"/>
      <c r="F101" s="450"/>
      <c r="G101" s="450"/>
    </row>
    <row r="102" spans="1:7" ht="21.75" customHeight="1">
      <c r="A102" s="450"/>
      <c r="B102" s="15149"/>
      <c r="C102" s="468"/>
      <c r="D102" s="15161"/>
      <c r="E102" s="15149"/>
      <c r="F102" s="450"/>
      <c r="G102" s="450"/>
    </row>
    <row r="103" spans="1:7" s="456" customFormat="1" ht="21.75" customHeight="1">
      <c r="A103" s="451"/>
      <c r="B103" s="1057" t="s">
        <v>3679</v>
      </c>
      <c r="C103" s="468"/>
      <c r="D103" s="451"/>
      <c r="E103" s="451"/>
      <c r="F103" s="15150"/>
      <c r="G103" s="15150"/>
    </row>
    <row r="104" spans="1:7" ht="36" customHeight="1">
      <c r="A104" s="450"/>
      <c r="B104" s="2394" t="s">
        <v>7074</v>
      </c>
      <c r="C104" s="468"/>
      <c r="D104" s="2397" t="s">
        <v>7076</v>
      </c>
      <c r="E104" s="15158" t="s">
        <v>7078</v>
      </c>
      <c r="F104" s="15150"/>
      <c r="G104" s="15150"/>
    </row>
    <row r="105" spans="1:7" ht="30" customHeight="1" thickBot="1">
      <c r="A105" s="450"/>
      <c r="B105" s="2394" t="s">
        <v>7075</v>
      </c>
      <c r="C105" s="468"/>
      <c r="D105" s="452" t="s">
        <v>7077</v>
      </c>
      <c r="E105" s="15158"/>
      <c r="F105" s="450"/>
      <c r="G105" s="450"/>
    </row>
    <row r="106" spans="1:7" ht="13.8" thickBot="1">
      <c r="A106" s="469"/>
      <c r="B106" s="470" t="s">
        <v>271</v>
      </c>
      <c r="C106" s="471">
        <f>SUM(C68+C54+C35+C24)</f>
        <v>14495997</v>
      </c>
      <c r="D106" s="470"/>
      <c r="E106" s="470"/>
      <c r="F106" s="470"/>
      <c r="G106" s="453"/>
    </row>
  </sheetData>
  <mergeCells count="52">
    <mergeCell ref="D52:D53"/>
    <mergeCell ref="E52:E53"/>
    <mergeCell ref="E63:E64"/>
    <mergeCell ref="D66:D67"/>
    <mergeCell ref="D69:D70"/>
    <mergeCell ref="E69:E72"/>
    <mergeCell ref="D55:D60"/>
    <mergeCell ref="D61:D63"/>
    <mergeCell ref="F54:F55"/>
    <mergeCell ref="G54:G55"/>
    <mergeCell ref="E55:E56"/>
    <mergeCell ref="E61:E62"/>
    <mergeCell ref="E90:E91"/>
    <mergeCell ref="G68:G69"/>
    <mergeCell ref="E66:E67"/>
    <mergeCell ref="E104:E105"/>
    <mergeCell ref="G103:G104"/>
    <mergeCell ref="F103:F104"/>
    <mergeCell ref="D64:D65"/>
    <mergeCell ref="D83:D84"/>
    <mergeCell ref="D91:D93"/>
    <mergeCell ref="B100:B102"/>
    <mergeCell ref="D100:D102"/>
    <mergeCell ref="E100:E102"/>
    <mergeCell ref="F68:F69"/>
    <mergeCell ref="D88:D89"/>
    <mergeCell ref="E88:E89"/>
    <mergeCell ref="F83:G83"/>
    <mergeCell ref="F84:G84"/>
    <mergeCell ref="F35:F36"/>
    <mergeCell ref="G35:G36"/>
    <mergeCell ref="D50:D51"/>
    <mergeCell ref="E50:E51"/>
    <mergeCell ref="D36:D38"/>
    <mergeCell ref="E36:E38"/>
    <mergeCell ref="D45:D46"/>
    <mergeCell ref="F45:G45"/>
    <mergeCell ref="F46:G46"/>
    <mergeCell ref="D32:D33"/>
    <mergeCell ref="E32:E33"/>
    <mergeCell ref="A1:G1"/>
    <mergeCell ref="A7:G7"/>
    <mergeCell ref="A8:G8"/>
    <mergeCell ref="D20:D21"/>
    <mergeCell ref="F20:G20"/>
    <mergeCell ref="F21:G21"/>
    <mergeCell ref="F25:F26"/>
    <mergeCell ref="G25:G26"/>
    <mergeCell ref="F30:F31"/>
    <mergeCell ref="G30:G31"/>
    <mergeCell ref="D25:D26"/>
    <mergeCell ref="D27:D28"/>
  </mergeCells>
  <pageMargins left="0.5" right="0.25" top="0.75" bottom="0.5" header="0.5" footer="0.25"/>
  <pageSetup paperSize="119" firstPageNumber="296" orientation="portrait" useFirstPageNumber="1" verticalDpi="300" r:id="rId1"/>
  <headerFooter alignWithMargins="0"/>
</worksheet>
</file>

<file path=xl/worksheets/sheet149.xml><?xml version="1.0" encoding="utf-8"?>
<worksheet xmlns="http://schemas.openxmlformats.org/spreadsheetml/2006/main" xmlns:r="http://schemas.openxmlformats.org/officeDocument/2006/relationships">
  <sheetPr codeName="Sheet109">
    <tabColor theme="8" tint="-0.249977111117893"/>
  </sheetPr>
  <dimension ref="A1:L149"/>
  <sheetViews>
    <sheetView showGridLines="0" topLeftCell="A3" workbookViewId="0">
      <selection activeCell="B3" sqref="B3"/>
    </sheetView>
  </sheetViews>
  <sheetFormatPr defaultRowHeight="15" customHeight="1"/>
  <cols>
    <col min="1" max="1" width="3.88671875" style="7275" customWidth="1"/>
    <col min="2" max="2" width="55.5546875" style="7275" customWidth="1"/>
    <col min="3" max="3" width="12.5546875" style="7346" customWidth="1"/>
    <col min="4" max="7" width="15.5546875" style="7347" customWidth="1"/>
    <col min="8" max="8" width="13.6640625" style="7347" hidden="1" customWidth="1"/>
    <col min="9" max="9" width="9" style="7348" hidden="1" customWidth="1"/>
    <col min="10" max="10" width="15.5546875" style="7347" customWidth="1"/>
    <col min="11" max="11" width="16.109375" style="7275" hidden="1" customWidth="1"/>
    <col min="12" max="12" width="4.88671875" style="7346" hidden="1" customWidth="1"/>
    <col min="13" max="15" width="0" style="7275" hidden="1" customWidth="1"/>
    <col min="16" max="187" width="9.109375" style="7275"/>
    <col min="188" max="188" width="3.88671875" style="7275" customWidth="1"/>
    <col min="189" max="189" width="36.109375" style="7275" customWidth="1"/>
    <col min="190" max="190" width="11" style="7275" customWidth="1"/>
    <col min="191" max="191" width="16.109375" style="7275" customWidth="1"/>
    <col min="192" max="192" width="15.44140625" style="7275" customWidth="1"/>
    <col min="193" max="193" width="16.44140625" style="7275" customWidth="1"/>
    <col min="194" max="195" width="9.109375" style="7275"/>
    <col min="196" max="196" width="13" style="7275" bestFit="1" customWidth="1"/>
    <col min="197" max="443" width="9.109375" style="7275"/>
    <col min="444" max="444" width="3.88671875" style="7275" customWidth="1"/>
    <col min="445" max="445" width="36.109375" style="7275" customWidth="1"/>
    <col min="446" max="446" width="11" style="7275" customWidth="1"/>
    <col min="447" max="447" width="16.109375" style="7275" customWidth="1"/>
    <col min="448" max="448" width="15.44140625" style="7275" customWidth="1"/>
    <col min="449" max="449" width="16.44140625" style="7275" customWidth="1"/>
    <col min="450" max="451" width="9.109375" style="7275"/>
    <col min="452" max="452" width="13" style="7275" bestFit="1" customWidth="1"/>
    <col min="453" max="699" width="9.109375" style="7275"/>
    <col min="700" max="700" width="3.88671875" style="7275" customWidth="1"/>
    <col min="701" max="701" width="36.109375" style="7275" customWidth="1"/>
    <col min="702" max="702" width="11" style="7275" customWidth="1"/>
    <col min="703" max="703" width="16.109375" style="7275" customWidth="1"/>
    <col min="704" max="704" width="15.44140625" style="7275" customWidth="1"/>
    <col min="705" max="705" width="16.44140625" style="7275" customWidth="1"/>
    <col min="706" max="707" width="9.109375" style="7275"/>
    <col min="708" max="708" width="13" style="7275" bestFit="1" customWidth="1"/>
    <col min="709" max="955" width="9.109375" style="7275"/>
    <col min="956" max="956" width="3.88671875" style="7275" customWidth="1"/>
    <col min="957" max="957" width="36.109375" style="7275" customWidth="1"/>
    <col min="958" max="958" width="11" style="7275" customWidth="1"/>
    <col min="959" max="959" width="16.109375" style="7275" customWidth="1"/>
    <col min="960" max="960" width="15.44140625" style="7275" customWidth="1"/>
    <col min="961" max="961" width="16.44140625" style="7275" customWidth="1"/>
    <col min="962" max="963" width="9.109375" style="7275"/>
    <col min="964" max="964" width="13" style="7275" bestFit="1" customWidth="1"/>
    <col min="965" max="1211" width="9.109375" style="7275"/>
    <col min="1212" max="1212" width="3.88671875" style="7275" customWidth="1"/>
    <col min="1213" max="1213" width="36.109375" style="7275" customWidth="1"/>
    <col min="1214" max="1214" width="11" style="7275" customWidth="1"/>
    <col min="1215" max="1215" width="16.109375" style="7275" customWidth="1"/>
    <col min="1216" max="1216" width="15.44140625" style="7275" customWidth="1"/>
    <col min="1217" max="1217" width="16.44140625" style="7275" customWidth="1"/>
    <col min="1218" max="1219" width="9.109375" style="7275"/>
    <col min="1220" max="1220" width="13" style="7275" bestFit="1" customWidth="1"/>
    <col min="1221" max="1467" width="9.109375" style="7275"/>
    <col min="1468" max="1468" width="3.88671875" style="7275" customWidth="1"/>
    <col min="1469" max="1469" width="36.109375" style="7275" customWidth="1"/>
    <col min="1470" max="1470" width="11" style="7275" customWidth="1"/>
    <col min="1471" max="1471" width="16.109375" style="7275" customWidth="1"/>
    <col min="1472" max="1472" width="15.44140625" style="7275" customWidth="1"/>
    <col min="1473" max="1473" width="16.44140625" style="7275" customWidth="1"/>
    <col min="1474" max="1475" width="9.109375" style="7275"/>
    <col min="1476" max="1476" width="13" style="7275" bestFit="1" customWidth="1"/>
    <col min="1477" max="1723" width="9.109375" style="7275"/>
    <col min="1724" max="1724" width="3.88671875" style="7275" customWidth="1"/>
    <col min="1725" max="1725" width="36.109375" style="7275" customWidth="1"/>
    <col min="1726" max="1726" width="11" style="7275" customWidth="1"/>
    <col min="1727" max="1727" width="16.109375" style="7275" customWidth="1"/>
    <col min="1728" max="1728" width="15.44140625" style="7275" customWidth="1"/>
    <col min="1729" max="1729" width="16.44140625" style="7275" customWidth="1"/>
    <col min="1730" max="1731" width="9.109375" style="7275"/>
    <col min="1732" max="1732" width="13" style="7275" bestFit="1" customWidth="1"/>
    <col min="1733" max="1979" width="9.109375" style="7275"/>
    <col min="1980" max="1980" width="3.88671875" style="7275" customWidth="1"/>
    <col min="1981" max="1981" width="36.109375" style="7275" customWidth="1"/>
    <col min="1982" max="1982" width="11" style="7275" customWidth="1"/>
    <col min="1983" max="1983" width="16.109375" style="7275" customWidth="1"/>
    <col min="1984" max="1984" width="15.44140625" style="7275" customWidth="1"/>
    <col min="1985" max="1985" width="16.44140625" style="7275" customWidth="1"/>
    <col min="1986" max="1987" width="9.109375" style="7275"/>
    <col min="1988" max="1988" width="13" style="7275" bestFit="1" customWidth="1"/>
    <col min="1989" max="2235" width="9.109375" style="7275"/>
    <col min="2236" max="2236" width="3.88671875" style="7275" customWidth="1"/>
    <col min="2237" max="2237" width="36.109375" style="7275" customWidth="1"/>
    <col min="2238" max="2238" width="11" style="7275" customWidth="1"/>
    <col min="2239" max="2239" width="16.109375" style="7275" customWidth="1"/>
    <col min="2240" max="2240" width="15.44140625" style="7275" customWidth="1"/>
    <col min="2241" max="2241" width="16.44140625" style="7275" customWidth="1"/>
    <col min="2242" max="2243" width="9.109375" style="7275"/>
    <col min="2244" max="2244" width="13" style="7275" bestFit="1" customWidth="1"/>
    <col min="2245" max="2491" width="9.109375" style="7275"/>
    <col min="2492" max="2492" width="3.88671875" style="7275" customWidth="1"/>
    <col min="2493" max="2493" width="36.109375" style="7275" customWidth="1"/>
    <col min="2494" max="2494" width="11" style="7275" customWidth="1"/>
    <col min="2495" max="2495" width="16.109375" style="7275" customWidth="1"/>
    <col min="2496" max="2496" width="15.44140625" style="7275" customWidth="1"/>
    <col min="2497" max="2497" width="16.44140625" style="7275" customWidth="1"/>
    <col min="2498" max="2499" width="9.109375" style="7275"/>
    <col min="2500" max="2500" width="13" style="7275" bestFit="1" customWidth="1"/>
    <col min="2501" max="2747" width="9.109375" style="7275"/>
    <col min="2748" max="2748" width="3.88671875" style="7275" customWidth="1"/>
    <col min="2749" max="2749" width="36.109375" style="7275" customWidth="1"/>
    <col min="2750" max="2750" width="11" style="7275" customWidth="1"/>
    <col min="2751" max="2751" width="16.109375" style="7275" customWidth="1"/>
    <col min="2752" max="2752" width="15.44140625" style="7275" customWidth="1"/>
    <col min="2753" max="2753" width="16.44140625" style="7275" customWidth="1"/>
    <col min="2754" max="2755" width="9.109375" style="7275"/>
    <col min="2756" max="2756" width="13" style="7275" bestFit="1" customWidth="1"/>
    <col min="2757" max="3003" width="9.109375" style="7275"/>
    <col min="3004" max="3004" width="3.88671875" style="7275" customWidth="1"/>
    <col min="3005" max="3005" width="36.109375" style="7275" customWidth="1"/>
    <col min="3006" max="3006" width="11" style="7275" customWidth="1"/>
    <col min="3007" max="3007" width="16.109375" style="7275" customWidth="1"/>
    <col min="3008" max="3008" width="15.44140625" style="7275" customWidth="1"/>
    <col min="3009" max="3009" width="16.44140625" style="7275" customWidth="1"/>
    <col min="3010" max="3011" width="9.109375" style="7275"/>
    <col min="3012" max="3012" width="13" style="7275" bestFit="1" customWidth="1"/>
    <col min="3013" max="3259" width="9.109375" style="7275"/>
    <col min="3260" max="3260" width="3.88671875" style="7275" customWidth="1"/>
    <col min="3261" max="3261" width="36.109375" style="7275" customWidth="1"/>
    <col min="3262" max="3262" width="11" style="7275" customWidth="1"/>
    <col min="3263" max="3263" width="16.109375" style="7275" customWidth="1"/>
    <col min="3264" max="3264" width="15.44140625" style="7275" customWidth="1"/>
    <col min="3265" max="3265" width="16.44140625" style="7275" customWidth="1"/>
    <col min="3266" max="3267" width="9.109375" style="7275"/>
    <col min="3268" max="3268" width="13" style="7275" bestFit="1" customWidth="1"/>
    <col min="3269" max="3515" width="9.109375" style="7275"/>
    <col min="3516" max="3516" width="3.88671875" style="7275" customWidth="1"/>
    <col min="3517" max="3517" width="36.109375" style="7275" customWidth="1"/>
    <col min="3518" max="3518" width="11" style="7275" customWidth="1"/>
    <col min="3519" max="3519" width="16.109375" style="7275" customWidth="1"/>
    <col min="3520" max="3520" width="15.44140625" style="7275" customWidth="1"/>
    <col min="3521" max="3521" width="16.44140625" style="7275" customWidth="1"/>
    <col min="3522" max="3523" width="9.109375" style="7275"/>
    <col min="3524" max="3524" width="13" style="7275" bestFit="1" customWidth="1"/>
    <col min="3525" max="3771" width="9.109375" style="7275"/>
    <col min="3772" max="3772" width="3.88671875" style="7275" customWidth="1"/>
    <col min="3773" max="3773" width="36.109375" style="7275" customWidth="1"/>
    <col min="3774" max="3774" width="11" style="7275" customWidth="1"/>
    <col min="3775" max="3775" width="16.109375" style="7275" customWidth="1"/>
    <col min="3776" max="3776" width="15.44140625" style="7275" customWidth="1"/>
    <col min="3777" max="3777" width="16.44140625" style="7275" customWidth="1"/>
    <col min="3778" max="3779" width="9.109375" style="7275"/>
    <col min="3780" max="3780" width="13" style="7275" bestFit="1" customWidth="1"/>
    <col min="3781" max="4027" width="9.109375" style="7275"/>
    <col min="4028" max="4028" width="3.88671875" style="7275" customWidth="1"/>
    <col min="4029" max="4029" width="36.109375" style="7275" customWidth="1"/>
    <col min="4030" max="4030" width="11" style="7275" customWidth="1"/>
    <col min="4031" max="4031" width="16.109375" style="7275" customWidth="1"/>
    <col min="4032" max="4032" width="15.44140625" style="7275" customWidth="1"/>
    <col min="4033" max="4033" width="16.44140625" style="7275" customWidth="1"/>
    <col min="4034" max="4035" width="9.109375" style="7275"/>
    <col min="4036" max="4036" width="13" style="7275" bestFit="1" customWidth="1"/>
    <col min="4037" max="4283" width="9.109375" style="7275"/>
    <col min="4284" max="4284" width="3.88671875" style="7275" customWidth="1"/>
    <col min="4285" max="4285" width="36.109375" style="7275" customWidth="1"/>
    <col min="4286" max="4286" width="11" style="7275" customWidth="1"/>
    <col min="4287" max="4287" width="16.109375" style="7275" customWidth="1"/>
    <col min="4288" max="4288" width="15.44140625" style="7275" customWidth="1"/>
    <col min="4289" max="4289" width="16.44140625" style="7275" customWidth="1"/>
    <col min="4290" max="4291" width="9.109375" style="7275"/>
    <col min="4292" max="4292" width="13" style="7275" bestFit="1" customWidth="1"/>
    <col min="4293" max="4539" width="9.109375" style="7275"/>
    <col min="4540" max="4540" width="3.88671875" style="7275" customWidth="1"/>
    <col min="4541" max="4541" width="36.109375" style="7275" customWidth="1"/>
    <col min="4542" max="4542" width="11" style="7275" customWidth="1"/>
    <col min="4543" max="4543" width="16.109375" style="7275" customWidth="1"/>
    <col min="4544" max="4544" width="15.44140625" style="7275" customWidth="1"/>
    <col min="4545" max="4545" width="16.44140625" style="7275" customWidth="1"/>
    <col min="4546" max="4547" width="9.109375" style="7275"/>
    <col min="4548" max="4548" width="13" style="7275" bestFit="1" customWidth="1"/>
    <col min="4549" max="4795" width="9.109375" style="7275"/>
    <col min="4796" max="4796" width="3.88671875" style="7275" customWidth="1"/>
    <col min="4797" max="4797" width="36.109375" style="7275" customWidth="1"/>
    <col min="4798" max="4798" width="11" style="7275" customWidth="1"/>
    <col min="4799" max="4799" width="16.109375" style="7275" customWidth="1"/>
    <col min="4800" max="4800" width="15.44140625" style="7275" customWidth="1"/>
    <col min="4801" max="4801" width="16.44140625" style="7275" customWidth="1"/>
    <col min="4802" max="4803" width="9.109375" style="7275"/>
    <col min="4804" max="4804" width="13" style="7275" bestFit="1" customWidth="1"/>
    <col min="4805" max="5051" width="9.109375" style="7275"/>
    <col min="5052" max="5052" width="3.88671875" style="7275" customWidth="1"/>
    <col min="5053" max="5053" width="36.109375" style="7275" customWidth="1"/>
    <col min="5054" max="5054" width="11" style="7275" customWidth="1"/>
    <col min="5055" max="5055" width="16.109375" style="7275" customWidth="1"/>
    <col min="5056" max="5056" width="15.44140625" style="7275" customWidth="1"/>
    <col min="5057" max="5057" width="16.44140625" style="7275" customWidth="1"/>
    <col min="5058" max="5059" width="9.109375" style="7275"/>
    <col min="5060" max="5060" width="13" style="7275" bestFit="1" customWidth="1"/>
    <col min="5061" max="5307" width="9.109375" style="7275"/>
    <col min="5308" max="5308" width="3.88671875" style="7275" customWidth="1"/>
    <col min="5309" max="5309" width="36.109375" style="7275" customWidth="1"/>
    <col min="5310" max="5310" width="11" style="7275" customWidth="1"/>
    <col min="5311" max="5311" width="16.109375" style="7275" customWidth="1"/>
    <col min="5312" max="5312" width="15.44140625" style="7275" customWidth="1"/>
    <col min="5313" max="5313" width="16.44140625" style="7275" customWidth="1"/>
    <col min="5314" max="5315" width="9.109375" style="7275"/>
    <col min="5316" max="5316" width="13" style="7275" bestFit="1" customWidth="1"/>
    <col min="5317" max="5563" width="9.109375" style="7275"/>
    <col min="5564" max="5564" width="3.88671875" style="7275" customWidth="1"/>
    <col min="5565" max="5565" width="36.109375" style="7275" customWidth="1"/>
    <col min="5566" max="5566" width="11" style="7275" customWidth="1"/>
    <col min="5567" max="5567" width="16.109375" style="7275" customWidth="1"/>
    <col min="5568" max="5568" width="15.44140625" style="7275" customWidth="1"/>
    <col min="5569" max="5569" width="16.44140625" style="7275" customWidth="1"/>
    <col min="5570" max="5571" width="9.109375" style="7275"/>
    <col min="5572" max="5572" width="13" style="7275" bestFit="1" customWidth="1"/>
    <col min="5573" max="5819" width="9.109375" style="7275"/>
    <col min="5820" max="5820" width="3.88671875" style="7275" customWidth="1"/>
    <col min="5821" max="5821" width="36.109375" style="7275" customWidth="1"/>
    <col min="5822" max="5822" width="11" style="7275" customWidth="1"/>
    <col min="5823" max="5823" width="16.109375" style="7275" customWidth="1"/>
    <col min="5824" max="5824" width="15.44140625" style="7275" customWidth="1"/>
    <col min="5825" max="5825" width="16.44140625" style="7275" customWidth="1"/>
    <col min="5826" max="5827" width="9.109375" style="7275"/>
    <col min="5828" max="5828" width="13" style="7275" bestFit="1" customWidth="1"/>
    <col min="5829" max="6075" width="9.109375" style="7275"/>
    <col min="6076" max="6076" width="3.88671875" style="7275" customWidth="1"/>
    <col min="6077" max="6077" width="36.109375" style="7275" customWidth="1"/>
    <col min="6078" max="6078" width="11" style="7275" customWidth="1"/>
    <col min="6079" max="6079" width="16.109375" style="7275" customWidth="1"/>
    <col min="6080" max="6080" width="15.44140625" style="7275" customWidth="1"/>
    <col min="6081" max="6081" width="16.44140625" style="7275" customWidth="1"/>
    <col min="6082" max="6083" width="9.109375" style="7275"/>
    <col min="6084" max="6084" width="13" style="7275" bestFit="1" customWidth="1"/>
    <col min="6085" max="6331" width="9.109375" style="7275"/>
    <col min="6332" max="6332" width="3.88671875" style="7275" customWidth="1"/>
    <col min="6333" max="6333" width="36.109375" style="7275" customWidth="1"/>
    <col min="6334" max="6334" width="11" style="7275" customWidth="1"/>
    <col min="6335" max="6335" width="16.109375" style="7275" customWidth="1"/>
    <col min="6336" max="6336" width="15.44140625" style="7275" customWidth="1"/>
    <col min="6337" max="6337" width="16.44140625" style="7275" customWidth="1"/>
    <col min="6338" max="6339" width="9.109375" style="7275"/>
    <col min="6340" max="6340" width="13" style="7275" bestFit="1" customWidth="1"/>
    <col min="6341" max="6587" width="9.109375" style="7275"/>
    <col min="6588" max="6588" width="3.88671875" style="7275" customWidth="1"/>
    <col min="6589" max="6589" width="36.109375" style="7275" customWidth="1"/>
    <col min="6590" max="6590" width="11" style="7275" customWidth="1"/>
    <col min="6591" max="6591" width="16.109375" style="7275" customWidth="1"/>
    <col min="6592" max="6592" width="15.44140625" style="7275" customWidth="1"/>
    <col min="6593" max="6593" width="16.44140625" style="7275" customWidth="1"/>
    <col min="6594" max="6595" width="9.109375" style="7275"/>
    <col min="6596" max="6596" width="13" style="7275" bestFit="1" customWidth="1"/>
    <col min="6597" max="6843" width="9.109375" style="7275"/>
    <col min="6844" max="6844" width="3.88671875" style="7275" customWidth="1"/>
    <col min="6845" max="6845" width="36.109375" style="7275" customWidth="1"/>
    <col min="6846" max="6846" width="11" style="7275" customWidth="1"/>
    <col min="6847" max="6847" width="16.109375" style="7275" customWidth="1"/>
    <col min="6848" max="6848" width="15.44140625" style="7275" customWidth="1"/>
    <col min="6849" max="6849" width="16.44140625" style="7275" customWidth="1"/>
    <col min="6850" max="6851" width="9.109375" style="7275"/>
    <col min="6852" max="6852" width="13" style="7275" bestFit="1" customWidth="1"/>
    <col min="6853" max="7099" width="9.109375" style="7275"/>
    <col min="7100" max="7100" width="3.88671875" style="7275" customWidth="1"/>
    <col min="7101" max="7101" width="36.109375" style="7275" customWidth="1"/>
    <col min="7102" max="7102" width="11" style="7275" customWidth="1"/>
    <col min="7103" max="7103" width="16.109375" style="7275" customWidth="1"/>
    <col min="7104" max="7104" width="15.44140625" style="7275" customWidth="1"/>
    <col min="7105" max="7105" width="16.44140625" style="7275" customWidth="1"/>
    <col min="7106" max="7107" width="9.109375" style="7275"/>
    <col min="7108" max="7108" width="13" style="7275" bestFit="1" customWidth="1"/>
    <col min="7109" max="7355" width="9.109375" style="7275"/>
    <col min="7356" max="7356" width="3.88671875" style="7275" customWidth="1"/>
    <col min="7357" max="7357" width="36.109375" style="7275" customWidth="1"/>
    <col min="7358" max="7358" width="11" style="7275" customWidth="1"/>
    <col min="7359" max="7359" width="16.109375" style="7275" customWidth="1"/>
    <col min="7360" max="7360" width="15.44140625" style="7275" customWidth="1"/>
    <col min="7361" max="7361" width="16.44140625" style="7275" customWidth="1"/>
    <col min="7362" max="7363" width="9.109375" style="7275"/>
    <col min="7364" max="7364" width="13" style="7275" bestFit="1" customWidth="1"/>
    <col min="7365" max="7611" width="9.109375" style="7275"/>
    <col min="7612" max="7612" width="3.88671875" style="7275" customWidth="1"/>
    <col min="7613" max="7613" width="36.109375" style="7275" customWidth="1"/>
    <col min="7614" max="7614" width="11" style="7275" customWidth="1"/>
    <col min="7615" max="7615" width="16.109375" style="7275" customWidth="1"/>
    <col min="7616" max="7616" width="15.44140625" style="7275" customWidth="1"/>
    <col min="7617" max="7617" width="16.44140625" style="7275" customWidth="1"/>
    <col min="7618" max="7619" width="9.109375" style="7275"/>
    <col min="7620" max="7620" width="13" style="7275" bestFit="1" customWidth="1"/>
    <col min="7621" max="7867" width="9.109375" style="7275"/>
    <col min="7868" max="7868" width="3.88671875" style="7275" customWidth="1"/>
    <col min="7869" max="7869" width="36.109375" style="7275" customWidth="1"/>
    <col min="7870" max="7870" width="11" style="7275" customWidth="1"/>
    <col min="7871" max="7871" width="16.109375" style="7275" customWidth="1"/>
    <col min="7872" max="7872" width="15.44140625" style="7275" customWidth="1"/>
    <col min="7873" max="7873" width="16.44140625" style="7275" customWidth="1"/>
    <col min="7874" max="7875" width="9.109375" style="7275"/>
    <col min="7876" max="7876" width="13" style="7275" bestFit="1" customWidth="1"/>
    <col min="7877" max="8123" width="9.109375" style="7275"/>
    <col min="8124" max="8124" width="3.88671875" style="7275" customWidth="1"/>
    <col min="8125" max="8125" width="36.109375" style="7275" customWidth="1"/>
    <col min="8126" max="8126" width="11" style="7275" customWidth="1"/>
    <col min="8127" max="8127" width="16.109375" style="7275" customWidth="1"/>
    <col min="8128" max="8128" width="15.44140625" style="7275" customWidth="1"/>
    <col min="8129" max="8129" width="16.44140625" style="7275" customWidth="1"/>
    <col min="8130" max="8131" width="9.109375" style="7275"/>
    <col min="8132" max="8132" width="13" style="7275" bestFit="1" customWidth="1"/>
    <col min="8133" max="8379" width="9.109375" style="7275"/>
    <col min="8380" max="8380" width="3.88671875" style="7275" customWidth="1"/>
    <col min="8381" max="8381" width="36.109375" style="7275" customWidth="1"/>
    <col min="8382" max="8382" width="11" style="7275" customWidth="1"/>
    <col min="8383" max="8383" width="16.109375" style="7275" customWidth="1"/>
    <col min="8384" max="8384" width="15.44140625" style="7275" customWidth="1"/>
    <col min="8385" max="8385" width="16.44140625" style="7275" customWidth="1"/>
    <col min="8386" max="8387" width="9.109375" style="7275"/>
    <col min="8388" max="8388" width="13" style="7275" bestFit="1" customWidth="1"/>
    <col min="8389" max="8635" width="9.109375" style="7275"/>
    <col min="8636" max="8636" width="3.88671875" style="7275" customWidth="1"/>
    <col min="8637" max="8637" width="36.109375" style="7275" customWidth="1"/>
    <col min="8638" max="8638" width="11" style="7275" customWidth="1"/>
    <col min="8639" max="8639" width="16.109375" style="7275" customWidth="1"/>
    <col min="8640" max="8640" width="15.44140625" style="7275" customWidth="1"/>
    <col min="8641" max="8641" width="16.44140625" style="7275" customWidth="1"/>
    <col min="8642" max="8643" width="9.109375" style="7275"/>
    <col min="8644" max="8644" width="13" style="7275" bestFit="1" customWidth="1"/>
    <col min="8645" max="8891" width="9.109375" style="7275"/>
    <col min="8892" max="8892" width="3.88671875" style="7275" customWidth="1"/>
    <col min="8893" max="8893" width="36.109375" style="7275" customWidth="1"/>
    <col min="8894" max="8894" width="11" style="7275" customWidth="1"/>
    <col min="8895" max="8895" width="16.109375" style="7275" customWidth="1"/>
    <col min="8896" max="8896" width="15.44140625" style="7275" customWidth="1"/>
    <col min="8897" max="8897" width="16.44140625" style="7275" customWidth="1"/>
    <col min="8898" max="8899" width="9.109375" style="7275"/>
    <col min="8900" max="8900" width="13" style="7275" bestFit="1" customWidth="1"/>
    <col min="8901" max="9147" width="9.109375" style="7275"/>
    <col min="9148" max="9148" width="3.88671875" style="7275" customWidth="1"/>
    <col min="9149" max="9149" width="36.109375" style="7275" customWidth="1"/>
    <col min="9150" max="9150" width="11" style="7275" customWidth="1"/>
    <col min="9151" max="9151" width="16.109375" style="7275" customWidth="1"/>
    <col min="9152" max="9152" width="15.44140625" style="7275" customWidth="1"/>
    <col min="9153" max="9153" width="16.44140625" style="7275" customWidth="1"/>
    <col min="9154" max="9155" width="9.109375" style="7275"/>
    <col min="9156" max="9156" width="13" style="7275" bestFit="1" customWidth="1"/>
    <col min="9157" max="9403" width="9.109375" style="7275"/>
    <col min="9404" max="9404" width="3.88671875" style="7275" customWidth="1"/>
    <col min="9405" max="9405" width="36.109375" style="7275" customWidth="1"/>
    <col min="9406" max="9406" width="11" style="7275" customWidth="1"/>
    <col min="9407" max="9407" width="16.109375" style="7275" customWidth="1"/>
    <col min="9408" max="9408" width="15.44140625" style="7275" customWidth="1"/>
    <col min="9409" max="9409" width="16.44140625" style="7275" customWidth="1"/>
    <col min="9410" max="9411" width="9.109375" style="7275"/>
    <col min="9412" max="9412" width="13" style="7275" bestFit="1" customWidth="1"/>
    <col min="9413" max="9659" width="9.109375" style="7275"/>
    <col min="9660" max="9660" width="3.88671875" style="7275" customWidth="1"/>
    <col min="9661" max="9661" width="36.109375" style="7275" customWidth="1"/>
    <col min="9662" max="9662" width="11" style="7275" customWidth="1"/>
    <col min="9663" max="9663" width="16.109375" style="7275" customWidth="1"/>
    <col min="9664" max="9664" width="15.44140625" style="7275" customWidth="1"/>
    <col min="9665" max="9665" width="16.44140625" style="7275" customWidth="1"/>
    <col min="9666" max="9667" width="9.109375" style="7275"/>
    <col min="9668" max="9668" width="13" style="7275" bestFit="1" customWidth="1"/>
    <col min="9669" max="9915" width="9.109375" style="7275"/>
    <col min="9916" max="9916" width="3.88671875" style="7275" customWidth="1"/>
    <col min="9917" max="9917" width="36.109375" style="7275" customWidth="1"/>
    <col min="9918" max="9918" width="11" style="7275" customWidth="1"/>
    <col min="9919" max="9919" width="16.109375" style="7275" customWidth="1"/>
    <col min="9920" max="9920" width="15.44140625" style="7275" customWidth="1"/>
    <col min="9921" max="9921" width="16.44140625" style="7275" customWidth="1"/>
    <col min="9922" max="9923" width="9.109375" style="7275"/>
    <col min="9924" max="9924" width="13" style="7275" bestFit="1" customWidth="1"/>
    <col min="9925" max="10171" width="9.109375" style="7275"/>
    <col min="10172" max="10172" width="3.88671875" style="7275" customWidth="1"/>
    <col min="10173" max="10173" width="36.109375" style="7275" customWidth="1"/>
    <col min="10174" max="10174" width="11" style="7275" customWidth="1"/>
    <col min="10175" max="10175" width="16.109375" style="7275" customWidth="1"/>
    <col min="10176" max="10176" width="15.44140625" style="7275" customWidth="1"/>
    <col min="10177" max="10177" width="16.44140625" style="7275" customWidth="1"/>
    <col min="10178" max="10179" width="9.109375" style="7275"/>
    <col min="10180" max="10180" width="13" style="7275" bestFit="1" customWidth="1"/>
    <col min="10181" max="10427" width="9.109375" style="7275"/>
    <col min="10428" max="10428" width="3.88671875" style="7275" customWidth="1"/>
    <col min="10429" max="10429" width="36.109375" style="7275" customWidth="1"/>
    <col min="10430" max="10430" width="11" style="7275" customWidth="1"/>
    <col min="10431" max="10431" width="16.109375" style="7275" customWidth="1"/>
    <col min="10432" max="10432" width="15.44140625" style="7275" customWidth="1"/>
    <col min="10433" max="10433" width="16.44140625" style="7275" customWidth="1"/>
    <col min="10434" max="10435" width="9.109375" style="7275"/>
    <col min="10436" max="10436" width="13" style="7275" bestFit="1" customWidth="1"/>
    <col min="10437" max="10683" width="9.109375" style="7275"/>
    <col min="10684" max="10684" width="3.88671875" style="7275" customWidth="1"/>
    <col min="10685" max="10685" width="36.109375" style="7275" customWidth="1"/>
    <col min="10686" max="10686" width="11" style="7275" customWidth="1"/>
    <col min="10687" max="10687" width="16.109375" style="7275" customWidth="1"/>
    <col min="10688" max="10688" width="15.44140625" style="7275" customWidth="1"/>
    <col min="10689" max="10689" width="16.44140625" style="7275" customWidth="1"/>
    <col min="10690" max="10691" width="9.109375" style="7275"/>
    <col min="10692" max="10692" width="13" style="7275" bestFit="1" customWidth="1"/>
    <col min="10693" max="10939" width="9.109375" style="7275"/>
    <col min="10940" max="10940" width="3.88671875" style="7275" customWidth="1"/>
    <col min="10941" max="10941" width="36.109375" style="7275" customWidth="1"/>
    <col min="10942" max="10942" width="11" style="7275" customWidth="1"/>
    <col min="10943" max="10943" width="16.109375" style="7275" customWidth="1"/>
    <col min="10944" max="10944" width="15.44140625" style="7275" customWidth="1"/>
    <col min="10945" max="10945" width="16.44140625" style="7275" customWidth="1"/>
    <col min="10946" max="10947" width="9.109375" style="7275"/>
    <col min="10948" max="10948" width="13" style="7275" bestFit="1" customWidth="1"/>
    <col min="10949" max="11195" width="9.109375" style="7275"/>
    <col min="11196" max="11196" width="3.88671875" style="7275" customWidth="1"/>
    <col min="11197" max="11197" width="36.109375" style="7275" customWidth="1"/>
    <col min="11198" max="11198" width="11" style="7275" customWidth="1"/>
    <col min="11199" max="11199" width="16.109375" style="7275" customWidth="1"/>
    <col min="11200" max="11200" width="15.44140625" style="7275" customWidth="1"/>
    <col min="11201" max="11201" width="16.44140625" style="7275" customWidth="1"/>
    <col min="11202" max="11203" width="9.109375" style="7275"/>
    <col min="11204" max="11204" width="13" style="7275" bestFit="1" customWidth="1"/>
    <col min="11205" max="11451" width="9.109375" style="7275"/>
    <col min="11452" max="11452" width="3.88671875" style="7275" customWidth="1"/>
    <col min="11453" max="11453" width="36.109375" style="7275" customWidth="1"/>
    <col min="11454" max="11454" width="11" style="7275" customWidth="1"/>
    <col min="11455" max="11455" width="16.109375" style="7275" customWidth="1"/>
    <col min="11456" max="11456" width="15.44140625" style="7275" customWidth="1"/>
    <col min="11457" max="11457" width="16.44140625" style="7275" customWidth="1"/>
    <col min="11458" max="11459" width="9.109375" style="7275"/>
    <col min="11460" max="11460" width="13" style="7275" bestFit="1" customWidth="1"/>
    <col min="11461" max="11707" width="9.109375" style="7275"/>
    <col min="11708" max="11708" width="3.88671875" style="7275" customWidth="1"/>
    <col min="11709" max="11709" width="36.109375" style="7275" customWidth="1"/>
    <col min="11710" max="11710" width="11" style="7275" customWidth="1"/>
    <col min="11711" max="11711" width="16.109375" style="7275" customWidth="1"/>
    <col min="11712" max="11712" width="15.44140625" style="7275" customWidth="1"/>
    <col min="11713" max="11713" width="16.44140625" style="7275" customWidth="1"/>
    <col min="11714" max="11715" width="9.109375" style="7275"/>
    <col min="11716" max="11716" width="13" style="7275" bestFit="1" customWidth="1"/>
    <col min="11717" max="11963" width="9.109375" style="7275"/>
    <col min="11964" max="11964" width="3.88671875" style="7275" customWidth="1"/>
    <col min="11965" max="11965" width="36.109375" style="7275" customWidth="1"/>
    <col min="11966" max="11966" width="11" style="7275" customWidth="1"/>
    <col min="11967" max="11967" width="16.109375" style="7275" customWidth="1"/>
    <col min="11968" max="11968" width="15.44140625" style="7275" customWidth="1"/>
    <col min="11969" max="11969" width="16.44140625" style="7275" customWidth="1"/>
    <col min="11970" max="11971" width="9.109375" style="7275"/>
    <col min="11972" max="11972" width="13" style="7275" bestFit="1" customWidth="1"/>
    <col min="11973" max="12219" width="9.109375" style="7275"/>
    <col min="12220" max="12220" width="3.88671875" style="7275" customWidth="1"/>
    <col min="12221" max="12221" width="36.109375" style="7275" customWidth="1"/>
    <col min="12222" max="12222" width="11" style="7275" customWidth="1"/>
    <col min="12223" max="12223" width="16.109375" style="7275" customWidth="1"/>
    <col min="12224" max="12224" width="15.44140625" style="7275" customWidth="1"/>
    <col min="12225" max="12225" width="16.44140625" style="7275" customWidth="1"/>
    <col min="12226" max="12227" width="9.109375" style="7275"/>
    <col min="12228" max="12228" width="13" style="7275" bestFit="1" customWidth="1"/>
    <col min="12229" max="12475" width="9.109375" style="7275"/>
    <col min="12476" max="12476" width="3.88671875" style="7275" customWidth="1"/>
    <col min="12477" max="12477" width="36.109375" style="7275" customWidth="1"/>
    <col min="12478" max="12478" width="11" style="7275" customWidth="1"/>
    <col min="12479" max="12479" width="16.109375" style="7275" customWidth="1"/>
    <col min="12480" max="12480" width="15.44140625" style="7275" customWidth="1"/>
    <col min="12481" max="12481" width="16.44140625" style="7275" customWidth="1"/>
    <col min="12482" max="12483" width="9.109375" style="7275"/>
    <col min="12484" max="12484" width="13" style="7275" bestFit="1" customWidth="1"/>
    <col min="12485" max="12731" width="9.109375" style="7275"/>
    <col min="12732" max="12732" width="3.88671875" style="7275" customWidth="1"/>
    <col min="12733" max="12733" width="36.109375" style="7275" customWidth="1"/>
    <col min="12734" max="12734" width="11" style="7275" customWidth="1"/>
    <col min="12735" max="12735" width="16.109375" style="7275" customWidth="1"/>
    <col min="12736" max="12736" width="15.44140625" style="7275" customWidth="1"/>
    <col min="12737" max="12737" width="16.44140625" style="7275" customWidth="1"/>
    <col min="12738" max="12739" width="9.109375" style="7275"/>
    <col min="12740" max="12740" width="13" style="7275" bestFit="1" customWidth="1"/>
    <col min="12741" max="12987" width="9.109375" style="7275"/>
    <col min="12988" max="12988" width="3.88671875" style="7275" customWidth="1"/>
    <col min="12989" max="12989" width="36.109375" style="7275" customWidth="1"/>
    <col min="12990" max="12990" width="11" style="7275" customWidth="1"/>
    <col min="12991" max="12991" width="16.109375" style="7275" customWidth="1"/>
    <col min="12992" max="12992" width="15.44140625" style="7275" customWidth="1"/>
    <col min="12993" max="12993" width="16.44140625" style="7275" customWidth="1"/>
    <col min="12994" max="12995" width="9.109375" style="7275"/>
    <col min="12996" max="12996" width="13" style="7275" bestFit="1" customWidth="1"/>
    <col min="12997" max="13243" width="9.109375" style="7275"/>
    <col min="13244" max="13244" width="3.88671875" style="7275" customWidth="1"/>
    <col min="13245" max="13245" width="36.109375" style="7275" customWidth="1"/>
    <col min="13246" max="13246" width="11" style="7275" customWidth="1"/>
    <col min="13247" max="13247" width="16.109375" style="7275" customWidth="1"/>
    <col min="13248" max="13248" width="15.44140625" style="7275" customWidth="1"/>
    <col min="13249" max="13249" width="16.44140625" style="7275" customWidth="1"/>
    <col min="13250" max="13251" width="9.109375" style="7275"/>
    <col min="13252" max="13252" width="13" style="7275" bestFit="1" customWidth="1"/>
    <col min="13253" max="13499" width="9.109375" style="7275"/>
    <col min="13500" max="13500" width="3.88671875" style="7275" customWidth="1"/>
    <col min="13501" max="13501" width="36.109375" style="7275" customWidth="1"/>
    <col min="13502" max="13502" width="11" style="7275" customWidth="1"/>
    <col min="13503" max="13503" width="16.109375" style="7275" customWidth="1"/>
    <col min="13504" max="13504" width="15.44140625" style="7275" customWidth="1"/>
    <col min="13505" max="13505" width="16.44140625" style="7275" customWidth="1"/>
    <col min="13506" max="13507" width="9.109375" style="7275"/>
    <col min="13508" max="13508" width="13" style="7275" bestFit="1" customWidth="1"/>
    <col min="13509" max="13755" width="9.109375" style="7275"/>
    <col min="13756" max="13756" width="3.88671875" style="7275" customWidth="1"/>
    <col min="13757" max="13757" width="36.109375" style="7275" customWidth="1"/>
    <col min="13758" max="13758" width="11" style="7275" customWidth="1"/>
    <col min="13759" max="13759" width="16.109375" style="7275" customWidth="1"/>
    <col min="13760" max="13760" width="15.44140625" style="7275" customWidth="1"/>
    <col min="13761" max="13761" width="16.44140625" style="7275" customWidth="1"/>
    <col min="13762" max="13763" width="9.109375" style="7275"/>
    <col min="13764" max="13764" width="13" style="7275" bestFit="1" customWidth="1"/>
    <col min="13765" max="14011" width="9.109375" style="7275"/>
    <col min="14012" max="14012" width="3.88671875" style="7275" customWidth="1"/>
    <col min="14013" max="14013" width="36.109375" style="7275" customWidth="1"/>
    <col min="14014" max="14014" width="11" style="7275" customWidth="1"/>
    <col min="14015" max="14015" width="16.109375" style="7275" customWidth="1"/>
    <col min="14016" max="14016" width="15.44140625" style="7275" customWidth="1"/>
    <col min="14017" max="14017" width="16.44140625" style="7275" customWidth="1"/>
    <col min="14018" max="14019" width="9.109375" style="7275"/>
    <col min="14020" max="14020" width="13" style="7275" bestFit="1" customWidth="1"/>
    <col min="14021" max="14267" width="9.109375" style="7275"/>
    <col min="14268" max="14268" width="3.88671875" style="7275" customWidth="1"/>
    <col min="14269" max="14269" width="36.109375" style="7275" customWidth="1"/>
    <col min="14270" max="14270" width="11" style="7275" customWidth="1"/>
    <col min="14271" max="14271" width="16.109375" style="7275" customWidth="1"/>
    <col min="14272" max="14272" width="15.44140625" style="7275" customWidth="1"/>
    <col min="14273" max="14273" width="16.44140625" style="7275" customWidth="1"/>
    <col min="14274" max="14275" width="9.109375" style="7275"/>
    <col min="14276" max="14276" width="13" style="7275" bestFit="1" customWidth="1"/>
    <col min="14277" max="14523" width="9.109375" style="7275"/>
    <col min="14524" max="14524" width="3.88671875" style="7275" customWidth="1"/>
    <col min="14525" max="14525" width="36.109375" style="7275" customWidth="1"/>
    <col min="14526" max="14526" width="11" style="7275" customWidth="1"/>
    <col min="14527" max="14527" width="16.109375" style="7275" customWidth="1"/>
    <col min="14528" max="14528" width="15.44140625" style="7275" customWidth="1"/>
    <col min="14529" max="14529" width="16.44140625" style="7275" customWidth="1"/>
    <col min="14530" max="14531" width="9.109375" style="7275"/>
    <col min="14532" max="14532" width="13" style="7275" bestFit="1" customWidth="1"/>
    <col min="14533" max="14779" width="9.109375" style="7275"/>
    <col min="14780" max="14780" width="3.88671875" style="7275" customWidth="1"/>
    <col min="14781" max="14781" width="36.109375" style="7275" customWidth="1"/>
    <col min="14782" max="14782" width="11" style="7275" customWidth="1"/>
    <col min="14783" max="14783" width="16.109375" style="7275" customWidth="1"/>
    <col min="14784" max="14784" width="15.44140625" style="7275" customWidth="1"/>
    <col min="14785" max="14785" width="16.44140625" style="7275" customWidth="1"/>
    <col min="14786" max="14787" width="9.109375" style="7275"/>
    <col min="14788" max="14788" width="13" style="7275" bestFit="1" customWidth="1"/>
    <col min="14789" max="15035" width="9.109375" style="7275"/>
    <col min="15036" max="15036" width="3.88671875" style="7275" customWidth="1"/>
    <col min="15037" max="15037" width="36.109375" style="7275" customWidth="1"/>
    <col min="15038" max="15038" width="11" style="7275" customWidth="1"/>
    <col min="15039" max="15039" width="16.109375" style="7275" customWidth="1"/>
    <col min="15040" max="15040" width="15.44140625" style="7275" customWidth="1"/>
    <col min="15041" max="15041" width="16.44140625" style="7275" customWidth="1"/>
    <col min="15042" max="15043" width="9.109375" style="7275"/>
    <col min="15044" max="15044" width="13" style="7275" bestFit="1" customWidth="1"/>
    <col min="15045" max="15291" width="9.109375" style="7275"/>
    <col min="15292" max="15292" width="3.88671875" style="7275" customWidth="1"/>
    <col min="15293" max="15293" width="36.109375" style="7275" customWidth="1"/>
    <col min="15294" max="15294" width="11" style="7275" customWidth="1"/>
    <col min="15295" max="15295" width="16.109375" style="7275" customWidth="1"/>
    <col min="15296" max="15296" width="15.44140625" style="7275" customWidth="1"/>
    <col min="15297" max="15297" width="16.44140625" style="7275" customWidth="1"/>
    <col min="15298" max="15299" width="9.109375" style="7275"/>
    <col min="15300" max="15300" width="13" style="7275" bestFit="1" customWidth="1"/>
    <col min="15301" max="15547" width="9.109375" style="7275"/>
    <col min="15548" max="15548" width="3.88671875" style="7275" customWidth="1"/>
    <col min="15549" max="15549" width="36.109375" style="7275" customWidth="1"/>
    <col min="15550" max="15550" width="11" style="7275" customWidth="1"/>
    <col min="15551" max="15551" width="16.109375" style="7275" customWidth="1"/>
    <col min="15552" max="15552" width="15.44140625" style="7275" customWidth="1"/>
    <col min="15553" max="15553" width="16.44140625" style="7275" customWidth="1"/>
    <col min="15554" max="15555" width="9.109375" style="7275"/>
    <col min="15556" max="15556" width="13" style="7275" bestFit="1" customWidth="1"/>
    <col min="15557" max="15803" width="9.109375" style="7275"/>
    <col min="15804" max="15804" width="3.88671875" style="7275" customWidth="1"/>
    <col min="15805" max="15805" width="36.109375" style="7275" customWidth="1"/>
    <col min="15806" max="15806" width="11" style="7275" customWidth="1"/>
    <col min="15807" max="15807" width="16.109375" style="7275" customWidth="1"/>
    <col min="15808" max="15808" width="15.44140625" style="7275" customWidth="1"/>
    <col min="15809" max="15809" width="16.44140625" style="7275" customWidth="1"/>
    <col min="15810" max="15811" width="9.109375" style="7275"/>
    <col min="15812" max="15812" width="13" style="7275" bestFit="1" customWidth="1"/>
    <col min="15813" max="16059" width="9.109375" style="7275"/>
    <col min="16060" max="16060" width="3.88671875" style="7275" customWidth="1"/>
    <col min="16061" max="16061" width="36.109375" style="7275" customWidth="1"/>
    <col min="16062" max="16062" width="11" style="7275" customWidth="1"/>
    <col min="16063" max="16063" width="16.109375" style="7275" customWidth="1"/>
    <col min="16064" max="16064" width="15.44140625" style="7275" customWidth="1"/>
    <col min="16065" max="16065" width="16.44140625" style="7275" customWidth="1"/>
    <col min="16066" max="16067" width="9.109375" style="7275"/>
    <col min="16068" max="16068" width="13" style="7275" bestFit="1" customWidth="1"/>
    <col min="16069" max="16384" width="9.109375" style="7275"/>
  </cols>
  <sheetData>
    <row r="1" spans="1:12" ht="15" customHeight="1">
      <c r="A1" s="14807" t="s">
        <v>1</v>
      </c>
      <c r="B1" s="14807"/>
      <c r="C1" s="14807"/>
      <c r="D1" s="14807"/>
      <c r="E1" s="14807"/>
      <c r="F1" s="14807"/>
      <c r="G1" s="14807"/>
      <c r="H1" s="14807"/>
      <c r="I1" s="14807"/>
      <c r="J1" s="14807"/>
    </row>
    <row r="2" spans="1:12" ht="15" customHeight="1">
      <c r="A2" s="7276"/>
      <c r="B2" s="7277"/>
      <c r="C2" s="7278"/>
      <c r="D2" s="7279"/>
      <c r="E2" s="7279"/>
      <c r="F2" s="7279"/>
      <c r="G2" s="7279"/>
      <c r="H2" s="7279"/>
      <c r="I2" s="7280"/>
      <c r="J2" s="7279"/>
    </row>
    <row r="3" spans="1:12" ht="15" customHeight="1">
      <c r="A3" s="7276" t="s">
        <v>2</v>
      </c>
      <c r="B3" s="7281"/>
      <c r="C3" s="7282" t="s">
        <v>10727</v>
      </c>
      <c r="D3" s="7283"/>
      <c r="E3" s="7283"/>
      <c r="F3" s="7283"/>
      <c r="G3" s="7283"/>
      <c r="H3" s="7283"/>
      <c r="I3" s="7284"/>
      <c r="J3" s="7283"/>
    </row>
    <row r="4" spans="1:12" ht="15" customHeight="1">
      <c r="A4" s="7276" t="s">
        <v>10716</v>
      </c>
      <c r="B4" s="7276"/>
      <c r="C4" s="7278" t="s">
        <v>92</v>
      </c>
      <c r="D4" s="7285"/>
      <c r="E4" s="7285"/>
      <c r="F4" s="7285"/>
      <c r="G4" s="7283"/>
      <c r="H4" s="7285"/>
      <c r="I4" s="7286"/>
      <c r="J4" s="14952"/>
    </row>
    <row r="5" spans="1:12" ht="15" customHeight="1">
      <c r="A5" s="7287" t="s">
        <v>7</v>
      </c>
      <c r="B5" s="7287"/>
      <c r="C5" s="7288" t="s">
        <v>8</v>
      </c>
      <c r="D5" s="7289"/>
      <c r="E5" s="7289"/>
      <c r="F5" s="7289"/>
      <c r="G5" s="7289"/>
      <c r="H5" s="7289"/>
      <c r="I5" s="7290"/>
      <c r="J5" s="14952"/>
    </row>
    <row r="6" spans="1:12" s="7314" customFormat="1" ht="15" customHeight="1" thickBot="1">
      <c r="A6" s="7287"/>
      <c r="B6" s="7287"/>
      <c r="C6" s="7288"/>
      <c r="D6" s="7289"/>
      <c r="E6" s="7289"/>
      <c r="F6" s="7289"/>
      <c r="G6" s="7289"/>
      <c r="H6" s="7289"/>
      <c r="I6" s="7290"/>
      <c r="J6" s="7289"/>
      <c r="L6" s="7898"/>
    </row>
    <row r="7" spans="1:12" ht="15" customHeight="1">
      <c r="A7" s="7694"/>
      <c r="B7" s="11658"/>
      <c r="C7" s="9460" t="s">
        <v>9</v>
      </c>
      <c r="D7" s="10868" t="s">
        <v>10</v>
      </c>
      <c r="E7" s="14188" t="s">
        <v>10711</v>
      </c>
      <c r="F7" s="14189"/>
      <c r="G7" s="14190"/>
      <c r="H7" s="11080" t="s">
        <v>9985</v>
      </c>
      <c r="I7" s="9462"/>
      <c r="J7" s="11733" t="s">
        <v>12</v>
      </c>
    </row>
    <row r="8" spans="1:12" ht="15" customHeight="1">
      <c r="A8" s="7657"/>
      <c r="B8" s="7295" t="s">
        <v>13</v>
      </c>
      <c r="C8" s="11727" t="s">
        <v>93</v>
      </c>
      <c r="D8" s="11123" t="s">
        <v>15</v>
      </c>
      <c r="E8" s="9502" t="s">
        <v>10709</v>
      </c>
      <c r="F8" s="9503" t="s">
        <v>10710</v>
      </c>
      <c r="G8" s="14191" t="s">
        <v>458</v>
      </c>
      <c r="H8" s="11084" t="s">
        <v>11871</v>
      </c>
      <c r="I8" s="11108"/>
      <c r="J8" s="11734" t="s">
        <v>16</v>
      </c>
    </row>
    <row r="9" spans="1:12" ht="15" customHeight="1" thickBot="1">
      <c r="A9" s="7699"/>
      <c r="B9" s="7897"/>
      <c r="C9" s="11728" t="s">
        <v>94</v>
      </c>
      <c r="D9" s="9455">
        <v>2017</v>
      </c>
      <c r="E9" s="9467" t="s">
        <v>457</v>
      </c>
      <c r="F9" s="11661" t="s">
        <v>456</v>
      </c>
      <c r="G9" s="14192"/>
      <c r="H9" s="7302">
        <v>2018</v>
      </c>
      <c r="I9" s="7322"/>
      <c r="J9" s="11735">
        <v>2019</v>
      </c>
    </row>
    <row r="10" spans="1:12" ht="15" customHeight="1">
      <c r="A10" s="11663" t="s">
        <v>17</v>
      </c>
      <c r="B10" s="7287" t="s">
        <v>18</v>
      </c>
      <c r="C10" s="10136"/>
      <c r="D10" s="11664"/>
      <c r="E10" s="11664"/>
      <c r="F10" s="11664"/>
      <c r="G10" s="8798"/>
      <c r="H10" s="11664"/>
      <c r="I10" s="11163"/>
      <c r="J10" s="11691"/>
    </row>
    <row r="11" spans="1:12" ht="15" customHeight="1">
      <c r="A11" s="7657"/>
      <c r="B11" s="7287" t="s">
        <v>19</v>
      </c>
      <c r="C11" s="10136"/>
      <c r="D11" s="11664"/>
      <c r="E11" s="11664"/>
      <c r="F11" s="11664"/>
      <c r="G11" s="8798"/>
      <c r="H11" s="11664"/>
      <c r="I11" s="11163"/>
      <c r="J11" s="11691"/>
    </row>
    <row r="12" spans="1:12" ht="15" customHeight="1">
      <c r="A12" s="7657"/>
      <c r="B12" s="7287" t="s">
        <v>20</v>
      </c>
      <c r="C12" s="8872">
        <v>50101010</v>
      </c>
      <c r="D12" s="10470">
        <f>'WS-PS 2017'!B34</f>
        <v>3521883.63</v>
      </c>
      <c r="E12" s="10470">
        <f>'WS-PS ACTUAL JUNE 2018'!B34</f>
        <v>2141237.56</v>
      </c>
      <c r="F12" s="10470">
        <f>G12-E12</f>
        <v>4152858.44</v>
      </c>
      <c r="G12" s="10470">
        <v>6294096</v>
      </c>
      <c r="H12" s="10470"/>
      <c r="I12" s="11445"/>
      <c r="J12" s="11446">
        <f>K12</f>
        <v>6497916</v>
      </c>
      <c r="K12" s="11719">
        <f>'staffing-candijay'!F55</f>
        <v>6497916</v>
      </c>
      <c r="L12" s="7346">
        <f>'staffing-candijay'!B55</f>
        <v>22</v>
      </c>
    </row>
    <row r="13" spans="1:12" ht="15" customHeight="1">
      <c r="A13" s="7657"/>
      <c r="B13" s="7287" t="s">
        <v>21</v>
      </c>
      <c r="C13" s="8872">
        <v>50102010</v>
      </c>
      <c r="D13" s="10138">
        <f>'WS-PS 2017'!F34</f>
        <v>312000</v>
      </c>
      <c r="E13" s="10138">
        <f>'WS-PS ACTUAL JUNE 2018'!D34</f>
        <v>176363.56</v>
      </c>
      <c r="F13" s="10470">
        <f t="shared" ref="F13:F28" si="0">G13-E13</f>
        <v>351636.44</v>
      </c>
      <c r="G13" s="10138">
        <v>528000</v>
      </c>
      <c r="H13" s="10138"/>
      <c r="I13" s="8799"/>
      <c r="J13" s="11446">
        <f t="shared" ref="J13:J28" si="1">K13</f>
        <v>528000</v>
      </c>
      <c r="K13" s="7310">
        <f>24000*L12</f>
        <v>528000</v>
      </c>
    </row>
    <row r="14" spans="1:12" ht="15" customHeight="1">
      <c r="A14" s="7657"/>
      <c r="B14" s="11242" t="s">
        <v>22</v>
      </c>
      <c r="C14" s="8872">
        <v>50102040</v>
      </c>
      <c r="D14" s="10138">
        <f>'WS-PS 2017'!I34</f>
        <v>70000</v>
      </c>
      <c r="E14" s="10138">
        <f>'WS-PS ACTUAL JUNE 2018'!G34</f>
        <v>78000</v>
      </c>
      <c r="F14" s="10470">
        <f t="shared" si="0"/>
        <v>32000</v>
      </c>
      <c r="G14" s="10138">
        <v>110000</v>
      </c>
      <c r="H14" s="10138"/>
      <c r="I14" s="8799"/>
      <c r="J14" s="11446">
        <f t="shared" si="1"/>
        <v>132000</v>
      </c>
      <c r="K14" s="7310">
        <f>6000*L12</f>
        <v>132000</v>
      </c>
    </row>
    <row r="15" spans="1:12" ht="15" customHeight="1">
      <c r="A15" s="7657"/>
      <c r="B15" s="11242" t="s">
        <v>106</v>
      </c>
      <c r="C15" s="8872">
        <v>50102050</v>
      </c>
      <c r="D15" s="10138">
        <f>'WS-PS 2017'!J34</f>
        <v>143625</v>
      </c>
      <c r="E15" s="10138">
        <f>'WS-PS ACTUAL JUNE 2018'!H34</f>
        <v>78100</v>
      </c>
      <c r="F15" s="10470">
        <f t="shared" si="0"/>
        <v>317900</v>
      </c>
      <c r="G15" s="10138">
        <v>396000</v>
      </c>
      <c r="H15" s="10138"/>
      <c r="I15" s="8799"/>
      <c r="J15" s="11446">
        <f t="shared" si="1"/>
        <v>237600</v>
      </c>
      <c r="K15" s="7310">
        <f>10800*L12</f>
        <v>237600</v>
      </c>
    </row>
    <row r="16" spans="1:12" ht="15" customHeight="1">
      <c r="A16" s="7657"/>
      <c r="B16" s="7352" t="s">
        <v>10970</v>
      </c>
      <c r="C16" s="8802">
        <v>50102060</v>
      </c>
      <c r="D16" s="10138">
        <f>'WS-PS 2017'!K34</f>
        <v>22407.53</v>
      </c>
      <c r="E16" s="10138">
        <f>'WS-PS ACTUAL JUNE 2018'!I34</f>
        <v>12596.62</v>
      </c>
      <c r="F16" s="10470">
        <f t="shared" si="0"/>
        <v>27003.379999999997</v>
      </c>
      <c r="G16" s="10138">
        <v>39600</v>
      </c>
      <c r="H16" s="10138"/>
      <c r="I16" s="8799"/>
      <c r="J16" s="11446">
        <f t="shared" si="1"/>
        <v>39600</v>
      </c>
      <c r="K16" s="7310">
        <f>1800*L12</f>
        <v>39600</v>
      </c>
    </row>
    <row r="17" spans="1:11" ht="15" customHeight="1">
      <c r="A17" s="7657"/>
      <c r="B17" s="7488" t="s">
        <v>10932</v>
      </c>
      <c r="C17" s="10368">
        <v>50102080</v>
      </c>
      <c r="D17" s="10138">
        <f>'WS-PS 2017'!L34</f>
        <v>65000</v>
      </c>
      <c r="E17" s="10138">
        <f>'WS-PS ACTUAL JUNE 2018'!J34</f>
        <v>0</v>
      </c>
      <c r="F17" s="10470">
        <f t="shared" si="0"/>
        <v>110000</v>
      </c>
      <c r="G17" s="10138">
        <v>110000</v>
      </c>
      <c r="H17" s="10138"/>
      <c r="I17" s="8799"/>
      <c r="J17" s="11446">
        <f t="shared" si="1"/>
        <v>110000</v>
      </c>
      <c r="K17" s="7310">
        <f>5000*L12</f>
        <v>110000</v>
      </c>
    </row>
    <row r="18" spans="1:11" ht="15" customHeight="1">
      <c r="A18" s="7657"/>
      <c r="B18" s="7287" t="s">
        <v>95</v>
      </c>
      <c r="C18" s="11729">
        <v>50102110</v>
      </c>
      <c r="D18" s="10138">
        <f>'WS-PS 2017'!N34</f>
        <v>703244.88</v>
      </c>
      <c r="E18" s="10138">
        <f>'WS-PS ACTUAL JUNE 2018'!L34</f>
        <v>439776.68</v>
      </c>
      <c r="F18" s="10470">
        <f t="shared" si="0"/>
        <v>423444.32</v>
      </c>
      <c r="G18" s="10138">
        <v>863221</v>
      </c>
      <c r="H18" s="10138"/>
      <c r="I18" s="8799"/>
      <c r="J18" s="11446">
        <f t="shared" si="1"/>
        <v>1624479</v>
      </c>
      <c r="K18" s="11719">
        <f>25%*K12</f>
        <v>1624479</v>
      </c>
    </row>
    <row r="19" spans="1:11" ht="15" customHeight="1">
      <c r="A19" s="7657"/>
      <c r="B19" s="7488" t="s">
        <v>10934</v>
      </c>
      <c r="C19" s="8872">
        <v>50102120</v>
      </c>
      <c r="D19" s="10138">
        <f>'WS-PS 2017'!O34</f>
        <v>30000</v>
      </c>
      <c r="E19" s="10138">
        <f>'WS-PS ACTUAL JUNE 2018'!M34</f>
        <v>5000</v>
      </c>
      <c r="F19" s="10470">
        <f>G19-E19</f>
        <v>0</v>
      </c>
      <c r="G19" s="10138">
        <v>5000</v>
      </c>
      <c r="H19" s="10138"/>
      <c r="I19" s="8799"/>
      <c r="J19" s="11446">
        <f t="shared" si="1"/>
        <v>5000</v>
      </c>
      <c r="K19" s="7310">
        <v>5000</v>
      </c>
    </row>
    <row r="20" spans="1:11" ht="15" customHeight="1">
      <c r="A20" s="7657"/>
      <c r="B20" s="7488" t="s">
        <v>10933</v>
      </c>
      <c r="C20" s="8872">
        <v>50102140</v>
      </c>
      <c r="D20" s="11876">
        <f>'WS-PS 2017'!U34+'WS-PS 2017'!S34</f>
        <v>587495</v>
      </c>
      <c r="E20" s="11876">
        <f>'WS-PS ACTUAL JUNE 2018'!O34</f>
        <v>343924</v>
      </c>
      <c r="F20" s="10470">
        <f>G20-E20</f>
        <v>705092</v>
      </c>
      <c r="G20" s="11876">
        <v>1049016</v>
      </c>
      <c r="H20" s="11876"/>
      <c r="I20" s="11845"/>
      <c r="J20" s="11446">
        <f t="shared" si="1"/>
        <v>1082986</v>
      </c>
      <c r="K20" s="7310">
        <f>SUM(K12:K12)/12*2</f>
        <v>1082986</v>
      </c>
    </row>
    <row r="21" spans="1:11" ht="15" customHeight="1">
      <c r="A21" s="7657"/>
      <c r="B21" s="7287" t="s">
        <v>26</v>
      </c>
      <c r="C21" s="11729">
        <v>50102150</v>
      </c>
      <c r="D21" s="10138">
        <f>'WS-PS 2017'!T34</f>
        <v>65000</v>
      </c>
      <c r="E21" s="10138">
        <f>'WS-PS ACTUAL JUNE 2018'!Q34</f>
        <v>0</v>
      </c>
      <c r="F21" s="10470">
        <f t="shared" si="0"/>
        <v>110000</v>
      </c>
      <c r="G21" s="10138">
        <v>110000</v>
      </c>
      <c r="H21" s="10138"/>
      <c r="I21" s="8799"/>
      <c r="J21" s="11446">
        <f t="shared" si="1"/>
        <v>110000</v>
      </c>
      <c r="K21" s="7371">
        <f>K17</f>
        <v>110000</v>
      </c>
    </row>
    <row r="22" spans="1:11" ht="15" customHeight="1">
      <c r="A22" s="7657"/>
      <c r="B22" s="7488" t="s">
        <v>11497</v>
      </c>
      <c r="C22" s="11257">
        <v>50102990</v>
      </c>
      <c r="D22" s="10138">
        <v>0</v>
      </c>
      <c r="E22" s="10138">
        <f>'WS-PS ACTUAL JUNE 2018'!R34</f>
        <v>0</v>
      </c>
      <c r="F22" s="10470">
        <f>G22-E22</f>
        <v>301736</v>
      </c>
      <c r="G22" s="10138">
        <v>301736</v>
      </c>
      <c r="H22" s="10138"/>
      <c r="I22" s="8799"/>
      <c r="J22" s="11446">
        <v>0</v>
      </c>
      <c r="K22" s="7310">
        <f>K12/12*0.575</f>
        <v>311358.47499999998</v>
      </c>
    </row>
    <row r="23" spans="1:11" ht="15" customHeight="1">
      <c r="A23" s="7657"/>
      <c r="B23" s="7803" t="s">
        <v>11499</v>
      </c>
      <c r="C23" s="11059" t="s">
        <v>11495</v>
      </c>
      <c r="D23" s="10138">
        <f>'WS-PS 2017'!Q34</f>
        <v>0</v>
      </c>
      <c r="E23" s="10138">
        <f>'WS-PS ACTUAL JUNE 2018'!S34</f>
        <v>0</v>
      </c>
      <c r="F23" s="10470">
        <f>G23-E23</f>
        <v>0</v>
      </c>
      <c r="G23" s="10138">
        <v>0</v>
      </c>
      <c r="H23" s="10138"/>
      <c r="I23" s="8799"/>
      <c r="J23" s="11446">
        <f t="shared" si="1"/>
        <v>66000</v>
      </c>
      <c r="K23" s="7310">
        <f>3000*L12</f>
        <v>66000</v>
      </c>
    </row>
    <row r="24" spans="1:11" ht="15" customHeight="1">
      <c r="A24" s="7657"/>
      <c r="B24" s="11518" t="s">
        <v>59</v>
      </c>
      <c r="C24" s="8872">
        <v>50103010</v>
      </c>
      <c r="D24" s="10138">
        <f>'WS-PS 2017'!V34</f>
        <v>429625.94</v>
      </c>
      <c r="E24" s="10138">
        <f>'WS-PS ACTUAL JUNE 2018'!T34</f>
        <v>256905.54</v>
      </c>
      <c r="F24" s="10470">
        <f t="shared" si="0"/>
        <v>498746.45999999996</v>
      </c>
      <c r="G24" s="10138">
        <v>755652</v>
      </c>
      <c r="H24" s="10138"/>
      <c r="I24" s="8799"/>
      <c r="J24" s="11446">
        <f t="shared" si="1"/>
        <v>779749.91999999993</v>
      </c>
      <c r="K24" s="11720">
        <f>SUM(K12:K12)*12%</f>
        <v>779749.91999999993</v>
      </c>
    </row>
    <row r="25" spans="1:11" ht="15" customHeight="1">
      <c r="A25" s="7657"/>
      <c r="B25" s="7803" t="s">
        <v>28</v>
      </c>
      <c r="C25" s="8872">
        <v>50103020</v>
      </c>
      <c r="D25" s="10138">
        <f>'WS-PS 2017'!W34</f>
        <v>15600</v>
      </c>
      <c r="E25" s="10138">
        <f>'WS-PS ACTUAL JUNE 2018'!U34</f>
        <v>8900</v>
      </c>
      <c r="F25" s="10470">
        <f t="shared" si="0"/>
        <v>17500</v>
      </c>
      <c r="G25" s="10138">
        <v>26400</v>
      </c>
      <c r="H25" s="10138"/>
      <c r="I25" s="8799"/>
      <c r="J25" s="11446">
        <f t="shared" si="1"/>
        <v>26400</v>
      </c>
      <c r="K25" s="7310">
        <f>1200*L12</f>
        <v>26400</v>
      </c>
    </row>
    <row r="26" spans="1:11" ht="15" customHeight="1">
      <c r="A26" s="7657"/>
      <c r="B26" s="7803" t="s">
        <v>29</v>
      </c>
      <c r="C26" s="8872">
        <v>50103030</v>
      </c>
      <c r="D26" s="10138">
        <f>'WS-PS 2017'!X34</f>
        <v>36425</v>
      </c>
      <c r="E26" s="10138">
        <f>'WS-PS ACTUAL JUNE 2018'!V34</f>
        <v>26406.880000000001</v>
      </c>
      <c r="F26" s="10470">
        <f t="shared" si="0"/>
        <v>26993.119999999999</v>
      </c>
      <c r="G26" s="10138">
        <v>53400</v>
      </c>
      <c r="H26" s="10138"/>
      <c r="I26" s="8799"/>
      <c r="J26" s="11446">
        <v>80475.45</v>
      </c>
      <c r="K26" s="7310">
        <f>3600*L12</f>
        <v>79200</v>
      </c>
    </row>
    <row r="27" spans="1:11" ht="15" customHeight="1">
      <c r="A27" s="7657"/>
      <c r="B27" s="7803" t="s">
        <v>30</v>
      </c>
      <c r="C27" s="8872">
        <v>50103040</v>
      </c>
      <c r="D27" s="10138">
        <f>'WS-PS 2017'!Y34</f>
        <v>15596.6</v>
      </c>
      <c r="E27" s="10138">
        <f>'WS-PS ACTUAL JUNE 2018'!W34</f>
        <v>8866.85</v>
      </c>
      <c r="F27" s="10470">
        <f t="shared" si="0"/>
        <v>17533.150000000001</v>
      </c>
      <c r="G27" s="10138">
        <v>26400</v>
      </c>
      <c r="H27" s="10138"/>
      <c r="I27" s="8799"/>
      <c r="J27" s="11446">
        <f t="shared" si="1"/>
        <v>26400</v>
      </c>
      <c r="K27" s="7310">
        <f>K25</f>
        <v>26400</v>
      </c>
    </row>
    <row r="28" spans="1:11" ht="15" customHeight="1">
      <c r="A28" s="7657"/>
      <c r="B28" s="7488" t="s">
        <v>5025</v>
      </c>
      <c r="C28" s="11258">
        <v>50104990</v>
      </c>
      <c r="D28" s="10138">
        <f>'WS-PS 2017'!Z34</f>
        <v>325000</v>
      </c>
      <c r="E28" s="10138"/>
      <c r="F28" s="10470">
        <f t="shared" si="0"/>
        <v>0</v>
      </c>
      <c r="G28" s="10138">
        <v>0</v>
      </c>
      <c r="H28" s="10138"/>
      <c r="I28" s="8799"/>
      <c r="J28" s="11446">
        <f t="shared" si="1"/>
        <v>0</v>
      </c>
    </row>
    <row r="29" spans="1:11" ht="15" customHeight="1">
      <c r="A29" s="7657"/>
      <c r="B29" s="7287"/>
      <c r="C29" s="10136"/>
      <c r="D29" s="7660"/>
      <c r="E29" s="7660"/>
      <c r="F29" s="7660"/>
      <c r="G29" s="7660"/>
      <c r="H29" s="7660"/>
      <c r="I29" s="7373"/>
      <c r="J29" s="11736"/>
    </row>
    <row r="30" spans="1:11" ht="15" customHeight="1" thickBot="1">
      <c r="A30" s="7699"/>
      <c r="B30" s="7781" t="s">
        <v>37</v>
      </c>
      <c r="C30" s="11732"/>
      <c r="D30" s="11673">
        <f>SUM(D11:D29)</f>
        <v>6342903.5800000001</v>
      </c>
      <c r="E30" s="11673">
        <f>SUM(E11:E29)</f>
        <v>3576077.6900000004</v>
      </c>
      <c r="F30" s="11673">
        <f>SUM(F11:F29)</f>
        <v>7092443.3100000005</v>
      </c>
      <c r="G30" s="11673">
        <f>SUM(G11:G29)</f>
        <v>10668521</v>
      </c>
      <c r="H30" s="11673"/>
      <c r="I30" s="11449"/>
      <c r="J30" s="11877">
        <f>SUM(J11:J29)</f>
        <v>11346606.369999999</v>
      </c>
      <c r="K30" s="11657">
        <f>SUM(K12:K29)</f>
        <v>11656689.395</v>
      </c>
    </row>
    <row r="31" spans="1:11" ht="15" customHeight="1">
      <c r="A31" s="7688"/>
      <c r="B31" s="7689"/>
      <c r="C31" s="7690"/>
      <c r="D31" s="7691"/>
      <c r="E31" s="7691"/>
      <c r="F31" s="7691"/>
      <c r="G31" s="7691"/>
      <c r="H31" s="7691"/>
      <c r="I31" s="7389"/>
      <c r="J31" s="7691"/>
    </row>
    <row r="32" spans="1:11" ht="15" customHeight="1">
      <c r="A32" s="7287"/>
      <c r="B32" s="7315"/>
      <c r="C32" s="7288"/>
      <c r="D32" s="7349"/>
      <c r="E32" s="7349"/>
      <c r="F32" s="7349"/>
      <c r="G32" s="7349"/>
      <c r="H32" s="7349"/>
      <c r="I32" s="7350"/>
      <c r="J32" s="7349"/>
    </row>
    <row r="33" spans="1:10" ht="15" customHeight="1">
      <c r="A33" s="7287"/>
      <c r="B33" s="7315"/>
      <c r="C33" s="7288"/>
      <c r="D33" s="7349"/>
      <c r="E33" s="7349"/>
      <c r="F33" s="7349"/>
      <c r="G33" s="7349"/>
      <c r="H33" s="7349"/>
      <c r="I33" s="7350"/>
      <c r="J33" s="7349"/>
    </row>
    <row r="34" spans="1:10" ht="15" customHeight="1">
      <c r="A34" s="7287"/>
      <c r="B34" s="7315"/>
      <c r="C34" s="7288"/>
      <c r="D34" s="7349"/>
      <c r="E34" s="7349"/>
      <c r="F34" s="7349"/>
      <c r="G34" s="7349"/>
      <c r="H34" s="7349"/>
      <c r="I34" s="7350"/>
      <c r="J34" s="7349"/>
    </row>
    <row r="35" spans="1:10" ht="15" customHeight="1">
      <c r="A35" s="7287"/>
      <c r="B35" s="7315"/>
      <c r="C35" s="7288"/>
      <c r="D35" s="7349"/>
      <c r="E35" s="7349"/>
      <c r="F35" s="7349"/>
      <c r="G35" s="7349"/>
      <c r="H35" s="7349"/>
      <c r="I35" s="7350"/>
      <c r="J35" s="7349"/>
    </row>
    <row r="36" spans="1:10" ht="15" customHeight="1">
      <c r="A36" s="7287"/>
      <c r="B36" s="7315"/>
      <c r="C36" s="7288"/>
      <c r="D36" s="7349"/>
      <c r="E36" s="7349"/>
      <c r="F36" s="7349"/>
      <c r="G36" s="7349"/>
      <c r="H36" s="7349"/>
      <c r="I36" s="7350"/>
      <c r="J36" s="7349"/>
    </row>
    <row r="37" spans="1:10" ht="15" customHeight="1">
      <c r="A37" s="7287"/>
      <c r="B37" s="7315"/>
      <c r="C37" s="7288"/>
      <c r="D37" s="7349"/>
      <c r="E37" s="7349"/>
      <c r="F37" s="7349"/>
      <c r="G37" s="7349"/>
      <c r="H37" s="7349"/>
      <c r="I37" s="7350"/>
      <c r="J37" s="7349"/>
    </row>
    <row r="38" spans="1:10" ht="15" customHeight="1" thickBot="1">
      <c r="A38" s="7291" t="s">
        <v>101</v>
      </c>
      <c r="B38" s="7291"/>
      <c r="C38" s="7292"/>
      <c r="D38" s="7693"/>
      <c r="E38" s="7693"/>
      <c r="F38" s="7693"/>
      <c r="G38" s="7293" t="s">
        <v>9</v>
      </c>
      <c r="H38" s="7293"/>
      <c r="I38" s="7294"/>
      <c r="J38" s="7293" t="s">
        <v>9</v>
      </c>
    </row>
    <row r="39" spans="1:10" ht="15" customHeight="1">
      <c r="A39" s="7694"/>
      <c r="B39" s="11658"/>
      <c r="C39" s="9460" t="s">
        <v>9</v>
      </c>
      <c r="D39" s="10868" t="s">
        <v>10</v>
      </c>
      <c r="E39" s="14188" t="s">
        <v>10711</v>
      </c>
      <c r="F39" s="14189"/>
      <c r="G39" s="14190"/>
      <c r="H39" s="9461"/>
      <c r="I39" s="9462"/>
      <c r="J39" s="11733" t="s">
        <v>12</v>
      </c>
    </row>
    <row r="40" spans="1:10" ht="15" customHeight="1">
      <c r="A40" s="7657"/>
      <c r="B40" s="7295" t="s">
        <v>13</v>
      </c>
      <c r="C40" s="11727" t="s">
        <v>93</v>
      </c>
      <c r="D40" s="11123" t="s">
        <v>15</v>
      </c>
      <c r="E40" s="9502" t="s">
        <v>10709</v>
      </c>
      <c r="F40" s="9503" t="s">
        <v>10710</v>
      </c>
      <c r="G40" s="14191" t="s">
        <v>458</v>
      </c>
      <c r="H40" s="11438"/>
      <c r="I40" s="11108"/>
      <c r="J40" s="11734" t="s">
        <v>16</v>
      </c>
    </row>
    <row r="41" spans="1:10" ht="15" customHeight="1" thickBot="1">
      <c r="A41" s="7699"/>
      <c r="B41" s="7897"/>
      <c r="C41" s="11728" t="s">
        <v>94</v>
      </c>
      <c r="D41" s="9455">
        <v>2017</v>
      </c>
      <c r="E41" s="9467" t="s">
        <v>457</v>
      </c>
      <c r="F41" s="11661" t="s">
        <v>456</v>
      </c>
      <c r="G41" s="14192"/>
      <c r="H41" s="7302"/>
      <c r="I41" s="7322"/>
      <c r="J41" s="11735">
        <v>2019</v>
      </c>
    </row>
    <row r="42" spans="1:10" ht="15" customHeight="1">
      <c r="A42" s="7657"/>
      <c r="B42" s="7295"/>
      <c r="C42" s="11727"/>
      <c r="D42" s="11676"/>
      <c r="E42" s="11676"/>
      <c r="F42" s="11676"/>
      <c r="G42" s="11878"/>
      <c r="H42" s="11181"/>
      <c r="I42" s="11108"/>
      <c r="J42" s="11879"/>
    </row>
    <row r="43" spans="1:10" ht="15" customHeight="1">
      <c r="A43" s="11663"/>
      <c r="B43" s="7287" t="s">
        <v>38</v>
      </c>
      <c r="C43" s="10136"/>
      <c r="D43" s="8798"/>
      <c r="E43" s="8798"/>
      <c r="F43" s="8798"/>
      <c r="G43" s="8798"/>
      <c r="H43" s="8798"/>
      <c r="I43" s="8799"/>
      <c r="J43" s="11691"/>
    </row>
    <row r="44" spans="1:10" ht="15" customHeight="1">
      <c r="A44" s="7657"/>
      <c r="B44" s="7803" t="s">
        <v>391</v>
      </c>
      <c r="C44" s="10377">
        <v>50201010</v>
      </c>
      <c r="D44" s="8798">
        <f>'WS-MOOE 2017'!B34</f>
        <v>101888</v>
      </c>
      <c r="E44" s="8798">
        <f>'WS-MOOE ACTUAL JUNE 2018'!B35</f>
        <v>40815</v>
      </c>
      <c r="F44" s="10470">
        <f t="shared" ref="F44:F64" si="2">G44-E44</f>
        <v>89185</v>
      </c>
      <c r="G44" s="8798">
        <v>130000</v>
      </c>
      <c r="H44" s="8798">
        <v>55955</v>
      </c>
      <c r="I44" s="8799">
        <f>H44/G44</f>
        <v>0.43042307692307691</v>
      </c>
      <c r="J44" s="11691">
        <v>158000</v>
      </c>
    </row>
    <row r="45" spans="1:10" ht="15" customHeight="1">
      <c r="A45" s="7657"/>
      <c r="B45" s="7803" t="s">
        <v>11074</v>
      </c>
      <c r="C45" s="10377">
        <v>50202010</v>
      </c>
      <c r="D45" s="8798">
        <f>'WS-MOOE 2017'!H34</f>
        <v>30300</v>
      </c>
      <c r="E45" s="8798">
        <f>'WS-MOOE ACTUAL JUNE 2018'!G35</f>
        <v>41600</v>
      </c>
      <c r="F45" s="10470">
        <f t="shared" si="2"/>
        <v>578400</v>
      </c>
      <c r="G45" s="8798">
        <v>620000</v>
      </c>
      <c r="H45" s="8798">
        <v>161500</v>
      </c>
      <c r="I45" s="8799">
        <f t="shared" ref="I45:I64" si="3">H45/G45</f>
        <v>0.26048387096774195</v>
      </c>
      <c r="J45" s="11691">
        <v>149000</v>
      </c>
    </row>
    <row r="46" spans="1:10" ht="15" customHeight="1">
      <c r="A46" s="7657"/>
      <c r="B46" s="7803" t="s">
        <v>392</v>
      </c>
      <c r="C46" s="10377">
        <v>50203010</v>
      </c>
      <c r="D46" s="8798">
        <f>'WS-MOOE 2017'!J34</f>
        <v>142574</v>
      </c>
      <c r="E46" s="8798">
        <f>'WS-MOOE ACTUAL JUNE 2018'!H35</f>
        <v>180194.1</v>
      </c>
      <c r="F46" s="10470">
        <f t="shared" si="2"/>
        <v>119805.9</v>
      </c>
      <c r="G46" s="8798">
        <v>300000</v>
      </c>
      <c r="H46" s="8798">
        <v>271725</v>
      </c>
      <c r="I46" s="8799">
        <f t="shared" si="3"/>
        <v>0.90575000000000006</v>
      </c>
      <c r="J46" s="11691">
        <v>375250</v>
      </c>
    </row>
    <row r="47" spans="1:10" ht="15" customHeight="1">
      <c r="A47" s="7657"/>
      <c r="B47" s="7287" t="s">
        <v>97</v>
      </c>
      <c r="C47" s="8802">
        <v>50203020</v>
      </c>
      <c r="D47" s="8798">
        <f>'WS-MOOE 2017'!M34</f>
        <v>49962</v>
      </c>
      <c r="E47" s="8798">
        <f>'WS-MOOE ACTUAL JUNE 2018'!J35</f>
        <v>36250</v>
      </c>
      <c r="F47" s="10470">
        <f t="shared" si="2"/>
        <v>13750</v>
      </c>
      <c r="G47" s="8798">
        <v>50000</v>
      </c>
      <c r="H47" s="8798">
        <v>50000</v>
      </c>
      <c r="I47" s="8799">
        <f t="shared" si="3"/>
        <v>1</v>
      </c>
      <c r="J47" s="11691">
        <v>61875</v>
      </c>
    </row>
    <row r="48" spans="1:10" ht="15" customHeight="1">
      <c r="A48" s="7657"/>
      <c r="B48" s="7287" t="s">
        <v>98</v>
      </c>
      <c r="C48" s="8802">
        <v>50203050</v>
      </c>
      <c r="D48" s="8798">
        <f>'WS-MOOE 2017'!O34</f>
        <v>873759</v>
      </c>
      <c r="E48" s="8798">
        <f>'WS-MOOE ACTUAL JUNE 2018'!L35</f>
        <v>436577</v>
      </c>
      <c r="F48" s="10470">
        <f t="shared" si="2"/>
        <v>663423</v>
      </c>
      <c r="G48" s="8798">
        <v>1100000</v>
      </c>
      <c r="H48" s="8798">
        <v>568588</v>
      </c>
      <c r="I48" s="8799">
        <f t="shared" si="3"/>
        <v>0.51689818181818181</v>
      </c>
      <c r="J48" s="11691">
        <v>1200000</v>
      </c>
    </row>
    <row r="49" spans="1:10" ht="15" customHeight="1">
      <c r="A49" s="7657"/>
      <c r="B49" s="7287" t="s">
        <v>9122</v>
      </c>
      <c r="C49" s="8802">
        <v>50203070</v>
      </c>
      <c r="D49" s="8798">
        <f>'WS-MOOE 2017'!P34</f>
        <v>5703740.1699999999</v>
      </c>
      <c r="E49" s="8798">
        <f>'WS-MOOE ACTUAL JUNE 2018'!M35</f>
        <v>115898.15</v>
      </c>
      <c r="F49" s="10470">
        <f t="shared" si="2"/>
        <v>8884101.8499999996</v>
      </c>
      <c r="G49" s="8798">
        <v>9000000</v>
      </c>
      <c r="H49" s="8798">
        <v>4942942.5999999996</v>
      </c>
      <c r="I49" s="8799">
        <f t="shared" si="3"/>
        <v>0.54921584444444438</v>
      </c>
      <c r="J49" s="11691">
        <v>5650000</v>
      </c>
    </row>
    <row r="50" spans="1:10" ht="15" customHeight="1">
      <c r="A50" s="7657"/>
      <c r="B50" s="7287" t="s">
        <v>135</v>
      </c>
      <c r="C50" s="8802">
        <v>50203080</v>
      </c>
      <c r="D50" s="8798">
        <f>'WS-MOOE 2017'!Q34</f>
        <v>3697663.72</v>
      </c>
      <c r="E50" s="8798">
        <f>'WS-MOOE ACTUAL JUNE 2018'!N35</f>
        <v>108597.7</v>
      </c>
      <c r="F50" s="10470">
        <f t="shared" si="2"/>
        <v>4791402.3</v>
      </c>
      <c r="G50" s="8798">
        <v>4900000</v>
      </c>
      <c r="H50" s="8798">
        <v>4499208.4000000004</v>
      </c>
      <c r="I50" s="8799">
        <f t="shared" si="3"/>
        <v>0.91820579591836737</v>
      </c>
      <c r="J50" s="11691">
        <v>4784158</v>
      </c>
    </row>
    <row r="51" spans="1:10" ht="15" customHeight="1">
      <c r="A51" s="7657"/>
      <c r="B51" s="7287" t="s">
        <v>44</v>
      </c>
      <c r="C51" s="8802">
        <v>50203090</v>
      </c>
      <c r="D51" s="8798">
        <f>'WS-MOOE 2017'!R34</f>
        <v>92845</v>
      </c>
      <c r="E51" s="8798">
        <f>'WS-MOOE ACTUAL JUNE 2018'!O35</f>
        <v>55000</v>
      </c>
      <c r="F51" s="10470">
        <f t="shared" si="2"/>
        <v>145000</v>
      </c>
      <c r="G51" s="8798">
        <v>200000</v>
      </c>
      <c r="H51" s="8798">
        <v>76577.2</v>
      </c>
      <c r="I51" s="8799">
        <f t="shared" si="3"/>
        <v>0.382886</v>
      </c>
      <c r="J51" s="11691">
        <v>200500</v>
      </c>
    </row>
    <row r="52" spans="1:10" ht="15" customHeight="1">
      <c r="A52" s="7657"/>
      <c r="B52" s="7287" t="s">
        <v>45</v>
      </c>
      <c r="C52" s="8802">
        <v>50204010</v>
      </c>
      <c r="D52" s="8798">
        <f>'WS-MOOE 2017'!W34</f>
        <v>0</v>
      </c>
      <c r="E52" s="8798">
        <f>'WS-MOOE ACTUAL JUNE 2018'!R35</f>
        <v>0</v>
      </c>
      <c r="F52" s="10470">
        <f t="shared" si="2"/>
        <v>15000</v>
      </c>
      <c r="G52" s="8798">
        <v>15000</v>
      </c>
      <c r="H52" s="8798">
        <v>0</v>
      </c>
      <c r="I52" s="8799">
        <f t="shared" si="3"/>
        <v>0</v>
      </c>
      <c r="J52" s="11691">
        <v>15000</v>
      </c>
    </row>
    <row r="53" spans="1:10" ht="15" customHeight="1">
      <c r="A53" s="7657"/>
      <c r="B53" s="7287" t="s">
        <v>46</v>
      </c>
      <c r="C53" s="8802">
        <v>50204020</v>
      </c>
      <c r="D53" s="8798">
        <f>'WS-MOOE 2017'!X34</f>
        <v>506067.37</v>
      </c>
      <c r="E53" s="8798">
        <f>'WS-MOOE ACTUAL JUNE 2018'!S35</f>
        <v>243154.63</v>
      </c>
      <c r="F53" s="10470">
        <f t="shared" si="2"/>
        <v>256845.37</v>
      </c>
      <c r="G53" s="8798">
        <v>500000</v>
      </c>
      <c r="H53" s="8798">
        <v>389159.59</v>
      </c>
      <c r="I53" s="8799">
        <f t="shared" si="3"/>
        <v>0.77831918</v>
      </c>
      <c r="J53" s="11691">
        <v>500000</v>
      </c>
    </row>
    <row r="54" spans="1:10" ht="15" customHeight="1">
      <c r="A54" s="7657"/>
      <c r="B54" s="7287" t="s">
        <v>10974</v>
      </c>
      <c r="C54" s="8802">
        <v>50203990</v>
      </c>
      <c r="D54" s="8798">
        <f>'WS-MOOE 2017'!V34</f>
        <v>28330</v>
      </c>
      <c r="E54" s="8798">
        <f>'WS-MOOE ACTUAL JUNE 2018'!T35</f>
        <v>15210</v>
      </c>
      <c r="F54" s="10470">
        <f t="shared" si="2"/>
        <v>24790</v>
      </c>
      <c r="G54" s="8798">
        <v>40000</v>
      </c>
      <c r="H54" s="8798">
        <v>20630</v>
      </c>
      <c r="I54" s="8799">
        <f t="shared" si="3"/>
        <v>0.51575000000000004</v>
      </c>
      <c r="J54" s="11691">
        <v>40000</v>
      </c>
    </row>
    <row r="55" spans="1:10" ht="15" customHeight="1">
      <c r="A55" s="7657"/>
      <c r="B55" s="7287" t="s">
        <v>62</v>
      </c>
      <c r="C55" s="8802">
        <v>50205010</v>
      </c>
      <c r="D55" s="8798">
        <f>'WS-MOOE 2017'!Z34</f>
        <v>5687</v>
      </c>
      <c r="E55" s="8798">
        <f>'WS-MOOE ACTUAL JUNE 2018'!U35</f>
        <v>3150</v>
      </c>
      <c r="F55" s="10470">
        <f t="shared" si="2"/>
        <v>3850</v>
      </c>
      <c r="G55" s="8798">
        <v>7000</v>
      </c>
      <c r="H55" s="8798">
        <v>5007</v>
      </c>
      <c r="I55" s="8799">
        <f t="shared" si="3"/>
        <v>0.7152857142857143</v>
      </c>
      <c r="J55" s="11691">
        <v>7000</v>
      </c>
    </row>
    <row r="56" spans="1:10" ht="15" customHeight="1">
      <c r="A56" s="7657"/>
      <c r="B56" s="7536" t="s">
        <v>155</v>
      </c>
      <c r="C56" s="10149">
        <v>50205020</v>
      </c>
      <c r="D56" s="8798">
        <f>'WS-MOOE 2017'!AA34+'WS-MOOE 2017'!AC34</f>
        <v>33420.79</v>
      </c>
      <c r="E56" s="8798">
        <f>'WS-MOOE ACTUAL JUNE 2018'!V35</f>
        <v>12996.97</v>
      </c>
      <c r="F56" s="10470">
        <f t="shared" si="2"/>
        <v>32003.03</v>
      </c>
      <c r="G56" s="8798">
        <v>45000</v>
      </c>
      <c r="H56" s="8798">
        <v>17398.64</v>
      </c>
      <c r="I56" s="8799">
        <f t="shared" si="3"/>
        <v>0.38663644444444445</v>
      </c>
      <c r="J56" s="11691">
        <v>25000</v>
      </c>
    </row>
    <row r="57" spans="1:10" ht="15" customHeight="1">
      <c r="A57" s="7657"/>
      <c r="B57" s="7803" t="s">
        <v>10973</v>
      </c>
      <c r="C57" s="10377">
        <v>50205030</v>
      </c>
      <c r="D57" s="8798"/>
      <c r="E57" s="8798"/>
      <c r="F57" s="10470"/>
      <c r="G57" s="8798"/>
      <c r="H57" s="8798"/>
      <c r="I57" s="8799"/>
      <c r="J57" s="11691">
        <v>17000</v>
      </c>
    </row>
    <row r="58" spans="1:10" ht="15" customHeight="1">
      <c r="A58" s="7657"/>
      <c r="B58" s="7352" t="s">
        <v>100</v>
      </c>
      <c r="C58" s="8872">
        <v>50299030</v>
      </c>
      <c r="D58" s="8798">
        <f>'WS-MOOE 2017'!BK34</f>
        <v>75442</v>
      </c>
      <c r="E58" s="8798">
        <f>'WS-MOOE ACTUAL JUNE 2018'!BE35</f>
        <v>25000</v>
      </c>
      <c r="F58" s="10470">
        <f t="shared" si="2"/>
        <v>35000</v>
      </c>
      <c r="G58" s="8798">
        <v>60000</v>
      </c>
      <c r="H58" s="8798">
        <v>30000</v>
      </c>
      <c r="I58" s="8799">
        <f t="shared" si="3"/>
        <v>0.5</v>
      </c>
      <c r="J58" s="11691">
        <v>60000</v>
      </c>
    </row>
    <row r="59" spans="1:10" ht="15" customHeight="1">
      <c r="A59" s="7657"/>
      <c r="B59" s="7352" t="s">
        <v>10956</v>
      </c>
      <c r="C59" s="8872">
        <v>50212990</v>
      </c>
      <c r="D59" s="8798">
        <f>'WS-MOOE 2017'!AO34</f>
        <v>3545201.63</v>
      </c>
      <c r="E59" s="8798">
        <f>'WS-MOOE ACTUAL JUNE 2018'!AJ35</f>
        <v>1164358.26</v>
      </c>
      <c r="F59" s="10470">
        <f t="shared" si="2"/>
        <v>835641.74</v>
      </c>
      <c r="G59" s="8798">
        <v>2000000</v>
      </c>
      <c r="H59" s="8798">
        <v>1936047.85</v>
      </c>
      <c r="I59" s="8799">
        <f t="shared" si="3"/>
        <v>0.96802392500000001</v>
      </c>
      <c r="J59" s="11691">
        <v>3000000</v>
      </c>
    </row>
    <row r="60" spans="1:10" ht="15" customHeight="1">
      <c r="A60" s="7657"/>
      <c r="B60" s="7488" t="s">
        <v>10955</v>
      </c>
      <c r="C60" s="11258">
        <v>50211990</v>
      </c>
      <c r="D60" s="8798">
        <f>'WS-MOOE 2017'!AL34</f>
        <v>1957289.26</v>
      </c>
      <c r="E60" s="8798">
        <f>'WS-MOOE ACTUAL JUNE 2018'!AF35</f>
        <v>1795317.43</v>
      </c>
      <c r="F60" s="10470">
        <f t="shared" si="2"/>
        <v>3404682.5700000003</v>
      </c>
      <c r="G60" s="8798">
        <v>5200000</v>
      </c>
      <c r="H60" s="8798">
        <v>4821571.37</v>
      </c>
      <c r="I60" s="8799">
        <f t="shared" si="3"/>
        <v>0.92722526346153844</v>
      </c>
      <c r="J60" s="11691">
        <v>6800000</v>
      </c>
    </row>
    <row r="61" spans="1:10" ht="15" customHeight="1">
      <c r="A61" s="7657"/>
      <c r="B61" s="7488" t="s">
        <v>10959</v>
      </c>
      <c r="C61" s="10377">
        <v>50213040</v>
      </c>
      <c r="D61" s="8798">
        <f>'WS-MOOE 2017'!AS34</f>
        <v>21759</v>
      </c>
      <c r="E61" s="8798">
        <f>'WS-MOOE ACTUAL JUNE 2018'!AN35</f>
        <v>20818</v>
      </c>
      <c r="F61" s="10470">
        <f t="shared" si="2"/>
        <v>79182</v>
      </c>
      <c r="G61" s="8798">
        <v>100000</v>
      </c>
      <c r="H61" s="8798">
        <v>25616</v>
      </c>
      <c r="I61" s="8799">
        <f t="shared" si="3"/>
        <v>0.25616</v>
      </c>
      <c r="J61" s="11691">
        <v>100000</v>
      </c>
    </row>
    <row r="62" spans="1:10" ht="15" customHeight="1">
      <c r="A62" s="7657"/>
      <c r="B62" s="7488" t="s">
        <v>10938</v>
      </c>
      <c r="C62" s="8872">
        <v>50213050</v>
      </c>
      <c r="D62" s="8798"/>
      <c r="E62" s="8798"/>
      <c r="F62" s="10470"/>
      <c r="G62" s="8798"/>
      <c r="H62" s="8798"/>
      <c r="I62" s="8799"/>
      <c r="J62" s="11691">
        <v>100000</v>
      </c>
    </row>
    <row r="63" spans="1:10" ht="15" customHeight="1">
      <c r="A63" s="7657"/>
      <c r="B63" s="7488" t="s">
        <v>10937</v>
      </c>
      <c r="C63" s="11258">
        <v>50213060</v>
      </c>
      <c r="D63" s="8798">
        <f>'WS-MOOE 2017'!BB34</f>
        <v>78684.75</v>
      </c>
      <c r="E63" s="8798">
        <f>'WS-MOOE ACTUAL JUNE 2018'!AT35</f>
        <v>2000</v>
      </c>
      <c r="F63" s="10470">
        <f t="shared" si="2"/>
        <v>98000</v>
      </c>
      <c r="G63" s="8798">
        <v>100000</v>
      </c>
      <c r="H63" s="8798">
        <v>2000</v>
      </c>
      <c r="I63" s="8799">
        <f t="shared" si="3"/>
        <v>0.02</v>
      </c>
      <c r="J63" s="11691">
        <v>160000</v>
      </c>
    </row>
    <row r="64" spans="1:10" ht="15" customHeight="1">
      <c r="A64" s="7657"/>
      <c r="B64" s="7287" t="s">
        <v>110</v>
      </c>
      <c r="C64" s="8802">
        <v>50216010</v>
      </c>
      <c r="D64" s="8798">
        <f>'WS-MOOE 2017'!BG34</f>
        <v>3500</v>
      </c>
      <c r="E64" s="8798">
        <f>'WS-MOOE ACTUAL JUNE 2018'!AY35</f>
        <v>20700</v>
      </c>
      <c r="F64" s="10470">
        <f t="shared" si="2"/>
        <v>26300</v>
      </c>
      <c r="G64" s="8798">
        <v>47000</v>
      </c>
      <c r="H64" s="8798">
        <v>20700</v>
      </c>
      <c r="I64" s="8799">
        <f t="shared" si="3"/>
        <v>0.44042553191489364</v>
      </c>
      <c r="J64" s="11691">
        <v>35000</v>
      </c>
    </row>
    <row r="65" spans="1:10" ht="15" customHeight="1" thickBot="1">
      <c r="A65" s="7699"/>
      <c r="B65" s="7291"/>
      <c r="C65" s="11732"/>
      <c r="D65" s="11880"/>
      <c r="E65" s="11880"/>
      <c r="F65" s="11880"/>
      <c r="G65" s="11704"/>
      <c r="H65" s="11704"/>
      <c r="I65" s="7573"/>
      <c r="J65" s="11854"/>
    </row>
    <row r="66" spans="1:10" ht="15" customHeight="1">
      <c r="A66" s="7287"/>
      <c r="B66" s="7287"/>
      <c r="C66" s="7288"/>
      <c r="D66" s="7669"/>
      <c r="E66" s="7669"/>
      <c r="F66" s="7669"/>
      <c r="G66" s="7289"/>
      <c r="H66" s="7289"/>
      <c r="I66" s="7290"/>
      <c r="J66" s="7289"/>
    </row>
    <row r="67" spans="1:10" ht="15" customHeight="1">
      <c r="A67" s="7287"/>
      <c r="B67" s="7287"/>
      <c r="C67" s="7288"/>
      <c r="D67" s="7669"/>
      <c r="E67" s="7669"/>
      <c r="F67" s="7669"/>
      <c r="G67" s="7289"/>
      <c r="H67" s="7289"/>
      <c r="I67" s="7290"/>
      <c r="J67" s="7289"/>
    </row>
    <row r="68" spans="1:10" ht="15" customHeight="1">
      <c r="A68" s="7287"/>
      <c r="B68" s="7287"/>
      <c r="C68" s="7288"/>
      <c r="D68" s="7669"/>
      <c r="E68" s="7669"/>
      <c r="F68" s="7669"/>
      <c r="G68" s="7289"/>
      <c r="H68" s="7289"/>
      <c r="I68" s="7290"/>
      <c r="J68" s="7289"/>
    </row>
    <row r="69" spans="1:10" ht="15" customHeight="1">
      <c r="A69" s="7287"/>
      <c r="B69" s="7287"/>
      <c r="C69" s="7288"/>
      <c r="D69" s="7669"/>
      <c r="E69" s="7669"/>
      <c r="F69" s="7669"/>
      <c r="G69" s="7289"/>
      <c r="H69" s="7289"/>
      <c r="I69" s="7290"/>
      <c r="J69" s="7289"/>
    </row>
    <row r="70" spans="1:10" ht="15" customHeight="1">
      <c r="A70" s="7287"/>
      <c r="B70" s="7287"/>
      <c r="C70" s="7288"/>
      <c r="D70" s="7669"/>
      <c r="E70" s="7669"/>
      <c r="F70" s="7669"/>
      <c r="G70" s="7289"/>
      <c r="H70" s="7289"/>
      <c r="I70" s="7290"/>
      <c r="J70" s="7289"/>
    </row>
    <row r="71" spans="1:10" ht="15" customHeight="1">
      <c r="A71" s="7287"/>
      <c r="B71" s="7287"/>
      <c r="C71" s="7288"/>
      <c r="D71" s="7669"/>
      <c r="E71" s="7669"/>
      <c r="F71" s="7669"/>
      <c r="G71" s="7289"/>
      <c r="H71" s="7289"/>
      <c r="I71" s="7290"/>
      <c r="J71" s="7289"/>
    </row>
    <row r="72" spans="1:10" ht="15" customHeight="1">
      <c r="A72" s="7287"/>
      <c r="B72" s="7287"/>
      <c r="C72" s="7288"/>
      <c r="D72" s="7669"/>
      <c r="E72" s="7669"/>
      <c r="F72" s="7669"/>
      <c r="G72" s="7289"/>
      <c r="H72" s="7289"/>
      <c r="I72" s="7290"/>
      <c r="J72" s="7289"/>
    </row>
    <row r="73" spans="1:10" ht="15" customHeight="1">
      <c r="A73" s="7287"/>
      <c r="B73" s="7287"/>
      <c r="C73" s="7288"/>
      <c r="D73" s="7669"/>
      <c r="E73" s="7669"/>
      <c r="F73" s="7669"/>
      <c r="G73" s="7289"/>
      <c r="H73" s="7289"/>
      <c r="I73" s="7290"/>
      <c r="J73" s="7289"/>
    </row>
    <row r="74" spans="1:10" ht="15" customHeight="1">
      <c r="A74" s="7287"/>
      <c r="B74" s="7287"/>
      <c r="C74" s="7288"/>
      <c r="D74" s="7669"/>
      <c r="E74" s="7669"/>
      <c r="F74" s="7669"/>
      <c r="G74" s="7289"/>
      <c r="H74" s="7289"/>
      <c r="I74" s="7290"/>
      <c r="J74" s="7289"/>
    </row>
    <row r="75" spans="1:10" ht="15" customHeight="1" thickBot="1">
      <c r="A75" s="7287" t="s">
        <v>10728</v>
      </c>
      <c r="B75" s="7287"/>
      <c r="C75" s="7288"/>
      <c r="D75" s="7669"/>
      <c r="E75" s="7669"/>
      <c r="F75" s="7669"/>
      <c r="G75" s="7289" t="s">
        <v>9</v>
      </c>
      <c r="H75" s="7289"/>
      <c r="I75" s="7290"/>
      <c r="J75" s="7289" t="s">
        <v>9</v>
      </c>
    </row>
    <row r="76" spans="1:10" ht="15" customHeight="1">
      <c r="A76" s="7694"/>
      <c r="B76" s="11658"/>
      <c r="C76" s="9460" t="s">
        <v>9</v>
      </c>
      <c r="D76" s="10868" t="s">
        <v>10</v>
      </c>
      <c r="E76" s="14188" t="s">
        <v>10711</v>
      </c>
      <c r="F76" s="14189"/>
      <c r="G76" s="14190"/>
      <c r="H76" s="9461"/>
      <c r="I76" s="9462"/>
      <c r="J76" s="11733" t="s">
        <v>12</v>
      </c>
    </row>
    <row r="77" spans="1:10" ht="15" customHeight="1">
      <c r="A77" s="7657"/>
      <c r="B77" s="7295" t="s">
        <v>13</v>
      </c>
      <c r="C77" s="11727" t="s">
        <v>93</v>
      </c>
      <c r="D77" s="11123" t="s">
        <v>15</v>
      </c>
      <c r="E77" s="9502" t="s">
        <v>10709</v>
      </c>
      <c r="F77" s="9503" t="s">
        <v>10710</v>
      </c>
      <c r="G77" s="14191" t="s">
        <v>458</v>
      </c>
      <c r="H77" s="11438"/>
      <c r="I77" s="11108"/>
      <c r="J77" s="11734" t="s">
        <v>16</v>
      </c>
    </row>
    <row r="78" spans="1:10" ht="15" customHeight="1" thickBot="1">
      <c r="A78" s="7699"/>
      <c r="B78" s="7897"/>
      <c r="C78" s="11728" t="s">
        <v>94</v>
      </c>
      <c r="D78" s="9455">
        <v>2017</v>
      </c>
      <c r="E78" s="9467" t="s">
        <v>457</v>
      </c>
      <c r="F78" s="11661" t="s">
        <v>456</v>
      </c>
      <c r="G78" s="14192"/>
      <c r="H78" s="7302"/>
      <c r="I78" s="7322"/>
      <c r="J78" s="11735">
        <v>2019</v>
      </c>
    </row>
    <row r="79" spans="1:10" ht="15" customHeight="1">
      <c r="A79" s="7657"/>
      <c r="B79" s="7287"/>
      <c r="C79" s="10136"/>
      <c r="D79" s="10150"/>
      <c r="E79" s="10150"/>
      <c r="F79" s="10150"/>
      <c r="G79" s="8798"/>
      <c r="H79" s="8798"/>
      <c r="I79" s="8799"/>
      <c r="J79" s="11691"/>
    </row>
    <row r="80" spans="1:10" ht="15" customHeight="1">
      <c r="A80" s="7657"/>
      <c r="B80" s="7287" t="s">
        <v>72</v>
      </c>
      <c r="C80" s="8802">
        <v>50215020</v>
      </c>
      <c r="D80" s="8798">
        <f>'WS-MOOE 2017'!BH34</f>
        <v>2850</v>
      </c>
      <c r="E80" s="8798">
        <f>'WS-MOOE ACTUAL JUNE 2018'!AZ35</f>
        <v>4087.5</v>
      </c>
      <c r="F80" s="10470">
        <f>G80-E80</f>
        <v>5912.5</v>
      </c>
      <c r="G80" s="8798">
        <v>10000</v>
      </c>
      <c r="H80" s="8798">
        <v>4087.5</v>
      </c>
      <c r="I80" s="8799">
        <f>H80/G80</f>
        <v>0.40875</v>
      </c>
      <c r="J80" s="11691">
        <v>10000</v>
      </c>
    </row>
    <row r="81" spans="1:11" ht="15" customHeight="1">
      <c r="A81" s="7657"/>
      <c r="B81" s="7536" t="s">
        <v>102</v>
      </c>
      <c r="C81" s="10149">
        <v>50215030</v>
      </c>
      <c r="D81" s="8798">
        <v>0</v>
      </c>
      <c r="E81" s="8798">
        <f>'WS-MOOE ACTUAL JUNE 2018'!BA35</f>
        <v>0</v>
      </c>
      <c r="F81" s="10470">
        <f>G81-E81</f>
        <v>5000</v>
      </c>
      <c r="G81" s="8798">
        <v>5000</v>
      </c>
      <c r="H81" s="8798">
        <v>0</v>
      </c>
      <c r="I81" s="8799">
        <f>H81/G81</f>
        <v>0</v>
      </c>
      <c r="J81" s="11691">
        <v>5000</v>
      </c>
    </row>
    <row r="82" spans="1:11" ht="15" customHeight="1">
      <c r="A82" s="7657"/>
      <c r="B82" s="7536" t="s">
        <v>50</v>
      </c>
      <c r="C82" s="10149">
        <v>50299990</v>
      </c>
      <c r="D82" s="8798">
        <f>'WS-MOOE 2017'!BO34</f>
        <v>170447.15</v>
      </c>
      <c r="E82" s="8798">
        <f>'WS-MOOE ACTUAL JUNE 2018'!BI35</f>
        <v>27268</v>
      </c>
      <c r="F82" s="10470">
        <f>G82-E82</f>
        <v>361002</v>
      </c>
      <c r="G82" s="8798">
        <v>388270</v>
      </c>
      <c r="H82" s="8798">
        <v>211631</v>
      </c>
      <c r="I82" s="8799">
        <f>H82/G82</f>
        <v>0.54506142632704047</v>
      </c>
      <c r="J82" s="11691">
        <v>500000</v>
      </c>
    </row>
    <row r="83" spans="1:11" ht="15" customHeight="1">
      <c r="A83" s="11663"/>
      <c r="B83" s="7314" t="s">
        <v>11916</v>
      </c>
      <c r="C83" s="10136"/>
      <c r="D83" s="8798"/>
      <c r="E83" s="8798"/>
      <c r="F83" s="8798"/>
      <c r="G83" s="10138"/>
      <c r="H83" s="10138"/>
      <c r="I83" s="9413"/>
      <c r="J83" s="11133">
        <v>250000</v>
      </c>
      <c r="K83" s="7275" t="s">
        <v>11707</v>
      </c>
    </row>
    <row r="84" spans="1:11" ht="15" customHeight="1">
      <c r="A84" s="7657"/>
      <c r="B84" s="7287"/>
      <c r="C84" s="10136"/>
      <c r="D84" s="7660"/>
      <c r="E84" s="7660"/>
      <c r="F84" s="7660"/>
      <c r="G84" s="7660"/>
      <c r="H84" s="7660"/>
      <c r="I84" s="7373"/>
      <c r="J84" s="11736"/>
    </row>
    <row r="85" spans="1:11" ht="15" customHeight="1">
      <c r="A85" s="7657"/>
      <c r="B85" s="7315" t="s">
        <v>37</v>
      </c>
      <c r="C85" s="10136"/>
      <c r="D85" s="9465">
        <f>SUM(D44:D65,D79:D84)</f>
        <v>17121410.84</v>
      </c>
      <c r="E85" s="9465">
        <f>SUM(E44:E65,E79:E84)</f>
        <v>4348992.74</v>
      </c>
      <c r="F85" s="9465">
        <f>SUM(F44:F65,F79:F84)</f>
        <v>20468277.259999998</v>
      </c>
      <c r="G85" s="9465">
        <f>SUM(G44:G65,G79:G84)</f>
        <v>24817270</v>
      </c>
      <c r="H85" s="9465">
        <f>SUM(H44:H65,H79:H84)</f>
        <v>18110345.149999999</v>
      </c>
      <c r="I85" s="9466">
        <f>H85/G85</f>
        <v>0.7297476777260351</v>
      </c>
      <c r="J85" s="11744">
        <f>SUM(J44:J65,J79:J84)</f>
        <v>24202783</v>
      </c>
      <c r="K85" s="10391">
        <f>(J85-G85)/G85</f>
        <v>-2.4760459148004597E-2</v>
      </c>
    </row>
    <row r="86" spans="1:11" ht="15" customHeight="1">
      <c r="A86" s="11663" t="s">
        <v>51</v>
      </c>
      <c r="B86" s="7287" t="s">
        <v>3374</v>
      </c>
      <c r="C86" s="10136"/>
      <c r="D86" s="8798"/>
      <c r="E86" s="8798"/>
      <c r="F86" s="8798"/>
      <c r="G86" s="8798"/>
      <c r="H86" s="8798"/>
      <c r="I86" s="8799"/>
      <c r="J86" s="11691"/>
    </row>
    <row r="87" spans="1:11" ht="15" customHeight="1">
      <c r="A87" s="11663"/>
      <c r="B87" s="7287" t="s">
        <v>12233</v>
      </c>
      <c r="C87" s="8802">
        <v>50705020</v>
      </c>
      <c r="D87" s="8798">
        <f>'WS-CO 2017'!F33</f>
        <v>207600</v>
      </c>
      <c r="E87" s="8798"/>
      <c r="F87" s="10470">
        <f>G87-E87</f>
        <v>115000</v>
      </c>
      <c r="G87" s="8798">
        <v>115000</v>
      </c>
      <c r="H87" s="8798">
        <v>115000</v>
      </c>
      <c r="I87" s="8799">
        <f>H87/G87</f>
        <v>1</v>
      </c>
      <c r="J87" s="11691">
        <v>20000</v>
      </c>
    </row>
    <row r="88" spans="1:11" ht="15" customHeight="1">
      <c r="A88" s="11663"/>
      <c r="B88" s="7287" t="s">
        <v>11913</v>
      </c>
      <c r="C88" s="8802"/>
      <c r="D88" s="8798"/>
      <c r="E88" s="8798"/>
      <c r="F88" s="10470"/>
      <c r="G88" s="11664"/>
      <c r="H88" s="8798"/>
      <c r="I88" s="8799"/>
      <c r="J88" s="11665">
        <v>67000</v>
      </c>
    </row>
    <row r="89" spans="1:11" ht="15" hidden="1" customHeight="1">
      <c r="A89" s="11663"/>
      <c r="B89" s="7287" t="s">
        <v>10534</v>
      </c>
      <c r="C89" s="8802">
        <v>50706010</v>
      </c>
      <c r="D89" s="8798"/>
      <c r="E89" s="8798"/>
      <c r="F89" s="10470"/>
      <c r="G89" s="11679"/>
      <c r="H89" s="8798"/>
      <c r="I89" s="8799"/>
      <c r="J89" s="11881">
        <v>0</v>
      </c>
      <c r="K89" s="7275" t="s">
        <v>11877</v>
      </c>
    </row>
    <row r="90" spans="1:11" ht="15" customHeight="1">
      <c r="A90" s="11663"/>
      <c r="B90" s="7287" t="s">
        <v>11918</v>
      </c>
      <c r="C90" s="8802">
        <v>50704990</v>
      </c>
      <c r="D90" s="8798"/>
      <c r="E90" s="8798"/>
      <c r="F90" s="10470"/>
      <c r="G90" s="8800"/>
      <c r="H90" s="8798"/>
      <c r="I90" s="8799"/>
      <c r="J90" s="11882">
        <v>1000000</v>
      </c>
      <c r="K90" s="7275" t="s">
        <v>11914</v>
      </c>
    </row>
    <row r="91" spans="1:11" ht="15" customHeight="1">
      <c r="A91" s="11663"/>
      <c r="B91" s="7287" t="s">
        <v>11705</v>
      </c>
      <c r="C91" s="8802">
        <v>50705990</v>
      </c>
      <c r="D91" s="8798">
        <f>'WS-CO 2017'!I33</f>
        <v>146465</v>
      </c>
      <c r="E91" s="8798"/>
      <c r="F91" s="10470">
        <f>G91-E91</f>
        <v>531700</v>
      </c>
      <c r="G91" s="8800">
        <v>531700</v>
      </c>
      <c r="H91" s="8798">
        <v>0</v>
      </c>
      <c r="I91" s="8799">
        <f>H91/G91</f>
        <v>0</v>
      </c>
      <c r="J91" s="11882">
        <v>0</v>
      </c>
    </row>
    <row r="92" spans="1:11" ht="15" hidden="1" customHeight="1">
      <c r="A92" s="11663"/>
      <c r="B92" s="11680" t="s">
        <v>10535</v>
      </c>
      <c r="C92" s="11855">
        <v>50705110</v>
      </c>
      <c r="D92" s="8798"/>
      <c r="E92" s="8798"/>
      <c r="F92" s="10470"/>
      <c r="G92" s="8800"/>
      <c r="H92" s="8798"/>
      <c r="I92" s="8799"/>
      <c r="J92" s="11882"/>
      <c r="K92" s="7275" t="s">
        <v>11876</v>
      </c>
    </row>
    <row r="93" spans="1:11" ht="15" hidden="1" customHeight="1">
      <c r="A93" s="11663"/>
      <c r="B93" s="7488" t="s">
        <v>11704</v>
      </c>
      <c r="C93" s="10144">
        <v>50705030</v>
      </c>
      <c r="D93" s="8798"/>
      <c r="E93" s="8798"/>
      <c r="F93" s="10470"/>
      <c r="G93" s="8800"/>
      <c r="H93" s="8798"/>
      <c r="I93" s="8799"/>
      <c r="J93" s="11882"/>
      <c r="K93" s="7275" t="s">
        <v>11915</v>
      </c>
    </row>
    <row r="94" spans="1:11" ht="15" customHeight="1">
      <c r="A94" s="11663"/>
      <c r="B94" s="7287" t="s">
        <v>11703</v>
      </c>
      <c r="C94" s="10136">
        <v>50707010</v>
      </c>
      <c r="D94" s="8798"/>
      <c r="E94" s="8798"/>
      <c r="F94" s="10470">
        <f>G94-E95</f>
        <v>460000</v>
      </c>
      <c r="G94" s="8882">
        <v>460000</v>
      </c>
      <c r="H94" s="8882">
        <v>460000</v>
      </c>
      <c r="I94" s="8799">
        <f>H94/G94</f>
        <v>1</v>
      </c>
      <c r="J94" s="11251">
        <v>126000</v>
      </c>
    </row>
    <row r="95" spans="1:11" ht="15" hidden="1" customHeight="1">
      <c r="A95" s="11663"/>
      <c r="B95" s="7314" t="s">
        <v>11706</v>
      </c>
      <c r="C95" s="10136"/>
      <c r="D95" s="8798"/>
      <c r="E95" s="8798"/>
      <c r="F95" s="8798"/>
      <c r="G95" s="10138"/>
      <c r="H95" s="10138"/>
      <c r="I95" s="9413"/>
      <c r="J95" s="11133"/>
      <c r="K95" s="7275" t="s">
        <v>11707</v>
      </c>
    </row>
    <row r="96" spans="1:11" ht="15" hidden="1" customHeight="1">
      <c r="A96" s="11663"/>
      <c r="B96" s="7287"/>
      <c r="C96" s="10136"/>
      <c r="D96" s="8798"/>
      <c r="E96" s="8798"/>
      <c r="F96" s="8798"/>
      <c r="G96" s="8882"/>
      <c r="H96" s="8882"/>
      <c r="I96" s="9413"/>
      <c r="J96" s="11251"/>
    </row>
    <row r="97" spans="1:10" ht="15" hidden="1" customHeight="1">
      <c r="A97" s="11663"/>
      <c r="B97" s="7287"/>
      <c r="C97" s="10136"/>
      <c r="D97" s="8798"/>
      <c r="E97" s="8798"/>
      <c r="F97" s="8798"/>
      <c r="G97" s="8870"/>
      <c r="H97" s="8882"/>
      <c r="I97" s="9413"/>
      <c r="J97" s="11678"/>
    </row>
    <row r="98" spans="1:10" ht="15" hidden="1" customHeight="1">
      <c r="A98" s="11663"/>
      <c r="B98" s="7718"/>
      <c r="C98" s="10136"/>
      <c r="D98" s="8798"/>
      <c r="E98" s="8798"/>
      <c r="F98" s="8798"/>
      <c r="G98" s="8870"/>
      <c r="H98" s="8882"/>
      <c r="I98" s="9413"/>
      <c r="J98" s="11678"/>
    </row>
    <row r="99" spans="1:10" ht="15" hidden="1" customHeight="1">
      <c r="A99" s="11663"/>
      <c r="B99" s="7287"/>
      <c r="C99" s="10136"/>
      <c r="D99" s="8798"/>
      <c r="E99" s="8798"/>
      <c r="F99" s="8798"/>
      <c r="G99" s="8870"/>
      <c r="H99" s="8882"/>
      <c r="I99" s="9413"/>
      <c r="J99" s="11678"/>
    </row>
    <row r="100" spans="1:10" ht="15" hidden="1" customHeight="1">
      <c r="A100" s="11663"/>
      <c r="B100" s="7287"/>
      <c r="C100" s="10136"/>
      <c r="D100" s="8798"/>
      <c r="E100" s="8798"/>
      <c r="F100" s="8798"/>
      <c r="G100" s="8870"/>
      <c r="H100" s="8882"/>
      <c r="I100" s="9413"/>
      <c r="J100" s="11678"/>
    </row>
    <row r="101" spans="1:10" ht="15" hidden="1" customHeight="1">
      <c r="A101" s="11663"/>
      <c r="B101" s="7287"/>
      <c r="C101" s="10136"/>
      <c r="D101" s="8798"/>
      <c r="E101" s="8798"/>
      <c r="F101" s="8798"/>
      <c r="G101" s="8870"/>
      <c r="H101" s="8882"/>
      <c r="I101" s="9413"/>
      <c r="J101" s="11678"/>
    </row>
    <row r="102" spans="1:10" ht="15" hidden="1" customHeight="1">
      <c r="A102" s="11663"/>
      <c r="B102" s="7287" t="s">
        <v>10293</v>
      </c>
      <c r="C102" s="10136"/>
      <c r="D102" s="8798"/>
      <c r="E102" s="8798"/>
      <c r="F102" s="8798"/>
      <c r="G102" s="8870"/>
      <c r="H102" s="8882"/>
      <c r="I102" s="9413"/>
      <c r="J102" s="11678"/>
    </row>
    <row r="103" spans="1:10" ht="15" hidden="1" customHeight="1">
      <c r="A103" s="11663"/>
      <c r="B103" s="7287" t="s">
        <v>10247</v>
      </c>
      <c r="C103" s="10136"/>
      <c r="D103" s="8798"/>
      <c r="E103" s="8798"/>
      <c r="F103" s="8798"/>
      <c r="G103" s="8882"/>
      <c r="H103" s="8882"/>
      <c r="I103" s="9413"/>
      <c r="J103" s="11251"/>
    </row>
    <row r="104" spans="1:10" ht="15" hidden="1" customHeight="1">
      <c r="A104" s="11663"/>
      <c r="B104" s="7287" t="s">
        <v>10248</v>
      </c>
      <c r="C104" s="10136"/>
      <c r="D104" s="8798"/>
      <c r="E104" s="8798"/>
      <c r="F104" s="8798"/>
      <c r="G104" s="8882"/>
      <c r="H104" s="8882"/>
      <c r="I104" s="9413"/>
      <c r="J104" s="11251"/>
    </row>
    <row r="105" spans="1:10" ht="15" hidden="1" customHeight="1">
      <c r="A105" s="11663"/>
      <c r="B105" s="7287" t="s">
        <v>10253</v>
      </c>
      <c r="C105" s="10136"/>
      <c r="D105" s="8798"/>
      <c r="E105" s="8798"/>
      <c r="F105" s="8798"/>
      <c r="G105" s="8882"/>
      <c r="H105" s="8882"/>
      <c r="I105" s="9413"/>
      <c r="J105" s="11251"/>
    </row>
    <row r="106" spans="1:10" ht="15" hidden="1" customHeight="1">
      <c r="A106" s="11663"/>
      <c r="B106" s="7287" t="s">
        <v>10249</v>
      </c>
      <c r="C106" s="10136"/>
      <c r="D106" s="8798"/>
      <c r="E106" s="8798"/>
      <c r="F106" s="8798"/>
      <c r="G106" s="8882"/>
      <c r="H106" s="8882"/>
      <c r="I106" s="9413"/>
      <c r="J106" s="11251"/>
    </row>
    <row r="107" spans="1:10" ht="15" hidden="1" customHeight="1">
      <c r="A107" s="11663"/>
      <c r="B107" s="7287" t="s">
        <v>10250</v>
      </c>
      <c r="C107" s="10136"/>
      <c r="D107" s="8798"/>
      <c r="E107" s="8798"/>
      <c r="F107" s="8798"/>
      <c r="G107" s="8882"/>
      <c r="H107" s="8882"/>
      <c r="I107" s="9413"/>
      <c r="J107" s="11251"/>
    </row>
    <row r="108" spans="1:10" ht="15" hidden="1" customHeight="1">
      <c r="A108" s="11663"/>
      <c r="B108" s="7287" t="s">
        <v>10251</v>
      </c>
      <c r="C108" s="10136"/>
      <c r="D108" s="8798"/>
      <c r="E108" s="8798"/>
      <c r="F108" s="8798"/>
      <c r="G108" s="8882"/>
      <c r="H108" s="8882"/>
      <c r="I108" s="9413"/>
      <c r="J108" s="11251"/>
    </row>
    <row r="109" spans="1:10" ht="15" hidden="1" customHeight="1">
      <c r="A109" s="11663"/>
      <c r="B109" s="7287" t="s">
        <v>10252</v>
      </c>
      <c r="C109" s="10136"/>
      <c r="D109" s="8798"/>
      <c r="E109" s="8798"/>
      <c r="F109" s="8798"/>
      <c r="G109" s="8882"/>
      <c r="H109" s="8882"/>
      <c r="I109" s="9413"/>
      <c r="J109" s="11251"/>
    </row>
    <row r="110" spans="1:10" ht="15" hidden="1" customHeight="1">
      <c r="A110" s="11663"/>
      <c r="B110" s="7287" t="s">
        <v>10254</v>
      </c>
      <c r="C110" s="10136"/>
      <c r="D110" s="8798"/>
      <c r="E110" s="8798"/>
      <c r="F110" s="8798"/>
      <c r="G110" s="8882"/>
      <c r="H110" s="8882"/>
      <c r="I110" s="9413"/>
      <c r="J110" s="11251"/>
    </row>
    <row r="111" spans="1:10" ht="15" hidden="1" customHeight="1">
      <c r="A111" s="11663"/>
      <c r="B111" s="7287" t="s">
        <v>10255</v>
      </c>
      <c r="C111" s="10136"/>
      <c r="D111" s="8798"/>
      <c r="E111" s="8798"/>
      <c r="F111" s="8798"/>
      <c r="G111" s="8882"/>
      <c r="H111" s="8882"/>
      <c r="I111" s="9413"/>
      <c r="J111" s="11251"/>
    </row>
    <row r="112" spans="1:10" ht="15" hidden="1" customHeight="1">
      <c r="A112" s="11663"/>
      <c r="B112" s="7287" t="s">
        <v>10256</v>
      </c>
      <c r="C112" s="10136"/>
      <c r="D112" s="8798"/>
      <c r="E112" s="8798"/>
      <c r="F112" s="8798"/>
      <c r="G112" s="8882"/>
      <c r="H112" s="8882"/>
      <c r="I112" s="9413"/>
      <c r="J112" s="11251"/>
    </row>
    <row r="113" spans="1:11" ht="15" hidden="1" customHeight="1">
      <c r="A113" s="11663"/>
      <c r="B113" s="7287" t="s">
        <v>10257</v>
      </c>
      <c r="C113" s="10136"/>
      <c r="D113" s="8798"/>
      <c r="E113" s="8798"/>
      <c r="F113" s="8798"/>
      <c r="G113" s="8882"/>
      <c r="H113" s="8882"/>
      <c r="I113" s="9413"/>
      <c r="J113" s="11251"/>
    </row>
    <row r="114" spans="1:11" ht="15" hidden="1" customHeight="1">
      <c r="A114" s="11663"/>
      <c r="B114" s="7287"/>
      <c r="C114" s="10136"/>
      <c r="D114" s="8798"/>
      <c r="E114" s="8798"/>
      <c r="F114" s="8798"/>
      <c r="G114" s="8882"/>
      <c r="H114" s="8882"/>
      <c r="I114" s="9413"/>
      <c r="J114" s="11251"/>
    </row>
    <row r="115" spans="1:11" ht="15" hidden="1" customHeight="1">
      <c r="A115" s="11663"/>
      <c r="B115" s="7287" t="s">
        <v>10258</v>
      </c>
      <c r="C115" s="10136"/>
      <c r="D115" s="8798"/>
      <c r="E115" s="8798"/>
      <c r="F115" s="8798"/>
      <c r="G115" s="8882"/>
      <c r="H115" s="8882"/>
      <c r="I115" s="9413"/>
      <c r="J115" s="11251"/>
    </row>
    <row r="116" spans="1:11" ht="15" hidden="1" customHeight="1">
      <c r="A116" s="11663"/>
      <c r="B116" s="7287" t="s">
        <v>10259</v>
      </c>
      <c r="C116" s="10136"/>
      <c r="D116" s="8798"/>
      <c r="E116" s="8798"/>
      <c r="F116" s="8798"/>
      <c r="G116" s="8882"/>
      <c r="H116" s="8882"/>
      <c r="I116" s="9413"/>
      <c r="J116" s="11251"/>
    </row>
    <row r="117" spans="1:11" ht="15" hidden="1" customHeight="1">
      <c r="A117" s="11663"/>
      <c r="B117" s="7287" t="s">
        <v>10260</v>
      </c>
      <c r="C117" s="10136"/>
      <c r="D117" s="8798"/>
      <c r="E117" s="8798"/>
      <c r="F117" s="8798"/>
      <c r="G117" s="8882"/>
      <c r="H117" s="8882"/>
      <c r="I117" s="9413"/>
      <c r="J117" s="11251"/>
    </row>
    <row r="118" spans="1:11" ht="15" hidden="1" customHeight="1">
      <c r="A118" s="11663"/>
      <c r="B118" s="7287" t="s">
        <v>10261</v>
      </c>
      <c r="C118" s="10136"/>
      <c r="D118" s="8798"/>
      <c r="E118" s="8798"/>
      <c r="F118" s="8798"/>
      <c r="G118" s="8882"/>
      <c r="H118" s="8882"/>
      <c r="I118" s="9413"/>
      <c r="J118" s="11251"/>
    </row>
    <row r="119" spans="1:11" ht="15" hidden="1" customHeight="1">
      <c r="A119" s="11663"/>
      <c r="B119" s="7287" t="s">
        <v>10262</v>
      </c>
      <c r="C119" s="10136"/>
      <c r="D119" s="8798"/>
      <c r="E119" s="8798"/>
      <c r="F119" s="8798"/>
      <c r="G119" s="8882"/>
      <c r="H119" s="8882"/>
      <c r="I119" s="9413"/>
      <c r="J119" s="11251"/>
    </row>
    <row r="120" spans="1:11" ht="15" hidden="1" customHeight="1">
      <c r="A120" s="11663"/>
      <c r="B120" s="7287" t="s">
        <v>10263</v>
      </c>
      <c r="C120" s="10136"/>
      <c r="D120" s="8798"/>
      <c r="E120" s="8798"/>
      <c r="F120" s="8798"/>
      <c r="G120" s="8882"/>
      <c r="H120" s="8882"/>
      <c r="I120" s="9413"/>
      <c r="J120" s="11251"/>
    </row>
    <row r="121" spans="1:11" ht="15" hidden="1" customHeight="1">
      <c r="A121" s="11663"/>
      <c r="B121" s="7287" t="s">
        <v>10264</v>
      </c>
      <c r="C121" s="10136"/>
      <c r="D121" s="8798"/>
      <c r="E121" s="8798"/>
      <c r="F121" s="8798"/>
      <c r="G121" s="8882"/>
      <c r="H121" s="8882"/>
      <c r="I121" s="9413"/>
      <c r="J121" s="11251"/>
    </row>
    <row r="122" spans="1:11" ht="15" hidden="1" customHeight="1">
      <c r="A122" s="11663"/>
      <c r="B122" s="7287" t="s">
        <v>10265</v>
      </c>
      <c r="C122" s="10136"/>
      <c r="D122" s="8798"/>
      <c r="E122" s="8798"/>
      <c r="F122" s="8798"/>
      <c r="G122" s="8882"/>
      <c r="H122" s="8882"/>
      <c r="I122" s="9413"/>
      <c r="J122" s="11251"/>
    </row>
    <row r="123" spans="1:11" ht="15" hidden="1" customHeight="1">
      <c r="A123" s="11663"/>
      <c r="B123" s="7287" t="s">
        <v>10266</v>
      </c>
      <c r="C123" s="10136"/>
      <c r="D123" s="8798"/>
      <c r="E123" s="8798"/>
      <c r="F123" s="8798"/>
      <c r="G123" s="8882"/>
      <c r="H123" s="8882"/>
      <c r="I123" s="9413"/>
      <c r="J123" s="11251"/>
    </row>
    <row r="124" spans="1:11" ht="15" hidden="1" customHeight="1">
      <c r="A124" s="11663"/>
      <c r="B124" s="7287"/>
      <c r="C124" s="10136"/>
      <c r="D124" s="8798"/>
      <c r="E124" s="8798"/>
      <c r="F124" s="8798"/>
      <c r="G124" s="8882"/>
      <c r="H124" s="8882"/>
      <c r="I124" s="9413"/>
      <c r="J124" s="11251"/>
    </row>
    <row r="125" spans="1:11" ht="15" hidden="1" customHeight="1">
      <c r="A125" s="11663"/>
      <c r="B125" s="7287"/>
      <c r="C125" s="10136"/>
      <c r="D125" s="8798"/>
      <c r="E125" s="8798"/>
      <c r="F125" s="8798"/>
      <c r="G125" s="8882"/>
      <c r="H125" s="8882"/>
      <c r="I125" s="9413"/>
      <c r="J125" s="11251"/>
    </row>
    <row r="126" spans="1:11" ht="15" hidden="1" customHeight="1">
      <c r="A126" s="11663"/>
      <c r="B126" s="7287"/>
      <c r="C126" s="10136"/>
      <c r="D126" s="8798"/>
      <c r="E126" s="8798"/>
      <c r="F126" s="8798"/>
      <c r="G126" s="8882"/>
      <c r="H126" s="8882"/>
      <c r="I126" s="9413"/>
      <c r="J126" s="11251"/>
    </row>
    <row r="127" spans="1:11" ht="15" customHeight="1">
      <c r="A127" s="11663"/>
      <c r="B127" s="7315" t="s">
        <v>37</v>
      </c>
      <c r="C127" s="10136"/>
      <c r="D127" s="9465">
        <f>SUM(D86:D126)</f>
        <v>354065</v>
      </c>
      <c r="E127" s="9465">
        <f>SUM(E86:E126)</f>
        <v>0</v>
      </c>
      <c r="F127" s="9465">
        <f>SUM(F86:F126)</f>
        <v>1106700</v>
      </c>
      <c r="G127" s="9465">
        <f>SUM(G86:G126)</f>
        <v>1106700</v>
      </c>
      <c r="H127" s="9465">
        <f>SUM(H86:H125)</f>
        <v>575000</v>
      </c>
      <c r="I127" s="9466"/>
      <c r="J127" s="11744">
        <f>SUM(J86:J126)</f>
        <v>1213000</v>
      </c>
      <c r="K127" s="10391">
        <f>(J127-G127)/G127</f>
        <v>9.6051323755308574E-2</v>
      </c>
    </row>
    <row r="128" spans="1:11" ht="15" customHeight="1">
      <c r="A128" s="11690"/>
      <c r="B128" s="11679"/>
      <c r="C128" s="11883"/>
      <c r="D128" s="11884"/>
      <c r="E128" s="11884"/>
      <c r="F128" s="11884"/>
      <c r="G128" s="11884"/>
      <c r="H128" s="11884"/>
      <c r="I128" s="11623"/>
      <c r="J128" s="11885"/>
    </row>
    <row r="129" spans="1:12" s="7314" customFormat="1" ht="15" customHeight="1">
      <c r="A129" s="11663" t="s">
        <v>53</v>
      </c>
      <c r="B129" s="7287" t="s">
        <v>54</v>
      </c>
      <c r="C129" s="10136"/>
      <c r="D129" s="8798"/>
      <c r="E129" s="8798"/>
      <c r="F129" s="8798"/>
      <c r="G129" s="8798"/>
      <c r="H129" s="8798"/>
      <c r="I129" s="8799"/>
      <c r="J129" s="11691"/>
      <c r="L129" s="7898"/>
    </row>
    <row r="130" spans="1:12" s="7314" customFormat="1" ht="15" customHeight="1">
      <c r="A130" s="11663"/>
      <c r="B130" s="7287"/>
      <c r="C130" s="10136"/>
      <c r="D130" s="7660"/>
      <c r="E130" s="7660"/>
      <c r="F130" s="7660"/>
      <c r="G130" s="7660"/>
      <c r="H130" s="7660"/>
      <c r="I130" s="7373"/>
      <c r="J130" s="11736"/>
      <c r="L130" s="7898"/>
    </row>
    <row r="131" spans="1:12" s="7340" customFormat="1" ht="15" customHeight="1">
      <c r="A131" s="11862"/>
      <c r="B131" s="7315" t="s">
        <v>37</v>
      </c>
      <c r="C131" s="11727"/>
      <c r="D131" s="9465">
        <v>0</v>
      </c>
      <c r="E131" s="9465">
        <v>0</v>
      </c>
      <c r="F131" s="9465">
        <v>0</v>
      </c>
      <c r="G131" s="9465">
        <v>0</v>
      </c>
      <c r="H131" s="9465"/>
      <c r="I131" s="9466"/>
      <c r="J131" s="11744">
        <v>0</v>
      </c>
      <c r="L131" s="10258"/>
    </row>
    <row r="132" spans="1:12" s="7340" customFormat="1" ht="15" customHeight="1">
      <c r="A132" s="11863"/>
      <c r="B132" s="11864"/>
      <c r="C132" s="11865"/>
      <c r="D132" s="9465"/>
      <c r="E132" s="9465"/>
      <c r="F132" s="9465"/>
      <c r="G132" s="9465"/>
      <c r="H132" s="9465"/>
      <c r="I132" s="9466"/>
      <c r="J132" s="11744"/>
      <c r="L132" s="10258"/>
    </row>
    <row r="133" spans="1:12" ht="15" customHeight="1" thickBot="1">
      <c r="A133" s="7699"/>
      <c r="B133" s="7781" t="s">
        <v>55</v>
      </c>
      <c r="C133" s="11732"/>
      <c r="D133" s="11847">
        <f>(D30+D85+D127+D131)</f>
        <v>23818379.420000002</v>
      </c>
      <c r="E133" s="11847">
        <f>(E30+E85+E127+E131)</f>
        <v>7925070.4300000006</v>
      </c>
      <c r="F133" s="11847">
        <f>(F30+F85+F127+F131)</f>
        <v>28667420.57</v>
      </c>
      <c r="G133" s="11847">
        <f>(G30+G85+G127+G131)</f>
        <v>36592491</v>
      </c>
      <c r="H133" s="11847"/>
      <c r="I133" s="7737"/>
      <c r="J133" s="11848">
        <f>(J30+J85+J127+J131)</f>
        <v>36762389.369999997</v>
      </c>
      <c r="K133" s="10391">
        <f>(J133-G133)/G133</f>
        <v>4.6429845401887871E-3</v>
      </c>
    </row>
    <row r="134" spans="1:12" s="7333" customFormat="1" ht="15" customHeight="1">
      <c r="A134" s="7738" t="s">
        <v>4763</v>
      </c>
      <c r="B134" s="7738"/>
      <c r="C134" s="7739"/>
      <c r="D134" s="7740"/>
      <c r="E134" s="7740"/>
      <c r="F134" s="7740"/>
      <c r="G134" s="11866" t="s">
        <v>9</v>
      </c>
      <c r="H134" s="7745"/>
      <c r="I134" s="7747"/>
      <c r="J134" s="9457" t="s">
        <v>9</v>
      </c>
      <c r="L134" s="7842"/>
    </row>
    <row r="135" spans="1:12" ht="15" customHeight="1">
      <c r="A135" s="7276"/>
      <c r="B135" s="7276"/>
      <c r="C135" s="7278"/>
      <c r="D135" s="7285"/>
      <c r="E135" s="7283"/>
      <c r="F135" s="9458"/>
      <c r="G135" s="11866"/>
      <c r="H135" s="7745"/>
      <c r="I135" s="7747"/>
      <c r="J135" s="9457"/>
    </row>
    <row r="136" spans="1:12" ht="15" hidden="1" customHeight="1">
      <c r="A136" s="7335" t="s">
        <v>3483</v>
      </c>
      <c r="B136" s="7335"/>
      <c r="C136" s="7275"/>
      <c r="D136" s="10884" t="s">
        <v>3484</v>
      </c>
      <c r="E136" s="7336"/>
      <c r="F136" s="7336"/>
      <c r="G136" s="7337" t="s">
        <v>10666</v>
      </c>
      <c r="H136" s="7336"/>
      <c r="I136" s="7286"/>
      <c r="J136" s="7338"/>
    </row>
    <row r="137" spans="1:12" s="7340" customFormat="1" ht="15" hidden="1" customHeight="1">
      <c r="A137" s="7335"/>
      <c r="B137" s="7335"/>
      <c r="D137" s="10884"/>
      <c r="E137" s="7336"/>
      <c r="F137" s="7336"/>
      <c r="G137" s="7339"/>
      <c r="H137" s="7336"/>
      <c r="I137" s="7286"/>
      <c r="J137" s="7338"/>
      <c r="L137" s="10258"/>
    </row>
    <row r="138" spans="1:12" s="7340" customFormat="1" ht="15" hidden="1" customHeight="1">
      <c r="A138" s="7335"/>
      <c r="B138" s="7335"/>
      <c r="D138" s="10884"/>
      <c r="E138" s="7336"/>
      <c r="F138" s="7336"/>
      <c r="G138" s="7339"/>
      <c r="H138" s="7336"/>
      <c r="I138" s="7286"/>
      <c r="J138" s="7338"/>
      <c r="L138" s="10258"/>
    </row>
    <row r="139" spans="1:12" s="7340" customFormat="1" ht="15" hidden="1" customHeight="1">
      <c r="A139" s="7335"/>
      <c r="B139" s="7335"/>
      <c r="D139" s="10884"/>
      <c r="E139" s="7336"/>
      <c r="F139" s="7336"/>
      <c r="G139" s="7339"/>
      <c r="H139" s="7336"/>
      <c r="I139" s="7286"/>
      <c r="J139" s="7338"/>
      <c r="L139" s="10258"/>
    </row>
    <row r="140" spans="1:12" ht="15" hidden="1" customHeight="1">
      <c r="A140" s="15088" t="s">
        <v>9169</v>
      </c>
      <c r="B140" s="15088"/>
      <c r="C140" s="7275"/>
      <c r="D140" s="10872" t="s">
        <v>12059</v>
      </c>
      <c r="E140" s="9431"/>
      <c r="F140" s="9431"/>
      <c r="G140" s="7342" t="s">
        <v>10667</v>
      </c>
      <c r="H140" s="9431"/>
      <c r="I140" s="7284"/>
      <c r="J140" s="7343"/>
    </row>
    <row r="141" spans="1:12" ht="15" hidden="1" customHeight="1">
      <c r="A141" s="15087" t="s">
        <v>10114</v>
      </c>
      <c r="B141" s="15087"/>
      <c r="C141" s="7275"/>
      <c r="D141" s="10869" t="s">
        <v>3486</v>
      </c>
      <c r="E141" s="7336"/>
      <c r="F141" s="7336"/>
      <c r="G141" s="7344" t="s">
        <v>10668</v>
      </c>
      <c r="H141" s="7336"/>
      <c r="I141" s="7286"/>
      <c r="J141" s="7338"/>
    </row>
    <row r="142" spans="1:12" ht="15" customHeight="1">
      <c r="A142" s="10884"/>
      <c r="B142" s="10884"/>
      <c r="C142" s="7275"/>
      <c r="D142" s="10869"/>
      <c r="E142" s="7336"/>
      <c r="F142" s="7336"/>
      <c r="G142" s="7344"/>
      <c r="H142" s="7336"/>
      <c r="I142" s="7286"/>
      <c r="J142" s="7338"/>
    </row>
    <row r="143" spans="1:12" ht="15" customHeight="1">
      <c r="A143" s="10884"/>
      <c r="B143" s="10884"/>
      <c r="C143" s="7275"/>
      <c r="D143" s="10869"/>
      <c r="E143" s="7336"/>
      <c r="F143" s="7336"/>
      <c r="G143" s="7344"/>
      <c r="H143" s="7336"/>
      <c r="I143" s="7286"/>
      <c r="J143" s="7338"/>
    </row>
    <row r="144" spans="1:12" ht="15" hidden="1" customHeight="1">
      <c r="A144" s="7276"/>
      <c r="B144" s="7276"/>
      <c r="C144" s="7278"/>
      <c r="D144" s="7285"/>
      <c r="E144" s="7285"/>
      <c r="F144" s="7285"/>
      <c r="G144" s="7285" t="s">
        <v>11070</v>
      </c>
      <c r="H144" s="7285">
        <f>J133-G133</f>
        <v>169898.36999999732</v>
      </c>
      <c r="I144" s="7286">
        <f>H144/G133</f>
        <v>4.6429845401887871E-3</v>
      </c>
      <c r="J144" s="7285"/>
    </row>
    <row r="145" spans="1:10" ht="15" hidden="1" customHeight="1">
      <c r="A145" s="7276"/>
      <c r="B145" s="7276"/>
      <c r="C145" s="7278"/>
      <c r="D145" s="7285"/>
      <c r="E145" s="7285"/>
      <c r="F145" s="7285"/>
      <c r="G145" s="7285"/>
      <c r="H145" s="7685"/>
      <c r="I145" s="7286"/>
      <c r="J145" s="7285"/>
    </row>
    <row r="146" spans="1:10" ht="15" hidden="1" customHeight="1">
      <c r="A146" s="7276"/>
      <c r="B146" s="7276"/>
      <c r="C146" s="7278"/>
      <c r="D146" s="7285"/>
      <c r="E146" s="7285"/>
      <c r="F146" s="7285"/>
      <c r="G146" s="7285"/>
      <c r="I146" s="7286"/>
      <c r="J146" s="7285"/>
    </row>
    <row r="147" spans="1:10" ht="15" hidden="1" customHeight="1">
      <c r="A147" s="7276"/>
      <c r="B147" s="7276"/>
      <c r="C147" s="7278"/>
      <c r="D147" s="7285"/>
      <c r="E147" s="7285"/>
      <c r="F147" s="7285"/>
      <c r="G147" s="7336" t="s">
        <v>11069</v>
      </c>
      <c r="H147" s="7285">
        <v>19617960</v>
      </c>
      <c r="I147" s="7286"/>
      <c r="J147" s="7285"/>
    </row>
    <row r="148" spans="1:10" ht="15" hidden="1" customHeight="1">
      <c r="A148" s="7276"/>
      <c r="B148" s="7276"/>
      <c r="C148" s="7278"/>
      <c r="D148" s="7285"/>
      <c r="E148" s="7285"/>
      <c r="F148" s="7285"/>
      <c r="G148" s="7336" t="s">
        <v>11070</v>
      </c>
      <c r="H148" s="7285">
        <f>G133-H147</f>
        <v>16974531</v>
      </c>
      <c r="I148" s="7286"/>
      <c r="J148" s="7285"/>
    </row>
    <row r="149" spans="1:10" ht="15" customHeight="1">
      <c r="H149" s="7899"/>
    </row>
  </sheetData>
  <mergeCells count="10">
    <mergeCell ref="A140:B140"/>
    <mergeCell ref="A141:B141"/>
    <mergeCell ref="A1:J1"/>
    <mergeCell ref="E76:G76"/>
    <mergeCell ref="G77:G78"/>
    <mergeCell ref="E39:G39"/>
    <mergeCell ref="G40:G41"/>
    <mergeCell ref="E7:G7"/>
    <mergeCell ref="G8:G9"/>
    <mergeCell ref="J4:J5"/>
  </mergeCells>
  <printOptions horizontalCentered="1" gridLinesSet="0"/>
  <pageMargins left="0.25" right="0.25" top="0.5" bottom="0.25" header="0.25" footer="0.25"/>
  <pageSetup paperSize="119" firstPageNumber="299" orientation="landscape" useFirstPageNumber="1" r:id="rId1"/>
  <headerFooter alignWithMargins="0"/>
</worksheet>
</file>

<file path=xl/worksheets/sheet15.xml><?xml version="1.0" encoding="utf-8"?>
<worksheet xmlns="http://schemas.openxmlformats.org/spreadsheetml/2006/main" xmlns:r="http://schemas.openxmlformats.org/officeDocument/2006/relationships">
  <sheetPr codeName="Sheet8">
    <tabColor rgb="FF7030A0"/>
  </sheetPr>
  <dimension ref="A1:F59"/>
  <sheetViews>
    <sheetView workbookViewId="0">
      <selection activeCell="B38" sqref="B38"/>
    </sheetView>
  </sheetViews>
  <sheetFormatPr defaultRowHeight="14.4"/>
  <cols>
    <col min="1" max="1" width="47.44140625" style="315" customWidth="1"/>
    <col min="2" max="2" width="16.44140625" style="1298" customWidth="1"/>
    <col min="3" max="3" width="17" style="1298" customWidth="1"/>
    <col min="4" max="4" width="17.109375" style="1528" customWidth="1"/>
    <col min="5" max="256" width="9.109375" style="315"/>
    <col min="257" max="257" width="37.44140625" style="315" customWidth="1"/>
    <col min="258" max="258" width="18.109375" style="315" customWidth="1"/>
    <col min="259" max="259" width="20.109375" style="315" customWidth="1"/>
    <col min="260" max="260" width="18.44140625" style="315" customWidth="1"/>
    <col min="261" max="512" width="9.109375" style="315"/>
    <col min="513" max="513" width="37.44140625" style="315" customWidth="1"/>
    <col min="514" max="514" width="18.109375" style="315" customWidth="1"/>
    <col min="515" max="515" width="20.109375" style="315" customWidth="1"/>
    <col min="516" max="516" width="18.44140625" style="315" customWidth="1"/>
    <col min="517" max="768" width="9.109375" style="315"/>
    <col min="769" max="769" width="37.44140625" style="315" customWidth="1"/>
    <col min="770" max="770" width="18.109375" style="315" customWidth="1"/>
    <col min="771" max="771" width="20.109375" style="315" customWidth="1"/>
    <col min="772" max="772" width="18.44140625" style="315" customWidth="1"/>
    <col min="773" max="1024" width="9.109375" style="315"/>
    <col min="1025" max="1025" width="37.44140625" style="315" customWidth="1"/>
    <col min="1026" max="1026" width="18.109375" style="315" customWidth="1"/>
    <col min="1027" max="1027" width="20.109375" style="315" customWidth="1"/>
    <col min="1028" max="1028" width="18.44140625" style="315" customWidth="1"/>
    <col min="1029" max="1280" width="9.109375" style="315"/>
    <col min="1281" max="1281" width="37.44140625" style="315" customWidth="1"/>
    <col min="1282" max="1282" width="18.109375" style="315" customWidth="1"/>
    <col min="1283" max="1283" width="20.109375" style="315" customWidth="1"/>
    <col min="1284" max="1284" width="18.44140625" style="315" customWidth="1"/>
    <col min="1285" max="1536" width="9.109375" style="315"/>
    <col min="1537" max="1537" width="37.44140625" style="315" customWidth="1"/>
    <col min="1538" max="1538" width="18.109375" style="315" customWidth="1"/>
    <col min="1539" max="1539" width="20.109375" style="315" customWidth="1"/>
    <col min="1540" max="1540" width="18.44140625" style="315" customWidth="1"/>
    <col min="1541" max="1792" width="9.109375" style="315"/>
    <col min="1793" max="1793" width="37.44140625" style="315" customWidth="1"/>
    <col min="1794" max="1794" width="18.109375" style="315" customWidth="1"/>
    <col min="1795" max="1795" width="20.109375" style="315" customWidth="1"/>
    <col min="1796" max="1796" width="18.44140625" style="315" customWidth="1"/>
    <col min="1797" max="2048" width="9.109375" style="315"/>
    <col min="2049" max="2049" width="37.44140625" style="315" customWidth="1"/>
    <col min="2050" max="2050" width="18.109375" style="315" customWidth="1"/>
    <col min="2051" max="2051" width="20.109375" style="315" customWidth="1"/>
    <col min="2052" max="2052" width="18.44140625" style="315" customWidth="1"/>
    <col min="2053" max="2304" width="9.109375" style="315"/>
    <col min="2305" max="2305" width="37.44140625" style="315" customWidth="1"/>
    <col min="2306" max="2306" width="18.109375" style="315" customWidth="1"/>
    <col min="2307" max="2307" width="20.109375" style="315" customWidth="1"/>
    <col min="2308" max="2308" width="18.44140625" style="315" customWidth="1"/>
    <col min="2309" max="2560" width="9.109375" style="315"/>
    <col min="2561" max="2561" width="37.44140625" style="315" customWidth="1"/>
    <col min="2562" max="2562" width="18.109375" style="315" customWidth="1"/>
    <col min="2563" max="2563" width="20.109375" style="315" customWidth="1"/>
    <col min="2564" max="2564" width="18.44140625" style="315" customWidth="1"/>
    <col min="2565" max="2816" width="9.109375" style="315"/>
    <col min="2817" max="2817" width="37.44140625" style="315" customWidth="1"/>
    <col min="2818" max="2818" width="18.109375" style="315" customWidth="1"/>
    <col min="2819" max="2819" width="20.109375" style="315" customWidth="1"/>
    <col min="2820" max="2820" width="18.44140625" style="315" customWidth="1"/>
    <col min="2821" max="3072" width="9.109375" style="315"/>
    <col min="3073" max="3073" width="37.44140625" style="315" customWidth="1"/>
    <col min="3074" max="3074" width="18.109375" style="315" customWidth="1"/>
    <col min="3075" max="3075" width="20.109375" style="315" customWidth="1"/>
    <col min="3076" max="3076" width="18.44140625" style="315" customWidth="1"/>
    <col min="3077" max="3328" width="9.109375" style="315"/>
    <col min="3329" max="3329" width="37.44140625" style="315" customWidth="1"/>
    <col min="3330" max="3330" width="18.109375" style="315" customWidth="1"/>
    <col min="3331" max="3331" width="20.109375" style="315" customWidth="1"/>
    <col min="3332" max="3332" width="18.44140625" style="315" customWidth="1"/>
    <col min="3333" max="3584" width="9.109375" style="315"/>
    <col min="3585" max="3585" width="37.44140625" style="315" customWidth="1"/>
    <col min="3586" max="3586" width="18.109375" style="315" customWidth="1"/>
    <col min="3587" max="3587" width="20.109375" style="315" customWidth="1"/>
    <col min="3588" max="3588" width="18.44140625" style="315" customWidth="1"/>
    <col min="3589" max="3840" width="9.109375" style="315"/>
    <col min="3841" max="3841" width="37.44140625" style="315" customWidth="1"/>
    <col min="3842" max="3842" width="18.109375" style="315" customWidth="1"/>
    <col min="3843" max="3843" width="20.109375" style="315" customWidth="1"/>
    <col min="3844" max="3844" width="18.44140625" style="315" customWidth="1"/>
    <col min="3845" max="4096" width="9.109375" style="315"/>
    <col min="4097" max="4097" width="37.44140625" style="315" customWidth="1"/>
    <col min="4098" max="4098" width="18.109375" style="315" customWidth="1"/>
    <col min="4099" max="4099" width="20.109375" style="315" customWidth="1"/>
    <col min="4100" max="4100" width="18.44140625" style="315" customWidth="1"/>
    <col min="4101" max="4352" width="9.109375" style="315"/>
    <col min="4353" max="4353" width="37.44140625" style="315" customWidth="1"/>
    <col min="4354" max="4354" width="18.109375" style="315" customWidth="1"/>
    <col min="4355" max="4355" width="20.109375" style="315" customWidth="1"/>
    <col min="4356" max="4356" width="18.44140625" style="315" customWidth="1"/>
    <col min="4357" max="4608" width="9.109375" style="315"/>
    <col min="4609" max="4609" width="37.44140625" style="315" customWidth="1"/>
    <col min="4610" max="4610" width="18.109375" style="315" customWidth="1"/>
    <col min="4611" max="4611" width="20.109375" style="315" customWidth="1"/>
    <col min="4612" max="4612" width="18.44140625" style="315" customWidth="1"/>
    <col min="4613" max="4864" width="9.109375" style="315"/>
    <col min="4865" max="4865" width="37.44140625" style="315" customWidth="1"/>
    <col min="4866" max="4866" width="18.109375" style="315" customWidth="1"/>
    <col min="4867" max="4867" width="20.109375" style="315" customWidth="1"/>
    <col min="4868" max="4868" width="18.44140625" style="315" customWidth="1"/>
    <col min="4869" max="5120" width="9.109375" style="315"/>
    <col min="5121" max="5121" width="37.44140625" style="315" customWidth="1"/>
    <col min="5122" max="5122" width="18.109375" style="315" customWidth="1"/>
    <col min="5123" max="5123" width="20.109375" style="315" customWidth="1"/>
    <col min="5124" max="5124" width="18.44140625" style="315" customWidth="1"/>
    <col min="5125" max="5376" width="9.109375" style="315"/>
    <col min="5377" max="5377" width="37.44140625" style="315" customWidth="1"/>
    <col min="5378" max="5378" width="18.109375" style="315" customWidth="1"/>
    <col min="5379" max="5379" width="20.109375" style="315" customWidth="1"/>
    <col min="5380" max="5380" width="18.44140625" style="315" customWidth="1"/>
    <col min="5381" max="5632" width="9.109375" style="315"/>
    <col min="5633" max="5633" width="37.44140625" style="315" customWidth="1"/>
    <col min="5634" max="5634" width="18.109375" style="315" customWidth="1"/>
    <col min="5635" max="5635" width="20.109375" style="315" customWidth="1"/>
    <col min="5636" max="5636" width="18.44140625" style="315" customWidth="1"/>
    <col min="5637" max="5888" width="9.109375" style="315"/>
    <col min="5889" max="5889" width="37.44140625" style="315" customWidth="1"/>
    <col min="5890" max="5890" width="18.109375" style="315" customWidth="1"/>
    <col min="5891" max="5891" width="20.109375" style="315" customWidth="1"/>
    <col min="5892" max="5892" width="18.44140625" style="315" customWidth="1"/>
    <col min="5893" max="6144" width="9.109375" style="315"/>
    <col min="6145" max="6145" width="37.44140625" style="315" customWidth="1"/>
    <col min="6146" max="6146" width="18.109375" style="315" customWidth="1"/>
    <col min="6147" max="6147" width="20.109375" style="315" customWidth="1"/>
    <col min="6148" max="6148" width="18.44140625" style="315" customWidth="1"/>
    <col min="6149" max="6400" width="9.109375" style="315"/>
    <col min="6401" max="6401" width="37.44140625" style="315" customWidth="1"/>
    <col min="6402" max="6402" width="18.109375" style="315" customWidth="1"/>
    <col min="6403" max="6403" width="20.109375" style="315" customWidth="1"/>
    <col min="6404" max="6404" width="18.44140625" style="315" customWidth="1"/>
    <col min="6405" max="6656" width="9.109375" style="315"/>
    <col min="6657" max="6657" width="37.44140625" style="315" customWidth="1"/>
    <col min="6658" max="6658" width="18.109375" style="315" customWidth="1"/>
    <col min="6659" max="6659" width="20.109375" style="315" customWidth="1"/>
    <col min="6660" max="6660" width="18.44140625" style="315" customWidth="1"/>
    <col min="6661" max="6912" width="9.109375" style="315"/>
    <col min="6913" max="6913" width="37.44140625" style="315" customWidth="1"/>
    <col min="6914" max="6914" width="18.109375" style="315" customWidth="1"/>
    <col min="6915" max="6915" width="20.109375" style="315" customWidth="1"/>
    <col min="6916" max="6916" width="18.44140625" style="315" customWidth="1"/>
    <col min="6917" max="7168" width="9.109375" style="315"/>
    <col min="7169" max="7169" width="37.44140625" style="315" customWidth="1"/>
    <col min="7170" max="7170" width="18.109375" style="315" customWidth="1"/>
    <col min="7171" max="7171" width="20.109375" style="315" customWidth="1"/>
    <col min="7172" max="7172" width="18.44140625" style="315" customWidth="1"/>
    <col min="7173" max="7424" width="9.109375" style="315"/>
    <col min="7425" max="7425" width="37.44140625" style="315" customWidth="1"/>
    <col min="7426" max="7426" width="18.109375" style="315" customWidth="1"/>
    <col min="7427" max="7427" width="20.109375" style="315" customWidth="1"/>
    <col min="7428" max="7428" width="18.44140625" style="315" customWidth="1"/>
    <col min="7429" max="7680" width="9.109375" style="315"/>
    <col min="7681" max="7681" width="37.44140625" style="315" customWidth="1"/>
    <col min="7682" max="7682" width="18.109375" style="315" customWidth="1"/>
    <col min="7683" max="7683" width="20.109375" style="315" customWidth="1"/>
    <col min="7684" max="7684" width="18.44140625" style="315" customWidth="1"/>
    <col min="7685" max="7936" width="9.109375" style="315"/>
    <col min="7937" max="7937" width="37.44140625" style="315" customWidth="1"/>
    <col min="7938" max="7938" width="18.109375" style="315" customWidth="1"/>
    <col min="7939" max="7939" width="20.109375" style="315" customWidth="1"/>
    <col min="7940" max="7940" width="18.44140625" style="315" customWidth="1"/>
    <col min="7941" max="8192" width="9.109375" style="315"/>
    <col min="8193" max="8193" width="37.44140625" style="315" customWidth="1"/>
    <col min="8194" max="8194" width="18.109375" style="315" customWidth="1"/>
    <col min="8195" max="8195" width="20.109375" style="315" customWidth="1"/>
    <col min="8196" max="8196" width="18.44140625" style="315" customWidth="1"/>
    <col min="8197" max="8448" width="9.109375" style="315"/>
    <col min="8449" max="8449" width="37.44140625" style="315" customWidth="1"/>
    <col min="8450" max="8450" width="18.109375" style="315" customWidth="1"/>
    <col min="8451" max="8451" width="20.109375" style="315" customWidth="1"/>
    <col min="8452" max="8452" width="18.44140625" style="315" customWidth="1"/>
    <col min="8453" max="8704" width="9.109375" style="315"/>
    <col min="8705" max="8705" width="37.44140625" style="315" customWidth="1"/>
    <col min="8706" max="8706" width="18.109375" style="315" customWidth="1"/>
    <col min="8707" max="8707" width="20.109375" style="315" customWidth="1"/>
    <col min="8708" max="8708" width="18.44140625" style="315" customWidth="1"/>
    <col min="8709" max="8960" width="9.109375" style="315"/>
    <col min="8961" max="8961" width="37.44140625" style="315" customWidth="1"/>
    <col min="8962" max="8962" width="18.109375" style="315" customWidth="1"/>
    <col min="8963" max="8963" width="20.109375" style="315" customWidth="1"/>
    <col min="8964" max="8964" width="18.44140625" style="315" customWidth="1"/>
    <col min="8965" max="9216" width="9.109375" style="315"/>
    <col min="9217" max="9217" width="37.44140625" style="315" customWidth="1"/>
    <col min="9218" max="9218" width="18.109375" style="315" customWidth="1"/>
    <col min="9219" max="9219" width="20.109375" style="315" customWidth="1"/>
    <col min="9220" max="9220" width="18.44140625" style="315" customWidth="1"/>
    <col min="9221" max="9472" width="9.109375" style="315"/>
    <col min="9473" max="9473" width="37.44140625" style="315" customWidth="1"/>
    <col min="9474" max="9474" width="18.109375" style="315" customWidth="1"/>
    <col min="9475" max="9475" width="20.109375" style="315" customWidth="1"/>
    <col min="9476" max="9476" width="18.44140625" style="315" customWidth="1"/>
    <col min="9477" max="9728" width="9.109375" style="315"/>
    <col min="9729" max="9729" width="37.44140625" style="315" customWidth="1"/>
    <col min="9730" max="9730" width="18.109375" style="315" customWidth="1"/>
    <col min="9731" max="9731" width="20.109375" style="315" customWidth="1"/>
    <col min="9732" max="9732" width="18.44140625" style="315" customWidth="1"/>
    <col min="9733" max="9984" width="9.109375" style="315"/>
    <col min="9985" max="9985" width="37.44140625" style="315" customWidth="1"/>
    <col min="9986" max="9986" width="18.109375" style="315" customWidth="1"/>
    <col min="9987" max="9987" width="20.109375" style="315" customWidth="1"/>
    <col min="9988" max="9988" width="18.44140625" style="315" customWidth="1"/>
    <col min="9989" max="10240" width="9.109375" style="315"/>
    <col min="10241" max="10241" width="37.44140625" style="315" customWidth="1"/>
    <col min="10242" max="10242" width="18.109375" style="315" customWidth="1"/>
    <col min="10243" max="10243" width="20.109375" style="315" customWidth="1"/>
    <col min="10244" max="10244" width="18.44140625" style="315" customWidth="1"/>
    <col min="10245" max="10496" width="9.109375" style="315"/>
    <col min="10497" max="10497" width="37.44140625" style="315" customWidth="1"/>
    <col min="10498" max="10498" width="18.109375" style="315" customWidth="1"/>
    <col min="10499" max="10499" width="20.109375" style="315" customWidth="1"/>
    <col min="10500" max="10500" width="18.44140625" style="315" customWidth="1"/>
    <col min="10501" max="10752" width="9.109375" style="315"/>
    <col min="10753" max="10753" width="37.44140625" style="315" customWidth="1"/>
    <col min="10754" max="10754" width="18.109375" style="315" customWidth="1"/>
    <col min="10755" max="10755" width="20.109375" style="315" customWidth="1"/>
    <col min="10756" max="10756" width="18.44140625" style="315" customWidth="1"/>
    <col min="10757" max="11008" width="9.109375" style="315"/>
    <col min="11009" max="11009" width="37.44140625" style="315" customWidth="1"/>
    <col min="11010" max="11010" width="18.109375" style="315" customWidth="1"/>
    <col min="11011" max="11011" width="20.109375" style="315" customWidth="1"/>
    <col min="11012" max="11012" width="18.44140625" style="315" customWidth="1"/>
    <col min="11013" max="11264" width="9.109375" style="315"/>
    <col min="11265" max="11265" width="37.44140625" style="315" customWidth="1"/>
    <col min="11266" max="11266" width="18.109375" style="315" customWidth="1"/>
    <col min="11267" max="11267" width="20.109375" style="315" customWidth="1"/>
    <col min="11268" max="11268" width="18.44140625" style="315" customWidth="1"/>
    <col min="11269" max="11520" width="9.109375" style="315"/>
    <col min="11521" max="11521" width="37.44140625" style="315" customWidth="1"/>
    <col min="11522" max="11522" width="18.109375" style="315" customWidth="1"/>
    <col min="11523" max="11523" width="20.109375" style="315" customWidth="1"/>
    <col min="11524" max="11524" width="18.44140625" style="315" customWidth="1"/>
    <col min="11525" max="11776" width="9.109375" style="315"/>
    <col min="11777" max="11777" width="37.44140625" style="315" customWidth="1"/>
    <col min="11778" max="11778" width="18.109375" style="315" customWidth="1"/>
    <col min="11779" max="11779" width="20.109375" style="315" customWidth="1"/>
    <col min="11780" max="11780" width="18.44140625" style="315" customWidth="1"/>
    <col min="11781" max="12032" width="9.109375" style="315"/>
    <col min="12033" max="12033" width="37.44140625" style="315" customWidth="1"/>
    <col min="12034" max="12034" width="18.109375" style="315" customWidth="1"/>
    <col min="12035" max="12035" width="20.109375" style="315" customWidth="1"/>
    <col min="12036" max="12036" width="18.44140625" style="315" customWidth="1"/>
    <col min="12037" max="12288" width="9.109375" style="315"/>
    <col min="12289" max="12289" width="37.44140625" style="315" customWidth="1"/>
    <col min="12290" max="12290" width="18.109375" style="315" customWidth="1"/>
    <col min="12291" max="12291" width="20.109375" style="315" customWidth="1"/>
    <col min="12292" max="12292" width="18.44140625" style="315" customWidth="1"/>
    <col min="12293" max="12544" width="9.109375" style="315"/>
    <col min="12545" max="12545" width="37.44140625" style="315" customWidth="1"/>
    <col min="12546" max="12546" width="18.109375" style="315" customWidth="1"/>
    <col min="12547" max="12547" width="20.109375" style="315" customWidth="1"/>
    <col min="12548" max="12548" width="18.44140625" style="315" customWidth="1"/>
    <col min="12549" max="12800" width="9.109375" style="315"/>
    <col min="12801" max="12801" width="37.44140625" style="315" customWidth="1"/>
    <col min="12802" max="12802" width="18.109375" style="315" customWidth="1"/>
    <col min="12803" max="12803" width="20.109375" style="315" customWidth="1"/>
    <col min="12804" max="12804" width="18.44140625" style="315" customWidth="1"/>
    <col min="12805" max="13056" width="9.109375" style="315"/>
    <col min="13057" max="13057" width="37.44140625" style="315" customWidth="1"/>
    <col min="13058" max="13058" width="18.109375" style="315" customWidth="1"/>
    <col min="13059" max="13059" width="20.109375" style="315" customWidth="1"/>
    <col min="13060" max="13060" width="18.44140625" style="315" customWidth="1"/>
    <col min="13061" max="13312" width="9.109375" style="315"/>
    <col min="13313" max="13313" width="37.44140625" style="315" customWidth="1"/>
    <col min="13314" max="13314" width="18.109375" style="315" customWidth="1"/>
    <col min="13315" max="13315" width="20.109375" style="315" customWidth="1"/>
    <col min="13316" max="13316" width="18.44140625" style="315" customWidth="1"/>
    <col min="13317" max="13568" width="9.109375" style="315"/>
    <col min="13569" max="13569" width="37.44140625" style="315" customWidth="1"/>
    <col min="13570" max="13570" width="18.109375" style="315" customWidth="1"/>
    <col min="13571" max="13571" width="20.109375" style="315" customWidth="1"/>
    <col min="13572" max="13572" width="18.44140625" style="315" customWidth="1"/>
    <col min="13573" max="13824" width="9.109375" style="315"/>
    <col min="13825" max="13825" width="37.44140625" style="315" customWidth="1"/>
    <col min="13826" max="13826" width="18.109375" style="315" customWidth="1"/>
    <col min="13827" max="13827" width="20.109375" style="315" customWidth="1"/>
    <col min="13828" max="13828" width="18.44140625" style="315" customWidth="1"/>
    <col min="13829" max="14080" width="9.109375" style="315"/>
    <col min="14081" max="14081" width="37.44140625" style="315" customWidth="1"/>
    <col min="14082" max="14082" width="18.109375" style="315" customWidth="1"/>
    <col min="14083" max="14083" width="20.109375" style="315" customWidth="1"/>
    <col min="14084" max="14084" width="18.44140625" style="315" customWidth="1"/>
    <col min="14085" max="14336" width="9.109375" style="315"/>
    <col min="14337" max="14337" width="37.44140625" style="315" customWidth="1"/>
    <col min="14338" max="14338" width="18.109375" style="315" customWidth="1"/>
    <col min="14339" max="14339" width="20.109375" style="315" customWidth="1"/>
    <col min="14340" max="14340" width="18.44140625" style="315" customWidth="1"/>
    <col min="14341" max="14592" width="9.109375" style="315"/>
    <col min="14593" max="14593" width="37.44140625" style="315" customWidth="1"/>
    <col min="14594" max="14594" width="18.109375" style="315" customWidth="1"/>
    <col min="14595" max="14595" width="20.109375" style="315" customWidth="1"/>
    <col min="14596" max="14596" width="18.44140625" style="315" customWidth="1"/>
    <col min="14597" max="14848" width="9.109375" style="315"/>
    <col min="14849" max="14849" width="37.44140625" style="315" customWidth="1"/>
    <col min="14850" max="14850" width="18.109375" style="315" customWidth="1"/>
    <col min="14851" max="14851" width="20.109375" style="315" customWidth="1"/>
    <col min="14852" max="14852" width="18.44140625" style="315" customWidth="1"/>
    <col min="14853" max="15104" width="9.109375" style="315"/>
    <col min="15105" max="15105" width="37.44140625" style="315" customWidth="1"/>
    <col min="15106" max="15106" width="18.109375" style="315" customWidth="1"/>
    <col min="15107" max="15107" width="20.109375" style="315" customWidth="1"/>
    <col min="15108" max="15108" width="18.44140625" style="315" customWidth="1"/>
    <col min="15109" max="15360" width="9.109375" style="315"/>
    <col min="15361" max="15361" width="37.44140625" style="315" customWidth="1"/>
    <col min="15362" max="15362" width="18.109375" style="315" customWidth="1"/>
    <col min="15363" max="15363" width="20.109375" style="315" customWidth="1"/>
    <col min="15364" max="15364" width="18.44140625" style="315" customWidth="1"/>
    <col min="15365" max="15616" width="9.109375" style="315"/>
    <col min="15617" max="15617" width="37.44140625" style="315" customWidth="1"/>
    <col min="15618" max="15618" width="18.109375" style="315" customWidth="1"/>
    <col min="15619" max="15619" width="20.109375" style="315" customWidth="1"/>
    <col min="15620" max="15620" width="18.44140625" style="315" customWidth="1"/>
    <col min="15621" max="15872" width="9.109375" style="315"/>
    <col min="15873" max="15873" width="37.44140625" style="315" customWidth="1"/>
    <col min="15874" max="15874" width="18.109375" style="315" customWidth="1"/>
    <col min="15875" max="15875" width="20.109375" style="315" customWidth="1"/>
    <col min="15876" max="15876" width="18.44140625" style="315" customWidth="1"/>
    <col min="15877" max="16128" width="9.109375" style="315"/>
    <col min="16129" max="16129" width="37.44140625" style="315" customWidth="1"/>
    <col min="16130" max="16130" width="18.109375" style="315" customWidth="1"/>
    <col min="16131" max="16131" width="20.109375" style="315" customWidth="1"/>
    <col min="16132" max="16132" width="18.44140625" style="315" customWidth="1"/>
    <col min="16133" max="16384" width="9.109375" style="315"/>
  </cols>
  <sheetData>
    <row r="1" spans="1:4" ht="13.8">
      <c r="A1" s="14038" t="s">
        <v>1687</v>
      </c>
      <c r="B1" s="14038"/>
      <c r="C1" s="14038"/>
      <c r="D1" s="14038"/>
    </row>
    <row r="2" spans="1:4" ht="15" customHeight="1">
      <c r="A2" s="14045" t="s">
        <v>1507</v>
      </c>
      <c r="B2" s="14045"/>
      <c r="C2" s="14045"/>
      <c r="D2" s="14045"/>
    </row>
    <row r="3" spans="1:4" ht="15" customHeight="1">
      <c r="A3" s="14045" t="s">
        <v>10480</v>
      </c>
      <c r="B3" s="14045"/>
      <c r="C3" s="14045"/>
      <c r="D3" s="14045"/>
    </row>
    <row r="5" spans="1:4">
      <c r="A5" s="342" t="s">
        <v>1688</v>
      </c>
    </row>
    <row r="6" spans="1:4">
      <c r="A6" s="315" t="s">
        <v>1689</v>
      </c>
    </row>
    <row r="7" spans="1:4">
      <c r="A7" s="315" t="s">
        <v>9</v>
      </c>
    </row>
    <row r="8" spans="1:4" s="351" customFormat="1" ht="13.8">
      <c r="A8" s="350"/>
      <c r="B8" s="1516"/>
      <c r="C8" s="1516"/>
      <c r="D8" s="1529"/>
    </row>
    <row r="9" spans="1:4" s="354" customFormat="1" ht="13.8">
      <c r="A9" s="352" t="s">
        <v>1690</v>
      </c>
      <c r="B9" s="353" t="s">
        <v>1034</v>
      </c>
      <c r="C9" s="353" t="s">
        <v>1509</v>
      </c>
      <c r="D9" s="1530" t="s">
        <v>1691</v>
      </c>
    </row>
    <row r="10" spans="1:4" s="354" customFormat="1" ht="13.8">
      <c r="A10" s="352" t="s">
        <v>1692</v>
      </c>
      <c r="B10" s="353"/>
      <c r="C10" s="353"/>
      <c r="D10" s="1530" t="s">
        <v>1511</v>
      </c>
    </row>
    <row r="11" spans="1:4" s="351" customFormat="1" ht="6" customHeight="1">
      <c r="A11" s="349" t="s">
        <v>9</v>
      </c>
      <c r="B11" s="1517"/>
      <c r="C11" s="1517"/>
      <c r="D11" s="1530"/>
    </row>
    <row r="12" spans="1:4" ht="6" customHeight="1">
      <c r="A12" s="344"/>
      <c r="B12" s="347"/>
      <c r="C12" s="347"/>
      <c r="D12" s="1531"/>
    </row>
    <row r="13" spans="1:4">
      <c r="A13" s="344" t="s">
        <v>1693</v>
      </c>
      <c r="B13" s="1518"/>
      <c r="C13" s="1518"/>
      <c r="D13" s="1532"/>
    </row>
    <row r="14" spans="1:4">
      <c r="A14" s="344" t="s">
        <v>10526</v>
      </c>
      <c r="B14" s="1518">
        <f>20000*1109</f>
        <v>22180000</v>
      </c>
      <c r="C14" s="1518">
        <f>'lbr 3d'!D10</f>
        <v>22180000</v>
      </c>
      <c r="D14" s="1532">
        <f>(C14-B14)</f>
        <v>0</v>
      </c>
    </row>
    <row r="15" spans="1:4">
      <c r="A15" s="344"/>
      <c r="B15" s="1518"/>
      <c r="C15" s="1518"/>
      <c r="D15" s="1532"/>
    </row>
    <row r="16" spans="1:4">
      <c r="A16" s="343"/>
      <c r="B16" s="1518"/>
      <c r="C16" s="1518"/>
      <c r="D16" s="1532"/>
    </row>
    <row r="17" spans="1:6">
      <c r="A17" s="1524" t="s">
        <v>1694</v>
      </c>
      <c r="B17" s="1518"/>
      <c r="C17" s="1518"/>
      <c r="D17" s="1532"/>
    </row>
    <row r="18" spans="1:6">
      <c r="A18" s="344" t="s">
        <v>1695</v>
      </c>
      <c r="B18" s="1518"/>
      <c r="C18" s="1518"/>
      <c r="D18" s="1532"/>
    </row>
    <row r="19" spans="1:6">
      <c r="A19" s="344" t="s">
        <v>1696</v>
      </c>
      <c r="B19" s="1518">
        <f>'LGBRPS-4'!E20</f>
        <v>120267144.05000001</v>
      </c>
      <c r="C19" s="1518">
        <f>'lbr 3d'!D9</f>
        <v>120267144.05000001</v>
      </c>
      <c r="D19" s="1532">
        <f>(C19-B19)</f>
        <v>0</v>
      </c>
    </row>
    <row r="20" spans="1:6">
      <c r="A20" s="343" t="s">
        <v>9</v>
      </c>
      <c r="B20" s="1519"/>
      <c r="C20" s="1519"/>
      <c r="D20" s="1533"/>
    </row>
    <row r="21" spans="1:6" ht="4.5" customHeight="1">
      <c r="A21" s="344"/>
      <c r="B21" s="1518"/>
      <c r="C21" s="1518"/>
      <c r="D21" s="1532"/>
    </row>
    <row r="22" spans="1:6">
      <c r="A22" s="344" t="s">
        <v>1697</v>
      </c>
      <c r="B22" s="1518"/>
      <c r="C22" s="1518"/>
      <c r="D22" s="1532"/>
    </row>
    <row r="23" spans="1:6">
      <c r="A23" s="344" t="s">
        <v>1698</v>
      </c>
      <c r="B23" s="1518"/>
      <c r="C23" s="1518"/>
      <c r="D23" s="1532"/>
    </row>
    <row r="24" spans="1:6">
      <c r="A24" s="344" t="s">
        <v>1699</v>
      </c>
      <c r="B24" s="1518"/>
      <c r="C24" s="1518"/>
      <c r="D24" s="1532"/>
    </row>
    <row r="25" spans="1:6">
      <c r="A25" s="344" t="s">
        <v>1700</v>
      </c>
      <c r="B25" s="1518"/>
      <c r="C25" s="1518"/>
      <c r="D25" s="1532"/>
    </row>
    <row r="26" spans="1:6">
      <c r="A26" s="344" t="s">
        <v>1701</v>
      </c>
      <c r="B26" s="1518">
        <f>'LGBRPS-4'!E28</f>
        <v>837818.98200000008</v>
      </c>
      <c r="C26" s="1518">
        <f>'LGBRPS-4'!G28</f>
        <v>623000</v>
      </c>
      <c r="D26" s="1532">
        <f>C26-B26</f>
        <v>-214818.98200000008</v>
      </c>
      <c r="F26" s="1527"/>
    </row>
    <row r="27" spans="1:6">
      <c r="A27" s="344" t="s">
        <v>1719</v>
      </c>
      <c r="B27" s="1518"/>
      <c r="C27" s="1518"/>
      <c r="D27" s="1532"/>
    </row>
    <row r="28" spans="1:6">
      <c r="A28" s="343"/>
      <c r="B28" s="1518"/>
      <c r="C28" s="1518"/>
      <c r="D28" s="1532"/>
    </row>
    <row r="29" spans="1:6">
      <c r="A29" s="344" t="s">
        <v>1703</v>
      </c>
      <c r="B29" s="1518"/>
      <c r="C29" s="1518"/>
      <c r="D29" s="1532"/>
    </row>
    <row r="30" spans="1:6">
      <c r="A30" s="344" t="s">
        <v>1704</v>
      </c>
      <c r="B30" s="1518"/>
      <c r="C30" s="1518"/>
      <c r="D30" s="1532"/>
    </row>
    <row r="31" spans="1:6">
      <c r="A31" s="344" t="s">
        <v>1705</v>
      </c>
      <c r="B31" s="1518">
        <f>'lbr 3d'!D8</f>
        <v>404379576.20000005</v>
      </c>
      <c r="C31" s="1518">
        <f>B31</f>
        <v>404379576.20000005</v>
      </c>
      <c r="D31" s="1532">
        <f>(C31-B31)</f>
        <v>0</v>
      </c>
    </row>
    <row r="32" spans="1:6">
      <c r="A32" s="343" t="s">
        <v>9</v>
      </c>
      <c r="B32" s="1518"/>
      <c r="C32" s="1518"/>
      <c r="D32" s="1532"/>
    </row>
    <row r="33" spans="1:4" ht="4.5" customHeight="1">
      <c r="A33" s="344"/>
      <c r="B33" s="1520"/>
      <c r="C33" s="1520"/>
      <c r="D33" s="1531"/>
    </row>
    <row r="34" spans="1:4">
      <c r="A34" s="344" t="s">
        <v>1706</v>
      </c>
      <c r="B34" s="1518"/>
      <c r="C34" s="1518"/>
      <c r="D34" s="1532"/>
    </row>
    <row r="35" spans="1:4">
      <c r="A35" s="344" t="s">
        <v>1707</v>
      </c>
      <c r="B35" s="1518"/>
      <c r="C35" s="1518"/>
      <c r="D35" s="1532"/>
    </row>
    <row r="36" spans="1:4">
      <c r="A36" s="344" t="s">
        <v>1708</v>
      </c>
      <c r="B36" s="1518"/>
      <c r="C36" s="1518"/>
      <c r="D36" s="1532"/>
    </row>
    <row r="37" spans="1:4">
      <c r="A37" s="344" t="s">
        <v>1709</v>
      </c>
      <c r="B37" s="1518"/>
      <c r="C37" s="1518"/>
      <c r="D37" s="1532"/>
    </row>
    <row r="38" spans="1:4">
      <c r="A38" s="344" t="s">
        <v>1710</v>
      </c>
      <c r="B38" s="1521">
        <f>'LBPF No. 5'!K24</f>
        <v>20536322.439999998</v>
      </c>
      <c r="C38" s="1521">
        <f>B38</f>
        <v>20536322.439999998</v>
      </c>
      <c r="D38" s="1532"/>
    </row>
    <row r="39" spans="1:4">
      <c r="A39" s="343"/>
      <c r="B39" s="1518"/>
      <c r="C39" s="1518"/>
      <c r="D39" s="1532"/>
    </row>
    <row r="40" spans="1:4">
      <c r="A40" s="344" t="s">
        <v>1711</v>
      </c>
      <c r="B40" s="1518"/>
      <c r="C40" s="1518"/>
      <c r="D40" s="1532"/>
    </row>
    <row r="41" spans="1:4">
      <c r="A41" s="344" t="s">
        <v>1712</v>
      </c>
      <c r="B41" s="1518"/>
      <c r="C41" s="1518"/>
      <c r="D41" s="1532"/>
    </row>
    <row r="42" spans="1:4">
      <c r="A42" s="344" t="s">
        <v>1702</v>
      </c>
      <c r="B42" s="1518"/>
      <c r="C42" s="1518"/>
      <c r="D42" s="1532"/>
    </row>
    <row r="43" spans="1:4">
      <c r="A43" s="344" t="s">
        <v>1713</v>
      </c>
      <c r="B43" s="1518"/>
      <c r="C43" s="1518"/>
      <c r="D43" s="1532"/>
    </row>
    <row r="44" spans="1:4" s="630" customFormat="1">
      <c r="A44" s="628" t="s">
        <v>1714</v>
      </c>
      <c r="B44" s="1522">
        <f>'LGBRPS-2'!L19*20%</f>
        <v>481068576.20000005</v>
      </c>
      <c r="C44" s="1522">
        <v>0</v>
      </c>
      <c r="D44" s="1534">
        <f>B44-C44</f>
        <v>481068576.20000005</v>
      </c>
    </row>
    <row r="45" spans="1:4">
      <c r="A45" s="343"/>
      <c r="B45" s="1519"/>
      <c r="C45" s="1519"/>
      <c r="D45" s="1533"/>
    </row>
    <row r="46" spans="1:4">
      <c r="A46" s="344"/>
      <c r="B46" s="1518"/>
      <c r="C46" s="1518"/>
      <c r="D46" s="1532"/>
    </row>
    <row r="47" spans="1:4">
      <c r="A47" s="344" t="s">
        <v>1715</v>
      </c>
      <c r="B47" s="1518"/>
      <c r="C47" s="1518"/>
      <c r="D47" s="1532"/>
    </row>
    <row r="48" spans="1:4">
      <c r="A48" s="344" t="s">
        <v>1716</v>
      </c>
      <c r="B48" s="1518"/>
      <c r="C48" s="1518"/>
      <c r="D48" s="1532"/>
    </row>
    <row r="49" spans="1:4">
      <c r="A49" s="344" t="s">
        <v>1717</v>
      </c>
      <c r="B49" s="1518"/>
      <c r="C49" s="1518"/>
      <c r="D49" s="1532"/>
    </row>
    <row r="50" spans="1:4">
      <c r="A50" s="344" t="s">
        <v>1718</v>
      </c>
      <c r="B50" s="1523" t="s">
        <v>1682</v>
      </c>
      <c r="C50" s="1518"/>
      <c r="D50" s="1532"/>
    </row>
    <row r="51" spans="1:4" ht="4.5" customHeight="1">
      <c r="A51" s="345"/>
      <c r="B51" s="348"/>
      <c r="C51" s="348"/>
      <c r="D51" s="1533"/>
    </row>
    <row r="52" spans="1:4" ht="14.25" customHeight="1"/>
    <row r="53" spans="1:4" s="289" customFormat="1" ht="14.25" hidden="1" customHeight="1">
      <c r="A53" s="3369" t="s">
        <v>9338</v>
      </c>
      <c r="B53" s="3370" t="s">
        <v>3485</v>
      </c>
      <c r="D53" s="1528"/>
    </row>
    <row r="54" spans="1:4" s="2689" customFormat="1" ht="14.25" hidden="1" customHeight="1">
      <c r="A54" s="3371"/>
      <c r="C54" s="3371"/>
      <c r="D54" s="1546"/>
    </row>
    <row r="55" spans="1:4" s="289" customFormat="1" ht="14.25" hidden="1" customHeight="1">
      <c r="A55" s="3371"/>
      <c r="C55" s="3371"/>
      <c r="D55" s="828"/>
    </row>
    <row r="56" spans="1:4" s="5659" customFormat="1" ht="14.25" hidden="1" customHeight="1">
      <c r="A56" s="5656" t="s">
        <v>10170</v>
      </c>
      <c r="C56" s="3371"/>
      <c r="D56" s="3371"/>
    </row>
    <row r="57" spans="1:4" s="5660" customFormat="1" ht="14.25" hidden="1" customHeight="1">
      <c r="A57" s="5657" t="s">
        <v>10479</v>
      </c>
      <c r="C57" s="5653"/>
      <c r="D57" s="5653"/>
    </row>
    <row r="58" spans="1:4" ht="14.25" customHeight="1"/>
    <row r="59" spans="1:4" ht="14.25" customHeight="1"/>
  </sheetData>
  <mergeCells count="3">
    <mergeCell ref="A1:D1"/>
    <mergeCell ref="A2:D2"/>
    <mergeCell ref="A3:D3"/>
  </mergeCells>
  <pageMargins left="0.5" right="0.25" top="0.5" bottom="1.25" header="0.5" footer="0.25"/>
  <pageSetup paperSize="5" orientation="portrait" verticalDpi="300" r:id="rId1"/>
  <headerFooter alignWithMargins="0"/>
</worksheet>
</file>

<file path=xl/worksheets/sheet150.xml><?xml version="1.0" encoding="utf-8"?>
<worksheet xmlns="http://schemas.openxmlformats.org/spreadsheetml/2006/main" xmlns:r="http://schemas.openxmlformats.org/officeDocument/2006/relationships">
  <sheetPr codeName="Sheet179">
    <tabColor rgb="FFFFFF00"/>
  </sheetPr>
  <dimension ref="A1:E27"/>
  <sheetViews>
    <sheetView workbookViewId="0">
      <selection activeCell="A14" sqref="A14:XFD14"/>
    </sheetView>
  </sheetViews>
  <sheetFormatPr defaultColWidth="9.109375" defaultRowHeight="14.4"/>
  <cols>
    <col min="1" max="1" width="29.44140625" style="818" customWidth="1"/>
    <col min="2" max="2" width="19.44140625" style="889" customWidth="1"/>
    <col min="3" max="3" width="16.44140625" style="889" customWidth="1"/>
    <col min="4" max="4" width="14.109375" style="889" customWidth="1"/>
    <col min="5" max="5" width="15.109375" style="889" customWidth="1"/>
    <col min="6" max="16384" width="9.109375" style="818"/>
  </cols>
  <sheetData>
    <row r="1" spans="1:5" s="881" customFormat="1" ht="24" customHeight="1">
      <c r="A1" s="881" t="s">
        <v>3426</v>
      </c>
      <c r="B1" s="884"/>
      <c r="C1" s="884"/>
      <c r="D1" s="884"/>
      <c r="E1" s="884"/>
    </row>
    <row r="2" spans="1:5" s="881" customFormat="1" ht="27.75" customHeight="1">
      <c r="A2" s="881" t="s">
        <v>4807</v>
      </c>
      <c r="B2" s="884"/>
      <c r="C2" s="884"/>
      <c r="D2" s="884"/>
      <c r="E2" s="884"/>
    </row>
    <row r="3" spans="1:5" s="881" customFormat="1" ht="16.5" customHeight="1">
      <c r="B3" s="884"/>
      <c r="C3" s="884"/>
      <c r="D3" s="884"/>
      <c r="E3" s="884"/>
    </row>
    <row r="4" spans="1:5" s="881" customFormat="1">
      <c r="A4" s="14205" t="s">
        <v>3427</v>
      </c>
      <c r="B4" s="14207" t="s">
        <v>18</v>
      </c>
      <c r="C4" s="14207"/>
      <c r="D4" s="14207"/>
      <c r="E4" s="14208" t="s">
        <v>220</v>
      </c>
    </row>
    <row r="5" spans="1:5" s="882" customFormat="1">
      <c r="A5" s="14206"/>
      <c r="B5" s="1049" t="s">
        <v>2151</v>
      </c>
      <c r="C5" s="1049" t="s">
        <v>1973</v>
      </c>
      <c r="D5" s="1049" t="s">
        <v>52</v>
      </c>
      <c r="E5" s="14209"/>
    </row>
    <row r="6" spans="1:5" s="882" customFormat="1">
      <c r="A6" s="1552"/>
      <c r="B6" s="1553"/>
      <c r="C6" s="1553"/>
      <c r="D6" s="1553"/>
      <c r="E6" s="1553"/>
    </row>
    <row r="7" spans="1:5" s="881" customFormat="1">
      <c r="A7" s="883" t="s">
        <v>2048</v>
      </c>
      <c r="B7" s="886"/>
      <c r="C7" s="886"/>
      <c r="D7" s="886"/>
      <c r="E7" s="886"/>
    </row>
    <row r="8" spans="1:5" s="881" customFormat="1">
      <c r="A8" s="1288"/>
      <c r="B8" s="1289"/>
      <c r="C8" s="1289"/>
      <c r="D8" s="1289"/>
      <c r="E8" s="886"/>
    </row>
    <row r="9" spans="1:5">
      <c r="A9" s="879" t="s">
        <v>3617</v>
      </c>
      <c r="B9" s="887">
        <f>1399832+39654</f>
        <v>1439486</v>
      </c>
      <c r="C9" s="887">
        <v>3257700</v>
      </c>
      <c r="D9" s="887"/>
      <c r="E9" s="886">
        <f>SUM(B9:D9)</f>
        <v>4697186</v>
      </c>
    </row>
    <row r="10" spans="1:5">
      <c r="A10" s="879"/>
      <c r="B10" s="887"/>
      <c r="C10" s="887"/>
      <c r="D10" s="887"/>
      <c r="E10" s="886"/>
    </row>
    <row r="11" spans="1:5">
      <c r="A11" s="879" t="s">
        <v>3611</v>
      </c>
      <c r="B11" s="887">
        <v>2062740</v>
      </c>
      <c r="C11" s="887">
        <v>2646775</v>
      </c>
      <c r="D11" s="887"/>
      <c r="E11" s="886">
        <f>SUM(B11:D11)</f>
        <v>4709515</v>
      </c>
    </row>
    <row r="12" spans="1:5">
      <c r="A12" s="879"/>
      <c r="B12" s="887"/>
      <c r="C12" s="887"/>
      <c r="D12" s="887"/>
      <c r="E12" s="886"/>
    </row>
    <row r="13" spans="1:5">
      <c r="A13" s="1007" t="s">
        <v>3680</v>
      </c>
      <c r="B13" s="945">
        <v>501548</v>
      </c>
      <c r="C13" s="945">
        <v>539074</v>
      </c>
      <c r="D13" s="945"/>
      <c r="E13" s="886">
        <f>SUM(B13:D13)</f>
        <v>1040622</v>
      </c>
    </row>
    <row r="14" spans="1:5">
      <c r="A14" s="879"/>
      <c r="B14" s="887"/>
      <c r="C14" s="887"/>
      <c r="D14" s="887"/>
      <c r="E14" s="886"/>
    </row>
    <row r="15" spans="1:5">
      <c r="A15" s="1007" t="s">
        <v>3681</v>
      </c>
      <c r="B15" s="945">
        <v>1625188</v>
      </c>
      <c r="C15" s="945">
        <f>1150000+913486</f>
        <v>2063486</v>
      </c>
      <c r="D15" s="945">
        <v>360000</v>
      </c>
      <c r="E15" s="886">
        <f>SUM(B15:D15)</f>
        <v>4048674</v>
      </c>
    </row>
    <row r="16" spans="1:5">
      <c r="A16" s="1007"/>
      <c r="B16" s="945"/>
      <c r="C16" s="945"/>
      <c r="D16" s="945"/>
      <c r="E16" s="887"/>
    </row>
    <row r="17" spans="1:5">
      <c r="A17" s="1007"/>
      <c r="B17" s="945"/>
      <c r="C17" s="945"/>
      <c r="D17" s="945"/>
      <c r="E17" s="887"/>
    </row>
    <row r="18" spans="1:5">
      <c r="A18" s="1007"/>
      <c r="B18" s="945"/>
      <c r="C18" s="945"/>
      <c r="D18" s="945"/>
      <c r="E18" s="887"/>
    </row>
    <row r="19" spans="1:5">
      <c r="A19" s="880"/>
      <c r="B19" s="888"/>
      <c r="C19" s="888"/>
      <c r="D19" s="888"/>
      <c r="E19" s="978"/>
    </row>
    <row r="20" spans="1:5">
      <c r="A20" s="883" t="s">
        <v>3429</v>
      </c>
      <c r="B20" s="887"/>
      <c r="C20" s="887"/>
      <c r="D20" s="887"/>
      <c r="E20" s="887"/>
    </row>
    <row r="21" spans="1:5">
      <c r="A21" s="1288"/>
      <c r="B21" s="1287"/>
      <c r="C21" s="1287"/>
      <c r="D21" s="1287"/>
      <c r="E21" s="1287"/>
    </row>
    <row r="22" spans="1:5">
      <c r="A22" s="1006"/>
      <c r="B22" s="887"/>
      <c r="C22" s="887"/>
      <c r="D22" s="887"/>
      <c r="E22" s="887"/>
    </row>
    <row r="23" spans="1:5">
      <c r="A23" s="879"/>
      <c r="B23" s="887"/>
      <c r="C23" s="887"/>
      <c r="D23" s="887"/>
      <c r="E23" s="887"/>
    </row>
    <row r="24" spans="1:5">
      <c r="A24" s="879"/>
      <c r="B24" s="887"/>
      <c r="C24" s="887"/>
      <c r="D24" s="887"/>
      <c r="E24" s="887"/>
    </row>
    <row r="25" spans="1:5">
      <c r="A25" s="879"/>
      <c r="B25" s="887"/>
      <c r="C25" s="887"/>
      <c r="D25" s="887"/>
      <c r="E25" s="887"/>
    </row>
    <row r="26" spans="1:5">
      <c r="A26" s="879"/>
      <c r="B26" s="887"/>
      <c r="C26" s="887"/>
      <c r="D26" s="887"/>
      <c r="E26" s="887"/>
    </row>
    <row r="27" spans="1:5" s="881" customFormat="1" ht="24" customHeight="1">
      <c r="A27" s="891" t="s">
        <v>2850</v>
      </c>
      <c r="B27" s="892">
        <f>SUM(B7:B26)</f>
        <v>5628962</v>
      </c>
      <c r="C27" s="892">
        <f>SUM(C7:C26)</f>
        <v>8507035</v>
      </c>
      <c r="D27" s="892">
        <f>SUM(D7:D26)</f>
        <v>360000</v>
      </c>
      <c r="E27" s="892">
        <f>SUM(E7:E26)</f>
        <v>14495997</v>
      </c>
    </row>
  </sheetData>
  <mergeCells count="3">
    <mergeCell ref="A4:A5"/>
    <mergeCell ref="B4:D4"/>
    <mergeCell ref="E4:E5"/>
  </mergeCells>
  <printOptions horizontalCentered="1"/>
  <pageMargins left="0.5" right="0.25" top="0.75" bottom="0.5" header="0.3" footer="0.25"/>
  <pageSetup paperSize="119" firstPageNumber="301" orientation="portrait" useFirstPageNumber="1" verticalDpi="300" r:id="rId1"/>
</worksheet>
</file>

<file path=xl/worksheets/sheet151.xml><?xml version="1.0" encoding="utf-8"?>
<worksheet xmlns="http://schemas.openxmlformats.org/spreadsheetml/2006/main" xmlns:r="http://schemas.openxmlformats.org/officeDocument/2006/relationships">
  <sheetPr codeName="Sheet110">
    <tabColor rgb="FFFFFF00"/>
  </sheetPr>
  <dimension ref="A1:H86"/>
  <sheetViews>
    <sheetView showGridLines="0" topLeftCell="A11" workbookViewId="0">
      <selection activeCell="F11" sqref="F1:N1048576"/>
    </sheetView>
  </sheetViews>
  <sheetFormatPr defaultRowHeight="12.9" customHeight="1"/>
  <cols>
    <col min="1" max="1" width="40.5546875" style="7165" customWidth="1"/>
    <col min="2" max="3" width="8.5546875" style="7165" customWidth="1"/>
    <col min="4" max="6" width="14.5546875" style="7165" customWidth="1"/>
    <col min="7" max="7" width="12.88671875" style="7165" customWidth="1"/>
    <col min="8" max="8" width="14.44140625" style="7165" customWidth="1"/>
    <col min="9" max="13" width="8.88671875" style="7165" customWidth="1"/>
    <col min="14" max="234" width="9.109375" style="7165"/>
    <col min="235" max="235" width="32.109375" style="7165" customWidth="1"/>
    <col min="236" max="237" width="9.109375" style="7165"/>
    <col min="238" max="238" width="12.109375" style="7165" customWidth="1"/>
    <col min="239" max="239" width="13.44140625" style="7165" customWidth="1"/>
    <col min="240" max="240" width="14.44140625" style="7165" customWidth="1"/>
    <col min="241" max="490" width="9.109375" style="7165"/>
    <col min="491" max="491" width="32.109375" style="7165" customWidth="1"/>
    <col min="492" max="493" width="9.109375" style="7165"/>
    <col min="494" max="494" width="12.109375" style="7165" customWidth="1"/>
    <col min="495" max="495" width="13.44140625" style="7165" customWidth="1"/>
    <col min="496" max="496" width="14.44140625" style="7165" customWidth="1"/>
    <col min="497" max="746" width="9.109375" style="7165"/>
    <col min="747" max="747" width="32.109375" style="7165" customWidth="1"/>
    <col min="748" max="749" width="9.109375" style="7165"/>
    <col min="750" max="750" width="12.109375" style="7165" customWidth="1"/>
    <col min="751" max="751" width="13.44140625" style="7165" customWidth="1"/>
    <col min="752" max="752" width="14.44140625" style="7165" customWidth="1"/>
    <col min="753" max="1002" width="9.109375" style="7165"/>
    <col min="1003" max="1003" width="32.109375" style="7165" customWidth="1"/>
    <col min="1004" max="1005" width="9.109375" style="7165"/>
    <col min="1006" max="1006" width="12.109375" style="7165" customWidth="1"/>
    <col min="1007" max="1007" width="13.44140625" style="7165" customWidth="1"/>
    <col min="1008" max="1008" width="14.44140625" style="7165" customWidth="1"/>
    <col min="1009" max="1258" width="9.109375" style="7165"/>
    <col min="1259" max="1259" width="32.109375" style="7165" customWidth="1"/>
    <col min="1260" max="1261" width="9.109375" style="7165"/>
    <col min="1262" max="1262" width="12.109375" style="7165" customWidth="1"/>
    <col min="1263" max="1263" width="13.44140625" style="7165" customWidth="1"/>
    <col min="1264" max="1264" width="14.44140625" style="7165" customWidth="1"/>
    <col min="1265" max="1514" width="9.109375" style="7165"/>
    <col min="1515" max="1515" width="32.109375" style="7165" customWidth="1"/>
    <col min="1516" max="1517" width="9.109375" style="7165"/>
    <col min="1518" max="1518" width="12.109375" style="7165" customWidth="1"/>
    <col min="1519" max="1519" width="13.44140625" style="7165" customWidth="1"/>
    <col min="1520" max="1520" width="14.44140625" style="7165" customWidth="1"/>
    <col min="1521" max="1770" width="9.109375" style="7165"/>
    <col min="1771" max="1771" width="32.109375" style="7165" customWidth="1"/>
    <col min="1772" max="1773" width="9.109375" style="7165"/>
    <col min="1774" max="1774" width="12.109375" style="7165" customWidth="1"/>
    <col min="1775" max="1775" width="13.44140625" style="7165" customWidth="1"/>
    <col min="1776" max="1776" width="14.44140625" style="7165" customWidth="1"/>
    <col min="1777" max="2026" width="9.109375" style="7165"/>
    <col min="2027" max="2027" width="32.109375" style="7165" customWidth="1"/>
    <col min="2028" max="2029" width="9.109375" style="7165"/>
    <col min="2030" max="2030" width="12.109375" style="7165" customWidth="1"/>
    <col min="2031" max="2031" width="13.44140625" style="7165" customWidth="1"/>
    <col min="2032" max="2032" width="14.44140625" style="7165" customWidth="1"/>
    <col min="2033" max="2282" width="9.109375" style="7165"/>
    <col min="2283" max="2283" width="32.109375" style="7165" customWidth="1"/>
    <col min="2284" max="2285" width="9.109375" style="7165"/>
    <col min="2286" max="2286" width="12.109375" style="7165" customWidth="1"/>
    <col min="2287" max="2287" width="13.44140625" style="7165" customWidth="1"/>
    <col min="2288" max="2288" width="14.44140625" style="7165" customWidth="1"/>
    <col min="2289" max="2538" width="9.109375" style="7165"/>
    <col min="2539" max="2539" width="32.109375" style="7165" customWidth="1"/>
    <col min="2540" max="2541" width="9.109375" style="7165"/>
    <col min="2542" max="2542" width="12.109375" style="7165" customWidth="1"/>
    <col min="2543" max="2543" width="13.44140625" style="7165" customWidth="1"/>
    <col min="2544" max="2544" width="14.44140625" style="7165" customWidth="1"/>
    <col min="2545" max="2794" width="9.109375" style="7165"/>
    <col min="2795" max="2795" width="32.109375" style="7165" customWidth="1"/>
    <col min="2796" max="2797" width="9.109375" style="7165"/>
    <col min="2798" max="2798" width="12.109375" style="7165" customWidth="1"/>
    <col min="2799" max="2799" width="13.44140625" style="7165" customWidth="1"/>
    <col min="2800" max="2800" width="14.44140625" style="7165" customWidth="1"/>
    <col min="2801" max="3050" width="9.109375" style="7165"/>
    <col min="3051" max="3051" width="32.109375" style="7165" customWidth="1"/>
    <col min="3052" max="3053" width="9.109375" style="7165"/>
    <col min="3054" max="3054" width="12.109375" style="7165" customWidth="1"/>
    <col min="3055" max="3055" width="13.44140625" style="7165" customWidth="1"/>
    <col min="3056" max="3056" width="14.44140625" style="7165" customWidth="1"/>
    <col min="3057" max="3306" width="9.109375" style="7165"/>
    <col min="3307" max="3307" width="32.109375" style="7165" customWidth="1"/>
    <col min="3308" max="3309" width="9.109375" style="7165"/>
    <col min="3310" max="3310" width="12.109375" style="7165" customWidth="1"/>
    <col min="3311" max="3311" width="13.44140625" style="7165" customWidth="1"/>
    <col min="3312" max="3312" width="14.44140625" style="7165" customWidth="1"/>
    <col min="3313" max="3562" width="9.109375" style="7165"/>
    <col min="3563" max="3563" width="32.109375" style="7165" customWidth="1"/>
    <col min="3564" max="3565" width="9.109375" style="7165"/>
    <col min="3566" max="3566" width="12.109375" style="7165" customWidth="1"/>
    <col min="3567" max="3567" width="13.44140625" style="7165" customWidth="1"/>
    <col min="3568" max="3568" width="14.44140625" style="7165" customWidth="1"/>
    <col min="3569" max="3818" width="9.109375" style="7165"/>
    <col min="3819" max="3819" width="32.109375" style="7165" customWidth="1"/>
    <col min="3820" max="3821" width="9.109375" style="7165"/>
    <col min="3822" max="3822" width="12.109375" style="7165" customWidth="1"/>
    <col min="3823" max="3823" width="13.44140625" style="7165" customWidth="1"/>
    <col min="3824" max="3824" width="14.44140625" style="7165" customWidth="1"/>
    <col min="3825" max="4074" width="9.109375" style="7165"/>
    <col min="4075" max="4075" width="32.109375" style="7165" customWidth="1"/>
    <col min="4076" max="4077" width="9.109375" style="7165"/>
    <col min="4078" max="4078" width="12.109375" style="7165" customWidth="1"/>
    <col min="4079" max="4079" width="13.44140625" style="7165" customWidth="1"/>
    <col min="4080" max="4080" width="14.44140625" style="7165" customWidth="1"/>
    <col min="4081" max="4330" width="9.109375" style="7165"/>
    <col min="4331" max="4331" width="32.109375" style="7165" customWidth="1"/>
    <col min="4332" max="4333" width="9.109375" style="7165"/>
    <col min="4334" max="4334" width="12.109375" style="7165" customWidth="1"/>
    <col min="4335" max="4335" width="13.44140625" style="7165" customWidth="1"/>
    <col min="4336" max="4336" width="14.44140625" style="7165" customWidth="1"/>
    <col min="4337" max="4586" width="9.109375" style="7165"/>
    <col min="4587" max="4587" width="32.109375" style="7165" customWidth="1"/>
    <col min="4588" max="4589" width="9.109375" style="7165"/>
    <col min="4590" max="4590" width="12.109375" style="7165" customWidth="1"/>
    <col min="4591" max="4591" width="13.44140625" style="7165" customWidth="1"/>
    <col min="4592" max="4592" width="14.44140625" style="7165" customWidth="1"/>
    <col min="4593" max="4842" width="9.109375" style="7165"/>
    <col min="4843" max="4843" width="32.109375" style="7165" customWidth="1"/>
    <col min="4844" max="4845" width="9.109375" style="7165"/>
    <col min="4846" max="4846" width="12.109375" style="7165" customWidth="1"/>
    <col min="4847" max="4847" width="13.44140625" style="7165" customWidth="1"/>
    <col min="4848" max="4848" width="14.44140625" style="7165" customWidth="1"/>
    <col min="4849" max="5098" width="9.109375" style="7165"/>
    <col min="5099" max="5099" width="32.109375" style="7165" customWidth="1"/>
    <col min="5100" max="5101" width="9.109375" style="7165"/>
    <col min="5102" max="5102" width="12.109375" style="7165" customWidth="1"/>
    <col min="5103" max="5103" width="13.44140625" style="7165" customWidth="1"/>
    <col min="5104" max="5104" width="14.44140625" style="7165" customWidth="1"/>
    <col min="5105" max="5354" width="9.109375" style="7165"/>
    <col min="5355" max="5355" width="32.109375" style="7165" customWidth="1"/>
    <col min="5356" max="5357" width="9.109375" style="7165"/>
    <col min="5358" max="5358" width="12.109375" style="7165" customWidth="1"/>
    <col min="5359" max="5359" width="13.44140625" style="7165" customWidth="1"/>
    <col min="5360" max="5360" width="14.44140625" style="7165" customWidth="1"/>
    <col min="5361" max="5610" width="9.109375" style="7165"/>
    <col min="5611" max="5611" width="32.109375" style="7165" customWidth="1"/>
    <col min="5612" max="5613" width="9.109375" style="7165"/>
    <col min="5614" max="5614" width="12.109375" style="7165" customWidth="1"/>
    <col min="5615" max="5615" width="13.44140625" style="7165" customWidth="1"/>
    <col min="5616" max="5616" width="14.44140625" style="7165" customWidth="1"/>
    <col min="5617" max="5866" width="9.109375" style="7165"/>
    <col min="5867" max="5867" width="32.109375" style="7165" customWidth="1"/>
    <col min="5868" max="5869" width="9.109375" style="7165"/>
    <col min="5870" max="5870" width="12.109375" style="7165" customWidth="1"/>
    <col min="5871" max="5871" width="13.44140625" style="7165" customWidth="1"/>
    <col min="5872" max="5872" width="14.44140625" style="7165" customWidth="1"/>
    <col min="5873" max="6122" width="9.109375" style="7165"/>
    <col min="6123" max="6123" width="32.109375" style="7165" customWidth="1"/>
    <col min="6124" max="6125" width="9.109375" style="7165"/>
    <col min="6126" max="6126" width="12.109375" style="7165" customWidth="1"/>
    <col min="6127" max="6127" width="13.44140625" style="7165" customWidth="1"/>
    <col min="6128" max="6128" width="14.44140625" style="7165" customWidth="1"/>
    <col min="6129" max="6378" width="9.109375" style="7165"/>
    <col min="6379" max="6379" width="32.109375" style="7165" customWidth="1"/>
    <col min="6380" max="6381" width="9.109375" style="7165"/>
    <col min="6382" max="6382" width="12.109375" style="7165" customWidth="1"/>
    <col min="6383" max="6383" width="13.44140625" style="7165" customWidth="1"/>
    <col min="6384" max="6384" width="14.44140625" style="7165" customWidth="1"/>
    <col min="6385" max="6634" width="9.109375" style="7165"/>
    <col min="6635" max="6635" width="32.109375" style="7165" customWidth="1"/>
    <col min="6636" max="6637" width="9.109375" style="7165"/>
    <col min="6638" max="6638" width="12.109375" style="7165" customWidth="1"/>
    <col min="6639" max="6639" width="13.44140625" style="7165" customWidth="1"/>
    <col min="6640" max="6640" width="14.44140625" style="7165" customWidth="1"/>
    <col min="6641" max="6890" width="9.109375" style="7165"/>
    <col min="6891" max="6891" width="32.109375" style="7165" customWidth="1"/>
    <col min="6892" max="6893" width="9.109375" style="7165"/>
    <col min="6894" max="6894" width="12.109375" style="7165" customWidth="1"/>
    <col min="6895" max="6895" width="13.44140625" style="7165" customWidth="1"/>
    <col min="6896" max="6896" width="14.44140625" style="7165" customWidth="1"/>
    <col min="6897" max="7146" width="9.109375" style="7165"/>
    <col min="7147" max="7147" width="32.109375" style="7165" customWidth="1"/>
    <col min="7148" max="7149" width="9.109375" style="7165"/>
    <col min="7150" max="7150" width="12.109375" style="7165" customWidth="1"/>
    <col min="7151" max="7151" width="13.44140625" style="7165" customWidth="1"/>
    <col min="7152" max="7152" width="14.44140625" style="7165" customWidth="1"/>
    <col min="7153" max="7402" width="9.109375" style="7165"/>
    <col min="7403" max="7403" width="32.109375" style="7165" customWidth="1"/>
    <col min="7404" max="7405" width="9.109375" style="7165"/>
    <col min="7406" max="7406" width="12.109375" style="7165" customWidth="1"/>
    <col min="7407" max="7407" width="13.44140625" style="7165" customWidth="1"/>
    <col min="7408" max="7408" width="14.44140625" style="7165" customWidth="1"/>
    <col min="7409" max="7658" width="9.109375" style="7165"/>
    <col min="7659" max="7659" width="32.109375" style="7165" customWidth="1"/>
    <col min="7660" max="7661" width="9.109375" style="7165"/>
    <col min="7662" max="7662" width="12.109375" style="7165" customWidth="1"/>
    <col min="7663" max="7663" width="13.44140625" style="7165" customWidth="1"/>
    <col min="7664" max="7664" width="14.44140625" style="7165" customWidth="1"/>
    <col min="7665" max="7914" width="9.109375" style="7165"/>
    <col min="7915" max="7915" width="32.109375" style="7165" customWidth="1"/>
    <col min="7916" max="7917" width="9.109375" style="7165"/>
    <col min="7918" max="7918" width="12.109375" style="7165" customWidth="1"/>
    <col min="7919" max="7919" width="13.44140625" style="7165" customWidth="1"/>
    <col min="7920" max="7920" width="14.44140625" style="7165" customWidth="1"/>
    <col min="7921" max="8170" width="9.109375" style="7165"/>
    <col min="8171" max="8171" width="32.109375" style="7165" customWidth="1"/>
    <col min="8172" max="8173" width="9.109375" style="7165"/>
    <col min="8174" max="8174" width="12.109375" style="7165" customWidth="1"/>
    <col min="8175" max="8175" width="13.44140625" style="7165" customWidth="1"/>
    <col min="8176" max="8176" width="14.44140625" style="7165" customWidth="1"/>
    <col min="8177" max="8426" width="9.109375" style="7165"/>
    <col min="8427" max="8427" width="32.109375" style="7165" customWidth="1"/>
    <col min="8428" max="8429" width="9.109375" style="7165"/>
    <col min="8430" max="8430" width="12.109375" style="7165" customWidth="1"/>
    <col min="8431" max="8431" width="13.44140625" style="7165" customWidth="1"/>
    <col min="8432" max="8432" width="14.44140625" style="7165" customWidth="1"/>
    <col min="8433" max="8682" width="9.109375" style="7165"/>
    <col min="8683" max="8683" width="32.109375" style="7165" customWidth="1"/>
    <col min="8684" max="8685" width="9.109375" style="7165"/>
    <col min="8686" max="8686" width="12.109375" style="7165" customWidth="1"/>
    <col min="8687" max="8687" width="13.44140625" style="7165" customWidth="1"/>
    <col min="8688" max="8688" width="14.44140625" style="7165" customWidth="1"/>
    <col min="8689" max="8938" width="9.109375" style="7165"/>
    <col min="8939" max="8939" width="32.109375" style="7165" customWidth="1"/>
    <col min="8940" max="8941" width="9.109375" style="7165"/>
    <col min="8942" max="8942" width="12.109375" style="7165" customWidth="1"/>
    <col min="8943" max="8943" width="13.44140625" style="7165" customWidth="1"/>
    <col min="8944" max="8944" width="14.44140625" style="7165" customWidth="1"/>
    <col min="8945" max="9194" width="9.109375" style="7165"/>
    <col min="9195" max="9195" width="32.109375" style="7165" customWidth="1"/>
    <col min="9196" max="9197" width="9.109375" style="7165"/>
    <col min="9198" max="9198" width="12.109375" style="7165" customWidth="1"/>
    <col min="9199" max="9199" width="13.44140625" style="7165" customWidth="1"/>
    <col min="9200" max="9200" width="14.44140625" style="7165" customWidth="1"/>
    <col min="9201" max="9450" width="9.109375" style="7165"/>
    <col min="9451" max="9451" width="32.109375" style="7165" customWidth="1"/>
    <col min="9452" max="9453" width="9.109375" style="7165"/>
    <col min="9454" max="9454" width="12.109375" style="7165" customWidth="1"/>
    <col min="9455" max="9455" width="13.44140625" style="7165" customWidth="1"/>
    <col min="9456" max="9456" width="14.44140625" style="7165" customWidth="1"/>
    <col min="9457" max="9706" width="9.109375" style="7165"/>
    <col min="9707" max="9707" width="32.109375" style="7165" customWidth="1"/>
    <col min="9708" max="9709" width="9.109375" style="7165"/>
    <col min="9710" max="9710" width="12.109375" style="7165" customWidth="1"/>
    <col min="9711" max="9711" width="13.44140625" style="7165" customWidth="1"/>
    <col min="9712" max="9712" width="14.44140625" style="7165" customWidth="1"/>
    <col min="9713" max="9962" width="9.109375" style="7165"/>
    <col min="9963" max="9963" width="32.109375" style="7165" customWidth="1"/>
    <col min="9964" max="9965" width="9.109375" style="7165"/>
    <col min="9966" max="9966" width="12.109375" style="7165" customWidth="1"/>
    <col min="9967" max="9967" width="13.44140625" style="7165" customWidth="1"/>
    <col min="9968" max="9968" width="14.44140625" style="7165" customWidth="1"/>
    <col min="9969" max="10218" width="9.109375" style="7165"/>
    <col min="10219" max="10219" width="32.109375" style="7165" customWidth="1"/>
    <col min="10220" max="10221" width="9.109375" style="7165"/>
    <col min="10222" max="10222" width="12.109375" style="7165" customWidth="1"/>
    <col min="10223" max="10223" width="13.44140625" style="7165" customWidth="1"/>
    <col min="10224" max="10224" width="14.44140625" style="7165" customWidth="1"/>
    <col min="10225" max="10474" width="9.109375" style="7165"/>
    <col min="10475" max="10475" width="32.109375" style="7165" customWidth="1"/>
    <col min="10476" max="10477" width="9.109375" style="7165"/>
    <col min="10478" max="10478" width="12.109375" style="7165" customWidth="1"/>
    <col min="10479" max="10479" width="13.44140625" style="7165" customWidth="1"/>
    <col min="10480" max="10480" width="14.44140625" style="7165" customWidth="1"/>
    <col min="10481" max="10730" width="9.109375" style="7165"/>
    <col min="10731" max="10731" width="32.109375" style="7165" customWidth="1"/>
    <col min="10732" max="10733" width="9.109375" style="7165"/>
    <col min="10734" max="10734" width="12.109375" style="7165" customWidth="1"/>
    <col min="10735" max="10735" width="13.44140625" style="7165" customWidth="1"/>
    <col min="10736" max="10736" width="14.44140625" style="7165" customWidth="1"/>
    <col min="10737" max="10986" width="9.109375" style="7165"/>
    <col min="10987" max="10987" width="32.109375" style="7165" customWidth="1"/>
    <col min="10988" max="10989" width="9.109375" style="7165"/>
    <col min="10990" max="10990" width="12.109375" style="7165" customWidth="1"/>
    <col min="10991" max="10991" width="13.44140625" style="7165" customWidth="1"/>
    <col min="10992" max="10992" width="14.44140625" style="7165" customWidth="1"/>
    <col min="10993" max="11242" width="9.109375" style="7165"/>
    <col min="11243" max="11243" width="32.109375" style="7165" customWidth="1"/>
    <col min="11244" max="11245" width="9.109375" style="7165"/>
    <col min="11246" max="11246" width="12.109375" style="7165" customWidth="1"/>
    <col min="11247" max="11247" width="13.44140625" style="7165" customWidth="1"/>
    <col min="11248" max="11248" width="14.44140625" style="7165" customWidth="1"/>
    <col min="11249" max="11498" width="9.109375" style="7165"/>
    <col min="11499" max="11499" width="32.109375" style="7165" customWidth="1"/>
    <col min="11500" max="11501" width="9.109375" style="7165"/>
    <col min="11502" max="11502" width="12.109375" style="7165" customWidth="1"/>
    <col min="11503" max="11503" width="13.44140625" style="7165" customWidth="1"/>
    <col min="11504" max="11504" width="14.44140625" style="7165" customWidth="1"/>
    <col min="11505" max="11754" width="9.109375" style="7165"/>
    <col min="11755" max="11755" width="32.109375" style="7165" customWidth="1"/>
    <col min="11756" max="11757" width="9.109375" style="7165"/>
    <col min="11758" max="11758" width="12.109375" style="7165" customWidth="1"/>
    <col min="11759" max="11759" width="13.44140625" style="7165" customWidth="1"/>
    <col min="11760" max="11760" width="14.44140625" style="7165" customWidth="1"/>
    <col min="11761" max="12010" width="9.109375" style="7165"/>
    <col min="12011" max="12011" width="32.109375" style="7165" customWidth="1"/>
    <col min="12012" max="12013" width="9.109375" style="7165"/>
    <col min="12014" max="12014" width="12.109375" style="7165" customWidth="1"/>
    <col min="12015" max="12015" width="13.44140625" style="7165" customWidth="1"/>
    <col min="12016" max="12016" width="14.44140625" style="7165" customWidth="1"/>
    <col min="12017" max="12266" width="9.109375" style="7165"/>
    <col min="12267" max="12267" width="32.109375" style="7165" customWidth="1"/>
    <col min="12268" max="12269" width="9.109375" style="7165"/>
    <col min="12270" max="12270" width="12.109375" style="7165" customWidth="1"/>
    <col min="12271" max="12271" width="13.44140625" style="7165" customWidth="1"/>
    <col min="12272" max="12272" width="14.44140625" style="7165" customWidth="1"/>
    <col min="12273" max="12522" width="9.109375" style="7165"/>
    <col min="12523" max="12523" width="32.109375" style="7165" customWidth="1"/>
    <col min="12524" max="12525" width="9.109375" style="7165"/>
    <col min="12526" max="12526" width="12.109375" style="7165" customWidth="1"/>
    <col min="12527" max="12527" width="13.44140625" style="7165" customWidth="1"/>
    <col min="12528" max="12528" width="14.44140625" style="7165" customWidth="1"/>
    <col min="12529" max="12778" width="9.109375" style="7165"/>
    <col min="12779" max="12779" width="32.109375" style="7165" customWidth="1"/>
    <col min="12780" max="12781" width="9.109375" style="7165"/>
    <col min="12782" max="12782" width="12.109375" style="7165" customWidth="1"/>
    <col min="12783" max="12783" width="13.44140625" style="7165" customWidth="1"/>
    <col min="12784" max="12784" width="14.44140625" style="7165" customWidth="1"/>
    <col min="12785" max="13034" width="9.109375" style="7165"/>
    <col min="13035" max="13035" width="32.109375" style="7165" customWidth="1"/>
    <col min="13036" max="13037" width="9.109375" style="7165"/>
    <col min="13038" max="13038" width="12.109375" style="7165" customWidth="1"/>
    <col min="13039" max="13039" width="13.44140625" style="7165" customWidth="1"/>
    <col min="13040" max="13040" width="14.44140625" style="7165" customWidth="1"/>
    <col min="13041" max="13290" width="9.109375" style="7165"/>
    <col min="13291" max="13291" width="32.109375" style="7165" customWidth="1"/>
    <col min="13292" max="13293" width="9.109375" style="7165"/>
    <col min="13294" max="13294" width="12.109375" style="7165" customWidth="1"/>
    <col min="13295" max="13295" width="13.44140625" style="7165" customWidth="1"/>
    <col min="13296" max="13296" width="14.44140625" style="7165" customWidth="1"/>
    <col min="13297" max="13546" width="9.109375" style="7165"/>
    <col min="13547" max="13547" width="32.109375" style="7165" customWidth="1"/>
    <col min="13548" max="13549" width="9.109375" style="7165"/>
    <col min="13550" max="13550" width="12.109375" style="7165" customWidth="1"/>
    <col min="13551" max="13551" width="13.44140625" style="7165" customWidth="1"/>
    <col min="13552" max="13552" width="14.44140625" style="7165" customWidth="1"/>
    <col min="13553" max="13802" width="9.109375" style="7165"/>
    <col min="13803" max="13803" width="32.109375" style="7165" customWidth="1"/>
    <col min="13804" max="13805" width="9.109375" style="7165"/>
    <col min="13806" max="13806" width="12.109375" style="7165" customWidth="1"/>
    <col min="13807" max="13807" width="13.44140625" style="7165" customWidth="1"/>
    <col min="13808" max="13808" width="14.44140625" style="7165" customWidth="1"/>
    <col min="13809" max="14058" width="9.109375" style="7165"/>
    <col min="14059" max="14059" width="32.109375" style="7165" customWidth="1"/>
    <col min="14060" max="14061" width="9.109375" style="7165"/>
    <col min="14062" max="14062" width="12.109375" style="7165" customWidth="1"/>
    <col min="14063" max="14063" width="13.44140625" style="7165" customWidth="1"/>
    <col min="14064" max="14064" width="14.44140625" style="7165" customWidth="1"/>
    <col min="14065" max="14314" width="9.109375" style="7165"/>
    <col min="14315" max="14315" width="32.109375" style="7165" customWidth="1"/>
    <col min="14316" max="14317" width="9.109375" style="7165"/>
    <col min="14318" max="14318" width="12.109375" style="7165" customWidth="1"/>
    <col min="14319" max="14319" width="13.44140625" style="7165" customWidth="1"/>
    <col min="14320" max="14320" width="14.44140625" style="7165" customWidth="1"/>
    <col min="14321" max="14570" width="9.109375" style="7165"/>
    <col min="14571" max="14571" width="32.109375" style="7165" customWidth="1"/>
    <col min="14572" max="14573" width="9.109375" style="7165"/>
    <col min="14574" max="14574" width="12.109375" style="7165" customWidth="1"/>
    <col min="14575" max="14575" width="13.44140625" style="7165" customWidth="1"/>
    <col min="14576" max="14576" width="14.44140625" style="7165" customWidth="1"/>
    <col min="14577" max="14826" width="9.109375" style="7165"/>
    <col min="14827" max="14827" width="32.109375" style="7165" customWidth="1"/>
    <col min="14828" max="14829" width="9.109375" style="7165"/>
    <col min="14830" max="14830" width="12.109375" style="7165" customWidth="1"/>
    <col min="14831" max="14831" width="13.44140625" style="7165" customWidth="1"/>
    <col min="14832" max="14832" width="14.44140625" style="7165" customWidth="1"/>
    <col min="14833" max="15082" width="9.109375" style="7165"/>
    <col min="15083" max="15083" width="32.109375" style="7165" customWidth="1"/>
    <col min="15084" max="15085" width="9.109375" style="7165"/>
    <col min="15086" max="15086" width="12.109375" style="7165" customWidth="1"/>
    <col min="15087" max="15087" width="13.44140625" style="7165" customWidth="1"/>
    <col min="15088" max="15088" width="14.44140625" style="7165" customWidth="1"/>
    <col min="15089" max="15338" width="9.109375" style="7165"/>
    <col min="15339" max="15339" width="32.109375" style="7165" customWidth="1"/>
    <col min="15340" max="15341" width="9.109375" style="7165"/>
    <col min="15342" max="15342" width="12.109375" style="7165" customWidth="1"/>
    <col min="15343" max="15343" width="13.44140625" style="7165" customWidth="1"/>
    <col min="15344" max="15344" width="14.44140625" style="7165" customWidth="1"/>
    <col min="15345" max="15594" width="9.109375" style="7165"/>
    <col min="15595" max="15595" width="32.109375" style="7165" customWidth="1"/>
    <col min="15596" max="15597" width="9.109375" style="7165"/>
    <col min="15598" max="15598" width="12.109375" style="7165" customWidth="1"/>
    <col min="15599" max="15599" width="13.44140625" style="7165" customWidth="1"/>
    <col min="15600" max="15600" width="14.44140625" style="7165" customWidth="1"/>
    <col min="15601" max="15850" width="9.109375" style="7165"/>
    <col min="15851" max="15851" width="32.109375" style="7165" customWidth="1"/>
    <col min="15852" max="15853" width="9.109375" style="7165"/>
    <col min="15854" max="15854" width="12.109375" style="7165" customWidth="1"/>
    <col min="15855" max="15855" width="13.44140625" style="7165" customWidth="1"/>
    <col min="15856" max="15856" width="14.44140625" style="7165" customWidth="1"/>
    <col min="15857" max="16106" width="9.109375" style="7165"/>
    <col min="16107" max="16107" width="32.109375" style="7165" customWidth="1"/>
    <col min="16108" max="16109" width="9.109375" style="7165"/>
    <col min="16110" max="16110" width="12.109375" style="7165" customWidth="1"/>
    <col min="16111" max="16111" width="13.44140625" style="7165" customWidth="1"/>
    <col min="16112" max="16112" width="14.44140625" style="7165" customWidth="1"/>
    <col min="16113" max="16384" width="9.109375" style="7165"/>
  </cols>
  <sheetData>
    <row r="1" spans="1:6" ht="12.9" customHeight="1">
      <c r="A1" s="14215" t="s">
        <v>1087</v>
      </c>
      <c r="B1" s="14215"/>
      <c r="C1" s="14215"/>
      <c r="D1" s="14215"/>
      <c r="E1" s="14215"/>
      <c r="F1" s="14215"/>
    </row>
    <row r="3" spans="1:6" ht="12.9" customHeight="1">
      <c r="A3" s="7163" t="s">
        <v>1379</v>
      </c>
    </row>
    <row r="4" spans="1:6" ht="12.9" customHeight="1" thickBot="1"/>
    <row r="5" spans="1:6" ht="12.9" customHeight="1">
      <c r="A5" s="9725"/>
      <c r="B5" s="9726"/>
      <c r="C5" s="9726"/>
      <c r="D5" s="14211"/>
      <c r="E5" s="14211"/>
      <c r="F5" s="14845"/>
    </row>
    <row r="6" spans="1:6" ht="12.9" customHeight="1">
      <c r="A6" s="9738" t="s">
        <v>1163</v>
      </c>
      <c r="B6" s="9750" t="s">
        <v>1035</v>
      </c>
      <c r="C6" s="9750" t="s">
        <v>1036</v>
      </c>
      <c r="D6" s="15027" t="s">
        <v>1037</v>
      </c>
      <c r="E6" s="15027"/>
      <c r="F6" s="15028"/>
    </row>
    <row r="7" spans="1:6" ht="12.9" customHeight="1" thickBot="1">
      <c r="A7" s="9698" t="s">
        <v>1088</v>
      </c>
      <c r="B7" s="9772" t="s">
        <v>9</v>
      </c>
      <c r="C7" s="9772" t="s">
        <v>1039</v>
      </c>
      <c r="D7" s="9719" t="s">
        <v>10</v>
      </c>
      <c r="E7" s="9772" t="s">
        <v>11</v>
      </c>
      <c r="F7" s="9773" t="s">
        <v>11621</v>
      </c>
    </row>
    <row r="8" spans="1:6" ht="12.9" customHeight="1">
      <c r="A8" s="7207" t="s">
        <v>9</v>
      </c>
      <c r="B8" s="9624"/>
      <c r="C8" s="7205"/>
      <c r="D8" s="9624"/>
      <c r="E8" s="7205"/>
      <c r="F8" s="7215"/>
    </row>
    <row r="9" spans="1:6" ht="12.9" customHeight="1">
      <c r="A9" s="7207" t="s">
        <v>1139</v>
      </c>
      <c r="B9" s="7205"/>
      <c r="C9" s="9615"/>
      <c r="D9" s="9615"/>
      <c r="E9" s="9615"/>
      <c r="F9" s="10406"/>
    </row>
    <row r="10" spans="1:6" ht="12.9" customHeight="1">
      <c r="A10" s="7209" t="s">
        <v>1149</v>
      </c>
      <c r="B10" s="7205"/>
      <c r="C10" s="9615"/>
      <c r="D10" s="9615"/>
      <c r="E10" s="9615"/>
      <c r="F10" s="10406"/>
    </row>
    <row r="11" spans="1:6" ht="12.9" customHeight="1">
      <c r="A11" s="7207" t="s">
        <v>1310</v>
      </c>
      <c r="B11" s="7205"/>
      <c r="C11" s="9615"/>
      <c r="D11" s="9615"/>
      <c r="E11" s="9615"/>
      <c r="F11" s="10406"/>
    </row>
    <row r="12" spans="1:6" ht="12.9" customHeight="1">
      <c r="A12" s="7207"/>
      <c r="B12" s="7205"/>
      <c r="C12" s="9615"/>
      <c r="D12" s="9615"/>
      <c r="E12" s="9615"/>
      <c r="F12" s="10406"/>
    </row>
    <row r="13" spans="1:6" ht="12.9" customHeight="1">
      <c r="A13" s="7209" t="s">
        <v>1151</v>
      </c>
      <c r="B13" s="7205"/>
      <c r="C13" s="9615"/>
      <c r="D13" s="9615"/>
      <c r="E13" s="9615"/>
      <c r="F13" s="10406"/>
    </row>
    <row r="14" spans="1:6" ht="12.9" customHeight="1">
      <c r="A14" s="7209" t="s">
        <v>1109</v>
      </c>
      <c r="B14" s="7205"/>
      <c r="C14" s="9615"/>
      <c r="D14" s="9615"/>
      <c r="E14" s="9615"/>
      <c r="F14" s="10406"/>
    </row>
    <row r="15" spans="1:6" ht="12.9" customHeight="1">
      <c r="A15" s="7207"/>
      <c r="B15" s="7206"/>
      <c r="C15" s="9614"/>
      <c r="D15" s="9617"/>
      <c r="E15" s="9617"/>
      <c r="F15" s="9951"/>
    </row>
    <row r="16" spans="1:6" ht="12.9" customHeight="1">
      <c r="A16" s="7209" t="s">
        <v>1152</v>
      </c>
      <c r="B16" s="7206"/>
      <c r="C16" s="9614"/>
      <c r="D16" s="9617"/>
      <c r="E16" s="9617"/>
      <c r="F16" s="9951"/>
    </row>
    <row r="17" spans="1:8" ht="12.9" customHeight="1">
      <c r="A17" s="7207" t="s">
        <v>1399</v>
      </c>
      <c r="B17" s="7206">
        <v>1</v>
      </c>
      <c r="C17" s="9614">
        <v>23</v>
      </c>
      <c r="D17" s="9617">
        <v>709272</v>
      </c>
      <c r="E17" s="9617">
        <v>799044</v>
      </c>
      <c r="F17" s="9951">
        <v>900180</v>
      </c>
    </row>
    <row r="18" spans="1:8" ht="12.9" customHeight="1">
      <c r="A18" s="7207" t="s">
        <v>1343</v>
      </c>
      <c r="B18" s="7206">
        <v>1</v>
      </c>
      <c r="C18" s="9614">
        <v>21</v>
      </c>
      <c r="D18" s="9617">
        <v>573348</v>
      </c>
      <c r="E18" s="9617">
        <v>630648</v>
      </c>
      <c r="F18" s="9951">
        <v>704976</v>
      </c>
    </row>
    <row r="19" spans="1:8" ht="12.9" customHeight="1">
      <c r="A19" s="7207" t="s">
        <v>1348</v>
      </c>
      <c r="B19" s="7206">
        <v>2</v>
      </c>
      <c r="C19" s="9614">
        <v>15</v>
      </c>
      <c r="D19" s="9617">
        <v>354684</v>
      </c>
      <c r="E19" s="9617">
        <v>752580</v>
      </c>
      <c r="F19" s="9951">
        <v>798696</v>
      </c>
    </row>
    <row r="20" spans="1:8" ht="12.9" customHeight="1">
      <c r="A20" s="7207" t="s">
        <v>1346</v>
      </c>
      <c r="B20" s="7206">
        <v>1</v>
      </c>
      <c r="C20" s="9614">
        <v>15</v>
      </c>
      <c r="D20" s="9617">
        <v>338568</v>
      </c>
      <c r="E20" s="9617">
        <v>360852</v>
      </c>
      <c r="F20" s="9951">
        <v>380160</v>
      </c>
    </row>
    <row r="21" spans="1:8" ht="12.9" customHeight="1">
      <c r="A21" s="7207" t="s">
        <v>1347</v>
      </c>
      <c r="B21" s="7206">
        <v>1</v>
      </c>
      <c r="C21" s="9614">
        <v>11</v>
      </c>
      <c r="D21" s="9617">
        <v>484968</v>
      </c>
      <c r="E21" s="9617">
        <v>251556</v>
      </c>
      <c r="F21" s="9951">
        <v>262980</v>
      </c>
    </row>
    <row r="22" spans="1:8" ht="12.9" customHeight="1">
      <c r="A22" s="7207" t="s">
        <v>11627</v>
      </c>
      <c r="B22" s="9614">
        <v>1</v>
      </c>
      <c r="C22" s="9614">
        <v>10</v>
      </c>
      <c r="D22" s="9617"/>
      <c r="E22" s="9617"/>
      <c r="F22" s="9951">
        <v>230796</v>
      </c>
    </row>
    <row r="23" spans="1:8" ht="12.9" customHeight="1">
      <c r="A23" s="7207" t="s">
        <v>10701</v>
      </c>
      <c r="B23" s="9614">
        <v>1</v>
      </c>
      <c r="C23" s="9614">
        <v>10</v>
      </c>
      <c r="D23" s="9617"/>
      <c r="E23" s="9617"/>
      <c r="F23" s="9951">
        <v>230796</v>
      </c>
    </row>
    <row r="24" spans="1:8" ht="12.9" customHeight="1">
      <c r="A24" s="7207" t="s">
        <v>1357</v>
      </c>
      <c r="B24" s="7206">
        <v>3</v>
      </c>
      <c r="C24" s="9614">
        <v>4</v>
      </c>
      <c r="D24" s="9617">
        <v>450720</v>
      </c>
      <c r="E24" s="9617">
        <v>469032</v>
      </c>
      <c r="F24" s="9951">
        <v>490560</v>
      </c>
    </row>
    <row r="25" spans="1:8" ht="12.9" hidden="1" customHeight="1">
      <c r="A25" s="7207" t="s">
        <v>1359</v>
      </c>
      <c r="B25" s="7206">
        <v>0</v>
      </c>
      <c r="C25" s="9614">
        <v>4</v>
      </c>
      <c r="D25" s="10417">
        <v>0</v>
      </c>
      <c r="E25" s="10417">
        <v>0</v>
      </c>
      <c r="F25" s="10404">
        <v>0</v>
      </c>
    </row>
    <row r="26" spans="1:8" ht="12.9" customHeight="1">
      <c r="A26" s="7207" t="s">
        <v>1360</v>
      </c>
      <c r="B26" s="7206">
        <v>1</v>
      </c>
      <c r="C26" s="9614">
        <v>3</v>
      </c>
      <c r="D26" s="9617">
        <v>137856</v>
      </c>
      <c r="E26" s="9617">
        <v>144156</v>
      </c>
      <c r="F26" s="9951">
        <v>150744</v>
      </c>
    </row>
    <row r="27" spans="1:8" ht="12.9" customHeight="1">
      <c r="A27" s="7207" t="s">
        <v>1380</v>
      </c>
      <c r="B27" s="7206">
        <v>1</v>
      </c>
      <c r="C27" s="9614">
        <v>4</v>
      </c>
      <c r="D27" s="9617">
        <v>155124</v>
      </c>
      <c r="E27" s="9617">
        <v>161088</v>
      </c>
      <c r="F27" s="9951">
        <v>167292</v>
      </c>
      <c r="G27" s="7165">
        <f>SUM(B17:B28)</f>
        <v>14</v>
      </c>
      <c r="H27" s="7198">
        <f>SUM(F17:F28)</f>
        <v>4475748</v>
      </c>
    </row>
    <row r="28" spans="1:8" ht="12.9" customHeight="1">
      <c r="A28" s="7207" t="s">
        <v>1359</v>
      </c>
      <c r="B28" s="9614">
        <v>1</v>
      </c>
      <c r="C28" s="9614">
        <v>4</v>
      </c>
      <c r="D28" s="9617">
        <v>0</v>
      </c>
      <c r="E28" s="9617">
        <v>0</v>
      </c>
      <c r="F28" s="9951">
        <v>158568</v>
      </c>
      <c r="H28" s="7198"/>
    </row>
    <row r="29" spans="1:8" ht="12.9" customHeight="1">
      <c r="A29" s="7207" t="s">
        <v>9</v>
      </c>
      <c r="B29" s="7206"/>
      <c r="C29" s="9614"/>
      <c r="D29" s="9617"/>
      <c r="E29" s="9617"/>
      <c r="F29" s="9951"/>
    </row>
    <row r="30" spans="1:8" ht="12.9" customHeight="1">
      <c r="A30" s="7209" t="s">
        <v>1094</v>
      </c>
      <c r="B30" s="7206"/>
      <c r="C30" s="9614"/>
      <c r="D30" s="9617"/>
      <c r="E30" s="9617"/>
      <c r="F30" s="9951"/>
    </row>
    <row r="31" spans="1:8" ht="12.9" customHeight="1">
      <c r="A31" s="7207" t="s">
        <v>1172</v>
      </c>
      <c r="B31" s="9614">
        <v>1</v>
      </c>
      <c r="C31" s="9614">
        <v>10</v>
      </c>
      <c r="D31" s="9617">
        <v>0</v>
      </c>
      <c r="E31" s="9617">
        <v>0</v>
      </c>
      <c r="F31" s="9951">
        <v>230796</v>
      </c>
    </row>
    <row r="32" spans="1:8" ht="12.9" customHeight="1">
      <c r="A32" s="7207" t="s">
        <v>1381</v>
      </c>
      <c r="B32" s="7206">
        <v>1</v>
      </c>
      <c r="C32" s="9614">
        <v>9</v>
      </c>
      <c r="D32" s="10417">
        <v>203832</v>
      </c>
      <c r="E32" s="10417">
        <v>209676</v>
      </c>
      <c r="F32" s="10404">
        <v>215700</v>
      </c>
    </row>
    <row r="33" spans="1:8" ht="12.9" hidden="1" customHeight="1">
      <c r="A33" s="7207" t="s">
        <v>1302</v>
      </c>
      <c r="B33" s="7206">
        <v>0</v>
      </c>
      <c r="C33" s="9614">
        <v>4</v>
      </c>
      <c r="D33" s="9617">
        <v>0</v>
      </c>
      <c r="E33" s="9617">
        <v>0</v>
      </c>
      <c r="F33" s="9951">
        <v>0</v>
      </c>
    </row>
    <row r="34" spans="1:8" ht="12.9" customHeight="1">
      <c r="A34" s="7207" t="s">
        <v>1175</v>
      </c>
      <c r="B34" s="7206">
        <v>1</v>
      </c>
      <c r="C34" s="9614">
        <v>1</v>
      </c>
      <c r="D34" s="9617">
        <v>121980</v>
      </c>
      <c r="E34" s="9617">
        <v>128340</v>
      </c>
      <c r="F34" s="9951">
        <v>136176</v>
      </c>
      <c r="G34" s="7165">
        <f>SUM(B31:B34)</f>
        <v>3</v>
      </c>
      <c r="H34" s="7198">
        <f>SUM(F31:F34)</f>
        <v>582672</v>
      </c>
    </row>
    <row r="35" spans="1:8" ht="12.9" customHeight="1" thickBot="1">
      <c r="A35" s="7207"/>
      <c r="B35" s="7206"/>
      <c r="C35" s="9614"/>
      <c r="D35" s="9617"/>
      <c r="E35" s="9617"/>
      <c r="F35" s="9951"/>
    </row>
    <row r="36" spans="1:8" ht="12.9" customHeight="1" thickBot="1">
      <c r="A36" s="10422" t="s">
        <v>1159</v>
      </c>
      <c r="B36" s="10725">
        <f>SUM(B12:B34)</f>
        <v>17</v>
      </c>
      <c r="C36" s="10418"/>
      <c r="D36" s="10419">
        <f>SUM(D12:D35)</f>
        <v>3530352</v>
      </c>
      <c r="E36" s="10419">
        <f>SUM(E12:E35)</f>
        <v>3906972</v>
      </c>
      <c r="F36" s="10420">
        <f>SUM(F12:F35)</f>
        <v>5058420</v>
      </c>
    </row>
    <row r="37" spans="1:8" ht="12.9" customHeight="1">
      <c r="A37" s="7207"/>
      <c r="B37" s="7205"/>
      <c r="C37" s="9615"/>
      <c r="D37" s="9615"/>
      <c r="E37" s="9615"/>
      <c r="F37" s="10406"/>
    </row>
    <row r="38" spans="1:8" ht="12.9" customHeight="1">
      <c r="A38" s="7207" t="s">
        <v>1113</v>
      </c>
      <c r="B38" s="9750" t="s">
        <v>9</v>
      </c>
      <c r="C38" s="9615"/>
      <c r="D38" s="9615"/>
      <c r="E38" s="9615"/>
      <c r="F38" s="10406"/>
    </row>
    <row r="39" spans="1:8" ht="12.9" hidden="1" customHeight="1">
      <c r="A39" s="7207" t="s">
        <v>1389</v>
      </c>
      <c r="B39" s="7206">
        <v>0</v>
      </c>
      <c r="C39" s="9614">
        <v>23</v>
      </c>
      <c r="D39" s="9616">
        <v>0</v>
      </c>
      <c r="E39" s="9616">
        <v>0</v>
      </c>
      <c r="F39" s="10427">
        <v>0</v>
      </c>
    </row>
    <row r="40" spans="1:8" ht="12.9" hidden="1" customHeight="1">
      <c r="A40" s="7207" t="s">
        <v>1385</v>
      </c>
      <c r="B40" s="7206">
        <v>0</v>
      </c>
      <c r="C40" s="9614">
        <v>21</v>
      </c>
      <c r="D40" s="9626">
        <v>0</v>
      </c>
      <c r="E40" s="9626">
        <v>0</v>
      </c>
      <c r="F40" s="9950">
        <v>0</v>
      </c>
    </row>
    <row r="41" spans="1:8" ht="12.9" customHeight="1">
      <c r="A41" s="7207" t="s">
        <v>3435</v>
      </c>
      <c r="B41" s="7206"/>
      <c r="C41" s="9614">
        <v>17</v>
      </c>
      <c r="D41" s="9626">
        <v>0</v>
      </c>
      <c r="E41" s="9626">
        <v>417372</v>
      </c>
      <c r="F41" s="9950" t="s">
        <v>12022</v>
      </c>
    </row>
    <row r="42" spans="1:8" ht="12.9" customHeight="1">
      <c r="A42" s="7207" t="s">
        <v>11266</v>
      </c>
      <c r="B42" s="7206">
        <v>1</v>
      </c>
      <c r="C42" s="9614">
        <v>17</v>
      </c>
      <c r="D42" s="9626">
        <v>0</v>
      </c>
      <c r="E42" s="9626">
        <v>417372</v>
      </c>
      <c r="F42" s="9950">
        <v>443304</v>
      </c>
    </row>
    <row r="43" spans="1:8" ht="12.9" customHeight="1">
      <c r="A43" s="7207" t="s">
        <v>10704</v>
      </c>
      <c r="B43" s="7206">
        <v>1</v>
      </c>
      <c r="C43" s="9614">
        <v>11</v>
      </c>
      <c r="D43" s="9626">
        <v>0</v>
      </c>
      <c r="E43" s="9626">
        <v>242148</v>
      </c>
      <c r="F43" s="9950">
        <v>249048</v>
      </c>
    </row>
    <row r="44" spans="1:8" ht="12.9" customHeight="1">
      <c r="A44" s="7207" t="s">
        <v>10206</v>
      </c>
      <c r="B44" s="7206">
        <v>2</v>
      </c>
      <c r="C44" s="9614">
        <v>11</v>
      </c>
      <c r="D44" s="9626">
        <v>0</v>
      </c>
      <c r="E44" s="9626">
        <v>484296</v>
      </c>
      <c r="F44" s="9950">
        <v>498096</v>
      </c>
    </row>
    <row r="45" spans="1:8" ht="12.9" customHeight="1">
      <c r="A45" s="7231" t="s">
        <v>10426</v>
      </c>
      <c r="B45" s="9403">
        <v>1</v>
      </c>
      <c r="C45" s="9403">
        <v>11</v>
      </c>
      <c r="D45" s="9608"/>
      <c r="E45" s="9608"/>
      <c r="F45" s="9948">
        <v>249048</v>
      </c>
    </row>
    <row r="46" spans="1:8" ht="12.9" customHeight="1">
      <c r="A46" s="7207" t="s">
        <v>10703</v>
      </c>
      <c r="B46" s="7206">
        <v>0</v>
      </c>
      <c r="C46" s="9614">
        <v>10</v>
      </c>
      <c r="D46" s="9626">
        <v>218604</v>
      </c>
      <c r="E46" s="9626">
        <v>224616</v>
      </c>
      <c r="F46" s="9950">
        <v>0</v>
      </c>
    </row>
    <row r="47" spans="1:8" ht="12.9" customHeight="1">
      <c r="A47" s="7207" t="s">
        <v>10700</v>
      </c>
      <c r="B47" s="7206">
        <v>0</v>
      </c>
      <c r="C47" s="9614">
        <v>10</v>
      </c>
      <c r="D47" s="9626">
        <v>218604</v>
      </c>
      <c r="E47" s="9626">
        <v>224616</v>
      </c>
      <c r="F47" s="9950">
        <v>0</v>
      </c>
    </row>
    <row r="48" spans="1:8" ht="12.9" customHeight="1">
      <c r="A48" s="7207" t="s">
        <v>10702</v>
      </c>
      <c r="B48" s="7206">
        <v>0</v>
      </c>
      <c r="C48" s="9614">
        <v>10</v>
      </c>
      <c r="D48" s="9626">
        <v>218604</v>
      </c>
      <c r="E48" s="9626">
        <v>224616</v>
      </c>
      <c r="F48" s="9950">
        <v>0</v>
      </c>
    </row>
    <row r="49" spans="1:8" ht="12.9" hidden="1" customHeight="1">
      <c r="A49" s="7207" t="s">
        <v>1247</v>
      </c>
      <c r="B49" s="7206">
        <v>0</v>
      </c>
      <c r="C49" s="9614">
        <v>9</v>
      </c>
      <c r="D49" s="9617">
        <v>0</v>
      </c>
      <c r="E49" s="9617">
        <v>0</v>
      </c>
      <c r="F49" s="9951">
        <v>0</v>
      </c>
    </row>
    <row r="50" spans="1:8" ht="12.9" hidden="1" customHeight="1">
      <c r="A50" s="7207" t="s">
        <v>10556</v>
      </c>
      <c r="B50" s="7206">
        <v>0</v>
      </c>
      <c r="C50" s="9614">
        <v>4</v>
      </c>
      <c r="D50" s="9617">
        <v>0</v>
      </c>
      <c r="E50" s="9617">
        <v>0</v>
      </c>
      <c r="F50" s="9951">
        <v>0</v>
      </c>
    </row>
    <row r="51" spans="1:8" ht="12.9" customHeight="1">
      <c r="A51" s="7207" t="s">
        <v>9125</v>
      </c>
      <c r="B51" s="7206">
        <v>0</v>
      </c>
      <c r="C51" s="9614">
        <v>4</v>
      </c>
      <c r="D51" s="9617">
        <v>145860</v>
      </c>
      <c r="E51" s="9617">
        <v>152088</v>
      </c>
      <c r="F51" s="9950">
        <v>0</v>
      </c>
    </row>
    <row r="52" spans="1:8" ht="12.9" hidden="1" customHeight="1">
      <c r="A52" s="7207" t="s">
        <v>3437</v>
      </c>
      <c r="B52" s="7206">
        <v>0</v>
      </c>
      <c r="C52" s="9614">
        <v>3</v>
      </c>
      <c r="D52" s="10417">
        <v>0</v>
      </c>
      <c r="E52" s="10417">
        <v>0</v>
      </c>
      <c r="F52" s="10404">
        <v>0</v>
      </c>
    </row>
    <row r="53" spans="1:8" ht="12.9" customHeight="1">
      <c r="A53" s="7207" t="s">
        <v>1275</v>
      </c>
      <c r="B53" s="9613">
        <f>SUM(B39:B52)</f>
        <v>5</v>
      </c>
      <c r="C53" s="9630"/>
      <c r="D53" s="9668">
        <f>SUM(D38:D52)</f>
        <v>801672</v>
      </c>
      <c r="E53" s="9668">
        <f>SUM(E38:E52)</f>
        <v>2387124</v>
      </c>
      <c r="F53" s="9669">
        <f>SUM(F38:F52)</f>
        <v>1439496</v>
      </c>
    </row>
    <row r="54" spans="1:8" ht="12.9" customHeight="1" thickBot="1">
      <c r="A54" s="9709"/>
      <c r="B54" s="9633"/>
      <c r="C54" s="9633"/>
      <c r="D54" s="9634"/>
      <c r="E54" s="9634"/>
      <c r="F54" s="9753"/>
    </row>
    <row r="55" spans="1:8" ht="12.9" customHeight="1" thickBot="1">
      <c r="A55" s="7209" t="s">
        <v>1101</v>
      </c>
      <c r="B55" s="9750">
        <f>SUM(B36+B53)</f>
        <v>22</v>
      </c>
      <c r="C55" s="9614"/>
      <c r="D55" s="9620">
        <f>SUM(D36:D52)</f>
        <v>4332024</v>
      </c>
      <c r="E55" s="9620">
        <f>E53+E36</f>
        <v>6294096</v>
      </c>
      <c r="F55" s="10858">
        <f>F53+F36</f>
        <v>6497916</v>
      </c>
      <c r="H55" s="7198">
        <f>F55-3372912</f>
        <v>3125004</v>
      </c>
    </row>
    <row r="56" spans="1:8" ht="5.0999999999999996" customHeight="1">
      <c r="A56" s="9715"/>
      <c r="B56" s="10716"/>
      <c r="C56" s="10716"/>
      <c r="D56" s="9624"/>
      <c r="E56" s="9624"/>
      <c r="F56" s="9716"/>
    </row>
    <row r="57" spans="1:8" ht="12.9" customHeight="1">
      <c r="A57" s="7209" t="s">
        <v>1075</v>
      </c>
      <c r="B57" s="7206"/>
      <c r="C57" s="9614"/>
      <c r="D57" s="9615"/>
      <c r="E57" s="9615"/>
      <c r="F57" s="10406"/>
    </row>
    <row r="58" spans="1:8" ht="12.9" customHeight="1">
      <c r="A58" s="7209" t="s">
        <v>1102</v>
      </c>
      <c r="B58" s="7205"/>
      <c r="C58" s="9615"/>
      <c r="D58" s="9615"/>
      <c r="E58" s="9615"/>
      <c r="F58" s="10406"/>
    </row>
    <row r="59" spans="1:8" ht="12.9" customHeight="1">
      <c r="A59" s="7207" t="s">
        <v>1103</v>
      </c>
      <c r="B59" s="7206">
        <v>1</v>
      </c>
      <c r="C59" s="9615"/>
      <c r="D59" s="9615"/>
      <c r="E59" s="9615"/>
      <c r="F59" s="10406"/>
    </row>
    <row r="60" spans="1:8" ht="12.9" customHeight="1">
      <c r="A60" s="7207" t="s">
        <v>1078</v>
      </c>
      <c r="B60" s="7206">
        <v>1</v>
      </c>
      <c r="C60" s="9615"/>
      <c r="D60" s="9615"/>
      <c r="E60" s="9615"/>
      <c r="F60" s="10406"/>
    </row>
    <row r="61" spans="1:8" ht="12.9" customHeight="1">
      <c r="A61" s="7207" t="s">
        <v>1079</v>
      </c>
      <c r="B61" s="7205"/>
      <c r="C61" s="9615"/>
      <c r="D61" s="9615"/>
      <c r="E61" s="9615"/>
      <c r="F61" s="10406"/>
    </row>
    <row r="62" spans="1:8" ht="12.9" customHeight="1">
      <c r="A62" s="7231" t="s">
        <v>10697</v>
      </c>
      <c r="B62" s="7206"/>
      <c r="C62" s="9615"/>
      <c r="D62" s="9615"/>
      <c r="E62" s="9615"/>
      <c r="F62" s="10406"/>
    </row>
    <row r="63" spans="1:8" ht="12.9" customHeight="1">
      <c r="A63" s="7231" t="s">
        <v>10707</v>
      </c>
      <c r="B63" s="7206"/>
      <c r="C63" s="9615"/>
      <c r="D63" s="9615"/>
      <c r="E63" s="9615"/>
      <c r="F63" s="10406"/>
    </row>
    <row r="64" spans="1:8" ht="6.6" customHeight="1">
      <c r="A64" s="7207" t="s">
        <v>168</v>
      </c>
      <c r="B64" s="7205"/>
      <c r="C64" s="9615"/>
      <c r="D64" s="9615"/>
      <c r="E64" s="9615"/>
      <c r="F64" s="10406"/>
    </row>
    <row r="65" spans="1:6" ht="12.9" customHeight="1">
      <c r="A65" s="7209" t="s">
        <v>1080</v>
      </c>
      <c r="B65" s="7205"/>
      <c r="C65" s="9615"/>
      <c r="D65" s="9615"/>
      <c r="E65" s="9615"/>
      <c r="F65" s="10406"/>
    </row>
    <row r="66" spans="1:6" ht="12.9" customHeight="1">
      <c r="A66" s="7207" t="s">
        <v>1104</v>
      </c>
      <c r="B66" s="7205"/>
      <c r="C66" s="9615"/>
      <c r="D66" s="9615"/>
      <c r="E66" s="9615"/>
      <c r="F66" s="10406"/>
    </row>
    <row r="67" spans="1:6" ht="12.9" customHeight="1">
      <c r="A67" s="7207" t="s">
        <v>1105</v>
      </c>
      <c r="B67" s="7205"/>
      <c r="C67" s="9615"/>
      <c r="D67" s="9615"/>
      <c r="E67" s="9615"/>
      <c r="F67" s="10406"/>
    </row>
    <row r="68" spans="1:6" ht="3.6" customHeight="1">
      <c r="A68" s="7207"/>
      <c r="B68" s="9674"/>
      <c r="C68" s="10428"/>
      <c r="D68" s="10428"/>
      <c r="E68" s="10428"/>
      <c r="F68" s="9783"/>
    </row>
    <row r="69" spans="1:6" ht="12.9" customHeight="1">
      <c r="A69" s="7209" t="s">
        <v>1083</v>
      </c>
      <c r="B69" s="9631"/>
      <c r="C69" s="9631"/>
      <c r="D69" s="9631"/>
      <c r="E69" s="9631"/>
      <c r="F69" s="9741"/>
    </row>
    <row r="70" spans="1:6" ht="5.0999999999999996" customHeight="1">
      <c r="A70" s="7209"/>
      <c r="B70" s="9784"/>
      <c r="C70" s="9784"/>
      <c r="D70" s="9784"/>
      <c r="E70" s="9784"/>
      <c r="F70" s="9785"/>
    </row>
    <row r="71" spans="1:6" ht="12.9" customHeight="1">
      <c r="A71" s="7207" t="s">
        <v>1106</v>
      </c>
      <c r="B71" s="7205"/>
      <c r="C71" s="7205"/>
      <c r="D71" s="7205"/>
      <c r="E71" s="7205"/>
      <c r="F71" s="7215"/>
    </row>
    <row r="72" spans="1:6" ht="12.9" customHeight="1" thickBot="1">
      <c r="A72" s="9709"/>
      <c r="B72" s="9634"/>
      <c r="C72" s="9634"/>
      <c r="D72" s="9634"/>
      <c r="E72" s="9634"/>
      <c r="F72" s="9753"/>
    </row>
    <row r="73" spans="1:6" ht="12.9" customHeight="1">
      <c r="A73" s="9715"/>
      <c r="B73" s="9624"/>
      <c r="C73" s="9624"/>
      <c r="D73" s="9624"/>
      <c r="E73" s="9624"/>
      <c r="F73" s="9716"/>
    </row>
    <row r="74" spans="1:6" ht="12.9" customHeight="1">
      <c r="A74" s="7209" t="s">
        <v>1086</v>
      </c>
      <c r="B74" s="10765"/>
      <c r="C74" s="10765"/>
      <c r="D74" s="10765"/>
      <c r="E74" s="10765"/>
      <c r="F74" s="7215"/>
    </row>
    <row r="75" spans="1:6" ht="12.9" customHeight="1" thickBot="1">
      <c r="A75" s="9709"/>
      <c r="B75" s="9634"/>
      <c r="C75" s="9634"/>
      <c r="D75" s="9634"/>
      <c r="E75" s="9634"/>
      <c r="F75" s="9753"/>
    </row>
    <row r="76" spans="1:6" ht="12.9" customHeight="1">
      <c r="A76" s="7199"/>
      <c r="B76" s="7199"/>
      <c r="C76" s="7199"/>
      <c r="D76" s="7199"/>
      <c r="E76" s="7199"/>
      <c r="F76" s="7199"/>
    </row>
    <row r="77" spans="1:6" ht="12.9" customHeight="1">
      <c r="A77" s="7199"/>
      <c r="B77" s="7199"/>
      <c r="C77" s="7199"/>
      <c r="D77" s="7199"/>
      <c r="E77" s="7199"/>
      <c r="F77" s="7199"/>
    </row>
    <row r="78" spans="1:6" ht="12.9" customHeight="1">
      <c r="A78" s="7199"/>
      <c r="B78" s="7199"/>
      <c r="C78" s="7199"/>
      <c r="D78" s="7199"/>
      <c r="E78" s="7199"/>
      <c r="F78" s="7199"/>
    </row>
    <row r="79" spans="1:6" ht="12.9" customHeight="1">
      <c r="A79" s="7199"/>
      <c r="B79" s="7199"/>
      <c r="C79" s="7199"/>
      <c r="D79" s="7199"/>
      <c r="E79" s="7199"/>
      <c r="F79" s="7199"/>
    </row>
    <row r="80" spans="1:6" ht="12.9" customHeight="1">
      <c r="A80" s="7199"/>
      <c r="B80" s="7199"/>
      <c r="C80" s="7199"/>
      <c r="D80" s="7199"/>
      <c r="E80" s="7199"/>
      <c r="F80" s="7199"/>
    </row>
    <row r="81" spans="1:6" ht="12.9" customHeight="1">
      <c r="A81" s="7199"/>
      <c r="B81" s="7199"/>
      <c r="C81" s="7199"/>
      <c r="D81" s="7199"/>
      <c r="E81" s="7199"/>
      <c r="F81" s="7199"/>
    </row>
    <row r="82" spans="1:6" ht="12.9" customHeight="1">
      <c r="A82" s="7199"/>
      <c r="B82" s="7199"/>
      <c r="C82" s="7199"/>
      <c r="D82" s="7199"/>
      <c r="E82" s="7199"/>
      <c r="F82" s="7199"/>
    </row>
    <row r="83" spans="1:6" ht="12.9" customHeight="1">
      <c r="A83" s="7199"/>
      <c r="B83" s="7199"/>
      <c r="C83" s="7199"/>
      <c r="D83" s="7199"/>
      <c r="E83" s="7199"/>
      <c r="F83" s="7199"/>
    </row>
    <row r="84" spans="1:6" ht="12.9" customHeight="1">
      <c r="A84" s="7199"/>
      <c r="B84" s="7199"/>
      <c r="C84" s="7199"/>
      <c r="D84" s="7199"/>
      <c r="E84" s="7199"/>
      <c r="F84" s="7199"/>
    </row>
    <row r="85" spans="1:6" ht="12.9" customHeight="1">
      <c r="A85" s="7199"/>
      <c r="B85" s="7199"/>
      <c r="C85" s="7199"/>
      <c r="D85" s="7199"/>
      <c r="E85" s="7199"/>
      <c r="F85" s="7199"/>
    </row>
    <row r="86" spans="1:6" ht="12.9" customHeight="1">
      <c r="A86" s="7199"/>
      <c r="B86" s="7199"/>
      <c r="C86" s="7199"/>
      <c r="D86" s="7199"/>
      <c r="E86" s="7199"/>
      <c r="F86" s="7199"/>
    </row>
  </sheetData>
  <mergeCells count="3">
    <mergeCell ref="D6:F6"/>
    <mergeCell ref="D5:F5"/>
    <mergeCell ref="A1:F1"/>
  </mergeCells>
  <pageMargins left="0.25" right="0.25" top="0.5" bottom="0.5" header="0.3" footer="0.3"/>
  <pageSetup paperSize="119" firstPageNumber="322" orientation="portrait" useFirstPageNumber="1" r:id="rId1"/>
  <headerFooter alignWithMargins="0"/>
</worksheet>
</file>

<file path=xl/worksheets/sheet152.xml><?xml version="1.0" encoding="utf-8"?>
<worksheet xmlns="http://schemas.openxmlformats.org/spreadsheetml/2006/main" xmlns:r="http://schemas.openxmlformats.org/officeDocument/2006/relationships">
  <sheetPr codeName="Sheet180">
    <tabColor rgb="FFFFFF00"/>
  </sheetPr>
  <dimension ref="A1:G117"/>
  <sheetViews>
    <sheetView showGridLines="0" topLeftCell="C1" workbookViewId="0">
      <selection activeCell="H1" sqref="H1:AB1048576"/>
    </sheetView>
  </sheetViews>
  <sheetFormatPr defaultRowHeight="13.2"/>
  <cols>
    <col min="1" max="1" width="5.88671875" style="1891" customWidth="1"/>
    <col min="2" max="2" width="29.88671875" style="1891" customWidth="1"/>
    <col min="3" max="3" width="15.88671875" style="1891" customWidth="1"/>
    <col min="4" max="4" width="22.109375" style="1891" customWidth="1"/>
    <col min="5" max="5" width="8.88671875" style="1891" customWidth="1"/>
    <col min="6" max="6" width="8.109375" style="1891" customWidth="1"/>
    <col min="7" max="7" width="7.88671875" style="1891" customWidth="1"/>
    <col min="8" max="198" width="9.109375" style="1891"/>
    <col min="199" max="199" width="5.88671875" style="1891" customWidth="1"/>
    <col min="200" max="200" width="29.88671875" style="1891" customWidth="1"/>
    <col min="201" max="201" width="15.88671875" style="1891" customWidth="1"/>
    <col min="202" max="202" width="22.109375" style="1891" customWidth="1"/>
    <col min="203" max="203" width="8.88671875" style="1891" customWidth="1"/>
    <col min="204" max="204" width="9.44140625" style="1891" customWidth="1"/>
    <col min="205" max="205" width="10" style="1891" customWidth="1"/>
    <col min="206" max="454" width="9.109375" style="1891"/>
    <col min="455" max="455" width="5.88671875" style="1891" customWidth="1"/>
    <col min="456" max="456" width="29.88671875" style="1891" customWidth="1"/>
    <col min="457" max="457" width="15.88671875" style="1891" customWidth="1"/>
    <col min="458" max="458" width="22.109375" style="1891" customWidth="1"/>
    <col min="459" max="459" width="8.88671875" style="1891" customWidth="1"/>
    <col min="460" max="460" width="9.44140625" style="1891" customWidth="1"/>
    <col min="461" max="461" width="10" style="1891" customWidth="1"/>
    <col min="462" max="710" width="9.109375" style="1891"/>
    <col min="711" max="711" width="5.88671875" style="1891" customWidth="1"/>
    <col min="712" max="712" width="29.88671875" style="1891" customWidth="1"/>
    <col min="713" max="713" width="15.88671875" style="1891" customWidth="1"/>
    <col min="714" max="714" width="22.109375" style="1891" customWidth="1"/>
    <col min="715" max="715" width="8.88671875" style="1891" customWidth="1"/>
    <col min="716" max="716" width="9.44140625" style="1891" customWidth="1"/>
    <col min="717" max="717" width="10" style="1891" customWidth="1"/>
    <col min="718" max="966" width="9.109375" style="1891"/>
    <col min="967" max="967" width="5.88671875" style="1891" customWidth="1"/>
    <col min="968" max="968" width="29.88671875" style="1891" customWidth="1"/>
    <col min="969" max="969" width="15.88671875" style="1891" customWidth="1"/>
    <col min="970" max="970" width="22.109375" style="1891" customWidth="1"/>
    <col min="971" max="971" width="8.88671875" style="1891" customWidth="1"/>
    <col min="972" max="972" width="9.44140625" style="1891" customWidth="1"/>
    <col min="973" max="973" width="10" style="1891" customWidth="1"/>
    <col min="974" max="1222" width="9.109375" style="1891"/>
    <col min="1223" max="1223" width="5.88671875" style="1891" customWidth="1"/>
    <col min="1224" max="1224" width="29.88671875" style="1891" customWidth="1"/>
    <col min="1225" max="1225" width="15.88671875" style="1891" customWidth="1"/>
    <col min="1226" max="1226" width="22.109375" style="1891" customWidth="1"/>
    <col min="1227" max="1227" width="8.88671875" style="1891" customWidth="1"/>
    <col min="1228" max="1228" width="9.44140625" style="1891" customWidth="1"/>
    <col min="1229" max="1229" width="10" style="1891" customWidth="1"/>
    <col min="1230" max="1478" width="9.109375" style="1891"/>
    <col min="1479" max="1479" width="5.88671875" style="1891" customWidth="1"/>
    <col min="1480" max="1480" width="29.88671875" style="1891" customWidth="1"/>
    <col min="1481" max="1481" width="15.88671875" style="1891" customWidth="1"/>
    <col min="1482" max="1482" width="22.109375" style="1891" customWidth="1"/>
    <col min="1483" max="1483" width="8.88671875" style="1891" customWidth="1"/>
    <col min="1484" max="1484" width="9.44140625" style="1891" customWidth="1"/>
    <col min="1485" max="1485" width="10" style="1891" customWidth="1"/>
    <col min="1486" max="1734" width="9.109375" style="1891"/>
    <col min="1735" max="1735" width="5.88671875" style="1891" customWidth="1"/>
    <col min="1736" max="1736" width="29.88671875" style="1891" customWidth="1"/>
    <col min="1737" max="1737" width="15.88671875" style="1891" customWidth="1"/>
    <col min="1738" max="1738" width="22.109375" style="1891" customWidth="1"/>
    <col min="1739" max="1739" width="8.88671875" style="1891" customWidth="1"/>
    <col min="1740" max="1740" width="9.44140625" style="1891" customWidth="1"/>
    <col min="1741" max="1741" width="10" style="1891" customWidth="1"/>
    <col min="1742" max="1990" width="9.109375" style="1891"/>
    <col min="1991" max="1991" width="5.88671875" style="1891" customWidth="1"/>
    <col min="1992" max="1992" width="29.88671875" style="1891" customWidth="1"/>
    <col min="1993" max="1993" width="15.88671875" style="1891" customWidth="1"/>
    <col min="1994" max="1994" width="22.109375" style="1891" customWidth="1"/>
    <col min="1995" max="1995" width="8.88671875" style="1891" customWidth="1"/>
    <col min="1996" max="1996" width="9.44140625" style="1891" customWidth="1"/>
    <col min="1997" max="1997" width="10" style="1891" customWidth="1"/>
    <col min="1998" max="2246" width="9.109375" style="1891"/>
    <col min="2247" max="2247" width="5.88671875" style="1891" customWidth="1"/>
    <col min="2248" max="2248" width="29.88671875" style="1891" customWidth="1"/>
    <col min="2249" max="2249" width="15.88671875" style="1891" customWidth="1"/>
    <col min="2250" max="2250" width="22.109375" style="1891" customWidth="1"/>
    <col min="2251" max="2251" width="8.88671875" style="1891" customWidth="1"/>
    <col min="2252" max="2252" width="9.44140625" style="1891" customWidth="1"/>
    <col min="2253" max="2253" width="10" style="1891" customWidth="1"/>
    <col min="2254" max="2502" width="9.109375" style="1891"/>
    <col min="2503" max="2503" width="5.88671875" style="1891" customWidth="1"/>
    <col min="2504" max="2504" width="29.88671875" style="1891" customWidth="1"/>
    <col min="2505" max="2505" width="15.88671875" style="1891" customWidth="1"/>
    <col min="2506" max="2506" width="22.109375" style="1891" customWidth="1"/>
    <col min="2507" max="2507" width="8.88671875" style="1891" customWidth="1"/>
    <col min="2508" max="2508" width="9.44140625" style="1891" customWidth="1"/>
    <col min="2509" max="2509" width="10" style="1891" customWidth="1"/>
    <col min="2510" max="2758" width="9.109375" style="1891"/>
    <col min="2759" max="2759" width="5.88671875" style="1891" customWidth="1"/>
    <col min="2760" max="2760" width="29.88671875" style="1891" customWidth="1"/>
    <col min="2761" max="2761" width="15.88671875" style="1891" customWidth="1"/>
    <col min="2762" max="2762" width="22.109375" style="1891" customWidth="1"/>
    <col min="2763" max="2763" width="8.88671875" style="1891" customWidth="1"/>
    <col min="2764" max="2764" width="9.44140625" style="1891" customWidth="1"/>
    <col min="2765" max="2765" width="10" style="1891" customWidth="1"/>
    <col min="2766" max="3014" width="9.109375" style="1891"/>
    <col min="3015" max="3015" width="5.88671875" style="1891" customWidth="1"/>
    <col min="3016" max="3016" width="29.88671875" style="1891" customWidth="1"/>
    <col min="3017" max="3017" width="15.88671875" style="1891" customWidth="1"/>
    <col min="3018" max="3018" width="22.109375" style="1891" customWidth="1"/>
    <col min="3019" max="3019" width="8.88671875" style="1891" customWidth="1"/>
    <col min="3020" max="3020" width="9.44140625" style="1891" customWidth="1"/>
    <col min="3021" max="3021" width="10" style="1891" customWidth="1"/>
    <col min="3022" max="3270" width="9.109375" style="1891"/>
    <col min="3271" max="3271" width="5.88671875" style="1891" customWidth="1"/>
    <col min="3272" max="3272" width="29.88671875" style="1891" customWidth="1"/>
    <col min="3273" max="3273" width="15.88671875" style="1891" customWidth="1"/>
    <col min="3274" max="3274" width="22.109375" style="1891" customWidth="1"/>
    <col min="3275" max="3275" width="8.88671875" style="1891" customWidth="1"/>
    <col min="3276" max="3276" width="9.44140625" style="1891" customWidth="1"/>
    <col min="3277" max="3277" width="10" style="1891" customWidth="1"/>
    <col min="3278" max="3526" width="9.109375" style="1891"/>
    <col min="3527" max="3527" width="5.88671875" style="1891" customWidth="1"/>
    <col min="3528" max="3528" width="29.88671875" style="1891" customWidth="1"/>
    <col min="3529" max="3529" width="15.88671875" style="1891" customWidth="1"/>
    <col min="3530" max="3530" width="22.109375" style="1891" customWidth="1"/>
    <col min="3531" max="3531" width="8.88671875" style="1891" customWidth="1"/>
    <col min="3532" max="3532" width="9.44140625" style="1891" customWidth="1"/>
    <col min="3533" max="3533" width="10" style="1891" customWidth="1"/>
    <col min="3534" max="3782" width="9.109375" style="1891"/>
    <col min="3783" max="3783" width="5.88671875" style="1891" customWidth="1"/>
    <col min="3784" max="3784" width="29.88671875" style="1891" customWidth="1"/>
    <col min="3785" max="3785" width="15.88671875" style="1891" customWidth="1"/>
    <col min="3786" max="3786" width="22.109375" style="1891" customWidth="1"/>
    <col min="3787" max="3787" width="8.88671875" style="1891" customWidth="1"/>
    <col min="3788" max="3788" width="9.44140625" style="1891" customWidth="1"/>
    <col min="3789" max="3789" width="10" style="1891" customWidth="1"/>
    <col min="3790" max="4038" width="9.109375" style="1891"/>
    <col min="4039" max="4039" width="5.88671875" style="1891" customWidth="1"/>
    <col min="4040" max="4040" width="29.88671875" style="1891" customWidth="1"/>
    <col min="4041" max="4041" width="15.88671875" style="1891" customWidth="1"/>
    <col min="4042" max="4042" width="22.109375" style="1891" customWidth="1"/>
    <col min="4043" max="4043" width="8.88671875" style="1891" customWidth="1"/>
    <col min="4044" max="4044" width="9.44140625" style="1891" customWidth="1"/>
    <col min="4045" max="4045" width="10" style="1891" customWidth="1"/>
    <col min="4046" max="4294" width="9.109375" style="1891"/>
    <col min="4295" max="4295" width="5.88671875" style="1891" customWidth="1"/>
    <col min="4296" max="4296" width="29.88671875" style="1891" customWidth="1"/>
    <col min="4297" max="4297" width="15.88671875" style="1891" customWidth="1"/>
    <col min="4298" max="4298" width="22.109375" style="1891" customWidth="1"/>
    <col min="4299" max="4299" width="8.88671875" style="1891" customWidth="1"/>
    <col min="4300" max="4300" width="9.44140625" style="1891" customWidth="1"/>
    <col min="4301" max="4301" width="10" style="1891" customWidth="1"/>
    <col min="4302" max="4550" width="9.109375" style="1891"/>
    <col min="4551" max="4551" width="5.88671875" style="1891" customWidth="1"/>
    <col min="4552" max="4552" width="29.88671875" style="1891" customWidth="1"/>
    <col min="4553" max="4553" width="15.88671875" style="1891" customWidth="1"/>
    <col min="4554" max="4554" width="22.109375" style="1891" customWidth="1"/>
    <col min="4555" max="4555" width="8.88671875" style="1891" customWidth="1"/>
    <col min="4556" max="4556" width="9.44140625" style="1891" customWidth="1"/>
    <col min="4557" max="4557" width="10" style="1891" customWidth="1"/>
    <col min="4558" max="4806" width="9.109375" style="1891"/>
    <col min="4807" max="4807" width="5.88671875" style="1891" customWidth="1"/>
    <col min="4808" max="4808" width="29.88671875" style="1891" customWidth="1"/>
    <col min="4809" max="4809" width="15.88671875" style="1891" customWidth="1"/>
    <col min="4810" max="4810" width="22.109375" style="1891" customWidth="1"/>
    <col min="4811" max="4811" width="8.88671875" style="1891" customWidth="1"/>
    <col min="4812" max="4812" width="9.44140625" style="1891" customWidth="1"/>
    <col min="4813" max="4813" width="10" style="1891" customWidth="1"/>
    <col min="4814" max="5062" width="9.109375" style="1891"/>
    <col min="5063" max="5063" width="5.88671875" style="1891" customWidth="1"/>
    <col min="5064" max="5064" width="29.88671875" style="1891" customWidth="1"/>
    <col min="5065" max="5065" width="15.88671875" style="1891" customWidth="1"/>
    <col min="5066" max="5066" width="22.109375" style="1891" customWidth="1"/>
    <col min="5067" max="5067" width="8.88671875" style="1891" customWidth="1"/>
    <col min="5068" max="5068" width="9.44140625" style="1891" customWidth="1"/>
    <col min="5069" max="5069" width="10" style="1891" customWidth="1"/>
    <col min="5070" max="5318" width="9.109375" style="1891"/>
    <col min="5319" max="5319" width="5.88671875" style="1891" customWidth="1"/>
    <col min="5320" max="5320" width="29.88671875" style="1891" customWidth="1"/>
    <col min="5321" max="5321" width="15.88671875" style="1891" customWidth="1"/>
    <col min="5322" max="5322" width="22.109375" style="1891" customWidth="1"/>
    <col min="5323" max="5323" width="8.88671875" style="1891" customWidth="1"/>
    <col min="5324" max="5324" width="9.44140625" style="1891" customWidth="1"/>
    <col min="5325" max="5325" width="10" style="1891" customWidth="1"/>
    <col min="5326" max="5574" width="9.109375" style="1891"/>
    <col min="5575" max="5575" width="5.88671875" style="1891" customWidth="1"/>
    <col min="5576" max="5576" width="29.88671875" style="1891" customWidth="1"/>
    <col min="5577" max="5577" width="15.88671875" style="1891" customWidth="1"/>
    <col min="5578" max="5578" width="22.109375" style="1891" customWidth="1"/>
    <col min="5579" max="5579" width="8.88671875" style="1891" customWidth="1"/>
    <col min="5580" max="5580" width="9.44140625" style="1891" customWidth="1"/>
    <col min="5581" max="5581" width="10" style="1891" customWidth="1"/>
    <col min="5582" max="5830" width="9.109375" style="1891"/>
    <col min="5831" max="5831" width="5.88671875" style="1891" customWidth="1"/>
    <col min="5832" max="5832" width="29.88671875" style="1891" customWidth="1"/>
    <col min="5833" max="5833" width="15.88671875" style="1891" customWidth="1"/>
    <col min="5834" max="5834" width="22.109375" style="1891" customWidth="1"/>
    <col min="5835" max="5835" width="8.88671875" style="1891" customWidth="1"/>
    <col min="5836" max="5836" width="9.44140625" style="1891" customWidth="1"/>
    <col min="5837" max="5837" width="10" style="1891" customWidth="1"/>
    <col min="5838" max="6086" width="9.109375" style="1891"/>
    <col min="6087" max="6087" width="5.88671875" style="1891" customWidth="1"/>
    <col min="6088" max="6088" width="29.88671875" style="1891" customWidth="1"/>
    <col min="6089" max="6089" width="15.88671875" style="1891" customWidth="1"/>
    <col min="6090" max="6090" width="22.109375" style="1891" customWidth="1"/>
    <col min="6091" max="6091" width="8.88671875" style="1891" customWidth="1"/>
    <col min="6092" max="6092" width="9.44140625" style="1891" customWidth="1"/>
    <col min="6093" max="6093" width="10" style="1891" customWidth="1"/>
    <col min="6094" max="6342" width="9.109375" style="1891"/>
    <col min="6343" max="6343" width="5.88671875" style="1891" customWidth="1"/>
    <col min="6344" max="6344" width="29.88671875" style="1891" customWidth="1"/>
    <col min="6345" max="6345" width="15.88671875" style="1891" customWidth="1"/>
    <col min="6346" max="6346" width="22.109375" style="1891" customWidth="1"/>
    <col min="6347" max="6347" width="8.88671875" style="1891" customWidth="1"/>
    <col min="6348" max="6348" width="9.44140625" style="1891" customWidth="1"/>
    <col min="6349" max="6349" width="10" style="1891" customWidth="1"/>
    <col min="6350" max="6598" width="9.109375" style="1891"/>
    <col min="6599" max="6599" width="5.88671875" style="1891" customWidth="1"/>
    <col min="6600" max="6600" width="29.88671875" style="1891" customWidth="1"/>
    <col min="6601" max="6601" width="15.88671875" style="1891" customWidth="1"/>
    <col min="6602" max="6602" width="22.109375" style="1891" customWidth="1"/>
    <col min="6603" max="6603" width="8.88671875" style="1891" customWidth="1"/>
    <col min="6604" max="6604" width="9.44140625" style="1891" customWidth="1"/>
    <col min="6605" max="6605" width="10" style="1891" customWidth="1"/>
    <col min="6606" max="6854" width="9.109375" style="1891"/>
    <col min="6855" max="6855" width="5.88671875" style="1891" customWidth="1"/>
    <col min="6856" max="6856" width="29.88671875" style="1891" customWidth="1"/>
    <col min="6857" max="6857" width="15.88671875" style="1891" customWidth="1"/>
    <col min="6858" max="6858" width="22.109375" style="1891" customWidth="1"/>
    <col min="6859" max="6859" width="8.88671875" style="1891" customWidth="1"/>
    <col min="6860" max="6860" width="9.44140625" style="1891" customWidth="1"/>
    <col min="6861" max="6861" width="10" style="1891" customWidth="1"/>
    <col min="6862" max="7110" width="9.109375" style="1891"/>
    <col min="7111" max="7111" width="5.88671875" style="1891" customWidth="1"/>
    <col min="7112" max="7112" width="29.88671875" style="1891" customWidth="1"/>
    <col min="7113" max="7113" width="15.88671875" style="1891" customWidth="1"/>
    <col min="7114" max="7114" width="22.109375" style="1891" customWidth="1"/>
    <col min="7115" max="7115" width="8.88671875" style="1891" customWidth="1"/>
    <col min="7116" max="7116" width="9.44140625" style="1891" customWidth="1"/>
    <col min="7117" max="7117" width="10" style="1891" customWidth="1"/>
    <col min="7118" max="7366" width="9.109375" style="1891"/>
    <col min="7367" max="7367" width="5.88671875" style="1891" customWidth="1"/>
    <col min="7368" max="7368" width="29.88671875" style="1891" customWidth="1"/>
    <col min="7369" max="7369" width="15.88671875" style="1891" customWidth="1"/>
    <col min="7370" max="7370" width="22.109375" style="1891" customWidth="1"/>
    <col min="7371" max="7371" width="8.88671875" style="1891" customWidth="1"/>
    <col min="7372" max="7372" width="9.44140625" style="1891" customWidth="1"/>
    <col min="7373" max="7373" width="10" style="1891" customWidth="1"/>
    <col min="7374" max="7622" width="9.109375" style="1891"/>
    <col min="7623" max="7623" width="5.88671875" style="1891" customWidth="1"/>
    <col min="7624" max="7624" width="29.88671875" style="1891" customWidth="1"/>
    <col min="7625" max="7625" width="15.88671875" style="1891" customWidth="1"/>
    <col min="7626" max="7626" width="22.109375" style="1891" customWidth="1"/>
    <col min="7627" max="7627" width="8.88671875" style="1891" customWidth="1"/>
    <col min="7628" max="7628" width="9.44140625" style="1891" customWidth="1"/>
    <col min="7629" max="7629" width="10" style="1891" customWidth="1"/>
    <col min="7630" max="7878" width="9.109375" style="1891"/>
    <col min="7879" max="7879" width="5.88671875" style="1891" customWidth="1"/>
    <col min="7880" max="7880" width="29.88671875" style="1891" customWidth="1"/>
    <col min="7881" max="7881" width="15.88671875" style="1891" customWidth="1"/>
    <col min="7882" max="7882" width="22.109375" style="1891" customWidth="1"/>
    <col min="7883" max="7883" width="8.88671875" style="1891" customWidth="1"/>
    <col min="7884" max="7884" width="9.44140625" style="1891" customWidth="1"/>
    <col min="7885" max="7885" width="10" style="1891" customWidth="1"/>
    <col min="7886" max="8134" width="9.109375" style="1891"/>
    <col min="8135" max="8135" width="5.88671875" style="1891" customWidth="1"/>
    <col min="8136" max="8136" width="29.88671875" style="1891" customWidth="1"/>
    <col min="8137" max="8137" width="15.88671875" style="1891" customWidth="1"/>
    <col min="8138" max="8138" width="22.109375" style="1891" customWidth="1"/>
    <col min="8139" max="8139" width="8.88671875" style="1891" customWidth="1"/>
    <col min="8140" max="8140" width="9.44140625" style="1891" customWidth="1"/>
    <col min="8141" max="8141" width="10" style="1891" customWidth="1"/>
    <col min="8142" max="8390" width="9.109375" style="1891"/>
    <col min="8391" max="8391" width="5.88671875" style="1891" customWidth="1"/>
    <col min="8392" max="8392" width="29.88671875" style="1891" customWidth="1"/>
    <col min="8393" max="8393" width="15.88671875" style="1891" customWidth="1"/>
    <col min="8394" max="8394" width="22.109375" style="1891" customWidth="1"/>
    <col min="8395" max="8395" width="8.88671875" style="1891" customWidth="1"/>
    <col min="8396" max="8396" width="9.44140625" style="1891" customWidth="1"/>
    <col min="8397" max="8397" width="10" style="1891" customWidth="1"/>
    <col min="8398" max="8646" width="9.109375" style="1891"/>
    <col min="8647" max="8647" width="5.88671875" style="1891" customWidth="1"/>
    <col min="8648" max="8648" width="29.88671875" style="1891" customWidth="1"/>
    <col min="8649" max="8649" width="15.88671875" style="1891" customWidth="1"/>
    <col min="8650" max="8650" width="22.109375" style="1891" customWidth="1"/>
    <col min="8651" max="8651" width="8.88671875" style="1891" customWidth="1"/>
    <col min="8652" max="8652" width="9.44140625" style="1891" customWidth="1"/>
    <col min="8653" max="8653" width="10" style="1891" customWidth="1"/>
    <col min="8654" max="8902" width="9.109375" style="1891"/>
    <col min="8903" max="8903" width="5.88671875" style="1891" customWidth="1"/>
    <col min="8904" max="8904" width="29.88671875" style="1891" customWidth="1"/>
    <col min="8905" max="8905" width="15.88671875" style="1891" customWidth="1"/>
    <col min="8906" max="8906" width="22.109375" style="1891" customWidth="1"/>
    <col min="8907" max="8907" width="8.88671875" style="1891" customWidth="1"/>
    <col min="8908" max="8908" width="9.44140625" style="1891" customWidth="1"/>
    <col min="8909" max="8909" width="10" style="1891" customWidth="1"/>
    <col min="8910" max="9158" width="9.109375" style="1891"/>
    <col min="9159" max="9159" width="5.88671875" style="1891" customWidth="1"/>
    <col min="9160" max="9160" width="29.88671875" style="1891" customWidth="1"/>
    <col min="9161" max="9161" width="15.88671875" style="1891" customWidth="1"/>
    <col min="9162" max="9162" width="22.109375" style="1891" customWidth="1"/>
    <col min="9163" max="9163" width="8.88671875" style="1891" customWidth="1"/>
    <col min="9164" max="9164" width="9.44140625" style="1891" customWidth="1"/>
    <col min="9165" max="9165" width="10" style="1891" customWidth="1"/>
    <col min="9166" max="9414" width="9.109375" style="1891"/>
    <col min="9415" max="9415" width="5.88671875" style="1891" customWidth="1"/>
    <col min="9416" max="9416" width="29.88671875" style="1891" customWidth="1"/>
    <col min="9417" max="9417" width="15.88671875" style="1891" customWidth="1"/>
    <col min="9418" max="9418" width="22.109375" style="1891" customWidth="1"/>
    <col min="9419" max="9419" width="8.88671875" style="1891" customWidth="1"/>
    <col min="9420" max="9420" width="9.44140625" style="1891" customWidth="1"/>
    <col min="9421" max="9421" width="10" style="1891" customWidth="1"/>
    <col min="9422" max="9670" width="9.109375" style="1891"/>
    <col min="9671" max="9671" width="5.88671875" style="1891" customWidth="1"/>
    <col min="9672" max="9672" width="29.88671875" style="1891" customWidth="1"/>
    <col min="9673" max="9673" width="15.88671875" style="1891" customWidth="1"/>
    <col min="9674" max="9674" width="22.109375" style="1891" customWidth="1"/>
    <col min="9675" max="9675" width="8.88671875" style="1891" customWidth="1"/>
    <col min="9676" max="9676" width="9.44140625" style="1891" customWidth="1"/>
    <col min="9677" max="9677" width="10" style="1891" customWidth="1"/>
    <col min="9678" max="9926" width="9.109375" style="1891"/>
    <col min="9927" max="9927" width="5.88671875" style="1891" customWidth="1"/>
    <col min="9928" max="9928" width="29.88671875" style="1891" customWidth="1"/>
    <col min="9929" max="9929" width="15.88671875" style="1891" customWidth="1"/>
    <col min="9930" max="9930" width="22.109375" style="1891" customWidth="1"/>
    <col min="9931" max="9931" width="8.88671875" style="1891" customWidth="1"/>
    <col min="9932" max="9932" width="9.44140625" style="1891" customWidth="1"/>
    <col min="9933" max="9933" width="10" style="1891" customWidth="1"/>
    <col min="9934" max="10182" width="9.109375" style="1891"/>
    <col min="10183" max="10183" width="5.88671875" style="1891" customWidth="1"/>
    <col min="10184" max="10184" width="29.88671875" style="1891" customWidth="1"/>
    <col min="10185" max="10185" width="15.88671875" style="1891" customWidth="1"/>
    <col min="10186" max="10186" width="22.109375" style="1891" customWidth="1"/>
    <col min="10187" max="10187" width="8.88671875" style="1891" customWidth="1"/>
    <col min="10188" max="10188" width="9.44140625" style="1891" customWidth="1"/>
    <col min="10189" max="10189" width="10" style="1891" customWidth="1"/>
    <col min="10190" max="10438" width="9.109375" style="1891"/>
    <col min="10439" max="10439" width="5.88671875" style="1891" customWidth="1"/>
    <col min="10440" max="10440" width="29.88671875" style="1891" customWidth="1"/>
    <col min="10441" max="10441" width="15.88671875" style="1891" customWidth="1"/>
    <col min="10442" max="10442" width="22.109375" style="1891" customWidth="1"/>
    <col min="10443" max="10443" width="8.88671875" style="1891" customWidth="1"/>
    <col min="10444" max="10444" width="9.44140625" style="1891" customWidth="1"/>
    <col min="10445" max="10445" width="10" style="1891" customWidth="1"/>
    <col min="10446" max="10694" width="9.109375" style="1891"/>
    <col min="10695" max="10695" width="5.88671875" style="1891" customWidth="1"/>
    <col min="10696" max="10696" width="29.88671875" style="1891" customWidth="1"/>
    <col min="10697" max="10697" width="15.88671875" style="1891" customWidth="1"/>
    <col min="10698" max="10698" width="22.109375" style="1891" customWidth="1"/>
    <col min="10699" max="10699" width="8.88671875" style="1891" customWidth="1"/>
    <col min="10700" max="10700" width="9.44140625" style="1891" customWidth="1"/>
    <col min="10701" max="10701" width="10" style="1891" customWidth="1"/>
    <col min="10702" max="10950" width="9.109375" style="1891"/>
    <col min="10951" max="10951" width="5.88671875" style="1891" customWidth="1"/>
    <col min="10952" max="10952" width="29.88671875" style="1891" customWidth="1"/>
    <col min="10953" max="10953" width="15.88671875" style="1891" customWidth="1"/>
    <col min="10954" max="10954" width="22.109375" style="1891" customWidth="1"/>
    <col min="10955" max="10955" width="8.88671875" style="1891" customWidth="1"/>
    <col min="10956" max="10956" width="9.44140625" style="1891" customWidth="1"/>
    <col min="10957" max="10957" width="10" style="1891" customWidth="1"/>
    <col min="10958" max="11206" width="9.109375" style="1891"/>
    <col min="11207" max="11207" width="5.88671875" style="1891" customWidth="1"/>
    <col min="11208" max="11208" width="29.88671875" style="1891" customWidth="1"/>
    <col min="11209" max="11209" width="15.88671875" style="1891" customWidth="1"/>
    <col min="11210" max="11210" width="22.109375" style="1891" customWidth="1"/>
    <col min="11211" max="11211" width="8.88671875" style="1891" customWidth="1"/>
    <col min="11212" max="11212" width="9.44140625" style="1891" customWidth="1"/>
    <col min="11213" max="11213" width="10" style="1891" customWidth="1"/>
    <col min="11214" max="11462" width="9.109375" style="1891"/>
    <col min="11463" max="11463" width="5.88671875" style="1891" customWidth="1"/>
    <col min="11464" max="11464" width="29.88671875" style="1891" customWidth="1"/>
    <col min="11465" max="11465" width="15.88671875" style="1891" customWidth="1"/>
    <col min="11466" max="11466" width="22.109375" style="1891" customWidth="1"/>
    <col min="11467" max="11467" width="8.88671875" style="1891" customWidth="1"/>
    <col min="11468" max="11468" width="9.44140625" style="1891" customWidth="1"/>
    <col min="11469" max="11469" width="10" style="1891" customWidth="1"/>
    <col min="11470" max="11718" width="9.109375" style="1891"/>
    <col min="11719" max="11719" width="5.88671875" style="1891" customWidth="1"/>
    <col min="11720" max="11720" width="29.88671875" style="1891" customWidth="1"/>
    <col min="11721" max="11721" width="15.88671875" style="1891" customWidth="1"/>
    <col min="11722" max="11722" width="22.109375" style="1891" customWidth="1"/>
    <col min="11723" max="11723" width="8.88671875" style="1891" customWidth="1"/>
    <col min="11724" max="11724" width="9.44140625" style="1891" customWidth="1"/>
    <col min="11725" max="11725" width="10" style="1891" customWidth="1"/>
    <col min="11726" max="11974" width="9.109375" style="1891"/>
    <col min="11975" max="11975" width="5.88671875" style="1891" customWidth="1"/>
    <col min="11976" max="11976" width="29.88671875" style="1891" customWidth="1"/>
    <col min="11977" max="11977" width="15.88671875" style="1891" customWidth="1"/>
    <col min="11978" max="11978" width="22.109375" style="1891" customWidth="1"/>
    <col min="11979" max="11979" width="8.88671875" style="1891" customWidth="1"/>
    <col min="11980" max="11980" width="9.44140625" style="1891" customWidth="1"/>
    <col min="11981" max="11981" width="10" style="1891" customWidth="1"/>
    <col min="11982" max="12230" width="9.109375" style="1891"/>
    <col min="12231" max="12231" width="5.88671875" style="1891" customWidth="1"/>
    <col min="12232" max="12232" width="29.88671875" style="1891" customWidth="1"/>
    <col min="12233" max="12233" width="15.88671875" style="1891" customWidth="1"/>
    <col min="12234" max="12234" width="22.109375" style="1891" customWidth="1"/>
    <col min="12235" max="12235" width="8.88671875" style="1891" customWidth="1"/>
    <col min="12236" max="12236" width="9.44140625" style="1891" customWidth="1"/>
    <col min="12237" max="12237" width="10" style="1891" customWidth="1"/>
    <col min="12238" max="12486" width="9.109375" style="1891"/>
    <col min="12487" max="12487" width="5.88671875" style="1891" customWidth="1"/>
    <col min="12488" max="12488" width="29.88671875" style="1891" customWidth="1"/>
    <col min="12489" max="12489" width="15.88671875" style="1891" customWidth="1"/>
    <col min="12490" max="12490" width="22.109375" style="1891" customWidth="1"/>
    <col min="12491" max="12491" width="8.88671875" style="1891" customWidth="1"/>
    <col min="12492" max="12492" width="9.44140625" style="1891" customWidth="1"/>
    <col min="12493" max="12493" width="10" style="1891" customWidth="1"/>
    <col min="12494" max="12742" width="9.109375" style="1891"/>
    <col min="12743" max="12743" width="5.88671875" style="1891" customWidth="1"/>
    <col min="12744" max="12744" width="29.88671875" style="1891" customWidth="1"/>
    <col min="12745" max="12745" width="15.88671875" style="1891" customWidth="1"/>
    <col min="12746" max="12746" width="22.109375" style="1891" customWidth="1"/>
    <col min="12747" max="12747" width="8.88671875" style="1891" customWidth="1"/>
    <col min="12748" max="12748" width="9.44140625" style="1891" customWidth="1"/>
    <col min="12749" max="12749" width="10" style="1891" customWidth="1"/>
    <col min="12750" max="12998" width="9.109375" style="1891"/>
    <col min="12999" max="12999" width="5.88671875" style="1891" customWidth="1"/>
    <col min="13000" max="13000" width="29.88671875" style="1891" customWidth="1"/>
    <col min="13001" max="13001" width="15.88671875" style="1891" customWidth="1"/>
    <col min="13002" max="13002" width="22.109375" style="1891" customWidth="1"/>
    <col min="13003" max="13003" width="8.88671875" style="1891" customWidth="1"/>
    <col min="13004" max="13004" width="9.44140625" style="1891" customWidth="1"/>
    <col min="13005" max="13005" width="10" style="1891" customWidth="1"/>
    <col min="13006" max="13254" width="9.109375" style="1891"/>
    <col min="13255" max="13255" width="5.88671875" style="1891" customWidth="1"/>
    <col min="13256" max="13256" width="29.88671875" style="1891" customWidth="1"/>
    <col min="13257" max="13257" width="15.88671875" style="1891" customWidth="1"/>
    <col min="13258" max="13258" width="22.109375" style="1891" customWidth="1"/>
    <col min="13259" max="13259" width="8.88671875" style="1891" customWidth="1"/>
    <col min="13260" max="13260" width="9.44140625" style="1891" customWidth="1"/>
    <col min="13261" max="13261" width="10" style="1891" customWidth="1"/>
    <col min="13262" max="13510" width="9.109375" style="1891"/>
    <col min="13511" max="13511" width="5.88671875" style="1891" customWidth="1"/>
    <col min="13512" max="13512" width="29.88671875" style="1891" customWidth="1"/>
    <col min="13513" max="13513" width="15.88671875" style="1891" customWidth="1"/>
    <col min="13514" max="13514" width="22.109375" style="1891" customWidth="1"/>
    <col min="13515" max="13515" width="8.88671875" style="1891" customWidth="1"/>
    <col min="13516" max="13516" width="9.44140625" style="1891" customWidth="1"/>
    <col min="13517" max="13517" width="10" style="1891" customWidth="1"/>
    <col min="13518" max="13766" width="9.109375" style="1891"/>
    <col min="13767" max="13767" width="5.88671875" style="1891" customWidth="1"/>
    <col min="13768" max="13768" width="29.88671875" style="1891" customWidth="1"/>
    <col min="13769" max="13769" width="15.88671875" style="1891" customWidth="1"/>
    <col min="13770" max="13770" width="22.109375" style="1891" customWidth="1"/>
    <col min="13771" max="13771" width="8.88671875" style="1891" customWidth="1"/>
    <col min="13772" max="13772" width="9.44140625" style="1891" customWidth="1"/>
    <col min="13773" max="13773" width="10" style="1891" customWidth="1"/>
    <col min="13774" max="14022" width="9.109375" style="1891"/>
    <col min="14023" max="14023" width="5.88671875" style="1891" customWidth="1"/>
    <col min="14024" max="14024" width="29.88671875" style="1891" customWidth="1"/>
    <col min="14025" max="14025" width="15.88671875" style="1891" customWidth="1"/>
    <col min="14026" max="14026" width="22.109375" style="1891" customWidth="1"/>
    <col min="14027" max="14027" width="8.88671875" style="1891" customWidth="1"/>
    <col min="14028" max="14028" width="9.44140625" style="1891" customWidth="1"/>
    <col min="14029" max="14029" width="10" style="1891" customWidth="1"/>
    <col min="14030" max="14278" width="9.109375" style="1891"/>
    <col min="14279" max="14279" width="5.88671875" style="1891" customWidth="1"/>
    <col min="14280" max="14280" width="29.88671875" style="1891" customWidth="1"/>
    <col min="14281" max="14281" width="15.88671875" style="1891" customWidth="1"/>
    <col min="14282" max="14282" width="22.109375" style="1891" customWidth="1"/>
    <col min="14283" max="14283" width="8.88671875" style="1891" customWidth="1"/>
    <col min="14284" max="14284" width="9.44140625" style="1891" customWidth="1"/>
    <col min="14285" max="14285" width="10" style="1891" customWidth="1"/>
    <col min="14286" max="14534" width="9.109375" style="1891"/>
    <col min="14535" max="14535" width="5.88671875" style="1891" customWidth="1"/>
    <col min="14536" max="14536" width="29.88671875" style="1891" customWidth="1"/>
    <col min="14537" max="14537" width="15.88671875" style="1891" customWidth="1"/>
    <col min="14538" max="14538" width="22.109375" style="1891" customWidth="1"/>
    <col min="14539" max="14539" width="8.88671875" style="1891" customWidth="1"/>
    <col min="14540" max="14540" width="9.44140625" style="1891" customWidth="1"/>
    <col min="14541" max="14541" width="10" style="1891" customWidth="1"/>
    <col min="14542" max="14790" width="9.109375" style="1891"/>
    <col min="14791" max="14791" width="5.88671875" style="1891" customWidth="1"/>
    <col min="14792" max="14792" width="29.88671875" style="1891" customWidth="1"/>
    <col min="14793" max="14793" width="15.88671875" style="1891" customWidth="1"/>
    <col min="14794" max="14794" width="22.109375" style="1891" customWidth="1"/>
    <col min="14795" max="14795" width="8.88671875" style="1891" customWidth="1"/>
    <col min="14796" max="14796" width="9.44140625" style="1891" customWidth="1"/>
    <col min="14797" max="14797" width="10" style="1891" customWidth="1"/>
    <col min="14798" max="15046" width="9.109375" style="1891"/>
    <col min="15047" max="15047" width="5.88671875" style="1891" customWidth="1"/>
    <col min="15048" max="15048" width="29.88671875" style="1891" customWidth="1"/>
    <col min="15049" max="15049" width="15.88671875" style="1891" customWidth="1"/>
    <col min="15050" max="15050" width="22.109375" style="1891" customWidth="1"/>
    <col min="15051" max="15051" width="8.88671875" style="1891" customWidth="1"/>
    <col min="15052" max="15052" width="9.44140625" style="1891" customWidth="1"/>
    <col min="15053" max="15053" width="10" style="1891" customWidth="1"/>
    <col min="15054" max="15302" width="9.109375" style="1891"/>
    <col min="15303" max="15303" width="5.88671875" style="1891" customWidth="1"/>
    <col min="15304" max="15304" width="29.88671875" style="1891" customWidth="1"/>
    <col min="15305" max="15305" width="15.88671875" style="1891" customWidth="1"/>
    <col min="15306" max="15306" width="22.109375" style="1891" customWidth="1"/>
    <col min="15307" max="15307" width="8.88671875" style="1891" customWidth="1"/>
    <col min="15308" max="15308" width="9.44140625" style="1891" customWidth="1"/>
    <col min="15309" max="15309" width="10" style="1891" customWidth="1"/>
    <col min="15310" max="15558" width="9.109375" style="1891"/>
    <col min="15559" max="15559" width="5.88671875" style="1891" customWidth="1"/>
    <col min="15560" max="15560" width="29.88671875" style="1891" customWidth="1"/>
    <col min="15561" max="15561" width="15.88671875" style="1891" customWidth="1"/>
    <col min="15562" max="15562" width="22.109375" style="1891" customWidth="1"/>
    <col min="15563" max="15563" width="8.88671875" style="1891" customWidth="1"/>
    <col min="15564" max="15564" width="9.44140625" style="1891" customWidth="1"/>
    <col min="15565" max="15565" width="10" style="1891" customWidth="1"/>
    <col min="15566" max="15814" width="9.109375" style="1891"/>
    <col min="15815" max="15815" width="5.88671875" style="1891" customWidth="1"/>
    <col min="15816" max="15816" width="29.88671875" style="1891" customWidth="1"/>
    <col min="15817" max="15817" width="15.88671875" style="1891" customWidth="1"/>
    <col min="15818" max="15818" width="22.109375" style="1891" customWidth="1"/>
    <col min="15819" max="15819" width="8.88671875" style="1891" customWidth="1"/>
    <col min="15820" max="15820" width="9.44140625" style="1891" customWidth="1"/>
    <col min="15821" max="15821" width="10" style="1891" customWidth="1"/>
    <col min="15822" max="16070" width="9.109375" style="1891"/>
    <col min="16071" max="16071" width="5.88671875" style="1891" customWidth="1"/>
    <col min="16072" max="16072" width="29.88671875" style="1891" customWidth="1"/>
    <col min="16073" max="16073" width="15.88671875" style="1891" customWidth="1"/>
    <col min="16074" max="16074" width="22.109375" style="1891" customWidth="1"/>
    <col min="16075" max="16075" width="8.88671875" style="1891" customWidth="1"/>
    <col min="16076" max="16076" width="9.44140625" style="1891" customWidth="1"/>
    <col min="16077" max="16077" width="10" style="1891" customWidth="1"/>
    <col min="16078" max="16384" width="9.109375" style="1891"/>
  </cols>
  <sheetData>
    <row r="1" spans="1:7" s="4274" customFormat="1" ht="13.8">
      <c r="A1" s="15167" t="s">
        <v>2314</v>
      </c>
      <c r="B1" s="15167"/>
      <c r="C1" s="15167"/>
      <c r="D1" s="15167"/>
      <c r="E1" s="15167"/>
      <c r="F1" s="15167"/>
      <c r="G1" s="15167"/>
    </row>
    <row r="2" spans="1:7" s="4274" customFormat="1" ht="13.8"/>
    <row r="3" spans="1:7" s="4274" customFormat="1" ht="13.8">
      <c r="A3" s="4274" t="s">
        <v>5034</v>
      </c>
      <c r="B3" s="4275" t="s">
        <v>9572</v>
      </c>
    </row>
    <row r="4" spans="1:7" s="4274" customFormat="1" ht="13.8">
      <c r="A4" s="15168" t="s">
        <v>9573</v>
      </c>
      <c r="B4" s="15168"/>
    </row>
    <row r="5" spans="1:7">
      <c r="A5" s="1897"/>
      <c r="B5" s="1897"/>
      <c r="C5" s="1897"/>
      <c r="D5" s="1897"/>
      <c r="E5" s="1897"/>
      <c r="F5" s="1897"/>
      <c r="G5" s="1897"/>
    </row>
    <row r="6" spans="1:7" s="4302" customFormat="1" ht="13.8">
      <c r="A6" s="4301" t="s">
        <v>1729</v>
      </c>
      <c r="B6" s="4301"/>
    </row>
    <row r="8" spans="1:7">
      <c r="B8" s="1891" t="s">
        <v>2315</v>
      </c>
    </row>
    <row r="9" spans="1:7">
      <c r="B9" s="1891" t="s">
        <v>2316</v>
      </c>
    </row>
    <row r="10" spans="1:7">
      <c r="B10" s="1891" t="s">
        <v>2317</v>
      </c>
    </row>
    <row r="12" spans="1:7" ht="13.8">
      <c r="A12" s="4275" t="s">
        <v>1730</v>
      </c>
    </row>
    <row r="13" spans="1:7" ht="8.25" customHeight="1"/>
    <row r="14" spans="1:7">
      <c r="B14" s="1891" t="s">
        <v>2318</v>
      </c>
    </row>
    <row r="15" spans="1:7">
      <c r="B15" s="1891" t="s">
        <v>2319</v>
      </c>
    </row>
    <row r="17" spans="1:7" ht="13.8">
      <c r="A17" s="4275" t="s">
        <v>9574</v>
      </c>
    </row>
    <row r="18" spans="1:7" ht="13.8">
      <c r="A18" s="4275"/>
    </row>
    <row r="19" spans="1:7">
      <c r="A19" s="1892" t="s">
        <v>2045</v>
      </c>
      <c r="B19" s="15169" t="s">
        <v>2046</v>
      </c>
      <c r="C19" s="15172" t="s">
        <v>1736</v>
      </c>
      <c r="D19" s="15172" t="s">
        <v>1760</v>
      </c>
      <c r="E19" s="15175" t="s">
        <v>1764</v>
      </c>
      <c r="F19" s="15178" t="s">
        <v>1978</v>
      </c>
      <c r="G19" s="15179"/>
    </row>
    <row r="20" spans="1:7">
      <c r="A20" s="1893" t="s">
        <v>468</v>
      </c>
      <c r="B20" s="15170"/>
      <c r="C20" s="15173"/>
      <c r="D20" s="15173"/>
      <c r="E20" s="15176"/>
      <c r="F20" s="15180" t="s">
        <v>1993</v>
      </c>
      <c r="G20" s="15181"/>
    </row>
    <row r="21" spans="1:7">
      <c r="A21" s="1894" t="s">
        <v>2047</v>
      </c>
      <c r="B21" s="15171"/>
      <c r="C21" s="15174"/>
      <c r="D21" s="15174"/>
      <c r="E21" s="15177"/>
      <c r="F21" s="1894" t="s">
        <v>1789</v>
      </c>
      <c r="G21" s="1895" t="s">
        <v>1790</v>
      </c>
    </row>
    <row r="22" spans="1:7">
      <c r="A22" s="1896"/>
      <c r="B22" s="1896" t="s">
        <v>2048</v>
      </c>
      <c r="C22" s="1896"/>
      <c r="D22" s="1896"/>
      <c r="E22" s="1896"/>
      <c r="F22" s="1896"/>
      <c r="G22" s="1896"/>
    </row>
    <row r="23" spans="1:7">
      <c r="A23" s="4268"/>
      <c r="B23" s="4276" t="s">
        <v>2320</v>
      </c>
      <c r="C23" s="4268"/>
      <c r="D23" s="4268"/>
      <c r="E23" s="4268"/>
      <c r="F23" s="4268"/>
      <c r="G23" s="4268"/>
    </row>
    <row r="24" spans="1:7">
      <c r="A24" s="4277"/>
      <c r="B24" s="4278" t="s">
        <v>2321</v>
      </c>
      <c r="C24" s="4279"/>
      <c r="D24" s="4280"/>
      <c r="E24" s="4277"/>
      <c r="F24" s="4281"/>
      <c r="G24" s="4281"/>
    </row>
    <row r="25" spans="1:7">
      <c r="A25" s="4277"/>
      <c r="B25" s="4277" t="s">
        <v>2322</v>
      </c>
      <c r="C25" s="4282">
        <v>3722728.34</v>
      </c>
      <c r="D25" s="4280" t="s">
        <v>5035</v>
      </c>
      <c r="E25" s="4280"/>
      <c r="F25" s="4283">
        <v>41646</v>
      </c>
      <c r="G25" s="4283">
        <v>41980</v>
      </c>
    </row>
    <row r="26" spans="1:7">
      <c r="A26" s="4277"/>
      <c r="B26" s="4277" t="s">
        <v>2323</v>
      </c>
      <c r="C26" s="4284"/>
      <c r="D26" s="4285" t="s">
        <v>5036</v>
      </c>
      <c r="E26" s="4280"/>
      <c r="F26" s="4286"/>
      <c r="G26" s="4286"/>
    </row>
    <row r="27" spans="1:7">
      <c r="A27" s="4277"/>
      <c r="B27" s="4277" t="s">
        <v>2324</v>
      </c>
      <c r="C27" s="4282"/>
      <c r="D27" s="4280"/>
      <c r="E27" s="4287"/>
      <c r="F27" s="4288"/>
      <c r="G27" s="4280"/>
    </row>
    <row r="28" spans="1:7">
      <c r="A28" s="4277"/>
      <c r="B28" s="4277" t="s">
        <v>2325</v>
      </c>
      <c r="C28" s="4284"/>
      <c r="D28" s="4280"/>
      <c r="E28" s="4280"/>
      <c r="F28" s="4280"/>
      <c r="G28" s="4280"/>
    </row>
    <row r="29" spans="1:7">
      <c r="A29" s="4277"/>
      <c r="B29" s="4277" t="s">
        <v>2326</v>
      </c>
      <c r="C29" s="4284"/>
      <c r="D29" s="4280"/>
      <c r="E29" s="4280"/>
      <c r="F29" s="4280"/>
      <c r="G29" s="4280"/>
    </row>
    <row r="30" spans="1:7">
      <c r="A30" s="4277"/>
      <c r="B30" s="4277" t="s">
        <v>2327</v>
      </c>
      <c r="C30" s="4284"/>
      <c r="D30" s="4280"/>
      <c r="E30" s="4280"/>
      <c r="F30" s="4280"/>
      <c r="G30" s="4280"/>
    </row>
    <row r="31" spans="1:7">
      <c r="A31" s="4277"/>
      <c r="B31" s="4277" t="s">
        <v>2328</v>
      </c>
      <c r="C31" s="4284"/>
      <c r="D31" s="4280"/>
      <c r="E31" s="4280"/>
      <c r="F31" s="4280"/>
      <c r="G31" s="4280"/>
    </row>
    <row r="32" spans="1:7">
      <c r="A32" s="4277"/>
      <c r="B32" s="4277" t="s">
        <v>2329</v>
      </c>
      <c r="C32" s="4284"/>
      <c r="D32" s="4280"/>
      <c r="E32" s="4280"/>
      <c r="F32" s="4280"/>
      <c r="G32" s="4280"/>
    </row>
    <row r="33" spans="1:7">
      <c r="A33" s="4277"/>
      <c r="B33" s="4277" t="s">
        <v>2324</v>
      </c>
      <c r="C33" s="4284"/>
      <c r="D33" s="4280"/>
      <c r="E33" s="4280"/>
      <c r="F33" s="4280"/>
      <c r="G33" s="4280"/>
    </row>
    <row r="34" spans="1:7">
      <c r="A34" s="4277"/>
      <c r="B34" s="4284" t="s">
        <v>2325</v>
      </c>
      <c r="C34" s="4289"/>
      <c r="D34" s="4280"/>
      <c r="E34" s="4280"/>
      <c r="F34" s="4290"/>
      <c r="G34" s="4290"/>
    </row>
    <row r="35" spans="1:7">
      <c r="A35" s="4277"/>
      <c r="B35" s="4284" t="s">
        <v>2326</v>
      </c>
      <c r="C35" s="4284"/>
      <c r="D35" s="4280"/>
      <c r="E35" s="4280"/>
      <c r="F35" s="4291"/>
      <c r="G35" s="4280"/>
    </row>
    <row r="36" spans="1:7">
      <c r="A36" s="4277"/>
      <c r="B36" s="4277" t="s">
        <v>2330</v>
      </c>
      <c r="C36" s="4284"/>
      <c r="D36" s="4280"/>
      <c r="E36" s="4280"/>
      <c r="F36" s="4291"/>
      <c r="G36" s="4280"/>
    </row>
    <row r="37" spans="1:7">
      <c r="A37" s="4277"/>
      <c r="B37" s="4277" t="s">
        <v>2331</v>
      </c>
      <c r="C37" s="4284"/>
      <c r="D37" s="4280"/>
      <c r="E37" s="4280"/>
      <c r="F37" s="4291"/>
      <c r="G37" s="4280"/>
    </row>
    <row r="38" spans="1:7">
      <c r="A38" s="4277"/>
      <c r="B38" s="4277" t="s">
        <v>2332</v>
      </c>
      <c r="C38" s="4284"/>
      <c r="D38" s="4277"/>
      <c r="E38" s="4280"/>
      <c r="F38" s="4280"/>
      <c r="G38" s="4280"/>
    </row>
    <row r="39" spans="1:7">
      <c r="A39" s="4277"/>
      <c r="B39" s="4277" t="s">
        <v>2333</v>
      </c>
      <c r="C39" s="4284"/>
      <c r="D39" s="4277"/>
      <c r="E39" s="4292"/>
      <c r="F39" s="4291"/>
      <c r="G39" s="4280"/>
    </row>
    <row r="40" spans="1:7">
      <c r="A40" s="4277"/>
      <c r="B40" s="4277"/>
      <c r="C40" s="4284"/>
      <c r="D40" s="4277"/>
      <c r="E40" s="4280"/>
      <c r="F40" s="4291"/>
      <c r="G40" s="4280"/>
    </row>
    <row r="41" spans="1:7">
      <c r="A41" s="4277"/>
      <c r="B41" s="4277" t="s">
        <v>2334</v>
      </c>
      <c r="C41" s="4282">
        <f>961877.3+237980.5</f>
        <v>1199857.8</v>
      </c>
      <c r="D41" s="4277"/>
      <c r="E41" s="4280"/>
      <c r="F41" s="4283">
        <v>41646</v>
      </c>
      <c r="G41" s="4283">
        <v>41980</v>
      </c>
    </row>
    <row r="42" spans="1:7">
      <c r="A42" s="4277"/>
      <c r="B42" s="4277" t="s">
        <v>2335</v>
      </c>
      <c r="C42" s="4282"/>
      <c r="D42" s="4280" t="s">
        <v>2336</v>
      </c>
      <c r="E42" s="4280"/>
      <c r="F42" s="4291"/>
      <c r="G42" s="4280"/>
    </row>
    <row r="43" spans="1:7">
      <c r="A43" s="4277"/>
      <c r="B43" s="4277" t="s">
        <v>2337</v>
      </c>
      <c r="C43" s="4284"/>
      <c r="D43" s="4280" t="s">
        <v>2338</v>
      </c>
      <c r="E43" s="4280"/>
      <c r="F43" s="4280"/>
      <c r="G43" s="4280"/>
    </row>
    <row r="44" spans="1:7">
      <c r="A44" s="4277"/>
      <c r="B44" s="4277" t="s">
        <v>2339</v>
      </c>
      <c r="C44" s="4284"/>
      <c r="D44" s="4277"/>
      <c r="E44" s="4280"/>
      <c r="F44" s="4280"/>
      <c r="G44" s="4280"/>
    </row>
    <row r="45" spans="1:7">
      <c r="A45" s="4277"/>
      <c r="B45" s="4277" t="s">
        <v>2340</v>
      </c>
      <c r="C45" s="4284"/>
      <c r="D45" s="4277"/>
      <c r="E45" s="4280"/>
      <c r="F45" s="4280"/>
      <c r="G45" s="4280"/>
    </row>
    <row r="46" spans="1:7">
      <c r="A46" s="4277"/>
      <c r="B46" s="4293" t="s">
        <v>275</v>
      </c>
      <c r="C46" s="4284"/>
      <c r="D46" s="4277"/>
      <c r="E46" s="4280"/>
      <c r="F46" s="4280"/>
      <c r="G46" s="4280"/>
    </row>
    <row r="47" spans="1:7">
      <c r="A47" s="4277"/>
      <c r="B47" s="4293" t="s">
        <v>2341</v>
      </c>
      <c r="C47" s="4282">
        <v>8010219.8600000003</v>
      </c>
      <c r="D47" s="4280" t="s">
        <v>5037</v>
      </c>
      <c r="E47" s="4280"/>
      <c r="F47" s="4283">
        <v>41646</v>
      </c>
      <c r="G47" s="4283">
        <v>41980</v>
      </c>
    </row>
    <row r="48" spans="1:7">
      <c r="A48" s="4277"/>
      <c r="B48" s="4293" t="s">
        <v>5038</v>
      </c>
      <c r="C48" s="4282"/>
      <c r="D48" s="4280" t="s">
        <v>5039</v>
      </c>
      <c r="E48" s="4280"/>
      <c r="F48" s="4280"/>
      <c r="G48" s="4280"/>
    </row>
    <row r="49" spans="1:7">
      <c r="A49" s="4277"/>
      <c r="B49" s="4293" t="s">
        <v>2342</v>
      </c>
      <c r="C49" s="4277"/>
      <c r="D49" s="4277"/>
      <c r="E49" s="4280"/>
      <c r="F49" s="4280"/>
      <c r="G49" s="4280"/>
    </row>
    <row r="50" spans="1:7">
      <c r="A50" s="4277"/>
      <c r="B50" s="4277" t="s">
        <v>2343</v>
      </c>
      <c r="C50" s="4277"/>
      <c r="D50" s="4277"/>
      <c r="E50" s="4280"/>
      <c r="F50" s="4280"/>
      <c r="G50" s="4280"/>
    </row>
    <row r="51" spans="1:7">
      <c r="A51" s="4277"/>
      <c r="B51" s="4284" t="s">
        <v>2344</v>
      </c>
      <c r="C51" s="4284"/>
      <c r="D51" s="4294"/>
      <c r="E51" s="4294"/>
      <c r="F51" s="4295"/>
      <c r="G51" s="4295"/>
    </row>
    <row r="52" spans="1:7">
      <c r="A52" s="4277"/>
      <c r="B52" s="4284" t="s">
        <v>2345</v>
      </c>
      <c r="C52" s="4284"/>
      <c r="D52" s="4294"/>
      <c r="E52" s="4294"/>
      <c r="F52" s="4294"/>
      <c r="G52" s="4294"/>
    </row>
    <row r="53" spans="1:7">
      <c r="A53" s="4277"/>
      <c r="B53" s="4277" t="s">
        <v>5040</v>
      </c>
      <c r="C53" s="4284"/>
      <c r="D53" s="4296" t="s">
        <v>2346</v>
      </c>
      <c r="E53" s="4294"/>
      <c r="F53" s="4294"/>
      <c r="G53" s="4294"/>
    </row>
    <row r="54" spans="1:7">
      <c r="A54" s="4277"/>
      <c r="B54" s="4277" t="s">
        <v>2347</v>
      </c>
      <c r="C54" s="4284"/>
      <c r="D54" s="4277" t="s">
        <v>2348</v>
      </c>
      <c r="E54" s="4294"/>
      <c r="F54" s="4294"/>
      <c r="G54" s="4294"/>
    </row>
    <row r="55" spans="1:7">
      <c r="A55" s="4277"/>
      <c r="B55" s="4277" t="s">
        <v>5041</v>
      </c>
      <c r="C55" s="4284"/>
      <c r="D55" s="4277"/>
      <c r="E55" s="4294"/>
      <c r="F55" s="4294"/>
      <c r="G55" s="4294"/>
    </row>
    <row r="56" spans="1:7">
      <c r="A56" s="4277"/>
      <c r="B56" s="4293" t="s">
        <v>5042</v>
      </c>
      <c r="C56" s="4284"/>
      <c r="D56" s="4277" t="s">
        <v>2349</v>
      </c>
      <c r="E56" s="4294"/>
      <c r="F56" s="4294"/>
      <c r="G56" s="4294"/>
    </row>
    <row r="57" spans="1:7">
      <c r="A57" s="4277"/>
      <c r="B57" s="4293" t="s">
        <v>2350</v>
      </c>
      <c r="C57" s="4284"/>
      <c r="D57" s="4277"/>
      <c r="E57" s="4294"/>
      <c r="F57" s="4294"/>
      <c r="G57" s="4294"/>
    </row>
    <row r="58" spans="1:7">
      <c r="A58" s="4277"/>
      <c r="B58" s="4293" t="s">
        <v>5043</v>
      </c>
      <c r="C58" s="4284"/>
      <c r="D58" s="4277" t="s">
        <v>2351</v>
      </c>
      <c r="E58" s="4294"/>
      <c r="F58" s="4294"/>
      <c r="G58" s="4294"/>
    </row>
    <row r="59" spans="1:7">
      <c r="A59" s="4277"/>
      <c r="B59" s="4293" t="s">
        <v>2352</v>
      </c>
      <c r="C59" s="4284"/>
      <c r="D59" s="4294"/>
      <c r="E59" s="4294"/>
      <c r="F59" s="4294"/>
      <c r="G59" s="4294"/>
    </row>
    <row r="60" spans="1:7" ht="13.8" thickBot="1">
      <c r="A60" s="4297"/>
      <c r="B60" s="4298" t="s">
        <v>2353</v>
      </c>
      <c r="C60" s="4299"/>
      <c r="D60" s="4300"/>
      <c r="E60" s="4300"/>
      <c r="F60" s="4300"/>
      <c r="G60" s="4300"/>
    </row>
    <row r="61" spans="1:7" ht="21" customHeight="1" thickBot="1">
      <c r="A61" s="4269"/>
      <c r="B61" s="4270" t="s">
        <v>220</v>
      </c>
      <c r="C61" s="4271">
        <f>SUM(C25:C52)</f>
        <v>12932806</v>
      </c>
      <c r="D61" s="4272"/>
      <c r="E61" s="4273"/>
      <c r="F61" s="4273"/>
      <c r="G61" s="4273"/>
    </row>
    <row r="62" spans="1:7" hidden="1">
      <c r="A62" s="1897" t="s">
        <v>5044</v>
      </c>
      <c r="B62" s="1898"/>
      <c r="C62" s="1897"/>
      <c r="D62" s="1897"/>
      <c r="E62" s="1899"/>
      <c r="F62" s="1899"/>
      <c r="G62" s="1899"/>
    </row>
    <row r="63" spans="1:7" hidden="1">
      <c r="A63" s="1897"/>
      <c r="B63" s="1898"/>
      <c r="C63" s="4266"/>
      <c r="D63" s="1897"/>
      <c r="E63" s="1899"/>
      <c r="F63" s="1899"/>
      <c r="G63" s="1899"/>
    </row>
    <row r="64" spans="1:7" hidden="1">
      <c r="A64" s="1897"/>
      <c r="B64" s="1898"/>
      <c r="C64" s="4267"/>
      <c r="D64" s="1897"/>
      <c r="E64" s="1899"/>
      <c r="F64" s="1899"/>
      <c r="G64" s="1899"/>
    </row>
    <row r="65" spans="1:7" hidden="1">
      <c r="A65" s="1897"/>
      <c r="B65" s="1900" t="s">
        <v>5045</v>
      </c>
      <c r="C65" s="1899"/>
      <c r="D65" s="1897"/>
      <c r="E65" s="1899"/>
      <c r="F65" s="1899"/>
      <c r="G65" s="1899"/>
    </row>
    <row r="66" spans="1:7" hidden="1">
      <c r="A66" s="1897"/>
      <c r="B66" s="1900" t="s">
        <v>5046</v>
      </c>
      <c r="C66" s="1899"/>
      <c r="D66" s="1897"/>
      <c r="E66" s="1899"/>
      <c r="F66" s="1899"/>
      <c r="G66" s="1899"/>
    </row>
    <row r="67" spans="1:7" hidden="1">
      <c r="A67" s="1897"/>
      <c r="B67" s="1898"/>
      <c r="C67" s="1897"/>
      <c r="D67" s="15165" t="s">
        <v>5047</v>
      </c>
      <c r="E67" s="15165"/>
      <c r="F67" s="15165"/>
      <c r="G67" s="15165"/>
    </row>
    <row r="68" spans="1:7" hidden="1">
      <c r="A68" s="1897"/>
      <c r="B68" s="1898"/>
      <c r="C68" s="1897"/>
      <c r="D68" s="15166" t="s">
        <v>5048</v>
      </c>
      <c r="E68" s="15166"/>
      <c r="F68" s="15166"/>
      <c r="G68" s="15166"/>
    </row>
    <row r="69" spans="1:7" hidden="1">
      <c r="A69" s="1897" t="s">
        <v>5049</v>
      </c>
      <c r="B69" s="1898"/>
      <c r="C69" s="1897"/>
      <c r="D69" s="1899"/>
      <c r="E69" s="1899"/>
      <c r="F69" s="1899"/>
      <c r="G69" s="1899"/>
    </row>
    <row r="70" spans="1:7" hidden="1">
      <c r="A70" s="1897"/>
      <c r="B70" s="1898"/>
      <c r="C70" s="1897"/>
      <c r="D70" s="1899"/>
      <c r="E70" s="1899"/>
      <c r="F70" s="1899"/>
      <c r="G70" s="1899"/>
    </row>
    <row r="71" spans="1:7" hidden="1">
      <c r="A71" s="1897"/>
      <c r="B71" s="1900" t="s">
        <v>5050</v>
      </c>
      <c r="C71" s="1897" t="s">
        <v>9</v>
      </c>
      <c r="D71" s="1897"/>
      <c r="E71" s="1899"/>
      <c r="F71" s="1899"/>
      <c r="G71" s="1899"/>
    </row>
    <row r="72" spans="1:7" hidden="1">
      <c r="A72" s="1897"/>
      <c r="B72" s="1900" t="s">
        <v>3486</v>
      </c>
      <c r="C72" s="1897"/>
      <c r="D72" s="1897"/>
      <c r="E72" s="1899"/>
      <c r="F72" s="1899"/>
      <c r="G72" s="1899"/>
    </row>
    <row r="73" spans="1:7">
      <c r="A73" s="1897"/>
      <c r="B73" s="1898" t="s">
        <v>9</v>
      </c>
      <c r="C73" s="1897"/>
      <c r="D73" s="1897"/>
      <c r="E73" s="1899"/>
      <c r="F73" s="1899"/>
      <c r="G73" s="1899"/>
    </row>
    <row r="74" spans="1:7">
      <c r="A74" s="1897"/>
      <c r="B74" s="1898" t="s">
        <v>9</v>
      </c>
      <c r="C74" s="1897"/>
      <c r="D74" s="1897"/>
      <c r="E74" s="1899"/>
      <c r="F74" s="1899"/>
      <c r="G74" s="1899"/>
    </row>
    <row r="75" spans="1:7">
      <c r="A75" s="1897"/>
      <c r="B75" s="1898"/>
      <c r="C75" s="1897"/>
      <c r="D75" s="1897"/>
      <c r="E75" s="1899"/>
      <c r="F75" s="1899"/>
      <c r="G75" s="1899"/>
    </row>
    <row r="76" spans="1:7">
      <c r="A76" s="1897"/>
      <c r="B76" s="1901"/>
      <c r="C76" s="1902"/>
      <c r="D76" s="1899"/>
      <c r="E76" s="1899"/>
      <c r="F76" s="1903"/>
      <c r="G76" s="1903"/>
    </row>
    <row r="77" spans="1:7">
      <c r="A77" s="1897"/>
      <c r="B77" s="1898"/>
      <c r="C77" s="1902"/>
      <c r="D77" s="1899"/>
      <c r="E77" s="1899"/>
      <c r="F77" s="1899"/>
      <c r="G77" s="1899"/>
    </row>
    <row r="78" spans="1:7">
      <c r="A78" s="1897"/>
      <c r="B78" s="1898"/>
      <c r="C78" s="1902"/>
      <c r="D78" s="1897"/>
      <c r="E78" s="1899"/>
      <c r="F78" s="1899"/>
      <c r="G78" s="1899"/>
    </row>
    <row r="79" spans="1:7">
      <c r="A79" s="1897"/>
      <c r="B79" s="1898"/>
      <c r="C79" s="1902"/>
      <c r="D79" s="1897"/>
      <c r="E79" s="1899"/>
      <c r="F79" s="1899"/>
      <c r="G79" s="1899"/>
    </row>
    <row r="80" spans="1:7">
      <c r="A80" s="1897"/>
      <c r="B80" s="1898"/>
      <c r="C80" s="1902"/>
      <c r="D80" s="1897"/>
      <c r="E80" s="1899"/>
      <c r="F80" s="1899" t="s">
        <v>9</v>
      </c>
      <c r="G80" s="1899"/>
    </row>
    <row r="81" spans="1:7">
      <c r="A81" s="1897"/>
      <c r="B81" s="1898"/>
      <c r="C81" s="1902"/>
      <c r="D81" s="1897"/>
      <c r="E81" s="1899"/>
      <c r="F81" s="1899"/>
      <c r="G81" s="1899"/>
    </row>
    <row r="82" spans="1:7">
      <c r="A82" s="1897"/>
      <c r="B82" s="1898"/>
      <c r="C82" s="1897"/>
      <c r="D82" s="1897"/>
      <c r="E82" s="1899"/>
      <c r="F82" s="1899"/>
      <c r="G82" s="1899"/>
    </row>
    <row r="83" spans="1:7">
      <c r="A83" s="1897"/>
      <c r="B83" s="1898"/>
      <c r="C83" s="1897"/>
      <c r="D83" s="1897"/>
      <c r="E83" s="1899"/>
      <c r="F83" s="1899"/>
      <c r="G83" s="1899"/>
    </row>
    <row r="84" spans="1:7">
      <c r="A84" s="1897"/>
      <c r="B84" s="1898"/>
      <c r="C84" s="1897"/>
      <c r="D84" s="1897"/>
      <c r="E84" s="1899"/>
      <c r="F84" s="1899"/>
      <c r="G84" s="1899"/>
    </row>
    <row r="85" spans="1:7">
      <c r="A85" s="1897"/>
      <c r="B85" s="1897"/>
      <c r="C85" s="1897"/>
      <c r="D85" s="1897"/>
      <c r="E85" s="1899"/>
      <c r="F85" s="1899"/>
      <c r="G85" s="1899"/>
    </row>
    <row r="86" spans="1:7">
      <c r="A86" s="1897"/>
      <c r="B86" s="1897"/>
      <c r="C86" s="1897"/>
      <c r="D86" s="1897"/>
      <c r="E86" s="1899"/>
      <c r="F86" s="1899"/>
      <c r="G86" s="1899"/>
    </row>
    <row r="87" spans="1:7">
      <c r="A87" s="1897"/>
      <c r="B87" s="1897"/>
      <c r="C87" s="1897"/>
      <c r="D87" s="1897"/>
      <c r="E87" s="1899"/>
      <c r="F87" s="1899"/>
      <c r="G87" s="1899"/>
    </row>
    <row r="88" spans="1:7">
      <c r="A88" s="1897"/>
      <c r="B88" s="1897"/>
      <c r="C88" s="1897"/>
      <c r="D88" s="1897"/>
      <c r="E88" s="1899"/>
      <c r="F88" s="1899"/>
      <c r="G88" s="1899"/>
    </row>
    <row r="89" spans="1:7">
      <c r="A89" s="1897"/>
      <c r="B89" s="1897"/>
      <c r="C89" s="1897"/>
      <c r="D89" s="1897"/>
      <c r="E89" s="1899"/>
      <c r="F89" s="1899"/>
      <c r="G89" s="1899"/>
    </row>
    <row r="90" spans="1:7">
      <c r="A90" s="1897"/>
      <c r="B90" s="1897"/>
      <c r="C90" s="1897"/>
      <c r="D90" s="1897"/>
      <c r="E90" s="1899"/>
      <c r="F90" s="1899"/>
      <c r="G90" s="1899"/>
    </row>
    <row r="91" spans="1:7">
      <c r="A91" s="1897"/>
      <c r="B91" s="1897"/>
      <c r="C91" s="1897"/>
      <c r="D91" s="1897"/>
      <c r="E91" s="1899"/>
      <c r="F91" s="1899"/>
      <c r="G91" s="1899"/>
    </row>
    <row r="92" spans="1:7">
      <c r="A92" s="1897"/>
      <c r="B92" s="1897"/>
      <c r="C92" s="1897"/>
      <c r="D92" s="1897"/>
      <c r="E92" s="1899"/>
      <c r="F92" s="1899"/>
      <c r="G92" s="1899"/>
    </row>
    <row r="93" spans="1:7">
      <c r="A93" s="1897"/>
      <c r="B93" s="1897"/>
      <c r="C93" s="1897"/>
      <c r="D93" s="1897"/>
      <c r="E93" s="1899"/>
      <c r="F93" s="1899"/>
      <c r="G93" s="1899"/>
    </row>
    <row r="94" spans="1:7">
      <c r="A94" s="1897"/>
      <c r="B94" s="1897"/>
      <c r="C94" s="1897"/>
      <c r="D94" s="1897"/>
      <c r="E94" s="1899"/>
      <c r="F94" s="1899"/>
      <c r="G94" s="1899"/>
    </row>
    <row r="95" spans="1:7">
      <c r="A95" s="1897"/>
      <c r="B95" s="1897"/>
      <c r="C95" s="1897"/>
      <c r="D95" s="1897"/>
      <c r="E95" s="1899"/>
      <c r="F95" s="1899"/>
      <c r="G95" s="1899"/>
    </row>
    <row r="96" spans="1:7">
      <c r="A96" s="1897"/>
      <c r="B96" s="1897"/>
      <c r="C96" s="1897"/>
      <c r="D96" s="1897"/>
      <c r="E96" s="1899"/>
      <c r="F96" s="1899"/>
      <c r="G96" s="1899"/>
    </row>
    <row r="97" spans="1:7">
      <c r="A97" s="1897"/>
      <c r="B97" s="1897"/>
      <c r="C97" s="1897"/>
      <c r="D97" s="1897"/>
      <c r="E97" s="1899"/>
      <c r="F97" s="1899"/>
      <c r="G97" s="1899"/>
    </row>
    <row r="98" spans="1:7">
      <c r="A98" s="1897"/>
      <c r="B98" s="1904"/>
      <c r="C98" s="1897"/>
      <c r="D98" s="1897"/>
      <c r="E98" s="1899"/>
      <c r="F98" s="1899"/>
      <c r="G98" s="1899"/>
    </row>
    <row r="99" spans="1:7">
      <c r="A99" s="1897"/>
      <c r="B99" s="1897"/>
      <c r="C99" s="1897"/>
      <c r="D99" s="1905"/>
      <c r="E99" s="1899"/>
      <c r="F99" s="1903"/>
      <c r="G99" s="1903"/>
    </row>
    <row r="100" spans="1:7">
      <c r="A100" s="1897"/>
      <c r="B100" s="1897"/>
      <c r="C100" s="1897"/>
      <c r="D100" s="1899"/>
      <c r="E100" s="1899"/>
      <c r="F100" s="1899"/>
      <c r="G100" s="1899"/>
    </row>
    <row r="101" spans="1:7">
      <c r="A101" s="1897"/>
      <c r="B101" s="1897"/>
      <c r="C101" s="1897"/>
      <c r="D101" s="1897"/>
      <c r="E101" s="1899"/>
      <c r="F101" s="1899"/>
      <c r="G101" s="1899"/>
    </row>
    <row r="102" spans="1:7">
      <c r="A102" s="1897"/>
      <c r="B102" s="1897"/>
      <c r="C102" s="1897"/>
      <c r="D102" s="1897"/>
      <c r="E102" s="1899"/>
      <c r="F102" s="1899"/>
      <c r="G102" s="1899"/>
    </row>
    <row r="103" spans="1:7">
      <c r="A103" s="1897"/>
      <c r="B103" s="1897"/>
      <c r="C103" s="1897"/>
      <c r="D103" s="1899"/>
      <c r="E103" s="1899"/>
      <c r="F103" s="1899"/>
      <c r="G103" s="1899"/>
    </row>
    <row r="104" spans="1:7">
      <c r="A104" s="1897"/>
      <c r="B104" s="1897"/>
      <c r="C104" s="1897"/>
      <c r="D104" s="1899"/>
      <c r="E104" s="1899"/>
      <c r="F104" s="1899"/>
      <c r="G104" s="1899"/>
    </row>
    <row r="105" spans="1:7">
      <c r="A105" s="1897"/>
      <c r="B105" s="1897"/>
      <c r="C105" s="1897"/>
      <c r="D105" s="1899"/>
      <c r="E105" s="1899"/>
      <c r="F105" s="1899"/>
      <c r="G105" s="1899"/>
    </row>
    <row r="106" spans="1:7">
      <c r="A106" s="1897"/>
      <c r="B106" s="1897"/>
      <c r="C106" s="1897"/>
      <c r="D106" s="1899"/>
      <c r="E106" s="1899"/>
      <c r="F106" s="1899"/>
      <c r="G106" s="1899"/>
    </row>
    <row r="107" spans="1:7">
      <c r="A107" s="1897"/>
      <c r="B107" s="1897"/>
      <c r="C107" s="1897"/>
      <c r="D107" s="1899"/>
      <c r="E107" s="1899"/>
      <c r="F107" s="1899"/>
      <c r="G107" s="1899"/>
    </row>
    <row r="108" spans="1:7">
      <c r="A108" s="1897"/>
      <c r="B108" s="1897"/>
      <c r="C108" s="1897"/>
      <c r="D108" s="1897"/>
      <c r="E108" s="1899"/>
      <c r="F108" s="1899"/>
      <c r="G108" s="1899"/>
    </row>
    <row r="109" spans="1:7">
      <c r="A109" s="1897"/>
      <c r="B109" s="1897"/>
      <c r="C109" s="1897"/>
      <c r="D109" s="1897"/>
      <c r="E109" s="1899"/>
      <c r="F109" s="1899"/>
      <c r="G109" s="1899"/>
    </row>
    <row r="110" spans="1:7">
      <c r="A110" s="1897"/>
      <c r="B110" s="1897"/>
      <c r="C110" s="1897"/>
      <c r="D110" s="1897"/>
      <c r="E110" s="1899"/>
      <c r="F110" s="1899"/>
      <c r="G110" s="1899"/>
    </row>
    <row r="111" spans="1:7">
      <c r="A111" s="1897"/>
      <c r="B111" s="1897"/>
      <c r="C111" s="1897"/>
      <c r="D111" s="1897"/>
      <c r="E111" s="1899"/>
      <c r="F111" s="1899"/>
      <c r="G111" s="1899"/>
    </row>
    <row r="112" spans="1:7">
      <c r="A112" s="1897"/>
      <c r="B112" s="1897"/>
      <c r="C112" s="1897"/>
      <c r="D112" s="1897"/>
      <c r="E112" s="1899"/>
      <c r="F112" s="1899"/>
      <c r="G112" s="1899"/>
    </row>
    <row r="113" spans="1:7">
      <c r="A113" s="1897"/>
      <c r="B113" s="1897"/>
      <c r="C113" s="1906"/>
      <c r="D113" s="1897"/>
      <c r="E113" s="1899"/>
      <c r="F113" s="1899"/>
      <c r="G113" s="1899"/>
    </row>
    <row r="114" spans="1:7">
      <c r="A114" s="1897"/>
      <c r="B114" s="1897"/>
      <c r="C114" s="1897"/>
      <c r="D114" s="1897"/>
      <c r="E114" s="1899"/>
      <c r="F114" s="1899"/>
      <c r="G114" s="1899"/>
    </row>
    <row r="115" spans="1:7">
      <c r="A115" s="1897"/>
      <c r="B115" s="1897"/>
      <c r="C115" s="1902"/>
      <c r="D115" s="1897"/>
      <c r="E115" s="1899"/>
      <c r="F115" s="1899"/>
      <c r="G115" s="1899"/>
    </row>
    <row r="116" spans="1:7">
      <c r="A116" s="1897"/>
      <c r="B116" s="1897"/>
      <c r="C116" s="1897"/>
      <c r="D116" s="1897"/>
      <c r="E116" s="1897"/>
      <c r="F116" s="1897"/>
      <c r="G116" s="1897"/>
    </row>
    <row r="117" spans="1:7">
      <c r="A117" s="1897"/>
      <c r="B117" s="1897"/>
      <c r="C117" s="1902"/>
      <c r="D117" s="1897"/>
      <c r="E117" s="1897"/>
      <c r="F117" s="1897"/>
      <c r="G117" s="1897"/>
    </row>
  </sheetData>
  <mergeCells count="10">
    <mergeCell ref="D67:G67"/>
    <mergeCell ref="D68:G68"/>
    <mergeCell ref="A1:G1"/>
    <mergeCell ref="A4:B4"/>
    <mergeCell ref="B19:B21"/>
    <mergeCell ref="C19:C21"/>
    <mergeCell ref="D19:D21"/>
    <mergeCell ref="E19:E21"/>
    <mergeCell ref="F19:G19"/>
    <mergeCell ref="F20:G20"/>
  </mergeCells>
  <pageMargins left="0.5" right="0.25" top="0.75" bottom="0.5" header="0.5" footer="0.25"/>
  <pageSetup paperSize="119" orientation="portrait" horizontalDpi="300" verticalDpi="300" r:id="rId1"/>
  <headerFooter alignWithMargins="0"/>
</worksheet>
</file>

<file path=xl/worksheets/sheet153.xml><?xml version="1.0" encoding="utf-8"?>
<worksheet xmlns="http://schemas.openxmlformats.org/spreadsheetml/2006/main" xmlns:r="http://schemas.openxmlformats.org/officeDocument/2006/relationships">
  <sheetPr codeName="Sheet113">
    <tabColor theme="8" tint="-0.249977111117893"/>
  </sheetPr>
  <dimension ref="A1:L127"/>
  <sheetViews>
    <sheetView showGridLines="0" topLeftCell="B3" workbookViewId="0">
      <selection activeCell="J3" sqref="J1:S1048576"/>
    </sheetView>
  </sheetViews>
  <sheetFormatPr defaultRowHeight="15" customHeight="1"/>
  <cols>
    <col min="1" max="1" width="3.88671875" style="7275" customWidth="1"/>
    <col min="2" max="2" width="55.5546875" style="7275" customWidth="1"/>
    <col min="3" max="3" width="12.5546875" style="7346" customWidth="1"/>
    <col min="4" max="7" width="15.5546875" style="7347" customWidth="1"/>
    <col min="8" max="8" width="13.88671875" style="7347" hidden="1" customWidth="1"/>
    <col min="9" max="9" width="8" style="7348" hidden="1" customWidth="1"/>
    <col min="10" max="10" width="15.5546875" style="7347" customWidth="1"/>
    <col min="11" max="11" width="16.109375" style="7340" customWidth="1"/>
    <col min="12" max="12" width="6.33203125" style="7346" customWidth="1"/>
    <col min="13" max="18" width="8.88671875" style="7275" customWidth="1"/>
    <col min="19" max="198" width="9.109375" style="7275"/>
    <col min="199" max="199" width="3.88671875" style="7275" customWidth="1"/>
    <col min="200" max="200" width="37.88671875" style="7275" customWidth="1"/>
    <col min="201" max="201" width="10.44140625" style="7275" customWidth="1"/>
    <col min="202" max="204" width="16.109375" style="7275" customWidth="1"/>
    <col min="205" max="454" width="9.109375" style="7275"/>
    <col min="455" max="455" width="3.88671875" style="7275" customWidth="1"/>
    <col min="456" max="456" width="37.88671875" style="7275" customWidth="1"/>
    <col min="457" max="457" width="10.44140625" style="7275" customWidth="1"/>
    <col min="458" max="460" width="16.109375" style="7275" customWidth="1"/>
    <col min="461" max="710" width="9.109375" style="7275"/>
    <col min="711" max="711" width="3.88671875" style="7275" customWidth="1"/>
    <col min="712" max="712" width="37.88671875" style="7275" customWidth="1"/>
    <col min="713" max="713" width="10.44140625" style="7275" customWidth="1"/>
    <col min="714" max="716" width="16.109375" style="7275" customWidth="1"/>
    <col min="717" max="966" width="9.109375" style="7275"/>
    <col min="967" max="967" width="3.88671875" style="7275" customWidth="1"/>
    <col min="968" max="968" width="37.88671875" style="7275" customWidth="1"/>
    <col min="969" max="969" width="10.44140625" style="7275" customWidth="1"/>
    <col min="970" max="972" width="16.109375" style="7275" customWidth="1"/>
    <col min="973" max="1222" width="9.109375" style="7275"/>
    <col min="1223" max="1223" width="3.88671875" style="7275" customWidth="1"/>
    <col min="1224" max="1224" width="37.88671875" style="7275" customWidth="1"/>
    <col min="1225" max="1225" width="10.44140625" style="7275" customWidth="1"/>
    <col min="1226" max="1228" width="16.109375" style="7275" customWidth="1"/>
    <col min="1229" max="1478" width="9.109375" style="7275"/>
    <col min="1479" max="1479" width="3.88671875" style="7275" customWidth="1"/>
    <col min="1480" max="1480" width="37.88671875" style="7275" customWidth="1"/>
    <col min="1481" max="1481" width="10.44140625" style="7275" customWidth="1"/>
    <col min="1482" max="1484" width="16.109375" style="7275" customWidth="1"/>
    <col min="1485" max="1734" width="9.109375" style="7275"/>
    <col min="1735" max="1735" width="3.88671875" style="7275" customWidth="1"/>
    <col min="1736" max="1736" width="37.88671875" style="7275" customWidth="1"/>
    <col min="1737" max="1737" width="10.44140625" style="7275" customWidth="1"/>
    <col min="1738" max="1740" width="16.109375" style="7275" customWidth="1"/>
    <col min="1741" max="1990" width="9.109375" style="7275"/>
    <col min="1991" max="1991" width="3.88671875" style="7275" customWidth="1"/>
    <col min="1992" max="1992" width="37.88671875" style="7275" customWidth="1"/>
    <col min="1993" max="1993" width="10.44140625" style="7275" customWidth="1"/>
    <col min="1994" max="1996" width="16.109375" style="7275" customWidth="1"/>
    <col min="1997" max="2246" width="9.109375" style="7275"/>
    <col min="2247" max="2247" width="3.88671875" style="7275" customWidth="1"/>
    <col min="2248" max="2248" width="37.88671875" style="7275" customWidth="1"/>
    <col min="2249" max="2249" width="10.44140625" style="7275" customWidth="1"/>
    <col min="2250" max="2252" width="16.109375" style="7275" customWidth="1"/>
    <col min="2253" max="2502" width="9.109375" style="7275"/>
    <col min="2503" max="2503" width="3.88671875" style="7275" customWidth="1"/>
    <col min="2504" max="2504" width="37.88671875" style="7275" customWidth="1"/>
    <col min="2505" max="2505" width="10.44140625" style="7275" customWidth="1"/>
    <col min="2506" max="2508" width="16.109375" style="7275" customWidth="1"/>
    <col min="2509" max="2758" width="9.109375" style="7275"/>
    <col min="2759" max="2759" width="3.88671875" style="7275" customWidth="1"/>
    <col min="2760" max="2760" width="37.88671875" style="7275" customWidth="1"/>
    <col min="2761" max="2761" width="10.44140625" style="7275" customWidth="1"/>
    <col min="2762" max="2764" width="16.109375" style="7275" customWidth="1"/>
    <col min="2765" max="3014" width="9.109375" style="7275"/>
    <col min="3015" max="3015" width="3.88671875" style="7275" customWidth="1"/>
    <col min="3016" max="3016" width="37.88671875" style="7275" customWidth="1"/>
    <col min="3017" max="3017" width="10.44140625" style="7275" customWidth="1"/>
    <col min="3018" max="3020" width="16.109375" style="7275" customWidth="1"/>
    <col min="3021" max="3270" width="9.109375" style="7275"/>
    <col min="3271" max="3271" width="3.88671875" style="7275" customWidth="1"/>
    <col min="3272" max="3272" width="37.88671875" style="7275" customWidth="1"/>
    <col min="3273" max="3273" width="10.44140625" style="7275" customWidth="1"/>
    <col min="3274" max="3276" width="16.109375" style="7275" customWidth="1"/>
    <col min="3277" max="3526" width="9.109375" style="7275"/>
    <col min="3527" max="3527" width="3.88671875" style="7275" customWidth="1"/>
    <col min="3528" max="3528" width="37.88671875" style="7275" customWidth="1"/>
    <col min="3529" max="3529" width="10.44140625" style="7275" customWidth="1"/>
    <col min="3530" max="3532" width="16.109375" style="7275" customWidth="1"/>
    <col min="3533" max="3782" width="9.109375" style="7275"/>
    <col min="3783" max="3783" width="3.88671875" style="7275" customWidth="1"/>
    <col min="3784" max="3784" width="37.88671875" style="7275" customWidth="1"/>
    <col min="3785" max="3785" width="10.44140625" style="7275" customWidth="1"/>
    <col min="3786" max="3788" width="16.109375" style="7275" customWidth="1"/>
    <col min="3789" max="4038" width="9.109375" style="7275"/>
    <col min="4039" max="4039" width="3.88671875" style="7275" customWidth="1"/>
    <col min="4040" max="4040" width="37.88671875" style="7275" customWidth="1"/>
    <col min="4041" max="4041" width="10.44140625" style="7275" customWidth="1"/>
    <col min="4042" max="4044" width="16.109375" style="7275" customWidth="1"/>
    <col min="4045" max="4294" width="9.109375" style="7275"/>
    <col min="4295" max="4295" width="3.88671875" style="7275" customWidth="1"/>
    <col min="4296" max="4296" width="37.88671875" style="7275" customWidth="1"/>
    <col min="4297" max="4297" width="10.44140625" style="7275" customWidth="1"/>
    <col min="4298" max="4300" width="16.109375" style="7275" customWidth="1"/>
    <col min="4301" max="4550" width="9.109375" style="7275"/>
    <col min="4551" max="4551" width="3.88671875" style="7275" customWidth="1"/>
    <col min="4552" max="4552" width="37.88671875" style="7275" customWidth="1"/>
    <col min="4553" max="4553" width="10.44140625" style="7275" customWidth="1"/>
    <col min="4554" max="4556" width="16.109375" style="7275" customWidth="1"/>
    <col min="4557" max="4806" width="9.109375" style="7275"/>
    <col min="4807" max="4807" width="3.88671875" style="7275" customWidth="1"/>
    <col min="4808" max="4808" width="37.88671875" style="7275" customWidth="1"/>
    <col min="4809" max="4809" width="10.44140625" style="7275" customWidth="1"/>
    <col min="4810" max="4812" width="16.109375" style="7275" customWidth="1"/>
    <col min="4813" max="5062" width="9.109375" style="7275"/>
    <col min="5063" max="5063" width="3.88671875" style="7275" customWidth="1"/>
    <col min="5064" max="5064" width="37.88671875" style="7275" customWidth="1"/>
    <col min="5065" max="5065" width="10.44140625" style="7275" customWidth="1"/>
    <col min="5066" max="5068" width="16.109375" style="7275" customWidth="1"/>
    <col min="5069" max="5318" width="9.109375" style="7275"/>
    <col min="5319" max="5319" width="3.88671875" style="7275" customWidth="1"/>
    <col min="5320" max="5320" width="37.88671875" style="7275" customWidth="1"/>
    <col min="5321" max="5321" width="10.44140625" style="7275" customWidth="1"/>
    <col min="5322" max="5324" width="16.109375" style="7275" customWidth="1"/>
    <col min="5325" max="5574" width="9.109375" style="7275"/>
    <col min="5575" max="5575" width="3.88671875" style="7275" customWidth="1"/>
    <col min="5576" max="5576" width="37.88671875" style="7275" customWidth="1"/>
    <col min="5577" max="5577" width="10.44140625" style="7275" customWidth="1"/>
    <col min="5578" max="5580" width="16.109375" style="7275" customWidth="1"/>
    <col min="5581" max="5830" width="9.109375" style="7275"/>
    <col min="5831" max="5831" width="3.88671875" style="7275" customWidth="1"/>
    <col min="5832" max="5832" width="37.88671875" style="7275" customWidth="1"/>
    <col min="5833" max="5833" width="10.44140625" style="7275" customWidth="1"/>
    <col min="5834" max="5836" width="16.109375" style="7275" customWidth="1"/>
    <col min="5837" max="6086" width="9.109375" style="7275"/>
    <col min="6087" max="6087" width="3.88671875" style="7275" customWidth="1"/>
    <col min="6088" max="6088" width="37.88671875" style="7275" customWidth="1"/>
    <col min="6089" max="6089" width="10.44140625" style="7275" customWidth="1"/>
    <col min="6090" max="6092" width="16.109375" style="7275" customWidth="1"/>
    <col min="6093" max="6342" width="9.109375" style="7275"/>
    <col min="6343" max="6343" width="3.88671875" style="7275" customWidth="1"/>
    <col min="6344" max="6344" width="37.88671875" style="7275" customWidth="1"/>
    <col min="6345" max="6345" width="10.44140625" style="7275" customWidth="1"/>
    <col min="6346" max="6348" width="16.109375" style="7275" customWidth="1"/>
    <col min="6349" max="6598" width="9.109375" style="7275"/>
    <col min="6599" max="6599" width="3.88671875" style="7275" customWidth="1"/>
    <col min="6600" max="6600" width="37.88671875" style="7275" customWidth="1"/>
    <col min="6601" max="6601" width="10.44140625" style="7275" customWidth="1"/>
    <col min="6602" max="6604" width="16.109375" style="7275" customWidth="1"/>
    <col min="6605" max="6854" width="9.109375" style="7275"/>
    <col min="6855" max="6855" width="3.88671875" style="7275" customWidth="1"/>
    <col min="6856" max="6856" width="37.88671875" style="7275" customWidth="1"/>
    <col min="6857" max="6857" width="10.44140625" style="7275" customWidth="1"/>
    <col min="6858" max="6860" width="16.109375" style="7275" customWidth="1"/>
    <col min="6861" max="7110" width="9.109375" style="7275"/>
    <col min="7111" max="7111" width="3.88671875" style="7275" customWidth="1"/>
    <col min="7112" max="7112" width="37.88671875" style="7275" customWidth="1"/>
    <col min="7113" max="7113" width="10.44140625" style="7275" customWidth="1"/>
    <col min="7114" max="7116" width="16.109375" style="7275" customWidth="1"/>
    <col min="7117" max="7366" width="9.109375" style="7275"/>
    <col min="7367" max="7367" width="3.88671875" style="7275" customWidth="1"/>
    <col min="7368" max="7368" width="37.88671875" style="7275" customWidth="1"/>
    <col min="7369" max="7369" width="10.44140625" style="7275" customWidth="1"/>
    <col min="7370" max="7372" width="16.109375" style="7275" customWidth="1"/>
    <col min="7373" max="7622" width="9.109375" style="7275"/>
    <col min="7623" max="7623" width="3.88671875" style="7275" customWidth="1"/>
    <col min="7624" max="7624" width="37.88671875" style="7275" customWidth="1"/>
    <col min="7625" max="7625" width="10.44140625" style="7275" customWidth="1"/>
    <col min="7626" max="7628" width="16.109375" style="7275" customWidth="1"/>
    <col min="7629" max="7878" width="9.109375" style="7275"/>
    <col min="7879" max="7879" width="3.88671875" style="7275" customWidth="1"/>
    <col min="7880" max="7880" width="37.88671875" style="7275" customWidth="1"/>
    <col min="7881" max="7881" width="10.44140625" style="7275" customWidth="1"/>
    <col min="7882" max="7884" width="16.109375" style="7275" customWidth="1"/>
    <col min="7885" max="8134" width="9.109375" style="7275"/>
    <col min="8135" max="8135" width="3.88671875" style="7275" customWidth="1"/>
    <col min="8136" max="8136" width="37.88671875" style="7275" customWidth="1"/>
    <col min="8137" max="8137" width="10.44140625" style="7275" customWidth="1"/>
    <col min="8138" max="8140" width="16.109375" style="7275" customWidth="1"/>
    <col min="8141" max="8390" width="9.109375" style="7275"/>
    <col min="8391" max="8391" width="3.88671875" style="7275" customWidth="1"/>
    <col min="8392" max="8392" width="37.88671875" style="7275" customWidth="1"/>
    <col min="8393" max="8393" width="10.44140625" style="7275" customWidth="1"/>
    <col min="8394" max="8396" width="16.109375" style="7275" customWidth="1"/>
    <col min="8397" max="8646" width="9.109375" style="7275"/>
    <col min="8647" max="8647" width="3.88671875" style="7275" customWidth="1"/>
    <col min="8648" max="8648" width="37.88671875" style="7275" customWidth="1"/>
    <col min="8649" max="8649" width="10.44140625" style="7275" customWidth="1"/>
    <col min="8650" max="8652" width="16.109375" style="7275" customWidth="1"/>
    <col min="8653" max="8902" width="9.109375" style="7275"/>
    <col min="8903" max="8903" width="3.88671875" style="7275" customWidth="1"/>
    <col min="8904" max="8904" width="37.88671875" style="7275" customWidth="1"/>
    <col min="8905" max="8905" width="10.44140625" style="7275" customWidth="1"/>
    <col min="8906" max="8908" width="16.109375" style="7275" customWidth="1"/>
    <col min="8909" max="9158" width="9.109375" style="7275"/>
    <col min="9159" max="9159" width="3.88671875" style="7275" customWidth="1"/>
    <col min="9160" max="9160" width="37.88671875" style="7275" customWidth="1"/>
    <col min="9161" max="9161" width="10.44140625" style="7275" customWidth="1"/>
    <col min="9162" max="9164" width="16.109375" style="7275" customWidth="1"/>
    <col min="9165" max="9414" width="9.109375" style="7275"/>
    <col min="9415" max="9415" width="3.88671875" style="7275" customWidth="1"/>
    <col min="9416" max="9416" width="37.88671875" style="7275" customWidth="1"/>
    <col min="9417" max="9417" width="10.44140625" style="7275" customWidth="1"/>
    <col min="9418" max="9420" width="16.109375" style="7275" customWidth="1"/>
    <col min="9421" max="9670" width="9.109375" style="7275"/>
    <col min="9671" max="9671" width="3.88671875" style="7275" customWidth="1"/>
    <col min="9672" max="9672" width="37.88671875" style="7275" customWidth="1"/>
    <col min="9673" max="9673" width="10.44140625" style="7275" customWidth="1"/>
    <col min="9674" max="9676" width="16.109375" style="7275" customWidth="1"/>
    <col min="9677" max="9926" width="9.109375" style="7275"/>
    <col min="9927" max="9927" width="3.88671875" style="7275" customWidth="1"/>
    <col min="9928" max="9928" width="37.88671875" style="7275" customWidth="1"/>
    <col min="9929" max="9929" width="10.44140625" style="7275" customWidth="1"/>
    <col min="9930" max="9932" width="16.109375" style="7275" customWidth="1"/>
    <col min="9933" max="10182" width="9.109375" style="7275"/>
    <col min="10183" max="10183" width="3.88671875" style="7275" customWidth="1"/>
    <col min="10184" max="10184" width="37.88671875" style="7275" customWidth="1"/>
    <col min="10185" max="10185" width="10.44140625" style="7275" customWidth="1"/>
    <col min="10186" max="10188" width="16.109375" style="7275" customWidth="1"/>
    <col min="10189" max="10438" width="9.109375" style="7275"/>
    <col min="10439" max="10439" width="3.88671875" style="7275" customWidth="1"/>
    <col min="10440" max="10440" width="37.88671875" style="7275" customWidth="1"/>
    <col min="10441" max="10441" width="10.44140625" style="7275" customWidth="1"/>
    <col min="10442" max="10444" width="16.109375" style="7275" customWidth="1"/>
    <col min="10445" max="10694" width="9.109375" style="7275"/>
    <col min="10695" max="10695" width="3.88671875" style="7275" customWidth="1"/>
    <col min="10696" max="10696" width="37.88671875" style="7275" customWidth="1"/>
    <col min="10697" max="10697" width="10.44140625" style="7275" customWidth="1"/>
    <col min="10698" max="10700" width="16.109375" style="7275" customWidth="1"/>
    <col min="10701" max="10950" width="9.109375" style="7275"/>
    <col min="10951" max="10951" width="3.88671875" style="7275" customWidth="1"/>
    <col min="10952" max="10952" width="37.88671875" style="7275" customWidth="1"/>
    <col min="10953" max="10953" width="10.44140625" style="7275" customWidth="1"/>
    <col min="10954" max="10956" width="16.109375" style="7275" customWidth="1"/>
    <col min="10957" max="11206" width="9.109375" style="7275"/>
    <col min="11207" max="11207" width="3.88671875" style="7275" customWidth="1"/>
    <col min="11208" max="11208" width="37.88671875" style="7275" customWidth="1"/>
    <col min="11209" max="11209" width="10.44140625" style="7275" customWidth="1"/>
    <col min="11210" max="11212" width="16.109375" style="7275" customWidth="1"/>
    <col min="11213" max="11462" width="9.109375" style="7275"/>
    <col min="11463" max="11463" width="3.88671875" style="7275" customWidth="1"/>
    <col min="11464" max="11464" width="37.88671875" style="7275" customWidth="1"/>
    <col min="11465" max="11465" width="10.44140625" style="7275" customWidth="1"/>
    <col min="11466" max="11468" width="16.109375" style="7275" customWidth="1"/>
    <col min="11469" max="11718" width="9.109375" style="7275"/>
    <col min="11719" max="11719" width="3.88671875" style="7275" customWidth="1"/>
    <col min="11720" max="11720" width="37.88671875" style="7275" customWidth="1"/>
    <col min="11721" max="11721" width="10.44140625" style="7275" customWidth="1"/>
    <col min="11722" max="11724" width="16.109375" style="7275" customWidth="1"/>
    <col min="11725" max="11974" width="9.109375" style="7275"/>
    <col min="11975" max="11975" width="3.88671875" style="7275" customWidth="1"/>
    <col min="11976" max="11976" width="37.88671875" style="7275" customWidth="1"/>
    <col min="11977" max="11977" width="10.44140625" style="7275" customWidth="1"/>
    <col min="11978" max="11980" width="16.109375" style="7275" customWidth="1"/>
    <col min="11981" max="12230" width="9.109375" style="7275"/>
    <col min="12231" max="12231" width="3.88671875" style="7275" customWidth="1"/>
    <col min="12232" max="12232" width="37.88671875" style="7275" customWidth="1"/>
    <col min="12233" max="12233" width="10.44140625" style="7275" customWidth="1"/>
    <col min="12234" max="12236" width="16.109375" style="7275" customWidth="1"/>
    <col min="12237" max="12486" width="9.109375" style="7275"/>
    <col min="12487" max="12487" width="3.88671875" style="7275" customWidth="1"/>
    <col min="12488" max="12488" width="37.88671875" style="7275" customWidth="1"/>
    <col min="12489" max="12489" width="10.44140625" style="7275" customWidth="1"/>
    <col min="12490" max="12492" width="16.109375" style="7275" customWidth="1"/>
    <col min="12493" max="12742" width="9.109375" style="7275"/>
    <col min="12743" max="12743" width="3.88671875" style="7275" customWidth="1"/>
    <col min="12744" max="12744" width="37.88671875" style="7275" customWidth="1"/>
    <col min="12745" max="12745" width="10.44140625" style="7275" customWidth="1"/>
    <col min="12746" max="12748" width="16.109375" style="7275" customWidth="1"/>
    <col min="12749" max="12998" width="9.109375" style="7275"/>
    <col min="12999" max="12999" width="3.88671875" style="7275" customWidth="1"/>
    <col min="13000" max="13000" width="37.88671875" style="7275" customWidth="1"/>
    <col min="13001" max="13001" width="10.44140625" style="7275" customWidth="1"/>
    <col min="13002" max="13004" width="16.109375" style="7275" customWidth="1"/>
    <col min="13005" max="13254" width="9.109375" style="7275"/>
    <col min="13255" max="13255" width="3.88671875" style="7275" customWidth="1"/>
    <col min="13256" max="13256" width="37.88671875" style="7275" customWidth="1"/>
    <col min="13257" max="13257" width="10.44140625" style="7275" customWidth="1"/>
    <col min="13258" max="13260" width="16.109375" style="7275" customWidth="1"/>
    <col min="13261" max="13510" width="9.109375" style="7275"/>
    <col min="13511" max="13511" width="3.88671875" style="7275" customWidth="1"/>
    <col min="13512" max="13512" width="37.88671875" style="7275" customWidth="1"/>
    <col min="13513" max="13513" width="10.44140625" style="7275" customWidth="1"/>
    <col min="13514" max="13516" width="16.109375" style="7275" customWidth="1"/>
    <col min="13517" max="13766" width="9.109375" style="7275"/>
    <col min="13767" max="13767" width="3.88671875" style="7275" customWidth="1"/>
    <col min="13768" max="13768" width="37.88671875" style="7275" customWidth="1"/>
    <col min="13769" max="13769" width="10.44140625" style="7275" customWidth="1"/>
    <col min="13770" max="13772" width="16.109375" style="7275" customWidth="1"/>
    <col min="13773" max="14022" width="9.109375" style="7275"/>
    <col min="14023" max="14023" width="3.88671875" style="7275" customWidth="1"/>
    <col min="14024" max="14024" width="37.88671875" style="7275" customWidth="1"/>
    <col min="14025" max="14025" width="10.44140625" style="7275" customWidth="1"/>
    <col min="14026" max="14028" width="16.109375" style="7275" customWidth="1"/>
    <col min="14029" max="14278" width="9.109375" style="7275"/>
    <col min="14279" max="14279" width="3.88671875" style="7275" customWidth="1"/>
    <col min="14280" max="14280" width="37.88671875" style="7275" customWidth="1"/>
    <col min="14281" max="14281" width="10.44140625" style="7275" customWidth="1"/>
    <col min="14282" max="14284" width="16.109375" style="7275" customWidth="1"/>
    <col min="14285" max="14534" width="9.109375" style="7275"/>
    <col min="14535" max="14535" width="3.88671875" style="7275" customWidth="1"/>
    <col min="14536" max="14536" width="37.88671875" style="7275" customWidth="1"/>
    <col min="14537" max="14537" width="10.44140625" style="7275" customWidth="1"/>
    <col min="14538" max="14540" width="16.109375" style="7275" customWidth="1"/>
    <col min="14541" max="14790" width="9.109375" style="7275"/>
    <col min="14791" max="14791" width="3.88671875" style="7275" customWidth="1"/>
    <col min="14792" max="14792" width="37.88671875" style="7275" customWidth="1"/>
    <col min="14793" max="14793" width="10.44140625" style="7275" customWidth="1"/>
    <col min="14794" max="14796" width="16.109375" style="7275" customWidth="1"/>
    <col min="14797" max="15046" width="9.109375" style="7275"/>
    <col min="15047" max="15047" width="3.88671875" style="7275" customWidth="1"/>
    <col min="15048" max="15048" width="37.88671875" style="7275" customWidth="1"/>
    <col min="15049" max="15049" width="10.44140625" style="7275" customWidth="1"/>
    <col min="15050" max="15052" width="16.109375" style="7275" customWidth="1"/>
    <col min="15053" max="15302" width="9.109375" style="7275"/>
    <col min="15303" max="15303" width="3.88671875" style="7275" customWidth="1"/>
    <col min="15304" max="15304" width="37.88671875" style="7275" customWidth="1"/>
    <col min="15305" max="15305" width="10.44140625" style="7275" customWidth="1"/>
    <col min="15306" max="15308" width="16.109375" style="7275" customWidth="1"/>
    <col min="15309" max="15558" width="9.109375" style="7275"/>
    <col min="15559" max="15559" width="3.88671875" style="7275" customWidth="1"/>
    <col min="15560" max="15560" width="37.88671875" style="7275" customWidth="1"/>
    <col min="15561" max="15561" width="10.44140625" style="7275" customWidth="1"/>
    <col min="15562" max="15564" width="16.109375" style="7275" customWidth="1"/>
    <col min="15565" max="15814" width="9.109375" style="7275"/>
    <col min="15815" max="15815" width="3.88671875" style="7275" customWidth="1"/>
    <col min="15816" max="15816" width="37.88671875" style="7275" customWidth="1"/>
    <col min="15817" max="15817" width="10.44140625" style="7275" customWidth="1"/>
    <col min="15818" max="15820" width="16.109375" style="7275" customWidth="1"/>
    <col min="15821" max="16070" width="9.109375" style="7275"/>
    <col min="16071" max="16071" width="3.88671875" style="7275" customWidth="1"/>
    <col min="16072" max="16072" width="37.88671875" style="7275" customWidth="1"/>
    <col min="16073" max="16073" width="10.44140625" style="7275" customWidth="1"/>
    <col min="16074" max="16076" width="16.109375" style="7275" customWidth="1"/>
    <col min="16077" max="16384" width="9.109375" style="7275"/>
  </cols>
  <sheetData>
    <row r="1" spans="1:12" ht="15" customHeight="1">
      <c r="A1" s="14807" t="s">
        <v>1</v>
      </c>
      <c r="B1" s="14807"/>
      <c r="C1" s="14807"/>
      <c r="D1" s="14807"/>
      <c r="E1" s="14807"/>
      <c r="F1" s="14807"/>
      <c r="G1" s="14807"/>
      <c r="H1" s="14807"/>
      <c r="I1" s="14807"/>
      <c r="J1" s="14807"/>
    </row>
    <row r="2" spans="1:12" ht="15" customHeight="1">
      <c r="A2" s="7276"/>
      <c r="B2" s="7277"/>
      <c r="C2" s="7278"/>
      <c r="D2" s="7279"/>
      <c r="E2" s="7279"/>
      <c r="F2" s="7279"/>
      <c r="G2" s="7279"/>
      <c r="H2" s="7279"/>
      <c r="I2" s="7280"/>
      <c r="J2" s="7279"/>
    </row>
    <row r="3" spans="1:12" ht="15" customHeight="1">
      <c r="A3" s="7276" t="s">
        <v>10722</v>
      </c>
      <c r="B3" s="7281"/>
      <c r="C3" s="7282" t="s">
        <v>10725</v>
      </c>
      <c r="D3" s="7283"/>
      <c r="E3" s="7283"/>
      <c r="F3" s="7283"/>
      <c r="G3" s="7283"/>
      <c r="H3" s="7283"/>
      <c r="I3" s="7284"/>
      <c r="J3" s="7283"/>
    </row>
    <row r="4" spans="1:12" ht="15" customHeight="1">
      <c r="A4" s="7276" t="s">
        <v>4</v>
      </c>
      <c r="B4" s="7276"/>
      <c r="C4" s="7278" t="s">
        <v>92</v>
      </c>
      <c r="D4" s="7285"/>
      <c r="E4" s="7285"/>
      <c r="F4" s="7285"/>
      <c r="G4" s="9415"/>
      <c r="H4" s="7285"/>
      <c r="I4" s="7286"/>
      <c r="J4" s="14952"/>
    </row>
    <row r="5" spans="1:12" ht="15" customHeight="1">
      <c r="A5" s="7287" t="s">
        <v>7</v>
      </c>
      <c r="B5" s="7287"/>
      <c r="C5" s="7288" t="s">
        <v>8</v>
      </c>
      <c r="D5" s="7289"/>
      <c r="E5" s="7289"/>
      <c r="F5" s="7289"/>
      <c r="G5" s="7289"/>
      <c r="H5" s="7289"/>
      <c r="I5" s="7290"/>
      <c r="J5" s="14952"/>
    </row>
    <row r="6" spans="1:12" ht="15" customHeight="1" thickBot="1">
      <c r="A6" s="7291"/>
      <c r="B6" s="7291"/>
      <c r="C6" s="7292"/>
      <c r="D6" s="7293"/>
      <c r="E6" s="7293"/>
      <c r="F6" s="7293"/>
      <c r="G6" s="7293"/>
      <c r="H6" s="7293"/>
      <c r="I6" s="7294"/>
      <c r="J6" s="7293"/>
    </row>
    <row r="7" spans="1:12" ht="15" customHeight="1">
      <c r="A7" s="7657"/>
      <c r="B7" s="7295"/>
      <c r="C7" s="7454" t="s">
        <v>9</v>
      </c>
      <c r="D7" s="10881" t="s">
        <v>10</v>
      </c>
      <c r="E7" s="15186" t="s">
        <v>10711</v>
      </c>
      <c r="F7" s="15187"/>
      <c r="G7" s="15188"/>
      <c r="H7" s="7528" t="s">
        <v>9985</v>
      </c>
      <c r="I7" s="7395"/>
      <c r="J7" s="11055" t="s">
        <v>12</v>
      </c>
    </row>
    <row r="8" spans="1:12" ht="15" customHeight="1">
      <c r="A8" s="7643"/>
      <c r="B8" s="7295" t="s">
        <v>13</v>
      </c>
      <c r="C8" s="15182" t="s">
        <v>14</v>
      </c>
      <c r="D8" s="7296" t="s">
        <v>15</v>
      </c>
      <c r="E8" s="11050" t="s">
        <v>10709</v>
      </c>
      <c r="F8" s="7299" t="s">
        <v>10710</v>
      </c>
      <c r="G8" s="15189" t="s">
        <v>458</v>
      </c>
      <c r="H8" s="7347" t="s">
        <v>11746</v>
      </c>
      <c r="I8" s="7642"/>
      <c r="J8" s="7644" t="s">
        <v>16</v>
      </c>
    </row>
    <row r="9" spans="1:12" ht="15" customHeight="1" thickBot="1">
      <c r="A9" s="7645"/>
      <c r="B9" s="7300"/>
      <c r="C9" s="15183"/>
      <c r="D9" s="7301">
        <v>2017</v>
      </c>
      <c r="E9" s="10887" t="s">
        <v>457</v>
      </c>
      <c r="F9" s="9404" t="s">
        <v>456</v>
      </c>
      <c r="G9" s="15190"/>
      <c r="H9" s="7533">
        <v>2018</v>
      </c>
      <c r="I9" s="7322"/>
      <c r="J9" s="7646">
        <v>2019</v>
      </c>
    </row>
    <row r="10" spans="1:12" ht="15" customHeight="1">
      <c r="A10" s="7647" t="s">
        <v>17</v>
      </c>
      <c r="B10" s="7287" t="s">
        <v>18</v>
      </c>
      <c r="C10" s="7304"/>
      <c r="D10" s="7305"/>
      <c r="E10" s="9429"/>
      <c r="F10" s="7648"/>
      <c r="G10" s="7649"/>
      <c r="H10" s="7306"/>
      <c r="I10" s="7307"/>
      <c r="J10" s="7649"/>
    </row>
    <row r="11" spans="1:12" ht="15" customHeight="1">
      <c r="A11" s="7643"/>
      <c r="B11" s="7287" t="s">
        <v>19</v>
      </c>
      <c r="C11" s="7304"/>
      <c r="D11" s="7305"/>
      <c r="E11" s="9429"/>
      <c r="F11" s="7648"/>
      <c r="G11" s="7649"/>
      <c r="H11" s="7306"/>
      <c r="I11" s="7307"/>
      <c r="J11" s="7649"/>
    </row>
    <row r="12" spans="1:12" ht="15" customHeight="1">
      <c r="A12" s="7643"/>
      <c r="B12" s="7287" t="s">
        <v>20</v>
      </c>
      <c r="C12" s="8773">
        <v>50101010</v>
      </c>
      <c r="D12" s="7650">
        <f>'WS-PS 2017'!B35</f>
        <v>3636841.48</v>
      </c>
      <c r="E12" s="9453">
        <f>'WS-PS ACTUAL JUNE 2018'!B35</f>
        <v>1970708.6</v>
      </c>
      <c r="F12" s="7651">
        <f>G12-E12</f>
        <v>4091775.4</v>
      </c>
      <c r="G12" s="7650">
        <v>6062484</v>
      </c>
      <c r="H12" s="7652"/>
      <c r="I12" s="7359"/>
      <c r="J12" s="7650">
        <f>K12</f>
        <v>6598440</v>
      </c>
      <c r="K12" s="11654">
        <f>'staffing-mari'!F46</f>
        <v>6598440</v>
      </c>
      <c r="L12" s="7346">
        <f>'staffing-mari'!B46</f>
        <v>23</v>
      </c>
    </row>
    <row r="13" spans="1:12" ht="15" customHeight="1">
      <c r="A13" s="7643"/>
      <c r="B13" s="7287" t="s">
        <v>21</v>
      </c>
      <c r="C13" s="8773">
        <v>50102010</v>
      </c>
      <c r="D13" s="7649">
        <f>'WS-PS 2017'!F35</f>
        <v>335638.09</v>
      </c>
      <c r="E13" s="7653">
        <f>'WS-PS ACTUAL JUNE 2018'!D35</f>
        <v>180000</v>
      </c>
      <c r="F13" s="7651">
        <f t="shared" ref="F13:F28" si="0">G13-E13</f>
        <v>348000</v>
      </c>
      <c r="G13" s="7649">
        <v>528000</v>
      </c>
      <c r="H13" s="7655"/>
      <c r="I13" s="7358"/>
      <c r="J13" s="7650">
        <f t="shared" ref="J13:J28" si="1">K13</f>
        <v>552000</v>
      </c>
      <c r="K13" s="7502">
        <f>24000*L12</f>
        <v>552000</v>
      </c>
    </row>
    <row r="14" spans="1:12" ht="15" customHeight="1">
      <c r="A14" s="7643"/>
      <c r="B14" s="7366" t="s">
        <v>22</v>
      </c>
      <c r="C14" s="8773">
        <v>50102040</v>
      </c>
      <c r="D14" s="7649">
        <f>'WS-PS 2017'!I35</f>
        <v>55000</v>
      </c>
      <c r="E14" s="7653">
        <f>'WS-PS ACTUAL JUNE 2018'!G35</f>
        <v>90000</v>
      </c>
      <c r="F14" s="7651">
        <f t="shared" si="0"/>
        <v>20000</v>
      </c>
      <c r="G14" s="7649">
        <v>110000</v>
      </c>
      <c r="H14" s="7655"/>
      <c r="I14" s="7358"/>
      <c r="J14" s="7650">
        <f t="shared" si="1"/>
        <v>138000</v>
      </c>
      <c r="K14" s="7502">
        <f>6000*L12</f>
        <v>138000</v>
      </c>
    </row>
    <row r="15" spans="1:12" ht="15" customHeight="1">
      <c r="A15" s="7643"/>
      <c r="B15" s="7366" t="s">
        <v>106</v>
      </c>
      <c r="C15" s="8773">
        <v>50102050</v>
      </c>
      <c r="D15" s="7649">
        <f>'WS-PS 2017'!J35</f>
        <v>151806.5</v>
      </c>
      <c r="E15" s="7653">
        <f>'WS-PS ACTUAL JUNE 2018'!H35</f>
        <v>81131.75</v>
      </c>
      <c r="F15" s="7651">
        <f t="shared" si="0"/>
        <v>314868.25</v>
      </c>
      <c r="G15" s="7649">
        <v>396000</v>
      </c>
      <c r="H15" s="7655"/>
      <c r="I15" s="7358"/>
      <c r="J15" s="7650">
        <f t="shared" si="1"/>
        <v>248400</v>
      </c>
      <c r="K15" s="7502">
        <f>10800*L12</f>
        <v>248400</v>
      </c>
    </row>
    <row r="16" spans="1:12" ht="15" customHeight="1">
      <c r="A16" s="7643"/>
      <c r="B16" s="7352" t="s">
        <v>10970</v>
      </c>
      <c r="C16" s="8778">
        <v>50102060</v>
      </c>
      <c r="D16" s="7649">
        <f>'WS-PS 2017'!K35</f>
        <v>23955.62</v>
      </c>
      <c r="E16" s="7653">
        <f>'WS-PS ACTUAL JUNE 2018'!I35</f>
        <v>12586.52</v>
      </c>
      <c r="F16" s="7651">
        <f t="shared" si="0"/>
        <v>27013.48</v>
      </c>
      <c r="G16" s="7649">
        <v>39600</v>
      </c>
      <c r="H16" s="7655"/>
      <c r="I16" s="7358"/>
      <c r="J16" s="7650">
        <f t="shared" si="1"/>
        <v>41400</v>
      </c>
      <c r="K16" s="7502">
        <f>1800*L12</f>
        <v>41400</v>
      </c>
    </row>
    <row r="17" spans="1:11" ht="15" customHeight="1">
      <c r="A17" s="7643"/>
      <c r="B17" s="7488" t="s">
        <v>10932</v>
      </c>
      <c r="C17" s="8775">
        <v>50102080</v>
      </c>
      <c r="D17" s="7649">
        <f>'WS-PS 2017'!L35</f>
        <v>75000</v>
      </c>
      <c r="E17" s="7653">
        <f>'WS-PS ACTUAL JUNE 2018'!J35</f>
        <v>0</v>
      </c>
      <c r="F17" s="7651">
        <f t="shared" si="0"/>
        <v>110000</v>
      </c>
      <c r="G17" s="7649">
        <v>110000</v>
      </c>
      <c r="H17" s="7655"/>
      <c r="I17" s="7358"/>
      <c r="J17" s="7650">
        <f t="shared" si="1"/>
        <v>115000</v>
      </c>
      <c r="K17" s="7502">
        <f>5000*L12</f>
        <v>115000</v>
      </c>
    </row>
    <row r="18" spans="1:11" ht="15" customHeight="1">
      <c r="A18" s="7643"/>
      <c r="B18" s="7287" t="s">
        <v>95</v>
      </c>
      <c r="C18" s="8779">
        <v>50102110</v>
      </c>
      <c r="D18" s="7649">
        <f>'WS-PS 2017'!N35</f>
        <v>744557.73</v>
      </c>
      <c r="E18" s="7653">
        <f>'WS-PS ACTUAL JUNE 2018'!L35</f>
        <v>401480.97</v>
      </c>
      <c r="F18" s="7651">
        <f t="shared" si="0"/>
        <v>462511.03</v>
      </c>
      <c r="G18" s="7649">
        <v>863992</v>
      </c>
      <c r="H18" s="7655"/>
      <c r="I18" s="7358"/>
      <c r="J18" s="7650">
        <f t="shared" si="1"/>
        <v>1649610</v>
      </c>
      <c r="K18" s="11654">
        <f>25%*K12</f>
        <v>1649610</v>
      </c>
    </row>
    <row r="19" spans="1:11" ht="15" customHeight="1">
      <c r="A19" s="7643"/>
      <c r="B19" s="7488" t="s">
        <v>10934</v>
      </c>
      <c r="C19" s="8773">
        <v>50102120</v>
      </c>
      <c r="D19" s="7649">
        <f>'WS-PS 2017'!O35</f>
        <v>5000</v>
      </c>
      <c r="E19" s="7653">
        <f>'WS-PS ACTUAL JUNE 2018'!M35</f>
        <v>15000</v>
      </c>
      <c r="F19" s="7651">
        <f>G19-E19</f>
        <v>5000</v>
      </c>
      <c r="G19" s="7649">
        <v>20000</v>
      </c>
      <c r="H19" s="7655"/>
      <c r="I19" s="7358"/>
      <c r="J19" s="7650">
        <f t="shared" si="1"/>
        <v>20000</v>
      </c>
      <c r="K19" s="7502">
        <v>20000</v>
      </c>
    </row>
    <row r="20" spans="1:11" ht="15" customHeight="1">
      <c r="A20" s="7643"/>
      <c r="B20" s="7488" t="s">
        <v>10933</v>
      </c>
      <c r="C20" s="8773">
        <v>50102140</v>
      </c>
      <c r="D20" s="7658">
        <f>'WS-PS 2017'!U35+'WS-PS 2017'!S35</f>
        <v>577427</v>
      </c>
      <c r="E20" s="9454">
        <f>'WS-PS ACTUAL JUNE 2018'!O35</f>
        <v>329958</v>
      </c>
      <c r="F20" s="7651">
        <f t="shared" si="0"/>
        <v>680456</v>
      </c>
      <c r="G20" s="7658">
        <v>1010414</v>
      </c>
      <c r="H20" s="7659"/>
      <c r="I20" s="7360"/>
      <c r="J20" s="7650">
        <f t="shared" si="1"/>
        <v>1099740</v>
      </c>
      <c r="K20" s="7502">
        <f>SUM(K12:K12)/12*2</f>
        <v>1099740</v>
      </c>
    </row>
    <row r="21" spans="1:11" ht="15" customHeight="1">
      <c r="A21" s="7643"/>
      <c r="B21" s="7287" t="s">
        <v>26</v>
      </c>
      <c r="C21" s="8779">
        <v>50102150</v>
      </c>
      <c r="D21" s="7649">
        <f>'WS-PS 2017'!T35</f>
        <v>69500</v>
      </c>
      <c r="E21" s="7653">
        <f>'WS-PS ACTUAL JUNE 2018'!Q35</f>
        <v>0</v>
      </c>
      <c r="F21" s="7651">
        <f>G21-E21</f>
        <v>110000</v>
      </c>
      <c r="G21" s="7649">
        <v>110000</v>
      </c>
      <c r="H21" s="7655"/>
      <c r="I21" s="7358"/>
      <c r="J21" s="7650">
        <f t="shared" si="1"/>
        <v>115000</v>
      </c>
      <c r="K21" s="10573">
        <f>K17</f>
        <v>115000</v>
      </c>
    </row>
    <row r="22" spans="1:11" ht="15" customHeight="1">
      <c r="A22" s="7657"/>
      <c r="B22" s="7488" t="s">
        <v>11497</v>
      </c>
      <c r="C22" s="8774">
        <v>50102990</v>
      </c>
      <c r="D22" s="7655">
        <v>0</v>
      </c>
      <c r="E22" s="7653">
        <f>'WS-PS ACTUAL JUNE 2018'!R35</f>
        <v>0</v>
      </c>
      <c r="F22" s="7651">
        <f>G22-E22</f>
        <v>290494</v>
      </c>
      <c r="G22" s="7655">
        <v>290494</v>
      </c>
      <c r="H22" s="7655"/>
      <c r="I22" s="7358"/>
      <c r="J22" s="7650">
        <v>0</v>
      </c>
      <c r="K22" s="7502">
        <f>K12/12*0.575</f>
        <v>316175.25</v>
      </c>
    </row>
    <row r="23" spans="1:11" ht="15" customHeight="1">
      <c r="A23" s="7656"/>
      <c r="B23" s="7803" t="s">
        <v>11499</v>
      </c>
      <c r="C23" s="8757" t="s">
        <v>11495</v>
      </c>
      <c r="D23" s="7655">
        <f>'WS-PS 2017'!Q35</f>
        <v>0</v>
      </c>
      <c r="E23" s="7653">
        <f>'WS-PS ACTUAL JUNE 2018'!S35</f>
        <v>0</v>
      </c>
      <c r="F23" s="7651">
        <f>G23-E23</f>
        <v>0</v>
      </c>
      <c r="G23" s="7655">
        <v>0</v>
      </c>
      <c r="H23" s="7655"/>
      <c r="I23" s="7358"/>
      <c r="J23" s="7650">
        <f t="shared" si="1"/>
        <v>69000</v>
      </c>
      <c r="K23" s="7502">
        <f>3000*L12</f>
        <v>69000</v>
      </c>
    </row>
    <row r="24" spans="1:11" ht="15" customHeight="1">
      <c r="A24" s="7643"/>
      <c r="B24" s="8088" t="s">
        <v>59</v>
      </c>
      <c r="C24" s="8773">
        <v>50103010</v>
      </c>
      <c r="D24" s="7649">
        <f>'WS-PS 2017'!V35</f>
        <v>435697.62</v>
      </c>
      <c r="E24" s="7653">
        <f>'WS-PS ACTUAL JUNE 2018'!T35</f>
        <v>236485.03</v>
      </c>
      <c r="F24" s="7651">
        <f t="shared" si="0"/>
        <v>491012.97</v>
      </c>
      <c r="G24" s="7649">
        <v>727498</v>
      </c>
      <c r="H24" s="7655"/>
      <c r="I24" s="7358"/>
      <c r="J24" s="7650">
        <f t="shared" si="1"/>
        <v>791812.79999999993</v>
      </c>
      <c r="K24" s="11655">
        <f>SUM(K12:K12)*12%</f>
        <v>791812.79999999993</v>
      </c>
    </row>
    <row r="25" spans="1:11" ht="15" customHeight="1">
      <c r="A25" s="7643"/>
      <c r="B25" s="7803" t="s">
        <v>28</v>
      </c>
      <c r="C25" s="8773">
        <v>50103020</v>
      </c>
      <c r="D25" s="7649">
        <f>'WS-PS 2017'!W35</f>
        <v>16700</v>
      </c>
      <c r="E25" s="7653">
        <f>'WS-PS ACTUAL JUNE 2018'!U35</f>
        <v>9000</v>
      </c>
      <c r="F25" s="7651">
        <f t="shared" si="0"/>
        <v>17400</v>
      </c>
      <c r="G25" s="7649">
        <v>26400</v>
      </c>
      <c r="H25" s="7655"/>
      <c r="I25" s="7358"/>
      <c r="J25" s="7650">
        <f t="shared" si="1"/>
        <v>27600</v>
      </c>
      <c r="K25" s="7502">
        <f>1200*L12</f>
        <v>27600</v>
      </c>
    </row>
    <row r="26" spans="1:11" ht="15" customHeight="1">
      <c r="A26" s="7643"/>
      <c r="B26" s="7803" t="s">
        <v>29</v>
      </c>
      <c r="C26" s="8773">
        <v>50103030</v>
      </c>
      <c r="D26" s="7649">
        <f>'WS-PS 2017'!X35</f>
        <v>38825</v>
      </c>
      <c r="E26" s="7653">
        <f>'WS-PS ACTUAL JUNE 2018'!V35</f>
        <v>24067.55</v>
      </c>
      <c r="F26" s="7651">
        <f t="shared" si="0"/>
        <v>29332.45</v>
      </c>
      <c r="G26" s="7649">
        <v>53400</v>
      </c>
      <c r="H26" s="7655"/>
      <c r="I26" s="7358"/>
      <c r="J26" s="7650">
        <v>75694.080000000002</v>
      </c>
      <c r="K26" s="7502">
        <f>3600*L12</f>
        <v>82800</v>
      </c>
    </row>
    <row r="27" spans="1:11" ht="15" customHeight="1">
      <c r="A27" s="7643"/>
      <c r="B27" s="7803" t="s">
        <v>30</v>
      </c>
      <c r="C27" s="8773">
        <v>50103040</v>
      </c>
      <c r="D27" s="7649">
        <f>'WS-PS 2017'!Y35</f>
        <v>16733.04</v>
      </c>
      <c r="E27" s="7653">
        <f>'WS-PS ACTUAL JUNE 2018'!W35</f>
        <v>8999.6200000000008</v>
      </c>
      <c r="F27" s="7651">
        <f t="shared" si="0"/>
        <v>17400.379999999997</v>
      </c>
      <c r="G27" s="7649">
        <v>26400</v>
      </c>
      <c r="H27" s="7655"/>
      <c r="I27" s="7358"/>
      <c r="J27" s="7650">
        <f t="shared" si="1"/>
        <v>27600</v>
      </c>
      <c r="K27" s="7502">
        <f>K25</f>
        <v>27600</v>
      </c>
    </row>
    <row r="28" spans="1:11" ht="15" customHeight="1">
      <c r="A28" s="7643"/>
      <c r="B28" s="7488" t="s">
        <v>5025</v>
      </c>
      <c r="C28" s="8776">
        <v>50104990</v>
      </c>
      <c r="D28" s="7649">
        <f>'WS-PS 2017'!Z35</f>
        <v>376250</v>
      </c>
      <c r="E28" s="7653"/>
      <c r="F28" s="7651">
        <f t="shared" si="0"/>
        <v>0</v>
      </c>
      <c r="G28" s="7649">
        <v>0</v>
      </c>
      <c r="H28" s="7655"/>
      <c r="I28" s="7358"/>
      <c r="J28" s="7650">
        <f t="shared" si="1"/>
        <v>0</v>
      </c>
    </row>
    <row r="29" spans="1:11" ht="15" customHeight="1">
      <c r="A29" s="7643"/>
      <c r="B29" s="7287"/>
      <c r="C29" s="7304"/>
      <c r="D29" s="7660"/>
      <c r="E29" s="7661"/>
      <c r="F29" s="7661"/>
      <c r="G29" s="7660"/>
      <c r="H29" s="7662"/>
      <c r="I29" s="7663"/>
      <c r="J29" s="7660"/>
    </row>
    <row r="30" spans="1:11" ht="15" customHeight="1" thickBot="1">
      <c r="A30" s="7657"/>
      <c r="B30" s="7315" t="s">
        <v>37</v>
      </c>
      <c r="C30" s="7686"/>
      <c r="D30" s="7316">
        <f>SUM(D11:D28)</f>
        <v>6558932.0800000001</v>
      </c>
      <c r="E30" s="7316">
        <f>SUM(E11:E28)</f>
        <v>3359418.0399999996</v>
      </c>
      <c r="F30" s="7316">
        <f>SUM(F11:F28)</f>
        <v>7015263.9600000009</v>
      </c>
      <c r="G30" s="7316">
        <f>SUM(G11:G28)</f>
        <v>10374682</v>
      </c>
      <c r="H30" s="7316"/>
      <c r="I30" s="7384"/>
      <c r="J30" s="7316">
        <f>SUM(J11:J28)</f>
        <v>11569296.880000001</v>
      </c>
      <c r="K30" s="11656">
        <f>SUM(K12:K29)</f>
        <v>11892578.050000001</v>
      </c>
    </row>
    <row r="31" spans="1:11" ht="15" customHeight="1">
      <c r="A31" s="7688"/>
      <c r="B31" s="7689"/>
      <c r="C31" s="7690"/>
      <c r="D31" s="7691"/>
      <c r="E31" s="7691"/>
      <c r="F31" s="7691"/>
      <c r="G31" s="7691"/>
      <c r="H31" s="7691"/>
      <c r="I31" s="7389"/>
      <c r="J31" s="7691"/>
    </row>
    <row r="32" spans="1:11" ht="15" customHeight="1">
      <c r="A32" s="7287"/>
      <c r="B32" s="7315"/>
      <c r="C32" s="7288"/>
      <c r="D32" s="7349"/>
      <c r="E32" s="7349"/>
      <c r="F32" s="7349"/>
      <c r="G32" s="7349"/>
      <c r="H32" s="7349"/>
      <c r="I32" s="7350"/>
      <c r="J32" s="7349"/>
    </row>
    <row r="33" spans="1:10" ht="15" customHeight="1">
      <c r="A33" s="7287"/>
      <c r="B33" s="7315"/>
      <c r="C33" s="7288"/>
      <c r="D33" s="7349"/>
      <c r="E33" s="7349"/>
      <c r="F33" s="7349"/>
      <c r="G33" s="7349"/>
      <c r="H33" s="7349"/>
      <c r="I33" s="7350"/>
      <c r="J33" s="7349"/>
    </row>
    <row r="34" spans="1:10" ht="15" customHeight="1">
      <c r="A34" s="7287"/>
      <c r="B34" s="7315"/>
      <c r="C34" s="7288"/>
      <c r="D34" s="7349"/>
      <c r="E34" s="7349"/>
      <c r="F34" s="7349"/>
      <c r="G34" s="7349"/>
      <c r="H34" s="7349"/>
      <c r="I34" s="7350"/>
      <c r="J34" s="7349"/>
    </row>
    <row r="35" spans="1:10" ht="15" customHeight="1">
      <c r="A35" s="7287"/>
      <c r="B35" s="7315"/>
      <c r="C35" s="7288"/>
      <c r="D35" s="7349"/>
      <c r="E35" s="7349"/>
      <c r="F35" s="7349"/>
      <c r="G35" s="7349"/>
      <c r="H35" s="7349"/>
      <c r="I35" s="7350"/>
      <c r="J35" s="7349"/>
    </row>
    <row r="36" spans="1:10" ht="15" customHeight="1">
      <c r="A36" s="7287"/>
      <c r="B36" s="7315"/>
      <c r="C36" s="7288"/>
      <c r="D36" s="7349"/>
      <c r="E36" s="7349"/>
      <c r="F36" s="7349"/>
      <c r="G36" s="7349"/>
      <c r="H36" s="7349"/>
      <c r="I36" s="7350"/>
      <c r="J36" s="7349"/>
    </row>
    <row r="37" spans="1:10" ht="15" customHeight="1">
      <c r="A37" s="7287"/>
      <c r="B37" s="7315"/>
      <c r="C37" s="7288"/>
      <c r="D37" s="7349"/>
      <c r="E37" s="7349"/>
      <c r="F37" s="7349"/>
      <c r="G37" s="7349"/>
      <c r="H37" s="7349"/>
      <c r="I37" s="7350"/>
      <c r="J37" s="7349"/>
    </row>
    <row r="38" spans="1:10" ht="15" customHeight="1" thickBot="1">
      <c r="A38" s="7692" t="s">
        <v>156</v>
      </c>
      <c r="B38" s="7291"/>
      <c r="C38" s="7292"/>
      <c r="D38" s="7693"/>
      <c r="E38" s="7693"/>
      <c r="F38" s="7693"/>
      <c r="G38" s="7293"/>
      <c r="H38" s="7293"/>
      <c r="I38" s="7294"/>
      <c r="J38" s="7293"/>
    </row>
    <row r="39" spans="1:10" ht="15" customHeight="1">
      <c r="A39" s="7657"/>
      <c r="B39" s="7687"/>
      <c r="C39" s="7454" t="s">
        <v>9</v>
      </c>
      <c r="D39" s="10881" t="s">
        <v>10</v>
      </c>
      <c r="E39" s="15186" t="s">
        <v>10711</v>
      </c>
      <c r="F39" s="15187"/>
      <c r="G39" s="15188"/>
      <c r="H39" s="7485"/>
      <c r="I39" s="7395"/>
      <c r="J39" s="11055" t="s">
        <v>12</v>
      </c>
    </row>
    <row r="40" spans="1:10" ht="15" customHeight="1">
      <c r="A40" s="7643"/>
      <c r="B40" s="7671" t="s">
        <v>13</v>
      </c>
      <c r="C40" s="15194" t="s">
        <v>14</v>
      </c>
      <c r="D40" s="7672" t="s">
        <v>15</v>
      </c>
      <c r="E40" s="11050" t="s">
        <v>10709</v>
      </c>
      <c r="F40" s="7299" t="s">
        <v>10710</v>
      </c>
      <c r="G40" s="15189" t="s">
        <v>458</v>
      </c>
      <c r="H40" s="7673"/>
      <c r="I40" s="7674"/>
      <c r="J40" s="7675" t="s">
        <v>16</v>
      </c>
    </row>
    <row r="41" spans="1:10" ht="15" customHeight="1" thickBot="1">
      <c r="A41" s="7645"/>
      <c r="B41" s="7676"/>
      <c r="C41" s="15146"/>
      <c r="D41" s="9455">
        <v>2017</v>
      </c>
      <c r="E41" s="10887" t="s">
        <v>457</v>
      </c>
      <c r="F41" s="9404" t="s">
        <v>456</v>
      </c>
      <c r="G41" s="15190"/>
      <c r="H41" s="7302"/>
      <c r="I41" s="7322"/>
      <c r="J41" s="7677">
        <v>2019</v>
      </c>
    </row>
    <row r="42" spans="1:10" ht="15" customHeight="1">
      <c r="A42" s="7703"/>
      <c r="B42" s="7688" t="s">
        <v>38</v>
      </c>
      <c r="C42" s="7704"/>
      <c r="D42" s="7705"/>
      <c r="E42" s="7705"/>
      <c r="F42" s="7705"/>
      <c r="G42" s="7705"/>
      <c r="H42" s="7705"/>
      <c r="I42" s="7706"/>
      <c r="J42" s="7705"/>
    </row>
    <row r="43" spans="1:10" ht="15" customHeight="1">
      <c r="A43" s="7453"/>
      <c r="B43" s="7803" t="s">
        <v>391</v>
      </c>
      <c r="C43" s="8780">
        <v>50201010</v>
      </c>
      <c r="D43" s="7654">
        <f>'WS-MOOE 2017'!B35</f>
        <v>53129</v>
      </c>
      <c r="E43" s="7654">
        <f>'WS-MOOE ACTUAL JUNE 2018'!B36</f>
        <v>9487</v>
      </c>
      <c r="F43" s="7651">
        <f t="shared" ref="F43:F63" si="2">G43-E43</f>
        <v>110513</v>
      </c>
      <c r="G43" s="7654">
        <v>120000</v>
      </c>
      <c r="H43" s="7654">
        <v>13946</v>
      </c>
      <c r="I43" s="7396">
        <f>H43/G43</f>
        <v>0.11621666666666666</v>
      </c>
      <c r="J43" s="8798">
        <v>120000</v>
      </c>
    </row>
    <row r="44" spans="1:10" ht="15" customHeight="1">
      <c r="A44" s="7453"/>
      <c r="B44" s="7803" t="s">
        <v>10324</v>
      </c>
      <c r="C44" s="8780">
        <v>50202010</v>
      </c>
      <c r="D44" s="7654">
        <f>'WS-MOOE 2017'!H35</f>
        <v>25800</v>
      </c>
      <c r="E44" s="7654">
        <f>'WS-MOOE ACTUAL JUNE 2018'!G36</f>
        <v>0</v>
      </c>
      <c r="F44" s="7651">
        <f t="shared" si="2"/>
        <v>150000</v>
      </c>
      <c r="G44" s="7654">
        <v>150000</v>
      </c>
      <c r="H44" s="7654">
        <v>0</v>
      </c>
      <c r="I44" s="7396">
        <f t="shared" ref="I44:I63" si="3">H44/G44</f>
        <v>0</v>
      </c>
      <c r="J44" s="8798">
        <v>150000</v>
      </c>
    </row>
    <row r="45" spans="1:10" ht="15" customHeight="1">
      <c r="A45" s="7453"/>
      <c r="B45" s="7803" t="s">
        <v>392</v>
      </c>
      <c r="C45" s="8780">
        <v>50203010</v>
      </c>
      <c r="D45" s="7654">
        <f>'WS-MOOE 2017'!J35</f>
        <v>93556.3</v>
      </c>
      <c r="E45" s="7654">
        <f>'WS-MOOE ACTUAL JUNE 2018'!H36</f>
        <v>46503.05</v>
      </c>
      <c r="F45" s="7651">
        <f t="shared" si="2"/>
        <v>53496.95</v>
      </c>
      <c r="G45" s="7654">
        <v>100000</v>
      </c>
      <c r="H45" s="7654">
        <v>72150.5</v>
      </c>
      <c r="I45" s="7396">
        <f t="shared" si="3"/>
        <v>0.72150499999999995</v>
      </c>
      <c r="J45" s="8798">
        <v>120000</v>
      </c>
    </row>
    <row r="46" spans="1:10" ht="15" customHeight="1">
      <c r="A46" s="7453"/>
      <c r="B46" s="7287" t="s">
        <v>97</v>
      </c>
      <c r="C46" s="8778">
        <v>50203020</v>
      </c>
      <c r="D46" s="7654">
        <f>'WS-MOOE 2017'!M35</f>
        <v>27500</v>
      </c>
      <c r="E46" s="7654">
        <f>'WS-MOOE ACTUAL JUNE 2018'!J36</f>
        <v>8250</v>
      </c>
      <c r="F46" s="7651">
        <f t="shared" si="2"/>
        <v>27750</v>
      </c>
      <c r="G46" s="7654">
        <v>36000</v>
      </c>
      <c r="H46" s="7654">
        <v>16995</v>
      </c>
      <c r="I46" s="7396">
        <f t="shared" si="3"/>
        <v>0.47208333333333335</v>
      </c>
      <c r="J46" s="8798">
        <v>36000</v>
      </c>
    </row>
    <row r="47" spans="1:10" ht="15" customHeight="1">
      <c r="A47" s="7453"/>
      <c r="B47" s="7287" t="s">
        <v>98</v>
      </c>
      <c r="C47" s="8778">
        <v>50203050</v>
      </c>
      <c r="D47" s="7654">
        <f>'WS-MOOE 2017'!O35</f>
        <v>302100.14</v>
      </c>
      <c r="E47" s="7654">
        <f>'WS-MOOE ACTUAL JUNE 2018'!L36</f>
        <v>126429.15</v>
      </c>
      <c r="F47" s="7651">
        <f t="shared" si="2"/>
        <v>724070.85</v>
      </c>
      <c r="G47" s="7654">
        <v>850500</v>
      </c>
      <c r="H47" s="7654">
        <v>148584.74</v>
      </c>
      <c r="I47" s="7396">
        <f t="shared" si="3"/>
        <v>0.174702810111699</v>
      </c>
      <c r="J47" s="8798">
        <v>850000</v>
      </c>
    </row>
    <row r="48" spans="1:10" ht="15" customHeight="1">
      <c r="A48" s="7453"/>
      <c r="B48" s="7287" t="s">
        <v>9122</v>
      </c>
      <c r="C48" s="8781">
        <v>50203070</v>
      </c>
      <c r="D48" s="7654">
        <f>'WS-MOOE 2017'!P35</f>
        <v>1825408.26</v>
      </c>
      <c r="E48" s="7654">
        <f>'WS-MOOE ACTUAL JUNE 2018'!M36</f>
        <v>95782.2</v>
      </c>
      <c r="F48" s="7651">
        <f t="shared" si="2"/>
        <v>2904217.8</v>
      </c>
      <c r="G48" s="7654">
        <v>3000000</v>
      </c>
      <c r="H48" s="7654">
        <v>1236173.71</v>
      </c>
      <c r="I48" s="7396">
        <f>H48/G48</f>
        <v>0.41205790333333331</v>
      </c>
      <c r="J48" s="8798">
        <v>3000000</v>
      </c>
    </row>
    <row r="49" spans="1:11" ht="15" customHeight="1">
      <c r="A49" s="7453"/>
      <c r="B49" s="7287" t="s">
        <v>135</v>
      </c>
      <c r="C49" s="8778">
        <v>50203080</v>
      </c>
      <c r="D49" s="7654">
        <f>'WS-MOOE 2017'!Q35</f>
        <v>639435.21</v>
      </c>
      <c r="E49" s="7654">
        <f>'WS-MOOE ACTUAL JUNE 2018'!N36</f>
        <v>208697.25</v>
      </c>
      <c r="F49" s="7651">
        <f t="shared" si="2"/>
        <v>1791302.75</v>
      </c>
      <c r="G49" s="7654">
        <v>2000000</v>
      </c>
      <c r="H49" s="7654">
        <v>725418.57</v>
      </c>
      <c r="I49" s="7396">
        <f t="shared" si="3"/>
        <v>0.36270928499999999</v>
      </c>
      <c r="J49" s="8798">
        <v>2000000</v>
      </c>
    </row>
    <row r="50" spans="1:11" ht="15" customHeight="1">
      <c r="A50" s="7453"/>
      <c r="B50" s="7287" t="s">
        <v>44</v>
      </c>
      <c r="C50" s="8778">
        <v>50203090</v>
      </c>
      <c r="D50" s="7654">
        <f>'WS-MOOE 2017'!R35</f>
        <v>90103</v>
      </c>
      <c r="E50" s="7654">
        <f>'WS-MOOE ACTUAL JUNE 2018'!O36</f>
        <v>55940</v>
      </c>
      <c r="F50" s="7651">
        <f t="shared" si="2"/>
        <v>29060</v>
      </c>
      <c r="G50" s="7654">
        <v>85000</v>
      </c>
      <c r="H50" s="7654">
        <v>73940</v>
      </c>
      <c r="I50" s="7396">
        <f t="shared" si="3"/>
        <v>0.86988235294117644</v>
      </c>
      <c r="J50" s="8798">
        <v>110000</v>
      </c>
    </row>
    <row r="51" spans="1:11" ht="15" customHeight="1">
      <c r="A51" s="7453"/>
      <c r="B51" s="7287" t="s">
        <v>10974</v>
      </c>
      <c r="C51" s="8778">
        <v>50203990</v>
      </c>
      <c r="D51" s="7654">
        <f>'WS-MOOE 2017'!V35</f>
        <v>1462</v>
      </c>
      <c r="E51" s="7654">
        <f>'WS-MOOE ACTUAL JUNE 2018'!T36</f>
        <v>0</v>
      </c>
      <c r="F51" s="7651">
        <f>G51-E51</f>
        <v>30000</v>
      </c>
      <c r="G51" s="7654">
        <v>30000</v>
      </c>
      <c r="H51" s="7654">
        <v>0</v>
      </c>
      <c r="I51" s="7396">
        <f>H51/G51</f>
        <v>0</v>
      </c>
      <c r="J51" s="8798">
        <v>30000</v>
      </c>
    </row>
    <row r="52" spans="1:11" ht="15" customHeight="1">
      <c r="A52" s="7453"/>
      <c r="B52" s="7287" t="s">
        <v>45</v>
      </c>
      <c r="C52" s="8778">
        <v>50204010</v>
      </c>
      <c r="D52" s="7654">
        <f>'WS-MOOE 2017'!W35</f>
        <v>24340</v>
      </c>
      <c r="E52" s="7654">
        <f>'WS-MOOE ACTUAL JUNE 2018'!R36</f>
        <v>7092</v>
      </c>
      <c r="F52" s="7651">
        <f t="shared" si="2"/>
        <v>17908</v>
      </c>
      <c r="G52" s="7654">
        <v>25000</v>
      </c>
      <c r="H52" s="7654">
        <v>7292</v>
      </c>
      <c r="I52" s="7396">
        <f t="shared" si="3"/>
        <v>0.29167999999999999</v>
      </c>
      <c r="J52" s="8798">
        <v>25000</v>
      </c>
    </row>
    <row r="53" spans="1:11" ht="15" customHeight="1">
      <c r="A53" s="7453"/>
      <c r="B53" s="7287" t="s">
        <v>46</v>
      </c>
      <c r="C53" s="8778">
        <v>50204020</v>
      </c>
      <c r="D53" s="7654">
        <f>'WS-MOOE 2017'!X35</f>
        <v>235589.54</v>
      </c>
      <c r="E53" s="7654">
        <f>'WS-MOOE ACTUAL JUNE 2018'!S36</f>
        <v>159328.95999999999</v>
      </c>
      <c r="F53" s="7651">
        <f t="shared" si="2"/>
        <v>205671.04000000001</v>
      </c>
      <c r="G53" s="7654">
        <v>365000</v>
      </c>
      <c r="H53" s="7654">
        <v>188334.85</v>
      </c>
      <c r="I53" s="7396">
        <f t="shared" si="3"/>
        <v>0.51598589041095888</v>
      </c>
      <c r="J53" s="8798">
        <v>365000</v>
      </c>
    </row>
    <row r="54" spans="1:11" ht="15" customHeight="1">
      <c r="A54" s="7453"/>
      <c r="B54" s="7287" t="s">
        <v>62</v>
      </c>
      <c r="C54" s="8778">
        <v>50205010</v>
      </c>
      <c r="D54" s="7654">
        <f>'WS-MOOE 2017'!Z35</f>
        <v>1505</v>
      </c>
      <c r="E54" s="7654">
        <f>'WS-MOOE ACTUAL JUNE 2018'!U36</f>
        <v>1125</v>
      </c>
      <c r="F54" s="7651">
        <f t="shared" si="2"/>
        <v>4875</v>
      </c>
      <c r="G54" s="7654">
        <v>6000</v>
      </c>
      <c r="H54" s="7654">
        <v>1125</v>
      </c>
      <c r="I54" s="7396">
        <f t="shared" si="3"/>
        <v>0.1875</v>
      </c>
      <c r="J54" s="8798">
        <v>6000</v>
      </c>
    </row>
    <row r="55" spans="1:11" ht="15" customHeight="1">
      <c r="A55" s="7453"/>
      <c r="B55" s="7536" t="s">
        <v>155</v>
      </c>
      <c r="C55" s="8782">
        <v>50205020</v>
      </c>
      <c r="D55" s="7654">
        <f>'WS-MOOE 2017'!AA35+'WS-MOOE 2017'!AC35</f>
        <v>29247.86</v>
      </c>
      <c r="E55" s="7654">
        <f>'WS-MOOE ACTUAL JUNE 2018'!V36</f>
        <v>12188.51</v>
      </c>
      <c r="F55" s="7651">
        <f t="shared" si="2"/>
        <v>53811.49</v>
      </c>
      <c r="G55" s="7654">
        <v>66000</v>
      </c>
      <c r="H55" s="7654">
        <v>16915.98</v>
      </c>
      <c r="I55" s="7396">
        <f t="shared" si="3"/>
        <v>0.25630272727272729</v>
      </c>
      <c r="J55" s="8798">
        <f>48000+18000</f>
        <v>66000</v>
      </c>
    </row>
    <row r="56" spans="1:11" ht="15" hidden="1" customHeight="1">
      <c r="A56" s="7453"/>
      <c r="B56" s="7287" t="s">
        <v>310</v>
      </c>
      <c r="C56" s="8778"/>
      <c r="D56" s="7654"/>
      <c r="E56" s="7654"/>
      <c r="F56" s="7651">
        <f t="shared" si="2"/>
        <v>0</v>
      </c>
      <c r="G56" s="7654"/>
      <c r="H56" s="7654">
        <v>0</v>
      </c>
      <c r="I56" s="7396" t="e">
        <f t="shared" si="3"/>
        <v>#DIV/0!</v>
      </c>
      <c r="J56" s="8798"/>
    </row>
    <row r="57" spans="1:11" ht="15" customHeight="1">
      <c r="A57" s="7453"/>
      <c r="B57" s="7803" t="s">
        <v>10973</v>
      </c>
      <c r="C57" s="8783">
        <v>50205030</v>
      </c>
      <c r="D57" s="7654">
        <f>'WS-MOOE 2017'!AE35</f>
        <v>28500</v>
      </c>
      <c r="E57" s="7654">
        <f>'WS-MOOE ACTUAL JUNE 2018'!Z36</f>
        <v>12500</v>
      </c>
      <c r="F57" s="7651">
        <f t="shared" si="2"/>
        <v>17500</v>
      </c>
      <c r="G57" s="7654">
        <v>30000</v>
      </c>
      <c r="H57" s="7654">
        <v>17500</v>
      </c>
      <c r="I57" s="7396">
        <f t="shared" si="3"/>
        <v>0.58333333333333337</v>
      </c>
      <c r="J57" s="8798">
        <v>30000</v>
      </c>
    </row>
    <row r="58" spans="1:11" ht="15" customHeight="1">
      <c r="A58" s="7453"/>
      <c r="B58" s="7488" t="s">
        <v>10955</v>
      </c>
      <c r="C58" s="8776">
        <v>50211990</v>
      </c>
      <c r="D58" s="7654">
        <f>'WS-MOOE 2017'!AL35</f>
        <v>1497166.46</v>
      </c>
      <c r="E58" s="7654">
        <f>'WS-MOOE ACTUAL JUNE 2018'!AF36</f>
        <v>1256635.93</v>
      </c>
      <c r="F58" s="7651">
        <f t="shared" si="2"/>
        <v>1343364.07</v>
      </c>
      <c r="G58" s="7654">
        <v>2600000</v>
      </c>
      <c r="H58" s="7654">
        <v>2911617</v>
      </c>
      <c r="I58" s="7396">
        <f t="shared" si="3"/>
        <v>1.1198526923076924</v>
      </c>
      <c r="J58" s="8798">
        <v>4500000</v>
      </c>
      <c r="K58" s="7340" t="s">
        <v>12011</v>
      </c>
    </row>
    <row r="59" spans="1:11" ht="15" customHeight="1">
      <c r="A59" s="7453"/>
      <c r="B59" s="7352" t="s">
        <v>10956</v>
      </c>
      <c r="C59" s="8773">
        <v>50212990</v>
      </c>
      <c r="D59" s="7654">
        <f>'WS-MOOE 2017'!AO35</f>
        <v>2059854.11</v>
      </c>
      <c r="E59" s="7654">
        <f>'WS-MOOE ACTUAL JUNE 2018'!AJ36</f>
        <v>433694.45</v>
      </c>
      <c r="F59" s="7651">
        <f>G59-E59</f>
        <v>766305.55</v>
      </c>
      <c r="G59" s="7654">
        <v>1200000</v>
      </c>
      <c r="H59" s="7654">
        <v>737002.05</v>
      </c>
      <c r="I59" s="7396">
        <f>H59/G59</f>
        <v>0.61416837499999999</v>
      </c>
      <c r="J59" s="8798">
        <v>1200000</v>
      </c>
      <c r="K59" s="7340">
        <v>1480000</v>
      </c>
    </row>
    <row r="60" spans="1:11" ht="15" customHeight="1">
      <c r="A60" s="10140"/>
      <c r="B60" s="7352" t="s">
        <v>11763</v>
      </c>
      <c r="C60" s="8872"/>
      <c r="D60" s="8798"/>
      <c r="E60" s="8798"/>
      <c r="F60" s="10137"/>
      <c r="G60" s="8798"/>
      <c r="H60" s="8798"/>
      <c r="I60" s="8799"/>
      <c r="J60" s="8798">
        <v>600000</v>
      </c>
    </row>
    <row r="61" spans="1:11" ht="15" customHeight="1">
      <c r="A61" s="7453"/>
      <c r="B61" s="7488" t="s">
        <v>10959</v>
      </c>
      <c r="C61" s="8780">
        <v>50213040</v>
      </c>
      <c r="D61" s="7654">
        <f>'WS-MOOE 2017'!AS35</f>
        <v>4000</v>
      </c>
      <c r="E61" s="7654">
        <f>'WS-MOOE ACTUAL JUNE 2018'!AN36</f>
        <v>4000</v>
      </c>
      <c r="F61" s="7651">
        <f t="shared" si="2"/>
        <v>16000</v>
      </c>
      <c r="G61" s="7654">
        <v>20000</v>
      </c>
      <c r="H61" s="7654">
        <v>4477</v>
      </c>
      <c r="I61" s="7396">
        <f t="shared" si="3"/>
        <v>0.22384999999999999</v>
      </c>
      <c r="J61" s="8798">
        <v>20000</v>
      </c>
    </row>
    <row r="62" spans="1:11" ht="15" hidden="1" customHeight="1">
      <c r="A62" s="7453"/>
      <c r="B62" s="7287" t="s">
        <v>109</v>
      </c>
      <c r="C62" s="8778"/>
      <c r="D62" s="7654"/>
      <c r="E62" s="7654"/>
      <c r="F62" s="7651">
        <f t="shared" si="2"/>
        <v>0</v>
      </c>
      <c r="G62" s="7654"/>
      <c r="H62" s="7654">
        <v>0</v>
      </c>
      <c r="I62" s="7396" t="e">
        <f t="shared" si="3"/>
        <v>#DIV/0!</v>
      </c>
      <c r="J62" s="8798"/>
    </row>
    <row r="63" spans="1:11" ht="15" customHeight="1">
      <c r="A63" s="7453"/>
      <c r="B63" s="7488" t="s">
        <v>10938</v>
      </c>
      <c r="C63" s="8773">
        <v>50213050</v>
      </c>
      <c r="D63" s="7654">
        <f>'WS-MOOE 2017'!AW35</f>
        <v>7405</v>
      </c>
      <c r="E63" s="7654">
        <f>'WS-MOOE ACTUAL JUNE 2018'!AS36</f>
        <v>6800</v>
      </c>
      <c r="F63" s="7651">
        <f t="shared" si="2"/>
        <v>43200</v>
      </c>
      <c r="G63" s="7654">
        <v>50000</v>
      </c>
      <c r="H63" s="7654">
        <v>6800</v>
      </c>
      <c r="I63" s="7396">
        <f t="shared" si="3"/>
        <v>0.13600000000000001</v>
      </c>
      <c r="J63" s="8798">
        <f>30000+20000</f>
        <v>50000</v>
      </c>
    </row>
    <row r="64" spans="1:11" ht="15" customHeight="1" thickBot="1">
      <c r="A64" s="7665"/>
      <c r="B64" s="7702"/>
      <c r="C64" s="7666"/>
      <c r="D64" s="7667"/>
      <c r="E64" s="7667"/>
      <c r="F64" s="7667"/>
      <c r="G64" s="7667"/>
      <c r="H64" s="7667"/>
      <c r="I64" s="7668"/>
      <c r="J64" s="7667"/>
    </row>
    <row r="65" spans="1:10" ht="15" customHeight="1">
      <c r="A65" s="7287"/>
      <c r="B65" s="7287"/>
      <c r="C65" s="7288"/>
      <c r="D65" s="7289"/>
      <c r="E65" s="7289"/>
      <c r="F65" s="7289"/>
      <c r="G65" s="7289"/>
      <c r="H65" s="7289"/>
      <c r="I65" s="7290"/>
      <c r="J65" s="7289"/>
    </row>
    <row r="66" spans="1:10" ht="15" customHeight="1">
      <c r="A66" s="7287"/>
      <c r="B66" s="7287"/>
      <c r="C66" s="7288"/>
      <c r="D66" s="7669"/>
      <c r="E66" s="7669"/>
      <c r="F66" s="7669"/>
      <c r="G66" s="7289"/>
      <c r="H66" s="7289"/>
      <c r="I66" s="7290"/>
      <c r="J66" s="7289"/>
    </row>
    <row r="67" spans="1:10" ht="15" customHeight="1">
      <c r="A67" s="7287"/>
      <c r="B67" s="7287"/>
      <c r="C67" s="7288"/>
      <c r="D67" s="7669"/>
      <c r="E67" s="7669"/>
      <c r="F67" s="7669"/>
      <c r="G67" s="7289"/>
      <c r="H67" s="7289"/>
      <c r="I67" s="7290"/>
      <c r="J67" s="7289"/>
    </row>
    <row r="68" spans="1:10" ht="15" customHeight="1">
      <c r="A68" s="7287"/>
      <c r="B68" s="7287"/>
      <c r="C68" s="7288"/>
      <c r="D68" s="7669"/>
      <c r="E68" s="7669"/>
      <c r="F68" s="7669"/>
      <c r="G68" s="7289"/>
      <c r="H68" s="7289"/>
      <c r="I68" s="7290"/>
      <c r="J68" s="7289"/>
    </row>
    <row r="69" spans="1:10" ht="15" customHeight="1">
      <c r="A69" s="7287"/>
      <c r="B69" s="7287"/>
      <c r="C69" s="7288"/>
      <c r="D69" s="7669"/>
      <c r="E69" s="7669"/>
      <c r="F69" s="7669"/>
      <c r="G69" s="7289"/>
      <c r="H69" s="7289"/>
      <c r="I69" s="7290"/>
      <c r="J69" s="7289"/>
    </row>
    <row r="70" spans="1:10" ht="15" customHeight="1">
      <c r="A70" s="7287"/>
      <c r="B70" s="7287"/>
      <c r="C70" s="7288"/>
      <c r="D70" s="7669"/>
      <c r="E70" s="7669"/>
      <c r="F70" s="7669"/>
      <c r="G70" s="7289"/>
      <c r="H70" s="7289"/>
      <c r="I70" s="7290"/>
      <c r="J70" s="7289"/>
    </row>
    <row r="71" spans="1:10" ht="15" customHeight="1">
      <c r="A71" s="7287"/>
      <c r="B71" s="7287"/>
      <c r="C71" s="7288"/>
      <c r="D71" s="7669"/>
      <c r="E71" s="7669"/>
      <c r="F71" s="7669"/>
      <c r="G71" s="7289"/>
      <c r="H71" s="7289"/>
      <c r="I71" s="7290"/>
      <c r="J71" s="7289"/>
    </row>
    <row r="72" spans="1:10" ht="15" customHeight="1">
      <c r="A72" s="7287"/>
      <c r="B72" s="7287"/>
      <c r="C72" s="7288"/>
      <c r="D72" s="7669"/>
      <c r="E72" s="7669"/>
      <c r="F72" s="7669"/>
      <c r="G72" s="7289"/>
      <c r="H72" s="7289"/>
      <c r="I72" s="7290"/>
      <c r="J72" s="7289"/>
    </row>
    <row r="73" spans="1:10" ht="15" customHeight="1">
      <c r="A73" s="7287"/>
      <c r="B73" s="7287"/>
      <c r="C73" s="7288"/>
      <c r="D73" s="7669"/>
      <c r="E73" s="7669"/>
      <c r="F73" s="7669"/>
      <c r="G73" s="7289"/>
      <c r="H73" s="7289"/>
      <c r="I73" s="7290"/>
      <c r="J73" s="7289"/>
    </row>
    <row r="74" spans="1:10" ht="15" customHeight="1">
      <c r="A74" s="7287"/>
      <c r="B74" s="7287"/>
      <c r="C74" s="7288"/>
      <c r="D74" s="7669"/>
      <c r="E74" s="7669"/>
      <c r="F74" s="7669"/>
      <c r="G74" s="7289"/>
      <c r="H74" s="7289"/>
      <c r="I74" s="7290"/>
      <c r="J74" s="7289"/>
    </row>
    <row r="75" spans="1:10" ht="15" customHeight="1">
      <c r="A75" s="7287"/>
      <c r="B75" s="7287"/>
      <c r="C75" s="7288"/>
      <c r="D75" s="7669"/>
      <c r="E75" s="7669"/>
      <c r="F75" s="7669"/>
      <c r="G75" s="7289"/>
      <c r="H75" s="7289"/>
      <c r="I75" s="7290"/>
      <c r="J75" s="7289"/>
    </row>
    <row r="76" spans="1:10" ht="15" customHeight="1">
      <c r="A76" s="7287"/>
      <c r="B76" s="7287"/>
      <c r="C76" s="7288"/>
      <c r="D76" s="7669"/>
      <c r="E76" s="7669"/>
      <c r="F76" s="7669"/>
      <c r="G76" s="7289"/>
      <c r="H76" s="7289"/>
      <c r="I76" s="7290"/>
      <c r="J76" s="7289"/>
    </row>
    <row r="77" spans="1:10" ht="15" customHeight="1" thickBot="1">
      <c r="A77" s="7670" t="s">
        <v>10726</v>
      </c>
      <c r="B77" s="7287"/>
      <c r="C77" s="7288"/>
      <c r="D77" s="7669"/>
      <c r="E77" s="7669"/>
      <c r="F77" s="7669"/>
      <c r="G77" s="7289"/>
      <c r="H77" s="7289"/>
      <c r="I77" s="7290"/>
      <c r="J77" s="7289"/>
    </row>
    <row r="78" spans="1:10" ht="15" customHeight="1">
      <c r="A78" s="7694"/>
      <c r="B78" s="7695"/>
      <c r="C78" s="7696" t="s">
        <v>9</v>
      </c>
      <c r="D78" s="10877" t="s">
        <v>10</v>
      </c>
      <c r="E78" s="15191" t="s">
        <v>10711</v>
      </c>
      <c r="F78" s="15192"/>
      <c r="G78" s="15193"/>
      <c r="H78" s="7484"/>
      <c r="I78" s="7697"/>
      <c r="J78" s="7698" t="s">
        <v>12</v>
      </c>
    </row>
    <row r="79" spans="1:10" ht="15" customHeight="1">
      <c r="A79" s="7657"/>
      <c r="B79" s="7687" t="s">
        <v>13</v>
      </c>
      <c r="C79" s="15184" t="s">
        <v>14</v>
      </c>
      <c r="D79" s="10881" t="s">
        <v>15</v>
      </c>
      <c r="E79" s="11050" t="s">
        <v>10709</v>
      </c>
      <c r="F79" s="7299" t="s">
        <v>10710</v>
      </c>
      <c r="G79" s="15189" t="s">
        <v>458</v>
      </c>
      <c r="H79" s="7485"/>
      <c r="I79" s="7395"/>
      <c r="J79" s="11055" t="s">
        <v>16</v>
      </c>
    </row>
    <row r="80" spans="1:10" ht="15" customHeight="1" thickBot="1">
      <c r="A80" s="7699"/>
      <c r="B80" s="7676"/>
      <c r="C80" s="15185"/>
      <c r="D80" s="9456">
        <v>2017</v>
      </c>
      <c r="E80" s="10887" t="s">
        <v>457</v>
      </c>
      <c r="F80" s="9404" t="s">
        <v>456</v>
      </c>
      <c r="G80" s="15190"/>
      <c r="H80" s="7486"/>
      <c r="I80" s="7700"/>
      <c r="J80" s="7701">
        <v>2019</v>
      </c>
    </row>
    <row r="81" spans="1:12" ht="15" customHeight="1">
      <c r="A81" s="7707"/>
      <c r="B81" s="7695"/>
      <c r="C81" s="7708"/>
      <c r="D81" s="10877"/>
      <c r="E81" s="10877"/>
      <c r="F81" s="10877"/>
      <c r="G81" s="7698"/>
      <c r="H81" s="7698"/>
      <c r="I81" s="7709"/>
      <c r="J81" s="7698"/>
    </row>
    <row r="82" spans="1:12" s="7314" customFormat="1" ht="15" customHeight="1">
      <c r="A82" s="7453"/>
      <c r="B82" s="7488" t="s">
        <v>10937</v>
      </c>
      <c r="C82" s="8776">
        <v>50213060</v>
      </c>
      <c r="D82" s="7654">
        <f>'WS-MOOE 2017'!BB35</f>
        <v>11165</v>
      </c>
      <c r="E82" s="7654">
        <f>'WS-MOOE ACTUAL JUNE 2018'!AT36</f>
        <v>6570</v>
      </c>
      <c r="F82" s="7651">
        <f t="shared" ref="F82:F88" si="4">G82-E82</f>
        <v>43430</v>
      </c>
      <c r="G82" s="7654">
        <v>50000</v>
      </c>
      <c r="H82" s="7654">
        <v>25170</v>
      </c>
      <c r="I82" s="7396">
        <f t="shared" ref="I82:I88" si="5">H82/G82</f>
        <v>0.50339999999999996</v>
      </c>
      <c r="J82" s="7654">
        <v>50000</v>
      </c>
      <c r="K82" s="7447"/>
      <c r="L82" s="7898"/>
    </row>
    <row r="83" spans="1:12" ht="15" customHeight="1">
      <c r="A83" s="7453"/>
      <c r="B83" s="7287" t="s">
        <v>72</v>
      </c>
      <c r="C83" s="8778">
        <v>50215020</v>
      </c>
      <c r="D83" s="7654">
        <f>'WS-MOOE 2017'!BH35</f>
        <v>6375</v>
      </c>
      <c r="E83" s="7654">
        <f>'WS-MOOE ACTUAL JUNE 2018'!AZ36</f>
        <v>6375</v>
      </c>
      <c r="F83" s="7651">
        <f t="shared" si="4"/>
        <v>3625</v>
      </c>
      <c r="G83" s="7654">
        <v>10000</v>
      </c>
      <c r="H83" s="7654">
        <v>6375</v>
      </c>
      <c r="I83" s="7396">
        <f t="shared" si="5"/>
        <v>0.63749999999999996</v>
      </c>
      <c r="J83" s="7654">
        <v>10000</v>
      </c>
    </row>
    <row r="84" spans="1:12" ht="15" customHeight="1">
      <c r="A84" s="7453"/>
      <c r="B84" s="7536" t="s">
        <v>102</v>
      </c>
      <c r="C84" s="8782">
        <v>50215030</v>
      </c>
      <c r="D84" s="7654">
        <f>'WS-MOOE 2017'!BN35</f>
        <v>0</v>
      </c>
      <c r="E84" s="7654">
        <f>'WS-MOOE ACTUAL JUNE 2018'!BA36</f>
        <v>0</v>
      </c>
      <c r="F84" s="7651">
        <f t="shared" si="4"/>
        <v>10000</v>
      </c>
      <c r="G84" s="7654">
        <v>10000</v>
      </c>
      <c r="H84" s="7654">
        <v>0</v>
      </c>
      <c r="I84" s="7396">
        <f t="shared" si="5"/>
        <v>0</v>
      </c>
      <c r="J84" s="7654">
        <v>10000</v>
      </c>
    </row>
    <row r="85" spans="1:12" ht="15" customHeight="1">
      <c r="A85" s="7453"/>
      <c r="B85" s="7287" t="s">
        <v>110</v>
      </c>
      <c r="C85" s="8778">
        <v>50216010</v>
      </c>
      <c r="D85" s="7654">
        <f>'WS-MOOE 2017'!BG35</f>
        <v>7500</v>
      </c>
      <c r="E85" s="7654">
        <f>'WS-MOOE ACTUAL JUNE 2018'!AY36</f>
        <v>11700</v>
      </c>
      <c r="F85" s="7651">
        <f t="shared" si="4"/>
        <v>8300</v>
      </c>
      <c r="G85" s="7654">
        <v>20000</v>
      </c>
      <c r="H85" s="7654">
        <v>11700</v>
      </c>
      <c r="I85" s="7396">
        <f t="shared" si="5"/>
        <v>0.58499999999999996</v>
      </c>
      <c r="J85" s="7654">
        <v>20000</v>
      </c>
    </row>
    <row r="86" spans="1:12" ht="15" customHeight="1">
      <c r="A86" s="7453"/>
      <c r="B86" s="7287" t="s">
        <v>10961</v>
      </c>
      <c r="C86" s="8784">
        <v>50299020</v>
      </c>
      <c r="D86" s="7654">
        <f>'WS-MOOE 2017'!BJ35</f>
        <v>4500</v>
      </c>
      <c r="E86" s="7654">
        <f>'WS-MOOE ACTUAL JUNE 2018'!BC36</f>
        <v>2000</v>
      </c>
      <c r="F86" s="7651">
        <f t="shared" si="4"/>
        <v>13000</v>
      </c>
      <c r="G86" s="7654">
        <v>15000</v>
      </c>
      <c r="H86" s="7654">
        <v>2320</v>
      </c>
      <c r="I86" s="7396">
        <f t="shared" si="5"/>
        <v>0.15466666666666667</v>
      </c>
      <c r="J86" s="8798">
        <v>15000</v>
      </c>
    </row>
    <row r="87" spans="1:12" ht="15" customHeight="1">
      <c r="A87" s="7453"/>
      <c r="B87" s="7352" t="s">
        <v>100</v>
      </c>
      <c r="C87" s="8773">
        <v>50299030</v>
      </c>
      <c r="D87" s="7654">
        <f>'WS-MOOE 2017'!BK35</f>
        <v>60000</v>
      </c>
      <c r="E87" s="7654">
        <f>'WS-MOOE ACTUAL JUNE 2018'!BE36</f>
        <v>20000</v>
      </c>
      <c r="F87" s="7651">
        <f t="shared" si="4"/>
        <v>40000</v>
      </c>
      <c r="G87" s="7654">
        <v>60000</v>
      </c>
      <c r="H87" s="7654">
        <v>35000</v>
      </c>
      <c r="I87" s="7396">
        <f t="shared" si="5"/>
        <v>0.58333333333333337</v>
      </c>
      <c r="J87" s="8798">
        <v>60000</v>
      </c>
    </row>
    <row r="88" spans="1:12" ht="15" customHeight="1">
      <c r="A88" s="10140"/>
      <c r="B88" s="10692" t="s">
        <v>50</v>
      </c>
      <c r="C88" s="8797">
        <v>50299990</v>
      </c>
      <c r="D88" s="7654">
        <f>'WS-MOOE 2017'!BO35</f>
        <v>115485.25</v>
      </c>
      <c r="E88" s="7654">
        <f>'WS-MOOE ACTUAL JUNE 2018'!BI36</f>
        <v>60104.05</v>
      </c>
      <c r="F88" s="7651">
        <f t="shared" si="4"/>
        <v>139895.95000000001</v>
      </c>
      <c r="G88" s="7654">
        <v>200000</v>
      </c>
      <c r="H88" s="7654">
        <v>81060.05</v>
      </c>
      <c r="I88" s="7396">
        <f t="shared" si="5"/>
        <v>0.40530025000000003</v>
      </c>
      <c r="J88" s="7654">
        <v>200000</v>
      </c>
    </row>
    <row r="89" spans="1:12" ht="15" customHeight="1">
      <c r="A89" s="10140"/>
      <c r="B89" s="10693"/>
      <c r="C89" s="7686"/>
      <c r="D89" s="7661"/>
      <c r="E89" s="7661"/>
      <c r="F89" s="7661"/>
      <c r="G89" s="7661"/>
      <c r="H89" s="7661"/>
      <c r="I89" s="7605"/>
      <c r="J89" s="7661"/>
    </row>
    <row r="90" spans="1:12" ht="15" customHeight="1">
      <c r="A90" s="10140"/>
      <c r="B90" s="10694" t="s">
        <v>37</v>
      </c>
      <c r="C90" s="7686"/>
      <c r="D90" s="7664">
        <f>SUM(D43:D63,D82:D89)</f>
        <v>7151127.1299999999</v>
      </c>
      <c r="E90" s="7664">
        <f>SUM(E43:E63,E82:E89)</f>
        <v>2551202.5499999998</v>
      </c>
      <c r="F90" s="7664">
        <f>SUM(F43:F63,F82:F89)</f>
        <v>8547297.4499999993</v>
      </c>
      <c r="G90" s="7664">
        <f>SUM(G43:G63,G82:G89)</f>
        <v>11098500</v>
      </c>
      <c r="H90" s="7664">
        <f>SUM(H43:H63,H82:H89)</f>
        <v>6339897.4499999993</v>
      </c>
      <c r="I90" s="7601">
        <f>H90/G90</f>
        <v>0.57123912690904166</v>
      </c>
      <c r="J90" s="7664">
        <f>SUM(J43:J63,J82:J89)</f>
        <v>13643000</v>
      </c>
      <c r="K90" s="10391">
        <f>(J90-G90)/G90</f>
        <v>0.2292652160201829</v>
      </c>
    </row>
    <row r="91" spans="1:12" ht="15" customHeight="1">
      <c r="A91" s="10140"/>
      <c r="B91" s="10693"/>
      <c r="C91" s="7686"/>
      <c r="D91" s="7654"/>
      <c r="E91" s="7654"/>
      <c r="F91" s="7654"/>
      <c r="G91" s="7654"/>
      <c r="H91" s="7654"/>
      <c r="I91" s="7396"/>
      <c r="J91" s="7654"/>
    </row>
    <row r="92" spans="1:12" ht="15" customHeight="1">
      <c r="A92" s="8801" t="s">
        <v>51</v>
      </c>
      <c r="B92" s="10693" t="s">
        <v>10237</v>
      </c>
      <c r="C92" s="7686"/>
      <c r="D92" s="7654" t="s">
        <v>9</v>
      </c>
      <c r="E92" s="7654"/>
      <c r="F92" s="7654"/>
      <c r="G92" s="7370"/>
      <c r="H92" s="7654"/>
      <c r="I92" s="7396"/>
      <c r="J92" s="7370"/>
    </row>
    <row r="93" spans="1:12" ht="15" customHeight="1">
      <c r="A93" s="8801"/>
      <c r="B93" s="10693"/>
      <c r="C93" s="10136"/>
      <c r="D93" s="8798"/>
      <c r="E93" s="8798"/>
      <c r="F93" s="10386"/>
      <c r="G93" s="11886"/>
      <c r="H93" s="8798"/>
      <c r="I93" s="8799"/>
      <c r="J93" s="10138"/>
    </row>
    <row r="94" spans="1:12" ht="15" hidden="1" customHeight="1">
      <c r="A94" s="8801"/>
      <c r="B94" s="10695" t="s">
        <v>11597</v>
      </c>
      <c r="C94" s="7686">
        <v>50704030</v>
      </c>
      <c r="D94" s="7654"/>
      <c r="E94" s="7654"/>
      <c r="F94" s="7648"/>
      <c r="G94" s="11887"/>
      <c r="H94" s="7654"/>
      <c r="I94" s="7396"/>
      <c r="J94" s="8870"/>
      <c r="K94" s="7310">
        <v>400000</v>
      </c>
    </row>
    <row r="95" spans="1:12" ht="15" customHeight="1">
      <c r="A95" s="8801"/>
      <c r="B95" s="10693" t="s">
        <v>3344</v>
      </c>
      <c r="C95" s="10691">
        <v>50705020</v>
      </c>
      <c r="D95" s="7654">
        <f>'WS-CO 2017'!F34</f>
        <v>243500</v>
      </c>
      <c r="E95" s="7654"/>
      <c r="F95" s="7651">
        <f>G95-E95</f>
        <v>147000</v>
      </c>
      <c r="G95" s="7419">
        <v>147000</v>
      </c>
      <c r="H95" s="7654">
        <v>110768</v>
      </c>
      <c r="I95" s="7396">
        <f>H95/G95</f>
        <v>0.75352380952380948</v>
      </c>
      <c r="J95" s="10393">
        <v>180000</v>
      </c>
      <c r="K95" s="7310"/>
      <c r="L95" s="10697" t="s">
        <v>12004</v>
      </c>
    </row>
    <row r="96" spans="1:12" ht="15" customHeight="1">
      <c r="A96" s="8801"/>
      <c r="B96" s="10693" t="s">
        <v>5023</v>
      </c>
      <c r="C96" s="10691"/>
      <c r="D96" s="8798"/>
      <c r="E96" s="8798"/>
      <c r="F96" s="10137"/>
      <c r="G96" s="8870"/>
      <c r="H96" s="8798"/>
      <c r="I96" s="8799"/>
      <c r="J96" s="10393">
        <v>36000</v>
      </c>
      <c r="K96" s="7310"/>
      <c r="L96" s="10697" t="s">
        <v>12005</v>
      </c>
    </row>
    <row r="97" spans="1:12" ht="15" hidden="1" customHeight="1">
      <c r="A97" s="8801"/>
      <c r="B97" s="11888" t="s">
        <v>10946</v>
      </c>
      <c r="C97" s="10701">
        <v>50705030</v>
      </c>
      <c r="D97" s="8798"/>
      <c r="E97" s="8798"/>
      <c r="F97" s="10137"/>
      <c r="G97" s="8870"/>
      <c r="H97" s="8798"/>
      <c r="I97" s="8799"/>
      <c r="J97" s="8870"/>
      <c r="K97" s="7310">
        <v>35000</v>
      </c>
      <c r="L97" s="10697"/>
    </row>
    <row r="98" spans="1:12" ht="15" hidden="1" customHeight="1">
      <c r="A98" s="8801"/>
      <c r="B98" s="10693" t="s">
        <v>10535</v>
      </c>
      <c r="C98" s="10702">
        <v>50705110</v>
      </c>
      <c r="D98" s="7654"/>
      <c r="E98" s="7654"/>
      <c r="F98" s="7654"/>
      <c r="G98" s="7419"/>
      <c r="H98" s="7654"/>
      <c r="I98" s="7396"/>
      <c r="J98" s="8870"/>
      <c r="K98" s="11654">
        <f>SUM(K99:K101)</f>
        <v>1900000</v>
      </c>
      <c r="L98" s="10697"/>
    </row>
    <row r="99" spans="1:12" ht="15" hidden="1" customHeight="1">
      <c r="A99" s="8801"/>
      <c r="B99" s="10693"/>
      <c r="C99" s="10702"/>
      <c r="D99" s="8798"/>
      <c r="E99" s="8798"/>
      <c r="F99" s="8798"/>
      <c r="G99" s="8870"/>
      <c r="H99" s="8798"/>
      <c r="I99" s="8799"/>
      <c r="J99" s="8870"/>
      <c r="K99" s="7310">
        <v>100000</v>
      </c>
      <c r="L99" s="10697" t="s">
        <v>11987</v>
      </c>
    </row>
    <row r="100" spans="1:12" ht="15" hidden="1" customHeight="1">
      <c r="A100" s="8801"/>
      <c r="B100" s="10693"/>
      <c r="C100" s="10702"/>
      <c r="D100" s="8798"/>
      <c r="E100" s="8798"/>
      <c r="F100" s="8798"/>
      <c r="G100" s="8870"/>
      <c r="H100" s="8798"/>
      <c r="I100" s="8799"/>
      <c r="J100" s="8870"/>
      <c r="K100" s="7310">
        <v>300000</v>
      </c>
      <c r="L100" s="10697" t="s">
        <v>11988</v>
      </c>
    </row>
    <row r="101" spans="1:12" ht="15" hidden="1" customHeight="1">
      <c r="A101" s="8801"/>
      <c r="B101" s="10693"/>
      <c r="C101" s="10702"/>
      <c r="D101" s="8798"/>
      <c r="E101" s="8798"/>
      <c r="F101" s="8798"/>
      <c r="G101" s="8870"/>
      <c r="H101" s="8798"/>
      <c r="I101" s="8799"/>
      <c r="J101" s="8870"/>
      <c r="K101" s="7310">
        <v>1500000</v>
      </c>
      <c r="L101" s="10697" t="s">
        <v>11989</v>
      </c>
    </row>
    <row r="102" spans="1:12" ht="15" hidden="1" customHeight="1">
      <c r="A102" s="8801"/>
      <c r="B102" s="10693"/>
      <c r="C102" s="10702"/>
      <c r="D102" s="8798"/>
      <c r="E102" s="8798"/>
      <c r="F102" s="8798"/>
      <c r="G102" s="8870"/>
      <c r="H102" s="8798"/>
      <c r="I102" s="8799"/>
      <c r="J102" s="8870"/>
      <c r="L102" s="10697"/>
    </row>
    <row r="103" spans="1:12" ht="15" hidden="1" customHeight="1">
      <c r="A103" s="8801"/>
      <c r="B103" s="10693" t="s">
        <v>11075</v>
      </c>
      <c r="C103" s="10691">
        <v>50706010</v>
      </c>
      <c r="D103" s="7654"/>
      <c r="E103" s="7654"/>
      <c r="F103" s="7651">
        <f>G103-E103</f>
        <v>0</v>
      </c>
      <c r="G103" s="7370">
        <v>0</v>
      </c>
      <c r="H103" s="7654"/>
      <c r="I103" s="7396"/>
      <c r="J103" s="10138"/>
      <c r="L103" s="10697"/>
    </row>
    <row r="104" spans="1:12" ht="15" hidden="1" customHeight="1">
      <c r="A104" s="8801"/>
      <c r="B104" s="10693" t="s">
        <v>11926</v>
      </c>
      <c r="C104" s="10691"/>
      <c r="D104" s="8798"/>
      <c r="E104" s="8798"/>
      <c r="F104" s="10137"/>
      <c r="G104" s="10138"/>
      <c r="H104" s="8798"/>
      <c r="I104" s="8799"/>
      <c r="J104" s="10138"/>
      <c r="K104" s="7340" t="s">
        <v>11927</v>
      </c>
    </row>
    <row r="105" spans="1:12" ht="15" hidden="1" customHeight="1">
      <c r="A105" s="8801"/>
      <c r="B105" s="10693"/>
      <c r="C105" s="10691"/>
      <c r="D105" s="8798"/>
      <c r="E105" s="8798"/>
      <c r="F105" s="10137"/>
      <c r="G105" s="10138"/>
      <c r="H105" s="8798"/>
      <c r="I105" s="8799"/>
      <c r="J105" s="10138"/>
    </row>
    <row r="106" spans="1:12" ht="15" hidden="1" customHeight="1">
      <c r="A106" s="8801"/>
      <c r="B106" s="10696" t="s">
        <v>11076</v>
      </c>
      <c r="C106" s="7713"/>
      <c r="D106" s="7419"/>
      <c r="E106" s="7419"/>
      <c r="F106" s="7419"/>
      <c r="G106" s="7500"/>
      <c r="H106" s="7419"/>
      <c r="I106" s="7482"/>
      <c r="J106" s="7500">
        <v>0</v>
      </c>
    </row>
    <row r="107" spans="1:12" ht="15" customHeight="1">
      <c r="A107" s="8801"/>
      <c r="B107" s="10694" t="s">
        <v>37</v>
      </c>
      <c r="C107" s="7686"/>
      <c r="D107" s="7664">
        <f>SUM(D92:D103)</f>
        <v>243500</v>
      </c>
      <c r="E107" s="7664">
        <f>SUM(E92:E103)</f>
        <v>0</v>
      </c>
      <c r="F107" s="7664">
        <f>SUM(F92:F103)</f>
        <v>147000</v>
      </c>
      <c r="G107" s="7664">
        <f>SUM(G92:G103)</f>
        <v>147000</v>
      </c>
      <c r="H107" s="7664"/>
      <c r="I107" s="7601"/>
      <c r="J107" s="7664">
        <f>SUM(J92:J106)</f>
        <v>216000</v>
      </c>
      <c r="K107" s="10391">
        <f>(J107-G107)/G107</f>
        <v>0.46938775510204084</v>
      </c>
    </row>
    <row r="108" spans="1:12" ht="15" customHeight="1">
      <c r="A108" s="8801"/>
      <c r="B108" s="10693"/>
      <c r="C108" s="7686"/>
      <c r="D108" s="7654"/>
      <c r="E108" s="7654"/>
      <c r="F108" s="7654"/>
      <c r="G108" s="7654"/>
      <c r="H108" s="7654"/>
      <c r="I108" s="7396"/>
      <c r="J108" s="7654"/>
    </row>
    <row r="109" spans="1:12" ht="15" customHeight="1">
      <c r="A109" s="8801" t="s">
        <v>53</v>
      </c>
      <c r="B109" s="10693" t="s">
        <v>54</v>
      </c>
      <c r="C109" s="7686"/>
      <c r="D109" s="7654"/>
      <c r="E109" s="7654"/>
      <c r="F109" s="7654"/>
      <c r="G109" s="7654"/>
      <c r="H109" s="7654"/>
      <c r="I109" s="7396"/>
      <c r="J109" s="7654"/>
    </row>
    <row r="110" spans="1:12" ht="15" customHeight="1">
      <c r="A110" s="7712"/>
      <c r="B110" s="7710"/>
      <c r="C110" s="7686"/>
      <c r="D110" s="7654"/>
      <c r="E110" s="7654"/>
      <c r="F110" s="7654"/>
      <c r="G110" s="7654"/>
      <c r="H110" s="7654"/>
      <c r="I110" s="7396"/>
      <c r="J110" s="7654"/>
    </row>
    <row r="111" spans="1:12" s="7340" customFormat="1" ht="15" customHeight="1">
      <c r="A111" s="7714"/>
      <c r="B111" s="7711" t="s">
        <v>4680</v>
      </c>
      <c r="C111" s="7454"/>
      <c r="D111" s="7664">
        <v>0</v>
      </c>
      <c r="E111" s="7664">
        <v>0</v>
      </c>
      <c r="F111" s="7664">
        <v>0</v>
      </c>
      <c r="G111" s="7664">
        <v>0</v>
      </c>
      <c r="H111" s="7664"/>
      <c r="I111" s="7601"/>
      <c r="J111" s="7664">
        <v>0</v>
      </c>
      <c r="L111" s="10258"/>
    </row>
    <row r="112" spans="1:12" s="7340" customFormat="1" ht="15" customHeight="1">
      <c r="A112" s="7715"/>
      <c r="B112" s="7716"/>
      <c r="C112" s="7678"/>
      <c r="D112" s="7664"/>
      <c r="E112" s="7664"/>
      <c r="F112" s="7664"/>
      <c r="G112" s="7664"/>
      <c r="H112" s="7664"/>
      <c r="I112" s="7601"/>
      <c r="J112" s="7664"/>
      <c r="L112" s="10258"/>
    </row>
    <row r="113" spans="1:12" ht="15" customHeight="1" thickBot="1">
      <c r="A113" s="7679"/>
      <c r="B113" s="7680" t="s">
        <v>55</v>
      </c>
      <c r="C113" s="7681"/>
      <c r="D113" s="7682">
        <f>(D30+D90+D107)</f>
        <v>13953559.210000001</v>
      </c>
      <c r="E113" s="7682">
        <f>(E30+E90+E107)</f>
        <v>5910620.5899999999</v>
      </c>
      <c r="F113" s="7682">
        <f>(F30+F90+F107)</f>
        <v>15709561.41</v>
      </c>
      <c r="G113" s="7682">
        <f>(G30+G90+G107+G111)</f>
        <v>21620182</v>
      </c>
      <c r="H113" s="7682"/>
      <c r="I113" s="7683"/>
      <c r="J113" s="7682">
        <f>(J30+J90+J107+J111)</f>
        <v>25428296.880000003</v>
      </c>
      <c r="K113" s="10391">
        <f>(J113-G113)/G113</f>
        <v>0.17613704084452214</v>
      </c>
    </row>
    <row r="114" spans="1:12" s="7333" customFormat="1" ht="15" customHeight="1" thickTop="1">
      <c r="A114" s="7328" t="s">
        <v>4763</v>
      </c>
      <c r="B114" s="7328"/>
      <c r="C114" s="7329"/>
      <c r="D114" s="7330"/>
      <c r="E114" s="7330"/>
      <c r="F114" s="7330"/>
      <c r="G114" s="7331"/>
      <c r="H114" s="7330"/>
      <c r="I114" s="7332"/>
      <c r="J114" s="7331"/>
      <c r="K114" s="7748"/>
      <c r="L114" s="7842"/>
    </row>
    <row r="115" spans="1:12" ht="15" customHeight="1">
      <c r="A115" s="7276"/>
      <c r="B115" s="7276"/>
      <c r="C115" s="7278"/>
      <c r="D115" s="7285"/>
      <c r="E115" s="7285"/>
      <c r="F115" s="7285"/>
      <c r="G115" s="7334"/>
      <c r="H115" s="7285"/>
      <c r="I115" s="7286"/>
      <c r="J115" s="7334"/>
    </row>
    <row r="116" spans="1:12" ht="15" hidden="1" customHeight="1">
      <c r="A116" s="7335" t="s">
        <v>3483</v>
      </c>
      <c r="B116" s="7335"/>
      <c r="C116" s="7275"/>
      <c r="D116" s="10884" t="s">
        <v>3484</v>
      </c>
      <c r="E116" s="7336"/>
      <c r="F116" s="7336"/>
      <c r="G116" s="7337" t="s">
        <v>10666</v>
      </c>
      <c r="H116" s="7336"/>
      <c r="I116" s="7286"/>
      <c r="J116" s="7338"/>
    </row>
    <row r="117" spans="1:12" s="7340" customFormat="1" ht="15" hidden="1" customHeight="1">
      <c r="A117" s="7335"/>
      <c r="B117" s="7335"/>
      <c r="D117" s="10884"/>
      <c r="E117" s="7336"/>
      <c r="F117" s="7336"/>
      <c r="G117" s="7339"/>
      <c r="H117" s="7336"/>
      <c r="I117" s="7286"/>
      <c r="J117" s="7338"/>
      <c r="L117" s="10258"/>
    </row>
    <row r="118" spans="1:12" ht="15" hidden="1" customHeight="1">
      <c r="A118" s="7335"/>
      <c r="B118" s="7335"/>
      <c r="C118" s="7275"/>
      <c r="D118" s="10884"/>
      <c r="E118" s="7336"/>
      <c r="F118" s="7336"/>
      <c r="G118" s="7339"/>
      <c r="H118" s="7336"/>
      <c r="I118" s="7286"/>
      <c r="J118" s="7338"/>
    </row>
    <row r="119" spans="1:12" ht="15" hidden="1" customHeight="1">
      <c r="A119" s="7335"/>
      <c r="B119" s="7335"/>
      <c r="C119" s="7275"/>
      <c r="D119" s="10884"/>
      <c r="E119" s="7336"/>
      <c r="F119" s="7336"/>
      <c r="G119" s="7275"/>
      <c r="H119" s="7336"/>
      <c r="I119" s="7286"/>
      <c r="J119" s="7338"/>
    </row>
    <row r="120" spans="1:12" ht="15" hidden="1" customHeight="1">
      <c r="A120" s="15088" t="s">
        <v>9170</v>
      </c>
      <c r="B120" s="15088"/>
      <c r="C120" s="7275"/>
      <c r="D120" s="10872" t="s">
        <v>12059</v>
      </c>
      <c r="E120" s="9431"/>
      <c r="F120" s="9431"/>
      <c r="G120" s="7342" t="s">
        <v>10667</v>
      </c>
      <c r="H120" s="9431"/>
      <c r="I120" s="7284"/>
      <c r="J120" s="7343"/>
    </row>
    <row r="121" spans="1:12" ht="15" hidden="1" customHeight="1">
      <c r="A121" s="15087" t="s">
        <v>10114</v>
      </c>
      <c r="B121" s="15087"/>
      <c r="C121" s="7275"/>
      <c r="D121" s="10869" t="s">
        <v>3486</v>
      </c>
      <c r="E121" s="7336"/>
      <c r="F121" s="7336"/>
      <c r="G121" s="7344" t="s">
        <v>10668</v>
      </c>
      <c r="H121" s="7336"/>
      <c r="I121" s="7286"/>
      <c r="J121" s="7338"/>
    </row>
    <row r="122" spans="1:12" ht="15" customHeight="1">
      <c r="A122" s="7276"/>
      <c r="B122" s="7276"/>
      <c r="C122" s="7278"/>
      <c r="D122" s="7285"/>
      <c r="E122" s="7285"/>
      <c r="F122" s="7285"/>
      <c r="G122" s="7285"/>
      <c r="H122" s="7684"/>
      <c r="I122" s="7286"/>
      <c r="J122" s="7285"/>
    </row>
    <row r="123" spans="1:12" ht="15" customHeight="1">
      <c r="A123" s="7276"/>
      <c r="B123" s="7276"/>
      <c r="C123" s="7278"/>
      <c r="D123" s="7285"/>
      <c r="E123" s="9430"/>
      <c r="F123" s="7285"/>
      <c r="G123" s="7285"/>
      <c r="H123" s="7685"/>
      <c r="I123" s="7286"/>
      <c r="J123" s="7285"/>
    </row>
    <row r="124" spans="1:12" ht="15" customHeight="1">
      <c r="A124" s="7276"/>
      <c r="B124" s="7276"/>
      <c r="C124" s="7278"/>
      <c r="D124" s="7285"/>
      <c r="E124" s="7285"/>
      <c r="F124" s="7285"/>
      <c r="G124" s="7285"/>
      <c r="I124" s="7286"/>
      <c r="J124" s="7285"/>
    </row>
    <row r="125" spans="1:12" ht="15" customHeight="1">
      <c r="G125" s="7336"/>
    </row>
    <row r="126" spans="1:12" ht="15" customHeight="1">
      <c r="G126" s="7336"/>
    </row>
    <row r="127" spans="1:12" ht="15" customHeight="1">
      <c r="H127" s="7899"/>
    </row>
  </sheetData>
  <mergeCells count="13">
    <mergeCell ref="A121:B121"/>
    <mergeCell ref="C8:C9"/>
    <mergeCell ref="C79:C80"/>
    <mergeCell ref="A120:B120"/>
    <mergeCell ref="A1:J1"/>
    <mergeCell ref="E7:G7"/>
    <mergeCell ref="G8:G9"/>
    <mergeCell ref="E78:G78"/>
    <mergeCell ref="G79:G80"/>
    <mergeCell ref="E39:G39"/>
    <mergeCell ref="C40:C41"/>
    <mergeCell ref="G40:G41"/>
    <mergeCell ref="J4:J5"/>
  </mergeCells>
  <printOptions horizontalCentered="1" gridLinesSet="0"/>
  <pageMargins left="0.25" right="0.25" top="0.5" bottom="0.25" header="0.25" footer="0.25"/>
  <pageSetup paperSize="119" firstPageNumber="305" orientation="landscape" useFirstPageNumber="1" r:id="rId1"/>
  <headerFooter alignWithMargins="0"/>
</worksheet>
</file>

<file path=xl/worksheets/sheet154.xml><?xml version="1.0" encoding="utf-8"?>
<worksheet xmlns="http://schemas.openxmlformats.org/spreadsheetml/2006/main" xmlns:r="http://schemas.openxmlformats.org/officeDocument/2006/relationships">
  <sheetPr codeName="Sheet181">
    <tabColor rgb="FFFFFF00"/>
  </sheetPr>
  <dimension ref="A1:L120"/>
  <sheetViews>
    <sheetView showGridLines="0" workbookViewId="0">
      <selection activeCell="A60" sqref="A60"/>
    </sheetView>
  </sheetViews>
  <sheetFormatPr defaultRowHeight="13.2"/>
  <cols>
    <col min="1" max="1" width="44.109375" style="1891" customWidth="1"/>
    <col min="2" max="2" width="15.88671875" style="1891" customWidth="1"/>
    <col min="3" max="3" width="16.44140625" style="1891" customWidth="1"/>
    <col min="4" max="4" width="13.88671875" style="1891" customWidth="1"/>
    <col min="5" max="5" width="16.88671875" style="1891" customWidth="1"/>
    <col min="6" max="6" width="12.88671875" style="1891" bestFit="1" customWidth="1"/>
    <col min="7" max="7" width="11.88671875" style="1891" bestFit="1" customWidth="1"/>
    <col min="8" max="256" width="9.109375" style="1891"/>
    <col min="257" max="257" width="39.44140625" style="1891" customWidth="1"/>
    <col min="258" max="258" width="12.44140625" style="1891" customWidth="1"/>
    <col min="259" max="259" width="16.44140625" style="1891" customWidth="1"/>
    <col min="260" max="260" width="11.44140625" style="1891" customWidth="1"/>
    <col min="261" max="261" width="12.44140625" style="1891" customWidth="1"/>
    <col min="262" max="262" width="12.88671875" style="1891" bestFit="1" customWidth="1"/>
    <col min="263" max="263" width="11.88671875" style="1891" bestFit="1" customWidth="1"/>
    <col min="264" max="512" width="9.109375" style="1891"/>
    <col min="513" max="513" width="39.44140625" style="1891" customWidth="1"/>
    <col min="514" max="514" width="12.44140625" style="1891" customWidth="1"/>
    <col min="515" max="515" width="16.44140625" style="1891" customWidth="1"/>
    <col min="516" max="516" width="11.44140625" style="1891" customWidth="1"/>
    <col min="517" max="517" width="12.44140625" style="1891" customWidth="1"/>
    <col min="518" max="518" width="12.88671875" style="1891" bestFit="1" customWidth="1"/>
    <col min="519" max="519" width="11.88671875" style="1891" bestFit="1" customWidth="1"/>
    <col min="520" max="768" width="9.109375" style="1891"/>
    <col min="769" max="769" width="39.44140625" style="1891" customWidth="1"/>
    <col min="770" max="770" width="12.44140625" style="1891" customWidth="1"/>
    <col min="771" max="771" width="16.44140625" style="1891" customWidth="1"/>
    <col min="772" max="772" width="11.44140625" style="1891" customWidth="1"/>
    <col min="773" max="773" width="12.44140625" style="1891" customWidth="1"/>
    <col min="774" max="774" width="12.88671875" style="1891" bestFit="1" customWidth="1"/>
    <col min="775" max="775" width="11.88671875" style="1891" bestFit="1" customWidth="1"/>
    <col min="776" max="1024" width="9.109375" style="1891"/>
    <col min="1025" max="1025" width="39.44140625" style="1891" customWidth="1"/>
    <col min="1026" max="1026" width="12.44140625" style="1891" customWidth="1"/>
    <col min="1027" max="1027" width="16.44140625" style="1891" customWidth="1"/>
    <col min="1028" max="1028" width="11.44140625" style="1891" customWidth="1"/>
    <col min="1029" max="1029" width="12.44140625" style="1891" customWidth="1"/>
    <col min="1030" max="1030" width="12.88671875" style="1891" bestFit="1" customWidth="1"/>
    <col min="1031" max="1031" width="11.88671875" style="1891" bestFit="1" customWidth="1"/>
    <col min="1032" max="1280" width="9.109375" style="1891"/>
    <col min="1281" max="1281" width="39.44140625" style="1891" customWidth="1"/>
    <col min="1282" max="1282" width="12.44140625" style="1891" customWidth="1"/>
    <col min="1283" max="1283" width="16.44140625" style="1891" customWidth="1"/>
    <col min="1284" max="1284" width="11.44140625" style="1891" customWidth="1"/>
    <col min="1285" max="1285" width="12.44140625" style="1891" customWidth="1"/>
    <col min="1286" max="1286" width="12.88671875" style="1891" bestFit="1" customWidth="1"/>
    <col min="1287" max="1287" width="11.88671875" style="1891" bestFit="1" customWidth="1"/>
    <col min="1288" max="1536" width="9.109375" style="1891"/>
    <col min="1537" max="1537" width="39.44140625" style="1891" customWidth="1"/>
    <col min="1538" max="1538" width="12.44140625" style="1891" customWidth="1"/>
    <col min="1539" max="1539" width="16.44140625" style="1891" customWidth="1"/>
    <col min="1540" max="1540" width="11.44140625" style="1891" customWidth="1"/>
    <col min="1541" max="1541" width="12.44140625" style="1891" customWidth="1"/>
    <col min="1542" max="1542" width="12.88671875" style="1891" bestFit="1" customWidth="1"/>
    <col min="1543" max="1543" width="11.88671875" style="1891" bestFit="1" customWidth="1"/>
    <col min="1544" max="1792" width="9.109375" style="1891"/>
    <col min="1793" max="1793" width="39.44140625" style="1891" customWidth="1"/>
    <col min="1794" max="1794" width="12.44140625" style="1891" customWidth="1"/>
    <col min="1795" max="1795" width="16.44140625" style="1891" customWidth="1"/>
    <col min="1796" max="1796" width="11.44140625" style="1891" customWidth="1"/>
    <col min="1797" max="1797" width="12.44140625" style="1891" customWidth="1"/>
    <col min="1798" max="1798" width="12.88671875" style="1891" bestFit="1" customWidth="1"/>
    <col min="1799" max="1799" width="11.88671875" style="1891" bestFit="1" customWidth="1"/>
    <col min="1800" max="2048" width="9.109375" style="1891"/>
    <col min="2049" max="2049" width="39.44140625" style="1891" customWidth="1"/>
    <col min="2050" max="2050" width="12.44140625" style="1891" customWidth="1"/>
    <col min="2051" max="2051" width="16.44140625" style="1891" customWidth="1"/>
    <col min="2052" max="2052" width="11.44140625" style="1891" customWidth="1"/>
    <col min="2053" max="2053" width="12.44140625" style="1891" customWidth="1"/>
    <col min="2054" max="2054" width="12.88671875" style="1891" bestFit="1" customWidth="1"/>
    <col min="2055" max="2055" width="11.88671875" style="1891" bestFit="1" customWidth="1"/>
    <col min="2056" max="2304" width="9.109375" style="1891"/>
    <col min="2305" max="2305" width="39.44140625" style="1891" customWidth="1"/>
    <col min="2306" max="2306" width="12.44140625" style="1891" customWidth="1"/>
    <col min="2307" max="2307" width="16.44140625" style="1891" customWidth="1"/>
    <col min="2308" max="2308" width="11.44140625" style="1891" customWidth="1"/>
    <col min="2309" max="2309" width="12.44140625" style="1891" customWidth="1"/>
    <col min="2310" max="2310" width="12.88671875" style="1891" bestFit="1" customWidth="1"/>
    <col min="2311" max="2311" width="11.88671875" style="1891" bestFit="1" customWidth="1"/>
    <col min="2312" max="2560" width="9.109375" style="1891"/>
    <col min="2561" max="2561" width="39.44140625" style="1891" customWidth="1"/>
    <col min="2562" max="2562" width="12.44140625" style="1891" customWidth="1"/>
    <col min="2563" max="2563" width="16.44140625" style="1891" customWidth="1"/>
    <col min="2564" max="2564" width="11.44140625" style="1891" customWidth="1"/>
    <col min="2565" max="2565" width="12.44140625" style="1891" customWidth="1"/>
    <col min="2566" max="2566" width="12.88671875" style="1891" bestFit="1" customWidth="1"/>
    <col min="2567" max="2567" width="11.88671875" style="1891" bestFit="1" customWidth="1"/>
    <col min="2568" max="2816" width="9.109375" style="1891"/>
    <col min="2817" max="2817" width="39.44140625" style="1891" customWidth="1"/>
    <col min="2818" max="2818" width="12.44140625" style="1891" customWidth="1"/>
    <col min="2819" max="2819" width="16.44140625" style="1891" customWidth="1"/>
    <col min="2820" max="2820" width="11.44140625" style="1891" customWidth="1"/>
    <col min="2821" max="2821" width="12.44140625" style="1891" customWidth="1"/>
    <col min="2822" max="2822" width="12.88671875" style="1891" bestFit="1" customWidth="1"/>
    <col min="2823" max="2823" width="11.88671875" style="1891" bestFit="1" customWidth="1"/>
    <col min="2824" max="3072" width="9.109375" style="1891"/>
    <col min="3073" max="3073" width="39.44140625" style="1891" customWidth="1"/>
    <col min="3074" max="3074" width="12.44140625" style="1891" customWidth="1"/>
    <col min="3075" max="3075" width="16.44140625" style="1891" customWidth="1"/>
    <col min="3076" max="3076" width="11.44140625" style="1891" customWidth="1"/>
    <col min="3077" max="3077" width="12.44140625" style="1891" customWidth="1"/>
    <col min="3078" max="3078" width="12.88671875" style="1891" bestFit="1" customWidth="1"/>
    <col min="3079" max="3079" width="11.88671875" style="1891" bestFit="1" customWidth="1"/>
    <col min="3080" max="3328" width="9.109375" style="1891"/>
    <col min="3329" max="3329" width="39.44140625" style="1891" customWidth="1"/>
    <col min="3330" max="3330" width="12.44140625" style="1891" customWidth="1"/>
    <col min="3331" max="3331" width="16.44140625" style="1891" customWidth="1"/>
    <col min="3332" max="3332" width="11.44140625" style="1891" customWidth="1"/>
    <col min="3333" max="3333" width="12.44140625" style="1891" customWidth="1"/>
    <col min="3334" max="3334" width="12.88671875" style="1891" bestFit="1" customWidth="1"/>
    <col min="3335" max="3335" width="11.88671875" style="1891" bestFit="1" customWidth="1"/>
    <col min="3336" max="3584" width="9.109375" style="1891"/>
    <col min="3585" max="3585" width="39.44140625" style="1891" customWidth="1"/>
    <col min="3586" max="3586" width="12.44140625" style="1891" customWidth="1"/>
    <col min="3587" max="3587" width="16.44140625" style="1891" customWidth="1"/>
    <col min="3588" max="3588" width="11.44140625" style="1891" customWidth="1"/>
    <col min="3589" max="3589" width="12.44140625" style="1891" customWidth="1"/>
    <col min="3590" max="3590" width="12.88671875" style="1891" bestFit="1" customWidth="1"/>
    <col min="3591" max="3591" width="11.88671875" style="1891" bestFit="1" customWidth="1"/>
    <col min="3592" max="3840" width="9.109375" style="1891"/>
    <col min="3841" max="3841" width="39.44140625" style="1891" customWidth="1"/>
    <col min="3842" max="3842" width="12.44140625" style="1891" customWidth="1"/>
    <col min="3843" max="3843" width="16.44140625" style="1891" customWidth="1"/>
    <col min="3844" max="3844" width="11.44140625" style="1891" customWidth="1"/>
    <col min="3845" max="3845" width="12.44140625" style="1891" customWidth="1"/>
    <col min="3846" max="3846" width="12.88671875" style="1891" bestFit="1" customWidth="1"/>
    <col min="3847" max="3847" width="11.88671875" style="1891" bestFit="1" customWidth="1"/>
    <col min="3848" max="4096" width="9.109375" style="1891"/>
    <col min="4097" max="4097" width="39.44140625" style="1891" customWidth="1"/>
    <col min="4098" max="4098" width="12.44140625" style="1891" customWidth="1"/>
    <col min="4099" max="4099" width="16.44140625" style="1891" customWidth="1"/>
    <col min="4100" max="4100" width="11.44140625" style="1891" customWidth="1"/>
    <col min="4101" max="4101" width="12.44140625" style="1891" customWidth="1"/>
    <col min="4102" max="4102" width="12.88671875" style="1891" bestFit="1" customWidth="1"/>
    <col min="4103" max="4103" width="11.88671875" style="1891" bestFit="1" customWidth="1"/>
    <col min="4104" max="4352" width="9.109375" style="1891"/>
    <col min="4353" max="4353" width="39.44140625" style="1891" customWidth="1"/>
    <col min="4354" max="4354" width="12.44140625" style="1891" customWidth="1"/>
    <col min="4355" max="4355" width="16.44140625" style="1891" customWidth="1"/>
    <col min="4356" max="4356" width="11.44140625" style="1891" customWidth="1"/>
    <col min="4357" max="4357" width="12.44140625" style="1891" customWidth="1"/>
    <col min="4358" max="4358" width="12.88671875" style="1891" bestFit="1" customWidth="1"/>
    <col min="4359" max="4359" width="11.88671875" style="1891" bestFit="1" customWidth="1"/>
    <col min="4360" max="4608" width="9.109375" style="1891"/>
    <col min="4609" max="4609" width="39.44140625" style="1891" customWidth="1"/>
    <col min="4610" max="4610" width="12.44140625" style="1891" customWidth="1"/>
    <col min="4611" max="4611" width="16.44140625" style="1891" customWidth="1"/>
    <col min="4612" max="4612" width="11.44140625" style="1891" customWidth="1"/>
    <col min="4613" max="4613" width="12.44140625" style="1891" customWidth="1"/>
    <col min="4614" max="4614" width="12.88671875" style="1891" bestFit="1" customWidth="1"/>
    <col min="4615" max="4615" width="11.88671875" style="1891" bestFit="1" customWidth="1"/>
    <col min="4616" max="4864" width="9.109375" style="1891"/>
    <col min="4865" max="4865" width="39.44140625" style="1891" customWidth="1"/>
    <col min="4866" max="4866" width="12.44140625" style="1891" customWidth="1"/>
    <col min="4867" max="4867" width="16.44140625" style="1891" customWidth="1"/>
    <col min="4868" max="4868" width="11.44140625" style="1891" customWidth="1"/>
    <col min="4869" max="4869" width="12.44140625" style="1891" customWidth="1"/>
    <col min="4870" max="4870" width="12.88671875" style="1891" bestFit="1" customWidth="1"/>
    <col min="4871" max="4871" width="11.88671875" style="1891" bestFit="1" customWidth="1"/>
    <col min="4872" max="5120" width="9.109375" style="1891"/>
    <col min="5121" max="5121" width="39.44140625" style="1891" customWidth="1"/>
    <col min="5122" max="5122" width="12.44140625" style="1891" customWidth="1"/>
    <col min="5123" max="5123" width="16.44140625" style="1891" customWidth="1"/>
    <col min="5124" max="5124" width="11.44140625" style="1891" customWidth="1"/>
    <col min="5125" max="5125" width="12.44140625" style="1891" customWidth="1"/>
    <col min="5126" max="5126" width="12.88671875" style="1891" bestFit="1" customWidth="1"/>
    <col min="5127" max="5127" width="11.88671875" style="1891" bestFit="1" customWidth="1"/>
    <col min="5128" max="5376" width="9.109375" style="1891"/>
    <col min="5377" max="5377" width="39.44140625" style="1891" customWidth="1"/>
    <col min="5378" max="5378" width="12.44140625" style="1891" customWidth="1"/>
    <col min="5379" max="5379" width="16.44140625" style="1891" customWidth="1"/>
    <col min="5380" max="5380" width="11.44140625" style="1891" customWidth="1"/>
    <col min="5381" max="5381" width="12.44140625" style="1891" customWidth="1"/>
    <col min="5382" max="5382" width="12.88671875" style="1891" bestFit="1" customWidth="1"/>
    <col min="5383" max="5383" width="11.88671875" style="1891" bestFit="1" customWidth="1"/>
    <col min="5384" max="5632" width="9.109375" style="1891"/>
    <col min="5633" max="5633" width="39.44140625" style="1891" customWidth="1"/>
    <col min="5634" max="5634" width="12.44140625" style="1891" customWidth="1"/>
    <col min="5635" max="5635" width="16.44140625" style="1891" customWidth="1"/>
    <col min="5636" max="5636" width="11.44140625" style="1891" customWidth="1"/>
    <col min="5637" max="5637" width="12.44140625" style="1891" customWidth="1"/>
    <col min="5638" max="5638" width="12.88671875" style="1891" bestFit="1" customWidth="1"/>
    <col min="5639" max="5639" width="11.88671875" style="1891" bestFit="1" customWidth="1"/>
    <col min="5640" max="5888" width="9.109375" style="1891"/>
    <col min="5889" max="5889" width="39.44140625" style="1891" customWidth="1"/>
    <col min="5890" max="5890" width="12.44140625" style="1891" customWidth="1"/>
    <col min="5891" max="5891" width="16.44140625" style="1891" customWidth="1"/>
    <col min="5892" max="5892" width="11.44140625" style="1891" customWidth="1"/>
    <col min="5893" max="5893" width="12.44140625" style="1891" customWidth="1"/>
    <col min="5894" max="5894" width="12.88671875" style="1891" bestFit="1" customWidth="1"/>
    <col min="5895" max="5895" width="11.88671875" style="1891" bestFit="1" customWidth="1"/>
    <col min="5896" max="6144" width="9.109375" style="1891"/>
    <col min="6145" max="6145" width="39.44140625" style="1891" customWidth="1"/>
    <col min="6146" max="6146" width="12.44140625" style="1891" customWidth="1"/>
    <col min="6147" max="6147" width="16.44140625" style="1891" customWidth="1"/>
    <col min="6148" max="6148" width="11.44140625" style="1891" customWidth="1"/>
    <col min="6149" max="6149" width="12.44140625" style="1891" customWidth="1"/>
    <col min="6150" max="6150" width="12.88671875" style="1891" bestFit="1" customWidth="1"/>
    <col min="6151" max="6151" width="11.88671875" style="1891" bestFit="1" customWidth="1"/>
    <col min="6152" max="6400" width="9.109375" style="1891"/>
    <col min="6401" max="6401" width="39.44140625" style="1891" customWidth="1"/>
    <col min="6402" max="6402" width="12.44140625" style="1891" customWidth="1"/>
    <col min="6403" max="6403" width="16.44140625" style="1891" customWidth="1"/>
    <col min="6404" max="6404" width="11.44140625" style="1891" customWidth="1"/>
    <col min="6405" max="6405" width="12.44140625" style="1891" customWidth="1"/>
    <col min="6406" max="6406" width="12.88671875" style="1891" bestFit="1" customWidth="1"/>
    <col min="6407" max="6407" width="11.88671875" style="1891" bestFit="1" customWidth="1"/>
    <col min="6408" max="6656" width="9.109375" style="1891"/>
    <col min="6657" max="6657" width="39.44140625" style="1891" customWidth="1"/>
    <col min="6658" max="6658" width="12.44140625" style="1891" customWidth="1"/>
    <col min="6659" max="6659" width="16.44140625" style="1891" customWidth="1"/>
    <col min="6660" max="6660" width="11.44140625" style="1891" customWidth="1"/>
    <col min="6661" max="6661" width="12.44140625" style="1891" customWidth="1"/>
    <col min="6662" max="6662" width="12.88671875" style="1891" bestFit="1" customWidth="1"/>
    <col min="6663" max="6663" width="11.88671875" style="1891" bestFit="1" customWidth="1"/>
    <col min="6664" max="6912" width="9.109375" style="1891"/>
    <col min="6913" max="6913" width="39.44140625" style="1891" customWidth="1"/>
    <col min="6914" max="6914" width="12.44140625" style="1891" customWidth="1"/>
    <col min="6915" max="6915" width="16.44140625" style="1891" customWidth="1"/>
    <col min="6916" max="6916" width="11.44140625" style="1891" customWidth="1"/>
    <col min="6917" max="6917" width="12.44140625" style="1891" customWidth="1"/>
    <col min="6918" max="6918" width="12.88671875" style="1891" bestFit="1" customWidth="1"/>
    <col min="6919" max="6919" width="11.88671875" style="1891" bestFit="1" customWidth="1"/>
    <col min="6920" max="7168" width="9.109375" style="1891"/>
    <col min="7169" max="7169" width="39.44140625" style="1891" customWidth="1"/>
    <col min="7170" max="7170" width="12.44140625" style="1891" customWidth="1"/>
    <col min="7171" max="7171" width="16.44140625" style="1891" customWidth="1"/>
    <col min="7172" max="7172" width="11.44140625" style="1891" customWidth="1"/>
    <col min="7173" max="7173" width="12.44140625" style="1891" customWidth="1"/>
    <col min="7174" max="7174" width="12.88671875" style="1891" bestFit="1" customWidth="1"/>
    <col min="7175" max="7175" width="11.88671875" style="1891" bestFit="1" customWidth="1"/>
    <col min="7176" max="7424" width="9.109375" style="1891"/>
    <col min="7425" max="7425" width="39.44140625" style="1891" customWidth="1"/>
    <col min="7426" max="7426" width="12.44140625" style="1891" customWidth="1"/>
    <col min="7427" max="7427" width="16.44140625" style="1891" customWidth="1"/>
    <col min="7428" max="7428" width="11.44140625" style="1891" customWidth="1"/>
    <col min="7429" max="7429" width="12.44140625" style="1891" customWidth="1"/>
    <col min="7430" max="7430" width="12.88671875" style="1891" bestFit="1" customWidth="1"/>
    <col min="7431" max="7431" width="11.88671875" style="1891" bestFit="1" customWidth="1"/>
    <col min="7432" max="7680" width="9.109375" style="1891"/>
    <col min="7681" max="7681" width="39.44140625" style="1891" customWidth="1"/>
    <col min="7682" max="7682" width="12.44140625" style="1891" customWidth="1"/>
    <col min="7683" max="7683" width="16.44140625" style="1891" customWidth="1"/>
    <col min="7684" max="7684" width="11.44140625" style="1891" customWidth="1"/>
    <col min="7685" max="7685" width="12.44140625" style="1891" customWidth="1"/>
    <col min="7686" max="7686" width="12.88671875" style="1891" bestFit="1" customWidth="1"/>
    <col min="7687" max="7687" width="11.88671875" style="1891" bestFit="1" customWidth="1"/>
    <col min="7688" max="7936" width="9.109375" style="1891"/>
    <col min="7937" max="7937" width="39.44140625" style="1891" customWidth="1"/>
    <col min="7938" max="7938" width="12.44140625" style="1891" customWidth="1"/>
    <col min="7939" max="7939" width="16.44140625" style="1891" customWidth="1"/>
    <col min="7940" max="7940" width="11.44140625" style="1891" customWidth="1"/>
    <col min="7941" max="7941" width="12.44140625" style="1891" customWidth="1"/>
    <col min="7942" max="7942" width="12.88671875" style="1891" bestFit="1" customWidth="1"/>
    <col min="7943" max="7943" width="11.88671875" style="1891" bestFit="1" customWidth="1"/>
    <col min="7944" max="8192" width="9.109375" style="1891"/>
    <col min="8193" max="8193" width="39.44140625" style="1891" customWidth="1"/>
    <col min="8194" max="8194" width="12.44140625" style="1891" customWidth="1"/>
    <col min="8195" max="8195" width="16.44140625" style="1891" customWidth="1"/>
    <col min="8196" max="8196" width="11.44140625" style="1891" customWidth="1"/>
    <col min="8197" max="8197" width="12.44140625" style="1891" customWidth="1"/>
    <col min="8198" max="8198" width="12.88671875" style="1891" bestFit="1" customWidth="1"/>
    <col min="8199" max="8199" width="11.88671875" style="1891" bestFit="1" customWidth="1"/>
    <col min="8200" max="8448" width="9.109375" style="1891"/>
    <col min="8449" max="8449" width="39.44140625" style="1891" customWidth="1"/>
    <col min="8450" max="8450" width="12.44140625" style="1891" customWidth="1"/>
    <col min="8451" max="8451" width="16.44140625" style="1891" customWidth="1"/>
    <col min="8452" max="8452" width="11.44140625" style="1891" customWidth="1"/>
    <col min="8453" max="8453" width="12.44140625" style="1891" customWidth="1"/>
    <col min="8454" max="8454" width="12.88671875" style="1891" bestFit="1" customWidth="1"/>
    <col min="8455" max="8455" width="11.88671875" style="1891" bestFit="1" customWidth="1"/>
    <col min="8456" max="8704" width="9.109375" style="1891"/>
    <col min="8705" max="8705" width="39.44140625" style="1891" customWidth="1"/>
    <col min="8706" max="8706" width="12.44140625" style="1891" customWidth="1"/>
    <col min="8707" max="8707" width="16.44140625" style="1891" customWidth="1"/>
    <col min="8708" max="8708" width="11.44140625" style="1891" customWidth="1"/>
    <col min="8709" max="8709" width="12.44140625" style="1891" customWidth="1"/>
    <col min="8710" max="8710" width="12.88671875" style="1891" bestFit="1" customWidth="1"/>
    <col min="8711" max="8711" width="11.88671875" style="1891" bestFit="1" customWidth="1"/>
    <col min="8712" max="8960" width="9.109375" style="1891"/>
    <col min="8961" max="8961" width="39.44140625" style="1891" customWidth="1"/>
    <col min="8962" max="8962" width="12.44140625" style="1891" customWidth="1"/>
    <col min="8963" max="8963" width="16.44140625" style="1891" customWidth="1"/>
    <col min="8964" max="8964" width="11.44140625" style="1891" customWidth="1"/>
    <col min="8965" max="8965" width="12.44140625" style="1891" customWidth="1"/>
    <col min="8966" max="8966" width="12.88671875" style="1891" bestFit="1" customWidth="1"/>
    <col min="8967" max="8967" width="11.88671875" style="1891" bestFit="1" customWidth="1"/>
    <col min="8968" max="9216" width="9.109375" style="1891"/>
    <col min="9217" max="9217" width="39.44140625" style="1891" customWidth="1"/>
    <col min="9218" max="9218" width="12.44140625" style="1891" customWidth="1"/>
    <col min="9219" max="9219" width="16.44140625" style="1891" customWidth="1"/>
    <col min="9220" max="9220" width="11.44140625" style="1891" customWidth="1"/>
    <col min="9221" max="9221" width="12.44140625" style="1891" customWidth="1"/>
    <col min="9222" max="9222" width="12.88671875" style="1891" bestFit="1" customWidth="1"/>
    <col min="9223" max="9223" width="11.88671875" style="1891" bestFit="1" customWidth="1"/>
    <col min="9224" max="9472" width="9.109375" style="1891"/>
    <col min="9473" max="9473" width="39.44140625" style="1891" customWidth="1"/>
    <col min="9474" max="9474" width="12.44140625" style="1891" customWidth="1"/>
    <col min="9475" max="9475" width="16.44140625" style="1891" customWidth="1"/>
    <col min="9476" max="9476" width="11.44140625" style="1891" customWidth="1"/>
    <col min="9477" max="9477" width="12.44140625" style="1891" customWidth="1"/>
    <col min="9478" max="9478" width="12.88671875" style="1891" bestFit="1" customWidth="1"/>
    <col min="9479" max="9479" width="11.88671875" style="1891" bestFit="1" customWidth="1"/>
    <col min="9480" max="9728" width="9.109375" style="1891"/>
    <col min="9729" max="9729" width="39.44140625" style="1891" customWidth="1"/>
    <col min="9730" max="9730" width="12.44140625" style="1891" customWidth="1"/>
    <col min="9731" max="9731" width="16.44140625" style="1891" customWidth="1"/>
    <col min="9732" max="9732" width="11.44140625" style="1891" customWidth="1"/>
    <col min="9733" max="9733" width="12.44140625" style="1891" customWidth="1"/>
    <col min="9734" max="9734" width="12.88671875" style="1891" bestFit="1" customWidth="1"/>
    <col min="9735" max="9735" width="11.88671875" style="1891" bestFit="1" customWidth="1"/>
    <col min="9736" max="9984" width="9.109375" style="1891"/>
    <col min="9985" max="9985" width="39.44140625" style="1891" customWidth="1"/>
    <col min="9986" max="9986" width="12.44140625" style="1891" customWidth="1"/>
    <col min="9987" max="9987" width="16.44140625" style="1891" customWidth="1"/>
    <col min="9988" max="9988" width="11.44140625" style="1891" customWidth="1"/>
    <col min="9989" max="9989" width="12.44140625" style="1891" customWidth="1"/>
    <col min="9990" max="9990" width="12.88671875" style="1891" bestFit="1" customWidth="1"/>
    <col min="9991" max="9991" width="11.88671875" style="1891" bestFit="1" customWidth="1"/>
    <col min="9992" max="10240" width="9.109375" style="1891"/>
    <col min="10241" max="10241" width="39.44140625" style="1891" customWidth="1"/>
    <col min="10242" max="10242" width="12.44140625" style="1891" customWidth="1"/>
    <col min="10243" max="10243" width="16.44140625" style="1891" customWidth="1"/>
    <col min="10244" max="10244" width="11.44140625" style="1891" customWidth="1"/>
    <col min="10245" max="10245" width="12.44140625" style="1891" customWidth="1"/>
    <col min="10246" max="10246" width="12.88671875" style="1891" bestFit="1" customWidth="1"/>
    <col min="10247" max="10247" width="11.88671875" style="1891" bestFit="1" customWidth="1"/>
    <col min="10248" max="10496" width="9.109375" style="1891"/>
    <col min="10497" max="10497" width="39.44140625" style="1891" customWidth="1"/>
    <col min="10498" max="10498" width="12.44140625" style="1891" customWidth="1"/>
    <col min="10499" max="10499" width="16.44140625" style="1891" customWidth="1"/>
    <col min="10500" max="10500" width="11.44140625" style="1891" customWidth="1"/>
    <col min="10501" max="10501" width="12.44140625" style="1891" customWidth="1"/>
    <col min="10502" max="10502" width="12.88671875" style="1891" bestFit="1" customWidth="1"/>
    <col min="10503" max="10503" width="11.88671875" style="1891" bestFit="1" customWidth="1"/>
    <col min="10504" max="10752" width="9.109375" style="1891"/>
    <col min="10753" max="10753" width="39.44140625" style="1891" customWidth="1"/>
    <col min="10754" max="10754" width="12.44140625" style="1891" customWidth="1"/>
    <col min="10755" max="10755" width="16.44140625" style="1891" customWidth="1"/>
    <col min="10756" max="10756" width="11.44140625" style="1891" customWidth="1"/>
    <col min="10757" max="10757" width="12.44140625" style="1891" customWidth="1"/>
    <col min="10758" max="10758" width="12.88671875" style="1891" bestFit="1" customWidth="1"/>
    <col min="10759" max="10759" width="11.88671875" style="1891" bestFit="1" customWidth="1"/>
    <col min="10760" max="11008" width="9.109375" style="1891"/>
    <col min="11009" max="11009" width="39.44140625" style="1891" customWidth="1"/>
    <col min="11010" max="11010" width="12.44140625" style="1891" customWidth="1"/>
    <col min="11011" max="11011" width="16.44140625" style="1891" customWidth="1"/>
    <col min="11012" max="11012" width="11.44140625" style="1891" customWidth="1"/>
    <col min="11013" max="11013" width="12.44140625" style="1891" customWidth="1"/>
    <col min="11014" max="11014" width="12.88671875" style="1891" bestFit="1" customWidth="1"/>
    <col min="11015" max="11015" width="11.88671875" style="1891" bestFit="1" customWidth="1"/>
    <col min="11016" max="11264" width="9.109375" style="1891"/>
    <col min="11265" max="11265" width="39.44140625" style="1891" customWidth="1"/>
    <col min="11266" max="11266" width="12.44140625" style="1891" customWidth="1"/>
    <col min="11267" max="11267" width="16.44140625" style="1891" customWidth="1"/>
    <col min="11268" max="11268" width="11.44140625" style="1891" customWidth="1"/>
    <col min="11269" max="11269" width="12.44140625" style="1891" customWidth="1"/>
    <col min="11270" max="11270" width="12.88671875" style="1891" bestFit="1" customWidth="1"/>
    <col min="11271" max="11271" width="11.88671875" style="1891" bestFit="1" customWidth="1"/>
    <col min="11272" max="11520" width="9.109375" style="1891"/>
    <col min="11521" max="11521" width="39.44140625" style="1891" customWidth="1"/>
    <col min="11522" max="11522" width="12.44140625" style="1891" customWidth="1"/>
    <col min="11523" max="11523" width="16.44140625" style="1891" customWidth="1"/>
    <col min="11524" max="11524" width="11.44140625" style="1891" customWidth="1"/>
    <col min="11525" max="11525" width="12.44140625" style="1891" customWidth="1"/>
    <col min="11526" max="11526" width="12.88671875" style="1891" bestFit="1" customWidth="1"/>
    <col min="11527" max="11527" width="11.88671875" style="1891" bestFit="1" customWidth="1"/>
    <col min="11528" max="11776" width="9.109375" style="1891"/>
    <col min="11777" max="11777" width="39.44140625" style="1891" customWidth="1"/>
    <col min="11778" max="11778" width="12.44140625" style="1891" customWidth="1"/>
    <col min="11779" max="11779" width="16.44140625" style="1891" customWidth="1"/>
    <col min="11780" max="11780" width="11.44140625" style="1891" customWidth="1"/>
    <col min="11781" max="11781" width="12.44140625" style="1891" customWidth="1"/>
    <col min="11782" max="11782" width="12.88671875" style="1891" bestFit="1" customWidth="1"/>
    <col min="11783" max="11783" width="11.88671875" style="1891" bestFit="1" customWidth="1"/>
    <col min="11784" max="12032" width="9.109375" style="1891"/>
    <col min="12033" max="12033" width="39.44140625" style="1891" customWidth="1"/>
    <col min="12034" max="12034" width="12.44140625" style="1891" customWidth="1"/>
    <col min="12035" max="12035" width="16.44140625" style="1891" customWidth="1"/>
    <col min="12036" max="12036" width="11.44140625" style="1891" customWidth="1"/>
    <col min="12037" max="12037" width="12.44140625" style="1891" customWidth="1"/>
    <col min="12038" max="12038" width="12.88671875" style="1891" bestFit="1" customWidth="1"/>
    <col min="12039" max="12039" width="11.88671875" style="1891" bestFit="1" customWidth="1"/>
    <col min="12040" max="12288" width="9.109375" style="1891"/>
    <col min="12289" max="12289" width="39.44140625" style="1891" customWidth="1"/>
    <col min="12290" max="12290" width="12.44140625" style="1891" customWidth="1"/>
    <col min="12291" max="12291" width="16.44140625" style="1891" customWidth="1"/>
    <col min="12292" max="12292" width="11.44140625" style="1891" customWidth="1"/>
    <col min="12293" max="12293" width="12.44140625" style="1891" customWidth="1"/>
    <col min="12294" max="12294" width="12.88671875" style="1891" bestFit="1" customWidth="1"/>
    <col min="12295" max="12295" width="11.88671875" style="1891" bestFit="1" customWidth="1"/>
    <col min="12296" max="12544" width="9.109375" style="1891"/>
    <col min="12545" max="12545" width="39.44140625" style="1891" customWidth="1"/>
    <col min="12546" max="12546" width="12.44140625" style="1891" customWidth="1"/>
    <col min="12547" max="12547" width="16.44140625" style="1891" customWidth="1"/>
    <col min="12548" max="12548" width="11.44140625" style="1891" customWidth="1"/>
    <col min="12549" max="12549" width="12.44140625" style="1891" customWidth="1"/>
    <col min="12550" max="12550" width="12.88671875" style="1891" bestFit="1" customWidth="1"/>
    <col min="12551" max="12551" width="11.88671875" style="1891" bestFit="1" customWidth="1"/>
    <col min="12552" max="12800" width="9.109375" style="1891"/>
    <col min="12801" max="12801" width="39.44140625" style="1891" customWidth="1"/>
    <col min="12802" max="12802" width="12.44140625" style="1891" customWidth="1"/>
    <col min="12803" max="12803" width="16.44140625" style="1891" customWidth="1"/>
    <col min="12804" max="12804" width="11.44140625" style="1891" customWidth="1"/>
    <col min="12805" max="12805" width="12.44140625" style="1891" customWidth="1"/>
    <col min="12806" max="12806" width="12.88671875" style="1891" bestFit="1" customWidth="1"/>
    <col min="12807" max="12807" width="11.88671875" style="1891" bestFit="1" customWidth="1"/>
    <col min="12808" max="13056" width="9.109375" style="1891"/>
    <col min="13057" max="13057" width="39.44140625" style="1891" customWidth="1"/>
    <col min="13058" max="13058" width="12.44140625" style="1891" customWidth="1"/>
    <col min="13059" max="13059" width="16.44140625" style="1891" customWidth="1"/>
    <col min="13060" max="13060" width="11.44140625" style="1891" customWidth="1"/>
    <col min="13061" max="13061" width="12.44140625" style="1891" customWidth="1"/>
    <col min="13062" max="13062" width="12.88671875" style="1891" bestFit="1" customWidth="1"/>
    <col min="13063" max="13063" width="11.88671875" style="1891" bestFit="1" customWidth="1"/>
    <col min="13064" max="13312" width="9.109375" style="1891"/>
    <col min="13313" max="13313" width="39.44140625" style="1891" customWidth="1"/>
    <col min="13314" max="13314" width="12.44140625" style="1891" customWidth="1"/>
    <col min="13315" max="13315" width="16.44140625" style="1891" customWidth="1"/>
    <col min="13316" max="13316" width="11.44140625" style="1891" customWidth="1"/>
    <col min="13317" max="13317" width="12.44140625" style="1891" customWidth="1"/>
    <col min="13318" max="13318" width="12.88671875" style="1891" bestFit="1" customWidth="1"/>
    <col min="13319" max="13319" width="11.88671875" style="1891" bestFit="1" customWidth="1"/>
    <col min="13320" max="13568" width="9.109375" style="1891"/>
    <col min="13569" max="13569" width="39.44140625" style="1891" customWidth="1"/>
    <col min="13570" max="13570" width="12.44140625" style="1891" customWidth="1"/>
    <col min="13571" max="13571" width="16.44140625" style="1891" customWidth="1"/>
    <col min="13572" max="13572" width="11.44140625" style="1891" customWidth="1"/>
    <col min="13573" max="13573" width="12.44140625" style="1891" customWidth="1"/>
    <col min="13574" max="13574" width="12.88671875" style="1891" bestFit="1" customWidth="1"/>
    <col min="13575" max="13575" width="11.88671875" style="1891" bestFit="1" customWidth="1"/>
    <col min="13576" max="13824" width="9.109375" style="1891"/>
    <col min="13825" max="13825" width="39.44140625" style="1891" customWidth="1"/>
    <col min="13826" max="13826" width="12.44140625" style="1891" customWidth="1"/>
    <col min="13827" max="13827" width="16.44140625" style="1891" customWidth="1"/>
    <col min="13828" max="13828" width="11.44140625" style="1891" customWidth="1"/>
    <col min="13829" max="13829" width="12.44140625" style="1891" customWidth="1"/>
    <col min="13830" max="13830" width="12.88671875" style="1891" bestFit="1" customWidth="1"/>
    <col min="13831" max="13831" width="11.88671875" style="1891" bestFit="1" customWidth="1"/>
    <col min="13832" max="14080" width="9.109375" style="1891"/>
    <col min="14081" max="14081" width="39.44140625" style="1891" customWidth="1"/>
    <col min="14082" max="14082" width="12.44140625" style="1891" customWidth="1"/>
    <col min="14083" max="14083" width="16.44140625" style="1891" customWidth="1"/>
    <col min="14084" max="14084" width="11.44140625" style="1891" customWidth="1"/>
    <col min="14085" max="14085" width="12.44140625" style="1891" customWidth="1"/>
    <col min="14086" max="14086" width="12.88671875" style="1891" bestFit="1" customWidth="1"/>
    <col min="14087" max="14087" width="11.88671875" style="1891" bestFit="1" customWidth="1"/>
    <col min="14088" max="14336" width="9.109375" style="1891"/>
    <col min="14337" max="14337" width="39.44140625" style="1891" customWidth="1"/>
    <col min="14338" max="14338" width="12.44140625" style="1891" customWidth="1"/>
    <col min="14339" max="14339" width="16.44140625" style="1891" customWidth="1"/>
    <col min="14340" max="14340" width="11.44140625" style="1891" customWidth="1"/>
    <col min="14341" max="14341" width="12.44140625" style="1891" customWidth="1"/>
    <col min="14342" max="14342" width="12.88671875" style="1891" bestFit="1" customWidth="1"/>
    <col min="14343" max="14343" width="11.88671875" style="1891" bestFit="1" customWidth="1"/>
    <col min="14344" max="14592" width="9.109375" style="1891"/>
    <col min="14593" max="14593" width="39.44140625" style="1891" customWidth="1"/>
    <col min="14594" max="14594" width="12.44140625" style="1891" customWidth="1"/>
    <col min="14595" max="14595" width="16.44140625" style="1891" customWidth="1"/>
    <col min="14596" max="14596" width="11.44140625" style="1891" customWidth="1"/>
    <col min="14597" max="14597" width="12.44140625" style="1891" customWidth="1"/>
    <col min="14598" max="14598" width="12.88671875" style="1891" bestFit="1" customWidth="1"/>
    <col min="14599" max="14599" width="11.88671875" style="1891" bestFit="1" customWidth="1"/>
    <col min="14600" max="14848" width="9.109375" style="1891"/>
    <col min="14849" max="14849" width="39.44140625" style="1891" customWidth="1"/>
    <col min="14850" max="14850" width="12.44140625" style="1891" customWidth="1"/>
    <col min="14851" max="14851" width="16.44140625" style="1891" customWidth="1"/>
    <col min="14852" max="14852" width="11.44140625" style="1891" customWidth="1"/>
    <col min="14853" max="14853" width="12.44140625" style="1891" customWidth="1"/>
    <col min="14854" max="14854" width="12.88671875" style="1891" bestFit="1" customWidth="1"/>
    <col min="14855" max="14855" width="11.88671875" style="1891" bestFit="1" customWidth="1"/>
    <col min="14856" max="15104" width="9.109375" style="1891"/>
    <col min="15105" max="15105" width="39.44140625" style="1891" customWidth="1"/>
    <col min="15106" max="15106" width="12.44140625" style="1891" customWidth="1"/>
    <col min="15107" max="15107" width="16.44140625" style="1891" customWidth="1"/>
    <col min="15108" max="15108" width="11.44140625" style="1891" customWidth="1"/>
    <col min="15109" max="15109" width="12.44140625" style="1891" customWidth="1"/>
    <col min="15110" max="15110" width="12.88671875" style="1891" bestFit="1" customWidth="1"/>
    <col min="15111" max="15111" width="11.88671875" style="1891" bestFit="1" customWidth="1"/>
    <col min="15112" max="15360" width="9.109375" style="1891"/>
    <col min="15361" max="15361" width="39.44140625" style="1891" customWidth="1"/>
    <col min="15362" max="15362" width="12.44140625" style="1891" customWidth="1"/>
    <col min="15363" max="15363" width="16.44140625" style="1891" customWidth="1"/>
    <col min="15364" max="15364" width="11.44140625" style="1891" customWidth="1"/>
    <col min="15365" max="15365" width="12.44140625" style="1891" customWidth="1"/>
    <col min="15366" max="15366" width="12.88671875" style="1891" bestFit="1" customWidth="1"/>
    <col min="15367" max="15367" width="11.88671875" style="1891" bestFit="1" customWidth="1"/>
    <col min="15368" max="15616" width="9.109375" style="1891"/>
    <col min="15617" max="15617" width="39.44140625" style="1891" customWidth="1"/>
    <col min="15618" max="15618" width="12.44140625" style="1891" customWidth="1"/>
    <col min="15619" max="15619" width="16.44140625" style="1891" customWidth="1"/>
    <col min="15620" max="15620" width="11.44140625" style="1891" customWidth="1"/>
    <col min="15621" max="15621" width="12.44140625" style="1891" customWidth="1"/>
    <col min="15622" max="15622" width="12.88671875" style="1891" bestFit="1" customWidth="1"/>
    <col min="15623" max="15623" width="11.88671875" style="1891" bestFit="1" customWidth="1"/>
    <col min="15624" max="15872" width="9.109375" style="1891"/>
    <col min="15873" max="15873" width="39.44140625" style="1891" customWidth="1"/>
    <col min="15874" max="15874" width="12.44140625" style="1891" customWidth="1"/>
    <col min="15875" max="15875" width="16.44140625" style="1891" customWidth="1"/>
    <col min="15876" max="15876" width="11.44140625" style="1891" customWidth="1"/>
    <col min="15877" max="15877" width="12.44140625" style="1891" customWidth="1"/>
    <col min="15878" max="15878" width="12.88671875" style="1891" bestFit="1" customWidth="1"/>
    <col min="15879" max="15879" width="11.88671875" style="1891" bestFit="1" customWidth="1"/>
    <col min="15880" max="16128" width="9.109375" style="1891"/>
    <col min="16129" max="16129" width="39.44140625" style="1891" customWidth="1"/>
    <col min="16130" max="16130" width="12.44140625" style="1891" customWidth="1"/>
    <col min="16131" max="16131" width="16.44140625" style="1891" customWidth="1"/>
    <col min="16132" max="16132" width="11.44140625" style="1891" customWidth="1"/>
    <col min="16133" max="16133" width="12.44140625" style="1891" customWidth="1"/>
    <col min="16134" max="16134" width="12.88671875" style="1891" bestFit="1" customWidth="1"/>
    <col min="16135" max="16135" width="11.88671875" style="1891" bestFit="1" customWidth="1"/>
    <col min="16136" max="16384" width="9.109375" style="1891"/>
  </cols>
  <sheetData>
    <row r="1" spans="1:5" s="4274" customFormat="1" ht="13.8">
      <c r="A1" s="4275" t="s">
        <v>5051</v>
      </c>
    </row>
    <row r="2" spans="1:5" s="4274" customFormat="1" ht="13.8"/>
    <row r="3" spans="1:5" s="4274" customFormat="1" ht="13.8">
      <c r="A3" s="4275" t="s">
        <v>9575</v>
      </c>
    </row>
    <row r="4" spans="1:5" s="4274" customFormat="1" ht="14.4" thickBot="1"/>
    <row r="5" spans="1:5" ht="13.8" thickBot="1">
      <c r="A5" s="15195" t="s">
        <v>2046</v>
      </c>
      <c r="B5" s="15198" t="s">
        <v>5052</v>
      </c>
      <c r="C5" s="15199"/>
      <c r="D5" s="15200"/>
      <c r="E5" s="1907"/>
    </row>
    <row r="6" spans="1:5">
      <c r="A6" s="15196"/>
      <c r="B6" s="1908" t="s">
        <v>3876</v>
      </c>
      <c r="C6" s="15202" t="s">
        <v>1973</v>
      </c>
      <c r="D6" s="1908" t="s">
        <v>5053</v>
      </c>
      <c r="E6" s="1909" t="s">
        <v>458</v>
      </c>
    </row>
    <row r="7" spans="1:5" ht="15.75" customHeight="1" thickBot="1">
      <c r="A7" s="15197"/>
      <c r="B7" s="1910" t="s">
        <v>563</v>
      </c>
      <c r="C7" s="15203"/>
      <c r="D7" s="1910" t="s">
        <v>5054</v>
      </c>
      <c r="E7" s="1911"/>
    </row>
    <row r="8" spans="1:5">
      <c r="A8" s="1912" t="s">
        <v>2048</v>
      </c>
      <c r="B8" s="1912"/>
      <c r="C8" s="1913"/>
      <c r="D8" s="4303"/>
      <c r="E8" s="1907"/>
    </row>
    <row r="9" spans="1:5">
      <c r="A9" s="1914" t="s">
        <v>5055</v>
      </c>
      <c r="B9" s="4304">
        <f>3035249.86-62019.5</f>
        <v>2973230.36</v>
      </c>
      <c r="C9" s="4304">
        <v>4714970</v>
      </c>
      <c r="D9" s="4304">
        <v>0</v>
      </c>
      <c r="E9" s="1915">
        <f>SUM(B9:D9)</f>
        <v>7688200.3599999994</v>
      </c>
    </row>
    <row r="10" spans="1:5">
      <c r="A10" s="1916" t="s">
        <v>5056</v>
      </c>
      <c r="B10" s="4305"/>
      <c r="C10" s="1898"/>
      <c r="D10" s="4305"/>
      <c r="E10" s="4305"/>
    </row>
    <row r="11" spans="1:5">
      <c r="A11" s="1916" t="s">
        <v>5057</v>
      </c>
      <c r="B11" s="4305"/>
      <c r="C11" s="1898"/>
      <c r="D11" s="4305"/>
      <c r="E11" s="4305"/>
    </row>
    <row r="12" spans="1:5">
      <c r="A12" s="1916" t="s">
        <v>5058</v>
      </c>
      <c r="B12" s="4305"/>
      <c r="C12" s="1898"/>
      <c r="D12" s="4305"/>
      <c r="E12" s="4305"/>
    </row>
    <row r="13" spans="1:5">
      <c r="A13" s="1916" t="s">
        <v>5059</v>
      </c>
      <c r="B13" s="4305"/>
      <c r="C13" s="1898"/>
      <c r="D13" s="4305"/>
      <c r="E13" s="4306"/>
    </row>
    <row r="14" spans="1:5">
      <c r="A14" s="1916" t="s">
        <v>5060</v>
      </c>
      <c r="B14" s="4305"/>
      <c r="C14" s="1898"/>
      <c r="D14" s="4305"/>
      <c r="E14" s="4305"/>
    </row>
    <row r="15" spans="1:5">
      <c r="A15" s="1916" t="s">
        <v>5061</v>
      </c>
      <c r="B15" s="4305"/>
      <c r="C15" s="1898"/>
      <c r="D15" s="4305"/>
      <c r="E15" s="4305"/>
    </row>
    <row r="16" spans="1:5">
      <c r="A16" s="1916" t="s">
        <v>5062</v>
      </c>
      <c r="B16" s="4305"/>
      <c r="C16" s="1898"/>
      <c r="D16" s="4305"/>
      <c r="E16" s="4305"/>
    </row>
    <row r="17" spans="1:12">
      <c r="A17" s="1917" t="s">
        <v>9576</v>
      </c>
      <c r="B17" s="4305"/>
      <c r="C17" s="1898"/>
      <c r="D17" s="4305"/>
      <c r="E17" s="4305"/>
    </row>
    <row r="18" spans="1:12">
      <c r="A18" s="1917" t="s">
        <v>9577</v>
      </c>
      <c r="B18" s="1917"/>
      <c r="C18" s="1898"/>
      <c r="D18" s="1917"/>
      <c r="E18" s="1917"/>
      <c r="L18" s="1891" t="s">
        <v>9</v>
      </c>
    </row>
    <row r="19" spans="1:12">
      <c r="A19" s="1917" t="s">
        <v>9580</v>
      </c>
      <c r="B19" s="1917"/>
      <c r="C19" s="1898"/>
      <c r="D19" s="1917"/>
      <c r="E19" s="1917"/>
      <c r="J19" s="1891" t="s">
        <v>9</v>
      </c>
    </row>
    <row r="20" spans="1:12">
      <c r="A20" s="1917" t="s">
        <v>9578</v>
      </c>
      <c r="B20" s="1917"/>
      <c r="C20" s="1898"/>
      <c r="D20" s="1917"/>
      <c r="E20" s="1917"/>
    </row>
    <row r="21" spans="1:12">
      <c r="A21" s="1916" t="s">
        <v>5063</v>
      </c>
      <c r="B21" s="1918"/>
      <c r="C21" s="1919"/>
      <c r="D21" s="1920"/>
      <c r="E21" s="1918"/>
    </row>
    <row r="22" spans="1:12">
      <c r="A22" s="1917" t="s">
        <v>9579</v>
      </c>
      <c r="B22" s="1918"/>
      <c r="C22" s="1919"/>
      <c r="D22" s="1920"/>
      <c r="E22" s="1918"/>
    </row>
    <row r="23" spans="1:12">
      <c r="A23" s="1916" t="s">
        <v>5064</v>
      </c>
      <c r="B23" s="1918"/>
      <c r="C23" s="1919"/>
      <c r="D23" s="1920"/>
      <c r="E23" s="1918"/>
    </row>
    <row r="24" spans="1:12">
      <c r="A24" s="1916" t="s">
        <v>5065</v>
      </c>
      <c r="B24" s="1918"/>
      <c r="C24" s="1919"/>
      <c r="D24" s="1920"/>
      <c r="E24" s="1918"/>
    </row>
    <row r="25" spans="1:12">
      <c r="A25" s="1916" t="s">
        <v>5066</v>
      </c>
      <c r="B25" s="1918"/>
      <c r="C25" s="1919"/>
      <c r="D25" s="1920"/>
      <c r="E25" s="1918"/>
    </row>
    <row r="26" spans="1:12">
      <c r="A26" s="1916" t="s">
        <v>5067</v>
      </c>
      <c r="B26" s="1918"/>
      <c r="C26" s="1919"/>
      <c r="D26" s="1920"/>
      <c r="E26" s="1918"/>
    </row>
    <row r="27" spans="1:12">
      <c r="A27" s="1916" t="s">
        <v>5068</v>
      </c>
      <c r="B27" s="1918"/>
      <c r="C27" s="1919"/>
      <c r="D27" s="1920"/>
      <c r="E27" s="1918"/>
    </row>
    <row r="28" spans="1:12">
      <c r="A28" s="1916" t="s">
        <v>5069</v>
      </c>
      <c r="B28" s="1918"/>
      <c r="C28" s="1919"/>
      <c r="D28" s="1920"/>
      <c r="E28" s="1918"/>
    </row>
    <row r="29" spans="1:12">
      <c r="A29" s="1916" t="s">
        <v>5070</v>
      </c>
      <c r="B29" s="1918"/>
      <c r="C29" s="1919"/>
      <c r="D29" s="1920"/>
      <c r="E29" s="1918"/>
    </row>
    <row r="30" spans="1:12">
      <c r="A30" s="1917" t="s">
        <v>9581</v>
      </c>
      <c r="B30" s="1918"/>
      <c r="C30" s="1919"/>
      <c r="D30" s="1920"/>
      <c r="E30" s="1918"/>
    </row>
    <row r="31" spans="1:12">
      <c r="A31" s="1917" t="s">
        <v>9582</v>
      </c>
      <c r="B31" s="1918"/>
      <c r="C31" s="1919"/>
      <c r="D31" s="1920"/>
      <c r="E31" s="1918"/>
    </row>
    <row r="32" spans="1:12">
      <c r="A32" s="4307" t="s">
        <v>9583</v>
      </c>
      <c r="B32" s="1917"/>
      <c r="C32" s="1898"/>
      <c r="D32" s="1917"/>
      <c r="E32" s="1917"/>
    </row>
    <row r="33" spans="1:5">
      <c r="A33" s="1921" t="s">
        <v>5071</v>
      </c>
      <c r="B33" s="1917"/>
      <c r="C33" s="1898"/>
      <c r="D33" s="1917"/>
      <c r="E33" s="1917"/>
    </row>
    <row r="34" spans="1:5">
      <c r="A34" s="1921" t="s">
        <v>5072</v>
      </c>
      <c r="B34" s="1917"/>
      <c r="C34" s="1898"/>
      <c r="D34" s="1917"/>
      <c r="E34" s="1917"/>
    </row>
    <row r="35" spans="1:5">
      <c r="A35" s="1921" t="s">
        <v>5073</v>
      </c>
      <c r="B35" s="1917"/>
      <c r="C35" s="1898"/>
      <c r="D35" s="1917"/>
      <c r="E35" s="1917"/>
    </row>
    <row r="36" spans="1:5">
      <c r="A36" s="1921" t="s">
        <v>5074</v>
      </c>
      <c r="B36" s="1917"/>
      <c r="C36" s="1898"/>
      <c r="D36" s="1917"/>
      <c r="E36" s="1917"/>
    </row>
    <row r="37" spans="1:5">
      <c r="A37" s="1921" t="s">
        <v>5075</v>
      </c>
      <c r="B37" s="1917"/>
      <c r="C37" s="1898"/>
      <c r="D37" s="1917"/>
      <c r="E37" s="1917"/>
    </row>
    <row r="38" spans="1:5">
      <c r="A38" s="1922" t="s">
        <v>5076</v>
      </c>
      <c r="B38" s="1923">
        <v>2143728.34</v>
      </c>
      <c r="C38" s="1924">
        <v>1579000</v>
      </c>
      <c r="D38" s="1925"/>
      <c r="E38" s="1923">
        <f>SUM(B38:D38)</f>
        <v>3722728.34</v>
      </c>
    </row>
    <row r="39" spans="1:5">
      <c r="A39" s="1916" t="s">
        <v>5077</v>
      </c>
      <c r="B39" s="1917"/>
      <c r="C39" s="1898"/>
      <c r="D39" s="1917"/>
      <c r="E39" s="1917"/>
    </row>
    <row r="40" spans="1:5">
      <c r="A40" s="1916" t="s">
        <v>5078</v>
      </c>
      <c r="B40" s="1917"/>
      <c r="C40" s="1898"/>
      <c r="D40" s="1917"/>
      <c r="E40" s="1917"/>
    </row>
    <row r="41" spans="1:5">
      <c r="A41" s="1916" t="s">
        <v>5079</v>
      </c>
      <c r="B41" s="1917"/>
      <c r="C41" s="1898"/>
      <c r="D41" s="1917"/>
      <c r="E41" s="1917"/>
    </row>
    <row r="42" spans="1:5">
      <c r="A42" s="1916" t="s">
        <v>5080</v>
      </c>
      <c r="B42" s="1917"/>
      <c r="C42" s="1898"/>
      <c r="D42" s="1917"/>
      <c r="E42" s="1917"/>
    </row>
    <row r="43" spans="1:5">
      <c r="A43" s="1916" t="s">
        <v>5081</v>
      </c>
      <c r="B43" s="1917"/>
      <c r="C43" s="1898"/>
      <c r="D43" s="1917"/>
      <c r="E43" s="1917"/>
    </row>
    <row r="44" spans="1:5">
      <c r="A44" s="1916" t="s">
        <v>5082</v>
      </c>
      <c r="B44" s="1917"/>
      <c r="C44" s="1898"/>
      <c r="D44" s="1917"/>
      <c r="E44" s="1917"/>
    </row>
    <row r="45" spans="1:5">
      <c r="A45" s="1917" t="s">
        <v>9584</v>
      </c>
      <c r="B45" s="1917"/>
      <c r="C45" s="1898"/>
      <c r="D45" s="1917"/>
      <c r="E45" s="1917"/>
    </row>
    <row r="46" spans="1:5">
      <c r="A46" s="1916" t="s">
        <v>5083</v>
      </c>
      <c r="B46" s="1917"/>
      <c r="C46" s="1898"/>
      <c r="D46" s="1917"/>
      <c r="E46" s="1917"/>
    </row>
    <row r="47" spans="1:5">
      <c r="A47" s="1916" t="s">
        <v>5084</v>
      </c>
      <c r="B47" s="1917"/>
      <c r="C47" s="1898"/>
      <c r="D47" s="1917"/>
      <c r="E47" s="1917"/>
    </row>
    <row r="48" spans="1:5">
      <c r="A48" s="1916" t="s">
        <v>5085</v>
      </c>
      <c r="B48" s="1917"/>
      <c r="C48" s="1898"/>
      <c r="D48" s="1917"/>
      <c r="E48" s="1917"/>
    </row>
    <row r="49" spans="1:8">
      <c r="A49" s="1926" t="s">
        <v>5086</v>
      </c>
      <c r="B49" s="1923">
        <v>509847.3</v>
      </c>
      <c r="C49" s="1924">
        <f>452030+560000</f>
        <v>1012030</v>
      </c>
      <c r="D49" s="1923"/>
      <c r="E49" s="1923">
        <f>SUM(B49:D49)</f>
        <v>1521877.3</v>
      </c>
    </row>
    <row r="50" spans="1:8">
      <c r="A50" s="1927" t="s">
        <v>5087</v>
      </c>
      <c r="B50" s="1917"/>
      <c r="C50" s="1898"/>
      <c r="D50" s="1917"/>
      <c r="E50" s="1917"/>
    </row>
    <row r="51" spans="1:8">
      <c r="A51" s="1927" t="s">
        <v>5088</v>
      </c>
      <c r="B51" s="1917"/>
      <c r="C51" s="1898"/>
      <c r="D51" s="1917"/>
      <c r="E51" s="1917"/>
    </row>
    <row r="52" spans="1:8">
      <c r="A52" s="1927" t="s">
        <v>5089</v>
      </c>
      <c r="B52" s="1917"/>
      <c r="C52" s="1898"/>
      <c r="D52" s="1917"/>
      <c r="E52" s="1917"/>
    </row>
    <row r="53" spans="1:8">
      <c r="A53" s="1917" t="s">
        <v>5090</v>
      </c>
      <c r="B53" s="1928"/>
      <c r="C53" s="1902"/>
      <c r="D53" s="1929"/>
      <c r="E53" s="1929"/>
    </row>
    <row r="54" spans="1:8">
      <c r="A54" s="1916" t="s">
        <v>5091</v>
      </c>
      <c r="B54" s="1916"/>
      <c r="C54" s="1897"/>
      <c r="D54" s="1916"/>
      <c r="E54" s="1916"/>
    </row>
    <row r="55" spans="1:8">
      <c r="A55" s="1916" t="s">
        <v>5092</v>
      </c>
      <c r="B55" s="1916"/>
      <c r="C55" s="1902"/>
      <c r="D55" s="1916"/>
      <c r="E55" s="1929"/>
    </row>
    <row r="56" spans="1:8">
      <c r="A56" s="1917" t="s">
        <v>9585</v>
      </c>
      <c r="B56" s="1916"/>
      <c r="C56" s="1897"/>
      <c r="D56" s="1916"/>
      <c r="E56" s="1916"/>
    </row>
    <row r="57" spans="1:8">
      <c r="A57" s="1916" t="s">
        <v>5093</v>
      </c>
      <c r="B57" s="1916"/>
      <c r="C57" s="1897"/>
      <c r="D57" s="1916"/>
      <c r="E57" s="1916"/>
    </row>
    <row r="58" spans="1:8">
      <c r="A58" s="1917" t="s">
        <v>9586</v>
      </c>
      <c r="B58" s="1916"/>
      <c r="C58" s="1897"/>
      <c r="D58" s="1916"/>
      <c r="E58" s="1916"/>
    </row>
    <row r="59" spans="1:8">
      <c r="A59" s="1916" t="s">
        <v>5094</v>
      </c>
      <c r="B59" s="1916"/>
      <c r="C59" s="1897"/>
      <c r="D59" s="1916"/>
      <c r="E59" s="1916"/>
    </row>
    <row r="60" spans="1:8">
      <c r="A60" s="1916" t="s">
        <v>5095</v>
      </c>
      <c r="B60" s="1916"/>
      <c r="C60" s="1897"/>
      <c r="D60" s="1916"/>
      <c r="E60" s="1916"/>
    </row>
    <row r="61" spans="1:8">
      <c r="A61" s="1916" t="s">
        <v>5096</v>
      </c>
      <c r="B61" s="1916"/>
      <c r="C61" s="1897"/>
      <c r="D61" s="1916"/>
      <c r="E61" s="1916"/>
      <c r="H61" s="1891" t="s">
        <v>9</v>
      </c>
    </row>
    <row r="62" spans="1:8">
      <c r="A62" s="1916" t="s">
        <v>5097</v>
      </c>
      <c r="B62" s="1916"/>
      <c r="C62" s="1897"/>
      <c r="D62" s="1916"/>
      <c r="E62" s="1916"/>
    </row>
    <row r="63" spans="1:8">
      <c r="A63" s="1916" t="s">
        <v>5098</v>
      </c>
      <c r="B63" s="1916"/>
      <c r="C63" s="1897"/>
      <c r="D63" s="1916"/>
      <c r="E63" s="1916"/>
    </row>
    <row r="64" spans="1:8">
      <c r="A64" s="1916" t="s">
        <v>5099</v>
      </c>
      <c r="B64" s="1916"/>
      <c r="C64" s="1897"/>
      <c r="D64" s="1916"/>
      <c r="E64" s="1916"/>
    </row>
    <row r="65" spans="1:7">
      <c r="A65" s="1916" t="s">
        <v>5100</v>
      </c>
      <c r="B65" s="1916"/>
      <c r="C65" s="1897"/>
      <c r="D65" s="1916"/>
      <c r="E65" s="1916"/>
      <c r="G65" s="1930"/>
    </row>
    <row r="66" spans="1:7" ht="13.8" thickBot="1">
      <c r="A66" s="1916" t="s">
        <v>5101</v>
      </c>
      <c r="B66" s="1916"/>
      <c r="C66" s="1897"/>
      <c r="D66" s="1916"/>
      <c r="E66" s="1916"/>
      <c r="G66" s="1930"/>
    </row>
    <row r="67" spans="1:7" ht="13.8" thickBot="1">
      <c r="A67" s="1931" t="s">
        <v>220</v>
      </c>
      <c r="B67" s="1932">
        <f>SUM(B9:B66)</f>
        <v>5626805.9999999991</v>
      </c>
      <c r="C67" s="1933">
        <f>SUM(C9:C66)</f>
        <v>7306000</v>
      </c>
      <c r="D67" s="1932">
        <f>SUM(D9:D66)</f>
        <v>0</v>
      </c>
      <c r="E67" s="1932">
        <f>SUM(E9:E66)</f>
        <v>12932806</v>
      </c>
    </row>
    <row r="68" spans="1:7">
      <c r="A68" s="1897"/>
      <c r="B68" s="1897"/>
      <c r="C68" s="1897"/>
      <c r="D68" s="1897"/>
      <c r="E68" s="1897"/>
    </row>
    <row r="69" spans="1:7">
      <c r="A69" s="1897"/>
      <c r="B69" s="1897"/>
      <c r="C69" s="1897"/>
      <c r="D69" s="1897"/>
    </row>
    <row r="70" spans="1:7">
      <c r="A70" s="1897"/>
      <c r="B70" s="4266"/>
      <c r="C70" s="4266"/>
      <c r="D70" s="1897"/>
      <c r="E70" s="4267"/>
    </row>
    <row r="71" spans="1:7">
      <c r="A71" s="1897"/>
      <c r="B71" s="1897"/>
      <c r="C71" s="1897"/>
      <c r="D71" s="1897"/>
      <c r="E71" s="1897"/>
    </row>
    <row r="72" spans="1:7">
      <c r="A72" s="1897"/>
      <c r="B72" s="4267"/>
      <c r="C72" s="4267"/>
      <c r="D72" s="1897"/>
      <c r="E72" s="1897"/>
    </row>
    <row r="73" spans="1:7">
      <c r="A73" s="1897"/>
      <c r="B73" s="1897"/>
      <c r="C73" s="1897"/>
      <c r="D73" s="1897"/>
      <c r="E73" s="1897"/>
    </row>
    <row r="74" spans="1:7">
      <c r="A74" s="15166"/>
      <c r="B74" s="15166"/>
      <c r="C74" s="15166"/>
      <c r="D74" s="15166"/>
      <c r="E74" s="15166"/>
    </row>
    <row r="75" spans="1:7">
      <c r="A75" s="1897"/>
      <c r="B75" s="1897"/>
      <c r="C75" s="1897"/>
      <c r="D75" s="1897"/>
      <c r="E75" s="1897"/>
    </row>
    <row r="76" spans="1:7">
      <c r="A76" s="1897"/>
      <c r="B76" s="1897"/>
      <c r="C76" s="1897"/>
      <c r="D76" s="1897"/>
      <c r="E76" s="1897"/>
    </row>
    <row r="77" spans="1:7">
      <c r="A77" s="1897"/>
      <c r="B77" s="1897"/>
      <c r="C77" s="1897"/>
      <c r="D77" s="1897"/>
      <c r="E77" s="1897"/>
    </row>
    <row r="78" spans="1:7">
      <c r="A78" s="1897"/>
      <c r="B78" s="1897"/>
      <c r="C78" s="1897"/>
      <c r="D78" s="1897"/>
      <c r="E78" s="1897"/>
    </row>
    <row r="79" spans="1:7">
      <c r="A79" s="1897"/>
      <c r="B79" s="1897"/>
      <c r="C79" s="1897"/>
      <c r="D79" s="1897"/>
      <c r="E79" s="1897"/>
    </row>
    <row r="80" spans="1:7">
      <c r="A80" s="1897"/>
      <c r="B80" s="1897"/>
      <c r="C80" s="1897"/>
      <c r="D80" s="1897"/>
      <c r="E80" s="1897"/>
    </row>
    <row r="81" spans="1:5">
      <c r="A81" s="1897"/>
      <c r="B81" s="1897"/>
      <c r="C81" s="1897"/>
      <c r="D81" s="1897"/>
      <c r="E81" s="1897"/>
    </row>
    <row r="82" spans="1:5">
      <c r="A82" s="1897"/>
      <c r="B82" s="1897"/>
      <c r="C82" s="1897"/>
      <c r="D82" s="1897"/>
      <c r="E82" s="1897"/>
    </row>
    <row r="83" spans="1:5">
      <c r="A83" s="1897"/>
      <c r="B83" s="1897"/>
      <c r="C83" s="1897"/>
      <c r="D83" s="1897"/>
      <c r="E83" s="1897"/>
    </row>
    <row r="84" spans="1:5">
      <c r="A84" s="1897"/>
      <c r="B84" s="1897"/>
      <c r="C84" s="1897"/>
      <c r="D84" s="1897"/>
      <c r="E84" s="1897"/>
    </row>
    <row r="85" spans="1:5">
      <c r="A85" s="1897"/>
      <c r="B85" s="1897"/>
      <c r="C85" s="1897"/>
      <c r="D85" s="1897"/>
      <c r="E85" s="1897"/>
    </row>
    <row r="86" spans="1:5">
      <c r="A86" s="1897"/>
      <c r="B86" s="1897"/>
      <c r="C86" s="1897"/>
      <c r="D86" s="1897"/>
      <c r="E86" s="1897"/>
    </row>
    <row r="87" spans="1:5">
      <c r="A87" s="1897"/>
      <c r="B87" s="1897"/>
      <c r="C87" s="1897"/>
      <c r="D87" s="1897"/>
      <c r="E87" s="1897"/>
    </row>
    <row r="88" spans="1:5">
      <c r="A88" s="1897"/>
      <c r="B88" s="1897"/>
      <c r="C88" s="1897"/>
      <c r="D88" s="1897"/>
      <c r="E88" s="1897"/>
    </row>
    <row r="89" spans="1:5">
      <c r="A89" s="1897"/>
      <c r="B89" s="1897"/>
      <c r="C89" s="1897"/>
      <c r="D89" s="1897"/>
      <c r="E89" s="1897"/>
    </row>
    <row r="90" spans="1:5">
      <c r="A90" s="1897"/>
      <c r="B90" s="1897"/>
      <c r="C90" s="1897"/>
      <c r="D90" s="1897"/>
      <c r="E90" s="1897"/>
    </row>
    <row r="91" spans="1:5">
      <c r="A91" s="1897"/>
      <c r="B91" s="1897"/>
      <c r="C91" s="1897"/>
      <c r="D91" s="1897"/>
      <c r="E91" s="1897"/>
    </row>
    <row r="92" spans="1:5">
      <c r="A92" s="1897"/>
      <c r="B92" s="1897"/>
      <c r="C92" s="1897"/>
      <c r="D92" s="1897"/>
      <c r="E92" s="1897"/>
    </row>
    <row r="93" spans="1:5">
      <c r="A93" s="1897"/>
      <c r="B93" s="1897"/>
      <c r="C93" s="1897"/>
      <c r="D93" s="1897"/>
      <c r="E93" s="1897"/>
    </row>
    <row r="94" spans="1:5">
      <c r="A94" s="1897"/>
      <c r="B94" s="1897"/>
      <c r="C94" s="1897"/>
      <c r="D94" s="1897"/>
      <c r="E94" s="1897"/>
    </row>
    <row r="95" spans="1:5">
      <c r="A95" s="1897"/>
      <c r="B95" s="1897"/>
      <c r="C95" s="1897"/>
      <c r="D95" s="1897"/>
      <c r="E95" s="1897"/>
    </row>
    <row r="96" spans="1:5">
      <c r="A96" s="1897"/>
      <c r="B96" s="1897"/>
      <c r="C96" s="1897"/>
      <c r="D96" s="1897"/>
      <c r="E96" s="1897"/>
    </row>
    <row r="97" spans="1:7">
      <c r="A97" s="1897"/>
      <c r="B97" s="1897"/>
      <c r="C97" s="1897"/>
      <c r="D97" s="1897"/>
      <c r="E97" s="1897"/>
    </row>
    <row r="98" spans="1:7">
      <c r="A98" s="1897"/>
      <c r="B98" s="1897"/>
      <c r="C98" s="1897"/>
      <c r="D98" s="1897"/>
      <c r="E98" s="1897"/>
      <c r="G98" s="1891" t="s">
        <v>9</v>
      </c>
    </row>
    <row r="99" spans="1:7">
      <c r="A99" s="1897"/>
      <c r="B99" s="1897"/>
      <c r="C99" s="1897"/>
      <c r="D99" s="1897"/>
      <c r="E99" s="1897"/>
    </row>
    <row r="100" spans="1:7">
      <c r="A100" s="1897"/>
      <c r="B100" s="1897"/>
      <c r="C100" s="1897"/>
      <c r="D100" s="1897"/>
      <c r="E100" s="1897"/>
    </row>
    <row r="101" spans="1:7">
      <c r="A101" s="1897"/>
      <c r="B101" s="1897"/>
      <c r="C101" s="1897"/>
      <c r="D101" s="1897"/>
      <c r="E101" s="1897"/>
    </row>
    <row r="102" spans="1:7">
      <c r="A102" s="1897"/>
      <c r="B102" s="1897"/>
      <c r="C102" s="1897"/>
      <c r="D102" s="1897"/>
      <c r="E102" s="1897"/>
      <c r="F102" s="1930"/>
    </row>
    <row r="103" spans="1:7">
      <c r="A103" s="1897"/>
      <c r="B103" s="1897"/>
      <c r="C103" s="1902"/>
      <c r="D103" s="1897"/>
      <c r="E103" s="1902"/>
    </row>
    <row r="104" spans="1:7">
      <c r="A104" s="1897"/>
      <c r="B104" s="1902"/>
      <c r="C104" s="1902"/>
      <c r="D104" s="1902"/>
      <c r="E104" s="1902"/>
      <c r="F104" s="1930"/>
    </row>
    <row r="105" spans="1:7">
      <c r="A105" s="1934"/>
      <c r="B105" s="1897"/>
      <c r="C105" s="1897"/>
      <c r="D105" s="1897"/>
      <c r="E105" s="1897"/>
    </row>
    <row r="106" spans="1:7">
      <c r="A106" s="1934"/>
      <c r="B106" s="1897"/>
      <c r="C106" s="1897"/>
      <c r="D106" s="1897"/>
      <c r="E106" s="1897"/>
    </row>
    <row r="107" spans="1:7">
      <c r="A107" s="1934"/>
      <c r="B107" s="1897"/>
      <c r="C107" s="1897"/>
      <c r="D107" s="1897"/>
      <c r="E107" s="1897"/>
    </row>
    <row r="108" spans="1:7">
      <c r="A108" s="1934"/>
      <c r="B108" s="1897"/>
      <c r="C108" s="1897"/>
      <c r="D108" s="1897"/>
      <c r="E108" s="1897"/>
    </row>
    <row r="109" spans="1:7">
      <c r="A109" s="1934"/>
      <c r="B109" s="1897"/>
      <c r="C109" s="1897"/>
      <c r="D109" s="1897"/>
      <c r="E109" s="1897"/>
    </row>
    <row r="110" spans="1:7">
      <c r="A110" s="1934"/>
      <c r="B110" s="1897"/>
      <c r="C110" s="1897"/>
      <c r="D110" s="1897"/>
      <c r="E110" s="1897"/>
    </row>
    <row r="111" spans="1:7">
      <c r="A111" s="1934"/>
      <c r="B111" s="1897"/>
      <c r="C111" s="1897"/>
      <c r="D111" s="1897"/>
      <c r="E111" s="1897"/>
    </row>
    <row r="112" spans="1:7">
      <c r="A112" s="1934"/>
      <c r="B112" s="1897"/>
      <c r="C112" s="1897"/>
      <c r="D112" s="1897"/>
      <c r="E112" s="1897"/>
    </row>
    <row r="113" spans="1:5">
      <c r="A113" s="1899"/>
      <c r="B113" s="1902"/>
      <c r="C113" s="1902"/>
      <c r="D113" s="1902"/>
      <c r="E113" s="1902"/>
    </row>
    <row r="120" spans="1:5">
      <c r="A120" s="15201" t="s">
        <v>5102</v>
      </c>
      <c r="B120" s="15201"/>
      <c r="C120" s="15201"/>
      <c r="D120" s="15201"/>
      <c r="E120" s="15201"/>
    </row>
  </sheetData>
  <mergeCells count="5">
    <mergeCell ref="A5:A7"/>
    <mergeCell ref="B5:D5"/>
    <mergeCell ref="A74:E74"/>
    <mergeCell ref="A120:E120"/>
    <mergeCell ref="C6:C7"/>
  </mergeCells>
  <pageMargins left="0.5" right="0.25" top="0.75" bottom="0.5" header="0.5" footer="0.25"/>
  <pageSetup paperSize="119" scale="90" orientation="portrait" horizontalDpi="4294967293" verticalDpi="300" r:id="rId1"/>
  <headerFooter alignWithMargins="0"/>
</worksheet>
</file>

<file path=xl/worksheets/sheet155.xml><?xml version="1.0" encoding="utf-8"?>
<worksheet xmlns="http://schemas.openxmlformats.org/spreadsheetml/2006/main" xmlns:r="http://schemas.openxmlformats.org/officeDocument/2006/relationships">
  <sheetPr codeName="Sheet114">
    <tabColor rgb="FFFFFF00"/>
  </sheetPr>
  <dimension ref="A1:H68"/>
  <sheetViews>
    <sheetView showGridLines="0" zoomScale="110" zoomScaleNormal="110" workbookViewId="0">
      <selection activeCell="F31" sqref="F1:M1048576"/>
    </sheetView>
  </sheetViews>
  <sheetFormatPr defaultRowHeight="12.9" customHeight="1"/>
  <cols>
    <col min="1" max="1" width="40.5546875" style="7001" customWidth="1"/>
    <col min="2" max="3" width="8.5546875" style="7001" customWidth="1"/>
    <col min="4" max="6" width="14.5546875" style="7001" customWidth="1"/>
    <col min="7" max="7" width="12.88671875" style="7001" customWidth="1"/>
    <col min="8" max="8" width="14.88671875" style="7001" customWidth="1"/>
    <col min="9" max="12" width="8.88671875" style="7001" customWidth="1"/>
    <col min="13" max="256" width="9.109375" style="7001"/>
    <col min="257" max="257" width="30.109375" style="7001" customWidth="1"/>
    <col min="258" max="258" width="9.109375" style="7001"/>
    <col min="259" max="259" width="8.88671875" style="7001" customWidth="1"/>
    <col min="260" max="260" width="13.109375" style="7001" customWidth="1"/>
    <col min="261" max="261" width="14.88671875" style="7001" customWidth="1"/>
    <col min="262" max="262" width="16.109375" style="7001" customWidth="1"/>
    <col min="263" max="512" width="9.109375" style="7001"/>
    <col min="513" max="513" width="30.109375" style="7001" customWidth="1"/>
    <col min="514" max="514" width="9.109375" style="7001"/>
    <col min="515" max="515" width="8.88671875" style="7001" customWidth="1"/>
    <col min="516" max="516" width="13.109375" style="7001" customWidth="1"/>
    <col min="517" max="517" width="14.88671875" style="7001" customWidth="1"/>
    <col min="518" max="518" width="16.109375" style="7001" customWidth="1"/>
    <col min="519" max="768" width="9.109375" style="7001"/>
    <col min="769" max="769" width="30.109375" style="7001" customWidth="1"/>
    <col min="770" max="770" width="9.109375" style="7001"/>
    <col min="771" max="771" width="8.88671875" style="7001" customWidth="1"/>
    <col min="772" max="772" width="13.109375" style="7001" customWidth="1"/>
    <col min="773" max="773" width="14.88671875" style="7001" customWidth="1"/>
    <col min="774" max="774" width="16.109375" style="7001" customWidth="1"/>
    <col min="775" max="1024" width="9.109375" style="7001"/>
    <col min="1025" max="1025" width="30.109375" style="7001" customWidth="1"/>
    <col min="1026" max="1026" width="9.109375" style="7001"/>
    <col min="1027" max="1027" width="8.88671875" style="7001" customWidth="1"/>
    <col min="1028" max="1028" width="13.109375" style="7001" customWidth="1"/>
    <col min="1029" max="1029" width="14.88671875" style="7001" customWidth="1"/>
    <col min="1030" max="1030" width="16.109375" style="7001" customWidth="1"/>
    <col min="1031" max="1280" width="9.109375" style="7001"/>
    <col min="1281" max="1281" width="30.109375" style="7001" customWidth="1"/>
    <col min="1282" max="1282" width="9.109375" style="7001"/>
    <col min="1283" max="1283" width="8.88671875" style="7001" customWidth="1"/>
    <col min="1284" max="1284" width="13.109375" style="7001" customWidth="1"/>
    <col min="1285" max="1285" width="14.88671875" style="7001" customWidth="1"/>
    <col min="1286" max="1286" width="16.109375" style="7001" customWidth="1"/>
    <col min="1287" max="1536" width="9.109375" style="7001"/>
    <col min="1537" max="1537" width="30.109375" style="7001" customWidth="1"/>
    <col min="1538" max="1538" width="9.109375" style="7001"/>
    <col min="1539" max="1539" width="8.88671875" style="7001" customWidth="1"/>
    <col min="1540" max="1540" width="13.109375" style="7001" customWidth="1"/>
    <col min="1541" max="1541" width="14.88671875" style="7001" customWidth="1"/>
    <col min="1542" max="1542" width="16.109375" style="7001" customWidth="1"/>
    <col min="1543" max="1792" width="9.109375" style="7001"/>
    <col min="1793" max="1793" width="30.109375" style="7001" customWidth="1"/>
    <col min="1794" max="1794" width="9.109375" style="7001"/>
    <col min="1795" max="1795" width="8.88671875" style="7001" customWidth="1"/>
    <col min="1796" max="1796" width="13.109375" style="7001" customWidth="1"/>
    <col min="1797" max="1797" width="14.88671875" style="7001" customWidth="1"/>
    <col min="1798" max="1798" width="16.109375" style="7001" customWidth="1"/>
    <col min="1799" max="2048" width="9.109375" style="7001"/>
    <col min="2049" max="2049" width="30.109375" style="7001" customWidth="1"/>
    <col min="2050" max="2050" width="9.109375" style="7001"/>
    <col min="2051" max="2051" width="8.88671875" style="7001" customWidth="1"/>
    <col min="2052" max="2052" width="13.109375" style="7001" customWidth="1"/>
    <col min="2053" max="2053" width="14.88671875" style="7001" customWidth="1"/>
    <col min="2054" max="2054" width="16.109375" style="7001" customWidth="1"/>
    <col min="2055" max="2304" width="9.109375" style="7001"/>
    <col min="2305" max="2305" width="30.109375" style="7001" customWidth="1"/>
    <col min="2306" max="2306" width="9.109375" style="7001"/>
    <col min="2307" max="2307" width="8.88671875" style="7001" customWidth="1"/>
    <col min="2308" max="2308" width="13.109375" style="7001" customWidth="1"/>
    <col min="2309" max="2309" width="14.88671875" style="7001" customWidth="1"/>
    <col min="2310" max="2310" width="16.109375" style="7001" customWidth="1"/>
    <col min="2311" max="2560" width="9.109375" style="7001"/>
    <col min="2561" max="2561" width="30.109375" style="7001" customWidth="1"/>
    <col min="2562" max="2562" width="9.109375" style="7001"/>
    <col min="2563" max="2563" width="8.88671875" style="7001" customWidth="1"/>
    <col min="2564" max="2564" width="13.109375" style="7001" customWidth="1"/>
    <col min="2565" max="2565" width="14.88671875" style="7001" customWidth="1"/>
    <col min="2566" max="2566" width="16.109375" style="7001" customWidth="1"/>
    <col min="2567" max="2816" width="9.109375" style="7001"/>
    <col min="2817" max="2817" width="30.109375" style="7001" customWidth="1"/>
    <col min="2818" max="2818" width="9.109375" style="7001"/>
    <col min="2819" max="2819" width="8.88671875" style="7001" customWidth="1"/>
    <col min="2820" max="2820" width="13.109375" style="7001" customWidth="1"/>
    <col min="2821" max="2821" width="14.88671875" style="7001" customWidth="1"/>
    <col min="2822" max="2822" width="16.109375" style="7001" customWidth="1"/>
    <col min="2823" max="3072" width="9.109375" style="7001"/>
    <col min="3073" max="3073" width="30.109375" style="7001" customWidth="1"/>
    <col min="3074" max="3074" width="9.109375" style="7001"/>
    <col min="3075" max="3075" width="8.88671875" style="7001" customWidth="1"/>
    <col min="3076" max="3076" width="13.109375" style="7001" customWidth="1"/>
    <col min="3077" max="3077" width="14.88671875" style="7001" customWidth="1"/>
    <col min="3078" max="3078" width="16.109375" style="7001" customWidth="1"/>
    <col min="3079" max="3328" width="9.109375" style="7001"/>
    <col min="3329" max="3329" width="30.109375" style="7001" customWidth="1"/>
    <col min="3330" max="3330" width="9.109375" style="7001"/>
    <col min="3331" max="3331" width="8.88671875" style="7001" customWidth="1"/>
    <col min="3332" max="3332" width="13.109375" style="7001" customWidth="1"/>
    <col min="3333" max="3333" width="14.88671875" style="7001" customWidth="1"/>
    <col min="3334" max="3334" width="16.109375" style="7001" customWidth="1"/>
    <col min="3335" max="3584" width="9.109375" style="7001"/>
    <col min="3585" max="3585" width="30.109375" style="7001" customWidth="1"/>
    <col min="3586" max="3586" width="9.109375" style="7001"/>
    <col min="3587" max="3587" width="8.88671875" style="7001" customWidth="1"/>
    <col min="3588" max="3588" width="13.109375" style="7001" customWidth="1"/>
    <col min="3589" max="3589" width="14.88671875" style="7001" customWidth="1"/>
    <col min="3590" max="3590" width="16.109375" style="7001" customWidth="1"/>
    <col min="3591" max="3840" width="9.109375" style="7001"/>
    <col min="3841" max="3841" width="30.109375" style="7001" customWidth="1"/>
    <col min="3842" max="3842" width="9.109375" style="7001"/>
    <col min="3843" max="3843" width="8.88671875" style="7001" customWidth="1"/>
    <col min="3844" max="3844" width="13.109375" style="7001" customWidth="1"/>
    <col min="3845" max="3845" width="14.88671875" style="7001" customWidth="1"/>
    <col min="3846" max="3846" width="16.109375" style="7001" customWidth="1"/>
    <col min="3847" max="4096" width="9.109375" style="7001"/>
    <col min="4097" max="4097" width="30.109375" style="7001" customWidth="1"/>
    <col min="4098" max="4098" width="9.109375" style="7001"/>
    <col min="4099" max="4099" width="8.88671875" style="7001" customWidth="1"/>
    <col min="4100" max="4100" width="13.109375" style="7001" customWidth="1"/>
    <col min="4101" max="4101" width="14.88671875" style="7001" customWidth="1"/>
    <col min="4102" max="4102" width="16.109375" style="7001" customWidth="1"/>
    <col min="4103" max="4352" width="9.109375" style="7001"/>
    <col min="4353" max="4353" width="30.109375" style="7001" customWidth="1"/>
    <col min="4354" max="4354" width="9.109375" style="7001"/>
    <col min="4355" max="4355" width="8.88671875" style="7001" customWidth="1"/>
    <col min="4356" max="4356" width="13.109375" style="7001" customWidth="1"/>
    <col min="4357" max="4357" width="14.88671875" style="7001" customWidth="1"/>
    <col min="4358" max="4358" width="16.109375" style="7001" customWidth="1"/>
    <col min="4359" max="4608" width="9.109375" style="7001"/>
    <col min="4609" max="4609" width="30.109375" style="7001" customWidth="1"/>
    <col min="4610" max="4610" width="9.109375" style="7001"/>
    <col min="4611" max="4611" width="8.88671875" style="7001" customWidth="1"/>
    <col min="4612" max="4612" width="13.109375" style="7001" customWidth="1"/>
    <col min="4613" max="4613" width="14.88671875" style="7001" customWidth="1"/>
    <col min="4614" max="4614" width="16.109375" style="7001" customWidth="1"/>
    <col min="4615" max="4864" width="9.109375" style="7001"/>
    <col min="4865" max="4865" width="30.109375" style="7001" customWidth="1"/>
    <col min="4866" max="4866" width="9.109375" style="7001"/>
    <col min="4867" max="4867" width="8.88671875" style="7001" customWidth="1"/>
    <col min="4868" max="4868" width="13.109375" style="7001" customWidth="1"/>
    <col min="4869" max="4869" width="14.88671875" style="7001" customWidth="1"/>
    <col min="4870" max="4870" width="16.109375" style="7001" customWidth="1"/>
    <col min="4871" max="5120" width="9.109375" style="7001"/>
    <col min="5121" max="5121" width="30.109375" style="7001" customWidth="1"/>
    <col min="5122" max="5122" width="9.109375" style="7001"/>
    <col min="5123" max="5123" width="8.88671875" style="7001" customWidth="1"/>
    <col min="5124" max="5124" width="13.109375" style="7001" customWidth="1"/>
    <col min="5125" max="5125" width="14.88671875" style="7001" customWidth="1"/>
    <col min="5126" max="5126" width="16.109375" style="7001" customWidth="1"/>
    <col min="5127" max="5376" width="9.109375" style="7001"/>
    <col min="5377" max="5377" width="30.109375" style="7001" customWidth="1"/>
    <col min="5378" max="5378" width="9.109375" style="7001"/>
    <col min="5379" max="5379" width="8.88671875" style="7001" customWidth="1"/>
    <col min="5380" max="5380" width="13.109375" style="7001" customWidth="1"/>
    <col min="5381" max="5381" width="14.88671875" style="7001" customWidth="1"/>
    <col min="5382" max="5382" width="16.109375" style="7001" customWidth="1"/>
    <col min="5383" max="5632" width="9.109375" style="7001"/>
    <col min="5633" max="5633" width="30.109375" style="7001" customWidth="1"/>
    <col min="5634" max="5634" width="9.109375" style="7001"/>
    <col min="5635" max="5635" width="8.88671875" style="7001" customWidth="1"/>
    <col min="5636" max="5636" width="13.109375" style="7001" customWidth="1"/>
    <col min="5637" max="5637" width="14.88671875" style="7001" customWidth="1"/>
    <col min="5638" max="5638" width="16.109375" style="7001" customWidth="1"/>
    <col min="5639" max="5888" width="9.109375" style="7001"/>
    <col min="5889" max="5889" width="30.109375" style="7001" customWidth="1"/>
    <col min="5890" max="5890" width="9.109375" style="7001"/>
    <col min="5891" max="5891" width="8.88671875" style="7001" customWidth="1"/>
    <col min="5892" max="5892" width="13.109375" style="7001" customWidth="1"/>
    <col min="5893" max="5893" width="14.88671875" style="7001" customWidth="1"/>
    <col min="5894" max="5894" width="16.109375" style="7001" customWidth="1"/>
    <col min="5895" max="6144" width="9.109375" style="7001"/>
    <col min="6145" max="6145" width="30.109375" style="7001" customWidth="1"/>
    <col min="6146" max="6146" width="9.109375" style="7001"/>
    <col min="6147" max="6147" width="8.88671875" style="7001" customWidth="1"/>
    <col min="6148" max="6148" width="13.109375" style="7001" customWidth="1"/>
    <col min="6149" max="6149" width="14.88671875" style="7001" customWidth="1"/>
    <col min="6150" max="6150" width="16.109375" style="7001" customWidth="1"/>
    <col min="6151" max="6400" width="9.109375" style="7001"/>
    <col min="6401" max="6401" width="30.109375" style="7001" customWidth="1"/>
    <col min="6402" max="6402" width="9.109375" style="7001"/>
    <col min="6403" max="6403" width="8.88671875" style="7001" customWidth="1"/>
    <col min="6404" max="6404" width="13.109375" style="7001" customWidth="1"/>
    <col min="6405" max="6405" width="14.88671875" style="7001" customWidth="1"/>
    <col min="6406" max="6406" width="16.109375" style="7001" customWidth="1"/>
    <col min="6407" max="6656" width="9.109375" style="7001"/>
    <col min="6657" max="6657" width="30.109375" style="7001" customWidth="1"/>
    <col min="6658" max="6658" width="9.109375" style="7001"/>
    <col min="6659" max="6659" width="8.88671875" style="7001" customWidth="1"/>
    <col min="6660" max="6660" width="13.109375" style="7001" customWidth="1"/>
    <col min="6661" max="6661" width="14.88671875" style="7001" customWidth="1"/>
    <col min="6662" max="6662" width="16.109375" style="7001" customWidth="1"/>
    <col min="6663" max="6912" width="9.109375" style="7001"/>
    <col min="6913" max="6913" width="30.109375" style="7001" customWidth="1"/>
    <col min="6914" max="6914" width="9.109375" style="7001"/>
    <col min="6915" max="6915" width="8.88671875" style="7001" customWidth="1"/>
    <col min="6916" max="6916" width="13.109375" style="7001" customWidth="1"/>
    <col min="6917" max="6917" width="14.88671875" style="7001" customWidth="1"/>
    <col min="6918" max="6918" width="16.109375" style="7001" customWidth="1"/>
    <col min="6919" max="7168" width="9.109375" style="7001"/>
    <col min="7169" max="7169" width="30.109375" style="7001" customWidth="1"/>
    <col min="7170" max="7170" width="9.109375" style="7001"/>
    <col min="7171" max="7171" width="8.88671875" style="7001" customWidth="1"/>
    <col min="7172" max="7172" width="13.109375" style="7001" customWidth="1"/>
    <col min="7173" max="7173" width="14.88671875" style="7001" customWidth="1"/>
    <col min="7174" max="7174" width="16.109375" style="7001" customWidth="1"/>
    <col min="7175" max="7424" width="9.109375" style="7001"/>
    <col min="7425" max="7425" width="30.109375" style="7001" customWidth="1"/>
    <col min="7426" max="7426" width="9.109375" style="7001"/>
    <col min="7427" max="7427" width="8.88671875" style="7001" customWidth="1"/>
    <col min="7428" max="7428" width="13.109375" style="7001" customWidth="1"/>
    <col min="7429" max="7429" width="14.88671875" style="7001" customWidth="1"/>
    <col min="7430" max="7430" width="16.109375" style="7001" customWidth="1"/>
    <col min="7431" max="7680" width="9.109375" style="7001"/>
    <col min="7681" max="7681" width="30.109375" style="7001" customWidth="1"/>
    <col min="7682" max="7682" width="9.109375" style="7001"/>
    <col min="7683" max="7683" width="8.88671875" style="7001" customWidth="1"/>
    <col min="7684" max="7684" width="13.109375" style="7001" customWidth="1"/>
    <col min="7685" max="7685" width="14.88671875" style="7001" customWidth="1"/>
    <col min="7686" max="7686" width="16.109375" style="7001" customWidth="1"/>
    <col min="7687" max="7936" width="9.109375" style="7001"/>
    <col min="7937" max="7937" width="30.109375" style="7001" customWidth="1"/>
    <col min="7938" max="7938" width="9.109375" style="7001"/>
    <col min="7939" max="7939" width="8.88671875" style="7001" customWidth="1"/>
    <col min="7940" max="7940" width="13.109375" style="7001" customWidth="1"/>
    <col min="7941" max="7941" width="14.88671875" style="7001" customWidth="1"/>
    <col min="7942" max="7942" width="16.109375" style="7001" customWidth="1"/>
    <col min="7943" max="8192" width="9.109375" style="7001"/>
    <col min="8193" max="8193" width="30.109375" style="7001" customWidth="1"/>
    <col min="8194" max="8194" width="9.109375" style="7001"/>
    <col min="8195" max="8195" width="8.88671875" style="7001" customWidth="1"/>
    <col min="8196" max="8196" width="13.109375" style="7001" customWidth="1"/>
    <col min="8197" max="8197" width="14.88671875" style="7001" customWidth="1"/>
    <col min="8198" max="8198" width="16.109375" style="7001" customWidth="1"/>
    <col min="8199" max="8448" width="9.109375" style="7001"/>
    <col min="8449" max="8449" width="30.109375" style="7001" customWidth="1"/>
    <col min="8450" max="8450" width="9.109375" style="7001"/>
    <col min="8451" max="8451" width="8.88671875" style="7001" customWidth="1"/>
    <col min="8452" max="8452" width="13.109375" style="7001" customWidth="1"/>
    <col min="8453" max="8453" width="14.88671875" style="7001" customWidth="1"/>
    <col min="8454" max="8454" width="16.109375" style="7001" customWidth="1"/>
    <col min="8455" max="8704" width="9.109375" style="7001"/>
    <col min="8705" max="8705" width="30.109375" style="7001" customWidth="1"/>
    <col min="8706" max="8706" width="9.109375" style="7001"/>
    <col min="8707" max="8707" width="8.88671875" style="7001" customWidth="1"/>
    <col min="8708" max="8708" width="13.109375" style="7001" customWidth="1"/>
    <col min="8709" max="8709" width="14.88671875" style="7001" customWidth="1"/>
    <col min="8710" max="8710" width="16.109375" style="7001" customWidth="1"/>
    <col min="8711" max="8960" width="9.109375" style="7001"/>
    <col min="8961" max="8961" width="30.109375" style="7001" customWidth="1"/>
    <col min="8962" max="8962" width="9.109375" style="7001"/>
    <col min="8963" max="8963" width="8.88671875" style="7001" customWidth="1"/>
    <col min="8964" max="8964" width="13.109375" style="7001" customWidth="1"/>
    <col min="8965" max="8965" width="14.88671875" style="7001" customWidth="1"/>
    <col min="8966" max="8966" width="16.109375" style="7001" customWidth="1"/>
    <col min="8967" max="9216" width="9.109375" style="7001"/>
    <col min="9217" max="9217" width="30.109375" style="7001" customWidth="1"/>
    <col min="9218" max="9218" width="9.109375" style="7001"/>
    <col min="9219" max="9219" width="8.88671875" style="7001" customWidth="1"/>
    <col min="9220" max="9220" width="13.109375" style="7001" customWidth="1"/>
    <col min="9221" max="9221" width="14.88671875" style="7001" customWidth="1"/>
    <col min="9222" max="9222" width="16.109375" style="7001" customWidth="1"/>
    <col min="9223" max="9472" width="9.109375" style="7001"/>
    <col min="9473" max="9473" width="30.109375" style="7001" customWidth="1"/>
    <col min="9474" max="9474" width="9.109375" style="7001"/>
    <col min="9475" max="9475" width="8.88671875" style="7001" customWidth="1"/>
    <col min="9476" max="9476" width="13.109375" style="7001" customWidth="1"/>
    <col min="9477" max="9477" width="14.88671875" style="7001" customWidth="1"/>
    <col min="9478" max="9478" width="16.109375" style="7001" customWidth="1"/>
    <col min="9479" max="9728" width="9.109375" style="7001"/>
    <col min="9729" max="9729" width="30.109375" style="7001" customWidth="1"/>
    <col min="9730" max="9730" width="9.109375" style="7001"/>
    <col min="9731" max="9731" width="8.88671875" style="7001" customWidth="1"/>
    <col min="9732" max="9732" width="13.109375" style="7001" customWidth="1"/>
    <col min="9733" max="9733" width="14.88671875" style="7001" customWidth="1"/>
    <col min="9734" max="9734" width="16.109375" style="7001" customWidth="1"/>
    <col min="9735" max="9984" width="9.109375" style="7001"/>
    <col min="9985" max="9985" width="30.109375" style="7001" customWidth="1"/>
    <col min="9986" max="9986" width="9.109375" style="7001"/>
    <col min="9987" max="9987" width="8.88671875" style="7001" customWidth="1"/>
    <col min="9988" max="9988" width="13.109375" style="7001" customWidth="1"/>
    <col min="9989" max="9989" width="14.88671875" style="7001" customWidth="1"/>
    <col min="9990" max="9990" width="16.109375" style="7001" customWidth="1"/>
    <col min="9991" max="10240" width="9.109375" style="7001"/>
    <col min="10241" max="10241" width="30.109375" style="7001" customWidth="1"/>
    <col min="10242" max="10242" width="9.109375" style="7001"/>
    <col min="10243" max="10243" width="8.88671875" style="7001" customWidth="1"/>
    <col min="10244" max="10244" width="13.109375" style="7001" customWidth="1"/>
    <col min="10245" max="10245" width="14.88671875" style="7001" customWidth="1"/>
    <col min="10246" max="10246" width="16.109375" style="7001" customWidth="1"/>
    <col min="10247" max="10496" width="9.109375" style="7001"/>
    <col min="10497" max="10497" width="30.109375" style="7001" customWidth="1"/>
    <col min="10498" max="10498" width="9.109375" style="7001"/>
    <col min="10499" max="10499" width="8.88671875" style="7001" customWidth="1"/>
    <col min="10500" max="10500" width="13.109375" style="7001" customWidth="1"/>
    <col min="10501" max="10501" width="14.88671875" style="7001" customWidth="1"/>
    <col min="10502" max="10502" width="16.109375" style="7001" customWidth="1"/>
    <col min="10503" max="10752" width="9.109375" style="7001"/>
    <col min="10753" max="10753" width="30.109375" style="7001" customWidth="1"/>
    <col min="10754" max="10754" width="9.109375" style="7001"/>
    <col min="10755" max="10755" width="8.88671875" style="7001" customWidth="1"/>
    <col min="10756" max="10756" width="13.109375" style="7001" customWidth="1"/>
    <col min="10757" max="10757" width="14.88671875" style="7001" customWidth="1"/>
    <col min="10758" max="10758" width="16.109375" style="7001" customWidth="1"/>
    <col min="10759" max="11008" width="9.109375" style="7001"/>
    <col min="11009" max="11009" width="30.109375" style="7001" customWidth="1"/>
    <col min="11010" max="11010" width="9.109375" style="7001"/>
    <col min="11011" max="11011" width="8.88671875" style="7001" customWidth="1"/>
    <col min="11012" max="11012" width="13.109375" style="7001" customWidth="1"/>
    <col min="11013" max="11013" width="14.88671875" style="7001" customWidth="1"/>
    <col min="11014" max="11014" width="16.109375" style="7001" customWidth="1"/>
    <col min="11015" max="11264" width="9.109375" style="7001"/>
    <col min="11265" max="11265" width="30.109375" style="7001" customWidth="1"/>
    <col min="11266" max="11266" width="9.109375" style="7001"/>
    <col min="11267" max="11267" width="8.88671875" style="7001" customWidth="1"/>
    <col min="11268" max="11268" width="13.109375" style="7001" customWidth="1"/>
    <col min="11269" max="11269" width="14.88671875" style="7001" customWidth="1"/>
    <col min="11270" max="11270" width="16.109375" style="7001" customWidth="1"/>
    <col min="11271" max="11520" width="9.109375" style="7001"/>
    <col min="11521" max="11521" width="30.109375" style="7001" customWidth="1"/>
    <col min="11522" max="11522" width="9.109375" style="7001"/>
    <col min="11523" max="11523" width="8.88671875" style="7001" customWidth="1"/>
    <col min="11524" max="11524" width="13.109375" style="7001" customWidth="1"/>
    <col min="11525" max="11525" width="14.88671875" style="7001" customWidth="1"/>
    <col min="11526" max="11526" width="16.109375" style="7001" customWidth="1"/>
    <col min="11527" max="11776" width="9.109375" style="7001"/>
    <col min="11777" max="11777" width="30.109375" style="7001" customWidth="1"/>
    <col min="11778" max="11778" width="9.109375" style="7001"/>
    <col min="11779" max="11779" width="8.88671875" style="7001" customWidth="1"/>
    <col min="11780" max="11780" width="13.109375" style="7001" customWidth="1"/>
    <col min="11781" max="11781" width="14.88671875" style="7001" customWidth="1"/>
    <col min="11782" max="11782" width="16.109375" style="7001" customWidth="1"/>
    <col min="11783" max="12032" width="9.109375" style="7001"/>
    <col min="12033" max="12033" width="30.109375" style="7001" customWidth="1"/>
    <col min="12034" max="12034" width="9.109375" style="7001"/>
    <col min="12035" max="12035" width="8.88671875" style="7001" customWidth="1"/>
    <col min="12036" max="12036" width="13.109375" style="7001" customWidth="1"/>
    <col min="12037" max="12037" width="14.88671875" style="7001" customWidth="1"/>
    <col min="12038" max="12038" width="16.109375" style="7001" customWidth="1"/>
    <col min="12039" max="12288" width="9.109375" style="7001"/>
    <col min="12289" max="12289" width="30.109375" style="7001" customWidth="1"/>
    <col min="12290" max="12290" width="9.109375" style="7001"/>
    <col min="12291" max="12291" width="8.88671875" style="7001" customWidth="1"/>
    <col min="12292" max="12292" width="13.109375" style="7001" customWidth="1"/>
    <col min="12293" max="12293" width="14.88671875" style="7001" customWidth="1"/>
    <col min="12294" max="12294" width="16.109375" style="7001" customWidth="1"/>
    <col min="12295" max="12544" width="9.109375" style="7001"/>
    <col min="12545" max="12545" width="30.109375" style="7001" customWidth="1"/>
    <col min="12546" max="12546" width="9.109375" style="7001"/>
    <col min="12547" max="12547" width="8.88671875" style="7001" customWidth="1"/>
    <col min="12548" max="12548" width="13.109375" style="7001" customWidth="1"/>
    <col min="12549" max="12549" width="14.88671875" style="7001" customWidth="1"/>
    <col min="12550" max="12550" width="16.109375" style="7001" customWidth="1"/>
    <col min="12551" max="12800" width="9.109375" style="7001"/>
    <col min="12801" max="12801" width="30.109375" style="7001" customWidth="1"/>
    <col min="12802" max="12802" width="9.109375" style="7001"/>
    <col min="12803" max="12803" width="8.88671875" style="7001" customWidth="1"/>
    <col min="12804" max="12804" width="13.109375" style="7001" customWidth="1"/>
    <col min="12805" max="12805" width="14.88671875" style="7001" customWidth="1"/>
    <col min="12806" max="12806" width="16.109375" style="7001" customWidth="1"/>
    <col min="12807" max="13056" width="9.109375" style="7001"/>
    <col min="13057" max="13057" width="30.109375" style="7001" customWidth="1"/>
    <col min="13058" max="13058" width="9.109375" style="7001"/>
    <col min="13059" max="13059" width="8.88671875" style="7001" customWidth="1"/>
    <col min="13060" max="13060" width="13.109375" style="7001" customWidth="1"/>
    <col min="13061" max="13061" width="14.88671875" style="7001" customWidth="1"/>
    <col min="13062" max="13062" width="16.109375" style="7001" customWidth="1"/>
    <col min="13063" max="13312" width="9.109375" style="7001"/>
    <col min="13313" max="13313" width="30.109375" style="7001" customWidth="1"/>
    <col min="13314" max="13314" width="9.109375" style="7001"/>
    <col min="13315" max="13315" width="8.88671875" style="7001" customWidth="1"/>
    <col min="13316" max="13316" width="13.109375" style="7001" customWidth="1"/>
    <col min="13317" max="13317" width="14.88671875" style="7001" customWidth="1"/>
    <col min="13318" max="13318" width="16.109375" style="7001" customWidth="1"/>
    <col min="13319" max="13568" width="9.109375" style="7001"/>
    <col min="13569" max="13569" width="30.109375" style="7001" customWidth="1"/>
    <col min="13570" max="13570" width="9.109375" style="7001"/>
    <col min="13571" max="13571" width="8.88671875" style="7001" customWidth="1"/>
    <col min="13572" max="13572" width="13.109375" style="7001" customWidth="1"/>
    <col min="13573" max="13573" width="14.88671875" style="7001" customWidth="1"/>
    <col min="13574" max="13574" width="16.109375" style="7001" customWidth="1"/>
    <col min="13575" max="13824" width="9.109375" style="7001"/>
    <col min="13825" max="13825" width="30.109375" style="7001" customWidth="1"/>
    <col min="13826" max="13826" width="9.109375" style="7001"/>
    <col min="13827" max="13827" width="8.88671875" style="7001" customWidth="1"/>
    <col min="13828" max="13828" width="13.109375" style="7001" customWidth="1"/>
    <col min="13829" max="13829" width="14.88671875" style="7001" customWidth="1"/>
    <col min="13830" max="13830" width="16.109375" style="7001" customWidth="1"/>
    <col min="13831" max="14080" width="9.109375" style="7001"/>
    <col min="14081" max="14081" width="30.109375" style="7001" customWidth="1"/>
    <col min="14082" max="14082" width="9.109375" style="7001"/>
    <col min="14083" max="14083" width="8.88671875" style="7001" customWidth="1"/>
    <col min="14084" max="14084" width="13.109375" style="7001" customWidth="1"/>
    <col min="14085" max="14085" width="14.88671875" style="7001" customWidth="1"/>
    <col min="14086" max="14086" width="16.109375" style="7001" customWidth="1"/>
    <col min="14087" max="14336" width="9.109375" style="7001"/>
    <col min="14337" max="14337" width="30.109375" style="7001" customWidth="1"/>
    <col min="14338" max="14338" width="9.109375" style="7001"/>
    <col min="14339" max="14339" width="8.88671875" style="7001" customWidth="1"/>
    <col min="14340" max="14340" width="13.109375" style="7001" customWidth="1"/>
    <col min="14341" max="14341" width="14.88671875" style="7001" customWidth="1"/>
    <col min="14342" max="14342" width="16.109375" style="7001" customWidth="1"/>
    <col min="14343" max="14592" width="9.109375" style="7001"/>
    <col min="14593" max="14593" width="30.109375" style="7001" customWidth="1"/>
    <col min="14594" max="14594" width="9.109375" style="7001"/>
    <col min="14595" max="14595" width="8.88671875" style="7001" customWidth="1"/>
    <col min="14596" max="14596" width="13.109375" style="7001" customWidth="1"/>
    <col min="14597" max="14597" width="14.88671875" style="7001" customWidth="1"/>
    <col min="14598" max="14598" width="16.109375" style="7001" customWidth="1"/>
    <col min="14599" max="14848" width="9.109375" style="7001"/>
    <col min="14849" max="14849" width="30.109375" style="7001" customWidth="1"/>
    <col min="14850" max="14850" width="9.109375" style="7001"/>
    <col min="14851" max="14851" width="8.88671875" style="7001" customWidth="1"/>
    <col min="14852" max="14852" width="13.109375" style="7001" customWidth="1"/>
    <col min="14853" max="14853" width="14.88671875" style="7001" customWidth="1"/>
    <col min="14854" max="14854" width="16.109375" style="7001" customWidth="1"/>
    <col min="14855" max="15104" width="9.109375" style="7001"/>
    <col min="15105" max="15105" width="30.109375" style="7001" customWidth="1"/>
    <col min="15106" max="15106" width="9.109375" style="7001"/>
    <col min="15107" max="15107" width="8.88671875" style="7001" customWidth="1"/>
    <col min="15108" max="15108" width="13.109375" style="7001" customWidth="1"/>
    <col min="15109" max="15109" width="14.88671875" style="7001" customWidth="1"/>
    <col min="15110" max="15110" width="16.109375" style="7001" customWidth="1"/>
    <col min="15111" max="15360" width="9.109375" style="7001"/>
    <col min="15361" max="15361" width="30.109375" style="7001" customWidth="1"/>
    <col min="15362" max="15362" width="9.109375" style="7001"/>
    <col min="15363" max="15363" width="8.88671875" style="7001" customWidth="1"/>
    <col min="15364" max="15364" width="13.109375" style="7001" customWidth="1"/>
    <col min="15365" max="15365" width="14.88671875" style="7001" customWidth="1"/>
    <col min="15366" max="15366" width="16.109375" style="7001" customWidth="1"/>
    <col min="15367" max="15616" width="9.109375" style="7001"/>
    <col min="15617" max="15617" width="30.109375" style="7001" customWidth="1"/>
    <col min="15618" max="15618" width="9.109375" style="7001"/>
    <col min="15619" max="15619" width="8.88671875" style="7001" customWidth="1"/>
    <col min="15620" max="15620" width="13.109375" style="7001" customWidth="1"/>
    <col min="15621" max="15621" width="14.88671875" style="7001" customWidth="1"/>
    <col min="15622" max="15622" width="16.109375" style="7001" customWidth="1"/>
    <col min="15623" max="15872" width="9.109375" style="7001"/>
    <col min="15873" max="15873" width="30.109375" style="7001" customWidth="1"/>
    <col min="15874" max="15874" width="9.109375" style="7001"/>
    <col min="15875" max="15875" width="8.88671875" style="7001" customWidth="1"/>
    <col min="15876" max="15876" width="13.109375" style="7001" customWidth="1"/>
    <col min="15877" max="15877" width="14.88671875" style="7001" customWidth="1"/>
    <col min="15878" max="15878" width="16.109375" style="7001" customWidth="1"/>
    <col min="15879" max="16128" width="9.109375" style="7001"/>
    <col min="16129" max="16129" width="30.109375" style="7001" customWidth="1"/>
    <col min="16130" max="16130" width="9.109375" style="7001"/>
    <col min="16131" max="16131" width="8.88671875" style="7001" customWidth="1"/>
    <col min="16132" max="16132" width="13.109375" style="7001" customWidth="1"/>
    <col min="16133" max="16133" width="14.88671875" style="7001" customWidth="1"/>
    <col min="16134" max="16134" width="16.109375" style="7001" customWidth="1"/>
    <col min="16135" max="16384" width="9.109375" style="7001"/>
  </cols>
  <sheetData>
    <row r="1" spans="1:6" ht="12.9" customHeight="1">
      <c r="A1" s="14395" t="s">
        <v>1087</v>
      </c>
      <c r="B1" s="14395"/>
      <c r="C1" s="14395"/>
      <c r="D1" s="14395"/>
      <c r="E1" s="14395"/>
      <c r="F1" s="14395"/>
    </row>
    <row r="3" spans="1:6" ht="12.9" customHeight="1">
      <c r="A3" s="7162" t="s">
        <v>1387</v>
      </c>
    </row>
    <row r="4" spans="1:6" ht="12.9" customHeight="1" thickBot="1"/>
    <row r="5" spans="1:6" ht="12.9" customHeight="1">
      <c r="A5" s="9675" t="s">
        <v>842</v>
      </c>
      <c r="B5" s="10713" t="s">
        <v>1035</v>
      </c>
      <c r="C5" s="10713" t="s">
        <v>1036</v>
      </c>
      <c r="D5" s="14393" t="s">
        <v>1037</v>
      </c>
      <c r="E5" s="14393"/>
      <c r="F5" s="14394"/>
    </row>
    <row r="6" spans="1:6" ht="12.9" customHeight="1" thickBot="1">
      <c r="A6" s="9679" t="s">
        <v>1088</v>
      </c>
      <c r="B6" s="9755" t="s">
        <v>9</v>
      </c>
      <c r="C6" s="9755" t="s">
        <v>1039</v>
      </c>
      <c r="D6" s="9755" t="s">
        <v>10</v>
      </c>
      <c r="E6" s="9755" t="s">
        <v>11</v>
      </c>
      <c r="F6" s="9756" t="s">
        <v>11621</v>
      </c>
    </row>
    <row r="7" spans="1:6" ht="12.9" customHeight="1">
      <c r="A7" s="7231" t="s">
        <v>9</v>
      </c>
      <c r="B7" s="9665"/>
      <c r="C7" s="7174"/>
      <c r="D7" s="9665"/>
      <c r="E7" s="7174"/>
      <c r="F7" s="7242"/>
    </row>
    <row r="8" spans="1:6" ht="12.9" customHeight="1">
      <c r="A8" s="7231" t="s">
        <v>1139</v>
      </c>
      <c r="B8" s="7174"/>
      <c r="C8" s="7174"/>
      <c r="D8" s="7174"/>
      <c r="E8" s="7174"/>
      <c r="F8" s="7242"/>
    </row>
    <row r="9" spans="1:6" ht="12.9" customHeight="1">
      <c r="A9" s="6230" t="s">
        <v>1149</v>
      </c>
      <c r="B9" s="7174"/>
      <c r="C9" s="7174"/>
      <c r="D9" s="7174"/>
      <c r="E9" s="7174"/>
      <c r="F9" s="7242"/>
    </row>
    <row r="10" spans="1:6" ht="12.9" customHeight="1">
      <c r="A10" s="7231"/>
      <c r="B10" s="7172"/>
      <c r="C10" s="7172"/>
      <c r="D10" s="7177"/>
      <c r="E10" s="7177"/>
      <c r="F10" s="7245"/>
    </row>
    <row r="11" spans="1:6" ht="12.9" customHeight="1">
      <c r="A11" s="6230" t="s">
        <v>1151</v>
      </c>
      <c r="B11" s="7172"/>
      <c r="C11" s="7172"/>
      <c r="D11" s="7177"/>
      <c r="E11" s="7177"/>
      <c r="F11" s="7245"/>
    </row>
    <row r="12" spans="1:6" ht="12.9" customHeight="1">
      <c r="A12" s="6230" t="s">
        <v>1109</v>
      </c>
      <c r="B12" s="7172"/>
      <c r="C12" s="7172"/>
      <c r="D12" s="7177"/>
      <c r="E12" s="7177"/>
      <c r="F12" s="7245"/>
    </row>
    <row r="13" spans="1:6" ht="12.9" customHeight="1">
      <c r="A13" s="7231" t="s">
        <v>9</v>
      </c>
      <c r="B13" s="9730" t="s">
        <v>9</v>
      </c>
      <c r="C13" s="7172" t="s">
        <v>9</v>
      </c>
      <c r="D13" s="7177" t="s">
        <v>9</v>
      </c>
      <c r="E13" s="7177"/>
      <c r="F13" s="7245"/>
    </row>
    <row r="14" spans="1:6" ht="12.9" customHeight="1">
      <c r="A14" s="6230" t="s">
        <v>1152</v>
      </c>
      <c r="B14" s="7172"/>
      <c r="C14" s="7172"/>
      <c r="D14" s="7177"/>
      <c r="E14" s="7177"/>
      <c r="F14" s="7245"/>
    </row>
    <row r="15" spans="1:6" ht="12.9" customHeight="1">
      <c r="A15" s="7231" t="s">
        <v>1399</v>
      </c>
      <c r="B15" s="9403">
        <v>1</v>
      </c>
      <c r="C15" s="9403">
        <v>23</v>
      </c>
      <c r="D15" s="7177">
        <v>0</v>
      </c>
      <c r="E15" s="7177">
        <v>0</v>
      </c>
      <c r="F15" s="9948">
        <v>885732</v>
      </c>
    </row>
    <row r="16" spans="1:6" ht="12.9" customHeight="1">
      <c r="A16" s="7231" t="s">
        <v>1343</v>
      </c>
      <c r="B16" s="7172">
        <v>1</v>
      </c>
      <c r="C16" s="7172">
        <v>21</v>
      </c>
      <c r="D16" s="7177">
        <v>1170516</v>
      </c>
      <c r="E16" s="7177">
        <v>1290072</v>
      </c>
      <c r="F16" s="7245">
        <v>704976</v>
      </c>
    </row>
    <row r="17" spans="1:8" ht="12.9" customHeight="1">
      <c r="A17" s="7231" t="s">
        <v>1348</v>
      </c>
      <c r="B17" s="7172">
        <v>0</v>
      </c>
      <c r="C17" s="7172">
        <v>15</v>
      </c>
      <c r="D17" s="7177">
        <v>354684</v>
      </c>
      <c r="E17" s="7177">
        <v>0</v>
      </c>
      <c r="F17" s="7245">
        <v>0</v>
      </c>
    </row>
    <row r="18" spans="1:8" ht="12.9" customHeight="1">
      <c r="A18" s="7231" t="s">
        <v>1346</v>
      </c>
      <c r="B18" s="7172">
        <v>1</v>
      </c>
      <c r="C18" s="7172">
        <v>15</v>
      </c>
      <c r="D18" s="7177">
        <v>358824</v>
      </c>
      <c r="E18" s="7177">
        <v>378540</v>
      </c>
      <c r="F18" s="7245">
        <v>399348</v>
      </c>
    </row>
    <row r="19" spans="1:8" ht="12.9" customHeight="1">
      <c r="A19" s="7231" t="s">
        <v>1347</v>
      </c>
      <c r="B19" s="7172">
        <v>3</v>
      </c>
      <c r="C19" s="7172">
        <v>11</v>
      </c>
      <c r="D19" s="7177">
        <v>493752</v>
      </c>
      <c r="E19" s="7177">
        <v>512880</v>
      </c>
      <c r="F19" s="7245">
        <v>792804</v>
      </c>
    </row>
    <row r="20" spans="1:8" ht="12.9" customHeight="1">
      <c r="A20" s="7231" t="s">
        <v>1327</v>
      </c>
      <c r="B20" s="7172">
        <v>1</v>
      </c>
      <c r="C20" s="7172">
        <v>11</v>
      </c>
      <c r="D20" s="7177">
        <v>0</v>
      </c>
      <c r="E20" s="9608">
        <v>242148</v>
      </c>
      <c r="F20" s="9948">
        <v>249048</v>
      </c>
    </row>
    <row r="21" spans="1:8" ht="12.9" customHeight="1">
      <c r="A21" s="7231" t="s">
        <v>11264</v>
      </c>
      <c r="B21" s="9403">
        <v>1</v>
      </c>
      <c r="C21" s="9403">
        <v>6</v>
      </c>
      <c r="D21" s="7177">
        <v>0</v>
      </c>
      <c r="E21" s="7177">
        <v>0</v>
      </c>
      <c r="F21" s="9948">
        <v>178164</v>
      </c>
    </row>
    <row r="22" spans="1:8" ht="12.9" customHeight="1">
      <c r="A22" s="7231" t="s">
        <v>1357</v>
      </c>
      <c r="B22" s="7172">
        <v>3</v>
      </c>
      <c r="C22" s="7172">
        <v>4</v>
      </c>
      <c r="D22" s="7177">
        <v>465372</v>
      </c>
      <c r="E22" s="7177">
        <v>474264</v>
      </c>
      <c r="F22" s="7245">
        <v>493152</v>
      </c>
    </row>
    <row r="23" spans="1:8" ht="12.9" customHeight="1">
      <c r="A23" s="7231" t="s">
        <v>1359</v>
      </c>
      <c r="B23" s="7172">
        <v>1</v>
      </c>
      <c r="C23" s="7172">
        <v>4</v>
      </c>
      <c r="D23" s="7177">
        <v>148452</v>
      </c>
      <c r="E23" s="7177">
        <v>155880</v>
      </c>
      <c r="F23" s="7245">
        <v>162252</v>
      </c>
    </row>
    <row r="24" spans="1:8" ht="12.9" customHeight="1">
      <c r="A24" s="7231" t="s">
        <v>1360</v>
      </c>
      <c r="B24" s="7172">
        <v>1</v>
      </c>
      <c r="C24" s="7172">
        <v>3</v>
      </c>
      <c r="D24" s="7177">
        <v>137856</v>
      </c>
      <c r="E24" s="7177">
        <v>144156</v>
      </c>
      <c r="F24" s="7245">
        <v>150744</v>
      </c>
    </row>
    <row r="25" spans="1:8" ht="12.9" customHeight="1">
      <c r="A25" s="7231" t="s">
        <v>9</v>
      </c>
      <c r="B25" s="7172"/>
      <c r="C25" s="7172"/>
      <c r="D25" s="7177"/>
      <c r="E25" s="7177"/>
      <c r="F25" s="7245"/>
      <c r="G25" s="7001">
        <f>SUM(B15:B25)</f>
        <v>13</v>
      </c>
      <c r="H25" s="7164">
        <f>SUM(F15:F25)</f>
        <v>4016220</v>
      </c>
    </row>
    <row r="26" spans="1:8" ht="12.9" customHeight="1">
      <c r="A26" s="6230" t="s">
        <v>1094</v>
      </c>
      <c r="B26" s="7172"/>
      <c r="C26" s="7172"/>
      <c r="D26" s="7177"/>
      <c r="E26" s="7177"/>
      <c r="F26" s="7245"/>
    </row>
    <row r="27" spans="1:8" ht="12.9" customHeight="1">
      <c r="A27" s="7231" t="s">
        <v>11626</v>
      </c>
      <c r="B27" s="9403">
        <v>1</v>
      </c>
      <c r="C27" s="9403">
        <v>10</v>
      </c>
      <c r="D27" s="7177">
        <v>0</v>
      </c>
      <c r="E27" s="7177">
        <v>0</v>
      </c>
      <c r="F27" s="9948">
        <v>230796</v>
      </c>
    </row>
    <row r="28" spans="1:8" ht="12.9" customHeight="1">
      <c r="A28" s="7231" t="s">
        <v>1381</v>
      </c>
      <c r="B28" s="7172">
        <v>1</v>
      </c>
      <c r="C28" s="7172">
        <v>9</v>
      </c>
      <c r="D28" s="7177">
        <v>217296</v>
      </c>
      <c r="E28" s="7177">
        <v>222900</v>
      </c>
      <c r="F28" s="7245">
        <v>228648</v>
      </c>
    </row>
    <row r="29" spans="1:8" ht="12.9" customHeight="1">
      <c r="A29" s="7231" t="s">
        <v>1155</v>
      </c>
      <c r="B29" s="7172">
        <v>1</v>
      </c>
      <c r="C29" s="7172">
        <v>4</v>
      </c>
      <c r="D29" s="7177">
        <v>155124</v>
      </c>
      <c r="E29" s="7177">
        <v>161088</v>
      </c>
      <c r="F29" s="7245">
        <v>167292</v>
      </c>
    </row>
    <row r="30" spans="1:8" ht="12.9" customHeight="1" thickBot="1">
      <c r="A30" s="7231" t="s">
        <v>1158</v>
      </c>
      <c r="B30" s="8414">
        <v>2</v>
      </c>
      <c r="C30" s="8414">
        <v>1</v>
      </c>
      <c r="D30" s="8415">
        <v>127680</v>
      </c>
      <c r="E30" s="8415">
        <v>252240</v>
      </c>
      <c r="F30" s="7245">
        <v>265632</v>
      </c>
      <c r="G30" s="7001">
        <f>SUM(B27:B30)</f>
        <v>5</v>
      </c>
      <c r="H30" s="7164">
        <f>SUM(F27:F30)</f>
        <v>892368</v>
      </c>
    </row>
    <row r="31" spans="1:8" ht="12.9" customHeight="1" thickBot="1">
      <c r="A31" s="9838" t="s">
        <v>1159</v>
      </c>
      <c r="B31" s="10845">
        <f>SUM(B10:B30)</f>
        <v>18</v>
      </c>
      <c r="C31" s="10421"/>
      <c r="D31" s="9840">
        <f>SUM(D9:D30)</f>
        <v>3629556</v>
      </c>
      <c r="E31" s="9840">
        <f>SUM(E9:E30)</f>
        <v>3834168</v>
      </c>
      <c r="F31" s="10786">
        <f>SUM(F9:F30)</f>
        <v>4908588</v>
      </c>
    </row>
    <row r="32" spans="1:8" ht="12.9" customHeight="1">
      <c r="A32" s="7231"/>
      <c r="B32" s="9694"/>
      <c r="C32" s="7174"/>
      <c r="D32" s="7174"/>
      <c r="E32" s="7174"/>
      <c r="F32" s="7242"/>
    </row>
    <row r="33" spans="1:7" ht="12.9" customHeight="1">
      <c r="A33" s="7231" t="s">
        <v>1113</v>
      </c>
      <c r="B33" s="7168" t="s">
        <v>9</v>
      </c>
      <c r="C33" s="7174"/>
      <c r="D33" s="7174"/>
      <c r="E33" s="7174"/>
      <c r="F33" s="7242"/>
    </row>
    <row r="34" spans="1:7" ht="12.9" customHeight="1">
      <c r="A34" s="7231" t="s">
        <v>1389</v>
      </c>
      <c r="B34" s="7172">
        <v>0</v>
      </c>
      <c r="C34" s="7172">
        <v>23</v>
      </c>
      <c r="D34" s="7177">
        <v>699720</v>
      </c>
      <c r="E34" s="7177">
        <v>787248</v>
      </c>
      <c r="F34" s="7245">
        <v>0</v>
      </c>
    </row>
    <row r="35" spans="1:7" ht="12.9" customHeight="1">
      <c r="A35" s="7231" t="s">
        <v>1343</v>
      </c>
      <c r="B35" s="7172">
        <v>1</v>
      </c>
      <c r="C35" s="7172">
        <v>21</v>
      </c>
      <c r="D35" s="7176">
        <v>0</v>
      </c>
      <c r="E35" s="7176">
        <v>0</v>
      </c>
      <c r="F35" s="7175">
        <v>693660</v>
      </c>
    </row>
    <row r="36" spans="1:7" ht="12.9" customHeight="1">
      <c r="A36" s="7231" t="s">
        <v>11265</v>
      </c>
      <c r="B36" s="7172"/>
      <c r="C36" s="7172">
        <v>14</v>
      </c>
      <c r="D36" s="7176"/>
      <c r="E36" s="7176">
        <v>317928</v>
      </c>
      <c r="F36" s="7175" t="s">
        <v>12022</v>
      </c>
    </row>
    <row r="37" spans="1:7" ht="12.9" customHeight="1">
      <c r="A37" s="7231" t="s">
        <v>10206</v>
      </c>
      <c r="B37" s="7172">
        <v>3</v>
      </c>
      <c r="C37" s="7172">
        <v>11</v>
      </c>
      <c r="D37" s="7176"/>
      <c r="E37" s="7176">
        <v>726444</v>
      </c>
      <c r="F37" s="7175">
        <f>249048*B37</f>
        <v>747144</v>
      </c>
      <c r="G37" s="13961" t="s">
        <v>12258</v>
      </c>
    </row>
    <row r="38" spans="1:7" ht="12.9" customHeight="1">
      <c r="A38" s="7231" t="s">
        <v>10426</v>
      </c>
      <c r="B38" s="9403">
        <v>1</v>
      </c>
      <c r="C38" s="9403">
        <v>11</v>
      </c>
      <c r="D38" s="9608"/>
      <c r="E38" s="9608"/>
      <c r="F38" s="9948">
        <v>249048</v>
      </c>
    </row>
    <row r="39" spans="1:7" ht="12.9" customHeight="1">
      <c r="A39" s="7231" t="s">
        <v>10704</v>
      </c>
      <c r="B39" s="7172">
        <v>0</v>
      </c>
      <c r="C39" s="7172">
        <v>11</v>
      </c>
      <c r="D39" s="7177">
        <v>235440</v>
      </c>
      <c r="E39" s="7177">
        <v>0</v>
      </c>
      <c r="F39" s="7245">
        <v>0</v>
      </c>
    </row>
    <row r="40" spans="1:7" ht="12.9" customHeight="1">
      <c r="A40" s="7231" t="s">
        <v>10703</v>
      </c>
      <c r="B40" s="7172">
        <v>0</v>
      </c>
      <c r="C40" s="7172">
        <v>10</v>
      </c>
      <c r="D40" s="7177">
        <v>218604</v>
      </c>
      <c r="E40" s="7177">
        <v>224616</v>
      </c>
      <c r="F40" s="7245">
        <v>0</v>
      </c>
    </row>
    <row r="41" spans="1:7" ht="12.9" customHeight="1">
      <c r="A41" s="7231" t="s">
        <v>10705</v>
      </c>
      <c r="B41" s="7172">
        <v>0</v>
      </c>
      <c r="C41" s="7172">
        <v>6</v>
      </c>
      <c r="D41" s="7177">
        <v>166212</v>
      </c>
      <c r="E41" s="7177">
        <v>172080</v>
      </c>
      <c r="F41" s="7245">
        <v>0</v>
      </c>
    </row>
    <row r="42" spans="1:7" ht="12.9" hidden="1" customHeight="1">
      <c r="A42" s="7231" t="s">
        <v>1382</v>
      </c>
      <c r="B42" s="7172">
        <v>0</v>
      </c>
      <c r="C42" s="7172">
        <v>3</v>
      </c>
      <c r="D42" s="7177">
        <v>0</v>
      </c>
      <c r="E42" s="7177">
        <v>0</v>
      </c>
      <c r="F42" s="7245">
        <v>0</v>
      </c>
    </row>
    <row r="43" spans="1:7" ht="12.9" customHeight="1">
      <c r="A43" s="7231" t="s">
        <v>1158</v>
      </c>
      <c r="B43" s="7172">
        <v>0</v>
      </c>
      <c r="C43" s="7172">
        <v>1</v>
      </c>
      <c r="D43" s="7177">
        <v>119772</v>
      </c>
      <c r="E43" s="7177">
        <v>0</v>
      </c>
      <c r="F43" s="7245">
        <v>0</v>
      </c>
    </row>
    <row r="44" spans="1:7" ht="12.9" customHeight="1">
      <c r="A44" s="6230" t="s">
        <v>1388</v>
      </c>
      <c r="B44" s="9652">
        <f>SUM(B34:B43)</f>
        <v>5</v>
      </c>
      <c r="C44" s="9653"/>
      <c r="D44" s="9643">
        <f>SUM(D34:D43)</f>
        <v>1439748</v>
      </c>
      <c r="E44" s="9643">
        <f>SUM(E34:E43)</f>
        <v>2228316</v>
      </c>
      <c r="F44" s="9656">
        <f>SUM(F34:F43)</f>
        <v>1689852</v>
      </c>
    </row>
    <row r="45" spans="1:7" ht="12.9" customHeight="1" thickBot="1">
      <c r="A45" s="7235"/>
      <c r="B45" s="8416"/>
      <c r="C45" s="8416"/>
      <c r="D45" s="8417"/>
      <c r="E45" s="8417"/>
      <c r="F45" s="9786"/>
    </row>
    <row r="46" spans="1:7" ht="12.9" customHeight="1" thickBot="1">
      <c r="A46" s="9838" t="s">
        <v>1101</v>
      </c>
      <c r="B46" s="10845">
        <f>SUM(B31+B44)</f>
        <v>23</v>
      </c>
      <c r="C46" s="9839"/>
      <c r="D46" s="9840">
        <f>SUM(D31,D44)</f>
        <v>5069304</v>
      </c>
      <c r="E46" s="9840">
        <f>SUM(E31,E44)</f>
        <v>6062484</v>
      </c>
      <c r="F46" s="10786">
        <f>SUM(F31,F44)</f>
        <v>6598440</v>
      </c>
    </row>
    <row r="47" spans="1:7" ht="12.9" customHeight="1">
      <c r="A47" s="7231"/>
      <c r="B47" s="7172"/>
      <c r="C47" s="7172"/>
      <c r="D47" s="7174"/>
      <c r="E47" s="7174"/>
      <c r="F47" s="7242"/>
    </row>
    <row r="48" spans="1:7" ht="12.9" customHeight="1">
      <c r="A48" s="6230" t="s">
        <v>1075</v>
      </c>
      <c r="B48" s="7172"/>
      <c r="C48" s="7172"/>
      <c r="D48" s="7174"/>
      <c r="E48" s="7174"/>
      <c r="F48" s="7242"/>
    </row>
    <row r="49" spans="1:7" ht="12.9" customHeight="1">
      <c r="A49" s="6230" t="s">
        <v>1102</v>
      </c>
      <c r="B49" s="7172"/>
      <c r="C49" s="7174"/>
      <c r="D49" s="7174"/>
      <c r="E49" s="7174"/>
      <c r="F49" s="7242"/>
    </row>
    <row r="50" spans="1:7" ht="12.9" customHeight="1">
      <c r="A50" s="7231" t="s">
        <v>1103</v>
      </c>
      <c r="B50" s="7172">
        <v>1</v>
      </c>
      <c r="C50" s="7174"/>
      <c r="D50" s="7174"/>
      <c r="E50" s="7174"/>
      <c r="F50" s="7242"/>
    </row>
    <row r="51" spans="1:7" ht="12.9" customHeight="1">
      <c r="A51" s="7231" t="s">
        <v>1078</v>
      </c>
      <c r="B51" s="7172">
        <v>1</v>
      </c>
      <c r="C51" s="7174"/>
      <c r="D51" s="7174"/>
      <c r="E51" s="7174"/>
      <c r="F51" s="7242"/>
    </row>
    <row r="52" spans="1:7" ht="12.9" customHeight="1">
      <c r="A52" s="7231" t="s">
        <v>10697</v>
      </c>
      <c r="B52" s="13974"/>
      <c r="C52" s="7174"/>
      <c r="D52" s="7174"/>
      <c r="E52" s="7174"/>
      <c r="F52" s="7242"/>
      <c r="G52" s="13961" t="s">
        <v>12257</v>
      </c>
    </row>
    <row r="53" spans="1:7" ht="12.9" customHeight="1">
      <c r="A53" s="7231" t="s">
        <v>10707</v>
      </c>
      <c r="B53" s="7172">
        <v>1</v>
      </c>
      <c r="C53" s="7174"/>
      <c r="D53" s="7174"/>
      <c r="E53" s="7174"/>
      <c r="F53" s="7242"/>
    </row>
    <row r="54" spans="1:7" ht="12.9" customHeight="1">
      <c r="A54" s="7231"/>
      <c r="B54" s="8414"/>
      <c r="C54" s="10751"/>
      <c r="D54" s="10751"/>
      <c r="E54" s="10751"/>
      <c r="F54" s="7242"/>
    </row>
    <row r="55" spans="1:7" ht="12.9" customHeight="1">
      <c r="A55" s="7231" t="s">
        <v>1080</v>
      </c>
      <c r="B55" s="7172"/>
      <c r="C55" s="7174"/>
      <c r="D55" s="7174"/>
      <c r="E55" s="7174"/>
      <c r="F55" s="7242"/>
    </row>
    <row r="56" spans="1:7" ht="12.9" customHeight="1">
      <c r="A56" s="7231" t="s">
        <v>1104</v>
      </c>
      <c r="B56" s="7174"/>
      <c r="C56" s="7174"/>
      <c r="D56" s="7174"/>
      <c r="E56" s="7174"/>
      <c r="F56" s="7242"/>
    </row>
    <row r="57" spans="1:7" ht="12.9" customHeight="1">
      <c r="A57" s="7231" t="s">
        <v>1105</v>
      </c>
      <c r="B57" s="7174"/>
      <c r="C57" s="7174"/>
      <c r="D57" s="7174"/>
      <c r="E57" s="7174"/>
      <c r="F57" s="7242"/>
    </row>
    <row r="58" spans="1:7" ht="12.9" customHeight="1">
      <c r="A58" s="7231"/>
      <c r="B58" s="7189"/>
      <c r="C58" s="7189"/>
      <c r="D58" s="7189"/>
      <c r="E58" s="7189"/>
      <c r="F58" s="9778"/>
    </row>
    <row r="59" spans="1:7" ht="12.9" customHeight="1">
      <c r="A59" s="6230" t="s">
        <v>1083</v>
      </c>
      <c r="B59" s="9676"/>
      <c r="C59" s="9676"/>
      <c r="D59" s="9676"/>
      <c r="E59" s="9676"/>
      <c r="F59" s="9744"/>
    </row>
    <row r="60" spans="1:7" ht="12.9" customHeight="1">
      <c r="A60" s="7231"/>
      <c r="B60" s="7174"/>
      <c r="C60" s="7174"/>
      <c r="D60" s="7174"/>
      <c r="E60" s="7174"/>
      <c r="F60" s="7242"/>
    </row>
    <row r="61" spans="1:7" ht="12.9" customHeight="1">
      <c r="A61" s="7231" t="s">
        <v>1106</v>
      </c>
      <c r="B61" s="7174"/>
      <c r="C61" s="7174"/>
      <c r="D61" s="7174"/>
      <c r="E61" s="7174"/>
      <c r="F61" s="7242"/>
    </row>
    <row r="62" spans="1:7" ht="12.9" customHeight="1" thickBot="1">
      <c r="A62" s="7231"/>
      <c r="B62" s="7174"/>
      <c r="C62" s="7174"/>
      <c r="D62" s="7174"/>
      <c r="E62" s="7174"/>
      <c r="F62" s="7242"/>
    </row>
    <row r="63" spans="1:7" ht="12.9" customHeight="1">
      <c r="A63" s="7248"/>
      <c r="B63" s="9665"/>
      <c r="C63" s="9665"/>
      <c r="D63" s="9665"/>
      <c r="E63" s="9665"/>
      <c r="F63" s="9729"/>
    </row>
    <row r="64" spans="1:7" ht="12.9" customHeight="1">
      <c r="A64" s="6230" t="s">
        <v>1086</v>
      </c>
      <c r="B64" s="10751"/>
      <c r="C64" s="10751"/>
      <c r="D64" s="10751"/>
      <c r="E64" s="10751"/>
      <c r="F64" s="7242"/>
    </row>
    <row r="65" spans="1:6" ht="12.9" customHeight="1" thickBot="1">
      <c r="A65" s="7235"/>
      <c r="B65" s="9758"/>
      <c r="C65" s="9758"/>
      <c r="D65" s="9758"/>
      <c r="E65" s="9758"/>
      <c r="F65" s="9759"/>
    </row>
    <row r="66" spans="1:6" ht="12.9" customHeight="1">
      <c r="A66" s="6330"/>
      <c r="B66" s="6330"/>
      <c r="C66" s="6330"/>
      <c r="D66" s="6330"/>
      <c r="E66" s="6330"/>
      <c r="F66" s="6330"/>
    </row>
    <row r="67" spans="1:6" ht="12.9" customHeight="1">
      <c r="A67" s="6330"/>
      <c r="B67" s="6330"/>
      <c r="C67" s="6330"/>
      <c r="D67" s="6330"/>
      <c r="E67" s="6330"/>
      <c r="F67" s="6330"/>
    </row>
    <row r="68" spans="1:6" ht="12.9" customHeight="1">
      <c r="A68" s="6330"/>
      <c r="B68" s="6330"/>
      <c r="C68" s="6330"/>
      <c r="D68" s="6330"/>
      <c r="E68" s="6330"/>
      <c r="F68" s="6330"/>
    </row>
  </sheetData>
  <mergeCells count="2">
    <mergeCell ref="D5:F5"/>
    <mergeCell ref="A1:F1"/>
  </mergeCells>
  <pageMargins left="0.25" right="0.25" top="0.5" bottom="0.5" header="0.3" footer="0.3"/>
  <pageSetup paperSize="119" firstPageNumber="328" orientation="portrait" useFirstPageNumber="1" r:id="rId1"/>
  <headerFooter alignWithMargins="0"/>
</worksheet>
</file>

<file path=xl/worksheets/sheet156.xml><?xml version="1.0" encoding="utf-8"?>
<worksheet xmlns="http://schemas.openxmlformats.org/spreadsheetml/2006/main" xmlns:r="http://schemas.openxmlformats.org/officeDocument/2006/relationships">
  <sheetPr codeName="Sheet182">
    <tabColor rgb="FFFFFF00"/>
  </sheetPr>
  <dimension ref="A1:J44"/>
  <sheetViews>
    <sheetView workbookViewId="0">
      <selection activeCell="D39" sqref="D39"/>
    </sheetView>
  </sheetViews>
  <sheetFormatPr defaultRowHeight="13.2"/>
  <cols>
    <col min="1" max="1" width="9.109375" style="433" customWidth="1"/>
    <col min="2" max="2" width="24.44140625" style="433" customWidth="1"/>
    <col min="3" max="3" width="16.109375" style="433" customWidth="1"/>
    <col min="4" max="4" width="25.109375" style="4034" customWidth="1"/>
    <col min="5" max="5" width="11.109375" style="482" customWidth="1"/>
    <col min="6" max="6" width="6" style="433" customWidth="1"/>
    <col min="7" max="7" width="6.109375" style="433" customWidth="1"/>
    <col min="8" max="8" width="9.109375" style="433"/>
    <col min="9" max="9" width="15.88671875" style="433" bestFit="1" customWidth="1"/>
    <col min="10" max="10" width="13.109375" style="433" bestFit="1" customWidth="1"/>
    <col min="11" max="256" width="9.109375" style="433"/>
    <col min="257" max="257" width="9.109375" style="433" customWidth="1"/>
    <col min="258" max="258" width="22" style="433" customWidth="1"/>
    <col min="259" max="259" width="14.88671875" style="433" customWidth="1"/>
    <col min="260" max="260" width="23.88671875" style="433" customWidth="1"/>
    <col min="261" max="261" width="11.109375" style="433" customWidth="1"/>
    <col min="262" max="262" width="4.88671875" style="433" customWidth="1"/>
    <col min="263" max="263" width="5.109375" style="433" customWidth="1"/>
    <col min="264" max="264" width="9.109375" style="433"/>
    <col min="265" max="265" width="15.88671875" style="433" bestFit="1" customWidth="1"/>
    <col min="266" max="266" width="13.109375" style="433" bestFit="1" customWidth="1"/>
    <col min="267" max="512" width="9.109375" style="433"/>
    <col min="513" max="513" width="9.109375" style="433" customWidth="1"/>
    <col min="514" max="514" width="22" style="433" customWidth="1"/>
    <col min="515" max="515" width="14.88671875" style="433" customWidth="1"/>
    <col min="516" max="516" width="23.88671875" style="433" customWidth="1"/>
    <col min="517" max="517" width="11.109375" style="433" customWidth="1"/>
    <col min="518" max="518" width="4.88671875" style="433" customWidth="1"/>
    <col min="519" max="519" width="5.109375" style="433" customWidth="1"/>
    <col min="520" max="520" width="9.109375" style="433"/>
    <col min="521" max="521" width="15.88671875" style="433" bestFit="1" customWidth="1"/>
    <col min="522" max="522" width="13.109375" style="433" bestFit="1" customWidth="1"/>
    <col min="523" max="768" width="9.109375" style="433"/>
    <col min="769" max="769" width="9.109375" style="433" customWidth="1"/>
    <col min="770" max="770" width="22" style="433" customWidth="1"/>
    <col min="771" max="771" width="14.88671875" style="433" customWidth="1"/>
    <col min="772" max="772" width="23.88671875" style="433" customWidth="1"/>
    <col min="773" max="773" width="11.109375" style="433" customWidth="1"/>
    <col min="774" max="774" width="4.88671875" style="433" customWidth="1"/>
    <col min="775" max="775" width="5.109375" style="433" customWidth="1"/>
    <col min="776" max="776" width="9.109375" style="433"/>
    <col min="777" max="777" width="15.88671875" style="433" bestFit="1" customWidth="1"/>
    <col min="778" max="778" width="13.109375" style="433" bestFit="1" customWidth="1"/>
    <col min="779" max="1024" width="9.109375" style="433"/>
    <col min="1025" max="1025" width="9.109375" style="433" customWidth="1"/>
    <col min="1026" max="1026" width="22" style="433" customWidth="1"/>
    <col min="1027" max="1027" width="14.88671875" style="433" customWidth="1"/>
    <col min="1028" max="1028" width="23.88671875" style="433" customWidth="1"/>
    <col min="1029" max="1029" width="11.109375" style="433" customWidth="1"/>
    <col min="1030" max="1030" width="4.88671875" style="433" customWidth="1"/>
    <col min="1031" max="1031" width="5.109375" style="433" customWidth="1"/>
    <col min="1032" max="1032" width="9.109375" style="433"/>
    <col min="1033" max="1033" width="15.88671875" style="433" bestFit="1" customWidth="1"/>
    <col min="1034" max="1034" width="13.109375" style="433" bestFit="1" customWidth="1"/>
    <col min="1035" max="1280" width="9.109375" style="433"/>
    <col min="1281" max="1281" width="9.109375" style="433" customWidth="1"/>
    <col min="1282" max="1282" width="22" style="433" customWidth="1"/>
    <col min="1283" max="1283" width="14.88671875" style="433" customWidth="1"/>
    <col min="1284" max="1284" width="23.88671875" style="433" customWidth="1"/>
    <col min="1285" max="1285" width="11.109375" style="433" customWidth="1"/>
    <col min="1286" max="1286" width="4.88671875" style="433" customWidth="1"/>
    <col min="1287" max="1287" width="5.109375" style="433" customWidth="1"/>
    <col min="1288" max="1288" width="9.109375" style="433"/>
    <col min="1289" max="1289" width="15.88671875" style="433" bestFit="1" customWidth="1"/>
    <col min="1290" max="1290" width="13.109375" style="433" bestFit="1" customWidth="1"/>
    <col min="1291" max="1536" width="9.109375" style="433"/>
    <col min="1537" max="1537" width="9.109375" style="433" customWidth="1"/>
    <col min="1538" max="1538" width="22" style="433" customWidth="1"/>
    <col min="1539" max="1539" width="14.88671875" style="433" customWidth="1"/>
    <col min="1540" max="1540" width="23.88671875" style="433" customWidth="1"/>
    <col min="1541" max="1541" width="11.109375" style="433" customWidth="1"/>
    <col min="1542" max="1542" width="4.88671875" style="433" customWidth="1"/>
    <col min="1543" max="1543" width="5.109375" style="433" customWidth="1"/>
    <col min="1544" max="1544" width="9.109375" style="433"/>
    <col min="1545" max="1545" width="15.88671875" style="433" bestFit="1" customWidth="1"/>
    <col min="1546" max="1546" width="13.109375" style="433" bestFit="1" customWidth="1"/>
    <col min="1547" max="1792" width="9.109375" style="433"/>
    <col min="1793" max="1793" width="9.109375" style="433" customWidth="1"/>
    <col min="1794" max="1794" width="22" style="433" customWidth="1"/>
    <col min="1795" max="1795" width="14.88671875" style="433" customWidth="1"/>
    <col min="1796" max="1796" width="23.88671875" style="433" customWidth="1"/>
    <col min="1797" max="1797" width="11.109375" style="433" customWidth="1"/>
    <col min="1798" max="1798" width="4.88671875" style="433" customWidth="1"/>
    <col min="1799" max="1799" width="5.109375" style="433" customWidth="1"/>
    <col min="1800" max="1800" width="9.109375" style="433"/>
    <col min="1801" max="1801" width="15.88671875" style="433" bestFit="1" customWidth="1"/>
    <col min="1802" max="1802" width="13.109375" style="433" bestFit="1" customWidth="1"/>
    <col min="1803" max="2048" width="9.109375" style="433"/>
    <col min="2049" max="2049" width="9.109375" style="433" customWidth="1"/>
    <col min="2050" max="2050" width="22" style="433" customWidth="1"/>
    <col min="2051" max="2051" width="14.88671875" style="433" customWidth="1"/>
    <col min="2052" max="2052" width="23.88671875" style="433" customWidth="1"/>
    <col min="2053" max="2053" width="11.109375" style="433" customWidth="1"/>
    <col min="2054" max="2054" width="4.88671875" style="433" customWidth="1"/>
    <col min="2055" max="2055" width="5.109375" style="433" customWidth="1"/>
    <col min="2056" max="2056" width="9.109375" style="433"/>
    <col min="2057" max="2057" width="15.88671875" style="433" bestFit="1" customWidth="1"/>
    <col min="2058" max="2058" width="13.109375" style="433" bestFit="1" customWidth="1"/>
    <col min="2059" max="2304" width="9.109375" style="433"/>
    <col min="2305" max="2305" width="9.109375" style="433" customWidth="1"/>
    <col min="2306" max="2306" width="22" style="433" customWidth="1"/>
    <col min="2307" max="2307" width="14.88671875" style="433" customWidth="1"/>
    <col min="2308" max="2308" width="23.88671875" style="433" customWidth="1"/>
    <col min="2309" max="2309" width="11.109375" style="433" customWidth="1"/>
    <col min="2310" max="2310" width="4.88671875" style="433" customWidth="1"/>
    <col min="2311" max="2311" width="5.109375" style="433" customWidth="1"/>
    <col min="2312" max="2312" width="9.109375" style="433"/>
    <col min="2313" max="2313" width="15.88671875" style="433" bestFit="1" customWidth="1"/>
    <col min="2314" max="2314" width="13.109375" style="433" bestFit="1" customWidth="1"/>
    <col min="2315" max="2560" width="9.109375" style="433"/>
    <col min="2561" max="2561" width="9.109375" style="433" customWidth="1"/>
    <col min="2562" max="2562" width="22" style="433" customWidth="1"/>
    <col min="2563" max="2563" width="14.88671875" style="433" customWidth="1"/>
    <col min="2564" max="2564" width="23.88671875" style="433" customWidth="1"/>
    <col min="2565" max="2565" width="11.109375" style="433" customWidth="1"/>
    <col min="2566" max="2566" width="4.88671875" style="433" customWidth="1"/>
    <col min="2567" max="2567" width="5.109375" style="433" customWidth="1"/>
    <col min="2568" max="2568" width="9.109375" style="433"/>
    <col min="2569" max="2569" width="15.88671875" style="433" bestFit="1" customWidth="1"/>
    <col min="2570" max="2570" width="13.109375" style="433" bestFit="1" customWidth="1"/>
    <col min="2571" max="2816" width="9.109375" style="433"/>
    <col min="2817" max="2817" width="9.109375" style="433" customWidth="1"/>
    <col min="2818" max="2818" width="22" style="433" customWidth="1"/>
    <col min="2819" max="2819" width="14.88671875" style="433" customWidth="1"/>
    <col min="2820" max="2820" width="23.88671875" style="433" customWidth="1"/>
    <col min="2821" max="2821" width="11.109375" style="433" customWidth="1"/>
    <col min="2822" max="2822" width="4.88671875" style="433" customWidth="1"/>
    <col min="2823" max="2823" width="5.109375" style="433" customWidth="1"/>
    <col min="2824" max="2824" width="9.109375" style="433"/>
    <col min="2825" max="2825" width="15.88671875" style="433" bestFit="1" customWidth="1"/>
    <col min="2826" max="2826" width="13.109375" style="433" bestFit="1" customWidth="1"/>
    <col min="2827" max="3072" width="9.109375" style="433"/>
    <col min="3073" max="3073" width="9.109375" style="433" customWidth="1"/>
    <col min="3074" max="3074" width="22" style="433" customWidth="1"/>
    <col min="3075" max="3075" width="14.88671875" style="433" customWidth="1"/>
    <col min="3076" max="3076" width="23.88671875" style="433" customWidth="1"/>
    <col min="3077" max="3077" width="11.109375" style="433" customWidth="1"/>
    <col min="3078" max="3078" width="4.88671875" style="433" customWidth="1"/>
    <col min="3079" max="3079" width="5.109375" style="433" customWidth="1"/>
    <col min="3080" max="3080" width="9.109375" style="433"/>
    <col min="3081" max="3081" width="15.88671875" style="433" bestFit="1" customWidth="1"/>
    <col min="3082" max="3082" width="13.109375" style="433" bestFit="1" customWidth="1"/>
    <col min="3083" max="3328" width="9.109375" style="433"/>
    <col min="3329" max="3329" width="9.109375" style="433" customWidth="1"/>
    <col min="3330" max="3330" width="22" style="433" customWidth="1"/>
    <col min="3331" max="3331" width="14.88671875" style="433" customWidth="1"/>
    <col min="3332" max="3332" width="23.88671875" style="433" customWidth="1"/>
    <col min="3333" max="3333" width="11.109375" style="433" customWidth="1"/>
    <col min="3334" max="3334" width="4.88671875" style="433" customWidth="1"/>
    <col min="3335" max="3335" width="5.109375" style="433" customWidth="1"/>
    <col min="3336" max="3336" width="9.109375" style="433"/>
    <col min="3337" max="3337" width="15.88671875" style="433" bestFit="1" customWidth="1"/>
    <col min="3338" max="3338" width="13.109375" style="433" bestFit="1" customWidth="1"/>
    <col min="3339" max="3584" width="9.109375" style="433"/>
    <col min="3585" max="3585" width="9.109375" style="433" customWidth="1"/>
    <col min="3586" max="3586" width="22" style="433" customWidth="1"/>
    <col min="3587" max="3587" width="14.88671875" style="433" customWidth="1"/>
    <col min="3588" max="3588" width="23.88671875" style="433" customWidth="1"/>
    <col min="3589" max="3589" width="11.109375" style="433" customWidth="1"/>
    <col min="3590" max="3590" width="4.88671875" style="433" customWidth="1"/>
    <col min="3591" max="3591" width="5.109375" style="433" customWidth="1"/>
    <col min="3592" max="3592" width="9.109375" style="433"/>
    <col min="3593" max="3593" width="15.88671875" style="433" bestFit="1" customWidth="1"/>
    <col min="3594" max="3594" width="13.109375" style="433" bestFit="1" customWidth="1"/>
    <col min="3595" max="3840" width="9.109375" style="433"/>
    <col min="3841" max="3841" width="9.109375" style="433" customWidth="1"/>
    <col min="3842" max="3842" width="22" style="433" customWidth="1"/>
    <col min="3843" max="3843" width="14.88671875" style="433" customWidth="1"/>
    <col min="3844" max="3844" width="23.88671875" style="433" customWidth="1"/>
    <col min="3845" max="3845" width="11.109375" style="433" customWidth="1"/>
    <col min="3846" max="3846" width="4.88671875" style="433" customWidth="1"/>
    <col min="3847" max="3847" width="5.109375" style="433" customWidth="1"/>
    <col min="3848" max="3848" width="9.109375" style="433"/>
    <col min="3849" max="3849" width="15.88671875" style="433" bestFit="1" customWidth="1"/>
    <col min="3850" max="3850" width="13.109375" style="433" bestFit="1" customWidth="1"/>
    <col min="3851" max="4096" width="9.109375" style="433"/>
    <col min="4097" max="4097" width="9.109375" style="433" customWidth="1"/>
    <col min="4098" max="4098" width="22" style="433" customWidth="1"/>
    <col min="4099" max="4099" width="14.88671875" style="433" customWidth="1"/>
    <col min="4100" max="4100" width="23.88671875" style="433" customWidth="1"/>
    <col min="4101" max="4101" width="11.109375" style="433" customWidth="1"/>
    <col min="4102" max="4102" width="4.88671875" style="433" customWidth="1"/>
    <col min="4103" max="4103" width="5.109375" style="433" customWidth="1"/>
    <col min="4104" max="4104" width="9.109375" style="433"/>
    <col min="4105" max="4105" width="15.88671875" style="433" bestFit="1" customWidth="1"/>
    <col min="4106" max="4106" width="13.109375" style="433" bestFit="1" customWidth="1"/>
    <col min="4107" max="4352" width="9.109375" style="433"/>
    <col min="4353" max="4353" width="9.109375" style="433" customWidth="1"/>
    <col min="4354" max="4354" width="22" style="433" customWidth="1"/>
    <col min="4355" max="4355" width="14.88671875" style="433" customWidth="1"/>
    <col min="4356" max="4356" width="23.88671875" style="433" customWidth="1"/>
    <col min="4357" max="4357" width="11.109375" style="433" customWidth="1"/>
    <col min="4358" max="4358" width="4.88671875" style="433" customWidth="1"/>
    <col min="4359" max="4359" width="5.109375" style="433" customWidth="1"/>
    <col min="4360" max="4360" width="9.109375" style="433"/>
    <col min="4361" max="4361" width="15.88671875" style="433" bestFit="1" customWidth="1"/>
    <col min="4362" max="4362" width="13.109375" style="433" bestFit="1" customWidth="1"/>
    <col min="4363" max="4608" width="9.109375" style="433"/>
    <col min="4609" max="4609" width="9.109375" style="433" customWidth="1"/>
    <col min="4610" max="4610" width="22" style="433" customWidth="1"/>
    <col min="4611" max="4611" width="14.88671875" style="433" customWidth="1"/>
    <col min="4612" max="4612" width="23.88671875" style="433" customWidth="1"/>
    <col min="4613" max="4613" width="11.109375" style="433" customWidth="1"/>
    <col min="4614" max="4614" width="4.88671875" style="433" customWidth="1"/>
    <col min="4615" max="4615" width="5.109375" style="433" customWidth="1"/>
    <col min="4616" max="4616" width="9.109375" style="433"/>
    <col min="4617" max="4617" width="15.88671875" style="433" bestFit="1" customWidth="1"/>
    <col min="4618" max="4618" width="13.109375" style="433" bestFit="1" customWidth="1"/>
    <col min="4619" max="4864" width="9.109375" style="433"/>
    <col min="4865" max="4865" width="9.109375" style="433" customWidth="1"/>
    <col min="4866" max="4866" width="22" style="433" customWidth="1"/>
    <col min="4867" max="4867" width="14.88671875" style="433" customWidth="1"/>
    <col min="4868" max="4868" width="23.88671875" style="433" customWidth="1"/>
    <col min="4869" max="4869" width="11.109375" style="433" customWidth="1"/>
    <col min="4870" max="4870" width="4.88671875" style="433" customWidth="1"/>
    <col min="4871" max="4871" width="5.109375" style="433" customWidth="1"/>
    <col min="4872" max="4872" width="9.109375" style="433"/>
    <col min="4873" max="4873" width="15.88671875" style="433" bestFit="1" customWidth="1"/>
    <col min="4874" max="4874" width="13.109375" style="433" bestFit="1" customWidth="1"/>
    <col min="4875" max="5120" width="9.109375" style="433"/>
    <col min="5121" max="5121" width="9.109375" style="433" customWidth="1"/>
    <col min="5122" max="5122" width="22" style="433" customWidth="1"/>
    <col min="5123" max="5123" width="14.88671875" style="433" customWidth="1"/>
    <col min="5124" max="5124" width="23.88671875" style="433" customWidth="1"/>
    <col min="5125" max="5125" width="11.109375" style="433" customWidth="1"/>
    <col min="5126" max="5126" width="4.88671875" style="433" customWidth="1"/>
    <col min="5127" max="5127" width="5.109375" style="433" customWidth="1"/>
    <col min="5128" max="5128" width="9.109375" style="433"/>
    <col min="5129" max="5129" width="15.88671875" style="433" bestFit="1" customWidth="1"/>
    <col min="5130" max="5130" width="13.109375" style="433" bestFit="1" customWidth="1"/>
    <col min="5131" max="5376" width="9.109375" style="433"/>
    <col min="5377" max="5377" width="9.109375" style="433" customWidth="1"/>
    <col min="5378" max="5378" width="22" style="433" customWidth="1"/>
    <col min="5379" max="5379" width="14.88671875" style="433" customWidth="1"/>
    <col min="5380" max="5380" width="23.88671875" style="433" customWidth="1"/>
    <col min="5381" max="5381" width="11.109375" style="433" customWidth="1"/>
    <col min="5382" max="5382" width="4.88671875" style="433" customWidth="1"/>
    <col min="5383" max="5383" width="5.109375" style="433" customWidth="1"/>
    <col min="5384" max="5384" width="9.109375" style="433"/>
    <col min="5385" max="5385" width="15.88671875" style="433" bestFit="1" customWidth="1"/>
    <col min="5386" max="5386" width="13.109375" style="433" bestFit="1" customWidth="1"/>
    <col min="5387" max="5632" width="9.109375" style="433"/>
    <col min="5633" max="5633" width="9.109375" style="433" customWidth="1"/>
    <col min="5634" max="5634" width="22" style="433" customWidth="1"/>
    <col min="5635" max="5635" width="14.88671875" style="433" customWidth="1"/>
    <col min="5636" max="5636" width="23.88671875" style="433" customWidth="1"/>
    <col min="5637" max="5637" width="11.109375" style="433" customWidth="1"/>
    <col min="5638" max="5638" width="4.88671875" style="433" customWidth="1"/>
    <col min="5639" max="5639" width="5.109375" style="433" customWidth="1"/>
    <col min="5640" max="5640" width="9.109375" style="433"/>
    <col min="5641" max="5641" width="15.88671875" style="433" bestFit="1" customWidth="1"/>
    <col min="5642" max="5642" width="13.109375" style="433" bestFit="1" customWidth="1"/>
    <col min="5643" max="5888" width="9.109375" style="433"/>
    <col min="5889" max="5889" width="9.109375" style="433" customWidth="1"/>
    <col min="5890" max="5890" width="22" style="433" customWidth="1"/>
    <col min="5891" max="5891" width="14.88671875" style="433" customWidth="1"/>
    <col min="5892" max="5892" width="23.88671875" style="433" customWidth="1"/>
    <col min="5893" max="5893" width="11.109375" style="433" customWidth="1"/>
    <col min="5894" max="5894" width="4.88671875" style="433" customWidth="1"/>
    <col min="5895" max="5895" width="5.109375" style="433" customWidth="1"/>
    <col min="5896" max="5896" width="9.109375" style="433"/>
    <col min="5897" max="5897" width="15.88671875" style="433" bestFit="1" customWidth="1"/>
    <col min="5898" max="5898" width="13.109375" style="433" bestFit="1" customWidth="1"/>
    <col min="5899" max="6144" width="9.109375" style="433"/>
    <col min="6145" max="6145" width="9.109375" style="433" customWidth="1"/>
    <col min="6146" max="6146" width="22" style="433" customWidth="1"/>
    <col min="6147" max="6147" width="14.88671875" style="433" customWidth="1"/>
    <col min="6148" max="6148" width="23.88671875" style="433" customWidth="1"/>
    <col min="6149" max="6149" width="11.109375" style="433" customWidth="1"/>
    <col min="6150" max="6150" width="4.88671875" style="433" customWidth="1"/>
    <col min="6151" max="6151" width="5.109375" style="433" customWidth="1"/>
    <col min="6152" max="6152" width="9.109375" style="433"/>
    <col min="6153" max="6153" width="15.88671875" style="433" bestFit="1" customWidth="1"/>
    <col min="6154" max="6154" width="13.109375" style="433" bestFit="1" customWidth="1"/>
    <col min="6155" max="6400" width="9.109375" style="433"/>
    <col min="6401" max="6401" width="9.109375" style="433" customWidth="1"/>
    <col min="6402" max="6402" width="22" style="433" customWidth="1"/>
    <col min="6403" max="6403" width="14.88671875" style="433" customWidth="1"/>
    <col min="6404" max="6404" width="23.88671875" style="433" customWidth="1"/>
    <col min="6405" max="6405" width="11.109375" style="433" customWidth="1"/>
    <col min="6406" max="6406" width="4.88671875" style="433" customWidth="1"/>
    <col min="6407" max="6407" width="5.109375" style="433" customWidth="1"/>
    <col min="6408" max="6408" width="9.109375" style="433"/>
    <col min="6409" max="6409" width="15.88671875" style="433" bestFit="1" customWidth="1"/>
    <col min="6410" max="6410" width="13.109375" style="433" bestFit="1" customWidth="1"/>
    <col min="6411" max="6656" width="9.109375" style="433"/>
    <col min="6657" max="6657" width="9.109375" style="433" customWidth="1"/>
    <col min="6658" max="6658" width="22" style="433" customWidth="1"/>
    <col min="6659" max="6659" width="14.88671875" style="433" customWidth="1"/>
    <col min="6660" max="6660" width="23.88671875" style="433" customWidth="1"/>
    <col min="6661" max="6661" width="11.109375" style="433" customWidth="1"/>
    <col min="6662" max="6662" width="4.88671875" style="433" customWidth="1"/>
    <col min="6663" max="6663" width="5.109375" style="433" customWidth="1"/>
    <col min="6664" max="6664" width="9.109375" style="433"/>
    <col min="6665" max="6665" width="15.88671875" style="433" bestFit="1" customWidth="1"/>
    <col min="6666" max="6666" width="13.109375" style="433" bestFit="1" customWidth="1"/>
    <col min="6667" max="6912" width="9.109375" style="433"/>
    <col min="6913" max="6913" width="9.109375" style="433" customWidth="1"/>
    <col min="6914" max="6914" width="22" style="433" customWidth="1"/>
    <col min="6915" max="6915" width="14.88671875" style="433" customWidth="1"/>
    <col min="6916" max="6916" width="23.88671875" style="433" customWidth="1"/>
    <col min="6917" max="6917" width="11.109375" style="433" customWidth="1"/>
    <col min="6918" max="6918" width="4.88671875" style="433" customWidth="1"/>
    <col min="6919" max="6919" width="5.109375" style="433" customWidth="1"/>
    <col min="6920" max="6920" width="9.109375" style="433"/>
    <col min="6921" max="6921" width="15.88671875" style="433" bestFit="1" customWidth="1"/>
    <col min="6922" max="6922" width="13.109375" style="433" bestFit="1" customWidth="1"/>
    <col min="6923" max="7168" width="9.109375" style="433"/>
    <col min="7169" max="7169" width="9.109375" style="433" customWidth="1"/>
    <col min="7170" max="7170" width="22" style="433" customWidth="1"/>
    <col min="7171" max="7171" width="14.88671875" style="433" customWidth="1"/>
    <col min="7172" max="7172" width="23.88671875" style="433" customWidth="1"/>
    <col min="7173" max="7173" width="11.109375" style="433" customWidth="1"/>
    <col min="7174" max="7174" width="4.88671875" style="433" customWidth="1"/>
    <col min="7175" max="7175" width="5.109375" style="433" customWidth="1"/>
    <col min="7176" max="7176" width="9.109375" style="433"/>
    <col min="7177" max="7177" width="15.88671875" style="433" bestFit="1" customWidth="1"/>
    <col min="7178" max="7178" width="13.109375" style="433" bestFit="1" customWidth="1"/>
    <col min="7179" max="7424" width="9.109375" style="433"/>
    <col min="7425" max="7425" width="9.109375" style="433" customWidth="1"/>
    <col min="7426" max="7426" width="22" style="433" customWidth="1"/>
    <col min="7427" max="7427" width="14.88671875" style="433" customWidth="1"/>
    <col min="7428" max="7428" width="23.88671875" style="433" customWidth="1"/>
    <col min="7429" max="7429" width="11.109375" style="433" customWidth="1"/>
    <col min="7430" max="7430" width="4.88671875" style="433" customWidth="1"/>
    <col min="7431" max="7431" width="5.109375" style="433" customWidth="1"/>
    <col min="7432" max="7432" width="9.109375" style="433"/>
    <col min="7433" max="7433" width="15.88671875" style="433" bestFit="1" customWidth="1"/>
    <col min="7434" max="7434" width="13.109375" style="433" bestFit="1" customWidth="1"/>
    <col min="7435" max="7680" width="9.109375" style="433"/>
    <col min="7681" max="7681" width="9.109375" style="433" customWidth="1"/>
    <col min="7682" max="7682" width="22" style="433" customWidth="1"/>
    <col min="7683" max="7683" width="14.88671875" style="433" customWidth="1"/>
    <col min="7684" max="7684" width="23.88671875" style="433" customWidth="1"/>
    <col min="7685" max="7685" width="11.109375" style="433" customWidth="1"/>
    <col min="7686" max="7686" width="4.88671875" style="433" customWidth="1"/>
    <col min="7687" max="7687" width="5.109375" style="433" customWidth="1"/>
    <col min="7688" max="7688" width="9.109375" style="433"/>
    <col min="7689" max="7689" width="15.88671875" style="433" bestFit="1" customWidth="1"/>
    <col min="7690" max="7690" width="13.109375" style="433" bestFit="1" customWidth="1"/>
    <col min="7691" max="7936" width="9.109375" style="433"/>
    <col min="7937" max="7937" width="9.109375" style="433" customWidth="1"/>
    <col min="7938" max="7938" width="22" style="433" customWidth="1"/>
    <col min="7939" max="7939" width="14.88671875" style="433" customWidth="1"/>
    <col min="7940" max="7940" width="23.88671875" style="433" customWidth="1"/>
    <col min="7941" max="7941" width="11.109375" style="433" customWidth="1"/>
    <col min="7942" max="7942" width="4.88671875" style="433" customWidth="1"/>
    <col min="7943" max="7943" width="5.109375" style="433" customWidth="1"/>
    <col min="7944" max="7944" width="9.109375" style="433"/>
    <col min="7945" max="7945" width="15.88671875" style="433" bestFit="1" customWidth="1"/>
    <col min="7946" max="7946" width="13.109375" style="433" bestFit="1" customWidth="1"/>
    <col min="7947" max="8192" width="9.109375" style="433"/>
    <col min="8193" max="8193" width="9.109375" style="433" customWidth="1"/>
    <col min="8194" max="8194" width="22" style="433" customWidth="1"/>
    <col min="8195" max="8195" width="14.88671875" style="433" customWidth="1"/>
    <col min="8196" max="8196" width="23.88671875" style="433" customWidth="1"/>
    <col min="8197" max="8197" width="11.109375" style="433" customWidth="1"/>
    <col min="8198" max="8198" width="4.88671875" style="433" customWidth="1"/>
    <col min="8199" max="8199" width="5.109375" style="433" customWidth="1"/>
    <col min="8200" max="8200" width="9.109375" style="433"/>
    <col min="8201" max="8201" width="15.88671875" style="433" bestFit="1" customWidth="1"/>
    <col min="8202" max="8202" width="13.109375" style="433" bestFit="1" customWidth="1"/>
    <col min="8203" max="8448" width="9.109375" style="433"/>
    <col min="8449" max="8449" width="9.109375" style="433" customWidth="1"/>
    <col min="8450" max="8450" width="22" style="433" customWidth="1"/>
    <col min="8451" max="8451" width="14.88671875" style="433" customWidth="1"/>
    <col min="8452" max="8452" width="23.88671875" style="433" customWidth="1"/>
    <col min="8453" max="8453" width="11.109375" style="433" customWidth="1"/>
    <col min="8454" max="8454" width="4.88671875" style="433" customWidth="1"/>
    <col min="8455" max="8455" width="5.109375" style="433" customWidth="1"/>
    <col min="8456" max="8456" width="9.109375" style="433"/>
    <col min="8457" max="8457" width="15.88671875" style="433" bestFit="1" customWidth="1"/>
    <col min="8458" max="8458" width="13.109375" style="433" bestFit="1" customWidth="1"/>
    <col min="8459" max="8704" width="9.109375" style="433"/>
    <col min="8705" max="8705" width="9.109375" style="433" customWidth="1"/>
    <col min="8706" max="8706" width="22" style="433" customWidth="1"/>
    <col min="8707" max="8707" width="14.88671875" style="433" customWidth="1"/>
    <col min="8708" max="8708" width="23.88671875" style="433" customWidth="1"/>
    <col min="8709" max="8709" width="11.109375" style="433" customWidth="1"/>
    <col min="8710" max="8710" width="4.88671875" style="433" customWidth="1"/>
    <col min="8711" max="8711" width="5.109375" style="433" customWidth="1"/>
    <col min="8712" max="8712" width="9.109375" style="433"/>
    <col min="8713" max="8713" width="15.88671875" style="433" bestFit="1" customWidth="1"/>
    <col min="8714" max="8714" width="13.109375" style="433" bestFit="1" customWidth="1"/>
    <col min="8715" max="8960" width="9.109375" style="433"/>
    <col min="8961" max="8961" width="9.109375" style="433" customWidth="1"/>
    <col min="8962" max="8962" width="22" style="433" customWidth="1"/>
    <col min="8963" max="8963" width="14.88671875" style="433" customWidth="1"/>
    <col min="8964" max="8964" width="23.88671875" style="433" customWidth="1"/>
    <col min="8965" max="8965" width="11.109375" style="433" customWidth="1"/>
    <col min="8966" max="8966" width="4.88671875" style="433" customWidth="1"/>
    <col min="8967" max="8967" width="5.109375" style="433" customWidth="1"/>
    <col min="8968" max="8968" width="9.109375" style="433"/>
    <col min="8969" max="8969" width="15.88671875" style="433" bestFit="1" customWidth="1"/>
    <col min="8970" max="8970" width="13.109375" style="433" bestFit="1" customWidth="1"/>
    <col min="8971" max="9216" width="9.109375" style="433"/>
    <col min="9217" max="9217" width="9.109375" style="433" customWidth="1"/>
    <col min="9218" max="9218" width="22" style="433" customWidth="1"/>
    <col min="9219" max="9219" width="14.88671875" style="433" customWidth="1"/>
    <col min="9220" max="9220" width="23.88671875" style="433" customWidth="1"/>
    <col min="9221" max="9221" width="11.109375" style="433" customWidth="1"/>
    <col min="9222" max="9222" width="4.88671875" style="433" customWidth="1"/>
    <col min="9223" max="9223" width="5.109375" style="433" customWidth="1"/>
    <col min="9224" max="9224" width="9.109375" style="433"/>
    <col min="9225" max="9225" width="15.88671875" style="433" bestFit="1" customWidth="1"/>
    <col min="9226" max="9226" width="13.109375" style="433" bestFit="1" customWidth="1"/>
    <col min="9227" max="9472" width="9.109375" style="433"/>
    <col min="9473" max="9473" width="9.109375" style="433" customWidth="1"/>
    <col min="9474" max="9474" width="22" style="433" customWidth="1"/>
    <col min="9475" max="9475" width="14.88671875" style="433" customWidth="1"/>
    <col min="9476" max="9476" width="23.88671875" style="433" customWidth="1"/>
    <col min="9477" max="9477" width="11.109375" style="433" customWidth="1"/>
    <col min="9478" max="9478" width="4.88671875" style="433" customWidth="1"/>
    <col min="9479" max="9479" width="5.109375" style="433" customWidth="1"/>
    <col min="9480" max="9480" width="9.109375" style="433"/>
    <col min="9481" max="9481" width="15.88671875" style="433" bestFit="1" customWidth="1"/>
    <col min="9482" max="9482" width="13.109375" style="433" bestFit="1" customWidth="1"/>
    <col min="9483" max="9728" width="9.109375" style="433"/>
    <col min="9729" max="9729" width="9.109375" style="433" customWidth="1"/>
    <col min="9730" max="9730" width="22" style="433" customWidth="1"/>
    <col min="9731" max="9731" width="14.88671875" style="433" customWidth="1"/>
    <col min="9732" max="9732" width="23.88671875" style="433" customWidth="1"/>
    <col min="9733" max="9733" width="11.109375" style="433" customWidth="1"/>
    <col min="9734" max="9734" width="4.88671875" style="433" customWidth="1"/>
    <col min="9735" max="9735" width="5.109375" style="433" customWidth="1"/>
    <col min="9736" max="9736" width="9.109375" style="433"/>
    <col min="9737" max="9737" width="15.88671875" style="433" bestFit="1" customWidth="1"/>
    <col min="9738" max="9738" width="13.109375" style="433" bestFit="1" customWidth="1"/>
    <col min="9739" max="9984" width="9.109375" style="433"/>
    <col min="9985" max="9985" width="9.109375" style="433" customWidth="1"/>
    <col min="9986" max="9986" width="22" style="433" customWidth="1"/>
    <col min="9987" max="9987" width="14.88671875" style="433" customWidth="1"/>
    <col min="9988" max="9988" width="23.88671875" style="433" customWidth="1"/>
    <col min="9989" max="9989" width="11.109375" style="433" customWidth="1"/>
    <col min="9990" max="9990" width="4.88671875" style="433" customWidth="1"/>
    <col min="9991" max="9991" width="5.109375" style="433" customWidth="1"/>
    <col min="9992" max="9992" width="9.109375" style="433"/>
    <col min="9993" max="9993" width="15.88671875" style="433" bestFit="1" customWidth="1"/>
    <col min="9994" max="9994" width="13.109375" style="433" bestFit="1" customWidth="1"/>
    <col min="9995" max="10240" width="9.109375" style="433"/>
    <col min="10241" max="10241" width="9.109375" style="433" customWidth="1"/>
    <col min="10242" max="10242" width="22" style="433" customWidth="1"/>
    <col min="10243" max="10243" width="14.88671875" style="433" customWidth="1"/>
    <col min="10244" max="10244" width="23.88671875" style="433" customWidth="1"/>
    <col min="10245" max="10245" width="11.109375" style="433" customWidth="1"/>
    <col min="10246" max="10246" width="4.88671875" style="433" customWidth="1"/>
    <col min="10247" max="10247" width="5.109375" style="433" customWidth="1"/>
    <col min="10248" max="10248" width="9.109375" style="433"/>
    <col min="10249" max="10249" width="15.88671875" style="433" bestFit="1" customWidth="1"/>
    <col min="10250" max="10250" width="13.109375" style="433" bestFit="1" customWidth="1"/>
    <col min="10251" max="10496" width="9.109375" style="433"/>
    <col min="10497" max="10497" width="9.109375" style="433" customWidth="1"/>
    <col min="10498" max="10498" width="22" style="433" customWidth="1"/>
    <col min="10499" max="10499" width="14.88671875" style="433" customWidth="1"/>
    <col min="10500" max="10500" width="23.88671875" style="433" customWidth="1"/>
    <col min="10501" max="10501" width="11.109375" style="433" customWidth="1"/>
    <col min="10502" max="10502" width="4.88671875" style="433" customWidth="1"/>
    <col min="10503" max="10503" width="5.109375" style="433" customWidth="1"/>
    <col min="10504" max="10504" width="9.109375" style="433"/>
    <col min="10505" max="10505" width="15.88671875" style="433" bestFit="1" customWidth="1"/>
    <col min="10506" max="10506" width="13.109375" style="433" bestFit="1" customWidth="1"/>
    <col min="10507" max="10752" width="9.109375" style="433"/>
    <col min="10753" max="10753" width="9.109375" style="433" customWidth="1"/>
    <col min="10754" max="10754" width="22" style="433" customWidth="1"/>
    <col min="10755" max="10755" width="14.88671875" style="433" customWidth="1"/>
    <col min="10756" max="10756" width="23.88671875" style="433" customWidth="1"/>
    <col min="10757" max="10757" width="11.109375" style="433" customWidth="1"/>
    <col min="10758" max="10758" width="4.88671875" style="433" customWidth="1"/>
    <col min="10759" max="10759" width="5.109375" style="433" customWidth="1"/>
    <col min="10760" max="10760" width="9.109375" style="433"/>
    <col min="10761" max="10761" width="15.88671875" style="433" bestFit="1" customWidth="1"/>
    <col min="10762" max="10762" width="13.109375" style="433" bestFit="1" customWidth="1"/>
    <col min="10763" max="11008" width="9.109375" style="433"/>
    <col min="11009" max="11009" width="9.109375" style="433" customWidth="1"/>
    <col min="11010" max="11010" width="22" style="433" customWidth="1"/>
    <col min="11011" max="11011" width="14.88671875" style="433" customWidth="1"/>
    <col min="11012" max="11012" width="23.88671875" style="433" customWidth="1"/>
    <col min="11013" max="11013" width="11.109375" style="433" customWidth="1"/>
    <col min="11014" max="11014" width="4.88671875" style="433" customWidth="1"/>
    <col min="11015" max="11015" width="5.109375" style="433" customWidth="1"/>
    <col min="11016" max="11016" width="9.109375" style="433"/>
    <col min="11017" max="11017" width="15.88671875" style="433" bestFit="1" customWidth="1"/>
    <col min="11018" max="11018" width="13.109375" style="433" bestFit="1" customWidth="1"/>
    <col min="11019" max="11264" width="9.109375" style="433"/>
    <col min="11265" max="11265" width="9.109375" style="433" customWidth="1"/>
    <col min="11266" max="11266" width="22" style="433" customWidth="1"/>
    <col min="11267" max="11267" width="14.88671875" style="433" customWidth="1"/>
    <col min="11268" max="11268" width="23.88671875" style="433" customWidth="1"/>
    <col min="11269" max="11269" width="11.109375" style="433" customWidth="1"/>
    <col min="11270" max="11270" width="4.88671875" style="433" customWidth="1"/>
    <col min="11271" max="11271" width="5.109375" style="433" customWidth="1"/>
    <col min="11272" max="11272" width="9.109375" style="433"/>
    <col min="11273" max="11273" width="15.88671875" style="433" bestFit="1" customWidth="1"/>
    <col min="11274" max="11274" width="13.109375" style="433" bestFit="1" customWidth="1"/>
    <col min="11275" max="11520" width="9.109375" style="433"/>
    <col min="11521" max="11521" width="9.109375" style="433" customWidth="1"/>
    <col min="11522" max="11522" width="22" style="433" customWidth="1"/>
    <col min="11523" max="11523" width="14.88671875" style="433" customWidth="1"/>
    <col min="11524" max="11524" width="23.88671875" style="433" customWidth="1"/>
    <col min="11525" max="11525" width="11.109375" style="433" customWidth="1"/>
    <col min="11526" max="11526" width="4.88671875" style="433" customWidth="1"/>
    <col min="11527" max="11527" width="5.109375" style="433" customWidth="1"/>
    <col min="11528" max="11528" width="9.109375" style="433"/>
    <col min="11529" max="11529" width="15.88671875" style="433" bestFit="1" customWidth="1"/>
    <col min="11530" max="11530" width="13.109375" style="433" bestFit="1" customWidth="1"/>
    <col min="11531" max="11776" width="9.109375" style="433"/>
    <col min="11777" max="11777" width="9.109375" style="433" customWidth="1"/>
    <col min="11778" max="11778" width="22" style="433" customWidth="1"/>
    <col min="11779" max="11779" width="14.88671875" style="433" customWidth="1"/>
    <col min="11780" max="11780" width="23.88671875" style="433" customWidth="1"/>
    <col min="11781" max="11781" width="11.109375" style="433" customWidth="1"/>
    <col min="11782" max="11782" width="4.88671875" style="433" customWidth="1"/>
    <col min="11783" max="11783" width="5.109375" style="433" customWidth="1"/>
    <col min="11784" max="11784" width="9.109375" style="433"/>
    <col min="11785" max="11785" width="15.88671875" style="433" bestFit="1" customWidth="1"/>
    <col min="11786" max="11786" width="13.109375" style="433" bestFit="1" customWidth="1"/>
    <col min="11787" max="12032" width="9.109375" style="433"/>
    <col min="12033" max="12033" width="9.109375" style="433" customWidth="1"/>
    <col min="12034" max="12034" width="22" style="433" customWidth="1"/>
    <col min="12035" max="12035" width="14.88671875" style="433" customWidth="1"/>
    <col min="12036" max="12036" width="23.88671875" style="433" customWidth="1"/>
    <col min="12037" max="12037" width="11.109375" style="433" customWidth="1"/>
    <col min="12038" max="12038" width="4.88671875" style="433" customWidth="1"/>
    <col min="12039" max="12039" width="5.109375" style="433" customWidth="1"/>
    <col min="12040" max="12040" width="9.109375" style="433"/>
    <col min="12041" max="12041" width="15.88671875" style="433" bestFit="1" customWidth="1"/>
    <col min="12042" max="12042" width="13.109375" style="433" bestFit="1" customWidth="1"/>
    <col min="12043" max="12288" width="9.109375" style="433"/>
    <col min="12289" max="12289" width="9.109375" style="433" customWidth="1"/>
    <col min="12290" max="12290" width="22" style="433" customWidth="1"/>
    <col min="12291" max="12291" width="14.88671875" style="433" customWidth="1"/>
    <col min="12292" max="12292" width="23.88671875" style="433" customWidth="1"/>
    <col min="12293" max="12293" width="11.109375" style="433" customWidth="1"/>
    <col min="12294" max="12294" width="4.88671875" style="433" customWidth="1"/>
    <col min="12295" max="12295" width="5.109375" style="433" customWidth="1"/>
    <col min="12296" max="12296" width="9.109375" style="433"/>
    <col min="12297" max="12297" width="15.88671875" style="433" bestFit="1" customWidth="1"/>
    <col min="12298" max="12298" width="13.109375" style="433" bestFit="1" customWidth="1"/>
    <col min="12299" max="12544" width="9.109375" style="433"/>
    <col min="12545" max="12545" width="9.109375" style="433" customWidth="1"/>
    <col min="12546" max="12546" width="22" style="433" customWidth="1"/>
    <col min="12547" max="12547" width="14.88671875" style="433" customWidth="1"/>
    <col min="12548" max="12548" width="23.88671875" style="433" customWidth="1"/>
    <col min="12549" max="12549" width="11.109375" style="433" customWidth="1"/>
    <col min="12550" max="12550" width="4.88671875" style="433" customWidth="1"/>
    <col min="12551" max="12551" width="5.109375" style="433" customWidth="1"/>
    <col min="12552" max="12552" width="9.109375" style="433"/>
    <col min="12553" max="12553" width="15.88671875" style="433" bestFit="1" customWidth="1"/>
    <col min="12554" max="12554" width="13.109375" style="433" bestFit="1" customWidth="1"/>
    <col min="12555" max="12800" width="9.109375" style="433"/>
    <col min="12801" max="12801" width="9.109375" style="433" customWidth="1"/>
    <col min="12802" max="12802" width="22" style="433" customWidth="1"/>
    <col min="12803" max="12803" width="14.88671875" style="433" customWidth="1"/>
    <col min="12804" max="12804" width="23.88671875" style="433" customWidth="1"/>
    <col min="12805" max="12805" width="11.109375" style="433" customWidth="1"/>
    <col min="12806" max="12806" width="4.88671875" style="433" customWidth="1"/>
    <col min="12807" max="12807" width="5.109375" style="433" customWidth="1"/>
    <col min="12808" max="12808" width="9.109375" style="433"/>
    <col min="12809" max="12809" width="15.88671875" style="433" bestFit="1" customWidth="1"/>
    <col min="12810" max="12810" width="13.109375" style="433" bestFit="1" customWidth="1"/>
    <col min="12811" max="13056" width="9.109375" style="433"/>
    <col min="13057" max="13057" width="9.109375" style="433" customWidth="1"/>
    <col min="13058" max="13058" width="22" style="433" customWidth="1"/>
    <col min="13059" max="13059" width="14.88671875" style="433" customWidth="1"/>
    <col min="13060" max="13060" width="23.88671875" style="433" customWidth="1"/>
    <col min="13061" max="13061" width="11.109375" style="433" customWidth="1"/>
    <col min="13062" max="13062" width="4.88671875" style="433" customWidth="1"/>
    <col min="13063" max="13063" width="5.109375" style="433" customWidth="1"/>
    <col min="13064" max="13064" width="9.109375" style="433"/>
    <col min="13065" max="13065" width="15.88671875" style="433" bestFit="1" customWidth="1"/>
    <col min="13066" max="13066" width="13.109375" style="433" bestFit="1" customWidth="1"/>
    <col min="13067" max="13312" width="9.109375" style="433"/>
    <col min="13313" max="13313" width="9.109375" style="433" customWidth="1"/>
    <col min="13314" max="13314" width="22" style="433" customWidth="1"/>
    <col min="13315" max="13315" width="14.88671875" style="433" customWidth="1"/>
    <col min="13316" max="13316" width="23.88671875" style="433" customWidth="1"/>
    <col min="13317" max="13317" width="11.109375" style="433" customWidth="1"/>
    <col min="13318" max="13318" width="4.88671875" style="433" customWidth="1"/>
    <col min="13319" max="13319" width="5.109375" style="433" customWidth="1"/>
    <col min="13320" max="13320" width="9.109375" style="433"/>
    <col min="13321" max="13321" width="15.88671875" style="433" bestFit="1" customWidth="1"/>
    <col min="13322" max="13322" width="13.109375" style="433" bestFit="1" customWidth="1"/>
    <col min="13323" max="13568" width="9.109375" style="433"/>
    <col min="13569" max="13569" width="9.109375" style="433" customWidth="1"/>
    <col min="13570" max="13570" width="22" style="433" customWidth="1"/>
    <col min="13571" max="13571" width="14.88671875" style="433" customWidth="1"/>
    <col min="13572" max="13572" width="23.88671875" style="433" customWidth="1"/>
    <col min="13573" max="13573" width="11.109375" style="433" customWidth="1"/>
    <col min="13574" max="13574" width="4.88671875" style="433" customWidth="1"/>
    <col min="13575" max="13575" width="5.109375" style="433" customWidth="1"/>
    <col min="13576" max="13576" width="9.109375" style="433"/>
    <col min="13577" max="13577" width="15.88671875" style="433" bestFit="1" customWidth="1"/>
    <col min="13578" max="13578" width="13.109375" style="433" bestFit="1" customWidth="1"/>
    <col min="13579" max="13824" width="9.109375" style="433"/>
    <col min="13825" max="13825" width="9.109375" style="433" customWidth="1"/>
    <col min="13826" max="13826" width="22" style="433" customWidth="1"/>
    <col min="13827" max="13827" width="14.88671875" style="433" customWidth="1"/>
    <col min="13828" max="13828" width="23.88671875" style="433" customWidth="1"/>
    <col min="13829" max="13829" width="11.109375" style="433" customWidth="1"/>
    <col min="13830" max="13830" width="4.88671875" style="433" customWidth="1"/>
    <col min="13831" max="13831" width="5.109375" style="433" customWidth="1"/>
    <col min="13832" max="13832" width="9.109375" style="433"/>
    <col min="13833" max="13833" width="15.88671875" style="433" bestFit="1" customWidth="1"/>
    <col min="13834" max="13834" width="13.109375" style="433" bestFit="1" customWidth="1"/>
    <col min="13835" max="14080" width="9.109375" style="433"/>
    <col min="14081" max="14081" width="9.109375" style="433" customWidth="1"/>
    <col min="14082" max="14082" width="22" style="433" customWidth="1"/>
    <col min="14083" max="14083" width="14.88671875" style="433" customWidth="1"/>
    <col min="14084" max="14084" width="23.88671875" style="433" customWidth="1"/>
    <col min="14085" max="14085" width="11.109375" style="433" customWidth="1"/>
    <col min="14086" max="14086" width="4.88671875" style="433" customWidth="1"/>
    <col min="14087" max="14087" width="5.109375" style="433" customWidth="1"/>
    <col min="14088" max="14088" width="9.109375" style="433"/>
    <col min="14089" max="14089" width="15.88671875" style="433" bestFit="1" customWidth="1"/>
    <col min="14090" max="14090" width="13.109375" style="433" bestFit="1" customWidth="1"/>
    <col min="14091" max="14336" width="9.109375" style="433"/>
    <col min="14337" max="14337" width="9.109375" style="433" customWidth="1"/>
    <col min="14338" max="14338" width="22" style="433" customWidth="1"/>
    <col min="14339" max="14339" width="14.88671875" style="433" customWidth="1"/>
    <col min="14340" max="14340" width="23.88671875" style="433" customWidth="1"/>
    <col min="14341" max="14341" width="11.109375" style="433" customWidth="1"/>
    <col min="14342" max="14342" width="4.88671875" style="433" customWidth="1"/>
    <col min="14343" max="14343" width="5.109375" style="433" customWidth="1"/>
    <col min="14344" max="14344" width="9.109375" style="433"/>
    <col min="14345" max="14345" width="15.88671875" style="433" bestFit="1" customWidth="1"/>
    <col min="14346" max="14346" width="13.109375" style="433" bestFit="1" customWidth="1"/>
    <col min="14347" max="14592" width="9.109375" style="433"/>
    <col min="14593" max="14593" width="9.109375" style="433" customWidth="1"/>
    <col min="14594" max="14594" width="22" style="433" customWidth="1"/>
    <col min="14595" max="14595" width="14.88671875" style="433" customWidth="1"/>
    <col min="14596" max="14596" width="23.88671875" style="433" customWidth="1"/>
    <col min="14597" max="14597" width="11.109375" style="433" customWidth="1"/>
    <col min="14598" max="14598" width="4.88671875" style="433" customWidth="1"/>
    <col min="14599" max="14599" width="5.109375" style="433" customWidth="1"/>
    <col min="14600" max="14600" width="9.109375" style="433"/>
    <col min="14601" max="14601" width="15.88671875" style="433" bestFit="1" customWidth="1"/>
    <col min="14602" max="14602" width="13.109375" style="433" bestFit="1" customWidth="1"/>
    <col min="14603" max="14848" width="9.109375" style="433"/>
    <col min="14849" max="14849" width="9.109375" style="433" customWidth="1"/>
    <col min="14850" max="14850" width="22" style="433" customWidth="1"/>
    <col min="14851" max="14851" width="14.88671875" style="433" customWidth="1"/>
    <col min="14852" max="14852" width="23.88671875" style="433" customWidth="1"/>
    <col min="14853" max="14853" width="11.109375" style="433" customWidth="1"/>
    <col min="14854" max="14854" width="4.88671875" style="433" customWidth="1"/>
    <col min="14855" max="14855" width="5.109375" style="433" customWidth="1"/>
    <col min="14856" max="14856" width="9.109375" style="433"/>
    <col min="14857" max="14857" width="15.88671875" style="433" bestFit="1" customWidth="1"/>
    <col min="14858" max="14858" width="13.109375" style="433" bestFit="1" customWidth="1"/>
    <col min="14859" max="15104" width="9.109375" style="433"/>
    <col min="15105" max="15105" width="9.109375" style="433" customWidth="1"/>
    <col min="15106" max="15106" width="22" style="433" customWidth="1"/>
    <col min="15107" max="15107" width="14.88671875" style="433" customWidth="1"/>
    <col min="15108" max="15108" width="23.88671875" style="433" customWidth="1"/>
    <col min="15109" max="15109" width="11.109375" style="433" customWidth="1"/>
    <col min="15110" max="15110" width="4.88671875" style="433" customWidth="1"/>
    <col min="15111" max="15111" width="5.109375" style="433" customWidth="1"/>
    <col min="15112" max="15112" width="9.109375" style="433"/>
    <col min="15113" max="15113" width="15.88671875" style="433" bestFit="1" customWidth="1"/>
    <col min="15114" max="15114" width="13.109375" style="433" bestFit="1" customWidth="1"/>
    <col min="15115" max="15360" width="9.109375" style="433"/>
    <col min="15361" max="15361" width="9.109375" style="433" customWidth="1"/>
    <col min="15362" max="15362" width="22" style="433" customWidth="1"/>
    <col min="15363" max="15363" width="14.88671875" style="433" customWidth="1"/>
    <col min="15364" max="15364" width="23.88671875" style="433" customWidth="1"/>
    <col min="15365" max="15365" width="11.109375" style="433" customWidth="1"/>
    <col min="15366" max="15366" width="4.88671875" style="433" customWidth="1"/>
    <col min="15367" max="15367" width="5.109375" style="433" customWidth="1"/>
    <col min="15368" max="15368" width="9.109375" style="433"/>
    <col min="15369" max="15369" width="15.88671875" style="433" bestFit="1" customWidth="1"/>
    <col min="15370" max="15370" width="13.109375" style="433" bestFit="1" customWidth="1"/>
    <col min="15371" max="15616" width="9.109375" style="433"/>
    <col min="15617" max="15617" width="9.109375" style="433" customWidth="1"/>
    <col min="15618" max="15618" width="22" style="433" customWidth="1"/>
    <col min="15619" max="15619" width="14.88671875" style="433" customWidth="1"/>
    <col min="15620" max="15620" width="23.88671875" style="433" customWidth="1"/>
    <col min="15621" max="15621" width="11.109375" style="433" customWidth="1"/>
    <col min="15622" max="15622" width="4.88671875" style="433" customWidth="1"/>
    <col min="15623" max="15623" width="5.109375" style="433" customWidth="1"/>
    <col min="15624" max="15624" width="9.109375" style="433"/>
    <col min="15625" max="15625" width="15.88671875" style="433" bestFit="1" customWidth="1"/>
    <col min="15626" max="15626" width="13.109375" style="433" bestFit="1" customWidth="1"/>
    <col min="15627" max="15872" width="9.109375" style="433"/>
    <col min="15873" max="15873" width="9.109375" style="433" customWidth="1"/>
    <col min="15874" max="15874" width="22" style="433" customWidth="1"/>
    <col min="15875" max="15875" width="14.88671875" style="433" customWidth="1"/>
    <col min="15876" max="15876" width="23.88671875" style="433" customWidth="1"/>
    <col min="15877" max="15877" width="11.109375" style="433" customWidth="1"/>
    <col min="15878" max="15878" width="4.88671875" style="433" customWidth="1"/>
    <col min="15879" max="15879" width="5.109375" style="433" customWidth="1"/>
    <col min="15880" max="15880" width="9.109375" style="433"/>
    <col min="15881" max="15881" width="15.88671875" style="433" bestFit="1" customWidth="1"/>
    <col min="15882" max="15882" width="13.109375" style="433" bestFit="1" customWidth="1"/>
    <col min="15883" max="16128" width="9.109375" style="433"/>
    <col min="16129" max="16129" width="9.109375" style="433" customWidth="1"/>
    <col min="16130" max="16130" width="22" style="433" customWidth="1"/>
    <col min="16131" max="16131" width="14.88671875" style="433" customWidth="1"/>
    <col min="16132" max="16132" width="23.88671875" style="433" customWidth="1"/>
    <col min="16133" max="16133" width="11.109375" style="433" customWidth="1"/>
    <col min="16134" max="16134" width="4.88671875" style="433" customWidth="1"/>
    <col min="16135" max="16135" width="5.109375" style="433" customWidth="1"/>
    <col min="16136" max="16136" width="9.109375" style="433"/>
    <col min="16137" max="16137" width="15.88671875" style="433" bestFit="1" customWidth="1"/>
    <col min="16138" max="16138" width="13.109375" style="433" bestFit="1" customWidth="1"/>
    <col min="16139" max="16384" width="9.109375" style="433"/>
  </cols>
  <sheetData>
    <row r="1" spans="1:7" s="1140" customFormat="1" ht="13.8">
      <c r="A1" s="15214" t="s">
        <v>1749</v>
      </c>
      <c r="B1" s="15215"/>
      <c r="C1" s="15215"/>
      <c r="D1" s="15215"/>
      <c r="E1" s="15215"/>
      <c r="F1" s="15215"/>
      <c r="G1" s="15215"/>
    </row>
    <row r="2" spans="1:7" s="1140" customFormat="1" ht="13.8">
      <c r="A2" s="4308"/>
      <c r="B2" s="4308"/>
      <c r="C2" s="4308"/>
      <c r="D2" s="4308"/>
      <c r="E2" s="4310"/>
      <c r="F2" s="4308"/>
      <c r="G2" s="4308"/>
    </row>
    <row r="3" spans="1:7" s="1140" customFormat="1" ht="13.8">
      <c r="A3" s="4311" t="s">
        <v>6918</v>
      </c>
      <c r="B3" s="4308"/>
      <c r="C3" s="4308"/>
      <c r="D3" s="4308"/>
      <c r="E3" s="4310"/>
      <c r="F3" s="4308"/>
      <c r="G3" s="4308"/>
    </row>
    <row r="4" spans="1:7">
      <c r="A4" s="4312"/>
      <c r="B4" s="4309"/>
      <c r="C4" s="4309"/>
      <c r="D4" s="4309"/>
      <c r="E4" s="4337"/>
      <c r="F4" s="4309"/>
      <c r="G4" s="4309"/>
    </row>
    <row r="5" spans="1:7">
      <c r="A5" s="4312" t="s">
        <v>9592</v>
      </c>
      <c r="B5" s="4309"/>
      <c r="C5" s="4309"/>
      <c r="D5" s="4309"/>
      <c r="E5" s="4337"/>
      <c r="F5" s="4309"/>
      <c r="G5" s="4309"/>
    </row>
    <row r="6" spans="1:7" ht="6" customHeight="1">
      <c r="A6" s="4309"/>
      <c r="B6" s="4309"/>
      <c r="C6" s="4309"/>
      <c r="D6" s="4309"/>
      <c r="E6" s="4337"/>
      <c r="F6" s="4309"/>
      <c r="G6" s="4309"/>
    </row>
    <row r="7" spans="1:7" ht="45" customHeight="1">
      <c r="A7" s="15216" t="s">
        <v>3751</v>
      </c>
      <c r="B7" s="15216"/>
      <c r="C7" s="15216"/>
      <c r="D7" s="15216"/>
      <c r="E7" s="15216"/>
      <c r="F7" s="15216"/>
      <c r="G7" s="15216"/>
    </row>
    <row r="8" spans="1:7">
      <c r="A8" s="4309"/>
      <c r="B8" s="4309"/>
      <c r="C8" s="4309"/>
      <c r="D8" s="4309"/>
      <c r="E8" s="4337"/>
      <c r="F8" s="4309"/>
      <c r="G8" s="4309"/>
    </row>
    <row r="9" spans="1:7">
      <c r="A9" s="4312" t="s">
        <v>1753</v>
      </c>
      <c r="B9" s="4309"/>
      <c r="C9" s="4309"/>
      <c r="D9" s="4309"/>
      <c r="E9" s="4337"/>
      <c r="F9" s="4309"/>
      <c r="G9" s="4309"/>
    </row>
    <row r="10" spans="1:7" ht="6.75" customHeight="1">
      <c r="A10" s="4309" t="s">
        <v>6919</v>
      </c>
      <c r="B10" s="4309"/>
      <c r="C10" s="4309"/>
      <c r="D10" s="4309"/>
      <c r="E10" s="4337"/>
      <c r="F10" s="4309"/>
      <c r="G10" s="4309"/>
    </row>
    <row r="11" spans="1:7" ht="15.75" customHeight="1">
      <c r="A11" s="15216" t="s">
        <v>9588</v>
      </c>
      <c r="B11" s="15216"/>
      <c r="C11" s="15216"/>
      <c r="D11" s="15216"/>
      <c r="E11" s="15216"/>
      <c r="F11" s="15216"/>
      <c r="G11" s="15216"/>
    </row>
    <row r="12" spans="1:7" ht="15.75" customHeight="1">
      <c r="A12" s="4338"/>
      <c r="B12" s="4338" t="s">
        <v>9589</v>
      </c>
      <c r="C12" s="4338"/>
      <c r="D12" s="4338"/>
      <c r="E12" s="4338"/>
      <c r="F12" s="4338"/>
      <c r="G12" s="4338"/>
    </row>
    <row r="13" spans="1:7" ht="15.75" customHeight="1">
      <c r="A13" s="4309" t="s">
        <v>6920</v>
      </c>
      <c r="B13" s="4309"/>
      <c r="C13" s="4309"/>
      <c r="D13" s="4309"/>
      <c r="E13" s="4337"/>
      <c r="F13" s="4309"/>
      <c r="G13" s="4309"/>
    </row>
    <row r="14" spans="1:7" ht="15" customHeight="1">
      <c r="A14" s="15216" t="s">
        <v>9590</v>
      </c>
      <c r="B14" s="15216"/>
      <c r="C14" s="15216"/>
      <c r="D14" s="15216"/>
      <c r="E14" s="15216"/>
      <c r="F14" s="15216"/>
      <c r="G14" s="15216"/>
    </row>
    <row r="15" spans="1:7" ht="15" customHeight="1">
      <c r="A15" s="4338"/>
      <c r="B15" s="4338" t="s">
        <v>9591</v>
      </c>
      <c r="C15" s="4338"/>
      <c r="D15" s="4338"/>
      <c r="E15" s="4338"/>
      <c r="F15" s="4338"/>
      <c r="G15" s="4338"/>
    </row>
    <row r="16" spans="1:7" ht="15.75" customHeight="1">
      <c r="A16" s="4309"/>
      <c r="B16" s="4309"/>
      <c r="C16" s="4309"/>
      <c r="D16" s="4309"/>
      <c r="E16" s="4337"/>
      <c r="F16" s="4309"/>
      <c r="G16" s="4309"/>
    </row>
    <row r="17" spans="1:10" s="4340" customFormat="1" ht="15.75" customHeight="1" thickBot="1">
      <c r="A17" s="4312" t="s">
        <v>2072</v>
      </c>
      <c r="B17" s="4312"/>
      <c r="C17" s="4312"/>
      <c r="D17" s="4312"/>
      <c r="E17" s="4339"/>
      <c r="F17" s="4312"/>
      <c r="G17" s="4312"/>
    </row>
    <row r="18" spans="1:10" ht="15.75" customHeight="1">
      <c r="A18" s="4044" t="s">
        <v>468</v>
      </c>
      <c r="B18" s="15217" t="s">
        <v>1759</v>
      </c>
      <c r="C18" s="15217" t="s">
        <v>1736</v>
      </c>
      <c r="D18" s="15217" t="s">
        <v>2073</v>
      </c>
      <c r="E18" s="15217" t="s">
        <v>2074</v>
      </c>
      <c r="F18" s="15219" t="s">
        <v>1739</v>
      </c>
      <c r="G18" s="15220"/>
    </row>
    <row r="19" spans="1:10" ht="26.25" customHeight="1">
      <c r="A19" s="4045" t="s">
        <v>2075</v>
      </c>
      <c r="B19" s="15218"/>
      <c r="C19" s="15218"/>
      <c r="D19" s="15218"/>
      <c r="E19" s="15218"/>
      <c r="F19" s="15221"/>
      <c r="G19" s="15222"/>
    </row>
    <row r="20" spans="1:10" ht="17.25" customHeight="1">
      <c r="A20" s="4043"/>
      <c r="B20" s="4043"/>
      <c r="C20" s="4043"/>
      <c r="D20" s="4313"/>
      <c r="E20" s="2328"/>
      <c r="F20" s="2327" t="s">
        <v>1789</v>
      </c>
      <c r="G20" s="2327" t="s">
        <v>1790</v>
      </c>
    </row>
    <row r="21" spans="1:10" ht="53.25" customHeight="1">
      <c r="A21" s="15206"/>
      <c r="B21" s="15208" t="s">
        <v>6921</v>
      </c>
      <c r="C21" s="15210">
        <f>3557674.47+24265.07</f>
        <v>3581939.54</v>
      </c>
      <c r="D21" s="15212" t="s">
        <v>2089</v>
      </c>
      <c r="E21" s="15206" t="s">
        <v>2076</v>
      </c>
      <c r="F21" s="15206" t="s">
        <v>2077</v>
      </c>
      <c r="G21" s="15206" t="s">
        <v>1743</v>
      </c>
      <c r="I21" s="4341"/>
    </row>
    <row r="22" spans="1:10" ht="9" customHeight="1">
      <c r="A22" s="15207"/>
      <c r="B22" s="15209"/>
      <c r="C22" s="15211"/>
      <c r="D22" s="15213"/>
      <c r="E22" s="15207"/>
      <c r="F22" s="15207"/>
      <c r="G22" s="15207"/>
      <c r="I22" s="4341"/>
    </row>
    <row r="23" spans="1:10" ht="44.25" customHeight="1">
      <c r="A23" s="4321"/>
      <c r="B23" s="4322" t="s">
        <v>2078</v>
      </c>
      <c r="C23" s="4323">
        <v>2955068.28</v>
      </c>
      <c r="D23" s="4321" t="s">
        <v>6922</v>
      </c>
      <c r="E23" s="4324" t="s">
        <v>2079</v>
      </c>
      <c r="F23" s="4318" t="s">
        <v>2077</v>
      </c>
      <c r="G23" s="4318" t="s">
        <v>1743</v>
      </c>
      <c r="I23" s="4341"/>
    </row>
    <row r="24" spans="1:10" ht="72" customHeight="1">
      <c r="A24" s="4321"/>
      <c r="B24" s="4322" t="s">
        <v>2080</v>
      </c>
      <c r="C24" s="4323">
        <v>3087651.45</v>
      </c>
      <c r="D24" s="4321" t="s">
        <v>9587</v>
      </c>
      <c r="E24" s="4324" t="s">
        <v>2079</v>
      </c>
      <c r="F24" s="4318" t="s">
        <v>2077</v>
      </c>
      <c r="G24" s="4318" t="s">
        <v>1743</v>
      </c>
      <c r="I24" s="4341"/>
    </row>
    <row r="25" spans="1:10" ht="17.25" customHeight="1">
      <c r="A25" s="4321"/>
      <c r="B25" s="4325" t="s">
        <v>2081</v>
      </c>
      <c r="C25" s="4323">
        <v>2981437.73</v>
      </c>
      <c r="D25" s="4321" t="s">
        <v>2082</v>
      </c>
      <c r="E25" s="4324"/>
      <c r="F25" s="4318" t="s">
        <v>2077</v>
      </c>
      <c r="G25" s="4318" t="s">
        <v>1743</v>
      </c>
      <c r="I25" s="4341"/>
      <c r="J25" s="4342"/>
    </row>
    <row r="26" spans="1:10">
      <c r="A26" s="4327"/>
      <c r="B26" s="4326"/>
      <c r="C26" s="4343"/>
      <c r="D26" s="4327" t="s">
        <v>9</v>
      </c>
      <c r="E26" s="4344">
        <v>1200</v>
      </c>
      <c r="F26" s="4327"/>
      <c r="G26" s="4327"/>
      <c r="I26" s="4341"/>
    </row>
    <row r="27" spans="1:10">
      <c r="A27" s="4327"/>
      <c r="B27" s="4326"/>
      <c r="C27" s="4343"/>
      <c r="D27" s="4327"/>
      <c r="E27" s="4344">
        <v>10000</v>
      </c>
      <c r="F27" s="4327"/>
      <c r="G27" s="4327"/>
      <c r="I27" s="4341"/>
    </row>
    <row r="28" spans="1:10">
      <c r="A28" s="4327"/>
      <c r="B28" s="4326"/>
      <c r="C28" s="4343"/>
      <c r="D28" s="4327"/>
      <c r="E28" s="4345"/>
      <c r="F28" s="4327"/>
      <c r="G28" s="4327"/>
      <c r="I28" s="4341"/>
    </row>
    <row r="29" spans="1:10">
      <c r="A29" s="4327"/>
      <c r="B29" s="4327"/>
      <c r="C29" s="4346"/>
      <c r="D29" s="4328"/>
      <c r="E29" s="4324"/>
      <c r="F29" s="4327"/>
      <c r="G29" s="4327"/>
      <c r="I29" s="4341"/>
    </row>
    <row r="30" spans="1:10" s="4340" customFormat="1" ht="26.25" customHeight="1">
      <c r="A30" s="4347"/>
      <c r="B30" s="4322" t="s">
        <v>2083</v>
      </c>
      <c r="C30" s="4329">
        <v>1694080</v>
      </c>
      <c r="D30" s="4318" t="s">
        <v>2084</v>
      </c>
      <c r="E30" s="4348"/>
      <c r="F30" s="4318" t="s">
        <v>2077</v>
      </c>
      <c r="G30" s="4318" t="s">
        <v>1743</v>
      </c>
      <c r="I30" s="4349"/>
    </row>
    <row r="31" spans="1:10" s="4340" customFormat="1" ht="29.25" customHeight="1">
      <c r="A31" s="4347"/>
      <c r="B31" s="4330" t="s">
        <v>2085</v>
      </c>
      <c r="C31" s="4331">
        <v>2561080</v>
      </c>
      <c r="D31" s="4332"/>
      <c r="E31" s="4333" t="s">
        <v>6923</v>
      </c>
      <c r="F31" s="4318" t="s">
        <v>2077</v>
      </c>
      <c r="G31" s="4318" t="s">
        <v>1743</v>
      </c>
      <c r="I31" s="4349"/>
    </row>
    <row r="32" spans="1:10" s="4340" customFormat="1" ht="29.25" customHeight="1">
      <c r="A32" s="4347"/>
      <c r="B32" s="4330" t="s">
        <v>3753</v>
      </c>
      <c r="C32" s="4331">
        <v>1132000</v>
      </c>
      <c r="D32" s="4332"/>
      <c r="E32" s="4333"/>
      <c r="F32" s="4318"/>
      <c r="G32" s="4318"/>
      <c r="I32" s="4349"/>
    </row>
    <row r="33" spans="1:10" s="4340" customFormat="1" ht="39.6">
      <c r="A33" s="4347"/>
      <c r="B33" s="4334" t="s">
        <v>2086</v>
      </c>
      <c r="C33" s="4331">
        <v>2295620</v>
      </c>
      <c r="D33" s="4318" t="s">
        <v>6924</v>
      </c>
      <c r="E33" s="4348"/>
      <c r="F33" s="4318" t="s">
        <v>2077</v>
      </c>
      <c r="G33" s="4318" t="s">
        <v>1743</v>
      </c>
      <c r="I33" s="4349"/>
      <c r="J33" s="4350"/>
    </row>
    <row r="34" spans="1:10" s="2332" customFormat="1" ht="17.25" customHeight="1">
      <c r="A34" s="4335"/>
      <c r="B34" s="4335" t="s">
        <v>220</v>
      </c>
      <c r="C34" s="4360">
        <f>SUM(C21:C33)</f>
        <v>20288877</v>
      </c>
      <c r="D34" s="4361"/>
      <c r="E34" s="4336"/>
      <c r="F34" s="4362" t="s">
        <v>2077</v>
      </c>
      <c r="G34" s="4362" t="s">
        <v>1743</v>
      </c>
      <c r="I34" s="2333"/>
    </row>
    <row r="35" spans="1:10" ht="15.9" customHeight="1">
      <c r="A35" s="15204" t="s">
        <v>9593</v>
      </c>
      <c r="B35" s="4351" t="s">
        <v>6925</v>
      </c>
      <c r="C35" s="4352">
        <v>1100000</v>
      </c>
      <c r="D35" s="4317"/>
      <c r="E35" s="4353"/>
      <c r="F35" s="4317"/>
      <c r="G35" s="4317"/>
    </row>
    <row r="36" spans="1:10" ht="15.9" customHeight="1">
      <c r="A36" s="15205"/>
      <c r="B36" s="4321" t="s">
        <v>6926</v>
      </c>
      <c r="C36" s="4354">
        <v>1000000</v>
      </c>
      <c r="D36" s="4318"/>
      <c r="E36" s="4345"/>
      <c r="F36" s="4318" t="s">
        <v>2077</v>
      </c>
      <c r="G36" s="4318" t="s">
        <v>1743</v>
      </c>
    </row>
    <row r="37" spans="1:10" ht="15.9" customHeight="1">
      <c r="A37" s="15205"/>
      <c r="B37" s="4321" t="s">
        <v>6927</v>
      </c>
      <c r="C37" s="4354">
        <v>1500000</v>
      </c>
      <c r="D37" s="4318"/>
      <c r="E37" s="4345"/>
      <c r="F37" s="4318" t="s">
        <v>2077</v>
      </c>
      <c r="G37" s="4318" t="s">
        <v>1743</v>
      </c>
    </row>
    <row r="38" spans="1:10" ht="15.9" customHeight="1">
      <c r="A38" s="4355"/>
      <c r="B38" s="4356"/>
      <c r="C38" s="4319"/>
      <c r="D38" s="4357"/>
      <c r="E38" s="4320"/>
      <c r="F38" s="4320" t="s">
        <v>2077</v>
      </c>
      <c r="G38" s="4320" t="s">
        <v>1743</v>
      </c>
    </row>
    <row r="39" spans="1:10" ht="15.9" customHeight="1">
      <c r="A39" s="4314"/>
      <c r="B39" s="4314" t="s">
        <v>220</v>
      </c>
      <c r="C39" s="2330">
        <f>SUM(C35:C38)</f>
        <v>3600000</v>
      </c>
      <c r="D39" s="4315"/>
      <c r="E39" s="4358"/>
      <c r="F39" s="4314"/>
      <c r="G39" s="4314"/>
      <c r="I39" s="4341"/>
    </row>
    <row r="40" spans="1:10" ht="15.9" customHeight="1">
      <c r="A40" s="2329"/>
      <c r="B40" s="2329" t="s">
        <v>264</v>
      </c>
      <c r="C40" s="2330">
        <f>C21+C23+C24+C25+C30+C31+C32+C33+C39</f>
        <v>23888877</v>
      </c>
      <c r="D40" s="2331"/>
      <c r="E40" s="4359"/>
      <c r="F40" s="2329"/>
      <c r="G40" s="2329"/>
      <c r="I40" s="4342"/>
    </row>
    <row r="41" spans="1:10">
      <c r="A41" s="4309"/>
      <c r="B41" s="4309"/>
      <c r="C41" s="4309"/>
      <c r="D41" s="4316"/>
      <c r="E41" s="4337"/>
      <c r="F41" s="4309"/>
      <c r="G41" s="4309"/>
    </row>
    <row r="42" spans="1:10">
      <c r="C42" s="970"/>
    </row>
    <row r="44" spans="1:10">
      <c r="C44" s="4342"/>
    </row>
  </sheetData>
  <mergeCells count="17">
    <mergeCell ref="A1:G1"/>
    <mergeCell ref="A7:G7"/>
    <mergeCell ref="A11:G11"/>
    <mergeCell ref="A14:G14"/>
    <mergeCell ref="B18:B19"/>
    <mergeCell ref="C18:C19"/>
    <mergeCell ref="D18:D19"/>
    <mergeCell ref="E18:E19"/>
    <mergeCell ref="F18:G19"/>
    <mergeCell ref="A35:A37"/>
    <mergeCell ref="G21:G22"/>
    <mergeCell ref="A21:A22"/>
    <mergeCell ref="B21:B22"/>
    <mergeCell ref="C21:C22"/>
    <mergeCell ref="D21:D22"/>
    <mergeCell ref="E21:E22"/>
    <mergeCell ref="F21:F22"/>
  </mergeCells>
  <pageMargins left="0.5" right="0.25" top="0.75" bottom="0.5" header="0.25" footer="0.25"/>
  <pageSetup paperSize="119" firstPageNumber="295" orientation="portrait" useFirstPageNumber="1" verticalDpi="300" r:id="rId1"/>
</worksheet>
</file>

<file path=xl/worksheets/sheet157.xml><?xml version="1.0" encoding="utf-8"?>
<worksheet xmlns="http://schemas.openxmlformats.org/spreadsheetml/2006/main" xmlns:r="http://schemas.openxmlformats.org/officeDocument/2006/relationships">
  <sheetPr codeName="Sheet117">
    <tabColor theme="8" tint="-0.249977111117893"/>
  </sheetPr>
  <dimension ref="A1:M125"/>
  <sheetViews>
    <sheetView showGridLines="0" workbookViewId="0">
      <selection activeCell="K1" sqref="K1"/>
    </sheetView>
  </sheetViews>
  <sheetFormatPr defaultRowHeight="15" customHeight="1"/>
  <cols>
    <col min="1" max="1" width="3.88671875" style="7606" customWidth="1"/>
    <col min="2" max="2" width="55.5546875" style="7606" customWidth="1"/>
    <col min="3" max="3" width="12.5546875" style="7629" customWidth="1"/>
    <col min="4" max="7" width="15.5546875" style="7627" customWidth="1"/>
    <col min="8" max="8" width="14.88671875" style="7627" hidden="1" customWidth="1"/>
    <col min="9" max="9" width="9.109375" style="7348" hidden="1" customWidth="1"/>
    <col min="10" max="10" width="15.5546875" style="7627" customWidth="1"/>
    <col min="11" max="11" width="16.109375" style="7626" customWidth="1"/>
    <col min="12" max="12" width="4.5546875" style="10686" customWidth="1"/>
    <col min="13" max="13" width="16.44140625" style="7606" customWidth="1"/>
    <col min="14" max="16" width="8.88671875" style="7606" customWidth="1"/>
    <col min="17" max="222" width="9.109375" style="7606"/>
    <col min="223" max="223" width="3.88671875" style="7606" customWidth="1"/>
    <col min="224" max="224" width="39.44140625" style="7606" customWidth="1"/>
    <col min="225" max="225" width="9.88671875" style="7606" customWidth="1"/>
    <col min="226" max="226" width="14.44140625" style="7606" customWidth="1"/>
    <col min="227" max="227" width="15" style="7606" customWidth="1"/>
    <col min="228" max="228" width="15.88671875" style="7606" customWidth="1"/>
    <col min="229" max="478" width="9.109375" style="7606"/>
    <col min="479" max="479" width="3.88671875" style="7606" customWidth="1"/>
    <col min="480" max="480" width="39.44140625" style="7606" customWidth="1"/>
    <col min="481" max="481" width="9.88671875" style="7606" customWidth="1"/>
    <col min="482" max="482" width="14.44140625" style="7606" customWidth="1"/>
    <col min="483" max="483" width="15" style="7606" customWidth="1"/>
    <col min="484" max="484" width="15.88671875" style="7606" customWidth="1"/>
    <col min="485" max="734" width="9.109375" style="7606"/>
    <col min="735" max="735" width="3.88671875" style="7606" customWidth="1"/>
    <col min="736" max="736" width="39.44140625" style="7606" customWidth="1"/>
    <col min="737" max="737" width="9.88671875" style="7606" customWidth="1"/>
    <col min="738" max="738" width="14.44140625" style="7606" customWidth="1"/>
    <col min="739" max="739" width="15" style="7606" customWidth="1"/>
    <col min="740" max="740" width="15.88671875" style="7606" customWidth="1"/>
    <col min="741" max="990" width="9.109375" style="7606"/>
    <col min="991" max="991" width="3.88671875" style="7606" customWidth="1"/>
    <col min="992" max="992" width="39.44140625" style="7606" customWidth="1"/>
    <col min="993" max="993" width="9.88671875" style="7606" customWidth="1"/>
    <col min="994" max="994" width="14.44140625" style="7606" customWidth="1"/>
    <col min="995" max="995" width="15" style="7606" customWidth="1"/>
    <col min="996" max="996" width="15.88671875" style="7606" customWidth="1"/>
    <col min="997" max="1246" width="9.109375" style="7606"/>
    <col min="1247" max="1247" width="3.88671875" style="7606" customWidth="1"/>
    <col min="1248" max="1248" width="39.44140625" style="7606" customWidth="1"/>
    <col min="1249" max="1249" width="9.88671875" style="7606" customWidth="1"/>
    <col min="1250" max="1250" width="14.44140625" style="7606" customWidth="1"/>
    <col min="1251" max="1251" width="15" style="7606" customWidth="1"/>
    <col min="1252" max="1252" width="15.88671875" style="7606" customWidth="1"/>
    <col min="1253" max="1502" width="9.109375" style="7606"/>
    <col min="1503" max="1503" width="3.88671875" style="7606" customWidth="1"/>
    <col min="1504" max="1504" width="39.44140625" style="7606" customWidth="1"/>
    <col min="1505" max="1505" width="9.88671875" style="7606" customWidth="1"/>
    <col min="1506" max="1506" width="14.44140625" style="7606" customWidth="1"/>
    <col min="1507" max="1507" width="15" style="7606" customWidth="1"/>
    <col min="1508" max="1508" width="15.88671875" style="7606" customWidth="1"/>
    <col min="1509" max="1758" width="9.109375" style="7606"/>
    <col min="1759" max="1759" width="3.88671875" style="7606" customWidth="1"/>
    <col min="1760" max="1760" width="39.44140625" style="7606" customWidth="1"/>
    <col min="1761" max="1761" width="9.88671875" style="7606" customWidth="1"/>
    <col min="1762" max="1762" width="14.44140625" style="7606" customWidth="1"/>
    <col min="1763" max="1763" width="15" style="7606" customWidth="1"/>
    <col min="1764" max="1764" width="15.88671875" style="7606" customWidth="1"/>
    <col min="1765" max="2014" width="9.109375" style="7606"/>
    <col min="2015" max="2015" width="3.88671875" style="7606" customWidth="1"/>
    <col min="2016" max="2016" width="39.44140625" style="7606" customWidth="1"/>
    <col min="2017" max="2017" width="9.88671875" style="7606" customWidth="1"/>
    <col min="2018" max="2018" width="14.44140625" style="7606" customWidth="1"/>
    <col min="2019" max="2019" width="15" style="7606" customWidth="1"/>
    <col min="2020" max="2020" width="15.88671875" style="7606" customWidth="1"/>
    <col min="2021" max="2270" width="9.109375" style="7606"/>
    <col min="2271" max="2271" width="3.88671875" style="7606" customWidth="1"/>
    <col min="2272" max="2272" width="39.44140625" style="7606" customWidth="1"/>
    <col min="2273" max="2273" width="9.88671875" style="7606" customWidth="1"/>
    <col min="2274" max="2274" width="14.44140625" style="7606" customWidth="1"/>
    <col min="2275" max="2275" width="15" style="7606" customWidth="1"/>
    <col min="2276" max="2276" width="15.88671875" style="7606" customWidth="1"/>
    <col min="2277" max="2526" width="9.109375" style="7606"/>
    <col min="2527" max="2527" width="3.88671875" style="7606" customWidth="1"/>
    <col min="2528" max="2528" width="39.44140625" style="7606" customWidth="1"/>
    <col min="2529" max="2529" width="9.88671875" style="7606" customWidth="1"/>
    <col min="2530" max="2530" width="14.44140625" style="7606" customWidth="1"/>
    <col min="2531" max="2531" width="15" style="7606" customWidth="1"/>
    <col min="2532" max="2532" width="15.88671875" style="7606" customWidth="1"/>
    <col min="2533" max="2782" width="9.109375" style="7606"/>
    <col min="2783" max="2783" width="3.88671875" style="7606" customWidth="1"/>
    <col min="2784" max="2784" width="39.44140625" style="7606" customWidth="1"/>
    <col min="2785" max="2785" width="9.88671875" style="7606" customWidth="1"/>
    <col min="2786" max="2786" width="14.44140625" style="7606" customWidth="1"/>
    <col min="2787" max="2787" width="15" style="7606" customWidth="1"/>
    <col min="2788" max="2788" width="15.88671875" style="7606" customWidth="1"/>
    <col min="2789" max="3038" width="9.109375" style="7606"/>
    <col min="3039" max="3039" width="3.88671875" style="7606" customWidth="1"/>
    <col min="3040" max="3040" width="39.44140625" style="7606" customWidth="1"/>
    <col min="3041" max="3041" width="9.88671875" style="7606" customWidth="1"/>
    <col min="3042" max="3042" width="14.44140625" style="7606" customWidth="1"/>
    <col min="3043" max="3043" width="15" style="7606" customWidth="1"/>
    <col min="3044" max="3044" width="15.88671875" style="7606" customWidth="1"/>
    <col min="3045" max="3294" width="9.109375" style="7606"/>
    <col min="3295" max="3295" width="3.88671875" style="7606" customWidth="1"/>
    <col min="3296" max="3296" width="39.44140625" style="7606" customWidth="1"/>
    <col min="3297" max="3297" width="9.88671875" style="7606" customWidth="1"/>
    <col min="3298" max="3298" width="14.44140625" style="7606" customWidth="1"/>
    <col min="3299" max="3299" width="15" style="7606" customWidth="1"/>
    <col min="3300" max="3300" width="15.88671875" style="7606" customWidth="1"/>
    <col min="3301" max="3550" width="9.109375" style="7606"/>
    <col min="3551" max="3551" width="3.88671875" style="7606" customWidth="1"/>
    <col min="3552" max="3552" width="39.44140625" style="7606" customWidth="1"/>
    <col min="3553" max="3553" width="9.88671875" style="7606" customWidth="1"/>
    <col min="3554" max="3554" width="14.44140625" style="7606" customWidth="1"/>
    <col min="3555" max="3555" width="15" style="7606" customWidth="1"/>
    <col min="3556" max="3556" width="15.88671875" style="7606" customWidth="1"/>
    <col min="3557" max="3806" width="9.109375" style="7606"/>
    <col min="3807" max="3807" width="3.88671875" style="7606" customWidth="1"/>
    <col min="3808" max="3808" width="39.44140625" style="7606" customWidth="1"/>
    <col min="3809" max="3809" width="9.88671875" style="7606" customWidth="1"/>
    <col min="3810" max="3810" width="14.44140625" style="7606" customWidth="1"/>
    <col min="3811" max="3811" width="15" style="7606" customWidth="1"/>
    <col min="3812" max="3812" width="15.88671875" style="7606" customWidth="1"/>
    <col min="3813" max="4062" width="9.109375" style="7606"/>
    <col min="4063" max="4063" width="3.88671875" style="7606" customWidth="1"/>
    <col min="4064" max="4064" width="39.44140625" style="7606" customWidth="1"/>
    <col min="4065" max="4065" width="9.88671875" style="7606" customWidth="1"/>
    <col min="4066" max="4066" width="14.44140625" style="7606" customWidth="1"/>
    <col min="4067" max="4067" width="15" style="7606" customWidth="1"/>
    <col min="4068" max="4068" width="15.88671875" style="7606" customWidth="1"/>
    <col min="4069" max="4318" width="9.109375" style="7606"/>
    <col min="4319" max="4319" width="3.88671875" style="7606" customWidth="1"/>
    <col min="4320" max="4320" width="39.44140625" style="7606" customWidth="1"/>
    <col min="4321" max="4321" width="9.88671875" style="7606" customWidth="1"/>
    <col min="4322" max="4322" width="14.44140625" style="7606" customWidth="1"/>
    <col min="4323" max="4323" width="15" style="7606" customWidth="1"/>
    <col min="4324" max="4324" width="15.88671875" style="7606" customWidth="1"/>
    <col min="4325" max="4574" width="9.109375" style="7606"/>
    <col min="4575" max="4575" width="3.88671875" style="7606" customWidth="1"/>
    <col min="4576" max="4576" width="39.44140625" style="7606" customWidth="1"/>
    <col min="4577" max="4577" width="9.88671875" style="7606" customWidth="1"/>
    <col min="4578" max="4578" width="14.44140625" style="7606" customWidth="1"/>
    <col min="4579" max="4579" width="15" style="7606" customWidth="1"/>
    <col min="4580" max="4580" width="15.88671875" style="7606" customWidth="1"/>
    <col min="4581" max="4830" width="9.109375" style="7606"/>
    <col min="4831" max="4831" width="3.88671875" style="7606" customWidth="1"/>
    <col min="4832" max="4832" width="39.44140625" style="7606" customWidth="1"/>
    <col min="4833" max="4833" width="9.88671875" style="7606" customWidth="1"/>
    <col min="4834" max="4834" width="14.44140625" style="7606" customWidth="1"/>
    <col min="4835" max="4835" width="15" style="7606" customWidth="1"/>
    <col min="4836" max="4836" width="15.88671875" style="7606" customWidth="1"/>
    <col min="4837" max="5086" width="9.109375" style="7606"/>
    <col min="5087" max="5087" width="3.88671875" style="7606" customWidth="1"/>
    <col min="5088" max="5088" width="39.44140625" style="7606" customWidth="1"/>
    <col min="5089" max="5089" width="9.88671875" style="7606" customWidth="1"/>
    <col min="5090" max="5090" width="14.44140625" style="7606" customWidth="1"/>
    <col min="5091" max="5091" width="15" style="7606" customWidth="1"/>
    <col min="5092" max="5092" width="15.88671875" style="7606" customWidth="1"/>
    <col min="5093" max="5342" width="9.109375" style="7606"/>
    <col min="5343" max="5343" width="3.88671875" style="7606" customWidth="1"/>
    <col min="5344" max="5344" width="39.44140625" style="7606" customWidth="1"/>
    <col min="5345" max="5345" width="9.88671875" style="7606" customWidth="1"/>
    <col min="5346" max="5346" width="14.44140625" style="7606" customWidth="1"/>
    <col min="5347" max="5347" width="15" style="7606" customWidth="1"/>
    <col min="5348" max="5348" width="15.88671875" style="7606" customWidth="1"/>
    <col min="5349" max="5598" width="9.109375" style="7606"/>
    <col min="5599" max="5599" width="3.88671875" style="7606" customWidth="1"/>
    <col min="5600" max="5600" width="39.44140625" style="7606" customWidth="1"/>
    <col min="5601" max="5601" width="9.88671875" style="7606" customWidth="1"/>
    <col min="5602" max="5602" width="14.44140625" style="7606" customWidth="1"/>
    <col min="5603" max="5603" width="15" style="7606" customWidth="1"/>
    <col min="5604" max="5604" width="15.88671875" style="7606" customWidth="1"/>
    <col min="5605" max="5854" width="9.109375" style="7606"/>
    <col min="5855" max="5855" width="3.88671875" style="7606" customWidth="1"/>
    <col min="5856" max="5856" width="39.44140625" style="7606" customWidth="1"/>
    <col min="5857" max="5857" width="9.88671875" style="7606" customWidth="1"/>
    <col min="5858" max="5858" width="14.44140625" style="7606" customWidth="1"/>
    <col min="5859" max="5859" width="15" style="7606" customWidth="1"/>
    <col min="5860" max="5860" width="15.88671875" style="7606" customWidth="1"/>
    <col min="5861" max="6110" width="9.109375" style="7606"/>
    <col min="6111" max="6111" width="3.88671875" style="7606" customWidth="1"/>
    <col min="6112" max="6112" width="39.44140625" style="7606" customWidth="1"/>
    <col min="6113" max="6113" width="9.88671875" style="7606" customWidth="1"/>
    <col min="6114" max="6114" width="14.44140625" style="7606" customWidth="1"/>
    <col min="6115" max="6115" width="15" style="7606" customWidth="1"/>
    <col min="6116" max="6116" width="15.88671875" style="7606" customWidth="1"/>
    <col min="6117" max="6366" width="9.109375" style="7606"/>
    <col min="6367" max="6367" width="3.88671875" style="7606" customWidth="1"/>
    <col min="6368" max="6368" width="39.44140625" style="7606" customWidth="1"/>
    <col min="6369" max="6369" width="9.88671875" style="7606" customWidth="1"/>
    <col min="6370" max="6370" width="14.44140625" style="7606" customWidth="1"/>
    <col min="6371" max="6371" width="15" style="7606" customWidth="1"/>
    <col min="6372" max="6372" width="15.88671875" style="7606" customWidth="1"/>
    <col min="6373" max="6622" width="9.109375" style="7606"/>
    <col min="6623" max="6623" width="3.88671875" style="7606" customWidth="1"/>
    <col min="6624" max="6624" width="39.44140625" style="7606" customWidth="1"/>
    <col min="6625" max="6625" width="9.88671875" style="7606" customWidth="1"/>
    <col min="6626" max="6626" width="14.44140625" style="7606" customWidth="1"/>
    <col min="6627" max="6627" width="15" style="7606" customWidth="1"/>
    <col min="6628" max="6628" width="15.88671875" style="7606" customWidth="1"/>
    <col min="6629" max="6878" width="9.109375" style="7606"/>
    <col min="6879" max="6879" width="3.88671875" style="7606" customWidth="1"/>
    <col min="6880" max="6880" width="39.44140625" style="7606" customWidth="1"/>
    <col min="6881" max="6881" width="9.88671875" style="7606" customWidth="1"/>
    <col min="6882" max="6882" width="14.44140625" style="7606" customWidth="1"/>
    <col min="6883" max="6883" width="15" style="7606" customWidth="1"/>
    <col min="6884" max="6884" width="15.88671875" style="7606" customWidth="1"/>
    <col min="6885" max="7134" width="9.109375" style="7606"/>
    <col min="7135" max="7135" width="3.88671875" style="7606" customWidth="1"/>
    <col min="7136" max="7136" width="39.44140625" style="7606" customWidth="1"/>
    <col min="7137" max="7137" width="9.88671875" style="7606" customWidth="1"/>
    <col min="7138" max="7138" width="14.44140625" style="7606" customWidth="1"/>
    <col min="7139" max="7139" width="15" style="7606" customWidth="1"/>
    <col min="7140" max="7140" width="15.88671875" style="7606" customWidth="1"/>
    <col min="7141" max="7390" width="9.109375" style="7606"/>
    <col min="7391" max="7391" width="3.88671875" style="7606" customWidth="1"/>
    <col min="7392" max="7392" width="39.44140625" style="7606" customWidth="1"/>
    <col min="7393" max="7393" width="9.88671875" style="7606" customWidth="1"/>
    <col min="7394" max="7394" width="14.44140625" style="7606" customWidth="1"/>
    <col min="7395" max="7395" width="15" style="7606" customWidth="1"/>
    <col min="7396" max="7396" width="15.88671875" style="7606" customWidth="1"/>
    <col min="7397" max="7646" width="9.109375" style="7606"/>
    <col min="7647" max="7647" width="3.88671875" style="7606" customWidth="1"/>
    <col min="7648" max="7648" width="39.44140625" style="7606" customWidth="1"/>
    <col min="7649" max="7649" width="9.88671875" style="7606" customWidth="1"/>
    <col min="7650" max="7650" width="14.44140625" style="7606" customWidth="1"/>
    <col min="7651" max="7651" width="15" style="7606" customWidth="1"/>
    <col min="7652" max="7652" width="15.88671875" style="7606" customWidth="1"/>
    <col min="7653" max="7902" width="9.109375" style="7606"/>
    <col min="7903" max="7903" width="3.88671875" style="7606" customWidth="1"/>
    <col min="7904" max="7904" width="39.44140625" style="7606" customWidth="1"/>
    <col min="7905" max="7905" width="9.88671875" style="7606" customWidth="1"/>
    <col min="7906" max="7906" width="14.44140625" style="7606" customWidth="1"/>
    <col min="7907" max="7907" width="15" style="7606" customWidth="1"/>
    <col min="7908" max="7908" width="15.88671875" style="7606" customWidth="1"/>
    <col min="7909" max="8158" width="9.109375" style="7606"/>
    <col min="8159" max="8159" width="3.88671875" style="7606" customWidth="1"/>
    <col min="8160" max="8160" width="39.44140625" style="7606" customWidth="1"/>
    <col min="8161" max="8161" width="9.88671875" style="7606" customWidth="1"/>
    <col min="8162" max="8162" width="14.44140625" style="7606" customWidth="1"/>
    <col min="8163" max="8163" width="15" style="7606" customWidth="1"/>
    <col min="8164" max="8164" width="15.88671875" style="7606" customWidth="1"/>
    <col min="8165" max="8414" width="9.109375" style="7606"/>
    <col min="8415" max="8415" width="3.88671875" style="7606" customWidth="1"/>
    <col min="8416" max="8416" width="39.44140625" style="7606" customWidth="1"/>
    <col min="8417" max="8417" width="9.88671875" style="7606" customWidth="1"/>
    <col min="8418" max="8418" width="14.44140625" style="7606" customWidth="1"/>
    <col min="8419" max="8419" width="15" style="7606" customWidth="1"/>
    <col min="8420" max="8420" width="15.88671875" style="7606" customWidth="1"/>
    <col min="8421" max="8670" width="9.109375" style="7606"/>
    <col min="8671" max="8671" width="3.88671875" style="7606" customWidth="1"/>
    <col min="8672" max="8672" width="39.44140625" style="7606" customWidth="1"/>
    <col min="8673" max="8673" width="9.88671875" style="7606" customWidth="1"/>
    <col min="8674" max="8674" width="14.44140625" style="7606" customWidth="1"/>
    <col min="8675" max="8675" width="15" style="7606" customWidth="1"/>
    <col min="8676" max="8676" width="15.88671875" style="7606" customWidth="1"/>
    <col min="8677" max="8926" width="9.109375" style="7606"/>
    <col min="8927" max="8927" width="3.88671875" style="7606" customWidth="1"/>
    <col min="8928" max="8928" width="39.44140625" style="7606" customWidth="1"/>
    <col min="8929" max="8929" width="9.88671875" style="7606" customWidth="1"/>
    <col min="8930" max="8930" width="14.44140625" style="7606" customWidth="1"/>
    <col min="8931" max="8931" width="15" style="7606" customWidth="1"/>
    <col min="8932" max="8932" width="15.88671875" style="7606" customWidth="1"/>
    <col min="8933" max="9182" width="9.109375" style="7606"/>
    <col min="9183" max="9183" width="3.88671875" style="7606" customWidth="1"/>
    <col min="9184" max="9184" width="39.44140625" style="7606" customWidth="1"/>
    <col min="9185" max="9185" width="9.88671875" style="7606" customWidth="1"/>
    <col min="9186" max="9186" width="14.44140625" style="7606" customWidth="1"/>
    <col min="9187" max="9187" width="15" style="7606" customWidth="1"/>
    <col min="9188" max="9188" width="15.88671875" style="7606" customWidth="1"/>
    <col min="9189" max="9438" width="9.109375" style="7606"/>
    <col min="9439" max="9439" width="3.88671875" style="7606" customWidth="1"/>
    <col min="9440" max="9440" width="39.44140625" style="7606" customWidth="1"/>
    <col min="9441" max="9441" width="9.88671875" style="7606" customWidth="1"/>
    <col min="9442" max="9442" width="14.44140625" style="7606" customWidth="1"/>
    <col min="9443" max="9443" width="15" style="7606" customWidth="1"/>
    <col min="9444" max="9444" width="15.88671875" style="7606" customWidth="1"/>
    <col min="9445" max="9694" width="9.109375" style="7606"/>
    <col min="9695" max="9695" width="3.88671875" style="7606" customWidth="1"/>
    <col min="9696" max="9696" width="39.44140625" style="7606" customWidth="1"/>
    <col min="9697" max="9697" width="9.88671875" style="7606" customWidth="1"/>
    <col min="9698" max="9698" width="14.44140625" style="7606" customWidth="1"/>
    <col min="9699" max="9699" width="15" style="7606" customWidth="1"/>
    <col min="9700" max="9700" width="15.88671875" style="7606" customWidth="1"/>
    <col min="9701" max="9950" width="9.109375" style="7606"/>
    <col min="9951" max="9951" width="3.88671875" style="7606" customWidth="1"/>
    <col min="9952" max="9952" width="39.44140625" style="7606" customWidth="1"/>
    <col min="9953" max="9953" width="9.88671875" style="7606" customWidth="1"/>
    <col min="9954" max="9954" width="14.44140625" style="7606" customWidth="1"/>
    <col min="9955" max="9955" width="15" style="7606" customWidth="1"/>
    <col min="9956" max="9956" width="15.88671875" style="7606" customWidth="1"/>
    <col min="9957" max="10206" width="9.109375" style="7606"/>
    <col min="10207" max="10207" width="3.88671875" style="7606" customWidth="1"/>
    <col min="10208" max="10208" width="39.44140625" style="7606" customWidth="1"/>
    <col min="10209" max="10209" width="9.88671875" style="7606" customWidth="1"/>
    <col min="10210" max="10210" width="14.44140625" style="7606" customWidth="1"/>
    <col min="10211" max="10211" width="15" style="7606" customWidth="1"/>
    <col min="10212" max="10212" width="15.88671875" style="7606" customWidth="1"/>
    <col min="10213" max="10462" width="9.109375" style="7606"/>
    <col min="10463" max="10463" width="3.88671875" style="7606" customWidth="1"/>
    <col min="10464" max="10464" width="39.44140625" style="7606" customWidth="1"/>
    <col min="10465" max="10465" width="9.88671875" style="7606" customWidth="1"/>
    <col min="10466" max="10466" width="14.44140625" style="7606" customWidth="1"/>
    <col min="10467" max="10467" width="15" style="7606" customWidth="1"/>
    <col min="10468" max="10468" width="15.88671875" style="7606" customWidth="1"/>
    <col min="10469" max="10718" width="9.109375" style="7606"/>
    <col min="10719" max="10719" width="3.88671875" style="7606" customWidth="1"/>
    <col min="10720" max="10720" width="39.44140625" style="7606" customWidth="1"/>
    <col min="10721" max="10721" width="9.88671875" style="7606" customWidth="1"/>
    <col min="10722" max="10722" width="14.44140625" style="7606" customWidth="1"/>
    <col min="10723" max="10723" width="15" style="7606" customWidth="1"/>
    <col min="10724" max="10724" width="15.88671875" style="7606" customWidth="1"/>
    <col min="10725" max="10974" width="9.109375" style="7606"/>
    <col min="10975" max="10975" width="3.88671875" style="7606" customWidth="1"/>
    <col min="10976" max="10976" width="39.44140625" style="7606" customWidth="1"/>
    <col min="10977" max="10977" width="9.88671875" style="7606" customWidth="1"/>
    <col min="10978" max="10978" width="14.44140625" style="7606" customWidth="1"/>
    <col min="10979" max="10979" width="15" style="7606" customWidth="1"/>
    <col min="10980" max="10980" width="15.88671875" style="7606" customWidth="1"/>
    <col min="10981" max="11230" width="9.109375" style="7606"/>
    <col min="11231" max="11231" width="3.88671875" style="7606" customWidth="1"/>
    <col min="11232" max="11232" width="39.44140625" style="7606" customWidth="1"/>
    <col min="11233" max="11233" width="9.88671875" style="7606" customWidth="1"/>
    <col min="11234" max="11234" width="14.44140625" style="7606" customWidth="1"/>
    <col min="11235" max="11235" width="15" style="7606" customWidth="1"/>
    <col min="11236" max="11236" width="15.88671875" style="7606" customWidth="1"/>
    <col min="11237" max="11486" width="9.109375" style="7606"/>
    <col min="11487" max="11487" width="3.88671875" style="7606" customWidth="1"/>
    <col min="11488" max="11488" width="39.44140625" style="7606" customWidth="1"/>
    <col min="11489" max="11489" width="9.88671875" style="7606" customWidth="1"/>
    <col min="11490" max="11490" width="14.44140625" style="7606" customWidth="1"/>
    <col min="11491" max="11491" width="15" style="7606" customWidth="1"/>
    <col min="11492" max="11492" width="15.88671875" style="7606" customWidth="1"/>
    <col min="11493" max="11742" width="9.109375" style="7606"/>
    <col min="11743" max="11743" width="3.88671875" style="7606" customWidth="1"/>
    <col min="11744" max="11744" width="39.44140625" style="7606" customWidth="1"/>
    <col min="11745" max="11745" width="9.88671875" style="7606" customWidth="1"/>
    <col min="11746" max="11746" width="14.44140625" style="7606" customWidth="1"/>
    <col min="11747" max="11747" width="15" style="7606" customWidth="1"/>
    <col min="11748" max="11748" width="15.88671875" style="7606" customWidth="1"/>
    <col min="11749" max="11998" width="9.109375" style="7606"/>
    <col min="11999" max="11999" width="3.88671875" style="7606" customWidth="1"/>
    <col min="12000" max="12000" width="39.44140625" style="7606" customWidth="1"/>
    <col min="12001" max="12001" width="9.88671875" style="7606" customWidth="1"/>
    <col min="12002" max="12002" width="14.44140625" style="7606" customWidth="1"/>
    <col min="12003" max="12003" width="15" style="7606" customWidth="1"/>
    <col min="12004" max="12004" width="15.88671875" style="7606" customWidth="1"/>
    <col min="12005" max="12254" width="9.109375" style="7606"/>
    <col min="12255" max="12255" width="3.88671875" style="7606" customWidth="1"/>
    <col min="12256" max="12256" width="39.44140625" style="7606" customWidth="1"/>
    <col min="12257" max="12257" width="9.88671875" style="7606" customWidth="1"/>
    <col min="12258" max="12258" width="14.44140625" style="7606" customWidth="1"/>
    <col min="12259" max="12259" width="15" style="7606" customWidth="1"/>
    <col min="12260" max="12260" width="15.88671875" style="7606" customWidth="1"/>
    <col min="12261" max="12510" width="9.109375" style="7606"/>
    <col min="12511" max="12511" width="3.88671875" style="7606" customWidth="1"/>
    <col min="12512" max="12512" width="39.44140625" style="7606" customWidth="1"/>
    <col min="12513" max="12513" width="9.88671875" style="7606" customWidth="1"/>
    <col min="12514" max="12514" width="14.44140625" style="7606" customWidth="1"/>
    <col min="12515" max="12515" width="15" style="7606" customWidth="1"/>
    <col min="12516" max="12516" width="15.88671875" style="7606" customWidth="1"/>
    <col min="12517" max="12766" width="9.109375" style="7606"/>
    <col min="12767" max="12767" width="3.88671875" style="7606" customWidth="1"/>
    <col min="12768" max="12768" width="39.44140625" style="7606" customWidth="1"/>
    <col min="12769" max="12769" width="9.88671875" style="7606" customWidth="1"/>
    <col min="12770" max="12770" width="14.44140625" style="7606" customWidth="1"/>
    <col min="12771" max="12771" width="15" style="7606" customWidth="1"/>
    <col min="12772" max="12772" width="15.88671875" style="7606" customWidth="1"/>
    <col min="12773" max="13022" width="9.109375" style="7606"/>
    <col min="13023" max="13023" width="3.88671875" style="7606" customWidth="1"/>
    <col min="13024" max="13024" width="39.44140625" style="7606" customWidth="1"/>
    <col min="13025" max="13025" width="9.88671875" style="7606" customWidth="1"/>
    <col min="13026" max="13026" width="14.44140625" style="7606" customWidth="1"/>
    <col min="13027" max="13027" width="15" style="7606" customWidth="1"/>
    <col min="13028" max="13028" width="15.88671875" style="7606" customWidth="1"/>
    <col min="13029" max="13278" width="9.109375" style="7606"/>
    <col min="13279" max="13279" width="3.88671875" style="7606" customWidth="1"/>
    <col min="13280" max="13280" width="39.44140625" style="7606" customWidth="1"/>
    <col min="13281" max="13281" width="9.88671875" style="7606" customWidth="1"/>
    <col min="13282" max="13282" width="14.44140625" style="7606" customWidth="1"/>
    <col min="13283" max="13283" width="15" style="7606" customWidth="1"/>
    <col min="13284" max="13284" width="15.88671875" style="7606" customWidth="1"/>
    <col min="13285" max="13534" width="9.109375" style="7606"/>
    <col min="13535" max="13535" width="3.88671875" style="7606" customWidth="1"/>
    <col min="13536" max="13536" width="39.44140625" style="7606" customWidth="1"/>
    <col min="13537" max="13537" width="9.88671875" style="7606" customWidth="1"/>
    <col min="13538" max="13538" width="14.44140625" style="7606" customWidth="1"/>
    <col min="13539" max="13539" width="15" style="7606" customWidth="1"/>
    <col min="13540" max="13540" width="15.88671875" style="7606" customWidth="1"/>
    <col min="13541" max="13790" width="9.109375" style="7606"/>
    <col min="13791" max="13791" width="3.88671875" style="7606" customWidth="1"/>
    <col min="13792" max="13792" width="39.44140625" style="7606" customWidth="1"/>
    <col min="13793" max="13793" width="9.88671875" style="7606" customWidth="1"/>
    <col min="13794" max="13794" width="14.44140625" style="7606" customWidth="1"/>
    <col min="13795" max="13795" width="15" style="7606" customWidth="1"/>
    <col min="13796" max="13796" width="15.88671875" style="7606" customWidth="1"/>
    <col min="13797" max="14046" width="9.109375" style="7606"/>
    <col min="14047" max="14047" width="3.88671875" style="7606" customWidth="1"/>
    <col min="14048" max="14048" width="39.44140625" style="7606" customWidth="1"/>
    <col min="14049" max="14049" width="9.88671875" style="7606" customWidth="1"/>
    <col min="14050" max="14050" width="14.44140625" style="7606" customWidth="1"/>
    <col min="14051" max="14051" width="15" style="7606" customWidth="1"/>
    <col min="14052" max="14052" width="15.88671875" style="7606" customWidth="1"/>
    <col min="14053" max="14302" width="9.109375" style="7606"/>
    <col min="14303" max="14303" width="3.88671875" style="7606" customWidth="1"/>
    <col min="14304" max="14304" width="39.44140625" style="7606" customWidth="1"/>
    <col min="14305" max="14305" width="9.88671875" style="7606" customWidth="1"/>
    <col min="14306" max="14306" width="14.44140625" style="7606" customWidth="1"/>
    <col min="14307" max="14307" width="15" style="7606" customWidth="1"/>
    <col min="14308" max="14308" width="15.88671875" style="7606" customWidth="1"/>
    <col min="14309" max="14558" width="9.109375" style="7606"/>
    <col min="14559" max="14559" width="3.88671875" style="7606" customWidth="1"/>
    <col min="14560" max="14560" width="39.44140625" style="7606" customWidth="1"/>
    <col min="14561" max="14561" width="9.88671875" style="7606" customWidth="1"/>
    <col min="14562" max="14562" width="14.44140625" style="7606" customWidth="1"/>
    <col min="14563" max="14563" width="15" style="7606" customWidth="1"/>
    <col min="14564" max="14564" width="15.88671875" style="7606" customWidth="1"/>
    <col min="14565" max="14814" width="9.109375" style="7606"/>
    <col min="14815" max="14815" width="3.88671875" style="7606" customWidth="1"/>
    <col min="14816" max="14816" width="39.44140625" style="7606" customWidth="1"/>
    <col min="14817" max="14817" width="9.88671875" style="7606" customWidth="1"/>
    <col min="14818" max="14818" width="14.44140625" style="7606" customWidth="1"/>
    <col min="14819" max="14819" width="15" style="7606" customWidth="1"/>
    <col min="14820" max="14820" width="15.88671875" style="7606" customWidth="1"/>
    <col min="14821" max="15070" width="9.109375" style="7606"/>
    <col min="15071" max="15071" width="3.88671875" style="7606" customWidth="1"/>
    <col min="15072" max="15072" width="39.44140625" style="7606" customWidth="1"/>
    <col min="15073" max="15073" width="9.88671875" style="7606" customWidth="1"/>
    <col min="15074" max="15074" width="14.44140625" style="7606" customWidth="1"/>
    <col min="15075" max="15075" width="15" style="7606" customWidth="1"/>
    <col min="15076" max="15076" width="15.88671875" style="7606" customWidth="1"/>
    <col min="15077" max="15326" width="9.109375" style="7606"/>
    <col min="15327" max="15327" width="3.88671875" style="7606" customWidth="1"/>
    <col min="15328" max="15328" width="39.44140625" style="7606" customWidth="1"/>
    <col min="15329" max="15329" width="9.88671875" style="7606" customWidth="1"/>
    <col min="15330" max="15330" width="14.44140625" style="7606" customWidth="1"/>
    <col min="15331" max="15331" width="15" style="7606" customWidth="1"/>
    <col min="15332" max="15332" width="15.88671875" style="7606" customWidth="1"/>
    <col min="15333" max="15582" width="9.109375" style="7606"/>
    <col min="15583" max="15583" width="3.88671875" style="7606" customWidth="1"/>
    <col min="15584" max="15584" width="39.44140625" style="7606" customWidth="1"/>
    <col min="15585" max="15585" width="9.88671875" style="7606" customWidth="1"/>
    <col min="15586" max="15586" width="14.44140625" style="7606" customWidth="1"/>
    <col min="15587" max="15587" width="15" style="7606" customWidth="1"/>
    <col min="15588" max="15588" width="15.88671875" style="7606" customWidth="1"/>
    <col min="15589" max="15838" width="9.109375" style="7606"/>
    <col min="15839" max="15839" width="3.88671875" style="7606" customWidth="1"/>
    <col min="15840" max="15840" width="39.44140625" style="7606" customWidth="1"/>
    <col min="15841" max="15841" width="9.88671875" style="7606" customWidth="1"/>
    <col min="15842" max="15842" width="14.44140625" style="7606" customWidth="1"/>
    <col min="15843" max="15843" width="15" style="7606" customWidth="1"/>
    <col min="15844" max="15844" width="15.88671875" style="7606" customWidth="1"/>
    <col min="15845" max="16094" width="9.109375" style="7606"/>
    <col min="16095" max="16095" width="3.88671875" style="7606" customWidth="1"/>
    <col min="16096" max="16096" width="39.44140625" style="7606" customWidth="1"/>
    <col min="16097" max="16097" width="9.88671875" style="7606" customWidth="1"/>
    <col min="16098" max="16098" width="14.44140625" style="7606" customWidth="1"/>
    <col min="16099" max="16099" width="15" style="7606" customWidth="1"/>
    <col min="16100" max="16100" width="15.88671875" style="7606" customWidth="1"/>
    <col min="16101" max="16384" width="9.109375" style="7606"/>
  </cols>
  <sheetData>
    <row r="1" spans="1:12" ht="15" customHeight="1">
      <c r="A1" s="15223" t="s">
        <v>1</v>
      </c>
      <c r="B1" s="15223"/>
      <c r="C1" s="15223"/>
      <c r="D1" s="15223"/>
      <c r="E1" s="15223"/>
      <c r="F1" s="15223"/>
      <c r="G1" s="15223"/>
      <c r="H1" s="15223"/>
      <c r="I1" s="15223"/>
      <c r="J1" s="15223"/>
    </row>
    <row r="2" spans="1:12" ht="15" customHeight="1">
      <c r="A2" s="7607"/>
      <c r="B2" s="7608"/>
      <c r="C2" s="7609"/>
      <c r="D2" s="7610"/>
      <c r="E2" s="7610"/>
      <c r="F2" s="7610"/>
      <c r="G2" s="7610"/>
      <c r="H2" s="7610"/>
      <c r="I2" s="7280"/>
      <c r="J2" s="7610"/>
    </row>
    <row r="3" spans="1:12" ht="15" customHeight="1">
      <c r="A3" s="7607" t="s">
        <v>2</v>
      </c>
      <c r="B3" s="7611"/>
      <c r="C3" s="7612" t="s">
        <v>10723</v>
      </c>
      <c r="D3" s="7613"/>
      <c r="E3" s="7613"/>
      <c r="F3" s="7613"/>
      <c r="G3" s="7613"/>
      <c r="H3" s="7613"/>
      <c r="I3" s="7284"/>
      <c r="J3" s="7613"/>
    </row>
    <row r="4" spans="1:12" ht="15" customHeight="1">
      <c r="A4" s="7607" t="s">
        <v>4</v>
      </c>
      <c r="B4" s="7607"/>
      <c r="C4" s="7609" t="s">
        <v>92</v>
      </c>
      <c r="D4" s="7614"/>
      <c r="E4" s="7614"/>
      <c r="F4" s="7614"/>
      <c r="G4" s="7613"/>
      <c r="H4" s="7614"/>
      <c r="I4" s="7286"/>
      <c r="J4" s="15224"/>
    </row>
    <row r="5" spans="1:12" ht="15" customHeight="1">
      <c r="A5" s="7615" t="s">
        <v>7</v>
      </c>
      <c r="B5" s="7615"/>
      <c r="C5" s="7616" t="s">
        <v>8</v>
      </c>
      <c r="D5" s="7617"/>
      <c r="E5" s="7617"/>
      <c r="F5" s="7617"/>
      <c r="G5" s="7617"/>
      <c r="H5" s="7617"/>
      <c r="I5" s="7290"/>
      <c r="J5" s="15224"/>
    </row>
    <row r="6" spans="1:12" s="7618" customFormat="1" ht="15" customHeight="1" thickBot="1">
      <c r="A6" s="7615"/>
      <c r="B6" s="7615"/>
      <c r="C6" s="7616"/>
      <c r="D6" s="7617"/>
      <c r="E6" s="7617"/>
      <c r="F6" s="7617"/>
      <c r="G6" s="7617"/>
      <c r="H6" s="7617"/>
      <c r="I6" s="7290"/>
      <c r="J6" s="7617"/>
      <c r="K6" s="10597"/>
      <c r="L6" s="10687"/>
    </row>
    <row r="7" spans="1:12" ht="15" customHeight="1">
      <c r="A7" s="11892" t="s">
        <v>9</v>
      </c>
      <c r="B7" s="11893"/>
      <c r="C7" s="11894" t="s">
        <v>9</v>
      </c>
      <c r="D7" s="11895" t="s">
        <v>10</v>
      </c>
      <c r="E7" s="14188" t="s">
        <v>10711</v>
      </c>
      <c r="F7" s="14189"/>
      <c r="G7" s="14190"/>
      <c r="H7" s="11080" t="s">
        <v>9985</v>
      </c>
      <c r="I7" s="8206"/>
      <c r="J7" s="11896" t="s">
        <v>12</v>
      </c>
    </row>
    <row r="8" spans="1:12" ht="15" customHeight="1">
      <c r="A8" s="7620"/>
      <c r="B8" s="7619" t="s">
        <v>13</v>
      </c>
      <c r="C8" s="11897" t="s">
        <v>93</v>
      </c>
      <c r="D8" s="11898" t="s">
        <v>15</v>
      </c>
      <c r="E8" s="9502" t="s">
        <v>10709</v>
      </c>
      <c r="F8" s="9503" t="s">
        <v>10710</v>
      </c>
      <c r="G8" s="14191" t="s">
        <v>458</v>
      </c>
      <c r="H8" s="11084" t="s">
        <v>11871</v>
      </c>
      <c r="I8" s="11085"/>
      <c r="J8" s="11899" t="s">
        <v>16</v>
      </c>
    </row>
    <row r="9" spans="1:12" ht="15" customHeight="1" thickBot="1">
      <c r="A9" s="11900"/>
      <c r="B9" s="11901"/>
      <c r="C9" s="11902" t="s">
        <v>94</v>
      </c>
      <c r="D9" s="11903">
        <v>2017</v>
      </c>
      <c r="E9" s="9467" t="s">
        <v>457</v>
      </c>
      <c r="F9" s="11661" t="s">
        <v>456</v>
      </c>
      <c r="G9" s="14192"/>
      <c r="H9" s="7302">
        <v>2018</v>
      </c>
      <c r="I9" s="7322"/>
      <c r="J9" s="11904">
        <v>2019</v>
      </c>
    </row>
    <row r="10" spans="1:12" ht="15" customHeight="1">
      <c r="A10" s="7624" t="s">
        <v>17</v>
      </c>
      <c r="B10" s="7615" t="s">
        <v>18</v>
      </c>
      <c r="C10" s="10685"/>
      <c r="D10" s="11905"/>
      <c r="E10" s="11905"/>
      <c r="F10" s="11905"/>
      <c r="G10" s="8907"/>
      <c r="H10" s="11905"/>
      <c r="I10" s="11163"/>
      <c r="J10" s="11906"/>
    </row>
    <row r="11" spans="1:12" ht="15" customHeight="1">
      <c r="A11" s="7620"/>
      <c r="B11" s="7615" t="s">
        <v>19</v>
      </c>
      <c r="C11" s="10685"/>
      <c r="D11" s="11905"/>
      <c r="E11" s="11905"/>
      <c r="F11" s="11905"/>
      <c r="G11" s="8907"/>
      <c r="H11" s="11905"/>
      <c r="I11" s="11163"/>
      <c r="J11" s="11906"/>
    </row>
    <row r="12" spans="1:12" ht="15" customHeight="1">
      <c r="A12" s="7620"/>
      <c r="B12" s="7287" t="s">
        <v>20</v>
      </c>
      <c r="C12" s="8872">
        <v>50101010</v>
      </c>
      <c r="D12" s="10191">
        <f>'WS-PS 2017'!B36</f>
        <v>4921385.07</v>
      </c>
      <c r="E12" s="10191">
        <f>'WS-PS ACTUAL JUNE 2018'!B36</f>
        <v>2523538.83</v>
      </c>
      <c r="F12" s="10191">
        <f>G12-E12</f>
        <v>5205073.17</v>
      </c>
      <c r="G12" s="10191">
        <v>7728612</v>
      </c>
      <c r="H12" s="10191"/>
      <c r="I12" s="11445"/>
      <c r="J12" s="11907">
        <f>K12</f>
        <v>7959192</v>
      </c>
      <c r="K12" s="11889">
        <f>'staffing-Inabanga'!F52</f>
        <v>7959192</v>
      </c>
      <c r="L12" s="10686">
        <f>'staffing-Inabanga'!B52</f>
        <v>27</v>
      </c>
    </row>
    <row r="13" spans="1:12" ht="15" customHeight="1">
      <c r="A13" s="7620"/>
      <c r="B13" s="7287" t="s">
        <v>21</v>
      </c>
      <c r="C13" s="8872">
        <v>50102010</v>
      </c>
      <c r="D13" s="8907">
        <f>'WS-PS 2017'!F36</f>
        <v>441818.44</v>
      </c>
      <c r="E13" s="8907">
        <f>'WS-PS ACTUAL JUNE 2018'!D36</f>
        <v>236046.93</v>
      </c>
      <c r="F13" s="10191">
        <f t="shared" ref="F13:F28" si="0">G13-E13</f>
        <v>411953.07</v>
      </c>
      <c r="G13" s="8907">
        <v>648000</v>
      </c>
      <c r="H13" s="8907"/>
      <c r="I13" s="8799"/>
      <c r="J13" s="11907">
        <f t="shared" ref="J13:J28" si="1">K13</f>
        <v>648000</v>
      </c>
      <c r="K13" s="7502">
        <f>24000*L12</f>
        <v>648000</v>
      </c>
    </row>
    <row r="14" spans="1:12" ht="15" customHeight="1">
      <c r="A14" s="7620"/>
      <c r="B14" s="11242" t="s">
        <v>22</v>
      </c>
      <c r="C14" s="8872">
        <v>50102040</v>
      </c>
      <c r="D14" s="8907">
        <f>'WS-PS 2017'!I36</f>
        <v>95000</v>
      </c>
      <c r="E14" s="8907">
        <f>'WS-PS ACTUAL JUNE 2018'!G36</f>
        <v>108000</v>
      </c>
      <c r="F14" s="10191">
        <f t="shared" si="0"/>
        <v>27000</v>
      </c>
      <c r="G14" s="8907">
        <v>135000</v>
      </c>
      <c r="H14" s="8907"/>
      <c r="I14" s="8799"/>
      <c r="J14" s="11907">
        <f t="shared" si="1"/>
        <v>162000</v>
      </c>
      <c r="K14" s="7502">
        <f>6000*L12</f>
        <v>162000</v>
      </c>
    </row>
    <row r="15" spans="1:12" ht="15" customHeight="1">
      <c r="A15" s="7620"/>
      <c r="B15" s="11242" t="s">
        <v>106</v>
      </c>
      <c r="C15" s="8872">
        <v>50102050</v>
      </c>
      <c r="D15" s="8907">
        <f>'WS-PS 2017'!J36</f>
        <v>200775</v>
      </c>
      <c r="E15" s="8907">
        <f>'WS-PS ACTUAL JUNE 2018'!H36</f>
        <v>104375</v>
      </c>
      <c r="F15" s="10191">
        <f t="shared" si="0"/>
        <v>381625</v>
      </c>
      <c r="G15" s="8907">
        <v>486000</v>
      </c>
      <c r="H15" s="8907"/>
      <c r="I15" s="8799"/>
      <c r="J15" s="11907">
        <f t="shared" si="1"/>
        <v>291600</v>
      </c>
      <c r="K15" s="7502">
        <f>10800*L12</f>
        <v>291600</v>
      </c>
    </row>
    <row r="16" spans="1:12" ht="15" customHeight="1">
      <c r="A16" s="7620"/>
      <c r="B16" s="7352" t="s">
        <v>10970</v>
      </c>
      <c r="C16" s="8802">
        <v>50102060</v>
      </c>
      <c r="D16" s="8907">
        <f>'WS-PS 2017'!K36</f>
        <v>30797.68</v>
      </c>
      <c r="E16" s="8907">
        <f>'WS-PS ACTUAL JUNE 2018'!I36</f>
        <v>16595.849999999999</v>
      </c>
      <c r="F16" s="10191">
        <f t="shared" si="0"/>
        <v>32004.15</v>
      </c>
      <c r="G16" s="8907">
        <v>48600</v>
      </c>
      <c r="H16" s="8907"/>
      <c r="I16" s="8799"/>
      <c r="J16" s="11907">
        <f t="shared" si="1"/>
        <v>48600</v>
      </c>
      <c r="K16" s="7502">
        <f>1800*L12</f>
        <v>48600</v>
      </c>
    </row>
    <row r="17" spans="1:11" ht="15" customHeight="1">
      <c r="A17" s="7620"/>
      <c r="B17" s="7488" t="s">
        <v>10932</v>
      </c>
      <c r="C17" s="10368">
        <v>50102080</v>
      </c>
      <c r="D17" s="8907">
        <f>'WS-PS 2017'!L36</f>
        <v>90000</v>
      </c>
      <c r="E17" s="8907">
        <f>'WS-PS ACTUAL JUNE 2018'!J36</f>
        <v>0</v>
      </c>
      <c r="F17" s="10191">
        <f t="shared" si="0"/>
        <v>135000</v>
      </c>
      <c r="G17" s="8907">
        <v>135000</v>
      </c>
      <c r="H17" s="8907"/>
      <c r="I17" s="8799"/>
      <c r="J17" s="11907">
        <f t="shared" si="1"/>
        <v>135000</v>
      </c>
      <c r="K17" s="7502">
        <f>5000*L12</f>
        <v>135000</v>
      </c>
    </row>
    <row r="18" spans="1:11" ht="15" customHeight="1">
      <c r="A18" s="7620"/>
      <c r="B18" s="7287" t="s">
        <v>95</v>
      </c>
      <c r="C18" s="11729">
        <v>50102110</v>
      </c>
      <c r="D18" s="8907">
        <f>'WS-PS 2017'!N36</f>
        <v>1035631.83</v>
      </c>
      <c r="E18" s="8907">
        <f>'WS-PS ACTUAL JUNE 2018'!L36</f>
        <v>577354.63</v>
      </c>
      <c r="F18" s="10191">
        <f t="shared" si="0"/>
        <v>711952.37</v>
      </c>
      <c r="G18" s="8907">
        <v>1289307</v>
      </c>
      <c r="H18" s="8907"/>
      <c r="I18" s="8799"/>
      <c r="J18" s="11907">
        <f t="shared" si="1"/>
        <v>1989798</v>
      </c>
      <c r="K18" s="11654">
        <f>25%*K12</f>
        <v>1989798</v>
      </c>
    </row>
    <row r="19" spans="1:11" ht="15" customHeight="1">
      <c r="A19" s="7620"/>
      <c r="B19" s="7488" t="s">
        <v>10934</v>
      </c>
      <c r="C19" s="8872">
        <v>50102120</v>
      </c>
      <c r="D19" s="8907">
        <f>'WS-PS 2017'!O36</f>
        <v>10000</v>
      </c>
      <c r="E19" s="8907">
        <f>'WS-PS ACTUAL JUNE 2018'!M36</f>
        <v>5000</v>
      </c>
      <c r="F19" s="10191">
        <f>G19-E19</f>
        <v>20000</v>
      </c>
      <c r="G19" s="8907">
        <v>25000</v>
      </c>
      <c r="H19" s="8907"/>
      <c r="I19" s="8799"/>
      <c r="J19" s="11907">
        <f t="shared" si="1"/>
        <v>15000</v>
      </c>
      <c r="K19" s="7502">
        <v>15000</v>
      </c>
    </row>
    <row r="20" spans="1:11" ht="15" customHeight="1">
      <c r="A20" s="7620"/>
      <c r="B20" s="7488" t="s">
        <v>10933</v>
      </c>
      <c r="C20" s="8872">
        <v>50102140</v>
      </c>
      <c r="D20" s="11908">
        <f>'WS-PS 2017'!U36+'WS-PS 2017'!S36</f>
        <v>820750.1</v>
      </c>
      <c r="E20" s="11908">
        <f>'WS-PS ACTUAL JUNE 2018'!O36</f>
        <v>397946</v>
      </c>
      <c r="F20" s="10191">
        <f>G20-E20</f>
        <v>890156</v>
      </c>
      <c r="G20" s="11908">
        <v>1288102</v>
      </c>
      <c r="H20" s="11908"/>
      <c r="I20" s="11845"/>
      <c r="J20" s="11907">
        <f t="shared" si="1"/>
        <v>1326532</v>
      </c>
      <c r="K20" s="7502">
        <f>SUM(K11:K12)/12*2</f>
        <v>1326532</v>
      </c>
    </row>
    <row r="21" spans="1:11" ht="15" customHeight="1">
      <c r="A21" s="7620"/>
      <c r="B21" s="7287" t="s">
        <v>26</v>
      </c>
      <c r="C21" s="11729">
        <v>50102150</v>
      </c>
      <c r="D21" s="8907">
        <f>'WS-PS 2017'!T36</f>
        <v>94500</v>
      </c>
      <c r="E21" s="8907">
        <f>'WS-PS ACTUAL JUNE 2018'!Q36</f>
        <v>0</v>
      </c>
      <c r="F21" s="10191">
        <f t="shared" si="0"/>
        <v>135000</v>
      </c>
      <c r="G21" s="8907">
        <v>135000</v>
      </c>
      <c r="H21" s="8907"/>
      <c r="I21" s="8799"/>
      <c r="J21" s="11907">
        <f t="shared" si="1"/>
        <v>135000</v>
      </c>
      <c r="K21" s="10573">
        <f>K17</f>
        <v>135000</v>
      </c>
    </row>
    <row r="22" spans="1:11" ht="15" customHeight="1">
      <c r="A22" s="7620"/>
      <c r="B22" s="7488" t="s">
        <v>11497</v>
      </c>
      <c r="C22" s="11257">
        <v>50102990</v>
      </c>
      <c r="D22" s="8907">
        <v>0</v>
      </c>
      <c r="E22" s="8907">
        <f>'WS-PS ACTUAL JUNE 2018'!R36</f>
        <v>0</v>
      </c>
      <c r="F22" s="10191">
        <f>G22-E22</f>
        <v>370329</v>
      </c>
      <c r="G22" s="8907">
        <v>370329</v>
      </c>
      <c r="H22" s="8907"/>
      <c r="I22" s="8799"/>
      <c r="J22" s="11907">
        <v>0</v>
      </c>
      <c r="K22" s="7502">
        <f>K12/12*0.575</f>
        <v>381377.94999999995</v>
      </c>
    </row>
    <row r="23" spans="1:11" ht="15" customHeight="1">
      <c r="A23" s="7620"/>
      <c r="B23" s="7803" t="s">
        <v>11499</v>
      </c>
      <c r="C23" s="11059" t="s">
        <v>11495</v>
      </c>
      <c r="D23" s="8907">
        <f>'WS-PS 2017'!Q36</f>
        <v>0</v>
      </c>
      <c r="E23" s="8907">
        <f>'WS-PS ACTUAL JUNE 2018'!S36</f>
        <v>0</v>
      </c>
      <c r="F23" s="10191">
        <f>G23-E23</f>
        <v>0</v>
      </c>
      <c r="G23" s="8907">
        <v>0</v>
      </c>
      <c r="H23" s="8907"/>
      <c r="I23" s="8799"/>
      <c r="J23" s="11907">
        <f t="shared" si="1"/>
        <v>81000</v>
      </c>
      <c r="K23" s="7502">
        <f>3000*L12</f>
        <v>81000</v>
      </c>
    </row>
    <row r="24" spans="1:11" ht="15" customHeight="1">
      <c r="A24" s="7620"/>
      <c r="B24" s="11518" t="s">
        <v>59</v>
      </c>
      <c r="C24" s="8872">
        <v>50103010</v>
      </c>
      <c r="D24" s="8907">
        <f>'WS-PS 2017'!V36</f>
        <v>590069.43999999994</v>
      </c>
      <c r="E24" s="8907">
        <f>'WS-PS ACTUAL JUNE 2018'!T36</f>
        <v>302869.32</v>
      </c>
      <c r="F24" s="10191">
        <f t="shared" si="0"/>
        <v>624563.67999999993</v>
      </c>
      <c r="G24" s="8907">
        <v>927433</v>
      </c>
      <c r="H24" s="8907"/>
      <c r="I24" s="8799"/>
      <c r="J24" s="11907">
        <f t="shared" si="1"/>
        <v>955103.03999999992</v>
      </c>
      <c r="K24" s="11655">
        <f>SUM(K11:K12)*12%</f>
        <v>955103.03999999992</v>
      </c>
    </row>
    <row r="25" spans="1:11" ht="15" customHeight="1">
      <c r="A25" s="7620"/>
      <c r="B25" s="7803" t="s">
        <v>28</v>
      </c>
      <c r="C25" s="8872">
        <v>50103020</v>
      </c>
      <c r="D25" s="8907">
        <f>'WS-PS 2017'!W36</f>
        <v>22100</v>
      </c>
      <c r="E25" s="8907">
        <f>'WS-PS ACTUAL JUNE 2018'!U36</f>
        <v>11600.01</v>
      </c>
      <c r="F25" s="10191">
        <f t="shared" si="0"/>
        <v>20799.989999999998</v>
      </c>
      <c r="G25" s="8907">
        <v>32400</v>
      </c>
      <c r="H25" s="8907"/>
      <c r="I25" s="8799"/>
      <c r="J25" s="11907">
        <f t="shared" si="1"/>
        <v>32400</v>
      </c>
      <c r="K25" s="7502">
        <f>1200*L12</f>
        <v>32400</v>
      </c>
    </row>
    <row r="26" spans="1:11" ht="15" customHeight="1">
      <c r="A26" s="7620"/>
      <c r="B26" s="7803" t="s">
        <v>29</v>
      </c>
      <c r="C26" s="8872">
        <v>50103030</v>
      </c>
      <c r="D26" s="8907">
        <f>'WS-PS 2017'!X36</f>
        <v>52337.5</v>
      </c>
      <c r="E26" s="8907">
        <f>'WS-PS ACTUAL JUNE 2018'!V36</f>
        <v>32915.1</v>
      </c>
      <c r="F26" s="10191">
        <f t="shared" si="0"/>
        <v>31284.9</v>
      </c>
      <c r="G26" s="8907">
        <v>64200</v>
      </c>
      <c r="H26" s="8907"/>
      <c r="I26" s="8799"/>
      <c r="J26" s="11907">
        <v>97940.37000000001</v>
      </c>
      <c r="K26" s="7502">
        <f>3600*L12</f>
        <v>97200</v>
      </c>
    </row>
    <row r="27" spans="1:11" ht="15" customHeight="1">
      <c r="A27" s="7620"/>
      <c r="B27" s="7803" t="s">
        <v>30</v>
      </c>
      <c r="C27" s="8872">
        <v>50103040</v>
      </c>
      <c r="D27" s="8907">
        <f>'WS-PS 2017'!Y36</f>
        <v>22103.56</v>
      </c>
      <c r="E27" s="8907">
        <f>'WS-PS ACTUAL JUNE 2018'!W36</f>
        <v>11837.54</v>
      </c>
      <c r="F27" s="10191">
        <f t="shared" si="0"/>
        <v>20562.46</v>
      </c>
      <c r="G27" s="8907">
        <v>32400</v>
      </c>
      <c r="H27" s="8907"/>
      <c r="I27" s="8799"/>
      <c r="J27" s="11907">
        <f t="shared" si="1"/>
        <v>32400</v>
      </c>
      <c r="K27" s="7502">
        <f>K25</f>
        <v>32400</v>
      </c>
    </row>
    <row r="28" spans="1:11" ht="15" customHeight="1">
      <c r="A28" s="7620"/>
      <c r="B28" s="7488" t="s">
        <v>5025</v>
      </c>
      <c r="C28" s="11258">
        <v>50104990</v>
      </c>
      <c r="D28" s="8907">
        <f>'WS-PS 2017'!Z36</f>
        <v>450000</v>
      </c>
      <c r="E28" s="8907"/>
      <c r="F28" s="10191">
        <f t="shared" si="0"/>
        <v>0</v>
      </c>
      <c r="G28" s="8907">
        <v>0</v>
      </c>
      <c r="H28" s="8907"/>
      <c r="I28" s="8799"/>
      <c r="J28" s="11907">
        <f t="shared" si="1"/>
        <v>0</v>
      </c>
    </row>
    <row r="29" spans="1:11" ht="15" customHeight="1">
      <c r="A29" s="7620"/>
      <c r="B29" s="9598"/>
      <c r="C29" s="10685" t="s">
        <v>9</v>
      </c>
      <c r="D29" s="8907" t="s">
        <v>9</v>
      </c>
      <c r="E29" s="8907"/>
      <c r="F29" s="8907"/>
      <c r="G29" s="8907"/>
      <c r="H29" s="8907"/>
      <c r="I29" s="8799"/>
      <c r="J29" s="11906"/>
    </row>
    <row r="30" spans="1:11" ht="15" customHeight="1" thickBot="1">
      <c r="A30" s="11900"/>
      <c r="B30" s="11909" t="s">
        <v>37</v>
      </c>
      <c r="C30" s="11910"/>
      <c r="D30" s="11911">
        <f>SUM(D11:D29)</f>
        <v>8877268.620000001</v>
      </c>
      <c r="E30" s="11911">
        <f>SUM(E11:E29)</f>
        <v>4328079.21</v>
      </c>
      <c r="F30" s="11911">
        <f>SUM(F11:F29)</f>
        <v>9017303.7900000028</v>
      </c>
      <c r="G30" s="11911">
        <f>SUM(G11:G29)</f>
        <v>13345383</v>
      </c>
      <c r="H30" s="11911"/>
      <c r="I30" s="11449"/>
      <c r="J30" s="11912">
        <f>SUM(J11:J29)</f>
        <v>13909565.409999998</v>
      </c>
      <c r="K30" s="11889">
        <f>SUM(K12:K29)</f>
        <v>14290202.989999998</v>
      </c>
    </row>
    <row r="31" spans="1:11" ht="15" customHeight="1">
      <c r="A31" s="7630"/>
      <c r="B31" s="7631"/>
      <c r="C31" s="7632"/>
      <c r="D31" s="7633"/>
      <c r="E31" s="7633"/>
      <c r="F31" s="7633"/>
      <c r="G31" s="7633"/>
      <c r="H31" s="7633"/>
      <c r="I31" s="7389"/>
      <c r="J31" s="7633"/>
    </row>
    <row r="32" spans="1:11" ht="15" customHeight="1">
      <c r="A32" s="7615"/>
      <c r="B32" s="7622"/>
      <c r="C32" s="7616"/>
      <c r="D32" s="7637"/>
      <c r="E32" s="7637"/>
      <c r="F32" s="7637"/>
      <c r="G32" s="7637"/>
      <c r="H32" s="7637"/>
      <c r="I32" s="7350"/>
      <c r="J32" s="7637"/>
    </row>
    <row r="33" spans="1:10" ht="15" customHeight="1">
      <c r="A33" s="7615"/>
      <c r="B33" s="7622"/>
      <c r="C33" s="7616"/>
      <c r="D33" s="7637"/>
      <c r="E33" s="7637"/>
      <c r="F33" s="7637"/>
      <c r="G33" s="7637"/>
      <c r="H33" s="7637"/>
      <c r="I33" s="7350"/>
      <c r="J33" s="7637"/>
    </row>
    <row r="34" spans="1:10" ht="15" customHeight="1">
      <c r="A34" s="7615"/>
      <c r="B34" s="7622"/>
      <c r="C34" s="7616"/>
      <c r="D34" s="7637"/>
      <c r="E34" s="7637"/>
      <c r="F34" s="7637"/>
      <c r="G34" s="7637"/>
      <c r="H34" s="7637"/>
      <c r="I34" s="7350"/>
      <c r="J34" s="7637"/>
    </row>
    <row r="35" spans="1:10" ht="15" customHeight="1">
      <c r="A35" s="7615"/>
      <c r="B35" s="7622"/>
      <c r="C35" s="7616"/>
      <c r="D35" s="7637"/>
      <c r="E35" s="7637"/>
      <c r="F35" s="7637"/>
      <c r="G35" s="7637"/>
      <c r="H35" s="7637"/>
      <c r="I35" s="7350"/>
      <c r="J35" s="7637"/>
    </row>
    <row r="36" spans="1:10" ht="15" customHeight="1">
      <c r="A36" s="7615"/>
      <c r="B36" s="7622"/>
      <c r="C36" s="7616"/>
      <c r="D36" s="7637"/>
      <c r="E36" s="7637"/>
      <c r="F36" s="7637"/>
      <c r="G36" s="7637"/>
      <c r="H36" s="7637"/>
      <c r="I36" s="7350"/>
      <c r="J36" s="7637"/>
    </row>
    <row r="37" spans="1:10" ht="15" customHeight="1">
      <c r="A37" s="7615"/>
      <c r="B37" s="7622"/>
      <c r="C37" s="7616"/>
      <c r="D37" s="7637"/>
      <c r="E37" s="7637"/>
      <c r="F37" s="7637"/>
      <c r="G37" s="7637"/>
      <c r="H37" s="7637"/>
      <c r="I37" s="7350"/>
      <c r="J37" s="7637"/>
    </row>
    <row r="38" spans="1:10" ht="15" customHeight="1" thickBot="1">
      <c r="A38" s="7634" t="s">
        <v>10210</v>
      </c>
      <c r="B38" s="7634"/>
      <c r="C38" s="7635"/>
      <c r="D38" s="7636"/>
      <c r="E38" s="7636"/>
      <c r="F38" s="7636"/>
      <c r="G38" s="7636"/>
      <c r="H38" s="7636"/>
      <c r="I38" s="7294"/>
      <c r="J38" s="7636"/>
    </row>
    <row r="39" spans="1:10" ht="15" customHeight="1">
      <c r="A39" s="11892" t="s">
        <v>9</v>
      </c>
      <c r="B39" s="11893"/>
      <c r="C39" s="11894" t="s">
        <v>9</v>
      </c>
      <c r="D39" s="11895" t="s">
        <v>10</v>
      </c>
      <c r="E39" s="14188" t="s">
        <v>10711</v>
      </c>
      <c r="F39" s="14189"/>
      <c r="G39" s="14190"/>
      <c r="H39" s="11080"/>
      <c r="I39" s="8206"/>
      <c r="J39" s="11896" t="s">
        <v>12</v>
      </c>
    </row>
    <row r="40" spans="1:10" ht="15" customHeight="1">
      <c r="A40" s="7620"/>
      <c r="B40" s="7619" t="s">
        <v>13</v>
      </c>
      <c r="C40" s="11897" t="s">
        <v>93</v>
      </c>
      <c r="D40" s="11898" t="s">
        <v>15</v>
      </c>
      <c r="E40" s="9502" t="s">
        <v>10709</v>
      </c>
      <c r="F40" s="9503" t="s">
        <v>10710</v>
      </c>
      <c r="G40" s="14191" t="s">
        <v>458</v>
      </c>
      <c r="H40" s="11084"/>
      <c r="I40" s="11085"/>
      <c r="J40" s="11899" t="s">
        <v>16</v>
      </c>
    </row>
    <row r="41" spans="1:10" ht="15" customHeight="1" thickBot="1">
      <c r="A41" s="11900"/>
      <c r="B41" s="11901"/>
      <c r="C41" s="11902" t="s">
        <v>94</v>
      </c>
      <c r="D41" s="11903">
        <v>2017</v>
      </c>
      <c r="E41" s="9467" t="s">
        <v>457</v>
      </c>
      <c r="F41" s="11661" t="s">
        <v>456</v>
      </c>
      <c r="G41" s="14192"/>
      <c r="H41" s="7302"/>
      <c r="I41" s="7322"/>
      <c r="J41" s="11904">
        <v>2019</v>
      </c>
    </row>
    <row r="42" spans="1:10" ht="15" customHeight="1">
      <c r="A42" s="7624"/>
      <c r="B42" s="7615" t="s">
        <v>38</v>
      </c>
      <c r="C42" s="10685"/>
      <c r="D42" s="8907"/>
      <c r="E42" s="8907"/>
      <c r="F42" s="8907"/>
      <c r="G42" s="8907"/>
      <c r="H42" s="8907"/>
      <c r="I42" s="8799"/>
      <c r="J42" s="11906"/>
    </row>
    <row r="43" spans="1:10" ht="15" customHeight="1">
      <c r="A43" s="7620"/>
      <c r="B43" s="7803" t="s">
        <v>391</v>
      </c>
      <c r="C43" s="10377">
        <v>50201010</v>
      </c>
      <c r="D43" s="8907">
        <f>'WS-MOOE 2017'!B36</f>
        <v>83997</v>
      </c>
      <c r="E43" s="8907">
        <f>'WS-MOOE ACTUAL JUNE 2018'!B37</f>
        <v>27516</v>
      </c>
      <c r="F43" s="10191">
        <f t="shared" ref="F43:F59" si="2">G43-E43</f>
        <v>72484</v>
      </c>
      <c r="G43" s="8907">
        <v>100000</v>
      </c>
      <c r="H43" s="8907">
        <v>49901</v>
      </c>
      <c r="I43" s="8799">
        <f>H43/G43</f>
        <v>0.49901000000000001</v>
      </c>
      <c r="J43" s="11906">
        <v>100000</v>
      </c>
    </row>
    <row r="44" spans="1:10" ht="15" customHeight="1">
      <c r="A44" s="7620"/>
      <c r="B44" s="7803" t="s">
        <v>10324</v>
      </c>
      <c r="C44" s="10377">
        <v>50202010</v>
      </c>
      <c r="D44" s="8907">
        <f>'WS-MOOE 2017'!H36</f>
        <v>146800</v>
      </c>
      <c r="E44" s="8907">
        <f>'WS-MOOE ACTUAL JUNE 2018'!G37</f>
        <v>10000</v>
      </c>
      <c r="F44" s="10191">
        <f t="shared" si="2"/>
        <v>190000</v>
      </c>
      <c r="G44" s="8907">
        <v>200000</v>
      </c>
      <c r="H44" s="8907">
        <v>103750</v>
      </c>
      <c r="I44" s="8799">
        <f t="shared" ref="I44:I70" si="3">H44/G44</f>
        <v>0.51875000000000004</v>
      </c>
      <c r="J44" s="11906">
        <v>200000</v>
      </c>
    </row>
    <row r="45" spans="1:10" ht="15" customHeight="1">
      <c r="A45" s="7620"/>
      <c r="B45" s="7803" t="s">
        <v>392</v>
      </c>
      <c r="C45" s="10377">
        <v>50203010</v>
      </c>
      <c r="D45" s="8907">
        <f>'WS-MOOE 2017'!J36</f>
        <v>31561.4</v>
      </c>
      <c r="E45" s="8907">
        <f>'WS-MOOE ACTUAL JUNE 2018'!H37</f>
        <v>40963.25</v>
      </c>
      <c r="F45" s="10191">
        <f t="shared" si="2"/>
        <v>109036.75</v>
      </c>
      <c r="G45" s="8907">
        <v>150000</v>
      </c>
      <c r="H45" s="8907">
        <v>139636.75</v>
      </c>
      <c r="I45" s="8799">
        <f t="shared" si="3"/>
        <v>0.93091166666666669</v>
      </c>
      <c r="J45" s="11906">
        <v>150000</v>
      </c>
    </row>
    <row r="46" spans="1:10" ht="15" customHeight="1">
      <c r="A46" s="7620"/>
      <c r="B46" s="7287" t="s">
        <v>97</v>
      </c>
      <c r="C46" s="8802">
        <v>50203020</v>
      </c>
      <c r="D46" s="8907">
        <f>'WS-MOOE 2017'!M36</f>
        <v>0</v>
      </c>
      <c r="E46" s="8907">
        <f>'WS-MOOE ACTUAL JUNE 2018'!J37</f>
        <v>0</v>
      </c>
      <c r="F46" s="10191">
        <f t="shared" si="2"/>
        <v>40000</v>
      </c>
      <c r="G46" s="8907">
        <v>40000</v>
      </c>
      <c r="H46" s="8907">
        <v>39875</v>
      </c>
      <c r="I46" s="8799">
        <f t="shared" si="3"/>
        <v>0.99687499999999996</v>
      </c>
      <c r="J46" s="11906">
        <v>40000</v>
      </c>
    </row>
    <row r="47" spans="1:10" ht="15" customHeight="1">
      <c r="A47" s="7620"/>
      <c r="B47" s="7287" t="s">
        <v>98</v>
      </c>
      <c r="C47" s="8802">
        <v>50203050</v>
      </c>
      <c r="D47" s="8907">
        <f>'WS-MOOE 2017'!O36</f>
        <v>901637.6</v>
      </c>
      <c r="E47" s="8907">
        <f>'WS-MOOE ACTUAL JUNE 2018'!L37</f>
        <v>348875.75</v>
      </c>
      <c r="F47" s="10191">
        <f t="shared" si="2"/>
        <v>651124.25</v>
      </c>
      <c r="G47" s="8907">
        <v>1000000</v>
      </c>
      <c r="H47" s="8907">
        <v>501462</v>
      </c>
      <c r="I47" s="8799">
        <f t="shared" si="3"/>
        <v>0.50146199999999996</v>
      </c>
      <c r="J47" s="11906">
        <v>1000000</v>
      </c>
    </row>
    <row r="48" spans="1:10" ht="15" customHeight="1">
      <c r="A48" s="7620"/>
      <c r="B48" s="7287" t="s">
        <v>9122</v>
      </c>
      <c r="C48" s="8802">
        <v>50203070</v>
      </c>
      <c r="D48" s="8907">
        <f>'WS-MOOE 2017'!P36</f>
        <v>2612522.88</v>
      </c>
      <c r="E48" s="8907">
        <f>'WS-MOOE ACTUAL JUNE 2018'!M37</f>
        <v>558072.5</v>
      </c>
      <c r="F48" s="10191">
        <f t="shared" si="2"/>
        <v>4941927.5</v>
      </c>
      <c r="G48" s="8907">
        <v>5500000</v>
      </c>
      <c r="H48" s="8907">
        <v>5034189.2</v>
      </c>
      <c r="I48" s="8799">
        <f>H48/G48</f>
        <v>0.91530712727272734</v>
      </c>
      <c r="J48" s="11906">
        <v>5500000</v>
      </c>
    </row>
    <row r="49" spans="1:11" ht="15" customHeight="1">
      <c r="A49" s="7620"/>
      <c r="B49" s="7287" t="s">
        <v>135</v>
      </c>
      <c r="C49" s="8802">
        <v>50203080</v>
      </c>
      <c r="D49" s="8907">
        <f>'WS-MOOE 2017'!Q36</f>
        <v>1891807.89</v>
      </c>
      <c r="E49" s="8907">
        <f>'WS-MOOE ACTUAL JUNE 2018'!N37</f>
        <v>175244.3</v>
      </c>
      <c r="F49" s="10191">
        <f t="shared" si="2"/>
        <v>4324755.7</v>
      </c>
      <c r="G49" s="8907">
        <v>4500000</v>
      </c>
      <c r="H49" s="8907">
        <v>3952304.75</v>
      </c>
      <c r="I49" s="8799">
        <f t="shared" si="3"/>
        <v>0.87828994444444441</v>
      </c>
      <c r="J49" s="11906">
        <v>4705000</v>
      </c>
    </row>
    <row r="50" spans="1:11" ht="15" customHeight="1">
      <c r="A50" s="7620"/>
      <c r="B50" s="7287" t="s">
        <v>44</v>
      </c>
      <c r="C50" s="8802">
        <v>50203090</v>
      </c>
      <c r="D50" s="8907">
        <f>'WS-MOOE 2017'!R36</f>
        <v>192047.1</v>
      </c>
      <c r="E50" s="8907">
        <f>'WS-MOOE ACTUAL JUNE 2018'!O37</f>
        <v>127551</v>
      </c>
      <c r="F50" s="10191">
        <f t="shared" si="2"/>
        <v>72449</v>
      </c>
      <c r="G50" s="8907">
        <v>200000</v>
      </c>
      <c r="H50" s="8907">
        <v>171426.5</v>
      </c>
      <c r="I50" s="8799">
        <f t="shared" si="3"/>
        <v>0.85713249999999996</v>
      </c>
      <c r="J50" s="11906">
        <v>400000</v>
      </c>
    </row>
    <row r="51" spans="1:11" ht="15" customHeight="1">
      <c r="A51" s="7620"/>
      <c r="B51" s="7287" t="s">
        <v>46</v>
      </c>
      <c r="C51" s="8802">
        <v>50204020</v>
      </c>
      <c r="D51" s="8907">
        <f>'WS-MOOE 2017'!X36</f>
        <v>564686.80000000005</v>
      </c>
      <c r="E51" s="8907">
        <f>'WS-MOOE ACTUAL JUNE 2018'!S37</f>
        <v>317266.15000000002</v>
      </c>
      <c r="F51" s="10191">
        <f t="shared" si="2"/>
        <v>332733.84999999998</v>
      </c>
      <c r="G51" s="8907">
        <v>650000</v>
      </c>
      <c r="H51" s="8907">
        <v>440009.15</v>
      </c>
      <c r="I51" s="8799">
        <f t="shared" si="3"/>
        <v>0.67693715384615383</v>
      </c>
      <c r="J51" s="11906">
        <v>700000</v>
      </c>
    </row>
    <row r="52" spans="1:11" ht="15" customHeight="1">
      <c r="A52" s="7620"/>
      <c r="B52" s="7287" t="s">
        <v>10974</v>
      </c>
      <c r="C52" s="8802">
        <v>50203990</v>
      </c>
      <c r="D52" s="8907">
        <f>'WS-MOOE 2017'!V36</f>
        <v>35374</v>
      </c>
      <c r="E52" s="8907">
        <f>'WS-MOOE ACTUAL JUNE 2018'!T37</f>
        <v>14930</v>
      </c>
      <c r="F52" s="10191">
        <f t="shared" si="2"/>
        <v>85070</v>
      </c>
      <c r="G52" s="8907">
        <v>100000</v>
      </c>
      <c r="H52" s="8907">
        <v>18580</v>
      </c>
      <c r="I52" s="8799">
        <f t="shared" si="3"/>
        <v>0.18579999999999999</v>
      </c>
      <c r="J52" s="11906">
        <v>100000</v>
      </c>
    </row>
    <row r="53" spans="1:11" ht="15" customHeight="1">
      <c r="A53" s="7620"/>
      <c r="B53" s="7287" t="s">
        <v>62</v>
      </c>
      <c r="C53" s="8802">
        <v>50205010</v>
      </c>
      <c r="D53" s="8907">
        <f>'WS-MOOE 2017'!Z36</f>
        <v>0</v>
      </c>
      <c r="E53" s="8907">
        <f>'WS-MOOE ACTUAL JUNE 2018'!U37</f>
        <v>0</v>
      </c>
      <c r="F53" s="10191">
        <f t="shared" si="2"/>
        <v>5000</v>
      </c>
      <c r="G53" s="8907">
        <v>5000</v>
      </c>
      <c r="H53" s="8907">
        <v>0</v>
      </c>
      <c r="I53" s="8799">
        <f t="shared" si="3"/>
        <v>0</v>
      </c>
      <c r="J53" s="11906">
        <v>5000</v>
      </c>
    </row>
    <row r="54" spans="1:11" ht="15" customHeight="1">
      <c r="A54" s="7620"/>
      <c r="B54" s="7536" t="s">
        <v>155</v>
      </c>
      <c r="C54" s="10149">
        <v>50205020</v>
      </c>
      <c r="D54" s="8907">
        <f>'WS-MOOE 2017'!AA36+'WS-MOOE 2017'!AC36</f>
        <v>34171.94</v>
      </c>
      <c r="E54" s="8907">
        <f>'WS-MOOE ACTUAL JUNE 2018'!V37</f>
        <v>16431.91</v>
      </c>
      <c r="F54" s="10191">
        <f t="shared" si="2"/>
        <v>19568.09</v>
      </c>
      <c r="G54" s="8907">
        <v>36000</v>
      </c>
      <c r="H54" s="8907">
        <v>22821.84</v>
      </c>
      <c r="I54" s="8799">
        <f t="shared" si="3"/>
        <v>0.63394000000000006</v>
      </c>
      <c r="J54" s="11906">
        <v>40000</v>
      </c>
    </row>
    <row r="55" spans="1:11" ht="15" hidden="1" customHeight="1">
      <c r="A55" s="7620"/>
      <c r="B55" s="7287" t="s">
        <v>310</v>
      </c>
      <c r="C55" s="8802"/>
      <c r="D55" s="8907"/>
      <c r="E55" s="8907"/>
      <c r="F55" s="10191">
        <f t="shared" si="2"/>
        <v>0</v>
      </c>
      <c r="G55" s="8907"/>
      <c r="H55" s="8907"/>
      <c r="I55" s="8799" t="e">
        <f t="shared" si="3"/>
        <v>#DIV/0!</v>
      </c>
      <c r="J55" s="11906"/>
    </row>
    <row r="56" spans="1:11" ht="15" customHeight="1">
      <c r="A56" s="7620"/>
      <c r="B56" s="7287" t="s">
        <v>11559</v>
      </c>
      <c r="C56" s="8802">
        <v>50208010</v>
      </c>
      <c r="D56" s="8907"/>
      <c r="E56" s="8907"/>
      <c r="F56" s="10191"/>
      <c r="G56" s="8907"/>
      <c r="H56" s="8907"/>
      <c r="I56" s="8799"/>
      <c r="J56" s="11906">
        <v>800000</v>
      </c>
    </row>
    <row r="57" spans="1:11" ht="15" customHeight="1">
      <c r="A57" s="7620"/>
      <c r="B57" s="7352" t="s">
        <v>100</v>
      </c>
      <c r="C57" s="8872">
        <v>50299030</v>
      </c>
      <c r="D57" s="8907">
        <f>'WS-MOOE 2017'!BK36</f>
        <v>60000</v>
      </c>
      <c r="E57" s="8907">
        <f>'WS-MOOE ACTUAL JUNE 2018'!BE37</f>
        <v>25000</v>
      </c>
      <c r="F57" s="10191">
        <f t="shared" si="2"/>
        <v>35000</v>
      </c>
      <c r="G57" s="8907">
        <v>60000</v>
      </c>
      <c r="H57" s="8907">
        <v>35000</v>
      </c>
      <c r="I57" s="8799">
        <f t="shared" si="3"/>
        <v>0.58333333333333337</v>
      </c>
      <c r="J57" s="11906">
        <v>60000</v>
      </c>
    </row>
    <row r="58" spans="1:11" ht="15" customHeight="1">
      <c r="A58" s="7620"/>
      <c r="B58" s="7352" t="s">
        <v>10956</v>
      </c>
      <c r="C58" s="8872">
        <v>50212990</v>
      </c>
      <c r="D58" s="8907">
        <f>'WS-MOOE 2017'!AO36</f>
        <v>2221373.58</v>
      </c>
      <c r="E58" s="8907">
        <f>'WS-MOOE ACTUAL JUNE 2018'!AJ37</f>
        <v>641566.85</v>
      </c>
      <c r="F58" s="10191">
        <f t="shared" si="2"/>
        <v>458433.15</v>
      </c>
      <c r="G58" s="8907">
        <v>1100000</v>
      </c>
      <c r="H58" s="8907">
        <v>1390842.56</v>
      </c>
      <c r="I58" s="8799">
        <f t="shared" si="3"/>
        <v>1.2644023272727274</v>
      </c>
      <c r="J58" s="11906">
        <v>1500000</v>
      </c>
      <c r="K58" s="7626" t="s">
        <v>12016</v>
      </c>
    </row>
    <row r="59" spans="1:11" ht="15" customHeight="1">
      <c r="A59" s="7620"/>
      <c r="B59" s="7488" t="s">
        <v>10955</v>
      </c>
      <c r="C59" s="11258">
        <v>50211990</v>
      </c>
      <c r="D59" s="8907">
        <f>'WS-MOOE 2017'!AL36</f>
        <v>1564800</v>
      </c>
      <c r="E59" s="8907">
        <f>'WS-MOOE ACTUAL JUNE 2018'!AF37</f>
        <v>1255633.82</v>
      </c>
      <c r="F59" s="10191">
        <f t="shared" si="2"/>
        <v>1604366.18</v>
      </c>
      <c r="G59" s="8907">
        <v>2860000</v>
      </c>
      <c r="H59" s="8907">
        <v>2860000</v>
      </c>
      <c r="I59" s="8799">
        <f t="shared" si="3"/>
        <v>1</v>
      </c>
      <c r="J59" s="11906">
        <v>3360000</v>
      </c>
    </row>
    <row r="60" spans="1:11" ht="15" customHeight="1">
      <c r="A60" s="7620"/>
      <c r="B60" s="7287" t="s">
        <v>47</v>
      </c>
      <c r="C60" s="8802">
        <v>50212030</v>
      </c>
      <c r="D60" s="8907"/>
      <c r="E60" s="8907"/>
      <c r="F60" s="10191"/>
      <c r="G60" s="8907"/>
      <c r="H60" s="8907"/>
      <c r="I60" s="8799"/>
      <c r="J60" s="11906">
        <v>468000</v>
      </c>
    </row>
    <row r="61" spans="1:11" ht="15" customHeight="1">
      <c r="A61" s="7620"/>
      <c r="B61" s="7287" t="s">
        <v>311</v>
      </c>
      <c r="C61" s="8802"/>
      <c r="D61" s="8907"/>
      <c r="E61" s="8907"/>
      <c r="F61" s="10191"/>
      <c r="G61" s="8907"/>
      <c r="H61" s="8907"/>
      <c r="I61" s="8799"/>
      <c r="J61" s="11906">
        <v>460000</v>
      </c>
    </row>
    <row r="62" spans="1:11" ht="15" customHeight="1">
      <c r="A62" s="7620"/>
      <c r="B62" s="7488" t="s">
        <v>10959</v>
      </c>
      <c r="C62" s="10377">
        <v>50213040</v>
      </c>
      <c r="D62" s="8907">
        <f>'WS-MOOE 2017'!AS36</f>
        <v>35405.25</v>
      </c>
      <c r="E62" s="8907">
        <f>'WS-MOOE ACTUAL JUNE 2018'!AN37</f>
        <v>16447</v>
      </c>
      <c r="F62" s="10191">
        <f t="shared" ref="F62:F68" si="4">G62-E62</f>
        <v>63553</v>
      </c>
      <c r="G62" s="8907">
        <v>80000</v>
      </c>
      <c r="H62" s="8907">
        <v>16447</v>
      </c>
      <c r="I62" s="8799">
        <f t="shared" si="3"/>
        <v>0.20558750000000001</v>
      </c>
      <c r="J62" s="11906">
        <v>80000</v>
      </c>
    </row>
    <row r="63" spans="1:11" ht="15" hidden="1" customHeight="1">
      <c r="A63" s="7620"/>
      <c r="B63" s="7287" t="s">
        <v>109</v>
      </c>
      <c r="C63" s="8802"/>
      <c r="D63" s="8907">
        <f>'WS-MOOE 2017'!AY36</f>
        <v>0</v>
      </c>
      <c r="E63" s="8907"/>
      <c r="F63" s="10191">
        <f t="shared" si="4"/>
        <v>0</v>
      </c>
      <c r="G63" s="8907"/>
      <c r="H63" s="8907"/>
      <c r="I63" s="8799" t="e">
        <f t="shared" si="3"/>
        <v>#DIV/0!</v>
      </c>
      <c r="J63" s="11906"/>
    </row>
    <row r="64" spans="1:11" ht="15" customHeight="1">
      <c r="A64" s="7620"/>
      <c r="B64" s="7488" t="s">
        <v>10938</v>
      </c>
      <c r="C64" s="8872">
        <v>50213050</v>
      </c>
      <c r="D64" s="8907">
        <f>'WS-MOOE 2017'!AW36</f>
        <v>1750</v>
      </c>
      <c r="E64" s="8907">
        <f>'WS-MOOE ACTUAL JUNE 2018'!AS37</f>
        <v>1806</v>
      </c>
      <c r="F64" s="10191">
        <f t="shared" si="4"/>
        <v>33194</v>
      </c>
      <c r="G64" s="8907">
        <v>35000</v>
      </c>
      <c r="H64" s="8907">
        <v>2706</v>
      </c>
      <c r="I64" s="8799">
        <f t="shared" si="3"/>
        <v>7.731428571428571E-2</v>
      </c>
      <c r="J64" s="11906">
        <f>35000</f>
        <v>35000</v>
      </c>
    </row>
    <row r="65" spans="1:11" ht="15" customHeight="1">
      <c r="A65" s="7620"/>
      <c r="B65" s="7488" t="s">
        <v>10937</v>
      </c>
      <c r="C65" s="11258">
        <v>50213060</v>
      </c>
      <c r="D65" s="8907">
        <f>'WS-MOOE 2017'!BB36</f>
        <v>180948.4</v>
      </c>
      <c r="E65" s="8907">
        <f>'WS-MOOE ACTUAL JUNE 2018'!AT37</f>
        <v>40655</v>
      </c>
      <c r="F65" s="10191">
        <f t="shared" si="4"/>
        <v>119345</v>
      </c>
      <c r="G65" s="8907">
        <v>160000</v>
      </c>
      <c r="H65" s="8907">
        <v>43393</v>
      </c>
      <c r="I65" s="8799">
        <f t="shared" si="3"/>
        <v>0.27120624999999998</v>
      </c>
      <c r="J65" s="11906">
        <v>160000</v>
      </c>
    </row>
    <row r="66" spans="1:11" ht="15" customHeight="1">
      <c r="A66" s="7620"/>
      <c r="B66" s="7287" t="s">
        <v>110</v>
      </c>
      <c r="C66" s="8802">
        <v>50216010</v>
      </c>
      <c r="D66" s="8907">
        <f>'WS-MOOE 2017'!BG36</f>
        <v>20000</v>
      </c>
      <c r="E66" s="8907">
        <f>'WS-MOOE ACTUAL JUNE 2018'!AY37</f>
        <v>19914</v>
      </c>
      <c r="F66" s="10191">
        <f t="shared" si="4"/>
        <v>86</v>
      </c>
      <c r="G66" s="8907">
        <v>20000</v>
      </c>
      <c r="H66" s="8907">
        <v>19914</v>
      </c>
      <c r="I66" s="8799">
        <f t="shared" si="3"/>
        <v>0.99570000000000003</v>
      </c>
      <c r="J66" s="11906">
        <v>30000</v>
      </c>
    </row>
    <row r="67" spans="1:11" ht="15" customHeight="1">
      <c r="A67" s="7620"/>
      <c r="B67" s="7287" t="s">
        <v>72</v>
      </c>
      <c r="C67" s="8802">
        <v>50215020</v>
      </c>
      <c r="D67" s="8907">
        <f>'WS-MOOE 2017'!BH36</f>
        <v>5175</v>
      </c>
      <c r="E67" s="8907">
        <f>'WS-MOOE ACTUAL JUNE 2018'!AZ37</f>
        <v>3000</v>
      </c>
      <c r="F67" s="10191">
        <f t="shared" si="4"/>
        <v>7000</v>
      </c>
      <c r="G67" s="8907">
        <v>10000</v>
      </c>
      <c r="H67" s="8907">
        <v>6375</v>
      </c>
      <c r="I67" s="8799">
        <f t="shared" si="3"/>
        <v>0.63749999999999996</v>
      </c>
      <c r="J67" s="11906">
        <v>15000</v>
      </c>
    </row>
    <row r="68" spans="1:11" ht="15" customHeight="1">
      <c r="A68" s="7620"/>
      <c r="B68" s="7536" t="s">
        <v>50</v>
      </c>
      <c r="C68" s="10149">
        <v>50299990</v>
      </c>
      <c r="D68" s="8907">
        <f>'WS-MOOE 2017'!BO36</f>
        <v>75304.25</v>
      </c>
      <c r="E68" s="8907">
        <f>'WS-MOOE ACTUAL JUNE 2018'!BI37</f>
        <v>41321.050000000003</v>
      </c>
      <c r="F68" s="10191">
        <f t="shared" si="4"/>
        <v>278678.95</v>
      </c>
      <c r="G68" s="8907">
        <v>320000</v>
      </c>
      <c r="H68" s="8907">
        <v>140283.57999999999</v>
      </c>
      <c r="I68" s="8799">
        <f t="shared" si="3"/>
        <v>0.43838618749999997</v>
      </c>
      <c r="J68" s="11906">
        <v>320000</v>
      </c>
    </row>
    <row r="69" spans="1:11" ht="15" customHeight="1">
      <c r="A69" s="7620"/>
      <c r="B69" s="7615"/>
      <c r="C69" s="10685"/>
      <c r="D69" s="8907"/>
      <c r="E69" s="8907"/>
      <c r="F69" s="8907"/>
      <c r="G69" s="8907"/>
      <c r="H69" s="8907"/>
      <c r="I69" s="8799"/>
      <c r="J69" s="11906"/>
    </row>
    <row r="70" spans="1:11" ht="15" customHeight="1" thickBot="1">
      <c r="A70" s="11900"/>
      <c r="B70" s="11909" t="s">
        <v>37</v>
      </c>
      <c r="C70" s="11910"/>
      <c r="D70" s="11911">
        <f>SUM(D43:D69)</f>
        <v>10659363.09</v>
      </c>
      <c r="E70" s="11911">
        <f>SUM(E43:E69)</f>
        <v>3682194.58</v>
      </c>
      <c r="F70" s="11911">
        <f>SUM(F43:F69)</f>
        <v>13443805.419999998</v>
      </c>
      <c r="G70" s="11911">
        <f>SUM(G43:G69)</f>
        <v>17126000</v>
      </c>
      <c r="H70" s="11911">
        <f>SUM(H43:H59,H62:H68)</f>
        <v>14988917.33</v>
      </c>
      <c r="I70" s="11737">
        <f t="shared" si="3"/>
        <v>0.8752141381525167</v>
      </c>
      <c r="J70" s="11912">
        <f>SUM(J43:J69)</f>
        <v>20228000</v>
      </c>
      <c r="K70" s="10391">
        <f>(J70-G70)/G70</f>
        <v>0.18112810930748569</v>
      </c>
    </row>
    <row r="71" spans="1:11" ht="15" customHeight="1">
      <c r="A71" s="7615"/>
      <c r="B71" s="7622"/>
      <c r="C71" s="7616"/>
      <c r="D71" s="7637"/>
      <c r="E71" s="7637"/>
      <c r="F71" s="7637"/>
      <c r="G71" s="7637"/>
      <c r="H71" s="7637"/>
      <c r="I71" s="7350"/>
      <c r="J71" s="7637"/>
    </row>
    <row r="72" spans="1:11" ht="15" customHeight="1">
      <c r="A72" s="7615"/>
      <c r="B72" s="7622"/>
      <c r="C72" s="7616"/>
      <c r="D72" s="7637"/>
      <c r="E72" s="7637"/>
      <c r="F72" s="7637"/>
      <c r="G72" s="7637"/>
      <c r="H72" s="7637"/>
      <c r="I72" s="7350"/>
      <c r="J72" s="7637"/>
    </row>
    <row r="73" spans="1:11" ht="15" customHeight="1">
      <c r="A73" s="7615"/>
      <c r="B73" s="7622"/>
      <c r="C73" s="7616"/>
      <c r="D73" s="7637"/>
      <c r="E73" s="7637"/>
      <c r="F73" s="7637"/>
      <c r="G73" s="7637"/>
      <c r="H73" s="7637"/>
      <c r="I73" s="7350"/>
      <c r="J73" s="7637"/>
    </row>
    <row r="74" spans="1:11" ht="15" customHeight="1">
      <c r="A74" s="7615"/>
      <c r="B74" s="7622"/>
      <c r="C74" s="7616"/>
      <c r="D74" s="7637"/>
      <c r="E74" s="7637"/>
      <c r="F74" s="7637"/>
      <c r="G74" s="7637"/>
      <c r="H74" s="7637"/>
      <c r="I74" s="7350"/>
    </row>
    <row r="75" spans="1:11" ht="15" customHeight="1">
      <c r="A75" s="7615"/>
      <c r="B75" s="7622"/>
      <c r="C75" s="7616"/>
      <c r="D75" s="7637"/>
      <c r="E75" s="7637"/>
      <c r="F75" s="7637"/>
      <c r="G75" s="7637"/>
      <c r="H75" s="7637"/>
      <c r="I75" s="7350"/>
    </row>
    <row r="76" spans="1:11" ht="15" customHeight="1">
      <c r="A76" s="7615"/>
      <c r="B76" s="7622"/>
      <c r="C76" s="7616"/>
      <c r="D76" s="7637"/>
      <c r="E76" s="7637"/>
      <c r="F76" s="7637"/>
      <c r="G76" s="7637"/>
      <c r="H76" s="7637"/>
      <c r="I76" s="7350"/>
    </row>
    <row r="77" spans="1:11" ht="15" customHeight="1" thickBot="1">
      <c r="A77" s="7634" t="s">
        <v>10724</v>
      </c>
      <c r="B77" s="7634"/>
      <c r="C77" s="7635"/>
      <c r="D77" s="7636"/>
      <c r="E77" s="7636"/>
      <c r="F77" s="7636"/>
      <c r="G77" s="7636"/>
      <c r="H77" s="7636"/>
      <c r="I77" s="7294"/>
      <c r="J77" s="7636"/>
    </row>
    <row r="78" spans="1:11" ht="15" customHeight="1">
      <c r="A78" s="11892" t="s">
        <v>9</v>
      </c>
      <c r="B78" s="11893"/>
      <c r="C78" s="11894" t="s">
        <v>9</v>
      </c>
      <c r="D78" s="11895" t="s">
        <v>10</v>
      </c>
      <c r="E78" s="14188" t="s">
        <v>10711</v>
      </c>
      <c r="F78" s="14189"/>
      <c r="G78" s="14190"/>
      <c r="H78" s="11080"/>
      <c r="I78" s="8206"/>
      <c r="J78" s="11896" t="s">
        <v>12</v>
      </c>
    </row>
    <row r="79" spans="1:11" ht="15" customHeight="1">
      <c r="A79" s="7620"/>
      <c r="B79" s="7619" t="s">
        <v>13</v>
      </c>
      <c r="C79" s="11897" t="s">
        <v>93</v>
      </c>
      <c r="D79" s="11898" t="s">
        <v>15</v>
      </c>
      <c r="E79" s="9502" t="s">
        <v>10709</v>
      </c>
      <c r="F79" s="9503" t="s">
        <v>10710</v>
      </c>
      <c r="G79" s="14191" t="s">
        <v>458</v>
      </c>
      <c r="H79" s="11084"/>
      <c r="I79" s="11085"/>
      <c r="J79" s="11899" t="s">
        <v>16</v>
      </c>
    </row>
    <row r="80" spans="1:11" ht="15" customHeight="1" thickBot="1">
      <c r="A80" s="11900"/>
      <c r="B80" s="11901"/>
      <c r="C80" s="11902" t="s">
        <v>94</v>
      </c>
      <c r="D80" s="11903">
        <v>2017</v>
      </c>
      <c r="E80" s="9467" t="s">
        <v>457</v>
      </c>
      <c r="F80" s="11661" t="s">
        <v>456</v>
      </c>
      <c r="G80" s="14192"/>
      <c r="H80" s="7302"/>
      <c r="I80" s="7322"/>
      <c r="J80" s="11904">
        <v>2019</v>
      </c>
    </row>
    <row r="81" spans="1:12" ht="15" customHeight="1">
      <c r="A81" s="7620"/>
      <c r="B81" s="7619"/>
      <c r="C81" s="11897"/>
      <c r="D81" s="11913"/>
      <c r="E81" s="10030"/>
      <c r="F81" s="11123"/>
      <c r="G81" s="10030"/>
      <c r="H81" s="11181"/>
      <c r="I81" s="11108"/>
      <c r="J81" s="11914"/>
    </row>
    <row r="82" spans="1:12" ht="15" customHeight="1">
      <c r="A82" s="7624" t="s">
        <v>51</v>
      </c>
      <c r="B82" s="7615" t="s">
        <v>52</v>
      </c>
      <c r="C82" s="10685"/>
      <c r="D82" s="8907" t="s">
        <v>9</v>
      </c>
      <c r="E82" s="8907"/>
      <c r="F82" s="8907"/>
      <c r="G82" s="8907" t="s">
        <v>9</v>
      </c>
      <c r="H82" s="8907"/>
      <c r="I82" s="8799"/>
      <c r="J82" s="11906" t="s">
        <v>9</v>
      </c>
    </row>
    <row r="83" spans="1:12" ht="15" customHeight="1">
      <c r="A83" s="7624"/>
      <c r="B83" s="7615" t="s">
        <v>122</v>
      </c>
      <c r="C83" s="10685">
        <v>50705020</v>
      </c>
      <c r="D83" s="8907"/>
      <c r="E83" s="8907"/>
      <c r="F83" s="10191">
        <f>G83-E83</f>
        <v>30000</v>
      </c>
      <c r="G83" s="8907">
        <v>30000</v>
      </c>
      <c r="H83" s="8907">
        <v>30000</v>
      </c>
      <c r="I83" s="8799">
        <f>H83/G83</f>
        <v>1</v>
      </c>
      <c r="J83" s="11906">
        <v>360000</v>
      </c>
    </row>
    <row r="84" spans="1:12" ht="15" hidden="1" customHeight="1">
      <c r="A84" s="7624"/>
      <c r="B84" s="7615" t="s">
        <v>11945</v>
      </c>
      <c r="C84" s="10685"/>
      <c r="D84" s="8907"/>
      <c r="E84" s="8907"/>
      <c r="F84" s="10191"/>
      <c r="G84" s="8907"/>
      <c r="H84" s="8907"/>
      <c r="I84" s="8799"/>
      <c r="J84" s="11906"/>
    </row>
    <row r="85" spans="1:12" ht="15" customHeight="1">
      <c r="A85" s="7624"/>
      <c r="B85" s="7488" t="s">
        <v>10946</v>
      </c>
      <c r="C85" s="10144">
        <v>50705030</v>
      </c>
      <c r="D85" s="8907">
        <f>'WS-CO 2017'!H35</f>
        <v>194308</v>
      </c>
      <c r="E85" s="8907"/>
      <c r="F85" s="10191">
        <f>G85-E85</f>
        <v>150000</v>
      </c>
      <c r="G85" s="8907">
        <v>150000</v>
      </c>
      <c r="H85" s="8907">
        <v>48990</v>
      </c>
      <c r="I85" s="8799">
        <f>H85/G85</f>
        <v>0.3266</v>
      </c>
      <c r="J85" s="11906">
        <v>75000</v>
      </c>
    </row>
    <row r="86" spans="1:12" ht="15" hidden="1" customHeight="1">
      <c r="A86" s="7624"/>
      <c r="B86" s="7488" t="s">
        <v>11920</v>
      </c>
      <c r="C86" s="10144"/>
      <c r="D86" s="8907"/>
      <c r="E86" s="8907"/>
      <c r="F86" s="10191"/>
      <c r="G86" s="8907"/>
      <c r="H86" s="8907"/>
      <c r="I86" s="8799"/>
      <c r="J86" s="11906"/>
    </row>
    <row r="87" spans="1:12" ht="15" customHeight="1">
      <c r="A87" s="7624"/>
      <c r="B87" s="7488" t="s">
        <v>11947</v>
      </c>
      <c r="C87" s="10144">
        <v>50705070</v>
      </c>
      <c r="D87" s="8907"/>
      <c r="E87" s="8907"/>
      <c r="F87" s="10191"/>
      <c r="G87" s="8907"/>
      <c r="H87" s="8907"/>
      <c r="I87" s="8799"/>
      <c r="J87" s="11906">
        <v>50000</v>
      </c>
    </row>
    <row r="88" spans="1:12" ht="15" hidden="1" customHeight="1">
      <c r="A88" s="7624"/>
      <c r="B88" s="7488" t="s">
        <v>11948</v>
      </c>
      <c r="C88" s="10144"/>
      <c r="D88" s="8907"/>
      <c r="E88" s="8907"/>
      <c r="F88" s="10191"/>
      <c r="G88" s="8907"/>
      <c r="H88" s="8907"/>
      <c r="I88" s="8799"/>
      <c r="J88" s="11906"/>
    </row>
    <row r="89" spans="1:12" ht="15" hidden="1" customHeight="1">
      <c r="A89" s="7624"/>
      <c r="B89" s="7287" t="s">
        <v>11594</v>
      </c>
      <c r="C89" s="8802">
        <v>50705110</v>
      </c>
      <c r="D89" s="8907">
        <f>'WS-CO 2017'!I35</f>
        <v>0</v>
      </c>
      <c r="E89" s="8907"/>
      <c r="F89" s="10191">
        <f>G89-E89</f>
        <v>0</v>
      </c>
      <c r="G89" s="11890">
        <v>0</v>
      </c>
      <c r="H89" s="8907"/>
      <c r="I89" s="8799"/>
      <c r="J89" s="11915"/>
      <c r="K89" s="7502">
        <f>SUM(K90:K99)</f>
        <v>1725000</v>
      </c>
    </row>
    <row r="90" spans="1:12" ht="15" hidden="1" customHeight="1">
      <c r="A90" s="7624"/>
      <c r="B90" s="7287"/>
      <c r="C90" s="8802"/>
      <c r="D90" s="8907"/>
      <c r="E90" s="8907"/>
      <c r="F90" s="10191"/>
      <c r="G90" s="11890"/>
      <c r="H90" s="8907"/>
      <c r="I90" s="8799"/>
      <c r="J90" s="11915"/>
      <c r="K90" s="7310">
        <v>450000</v>
      </c>
      <c r="L90" s="10686" t="s">
        <v>11949</v>
      </c>
    </row>
    <row r="91" spans="1:12" ht="15" hidden="1" customHeight="1">
      <c r="A91" s="7624"/>
      <c r="B91" s="7287"/>
      <c r="C91" s="8802"/>
      <c r="D91" s="8907"/>
      <c r="E91" s="8907"/>
      <c r="F91" s="10191"/>
      <c r="G91" s="11890"/>
      <c r="H91" s="8907"/>
      <c r="I91" s="8799"/>
      <c r="J91" s="11915"/>
      <c r="K91" s="7310">
        <v>250000</v>
      </c>
      <c r="L91" s="10686" t="s">
        <v>11950</v>
      </c>
    </row>
    <row r="92" spans="1:12" ht="15" hidden="1" customHeight="1">
      <c r="A92" s="7624"/>
      <c r="B92" s="7287"/>
      <c r="C92" s="8802"/>
      <c r="D92" s="8907"/>
      <c r="E92" s="8907"/>
      <c r="F92" s="10191"/>
      <c r="G92" s="11890"/>
      <c r="H92" s="8907"/>
      <c r="I92" s="8799"/>
      <c r="J92" s="11915"/>
      <c r="K92" s="7310">
        <v>500000</v>
      </c>
      <c r="L92" s="10686" t="s">
        <v>11951</v>
      </c>
    </row>
    <row r="93" spans="1:12" ht="15" hidden="1" customHeight="1">
      <c r="A93" s="7624"/>
      <c r="B93" s="7287"/>
      <c r="C93" s="8802"/>
      <c r="D93" s="8907"/>
      <c r="E93" s="8907"/>
      <c r="F93" s="10191"/>
      <c r="G93" s="11890"/>
      <c r="H93" s="8907"/>
      <c r="I93" s="8799"/>
      <c r="J93" s="11915"/>
      <c r="K93" s="7310">
        <v>312000</v>
      </c>
      <c r="L93" s="10686" t="s">
        <v>11952</v>
      </c>
    </row>
    <row r="94" spans="1:12" ht="15" hidden="1" customHeight="1">
      <c r="A94" s="7624"/>
      <c r="B94" s="7287"/>
      <c r="C94" s="8802"/>
      <c r="D94" s="8907"/>
      <c r="E94" s="8907"/>
      <c r="F94" s="10191"/>
      <c r="G94" s="11890"/>
      <c r="H94" s="8907"/>
      <c r="I94" s="8799"/>
      <c r="J94" s="11915"/>
      <c r="K94" s="7310">
        <v>60000</v>
      </c>
      <c r="L94" s="10686" t="s">
        <v>11953</v>
      </c>
    </row>
    <row r="95" spans="1:12" ht="15" hidden="1" customHeight="1">
      <c r="A95" s="7624"/>
      <c r="B95" s="7287"/>
      <c r="C95" s="8802"/>
      <c r="D95" s="8907"/>
      <c r="E95" s="8907"/>
      <c r="F95" s="10191"/>
      <c r="G95" s="11890"/>
      <c r="H95" s="8907"/>
      <c r="I95" s="8799"/>
      <c r="J95" s="11915"/>
      <c r="K95" s="7310">
        <v>50000</v>
      </c>
      <c r="L95" s="10686" t="s">
        <v>11954</v>
      </c>
    </row>
    <row r="96" spans="1:12" ht="15" hidden="1" customHeight="1">
      <c r="A96" s="7624"/>
      <c r="B96" s="7287"/>
      <c r="C96" s="8802"/>
      <c r="D96" s="8907"/>
      <c r="E96" s="8907"/>
      <c r="F96" s="10191"/>
      <c r="G96" s="11890"/>
      <c r="H96" s="8907"/>
      <c r="I96" s="8799"/>
      <c r="J96" s="11915"/>
      <c r="K96" s="7310">
        <v>18000</v>
      </c>
      <c r="L96" s="10686" t="s">
        <v>11955</v>
      </c>
    </row>
    <row r="97" spans="1:13" ht="15" hidden="1" customHeight="1">
      <c r="A97" s="7624"/>
      <c r="B97" s="7287"/>
      <c r="C97" s="8802"/>
      <c r="D97" s="8907"/>
      <c r="E97" s="8907"/>
      <c r="F97" s="10191"/>
      <c r="G97" s="11890"/>
      <c r="H97" s="8907"/>
      <c r="I97" s="8799"/>
      <c r="J97" s="11915"/>
      <c r="K97" s="7310">
        <v>55000</v>
      </c>
      <c r="L97" s="10686" t="s">
        <v>11956</v>
      </c>
    </row>
    <row r="98" spans="1:13" ht="15" hidden="1" customHeight="1">
      <c r="A98" s="7624"/>
      <c r="B98" s="7287"/>
      <c r="C98" s="8802"/>
      <c r="D98" s="8907"/>
      <c r="E98" s="8907"/>
      <c r="F98" s="10191"/>
      <c r="G98" s="11890"/>
      <c r="H98" s="8907"/>
      <c r="I98" s="8799"/>
      <c r="J98" s="11915"/>
      <c r="K98" s="7310">
        <v>15000</v>
      </c>
      <c r="L98" s="10686" t="s">
        <v>11957</v>
      </c>
    </row>
    <row r="99" spans="1:13" ht="15" hidden="1" customHeight="1">
      <c r="A99" s="7624"/>
      <c r="B99" s="7287"/>
      <c r="C99" s="8802"/>
      <c r="D99" s="8907"/>
      <c r="E99" s="8907"/>
      <c r="F99" s="10191"/>
      <c r="G99" s="11890"/>
      <c r="H99" s="8907"/>
      <c r="I99" s="8799"/>
      <c r="J99" s="11915"/>
      <c r="K99" s="7310">
        <v>15000</v>
      </c>
      <c r="L99" s="10686" t="s">
        <v>10255</v>
      </c>
    </row>
    <row r="100" spans="1:13" ht="15" customHeight="1">
      <c r="A100" s="7624"/>
      <c r="B100" s="7784" t="s">
        <v>10977</v>
      </c>
      <c r="C100" s="8802">
        <v>50705990</v>
      </c>
      <c r="D100" s="8907"/>
      <c r="E100" s="8907"/>
      <c r="F100" s="8907"/>
      <c r="G100" s="8907">
        <v>0</v>
      </c>
      <c r="H100" s="8907"/>
      <c r="I100" s="8799"/>
      <c r="J100" s="11906">
        <v>300000</v>
      </c>
    </row>
    <row r="101" spans="1:13" ht="15" hidden="1" customHeight="1">
      <c r="A101" s="7624"/>
      <c r="B101" s="7784" t="s">
        <v>11946</v>
      </c>
      <c r="C101" s="8802"/>
      <c r="D101" s="8907"/>
      <c r="E101" s="8907"/>
      <c r="F101" s="8907"/>
      <c r="G101" s="8907"/>
      <c r="H101" s="8907"/>
      <c r="I101" s="8799"/>
      <c r="J101" s="11906"/>
    </row>
    <row r="102" spans="1:13" ht="15" customHeight="1">
      <c r="A102" s="7624"/>
      <c r="B102" s="7287" t="s">
        <v>5023</v>
      </c>
      <c r="C102" s="8802">
        <v>50707010</v>
      </c>
      <c r="D102" s="8907"/>
      <c r="E102" s="8907"/>
      <c r="F102" s="10191">
        <f>G102-E102</f>
        <v>260000</v>
      </c>
      <c r="G102" s="8907">
        <v>260000</v>
      </c>
      <c r="H102" s="8907">
        <v>190000</v>
      </c>
      <c r="I102" s="8799">
        <f>H102/G102</f>
        <v>0.73076923076923073</v>
      </c>
      <c r="J102" s="11906"/>
    </row>
    <row r="103" spans="1:13" ht="15" hidden="1" customHeight="1">
      <c r="A103" s="7624"/>
      <c r="B103" s="7615" t="s">
        <v>10978</v>
      </c>
      <c r="C103" s="10685">
        <v>50704010</v>
      </c>
      <c r="D103" s="8907"/>
      <c r="E103" s="8907"/>
      <c r="F103" s="10191">
        <f>G103-E103</f>
        <v>0</v>
      </c>
      <c r="G103" s="8907">
        <v>0</v>
      </c>
      <c r="H103" s="8907"/>
      <c r="I103" s="8799"/>
      <c r="J103" s="11906"/>
    </row>
    <row r="104" spans="1:13" ht="15" hidden="1" customHeight="1">
      <c r="A104" s="7624"/>
      <c r="B104" s="11891" t="s">
        <v>11560</v>
      </c>
      <c r="C104" s="10685"/>
      <c r="D104" s="8907"/>
      <c r="E104" s="8907"/>
      <c r="F104" s="8907"/>
      <c r="G104" s="11916"/>
      <c r="H104" s="8907"/>
      <c r="I104" s="8799"/>
      <c r="J104" s="11917"/>
    </row>
    <row r="105" spans="1:13" ht="15" customHeight="1">
      <c r="A105" s="7624"/>
      <c r="B105" s="7622" t="s">
        <v>37</v>
      </c>
      <c r="C105" s="10685"/>
      <c r="D105" s="11918">
        <f>SUM(D82:D100)</f>
        <v>194308</v>
      </c>
      <c r="E105" s="11918">
        <f>SUM(E82:E100)</f>
        <v>0</v>
      </c>
      <c r="F105" s="11918">
        <f>SUM(F82:F100)</f>
        <v>180000</v>
      </c>
      <c r="G105" s="11136">
        <f>SUM(G82:G100)</f>
        <v>180000</v>
      </c>
      <c r="H105" s="11918">
        <f>SUM(H83:H104)</f>
        <v>268990</v>
      </c>
      <c r="I105" s="9466"/>
      <c r="J105" s="11137">
        <f>SUM(J82:J100)</f>
        <v>785000</v>
      </c>
      <c r="K105" s="10391">
        <f>(J105-G105)/G105</f>
        <v>3.3611111111111112</v>
      </c>
      <c r="M105" s="7606">
        <v>785000</v>
      </c>
    </row>
    <row r="106" spans="1:13" ht="15" customHeight="1">
      <c r="A106" s="7624" t="s">
        <v>53</v>
      </c>
      <c r="B106" s="7615" t="s">
        <v>54</v>
      </c>
      <c r="C106" s="10685"/>
      <c r="D106" s="8907"/>
      <c r="E106" s="8907"/>
      <c r="F106" s="8907"/>
      <c r="G106" s="8907"/>
      <c r="H106" s="8907"/>
      <c r="I106" s="8799"/>
      <c r="J106" s="11906"/>
    </row>
    <row r="107" spans="1:13" ht="15" customHeight="1">
      <c r="A107" s="7624"/>
      <c r="B107" s="7615"/>
      <c r="C107" s="10685"/>
      <c r="D107" s="8907"/>
      <c r="E107" s="8907"/>
      <c r="F107" s="8907"/>
      <c r="G107" s="8907"/>
      <c r="H107" s="8907"/>
      <c r="I107" s="8799"/>
      <c r="J107" s="11906"/>
    </row>
    <row r="108" spans="1:13" ht="15" customHeight="1">
      <c r="A108" s="7624"/>
      <c r="B108" s="7615"/>
      <c r="C108" s="10685"/>
      <c r="D108" s="8907"/>
      <c r="E108" s="8907"/>
      <c r="F108" s="8907"/>
      <c r="G108" s="8907"/>
      <c r="H108" s="8907"/>
      <c r="I108" s="8799"/>
      <c r="J108" s="11906"/>
    </row>
    <row r="109" spans="1:13" ht="15" customHeight="1">
      <c r="A109" s="7624"/>
      <c r="B109" s="7615"/>
      <c r="C109" s="10685"/>
      <c r="D109" s="11916"/>
      <c r="E109" s="11916"/>
      <c r="F109" s="11916"/>
      <c r="G109" s="11916"/>
      <c r="H109" s="11916"/>
      <c r="I109" s="7373"/>
      <c r="J109" s="11917"/>
    </row>
    <row r="110" spans="1:13" s="7626" customFormat="1" ht="15" customHeight="1">
      <c r="A110" s="7638"/>
      <c r="B110" s="7622" t="s">
        <v>37</v>
      </c>
      <c r="C110" s="11897"/>
      <c r="D110" s="11919">
        <v>0</v>
      </c>
      <c r="E110" s="11919">
        <v>0</v>
      </c>
      <c r="F110" s="11919">
        <v>0</v>
      </c>
      <c r="G110" s="11919">
        <v>0</v>
      </c>
      <c r="H110" s="11919"/>
      <c r="I110" s="9466"/>
      <c r="J110" s="11920">
        <v>0</v>
      </c>
      <c r="L110" s="10688"/>
    </row>
    <row r="111" spans="1:13" s="7626" customFormat="1" ht="15" customHeight="1">
      <c r="A111" s="7625"/>
      <c r="B111" s="11921"/>
      <c r="C111" s="11922"/>
      <c r="D111" s="11923"/>
      <c r="E111" s="11923"/>
      <c r="F111" s="11923"/>
      <c r="G111" s="11923"/>
      <c r="H111" s="11923"/>
      <c r="I111" s="8874"/>
      <c r="J111" s="11924"/>
      <c r="L111" s="10688"/>
    </row>
    <row r="112" spans="1:13" ht="15" customHeight="1" thickBot="1">
      <c r="A112" s="11925"/>
      <c r="B112" s="11926" t="s">
        <v>55</v>
      </c>
      <c r="C112" s="11927"/>
      <c r="D112" s="11911">
        <f>(D30+D70+D105+D110)</f>
        <v>19730939.710000001</v>
      </c>
      <c r="E112" s="11911">
        <f>(E30+E70+E105+E110)</f>
        <v>8010273.79</v>
      </c>
      <c r="F112" s="11911">
        <f>(F30+F70+F105+F110)</f>
        <v>22641109.210000001</v>
      </c>
      <c r="G112" s="11911">
        <f>(G30+G70+G105+G110)</f>
        <v>30651383</v>
      </c>
      <c r="H112" s="11911"/>
      <c r="I112" s="11449"/>
      <c r="J112" s="11912">
        <f>(J30+J70+J105+J110)</f>
        <v>34922565.409999996</v>
      </c>
      <c r="K112" s="10391">
        <f>(J112-G112)/G112</f>
        <v>0.13934713516841954</v>
      </c>
    </row>
    <row r="113" spans="1:12" s="7333" customFormat="1" ht="15" customHeight="1">
      <c r="A113" s="7738" t="s">
        <v>4763</v>
      </c>
      <c r="B113" s="7738"/>
      <c r="C113" s="7739"/>
      <c r="D113" s="7740"/>
      <c r="E113" s="7740"/>
      <c r="F113" s="7740"/>
      <c r="G113" s="7741"/>
      <c r="H113" s="7740"/>
      <c r="I113" s="7742"/>
      <c r="J113" s="7741"/>
      <c r="K113" s="7748"/>
      <c r="L113" s="10689"/>
    </row>
    <row r="114" spans="1:12" ht="15" customHeight="1">
      <c r="A114" s="7607"/>
      <c r="B114" s="7607"/>
      <c r="C114" s="7609"/>
      <c r="D114" s="7614"/>
      <c r="E114" s="7614"/>
      <c r="F114" s="7614"/>
      <c r="H114" s="7614"/>
      <c r="I114" s="7286"/>
    </row>
    <row r="115" spans="1:12" ht="15" hidden="1" customHeight="1">
      <c r="A115" s="7335" t="s">
        <v>3483</v>
      </c>
      <c r="B115" s="7335"/>
      <c r="C115" s="7606"/>
      <c r="D115" s="10884" t="s">
        <v>3484</v>
      </c>
      <c r="E115" s="7336"/>
      <c r="F115" s="7336"/>
      <c r="G115" s="7337" t="s">
        <v>10666</v>
      </c>
      <c r="H115" s="7336"/>
      <c r="I115" s="7286"/>
      <c r="J115" s="7338"/>
    </row>
    <row r="116" spans="1:12" s="7626" customFormat="1" ht="15" hidden="1" customHeight="1">
      <c r="A116" s="7335"/>
      <c r="B116" s="7335"/>
      <c r="D116" s="10884"/>
      <c r="E116" s="7336"/>
      <c r="F116" s="7336"/>
      <c r="G116" s="7339"/>
      <c r="H116" s="7336"/>
      <c r="I116" s="7286"/>
      <c r="J116" s="7338"/>
      <c r="L116" s="10688"/>
    </row>
    <row r="117" spans="1:12" ht="15" hidden="1" customHeight="1">
      <c r="A117" s="7335"/>
      <c r="B117" s="7335"/>
      <c r="C117" s="7606"/>
      <c r="D117" s="10884"/>
      <c r="E117" s="7336"/>
      <c r="F117" s="7336"/>
      <c r="G117" s="7339"/>
      <c r="H117" s="7336"/>
      <c r="I117" s="7286"/>
      <c r="J117" s="7338"/>
    </row>
    <row r="118" spans="1:12" ht="15" hidden="1" customHeight="1">
      <c r="A118" s="7341"/>
      <c r="B118" s="10885" t="s">
        <v>10807</v>
      </c>
      <c r="D118" s="10872" t="s">
        <v>12059</v>
      </c>
      <c r="E118" s="9431"/>
      <c r="F118" s="9431"/>
      <c r="G118" s="7342" t="s">
        <v>10667</v>
      </c>
      <c r="H118" s="9431"/>
      <c r="I118" s="7284"/>
      <c r="J118" s="7343"/>
    </row>
    <row r="119" spans="1:12" ht="15" hidden="1" customHeight="1">
      <c r="A119" s="7335" t="s">
        <v>10344</v>
      </c>
      <c r="B119" s="10884" t="s">
        <v>10808</v>
      </c>
      <c r="C119" s="10884"/>
      <c r="D119" s="10869" t="s">
        <v>3486</v>
      </c>
      <c r="E119" s="7336"/>
      <c r="F119" s="7336"/>
      <c r="G119" s="7344" t="s">
        <v>10668</v>
      </c>
      <c r="H119" s="7336"/>
      <c r="I119" s="7286"/>
      <c r="J119" s="7338"/>
    </row>
    <row r="120" spans="1:12" ht="15" hidden="1" customHeight="1">
      <c r="A120" s="7607"/>
      <c r="B120" s="7607"/>
      <c r="C120" s="7609"/>
      <c r="D120" s="7614"/>
      <c r="E120" s="7614"/>
      <c r="F120" s="7614"/>
      <c r="G120" s="7614" t="s">
        <v>11072</v>
      </c>
      <c r="H120" s="7614">
        <f>J112-G112</f>
        <v>4271182.4099999964</v>
      </c>
      <c r="I120" s="7286">
        <f>H120/G112</f>
        <v>0.13934713516841954</v>
      </c>
      <c r="J120" s="7345"/>
    </row>
    <row r="121" spans="1:12" ht="15" hidden="1" customHeight="1">
      <c r="A121" s="7607"/>
      <c r="B121" s="7607"/>
      <c r="C121" s="7609"/>
      <c r="D121" s="7614"/>
      <c r="E121" s="7614"/>
      <c r="F121" s="7614"/>
      <c r="H121" s="7628"/>
      <c r="I121" s="7286"/>
      <c r="J121" s="7614"/>
    </row>
    <row r="122" spans="1:12" ht="15" hidden="1" customHeight="1">
      <c r="A122" s="7607"/>
      <c r="B122" s="7607"/>
      <c r="C122" s="7609"/>
      <c r="D122" s="7614"/>
      <c r="E122" s="9430"/>
      <c r="F122" s="7614"/>
      <c r="G122" s="7614"/>
      <c r="I122" s="7286"/>
      <c r="J122" s="7614"/>
    </row>
    <row r="123" spans="1:12" ht="15" hidden="1" customHeight="1">
      <c r="A123" s="7607"/>
      <c r="B123" s="7607"/>
      <c r="C123" s="7609"/>
      <c r="D123" s="7614"/>
      <c r="E123" s="7614"/>
      <c r="F123" s="7614"/>
      <c r="G123" s="7336" t="s">
        <v>11069</v>
      </c>
      <c r="H123" s="7614">
        <v>23397917</v>
      </c>
      <c r="I123" s="7286"/>
      <c r="J123" s="7614"/>
    </row>
    <row r="124" spans="1:12" ht="15" hidden="1" customHeight="1">
      <c r="G124" s="7336" t="s">
        <v>11070</v>
      </c>
      <c r="H124" s="7627">
        <f>G112-H123</f>
        <v>7253466</v>
      </c>
    </row>
    <row r="125" spans="1:12" ht="15" customHeight="1">
      <c r="G125" s="7347"/>
      <c r="H125" s="7899">
        <f>H124/H123</f>
        <v>0.31000477521140024</v>
      </c>
    </row>
  </sheetData>
  <mergeCells count="8">
    <mergeCell ref="A1:J1"/>
    <mergeCell ref="E78:G78"/>
    <mergeCell ref="G79:G80"/>
    <mergeCell ref="E7:G7"/>
    <mergeCell ref="G8:G9"/>
    <mergeCell ref="E39:G39"/>
    <mergeCell ref="G40:G41"/>
    <mergeCell ref="J4:J5"/>
  </mergeCells>
  <printOptions horizontalCentered="1" gridLinesSet="0"/>
  <pageMargins left="0.25" right="0.25" top="0.5" bottom="0.25" header="0.25" footer="0.25"/>
  <pageSetup paperSize="119" firstPageNumber="311" orientation="landscape" useFirstPageNumber="1" r:id="rId1"/>
  <headerFooter alignWithMargins="0"/>
</worksheet>
</file>

<file path=xl/worksheets/sheet158.xml><?xml version="1.0" encoding="utf-8"?>
<worksheet xmlns="http://schemas.openxmlformats.org/spreadsheetml/2006/main" xmlns:r="http://schemas.openxmlformats.org/officeDocument/2006/relationships">
  <sheetPr codeName="Sheet183">
    <tabColor rgb="FFFFFF00"/>
  </sheetPr>
  <dimension ref="A1:F40"/>
  <sheetViews>
    <sheetView workbookViewId="0">
      <selection activeCell="C15" sqref="C15"/>
    </sheetView>
  </sheetViews>
  <sheetFormatPr defaultRowHeight="13.2"/>
  <cols>
    <col min="1" max="1" width="34.109375" style="2334" customWidth="1"/>
    <col min="2" max="2" width="2.88671875" style="2334" customWidth="1"/>
    <col min="3" max="3" width="13.44140625" style="2335" customWidth="1"/>
    <col min="4" max="4" width="17.109375" style="2335" customWidth="1"/>
    <col min="5" max="6" width="15.109375" style="2335" customWidth="1"/>
    <col min="7" max="256" width="9.109375" style="2334"/>
    <col min="257" max="257" width="34.109375" style="2334" customWidth="1"/>
    <col min="258" max="258" width="2.88671875" style="2334" customWidth="1"/>
    <col min="259" max="259" width="13.44140625" style="2334" customWidth="1"/>
    <col min="260" max="260" width="17" style="2334" customWidth="1"/>
    <col min="261" max="261" width="16.44140625" style="2334" customWidth="1"/>
    <col min="262" max="262" width="17.109375" style="2334" customWidth="1"/>
    <col min="263" max="512" width="9.109375" style="2334"/>
    <col min="513" max="513" width="34.109375" style="2334" customWidth="1"/>
    <col min="514" max="514" width="2.88671875" style="2334" customWidth="1"/>
    <col min="515" max="515" width="13.44140625" style="2334" customWidth="1"/>
    <col min="516" max="516" width="17" style="2334" customWidth="1"/>
    <col min="517" max="517" width="16.44140625" style="2334" customWidth="1"/>
    <col min="518" max="518" width="17.109375" style="2334" customWidth="1"/>
    <col min="519" max="768" width="9.109375" style="2334"/>
    <col min="769" max="769" width="34.109375" style="2334" customWidth="1"/>
    <col min="770" max="770" width="2.88671875" style="2334" customWidth="1"/>
    <col min="771" max="771" width="13.44140625" style="2334" customWidth="1"/>
    <col min="772" max="772" width="17" style="2334" customWidth="1"/>
    <col min="773" max="773" width="16.44140625" style="2334" customWidth="1"/>
    <col min="774" max="774" width="17.109375" style="2334" customWidth="1"/>
    <col min="775" max="1024" width="9.109375" style="2334"/>
    <col min="1025" max="1025" width="34.109375" style="2334" customWidth="1"/>
    <col min="1026" max="1026" width="2.88671875" style="2334" customWidth="1"/>
    <col min="1027" max="1027" width="13.44140625" style="2334" customWidth="1"/>
    <col min="1028" max="1028" width="17" style="2334" customWidth="1"/>
    <col min="1029" max="1029" width="16.44140625" style="2334" customWidth="1"/>
    <col min="1030" max="1030" width="17.109375" style="2334" customWidth="1"/>
    <col min="1031" max="1280" width="9.109375" style="2334"/>
    <col min="1281" max="1281" width="34.109375" style="2334" customWidth="1"/>
    <col min="1282" max="1282" width="2.88671875" style="2334" customWidth="1"/>
    <col min="1283" max="1283" width="13.44140625" style="2334" customWidth="1"/>
    <col min="1284" max="1284" width="17" style="2334" customWidth="1"/>
    <col min="1285" max="1285" width="16.44140625" style="2334" customWidth="1"/>
    <col min="1286" max="1286" width="17.109375" style="2334" customWidth="1"/>
    <col min="1287" max="1536" width="9.109375" style="2334"/>
    <col min="1537" max="1537" width="34.109375" style="2334" customWidth="1"/>
    <col min="1538" max="1538" width="2.88671875" style="2334" customWidth="1"/>
    <col min="1539" max="1539" width="13.44140625" style="2334" customWidth="1"/>
    <col min="1540" max="1540" width="17" style="2334" customWidth="1"/>
    <col min="1541" max="1541" width="16.44140625" style="2334" customWidth="1"/>
    <col min="1542" max="1542" width="17.109375" style="2334" customWidth="1"/>
    <col min="1543" max="1792" width="9.109375" style="2334"/>
    <col min="1793" max="1793" width="34.109375" style="2334" customWidth="1"/>
    <col min="1794" max="1794" width="2.88671875" style="2334" customWidth="1"/>
    <col min="1795" max="1795" width="13.44140625" style="2334" customWidth="1"/>
    <col min="1796" max="1796" width="17" style="2334" customWidth="1"/>
    <col min="1797" max="1797" width="16.44140625" style="2334" customWidth="1"/>
    <col min="1798" max="1798" width="17.109375" style="2334" customWidth="1"/>
    <col min="1799" max="2048" width="9.109375" style="2334"/>
    <col min="2049" max="2049" width="34.109375" style="2334" customWidth="1"/>
    <col min="2050" max="2050" width="2.88671875" style="2334" customWidth="1"/>
    <col min="2051" max="2051" width="13.44140625" style="2334" customWidth="1"/>
    <col min="2052" max="2052" width="17" style="2334" customWidth="1"/>
    <col min="2053" max="2053" width="16.44140625" style="2334" customWidth="1"/>
    <col min="2054" max="2054" width="17.109375" style="2334" customWidth="1"/>
    <col min="2055" max="2304" width="9.109375" style="2334"/>
    <col min="2305" max="2305" width="34.109375" style="2334" customWidth="1"/>
    <col min="2306" max="2306" width="2.88671875" style="2334" customWidth="1"/>
    <col min="2307" max="2307" width="13.44140625" style="2334" customWidth="1"/>
    <col min="2308" max="2308" width="17" style="2334" customWidth="1"/>
    <col min="2309" max="2309" width="16.44140625" style="2334" customWidth="1"/>
    <col min="2310" max="2310" width="17.109375" style="2334" customWidth="1"/>
    <col min="2311" max="2560" width="9.109375" style="2334"/>
    <col min="2561" max="2561" width="34.109375" style="2334" customWidth="1"/>
    <col min="2562" max="2562" width="2.88671875" style="2334" customWidth="1"/>
    <col min="2563" max="2563" width="13.44140625" style="2334" customWidth="1"/>
    <col min="2564" max="2564" width="17" style="2334" customWidth="1"/>
    <col min="2565" max="2565" width="16.44140625" style="2334" customWidth="1"/>
    <col min="2566" max="2566" width="17.109375" style="2334" customWidth="1"/>
    <col min="2567" max="2816" width="9.109375" style="2334"/>
    <col min="2817" max="2817" width="34.109375" style="2334" customWidth="1"/>
    <col min="2818" max="2818" width="2.88671875" style="2334" customWidth="1"/>
    <col min="2819" max="2819" width="13.44140625" style="2334" customWidth="1"/>
    <col min="2820" max="2820" width="17" style="2334" customWidth="1"/>
    <col min="2821" max="2821" width="16.44140625" style="2334" customWidth="1"/>
    <col min="2822" max="2822" width="17.109375" style="2334" customWidth="1"/>
    <col min="2823" max="3072" width="9.109375" style="2334"/>
    <col min="3073" max="3073" width="34.109375" style="2334" customWidth="1"/>
    <col min="3074" max="3074" width="2.88671875" style="2334" customWidth="1"/>
    <col min="3075" max="3075" width="13.44140625" style="2334" customWidth="1"/>
    <col min="3076" max="3076" width="17" style="2334" customWidth="1"/>
    <col min="3077" max="3077" width="16.44140625" style="2334" customWidth="1"/>
    <col min="3078" max="3078" width="17.109375" style="2334" customWidth="1"/>
    <col min="3079" max="3328" width="9.109375" style="2334"/>
    <col min="3329" max="3329" width="34.109375" style="2334" customWidth="1"/>
    <col min="3330" max="3330" width="2.88671875" style="2334" customWidth="1"/>
    <col min="3331" max="3331" width="13.44140625" style="2334" customWidth="1"/>
    <col min="3332" max="3332" width="17" style="2334" customWidth="1"/>
    <col min="3333" max="3333" width="16.44140625" style="2334" customWidth="1"/>
    <col min="3334" max="3334" width="17.109375" style="2334" customWidth="1"/>
    <col min="3335" max="3584" width="9.109375" style="2334"/>
    <col min="3585" max="3585" width="34.109375" style="2334" customWidth="1"/>
    <col min="3586" max="3586" width="2.88671875" style="2334" customWidth="1"/>
    <col min="3587" max="3587" width="13.44140625" style="2334" customWidth="1"/>
    <col min="3588" max="3588" width="17" style="2334" customWidth="1"/>
    <col min="3589" max="3589" width="16.44140625" style="2334" customWidth="1"/>
    <col min="3590" max="3590" width="17.109375" style="2334" customWidth="1"/>
    <col min="3591" max="3840" width="9.109375" style="2334"/>
    <col min="3841" max="3841" width="34.109375" style="2334" customWidth="1"/>
    <col min="3842" max="3842" width="2.88671875" style="2334" customWidth="1"/>
    <col min="3843" max="3843" width="13.44140625" style="2334" customWidth="1"/>
    <col min="3844" max="3844" width="17" style="2334" customWidth="1"/>
    <col min="3845" max="3845" width="16.44140625" style="2334" customWidth="1"/>
    <col min="3846" max="3846" width="17.109375" style="2334" customWidth="1"/>
    <col min="3847" max="4096" width="9.109375" style="2334"/>
    <col min="4097" max="4097" width="34.109375" style="2334" customWidth="1"/>
    <col min="4098" max="4098" width="2.88671875" style="2334" customWidth="1"/>
    <col min="4099" max="4099" width="13.44140625" style="2334" customWidth="1"/>
    <col min="4100" max="4100" width="17" style="2334" customWidth="1"/>
    <col min="4101" max="4101" width="16.44140625" style="2334" customWidth="1"/>
    <col min="4102" max="4102" width="17.109375" style="2334" customWidth="1"/>
    <col min="4103" max="4352" width="9.109375" style="2334"/>
    <col min="4353" max="4353" width="34.109375" style="2334" customWidth="1"/>
    <col min="4354" max="4354" width="2.88671875" style="2334" customWidth="1"/>
    <col min="4355" max="4355" width="13.44140625" style="2334" customWidth="1"/>
    <col min="4356" max="4356" width="17" style="2334" customWidth="1"/>
    <col min="4357" max="4357" width="16.44140625" style="2334" customWidth="1"/>
    <col min="4358" max="4358" width="17.109375" style="2334" customWidth="1"/>
    <col min="4359" max="4608" width="9.109375" style="2334"/>
    <col min="4609" max="4609" width="34.109375" style="2334" customWidth="1"/>
    <col min="4610" max="4610" width="2.88671875" style="2334" customWidth="1"/>
    <col min="4611" max="4611" width="13.44140625" style="2334" customWidth="1"/>
    <col min="4612" max="4612" width="17" style="2334" customWidth="1"/>
    <col min="4613" max="4613" width="16.44140625" style="2334" customWidth="1"/>
    <col min="4614" max="4614" width="17.109375" style="2334" customWidth="1"/>
    <col min="4615" max="4864" width="9.109375" style="2334"/>
    <col min="4865" max="4865" width="34.109375" style="2334" customWidth="1"/>
    <col min="4866" max="4866" width="2.88671875" style="2334" customWidth="1"/>
    <col min="4867" max="4867" width="13.44140625" style="2334" customWidth="1"/>
    <col min="4868" max="4868" width="17" style="2334" customWidth="1"/>
    <col min="4869" max="4869" width="16.44140625" style="2334" customWidth="1"/>
    <col min="4870" max="4870" width="17.109375" style="2334" customWidth="1"/>
    <col min="4871" max="5120" width="9.109375" style="2334"/>
    <col min="5121" max="5121" width="34.109375" style="2334" customWidth="1"/>
    <col min="5122" max="5122" width="2.88671875" style="2334" customWidth="1"/>
    <col min="5123" max="5123" width="13.44140625" style="2334" customWidth="1"/>
    <col min="5124" max="5124" width="17" style="2334" customWidth="1"/>
    <col min="5125" max="5125" width="16.44140625" style="2334" customWidth="1"/>
    <col min="5126" max="5126" width="17.109375" style="2334" customWidth="1"/>
    <col min="5127" max="5376" width="9.109375" style="2334"/>
    <col min="5377" max="5377" width="34.109375" style="2334" customWidth="1"/>
    <col min="5378" max="5378" width="2.88671875" style="2334" customWidth="1"/>
    <col min="5379" max="5379" width="13.44140625" style="2334" customWidth="1"/>
    <col min="5380" max="5380" width="17" style="2334" customWidth="1"/>
    <col min="5381" max="5381" width="16.44140625" style="2334" customWidth="1"/>
    <col min="5382" max="5382" width="17.109375" style="2334" customWidth="1"/>
    <col min="5383" max="5632" width="9.109375" style="2334"/>
    <col min="5633" max="5633" width="34.109375" style="2334" customWidth="1"/>
    <col min="5634" max="5634" width="2.88671875" style="2334" customWidth="1"/>
    <col min="5635" max="5635" width="13.44140625" style="2334" customWidth="1"/>
    <col min="5636" max="5636" width="17" style="2334" customWidth="1"/>
    <col min="5637" max="5637" width="16.44140625" style="2334" customWidth="1"/>
    <col min="5638" max="5638" width="17.109375" style="2334" customWidth="1"/>
    <col min="5639" max="5888" width="9.109375" style="2334"/>
    <col min="5889" max="5889" width="34.109375" style="2334" customWidth="1"/>
    <col min="5890" max="5890" width="2.88671875" style="2334" customWidth="1"/>
    <col min="5891" max="5891" width="13.44140625" style="2334" customWidth="1"/>
    <col min="5892" max="5892" width="17" style="2334" customWidth="1"/>
    <col min="5893" max="5893" width="16.44140625" style="2334" customWidth="1"/>
    <col min="5894" max="5894" width="17.109375" style="2334" customWidth="1"/>
    <col min="5895" max="6144" width="9.109375" style="2334"/>
    <col min="6145" max="6145" width="34.109375" style="2334" customWidth="1"/>
    <col min="6146" max="6146" width="2.88671875" style="2334" customWidth="1"/>
    <col min="6147" max="6147" width="13.44140625" style="2334" customWidth="1"/>
    <col min="6148" max="6148" width="17" style="2334" customWidth="1"/>
    <col min="6149" max="6149" width="16.44140625" style="2334" customWidth="1"/>
    <col min="6150" max="6150" width="17.109375" style="2334" customWidth="1"/>
    <col min="6151" max="6400" width="9.109375" style="2334"/>
    <col min="6401" max="6401" width="34.109375" style="2334" customWidth="1"/>
    <col min="6402" max="6402" width="2.88671875" style="2334" customWidth="1"/>
    <col min="6403" max="6403" width="13.44140625" style="2334" customWidth="1"/>
    <col min="6404" max="6404" width="17" style="2334" customWidth="1"/>
    <col min="6405" max="6405" width="16.44140625" style="2334" customWidth="1"/>
    <col min="6406" max="6406" width="17.109375" style="2334" customWidth="1"/>
    <col min="6407" max="6656" width="9.109375" style="2334"/>
    <col min="6657" max="6657" width="34.109375" style="2334" customWidth="1"/>
    <col min="6658" max="6658" width="2.88671875" style="2334" customWidth="1"/>
    <col min="6659" max="6659" width="13.44140625" style="2334" customWidth="1"/>
    <col min="6660" max="6660" width="17" style="2334" customWidth="1"/>
    <col min="6661" max="6661" width="16.44140625" style="2334" customWidth="1"/>
    <col min="6662" max="6662" width="17.109375" style="2334" customWidth="1"/>
    <col min="6663" max="6912" width="9.109375" style="2334"/>
    <col min="6913" max="6913" width="34.109375" style="2334" customWidth="1"/>
    <col min="6914" max="6914" width="2.88671875" style="2334" customWidth="1"/>
    <col min="6915" max="6915" width="13.44140625" style="2334" customWidth="1"/>
    <col min="6916" max="6916" width="17" style="2334" customWidth="1"/>
    <col min="6917" max="6917" width="16.44140625" style="2334" customWidth="1"/>
    <col min="6918" max="6918" width="17.109375" style="2334" customWidth="1"/>
    <col min="6919" max="7168" width="9.109375" style="2334"/>
    <col min="7169" max="7169" width="34.109375" style="2334" customWidth="1"/>
    <col min="7170" max="7170" width="2.88671875" style="2334" customWidth="1"/>
    <col min="7171" max="7171" width="13.44140625" style="2334" customWidth="1"/>
    <col min="7172" max="7172" width="17" style="2334" customWidth="1"/>
    <col min="7173" max="7173" width="16.44140625" style="2334" customWidth="1"/>
    <col min="7174" max="7174" width="17.109375" style="2334" customWidth="1"/>
    <col min="7175" max="7424" width="9.109375" style="2334"/>
    <col min="7425" max="7425" width="34.109375" style="2334" customWidth="1"/>
    <col min="7426" max="7426" width="2.88671875" style="2334" customWidth="1"/>
    <col min="7427" max="7427" width="13.44140625" style="2334" customWidth="1"/>
    <col min="7428" max="7428" width="17" style="2334" customWidth="1"/>
    <col min="7429" max="7429" width="16.44140625" style="2334" customWidth="1"/>
    <col min="7430" max="7430" width="17.109375" style="2334" customWidth="1"/>
    <col min="7431" max="7680" width="9.109375" style="2334"/>
    <col min="7681" max="7681" width="34.109375" style="2334" customWidth="1"/>
    <col min="7682" max="7682" width="2.88671875" style="2334" customWidth="1"/>
    <col min="7683" max="7683" width="13.44140625" style="2334" customWidth="1"/>
    <col min="7684" max="7684" width="17" style="2334" customWidth="1"/>
    <col min="7685" max="7685" width="16.44140625" style="2334" customWidth="1"/>
    <col min="7686" max="7686" width="17.109375" style="2334" customWidth="1"/>
    <col min="7687" max="7936" width="9.109375" style="2334"/>
    <col min="7937" max="7937" width="34.109375" style="2334" customWidth="1"/>
    <col min="7938" max="7938" width="2.88671875" style="2334" customWidth="1"/>
    <col min="7939" max="7939" width="13.44140625" style="2334" customWidth="1"/>
    <col min="7940" max="7940" width="17" style="2334" customWidth="1"/>
    <col min="7941" max="7941" width="16.44140625" style="2334" customWidth="1"/>
    <col min="7942" max="7942" width="17.109375" style="2334" customWidth="1"/>
    <col min="7943" max="8192" width="9.109375" style="2334"/>
    <col min="8193" max="8193" width="34.109375" style="2334" customWidth="1"/>
    <col min="8194" max="8194" width="2.88671875" style="2334" customWidth="1"/>
    <col min="8195" max="8195" width="13.44140625" style="2334" customWidth="1"/>
    <col min="8196" max="8196" width="17" style="2334" customWidth="1"/>
    <col min="8197" max="8197" width="16.44140625" style="2334" customWidth="1"/>
    <col min="8198" max="8198" width="17.109375" style="2334" customWidth="1"/>
    <col min="8199" max="8448" width="9.109375" style="2334"/>
    <col min="8449" max="8449" width="34.109375" style="2334" customWidth="1"/>
    <col min="8450" max="8450" width="2.88671875" style="2334" customWidth="1"/>
    <col min="8451" max="8451" width="13.44140625" style="2334" customWidth="1"/>
    <col min="8452" max="8452" width="17" style="2334" customWidth="1"/>
    <col min="8453" max="8453" width="16.44140625" style="2334" customWidth="1"/>
    <col min="8454" max="8454" width="17.109375" style="2334" customWidth="1"/>
    <col min="8455" max="8704" width="9.109375" style="2334"/>
    <col min="8705" max="8705" width="34.109375" style="2334" customWidth="1"/>
    <col min="8706" max="8706" width="2.88671875" style="2334" customWidth="1"/>
    <col min="8707" max="8707" width="13.44140625" style="2334" customWidth="1"/>
    <col min="8708" max="8708" width="17" style="2334" customWidth="1"/>
    <col min="8709" max="8709" width="16.44140625" style="2334" customWidth="1"/>
    <col min="8710" max="8710" width="17.109375" style="2334" customWidth="1"/>
    <col min="8711" max="8960" width="9.109375" style="2334"/>
    <col min="8961" max="8961" width="34.109375" style="2334" customWidth="1"/>
    <col min="8962" max="8962" width="2.88671875" style="2334" customWidth="1"/>
    <col min="8963" max="8963" width="13.44140625" style="2334" customWidth="1"/>
    <col min="8964" max="8964" width="17" style="2334" customWidth="1"/>
    <col min="8965" max="8965" width="16.44140625" style="2334" customWidth="1"/>
    <col min="8966" max="8966" width="17.109375" style="2334" customWidth="1"/>
    <col min="8967" max="9216" width="9.109375" style="2334"/>
    <col min="9217" max="9217" width="34.109375" style="2334" customWidth="1"/>
    <col min="9218" max="9218" width="2.88671875" style="2334" customWidth="1"/>
    <col min="9219" max="9219" width="13.44140625" style="2334" customWidth="1"/>
    <col min="9220" max="9220" width="17" style="2334" customWidth="1"/>
    <col min="9221" max="9221" width="16.44140625" style="2334" customWidth="1"/>
    <col min="9222" max="9222" width="17.109375" style="2334" customWidth="1"/>
    <col min="9223" max="9472" width="9.109375" style="2334"/>
    <col min="9473" max="9473" width="34.109375" style="2334" customWidth="1"/>
    <col min="9474" max="9474" width="2.88671875" style="2334" customWidth="1"/>
    <col min="9475" max="9475" width="13.44140625" style="2334" customWidth="1"/>
    <col min="9476" max="9476" width="17" style="2334" customWidth="1"/>
    <col min="9477" max="9477" width="16.44140625" style="2334" customWidth="1"/>
    <col min="9478" max="9478" width="17.109375" style="2334" customWidth="1"/>
    <col min="9479" max="9728" width="9.109375" style="2334"/>
    <col min="9729" max="9729" width="34.109375" style="2334" customWidth="1"/>
    <col min="9730" max="9730" width="2.88671875" style="2334" customWidth="1"/>
    <col min="9731" max="9731" width="13.44140625" style="2334" customWidth="1"/>
    <col min="9732" max="9732" width="17" style="2334" customWidth="1"/>
    <col min="9733" max="9733" width="16.44140625" style="2334" customWidth="1"/>
    <col min="9734" max="9734" width="17.109375" style="2334" customWidth="1"/>
    <col min="9735" max="9984" width="9.109375" style="2334"/>
    <col min="9985" max="9985" width="34.109375" style="2334" customWidth="1"/>
    <col min="9986" max="9986" width="2.88671875" style="2334" customWidth="1"/>
    <col min="9987" max="9987" width="13.44140625" style="2334" customWidth="1"/>
    <col min="9988" max="9988" width="17" style="2334" customWidth="1"/>
    <col min="9989" max="9989" width="16.44140625" style="2334" customWidth="1"/>
    <col min="9990" max="9990" width="17.109375" style="2334" customWidth="1"/>
    <col min="9991" max="10240" width="9.109375" style="2334"/>
    <col min="10241" max="10241" width="34.109375" style="2334" customWidth="1"/>
    <col min="10242" max="10242" width="2.88671875" style="2334" customWidth="1"/>
    <col min="10243" max="10243" width="13.44140625" style="2334" customWidth="1"/>
    <col min="10244" max="10244" width="17" style="2334" customWidth="1"/>
    <col min="10245" max="10245" width="16.44140625" style="2334" customWidth="1"/>
    <col min="10246" max="10246" width="17.109375" style="2334" customWidth="1"/>
    <col min="10247" max="10496" width="9.109375" style="2334"/>
    <col min="10497" max="10497" width="34.109375" style="2334" customWidth="1"/>
    <col min="10498" max="10498" width="2.88671875" style="2334" customWidth="1"/>
    <col min="10499" max="10499" width="13.44140625" style="2334" customWidth="1"/>
    <col min="10500" max="10500" width="17" style="2334" customWidth="1"/>
    <col min="10501" max="10501" width="16.44140625" style="2334" customWidth="1"/>
    <col min="10502" max="10502" width="17.109375" style="2334" customWidth="1"/>
    <col min="10503" max="10752" width="9.109375" style="2334"/>
    <col min="10753" max="10753" width="34.109375" style="2334" customWidth="1"/>
    <col min="10754" max="10754" width="2.88671875" style="2334" customWidth="1"/>
    <col min="10755" max="10755" width="13.44140625" style="2334" customWidth="1"/>
    <col min="10756" max="10756" width="17" style="2334" customWidth="1"/>
    <col min="10757" max="10757" width="16.44140625" style="2334" customWidth="1"/>
    <col min="10758" max="10758" width="17.109375" style="2334" customWidth="1"/>
    <col min="10759" max="11008" width="9.109375" style="2334"/>
    <col min="11009" max="11009" width="34.109375" style="2334" customWidth="1"/>
    <col min="11010" max="11010" width="2.88671875" style="2334" customWidth="1"/>
    <col min="11011" max="11011" width="13.44140625" style="2334" customWidth="1"/>
    <col min="11012" max="11012" width="17" style="2334" customWidth="1"/>
    <col min="11013" max="11013" width="16.44140625" style="2334" customWidth="1"/>
    <col min="11014" max="11014" width="17.109375" style="2334" customWidth="1"/>
    <col min="11015" max="11264" width="9.109375" style="2334"/>
    <col min="11265" max="11265" width="34.109375" style="2334" customWidth="1"/>
    <col min="11266" max="11266" width="2.88671875" style="2334" customWidth="1"/>
    <col min="11267" max="11267" width="13.44140625" style="2334" customWidth="1"/>
    <col min="11268" max="11268" width="17" style="2334" customWidth="1"/>
    <col min="11269" max="11269" width="16.44140625" style="2334" customWidth="1"/>
    <col min="11270" max="11270" width="17.109375" style="2334" customWidth="1"/>
    <col min="11271" max="11520" width="9.109375" style="2334"/>
    <col min="11521" max="11521" width="34.109375" style="2334" customWidth="1"/>
    <col min="11522" max="11522" width="2.88671875" style="2334" customWidth="1"/>
    <col min="11523" max="11523" width="13.44140625" style="2334" customWidth="1"/>
    <col min="11524" max="11524" width="17" style="2334" customWidth="1"/>
    <col min="11525" max="11525" width="16.44140625" style="2334" customWidth="1"/>
    <col min="11526" max="11526" width="17.109375" style="2334" customWidth="1"/>
    <col min="11527" max="11776" width="9.109375" style="2334"/>
    <col min="11777" max="11777" width="34.109375" style="2334" customWidth="1"/>
    <col min="11778" max="11778" width="2.88671875" style="2334" customWidth="1"/>
    <col min="11779" max="11779" width="13.44140625" style="2334" customWidth="1"/>
    <col min="11780" max="11780" width="17" style="2334" customWidth="1"/>
    <col min="11781" max="11781" width="16.44140625" style="2334" customWidth="1"/>
    <col min="11782" max="11782" width="17.109375" style="2334" customWidth="1"/>
    <col min="11783" max="12032" width="9.109375" style="2334"/>
    <col min="12033" max="12033" width="34.109375" style="2334" customWidth="1"/>
    <col min="12034" max="12034" width="2.88671875" style="2334" customWidth="1"/>
    <col min="12035" max="12035" width="13.44140625" style="2334" customWidth="1"/>
    <col min="12036" max="12036" width="17" style="2334" customWidth="1"/>
    <col min="12037" max="12037" width="16.44140625" style="2334" customWidth="1"/>
    <col min="12038" max="12038" width="17.109375" style="2334" customWidth="1"/>
    <col min="12039" max="12288" width="9.109375" style="2334"/>
    <col min="12289" max="12289" width="34.109375" style="2334" customWidth="1"/>
    <col min="12290" max="12290" width="2.88671875" style="2334" customWidth="1"/>
    <col min="12291" max="12291" width="13.44140625" style="2334" customWidth="1"/>
    <col min="12292" max="12292" width="17" style="2334" customWidth="1"/>
    <col min="12293" max="12293" width="16.44140625" style="2334" customWidth="1"/>
    <col min="12294" max="12294" width="17.109375" style="2334" customWidth="1"/>
    <col min="12295" max="12544" width="9.109375" style="2334"/>
    <col min="12545" max="12545" width="34.109375" style="2334" customWidth="1"/>
    <col min="12546" max="12546" width="2.88671875" style="2334" customWidth="1"/>
    <col min="12547" max="12547" width="13.44140625" style="2334" customWidth="1"/>
    <col min="12548" max="12548" width="17" style="2334" customWidth="1"/>
    <col min="12549" max="12549" width="16.44140625" style="2334" customWidth="1"/>
    <col min="12550" max="12550" width="17.109375" style="2334" customWidth="1"/>
    <col min="12551" max="12800" width="9.109375" style="2334"/>
    <col min="12801" max="12801" width="34.109375" style="2334" customWidth="1"/>
    <col min="12802" max="12802" width="2.88671875" style="2334" customWidth="1"/>
    <col min="12803" max="12803" width="13.44140625" style="2334" customWidth="1"/>
    <col min="12804" max="12804" width="17" style="2334" customWidth="1"/>
    <col min="12805" max="12805" width="16.44140625" style="2334" customWidth="1"/>
    <col min="12806" max="12806" width="17.109375" style="2334" customWidth="1"/>
    <col min="12807" max="13056" width="9.109375" style="2334"/>
    <col min="13057" max="13057" width="34.109375" style="2334" customWidth="1"/>
    <col min="13058" max="13058" width="2.88671875" style="2334" customWidth="1"/>
    <col min="13059" max="13059" width="13.44140625" style="2334" customWidth="1"/>
    <col min="13060" max="13060" width="17" style="2334" customWidth="1"/>
    <col min="13061" max="13061" width="16.44140625" style="2334" customWidth="1"/>
    <col min="13062" max="13062" width="17.109375" style="2334" customWidth="1"/>
    <col min="13063" max="13312" width="9.109375" style="2334"/>
    <col min="13313" max="13313" width="34.109375" style="2334" customWidth="1"/>
    <col min="13314" max="13314" width="2.88671875" style="2334" customWidth="1"/>
    <col min="13315" max="13315" width="13.44140625" style="2334" customWidth="1"/>
    <col min="13316" max="13316" width="17" style="2334" customWidth="1"/>
    <col min="13317" max="13317" width="16.44140625" style="2334" customWidth="1"/>
    <col min="13318" max="13318" width="17.109375" style="2334" customWidth="1"/>
    <col min="13319" max="13568" width="9.109375" style="2334"/>
    <col min="13569" max="13569" width="34.109375" style="2334" customWidth="1"/>
    <col min="13570" max="13570" width="2.88671875" style="2334" customWidth="1"/>
    <col min="13571" max="13571" width="13.44140625" style="2334" customWidth="1"/>
    <col min="13572" max="13572" width="17" style="2334" customWidth="1"/>
    <col min="13573" max="13573" width="16.44140625" style="2334" customWidth="1"/>
    <col min="13574" max="13574" width="17.109375" style="2334" customWidth="1"/>
    <col min="13575" max="13824" width="9.109375" style="2334"/>
    <col min="13825" max="13825" width="34.109375" style="2334" customWidth="1"/>
    <col min="13826" max="13826" width="2.88671875" style="2334" customWidth="1"/>
    <col min="13827" max="13827" width="13.44140625" style="2334" customWidth="1"/>
    <col min="13828" max="13828" width="17" style="2334" customWidth="1"/>
    <col min="13829" max="13829" width="16.44140625" style="2334" customWidth="1"/>
    <col min="13830" max="13830" width="17.109375" style="2334" customWidth="1"/>
    <col min="13831" max="14080" width="9.109375" style="2334"/>
    <col min="14081" max="14081" width="34.109375" style="2334" customWidth="1"/>
    <col min="14082" max="14082" width="2.88671875" style="2334" customWidth="1"/>
    <col min="14083" max="14083" width="13.44140625" style="2334" customWidth="1"/>
    <col min="14084" max="14084" width="17" style="2334" customWidth="1"/>
    <col min="14085" max="14085" width="16.44140625" style="2334" customWidth="1"/>
    <col min="14086" max="14086" width="17.109375" style="2334" customWidth="1"/>
    <col min="14087" max="14336" width="9.109375" style="2334"/>
    <col min="14337" max="14337" width="34.109375" style="2334" customWidth="1"/>
    <col min="14338" max="14338" width="2.88671875" style="2334" customWidth="1"/>
    <col min="14339" max="14339" width="13.44140625" style="2334" customWidth="1"/>
    <col min="14340" max="14340" width="17" style="2334" customWidth="1"/>
    <col min="14341" max="14341" width="16.44140625" style="2334" customWidth="1"/>
    <col min="14342" max="14342" width="17.109375" style="2334" customWidth="1"/>
    <col min="14343" max="14592" width="9.109375" style="2334"/>
    <col min="14593" max="14593" width="34.109375" style="2334" customWidth="1"/>
    <col min="14594" max="14594" width="2.88671875" style="2334" customWidth="1"/>
    <col min="14595" max="14595" width="13.44140625" style="2334" customWidth="1"/>
    <col min="14596" max="14596" width="17" style="2334" customWidth="1"/>
    <col min="14597" max="14597" width="16.44140625" style="2334" customWidth="1"/>
    <col min="14598" max="14598" width="17.109375" style="2334" customWidth="1"/>
    <col min="14599" max="14848" width="9.109375" style="2334"/>
    <col min="14849" max="14849" width="34.109375" style="2334" customWidth="1"/>
    <col min="14850" max="14850" width="2.88671875" style="2334" customWidth="1"/>
    <col min="14851" max="14851" width="13.44140625" style="2334" customWidth="1"/>
    <col min="14852" max="14852" width="17" style="2334" customWidth="1"/>
    <col min="14853" max="14853" width="16.44140625" style="2334" customWidth="1"/>
    <col min="14854" max="14854" width="17.109375" style="2334" customWidth="1"/>
    <col min="14855" max="15104" width="9.109375" style="2334"/>
    <col min="15105" max="15105" width="34.109375" style="2334" customWidth="1"/>
    <col min="15106" max="15106" width="2.88671875" style="2334" customWidth="1"/>
    <col min="15107" max="15107" width="13.44140625" style="2334" customWidth="1"/>
    <col min="15108" max="15108" width="17" style="2334" customWidth="1"/>
    <col min="15109" max="15109" width="16.44140625" style="2334" customWidth="1"/>
    <col min="15110" max="15110" width="17.109375" style="2334" customWidth="1"/>
    <col min="15111" max="15360" width="9.109375" style="2334"/>
    <col min="15361" max="15361" width="34.109375" style="2334" customWidth="1"/>
    <col min="15362" max="15362" width="2.88671875" style="2334" customWidth="1"/>
    <col min="15363" max="15363" width="13.44140625" style="2334" customWidth="1"/>
    <col min="15364" max="15364" width="17" style="2334" customWidth="1"/>
    <col min="15365" max="15365" width="16.44140625" style="2334" customWidth="1"/>
    <col min="15366" max="15366" width="17.109375" style="2334" customWidth="1"/>
    <col min="15367" max="15616" width="9.109375" style="2334"/>
    <col min="15617" max="15617" width="34.109375" style="2334" customWidth="1"/>
    <col min="15618" max="15618" width="2.88671875" style="2334" customWidth="1"/>
    <col min="15619" max="15619" width="13.44140625" style="2334" customWidth="1"/>
    <col min="15620" max="15620" width="17" style="2334" customWidth="1"/>
    <col min="15621" max="15621" width="16.44140625" style="2334" customWidth="1"/>
    <col min="15622" max="15622" width="17.109375" style="2334" customWidth="1"/>
    <col min="15623" max="15872" width="9.109375" style="2334"/>
    <col min="15873" max="15873" width="34.109375" style="2334" customWidth="1"/>
    <col min="15874" max="15874" width="2.88671875" style="2334" customWidth="1"/>
    <col min="15875" max="15875" width="13.44140625" style="2334" customWidth="1"/>
    <col min="15876" max="15876" width="17" style="2334" customWidth="1"/>
    <col min="15877" max="15877" width="16.44140625" style="2334" customWidth="1"/>
    <col min="15878" max="15878" width="17.109375" style="2334" customWidth="1"/>
    <col min="15879" max="16128" width="9.109375" style="2334"/>
    <col min="16129" max="16129" width="34.109375" style="2334" customWidth="1"/>
    <col min="16130" max="16130" width="2.88671875" style="2334" customWidth="1"/>
    <col min="16131" max="16131" width="13.44140625" style="2334" customWidth="1"/>
    <col min="16132" max="16132" width="17" style="2334" customWidth="1"/>
    <col min="16133" max="16133" width="16.44140625" style="2334" customWidth="1"/>
    <col min="16134" max="16134" width="17.109375" style="2334" customWidth="1"/>
    <col min="16135" max="16384" width="9.109375" style="2334"/>
  </cols>
  <sheetData>
    <row r="1" spans="1:6" s="2359" customFormat="1" ht="13.8">
      <c r="A1" s="4373" t="s">
        <v>4673</v>
      </c>
      <c r="C1" s="829"/>
      <c r="D1" s="829"/>
      <c r="E1" s="829"/>
      <c r="F1" s="829"/>
    </row>
    <row r="2" spans="1:6" s="2359" customFormat="1" ht="13.8">
      <c r="C2" s="829"/>
      <c r="D2" s="829"/>
      <c r="E2" s="829"/>
      <c r="F2" s="829"/>
    </row>
    <row r="3" spans="1:6" s="2359" customFormat="1" ht="13.8">
      <c r="A3" s="2656" t="s">
        <v>322</v>
      </c>
      <c r="C3" s="829"/>
      <c r="D3" s="829"/>
      <c r="E3" s="829"/>
      <c r="F3" s="829"/>
    </row>
    <row r="4" spans="1:6" s="2359" customFormat="1" ht="13.8">
      <c r="C4" s="829"/>
      <c r="D4" s="829"/>
      <c r="E4" s="829"/>
      <c r="F4" s="829"/>
    </row>
    <row r="5" spans="1:6">
      <c r="A5" s="2336" t="s">
        <v>9</v>
      </c>
      <c r="B5" s="2336"/>
      <c r="C5" s="2337" t="s">
        <v>6321</v>
      </c>
      <c r="D5" s="2337"/>
      <c r="E5" s="2338"/>
      <c r="F5" s="2338"/>
    </row>
    <row r="6" spans="1:6">
      <c r="A6" s="2339" t="s">
        <v>6322</v>
      </c>
      <c r="B6" s="2340"/>
      <c r="C6" s="2341" t="s">
        <v>3876</v>
      </c>
      <c r="D6" s="2342" t="s">
        <v>6323</v>
      </c>
      <c r="E6" s="2343" t="s">
        <v>5053</v>
      </c>
      <c r="F6" s="2344" t="s">
        <v>220</v>
      </c>
    </row>
    <row r="7" spans="1:6">
      <c r="A7" s="2345"/>
      <c r="B7" s="2345"/>
      <c r="C7" s="2346" t="s">
        <v>563</v>
      </c>
      <c r="D7" s="2347" t="s">
        <v>6324</v>
      </c>
      <c r="E7" s="2346" t="s">
        <v>5054</v>
      </c>
      <c r="F7" s="2346"/>
    </row>
    <row r="8" spans="1:6">
      <c r="A8" s="2348"/>
      <c r="B8" s="2348"/>
      <c r="C8" s="2349"/>
      <c r="D8" s="2349"/>
      <c r="E8" s="2349"/>
      <c r="F8" s="2349"/>
    </row>
    <row r="9" spans="1:6">
      <c r="A9" s="2350" t="s">
        <v>2048</v>
      </c>
      <c r="B9" s="2348"/>
      <c r="C9" s="2349"/>
      <c r="D9" s="2349"/>
      <c r="E9" s="2349"/>
      <c r="F9" s="2349"/>
    </row>
    <row r="10" spans="1:6">
      <c r="A10" s="2348" t="s">
        <v>6928</v>
      </c>
      <c r="B10" s="2348"/>
      <c r="C10" s="2280">
        <v>9142897</v>
      </c>
      <c r="D10" s="2349"/>
      <c r="E10" s="2349"/>
      <c r="F10" s="2349">
        <f>C10</f>
        <v>9142897</v>
      </c>
    </row>
    <row r="11" spans="1:6">
      <c r="A11" s="2348"/>
      <c r="B11" s="2348"/>
      <c r="C11" s="2349"/>
      <c r="D11" s="2349"/>
      <c r="E11" s="2349"/>
      <c r="F11" s="2349"/>
    </row>
    <row r="12" spans="1:6">
      <c r="A12" s="2348" t="s">
        <v>6330</v>
      </c>
      <c r="B12" s="2348"/>
      <c r="C12" s="2349"/>
      <c r="D12" s="2349"/>
      <c r="E12" s="2349"/>
      <c r="F12" s="2349"/>
    </row>
    <row r="13" spans="1:6" s="2354" customFormat="1" ht="27.6">
      <c r="A13" s="2351" t="s">
        <v>6929</v>
      </c>
      <c r="B13" s="2352"/>
      <c r="C13" s="2353"/>
      <c r="D13" s="2353">
        <f>2295620+963200</f>
        <v>3258820</v>
      </c>
      <c r="E13" s="2353"/>
      <c r="F13" s="2353">
        <f t="shared" ref="F13:F19" si="0">D13</f>
        <v>3258820</v>
      </c>
    </row>
    <row r="14" spans="1:6" ht="13.8">
      <c r="A14" s="2355" t="s">
        <v>2085</v>
      </c>
      <c r="B14" s="2348"/>
      <c r="C14" s="2356"/>
      <c r="D14" s="2356">
        <v>2561080</v>
      </c>
      <c r="E14" s="2356"/>
      <c r="F14" s="2356">
        <f t="shared" si="0"/>
        <v>2561080</v>
      </c>
    </row>
    <row r="15" spans="1:6" ht="13.8">
      <c r="A15" s="2355" t="s">
        <v>2261</v>
      </c>
      <c r="B15" s="2348"/>
      <c r="C15" s="2356"/>
      <c r="D15" s="2356">
        <v>1000000</v>
      </c>
      <c r="E15" s="2356"/>
      <c r="F15" s="2356">
        <f t="shared" si="0"/>
        <v>1000000</v>
      </c>
    </row>
    <row r="16" spans="1:6" ht="13.8">
      <c r="A16" s="2355" t="s">
        <v>3752</v>
      </c>
      <c r="B16" s="2348"/>
      <c r="C16" s="2356"/>
      <c r="D16" s="2356">
        <v>800000</v>
      </c>
      <c r="E16" s="2356"/>
      <c r="F16" s="2356">
        <f t="shared" si="0"/>
        <v>800000</v>
      </c>
    </row>
    <row r="17" spans="1:6" ht="13.8">
      <c r="A17" s="2355" t="s">
        <v>2277</v>
      </c>
      <c r="B17" s="2348"/>
      <c r="C17" s="2356"/>
      <c r="D17" s="2356">
        <v>700000</v>
      </c>
      <c r="E17" s="2356"/>
      <c r="F17" s="2356">
        <f t="shared" si="0"/>
        <v>700000</v>
      </c>
    </row>
    <row r="18" spans="1:6" ht="13.8">
      <c r="A18" s="2355" t="s">
        <v>3753</v>
      </c>
      <c r="B18" s="2348"/>
      <c r="C18" s="2356"/>
      <c r="D18" s="2356">
        <v>1132000</v>
      </c>
      <c r="E18" s="2356"/>
      <c r="F18" s="2356">
        <f t="shared" si="0"/>
        <v>1132000</v>
      </c>
    </row>
    <row r="19" spans="1:6" s="2354" customFormat="1" ht="27.6">
      <c r="A19" s="2351" t="s">
        <v>2083</v>
      </c>
      <c r="B19" s="2352"/>
      <c r="C19" s="2357"/>
      <c r="D19" s="2353">
        <v>1694080</v>
      </c>
      <c r="E19" s="2353"/>
      <c r="F19" s="2353">
        <f t="shared" si="0"/>
        <v>1694080</v>
      </c>
    </row>
    <row r="20" spans="1:6" s="2359" customFormat="1" ht="13.8">
      <c r="A20" s="2358"/>
      <c r="B20" s="2358"/>
      <c r="C20" s="2356"/>
      <c r="D20" s="2356"/>
      <c r="E20" s="2356"/>
      <c r="F20" s="2356"/>
    </row>
    <row r="21" spans="1:6" s="2359" customFormat="1" ht="13.8">
      <c r="A21" s="2358" t="s">
        <v>3754</v>
      </c>
      <c r="B21" s="2358"/>
      <c r="C21" s="2356"/>
      <c r="D21" s="2356"/>
      <c r="E21" s="2356"/>
      <c r="F21" s="2356">
        <f>SUM(C21:E21)</f>
        <v>0</v>
      </c>
    </row>
    <row r="22" spans="1:6" s="2359" customFormat="1" ht="13.8">
      <c r="A22" s="2358" t="s">
        <v>3755</v>
      </c>
      <c r="B22" s="2358"/>
      <c r="C22" s="2356"/>
      <c r="D22" s="2356"/>
      <c r="E22" s="2356"/>
      <c r="F22" s="2356">
        <f>SUM(C22:E22)</f>
        <v>0</v>
      </c>
    </row>
    <row r="23" spans="1:6" s="2359" customFormat="1" ht="13.8">
      <c r="A23" s="2358" t="s">
        <v>6930</v>
      </c>
      <c r="B23" s="2358"/>
      <c r="C23" s="2356"/>
      <c r="D23" s="2356"/>
      <c r="E23" s="2356"/>
      <c r="F23" s="2356">
        <f>SUM(C23:E23)</f>
        <v>0</v>
      </c>
    </row>
    <row r="24" spans="1:6">
      <c r="A24" s="2360"/>
      <c r="B24" s="2360"/>
      <c r="C24" s="2361"/>
      <c r="D24" s="2361"/>
      <c r="E24" s="2361"/>
      <c r="F24" s="2361"/>
    </row>
    <row r="25" spans="1:6">
      <c r="A25" s="2348" t="s">
        <v>9</v>
      </c>
      <c r="B25" s="2348"/>
      <c r="C25" s="2349"/>
      <c r="D25" s="2349"/>
      <c r="E25" s="2349"/>
      <c r="F25" s="2349"/>
    </row>
    <row r="26" spans="1:6">
      <c r="A26" s="2350" t="s">
        <v>6334</v>
      </c>
      <c r="B26" s="2348"/>
      <c r="C26" s="2362">
        <f>SUM(C10:C17)</f>
        <v>9142897</v>
      </c>
      <c r="D26" s="2362">
        <f>SUM(D12:D19)</f>
        <v>11145980</v>
      </c>
      <c r="E26" s="2362">
        <f>SUM(E20:E24)</f>
        <v>0</v>
      </c>
      <c r="F26" s="2362">
        <f>SUM(F10:F25)</f>
        <v>20288877</v>
      </c>
    </row>
    <row r="27" spans="1:6">
      <c r="A27" s="2360"/>
      <c r="B27" s="2360" t="s">
        <v>9</v>
      </c>
      <c r="C27" s="2361"/>
      <c r="D27" s="2361"/>
      <c r="E27" s="2361"/>
      <c r="F27" s="2361"/>
    </row>
    <row r="28" spans="1:6">
      <c r="A28" s="2363"/>
      <c r="B28" s="4363"/>
      <c r="C28" s="4364"/>
      <c r="D28" s="4364"/>
      <c r="E28" s="4364"/>
      <c r="F28" s="4364"/>
    </row>
    <row r="29" spans="1:6" ht="13.8">
      <c r="A29" s="2364" t="s">
        <v>6931</v>
      </c>
      <c r="B29" s="4365"/>
      <c r="C29" s="4366"/>
      <c r="D29" s="4366"/>
      <c r="E29" s="4366"/>
      <c r="F29" s="4366"/>
    </row>
    <row r="30" spans="1:6" ht="13.8">
      <c r="A30" s="2364" t="s">
        <v>2088</v>
      </c>
      <c r="B30" s="4367"/>
      <c r="C30" s="4368"/>
      <c r="D30" s="4366"/>
      <c r="E30" s="4366"/>
      <c r="F30" s="4366"/>
    </row>
    <row r="31" spans="1:6" ht="13.8">
      <c r="A31" s="2364" t="s">
        <v>6932</v>
      </c>
      <c r="B31" s="4367"/>
      <c r="C31" s="4366"/>
      <c r="D31" s="4366"/>
      <c r="E31" s="4368">
        <v>1100000</v>
      </c>
      <c r="F31" s="4366"/>
    </row>
    <row r="32" spans="1:6">
      <c r="A32" s="2365" t="s">
        <v>6933</v>
      </c>
      <c r="B32" s="4367"/>
      <c r="C32" s="4366"/>
      <c r="D32" s="4366"/>
      <c r="E32" s="4368">
        <v>1000000</v>
      </c>
      <c r="F32" s="4366"/>
    </row>
    <row r="33" spans="1:6" ht="16.8">
      <c r="A33" s="2365" t="s">
        <v>6934</v>
      </c>
      <c r="B33" s="4367"/>
      <c r="C33" s="4366"/>
      <c r="D33" s="4366"/>
      <c r="E33" s="4369">
        <v>1500000</v>
      </c>
      <c r="F33" s="4366"/>
    </row>
    <row r="34" spans="1:6">
      <c r="A34" s="2366" t="s">
        <v>458</v>
      </c>
      <c r="B34" s="4370"/>
      <c r="C34" s="4371"/>
      <c r="D34" s="4371"/>
      <c r="E34" s="4372">
        <f>SUM(E31:E33)</f>
        <v>3600000</v>
      </c>
      <c r="F34" s="4371"/>
    </row>
    <row r="38" spans="1:6">
      <c r="A38" s="2367"/>
      <c r="B38" s="2367"/>
      <c r="C38" s="2368"/>
      <c r="D38" s="2368"/>
      <c r="E38" s="2368"/>
      <c r="F38" s="2368"/>
    </row>
    <row r="39" spans="1:6">
      <c r="A39" s="2367"/>
      <c r="B39" s="2367"/>
      <c r="C39" s="2368"/>
      <c r="D39" s="2368"/>
      <c r="E39" s="2368"/>
      <c r="F39" s="2368"/>
    </row>
    <row r="40" spans="1:6">
      <c r="A40" s="2367"/>
      <c r="B40" s="2367"/>
      <c r="C40" s="2368"/>
      <c r="D40" s="2368"/>
      <c r="E40" s="2368"/>
      <c r="F40" s="2368"/>
    </row>
  </sheetData>
  <pageMargins left="0.5" right="0.25" top="0.75" bottom="0.5" header="0.25" footer="0.25"/>
  <pageSetup paperSize="119" firstPageNumber="296" orientation="portrait" useFirstPageNumber="1" horizontalDpi="300" verticalDpi="300" r:id="rId1"/>
  <headerFooter alignWithMargins="0"/>
</worksheet>
</file>

<file path=xl/worksheets/sheet159.xml><?xml version="1.0" encoding="utf-8"?>
<worksheet xmlns="http://schemas.openxmlformats.org/spreadsheetml/2006/main" xmlns:r="http://schemas.openxmlformats.org/officeDocument/2006/relationships">
  <sheetPr codeName="Sheet118">
    <tabColor rgb="FFFFFF00"/>
  </sheetPr>
  <dimension ref="A1:H87"/>
  <sheetViews>
    <sheetView showGridLines="0" workbookViewId="0">
      <selection activeCell="H12" sqref="H12"/>
    </sheetView>
  </sheetViews>
  <sheetFormatPr defaultRowHeight="12.9" customHeight="1"/>
  <cols>
    <col min="1" max="1" width="40.5546875" style="7001" customWidth="1"/>
    <col min="2" max="3" width="8.5546875" style="7001" customWidth="1"/>
    <col min="4" max="6" width="14.5546875" style="7001" customWidth="1"/>
    <col min="7" max="7" width="14.109375" style="7001" customWidth="1"/>
    <col min="8" max="8" width="15.44140625" style="7001" customWidth="1"/>
    <col min="9" max="13" width="8.88671875" style="7001" customWidth="1"/>
    <col min="14" max="256" width="9.109375" style="7001"/>
    <col min="257" max="257" width="33" style="7001" customWidth="1"/>
    <col min="258" max="258" width="9.44140625" style="7001" customWidth="1"/>
    <col min="259" max="259" width="9.109375" style="7001"/>
    <col min="260" max="260" width="12.44140625" style="7001" customWidth="1"/>
    <col min="261" max="261" width="14.88671875" style="7001" customWidth="1"/>
    <col min="262" max="262" width="14.44140625" style="7001" customWidth="1"/>
    <col min="263" max="512" width="9.109375" style="7001"/>
    <col min="513" max="513" width="33" style="7001" customWidth="1"/>
    <col min="514" max="514" width="9.44140625" style="7001" customWidth="1"/>
    <col min="515" max="515" width="9.109375" style="7001"/>
    <col min="516" max="516" width="12.44140625" style="7001" customWidth="1"/>
    <col min="517" max="517" width="14.88671875" style="7001" customWidth="1"/>
    <col min="518" max="518" width="14.44140625" style="7001" customWidth="1"/>
    <col min="519" max="768" width="9.109375" style="7001"/>
    <col min="769" max="769" width="33" style="7001" customWidth="1"/>
    <col min="770" max="770" width="9.44140625" style="7001" customWidth="1"/>
    <col min="771" max="771" width="9.109375" style="7001"/>
    <col min="772" max="772" width="12.44140625" style="7001" customWidth="1"/>
    <col min="773" max="773" width="14.88671875" style="7001" customWidth="1"/>
    <col min="774" max="774" width="14.44140625" style="7001" customWidth="1"/>
    <col min="775" max="1024" width="9.109375" style="7001"/>
    <col min="1025" max="1025" width="33" style="7001" customWidth="1"/>
    <col min="1026" max="1026" width="9.44140625" style="7001" customWidth="1"/>
    <col min="1027" max="1027" width="9.109375" style="7001"/>
    <col min="1028" max="1028" width="12.44140625" style="7001" customWidth="1"/>
    <col min="1029" max="1029" width="14.88671875" style="7001" customWidth="1"/>
    <col min="1030" max="1030" width="14.44140625" style="7001" customWidth="1"/>
    <col min="1031" max="1280" width="9.109375" style="7001"/>
    <col min="1281" max="1281" width="33" style="7001" customWidth="1"/>
    <col min="1282" max="1282" width="9.44140625" style="7001" customWidth="1"/>
    <col min="1283" max="1283" width="9.109375" style="7001"/>
    <col min="1284" max="1284" width="12.44140625" style="7001" customWidth="1"/>
    <col min="1285" max="1285" width="14.88671875" style="7001" customWidth="1"/>
    <col min="1286" max="1286" width="14.44140625" style="7001" customWidth="1"/>
    <col min="1287" max="1536" width="9.109375" style="7001"/>
    <col min="1537" max="1537" width="33" style="7001" customWidth="1"/>
    <col min="1538" max="1538" width="9.44140625" style="7001" customWidth="1"/>
    <col min="1539" max="1539" width="9.109375" style="7001"/>
    <col min="1540" max="1540" width="12.44140625" style="7001" customWidth="1"/>
    <col min="1541" max="1541" width="14.88671875" style="7001" customWidth="1"/>
    <col min="1542" max="1542" width="14.44140625" style="7001" customWidth="1"/>
    <col min="1543" max="1792" width="9.109375" style="7001"/>
    <col min="1793" max="1793" width="33" style="7001" customWidth="1"/>
    <col min="1794" max="1794" width="9.44140625" style="7001" customWidth="1"/>
    <col min="1795" max="1795" width="9.109375" style="7001"/>
    <col min="1796" max="1796" width="12.44140625" style="7001" customWidth="1"/>
    <col min="1797" max="1797" width="14.88671875" style="7001" customWidth="1"/>
    <col min="1798" max="1798" width="14.44140625" style="7001" customWidth="1"/>
    <col min="1799" max="2048" width="9.109375" style="7001"/>
    <col min="2049" max="2049" width="33" style="7001" customWidth="1"/>
    <col min="2050" max="2050" width="9.44140625" style="7001" customWidth="1"/>
    <col min="2051" max="2051" width="9.109375" style="7001"/>
    <col min="2052" max="2052" width="12.44140625" style="7001" customWidth="1"/>
    <col min="2053" max="2053" width="14.88671875" style="7001" customWidth="1"/>
    <col min="2054" max="2054" width="14.44140625" style="7001" customWidth="1"/>
    <col min="2055" max="2304" width="9.109375" style="7001"/>
    <col min="2305" max="2305" width="33" style="7001" customWidth="1"/>
    <col min="2306" max="2306" width="9.44140625" style="7001" customWidth="1"/>
    <col min="2307" max="2307" width="9.109375" style="7001"/>
    <col min="2308" max="2308" width="12.44140625" style="7001" customWidth="1"/>
    <col min="2309" max="2309" width="14.88671875" style="7001" customWidth="1"/>
    <col min="2310" max="2310" width="14.44140625" style="7001" customWidth="1"/>
    <col min="2311" max="2560" width="9.109375" style="7001"/>
    <col min="2561" max="2561" width="33" style="7001" customWidth="1"/>
    <col min="2562" max="2562" width="9.44140625" style="7001" customWidth="1"/>
    <col min="2563" max="2563" width="9.109375" style="7001"/>
    <col min="2564" max="2564" width="12.44140625" style="7001" customWidth="1"/>
    <col min="2565" max="2565" width="14.88671875" style="7001" customWidth="1"/>
    <col min="2566" max="2566" width="14.44140625" style="7001" customWidth="1"/>
    <col min="2567" max="2816" width="9.109375" style="7001"/>
    <col min="2817" max="2817" width="33" style="7001" customWidth="1"/>
    <col min="2818" max="2818" width="9.44140625" style="7001" customWidth="1"/>
    <col min="2819" max="2819" width="9.109375" style="7001"/>
    <col min="2820" max="2820" width="12.44140625" style="7001" customWidth="1"/>
    <col min="2821" max="2821" width="14.88671875" style="7001" customWidth="1"/>
    <col min="2822" max="2822" width="14.44140625" style="7001" customWidth="1"/>
    <col min="2823" max="3072" width="9.109375" style="7001"/>
    <col min="3073" max="3073" width="33" style="7001" customWidth="1"/>
    <col min="3074" max="3074" width="9.44140625" style="7001" customWidth="1"/>
    <col min="3075" max="3075" width="9.109375" style="7001"/>
    <col min="3076" max="3076" width="12.44140625" style="7001" customWidth="1"/>
    <col min="3077" max="3077" width="14.88671875" style="7001" customWidth="1"/>
    <col min="3078" max="3078" width="14.44140625" style="7001" customWidth="1"/>
    <col min="3079" max="3328" width="9.109375" style="7001"/>
    <col min="3329" max="3329" width="33" style="7001" customWidth="1"/>
    <col min="3330" max="3330" width="9.44140625" style="7001" customWidth="1"/>
    <col min="3331" max="3331" width="9.109375" style="7001"/>
    <col min="3332" max="3332" width="12.44140625" style="7001" customWidth="1"/>
    <col min="3333" max="3333" width="14.88671875" style="7001" customWidth="1"/>
    <col min="3334" max="3334" width="14.44140625" style="7001" customWidth="1"/>
    <col min="3335" max="3584" width="9.109375" style="7001"/>
    <col min="3585" max="3585" width="33" style="7001" customWidth="1"/>
    <col min="3586" max="3586" width="9.44140625" style="7001" customWidth="1"/>
    <col min="3587" max="3587" width="9.109375" style="7001"/>
    <col min="3588" max="3588" width="12.44140625" style="7001" customWidth="1"/>
    <col min="3589" max="3589" width="14.88671875" style="7001" customWidth="1"/>
    <col min="3590" max="3590" width="14.44140625" style="7001" customWidth="1"/>
    <col min="3591" max="3840" width="9.109375" style="7001"/>
    <col min="3841" max="3841" width="33" style="7001" customWidth="1"/>
    <col min="3842" max="3842" width="9.44140625" style="7001" customWidth="1"/>
    <col min="3843" max="3843" width="9.109375" style="7001"/>
    <col min="3844" max="3844" width="12.44140625" style="7001" customWidth="1"/>
    <col min="3845" max="3845" width="14.88671875" style="7001" customWidth="1"/>
    <col min="3846" max="3846" width="14.44140625" style="7001" customWidth="1"/>
    <col min="3847" max="4096" width="9.109375" style="7001"/>
    <col min="4097" max="4097" width="33" style="7001" customWidth="1"/>
    <col min="4098" max="4098" width="9.44140625" style="7001" customWidth="1"/>
    <col min="4099" max="4099" width="9.109375" style="7001"/>
    <col min="4100" max="4100" width="12.44140625" style="7001" customWidth="1"/>
    <col min="4101" max="4101" width="14.88671875" style="7001" customWidth="1"/>
    <col min="4102" max="4102" width="14.44140625" style="7001" customWidth="1"/>
    <col min="4103" max="4352" width="9.109375" style="7001"/>
    <col min="4353" max="4353" width="33" style="7001" customWidth="1"/>
    <col min="4354" max="4354" width="9.44140625" style="7001" customWidth="1"/>
    <col min="4355" max="4355" width="9.109375" style="7001"/>
    <col min="4356" max="4356" width="12.44140625" style="7001" customWidth="1"/>
    <col min="4357" max="4357" width="14.88671875" style="7001" customWidth="1"/>
    <col min="4358" max="4358" width="14.44140625" style="7001" customWidth="1"/>
    <col min="4359" max="4608" width="9.109375" style="7001"/>
    <col min="4609" max="4609" width="33" style="7001" customWidth="1"/>
    <col min="4610" max="4610" width="9.44140625" style="7001" customWidth="1"/>
    <col min="4611" max="4611" width="9.109375" style="7001"/>
    <col min="4612" max="4612" width="12.44140625" style="7001" customWidth="1"/>
    <col min="4613" max="4613" width="14.88671875" style="7001" customWidth="1"/>
    <col min="4614" max="4614" width="14.44140625" style="7001" customWidth="1"/>
    <col min="4615" max="4864" width="9.109375" style="7001"/>
    <col min="4865" max="4865" width="33" style="7001" customWidth="1"/>
    <col min="4866" max="4866" width="9.44140625" style="7001" customWidth="1"/>
    <col min="4867" max="4867" width="9.109375" style="7001"/>
    <col min="4868" max="4868" width="12.44140625" style="7001" customWidth="1"/>
    <col min="4869" max="4869" width="14.88671875" style="7001" customWidth="1"/>
    <col min="4870" max="4870" width="14.44140625" style="7001" customWidth="1"/>
    <col min="4871" max="5120" width="9.109375" style="7001"/>
    <col min="5121" max="5121" width="33" style="7001" customWidth="1"/>
    <col min="5122" max="5122" width="9.44140625" style="7001" customWidth="1"/>
    <col min="5123" max="5123" width="9.109375" style="7001"/>
    <col min="5124" max="5124" width="12.44140625" style="7001" customWidth="1"/>
    <col min="5125" max="5125" width="14.88671875" style="7001" customWidth="1"/>
    <col min="5126" max="5126" width="14.44140625" style="7001" customWidth="1"/>
    <col min="5127" max="5376" width="9.109375" style="7001"/>
    <col min="5377" max="5377" width="33" style="7001" customWidth="1"/>
    <col min="5378" max="5378" width="9.44140625" style="7001" customWidth="1"/>
    <col min="5379" max="5379" width="9.109375" style="7001"/>
    <col min="5380" max="5380" width="12.44140625" style="7001" customWidth="1"/>
    <col min="5381" max="5381" width="14.88671875" style="7001" customWidth="1"/>
    <col min="5382" max="5382" width="14.44140625" style="7001" customWidth="1"/>
    <col min="5383" max="5632" width="9.109375" style="7001"/>
    <col min="5633" max="5633" width="33" style="7001" customWidth="1"/>
    <col min="5634" max="5634" width="9.44140625" style="7001" customWidth="1"/>
    <col min="5635" max="5635" width="9.109375" style="7001"/>
    <col min="5636" max="5636" width="12.44140625" style="7001" customWidth="1"/>
    <col min="5637" max="5637" width="14.88671875" style="7001" customWidth="1"/>
    <col min="5638" max="5638" width="14.44140625" style="7001" customWidth="1"/>
    <col min="5639" max="5888" width="9.109375" style="7001"/>
    <col min="5889" max="5889" width="33" style="7001" customWidth="1"/>
    <col min="5890" max="5890" width="9.44140625" style="7001" customWidth="1"/>
    <col min="5891" max="5891" width="9.109375" style="7001"/>
    <col min="5892" max="5892" width="12.44140625" style="7001" customWidth="1"/>
    <col min="5893" max="5893" width="14.88671875" style="7001" customWidth="1"/>
    <col min="5894" max="5894" width="14.44140625" style="7001" customWidth="1"/>
    <col min="5895" max="6144" width="9.109375" style="7001"/>
    <col min="6145" max="6145" width="33" style="7001" customWidth="1"/>
    <col min="6146" max="6146" width="9.44140625" style="7001" customWidth="1"/>
    <col min="6147" max="6147" width="9.109375" style="7001"/>
    <col min="6148" max="6148" width="12.44140625" style="7001" customWidth="1"/>
    <col min="6149" max="6149" width="14.88671875" style="7001" customWidth="1"/>
    <col min="6150" max="6150" width="14.44140625" style="7001" customWidth="1"/>
    <col min="6151" max="6400" width="9.109375" style="7001"/>
    <col min="6401" max="6401" width="33" style="7001" customWidth="1"/>
    <col min="6402" max="6402" width="9.44140625" style="7001" customWidth="1"/>
    <col min="6403" max="6403" width="9.109375" style="7001"/>
    <col min="6404" max="6404" width="12.44140625" style="7001" customWidth="1"/>
    <col min="6405" max="6405" width="14.88671875" style="7001" customWidth="1"/>
    <col min="6406" max="6406" width="14.44140625" style="7001" customWidth="1"/>
    <col min="6407" max="6656" width="9.109375" style="7001"/>
    <col min="6657" max="6657" width="33" style="7001" customWidth="1"/>
    <col min="6658" max="6658" width="9.44140625" style="7001" customWidth="1"/>
    <col min="6659" max="6659" width="9.109375" style="7001"/>
    <col min="6660" max="6660" width="12.44140625" style="7001" customWidth="1"/>
    <col min="6661" max="6661" width="14.88671875" style="7001" customWidth="1"/>
    <col min="6662" max="6662" width="14.44140625" style="7001" customWidth="1"/>
    <col min="6663" max="6912" width="9.109375" style="7001"/>
    <col min="6913" max="6913" width="33" style="7001" customWidth="1"/>
    <col min="6914" max="6914" width="9.44140625" style="7001" customWidth="1"/>
    <col min="6915" max="6915" width="9.109375" style="7001"/>
    <col min="6916" max="6916" width="12.44140625" style="7001" customWidth="1"/>
    <col min="6917" max="6917" width="14.88671875" style="7001" customWidth="1"/>
    <col min="6918" max="6918" width="14.44140625" style="7001" customWidth="1"/>
    <col min="6919" max="7168" width="9.109375" style="7001"/>
    <col min="7169" max="7169" width="33" style="7001" customWidth="1"/>
    <col min="7170" max="7170" width="9.44140625" style="7001" customWidth="1"/>
    <col min="7171" max="7171" width="9.109375" style="7001"/>
    <col min="7172" max="7172" width="12.44140625" style="7001" customWidth="1"/>
    <col min="7173" max="7173" width="14.88671875" style="7001" customWidth="1"/>
    <col min="7174" max="7174" width="14.44140625" style="7001" customWidth="1"/>
    <col min="7175" max="7424" width="9.109375" style="7001"/>
    <col min="7425" max="7425" width="33" style="7001" customWidth="1"/>
    <col min="7426" max="7426" width="9.44140625" style="7001" customWidth="1"/>
    <col min="7427" max="7427" width="9.109375" style="7001"/>
    <col min="7428" max="7428" width="12.44140625" style="7001" customWidth="1"/>
    <col min="7429" max="7429" width="14.88671875" style="7001" customWidth="1"/>
    <col min="7430" max="7430" width="14.44140625" style="7001" customWidth="1"/>
    <col min="7431" max="7680" width="9.109375" style="7001"/>
    <col min="7681" max="7681" width="33" style="7001" customWidth="1"/>
    <col min="7682" max="7682" width="9.44140625" style="7001" customWidth="1"/>
    <col min="7683" max="7683" width="9.109375" style="7001"/>
    <col min="7684" max="7684" width="12.44140625" style="7001" customWidth="1"/>
    <col min="7685" max="7685" width="14.88671875" style="7001" customWidth="1"/>
    <col min="7686" max="7686" width="14.44140625" style="7001" customWidth="1"/>
    <col min="7687" max="7936" width="9.109375" style="7001"/>
    <col min="7937" max="7937" width="33" style="7001" customWidth="1"/>
    <col min="7938" max="7938" width="9.44140625" style="7001" customWidth="1"/>
    <col min="7939" max="7939" width="9.109375" style="7001"/>
    <col min="7940" max="7940" width="12.44140625" style="7001" customWidth="1"/>
    <col min="7941" max="7941" width="14.88671875" style="7001" customWidth="1"/>
    <col min="7942" max="7942" width="14.44140625" style="7001" customWidth="1"/>
    <col min="7943" max="8192" width="9.109375" style="7001"/>
    <col min="8193" max="8193" width="33" style="7001" customWidth="1"/>
    <col min="8194" max="8194" width="9.44140625" style="7001" customWidth="1"/>
    <col min="8195" max="8195" width="9.109375" style="7001"/>
    <col min="8196" max="8196" width="12.44140625" style="7001" customWidth="1"/>
    <col min="8197" max="8197" width="14.88671875" style="7001" customWidth="1"/>
    <col min="8198" max="8198" width="14.44140625" style="7001" customWidth="1"/>
    <col min="8199" max="8448" width="9.109375" style="7001"/>
    <col min="8449" max="8449" width="33" style="7001" customWidth="1"/>
    <col min="8450" max="8450" width="9.44140625" style="7001" customWidth="1"/>
    <col min="8451" max="8451" width="9.109375" style="7001"/>
    <col min="8452" max="8452" width="12.44140625" style="7001" customWidth="1"/>
    <col min="8453" max="8453" width="14.88671875" style="7001" customWidth="1"/>
    <col min="8454" max="8454" width="14.44140625" style="7001" customWidth="1"/>
    <col min="8455" max="8704" width="9.109375" style="7001"/>
    <col min="8705" max="8705" width="33" style="7001" customWidth="1"/>
    <col min="8706" max="8706" width="9.44140625" style="7001" customWidth="1"/>
    <col min="8707" max="8707" width="9.109375" style="7001"/>
    <col min="8708" max="8708" width="12.44140625" style="7001" customWidth="1"/>
    <col min="8709" max="8709" width="14.88671875" style="7001" customWidth="1"/>
    <col min="8710" max="8710" width="14.44140625" style="7001" customWidth="1"/>
    <col min="8711" max="8960" width="9.109375" style="7001"/>
    <col min="8961" max="8961" width="33" style="7001" customWidth="1"/>
    <col min="8962" max="8962" width="9.44140625" style="7001" customWidth="1"/>
    <col min="8963" max="8963" width="9.109375" style="7001"/>
    <col min="8964" max="8964" width="12.44140625" style="7001" customWidth="1"/>
    <col min="8965" max="8965" width="14.88671875" style="7001" customWidth="1"/>
    <col min="8966" max="8966" width="14.44140625" style="7001" customWidth="1"/>
    <col min="8967" max="9216" width="9.109375" style="7001"/>
    <col min="9217" max="9217" width="33" style="7001" customWidth="1"/>
    <col min="9218" max="9218" width="9.44140625" style="7001" customWidth="1"/>
    <col min="9219" max="9219" width="9.109375" style="7001"/>
    <col min="9220" max="9220" width="12.44140625" style="7001" customWidth="1"/>
    <col min="9221" max="9221" width="14.88671875" style="7001" customWidth="1"/>
    <col min="9222" max="9222" width="14.44140625" style="7001" customWidth="1"/>
    <col min="9223" max="9472" width="9.109375" style="7001"/>
    <col min="9473" max="9473" width="33" style="7001" customWidth="1"/>
    <col min="9474" max="9474" width="9.44140625" style="7001" customWidth="1"/>
    <col min="9475" max="9475" width="9.109375" style="7001"/>
    <col min="9476" max="9476" width="12.44140625" style="7001" customWidth="1"/>
    <col min="9477" max="9477" width="14.88671875" style="7001" customWidth="1"/>
    <col min="9478" max="9478" width="14.44140625" style="7001" customWidth="1"/>
    <col min="9479" max="9728" width="9.109375" style="7001"/>
    <col min="9729" max="9729" width="33" style="7001" customWidth="1"/>
    <col min="9730" max="9730" width="9.44140625" style="7001" customWidth="1"/>
    <col min="9731" max="9731" width="9.109375" style="7001"/>
    <col min="9732" max="9732" width="12.44140625" style="7001" customWidth="1"/>
    <col min="9733" max="9733" width="14.88671875" style="7001" customWidth="1"/>
    <col min="9734" max="9734" width="14.44140625" style="7001" customWidth="1"/>
    <col min="9735" max="9984" width="9.109375" style="7001"/>
    <col min="9985" max="9985" width="33" style="7001" customWidth="1"/>
    <col min="9986" max="9986" width="9.44140625" style="7001" customWidth="1"/>
    <col min="9987" max="9987" width="9.109375" style="7001"/>
    <col min="9988" max="9988" width="12.44140625" style="7001" customWidth="1"/>
    <col min="9989" max="9989" width="14.88671875" style="7001" customWidth="1"/>
    <col min="9990" max="9990" width="14.44140625" style="7001" customWidth="1"/>
    <col min="9991" max="10240" width="9.109375" style="7001"/>
    <col min="10241" max="10241" width="33" style="7001" customWidth="1"/>
    <col min="10242" max="10242" width="9.44140625" style="7001" customWidth="1"/>
    <col min="10243" max="10243" width="9.109375" style="7001"/>
    <col min="10244" max="10244" width="12.44140625" style="7001" customWidth="1"/>
    <col min="10245" max="10245" width="14.88671875" style="7001" customWidth="1"/>
    <col min="10246" max="10246" width="14.44140625" style="7001" customWidth="1"/>
    <col min="10247" max="10496" width="9.109375" style="7001"/>
    <col min="10497" max="10497" width="33" style="7001" customWidth="1"/>
    <col min="10498" max="10498" width="9.44140625" style="7001" customWidth="1"/>
    <col min="10499" max="10499" width="9.109375" style="7001"/>
    <col min="10500" max="10500" width="12.44140625" style="7001" customWidth="1"/>
    <col min="10501" max="10501" width="14.88671875" style="7001" customWidth="1"/>
    <col min="10502" max="10502" width="14.44140625" style="7001" customWidth="1"/>
    <col min="10503" max="10752" width="9.109375" style="7001"/>
    <col min="10753" max="10753" width="33" style="7001" customWidth="1"/>
    <col min="10754" max="10754" width="9.44140625" style="7001" customWidth="1"/>
    <col min="10755" max="10755" width="9.109375" style="7001"/>
    <col min="10756" max="10756" width="12.44140625" style="7001" customWidth="1"/>
    <col min="10757" max="10757" width="14.88671875" style="7001" customWidth="1"/>
    <col min="10758" max="10758" width="14.44140625" style="7001" customWidth="1"/>
    <col min="10759" max="11008" width="9.109375" style="7001"/>
    <col min="11009" max="11009" width="33" style="7001" customWidth="1"/>
    <col min="11010" max="11010" width="9.44140625" style="7001" customWidth="1"/>
    <col min="11011" max="11011" width="9.109375" style="7001"/>
    <col min="11012" max="11012" width="12.44140625" style="7001" customWidth="1"/>
    <col min="11013" max="11013" width="14.88671875" style="7001" customWidth="1"/>
    <col min="11014" max="11014" width="14.44140625" style="7001" customWidth="1"/>
    <col min="11015" max="11264" width="9.109375" style="7001"/>
    <col min="11265" max="11265" width="33" style="7001" customWidth="1"/>
    <col min="11266" max="11266" width="9.44140625" style="7001" customWidth="1"/>
    <col min="11267" max="11267" width="9.109375" style="7001"/>
    <col min="11268" max="11268" width="12.44140625" style="7001" customWidth="1"/>
    <col min="11269" max="11269" width="14.88671875" style="7001" customWidth="1"/>
    <col min="11270" max="11270" width="14.44140625" style="7001" customWidth="1"/>
    <col min="11271" max="11520" width="9.109375" style="7001"/>
    <col min="11521" max="11521" width="33" style="7001" customWidth="1"/>
    <col min="11522" max="11522" width="9.44140625" style="7001" customWidth="1"/>
    <col min="11523" max="11523" width="9.109375" style="7001"/>
    <col min="11524" max="11524" width="12.44140625" style="7001" customWidth="1"/>
    <col min="11525" max="11525" width="14.88671875" style="7001" customWidth="1"/>
    <col min="11526" max="11526" width="14.44140625" style="7001" customWidth="1"/>
    <col min="11527" max="11776" width="9.109375" style="7001"/>
    <col min="11777" max="11777" width="33" style="7001" customWidth="1"/>
    <col min="11778" max="11778" width="9.44140625" style="7001" customWidth="1"/>
    <col min="11779" max="11779" width="9.109375" style="7001"/>
    <col min="11780" max="11780" width="12.44140625" style="7001" customWidth="1"/>
    <col min="11781" max="11781" width="14.88671875" style="7001" customWidth="1"/>
    <col min="11782" max="11782" width="14.44140625" style="7001" customWidth="1"/>
    <col min="11783" max="12032" width="9.109375" style="7001"/>
    <col min="12033" max="12033" width="33" style="7001" customWidth="1"/>
    <col min="12034" max="12034" width="9.44140625" style="7001" customWidth="1"/>
    <col min="12035" max="12035" width="9.109375" style="7001"/>
    <col min="12036" max="12036" width="12.44140625" style="7001" customWidth="1"/>
    <col min="12037" max="12037" width="14.88671875" style="7001" customWidth="1"/>
    <col min="12038" max="12038" width="14.44140625" style="7001" customWidth="1"/>
    <col min="12039" max="12288" width="9.109375" style="7001"/>
    <col min="12289" max="12289" width="33" style="7001" customWidth="1"/>
    <col min="12290" max="12290" width="9.44140625" style="7001" customWidth="1"/>
    <col min="12291" max="12291" width="9.109375" style="7001"/>
    <col min="12292" max="12292" width="12.44140625" style="7001" customWidth="1"/>
    <col min="12293" max="12293" width="14.88671875" style="7001" customWidth="1"/>
    <col min="12294" max="12294" width="14.44140625" style="7001" customWidth="1"/>
    <col min="12295" max="12544" width="9.109375" style="7001"/>
    <col min="12545" max="12545" width="33" style="7001" customWidth="1"/>
    <col min="12546" max="12546" width="9.44140625" style="7001" customWidth="1"/>
    <col min="12547" max="12547" width="9.109375" style="7001"/>
    <col min="12548" max="12548" width="12.44140625" style="7001" customWidth="1"/>
    <col min="12549" max="12549" width="14.88671875" style="7001" customWidth="1"/>
    <col min="12550" max="12550" width="14.44140625" style="7001" customWidth="1"/>
    <col min="12551" max="12800" width="9.109375" style="7001"/>
    <col min="12801" max="12801" width="33" style="7001" customWidth="1"/>
    <col min="12802" max="12802" width="9.44140625" style="7001" customWidth="1"/>
    <col min="12803" max="12803" width="9.109375" style="7001"/>
    <col min="12804" max="12804" width="12.44140625" style="7001" customWidth="1"/>
    <col min="12805" max="12805" width="14.88671875" style="7001" customWidth="1"/>
    <col min="12806" max="12806" width="14.44140625" style="7001" customWidth="1"/>
    <col min="12807" max="13056" width="9.109375" style="7001"/>
    <col min="13057" max="13057" width="33" style="7001" customWidth="1"/>
    <col min="13058" max="13058" width="9.44140625" style="7001" customWidth="1"/>
    <col min="13059" max="13059" width="9.109375" style="7001"/>
    <col min="13060" max="13060" width="12.44140625" style="7001" customWidth="1"/>
    <col min="13061" max="13061" width="14.88671875" style="7001" customWidth="1"/>
    <col min="13062" max="13062" width="14.44140625" style="7001" customWidth="1"/>
    <col min="13063" max="13312" width="9.109375" style="7001"/>
    <col min="13313" max="13313" width="33" style="7001" customWidth="1"/>
    <col min="13314" max="13314" width="9.44140625" style="7001" customWidth="1"/>
    <col min="13315" max="13315" width="9.109375" style="7001"/>
    <col min="13316" max="13316" width="12.44140625" style="7001" customWidth="1"/>
    <col min="13317" max="13317" width="14.88671875" style="7001" customWidth="1"/>
    <col min="13318" max="13318" width="14.44140625" style="7001" customWidth="1"/>
    <col min="13319" max="13568" width="9.109375" style="7001"/>
    <col min="13569" max="13569" width="33" style="7001" customWidth="1"/>
    <col min="13570" max="13570" width="9.44140625" style="7001" customWidth="1"/>
    <col min="13571" max="13571" width="9.109375" style="7001"/>
    <col min="13572" max="13572" width="12.44140625" style="7001" customWidth="1"/>
    <col min="13573" max="13573" width="14.88671875" style="7001" customWidth="1"/>
    <col min="13574" max="13574" width="14.44140625" style="7001" customWidth="1"/>
    <col min="13575" max="13824" width="9.109375" style="7001"/>
    <col min="13825" max="13825" width="33" style="7001" customWidth="1"/>
    <col min="13826" max="13826" width="9.44140625" style="7001" customWidth="1"/>
    <col min="13827" max="13827" width="9.109375" style="7001"/>
    <col min="13828" max="13828" width="12.44140625" style="7001" customWidth="1"/>
    <col min="13829" max="13829" width="14.88671875" style="7001" customWidth="1"/>
    <col min="13830" max="13830" width="14.44140625" style="7001" customWidth="1"/>
    <col min="13831" max="14080" width="9.109375" style="7001"/>
    <col min="14081" max="14081" width="33" style="7001" customWidth="1"/>
    <col min="14082" max="14082" width="9.44140625" style="7001" customWidth="1"/>
    <col min="14083" max="14083" width="9.109375" style="7001"/>
    <col min="14084" max="14084" width="12.44140625" style="7001" customWidth="1"/>
    <col min="14085" max="14085" width="14.88671875" style="7001" customWidth="1"/>
    <col min="14086" max="14086" width="14.44140625" style="7001" customWidth="1"/>
    <col min="14087" max="14336" width="9.109375" style="7001"/>
    <col min="14337" max="14337" width="33" style="7001" customWidth="1"/>
    <col min="14338" max="14338" width="9.44140625" style="7001" customWidth="1"/>
    <col min="14339" max="14339" width="9.109375" style="7001"/>
    <col min="14340" max="14340" width="12.44140625" style="7001" customWidth="1"/>
    <col min="14341" max="14341" width="14.88671875" style="7001" customWidth="1"/>
    <col min="14342" max="14342" width="14.44140625" style="7001" customWidth="1"/>
    <col min="14343" max="14592" width="9.109375" style="7001"/>
    <col min="14593" max="14593" width="33" style="7001" customWidth="1"/>
    <col min="14594" max="14594" width="9.44140625" style="7001" customWidth="1"/>
    <col min="14595" max="14595" width="9.109375" style="7001"/>
    <col min="14596" max="14596" width="12.44140625" style="7001" customWidth="1"/>
    <col min="14597" max="14597" width="14.88671875" style="7001" customWidth="1"/>
    <col min="14598" max="14598" width="14.44140625" style="7001" customWidth="1"/>
    <col min="14599" max="14848" width="9.109375" style="7001"/>
    <col min="14849" max="14849" width="33" style="7001" customWidth="1"/>
    <col min="14850" max="14850" width="9.44140625" style="7001" customWidth="1"/>
    <col min="14851" max="14851" width="9.109375" style="7001"/>
    <col min="14852" max="14852" width="12.44140625" style="7001" customWidth="1"/>
    <col min="14853" max="14853" width="14.88671875" style="7001" customWidth="1"/>
    <col min="14854" max="14854" width="14.44140625" style="7001" customWidth="1"/>
    <col min="14855" max="15104" width="9.109375" style="7001"/>
    <col min="15105" max="15105" width="33" style="7001" customWidth="1"/>
    <col min="15106" max="15106" width="9.44140625" style="7001" customWidth="1"/>
    <col min="15107" max="15107" width="9.109375" style="7001"/>
    <col min="15108" max="15108" width="12.44140625" style="7001" customWidth="1"/>
    <col min="15109" max="15109" width="14.88671875" style="7001" customWidth="1"/>
    <col min="15110" max="15110" width="14.44140625" style="7001" customWidth="1"/>
    <col min="15111" max="15360" width="9.109375" style="7001"/>
    <col min="15361" max="15361" width="33" style="7001" customWidth="1"/>
    <col min="15362" max="15362" width="9.44140625" style="7001" customWidth="1"/>
    <col min="15363" max="15363" width="9.109375" style="7001"/>
    <col min="15364" max="15364" width="12.44140625" style="7001" customWidth="1"/>
    <col min="15365" max="15365" width="14.88671875" style="7001" customWidth="1"/>
    <col min="15366" max="15366" width="14.44140625" style="7001" customWidth="1"/>
    <col min="15367" max="15616" width="9.109375" style="7001"/>
    <col min="15617" max="15617" width="33" style="7001" customWidth="1"/>
    <col min="15618" max="15618" width="9.44140625" style="7001" customWidth="1"/>
    <col min="15619" max="15619" width="9.109375" style="7001"/>
    <col min="15620" max="15620" width="12.44140625" style="7001" customWidth="1"/>
    <col min="15621" max="15621" width="14.88671875" style="7001" customWidth="1"/>
    <col min="15622" max="15622" width="14.44140625" style="7001" customWidth="1"/>
    <col min="15623" max="15872" width="9.109375" style="7001"/>
    <col min="15873" max="15873" width="33" style="7001" customWidth="1"/>
    <col min="15874" max="15874" width="9.44140625" style="7001" customWidth="1"/>
    <col min="15875" max="15875" width="9.109375" style="7001"/>
    <col min="15876" max="15876" width="12.44140625" style="7001" customWidth="1"/>
    <col min="15877" max="15877" width="14.88671875" style="7001" customWidth="1"/>
    <col min="15878" max="15878" width="14.44140625" style="7001" customWidth="1"/>
    <col min="15879" max="16128" width="9.109375" style="7001"/>
    <col min="16129" max="16129" width="33" style="7001" customWidth="1"/>
    <col min="16130" max="16130" width="9.44140625" style="7001" customWidth="1"/>
    <col min="16131" max="16131" width="9.109375" style="7001"/>
    <col min="16132" max="16132" width="12.44140625" style="7001" customWidth="1"/>
    <col min="16133" max="16133" width="14.88671875" style="7001" customWidth="1"/>
    <col min="16134" max="16134" width="14.44140625" style="7001" customWidth="1"/>
    <col min="16135" max="16384" width="9.109375" style="7001"/>
  </cols>
  <sheetData>
    <row r="1" spans="1:8" ht="12.9" customHeight="1">
      <c r="A1" s="14395" t="s">
        <v>1087</v>
      </c>
      <c r="B1" s="14395"/>
      <c r="C1" s="14395"/>
      <c r="D1" s="14395"/>
      <c r="E1" s="14395"/>
      <c r="F1" s="14395"/>
    </row>
    <row r="3" spans="1:8" ht="12.9" customHeight="1">
      <c r="A3" s="7162" t="s">
        <v>12256</v>
      </c>
    </row>
    <row r="4" spans="1:8" ht="12.9" customHeight="1" thickBot="1"/>
    <row r="5" spans="1:8" ht="12.9" customHeight="1">
      <c r="A5" s="9675" t="s">
        <v>842</v>
      </c>
      <c r="B5" s="10713" t="s">
        <v>1035</v>
      </c>
      <c r="C5" s="10713" t="s">
        <v>1036</v>
      </c>
      <c r="D5" s="14393" t="s">
        <v>1037</v>
      </c>
      <c r="E5" s="14393"/>
      <c r="F5" s="14394"/>
    </row>
    <row r="6" spans="1:8" ht="12.9" customHeight="1" thickBot="1">
      <c r="A6" s="9679" t="s">
        <v>1088</v>
      </c>
      <c r="B6" s="9755" t="s">
        <v>9</v>
      </c>
      <c r="C6" s="9755" t="s">
        <v>1039</v>
      </c>
      <c r="D6" s="9680" t="s">
        <v>10</v>
      </c>
      <c r="E6" s="9755" t="s">
        <v>11</v>
      </c>
      <c r="F6" s="9756" t="s">
        <v>11621</v>
      </c>
    </row>
    <row r="7" spans="1:8" ht="12.9" customHeight="1">
      <c r="A7" s="7231" t="s">
        <v>9</v>
      </c>
      <c r="B7" s="9665"/>
      <c r="C7" s="9665"/>
      <c r="D7" s="9665"/>
      <c r="E7" s="9665"/>
      <c r="F7" s="9729"/>
    </row>
    <row r="8" spans="1:8" ht="12.9" customHeight="1">
      <c r="A8" s="6230" t="s">
        <v>1139</v>
      </c>
      <c r="B8" s="7174"/>
      <c r="C8" s="9636"/>
      <c r="D8" s="9636"/>
      <c r="E8" s="9636"/>
      <c r="F8" s="10413"/>
    </row>
    <row r="9" spans="1:8" ht="12.9" customHeight="1">
      <c r="A9" s="6230" t="s">
        <v>1149</v>
      </c>
      <c r="B9" s="7174"/>
      <c r="C9" s="9636"/>
      <c r="D9" s="9636"/>
      <c r="E9" s="9636"/>
      <c r="F9" s="10413"/>
    </row>
    <row r="10" spans="1:8" ht="12.9" customHeight="1">
      <c r="A10" s="7231"/>
      <c r="B10" s="7174"/>
      <c r="C10" s="9636"/>
      <c r="D10" s="9636"/>
      <c r="E10" s="9636"/>
      <c r="F10" s="10413"/>
    </row>
    <row r="11" spans="1:8" ht="12.9" customHeight="1">
      <c r="A11" s="6230" t="s">
        <v>1151</v>
      </c>
      <c r="B11" s="7174"/>
      <c r="C11" s="9636"/>
      <c r="D11" s="9636"/>
      <c r="E11" s="9636"/>
      <c r="F11" s="10413"/>
    </row>
    <row r="12" spans="1:8" ht="12.9" customHeight="1">
      <c r="A12" s="6230" t="s">
        <v>1109</v>
      </c>
      <c r="B12" s="7174"/>
      <c r="C12" s="9636"/>
      <c r="D12" s="9636"/>
      <c r="E12" s="9636"/>
      <c r="F12" s="10413"/>
    </row>
    <row r="13" spans="1:8" ht="12.9" customHeight="1">
      <c r="A13" s="7231" t="s">
        <v>1389</v>
      </c>
      <c r="B13" s="7172">
        <v>1</v>
      </c>
      <c r="C13" s="9403">
        <v>23</v>
      </c>
      <c r="D13" s="9608">
        <v>728784</v>
      </c>
      <c r="E13" s="9608">
        <v>0</v>
      </c>
      <c r="F13" s="9948">
        <v>885732</v>
      </c>
      <c r="G13" s="7001">
        <f>SUM(B13)</f>
        <v>1</v>
      </c>
      <c r="H13" s="7164">
        <f>SUM(F13)</f>
        <v>885732</v>
      </c>
    </row>
    <row r="14" spans="1:8" ht="12.9" customHeight="1">
      <c r="A14" s="7231"/>
      <c r="B14" s="7172"/>
      <c r="C14" s="9403"/>
      <c r="D14" s="9608"/>
      <c r="E14" s="9608"/>
      <c r="F14" s="9948"/>
    </row>
    <row r="15" spans="1:8" ht="12.9" customHeight="1">
      <c r="A15" s="6230" t="s">
        <v>1152</v>
      </c>
      <c r="B15" s="7172"/>
      <c r="C15" s="9403"/>
      <c r="D15" s="9608"/>
      <c r="E15" s="9608"/>
      <c r="F15" s="9948"/>
    </row>
    <row r="16" spans="1:8" ht="12.9" customHeight="1">
      <c r="A16" s="7231" t="s">
        <v>1390</v>
      </c>
      <c r="B16" s="7172">
        <v>0</v>
      </c>
      <c r="C16" s="9403">
        <v>21</v>
      </c>
      <c r="D16" s="9608">
        <v>573348</v>
      </c>
      <c r="E16" s="9608">
        <v>640092</v>
      </c>
      <c r="F16" s="9948">
        <v>0</v>
      </c>
    </row>
    <row r="17" spans="1:8" ht="12.9" customHeight="1">
      <c r="A17" s="7231" t="s">
        <v>1391</v>
      </c>
      <c r="B17" s="7172">
        <v>1</v>
      </c>
      <c r="C17" s="9403">
        <v>17</v>
      </c>
      <c r="D17" s="9608">
        <v>426288</v>
      </c>
      <c r="E17" s="9608">
        <v>453852</v>
      </c>
      <c r="F17" s="9948">
        <v>483204</v>
      </c>
    </row>
    <row r="18" spans="1:8" ht="12.9" customHeight="1">
      <c r="A18" s="7231" t="s">
        <v>1347</v>
      </c>
      <c r="B18" s="7172">
        <v>3</v>
      </c>
      <c r="C18" s="9403">
        <v>11</v>
      </c>
      <c r="D18" s="9608">
        <v>499596</v>
      </c>
      <c r="E18" s="9608">
        <v>758364</v>
      </c>
      <c r="F18" s="9948">
        <v>782424</v>
      </c>
    </row>
    <row r="19" spans="1:8" ht="12.9" customHeight="1">
      <c r="A19" s="7231" t="s">
        <v>1357</v>
      </c>
      <c r="B19" s="7172">
        <v>2</v>
      </c>
      <c r="C19" s="9403">
        <v>4</v>
      </c>
      <c r="D19" s="9608">
        <v>304884</v>
      </c>
      <c r="E19" s="9608">
        <v>155880</v>
      </c>
      <c r="F19" s="9948">
        <v>322068</v>
      </c>
    </row>
    <row r="20" spans="1:8" ht="12.9" customHeight="1">
      <c r="A20" s="7231" t="s">
        <v>1348</v>
      </c>
      <c r="B20" s="7172">
        <v>1</v>
      </c>
      <c r="C20" s="9403">
        <v>15</v>
      </c>
      <c r="D20" s="9608">
        <v>358824</v>
      </c>
      <c r="E20" s="9608">
        <v>378540</v>
      </c>
      <c r="F20" s="9948">
        <v>399348</v>
      </c>
    </row>
    <row r="21" spans="1:8" ht="12.9" customHeight="1">
      <c r="A21" s="7231" t="s">
        <v>1392</v>
      </c>
      <c r="B21" s="7172">
        <v>1</v>
      </c>
      <c r="C21" s="9403">
        <v>15</v>
      </c>
      <c r="D21" s="9608">
        <v>342528</v>
      </c>
      <c r="E21" s="9608">
        <v>360852</v>
      </c>
      <c r="F21" s="9948">
        <v>384864</v>
      </c>
    </row>
    <row r="22" spans="1:8" ht="12.9" customHeight="1">
      <c r="A22" s="7231" t="s">
        <v>1351</v>
      </c>
      <c r="B22" s="7172">
        <v>2</v>
      </c>
      <c r="C22" s="9403">
        <v>11</v>
      </c>
      <c r="D22" s="9608">
        <v>482148</v>
      </c>
      <c r="E22" s="9608">
        <v>496800</v>
      </c>
      <c r="F22" s="9948">
        <v>515352</v>
      </c>
    </row>
    <row r="23" spans="1:8" ht="12.9" hidden="1" customHeight="1">
      <c r="A23" s="7231" t="s">
        <v>1393</v>
      </c>
      <c r="B23" s="7172">
        <v>0</v>
      </c>
      <c r="C23" s="9403">
        <v>5</v>
      </c>
      <c r="D23" s="9608">
        <v>0</v>
      </c>
      <c r="E23" s="9608">
        <v>0</v>
      </c>
      <c r="F23" s="9948">
        <v>0</v>
      </c>
    </row>
    <row r="24" spans="1:8" ht="12.9" customHeight="1">
      <c r="A24" s="7231" t="s">
        <v>1394</v>
      </c>
      <c r="B24" s="7172">
        <v>1</v>
      </c>
      <c r="C24" s="9403">
        <v>8</v>
      </c>
      <c r="D24" s="9608">
        <v>202836</v>
      </c>
      <c r="E24" s="9608">
        <v>208428</v>
      </c>
      <c r="F24" s="9948">
        <v>214176</v>
      </c>
    </row>
    <row r="25" spans="1:8" ht="12.9" customHeight="1">
      <c r="A25" s="7231" t="s">
        <v>1360</v>
      </c>
      <c r="B25" s="7172">
        <v>1</v>
      </c>
      <c r="C25" s="9403">
        <v>3</v>
      </c>
      <c r="D25" s="9608">
        <v>145320</v>
      </c>
      <c r="E25" s="9608">
        <v>151440</v>
      </c>
      <c r="F25" s="9948">
        <v>157824</v>
      </c>
    </row>
    <row r="26" spans="1:8" ht="12.9" customHeight="1">
      <c r="A26" s="7231" t="s">
        <v>1362</v>
      </c>
      <c r="B26" s="7172">
        <v>1</v>
      </c>
      <c r="C26" s="9403">
        <v>1</v>
      </c>
      <c r="D26" s="9608">
        <v>125436</v>
      </c>
      <c r="E26" s="9608">
        <v>132912</v>
      </c>
      <c r="F26" s="9948">
        <v>139620</v>
      </c>
    </row>
    <row r="27" spans="1:8" ht="12.9" customHeight="1">
      <c r="A27" s="7231" t="s">
        <v>10403</v>
      </c>
      <c r="B27" s="7172">
        <v>1</v>
      </c>
      <c r="C27" s="9403">
        <v>3</v>
      </c>
      <c r="D27" s="9608">
        <v>136644</v>
      </c>
      <c r="E27" s="9608">
        <v>144156</v>
      </c>
      <c r="F27" s="9948">
        <v>150744</v>
      </c>
    </row>
    <row r="28" spans="1:8" ht="12.9" customHeight="1">
      <c r="A28" s="7231"/>
      <c r="B28" s="7172"/>
      <c r="C28" s="9403"/>
      <c r="D28" s="9608"/>
      <c r="E28" s="9608"/>
      <c r="F28" s="9948"/>
    </row>
    <row r="29" spans="1:8" ht="12.9" customHeight="1">
      <c r="A29" s="6230" t="s">
        <v>1094</v>
      </c>
      <c r="B29" s="7172"/>
      <c r="C29" s="9403"/>
      <c r="D29" s="9608"/>
      <c r="E29" s="9608"/>
      <c r="F29" s="9948"/>
      <c r="G29" s="7001">
        <f>SUM(B16:B27)</f>
        <v>14</v>
      </c>
      <c r="H29" s="7164">
        <f>SUM(F16:F28)</f>
        <v>3549624</v>
      </c>
    </row>
    <row r="30" spans="1:8" ht="12.9" customHeight="1">
      <c r="A30" s="7231" t="s">
        <v>1395</v>
      </c>
      <c r="B30" s="9403">
        <v>1</v>
      </c>
      <c r="C30" s="9403">
        <v>23</v>
      </c>
      <c r="D30" s="9608">
        <v>0</v>
      </c>
      <c r="E30" s="9608">
        <v>0</v>
      </c>
      <c r="F30" s="9948">
        <v>249048</v>
      </c>
      <c r="H30" s="7164"/>
    </row>
    <row r="31" spans="1:8" ht="12.9" customHeight="1">
      <c r="A31" s="7231" t="s">
        <v>1381</v>
      </c>
      <c r="B31" s="7172">
        <v>1</v>
      </c>
      <c r="C31" s="9403">
        <v>9</v>
      </c>
      <c r="D31" s="9609">
        <v>203832</v>
      </c>
      <c r="E31" s="9609">
        <v>209676</v>
      </c>
      <c r="F31" s="10401">
        <v>217500</v>
      </c>
    </row>
    <row r="32" spans="1:8" ht="12.9" customHeight="1">
      <c r="A32" s="7231" t="s">
        <v>1173</v>
      </c>
      <c r="B32" s="7172">
        <v>1</v>
      </c>
      <c r="C32" s="9403">
        <v>5</v>
      </c>
      <c r="D32" s="9609">
        <v>155700</v>
      </c>
      <c r="E32" s="9609">
        <v>163272</v>
      </c>
      <c r="F32" s="10401">
        <v>169380</v>
      </c>
    </row>
    <row r="33" spans="1:8" ht="12.9" customHeight="1">
      <c r="A33" s="7231" t="s">
        <v>1158</v>
      </c>
      <c r="B33" s="7172">
        <v>2</v>
      </c>
      <c r="C33" s="9403">
        <v>1</v>
      </c>
      <c r="D33" s="9608">
        <v>248496</v>
      </c>
      <c r="E33" s="9608">
        <v>132912</v>
      </c>
      <c r="F33" s="9948">
        <v>273600</v>
      </c>
    </row>
    <row r="34" spans="1:8" ht="12.9" customHeight="1">
      <c r="A34" s="7231" t="s">
        <v>80</v>
      </c>
      <c r="B34" s="9683"/>
      <c r="C34" s="10402"/>
      <c r="D34" s="10403"/>
      <c r="E34" s="10403"/>
      <c r="F34" s="9746"/>
    </row>
    <row r="35" spans="1:8" ht="12.9" customHeight="1">
      <c r="A35" s="6230" t="s">
        <v>1159</v>
      </c>
      <c r="B35" s="9652">
        <f>SUM(B10:B33)</f>
        <v>20</v>
      </c>
      <c r="C35" s="9686"/>
      <c r="D35" s="9654">
        <f>SUM(D10:D34)</f>
        <v>4934664</v>
      </c>
      <c r="E35" s="9654">
        <f>SUM(E10:E34)</f>
        <v>4387176</v>
      </c>
      <c r="F35" s="9655">
        <f>SUM(F10:F34)</f>
        <v>5344884</v>
      </c>
      <c r="G35" s="7001">
        <f>SUM(B30:B33)</f>
        <v>5</v>
      </c>
      <c r="H35" s="7164">
        <f>SUM(F30:F33)</f>
        <v>909528</v>
      </c>
    </row>
    <row r="36" spans="1:8" ht="12.9" customHeight="1">
      <c r="A36" s="7231"/>
      <c r="B36" s="9787"/>
      <c r="C36" s="10424"/>
      <c r="D36" s="10424"/>
      <c r="E36" s="10424"/>
      <c r="F36" s="10425"/>
    </row>
    <row r="37" spans="1:8" ht="12.9" customHeight="1">
      <c r="A37" s="7231" t="s">
        <v>1113</v>
      </c>
      <c r="B37" s="7168" t="s">
        <v>9</v>
      </c>
      <c r="C37" s="9636"/>
      <c r="D37" s="9636"/>
      <c r="E37" s="9636"/>
      <c r="F37" s="10413"/>
    </row>
    <row r="38" spans="1:8" ht="12.9" customHeight="1">
      <c r="A38" s="7231" t="s">
        <v>1399</v>
      </c>
      <c r="B38" s="7172">
        <v>0</v>
      </c>
      <c r="C38" s="9403">
        <v>23</v>
      </c>
      <c r="D38" s="9636">
        <v>699720</v>
      </c>
      <c r="E38" s="9612">
        <v>787248</v>
      </c>
      <c r="F38" s="9948">
        <v>0</v>
      </c>
    </row>
    <row r="39" spans="1:8" ht="12.9" customHeight="1">
      <c r="A39" s="7231" t="s">
        <v>1390</v>
      </c>
      <c r="B39" s="7172">
        <v>2</v>
      </c>
      <c r="C39" s="9403">
        <v>21</v>
      </c>
      <c r="D39" s="9608">
        <v>573348</v>
      </c>
      <c r="E39" s="9608">
        <v>630648</v>
      </c>
      <c r="F39" s="9948">
        <v>1387320</v>
      </c>
    </row>
    <row r="40" spans="1:8" ht="12.9" customHeight="1">
      <c r="A40" s="7231" t="s">
        <v>1324</v>
      </c>
      <c r="B40" s="7172"/>
      <c r="C40" s="9403">
        <v>17</v>
      </c>
      <c r="D40" s="9608"/>
      <c r="E40" s="9608">
        <v>443124</v>
      </c>
      <c r="F40" s="9948" t="s">
        <v>12022</v>
      </c>
    </row>
    <row r="41" spans="1:8" ht="12.9" customHeight="1">
      <c r="A41" s="7231" t="s">
        <v>1347</v>
      </c>
      <c r="B41" s="7172">
        <v>3</v>
      </c>
      <c r="C41" s="9403">
        <v>11</v>
      </c>
      <c r="D41" s="9609">
        <v>235440</v>
      </c>
      <c r="E41" s="9609">
        <v>726444</v>
      </c>
      <c r="F41" s="10401">
        <v>747144</v>
      </c>
    </row>
    <row r="42" spans="1:8" ht="12.9" customHeight="1">
      <c r="A42" s="7231" t="s">
        <v>10426</v>
      </c>
      <c r="B42" s="9403">
        <v>1</v>
      </c>
      <c r="C42" s="9403">
        <v>11</v>
      </c>
      <c r="D42" s="9608"/>
      <c r="E42" s="9608"/>
      <c r="F42" s="9948">
        <v>249048</v>
      </c>
    </row>
    <row r="43" spans="1:8" ht="12.9" customHeight="1">
      <c r="A43" s="7231" t="s">
        <v>1395</v>
      </c>
      <c r="B43" s="7172">
        <v>0</v>
      </c>
      <c r="C43" s="9403">
        <v>11</v>
      </c>
      <c r="D43" s="9608">
        <v>235440</v>
      </c>
      <c r="E43" s="9608">
        <v>242148</v>
      </c>
      <c r="F43" s="9948">
        <v>0</v>
      </c>
    </row>
    <row r="44" spans="1:8" ht="12.9" customHeight="1">
      <c r="A44" s="7207" t="s">
        <v>10700</v>
      </c>
      <c r="B44" s="7206">
        <v>1</v>
      </c>
      <c r="C44" s="9614">
        <v>10</v>
      </c>
      <c r="D44" s="9626">
        <v>218604</v>
      </c>
      <c r="E44" s="9626">
        <v>224616</v>
      </c>
      <c r="F44" s="9950">
        <v>230796</v>
      </c>
    </row>
    <row r="45" spans="1:8" ht="12.9" hidden="1" customHeight="1">
      <c r="A45" s="7231" t="s">
        <v>1381</v>
      </c>
      <c r="B45" s="7172">
        <v>0</v>
      </c>
      <c r="C45" s="9403">
        <v>9</v>
      </c>
      <c r="D45" s="9608">
        <v>0</v>
      </c>
      <c r="E45" s="9608">
        <v>0</v>
      </c>
      <c r="F45" s="9948">
        <v>0</v>
      </c>
    </row>
    <row r="46" spans="1:8" ht="12.9" hidden="1" customHeight="1">
      <c r="A46" s="7231" t="s">
        <v>1173</v>
      </c>
      <c r="B46" s="7172">
        <v>0</v>
      </c>
      <c r="C46" s="9403">
        <v>5</v>
      </c>
      <c r="D46" s="9608">
        <v>0</v>
      </c>
      <c r="E46" s="9608">
        <v>0</v>
      </c>
      <c r="F46" s="9948">
        <v>0</v>
      </c>
    </row>
    <row r="47" spans="1:8" ht="12.9" customHeight="1">
      <c r="A47" s="7231" t="s">
        <v>1357</v>
      </c>
      <c r="B47" s="7172">
        <v>0</v>
      </c>
      <c r="C47" s="9403">
        <v>4</v>
      </c>
      <c r="D47" s="9608">
        <v>0</v>
      </c>
      <c r="E47" s="9608">
        <v>161088</v>
      </c>
      <c r="F47" s="9948">
        <v>0</v>
      </c>
    </row>
    <row r="48" spans="1:8" ht="12.9" customHeight="1">
      <c r="A48" s="7231" t="s">
        <v>1175</v>
      </c>
      <c r="B48" s="7172">
        <v>0</v>
      </c>
      <c r="C48" s="9403">
        <v>1</v>
      </c>
      <c r="D48" s="9608">
        <v>0</v>
      </c>
      <c r="E48" s="9608">
        <v>126120</v>
      </c>
      <c r="F48" s="9948">
        <v>0</v>
      </c>
      <c r="G48" s="7001" t="s">
        <v>9</v>
      </c>
    </row>
    <row r="49" spans="1:6" ht="6.6" customHeight="1">
      <c r="A49" s="7231" t="s">
        <v>9</v>
      </c>
      <c r="B49" s="7172" t="s">
        <v>9</v>
      </c>
      <c r="C49" s="9403" t="s">
        <v>9</v>
      </c>
      <c r="D49" s="9608"/>
      <c r="E49" s="9608"/>
      <c r="F49" s="9948"/>
    </row>
    <row r="50" spans="1:6" s="7165" customFormat="1" ht="12.9" customHeight="1">
      <c r="A50" s="7209" t="s">
        <v>1396</v>
      </c>
      <c r="B50" s="9613">
        <f>SUM(B38:B49)</f>
        <v>7</v>
      </c>
      <c r="C50" s="9613"/>
      <c r="D50" s="9668">
        <f>SUM(D37:D49)</f>
        <v>1962552</v>
      </c>
      <c r="E50" s="9668">
        <f>SUM(E37:E49)</f>
        <v>3341436</v>
      </c>
      <c r="F50" s="9669">
        <f>SUM(F37:F49)</f>
        <v>2614308</v>
      </c>
    </row>
    <row r="51" spans="1:6" ht="6.6" customHeight="1" thickBot="1">
      <c r="A51" s="7235"/>
      <c r="B51" s="9645"/>
      <c r="C51" s="9645"/>
      <c r="D51" s="9758"/>
      <c r="E51" s="9758"/>
      <c r="F51" s="9759"/>
    </row>
    <row r="52" spans="1:6" s="7165" customFormat="1" ht="12.9" customHeight="1" thickBot="1">
      <c r="A52" s="10422" t="s">
        <v>1101</v>
      </c>
      <c r="B52" s="10725">
        <f>SUM(B35+B50)</f>
        <v>27</v>
      </c>
      <c r="C52" s="10429"/>
      <c r="D52" s="10419">
        <f>SUM(D35+D50)</f>
        <v>6897216</v>
      </c>
      <c r="E52" s="10419">
        <f>SUM(E35+E50)</f>
        <v>7728612</v>
      </c>
      <c r="F52" s="10420">
        <f>SUM(F35+F50)</f>
        <v>7959192</v>
      </c>
    </row>
    <row r="53" spans="1:6" ht="6.9" customHeight="1">
      <c r="A53" s="7231"/>
      <c r="B53" s="7174"/>
      <c r="C53" s="9636"/>
      <c r="D53" s="9636"/>
      <c r="E53" s="9636"/>
      <c r="F53" s="10413"/>
    </row>
    <row r="54" spans="1:6" ht="12.9" customHeight="1">
      <c r="A54" s="7231" t="s">
        <v>1075</v>
      </c>
      <c r="B54" s="7172"/>
      <c r="C54" s="9403"/>
      <c r="D54" s="9636"/>
      <c r="E54" s="9636"/>
      <c r="F54" s="10413"/>
    </row>
    <row r="55" spans="1:6" ht="12.9" customHeight="1">
      <c r="A55" s="7231" t="s">
        <v>1102</v>
      </c>
      <c r="B55" s="7174"/>
      <c r="C55" s="9636"/>
      <c r="D55" s="9636"/>
      <c r="E55" s="9636"/>
      <c r="F55" s="10413"/>
    </row>
    <row r="56" spans="1:6" ht="12.9" customHeight="1">
      <c r="A56" s="7231" t="s">
        <v>1103</v>
      </c>
      <c r="B56" s="7172">
        <v>1</v>
      </c>
      <c r="C56" s="9636"/>
      <c r="D56" s="9636"/>
      <c r="E56" s="9636"/>
      <c r="F56" s="10413"/>
    </row>
    <row r="57" spans="1:6" ht="12.9" customHeight="1">
      <c r="A57" s="7231" t="s">
        <v>1078</v>
      </c>
      <c r="B57" s="7172">
        <v>1</v>
      </c>
      <c r="C57" s="9636"/>
      <c r="D57" s="9636"/>
      <c r="E57" s="9636"/>
      <c r="F57" s="10413"/>
    </row>
    <row r="58" spans="1:6" ht="12.9" customHeight="1">
      <c r="A58" s="7231" t="s">
        <v>1079</v>
      </c>
      <c r="B58" s="7172"/>
      <c r="C58" s="9636"/>
      <c r="D58" s="9636"/>
      <c r="E58" s="9636"/>
      <c r="F58" s="10413"/>
    </row>
    <row r="59" spans="1:6" ht="12.9" customHeight="1">
      <c r="A59" s="7231" t="s">
        <v>10697</v>
      </c>
      <c r="B59" s="7172"/>
      <c r="C59" s="9636"/>
      <c r="D59" s="9636"/>
      <c r="E59" s="9636"/>
      <c r="F59" s="10413"/>
    </row>
    <row r="60" spans="1:6" ht="12.9" customHeight="1">
      <c r="A60" s="7231" t="s">
        <v>10707</v>
      </c>
      <c r="B60" s="7172"/>
      <c r="C60" s="9636"/>
      <c r="D60" s="9636"/>
      <c r="E60" s="9636"/>
      <c r="F60" s="10413"/>
    </row>
    <row r="61" spans="1:6" ht="7.5" customHeight="1">
      <c r="A61" s="7231" t="s">
        <v>168</v>
      </c>
      <c r="B61" s="7174"/>
      <c r="C61" s="9636"/>
      <c r="D61" s="9636"/>
      <c r="E61" s="9636"/>
      <c r="F61" s="10413"/>
    </row>
    <row r="62" spans="1:6" ht="12.9" customHeight="1">
      <c r="A62" s="7231" t="s">
        <v>1080</v>
      </c>
      <c r="B62" s="7174"/>
      <c r="C62" s="9636"/>
      <c r="D62" s="9636"/>
      <c r="E62" s="9636"/>
      <c r="F62" s="10413"/>
    </row>
    <row r="63" spans="1:6" ht="12.9" customHeight="1">
      <c r="A63" s="7231" t="s">
        <v>1104</v>
      </c>
      <c r="B63" s="7174"/>
      <c r="C63" s="9636"/>
      <c r="D63" s="9636"/>
      <c r="E63" s="9636"/>
      <c r="F63" s="10413"/>
    </row>
    <row r="64" spans="1:6" ht="12.9" customHeight="1">
      <c r="A64" s="7231" t="s">
        <v>1105</v>
      </c>
      <c r="B64" s="7174"/>
      <c r="C64" s="9636"/>
      <c r="D64" s="9636"/>
      <c r="E64" s="9636"/>
      <c r="F64" s="10413"/>
    </row>
    <row r="65" spans="1:6" ht="6.9" customHeight="1">
      <c r="A65" s="7231"/>
      <c r="B65" s="7174"/>
      <c r="C65" s="9636"/>
      <c r="D65" s="9636"/>
      <c r="E65" s="9636"/>
      <c r="F65" s="10413"/>
    </row>
    <row r="66" spans="1:6" ht="12.9" customHeight="1">
      <c r="A66" s="6230" t="s">
        <v>1083</v>
      </c>
      <c r="B66" s="9676"/>
      <c r="C66" s="9676"/>
      <c r="D66" s="9676"/>
      <c r="E66" s="9676"/>
      <c r="F66" s="9744"/>
    </row>
    <row r="67" spans="1:6" ht="8.4" customHeight="1">
      <c r="A67" s="7231"/>
      <c r="B67" s="7174"/>
      <c r="C67" s="9636"/>
      <c r="D67" s="9636"/>
      <c r="E67" s="9636"/>
      <c r="F67" s="10413"/>
    </row>
    <row r="68" spans="1:6" ht="12.9" customHeight="1">
      <c r="A68" s="7231" t="s">
        <v>1106</v>
      </c>
      <c r="B68" s="7174"/>
      <c r="C68" s="9636"/>
      <c r="D68" s="9636"/>
      <c r="E68" s="9636"/>
      <c r="F68" s="10413"/>
    </row>
    <row r="69" spans="1:6" ht="9" customHeight="1" thickBot="1">
      <c r="A69" s="7235"/>
      <c r="B69" s="9758"/>
      <c r="C69" s="9758"/>
      <c r="D69" s="9758"/>
      <c r="E69" s="9758"/>
      <c r="F69" s="9759"/>
    </row>
    <row r="70" spans="1:6" ht="9" customHeight="1">
      <c r="A70" s="7231" t="s">
        <v>9</v>
      </c>
      <c r="B70" s="7174"/>
      <c r="C70" s="9636"/>
      <c r="D70" s="9636"/>
      <c r="E70" s="9636"/>
      <c r="F70" s="10413"/>
    </row>
    <row r="71" spans="1:6" ht="12.9" customHeight="1">
      <c r="A71" s="7231" t="s">
        <v>1086</v>
      </c>
      <c r="B71" s="7174"/>
      <c r="C71" s="9636"/>
      <c r="D71" s="9636"/>
      <c r="E71" s="9636"/>
      <c r="F71" s="10413"/>
    </row>
    <row r="72" spans="1:6" ht="9" customHeight="1" thickBot="1">
      <c r="A72" s="7235"/>
      <c r="B72" s="9758"/>
      <c r="C72" s="9758"/>
      <c r="D72" s="9758"/>
      <c r="E72" s="9758"/>
      <c r="F72" s="9759"/>
    </row>
    <row r="73" spans="1:6" ht="12.9" customHeight="1">
      <c r="A73" s="6330"/>
      <c r="B73" s="6330"/>
      <c r="C73" s="6330"/>
      <c r="D73" s="6330"/>
      <c r="E73" s="6330"/>
      <c r="F73" s="6330"/>
    </row>
    <row r="74" spans="1:6" ht="12.9" customHeight="1">
      <c r="A74" s="6330"/>
      <c r="B74" s="6330"/>
      <c r="C74" s="6330"/>
      <c r="D74" s="6330"/>
      <c r="E74" s="6330"/>
      <c r="F74" s="6330"/>
    </row>
    <row r="75" spans="1:6" ht="12.9" customHeight="1">
      <c r="A75" s="6330"/>
      <c r="B75" s="6330"/>
      <c r="C75" s="6330"/>
      <c r="D75" s="6330"/>
      <c r="E75" s="6330"/>
      <c r="F75" s="6330"/>
    </row>
    <row r="76" spans="1:6" ht="12.9" customHeight="1">
      <c r="A76" s="6330"/>
      <c r="B76" s="6330"/>
      <c r="C76" s="6330"/>
      <c r="D76" s="6330"/>
      <c r="E76" s="6330"/>
      <c r="F76" s="6330"/>
    </row>
    <row r="77" spans="1:6" ht="12.9" customHeight="1">
      <c r="A77" s="6330"/>
      <c r="B77" s="6330"/>
      <c r="C77" s="6330"/>
      <c r="D77" s="6330"/>
      <c r="E77" s="6330"/>
      <c r="F77" s="6330"/>
    </row>
    <row r="78" spans="1:6" ht="12.9" customHeight="1">
      <c r="A78" s="6330"/>
      <c r="B78" s="6330"/>
      <c r="C78" s="6330"/>
      <c r="D78" s="6330"/>
      <c r="E78" s="6330"/>
      <c r="F78" s="6330"/>
    </row>
    <row r="79" spans="1:6" ht="12.9" customHeight="1">
      <c r="A79" s="6330"/>
      <c r="B79" s="6330"/>
      <c r="C79" s="6330"/>
      <c r="D79" s="6330"/>
      <c r="E79" s="6330"/>
      <c r="F79" s="6330"/>
    </row>
    <row r="80" spans="1:6" ht="12.9" customHeight="1">
      <c r="A80" s="6330"/>
      <c r="B80" s="6330"/>
      <c r="C80" s="6330"/>
      <c r="D80" s="6330"/>
      <c r="E80" s="6330"/>
      <c r="F80" s="6330"/>
    </row>
    <row r="81" spans="1:6" ht="12.9" customHeight="1">
      <c r="A81" s="6330"/>
      <c r="B81" s="6330"/>
      <c r="C81" s="6330"/>
      <c r="D81" s="6330"/>
      <c r="E81" s="6330"/>
      <c r="F81" s="6330"/>
    </row>
    <row r="82" spans="1:6" ht="12.9" customHeight="1">
      <c r="A82" s="6330"/>
      <c r="B82" s="6330"/>
      <c r="C82" s="6330"/>
      <c r="D82" s="6330"/>
      <c r="E82" s="6330"/>
      <c r="F82" s="6330"/>
    </row>
    <row r="83" spans="1:6" ht="12.9" customHeight="1">
      <c r="A83" s="6330"/>
      <c r="B83" s="6330"/>
      <c r="C83" s="6330"/>
      <c r="D83" s="6330"/>
      <c r="E83" s="6330"/>
      <c r="F83" s="6330"/>
    </row>
    <row r="84" spans="1:6" ht="12.9" customHeight="1">
      <c r="A84" s="6330"/>
      <c r="B84" s="6330"/>
      <c r="C84" s="6330"/>
      <c r="D84" s="6330"/>
      <c r="E84" s="6330"/>
      <c r="F84" s="6330"/>
    </row>
    <row r="85" spans="1:6" ht="12.9" customHeight="1">
      <c r="A85" s="6330"/>
      <c r="B85" s="6330"/>
      <c r="C85" s="6330"/>
      <c r="D85" s="6330"/>
      <c r="E85" s="6330"/>
      <c r="F85" s="6330"/>
    </row>
    <row r="86" spans="1:6" ht="12.9" customHeight="1">
      <c r="A86" s="6330"/>
      <c r="B86" s="6330"/>
      <c r="C86" s="6330"/>
      <c r="D86" s="6330"/>
      <c r="E86" s="6330"/>
      <c r="F86" s="6330"/>
    </row>
    <row r="87" spans="1:6" ht="12.9" customHeight="1">
      <c r="A87" s="6330"/>
      <c r="B87" s="6330"/>
      <c r="C87" s="6330"/>
      <c r="D87" s="6330"/>
      <c r="E87" s="6330"/>
      <c r="F87" s="6330"/>
    </row>
  </sheetData>
  <mergeCells count="2">
    <mergeCell ref="D5:F5"/>
    <mergeCell ref="A1:F1"/>
  </mergeCells>
  <pageMargins left="0.25" right="0.25" top="0.5" bottom="0.5" header="0.3" footer="0.3"/>
  <pageSetup paperSize="119" firstPageNumber="334" orientation="portrait" useFirstPageNumber="1" r:id="rId1"/>
  <headerFooter alignWithMargins="0"/>
</worksheet>
</file>

<file path=xl/worksheets/sheet16.xml><?xml version="1.0" encoding="utf-8"?>
<worksheet xmlns="http://schemas.openxmlformats.org/spreadsheetml/2006/main" xmlns:r="http://schemas.openxmlformats.org/officeDocument/2006/relationships">
  <sheetPr codeName="Sheet145">
    <tabColor rgb="FF7030A0"/>
  </sheetPr>
  <dimension ref="A1:O185"/>
  <sheetViews>
    <sheetView showGridLines="0" workbookViewId="0">
      <selection activeCell="N1" sqref="N1:N1048576"/>
    </sheetView>
  </sheetViews>
  <sheetFormatPr defaultRowHeight="15" customHeight="1"/>
  <cols>
    <col min="1" max="1" width="2.44140625" style="5918" customWidth="1"/>
    <col min="2" max="2" width="29.5546875" style="10890" customWidth="1"/>
    <col min="3" max="3" width="1.88671875" style="5939" customWidth="1"/>
    <col min="4" max="4" width="17.33203125" style="5918" customWidth="1"/>
    <col min="5" max="5" width="2" style="5939" customWidth="1"/>
    <col min="6" max="6" width="18.33203125" style="5918" customWidth="1"/>
    <col min="7" max="7" width="16.88671875" style="5918" hidden="1" customWidth="1"/>
    <col min="8" max="8" width="7.5546875" style="10521" hidden="1" customWidth="1"/>
    <col min="9" max="9" width="2" style="5939" customWidth="1"/>
    <col min="10" max="10" width="17.5546875" style="5918" customWidth="1"/>
    <col min="11" max="11" width="2" style="5939" customWidth="1"/>
    <col min="12" max="12" width="16.109375" style="5939" hidden="1" customWidth="1"/>
    <col min="13" max="13" width="18.109375" style="5918" customWidth="1"/>
    <col min="14" max="14" width="18.109375" style="5811" hidden="1" customWidth="1"/>
    <col min="15" max="15" width="14.44140625" style="5918" customWidth="1"/>
    <col min="16" max="252" width="9.109375" style="5918"/>
    <col min="253" max="253" width="3.109375" style="5918" customWidth="1"/>
    <col min="254" max="254" width="27.88671875" style="5918" customWidth="1"/>
    <col min="255" max="255" width="1.109375" style="5918" customWidth="1"/>
    <col min="256" max="256" width="16.109375" style="5918" customWidth="1"/>
    <col min="257" max="257" width="1.109375" style="5918" customWidth="1"/>
    <col min="258" max="258" width="16.44140625" style="5918" customWidth="1"/>
    <col min="259" max="259" width="1.44140625" style="5918" customWidth="1"/>
    <col min="260" max="260" width="16.109375" style="5918" customWidth="1"/>
    <col min="261" max="261" width="1.44140625" style="5918" customWidth="1"/>
    <col min="262" max="262" width="16.44140625" style="5918" customWidth="1"/>
    <col min="263" max="508" width="9.109375" style="5918"/>
    <col min="509" max="509" width="3.109375" style="5918" customWidth="1"/>
    <col min="510" max="510" width="27.88671875" style="5918" customWidth="1"/>
    <col min="511" max="511" width="1.109375" style="5918" customWidth="1"/>
    <col min="512" max="512" width="16.109375" style="5918" customWidth="1"/>
    <col min="513" max="513" width="1.109375" style="5918" customWidth="1"/>
    <col min="514" max="514" width="16.44140625" style="5918" customWidth="1"/>
    <col min="515" max="515" width="1.44140625" style="5918" customWidth="1"/>
    <col min="516" max="516" width="16.109375" style="5918" customWidth="1"/>
    <col min="517" max="517" width="1.44140625" style="5918" customWidth="1"/>
    <col min="518" max="518" width="16.44140625" style="5918" customWidth="1"/>
    <col min="519" max="764" width="9.109375" style="5918"/>
    <col min="765" max="765" width="3.109375" style="5918" customWidth="1"/>
    <col min="766" max="766" width="27.88671875" style="5918" customWidth="1"/>
    <col min="767" max="767" width="1.109375" style="5918" customWidth="1"/>
    <col min="768" max="768" width="16.109375" style="5918" customWidth="1"/>
    <col min="769" max="769" width="1.109375" style="5918" customWidth="1"/>
    <col min="770" max="770" width="16.44140625" style="5918" customWidth="1"/>
    <col min="771" max="771" width="1.44140625" style="5918" customWidth="1"/>
    <col min="772" max="772" width="16.109375" style="5918" customWidth="1"/>
    <col min="773" max="773" width="1.44140625" style="5918" customWidth="1"/>
    <col min="774" max="774" width="16.44140625" style="5918" customWidth="1"/>
    <col min="775" max="1020" width="9.109375" style="5918"/>
    <col min="1021" max="1021" width="3.109375" style="5918" customWidth="1"/>
    <col min="1022" max="1022" width="27.88671875" style="5918" customWidth="1"/>
    <col min="1023" max="1023" width="1.109375" style="5918" customWidth="1"/>
    <col min="1024" max="1024" width="16.109375" style="5918" customWidth="1"/>
    <col min="1025" max="1025" width="1.109375" style="5918" customWidth="1"/>
    <col min="1026" max="1026" width="16.44140625" style="5918" customWidth="1"/>
    <col min="1027" max="1027" width="1.44140625" style="5918" customWidth="1"/>
    <col min="1028" max="1028" width="16.109375" style="5918" customWidth="1"/>
    <col min="1029" max="1029" width="1.44140625" style="5918" customWidth="1"/>
    <col min="1030" max="1030" width="16.44140625" style="5918" customWidth="1"/>
    <col min="1031" max="1276" width="9.109375" style="5918"/>
    <col min="1277" max="1277" width="3.109375" style="5918" customWidth="1"/>
    <col min="1278" max="1278" width="27.88671875" style="5918" customWidth="1"/>
    <col min="1279" max="1279" width="1.109375" style="5918" customWidth="1"/>
    <col min="1280" max="1280" width="16.109375" style="5918" customWidth="1"/>
    <col min="1281" max="1281" width="1.109375" style="5918" customWidth="1"/>
    <col min="1282" max="1282" width="16.44140625" style="5918" customWidth="1"/>
    <col min="1283" max="1283" width="1.44140625" style="5918" customWidth="1"/>
    <col min="1284" max="1284" width="16.109375" style="5918" customWidth="1"/>
    <col min="1285" max="1285" width="1.44140625" style="5918" customWidth="1"/>
    <col min="1286" max="1286" width="16.44140625" style="5918" customWidth="1"/>
    <col min="1287" max="1532" width="9.109375" style="5918"/>
    <col min="1533" max="1533" width="3.109375" style="5918" customWidth="1"/>
    <col min="1534" max="1534" width="27.88671875" style="5918" customWidth="1"/>
    <col min="1535" max="1535" width="1.109375" style="5918" customWidth="1"/>
    <col min="1536" max="1536" width="16.109375" style="5918" customWidth="1"/>
    <col min="1537" max="1537" width="1.109375" style="5918" customWidth="1"/>
    <col min="1538" max="1538" width="16.44140625" style="5918" customWidth="1"/>
    <col min="1539" max="1539" width="1.44140625" style="5918" customWidth="1"/>
    <col min="1540" max="1540" width="16.109375" style="5918" customWidth="1"/>
    <col min="1541" max="1541" width="1.44140625" style="5918" customWidth="1"/>
    <col min="1542" max="1542" width="16.44140625" style="5918" customWidth="1"/>
    <col min="1543" max="1788" width="9.109375" style="5918"/>
    <col min="1789" max="1789" width="3.109375" style="5918" customWidth="1"/>
    <col min="1790" max="1790" width="27.88671875" style="5918" customWidth="1"/>
    <col min="1791" max="1791" width="1.109375" style="5918" customWidth="1"/>
    <col min="1792" max="1792" width="16.109375" style="5918" customWidth="1"/>
    <col min="1793" max="1793" width="1.109375" style="5918" customWidth="1"/>
    <col min="1794" max="1794" width="16.44140625" style="5918" customWidth="1"/>
    <col min="1795" max="1795" width="1.44140625" style="5918" customWidth="1"/>
    <col min="1796" max="1796" width="16.109375" style="5918" customWidth="1"/>
    <col min="1797" max="1797" width="1.44140625" style="5918" customWidth="1"/>
    <col min="1798" max="1798" width="16.44140625" style="5918" customWidth="1"/>
    <col min="1799" max="2044" width="9.109375" style="5918"/>
    <col min="2045" max="2045" width="3.109375" style="5918" customWidth="1"/>
    <col min="2046" max="2046" width="27.88671875" style="5918" customWidth="1"/>
    <col min="2047" max="2047" width="1.109375" style="5918" customWidth="1"/>
    <col min="2048" max="2048" width="16.109375" style="5918" customWidth="1"/>
    <col min="2049" max="2049" width="1.109375" style="5918" customWidth="1"/>
    <col min="2050" max="2050" width="16.44140625" style="5918" customWidth="1"/>
    <col min="2051" max="2051" width="1.44140625" style="5918" customWidth="1"/>
    <col min="2052" max="2052" width="16.109375" style="5918" customWidth="1"/>
    <col min="2053" max="2053" width="1.44140625" style="5918" customWidth="1"/>
    <col min="2054" max="2054" width="16.44140625" style="5918" customWidth="1"/>
    <col min="2055" max="2300" width="9.109375" style="5918"/>
    <col min="2301" max="2301" width="3.109375" style="5918" customWidth="1"/>
    <col min="2302" max="2302" width="27.88671875" style="5918" customWidth="1"/>
    <col min="2303" max="2303" width="1.109375" style="5918" customWidth="1"/>
    <col min="2304" max="2304" width="16.109375" style="5918" customWidth="1"/>
    <col min="2305" max="2305" width="1.109375" style="5918" customWidth="1"/>
    <col min="2306" max="2306" width="16.44140625" style="5918" customWidth="1"/>
    <col min="2307" max="2307" width="1.44140625" style="5918" customWidth="1"/>
    <col min="2308" max="2308" width="16.109375" style="5918" customWidth="1"/>
    <col min="2309" max="2309" width="1.44140625" style="5918" customWidth="1"/>
    <col min="2310" max="2310" width="16.44140625" style="5918" customWidth="1"/>
    <col min="2311" max="2556" width="9.109375" style="5918"/>
    <col min="2557" max="2557" width="3.109375" style="5918" customWidth="1"/>
    <col min="2558" max="2558" width="27.88671875" style="5918" customWidth="1"/>
    <col min="2559" max="2559" width="1.109375" style="5918" customWidth="1"/>
    <col min="2560" max="2560" width="16.109375" style="5918" customWidth="1"/>
    <col min="2561" max="2561" width="1.109375" style="5918" customWidth="1"/>
    <col min="2562" max="2562" width="16.44140625" style="5918" customWidth="1"/>
    <col min="2563" max="2563" width="1.44140625" style="5918" customWidth="1"/>
    <col min="2564" max="2564" width="16.109375" style="5918" customWidth="1"/>
    <col min="2565" max="2565" width="1.44140625" style="5918" customWidth="1"/>
    <col min="2566" max="2566" width="16.44140625" style="5918" customWidth="1"/>
    <col min="2567" max="2812" width="9.109375" style="5918"/>
    <col min="2813" max="2813" width="3.109375" style="5918" customWidth="1"/>
    <col min="2814" max="2814" width="27.88671875" style="5918" customWidth="1"/>
    <col min="2815" max="2815" width="1.109375" style="5918" customWidth="1"/>
    <col min="2816" max="2816" width="16.109375" style="5918" customWidth="1"/>
    <col min="2817" max="2817" width="1.109375" style="5918" customWidth="1"/>
    <col min="2818" max="2818" width="16.44140625" style="5918" customWidth="1"/>
    <col min="2819" max="2819" width="1.44140625" style="5918" customWidth="1"/>
    <col min="2820" max="2820" width="16.109375" style="5918" customWidth="1"/>
    <col min="2821" max="2821" width="1.44140625" style="5918" customWidth="1"/>
    <col min="2822" max="2822" width="16.44140625" style="5918" customWidth="1"/>
    <col min="2823" max="3068" width="9.109375" style="5918"/>
    <col min="3069" max="3069" width="3.109375" style="5918" customWidth="1"/>
    <col min="3070" max="3070" width="27.88671875" style="5918" customWidth="1"/>
    <col min="3071" max="3071" width="1.109375" style="5918" customWidth="1"/>
    <col min="3072" max="3072" width="16.109375" style="5918" customWidth="1"/>
    <col min="3073" max="3073" width="1.109375" style="5918" customWidth="1"/>
    <col min="3074" max="3074" width="16.44140625" style="5918" customWidth="1"/>
    <col min="3075" max="3075" width="1.44140625" style="5918" customWidth="1"/>
    <col min="3076" max="3076" width="16.109375" style="5918" customWidth="1"/>
    <col min="3077" max="3077" width="1.44140625" style="5918" customWidth="1"/>
    <col min="3078" max="3078" width="16.44140625" style="5918" customWidth="1"/>
    <col min="3079" max="3324" width="9.109375" style="5918"/>
    <col min="3325" max="3325" width="3.109375" style="5918" customWidth="1"/>
    <col min="3326" max="3326" width="27.88671875" style="5918" customWidth="1"/>
    <col min="3327" max="3327" width="1.109375" style="5918" customWidth="1"/>
    <col min="3328" max="3328" width="16.109375" style="5918" customWidth="1"/>
    <col min="3329" max="3329" width="1.109375" style="5918" customWidth="1"/>
    <col min="3330" max="3330" width="16.44140625" style="5918" customWidth="1"/>
    <col min="3331" max="3331" width="1.44140625" style="5918" customWidth="1"/>
    <col min="3332" max="3332" width="16.109375" style="5918" customWidth="1"/>
    <col min="3333" max="3333" width="1.44140625" style="5918" customWidth="1"/>
    <col min="3334" max="3334" width="16.44140625" style="5918" customWidth="1"/>
    <col min="3335" max="3580" width="9.109375" style="5918"/>
    <col min="3581" max="3581" width="3.109375" style="5918" customWidth="1"/>
    <col min="3582" max="3582" width="27.88671875" style="5918" customWidth="1"/>
    <col min="3583" max="3583" width="1.109375" style="5918" customWidth="1"/>
    <col min="3584" max="3584" width="16.109375" style="5918" customWidth="1"/>
    <col min="3585" max="3585" width="1.109375" style="5918" customWidth="1"/>
    <col min="3586" max="3586" width="16.44140625" style="5918" customWidth="1"/>
    <col min="3587" max="3587" width="1.44140625" style="5918" customWidth="1"/>
    <col min="3588" max="3588" width="16.109375" style="5918" customWidth="1"/>
    <col min="3589" max="3589" width="1.44140625" style="5918" customWidth="1"/>
    <col min="3590" max="3590" width="16.44140625" style="5918" customWidth="1"/>
    <col min="3591" max="3836" width="9.109375" style="5918"/>
    <col min="3837" max="3837" width="3.109375" style="5918" customWidth="1"/>
    <col min="3838" max="3838" width="27.88671875" style="5918" customWidth="1"/>
    <col min="3839" max="3839" width="1.109375" style="5918" customWidth="1"/>
    <col min="3840" max="3840" width="16.109375" style="5918" customWidth="1"/>
    <col min="3841" max="3841" width="1.109375" style="5918" customWidth="1"/>
    <col min="3842" max="3842" width="16.44140625" style="5918" customWidth="1"/>
    <col min="3843" max="3843" width="1.44140625" style="5918" customWidth="1"/>
    <col min="3844" max="3844" width="16.109375" style="5918" customWidth="1"/>
    <col min="3845" max="3845" width="1.44140625" style="5918" customWidth="1"/>
    <col min="3846" max="3846" width="16.44140625" style="5918" customWidth="1"/>
    <col min="3847" max="4092" width="9.109375" style="5918"/>
    <col min="4093" max="4093" width="3.109375" style="5918" customWidth="1"/>
    <col min="4094" max="4094" width="27.88671875" style="5918" customWidth="1"/>
    <col min="4095" max="4095" width="1.109375" style="5918" customWidth="1"/>
    <col min="4096" max="4096" width="16.109375" style="5918" customWidth="1"/>
    <col min="4097" max="4097" width="1.109375" style="5918" customWidth="1"/>
    <col min="4098" max="4098" width="16.44140625" style="5918" customWidth="1"/>
    <col min="4099" max="4099" width="1.44140625" style="5918" customWidth="1"/>
    <col min="4100" max="4100" width="16.109375" style="5918" customWidth="1"/>
    <col min="4101" max="4101" width="1.44140625" style="5918" customWidth="1"/>
    <col min="4102" max="4102" width="16.44140625" style="5918" customWidth="1"/>
    <col min="4103" max="4348" width="9.109375" style="5918"/>
    <col min="4349" max="4349" width="3.109375" style="5918" customWidth="1"/>
    <col min="4350" max="4350" width="27.88671875" style="5918" customWidth="1"/>
    <col min="4351" max="4351" width="1.109375" style="5918" customWidth="1"/>
    <col min="4352" max="4352" width="16.109375" style="5918" customWidth="1"/>
    <col min="4353" max="4353" width="1.109375" style="5918" customWidth="1"/>
    <col min="4354" max="4354" width="16.44140625" style="5918" customWidth="1"/>
    <col min="4355" max="4355" width="1.44140625" style="5918" customWidth="1"/>
    <col min="4356" max="4356" width="16.109375" style="5918" customWidth="1"/>
    <col min="4357" max="4357" width="1.44140625" style="5918" customWidth="1"/>
    <col min="4358" max="4358" width="16.44140625" style="5918" customWidth="1"/>
    <col min="4359" max="4604" width="9.109375" style="5918"/>
    <col min="4605" max="4605" width="3.109375" style="5918" customWidth="1"/>
    <col min="4606" max="4606" width="27.88671875" style="5918" customWidth="1"/>
    <col min="4607" max="4607" width="1.109375" style="5918" customWidth="1"/>
    <col min="4608" max="4608" width="16.109375" style="5918" customWidth="1"/>
    <col min="4609" max="4609" width="1.109375" style="5918" customWidth="1"/>
    <col min="4610" max="4610" width="16.44140625" style="5918" customWidth="1"/>
    <col min="4611" max="4611" width="1.44140625" style="5918" customWidth="1"/>
    <col min="4612" max="4612" width="16.109375" style="5918" customWidth="1"/>
    <col min="4613" max="4613" width="1.44140625" style="5918" customWidth="1"/>
    <col min="4614" max="4614" width="16.44140625" style="5918" customWidth="1"/>
    <col min="4615" max="4860" width="9.109375" style="5918"/>
    <col min="4861" max="4861" width="3.109375" style="5918" customWidth="1"/>
    <col min="4862" max="4862" width="27.88671875" style="5918" customWidth="1"/>
    <col min="4863" max="4863" width="1.109375" style="5918" customWidth="1"/>
    <col min="4864" max="4864" width="16.109375" style="5918" customWidth="1"/>
    <col min="4865" max="4865" width="1.109375" style="5918" customWidth="1"/>
    <col min="4866" max="4866" width="16.44140625" style="5918" customWidth="1"/>
    <col min="4867" max="4867" width="1.44140625" style="5918" customWidth="1"/>
    <col min="4868" max="4868" width="16.109375" style="5918" customWidth="1"/>
    <col min="4869" max="4869" width="1.44140625" style="5918" customWidth="1"/>
    <col min="4870" max="4870" width="16.44140625" style="5918" customWidth="1"/>
    <col min="4871" max="5116" width="9.109375" style="5918"/>
    <col min="5117" max="5117" width="3.109375" style="5918" customWidth="1"/>
    <col min="5118" max="5118" width="27.88671875" style="5918" customWidth="1"/>
    <col min="5119" max="5119" width="1.109375" style="5918" customWidth="1"/>
    <col min="5120" max="5120" width="16.109375" style="5918" customWidth="1"/>
    <col min="5121" max="5121" width="1.109375" style="5918" customWidth="1"/>
    <col min="5122" max="5122" width="16.44140625" style="5918" customWidth="1"/>
    <col min="5123" max="5123" width="1.44140625" style="5918" customWidth="1"/>
    <col min="5124" max="5124" width="16.109375" style="5918" customWidth="1"/>
    <col min="5125" max="5125" width="1.44140625" style="5918" customWidth="1"/>
    <col min="5126" max="5126" width="16.44140625" style="5918" customWidth="1"/>
    <col min="5127" max="5372" width="9.109375" style="5918"/>
    <col min="5373" max="5373" width="3.109375" style="5918" customWidth="1"/>
    <col min="5374" max="5374" width="27.88671875" style="5918" customWidth="1"/>
    <col min="5375" max="5375" width="1.109375" style="5918" customWidth="1"/>
    <col min="5376" max="5376" width="16.109375" style="5918" customWidth="1"/>
    <col min="5377" max="5377" width="1.109375" style="5918" customWidth="1"/>
    <col min="5378" max="5378" width="16.44140625" style="5918" customWidth="1"/>
    <col min="5379" max="5379" width="1.44140625" style="5918" customWidth="1"/>
    <col min="5380" max="5380" width="16.109375" style="5918" customWidth="1"/>
    <col min="5381" max="5381" width="1.44140625" style="5918" customWidth="1"/>
    <col min="5382" max="5382" width="16.44140625" style="5918" customWidth="1"/>
    <col min="5383" max="5628" width="9.109375" style="5918"/>
    <col min="5629" max="5629" width="3.109375" style="5918" customWidth="1"/>
    <col min="5630" max="5630" width="27.88671875" style="5918" customWidth="1"/>
    <col min="5631" max="5631" width="1.109375" style="5918" customWidth="1"/>
    <col min="5632" max="5632" width="16.109375" style="5918" customWidth="1"/>
    <col min="5633" max="5633" width="1.109375" style="5918" customWidth="1"/>
    <col min="5634" max="5634" width="16.44140625" style="5918" customWidth="1"/>
    <col min="5635" max="5635" width="1.44140625" style="5918" customWidth="1"/>
    <col min="5636" max="5636" width="16.109375" style="5918" customWidth="1"/>
    <col min="5637" max="5637" width="1.44140625" style="5918" customWidth="1"/>
    <col min="5638" max="5638" width="16.44140625" style="5918" customWidth="1"/>
    <col min="5639" max="5884" width="9.109375" style="5918"/>
    <col min="5885" max="5885" width="3.109375" style="5918" customWidth="1"/>
    <col min="5886" max="5886" width="27.88671875" style="5918" customWidth="1"/>
    <col min="5887" max="5887" width="1.109375" style="5918" customWidth="1"/>
    <col min="5888" max="5888" width="16.109375" style="5918" customWidth="1"/>
    <col min="5889" max="5889" width="1.109375" style="5918" customWidth="1"/>
    <col min="5890" max="5890" width="16.44140625" style="5918" customWidth="1"/>
    <col min="5891" max="5891" width="1.44140625" style="5918" customWidth="1"/>
    <col min="5892" max="5892" width="16.109375" style="5918" customWidth="1"/>
    <col min="5893" max="5893" width="1.44140625" style="5918" customWidth="1"/>
    <col min="5894" max="5894" width="16.44140625" style="5918" customWidth="1"/>
    <col min="5895" max="6140" width="9.109375" style="5918"/>
    <col min="6141" max="6141" width="3.109375" style="5918" customWidth="1"/>
    <col min="6142" max="6142" width="27.88671875" style="5918" customWidth="1"/>
    <col min="6143" max="6143" width="1.109375" style="5918" customWidth="1"/>
    <col min="6144" max="6144" width="16.109375" style="5918" customWidth="1"/>
    <col min="6145" max="6145" width="1.109375" style="5918" customWidth="1"/>
    <col min="6146" max="6146" width="16.44140625" style="5918" customWidth="1"/>
    <col min="6147" max="6147" width="1.44140625" style="5918" customWidth="1"/>
    <col min="6148" max="6148" width="16.109375" style="5918" customWidth="1"/>
    <col min="6149" max="6149" width="1.44140625" style="5918" customWidth="1"/>
    <col min="6150" max="6150" width="16.44140625" style="5918" customWidth="1"/>
    <col min="6151" max="6396" width="9.109375" style="5918"/>
    <col min="6397" max="6397" width="3.109375" style="5918" customWidth="1"/>
    <col min="6398" max="6398" width="27.88671875" style="5918" customWidth="1"/>
    <col min="6399" max="6399" width="1.109375" style="5918" customWidth="1"/>
    <col min="6400" max="6400" width="16.109375" style="5918" customWidth="1"/>
    <col min="6401" max="6401" width="1.109375" style="5918" customWidth="1"/>
    <col min="6402" max="6402" width="16.44140625" style="5918" customWidth="1"/>
    <col min="6403" max="6403" width="1.44140625" style="5918" customWidth="1"/>
    <col min="6404" max="6404" width="16.109375" style="5918" customWidth="1"/>
    <col min="6405" max="6405" width="1.44140625" style="5918" customWidth="1"/>
    <col min="6406" max="6406" width="16.44140625" style="5918" customWidth="1"/>
    <col min="6407" max="6652" width="9.109375" style="5918"/>
    <col min="6653" max="6653" width="3.109375" style="5918" customWidth="1"/>
    <col min="6654" max="6654" width="27.88671875" style="5918" customWidth="1"/>
    <col min="6655" max="6655" width="1.109375" style="5918" customWidth="1"/>
    <col min="6656" max="6656" width="16.109375" style="5918" customWidth="1"/>
    <col min="6657" max="6657" width="1.109375" style="5918" customWidth="1"/>
    <col min="6658" max="6658" width="16.44140625" style="5918" customWidth="1"/>
    <col min="6659" max="6659" width="1.44140625" style="5918" customWidth="1"/>
    <col min="6660" max="6660" width="16.109375" style="5918" customWidth="1"/>
    <col min="6661" max="6661" width="1.44140625" style="5918" customWidth="1"/>
    <col min="6662" max="6662" width="16.44140625" style="5918" customWidth="1"/>
    <col min="6663" max="6908" width="9.109375" style="5918"/>
    <col min="6909" max="6909" width="3.109375" style="5918" customWidth="1"/>
    <col min="6910" max="6910" width="27.88671875" style="5918" customWidth="1"/>
    <col min="6911" max="6911" width="1.109375" style="5918" customWidth="1"/>
    <col min="6912" max="6912" width="16.109375" style="5918" customWidth="1"/>
    <col min="6913" max="6913" width="1.109375" style="5918" customWidth="1"/>
    <col min="6914" max="6914" width="16.44140625" style="5918" customWidth="1"/>
    <col min="6915" max="6915" width="1.44140625" style="5918" customWidth="1"/>
    <col min="6916" max="6916" width="16.109375" style="5918" customWidth="1"/>
    <col min="6917" max="6917" width="1.44140625" style="5918" customWidth="1"/>
    <col min="6918" max="6918" width="16.44140625" style="5918" customWidth="1"/>
    <col min="6919" max="7164" width="9.109375" style="5918"/>
    <col min="7165" max="7165" width="3.109375" style="5918" customWidth="1"/>
    <col min="7166" max="7166" width="27.88671875" style="5918" customWidth="1"/>
    <col min="7167" max="7167" width="1.109375" style="5918" customWidth="1"/>
    <col min="7168" max="7168" width="16.109375" style="5918" customWidth="1"/>
    <col min="7169" max="7169" width="1.109375" style="5918" customWidth="1"/>
    <col min="7170" max="7170" width="16.44140625" style="5918" customWidth="1"/>
    <col min="7171" max="7171" width="1.44140625" style="5918" customWidth="1"/>
    <col min="7172" max="7172" width="16.109375" style="5918" customWidth="1"/>
    <col min="7173" max="7173" width="1.44140625" style="5918" customWidth="1"/>
    <col min="7174" max="7174" width="16.44140625" style="5918" customWidth="1"/>
    <col min="7175" max="7420" width="9.109375" style="5918"/>
    <col min="7421" max="7421" width="3.109375" style="5918" customWidth="1"/>
    <col min="7422" max="7422" width="27.88671875" style="5918" customWidth="1"/>
    <col min="7423" max="7423" width="1.109375" style="5918" customWidth="1"/>
    <col min="7424" max="7424" width="16.109375" style="5918" customWidth="1"/>
    <col min="7425" max="7425" width="1.109375" style="5918" customWidth="1"/>
    <col min="7426" max="7426" width="16.44140625" style="5918" customWidth="1"/>
    <col min="7427" max="7427" width="1.44140625" style="5918" customWidth="1"/>
    <col min="7428" max="7428" width="16.109375" style="5918" customWidth="1"/>
    <col min="7429" max="7429" width="1.44140625" style="5918" customWidth="1"/>
    <col min="7430" max="7430" width="16.44140625" style="5918" customWidth="1"/>
    <col min="7431" max="7676" width="9.109375" style="5918"/>
    <col min="7677" max="7677" width="3.109375" style="5918" customWidth="1"/>
    <col min="7678" max="7678" width="27.88671875" style="5918" customWidth="1"/>
    <col min="7679" max="7679" width="1.109375" style="5918" customWidth="1"/>
    <col min="7680" max="7680" width="16.109375" style="5918" customWidth="1"/>
    <col min="7681" max="7681" width="1.109375" style="5918" customWidth="1"/>
    <col min="7682" max="7682" width="16.44140625" style="5918" customWidth="1"/>
    <col min="7683" max="7683" width="1.44140625" style="5918" customWidth="1"/>
    <col min="7684" max="7684" width="16.109375" style="5918" customWidth="1"/>
    <col min="7685" max="7685" width="1.44140625" style="5918" customWidth="1"/>
    <col min="7686" max="7686" width="16.44140625" style="5918" customWidth="1"/>
    <col min="7687" max="7932" width="9.109375" style="5918"/>
    <col min="7933" max="7933" width="3.109375" style="5918" customWidth="1"/>
    <col min="7934" max="7934" width="27.88671875" style="5918" customWidth="1"/>
    <col min="7935" max="7935" width="1.109375" style="5918" customWidth="1"/>
    <col min="7936" max="7936" width="16.109375" style="5918" customWidth="1"/>
    <col min="7937" max="7937" width="1.109375" style="5918" customWidth="1"/>
    <col min="7938" max="7938" width="16.44140625" style="5918" customWidth="1"/>
    <col min="7939" max="7939" width="1.44140625" style="5918" customWidth="1"/>
    <col min="7940" max="7940" width="16.109375" style="5918" customWidth="1"/>
    <col min="7941" max="7941" width="1.44140625" style="5918" customWidth="1"/>
    <col min="7942" max="7942" width="16.44140625" style="5918" customWidth="1"/>
    <col min="7943" max="8188" width="9.109375" style="5918"/>
    <col min="8189" max="8189" width="3.109375" style="5918" customWidth="1"/>
    <col min="8190" max="8190" width="27.88671875" style="5918" customWidth="1"/>
    <col min="8191" max="8191" width="1.109375" style="5918" customWidth="1"/>
    <col min="8192" max="8192" width="16.109375" style="5918" customWidth="1"/>
    <col min="8193" max="8193" width="1.109375" style="5918" customWidth="1"/>
    <col min="8194" max="8194" width="16.44140625" style="5918" customWidth="1"/>
    <col min="8195" max="8195" width="1.44140625" style="5918" customWidth="1"/>
    <col min="8196" max="8196" width="16.109375" style="5918" customWidth="1"/>
    <col min="8197" max="8197" width="1.44140625" style="5918" customWidth="1"/>
    <col min="8198" max="8198" width="16.44140625" style="5918" customWidth="1"/>
    <col min="8199" max="8444" width="9.109375" style="5918"/>
    <col min="8445" max="8445" width="3.109375" style="5918" customWidth="1"/>
    <col min="8446" max="8446" width="27.88671875" style="5918" customWidth="1"/>
    <col min="8447" max="8447" width="1.109375" style="5918" customWidth="1"/>
    <col min="8448" max="8448" width="16.109375" style="5918" customWidth="1"/>
    <col min="8449" max="8449" width="1.109375" style="5918" customWidth="1"/>
    <col min="8450" max="8450" width="16.44140625" style="5918" customWidth="1"/>
    <col min="8451" max="8451" width="1.44140625" style="5918" customWidth="1"/>
    <col min="8452" max="8452" width="16.109375" style="5918" customWidth="1"/>
    <col min="8453" max="8453" width="1.44140625" style="5918" customWidth="1"/>
    <col min="8454" max="8454" width="16.44140625" style="5918" customWidth="1"/>
    <col min="8455" max="8700" width="9.109375" style="5918"/>
    <col min="8701" max="8701" width="3.109375" style="5918" customWidth="1"/>
    <col min="8702" max="8702" width="27.88671875" style="5918" customWidth="1"/>
    <col min="8703" max="8703" width="1.109375" style="5918" customWidth="1"/>
    <col min="8704" max="8704" width="16.109375" style="5918" customWidth="1"/>
    <col min="8705" max="8705" width="1.109375" style="5918" customWidth="1"/>
    <col min="8706" max="8706" width="16.44140625" style="5918" customWidth="1"/>
    <col min="8707" max="8707" width="1.44140625" style="5918" customWidth="1"/>
    <col min="8708" max="8708" width="16.109375" style="5918" customWidth="1"/>
    <col min="8709" max="8709" width="1.44140625" style="5918" customWidth="1"/>
    <col min="8710" max="8710" width="16.44140625" style="5918" customWidth="1"/>
    <col min="8711" max="8956" width="9.109375" style="5918"/>
    <col min="8957" max="8957" width="3.109375" style="5918" customWidth="1"/>
    <col min="8958" max="8958" width="27.88671875" style="5918" customWidth="1"/>
    <col min="8959" max="8959" width="1.109375" style="5918" customWidth="1"/>
    <col min="8960" max="8960" width="16.109375" style="5918" customWidth="1"/>
    <col min="8961" max="8961" width="1.109375" style="5918" customWidth="1"/>
    <col min="8962" max="8962" width="16.44140625" style="5918" customWidth="1"/>
    <col min="8963" max="8963" width="1.44140625" style="5918" customWidth="1"/>
    <col min="8964" max="8964" width="16.109375" style="5918" customWidth="1"/>
    <col min="8965" max="8965" width="1.44140625" style="5918" customWidth="1"/>
    <col min="8966" max="8966" width="16.44140625" style="5918" customWidth="1"/>
    <col min="8967" max="9212" width="9.109375" style="5918"/>
    <col min="9213" max="9213" width="3.109375" style="5918" customWidth="1"/>
    <col min="9214" max="9214" width="27.88671875" style="5918" customWidth="1"/>
    <col min="9215" max="9215" width="1.109375" style="5918" customWidth="1"/>
    <col min="9216" max="9216" width="16.109375" style="5918" customWidth="1"/>
    <col min="9217" max="9217" width="1.109375" style="5918" customWidth="1"/>
    <col min="9218" max="9218" width="16.44140625" style="5918" customWidth="1"/>
    <col min="9219" max="9219" width="1.44140625" style="5918" customWidth="1"/>
    <col min="9220" max="9220" width="16.109375" style="5918" customWidth="1"/>
    <col min="9221" max="9221" width="1.44140625" style="5918" customWidth="1"/>
    <col min="9222" max="9222" width="16.44140625" style="5918" customWidth="1"/>
    <col min="9223" max="9468" width="9.109375" style="5918"/>
    <col min="9469" max="9469" width="3.109375" style="5918" customWidth="1"/>
    <col min="9470" max="9470" width="27.88671875" style="5918" customWidth="1"/>
    <col min="9471" max="9471" width="1.109375" style="5918" customWidth="1"/>
    <col min="9472" max="9472" width="16.109375" style="5918" customWidth="1"/>
    <col min="9473" max="9473" width="1.109375" style="5918" customWidth="1"/>
    <col min="9474" max="9474" width="16.44140625" style="5918" customWidth="1"/>
    <col min="9475" max="9475" width="1.44140625" style="5918" customWidth="1"/>
    <col min="9476" max="9476" width="16.109375" style="5918" customWidth="1"/>
    <col min="9477" max="9477" width="1.44140625" style="5918" customWidth="1"/>
    <col min="9478" max="9478" width="16.44140625" style="5918" customWidth="1"/>
    <col min="9479" max="9724" width="9.109375" style="5918"/>
    <col min="9725" max="9725" width="3.109375" style="5918" customWidth="1"/>
    <col min="9726" max="9726" width="27.88671875" style="5918" customWidth="1"/>
    <col min="9727" max="9727" width="1.109375" style="5918" customWidth="1"/>
    <col min="9728" max="9728" width="16.109375" style="5918" customWidth="1"/>
    <col min="9729" max="9729" width="1.109375" style="5918" customWidth="1"/>
    <col min="9730" max="9730" width="16.44140625" style="5918" customWidth="1"/>
    <col min="9731" max="9731" width="1.44140625" style="5918" customWidth="1"/>
    <col min="9732" max="9732" width="16.109375" style="5918" customWidth="1"/>
    <col min="9733" max="9733" width="1.44140625" style="5918" customWidth="1"/>
    <col min="9734" max="9734" width="16.44140625" style="5918" customWidth="1"/>
    <col min="9735" max="9980" width="9.109375" style="5918"/>
    <col min="9981" max="9981" width="3.109375" style="5918" customWidth="1"/>
    <col min="9982" max="9982" width="27.88671875" style="5918" customWidth="1"/>
    <col min="9983" max="9983" width="1.109375" style="5918" customWidth="1"/>
    <col min="9984" max="9984" width="16.109375" style="5918" customWidth="1"/>
    <col min="9985" max="9985" width="1.109375" style="5918" customWidth="1"/>
    <col min="9986" max="9986" width="16.44140625" style="5918" customWidth="1"/>
    <col min="9987" max="9987" width="1.44140625" style="5918" customWidth="1"/>
    <col min="9988" max="9988" width="16.109375" style="5918" customWidth="1"/>
    <col min="9989" max="9989" width="1.44140625" style="5918" customWidth="1"/>
    <col min="9990" max="9990" width="16.44140625" style="5918" customWidth="1"/>
    <col min="9991" max="10236" width="9.109375" style="5918"/>
    <col min="10237" max="10237" width="3.109375" style="5918" customWidth="1"/>
    <col min="10238" max="10238" width="27.88671875" style="5918" customWidth="1"/>
    <col min="10239" max="10239" width="1.109375" style="5918" customWidth="1"/>
    <col min="10240" max="10240" width="16.109375" style="5918" customWidth="1"/>
    <col min="10241" max="10241" width="1.109375" style="5918" customWidth="1"/>
    <col min="10242" max="10242" width="16.44140625" style="5918" customWidth="1"/>
    <col min="10243" max="10243" width="1.44140625" style="5918" customWidth="1"/>
    <col min="10244" max="10244" width="16.109375" style="5918" customWidth="1"/>
    <col min="10245" max="10245" width="1.44140625" style="5918" customWidth="1"/>
    <col min="10246" max="10246" width="16.44140625" style="5918" customWidth="1"/>
    <col min="10247" max="10492" width="9.109375" style="5918"/>
    <col min="10493" max="10493" width="3.109375" style="5918" customWidth="1"/>
    <col min="10494" max="10494" width="27.88671875" style="5918" customWidth="1"/>
    <col min="10495" max="10495" width="1.109375" style="5918" customWidth="1"/>
    <col min="10496" max="10496" width="16.109375" style="5918" customWidth="1"/>
    <col min="10497" max="10497" width="1.109375" style="5918" customWidth="1"/>
    <col min="10498" max="10498" width="16.44140625" style="5918" customWidth="1"/>
    <col min="10499" max="10499" width="1.44140625" style="5918" customWidth="1"/>
    <col min="10500" max="10500" width="16.109375" style="5918" customWidth="1"/>
    <col min="10501" max="10501" width="1.44140625" style="5918" customWidth="1"/>
    <col min="10502" max="10502" width="16.44140625" style="5918" customWidth="1"/>
    <col min="10503" max="10748" width="9.109375" style="5918"/>
    <col min="10749" max="10749" width="3.109375" style="5918" customWidth="1"/>
    <col min="10750" max="10750" width="27.88671875" style="5918" customWidth="1"/>
    <col min="10751" max="10751" width="1.109375" style="5918" customWidth="1"/>
    <col min="10752" max="10752" width="16.109375" style="5918" customWidth="1"/>
    <col min="10753" max="10753" width="1.109375" style="5918" customWidth="1"/>
    <col min="10754" max="10754" width="16.44140625" style="5918" customWidth="1"/>
    <col min="10755" max="10755" width="1.44140625" style="5918" customWidth="1"/>
    <col min="10756" max="10756" width="16.109375" style="5918" customWidth="1"/>
    <col min="10757" max="10757" width="1.44140625" style="5918" customWidth="1"/>
    <col min="10758" max="10758" width="16.44140625" style="5918" customWidth="1"/>
    <col min="10759" max="11004" width="9.109375" style="5918"/>
    <col min="11005" max="11005" width="3.109375" style="5918" customWidth="1"/>
    <col min="11006" max="11006" width="27.88671875" style="5918" customWidth="1"/>
    <col min="11007" max="11007" width="1.109375" style="5918" customWidth="1"/>
    <col min="11008" max="11008" width="16.109375" style="5918" customWidth="1"/>
    <col min="11009" max="11009" width="1.109375" style="5918" customWidth="1"/>
    <col min="11010" max="11010" width="16.44140625" style="5918" customWidth="1"/>
    <col min="11011" max="11011" width="1.44140625" style="5918" customWidth="1"/>
    <col min="11012" max="11012" width="16.109375" style="5918" customWidth="1"/>
    <col min="11013" max="11013" width="1.44140625" style="5918" customWidth="1"/>
    <col min="11014" max="11014" width="16.44140625" style="5918" customWidth="1"/>
    <col min="11015" max="11260" width="9.109375" style="5918"/>
    <col min="11261" max="11261" width="3.109375" style="5918" customWidth="1"/>
    <col min="11262" max="11262" width="27.88671875" style="5918" customWidth="1"/>
    <col min="11263" max="11263" width="1.109375" style="5918" customWidth="1"/>
    <col min="11264" max="11264" width="16.109375" style="5918" customWidth="1"/>
    <col min="11265" max="11265" width="1.109375" style="5918" customWidth="1"/>
    <col min="11266" max="11266" width="16.44140625" style="5918" customWidth="1"/>
    <col min="11267" max="11267" width="1.44140625" style="5918" customWidth="1"/>
    <col min="11268" max="11268" width="16.109375" style="5918" customWidth="1"/>
    <col min="11269" max="11269" width="1.44140625" style="5918" customWidth="1"/>
    <col min="11270" max="11270" width="16.44140625" style="5918" customWidth="1"/>
    <col min="11271" max="11516" width="9.109375" style="5918"/>
    <col min="11517" max="11517" width="3.109375" style="5918" customWidth="1"/>
    <col min="11518" max="11518" width="27.88671875" style="5918" customWidth="1"/>
    <col min="11519" max="11519" width="1.109375" style="5918" customWidth="1"/>
    <col min="11520" max="11520" width="16.109375" style="5918" customWidth="1"/>
    <col min="11521" max="11521" width="1.109375" style="5918" customWidth="1"/>
    <col min="11522" max="11522" width="16.44140625" style="5918" customWidth="1"/>
    <col min="11523" max="11523" width="1.44140625" style="5918" customWidth="1"/>
    <col min="11524" max="11524" width="16.109375" style="5918" customWidth="1"/>
    <col min="11525" max="11525" width="1.44140625" style="5918" customWidth="1"/>
    <col min="11526" max="11526" width="16.44140625" style="5918" customWidth="1"/>
    <col min="11527" max="11772" width="9.109375" style="5918"/>
    <col min="11773" max="11773" width="3.109375" style="5918" customWidth="1"/>
    <col min="11774" max="11774" width="27.88671875" style="5918" customWidth="1"/>
    <col min="11775" max="11775" width="1.109375" style="5918" customWidth="1"/>
    <col min="11776" max="11776" width="16.109375" style="5918" customWidth="1"/>
    <col min="11777" max="11777" width="1.109375" style="5918" customWidth="1"/>
    <col min="11778" max="11778" width="16.44140625" style="5918" customWidth="1"/>
    <col min="11779" max="11779" width="1.44140625" style="5918" customWidth="1"/>
    <col min="11780" max="11780" width="16.109375" style="5918" customWidth="1"/>
    <col min="11781" max="11781" width="1.44140625" style="5918" customWidth="1"/>
    <col min="11782" max="11782" width="16.44140625" style="5918" customWidth="1"/>
    <col min="11783" max="12028" width="9.109375" style="5918"/>
    <col min="12029" max="12029" width="3.109375" style="5918" customWidth="1"/>
    <col min="12030" max="12030" width="27.88671875" style="5918" customWidth="1"/>
    <col min="12031" max="12031" width="1.109375" style="5918" customWidth="1"/>
    <col min="12032" max="12032" width="16.109375" style="5918" customWidth="1"/>
    <col min="12033" max="12033" width="1.109375" style="5918" customWidth="1"/>
    <col min="12034" max="12034" width="16.44140625" style="5918" customWidth="1"/>
    <col min="12035" max="12035" width="1.44140625" style="5918" customWidth="1"/>
    <col min="12036" max="12036" width="16.109375" style="5918" customWidth="1"/>
    <col min="12037" max="12037" width="1.44140625" style="5918" customWidth="1"/>
    <col min="12038" max="12038" width="16.44140625" style="5918" customWidth="1"/>
    <col min="12039" max="12284" width="9.109375" style="5918"/>
    <col min="12285" max="12285" width="3.109375" style="5918" customWidth="1"/>
    <col min="12286" max="12286" width="27.88671875" style="5918" customWidth="1"/>
    <col min="12287" max="12287" width="1.109375" style="5918" customWidth="1"/>
    <col min="12288" max="12288" width="16.109375" style="5918" customWidth="1"/>
    <col min="12289" max="12289" width="1.109375" style="5918" customWidth="1"/>
    <col min="12290" max="12290" width="16.44140625" style="5918" customWidth="1"/>
    <col min="12291" max="12291" width="1.44140625" style="5918" customWidth="1"/>
    <col min="12292" max="12292" width="16.109375" style="5918" customWidth="1"/>
    <col min="12293" max="12293" width="1.44140625" style="5918" customWidth="1"/>
    <col min="12294" max="12294" width="16.44140625" style="5918" customWidth="1"/>
    <col min="12295" max="12540" width="9.109375" style="5918"/>
    <col min="12541" max="12541" width="3.109375" style="5918" customWidth="1"/>
    <col min="12542" max="12542" width="27.88671875" style="5918" customWidth="1"/>
    <col min="12543" max="12543" width="1.109375" style="5918" customWidth="1"/>
    <col min="12544" max="12544" width="16.109375" style="5918" customWidth="1"/>
    <col min="12545" max="12545" width="1.109375" style="5918" customWidth="1"/>
    <col min="12546" max="12546" width="16.44140625" style="5918" customWidth="1"/>
    <col min="12547" max="12547" width="1.44140625" style="5918" customWidth="1"/>
    <col min="12548" max="12548" width="16.109375" style="5918" customWidth="1"/>
    <col min="12549" max="12549" width="1.44140625" style="5918" customWidth="1"/>
    <col min="12550" max="12550" width="16.44140625" style="5918" customWidth="1"/>
    <col min="12551" max="12796" width="9.109375" style="5918"/>
    <col min="12797" max="12797" width="3.109375" style="5918" customWidth="1"/>
    <col min="12798" max="12798" width="27.88671875" style="5918" customWidth="1"/>
    <col min="12799" max="12799" width="1.109375" style="5918" customWidth="1"/>
    <col min="12800" max="12800" width="16.109375" style="5918" customWidth="1"/>
    <col min="12801" max="12801" width="1.109375" style="5918" customWidth="1"/>
    <col min="12802" max="12802" width="16.44140625" style="5918" customWidth="1"/>
    <col min="12803" max="12803" width="1.44140625" style="5918" customWidth="1"/>
    <col min="12804" max="12804" width="16.109375" style="5918" customWidth="1"/>
    <col min="12805" max="12805" width="1.44140625" style="5918" customWidth="1"/>
    <col min="12806" max="12806" width="16.44140625" style="5918" customWidth="1"/>
    <col min="12807" max="13052" width="9.109375" style="5918"/>
    <col min="13053" max="13053" width="3.109375" style="5918" customWidth="1"/>
    <col min="13054" max="13054" width="27.88671875" style="5918" customWidth="1"/>
    <col min="13055" max="13055" width="1.109375" style="5918" customWidth="1"/>
    <col min="13056" max="13056" width="16.109375" style="5918" customWidth="1"/>
    <col min="13057" max="13057" width="1.109375" style="5918" customWidth="1"/>
    <col min="13058" max="13058" width="16.44140625" style="5918" customWidth="1"/>
    <col min="13059" max="13059" width="1.44140625" style="5918" customWidth="1"/>
    <col min="13060" max="13060" width="16.109375" style="5918" customWidth="1"/>
    <col min="13061" max="13061" width="1.44140625" style="5918" customWidth="1"/>
    <col min="13062" max="13062" width="16.44140625" style="5918" customWidth="1"/>
    <col min="13063" max="13308" width="9.109375" style="5918"/>
    <col min="13309" max="13309" width="3.109375" style="5918" customWidth="1"/>
    <col min="13310" max="13310" width="27.88671875" style="5918" customWidth="1"/>
    <col min="13311" max="13311" width="1.109375" style="5918" customWidth="1"/>
    <col min="13312" max="13312" width="16.109375" style="5918" customWidth="1"/>
    <col min="13313" max="13313" width="1.109375" style="5918" customWidth="1"/>
    <col min="13314" max="13314" width="16.44140625" style="5918" customWidth="1"/>
    <col min="13315" max="13315" width="1.44140625" style="5918" customWidth="1"/>
    <col min="13316" max="13316" width="16.109375" style="5918" customWidth="1"/>
    <col min="13317" max="13317" width="1.44140625" style="5918" customWidth="1"/>
    <col min="13318" max="13318" width="16.44140625" style="5918" customWidth="1"/>
    <col min="13319" max="13564" width="9.109375" style="5918"/>
    <col min="13565" max="13565" width="3.109375" style="5918" customWidth="1"/>
    <col min="13566" max="13566" width="27.88671875" style="5918" customWidth="1"/>
    <col min="13567" max="13567" width="1.109375" style="5918" customWidth="1"/>
    <col min="13568" max="13568" width="16.109375" style="5918" customWidth="1"/>
    <col min="13569" max="13569" width="1.109375" style="5918" customWidth="1"/>
    <col min="13570" max="13570" width="16.44140625" style="5918" customWidth="1"/>
    <col min="13571" max="13571" width="1.44140625" style="5918" customWidth="1"/>
    <col min="13572" max="13572" width="16.109375" style="5918" customWidth="1"/>
    <col min="13573" max="13573" width="1.44140625" style="5918" customWidth="1"/>
    <col min="13574" max="13574" width="16.44140625" style="5918" customWidth="1"/>
    <col min="13575" max="13820" width="9.109375" style="5918"/>
    <col min="13821" max="13821" width="3.109375" style="5918" customWidth="1"/>
    <col min="13822" max="13822" width="27.88671875" style="5918" customWidth="1"/>
    <col min="13823" max="13823" width="1.109375" style="5918" customWidth="1"/>
    <col min="13824" max="13824" width="16.109375" style="5918" customWidth="1"/>
    <col min="13825" max="13825" width="1.109375" style="5918" customWidth="1"/>
    <col min="13826" max="13826" width="16.44140625" style="5918" customWidth="1"/>
    <col min="13827" max="13827" width="1.44140625" style="5918" customWidth="1"/>
    <col min="13828" max="13828" width="16.109375" style="5918" customWidth="1"/>
    <col min="13829" max="13829" width="1.44140625" style="5918" customWidth="1"/>
    <col min="13830" max="13830" width="16.44140625" style="5918" customWidth="1"/>
    <col min="13831" max="14076" width="9.109375" style="5918"/>
    <col min="14077" max="14077" width="3.109375" style="5918" customWidth="1"/>
    <col min="14078" max="14078" width="27.88671875" style="5918" customWidth="1"/>
    <col min="14079" max="14079" width="1.109375" style="5918" customWidth="1"/>
    <col min="14080" max="14080" width="16.109375" style="5918" customWidth="1"/>
    <col min="14081" max="14081" width="1.109375" style="5918" customWidth="1"/>
    <col min="14082" max="14082" width="16.44140625" style="5918" customWidth="1"/>
    <col min="14083" max="14083" width="1.44140625" style="5918" customWidth="1"/>
    <col min="14084" max="14084" width="16.109375" style="5918" customWidth="1"/>
    <col min="14085" max="14085" width="1.44140625" style="5918" customWidth="1"/>
    <col min="14086" max="14086" width="16.44140625" style="5918" customWidth="1"/>
    <col min="14087" max="14332" width="9.109375" style="5918"/>
    <col min="14333" max="14333" width="3.109375" style="5918" customWidth="1"/>
    <col min="14334" max="14334" width="27.88671875" style="5918" customWidth="1"/>
    <col min="14335" max="14335" width="1.109375" style="5918" customWidth="1"/>
    <col min="14336" max="14336" width="16.109375" style="5918" customWidth="1"/>
    <col min="14337" max="14337" width="1.109375" style="5918" customWidth="1"/>
    <col min="14338" max="14338" width="16.44140625" style="5918" customWidth="1"/>
    <col min="14339" max="14339" width="1.44140625" style="5918" customWidth="1"/>
    <col min="14340" max="14340" width="16.109375" style="5918" customWidth="1"/>
    <col min="14341" max="14341" width="1.44140625" style="5918" customWidth="1"/>
    <col min="14342" max="14342" width="16.44140625" style="5918" customWidth="1"/>
    <col min="14343" max="14588" width="9.109375" style="5918"/>
    <col min="14589" max="14589" width="3.109375" style="5918" customWidth="1"/>
    <col min="14590" max="14590" width="27.88671875" style="5918" customWidth="1"/>
    <col min="14591" max="14591" width="1.109375" style="5918" customWidth="1"/>
    <col min="14592" max="14592" width="16.109375" style="5918" customWidth="1"/>
    <col min="14593" max="14593" width="1.109375" style="5918" customWidth="1"/>
    <col min="14594" max="14594" width="16.44140625" style="5918" customWidth="1"/>
    <col min="14595" max="14595" width="1.44140625" style="5918" customWidth="1"/>
    <col min="14596" max="14596" width="16.109375" style="5918" customWidth="1"/>
    <col min="14597" max="14597" width="1.44140625" style="5918" customWidth="1"/>
    <col min="14598" max="14598" width="16.44140625" style="5918" customWidth="1"/>
    <col min="14599" max="14844" width="9.109375" style="5918"/>
    <col min="14845" max="14845" width="3.109375" style="5918" customWidth="1"/>
    <col min="14846" max="14846" width="27.88671875" style="5918" customWidth="1"/>
    <col min="14847" max="14847" width="1.109375" style="5918" customWidth="1"/>
    <col min="14848" max="14848" width="16.109375" style="5918" customWidth="1"/>
    <col min="14849" max="14849" width="1.109375" style="5918" customWidth="1"/>
    <col min="14850" max="14850" width="16.44140625" style="5918" customWidth="1"/>
    <col min="14851" max="14851" width="1.44140625" style="5918" customWidth="1"/>
    <col min="14852" max="14852" width="16.109375" style="5918" customWidth="1"/>
    <col min="14853" max="14853" width="1.44140625" style="5918" customWidth="1"/>
    <col min="14854" max="14854" width="16.44140625" style="5918" customWidth="1"/>
    <col min="14855" max="15100" width="9.109375" style="5918"/>
    <col min="15101" max="15101" width="3.109375" style="5918" customWidth="1"/>
    <col min="15102" max="15102" width="27.88671875" style="5918" customWidth="1"/>
    <col min="15103" max="15103" width="1.109375" style="5918" customWidth="1"/>
    <col min="15104" max="15104" width="16.109375" style="5918" customWidth="1"/>
    <col min="15105" max="15105" width="1.109375" style="5918" customWidth="1"/>
    <col min="15106" max="15106" width="16.44140625" style="5918" customWidth="1"/>
    <col min="15107" max="15107" width="1.44140625" style="5918" customWidth="1"/>
    <col min="15108" max="15108" width="16.109375" style="5918" customWidth="1"/>
    <col min="15109" max="15109" width="1.44140625" style="5918" customWidth="1"/>
    <col min="15110" max="15110" width="16.44140625" style="5918" customWidth="1"/>
    <col min="15111" max="15356" width="9.109375" style="5918"/>
    <col min="15357" max="15357" width="3.109375" style="5918" customWidth="1"/>
    <col min="15358" max="15358" width="27.88671875" style="5918" customWidth="1"/>
    <col min="15359" max="15359" width="1.109375" style="5918" customWidth="1"/>
    <col min="15360" max="15360" width="16.109375" style="5918" customWidth="1"/>
    <col min="15361" max="15361" width="1.109375" style="5918" customWidth="1"/>
    <col min="15362" max="15362" width="16.44140625" style="5918" customWidth="1"/>
    <col min="15363" max="15363" width="1.44140625" style="5918" customWidth="1"/>
    <col min="15364" max="15364" width="16.109375" style="5918" customWidth="1"/>
    <col min="15365" max="15365" width="1.44140625" style="5918" customWidth="1"/>
    <col min="15366" max="15366" width="16.44140625" style="5918" customWidth="1"/>
    <col min="15367" max="15612" width="9.109375" style="5918"/>
    <col min="15613" max="15613" width="3.109375" style="5918" customWidth="1"/>
    <col min="15614" max="15614" width="27.88671875" style="5918" customWidth="1"/>
    <col min="15615" max="15615" width="1.109375" style="5918" customWidth="1"/>
    <col min="15616" max="15616" width="16.109375" style="5918" customWidth="1"/>
    <col min="15617" max="15617" width="1.109375" style="5918" customWidth="1"/>
    <col min="15618" max="15618" width="16.44140625" style="5918" customWidth="1"/>
    <col min="15619" max="15619" width="1.44140625" style="5918" customWidth="1"/>
    <col min="15620" max="15620" width="16.109375" style="5918" customWidth="1"/>
    <col min="15621" max="15621" width="1.44140625" style="5918" customWidth="1"/>
    <col min="15622" max="15622" width="16.44140625" style="5918" customWidth="1"/>
    <col min="15623" max="15868" width="9.109375" style="5918"/>
    <col min="15869" max="15869" width="3.109375" style="5918" customWidth="1"/>
    <col min="15870" max="15870" width="27.88671875" style="5918" customWidth="1"/>
    <col min="15871" max="15871" width="1.109375" style="5918" customWidth="1"/>
    <col min="15872" max="15872" width="16.109375" style="5918" customWidth="1"/>
    <col min="15873" max="15873" width="1.109375" style="5918" customWidth="1"/>
    <col min="15874" max="15874" width="16.44140625" style="5918" customWidth="1"/>
    <col min="15875" max="15875" width="1.44140625" style="5918" customWidth="1"/>
    <col min="15876" max="15876" width="16.109375" style="5918" customWidth="1"/>
    <col min="15877" max="15877" width="1.44140625" style="5918" customWidth="1"/>
    <col min="15878" max="15878" width="16.44140625" style="5918" customWidth="1"/>
    <col min="15879" max="16124" width="9.109375" style="5918"/>
    <col min="16125" max="16125" width="3.109375" style="5918" customWidth="1"/>
    <col min="16126" max="16126" width="27.88671875" style="5918" customWidth="1"/>
    <col min="16127" max="16127" width="1.109375" style="5918" customWidth="1"/>
    <col min="16128" max="16128" width="16.109375" style="5918" customWidth="1"/>
    <col min="16129" max="16129" width="1.109375" style="5918" customWidth="1"/>
    <col min="16130" max="16130" width="16.44140625" style="5918" customWidth="1"/>
    <col min="16131" max="16131" width="1.44140625" style="5918" customWidth="1"/>
    <col min="16132" max="16132" width="16.109375" style="5918" customWidth="1"/>
    <col min="16133" max="16133" width="1.44140625" style="5918" customWidth="1"/>
    <col min="16134" max="16134" width="16.44140625" style="5918" customWidth="1"/>
    <col min="16135" max="16384" width="9.109375" style="5918"/>
  </cols>
  <sheetData>
    <row r="1" spans="1:14" ht="15" customHeight="1">
      <c r="A1" s="10889" t="s">
        <v>9914</v>
      </c>
    </row>
    <row r="2" spans="1:14" ht="55.5" customHeight="1">
      <c r="A2" s="14063" t="s">
        <v>9915</v>
      </c>
      <c r="B2" s="14063"/>
      <c r="C2" s="14063"/>
      <c r="D2" s="14063"/>
      <c r="E2" s="14063"/>
      <c r="F2" s="14063"/>
      <c r="G2" s="14063"/>
      <c r="H2" s="14063"/>
      <c r="I2" s="14063"/>
      <c r="J2" s="14063"/>
      <c r="K2" s="14063"/>
      <c r="L2" s="14063"/>
      <c r="M2" s="14063"/>
    </row>
    <row r="3" spans="1:14" ht="15" customHeight="1">
      <c r="A3" s="14047" t="s">
        <v>506</v>
      </c>
      <c r="B3" s="14047"/>
      <c r="C3" s="14047"/>
      <c r="D3" s="14047"/>
      <c r="E3" s="14047"/>
      <c r="F3" s="14047"/>
      <c r="G3" s="14047"/>
      <c r="H3" s="14047"/>
      <c r="I3" s="14047"/>
      <c r="J3" s="14047"/>
      <c r="K3" s="14047"/>
      <c r="L3" s="14047"/>
      <c r="M3" s="14047"/>
    </row>
    <row r="4" spans="1:14" ht="15" customHeight="1">
      <c r="A4" s="14048" t="s">
        <v>11739</v>
      </c>
      <c r="B4" s="14048"/>
      <c r="C4" s="14048"/>
      <c r="D4" s="14048"/>
      <c r="E4" s="14048"/>
      <c r="F4" s="14048"/>
      <c r="G4" s="14048"/>
      <c r="H4" s="14048"/>
      <c r="I4" s="14048"/>
      <c r="J4" s="14048"/>
      <c r="K4" s="14048"/>
      <c r="L4" s="14048"/>
      <c r="M4" s="14048"/>
    </row>
    <row r="5" spans="1:14" ht="15" customHeight="1">
      <c r="A5" s="5919"/>
      <c r="B5" s="10891"/>
      <c r="C5" s="5919"/>
      <c r="D5" s="5919"/>
      <c r="E5" s="5919"/>
      <c r="F5" s="5919"/>
      <c r="G5" s="10448"/>
      <c r="H5" s="10522"/>
      <c r="I5" s="5919"/>
      <c r="J5" s="5919"/>
      <c r="K5" s="5919"/>
      <c r="L5" s="5919"/>
      <c r="M5" s="5919"/>
    </row>
    <row r="6" spans="1:14" s="10889" customFormat="1" ht="15" customHeight="1">
      <c r="A6" s="10892"/>
      <c r="B6" s="10893"/>
      <c r="C6" s="14066" t="s">
        <v>11473</v>
      </c>
      <c r="D6" s="14066"/>
      <c r="E6" s="14067" t="s">
        <v>466</v>
      </c>
      <c r="F6" s="14068"/>
      <c r="G6" s="10894" t="s">
        <v>10277</v>
      </c>
      <c r="H6" s="10895"/>
      <c r="I6" s="14066" t="s">
        <v>11515</v>
      </c>
      <c r="J6" s="14066"/>
      <c r="K6" s="14066"/>
      <c r="L6" s="14069"/>
      <c r="M6" s="14066"/>
      <c r="N6" s="5811"/>
    </row>
    <row r="7" spans="1:14" s="10889" customFormat="1" ht="15" customHeight="1">
      <c r="A7" s="14049" t="s">
        <v>454</v>
      </c>
      <c r="B7" s="14050"/>
      <c r="C7" s="14051" t="s">
        <v>470</v>
      </c>
      <c r="D7" s="14051"/>
      <c r="E7" s="14052" t="s">
        <v>11500</v>
      </c>
      <c r="F7" s="14053"/>
      <c r="G7" s="10896" t="s">
        <v>10278</v>
      </c>
      <c r="H7" s="10897" t="s">
        <v>9986</v>
      </c>
      <c r="I7" s="14051" t="s">
        <v>507</v>
      </c>
      <c r="J7" s="14051"/>
      <c r="K7" s="14051"/>
      <c r="L7" s="14054"/>
      <c r="M7" s="14051"/>
      <c r="N7" s="5811"/>
    </row>
    <row r="8" spans="1:14" s="10889" customFormat="1" ht="15" customHeight="1">
      <c r="A8" s="10898"/>
      <c r="B8" s="10899"/>
      <c r="C8" s="14055"/>
      <c r="D8" s="14055"/>
      <c r="E8" s="14056"/>
      <c r="F8" s="14057"/>
      <c r="G8" s="11029" t="s">
        <v>11740</v>
      </c>
      <c r="H8" s="10900"/>
      <c r="I8" s="14058" t="s">
        <v>508</v>
      </c>
      <c r="J8" s="14058"/>
      <c r="K8" s="14059" t="s">
        <v>509</v>
      </c>
      <c r="L8" s="14060"/>
      <c r="M8" s="14061"/>
      <c r="N8" s="10901"/>
    </row>
    <row r="9" spans="1:14" ht="15" customHeight="1">
      <c r="A9" s="10902">
        <v>1</v>
      </c>
      <c r="B9" s="10903" t="s">
        <v>510</v>
      </c>
      <c r="C9" s="5961" t="s">
        <v>405</v>
      </c>
      <c r="D9" s="11030">
        <v>115000000</v>
      </c>
      <c r="E9" s="10904" t="s">
        <v>405</v>
      </c>
      <c r="F9" s="10905">
        <f>225000000+70000000</f>
        <v>295000000</v>
      </c>
      <c r="G9" s="10906">
        <f>'LBPF No. 2'!G8</f>
        <v>295000000</v>
      </c>
      <c r="H9" s="10524"/>
      <c r="I9" s="5963" t="s">
        <v>405</v>
      </c>
      <c r="J9" s="10907">
        <v>20000000</v>
      </c>
      <c r="K9" s="10908" t="s">
        <v>405</v>
      </c>
      <c r="L9" s="5964"/>
      <c r="M9" s="10907">
        <f>80000000+20000000+5000000</f>
        <v>105000000</v>
      </c>
      <c r="N9" s="5811">
        <f>M9-J9</f>
        <v>85000000</v>
      </c>
    </row>
    <row r="10" spans="1:14" ht="15" customHeight="1">
      <c r="A10" s="10902">
        <v>2</v>
      </c>
      <c r="B10" s="10909" t="s">
        <v>511</v>
      </c>
      <c r="C10" s="10910"/>
      <c r="D10" s="11031"/>
      <c r="E10" s="10911"/>
      <c r="F10" s="11032"/>
      <c r="G10" s="10912"/>
      <c r="H10" s="10913"/>
      <c r="I10" s="10914"/>
      <c r="J10" s="10915"/>
      <c r="K10" s="10914"/>
      <c r="L10" s="10916"/>
      <c r="M10" s="10915"/>
    </row>
    <row r="11" spans="1:14" ht="15" customHeight="1">
      <c r="A11" s="6022" t="s">
        <v>512</v>
      </c>
      <c r="B11" s="10909" t="s">
        <v>513</v>
      </c>
      <c r="C11" s="5932"/>
      <c r="D11" s="11033"/>
      <c r="E11" s="8594"/>
      <c r="F11" s="11034"/>
      <c r="G11" s="10917"/>
      <c r="H11" s="10918"/>
      <c r="I11" s="5934"/>
      <c r="J11" s="5920"/>
      <c r="K11" s="5934"/>
      <c r="L11" s="5935"/>
      <c r="M11" s="5920"/>
    </row>
    <row r="12" spans="1:14" ht="15" customHeight="1">
      <c r="A12" s="5958"/>
      <c r="B12" s="10919"/>
      <c r="C12" s="5932"/>
      <c r="D12" s="11033"/>
      <c r="E12" s="8594"/>
      <c r="F12" s="11034"/>
      <c r="G12" s="10917"/>
      <c r="H12" s="10918"/>
      <c r="I12" s="5934"/>
      <c r="J12" s="5920"/>
      <c r="K12" s="5934"/>
      <c r="L12" s="5935"/>
      <c r="M12" s="5920"/>
    </row>
    <row r="13" spans="1:14" ht="15" customHeight="1">
      <c r="A13" s="5958"/>
      <c r="B13" s="10909" t="s">
        <v>514</v>
      </c>
      <c r="C13" s="5932"/>
      <c r="D13" s="11033"/>
      <c r="E13" s="8594"/>
      <c r="F13" s="11034"/>
      <c r="G13" s="10917"/>
      <c r="H13" s="10918"/>
      <c r="I13" s="5934"/>
      <c r="J13" s="5920"/>
      <c r="K13" s="5934"/>
      <c r="L13" s="5935"/>
      <c r="M13" s="5920"/>
    </row>
    <row r="14" spans="1:14" ht="15" customHeight="1">
      <c r="A14" s="5958"/>
      <c r="B14" s="10920" t="s">
        <v>11751</v>
      </c>
      <c r="C14" s="5932"/>
      <c r="D14" s="11033"/>
      <c r="E14" s="8594"/>
      <c r="F14" s="11034"/>
      <c r="G14" s="10917"/>
      <c r="H14" s="10918"/>
      <c r="I14" s="5934"/>
      <c r="J14" s="5920"/>
      <c r="K14" s="5934"/>
      <c r="L14" s="5935"/>
      <c r="M14" s="5920"/>
    </row>
    <row r="15" spans="1:14" ht="15" customHeight="1">
      <c r="A15" s="5958"/>
      <c r="B15" s="10921" t="s">
        <v>480</v>
      </c>
      <c r="C15" s="5936" t="s">
        <v>405</v>
      </c>
      <c r="D15" s="10226">
        <v>29140372.300000001</v>
      </c>
      <c r="E15" s="10922" t="s">
        <v>405</v>
      </c>
      <c r="F15" s="7006">
        <v>31000000</v>
      </c>
      <c r="G15" s="10923">
        <v>28682228.309999999</v>
      </c>
      <c r="H15" s="10918">
        <f>G15/F15</f>
        <v>0.92523317129032256</v>
      </c>
      <c r="I15" s="10924" t="s">
        <v>405</v>
      </c>
      <c r="J15" s="7006">
        <v>32550000</v>
      </c>
      <c r="K15" s="10924" t="s">
        <v>405</v>
      </c>
      <c r="L15" s="5938">
        <v>25000000</v>
      </c>
      <c r="M15" s="7006">
        <v>32550000</v>
      </c>
    </row>
    <row r="16" spans="1:14" ht="15" customHeight="1">
      <c r="A16" s="5958"/>
      <c r="B16" s="10921" t="s">
        <v>482</v>
      </c>
      <c r="C16" s="5932"/>
      <c r="D16" s="10226">
        <v>12750576.800000001</v>
      </c>
      <c r="E16" s="8594"/>
      <c r="F16" s="7006">
        <v>12200000</v>
      </c>
      <c r="G16" s="10923">
        <v>9014037.4000000004</v>
      </c>
      <c r="H16" s="10918">
        <f>G16/F16</f>
        <v>0.73885552459016401</v>
      </c>
      <c r="I16" s="5934"/>
      <c r="J16" s="7006">
        <v>13420000</v>
      </c>
      <c r="K16" s="5934"/>
      <c r="L16" s="5938">
        <v>12130667</v>
      </c>
      <c r="M16" s="7006">
        <v>13420000</v>
      </c>
    </row>
    <row r="17" spans="1:14" ht="15" customHeight="1">
      <c r="A17" s="5958"/>
      <c r="B17" s="10921" t="s">
        <v>483</v>
      </c>
      <c r="C17" s="5921"/>
      <c r="D17" s="10226">
        <v>7381140.79</v>
      </c>
      <c r="E17" s="8592"/>
      <c r="F17" s="5922">
        <v>5500000</v>
      </c>
      <c r="G17" s="10923">
        <v>5285539.8899999997</v>
      </c>
      <c r="H17" s="10918">
        <f>G17/F17</f>
        <v>0.96100725272727272</v>
      </c>
      <c r="I17" s="5923"/>
      <c r="J17" s="5922">
        <v>6325000</v>
      </c>
      <c r="K17" s="5923"/>
      <c r="L17" s="5924">
        <v>5363406</v>
      </c>
      <c r="M17" s="5922">
        <v>7500000</v>
      </c>
    </row>
    <row r="18" spans="1:14" ht="15" customHeight="1">
      <c r="A18" s="5974"/>
      <c r="B18" s="10925"/>
      <c r="C18" s="5921"/>
      <c r="D18" s="5922"/>
      <c r="E18" s="5921"/>
      <c r="F18" s="5922"/>
      <c r="G18" s="10923"/>
      <c r="H18" s="10918"/>
      <c r="I18" s="5923"/>
      <c r="J18" s="5922"/>
      <c r="K18" s="5923"/>
      <c r="L18" s="5924"/>
      <c r="M18" s="5922"/>
    </row>
    <row r="19" spans="1:14" s="8401" customFormat="1" ht="15" customHeight="1">
      <c r="A19" s="10926"/>
      <c r="B19" s="10927" t="s">
        <v>485</v>
      </c>
      <c r="C19" s="5925" t="s">
        <v>405</v>
      </c>
      <c r="D19" s="5926">
        <f>SUM(D15:D17)</f>
        <v>49272089.890000001</v>
      </c>
      <c r="E19" s="5927" t="s">
        <v>405</v>
      </c>
      <c r="F19" s="5926">
        <f>SUM(F15:F17)</f>
        <v>48700000</v>
      </c>
      <c r="G19" s="5926">
        <f>SUM(G15:G17)</f>
        <v>42981805.600000001</v>
      </c>
      <c r="H19" s="10928"/>
      <c r="I19" s="5928" t="s">
        <v>405</v>
      </c>
      <c r="J19" s="5926">
        <f>SUM(J15:J17)</f>
        <v>52295000</v>
      </c>
      <c r="K19" s="5928" t="s">
        <v>405</v>
      </c>
      <c r="L19" s="5929">
        <v>42494073</v>
      </c>
      <c r="M19" s="5926">
        <f>SUM(M15:M17)</f>
        <v>53470000</v>
      </c>
      <c r="N19" s="5788"/>
    </row>
    <row r="20" spans="1:14" ht="15" customHeight="1">
      <c r="A20" s="5958"/>
      <c r="B20" s="10919"/>
      <c r="C20" s="5921"/>
      <c r="D20" s="11035"/>
      <c r="E20" s="5921"/>
      <c r="F20" s="5930"/>
      <c r="G20" s="10929"/>
      <c r="H20" s="10918"/>
      <c r="I20" s="5923"/>
      <c r="J20" s="5930"/>
      <c r="K20" s="5923"/>
      <c r="L20" s="5931"/>
      <c r="M20" s="5930"/>
    </row>
    <row r="21" spans="1:14" ht="15" customHeight="1">
      <c r="A21" s="5958"/>
      <c r="B21" s="10920" t="s">
        <v>11752</v>
      </c>
      <c r="C21" s="5932"/>
      <c r="D21" s="11033"/>
      <c r="E21" s="5933"/>
      <c r="F21" s="5920"/>
      <c r="G21" s="10917"/>
      <c r="H21" s="10918"/>
      <c r="I21" s="5934"/>
      <c r="J21" s="5920"/>
      <c r="K21" s="5934"/>
      <c r="L21" s="5935"/>
      <c r="M21" s="5920"/>
    </row>
    <row r="22" spans="1:14" ht="15" customHeight="1">
      <c r="A22" s="5958"/>
      <c r="B22" s="10921" t="s">
        <v>445</v>
      </c>
      <c r="C22" s="5936" t="s">
        <v>405</v>
      </c>
      <c r="D22" s="10226">
        <v>2092598.67</v>
      </c>
      <c r="E22" s="5936" t="s">
        <v>405</v>
      </c>
      <c r="F22" s="10226">
        <v>2000000</v>
      </c>
      <c r="G22" s="10923">
        <v>2268973.94</v>
      </c>
      <c r="H22" s="10918">
        <f t="shared" ref="H22:H31" si="0">G22/F22</f>
        <v>1.13448697</v>
      </c>
      <c r="I22" s="5937" t="s">
        <v>405</v>
      </c>
      <c r="J22" s="7006">
        <v>2450000</v>
      </c>
      <c r="K22" s="5937" t="s">
        <v>405</v>
      </c>
      <c r="L22" s="5924">
        <v>2000000</v>
      </c>
      <c r="M22" s="7006">
        <v>2450000</v>
      </c>
    </row>
    <row r="23" spans="1:14" ht="15" customHeight="1">
      <c r="A23" s="5958"/>
      <c r="B23" s="10921" t="s">
        <v>3148</v>
      </c>
      <c r="C23" s="5932"/>
      <c r="D23" s="10226">
        <v>1522365.2</v>
      </c>
      <c r="E23" s="5933"/>
      <c r="F23" s="10226">
        <v>1800000</v>
      </c>
      <c r="G23" s="10923">
        <v>1847599.73</v>
      </c>
      <c r="H23" s="10918">
        <f t="shared" si="0"/>
        <v>1.0264442944444445</v>
      </c>
      <c r="I23" s="5934"/>
      <c r="J23" s="7006">
        <v>2000000</v>
      </c>
      <c r="K23" s="5934"/>
      <c r="L23" s="5938">
        <v>1500000</v>
      </c>
      <c r="M23" s="7006">
        <v>2000000</v>
      </c>
      <c r="N23" s="5811" t="s">
        <v>9</v>
      </c>
    </row>
    <row r="24" spans="1:14" ht="15" customHeight="1">
      <c r="A24" s="5958"/>
      <c r="B24" s="10921" t="s">
        <v>444</v>
      </c>
      <c r="D24" s="10226">
        <v>614656.18000000005</v>
      </c>
      <c r="F24" s="10226">
        <v>800000</v>
      </c>
      <c r="G24" s="10923">
        <v>463178.55</v>
      </c>
      <c r="H24" s="10918">
        <f t="shared" si="0"/>
        <v>0.57897318749999993</v>
      </c>
      <c r="J24" s="7007">
        <v>800000</v>
      </c>
      <c r="L24" s="10930">
        <v>1000000</v>
      </c>
      <c r="M24" s="7007">
        <v>800000</v>
      </c>
    </row>
    <row r="25" spans="1:14" ht="15" customHeight="1">
      <c r="A25" s="5958"/>
      <c r="B25" s="10921" t="s">
        <v>487</v>
      </c>
      <c r="C25" s="5932"/>
      <c r="D25" s="10226">
        <v>2044205.2</v>
      </c>
      <c r="E25" s="5933"/>
      <c r="F25" s="10226">
        <v>2000000</v>
      </c>
      <c r="G25" s="10923">
        <v>2032059.55</v>
      </c>
      <c r="H25" s="10918">
        <f t="shared" si="0"/>
        <v>1.016029775</v>
      </c>
      <c r="I25" s="5934"/>
      <c r="J25" s="7006">
        <v>2100000</v>
      </c>
      <c r="K25" s="5934"/>
      <c r="L25" s="5938">
        <v>1879318</v>
      </c>
      <c r="M25" s="7006">
        <v>2100000</v>
      </c>
    </row>
    <row r="26" spans="1:14" ht="15" customHeight="1">
      <c r="A26" s="5958"/>
      <c r="B26" s="11036" t="s">
        <v>11509</v>
      </c>
      <c r="C26" s="5932"/>
      <c r="D26" s="10226">
        <v>12966194.949999999</v>
      </c>
      <c r="E26" s="5933"/>
      <c r="F26" s="10226">
        <v>5600000</v>
      </c>
      <c r="G26" s="10923">
        <v>6750376.3099999996</v>
      </c>
      <c r="H26" s="10918">
        <f t="shared" si="0"/>
        <v>1.2054243410714285</v>
      </c>
      <c r="I26" s="5934"/>
      <c r="J26" s="7006">
        <v>7000000</v>
      </c>
      <c r="K26" s="5934"/>
      <c r="L26" s="5938">
        <v>4141304</v>
      </c>
      <c r="M26" s="7006">
        <v>13000000</v>
      </c>
    </row>
    <row r="27" spans="1:14" ht="15" customHeight="1">
      <c r="A27" s="5958"/>
      <c r="B27" s="10931" t="s">
        <v>3337</v>
      </c>
      <c r="C27" s="5940"/>
      <c r="D27" s="10226">
        <v>20042</v>
      </c>
      <c r="E27" s="5941"/>
      <c r="F27" s="10226">
        <v>25000</v>
      </c>
      <c r="G27" s="10923">
        <f>'LBPF No. 2'!G26</f>
        <v>12713.35</v>
      </c>
      <c r="H27" s="10918">
        <f t="shared" si="0"/>
        <v>0.50853400000000004</v>
      </c>
      <c r="I27" s="5942"/>
      <c r="J27" s="7007">
        <v>25000</v>
      </c>
      <c r="K27" s="5943"/>
      <c r="L27" s="5944">
        <v>0</v>
      </c>
      <c r="M27" s="7007">
        <v>25000</v>
      </c>
      <c r="N27" s="5811" t="s">
        <v>9</v>
      </c>
    </row>
    <row r="28" spans="1:14" ht="15" customHeight="1">
      <c r="A28" s="5958"/>
      <c r="B28" s="10921" t="s">
        <v>3134</v>
      </c>
      <c r="C28" s="5932"/>
      <c r="D28" s="10226">
        <v>316765.8</v>
      </c>
      <c r="E28" s="5933"/>
      <c r="F28" s="10226">
        <v>200000</v>
      </c>
      <c r="G28" s="10923">
        <v>389373.2</v>
      </c>
      <c r="H28" s="10918">
        <f t="shared" si="0"/>
        <v>1.946866</v>
      </c>
      <c r="I28" s="5934"/>
      <c r="J28" s="7006">
        <v>400000</v>
      </c>
      <c r="K28" s="5934"/>
      <c r="L28" s="5938">
        <v>175000</v>
      </c>
      <c r="M28" s="7006">
        <v>400000</v>
      </c>
    </row>
    <row r="29" spans="1:14" ht="15" hidden="1" customHeight="1">
      <c r="A29" s="5958"/>
      <c r="B29" s="10921" t="s">
        <v>3154</v>
      </c>
      <c r="C29" s="5945"/>
      <c r="D29" s="10226"/>
      <c r="E29" s="5945"/>
      <c r="F29" s="10226"/>
      <c r="G29" s="10923"/>
      <c r="H29" s="10918" t="e">
        <f t="shared" si="0"/>
        <v>#DIV/0!</v>
      </c>
      <c r="I29" s="5946"/>
      <c r="J29" s="7008"/>
      <c r="K29" s="5946"/>
      <c r="L29" s="5924">
        <v>0</v>
      </c>
      <c r="M29" s="7008"/>
    </row>
    <row r="30" spans="1:14" ht="15" customHeight="1">
      <c r="A30" s="5974"/>
      <c r="B30" s="10932" t="s">
        <v>8856</v>
      </c>
      <c r="C30" s="5947"/>
      <c r="D30" s="10226"/>
      <c r="E30" s="5947"/>
      <c r="F30" s="10226">
        <v>800000</v>
      </c>
      <c r="G30" s="10923">
        <f>'LBPF No. 2'!G25</f>
        <v>0</v>
      </c>
      <c r="H30" s="10918">
        <f t="shared" si="0"/>
        <v>0</v>
      </c>
      <c r="I30" s="5948"/>
      <c r="J30" s="10514">
        <v>800000</v>
      </c>
      <c r="K30" s="5948"/>
      <c r="L30" s="5924">
        <v>8188000</v>
      </c>
      <c r="M30" s="10514">
        <v>800000</v>
      </c>
    </row>
    <row r="31" spans="1:14" ht="15" customHeight="1">
      <c r="A31" s="10933"/>
      <c r="B31" s="10934" t="s">
        <v>3338</v>
      </c>
      <c r="C31" s="5947"/>
      <c r="D31" s="10226">
        <v>445839.94</v>
      </c>
      <c r="E31" s="5947"/>
      <c r="F31" s="10226">
        <v>150000</v>
      </c>
      <c r="G31" s="10923">
        <f>'LBPF No. 2'!G29</f>
        <v>234216</v>
      </c>
      <c r="H31" s="10918">
        <f t="shared" si="0"/>
        <v>1.5614399999999999</v>
      </c>
      <c r="I31" s="5948"/>
      <c r="J31" s="5922">
        <v>250000</v>
      </c>
      <c r="K31" s="5948"/>
      <c r="L31" s="5924"/>
      <c r="M31" s="5922">
        <v>250000</v>
      </c>
    </row>
    <row r="32" spans="1:14" ht="15" customHeight="1">
      <c r="A32" s="5974"/>
      <c r="B32" s="10925"/>
      <c r="C32" s="5947"/>
      <c r="D32" s="5922"/>
      <c r="E32" s="5947"/>
      <c r="F32" s="5922"/>
      <c r="G32" s="10923"/>
      <c r="H32" s="10918"/>
      <c r="I32" s="5948"/>
      <c r="J32" s="5922"/>
      <c r="K32" s="5948"/>
      <c r="L32" s="5924"/>
      <c r="M32" s="5922"/>
    </row>
    <row r="33" spans="1:14" s="8401" customFormat="1" ht="15" customHeight="1">
      <c r="A33" s="10926"/>
      <c r="B33" s="10927" t="s">
        <v>485</v>
      </c>
      <c r="C33" s="5925" t="s">
        <v>405</v>
      </c>
      <c r="D33" s="5926">
        <f>SUM(D22:D31)</f>
        <v>20022667.940000001</v>
      </c>
      <c r="E33" s="5927" t="s">
        <v>405</v>
      </c>
      <c r="F33" s="5926">
        <f>SUM(F22:F31)</f>
        <v>13375000</v>
      </c>
      <c r="G33" s="5926">
        <f>SUM(G22:G31)</f>
        <v>13998490.629999997</v>
      </c>
      <c r="H33" s="10928"/>
      <c r="I33" s="5928" t="s">
        <v>405</v>
      </c>
      <c r="J33" s="5926">
        <f>SUM(J22:J31)</f>
        <v>15825000</v>
      </c>
      <c r="K33" s="5928" t="s">
        <v>405</v>
      </c>
      <c r="L33" s="5929">
        <v>18883622</v>
      </c>
      <c r="M33" s="5926">
        <f>SUM(M22:M31)</f>
        <v>21825000</v>
      </c>
      <c r="N33" s="5788"/>
    </row>
    <row r="34" spans="1:14" s="8401" customFormat="1" ht="15" customHeight="1">
      <c r="A34" s="10926"/>
      <c r="B34" s="10935"/>
      <c r="C34" s="5949"/>
      <c r="D34" s="11037"/>
      <c r="E34" s="5949"/>
      <c r="F34" s="5950"/>
      <c r="G34" s="10936"/>
      <c r="H34" s="10937"/>
      <c r="I34" s="5951"/>
      <c r="J34" s="5950"/>
      <c r="K34" s="5951"/>
      <c r="L34" s="5952"/>
      <c r="M34" s="5950"/>
      <c r="N34" s="5788"/>
    </row>
    <row r="35" spans="1:14" s="8401" customFormat="1" ht="15" customHeight="1">
      <c r="A35" s="10926"/>
      <c r="B35" s="10927" t="s">
        <v>515</v>
      </c>
      <c r="C35" s="5953" t="s">
        <v>405</v>
      </c>
      <c r="D35" s="5954">
        <f>SUM(D19,D33)</f>
        <v>69294757.829999998</v>
      </c>
      <c r="E35" s="5955" t="s">
        <v>405</v>
      </c>
      <c r="F35" s="5954">
        <f>SUM(F19,F33)</f>
        <v>62075000</v>
      </c>
      <c r="G35" s="5954">
        <f>SUM(G19,G33)</f>
        <v>56980296.229999997</v>
      </c>
      <c r="H35" s="10938"/>
      <c r="I35" s="5956" t="s">
        <v>405</v>
      </c>
      <c r="J35" s="5954">
        <f>SUM(J19,J33)</f>
        <v>68120000</v>
      </c>
      <c r="K35" s="5956" t="s">
        <v>405</v>
      </c>
      <c r="L35" s="5957">
        <v>61377695</v>
      </c>
      <c r="M35" s="5954">
        <f>SUM(M19,M33)</f>
        <v>75295000</v>
      </c>
      <c r="N35" s="5788"/>
    </row>
    <row r="36" spans="1:14" ht="15" customHeight="1">
      <c r="A36" s="5958"/>
      <c r="B36" s="10511"/>
      <c r="C36" s="5959"/>
      <c r="D36" s="5960"/>
      <c r="E36" s="5961"/>
      <c r="F36" s="5962"/>
      <c r="G36" s="5960"/>
      <c r="H36" s="10524"/>
      <c r="I36" s="5963"/>
      <c r="J36" s="5962"/>
      <c r="K36" s="5963"/>
      <c r="L36" s="5964"/>
      <c r="M36" s="5962"/>
    </row>
    <row r="37" spans="1:14" ht="15" customHeight="1">
      <c r="A37" s="5958"/>
      <c r="B37" s="10909" t="s">
        <v>516</v>
      </c>
      <c r="C37" s="5932"/>
      <c r="D37" s="11035"/>
      <c r="E37" s="5932"/>
      <c r="F37" s="5965"/>
      <c r="G37" s="10929"/>
      <c r="H37" s="10918"/>
      <c r="I37" s="5966"/>
      <c r="J37" s="5965"/>
      <c r="K37" s="5966"/>
      <c r="L37" s="5931"/>
      <c r="M37" s="5965"/>
    </row>
    <row r="38" spans="1:14" ht="15" customHeight="1">
      <c r="A38" s="5958"/>
      <c r="B38" s="10939" t="s">
        <v>11753</v>
      </c>
      <c r="C38" s="5932"/>
      <c r="D38" s="11033"/>
      <c r="E38" s="5933"/>
      <c r="F38" s="5920"/>
      <c r="G38" s="10917"/>
      <c r="H38" s="10918"/>
      <c r="I38" s="5934"/>
      <c r="J38" s="5920"/>
      <c r="K38" s="5934"/>
      <c r="L38" s="5935"/>
      <c r="M38" s="5920"/>
    </row>
    <row r="39" spans="1:14" ht="15" customHeight="1">
      <c r="A39" s="5958"/>
      <c r="B39" s="10921"/>
      <c r="C39" s="5932"/>
      <c r="D39" s="11033"/>
      <c r="E39" s="5933"/>
      <c r="F39" s="7009"/>
      <c r="G39" s="10917"/>
      <c r="H39" s="10918"/>
      <c r="I39" s="5934"/>
      <c r="J39" s="7009"/>
      <c r="K39" s="5934"/>
      <c r="L39" s="5935"/>
      <c r="M39" s="7009"/>
    </row>
    <row r="40" spans="1:14" ht="15" customHeight="1">
      <c r="A40" s="5958"/>
      <c r="B40" s="10921" t="s">
        <v>3136</v>
      </c>
      <c r="C40" s="5932"/>
      <c r="D40" s="10226">
        <v>145373138.99000001</v>
      </c>
      <c r="E40" s="5933"/>
      <c r="F40" s="7006">
        <v>236000000</v>
      </c>
      <c r="G40" s="10923">
        <v>41743292.43</v>
      </c>
      <c r="H40" s="10918">
        <f t="shared" ref="H40:H51" si="1">G40/F40</f>
        <v>0.1768783577542373</v>
      </c>
      <c r="I40" s="5934"/>
      <c r="J40" s="7006">
        <v>240000000</v>
      </c>
      <c r="K40" s="5934"/>
      <c r="L40" s="5938">
        <v>105500000</v>
      </c>
      <c r="M40" s="7006">
        <v>236000000</v>
      </c>
    </row>
    <row r="41" spans="1:14" s="10889" customFormat="1" ht="15" customHeight="1">
      <c r="A41" s="10940"/>
      <c r="B41" s="10921" t="s">
        <v>3137</v>
      </c>
      <c r="C41" s="5932"/>
      <c r="D41" s="10226">
        <v>3926680.14</v>
      </c>
      <c r="E41" s="5933"/>
      <c r="F41" s="7010">
        <v>7000000</v>
      </c>
      <c r="G41" s="10923">
        <v>4066503.5</v>
      </c>
      <c r="H41" s="10918">
        <f t="shared" si="1"/>
        <v>0.58092907142857142</v>
      </c>
      <c r="I41" s="5934"/>
      <c r="J41" s="7010">
        <v>6000000</v>
      </c>
      <c r="K41" s="5934"/>
      <c r="L41" s="5938">
        <v>3710000</v>
      </c>
      <c r="M41" s="7010">
        <v>6000000</v>
      </c>
      <c r="N41" s="5811" t="s">
        <v>9</v>
      </c>
    </row>
    <row r="42" spans="1:14" s="10889" customFormat="1" ht="15" customHeight="1">
      <c r="A42" s="10940"/>
      <c r="B42" s="10921" t="s">
        <v>3155</v>
      </c>
      <c r="C42" s="5932"/>
      <c r="D42" s="11038"/>
      <c r="E42" s="5933"/>
      <c r="F42" s="7010"/>
      <c r="G42" s="10923"/>
      <c r="H42" s="10918"/>
      <c r="I42" s="5934"/>
      <c r="J42" s="7010"/>
      <c r="K42" s="5934"/>
      <c r="L42" s="5938"/>
      <c r="M42" s="7010"/>
      <c r="N42" s="5811"/>
    </row>
    <row r="43" spans="1:14" s="10889" customFormat="1" ht="15" hidden="1" customHeight="1">
      <c r="A43" s="10940"/>
      <c r="B43" s="10921" t="s">
        <v>3139</v>
      </c>
      <c r="C43" s="5967"/>
      <c r="D43" s="11038"/>
      <c r="E43" s="5968"/>
      <c r="F43" s="7008"/>
      <c r="G43" s="10923"/>
      <c r="H43" s="10918" t="e">
        <f t="shared" si="1"/>
        <v>#DIV/0!</v>
      </c>
      <c r="I43" s="5969"/>
      <c r="J43" s="7008"/>
      <c r="K43" s="5969"/>
      <c r="L43" s="5938"/>
      <c r="M43" s="7008"/>
      <c r="N43" s="5811"/>
    </row>
    <row r="44" spans="1:14" s="10889" customFormat="1" ht="15" hidden="1" customHeight="1">
      <c r="A44" s="10941"/>
      <c r="B44" s="10934" t="s">
        <v>3336</v>
      </c>
      <c r="C44" s="5921"/>
      <c r="D44" s="11038"/>
      <c r="E44" s="5970"/>
      <c r="F44" s="7011"/>
      <c r="G44" s="10923"/>
      <c r="H44" s="10918" t="e">
        <f t="shared" si="1"/>
        <v>#DIV/0!</v>
      </c>
      <c r="I44" s="5971"/>
      <c r="J44" s="7011"/>
      <c r="K44" s="5971"/>
      <c r="L44" s="5938"/>
      <c r="M44" s="7011"/>
      <c r="N44" s="5811"/>
    </row>
    <row r="45" spans="1:14" ht="15" customHeight="1">
      <c r="A45" s="5958"/>
      <c r="B45" s="10942" t="s">
        <v>10584</v>
      </c>
      <c r="C45" s="5921"/>
      <c r="D45" s="11039">
        <v>1954843.04</v>
      </c>
      <c r="E45" s="5921"/>
      <c r="F45" s="7012">
        <v>3000000</v>
      </c>
      <c r="G45" s="10943">
        <f>1123206.92+1234034.41</f>
        <v>2357241.33</v>
      </c>
      <c r="H45" s="10918">
        <f>(G45+F46)/F45</f>
        <v>0.8124137766666667</v>
      </c>
      <c r="I45" s="5923"/>
      <c r="J45" s="7012">
        <v>4500000</v>
      </c>
      <c r="K45" s="5923"/>
      <c r="L45" s="5972">
        <v>2300000</v>
      </c>
      <c r="M45" s="7012">
        <v>5000000</v>
      </c>
      <c r="N45" s="5811">
        <v>4500000</v>
      </c>
    </row>
    <row r="46" spans="1:14" ht="15" customHeight="1">
      <c r="A46" s="5958"/>
      <c r="B46" s="10919" t="s">
        <v>488</v>
      </c>
      <c r="C46" s="5921"/>
      <c r="D46" s="11039">
        <v>1698436.95</v>
      </c>
      <c r="E46" s="5921"/>
      <c r="F46" s="7012">
        <v>80000</v>
      </c>
      <c r="G46" s="10943"/>
      <c r="H46" s="10918"/>
      <c r="I46" s="5923"/>
      <c r="J46" s="7012">
        <v>0</v>
      </c>
      <c r="K46" s="5923"/>
      <c r="L46" s="5972">
        <v>0</v>
      </c>
      <c r="M46" s="7012">
        <v>0</v>
      </c>
    </row>
    <row r="47" spans="1:14" ht="15" customHeight="1">
      <c r="A47" s="5958"/>
      <c r="B47" s="10919" t="s">
        <v>517</v>
      </c>
      <c r="C47" s="5973"/>
      <c r="D47" s="11039"/>
      <c r="E47" s="5973"/>
      <c r="F47" s="7012"/>
      <c r="G47" s="10943"/>
      <c r="H47" s="10918"/>
      <c r="I47" s="5974"/>
      <c r="J47" s="7012"/>
      <c r="K47" s="5975"/>
      <c r="L47" s="5976">
        <v>0</v>
      </c>
      <c r="M47" s="7012"/>
    </row>
    <row r="48" spans="1:14" ht="15" customHeight="1">
      <c r="A48" s="5958"/>
      <c r="B48" s="10919" t="s">
        <v>518</v>
      </c>
      <c r="C48" s="5973"/>
      <c r="D48" s="11039">
        <v>7633066.7699999996</v>
      </c>
      <c r="E48" s="5973"/>
      <c r="F48" s="7012">
        <v>8500000</v>
      </c>
      <c r="G48" s="10943">
        <v>7845135.0199999996</v>
      </c>
      <c r="H48" s="10918">
        <f t="shared" si="1"/>
        <v>0.92295706117647058</v>
      </c>
      <c r="I48" s="5974"/>
      <c r="J48" s="7012">
        <v>9000000</v>
      </c>
      <c r="K48" s="5975"/>
      <c r="L48" s="5976">
        <v>7500000</v>
      </c>
      <c r="M48" s="7012">
        <v>10000000</v>
      </c>
      <c r="N48" s="5811">
        <v>9000000</v>
      </c>
    </row>
    <row r="49" spans="1:14" ht="16.5" customHeight="1">
      <c r="A49" s="5958"/>
      <c r="B49" s="10919" t="s">
        <v>491</v>
      </c>
      <c r="C49" s="5921"/>
      <c r="D49" s="11039">
        <v>1206920</v>
      </c>
      <c r="E49" s="5921"/>
      <c r="F49" s="7012">
        <v>2000000</v>
      </c>
      <c r="G49" s="10943">
        <v>822216</v>
      </c>
      <c r="H49" s="10918">
        <f t="shared" si="1"/>
        <v>0.41110799999999997</v>
      </c>
      <c r="I49" s="5923"/>
      <c r="J49" s="7012">
        <v>2000000</v>
      </c>
      <c r="K49" s="5923"/>
      <c r="L49" s="5972">
        <v>2000000</v>
      </c>
      <c r="M49" s="7012">
        <v>2500000</v>
      </c>
      <c r="N49" s="5811">
        <f>M49-L49</f>
        <v>500000</v>
      </c>
    </row>
    <row r="50" spans="1:14" ht="16.5" hidden="1" customHeight="1">
      <c r="A50" s="5958"/>
      <c r="B50" s="10919" t="s">
        <v>3156</v>
      </c>
      <c r="C50" s="5977"/>
      <c r="D50" s="11040"/>
      <c r="E50" s="5932"/>
      <c r="F50" s="7012">
        <v>0</v>
      </c>
      <c r="G50" s="10943"/>
      <c r="H50" s="10918" t="e">
        <f t="shared" si="1"/>
        <v>#DIV/0!</v>
      </c>
      <c r="I50" s="5966"/>
      <c r="J50" s="7012">
        <v>0</v>
      </c>
      <c r="K50" s="5966"/>
      <c r="L50" s="5924"/>
      <c r="M50" s="7012">
        <v>0</v>
      </c>
    </row>
    <row r="51" spans="1:14" ht="16.5" customHeight="1">
      <c r="A51" s="5974"/>
      <c r="B51" s="10944" t="s">
        <v>11756</v>
      </c>
      <c r="C51" s="5977"/>
      <c r="D51" s="10516">
        <v>7904224.5</v>
      </c>
      <c r="E51" s="5921"/>
      <c r="F51" s="7012">
        <v>2000000</v>
      </c>
      <c r="G51" s="10943">
        <v>4954367.5</v>
      </c>
      <c r="H51" s="10918">
        <f t="shared" si="1"/>
        <v>2.47718375</v>
      </c>
      <c r="I51" s="5923"/>
      <c r="J51" s="7012">
        <v>50000</v>
      </c>
      <c r="K51" s="5923"/>
      <c r="L51" s="5924"/>
      <c r="M51" s="7012">
        <v>50000</v>
      </c>
    </row>
    <row r="52" spans="1:14" ht="15" customHeight="1">
      <c r="A52" s="5974"/>
      <c r="B52" s="10945"/>
      <c r="C52" s="5977"/>
      <c r="D52" s="10515"/>
      <c r="E52" s="5921"/>
      <c r="F52" s="11039"/>
      <c r="G52" s="10943"/>
      <c r="H52" s="10946"/>
      <c r="I52" s="5923"/>
      <c r="J52" s="10515"/>
      <c r="K52" s="5923"/>
      <c r="L52" s="5924"/>
      <c r="M52" s="10515"/>
    </row>
    <row r="53" spans="1:14" s="8401" customFormat="1" ht="15" customHeight="1">
      <c r="A53" s="10947"/>
      <c r="B53" s="10948" t="s">
        <v>485</v>
      </c>
      <c r="C53" s="5925" t="s">
        <v>405</v>
      </c>
      <c r="D53" s="5926">
        <f>SUM(D39:D52)</f>
        <v>169697310.38999999</v>
      </c>
      <c r="E53" s="5927" t="s">
        <v>405</v>
      </c>
      <c r="F53" s="5926">
        <f>SUM(F40:F52)</f>
        <v>258580000</v>
      </c>
      <c r="G53" s="5926">
        <f>SUM(G40:G51)</f>
        <v>61788755.780000001</v>
      </c>
      <c r="H53" s="10928"/>
      <c r="I53" s="5928" t="s">
        <v>405</v>
      </c>
      <c r="J53" s="5926">
        <f>SUM(J40:J52)</f>
        <v>261550000</v>
      </c>
      <c r="K53" s="5928" t="s">
        <v>405</v>
      </c>
      <c r="L53" s="5929">
        <v>121010000</v>
      </c>
      <c r="M53" s="5926">
        <f>SUM(M40:M52)</f>
        <v>259550000</v>
      </c>
      <c r="N53" s="5788"/>
    </row>
    <row r="54" spans="1:14" ht="15" customHeight="1">
      <c r="A54" s="10949"/>
      <c r="B54" s="10950"/>
      <c r="C54" s="5959"/>
      <c r="D54" s="5960"/>
      <c r="E54" s="5978"/>
      <c r="F54" s="5979"/>
      <c r="G54" s="5960"/>
      <c r="H54" s="10524"/>
      <c r="I54" s="5964"/>
      <c r="J54" s="5960"/>
      <c r="K54" s="5980"/>
      <c r="L54" s="5981"/>
      <c r="M54" s="5979"/>
    </row>
    <row r="55" spans="1:14" ht="15" customHeight="1">
      <c r="A55" s="10951"/>
      <c r="B55" s="10952"/>
      <c r="C55" s="5982"/>
      <c r="D55" s="5983"/>
      <c r="E55" s="5984"/>
      <c r="F55" s="5983"/>
      <c r="G55" s="10449"/>
      <c r="H55" s="10523"/>
      <c r="I55" s="5985"/>
      <c r="J55" s="5983"/>
      <c r="K55" s="5985"/>
      <c r="L55" s="5986"/>
      <c r="M55" s="5983"/>
    </row>
    <row r="56" spans="1:14" ht="15" customHeight="1">
      <c r="A56" s="10953"/>
      <c r="B56" s="10954"/>
      <c r="C56" s="5959"/>
      <c r="D56" s="5960"/>
      <c r="E56" s="5987"/>
      <c r="F56" s="5960"/>
      <c r="G56" s="5960"/>
      <c r="H56" s="10524"/>
      <c r="I56" s="5964"/>
      <c r="J56" s="5960"/>
      <c r="K56" s="5964"/>
      <c r="L56" s="5964"/>
      <c r="M56" s="5960"/>
    </row>
    <row r="57" spans="1:14" ht="15" customHeight="1">
      <c r="A57" s="10953"/>
      <c r="B57" s="10954"/>
      <c r="C57" s="5959"/>
      <c r="D57" s="5960"/>
      <c r="E57" s="5987"/>
      <c r="F57" s="5960"/>
      <c r="G57" s="5960"/>
      <c r="H57" s="10524"/>
      <c r="I57" s="5964"/>
      <c r="J57" s="5960"/>
      <c r="K57" s="5964"/>
      <c r="L57" s="5964"/>
      <c r="M57" s="5960"/>
    </row>
    <row r="58" spans="1:14" ht="15" customHeight="1">
      <c r="A58" s="10953"/>
      <c r="B58" s="10954"/>
      <c r="C58" s="5959"/>
      <c r="D58" s="5960"/>
      <c r="E58" s="5987"/>
      <c r="F58" s="5960"/>
      <c r="G58" s="5960"/>
      <c r="H58" s="10524"/>
      <c r="I58" s="5964"/>
      <c r="J58" s="5960"/>
      <c r="K58" s="5964"/>
      <c r="L58" s="5964"/>
      <c r="M58" s="5960"/>
    </row>
    <row r="59" spans="1:14" ht="15" customHeight="1">
      <c r="A59" s="10953"/>
      <c r="B59" s="10954"/>
      <c r="C59" s="5959"/>
      <c r="D59" s="5960"/>
      <c r="E59" s="5987"/>
      <c r="F59" s="5960"/>
      <c r="G59" s="5960"/>
      <c r="H59" s="10524"/>
      <c r="I59" s="5964"/>
      <c r="J59" s="5960"/>
      <c r="K59" s="5964"/>
      <c r="L59" s="5964"/>
      <c r="M59" s="5960"/>
    </row>
    <row r="60" spans="1:14" ht="15" customHeight="1">
      <c r="A60" s="10953"/>
      <c r="B60" s="10954"/>
      <c r="C60" s="5959"/>
      <c r="D60" s="5960"/>
      <c r="E60" s="5987"/>
      <c r="F60" s="5960"/>
      <c r="G60" s="5960"/>
      <c r="H60" s="10524"/>
      <c r="I60" s="5964"/>
      <c r="J60" s="5960"/>
      <c r="K60" s="5964"/>
      <c r="L60" s="5964"/>
      <c r="M60" s="5960"/>
    </row>
    <row r="61" spans="1:14" ht="15" customHeight="1">
      <c r="A61" s="10953"/>
      <c r="B61" s="10954"/>
      <c r="C61" s="5959"/>
      <c r="D61" s="5960"/>
      <c r="E61" s="5987"/>
      <c r="F61" s="5960"/>
      <c r="G61" s="5960"/>
      <c r="H61" s="10524"/>
      <c r="I61" s="5964"/>
      <c r="J61" s="5960"/>
      <c r="K61" s="5964"/>
      <c r="L61" s="5964"/>
      <c r="M61" s="5960"/>
    </row>
    <row r="62" spans="1:14" ht="15" customHeight="1">
      <c r="A62" s="10953"/>
      <c r="B62" s="10954"/>
      <c r="C62" s="5959"/>
      <c r="D62" s="5960"/>
      <c r="E62" s="5987"/>
      <c r="F62" s="5960"/>
      <c r="G62" s="5960"/>
      <c r="H62" s="10524"/>
      <c r="I62" s="5964"/>
      <c r="J62" s="5960"/>
      <c r="K62" s="5964"/>
      <c r="L62" s="5964"/>
      <c r="M62" s="5960"/>
    </row>
    <row r="63" spans="1:14" ht="15" customHeight="1">
      <c r="A63" s="10953"/>
      <c r="B63" s="10954"/>
      <c r="C63" s="5959"/>
      <c r="D63" s="5960"/>
      <c r="E63" s="5987"/>
      <c r="F63" s="5960"/>
      <c r="G63" s="5960"/>
      <c r="H63" s="10524"/>
      <c r="I63" s="5964"/>
      <c r="J63" s="5960"/>
      <c r="K63" s="5964"/>
      <c r="L63" s="5964"/>
      <c r="M63" s="5960"/>
    </row>
    <row r="64" spans="1:14" ht="15" customHeight="1">
      <c r="A64" s="10953"/>
      <c r="B64" s="10954"/>
      <c r="C64" s="5959"/>
      <c r="D64" s="5960"/>
      <c r="E64" s="5987"/>
      <c r="F64" s="5960"/>
      <c r="G64" s="5960"/>
      <c r="H64" s="10524"/>
      <c r="I64" s="5964"/>
      <c r="J64" s="5960"/>
      <c r="K64" s="5964"/>
      <c r="L64" s="5964"/>
      <c r="M64" s="5960"/>
    </row>
    <row r="65" spans="1:14" ht="15" customHeight="1">
      <c r="A65" s="10953"/>
      <c r="B65" s="10954"/>
      <c r="C65" s="5959"/>
      <c r="D65" s="5960"/>
      <c r="E65" s="5987"/>
      <c r="F65" s="5960"/>
      <c r="G65" s="5960"/>
      <c r="H65" s="10524"/>
      <c r="I65" s="5964"/>
      <c r="J65" s="5960"/>
      <c r="K65" s="5964"/>
      <c r="L65" s="5964"/>
      <c r="M65" s="5960"/>
    </row>
    <row r="66" spans="1:14" ht="15" customHeight="1">
      <c r="A66" s="10955" t="s">
        <v>3164</v>
      </c>
      <c r="B66" s="10956"/>
      <c r="C66" s="5988"/>
      <c r="D66" s="5989"/>
      <c r="E66" s="5990"/>
      <c r="F66" s="5989"/>
      <c r="G66" s="10450"/>
      <c r="H66" s="10525"/>
      <c r="I66" s="5991"/>
      <c r="J66" s="5989"/>
      <c r="K66" s="5991"/>
      <c r="L66" s="5992"/>
      <c r="M66" s="5989"/>
    </row>
    <row r="67" spans="1:14" s="10889" customFormat="1" ht="15" customHeight="1">
      <c r="A67" s="10892"/>
      <c r="B67" s="10893"/>
      <c r="C67" s="14067" t="s">
        <v>11473</v>
      </c>
      <c r="D67" s="14067"/>
      <c r="E67" s="14067" t="s">
        <v>466</v>
      </c>
      <c r="F67" s="14068"/>
      <c r="G67" s="10894" t="s">
        <v>10277</v>
      </c>
      <c r="H67" s="10895"/>
      <c r="I67" s="14066" t="s">
        <v>11515</v>
      </c>
      <c r="J67" s="14066"/>
      <c r="K67" s="14066"/>
      <c r="L67" s="14070"/>
      <c r="M67" s="14066"/>
      <c r="N67" s="5811"/>
    </row>
    <row r="68" spans="1:14" s="10889" customFormat="1" ht="15" customHeight="1">
      <c r="A68" s="14049" t="s">
        <v>454</v>
      </c>
      <c r="B68" s="14050"/>
      <c r="C68" s="14052" t="s">
        <v>470</v>
      </c>
      <c r="D68" s="14052"/>
      <c r="E68" s="14052" t="s">
        <v>11500</v>
      </c>
      <c r="F68" s="14053"/>
      <c r="G68" s="10896" t="s">
        <v>10278</v>
      </c>
      <c r="H68" s="10897" t="s">
        <v>9986</v>
      </c>
      <c r="I68" s="14051" t="s">
        <v>507</v>
      </c>
      <c r="J68" s="14051"/>
      <c r="K68" s="14051"/>
      <c r="L68" s="14054"/>
      <c r="M68" s="14051"/>
      <c r="N68" s="5811"/>
    </row>
    <row r="69" spans="1:14" s="10889" customFormat="1" ht="15" customHeight="1">
      <c r="A69" s="10898"/>
      <c r="B69" s="10899"/>
      <c r="C69" s="14062"/>
      <c r="D69" s="14062"/>
      <c r="E69" s="14056"/>
      <c r="F69" s="14057"/>
      <c r="G69" s="11029" t="s">
        <v>11740</v>
      </c>
      <c r="H69" s="10900"/>
      <c r="I69" s="14058" t="s">
        <v>508</v>
      </c>
      <c r="J69" s="14058"/>
      <c r="K69" s="14058" t="s">
        <v>509</v>
      </c>
      <c r="L69" s="14064"/>
      <c r="M69" s="14058"/>
      <c r="N69" s="5811"/>
    </row>
    <row r="70" spans="1:14" s="10961" customFormat="1" ht="15" customHeight="1">
      <c r="A70" s="10957"/>
      <c r="B70" s="10939" t="s">
        <v>11754</v>
      </c>
      <c r="C70" s="5993"/>
      <c r="D70" s="11041"/>
      <c r="E70" s="8593"/>
      <c r="F70" s="10958"/>
      <c r="G70" s="10958"/>
      <c r="H70" s="10959"/>
      <c r="I70" s="5994"/>
      <c r="J70" s="5995"/>
      <c r="K70" s="5994"/>
      <c r="L70" s="5996"/>
      <c r="M70" s="5995"/>
      <c r="N70" s="10960"/>
    </row>
    <row r="71" spans="1:14" ht="15" customHeight="1">
      <c r="A71" s="10940"/>
      <c r="B71" s="10921" t="s">
        <v>3144</v>
      </c>
      <c r="C71" s="5977"/>
      <c r="D71" s="10226">
        <v>4990011.33</v>
      </c>
      <c r="E71" s="5970"/>
      <c r="F71" s="7007">
        <v>6000000</v>
      </c>
      <c r="G71" s="10923">
        <v>3115407.98</v>
      </c>
      <c r="H71" s="10918">
        <f>G71/F71</f>
        <v>0.51923466333333335</v>
      </c>
      <c r="I71" s="5934"/>
      <c r="J71" s="7007">
        <v>6500000</v>
      </c>
      <c r="K71" s="5934"/>
      <c r="L71" s="5938">
        <v>8362623</v>
      </c>
      <c r="M71" s="7007">
        <v>10000000</v>
      </c>
      <c r="N71" s="5811">
        <v>6500000</v>
      </c>
    </row>
    <row r="72" spans="1:14" s="6051" customFormat="1" ht="15" customHeight="1">
      <c r="A72" s="10962"/>
      <c r="B72" s="10921" t="s">
        <v>519</v>
      </c>
      <c r="C72" s="5977"/>
      <c r="D72" s="10226">
        <v>170500</v>
      </c>
      <c r="E72" s="8594"/>
      <c r="F72" s="7013">
        <v>200000</v>
      </c>
      <c r="G72" s="10963">
        <v>85250</v>
      </c>
      <c r="H72" s="10918">
        <f>G72/F72</f>
        <v>0.42625000000000002</v>
      </c>
      <c r="I72" s="5971"/>
      <c r="J72" s="7013">
        <v>100000</v>
      </c>
      <c r="K72" s="5971"/>
      <c r="L72" s="5938">
        <v>440000</v>
      </c>
      <c r="M72" s="7013">
        <v>100000</v>
      </c>
      <c r="N72" s="6050"/>
    </row>
    <row r="73" spans="1:14" ht="15" customHeight="1">
      <c r="A73" s="10962"/>
      <c r="B73" s="10925"/>
      <c r="C73" s="5977"/>
      <c r="D73" s="10923"/>
      <c r="E73" s="5970"/>
      <c r="F73" s="5922"/>
      <c r="G73" s="10923"/>
      <c r="H73" s="10918"/>
      <c r="I73" s="5971"/>
      <c r="J73" s="5922"/>
      <c r="K73" s="5971"/>
      <c r="L73" s="5938"/>
      <c r="M73" s="5922"/>
    </row>
    <row r="74" spans="1:14" s="8401" customFormat="1" ht="15" customHeight="1">
      <c r="A74" s="10964"/>
      <c r="B74" s="10927" t="s">
        <v>485</v>
      </c>
      <c r="C74" s="5925" t="s">
        <v>405</v>
      </c>
      <c r="D74" s="11042">
        <f>SUM(D71:D72)</f>
        <v>5160511.33</v>
      </c>
      <c r="E74" s="5925" t="s">
        <v>405</v>
      </c>
      <c r="F74" s="5997">
        <f>SUM(F71:F72)</f>
        <v>6200000</v>
      </c>
      <c r="G74" s="5997">
        <f>SUM(G71:G72)</f>
        <v>3200657.98</v>
      </c>
      <c r="H74" s="10965"/>
      <c r="I74" s="5998" t="s">
        <v>405</v>
      </c>
      <c r="J74" s="5997">
        <f>SUM(J71:J72)</f>
        <v>6600000</v>
      </c>
      <c r="K74" s="5998" t="s">
        <v>405</v>
      </c>
      <c r="L74" s="5999">
        <v>8802623</v>
      </c>
      <c r="M74" s="5997">
        <f>SUM(M71:M72)</f>
        <v>10100000</v>
      </c>
      <c r="N74" s="5788"/>
    </row>
    <row r="75" spans="1:14" ht="15" customHeight="1">
      <c r="A75" s="10962"/>
      <c r="B75" s="10513"/>
      <c r="C75" s="5959"/>
      <c r="D75" s="10966"/>
      <c r="E75" s="6000"/>
      <c r="F75" s="6001"/>
      <c r="G75" s="10966"/>
      <c r="H75" s="10967"/>
      <c r="I75" s="6002"/>
      <c r="J75" s="6001"/>
      <c r="K75" s="6002"/>
      <c r="L75" s="6003"/>
      <c r="M75" s="6001"/>
    </row>
    <row r="76" spans="1:14" s="10961" customFormat="1" ht="15" customHeight="1">
      <c r="A76" s="10957"/>
      <c r="B76" s="10939" t="s">
        <v>11755</v>
      </c>
      <c r="C76" s="5993"/>
      <c r="D76" s="11043"/>
      <c r="E76" s="6004"/>
      <c r="F76" s="6005"/>
      <c r="G76" s="10968"/>
      <c r="H76" s="10959"/>
      <c r="I76" s="6006"/>
      <c r="J76" s="6005"/>
      <c r="K76" s="6006"/>
      <c r="L76" s="6007"/>
      <c r="M76" s="6005"/>
      <c r="N76" s="10960"/>
    </row>
    <row r="77" spans="1:14" ht="15" customHeight="1">
      <c r="A77" s="10940"/>
      <c r="B77" s="10921" t="s">
        <v>494</v>
      </c>
      <c r="C77" s="5932"/>
      <c r="D77" s="10226">
        <v>37875000</v>
      </c>
      <c r="E77" s="5933"/>
      <c r="F77" s="7007">
        <v>30000000</v>
      </c>
      <c r="G77" s="10923">
        <f>'LBPF No. 2'!G57</f>
        <v>9000000</v>
      </c>
      <c r="H77" s="10918">
        <f>G77/F77</f>
        <v>0.3</v>
      </c>
      <c r="I77" s="5934"/>
      <c r="J77" s="7007">
        <v>35000000</v>
      </c>
      <c r="K77" s="5934"/>
      <c r="L77" s="5938">
        <v>25210291</v>
      </c>
      <c r="M77" s="7007">
        <v>40000000</v>
      </c>
      <c r="N77" s="5811">
        <v>35000000</v>
      </c>
    </row>
    <row r="78" spans="1:14" ht="15" customHeight="1">
      <c r="A78" s="10940"/>
      <c r="B78" s="10921" t="s">
        <v>3145</v>
      </c>
      <c r="C78" s="5932"/>
      <c r="D78" s="10226">
        <v>3411526.82</v>
      </c>
      <c r="E78" s="5933"/>
      <c r="F78" s="7007">
        <v>3100000</v>
      </c>
      <c r="G78" s="10923">
        <v>1337097.27</v>
      </c>
      <c r="H78" s="10918">
        <f>G78/F78</f>
        <v>0.43132170000000003</v>
      </c>
      <c r="I78" s="5934"/>
      <c r="J78" s="7007">
        <v>1000000</v>
      </c>
      <c r="K78" s="5934"/>
      <c r="L78" s="5938">
        <v>2941301</v>
      </c>
      <c r="M78" s="7007">
        <v>1000000</v>
      </c>
    </row>
    <row r="79" spans="1:14" ht="15" customHeight="1">
      <c r="A79" s="10940"/>
      <c r="B79" s="10925" t="s">
        <v>11514</v>
      </c>
      <c r="C79" s="6008"/>
      <c r="D79" s="11044"/>
      <c r="E79" s="6010"/>
      <c r="F79" s="6009"/>
      <c r="G79" s="10969"/>
      <c r="H79" s="10970"/>
      <c r="I79" s="6011"/>
      <c r="J79" s="6009">
        <v>7000000</v>
      </c>
      <c r="K79" s="6011"/>
      <c r="L79" s="6012"/>
      <c r="M79" s="6009">
        <v>9000000</v>
      </c>
    </row>
    <row r="80" spans="1:14" ht="15" hidden="1" customHeight="1">
      <c r="A80" s="10940"/>
      <c r="B80" s="10921" t="s">
        <v>496</v>
      </c>
      <c r="C80" s="5932"/>
      <c r="D80" s="10226">
        <v>0</v>
      </c>
      <c r="E80" s="5933"/>
      <c r="F80" s="7007"/>
      <c r="G80" s="10923"/>
      <c r="H80" s="10918" t="e">
        <f>G80/F80</f>
        <v>#DIV/0!</v>
      </c>
      <c r="I80" s="5934"/>
      <c r="J80" s="7007"/>
      <c r="K80" s="5934"/>
      <c r="L80" s="5938">
        <v>0</v>
      </c>
      <c r="M80" s="7007"/>
    </row>
    <row r="81" spans="1:15" ht="15" hidden="1" customHeight="1">
      <c r="A81" s="10940"/>
      <c r="B81" s="10921" t="s">
        <v>497</v>
      </c>
      <c r="C81" s="5921"/>
      <c r="D81" s="10226">
        <v>0</v>
      </c>
      <c r="E81" s="5970"/>
      <c r="F81" s="7014">
        <v>0</v>
      </c>
      <c r="G81" s="10923">
        <v>0</v>
      </c>
      <c r="H81" s="10918" t="e">
        <f>G81/F81</f>
        <v>#DIV/0!</v>
      </c>
      <c r="I81" s="5971"/>
      <c r="J81" s="7014">
        <v>0</v>
      </c>
      <c r="K81" s="5971"/>
      <c r="L81" s="5938">
        <v>0</v>
      </c>
      <c r="M81" s="7014">
        <v>0</v>
      </c>
    </row>
    <row r="82" spans="1:15" ht="15" hidden="1" customHeight="1">
      <c r="A82" s="10962"/>
      <c r="B82" s="10925"/>
      <c r="C82" s="6008"/>
      <c r="D82" s="11044"/>
      <c r="E82" s="6010"/>
      <c r="F82" s="6009"/>
      <c r="G82" s="10969"/>
      <c r="H82" s="10970"/>
      <c r="I82" s="6011"/>
      <c r="J82" s="6009"/>
      <c r="K82" s="6011"/>
      <c r="L82" s="6012"/>
      <c r="M82" s="6009"/>
    </row>
    <row r="83" spans="1:15" ht="15" customHeight="1">
      <c r="A83" s="10940"/>
      <c r="B83" s="10512" t="s">
        <v>485</v>
      </c>
      <c r="C83" s="6013" t="s">
        <v>405</v>
      </c>
      <c r="D83" s="6014">
        <f>SUM(D77:D81)</f>
        <v>41286526.82</v>
      </c>
      <c r="E83" s="6015" t="s">
        <v>405</v>
      </c>
      <c r="F83" s="6014">
        <f>SUM(F77:F81)</f>
        <v>33100000</v>
      </c>
      <c r="G83" s="6014">
        <f>SUM(G77:G81)</f>
        <v>10337097.27</v>
      </c>
      <c r="H83" s="10971"/>
      <c r="I83" s="6016" t="s">
        <v>405</v>
      </c>
      <c r="J83" s="6014">
        <f>SUM(J77:J82)</f>
        <v>43000000</v>
      </c>
      <c r="K83" s="6016" t="s">
        <v>405</v>
      </c>
      <c r="L83" s="6017">
        <v>28151592</v>
      </c>
      <c r="M83" s="6014">
        <f>SUM(M77:M82)</f>
        <v>50000000</v>
      </c>
    </row>
    <row r="84" spans="1:15" ht="15" customHeight="1">
      <c r="A84" s="10962"/>
      <c r="B84" s="10513"/>
      <c r="C84" s="6000"/>
      <c r="D84" s="6018"/>
      <c r="E84" s="6019"/>
      <c r="F84" s="6018"/>
      <c r="G84" s="5960"/>
      <c r="H84" s="10524"/>
      <c r="I84" s="6020"/>
      <c r="J84" s="6018"/>
      <c r="K84" s="6020"/>
      <c r="L84" s="6021"/>
      <c r="M84" s="6018"/>
    </row>
    <row r="85" spans="1:15" ht="15" customHeight="1">
      <c r="A85" s="6022"/>
      <c r="B85" s="10512" t="s">
        <v>521</v>
      </c>
      <c r="C85" s="6023" t="s">
        <v>405</v>
      </c>
      <c r="D85" s="6024">
        <f>SUM(D74,D53,D83)</f>
        <v>216144348.53999999</v>
      </c>
      <c r="E85" s="6025" t="s">
        <v>405</v>
      </c>
      <c r="F85" s="6024">
        <f>SUM(F74,F53,F83)</f>
        <v>297880000</v>
      </c>
      <c r="G85" s="6024">
        <f>SUM(G74,G53,G83)</f>
        <v>75326511.030000001</v>
      </c>
      <c r="H85" s="10972"/>
      <c r="I85" s="6026" t="s">
        <v>405</v>
      </c>
      <c r="J85" s="6024">
        <f>SUM(J74,J53,J83)</f>
        <v>311150000</v>
      </c>
      <c r="K85" s="6026" t="s">
        <v>405</v>
      </c>
      <c r="L85" s="6027">
        <v>157964215</v>
      </c>
      <c r="M85" s="6024">
        <f>SUM(M74,M53,M83)</f>
        <v>319650000</v>
      </c>
    </row>
    <row r="86" spans="1:15" ht="15" customHeight="1">
      <c r="A86" s="6028"/>
      <c r="B86" s="10513"/>
      <c r="C86" s="5959"/>
      <c r="D86" s="5960"/>
      <c r="E86" s="6019"/>
      <c r="F86" s="6018"/>
      <c r="G86" s="5960"/>
      <c r="H86" s="10524"/>
      <c r="I86" s="6020"/>
      <c r="J86" s="6018"/>
      <c r="K86" s="6020"/>
      <c r="L86" s="6021"/>
      <c r="M86" s="6018"/>
    </row>
    <row r="87" spans="1:15" ht="15" customHeight="1">
      <c r="A87" s="6022" t="s">
        <v>520</v>
      </c>
      <c r="B87" s="10909" t="s">
        <v>522</v>
      </c>
      <c r="C87" s="5959"/>
      <c r="D87" s="5960"/>
      <c r="E87" s="5961"/>
      <c r="F87" s="6029"/>
      <c r="G87" s="5960"/>
      <c r="H87" s="10524"/>
      <c r="I87" s="5963"/>
      <c r="J87" s="6029"/>
      <c r="K87" s="5963"/>
      <c r="L87" s="5964"/>
      <c r="M87" s="6029"/>
      <c r="O87" s="10973"/>
    </row>
    <row r="88" spans="1:15" ht="15" customHeight="1">
      <c r="A88" s="10940"/>
      <c r="B88" s="10921" t="s">
        <v>523</v>
      </c>
      <c r="C88" s="5977"/>
      <c r="D88" s="11039">
        <v>1713520553</v>
      </c>
      <c r="E88" s="5932"/>
      <c r="F88" s="7015">
        <v>1838042482</v>
      </c>
      <c r="G88" s="10943">
        <v>1072338295</v>
      </c>
      <c r="H88" s="10918">
        <f>G88/F88</f>
        <v>0.58341322657198513</v>
      </c>
      <c r="I88" s="5966"/>
      <c r="J88" s="7015">
        <v>2021897881</v>
      </c>
      <c r="K88" s="5966"/>
      <c r="L88" s="5924">
        <v>1239816793</v>
      </c>
      <c r="M88" s="7015">
        <v>2021897881</v>
      </c>
      <c r="N88" s="5811">
        <f>J88-F88</f>
        <v>183855399</v>
      </c>
    </row>
    <row r="89" spans="1:15" ht="15" customHeight="1">
      <c r="A89" s="10974"/>
      <c r="B89" s="10921" t="s">
        <v>7232</v>
      </c>
      <c r="C89" s="5977"/>
      <c r="D89" s="11039"/>
      <c r="E89" s="5932"/>
      <c r="F89" s="7015">
        <v>50000</v>
      </c>
      <c r="G89" s="10943">
        <v>122009.61</v>
      </c>
      <c r="H89" s="10918">
        <f>G89/F89</f>
        <v>2.4401921999999998</v>
      </c>
      <c r="I89" s="5966"/>
      <c r="J89" s="7015">
        <v>150000</v>
      </c>
      <c r="K89" s="5966"/>
      <c r="L89" s="5924">
        <v>0</v>
      </c>
      <c r="M89" s="7015">
        <v>150000</v>
      </c>
    </row>
    <row r="90" spans="1:15" ht="15" hidden="1" customHeight="1">
      <c r="A90" s="10975"/>
      <c r="B90" s="10976" t="s">
        <v>7233</v>
      </c>
      <c r="C90" s="5977"/>
      <c r="D90" s="11039"/>
      <c r="E90" s="5921"/>
      <c r="F90" s="7016"/>
      <c r="G90" s="10943"/>
      <c r="H90" s="10918" t="e">
        <f>G90/F90</f>
        <v>#DIV/0!</v>
      </c>
      <c r="I90" s="6030"/>
      <c r="J90" s="7016"/>
      <c r="K90" s="6030"/>
      <c r="L90" s="5924"/>
      <c r="M90" s="7016"/>
    </row>
    <row r="91" spans="1:15" ht="15" customHeight="1">
      <c r="A91" s="6059"/>
      <c r="B91" s="10921" t="s">
        <v>524</v>
      </c>
      <c r="C91" s="5977"/>
      <c r="D91" s="11039">
        <v>3977795.2</v>
      </c>
      <c r="E91" s="5933"/>
      <c r="F91" s="7015">
        <v>2000000</v>
      </c>
      <c r="G91" s="10943">
        <f>'LBPF No. 2'!G62</f>
        <v>2520868.37</v>
      </c>
      <c r="H91" s="10918">
        <f>G91/F91</f>
        <v>1.260434185</v>
      </c>
      <c r="I91" s="5934"/>
      <c r="J91" s="7015">
        <v>5000000</v>
      </c>
      <c r="K91" s="5934"/>
      <c r="L91" s="5938">
        <v>1059418</v>
      </c>
      <c r="M91" s="7015">
        <v>5000000</v>
      </c>
    </row>
    <row r="92" spans="1:15" ht="15" hidden="1" customHeight="1">
      <c r="A92" s="10977"/>
      <c r="B92" s="10921" t="s">
        <v>9201</v>
      </c>
      <c r="C92" s="5977"/>
      <c r="D92" s="7012">
        <v>0</v>
      </c>
      <c r="E92" s="5970"/>
      <c r="F92" s="7012"/>
      <c r="G92" s="10943"/>
      <c r="H92" s="10946"/>
      <c r="I92" s="5971"/>
      <c r="J92" s="7012"/>
      <c r="K92" s="5971"/>
      <c r="L92" s="5938"/>
      <c r="M92" s="7012"/>
    </row>
    <row r="93" spans="1:15" ht="15" customHeight="1">
      <c r="A93" s="10977"/>
      <c r="B93" s="10925"/>
      <c r="C93" s="5977"/>
      <c r="D93" s="10516"/>
      <c r="E93" s="5970"/>
      <c r="F93" s="10516"/>
      <c r="G93" s="10943"/>
      <c r="H93" s="10946"/>
      <c r="I93" s="5971"/>
      <c r="J93" s="10516"/>
      <c r="K93" s="5971"/>
      <c r="L93" s="5938"/>
      <c r="M93" s="10516"/>
    </row>
    <row r="94" spans="1:15" s="8401" customFormat="1" ht="15" customHeight="1">
      <c r="A94" s="10978"/>
      <c r="B94" s="10927" t="s">
        <v>485</v>
      </c>
      <c r="C94" s="5925" t="s">
        <v>405</v>
      </c>
      <c r="D94" s="5926">
        <f>SUM(D88:D92)</f>
        <v>1717498348.2</v>
      </c>
      <c r="E94" s="5927" t="s">
        <v>405</v>
      </c>
      <c r="F94" s="5926">
        <f>SUM(F88:F91)</f>
        <v>1840092482</v>
      </c>
      <c r="G94" s="5926">
        <f>SUM(G88:G91)</f>
        <v>1074981172.98</v>
      </c>
      <c r="H94" s="10928"/>
      <c r="I94" s="5928" t="s">
        <v>405</v>
      </c>
      <c r="J94" s="5926">
        <f>SUM(J88:J91)</f>
        <v>2027047881</v>
      </c>
      <c r="K94" s="5928" t="s">
        <v>405</v>
      </c>
      <c r="L94" s="5929">
        <v>1240876211</v>
      </c>
      <c r="M94" s="5926">
        <f>SUM(M88:M91)</f>
        <v>2027047881</v>
      </c>
      <c r="N94" s="5788"/>
    </row>
    <row r="95" spans="1:15" ht="15" customHeight="1">
      <c r="A95" s="10977"/>
      <c r="B95" s="10513"/>
      <c r="C95" s="6000"/>
      <c r="D95" s="5960"/>
      <c r="E95" s="6019"/>
      <c r="F95" s="6031"/>
      <c r="G95" s="5960"/>
      <c r="H95" s="10524"/>
      <c r="I95" s="6020"/>
      <c r="J95" s="6031"/>
      <c r="K95" s="6020"/>
      <c r="L95" s="6021"/>
      <c r="M95" s="6031"/>
    </row>
    <row r="96" spans="1:15" s="10889" customFormat="1" ht="15" customHeight="1">
      <c r="A96" s="10979" t="s">
        <v>2043</v>
      </c>
      <c r="B96" s="10909" t="s">
        <v>525</v>
      </c>
      <c r="C96" s="6032"/>
      <c r="D96" s="5960"/>
      <c r="E96" s="5961"/>
      <c r="F96" s="5962"/>
      <c r="G96" s="5960"/>
      <c r="H96" s="10524"/>
      <c r="I96" s="5963"/>
      <c r="J96" s="5962"/>
      <c r="K96" s="5963"/>
      <c r="L96" s="5964"/>
      <c r="M96" s="5962"/>
      <c r="N96" s="5811"/>
    </row>
    <row r="97" spans="1:14" s="8401" customFormat="1" ht="15" customHeight="1">
      <c r="A97" s="10974"/>
      <c r="B97" s="10921" t="s">
        <v>526</v>
      </c>
      <c r="C97" s="6033"/>
      <c r="D97" s="11045">
        <v>0</v>
      </c>
      <c r="E97" s="6034"/>
      <c r="F97" s="5920">
        <v>1000000</v>
      </c>
      <c r="G97" s="10917">
        <v>0</v>
      </c>
      <c r="H97" s="10918">
        <f>G97/F97</f>
        <v>0</v>
      </c>
      <c r="I97" s="6035"/>
      <c r="J97" s="5920">
        <v>1000000</v>
      </c>
      <c r="K97" s="6035"/>
      <c r="L97" s="6036">
        <v>0</v>
      </c>
      <c r="M97" s="5920">
        <v>3000000</v>
      </c>
      <c r="N97" s="5788"/>
    </row>
    <row r="98" spans="1:14" s="8401" customFormat="1" ht="7.5" customHeight="1">
      <c r="A98" s="10975"/>
      <c r="B98" s="10976"/>
      <c r="C98" s="6033"/>
      <c r="D98" s="11045"/>
      <c r="E98" s="6037"/>
      <c r="F98" s="6038"/>
      <c r="G98" s="10917"/>
      <c r="H98" s="10918"/>
      <c r="I98" s="6039"/>
      <c r="J98" s="6038"/>
      <c r="K98" s="6039"/>
      <c r="L98" s="6036"/>
      <c r="M98" s="6038"/>
      <c r="N98" s="5788"/>
    </row>
    <row r="99" spans="1:14" s="8401" customFormat="1" ht="15" customHeight="1">
      <c r="A99" s="10980"/>
      <c r="B99" s="10927" t="s">
        <v>485</v>
      </c>
      <c r="C99" s="5925" t="s">
        <v>405</v>
      </c>
      <c r="D99" s="11042">
        <f>SUM(D97:D98)</f>
        <v>0</v>
      </c>
      <c r="E99" s="5925" t="s">
        <v>405</v>
      </c>
      <c r="F99" s="5997">
        <f>SUM(F97:F97)</f>
        <v>1000000</v>
      </c>
      <c r="G99" s="5997">
        <f>SUM(G97:G97)</f>
        <v>0</v>
      </c>
      <c r="H99" s="10965"/>
      <c r="I99" s="5998" t="s">
        <v>405</v>
      </c>
      <c r="J99" s="5997">
        <f>SUM(J97:J97)</f>
        <v>1000000</v>
      </c>
      <c r="K99" s="5998" t="s">
        <v>405</v>
      </c>
      <c r="L99" s="6040">
        <v>0</v>
      </c>
      <c r="M99" s="5997">
        <f>SUM(M97:M97)</f>
        <v>3000000</v>
      </c>
      <c r="N99" s="5788"/>
    </row>
    <row r="100" spans="1:14" ht="11.25" customHeight="1">
      <c r="A100" s="10975"/>
      <c r="B100" s="10513"/>
      <c r="C100" s="6041"/>
      <c r="D100" s="10981"/>
      <c r="E100" s="6041"/>
      <c r="F100" s="6042"/>
      <c r="G100" s="10981"/>
      <c r="H100" s="10982"/>
      <c r="I100" s="6043"/>
      <c r="J100" s="6042"/>
      <c r="K100" s="6043"/>
      <c r="L100" s="6044"/>
      <c r="M100" s="6042"/>
    </row>
    <row r="101" spans="1:14" s="6051" customFormat="1" ht="15" customHeight="1">
      <c r="A101" s="10980" t="s">
        <v>2173</v>
      </c>
      <c r="B101" s="10983" t="s">
        <v>527</v>
      </c>
      <c r="C101" s="6045"/>
      <c r="D101" s="11046">
        <v>0</v>
      </c>
      <c r="E101" s="6046"/>
      <c r="F101" s="6047">
        <v>440000000</v>
      </c>
      <c r="G101" s="6094"/>
      <c r="H101" s="10984"/>
      <c r="I101" s="6048"/>
      <c r="J101" s="6047"/>
      <c r="K101" s="6048"/>
      <c r="L101" s="6049">
        <v>0</v>
      </c>
      <c r="M101" s="6047">
        <v>0</v>
      </c>
      <c r="N101" s="6050">
        <v>440000000</v>
      </c>
    </row>
    <row r="102" spans="1:14" s="6051" customFormat="1" ht="4.5" customHeight="1">
      <c r="A102" s="10985"/>
      <c r="B102" s="10986"/>
      <c r="C102" s="6052"/>
      <c r="D102" s="11047"/>
      <c r="E102" s="6053"/>
      <c r="F102" s="6054"/>
      <c r="G102" s="10987"/>
      <c r="H102" s="10988"/>
      <c r="I102" s="6055"/>
      <c r="J102" s="6054"/>
      <c r="K102" s="6055"/>
      <c r="L102" s="6056"/>
      <c r="M102" s="6054"/>
      <c r="N102" s="6050"/>
    </row>
    <row r="103" spans="1:14" s="10990" customFormat="1" ht="15" customHeight="1">
      <c r="A103" s="6059"/>
      <c r="B103" s="10512" t="s">
        <v>485</v>
      </c>
      <c r="C103" s="6013" t="s">
        <v>405</v>
      </c>
      <c r="D103" s="6014">
        <f>SUM(D101)</f>
        <v>0</v>
      </c>
      <c r="E103" s="6015" t="s">
        <v>405</v>
      </c>
      <c r="F103" s="6014">
        <f>SUM(F101)</f>
        <v>440000000</v>
      </c>
      <c r="G103" s="10989"/>
      <c r="H103" s="10971"/>
      <c r="I103" s="6016" t="s">
        <v>405</v>
      </c>
      <c r="J103" s="6014">
        <f>SUM(J101)</f>
        <v>0</v>
      </c>
      <c r="K103" s="6016" t="s">
        <v>405</v>
      </c>
      <c r="L103" s="6057">
        <v>0</v>
      </c>
      <c r="M103" s="6014">
        <f>SUM(M101)</f>
        <v>0</v>
      </c>
      <c r="N103" s="5885"/>
    </row>
    <row r="104" spans="1:14" ht="6.75" customHeight="1">
      <c r="A104" s="6059"/>
      <c r="B104" s="10511"/>
      <c r="C104" s="6000"/>
      <c r="D104" s="5960"/>
      <c r="E104" s="6000"/>
      <c r="F104" s="6031"/>
      <c r="G104" s="5960"/>
      <c r="H104" s="10524"/>
      <c r="I104" s="6002"/>
      <c r="J104" s="6031"/>
      <c r="K104" s="5959"/>
      <c r="L104" s="6060"/>
      <c r="M104" s="6031"/>
    </row>
    <row r="105" spans="1:14" s="8401" customFormat="1" ht="19.5" customHeight="1">
      <c r="A105" s="10991"/>
      <c r="B105" s="10986" t="s">
        <v>502</v>
      </c>
      <c r="C105" s="6061" t="s">
        <v>405</v>
      </c>
      <c r="D105" s="10517">
        <f>D94+D85+D35+D99+D103</f>
        <v>2002937454.5699999</v>
      </c>
      <c r="E105" s="6062" t="s">
        <v>405</v>
      </c>
      <c r="F105" s="6063">
        <f>F94+F85+F35+F99+F103</f>
        <v>2641047482</v>
      </c>
      <c r="G105" s="6063">
        <f>G94+G85+G35+G99+G103</f>
        <v>1207287980.24</v>
      </c>
      <c r="H105" s="10992"/>
      <c r="I105" s="6064" t="s">
        <v>405</v>
      </c>
      <c r="J105" s="10517">
        <f>J94+J85+J35+J99+J103</f>
        <v>2407317881</v>
      </c>
      <c r="K105" s="6064" t="s">
        <v>405</v>
      </c>
      <c r="L105" s="6065">
        <v>1460218121</v>
      </c>
      <c r="M105" s="6063">
        <f>M94+M85+M35+M99+M103</f>
        <v>2424992881</v>
      </c>
      <c r="N105" s="5788"/>
    </row>
    <row r="106" spans="1:14" ht="13.5" customHeight="1">
      <c r="A106" s="10993" t="s">
        <v>9192</v>
      </c>
      <c r="B106" s="10994"/>
      <c r="C106" s="6066"/>
      <c r="D106" s="10518"/>
      <c r="E106" s="6067"/>
      <c r="F106" s="6068"/>
      <c r="G106" s="10518"/>
      <c r="H106" s="10995"/>
      <c r="I106" s="6069"/>
      <c r="J106" s="10518"/>
      <c r="K106" s="6069"/>
      <c r="L106" s="6070"/>
      <c r="M106" s="6068"/>
    </row>
    <row r="107" spans="1:14" ht="13.5" customHeight="1">
      <c r="A107" s="10993"/>
      <c r="B107" s="10994" t="s">
        <v>9193</v>
      </c>
      <c r="C107" s="6066"/>
      <c r="D107" s="10518">
        <v>0</v>
      </c>
      <c r="E107" s="6067"/>
      <c r="F107" s="6068"/>
      <c r="G107" s="10518"/>
      <c r="H107" s="10995"/>
      <c r="I107" s="6069"/>
      <c r="J107" s="10518"/>
      <c r="K107" s="6069"/>
      <c r="L107" s="6070"/>
      <c r="M107" s="6068"/>
    </row>
    <row r="108" spans="1:14" ht="13.5" customHeight="1">
      <c r="A108" s="10996"/>
      <c r="B108" s="10994" t="s">
        <v>9194</v>
      </c>
      <c r="C108" s="6066"/>
      <c r="D108" s="10518">
        <v>0</v>
      </c>
      <c r="E108" s="6067"/>
      <c r="F108" s="6071"/>
      <c r="G108" s="10518"/>
      <c r="H108" s="10995"/>
      <c r="I108" s="6069"/>
      <c r="J108" s="10518"/>
      <c r="K108" s="6069"/>
      <c r="L108" s="6070"/>
      <c r="M108" s="6071"/>
    </row>
    <row r="109" spans="1:14" ht="2.25" customHeight="1">
      <c r="A109" s="10997"/>
      <c r="B109" s="10998"/>
      <c r="C109" s="6072"/>
      <c r="D109" s="10519"/>
      <c r="E109" s="6073"/>
      <c r="F109" s="6074"/>
      <c r="G109" s="10519"/>
      <c r="H109" s="10999"/>
      <c r="I109" s="6075"/>
      <c r="J109" s="10519"/>
      <c r="K109" s="6075"/>
      <c r="L109" s="6076"/>
      <c r="M109" s="6074"/>
    </row>
    <row r="110" spans="1:14" ht="21.75" customHeight="1">
      <c r="A110" s="11000" t="s">
        <v>528</v>
      </c>
      <c r="B110" s="11001"/>
      <c r="C110" s="6077" t="s">
        <v>405</v>
      </c>
      <c r="D110" s="11048">
        <f>D105+D9+D107+D108</f>
        <v>2117937454.5699999</v>
      </c>
      <c r="E110" s="6078" t="s">
        <v>405</v>
      </c>
      <c r="F110" s="6063">
        <f>F105+F9</f>
        <v>2936047482</v>
      </c>
      <c r="G110" s="6063">
        <f>G105+G9</f>
        <v>1502287980.24</v>
      </c>
      <c r="H110" s="10992"/>
      <c r="I110" s="6079" t="s">
        <v>405</v>
      </c>
      <c r="J110" s="10520">
        <f>J105+J9</f>
        <v>2427317881</v>
      </c>
      <c r="K110" s="6080" t="s">
        <v>405</v>
      </c>
      <c r="L110" s="6081">
        <v>1460218121</v>
      </c>
      <c r="M110" s="6063">
        <f>M105+M9</f>
        <v>2529992881</v>
      </c>
      <c r="N110" s="5811">
        <f ca="1">SUM(N9:N110105)</f>
        <v>0</v>
      </c>
    </row>
    <row r="111" spans="1:14" ht="13.5" customHeight="1">
      <c r="A111" s="10929"/>
      <c r="B111" s="11002"/>
      <c r="C111" s="6082"/>
      <c r="D111" s="11049"/>
      <c r="E111" s="6083"/>
      <c r="F111" s="11049"/>
      <c r="G111" s="11003"/>
      <c r="H111" s="11004"/>
      <c r="I111" s="6084"/>
      <c r="J111" s="6085"/>
      <c r="K111" s="6084"/>
      <c r="L111" s="6086"/>
      <c r="M111" s="6085"/>
    </row>
    <row r="112" spans="1:14" ht="13.5" hidden="1" customHeight="1">
      <c r="A112" s="11005" t="s">
        <v>9172</v>
      </c>
      <c r="B112" s="11006"/>
      <c r="C112" s="11007"/>
      <c r="D112" s="11007"/>
      <c r="E112" s="11007"/>
      <c r="F112" s="6087"/>
      <c r="G112" s="6087"/>
      <c r="H112" s="11008"/>
      <c r="I112" s="6087"/>
      <c r="J112" s="6087"/>
      <c r="K112" s="6087"/>
      <c r="L112" s="6087"/>
      <c r="M112" s="6087"/>
    </row>
    <row r="113" spans="1:14" ht="13.5" hidden="1" customHeight="1">
      <c r="A113" s="11009"/>
      <c r="B113" s="11010"/>
      <c r="C113" s="11007"/>
      <c r="D113" s="11007"/>
      <c r="E113" s="11007"/>
      <c r="F113" s="6087"/>
      <c r="G113" s="6087"/>
      <c r="H113" s="11008"/>
      <c r="I113" s="6087"/>
      <c r="J113" s="11011"/>
      <c r="K113" s="6087"/>
      <c r="L113" s="6087"/>
      <c r="M113" s="6087"/>
    </row>
    <row r="114" spans="1:14" ht="13.5" hidden="1" customHeight="1">
      <c r="A114" s="11009"/>
      <c r="B114" s="11010"/>
      <c r="C114" s="11007"/>
      <c r="D114" s="11007"/>
      <c r="E114" s="11007"/>
      <c r="F114" s="6087"/>
      <c r="G114" s="6087"/>
      <c r="H114" s="11008"/>
      <c r="I114" s="6087"/>
      <c r="J114" s="11011"/>
      <c r="K114" s="6087"/>
      <c r="L114" s="6087"/>
      <c r="M114" s="6087"/>
    </row>
    <row r="115" spans="1:14" s="10889" customFormat="1" ht="13.5" hidden="1" customHeight="1">
      <c r="A115" s="11012" t="s">
        <v>9173</v>
      </c>
      <c r="B115" s="11013"/>
      <c r="C115" s="11012"/>
      <c r="D115" s="8400" t="s">
        <v>12058</v>
      </c>
      <c r="E115" s="11012"/>
      <c r="F115" s="6088"/>
      <c r="G115" s="6088"/>
      <c r="H115" s="11014"/>
      <c r="I115" s="6088" t="s">
        <v>10354</v>
      </c>
      <c r="J115" s="11011"/>
      <c r="K115" s="6088"/>
      <c r="L115" s="6088"/>
      <c r="M115" s="6088"/>
      <c r="N115" s="5811"/>
    </row>
    <row r="116" spans="1:14" ht="13.5" hidden="1" customHeight="1">
      <c r="A116" s="11007" t="s">
        <v>9174</v>
      </c>
      <c r="B116" s="11015"/>
      <c r="C116" s="11005"/>
      <c r="D116" s="8402" t="s">
        <v>10355</v>
      </c>
      <c r="E116" s="11007"/>
      <c r="I116" s="6087" t="s">
        <v>9175</v>
      </c>
      <c r="J116" s="8406"/>
      <c r="K116" s="6090"/>
      <c r="L116" s="6090"/>
      <c r="M116" s="6090"/>
    </row>
    <row r="117" spans="1:14" ht="13.5" hidden="1" customHeight="1">
      <c r="A117" s="11007"/>
      <c r="B117" s="11015"/>
      <c r="C117" s="11005"/>
      <c r="D117" s="8402"/>
      <c r="E117" s="11007"/>
      <c r="I117" s="6087"/>
      <c r="J117" s="8406"/>
      <c r="K117" s="6090"/>
      <c r="L117" s="6090"/>
      <c r="M117" s="6090"/>
    </row>
    <row r="118" spans="1:14" ht="13.5" hidden="1" customHeight="1">
      <c r="A118" s="11007"/>
      <c r="B118" s="11015"/>
      <c r="C118" s="11005"/>
      <c r="D118" s="11007"/>
      <c r="E118" s="11007"/>
      <c r="F118" s="6087"/>
      <c r="G118" s="6087"/>
      <c r="H118" s="11008"/>
      <c r="I118" s="6090"/>
      <c r="J118" s="8406"/>
      <c r="K118" s="6090"/>
      <c r="L118" s="6090"/>
      <c r="M118" s="6090"/>
    </row>
    <row r="119" spans="1:14" ht="13.5" hidden="1" customHeight="1">
      <c r="A119" s="11007"/>
      <c r="B119" s="11015"/>
      <c r="C119" s="11005"/>
      <c r="D119" s="11007"/>
      <c r="E119" s="11007"/>
      <c r="F119" s="6087"/>
      <c r="G119" s="6087"/>
      <c r="H119" s="11008"/>
      <c r="I119" s="6090"/>
      <c r="J119" s="8406"/>
      <c r="K119" s="6090"/>
      <c r="L119" s="6090"/>
      <c r="M119" s="6090"/>
    </row>
    <row r="120" spans="1:14" s="10889" customFormat="1" ht="13.5" hidden="1" customHeight="1">
      <c r="A120" s="6091"/>
      <c r="B120" s="11016" t="s">
        <v>10470</v>
      </c>
      <c r="C120" s="6091"/>
      <c r="D120" s="14046" t="s">
        <v>10471</v>
      </c>
      <c r="E120" s="14046"/>
      <c r="F120" s="14046"/>
      <c r="G120" s="6091"/>
      <c r="H120" s="10526"/>
      <c r="I120" s="6091"/>
      <c r="J120" s="14046" t="s">
        <v>9163</v>
      </c>
      <c r="K120" s="14046"/>
      <c r="L120" s="14046"/>
      <c r="M120" s="14046"/>
      <c r="N120" s="5811"/>
    </row>
    <row r="121" spans="1:14" ht="13.5" hidden="1" customHeight="1">
      <c r="A121" s="6092"/>
      <c r="B121" s="11017" t="s">
        <v>747</v>
      </c>
      <c r="C121" s="11018"/>
      <c r="D121" s="14065" t="s">
        <v>749</v>
      </c>
      <c r="E121" s="14065"/>
      <c r="F121" s="14065"/>
      <c r="G121" s="6092"/>
      <c r="I121" s="6092"/>
      <c r="J121" s="14071" t="s">
        <v>10472</v>
      </c>
      <c r="K121" s="14071"/>
      <c r="L121" s="14071"/>
      <c r="M121" s="14071"/>
    </row>
    <row r="122" spans="1:14" ht="13.5" hidden="1" customHeight="1">
      <c r="A122" s="6092"/>
      <c r="B122" s="11019"/>
      <c r="C122" s="11018"/>
      <c r="D122" s="11018"/>
      <c r="E122" s="6092"/>
      <c r="F122" s="6092"/>
      <c r="G122" s="6092"/>
      <c r="I122" s="6092"/>
      <c r="K122" s="6092"/>
      <c r="L122" s="6092"/>
      <c r="M122" s="6092"/>
    </row>
    <row r="123" spans="1:14" ht="13.5" hidden="1" customHeight="1">
      <c r="A123" s="6092"/>
      <c r="B123" s="11019"/>
      <c r="C123" s="11018"/>
      <c r="D123" s="11018"/>
      <c r="E123" s="6092"/>
      <c r="F123" s="6092"/>
      <c r="G123" s="6092"/>
      <c r="I123" s="6092"/>
      <c r="K123" s="6092"/>
      <c r="L123" s="6092"/>
      <c r="M123" s="6092"/>
    </row>
    <row r="124" spans="1:14" ht="13.5" hidden="1" customHeight="1">
      <c r="A124" s="6092"/>
      <c r="B124" s="11019"/>
      <c r="C124" s="11018"/>
      <c r="D124" s="11018"/>
      <c r="E124" s="6092"/>
      <c r="F124" s="6092"/>
      <c r="G124" s="6092"/>
      <c r="I124" s="6092"/>
      <c r="K124" s="6092"/>
      <c r="L124" s="6092"/>
      <c r="M124" s="6092"/>
    </row>
    <row r="125" spans="1:14" ht="13.5" hidden="1" customHeight="1">
      <c r="A125" s="14046" t="s">
        <v>9161</v>
      </c>
      <c r="B125" s="14065"/>
      <c r="C125" s="14065"/>
      <c r="D125" s="14065"/>
      <c r="E125" s="14065"/>
      <c r="F125" s="14065"/>
      <c r="G125" s="14065"/>
      <c r="H125" s="14065"/>
      <c r="I125" s="14065"/>
      <c r="J125" s="14065"/>
      <c r="K125" s="14065"/>
      <c r="L125" s="14065"/>
      <c r="M125" s="14065"/>
    </row>
    <row r="126" spans="1:14" ht="13.5" hidden="1" customHeight="1">
      <c r="A126" s="6092"/>
      <c r="B126" s="11010"/>
      <c r="C126" s="6092"/>
      <c r="D126" s="6092" t="s">
        <v>10119</v>
      </c>
      <c r="E126" s="6092"/>
      <c r="F126" s="6092"/>
      <c r="G126" s="6092"/>
      <c r="I126" s="6092"/>
      <c r="J126" s="6092"/>
      <c r="K126" s="6092"/>
      <c r="L126" s="6092"/>
      <c r="M126" s="6092"/>
    </row>
    <row r="127" spans="1:14" ht="13.5" hidden="1" customHeight="1">
      <c r="A127" s="6092"/>
      <c r="B127" s="11010"/>
      <c r="C127" s="6092"/>
      <c r="D127" s="6092"/>
      <c r="E127" s="6092"/>
      <c r="F127" s="6092"/>
      <c r="G127" s="6092"/>
      <c r="I127" s="6092"/>
      <c r="J127" s="6092"/>
      <c r="K127" s="6092"/>
      <c r="L127" s="6092"/>
      <c r="M127" s="6092"/>
    </row>
    <row r="128" spans="1:14" ht="13.5" hidden="1" customHeight="1">
      <c r="A128" s="6092"/>
      <c r="B128" s="11010"/>
      <c r="C128" s="6092"/>
      <c r="D128" s="6092"/>
      <c r="E128" s="6092"/>
      <c r="F128" s="6092"/>
      <c r="G128" s="6092"/>
      <c r="I128" s="6092"/>
      <c r="J128" s="6092"/>
      <c r="K128" s="6092"/>
      <c r="L128" s="6092"/>
      <c r="M128" s="6092"/>
    </row>
    <row r="129" spans="1:14" ht="13.5" hidden="1" customHeight="1">
      <c r="A129" s="6092"/>
      <c r="B129" s="11010" t="s">
        <v>10173</v>
      </c>
      <c r="C129" s="6091"/>
      <c r="D129" s="6092"/>
      <c r="E129" s="6092"/>
      <c r="F129" s="6092"/>
      <c r="G129" s="6092"/>
      <c r="I129" s="6092"/>
      <c r="J129" s="6092"/>
      <c r="K129" s="6092"/>
      <c r="L129" s="6092"/>
      <c r="M129" s="6092"/>
    </row>
    <row r="130" spans="1:14" ht="13.5" hidden="1" customHeight="1">
      <c r="A130" s="6092"/>
      <c r="B130" s="11010"/>
      <c r="C130" s="6091"/>
      <c r="D130" s="6092"/>
      <c r="E130" s="6092"/>
      <c r="F130" s="6092"/>
      <c r="G130" s="6092"/>
      <c r="I130" s="6092"/>
      <c r="J130" s="6092"/>
      <c r="K130" s="6092"/>
      <c r="L130" s="6092"/>
      <c r="M130" s="6092"/>
    </row>
    <row r="131" spans="1:14" ht="13.5" hidden="1" customHeight="1">
      <c r="A131" s="14046" t="s">
        <v>5182</v>
      </c>
      <c r="B131" s="14046"/>
      <c r="C131" s="14046"/>
      <c r="D131" s="14046"/>
      <c r="E131" s="14046"/>
      <c r="F131" s="14046"/>
      <c r="G131" s="14046"/>
      <c r="H131" s="14046"/>
      <c r="I131" s="14046"/>
      <c r="J131" s="14046"/>
      <c r="K131" s="14046"/>
      <c r="L131" s="14046"/>
      <c r="M131" s="14046"/>
    </row>
    <row r="132" spans="1:14" ht="13.5" hidden="1" customHeight="1">
      <c r="A132" s="6092"/>
      <c r="B132" s="11010"/>
      <c r="C132" s="6092"/>
      <c r="D132" s="6092" t="s">
        <v>10164</v>
      </c>
      <c r="E132" s="6092"/>
      <c r="F132" s="6092"/>
      <c r="G132" s="6092"/>
      <c r="I132" s="6092"/>
      <c r="J132" s="6092"/>
      <c r="K132" s="6092"/>
      <c r="L132" s="6092"/>
      <c r="M132" s="6092"/>
    </row>
    <row r="133" spans="1:14" s="10889" customFormat="1" ht="13.5" hidden="1" customHeight="1">
      <c r="A133" s="6092"/>
      <c r="B133" s="11020"/>
      <c r="C133" s="6092"/>
      <c r="D133" s="6092"/>
      <c r="E133" s="6092"/>
      <c r="F133" s="5859">
        <f>F110/D110</f>
        <v>1.3862767645308482</v>
      </c>
      <c r="G133" s="6092"/>
      <c r="H133" s="10521"/>
      <c r="I133" s="6092"/>
      <c r="J133" s="6092">
        <f>G140-F140</f>
        <v>121783461</v>
      </c>
      <c r="K133" s="6092"/>
      <c r="L133" s="6092"/>
      <c r="M133" s="6092"/>
      <c r="N133" s="5811"/>
    </row>
    <row r="134" spans="1:14" s="10889" customFormat="1" ht="13.5" hidden="1" customHeight="1">
      <c r="A134" s="6092"/>
      <c r="B134" s="11020"/>
      <c r="C134" s="6092"/>
      <c r="D134" s="6092"/>
      <c r="E134" s="6092"/>
      <c r="F134" s="5859"/>
      <c r="G134" s="6092"/>
      <c r="H134" s="10521"/>
      <c r="I134" s="6092"/>
      <c r="J134" s="6092"/>
      <c r="K134" s="6092"/>
      <c r="L134" s="6092"/>
      <c r="M134" s="6092"/>
      <c r="N134" s="5811"/>
    </row>
    <row r="135" spans="1:14" s="10889" customFormat="1" ht="13.5" hidden="1" customHeight="1">
      <c r="A135" s="6092"/>
      <c r="B135" s="11010"/>
      <c r="C135" s="6092"/>
      <c r="D135" s="6091">
        <f>D110-D9-D88</f>
        <v>289416901.56999993</v>
      </c>
      <c r="E135" s="6092"/>
      <c r="F135" s="6091">
        <f>F110-F9-F88</f>
        <v>803005000</v>
      </c>
      <c r="G135" s="6092"/>
      <c r="H135" s="10521"/>
      <c r="I135" s="6092"/>
      <c r="J135" s="5859">
        <f>J133/F110</f>
        <v>4.1478709641658312E-2</v>
      </c>
      <c r="K135" s="6092"/>
      <c r="L135" s="6092"/>
      <c r="M135" s="6091">
        <f>M110-M9-M88</f>
        <v>403095000</v>
      </c>
      <c r="N135" s="5811"/>
    </row>
    <row r="136" spans="1:14" s="10889" customFormat="1" ht="13.5" hidden="1" customHeight="1">
      <c r="A136" s="6092"/>
      <c r="B136" s="11010"/>
      <c r="C136" s="6092"/>
      <c r="D136" s="6092"/>
      <c r="E136" s="6092"/>
      <c r="F136" s="6092"/>
      <c r="G136" s="6092"/>
      <c r="H136" s="10521"/>
      <c r="I136" s="6092"/>
      <c r="J136" s="6092">
        <f>M135-F135</f>
        <v>-399910000</v>
      </c>
      <c r="K136" s="6092"/>
      <c r="L136" s="6092"/>
      <c r="M136" s="6092"/>
      <c r="N136" s="5811"/>
    </row>
    <row r="137" spans="1:14" s="10889" customFormat="1" ht="13.5" hidden="1" customHeight="1">
      <c r="A137" s="6092"/>
      <c r="B137" s="11010"/>
      <c r="C137" s="6092"/>
      <c r="D137" s="6092"/>
      <c r="E137" s="6092"/>
      <c r="F137" s="6092">
        <f>F135-D135</f>
        <v>513588098.43000007</v>
      </c>
      <c r="G137" s="6092"/>
      <c r="H137" s="10521"/>
      <c r="I137" s="6092"/>
      <c r="J137" s="7017">
        <f>J136/D135</f>
        <v>-1.3817783198928886</v>
      </c>
      <c r="K137" s="6092"/>
      <c r="L137" s="6092"/>
      <c r="M137" s="6092"/>
      <c r="N137" s="5811"/>
    </row>
    <row r="138" spans="1:14" s="10889" customFormat="1" ht="13.5" hidden="1" customHeight="1">
      <c r="A138" s="6092"/>
      <c r="B138" s="11020" t="s">
        <v>10288</v>
      </c>
      <c r="C138" s="6092"/>
      <c r="D138" s="6092"/>
      <c r="E138" s="6092"/>
      <c r="F138" s="6092"/>
      <c r="G138" s="6092"/>
      <c r="H138" s="10521"/>
      <c r="I138" s="6092"/>
      <c r="J138" s="7017"/>
      <c r="K138" s="6092"/>
      <c r="L138" s="6092"/>
      <c r="M138" s="6092"/>
      <c r="N138" s="5811"/>
    </row>
    <row r="139" spans="1:14" s="10889" customFormat="1" ht="13.5" hidden="1" customHeight="1">
      <c r="A139" s="6092"/>
      <c r="B139" s="10903"/>
      <c r="C139" s="6092"/>
      <c r="D139" s="6093">
        <v>2014</v>
      </c>
      <c r="E139" s="6093"/>
      <c r="F139" s="6093">
        <v>2015</v>
      </c>
      <c r="G139" s="6093">
        <v>2016</v>
      </c>
      <c r="H139" s="10521"/>
      <c r="I139" s="6092"/>
      <c r="J139" s="7017"/>
      <c r="K139" s="6092"/>
      <c r="L139" s="6092"/>
      <c r="M139" s="6092"/>
      <c r="N139" s="5811"/>
    </row>
    <row r="140" spans="1:14" s="10889" customFormat="1" ht="13.5" hidden="1" customHeight="1">
      <c r="A140" s="6092"/>
      <c r="B140" s="11010"/>
      <c r="C140" s="6092"/>
      <c r="D140" s="11021">
        <v>1515262712</v>
      </c>
      <c r="E140" s="11021"/>
      <c r="F140" s="11021">
        <v>1694743493</v>
      </c>
      <c r="G140" s="6094">
        <v>1816526954</v>
      </c>
      <c r="H140" s="10521"/>
      <c r="I140" s="6092"/>
      <c r="J140" s="6092"/>
      <c r="K140" s="6092"/>
      <c r="L140" s="6092"/>
      <c r="M140" s="6092"/>
      <c r="N140" s="5811"/>
    </row>
    <row r="141" spans="1:14" s="10889" customFormat="1" ht="13.5" hidden="1" customHeight="1">
      <c r="A141" s="6092"/>
      <c r="B141" s="11010"/>
      <c r="C141" s="6092"/>
      <c r="D141" s="6092"/>
      <c r="E141" s="6092"/>
      <c r="F141" s="6092"/>
      <c r="G141" s="6092"/>
      <c r="H141" s="10521"/>
      <c r="I141" s="6092"/>
      <c r="J141" s="6092"/>
      <c r="K141" s="6092"/>
      <c r="L141" s="6092"/>
      <c r="M141" s="6092"/>
      <c r="N141" s="5811"/>
    </row>
    <row r="142" spans="1:14" s="10889" customFormat="1" ht="13.5" hidden="1" customHeight="1">
      <c r="A142" s="6092"/>
      <c r="B142" s="11010"/>
      <c r="C142" s="6092"/>
      <c r="E142" s="6092"/>
      <c r="F142" s="6092">
        <f>F140-D140</f>
        <v>179480781</v>
      </c>
      <c r="G142" s="6092">
        <f>G140-F140</f>
        <v>121783461</v>
      </c>
      <c r="H142" s="10521"/>
      <c r="I142" s="6092"/>
      <c r="J142" s="6092"/>
      <c r="K142" s="6092"/>
      <c r="L142" s="6092"/>
      <c r="M142" s="6092"/>
      <c r="N142" s="5811"/>
    </row>
    <row r="143" spans="1:14" s="10889" customFormat="1" ht="13.5" hidden="1" customHeight="1">
      <c r="A143" s="6092"/>
      <c r="B143" s="11010"/>
      <c r="C143" s="6092"/>
      <c r="E143" s="6092"/>
      <c r="F143" s="5859">
        <f>F142/D140</f>
        <v>0.11844862252506877</v>
      </c>
      <c r="G143" s="5808">
        <f>G142/F140</f>
        <v>7.1859524171661776E-2</v>
      </c>
      <c r="H143" s="10521"/>
      <c r="I143" s="6092"/>
      <c r="J143" s="6092"/>
      <c r="K143" s="6092"/>
      <c r="L143" s="6092"/>
      <c r="M143" s="6092"/>
      <c r="N143" s="5811"/>
    </row>
    <row r="144" spans="1:14" s="10889" customFormat="1" ht="13.5" hidden="1" customHeight="1">
      <c r="A144" s="6092"/>
      <c r="B144" s="11010"/>
      <c r="C144" s="6092"/>
      <c r="E144" s="6092"/>
      <c r="F144" s="5859"/>
      <c r="G144" s="5808"/>
      <c r="H144" s="10521"/>
      <c r="I144" s="6092"/>
      <c r="J144" s="6092"/>
      <c r="K144" s="6092"/>
      <c r="L144" s="6092"/>
      <c r="M144" s="6092"/>
      <c r="N144" s="5811"/>
    </row>
    <row r="145" spans="1:14" s="10889" customFormat="1" ht="13.5" hidden="1" customHeight="1">
      <c r="A145" s="6092"/>
      <c r="B145" s="11010"/>
      <c r="C145" s="6092"/>
      <c r="E145" s="6092"/>
      <c r="F145" s="5859"/>
      <c r="G145" s="5808"/>
      <c r="H145" s="10521"/>
      <c r="I145" s="6092"/>
      <c r="J145" s="6092"/>
      <c r="K145" s="6092"/>
      <c r="L145" s="6092"/>
      <c r="M145" s="6092"/>
      <c r="N145" s="5811"/>
    </row>
    <row r="146" spans="1:14" s="10889" customFormat="1" ht="13.5" hidden="1" customHeight="1">
      <c r="A146" s="6092"/>
      <c r="B146" s="11010"/>
      <c r="C146" s="6092"/>
      <c r="E146" s="6092"/>
      <c r="F146" s="5859"/>
      <c r="G146" s="5808"/>
      <c r="H146" s="10521"/>
      <c r="I146" s="6092"/>
      <c r="J146" s="6092"/>
      <c r="K146" s="6092"/>
      <c r="L146" s="6092"/>
      <c r="M146" s="6092"/>
      <c r="N146" s="5811"/>
    </row>
    <row r="147" spans="1:14" s="10889" customFormat="1" ht="13.5" hidden="1" customHeight="1">
      <c r="A147" s="6092"/>
      <c r="B147" s="11010"/>
      <c r="C147" s="6092"/>
      <c r="E147" s="6092"/>
      <c r="F147" s="5859"/>
      <c r="G147" s="5808"/>
      <c r="H147" s="10521"/>
      <c r="I147" s="6092"/>
      <c r="J147" s="6092"/>
      <c r="K147" s="6092"/>
      <c r="L147" s="6092"/>
      <c r="M147" s="6092"/>
      <c r="N147" s="5811"/>
    </row>
    <row r="148" spans="1:14" s="10889" customFormat="1" ht="13.5" hidden="1" customHeight="1">
      <c r="A148" s="6092"/>
      <c r="B148" s="11010"/>
      <c r="C148" s="6092"/>
      <c r="E148" s="6092"/>
      <c r="F148" s="5859"/>
      <c r="G148" s="5808"/>
      <c r="H148" s="10521"/>
      <c r="I148" s="6092"/>
      <c r="J148" s="6092"/>
      <c r="K148" s="6092"/>
      <c r="L148" s="6092"/>
      <c r="M148" s="6092"/>
      <c r="N148" s="5811"/>
    </row>
    <row r="149" spans="1:14" s="10889" customFormat="1" ht="13.5" hidden="1" customHeight="1">
      <c r="A149" s="6092"/>
      <c r="B149" s="11010"/>
      <c r="C149" s="6092"/>
      <c r="E149" s="6092"/>
      <c r="F149" s="5859"/>
      <c r="G149" s="5808"/>
      <c r="H149" s="10521"/>
      <c r="I149" s="6092"/>
      <c r="J149" s="6092"/>
      <c r="K149" s="6092"/>
      <c r="L149" s="6092"/>
      <c r="M149" s="6092"/>
      <c r="N149" s="5811"/>
    </row>
    <row r="150" spans="1:14" s="10889" customFormat="1" ht="13.5" hidden="1" customHeight="1">
      <c r="A150" s="6092"/>
      <c r="B150" s="11020" t="s">
        <v>10283</v>
      </c>
      <c r="C150" s="6092"/>
      <c r="D150" s="6092"/>
      <c r="E150" s="6092"/>
      <c r="F150" s="6092"/>
      <c r="G150" s="6092"/>
      <c r="H150" s="10521"/>
      <c r="I150" s="6092"/>
      <c r="J150" s="6092"/>
      <c r="K150" s="6092"/>
      <c r="L150" s="6092"/>
      <c r="M150" s="6092"/>
      <c r="N150" s="5811"/>
    </row>
    <row r="151" spans="1:14" s="11024" customFormat="1" ht="13.5" hidden="1" customHeight="1">
      <c r="A151" s="6093"/>
      <c r="B151" s="11022">
        <v>2013</v>
      </c>
      <c r="C151" s="6093"/>
      <c r="D151" s="11024">
        <v>2014</v>
      </c>
      <c r="E151" s="6093"/>
      <c r="F151" s="6093">
        <v>2015</v>
      </c>
      <c r="G151" s="6093"/>
      <c r="H151" s="10526"/>
      <c r="I151" s="6093"/>
      <c r="J151" s="6093">
        <v>2016</v>
      </c>
      <c r="K151" s="6093"/>
      <c r="L151" s="6093"/>
      <c r="M151" s="6093"/>
      <c r="N151" s="11023"/>
    </row>
    <row r="152" spans="1:14" s="10889" customFormat="1" ht="13.5" hidden="1" customHeight="1">
      <c r="A152" s="6092"/>
      <c r="B152" s="11010">
        <v>1106246245</v>
      </c>
      <c r="C152" s="6092"/>
      <c r="D152" s="6092">
        <v>1246513716</v>
      </c>
      <c r="E152" s="6092"/>
      <c r="F152" s="6092">
        <v>1412523120</v>
      </c>
      <c r="G152" s="6092">
        <v>706261560</v>
      </c>
      <c r="H152" s="10521">
        <v>0.5</v>
      </c>
      <c r="I152" s="6092"/>
      <c r="J152" s="6092">
        <v>1549241712</v>
      </c>
      <c r="K152" s="6092"/>
      <c r="L152" s="6092">
        <v>1239816793</v>
      </c>
      <c r="M152" s="6092">
        <v>1549241712</v>
      </c>
      <c r="N152" s="5811"/>
    </row>
    <row r="153" spans="1:14" s="10889" customFormat="1" ht="13.5" hidden="1" customHeight="1">
      <c r="A153" s="6092"/>
      <c r="B153" s="11010"/>
      <c r="C153" s="6092"/>
      <c r="D153" s="6092"/>
      <c r="E153" s="6092"/>
      <c r="F153" s="6092"/>
      <c r="G153" s="6092"/>
      <c r="H153" s="10521"/>
      <c r="I153" s="6092"/>
      <c r="J153" s="6092"/>
      <c r="K153" s="6092"/>
      <c r="L153" s="6092"/>
      <c r="M153" s="6092"/>
      <c r="N153" s="5811"/>
    </row>
    <row r="154" spans="1:14" s="10889" customFormat="1" ht="13.5" hidden="1" customHeight="1">
      <c r="A154" s="6092"/>
      <c r="B154" s="11010"/>
      <c r="C154" s="6092"/>
      <c r="D154" s="6092">
        <f>D152-B152</f>
        <v>140267471</v>
      </c>
      <c r="E154" s="6092"/>
      <c r="F154" s="6092">
        <f>F152-D152</f>
        <v>166009404</v>
      </c>
      <c r="G154" s="6092"/>
      <c r="H154" s="10521"/>
      <c r="I154" s="6092"/>
      <c r="J154" s="6092">
        <f>J152-F152</f>
        <v>136718592</v>
      </c>
      <c r="K154" s="6092"/>
      <c r="L154" s="6092"/>
      <c r="M154" s="6092"/>
      <c r="N154" s="5811"/>
    </row>
    <row r="155" spans="1:14" s="11026" customFormat="1" ht="13.5" hidden="1" customHeight="1">
      <c r="A155" s="5859"/>
      <c r="B155" s="11025"/>
      <c r="C155" s="5859"/>
      <c r="D155" s="5859">
        <f>D154/B152</f>
        <v>0.12679588440094547</v>
      </c>
      <c r="E155" s="5859"/>
      <c r="F155" s="5859">
        <f>F154/D152</f>
        <v>0.13317896295013573</v>
      </c>
      <c r="G155" s="5859"/>
      <c r="H155" s="10521"/>
      <c r="I155" s="5859"/>
      <c r="J155" s="5859">
        <f>J154/F152</f>
        <v>9.6790339261845146E-2</v>
      </c>
      <c r="K155" s="5859"/>
      <c r="L155" s="5859"/>
      <c r="M155" s="5859"/>
    </row>
    <row r="156" spans="1:14" s="10889" customFormat="1" ht="13.5" hidden="1" customHeight="1">
      <c r="A156" s="6092"/>
      <c r="B156" s="11010"/>
      <c r="C156" s="6092"/>
      <c r="D156" s="6092"/>
      <c r="E156" s="6092"/>
      <c r="F156" s="6092"/>
      <c r="G156" s="6092"/>
      <c r="H156" s="10521"/>
      <c r="I156" s="6092"/>
      <c r="J156" s="6092"/>
      <c r="K156" s="6092"/>
      <c r="L156" s="6092"/>
      <c r="M156" s="6092"/>
      <c r="N156" s="5811"/>
    </row>
    <row r="157" spans="1:14" s="10889" customFormat="1" ht="13.5" hidden="1" customHeight="1">
      <c r="A157" s="6092"/>
      <c r="B157" s="11010"/>
      <c r="C157" s="6092"/>
      <c r="D157" s="6092"/>
      <c r="E157" s="6092"/>
      <c r="F157" s="6092"/>
      <c r="G157" s="6092"/>
      <c r="H157" s="10521"/>
      <c r="I157" s="6092"/>
      <c r="J157" s="6092"/>
      <c r="K157" s="6092"/>
      <c r="L157" s="6092"/>
      <c r="M157" s="6092"/>
      <c r="N157" s="5811"/>
    </row>
    <row r="158" spans="1:14" s="10889" customFormat="1" ht="13.5" hidden="1" customHeight="1">
      <c r="A158" s="6092"/>
      <c r="B158" s="11010"/>
      <c r="C158" s="6092"/>
      <c r="D158" s="6092"/>
      <c r="E158" s="6092"/>
      <c r="F158" s="6092"/>
      <c r="G158" s="6092"/>
      <c r="H158" s="10521"/>
      <c r="I158" s="6092"/>
      <c r="J158" s="6092"/>
      <c r="K158" s="6092"/>
      <c r="L158" s="6092"/>
      <c r="M158" s="6092"/>
      <c r="N158" s="5811"/>
    </row>
    <row r="159" spans="1:14" s="10889" customFormat="1" ht="13.5" hidden="1" customHeight="1">
      <c r="A159" s="6092"/>
      <c r="B159" s="11010"/>
      <c r="C159" s="6092"/>
      <c r="D159" s="6092"/>
      <c r="E159" s="6092"/>
      <c r="F159" s="6092"/>
      <c r="G159" s="6092"/>
      <c r="H159" s="10521"/>
      <c r="I159" s="6092"/>
      <c r="J159" s="6092"/>
      <c r="K159" s="6092"/>
      <c r="L159" s="6092"/>
      <c r="M159" s="6092"/>
      <c r="N159" s="5811"/>
    </row>
    <row r="160" spans="1:14" s="10889" customFormat="1" ht="13.5" hidden="1" customHeight="1">
      <c r="A160" s="6092"/>
      <c r="B160" s="11010"/>
      <c r="C160" s="6092"/>
      <c r="D160" s="6092"/>
      <c r="E160" s="6092"/>
      <c r="F160" s="6092"/>
      <c r="G160" s="6092"/>
      <c r="H160" s="10521"/>
      <c r="I160" s="6092"/>
      <c r="J160" s="6092"/>
      <c r="K160" s="6092"/>
      <c r="L160" s="6092"/>
      <c r="M160" s="6092"/>
      <c r="N160" s="5811"/>
    </row>
    <row r="161" spans="1:14" s="10889" customFormat="1" ht="13.5" hidden="1" customHeight="1">
      <c r="A161" s="6092"/>
      <c r="B161" s="11010"/>
      <c r="C161" s="6092"/>
      <c r="D161" s="6092"/>
      <c r="E161" s="6092"/>
      <c r="F161" s="6092"/>
      <c r="G161" s="6092"/>
      <c r="H161" s="10521"/>
      <c r="I161" s="6092"/>
      <c r="J161" s="6092"/>
      <c r="K161" s="6092"/>
      <c r="L161" s="6092"/>
      <c r="M161" s="6092"/>
      <c r="N161" s="5811"/>
    </row>
    <row r="162" spans="1:14" s="10889" customFormat="1" ht="13.5" hidden="1" customHeight="1">
      <c r="A162" s="6092"/>
      <c r="B162" s="11010"/>
      <c r="C162" s="6092"/>
      <c r="D162" s="6092"/>
      <c r="E162" s="6092"/>
      <c r="F162" s="6092"/>
      <c r="G162" s="6092"/>
      <c r="H162" s="10521"/>
      <c r="I162" s="6092"/>
      <c r="J162" s="6092"/>
      <c r="K162" s="6092"/>
      <c r="L162" s="6092"/>
      <c r="M162" s="6092"/>
      <c r="N162" s="5811"/>
    </row>
    <row r="163" spans="1:14" s="10889" customFormat="1" ht="13.5" hidden="1" customHeight="1">
      <c r="A163" s="6091"/>
      <c r="B163" s="11027"/>
      <c r="C163" s="6091"/>
      <c r="D163" s="6091"/>
      <c r="E163" s="6091"/>
      <c r="F163" s="6091"/>
      <c r="G163" s="6091"/>
      <c r="H163" s="10526"/>
      <c r="I163" s="6091"/>
      <c r="J163" s="11024">
        <v>2014</v>
      </c>
      <c r="K163" s="6093"/>
      <c r="L163" s="6093"/>
      <c r="M163" s="6093">
        <v>2015</v>
      </c>
      <c r="N163" s="5811"/>
    </row>
    <row r="164" spans="1:14" s="10889" customFormat="1" ht="13.5" hidden="1" customHeight="1">
      <c r="A164" s="6092"/>
      <c r="B164" s="11010"/>
      <c r="C164" s="6092"/>
      <c r="D164" s="6092"/>
      <c r="E164" s="6092" t="s">
        <v>10092</v>
      </c>
      <c r="F164" s="6092"/>
      <c r="G164" s="6092"/>
      <c r="H164" s="10521"/>
      <c r="I164" s="6092"/>
      <c r="J164" s="6091">
        <f>F105-F88</f>
        <v>803005000</v>
      </c>
      <c r="K164" s="6092"/>
      <c r="L164" s="6092"/>
      <c r="M164" s="6091">
        <f>M110-M88</f>
        <v>508095000</v>
      </c>
      <c r="N164" s="5811">
        <f>M164-J164</f>
        <v>-294910000</v>
      </c>
    </row>
    <row r="165" spans="1:14" ht="13.5" hidden="1" customHeight="1">
      <c r="N165" s="11028">
        <f>J88-F88</f>
        <v>183855399</v>
      </c>
    </row>
    <row r="166" spans="1:14" ht="13.5" hidden="1" customHeight="1">
      <c r="N166" s="5811">
        <f>SUM(N164:N165)</f>
        <v>-111054601</v>
      </c>
    </row>
    <row r="167" spans="1:14" ht="13.5" hidden="1" customHeight="1">
      <c r="J167" s="5808"/>
    </row>
    <row r="168" spans="1:14" ht="13.5" hidden="1" customHeight="1"/>
    <row r="169" spans="1:14" ht="13.5" hidden="1" customHeight="1"/>
    <row r="170" spans="1:14" ht="13.5" hidden="1" customHeight="1">
      <c r="F170" s="5918">
        <f>J110-F167</f>
        <v>2427317881</v>
      </c>
    </row>
    <row r="171" spans="1:14" ht="13.5" hidden="1" customHeight="1"/>
    <row r="172" spans="1:14" ht="15" hidden="1" customHeight="1">
      <c r="M172" s="5918">
        <f>M110-M88</f>
        <v>508095000</v>
      </c>
    </row>
    <row r="173" spans="1:14" ht="15" hidden="1" customHeight="1">
      <c r="M173" s="7017">
        <f>M88/M110</f>
        <v>0.79917137166047225</v>
      </c>
    </row>
    <row r="174" spans="1:14" ht="15" hidden="1" customHeight="1"/>
    <row r="175" spans="1:14" ht="15" hidden="1" customHeight="1"/>
    <row r="176" spans="1:14" ht="15" hidden="1" customHeight="1"/>
    <row r="177" spans="6:10" ht="15" hidden="1" customHeight="1"/>
    <row r="178" spans="6:10" ht="15" hidden="1" customHeight="1"/>
    <row r="179" spans="6:10" ht="15" hidden="1" customHeight="1"/>
    <row r="180" spans="6:10" ht="15" hidden="1" customHeight="1"/>
    <row r="181" spans="6:10" ht="15" hidden="1" customHeight="1"/>
    <row r="182" spans="6:10" ht="15" hidden="1" customHeight="1">
      <c r="F182" s="5918">
        <f>F110-F103-F9</f>
        <v>2201047482</v>
      </c>
      <c r="J182" s="5918">
        <f>J110-20000000</f>
        <v>2407317881</v>
      </c>
    </row>
    <row r="183" spans="6:10" ht="15" hidden="1" customHeight="1">
      <c r="J183" s="5918">
        <f>J182-F182</f>
        <v>206270399</v>
      </c>
    </row>
    <row r="184" spans="6:10" ht="15" hidden="1" customHeight="1">
      <c r="J184" s="7017">
        <f>J183/F182</f>
        <v>9.371465208581993E-2</v>
      </c>
    </row>
    <row r="185" spans="6:10" ht="15" hidden="1" customHeight="1"/>
  </sheetData>
  <mergeCells count="31">
    <mergeCell ref="A2:M2"/>
    <mergeCell ref="E69:F69"/>
    <mergeCell ref="I69:J69"/>
    <mergeCell ref="K69:M69"/>
    <mergeCell ref="A125:M125"/>
    <mergeCell ref="C6:D6"/>
    <mergeCell ref="E6:F6"/>
    <mergeCell ref="I6:M6"/>
    <mergeCell ref="C67:D67"/>
    <mergeCell ref="E67:F67"/>
    <mergeCell ref="I67:M67"/>
    <mergeCell ref="D120:F120"/>
    <mergeCell ref="D121:F121"/>
    <mergeCell ref="J120:M120"/>
    <mergeCell ref="J121:M121"/>
    <mergeCell ref="A131:M131"/>
    <mergeCell ref="A3:M3"/>
    <mergeCell ref="A4:M4"/>
    <mergeCell ref="A7:B7"/>
    <mergeCell ref="C7:D7"/>
    <mergeCell ref="E7:F7"/>
    <mergeCell ref="I7:M7"/>
    <mergeCell ref="A68:B68"/>
    <mergeCell ref="C68:D68"/>
    <mergeCell ref="E68:F68"/>
    <mergeCell ref="I68:M68"/>
    <mergeCell ref="C8:D8"/>
    <mergeCell ref="E8:F8"/>
    <mergeCell ref="I8:J8"/>
    <mergeCell ref="K8:M8"/>
    <mergeCell ref="C69:D69"/>
  </mergeCells>
  <printOptions horizontalCentered="1"/>
  <pageMargins left="0.5" right="0.25" top="0.75" bottom="0.25" header="0.5" footer="0.25"/>
  <pageSetup paperSize="136" scale="90" orientation="portrait" useFirstPageNumber="1" verticalDpi="300" r:id="rId1"/>
  <headerFooter scaleWithDoc="0"/>
</worksheet>
</file>

<file path=xl/worksheets/sheet160.xml><?xml version="1.0" encoding="utf-8"?>
<worksheet xmlns="http://schemas.openxmlformats.org/spreadsheetml/2006/main" xmlns:r="http://schemas.openxmlformats.org/officeDocument/2006/relationships">
  <sheetPr codeName="Sheet184">
    <tabColor rgb="FFFFFF00"/>
  </sheetPr>
  <dimension ref="A1:G109"/>
  <sheetViews>
    <sheetView showGridLines="0" topLeftCell="A22" workbookViewId="0">
      <selection activeCell="F15" sqref="F15:G29"/>
    </sheetView>
  </sheetViews>
  <sheetFormatPr defaultRowHeight="13.8"/>
  <cols>
    <col min="1" max="1" width="5.88671875" style="474" customWidth="1"/>
    <col min="2" max="2" width="32.88671875" style="474" customWidth="1"/>
    <col min="3" max="3" width="14.44140625" style="717" customWidth="1"/>
    <col min="4" max="4" width="18.88671875" style="474" customWidth="1"/>
    <col min="5" max="5" width="10.109375" style="734" customWidth="1"/>
    <col min="6" max="6" width="8.109375" style="474" customWidth="1"/>
    <col min="7" max="7" width="7.88671875" style="474" customWidth="1"/>
    <col min="8" max="256" width="9.109375" style="474"/>
    <col min="257" max="257" width="5.88671875" style="474" customWidth="1"/>
    <col min="258" max="258" width="37.109375" style="474" customWidth="1"/>
    <col min="259" max="259" width="14.44140625" style="474" customWidth="1"/>
    <col min="260" max="260" width="19.44140625" style="474" customWidth="1"/>
    <col min="261" max="261" width="13.109375" style="474" customWidth="1"/>
    <col min="262" max="262" width="6" style="474" customWidth="1"/>
    <col min="263" max="263" width="5.88671875" style="474" customWidth="1"/>
    <col min="264" max="512" width="9.109375" style="474"/>
    <col min="513" max="513" width="5.88671875" style="474" customWidth="1"/>
    <col min="514" max="514" width="37.109375" style="474" customWidth="1"/>
    <col min="515" max="515" width="14.44140625" style="474" customWidth="1"/>
    <col min="516" max="516" width="19.44140625" style="474" customWidth="1"/>
    <col min="517" max="517" width="13.109375" style="474" customWidth="1"/>
    <col min="518" max="518" width="6" style="474" customWidth="1"/>
    <col min="519" max="519" width="5.88671875" style="474" customWidth="1"/>
    <col min="520" max="768" width="9.109375" style="474"/>
    <col min="769" max="769" width="5.88671875" style="474" customWidth="1"/>
    <col min="770" max="770" width="37.109375" style="474" customWidth="1"/>
    <col min="771" max="771" width="14.44140625" style="474" customWidth="1"/>
    <col min="772" max="772" width="19.44140625" style="474" customWidth="1"/>
    <col min="773" max="773" width="13.109375" style="474" customWidth="1"/>
    <col min="774" max="774" width="6" style="474" customWidth="1"/>
    <col min="775" max="775" width="5.88671875" style="474" customWidth="1"/>
    <col min="776" max="1024" width="9.109375" style="474"/>
    <col min="1025" max="1025" width="5.88671875" style="474" customWidth="1"/>
    <col min="1026" max="1026" width="37.109375" style="474" customWidth="1"/>
    <col min="1027" max="1027" width="14.44140625" style="474" customWidth="1"/>
    <col min="1028" max="1028" width="19.44140625" style="474" customWidth="1"/>
    <col min="1029" max="1029" width="13.109375" style="474" customWidth="1"/>
    <col min="1030" max="1030" width="6" style="474" customWidth="1"/>
    <col min="1031" max="1031" width="5.88671875" style="474" customWidth="1"/>
    <col min="1032" max="1280" width="9.109375" style="474"/>
    <col min="1281" max="1281" width="5.88671875" style="474" customWidth="1"/>
    <col min="1282" max="1282" width="37.109375" style="474" customWidth="1"/>
    <col min="1283" max="1283" width="14.44140625" style="474" customWidth="1"/>
    <col min="1284" max="1284" width="19.44140625" style="474" customWidth="1"/>
    <col min="1285" max="1285" width="13.109375" style="474" customWidth="1"/>
    <col min="1286" max="1286" width="6" style="474" customWidth="1"/>
    <col min="1287" max="1287" width="5.88671875" style="474" customWidth="1"/>
    <col min="1288" max="1536" width="9.109375" style="474"/>
    <col min="1537" max="1537" width="5.88671875" style="474" customWidth="1"/>
    <col min="1538" max="1538" width="37.109375" style="474" customWidth="1"/>
    <col min="1539" max="1539" width="14.44140625" style="474" customWidth="1"/>
    <col min="1540" max="1540" width="19.44140625" style="474" customWidth="1"/>
    <col min="1541" max="1541" width="13.109375" style="474" customWidth="1"/>
    <col min="1542" max="1542" width="6" style="474" customWidth="1"/>
    <col min="1543" max="1543" width="5.88671875" style="474" customWidth="1"/>
    <col min="1544" max="1792" width="9.109375" style="474"/>
    <col min="1793" max="1793" width="5.88671875" style="474" customWidth="1"/>
    <col min="1794" max="1794" width="37.109375" style="474" customWidth="1"/>
    <col min="1795" max="1795" width="14.44140625" style="474" customWidth="1"/>
    <col min="1796" max="1796" width="19.44140625" style="474" customWidth="1"/>
    <col min="1797" max="1797" width="13.109375" style="474" customWidth="1"/>
    <col min="1798" max="1798" width="6" style="474" customWidth="1"/>
    <col min="1799" max="1799" width="5.88671875" style="474" customWidth="1"/>
    <col min="1800" max="2048" width="9.109375" style="474"/>
    <col min="2049" max="2049" width="5.88671875" style="474" customWidth="1"/>
    <col min="2050" max="2050" width="37.109375" style="474" customWidth="1"/>
    <col min="2051" max="2051" width="14.44140625" style="474" customWidth="1"/>
    <col min="2052" max="2052" width="19.44140625" style="474" customWidth="1"/>
    <col min="2053" max="2053" width="13.109375" style="474" customWidth="1"/>
    <col min="2054" max="2054" width="6" style="474" customWidth="1"/>
    <col min="2055" max="2055" width="5.88671875" style="474" customWidth="1"/>
    <col min="2056" max="2304" width="9.109375" style="474"/>
    <col min="2305" max="2305" width="5.88671875" style="474" customWidth="1"/>
    <col min="2306" max="2306" width="37.109375" style="474" customWidth="1"/>
    <col min="2307" max="2307" width="14.44140625" style="474" customWidth="1"/>
    <col min="2308" max="2308" width="19.44140625" style="474" customWidth="1"/>
    <col min="2309" max="2309" width="13.109375" style="474" customWidth="1"/>
    <col min="2310" max="2310" width="6" style="474" customWidth="1"/>
    <col min="2311" max="2311" width="5.88671875" style="474" customWidth="1"/>
    <col min="2312" max="2560" width="9.109375" style="474"/>
    <col min="2561" max="2561" width="5.88671875" style="474" customWidth="1"/>
    <col min="2562" max="2562" width="37.109375" style="474" customWidth="1"/>
    <col min="2563" max="2563" width="14.44140625" style="474" customWidth="1"/>
    <col min="2564" max="2564" width="19.44140625" style="474" customWidth="1"/>
    <col min="2565" max="2565" width="13.109375" style="474" customWidth="1"/>
    <col min="2566" max="2566" width="6" style="474" customWidth="1"/>
    <col min="2567" max="2567" width="5.88671875" style="474" customWidth="1"/>
    <col min="2568" max="2816" width="9.109375" style="474"/>
    <col min="2817" max="2817" width="5.88671875" style="474" customWidth="1"/>
    <col min="2818" max="2818" width="37.109375" style="474" customWidth="1"/>
    <col min="2819" max="2819" width="14.44140625" style="474" customWidth="1"/>
    <col min="2820" max="2820" width="19.44140625" style="474" customWidth="1"/>
    <col min="2821" max="2821" width="13.109375" style="474" customWidth="1"/>
    <col min="2822" max="2822" width="6" style="474" customWidth="1"/>
    <col min="2823" max="2823" width="5.88671875" style="474" customWidth="1"/>
    <col min="2824" max="3072" width="9.109375" style="474"/>
    <col min="3073" max="3073" width="5.88671875" style="474" customWidth="1"/>
    <col min="3074" max="3074" width="37.109375" style="474" customWidth="1"/>
    <col min="3075" max="3075" width="14.44140625" style="474" customWidth="1"/>
    <col min="3076" max="3076" width="19.44140625" style="474" customWidth="1"/>
    <col min="3077" max="3077" width="13.109375" style="474" customWidth="1"/>
    <col min="3078" max="3078" width="6" style="474" customWidth="1"/>
    <col min="3079" max="3079" width="5.88671875" style="474" customWidth="1"/>
    <col min="3080" max="3328" width="9.109375" style="474"/>
    <col min="3329" max="3329" width="5.88671875" style="474" customWidth="1"/>
    <col min="3330" max="3330" width="37.109375" style="474" customWidth="1"/>
    <col min="3331" max="3331" width="14.44140625" style="474" customWidth="1"/>
    <col min="3332" max="3332" width="19.44140625" style="474" customWidth="1"/>
    <col min="3333" max="3333" width="13.109375" style="474" customWidth="1"/>
    <col min="3334" max="3334" width="6" style="474" customWidth="1"/>
    <col min="3335" max="3335" width="5.88671875" style="474" customWidth="1"/>
    <col min="3336" max="3584" width="9.109375" style="474"/>
    <col min="3585" max="3585" width="5.88671875" style="474" customWidth="1"/>
    <col min="3586" max="3586" width="37.109375" style="474" customWidth="1"/>
    <col min="3587" max="3587" width="14.44140625" style="474" customWidth="1"/>
    <col min="3588" max="3588" width="19.44140625" style="474" customWidth="1"/>
    <col min="3589" max="3589" width="13.109375" style="474" customWidth="1"/>
    <col min="3590" max="3590" width="6" style="474" customWidth="1"/>
    <col min="3591" max="3591" width="5.88671875" style="474" customWidth="1"/>
    <col min="3592" max="3840" width="9.109375" style="474"/>
    <col min="3841" max="3841" width="5.88671875" style="474" customWidth="1"/>
    <col min="3842" max="3842" width="37.109375" style="474" customWidth="1"/>
    <col min="3843" max="3843" width="14.44140625" style="474" customWidth="1"/>
    <col min="3844" max="3844" width="19.44140625" style="474" customWidth="1"/>
    <col min="3845" max="3845" width="13.109375" style="474" customWidth="1"/>
    <col min="3846" max="3846" width="6" style="474" customWidth="1"/>
    <col min="3847" max="3847" width="5.88671875" style="474" customWidth="1"/>
    <col min="3848" max="4096" width="9.109375" style="474"/>
    <col min="4097" max="4097" width="5.88671875" style="474" customWidth="1"/>
    <col min="4098" max="4098" width="37.109375" style="474" customWidth="1"/>
    <col min="4099" max="4099" width="14.44140625" style="474" customWidth="1"/>
    <col min="4100" max="4100" width="19.44140625" style="474" customWidth="1"/>
    <col min="4101" max="4101" width="13.109375" style="474" customWidth="1"/>
    <col min="4102" max="4102" width="6" style="474" customWidth="1"/>
    <col min="4103" max="4103" width="5.88671875" style="474" customWidth="1"/>
    <col min="4104" max="4352" width="9.109375" style="474"/>
    <col min="4353" max="4353" width="5.88671875" style="474" customWidth="1"/>
    <col min="4354" max="4354" width="37.109375" style="474" customWidth="1"/>
    <col min="4355" max="4355" width="14.44140625" style="474" customWidth="1"/>
    <col min="4356" max="4356" width="19.44140625" style="474" customWidth="1"/>
    <col min="4357" max="4357" width="13.109375" style="474" customWidth="1"/>
    <col min="4358" max="4358" width="6" style="474" customWidth="1"/>
    <col min="4359" max="4359" width="5.88671875" style="474" customWidth="1"/>
    <col min="4360" max="4608" width="9.109375" style="474"/>
    <col min="4609" max="4609" width="5.88671875" style="474" customWidth="1"/>
    <col min="4610" max="4610" width="37.109375" style="474" customWidth="1"/>
    <col min="4611" max="4611" width="14.44140625" style="474" customWidth="1"/>
    <col min="4612" max="4612" width="19.44140625" style="474" customWidth="1"/>
    <col min="4613" max="4613" width="13.109375" style="474" customWidth="1"/>
    <col min="4614" max="4614" width="6" style="474" customWidth="1"/>
    <col min="4615" max="4615" width="5.88671875" style="474" customWidth="1"/>
    <col min="4616" max="4864" width="9.109375" style="474"/>
    <col min="4865" max="4865" width="5.88671875" style="474" customWidth="1"/>
    <col min="4866" max="4866" width="37.109375" style="474" customWidth="1"/>
    <col min="4867" max="4867" width="14.44140625" style="474" customWidth="1"/>
    <col min="4868" max="4868" width="19.44140625" style="474" customWidth="1"/>
    <col min="4869" max="4869" width="13.109375" style="474" customWidth="1"/>
    <col min="4870" max="4870" width="6" style="474" customWidth="1"/>
    <col min="4871" max="4871" width="5.88671875" style="474" customWidth="1"/>
    <col min="4872" max="5120" width="9.109375" style="474"/>
    <col min="5121" max="5121" width="5.88671875" style="474" customWidth="1"/>
    <col min="5122" max="5122" width="37.109375" style="474" customWidth="1"/>
    <col min="5123" max="5123" width="14.44140625" style="474" customWidth="1"/>
    <col min="5124" max="5124" width="19.44140625" style="474" customWidth="1"/>
    <col min="5125" max="5125" width="13.109375" style="474" customWidth="1"/>
    <col min="5126" max="5126" width="6" style="474" customWidth="1"/>
    <col min="5127" max="5127" width="5.88671875" style="474" customWidth="1"/>
    <col min="5128" max="5376" width="9.109375" style="474"/>
    <col min="5377" max="5377" width="5.88671875" style="474" customWidth="1"/>
    <col min="5378" max="5378" width="37.109375" style="474" customWidth="1"/>
    <col min="5379" max="5379" width="14.44140625" style="474" customWidth="1"/>
    <col min="5380" max="5380" width="19.44140625" style="474" customWidth="1"/>
    <col min="5381" max="5381" width="13.109375" style="474" customWidth="1"/>
    <col min="5382" max="5382" width="6" style="474" customWidth="1"/>
    <col min="5383" max="5383" width="5.88671875" style="474" customWidth="1"/>
    <col min="5384" max="5632" width="9.109375" style="474"/>
    <col min="5633" max="5633" width="5.88671875" style="474" customWidth="1"/>
    <col min="5634" max="5634" width="37.109375" style="474" customWidth="1"/>
    <col min="5635" max="5635" width="14.44140625" style="474" customWidth="1"/>
    <col min="5636" max="5636" width="19.44140625" style="474" customWidth="1"/>
    <col min="5637" max="5637" width="13.109375" style="474" customWidth="1"/>
    <col min="5638" max="5638" width="6" style="474" customWidth="1"/>
    <col min="5639" max="5639" width="5.88671875" style="474" customWidth="1"/>
    <col min="5640" max="5888" width="9.109375" style="474"/>
    <col min="5889" max="5889" width="5.88671875" style="474" customWidth="1"/>
    <col min="5890" max="5890" width="37.109375" style="474" customWidth="1"/>
    <col min="5891" max="5891" width="14.44140625" style="474" customWidth="1"/>
    <col min="5892" max="5892" width="19.44140625" style="474" customWidth="1"/>
    <col min="5893" max="5893" width="13.109375" style="474" customWidth="1"/>
    <col min="5894" max="5894" width="6" style="474" customWidth="1"/>
    <col min="5895" max="5895" width="5.88671875" style="474" customWidth="1"/>
    <col min="5896" max="6144" width="9.109375" style="474"/>
    <col min="6145" max="6145" width="5.88671875" style="474" customWidth="1"/>
    <col min="6146" max="6146" width="37.109375" style="474" customWidth="1"/>
    <col min="6147" max="6147" width="14.44140625" style="474" customWidth="1"/>
    <col min="6148" max="6148" width="19.44140625" style="474" customWidth="1"/>
    <col min="6149" max="6149" width="13.109375" style="474" customWidth="1"/>
    <col min="6150" max="6150" width="6" style="474" customWidth="1"/>
    <col min="6151" max="6151" width="5.88671875" style="474" customWidth="1"/>
    <col min="6152" max="6400" width="9.109375" style="474"/>
    <col min="6401" max="6401" width="5.88671875" style="474" customWidth="1"/>
    <col min="6402" max="6402" width="37.109375" style="474" customWidth="1"/>
    <col min="6403" max="6403" width="14.44140625" style="474" customWidth="1"/>
    <col min="6404" max="6404" width="19.44140625" style="474" customWidth="1"/>
    <col min="6405" max="6405" width="13.109375" style="474" customWidth="1"/>
    <col min="6406" max="6406" width="6" style="474" customWidth="1"/>
    <col min="6407" max="6407" width="5.88671875" style="474" customWidth="1"/>
    <col min="6408" max="6656" width="9.109375" style="474"/>
    <col min="6657" max="6657" width="5.88671875" style="474" customWidth="1"/>
    <col min="6658" max="6658" width="37.109375" style="474" customWidth="1"/>
    <col min="6659" max="6659" width="14.44140625" style="474" customWidth="1"/>
    <col min="6660" max="6660" width="19.44140625" style="474" customWidth="1"/>
    <col min="6661" max="6661" width="13.109375" style="474" customWidth="1"/>
    <col min="6662" max="6662" width="6" style="474" customWidth="1"/>
    <col min="6663" max="6663" width="5.88671875" style="474" customWidth="1"/>
    <col min="6664" max="6912" width="9.109375" style="474"/>
    <col min="6913" max="6913" width="5.88671875" style="474" customWidth="1"/>
    <col min="6914" max="6914" width="37.109375" style="474" customWidth="1"/>
    <col min="6915" max="6915" width="14.44140625" style="474" customWidth="1"/>
    <col min="6916" max="6916" width="19.44140625" style="474" customWidth="1"/>
    <col min="6917" max="6917" width="13.109375" style="474" customWidth="1"/>
    <col min="6918" max="6918" width="6" style="474" customWidth="1"/>
    <col min="6919" max="6919" width="5.88671875" style="474" customWidth="1"/>
    <col min="6920" max="7168" width="9.109375" style="474"/>
    <col min="7169" max="7169" width="5.88671875" style="474" customWidth="1"/>
    <col min="7170" max="7170" width="37.109375" style="474" customWidth="1"/>
    <col min="7171" max="7171" width="14.44140625" style="474" customWidth="1"/>
    <col min="7172" max="7172" width="19.44140625" style="474" customWidth="1"/>
    <col min="7173" max="7173" width="13.109375" style="474" customWidth="1"/>
    <col min="7174" max="7174" width="6" style="474" customWidth="1"/>
    <col min="7175" max="7175" width="5.88671875" style="474" customWidth="1"/>
    <col min="7176" max="7424" width="9.109375" style="474"/>
    <col min="7425" max="7425" width="5.88671875" style="474" customWidth="1"/>
    <col min="7426" max="7426" width="37.109375" style="474" customWidth="1"/>
    <col min="7427" max="7427" width="14.44140625" style="474" customWidth="1"/>
    <col min="7428" max="7428" width="19.44140625" style="474" customWidth="1"/>
    <col min="7429" max="7429" width="13.109375" style="474" customWidth="1"/>
    <col min="7430" max="7430" width="6" style="474" customWidth="1"/>
    <col min="7431" max="7431" width="5.88671875" style="474" customWidth="1"/>
    <col min="7432" max="7680" width="9.109375" style="474"/>
    <col min="7681" max="7681" width="5.88671875" style="474" customWidth="1"/>
    <col min="7682" max="7682" width="37.109375" style="474" customWidth="1"/>
    <col min="7683" max="7683" width="14.44140625" style="474" customWidth="1"/>
    <col min="7684" max="7684" width="19.44140625" style="474" customWidth="1"/>
    <col min="7685" max="7685" width="13.109375" style="474" customWidth="1"/>
    <col min="7686" max="7686" width="6" style="474" customWidth="1"/>
    <col min="7687" max="7687" width="5.88671875" style="474" customWidth="1"/>
    <col min="7688" max="7936" width="9.109375" style="474"/>
    <col min="7937" max="7937" width="5.88671875" style="474" customWidth="1"/>
    <col min="7938" max="7938" width="37.109375" style="474" customWidth="1"/>
    <col min="7939" max="7939" width="14.44140625" style="474" customWidth="1"/>
    <col min="7940" max="7940" width="19.44140625" style="474" customWidth="1"/>
    <col min="7941" max="7941" width="13.109375" style="474" customWidth="1"/>
    <col min="7942" max="7942" width="6" style="474" customWidth="1"/>
    <col min="7943" max="7943" width="5.88671875" style="474" customWidth="1"/>
    <col min="7944" max="8192" width="9.109375" style="474"/>
    <col min="8193" max="8193" width="5.88671875" style="474" customWidth="1"/>
    <col min="8194" max="8194" width="37.109375" style="474" customWidth="1"/>
    <col min="8195" max="8195" width="14.44140625" style="474" customWidth="1"/>
    <col min="8196" max="8196" width="19.44140625" style="474" customWidth="1"/>
    <col min="8197" max="8197" width="13.109375" style="474" customWidth="1"/>
    <col min="8198" max="8198" width="6" style="474" customWidth="1"/>
    <col min="8199" max="8199" width="5.88671875" style="474" customWidth="1"/>
    <col min="8200" max="8448" width="9.109375" style="474"/>
    <col min="8449" max="8449" width="5.88671875" style="474" customWidth="1"/>
    <col min="8450" max="8450" width="37.109375" style="474" customWidth="1"/>
    <col min="8451" max="8451" width="14.44140625" style="474" customWidth="1"/>
    <col min="8452" max="8452" width="19.44140625" style="474" customWidth="1"/>
    <col min="8453" max="8453" width="13.109375" style="474" customWidth="1"/>
    <col min="8454" max="8454" width="6" style="474" customWidth="1"/>
    <col min="8455" max="8455" width="5.88671875" style="474" customWidth="1"/>
    <col min="8456" max="8704" width="9.109375" style="474"/>
    <col min="8705" max="8705" width="5.88671875" style="474" customWidth="1"/>
    <col min="8706" max="8706" width="37.109375" style="474" customWidth="1"/>
    <col min="8707" max="8707" width="14.44140625" style="474" customWidth="1"/>
    <col min="8708" max="8708" width="19.44140625" style="474" customWidth="1"/>
    <col min="8709" max="8709" width="13.109375" style="474" customWidth="1"/>
    <col min="8710" max="8710" width="6" style="474" customWidth="1"/>
    <col min="8711" max="8711" width="5.88671875" style="474" customWidth="1"/>
    <col min="8712" max="8960" width="9.109375" style="474"/>
    <col min="8961" max="8961" width="5.88671875" style="474" customWidth="1"/>
    <col min="8962" max="8962" width="37.109375" style="474" customWidth="1"/>
    <col min="8963" max="8963" width="14.44140625" style="474" customWidth="1"/>
    <col min="8964" max="8964" width="19.44140625" style="474" customWidth="1"/>
    <col min="8965" max="8965" width="13.109375" style="474" customWidth="1"/>
    <col min="8966" max="8966" width="6" style="474" customWidth="1"/>
    <col min="8967" max="8967" width="5.88671875" style="474" customWidth="1"/>
    <col min="8968" max="9216" width="9.109375" style="474"/>
    <col min="9217" max="9217" width="5.88671875" style="474" customWidth="1"/>
    <col min="9218" max="9218" width="37.109375" style="474" customWidth="1"/>
    <col min="9219" max="9219" width="14.44140625" style="474" customWidth="1"/>
    <col min="9220" max="9220" width="19.44140625" style="474" customWidth="1"/>
    <col min="9221" max="9221" width="13.109375" style="474" customWidth="1"/>
    <col min="9222" max="9222" width="6" style="474" customWidth="1"/>
    <col min="9223" max="9223" width="5.88671875" style="474" customWidth="1"/>
    <col min="9224" max="9472" width="9.109375" style="474"/>
    <col min="9473" max="9473" width="5.88671875" style="474" customWidth="1"/>
    <col min="9474" max="9474" width="37.109375" style="474" customWidth="1"/>
    <col min="9475" max="9475" width="14.44140625" style="474" customWidth="1"/>
    <col min="9476" max="9476" width="19.44140625" style="474" customWidth="1"/>
    <col min="9477" max="9477" width="13.109375" style="474" customWidth="1"/>
    <col min="9478" max="9478" width="6" style="474" customWidth="1"/>
    <col min="9479" max="9479" width="5.88671875" style="474" customWidth="1"/>
    <col min="9480" max="9728" width="9.109375" style="474"/>
    <col min="9729" max="9729" width="5.88671875" style="474" customWidth="1"/>
    <col min="9730" max="9730" width="37.109375" style="474" customWidth="1"/>
    <col min="9731" max="9731" width="14.44140625" style="474" customWidth="1"/>
    <col min="9732" max="9732" width="19.44140625" style="474" customWidth="1"/>
    <col min="9733" max="9733" width="13.109375" style="474" customWidth="1"/>
    <col min="9734" max="9734" width="6" style="474" customWidth="1"/>
    <col min="9735" max="9735" width="5.88671875" style="474" customWidth="1"/>
    <col min="9736" max="9984" width="9.109375" style="474"/>
    <col min="9985" max="9985" width="5.88671875" style="474" customWidth="1"/>
    <col min="9986" max="9986" width="37.109375" style="474" customWidth="1"/>
    <col min="9987" max="9987" width="14.44140625" style="474" customWidth="1"/>
    <col min="9988" max="9988" width="19.44140625" style="474" customWidth="1"/>
    <col min="9989" max="9989" width="13.109375" style="474" customWidth="1"/>
    <col min="9990" max="9990" width="6" style="474" customWidth="1"/>
    <col min="9991" max="9991" width="5.88671875" style="474" customWidth="1"/>
    <col min="9992" max="10240" width="9.109375" style="474"/>
    <col min="10241" max="10241" width="5.88671875" style="474" customWidth="1"/>
    <col min="10242" max="10242" width="37.109375" style="474" customWidth="1"/>
    <col min="10243" max="10243" width="14.44140625" style="474" customWidth="1"/>
    <col min="10244" max="10244" width="19.44140625" style="474" customWidth="1"/>
    <col min="10245" max="10245" width="13.109375" style="474" customWidth="1"/>
    <col min="10246" max="10246" width="6" style="474" customWidth="1"/>
    <col min="10247" max="10247" width="5.88671875" style="474" customWidth="1"/>
    <col min="10248" max="10496" width="9.109375" style="474"/>
    <col min="10497" max="10497" width="5.88671875" style="474" customWidth="1"/>
    <col min="10498" max="10498" width="37.109375" style="474" customWidth="1"/>
    <col min="10499" max="10499" width="14.44140625" style="474" customWidth="1"/>
    <col min="10500" max="10500" width="19.44140625" style="474" customWidth="1"/>
    <col min="10501" max="10501" width="13.109375" style="474" customWidth="1"/>
    <col min="10502" max="10502" width="6" style="474" customWidth="1"/>
    <col min="10503" max="10503" width="5.88671875" style="474" customWidth="1"/>
    <col min="10504" max="10752" width="9.109375" style="474"/>
    <col min="10753" max="10753" width="5.88671875" style="474" customWidth="1"/>
    <col min="10754" max="10754" width="37.109375" style="474" customWidth="1"/>
    <col min="10755" max="10755" width="14.44140625" style="474" customWidth="1"/>
    <col min="10756" max="10756" width="19.44140625" style="474" customWidth="1"/>
    <col min="10757" max="10757" width="13.109375" style="474" customWidth="1"/>
    <col min="10758" max="10758" width="6" style="474" customWidth="1"/>
    <col min="10759" max="10759" width="5.88671875" style="474" customWidth="1"/>
    <col min="10760" max="11008" width="9.109375" style="474"/>
    <col min="11009" max="11009" width="5.88671875" style="474" customWidth="1"/>
    <col min="11010" max="11010" width="37.109375" style="474" customWidth="1"/>
    <col min="11011" max="11011" width="14.44140625" style="474" customWidth="1"/>
    <col min="11012" max="11012" width="19.44140625" style="474" customWidth="1"/>
    <col min="11013" max="11013" width="13.109375" style="474" customWidth="1"/>
    <col min="11014" max="11014" width="6" style="474" customWidth="1"/>
    <col min="11015" max="11015" width="5.88671875" style="474" customWidth="1"/>
    <col min="11016" max="11264" width="9.109375" style="474"/>
    <col min="11265" max="11265" width="5.88671875" style="474" customWidth="1"/>
    <col min="11266" max="11266" width="37.109375" style="474" customWidth="1"/>
    <col min="11267" max="11267" width="14.44140625" style="474" customWidth="1"/>
    <col min="11268" max="11268" width="19.44140625" style="474" customWidth="1"/>
    <col min="11269" max="11269" width="13.109375" style="474" customWidth="1"/>
    <col min="11270" max="11270" width="6" style="474" customWidth="1"/>
    <col min="11271" max="11271" width="5.88671875" style="474" customWidth="1"/>
    <col min="11272" max="11520" width="9.109375" style="474"/>
    <col min="11521" max="11521" width="5.88671875" style="474" customWidth="1"/>
    <col min="11522" max="11522" width="37.109375" style="474" customWidth="1"/>
    <col min="11523" max="11523" width="14.44140625" style="474" customWidth="1"/>
    <col min="11524" max="11524" width="19.44140625" style="474" customWidth="1"/>
    <col min="11525" max="11525" width="13.109375" style="474" customWidth="1"/>
    <col min="11526" max="11526" width="6" style="474" customWidth="1"/>
    <col min="11527" max="11527" width="5.88671875" style="474" customWidth="1"/>
    <col min="11528" max="11776" width="9.109375" style="474"/>
    <col min="11777" max="11777" width="5.88671875" style="474" customWidth="1"/>
    <col min="11778" max="11778" width="37.109375" style="474" customWidth="1"/>
    <col min="11779" max="11779" width="14.44140625" style="474" customWidth="1"/>
    <col min="11780" max="11780" width="19.44140625" style="474" customWidth="1"/>
    <col min="11781" max="11781" width="13.109375" style="474" customWidth="1"/>
    <col min="11782" max="11782" width="6" style="474" customWidth="1"/>
    <col min="11783" max="11783" width="5.88671875" style="474" customWidth="1"/>
    <col min="11784" max="12032" width="9.109375" style="474"/>
    <col min="12033" max="12033" width="5.88671875" style="474" customWidth="1"/>
    <col min="12034" max="12034" width="37.109375" style="474" customWidth="1"/>
    <col min="12035" max="12035" width="14.44140625" style="474" customWidth="1"/>
    <col min="12036" max="12036" width="19.44140625" style="474" customWidth="1"/>
    <col min="12037" max="12037" width="13.109375" style="474" customWidth="1"/>
    <col min="12038" max="12038" width="6" style="474" customWidth="1"/>
    <col min="12039" max="12039" width="5.88671875" style="474" customWidth="1"/>
    <col min="12040" max="12288" width="9.109375" style="474"/>
    <col min="12289" max="12289" width="5.88671875" style="474" customWidth="1"/>
    <col min="12290" max="12290" width="37.109375" style="474" customWidth="1"/>
    <col min="12291" max="12291" width="14.44140625" style="474" customWidth="1"/>
    <col min="12292" max="12292" width="19.44140625" style="474" customWidth="1"/>
    <col min="12293" max="12293" width="13.109375" style="474" customWidth="1"/>
    <col min="12294" max="12294" width="6" style="474" customWidth="1"/>
    <col min="12295" max="12295" width="5.88671875" style="474" customWidth="1"/>
    <col min="12296" max="12544" width="9.109375" style="474"/>
    <col min="12545" max="12545" width="5.88671875" style="474" customWidth="1"/>
    <col min="12546" max="12546" width="37.109375" style="474" customWidth="1"/>
    <col min="12547" max="12547" width="14.44140625" style="474" customWidth="1"/>
    <col min="12548" max="12548" width="19.44140625" style="474" customWidth="1"/>
    <col min="12549" max="12549" width="13.109375" style="474" customWidth="1"/>
    <col min="12550" max="12550" width="6" style="474" customWidth="1"/>
    <col min="12551" max="12551" width="5.88671875" style="474" customWidth="1"/>
    <col min="12552" max="12800" width="9.109375" style="474"/>
    <col min="12801" max="12801" width="5.88671875" style="474" customWidth="1"/>
    <col min="12802" max="12802" width="37.109375" style="474" customWidth="1"/>
    <col min="12803" max="12803" width="14.44140625" style="474" customWidth="1"/>
    <col min="12804" max="12804" width="19.44140625" style="474" customWidth="1"/>
    <col min="12805" max="12805" width="13.109375" style="474" customWidth="1"/>
    <col min="12806" max="12806" width="6" style="474" customWidth="1"/>
    <col min="12807" max="12807" width="5.88671875" style="474" customWidth="1"/>
    <col min="12808" max="13056" width="9.109375" style="474"/>
    <col min="13057" max="13057" width="5.88671875" style="474" customWidth="1"/>
    <col min="13058" max="13058" width="37.109375" style="474" customWidth="1"/>
    <col min="13059" max="13059" width="14.44140625" style="474" customWidth="1"/>
    <col min="13060" max="13060" width="19.44140625" style="474" customWidth="1"/>
    <col min="13061" max="13061" width="13.109375" style="474" customWidth="1"/>
    <col min="13062" max="13062" width="6" style="474" customWidth="1"/>
    <col min="13063" max="13063" width="5.88671875" style="474" customWidth="1"/>
    <col min="13064" max="13312" width="9.109375" style="474"/>
    <col min="13313" max="13313" width="5.88671875" style="474" customWidth="1"/>
    <col min="13314" max="13314" width="37.109375" style="474" customWidth="1"/>
    <col min="13315" max="13315" width="14.44140625" style="474" customWidth="1"/>
    <col min="13316" max="13316" width="19.44140625" style="474" customWidth="1"/>
    <col min="13317" max="13317" width="13.109375" style="474" customWidth="1"/>
    <col min="13318" max="13318" width="6" style="474" customWidth="1"/>
    <col min="13319" max="13319" width="5.88671875" style="474" customWidth="1"/>
    <col min="13320" max="13568" width="9.109375" style="474"/>
    <col min="13569" max="13569" width="5.88671875" style="474" customWidth="1"/>
    <col min="13570" max="13570" width="37.109375" style="474" customWidth="1"/>
    <col min="13571" max="13571" width="14.44140625" style="474" customWidth="1"/>
    <col min="13572" max="13572" width="19.44140625" style="474" customWidth="1"/>
    <col min="13573" max="13573" width="13.109375" style="474" customWidth="1"/>
    <col min="13574" max="13574" width="6" style="474" customWidth="1"/>
    <col min="13575" max="13575" width="5.88671875" style="474" customWidth="1"/>
    <col min="13576" max="13824" width="9.109375" style="474"/>
    <col min="13825" max="13825" width="5.88671875" style="474" customWidth="1"/>
    <col min="13826" max="13826" width="37.109375" style="474" customWidth="1"/>
    <col min="13827" max="13827" width="14.44140625" style="474" customWidth="1"/>
    <col min="13828" max="13828" width="19.44140625" style="474" customWidth="1"/>
    <col min="13829" max="13829" width="13.109375" style="474" customWidth="1"/>
    <col min="13830" max="13830" width="6" style="474" customWidth="1"/>
    <col min="13831" max="13831" width="5.88671875" style="474" customWidth="1"/>
    <col min="13832" max="14080" width="9.109375" style="474"/>
    <col min="14081" max="14081" width="5.88671875" style="474" customWidth="1"/>
    <col min="14082" max="14082" width="37.109375" style="474" customWidth="1"/>
    <col min="14083" max="14083" width="14.44140625" style="474" customWidth="1"/>
    <col min="14084" max="14084" width="19.44140625" style="474" customWidth="1"/>
    <col min="14085" max="14085" width="13.109375" style="474" customWidth="1"/>
    <col min="14086" max="14086" width="6" style="474" customWidth="1"/>
    <col min="14087" max="14087" width="5.88671875" style="474" customWidth="1"/>
    <col min="14088" max="14336" width="9.109375" style="474"/>
    <col min="14337" max="14337" width="5.88671875" style="474" customWidth="1"/>
    <col min="14338" max="14338" width="37.109375" style="474" customWidth="1"/>
    <col min="14339" max="14339" width="14.44140625" style="474" customWidth="1"/>
    <col min="14340" max="14340" width="19.44140625" style="474" customWidth="1"/>
    <col min="14341" max="14341" width="13.109375" style="474" customWidth="1"/>
    <col min="14342" max="14342" width="6" style="474" customWidth="1"/>
    <col min="14343" max="14343" width="5.88671875" style="474" customWidth="1"/>
    <col min="14344" max="14592" width="9.109375" style="474"/>
    <col min="14593" max="14593" width="5.88671875" style="474" customWidth="1"/>
    <col min="14594" max="14594" width="37.109375" style="474" customWidth="1"/>
    <col min="14595" max="14595" width="14.44140625" style="474" customWidth="1"/>
    <col min="14596" max="14596" width="19.44140625" style="474" customWidth="1"/>
    <col min="14597" max="14597" width="13.109375" style="474" customWidth="1"/>
    <col min="14598" max="14598" width="6" style="474" customWidth="1"/>
    <col min="14599" max="14599" width="5.88671875" style="474" customWidth="1"/>
    <col min="14600" max="14848" width="9.109375" style="474"/>
    <col min="14849" max="14849" width="5.88671875" style="474" customWidth="1"/>
    <col min="14850" max="14850" width="37.109375" style="474" customWidth="1"/>
    <col min="14851" max="14851" width="14.44140625" style="474" customWidth="1"/>
    <col min="14852" max="14852" width="19.44140625" style="474" customWidth="1"/>
    <col min="14853" max="14853" width="13.109375" style="474" customWidth="1"/>
    <col min="14854" max="14854" width="6" style="474" customWidth="1"/>
    <col min="14855" max="14855" width="5.88671875" style="474" customWidth="1"/>
    <col min="14856" max="15104" width="9.109375" style="474"/>
    <col min="15105" max="15105" width="5.88671875" style="474" customWidth="1"/>
    <col min="15106" max="15106" width="37.109375" style="474" customWidth="1"/>
    <col min="15107" max="15107" width="14.44140625" style="474" customWidth="1"/>
    <col min="15108" max="15108" width="19.44140625" style="474" customWidth="1"/>
    <col min="15109" max="15109" width="13.109375" style="474" customWidth="1"/>
    <col min="15110" max="15110" width="6" style="474" customWidth="1"/>
    <col min="15111" max="15111" width="5.88671875" style="474" customWidth="1"/>
    <col min="15112" max="15360" width="9.109375" style="474"/>
    <col min="15361" max="15361" width="5.88671875" style="474" customWidth="1"/>
    <col min="15362" max="15362" width="37.109375" style="474" customWidth="1"/>
    <col min="15363" max="15363" width="14.44140625" style="474" customWidth="1"/>
    <col min="15364" max="15364" width="19.44140625" style="474" customWidth="1"/>
    <col min="15365" max="15365" width="13.109375" style="474" customWidth="1"/>
    <col min="15366" max="15366" width="6" style="474" customWidth="1"/>
    <col min="15367" max="15367" width="5.88671875" style="474" customWidth="1"/>
    <col min="15368" max="15616" width="9.109375" style="474"/>
    <col min="15617" max="15617" width="5.88671875" style="474" customWidth="1"/>
    <col min="15618" max="15618" width="37.109375" style="474" customWidth="1"/>
    <col min="15619" max="15619" width="14.44140625" style="474" customWidth="1"/>
    <col min="15620" max="15620" width="19.44140625" style="474" customWidth="1"/>
    <col min="15621" max="15621" width="13.109375" style="474" customWidth="1"/>
    <col min="15622" max="15622" width="6" style="474" customWidth="1"/>
    <col min="15623" max="15623" width="5.88671875" style="474" customWidth="1"/>
    <col min="15624" max="15872" width="9.109375" style="474"/>
    <col min="15873" max="15873" width="5.88671875" style="474" customWidth="1"/>
    <col min="15874" max="15874" width="37.109375" style="474" customWidth="1"/>
    <col min="15875" max="15875" width="14.44140625" style="474" customWidth="1"/>
    <col min="15876" max="15876" width="19.44140625" style="474" customWidth="1"/>
    <col min="15877" max="15877" width="13.109375" style="474" customWidth="1"/>
    <col min="15878" max="15878" width="6" style="474" customWidth="1"/>
    <col min="15879" max="15879" width="5.88671875" style="474" customWidth="1"/>
    <col min="15880" max="16128" width="9.109375" style="474"/>
    <col min="16129" max="16129" width="5.88671875" style="474" customWidth="1"/>
    <col min="16130" max="16130" width="37.109375" style="474" customWidth="1"/>
    <col min="16131" max="16131" width="14.44140625" style="474" customWidth="1"/>
    <col min="16132" max="16132" width="19.44140625" style="474" customWidth="1"/>
    <col min="16133" max="16133" width="13.109375" style="474" customWidth="1"/>
    <col min="16134" max="16134" width="6" style="474" customWidth="1"/>
    <col min="16135" max="16135" width="5.88671875" style="474" customWidth="1"/>
    <col min="16136" max="16384" width="9.109375" style="474"/>
  </cols>
  <sheetData>
    <row r="1" spans="1:7" s="713" customFormat="1" ht="15.6">
      <c r="A1" s="15225" t="s">
        <v>2138</v>
      </c>
      <c r="B1" s="15225"/>
      <c r="C1" s="15225"/>
      <c r="D1" s="15225"/>
      <c r="E1" s="15225"/>
      <c r="F1" s="15225"/>
      <c r="G1" s="15225"/>
    </row>
    <row r="2" spans="1:7" s="713" customFormat="1" ht="15.6">
      <c r="C2" s="714"/>
      <c r="E2" s="730"/>
    </row>
    <row r="3" spans="1:7" s="713" customFormat="1" ht="15.6">
      <c r="A3" s="713" t="s">
        <v>9594</v>
      </c>
      <c r="C3" s="714"/>
      <c r="E3" s="730"/>
    </row>
    <row r="4" spans="1:7" s="713" customFormat="1" ht="15.6">
      <c r="A4" s="713" t="s">
        <v>9595</v>
      </c>
      <c r="C4" s="714"/>
      <c r="E4" s="730"/>
    </row>
    <row r="5" spans="1:7" s="713" customFormat="1" ht="15.6">
      <c r="C5" s="714"/>
      <c r="E5" s="730"/>
    </row>
    <row r="6" spans="1:7" s="715" customFormat="1" ht="16.5" customHeight="1">
      <c r="A6" s="715" t="s">
        <v>2054</v>
      </c>
      <c r="C6" s="716"/>
      <c r="E6" s="731"/>
    </row>
    <row r="7" spans="1:7" ht="33.75" customHeight="1">
      <c r="A7" s="15226" t="s">
        <v>3700</v>
      </c>
      <c r="B7" s="15226"/>
      <c r="C7" s="15226"/>
      <c r="D7" s="15226"/>
      <c r="E7" s="15226"/>
      <c r="F7" s="15226"/>
      <c r="G7" s="15226"/>
    </row>
    <row r="8" spans="1:7" ht="12.75" customHeight="1">
      <c r="A8" s="4050"/>
      <c r="B8" s="4050"/>
      <c r="C8" s="4050"/>
      <c r="D8" s="4050"/>
      <c r="E8" s="4050"/>
      <c r="F8" s="4050"/>
      <c r="G8" s="4050"/>
    </row>
    <row r="9" spans="1:7" s="715" customFormat="1" ht="16.5" customHeight="1">
      <c r="A9" s="15227" t="s">
        <v>1753</v>
      </c>
      <c r="B9" s="15227"/>
      <c r="C9" s="732"/>
      <c r="D9" s="733"/>
      <c r="E9" s="733"/>
      <c r="F9" s="733"/>
      <c r="G9" s="733"/>
    </row>
    <row r="10" spans="1:7" ht="33" customHeight="1">
      <c r="A10" s="15226" t="s">
        <v>3701</v>
      </c>
      <c r="B10" s="15226"/>
      <c r="C10" s="15226"/>
      <c r="D10" s="15226"/>
      <c r="E10" s="15226"/>
      <c r="F10" s="15226"/>
      <c r="G10" s="15226"/>
    </row>
    <row r="11" spans="1:7" ht="15.75" customHeight="1">
      <c r="A11" s="4050"/>
      <c r="B11" s="4050"/>
      <c r="C11" s="4050"/>
      <c r="D11" s="4050"/>
      <c r="E11" s="4050"/>
      <c r="F11" s="4050"/>
      <c r="G11" s="4050"/>
    </row>
    <row r="12" spans="1:7" s="715" customFormat="1" ht="19.5" customHeight="1">
      <c r="A12" s="715" t="s">
        <v>1757</v>
      </c>
      <c r="C12" s="716"/>
      <c r="E12" s="731"/>
    </row>
    <row r="13" spans="1:7" s="720" customFormat="1" ht="26.4">
      <c r="A13" s="718" t="s">
        <v>2550</v>
      </c>
      <c r="B13" s="718" t="s">
        <v>2944</v>
      </c>
      <c r="C13" s="719" t="s">
        <v>1736</v>
      </c>
      <c r="D13" s="718" t="s">
        <v>1760</v>
      </c>
      <c r="E13" s="718" t="s">
        <v>1764</v>
      </c>
      <c r="F13" s="15228" t="s">
        <v>1739</v>
      </c>
      <c r="G13" s="15228"/>
    </row>
    <row r="14" spans="1:7" s="477" customFormat="1" ht="13.2">
      <c r="A14" s="735"/>
      <c r="B14" s="735"/>
      <c r="C14" s="736"/>
      <c r="D14" s="735"/>
      <c r="E14" s="721"/>
      <c r="F14" s="1381" t="s">
        <v>2032</v>
      </c>
      <c r="G14" s="1381" t="s">
        <v>2033</v>
      </c>
    </row>
    <row r="15" spans="1:7" ht="27.75" customHeight="1">
      <c r="A15" s="722"/>
      <c r="B15" s="722" t="s">
        <v>8841</v>
      </c>
      <c r="C15" s="723">
        <v>2000000</v>
      </c>
      <c r="D15" s="722" t="s">
        <v>3702</v>
      </c>
      <c r="E15" s="724"/>
      <c r="F15" s="722" t="s">
        <v>8837</v>
      </c>
      <c r="G15" s="722" t="s">
        <v>8838</v>
      </c>
    </row>
    <row r="16" spans="1:7" ht="39.75" customHeight="1">
      <c r="A16" s="722"/>
      <c r="B16" s="722" t="s">
        <v>8842</v>
      </c>
      <c r="C16" s="723">
        <v>2000000</v>
      </c>
      <c r="D16" s="722" t="s">
        <v>8843</v>
      </c>
      <c r="E16" s="724"/>
      <c r="F16" s="722" t="s">
        <v>8837</v>
      </c>
      <c r="G16" s="722" t="s">
        <v>8838</v>
      </c>
    </row>
    <row r="17" spans="1:7" ht="42" customHeight="1">
      <c r="A17" s="722"/>
      <c r="B17" s="722" t="s">
        <v>3704</v>
      </c>
      <c r="C17" s="723">
        <v>500000</v>
      </c>
      <c r="D17" s="722" t="s">
        <v>3703</v>
      </c>
      <c r="E17" s="724"/>
      <c r="F17" s="722" t="s">
        <v>8837</v>
      </c>
      <c r="G17" s="722" t="s">
        <v>8838</v>
      </c>
    </row>
    <row r="18" spans="1:7" ht="55.5" customHeight="1">
      <c r="A18" s="722"/>
      <c r="B18" s="722" t="s">
        <v>8844</v>
      </c>
      <c r="C18" s="723">
        <v>1000000</v>
      </c>
      <c r="D18" s="722" t="s">
        <v>3705</v>
      </c>
      <c r="E18" s="724"/>
      <c r="F18" s="722" t="s">
        <v>8837</v>
      </c>
      <c r="G18" s="722" t="s">
        <v>8838</v>
      </c>
    </row>
    <row r="19" spans="1:7" ht="42" customHeight="1">
      <c r="A19" s="722"/>
      <c r="B19" s="722" t="s">
        <v>3706</v>
      </c>
      <c r="C19" s="723">
        <v>300000</v>
      </c>
      <c r="D19" s="722" t="s">
        <v>3707</v>
      </c>
      <c r="E19" s="724"/>
      <c r="F19" s="722" t="s">
        <v>8837</v>
      </c>
      <c r="G19" s="722" t="s">
        <v>8838</v>
      </c>
    </row>
    <row r="20" spans="1:7" ht="30.75" customHeight="1">
      <c r="A20" s="722"/>
      <c r="B20" s="722" t="s">
        <v>3708</v>
      </c>
      <c r="C20" s="723">
        <v>500000</v>
      </c>
      <c r="D20" s="722" t="s">
        <v>3709</v>
      </c>
      <c r="E20" s="724"/>
      <c r="F20" s="722" t="s">
        <v>8837</v>
      </c>
      <c r="G20" s="722" t="s">
        <v>8838</v>
      </c>
    </row>
    <row r="21" spans="1:7" ht="30" customHeight="1">
      <c r="A21" s="722"/>
      <c r="B21" s="722" t="s">
        <v>8845</v>
      </c>
      <c r="C21" s="723">
        <v>300000</v>
      </c>
      <c r="D21" s="722" t="s">
        <v>8846</v>
      </c>
      <c r="E21" s="724"/>
      <c r="F21" s="722" t="s">
        <v>8837</v>
      </c>
      <c r="G21" s="722" t="s">
        <v>8838</v>
      </c>
    </row>
    <row r="22" spans="1:7" ht="44.25" customHeight="1">
      <c r="A22" s="722"/>
      <c r="B22" s="722" t="s">
        <v>8847</v>
      </c>
      <c r="C22" s="723">
        <v>300000</v>
      </c>
      <c r="D22" s="722" t="s">
        <v>3710</v>
      </c>
      <c r="E22" s="724"/>
      <c r="F22" s="722" t="s">
        <v>8837</v>
      </c>
      <c r="G22" s="722" t="s">
        <v>8838</v>
      </c>
    </row>
    <row r="23" spans="1:7" ht="33" customHeight="1">
      <c r="A23" s="722"/>
      <c r="B23" s="722" t="s">
        <v>8848</v>
      </c>
      <c r="C23" s="723">
        <v>1500000</v>
      </c>
      <c r="D23" s="722" t="s">
        <v>8846</v>
      </c>
      <c r="E23" s="724"/>
      <c r="F23" s="722" t="s">
        <v>8837</v>
      </c>
      <c r="G23" s="722" t="s">
        <v>8838</v>
      </c>
    </row>
    <row r="24" spans="1:7" ht="33.75" customHeight="1">
      <c r="A24" s="2541"/>
      <c r="B24" s="2541" t="s">
        <v>8849</v>
      </c>
      <c r="C24" s="2542">
        <v>300000</v>
      </c>
      <c r="D24" s="2541" t="s">
        <v>8850</v>
      </c>
      <c r="E24" s="2543"/>
      <c r="F24" s="722" t="s">
        <v>8837</v>
      </c>
      <c r="G24" s="722" t="s">
        <v>8838</v>
      </c>
    </row>
    <row r="25" spans="1:7" ht="25.5" customHeight="1">
      <c r="A25" s="722"/>
      <c r="B25" s="722" t="s">
        <v>8851</v>
      </c>
      <c r="C25" s="723">
        <v>300000</v>
      </c>
      <c r="D25" s="722" t="s">
        <v>3711</v>
      </c>
      <c r="E25" s="724"/>
      <c r="F25" s="722" t="s">
        <v>8837</v>
      </c>
      <c r="G25" s="722" t="s">
        <v>8838</v>
      </c>
    </row>
    <row r="26" spans="1:7" ht="56.25" customHeight="1">
      <c r="A26" s="722"/>
      <c r="B26" s="722" t="s">
        <v>3712</v>
      </c>
      <c r="C26" s="723">
        <v>300000</v>
      </c>
      <c r="D26" s="722" t="s">
        <v>3713</v>
      </c>
      <c r="E26" s="724"/>
      <c r="F26" s="722" t="s">
        <v>8837</v>
      </c>
      <c r="G26" s="722" t="s">
        <v>8838</v>
      </c>
    </row>
    <row r="27" spans="1:7" ht="33" customHeight="1">
      <c r="A27" s="722"/>
      <c r="B27" s="722" t="s">
        <v>8852</v>
      </c>
      <c r="C27" s="723">
        <v>300000</v>
      </c>
      <c r="D27" s="722" t="s">
        <v>8846</v>
      </c>
      <c r="E27" s="724"/>
      <c r="F27" s="722" t="s">
        <v>8837</v>
      </c>
      <c r="G27" s="722" t="s">
        <v>8838</v>
      </c>
    </row>
    <row r="28" spans="1:7" ht="33.75" customHeight="1">
      <c r="A28" s="2541"/>
      <c r="B28" s="2541" t="s">
        <v>8853</v>
      </c>
      <c r="C28" s="2542">
        <v>200000</v>
      </c>
      <c r="D28" s="2541" t="s">
        <v>8846</v>
      </c>
      <c r="E28" s="2543"/>
      <c r="F28" s="722" t="s">
        <v>8837</v>
      </c>
      <c r="G28" s="722" t="s">
        <v>8838</v>
      </c>
    </row>
    <row r="29" spans="1:7" ht="31.5" customHeight="1">
      <c r="A29" s="722"/>
      <c r="B29" s="722" t="s">
        <v>8854</v>
      </c>
      <c r="C29" s="723">
        <v>200000</v>
      </c>
      <c r="D29" s="722" t="s">
        <v>8855</v>
      </c>
      <c r="E29" s="724"/>
      <c r="F29" s="722" t="s">
        <v>8837</v>
      </c>
      <c r="G29" s="722" t="s">
        <v>8838</v>
      </c>
    </row>
    <row r="30" spans="1:7" s="477" customFormat="1" ht="13.2">
      <c r="A30" s="725"/>
      <c r="B30" s="726" t="s">
        <v>220</v>
      </c>
      <c r="C30" s="727">
        <f>SUM(C15:C29)</f>
        <v>10000000</v>
      </c>
      <c r="D30" s="725"/>
      <c r="E30" s="726"/>
      <c r="F30" s="725"/>
      <c r="G30" s="725"/>
    </row>
    <row r="31" spans="1:7">
      <c r="A31" s="478"/>
      <c r="B31" s="478"/>
      <c r="C31" s="728"/>
      <c r="D31" s="478"/>
      <c r="E31" s="729"/>
      <c r="F31" s="478"/>
      <c r="G31" s="478"/>
    </row>
    <row r="32" spans="1:7">
      <c r="A32" s="478"/>
      <c r="B32" s="478"/>
      <c r="C32" s="728"/>
      <c r="D32" s="478"/>
      <c r="E32" s="729"/>
      <c r="F32" s="478"/>
      <c r="G32" s="478"/>
    </row>
    <row r="33" spans="1:7">
      <c r="A33" s="478"/>
      <c r="B33" s="478"/>
      <c r="C33" s="728"/>
      <c r="D33" s="478"/>
      <c r="E33" s="729"/>
      <c r="F33" s="478"/>
      <c r="G33" s="478"/>
    </row>
    <row r="34" spans="1:7">
      <c r="A34" s="478"/>
      <c r="B34" s="478"/>
      <c r="C34" s="728"/>
      <c r="D34" s="478"/>
      <c r="E34" s="729"/>
      <c r="F34" s="478"/>
      <c r="G34" s="478"/>
    </row>
    <row r="35" spans="1:7">
      <c r="A35" s="478"/>
      <c r="B35" s="478"/>
      <c r="C35" s="728"/>
      <c r="D35" s="478"/>
      <c r="E35" s="729"/>
      <c r="F35" s="478"/>
      <c r="G35" s="478"/>
    </row>
    <row r="36" spans="1:7">
      <c r="A36" s="478"/>
      <c r="B36" s="478"/>
      <c r="C36" s="728"/>
      <c r="D36" s="478"/>
      <c r="E36" s="729"/>
      <c r="F36" s="478"/>
      <c r="G36" s="478"/>
    </row>
    <row r="37" spans="1:7">
      <c r="A37" s="478"/>
      <c r="B37" s="478"/>
      <c r="C37" s="728"/>
      <c r="D37" s="478"/>
      <c r="E37" s="729"/>
      <c r="F37" s="478"/>
      <c r="G37" s="478"/>
    </row>
    <row r="38" spans="1:7">
      <c r="A38" s="478"/>
      <c r="B38" s="478"/>
      <c r="C38" s="728"/>
      <c r="D38" s="478"/>
      <c r="E38" s="729"/>
      <c r="F38" s="478"/>
      <c r="G38" s="478"/>
    </row>
    <row r="39" spans="1:7">
      <c r="A39" s="478"/>
      <c r="B39" s="478"/>
      <c r="C39" s="728"/>
      <c r="D39" s="478"/>
      <c r="E39" s="729"/>
      <c r="F39" s="478"/>
      <c r="G39" s="478"/>
    </row>
    <row r="40" spans="1:7">
      <c r="A40" s="478"/>
      <c r="B40" s="478"/>
      <c r="C40" s="728"/>
      <c r="D40" s="478"/>
      <c r="E40" s="729"/>
      <c r="F40" s="478"/>
      <c r="G40" s="478"/>
    </row>
    <row r="41" spans="1:7">
      <c r="A41" s="478"/>
      <c r="B41" s="478"/>
      <c r="C41" s="728"/>
      <c r="D41" s="478"/>
      <c r="E41" s="729"/>
      <c r="F41" s="478"/>
      <c r="G41" s="478"/>
    </row>
    <row r="42" spans="1:7">
      <c r="A42" s="478"/>
      <c r="B42" s="478"/>
      <c r="C42" s="728"/>
      <c r="D42" s="478"/>
      <c r="E42" s="729"/>
      <c r="F42" s="478"/>
      <c r="G42" s="478"/>
    </row>
    <row r="43" spans="1:7">
      <c r="A43" s="478"/>
      <c r="B43" s="478"/>
      <c r="C43" s="728"/>
      <c r="D43" s="478"/>
      <c r="E43" s="729"/>
      <c r="F43" s="478"/>
      <c r="G43" s="478"/>
    </row>
    <row r="44" spans="1:7">
      <c r="A44" s="478"/>
      <c r="B44" s="478"/>
      <c r="C44" s="728"/>
      <c r="D44" s="478"/>
      <c r="E44" s="729"/>
      <c r="F44" s="478"/>
      <c r="G44" s="478"/>
    </row>
    <row r="45" spans="1:7">
      <c r="A45" s="478"/>
      <c r="B45" s="478"/>
      <c r="C45" s="728"/>
      <c r="D45" s="478"/>
      <c r="E45" s="729"/>
      <c r="F45" s="478"/>
      <c r="G45" s="478"/>
    </row>
    <row r="46" spans="1:7">
      <c r="A46" s="478"/>
      <c r="B46" s="478"/>
      <c r="C46" s="728"/>
      <c r="D46" s="478"/>
      <c r="E46" s="729"/>
      <c r="F46" s="478"/>
      <c r="G46" s="478"/>
    </row>
    <row r="47" spans="1:7">
      <c r="A47" s="478"/>
      <c r="B47" s="478"/>
      <c r="C47" s="728"/>
      <c r="D47" s="478"/>
      <c r="E47" s="729"/>
      <c r="F47" s="478"/>
      <c r="G47" s="478"/>
    </row>
    <row r="48" spans="1:7">
      <c r="A48" s="478"/>
      <c r="B48" s="478"/>
      <c r="C48" s="728"/>
      <c r="D48" s="478"/>
      <c r="E48" s="729"/>
      <c r="F48" s="478"/>
      <c r="G48" s="478"/>
    </row>
    <row r="49" spans="1:7">
      <c r="A49" s="478"/>
      <c r="B49" s="478"/>
      <c r="C49" s="728"/>
      <c r="D49" s="478"/>
      <c r="E49" s="729"/>
      <c r="F49" s="478"/>
      <c r="G49" s="478"/>
    </row>
    <row r="50" spans="1:7">
      <c r="A50" s="478"/>
      <c r="B50" s="478"/>
      <c r="C50" s="728"/>
      <c r="D50" s="478"/>
      <c r="E50" s="729"/>
      <c r="F50" s="478"/>
      <c r="G50" s="478"/>
    </row>
    <row r="51" spans="1:7">
      <c r="A51" s="478"/>
      <c r="B51" s="478"/>
      <c r="C51" s="728"/>
      <c r="D51" s="478"/>
      <c r="E51" s="729"/>
      <c r="F51" s="478"/>
      <c r="G51" s="478"/>
    </row>
    <row r="52" spans="1:7">
      <c r="A52" s="478"/>
      <c r="B52" s="478"/>
      <c r="C52" s="728"/>
      <c r="D52" s="478"/>
      <c r="E52" s="729"/>
      <c r="F52" s="478"/>
      <c r="G52" s="478"/>
    </row>
    <row r="53" spans="1:7">
      <c r="A53" s="478"/>
      <c r="B53" s="478"/>
      <c r="C53" s="728"/>
      <c r="D53" s="478"/>
      <c r="E53" s="729"/>
      <c r="F53" s="478"/>
      <c r="G53" s="478"/>
    </row>
    <row r="54" spans="1:7">
      <c r="A54" s="478"/>
      <c r="B54" s="478"/>
      <c r="C54" s="728"/>
      <c r="D54" s="478"/>
      <c r="E54" s="729"/>
      <c r="F54" s="478"/>
      <c r="G54" s="478"/>
    </row>
    <row r="55" spans="1:7">
      <c r="A55" s="478"/>
      <c r="B55" s="478"/>
      <c r="C55" s="728"/>
      <c r="D55" s="478"/>
      <c r="E55" s="729"/>
      <c r="F55" s="478"/>
      <c r="G55" s="478"/>
    </row>
    <row r="56" spans="1:7">
      <c r="A56" s="478"/>
      <c r="B56" s="478"/>
      <c r="C56" s="728"/>
      <c r="D56" s="478"/>
      <c r="E56" s="729"/>
      <c r="F56" s="478"/>
      <c r="G56" s="478"/>
    </row>
    <row r="57" spans="1:7">
      <c r="A57" s="478"/>
      <c r="B57" s="478"/>
      <c r="C57" s="728"/>
      <c r="D57" s="478"/>
      <c r="E57" s="729"/>
      <c r="F57" s="478"/>
      <c r="G57" s="478"/>
    </row>
    <row r="58" spans="1:7">
      <c r="A58" s="478"/>
      <c r="B58" s="478"/>
      <c r="C58" s="728"/>
      <c r="D58" s="478"/>
      <c r="E58" s="729"/>
      <c r="F58" s="478"/>
      <c r="G58" s="478"/>
    </row>
    <row r="59" spans="1:7">
      <c r="A59" s="478"/>
      <c r="B59" s="478"/>
      <c r="C59" s="728"/>
      <c r="D59" s="478"/>
      <c r="E59" s="729"/>
      <c r="F59" s="478"/>
      <c r="G59" s="478"/>
    </row>
    <row r="60" spans="1:7">
      <c r="A60" s="478"/>
      <c r="B60" s="478"/>
      <c r="C60" s="728"/>
      <c r="D60" s="478"/>
      <c r="E60" s="729"/>
      <c r="F60" s="478"/>
      <c r="G60" s="478"/>
    </row>
    <row r="61" spans="1:7">
      <c r="A61" s="478"/>
      <c r="B61" s="478"/>
      <c r="C61" s="728"/>
      <c r="D61" s="478"/>
      <c r="E61" s="729"/>
      <c r="F61" s="478"/>
      <c r="G61" s="478"/>
    </row>
    <row r="62" spans="1:7">
      <c r="A62" s="478"/>
      <c r="B62" s="478"/>
      <c r="C62" s="728"/>
      <c r="D62" s="478"/>
      <c r="E62" s="729"/>
      <c r="F62" s="478"/>
      <c r="G62" s="478"/>
    </row>
    <row r="63" spans="1:7">
      <c r="A63" s="478"/>
      <c r="B63" s="478"/>
      <c r="C63" s="728"/>
      <c r="D63" s="478"/>
      <c r="E63" s="729"/>
      <c r="F63" s="478"/>
      <c r="G63" s="478"/>
    </row>
    <row r="64" spans="1:7">
      <c r="A64" s="478"/>
      <c r="B64" s="478"/>
      <c r="C64" s="728"/>
      <c r="D64" s="478"/>
      <c r="E64" s="729"/>
      <c r="F64" s="478"/>
      <c r="G64" s="478"/>
    </row>
    <row r="65" spans="1:7">
      <c r="A65" s="478"/>
      <c r="B65" s="478"/>
      <c r="C65" s="728"/>
      <c r="D65" s="478"/>
      <c r="E65" s="729"/>
      <c r="F65" s="478"/>
      <c r="G65" s="478"/>
    </row>
    <row r="66" spans="1:7">
      <c r="A66" s="478"/>
      <c r="B66" s="478"/>
      <c r="C66" s="728"/>
      <c r="D66" s="478"/>
      <c r="E66" s="729"/>
      <c r="F66" s="478"/>
      <c r="G66" s="478"/>
    </row>
    <row r="67" spans="1:7">
      <c r="A67" s="478"/>
      <c r="B67" s="478"/>
      <c r="C67" s="728"/>
      <c r="D67" s="478"/>
      <c r="E67" s="729"/>
      <c r="F67" s="478"/>
      <c r="G67" s="478"/>
    </row>
    <row r="68" spans="1:7">
      <c r="A68" s="478"/>
      <c r="B68" s="478"/>
      <c r="C68" s="728"/>
      <c r="D68" s="478"/>
      <c r="E68" s="729"/>
      <c r="F68" s="478"/>
      <c r="G68" s="478"/>
    </row>
    <row r="69" spans="1:7">
      <c r="A69" s="478"/>
      <c r="B69" s="478"/>
      <c r="C69" s="728"/>
      <c r="D69" s="478"/>
      <c r="E69" s="729"/>
      <c r="F69" s="478"/>
      <c r="G69" s="478"/>
    </row>
    <row r="70" spans="1:7">
      <c r="A70" s="478"/>
      <c r="B70" s="478"/>
      <c r="C70" s="728"/>
      <c r="D70" s="478"/>
      <c r="E70" s="729"/>
      <c r="F70" s="478"/>
      <c r="G70" s="478"/>
    </row>
    <row r="71" spans="1:7">
      <c r="A71" s="478"/>
      <c r="B71" s="478"/>
      <c r="C71" s="728"/>
      <c r="D71" s="478"/>
      <c r="E71" s="729"/>
      <c r="F71" s="478"/>
      <c r="G71" s="478"/>
    </row>
    <row r="72" spans="1:7">
      <c r="A72" s="478"/>
      <c r="B72" s="478"/>
      <c r="C72" s="728"/>
      <c r="D72" s="478"/>
      <c r="E72" s="729"/>
      <c r="F72" s="478"/>
      <c r="G72" s="478"/>
    </row>
    <row r="73" spans="1:7">
      <c r="A73" s="478"/>
      <c r="B73" s="478"/>
      <c r="C73" s="728"/>
      <c r="D73" s="478"/>
      <c r="E73" s="729"/>
      <c r="F73" s="478"/>
      <c r="G73" s="478"/>
    </row>
    <row r="74" spans="1:7">
      <c r="A74" s="478"/>
      <c r="B74" s="478"/>
      <c r="C74" s="728"/>
      <c r="D74" s="478"/>
      <c r="E74" s="729"/>
      <c r="F74" s="478"/>
      <c r="G74" s="478"/>
    </row>
    <row r="75" spans="1:7">
      <c r="A75" s="478"/>
      <c r="B75" s="478"/>
      <c r="C75" s="728"/>
      <c r="D75" s="478"/>
      <c r="E75" s="729"/>
      <c r="F75" s="478"/>
      <c r="G75" s="478"/>
    </row>
    <row r="76" spans="1:7">
      <c r="A76" s="478"/>
      <c r="B76" s="478"/>
      <c r="C76" s="728"/>
      <c r="D76" s="478"/>
      <c r="E76" s="729"/>
      <c r="F76" s="478"/>
      <c r="G76" s="478"/>
    </row>
    <row r="77" spans="1:7">
      <c r="A77" s="478"/>
      <c r="B77" s="478"/>
      <c r="C77" s="728"/>
      <c r="D77" s="478"/>
      <c r="E77" s="729"/>
      <c r="F77" s="478"/>
      <c r="G77" s="478"/>
    </row>
    <row r="78" spans="1:7">
      <c r="A78" s="478"/>
      <c r="B78" s="478"/>
      <c r="C78" s="728"/>
      <c r="D78" s="478"/>
      <c r="E78" s="729"/>
      <c r="F78" s="478"/>
      <c r="G78" s="478"/>
    </row>
    <row r="79" spans="1:7">
      <c r="A79" s="478"/>
      <c r="B79" s="478"/>
      <c r="C79" s="728"/>
      <c r="D79" s="478"/>
      <c r="E79" s="729"/>
      <c r="F79" s="478"/>
      <c r="G79" s="478"/>
    </row>
    <row r="80" spans="1:7">
      <c r="A80" s="478"/>
      <c r="B80" s="478"/>
      <c r="C80" s="728"/>
      <c r="D80" s="478"/>
      <c r="E80" s="729"/>
      <c r="F80" s="478"/>
      <c r="G80" s="478"/>
    </row>
    <row r="81" spans="1:7">
      <c r="A81" s="478"/>
      <c r="B81" s="478"/>
      <c r="C81" s="728"/>
      <c r="D81" s="478"/>
      <c r="E81" s="729"/>
      <c r="F81" s="478"/>
      <c r="G81" s="478"/>
    </row>
    <row r="82" spans="1:7">
      <c r="A82" s="478"/>
      <c r="B82" s="478"/>
      <c r="C82" s="728"/>
      <c r="D82" s="478"/>
      <c r="E82" s="729"/>
      <c r="F82" s="478"/>
      <c r="G82" s="478"/>
    </row>
    <row r="83" spans="1:7">
      <c r="A83" s="478"/>
      <c r="B83" s="478"/>
      <c r="C83" s="728"/>
      <c r="D83" s="478"/>
      <c r="E83" s="729"/>
      <c r="F83" s="478"/>
      <c r="G83" s="478"/>
    </row>
    <row r="84" spans="1:7">
      <c r="A84" s="478"/>
      <c r="B84" s="478"/>
      <c r="C84" s="728"/>
      <c r="D84" s="478"/>
      <c r="E84" s="729"/>
      <c r="F84" s="478"/>
      <c r="G84" s="478"/>
    </row>
    <row r="85" spans="1:7">
      <c r="A85" s="478"/>
      <c r="B85" s="478"/>
      <c r="C85" s="728"/>
      <c r="D85" s="478"/>
      <c r="E85" s="729"/>
      <c r="F85" s="478"/>
      <c r="G85" s="478"/>
    </row>
    <row r="86" spans="1:7">
      <c r="A86" s="478"/>
      <c r="B86" s="478"/>
      <c r="C86" s="728"/>
      <c r="D86" s="478"/>
      <c r="E86" s="729"/>
      <c r="F86" s="478"/>
      <c r="G86" s="478"/>
    </row>
    <row r="87" spans="1:7">
      <c r="A87" s="478"/>
      <c r="B87" s="478"/>
      <c r="C87" s="728"/>
      <c r="D87" s="478"/>
      <c r="E87" s="729"/>
      <c r="F87" s="478"/>
      <c r="G87" s="478"/>
    </row>
    <row r="88" spans="1:7">
      <c r="A88" s="478"/>
      <c r="B88" s="478"/>
      <c r="C88" s="728"/>
      <c r="D88" s="478"/>
      <c r="E88" s="729"/>
      <c r="F88" s="478"/>
      <c r="G88" s="478"/>
    </row>
    <row r="89" spans="1:7">
      <c r="A89" s="478"/>
      <c r="B89" s="478"/>
      <c r="C89" s="728"/>
      <c r="D89" s="478"/>
      <c r="E89" s="729"/>
      <c r="F89" s="478"/>
      <c r="G89" s="478"/>
    </row>
    <row r="90" spans="1:7">
      <c r="A90" s="478"/>
      <c r="B90" s="478"/>
      <c r="C90" s="728"/>
      <c r="D90" s="478"/>
      <c r="E90" s="729"/>
      <c r="F90" s="478"/>
      <c r="G90" s="478"/>
    </row>
    <row r="91" spans="1:7">
      <c r="A91" s="478"/>
      <c r="B91" s="478"/>
      <c r="C91" s="728"/>
      <c r="D91" s="478"/>
      <c r="E91" s="729"/>
      <c r="F91" s="478"/>
      <c r="G91" s="478"/>
    </row>
    <row r="92" spans="1:7">
      <c r="A92" s="478"/>
      <c r="B92" s="478"/>
      <c r="C92" s="728"/>
      <c r="D92" s="478"/>
      <c r="E92" s="729"/>
      <c r="F92" s="478"/>
      <c r="G92" s="478"/>
    </row>
    <row r="93" spans="1:7">
      <c r="A93" s="478"/>
      <c r="B93" s="478"/>
      <c r="C93" s="728"/>
      <c r="D93" s="478"/>
      <c r="E93" s="729"/>
      <c r="F93" s="478"/>
      <c r="G93" s="478"/>
    </row>
    <row r="94" spans="1:7">
      <c r="A94" s="478"/>
      <c r="B94" s="478"/>
      <c r="C94" s="728"/>
      <c r="D94" s="478"/>
      <c r="E94" s="729"/>
      <c r="F94" s="478"/>
      <c r="G94" s="478"/>
    </row>
    <row r="95" spans="1:7">
      <c r="A95" s="478"/>
      <c r="B95" s="478"/>
      <c r="C95" s="728"/>
      <c r="D95" s="478"/>
      <c r="E95" s="729"/>
      <c r="F95" s="478"/>
      <c r="G95" s="478"/>
    </row>
    <row r="96" spans="1:7">
      <c r="A96" s="478"/>
      <c r="B96" s="478"/>
      <c r="C96" s="728"/>
      <c r="D96" s="478"/>
      <c r="E96" s="729"/>
      <c r="F96" s="478"/>
      <c r="G96" s="478"/>
    </row>
    <row r="97" spans="1:7">
      <c r="A97" s="478"/>
      <c r="B97" s="478"/>
      <c r="C97" s="728"/>
      <c r="D97" s="478"/>
      <c r="E97" s="729"/>
      <c r="F97" s="478"/>
      <c r="G97" s="478"/>
    </row>
    <row r="98" spans="1:7">
      <c r="A98" s="478"/>
      <c r="B98" s="478"/>
      <c r="C98" s="728"/>
      <c r="D98" s="478"/>
      <c r="E98" s="729"/>
      <c r="F98" s="478"/>
      <c r="G98" s="478"/>
    </row>
    <row r="99" spans="1:7">
      <c r="A99" s="478"/>
      <c r="B99" s="478"/>
      <c r="C99" s="728"/>
      <c r="D99" s="478"/>
      <c r="E99" s="729"/>
      <c r="F99" s="478"/>
      <c r="G99" s="478"/>
    </row>
    <row r="100" spans="1:7">
      <c r="A100" s="478"/>
      <c r="B100" s="478"/>
      <c r="C100" s="728"/>
      <c r="D100" s="478"/>
      <c r="E100" s="729"/>
      <c r="F100" s="478"/>
      <c r="G100" s="478"/>
    </row>
    <row r="101" spans="1:7">
      <c r="A101" s="478"/>
      <c r="B101" s="478"/>
      <c r="C101" s="728"/>
      <c r="D101" s="478"/>
      <c r="E101" s="729"/>
      <c r="F101" s="478"/>
      <c r="G101" s="478"/>
    </row>
    <row r="102" spans="1:7">
      <c r="A102" s="478"/>
      <c r="B102" s="478"/>
      <c r="C102" s="728"/>
      <c r="D102" s="478"/>
      <c r="E102" s="729"/>
      <c r="F102" s="478"/>
      <c r="G102" s="478"/>
    </row>
    <row r="103" spans="1:7">
      <c r="A103" s="478"/>
      <c r="B103" s="478"/>
      <c r="C103" s="728"/>
      <c r="D103" s="478"/>
      <c r="E103" s="729"/>
      <c r="F103" s="478"/>
      <c r="G103" s="478"/>
    </row>
    <row r="104" spans="1:7">
      <c r="A104" s="478"/>
      <c r="B104" s="478"/>
      <c r="C104" s="728"/>
      <c r="D104" s="478"/>
      <c r="E104" s="729"/>
      <c r="F104" s="478"/>
      <c r="G104" s="478"/>
    </row>
    <row r="105" spans="1:7">
      <c r="A105" s="478"/>
      <c r="B105" s="478"/>
      <c r="C105" s="728"/>
      <c r="D105" s="478"/>
      <c r="E105" s="729"/>
      <c r="F105" s="478"/>
      <c r="G105" s="478"/>
    </row>
    <row r="106" spans="1:7">
      <c r="A106" s="478"/>
      <c r="B106" s="478"/>
      <c r="C106" s="728"/>
      <c r="D106" s="478"/>
      <c r="E106" s="729"/>
      <c r="F106" s="478"/>
      <c r="G106" s="478"/>
    </row>
    <row r="107" spans="1:7">
      <c r="A107" s="478"/>
      <c r="B107" s="478"/>
      <c r="C107" s="728"/>
      <c r="D107" s="478"/>
      <c r="E107" s="729"/>
      <c r="F107" s="478"/>
      <c r="G107" s="478"/>
    </row>
    <row r="108" spans="1:7">
      <c r="A108" s="478"/>
      <c r="B108" s="478"/>
      <c r="C108" s="728"/>
      <c r="D108" s="478"/>
      <c r="E108" s="729"/>
      <c r="F108" s="478"/>
      <c r="G108" s="478"/>
    </row>
    <row r="109" spans="1:7">
      <c r="A109" s="478"/>
      <c r="B109" s="478"/>
      <c r="C109" s="728"/>
      <c r="D109" s="478"/>
      <c r="E109" s="729"/>
      <c r="F109" s="478"/>
      <c r="G109" s="478"/>
    </row>
  </sheetData>
  <mergeCells count="5">
    <mergeCell ref="A1:G1"/>
    <mergeCell ref="A7:G7"/>
    <mergeCell ref="A9:B9"/>
    <mergeCell ref="A10:G10"/>
    <mergeCell ref="F13:G13"/>
  </mergeCells>
  <pageMargins left="0.5" right="0.25" top="0.75" bottom="0.5" header="0.5" footer="0.25"/>
  <pageSetup paperSize="119" firstPageNumber="316" orientation="portrait" useFirstPageNumber="1" horizontalDpi="300" verticalDpi="300" r:id="rId1"/>
  <headerFooter alignWithMargins="0"/>
</worksheet>
</file>

<file path=xl/worksheets/sheet161.xml><?xml version="1.0" encoding="utf-8"?>
<worksheet xmlns="http://schemas.openxmlformats.org/spreadsheetml/2006/main" xmlns:r="http://schemas.openxmlformats.org/officeDocument/2006/relationships">
  <sheetPr codeName="Sheet120">
    <tabColor theme="8" tint="-0.249977111117893"/>
  </sheetPr>
  <dimension ref="A1:L124"/>
  <sheetViews>
    <sheetView showGridLines="0" zoomScale="110" zoomScaleNormal="110" workbookViewId="0">
      <selection activeCell="J2" sqref="J1:Q1048576"/>
    </sheetView>
  </sheetViews>
  <sheetFormatPr defaultRowHeight="15" customHeight="1"/>
  <cols>
    <col min="1" max="1" width="3.88671875" style="7508" customWidth="1"/>
    <col min="2" max="2" width="55.5546875" style="7508" customWidth="1"/>
    <col min="3" max="3" width="12.5546875" style="7600" customWidth="1"/>
    <col min="4" max="7" width="15.5546875" style="7599" customWidth="1"/>
    <col min="8" max="8" width="14" style="7599" hidden="1" customWidth="1"/>
    <col min="9" max="9" width="8.33203125" style="7348" hidden="1" customWidth="1"/>
    <col min="10" max="10" width="15.5546875" style="7599" customWidth="1"/>
    <col min="11" max="11" width="16" style="7508" customWidth="1"/>
    <col min="12" max="12" width="17.33203125" style="7600" customWidth="1"/>
    <col min="13" max="15" width="8.88671875" style="7508" customWidth="1"/>
    <col min="16" max="196" width="9.109375" style="7508"/>
    <col min="197" max="197" width="3.88671875" style="7508" customWidth="1"/>
    <col min="198" max="198" width="36.88671875" style="7508" customWidth="1"/>
    <col min="199" max="199" width="13.44140625" style="7508" customWidth="1"/>
    <col min="200" max="201" width="16.44140625" style="7508" customWidth="1"/>
    <col min="202" max="202" width="15.44140625" style="7508" customWidth="1"/>
    <col min="203" max="452" width="9.109375" style="7508"/>
    <col min="453" max="453" width="3.88671875" style="7508" customWidth="1"/>
    <col min="454" max="454" width="36.88671875" style="7508" customWidth="1"/>
    <col min="455" max="455" width="13.44140625" style="7508" customWidth="1"/>
    <col min="456" max="457" width="16.44140625" style="7508" customWidth="1"/>
    <col min="458" max="458" width="15.44140625" style="7508" customWidth="1"/>
    <col min="459" max="708" width="9.109375" style="7508"/>
    <col min="709" max="709" width="3.88671875" style="7508" customWidth="1"/>
    <col min="710" max="710" width="36.88671875" style="7508" customWidth="1"/>
    <col min="711" max="711" width="13.44140625" style="7508" customWidth="1"/>
    <col min="712" max="713" width="16.44140625" style="7508" customWidth="1"/>
    <col min="714" max="714" width="15.44140625" style="7508" customWidth="1"/>
    <col min="715" max="964" width="9.109375" style="7508"/>
    <col min="965" max="965" width="3.88671875" style="7508" customWidth="1"/>
    <col min="966" max="966" width="36.88671875" style="7508" customWidth="1"/>
    <col min="967" max="967" width="13.44140625" style="7508" customWidth="1"/>
    <col min="968" max="969" width="16.44140625" style="7508" customWidth="1"/>
    <col min="970" max="970" width="15.44140625" style="7508" customWidth="1"/>
    <col min="971" max="1220" width="9.109375" style="7508"/>
    <col min="1221" max="1221" width="3.88671875" style="7508" customWidth="1"/>
    <col min="1222" max="1222" width="36.88671875" style="7508" customWidth="1"/>
    <col min="1223" max="1223" width="13.44140625" style="7508" customWidth="1"/>
    <col min="1224" max="1225" width="16.44140625" style="7508" customWidth="1"/>
    <col min="1226" max="1226" width="15.44140625" style="7508" customWidth="1"/>
    <col min="1227" max="1476" width="9.109375" style="7508"/>
    <col min="1477" max="1477" width="3.88671875" style="7508" customWidth="1"/>
    <col min="1478" max="1478" width="36.88671875" style="7508" customWidth="1"/>
    <col min="1479" max="1479" width="13.44140625" style="7508" customWidth="1"/>
    <col min="1480" max="1481" width="16.44140625" style="7508" customWidth="1"/>
    <col min="1482" max="1482" width="15.44140625" style="7508" customWidth="1"/>
    <col min="1483" max="1732" width="9.109375" style="7508"/>
    <col min="1733" max="1733" width="3.88671875" style="7508" customWidth="1"/>
    <col min="1734" max="1734" width="36.88671875" style="7508" customWidth="1"/>
    <col min="1735" max="1735" width="13.44140625" style="7508" customWidth="1"/>
    <col min="1736" max="1737" width="16.44140625" style="7508" customWidth="1"/>
    <col min="1738" max="1738" width="15.44140625" style="7508" customWidth="1"/>
    <col min="1739" max="1988" width="9.109375" style="7508"/>
    <col min="1989" max="1989" width="3.88671875" style="7508" customWidth="1"/>
    <col min="1990" max="1990" width="36.88671875" style="7508" customWidth="1"/>
    <col min="1991" max="1991" width="13.44140625" style="7508" customWidth="1"/>
    <col min="1992" max="1993" width="16.44140625" style="7508" customWidth="1"/>
    <col min="1994" max="1994" width="15.44140625" style="7508" customWidth="1"/>
    <col min="1995" max="2244" width="9.109375" style="7508"/>
    <col min="2245" max="2245" width="3.88671875" style="7508" customWidth="1"/>
    <col min="2246" max="2246" width="36.88671875" style="7508" customWidth="1"/>
    <col min="2247" max="2247" width="13.44140625" style="7508" customWidth="1"/>
    <col min="2248" max="2249" width="16.44140625" style="7508" customWidth="1"/>
    <col min="2250" max="2250" width="15.44140625" style="7508" customWidth="1"/>
    <col min="2251" max="2500" width="9.109375" style="7508"/>
    <col min="2501" max="2501" width="3.88671875" style="7508" customWidth="1"/>
    <col min="2502" max="2502" width="36.88671875" style="7508" customWidth="1"/>
    <col min="2503" max="2503" width="13.44140625" style="7508" customWidth="1"/>
    <col min="2504" max="2505" width="16.44140625" style="7508" customWidth="1"/>
    <col min="2506" max="2506" width="15.44140625" style="7508" customWidth="1"/>
    <col min="2507" max="2756" width="9.109375" style="7508"/>
    <col min="2757" max="2757" width="3.88671875" style="7508" customWidth="1"/>
    <col min="2758" max="2758" width="36.88671875" style="7508" customWidth="1"/>
    <col min="2759" max="2759" width="13.44140625" style="7508" customWidth="1"/>
    <col min="2760" max="2761" width="16.44140625" style="7508" customWidth="1"/>
    <col min="2762" max="2762" width="15.44140625" style="7508" customWidth="1"/>
    <col min="2763" max="3012" width="9.109375" style="7508"/>
    <col min="3013" max="3013" width="3.88671875" style="7508" customWidth="1"/>
    <col min="3014" max="3014" width="36.88671875" style="7508" customWidth="1"/>
    <col min="3015" max="3015" width="13.44140625" style="7508" customWidth="1"/>
    <col min="3016" max="3017" width="16.44140625" style="7508" customWidth="1"/>
    <col min="3018" max="3018" width="15.44140625" style="7508" customWidth="1"/>
    <col min="3019" max="3268" width="9.109375" style="7508"/>
    <col min="3269" max="3269" width="3.88671875" style="7508" customWidth="1"/>
    <col min="3270" max="3270" width="36.88671875" style="7508" customWidth="1"/>
    <col min="3271" max="3271" width="13.44140625" style="7508" customWidth="1"/>
    <col min="3272" max="3273" width="16.44140625" style="7508" customWidth="1"/>
    <col min="3274" max="3274" width="15.44140625" style="7508" customWidth="1"/>
    <col min="3275" max="3524" width="9.109375" style="7508"/>
    <col min="3525" max="3525" width="3.88671875" style="7508" customWidth="1"/>
    <col min="3526" max="3526" width="36.88671875" style="7508" customWidth="1"/>
    <col min="3527" max="3527" width="13.44140625" style="7508" customWidth="1"/>
    <col min="3528" max="3529" width="16.44140625" style="7508" customWidth="1"/>
    <col min="3530" max="3530" width="15.44140625" style="7508" customWidth="1"/>
    <col min="3531" max="3780" width="9.109375" style="7508"/>
    <col min="3781" max="3781" width="3.88671875" style="7508" customWidth="1"/>
    <col min="3782" max="3782" width="36.88671875" style="7508" customWidth="1"/>
    <col min="3783" max="3783" width="13.44140625" style="7508" customWidth="1"/>
    <col min="3784" max="3785" width="16.44140625" style="7508" customWidth="1"/>
    <col min="3786" max="3786" width="15.44140625" style="7508" customWidth="1"/>
    <col min="3787" max="4036" width="9.109375" style="7508"/>
    <col min="4037" max="4037" width="3.88671875" style="7508" customWidth="1"/>
    <col min="4038" max="4038" width="36.88671875" style="7508" customWidth="1"/>
    <col min="4039" max="4039" width="13.44140625" style="7508" customWidth="1"/>
    <col min="4040" max="4041" width="16.44140625" style="7508" customWidth="1"/>
    <col min="4042" max="4042" width="15.44140625" style="7508" customWidth="1"/>
    <col min="4043" max="4292" width="9.109375" style="7508"/>
    <col min="4293" max="4293" width="3.88671875" style="7508" customWidth="1"/>
    <col min="4294" max="4294" width="36.88671875" style="7508" customWidth="1"/>
    <col min="4295" max="4295" width="13.44140625" style="7508" customWidth="1"/>
    <col min="4296" max="4297" width="16.44140625" style="7508" customWidth="1"/>
    <col min="4298" max="4298" width="15.44140625" style="7508" customWidth="1"/>
    <col min="4299" max="4548" width="9.109375" style="7508"/>
    <col min="4549" max="4549" width="3.88671875" style="7508" customWidth="1"/>
    <col min="4550" max="4550" width="36.88671875" style="7508" customWidth="1"/>
    <col min="4551" max="4551" width="13.44140625" style="7508" customWidth="1"/>
    <col min="4552" max="4553" width="16.44140625" style="7508" customWidth="1"/>
    <col min="4554" max="4554" width="15.44140625" style="7508" customWidth="1"/>
    <col min="4555" max="4804" width="9.109375" style="7508"/>
    <col min="4805" max="4805" width="3.88671875" style="7508" customWidth="1"/>
    <col min="4806" max="4806" width="36.88671875" style="7508" customWidth="1"/>
    <col min="4807" max="4807" width="13.44140625" style="7508" customWidth="1"/>
    <col min="4808" max="4809" width="16.44140625" style="7508" customWidth="1"/>
    <col min="4810" max="4810" width="15.44140625" style="7508" customWidth="1"/>
    <col min="4811" max="5060" width="9.109375" style="7508"/>
    <col min="5061" max="5061" width="3.88671875" style="7508" customWidth="1"/>
    <col min="5062" max="5062" width="36.88671875" style="7508" customWidth="1"/>
    <col min="5063" max="5063" width="13.44140625" style="7508" customWidth="1"/>
    <col min="5064" max="5065" width="16.44140625" style="7508" customWidth="1"/>
    <col min="5066" max="5066" width="15.44140625" style="7508" customWidth="1"/>
    <col min="5067" max="5316" width="9.109375" style="7508"/>
    <col min="5317" max="5317" width="3.88671875" style="7508" customWidth="1"/>
    <col min="5318" max="5318" width="36.88671875" style="7508" customWidth="1"/>
    <col min="5319" max="5319" width="13.44140625" style="7508" customWidth="1"/>
    <col min="5320" max="5321" width="16.44140625" style="7508" customWidth="1"/>
    <col min="5322" max="5322" width="15.44140625" style="7508" customWidth="1"/>
    <col min="5323" max="5572" width="9.109375" style="7508"/>
    <col min="5573" max="5573" width="3.88671875" style="7508" customWidth="1"/>
    <col min="5574" max="5574" width="36.88671875" style="7508" customWidth="1"/>
    <col min="5575" max="5575" width="13.44140625" style="7508" customWidth="1"/>
    <col min="5576" max="5577" width="16.44140625" style="7508" customWidth="1"/>
    <col min="5578" max="5578" width="15.44140625" style="7508" customWidth="1"/>
    <col min="5579" max="5828" width="9.109375" style="7508"/>
    <col min="5829" max="5829" width="3.88671875" style="7508" customWidth="1"/>
    <col min="5830" max="5830" width="36.88671875" style="7508" customWidth="1"/>
    <col min="5831" max="5831" width="13.44140625" style="7508" customWidth="1"/>
    <col min="5832" max="5833" width="16.44140625" style="7508" customWidth="1"/>
    <col min="5834" max="5834" width="15.44140625" style="7508" customWidth="1"/>
    <col min="5835" max="6084" width="9.109375" style="7508"/>
    <col min="6085" max="6085" width="3.88671875" style="7508" customWidth="1"/>
    <col min="6086" max="6086" width="36.88671875" style="7508" customWidth="1"/>
    <col min="6087" max="6087" width="13.44140625" style="7508" customWidth="1"/>
    <col min="6088" max="6089" width="16.44140625" style="7508" customWidth="1"/>
    <col min="6090" max="6090" width="15.44140625" style="7508" customWidth="1"/>
    <col min="6091" max="6340" width="9.109375" style="7508"/>
    <col min="6341" max="6341" width="3.88671875" style="7508" customWidth="1"/>
    <col min="6342" max="6342" width="36.88671875" style="7508" customWidth="1"/>
    <col min="6343" max="6343" width="13.44140625" style="7508" customWidth="1"/>
    <col min="6344" max="6345" width="16.44140625" style="7508" customWidth="1"/>
    <col min="6346" max="6346" width="15.44140625" style="7508" customWidth="1"/>
    <col min="6347" max="6596" width="9.109375" style="7508"/>
    <col min="6597" max="6597" width="3.88671875" style="7508" customWidth="1"/>
    <col min="6598" max="6598" width="36.88671875" style="7508" customWidth="1"/>
    <col min="6599" max="6599" width="13.44140625" style="7508" customWidth="1"/>
    <col min="6600" max="6601" width="16.44140625" style="7508" customWidth="1"/>
    <col min="6602" max="6602" width="15.44140625" style="7508" customWidth="1"/>
    <col min="6603" max="6852" width="9.109375" style="7508"/>
    <col min="6853" max="6853" width="3.88671875" style="7508" customWidth="1"/>
    <col min="6854" max="6854" width="36.88671875" style="7508" customWidth="1"/>
    <col min="6855" max="6855" width="13.44140625" style="7508" customWidth="1"/>
    <col min="6856" max="6857" width="16.44140625" style="7508" customWidth="1"/>
    <col min="6858" max="6858" width="15.44140625" style="7508" customWidth="1"/>
    <col min="6859" max="7108" width="9.109375" style="7508"/>
    <col min="7109" max="7109" width="3.88671875" style="7508" customWidth="1"/>
    <col min="7110" max="7110" width="36.88671875" style="7508" customWidth="1"/>
    <col min="7111" max="7111" width="13.44140625" style="7508" customWidth="1"/>
    <col min="7112" max="7113" width="16.44140625" style="7508" customWidth="1"/>
    <col min="7114" max="7114" width="15.44140625" style="7508" customWidth="1"/>
    <col min="7115" max="7364" width="9.109375" style="7508"/>
    <col min="7365" max="7365" width="3.88671875" style="7508" customWidth="1"/>
    <col min="7366" max="7366" width="36.88671875" style="7508" customWidth="1"/>
    <col min="7367" max="7367" width="13.44140625" style="7508" customWidth="1"/>
    <col min="7368" max="7369" width="16.44140625" style="7508" customWidth="1"/>
    <col min="7370" max="7370" width="15.44140625" style="7508" customWidth="1"/>
    <col min="7371" max="7620" width="9.109375" style="7508"/>
    <col min="7621" max="7621" width="3.88671875" style="7508" customWidth="1"/>
    <col min="7622" max="7622" width="36.88671875" style="7508" customWidth="1"/>
    <col min="7623" max="7623" width="13.44140625" style="7508" customWidth="1"/>
    <col min="7624" max="7625" width="16.44140625" style="7508" customWidth="1"/>
    <col min="7626" max="7626" width="15.44140625" style="7508" customWidth="1"/>
    <col min="7627" max="7876" width="9.109375" style="7508"/>
    <col min="7877" max="7877" width="3.88671875" style="7508" customWidth="1"/>
    <col min="7878" max="7878" width="36.88671875" style="7508" customWidth="1"/>
    <col min="7879" max="7879" width="13.44140625" style="7508" customWidth="1"/>
    <col min="7880" max="7881" width="16.44140625" style="7508" customWidth="1"/>
    <col min="7882" max="7882" width="15.44140625" style="7508" customWidth="1"/>
    <col min="7883" max="8132" width="9.109375" style="7508"/>
    <col min="8133" max="8133" width="3.88671875" style="7508" customWidth="1"/>
    <col min="8134" max="8134" width="36.88671875" style="7508" customWidth="1"/>
    <col min="8135" max="8135" width="13.44140625" style="7508" customWidth="1"/>
    <col min="8136" max="8137" width="16.44140625" style="7508" customWidth="1"/>
    <col min="8138" max="8138" width="15.44140625" style="7508" customWidth="1"/>
    <col min="8139" max="8388" width="9.109375" style="7508"/>
    <col min="8389" max="8389" width="3.88671875" style="7508" customWidth="1"/>
    <col min="8390" max="8390" width="36.88671875" style="7508" customWidth="1"/>
    <col min="8391" max="8391" width="13.44140625" style="7508" customWidth="1"/>
    <col min="8392" max="8393" width="16.44140625" style="7508" customWidth="1"/>
    <col min="8394" max="8394" width="15.44140625" style="7508" customWidth="1"/>
    <col min="8395" max="8644" width="9.109375" style="7508"/>
    <col min="8645" max="8645" width="3.88671875" style="7508" customWidth="1"/>
    <col min="8646" max="8646" width="36.88671875" style="7508" customWidth="1"/>
    <col min="8647" max="8647" width="13.44140625" style="7508" customWidth="1"/>
    <col min="8648" max="8649" width="16.44140625" style="7508" customWidth="1"/>
    <col min="8650" max="8650" width="15.44140625" style="7508" customWidth="1"/>
    <col min="8651" max="8900" width="9.109375" style="7508"/>
    <col min="8901" max="8901" width="3.88671875" style="7508" customWidth="1"/>
    <col min="8902" max="8902" width="36.88671875" style="7508" customWidth="1"/>
    <col min="8903" max="8903" width="13.44140625" style="7508" customWidth="1"/>
    <col min="8904" max="8905" width="16.44140625" style="7508" customWidth="1"/>
    <col min="8906" max="8906" width="15.44140625" style="7508" customWidth="1"/>
    <col min="8907" max="9156" width="9.109375" style="7508"/>
    <col min="9157" max="9157" width="3.88671875" style="7508" customWidth="1"/>
    <col min="9158" max="9158" width="36.88671875" style="7508" customWidth="1"/>
    <col min="9159" max="9159" width="13.44140625" style="7508" customWidth="1"/>
    <col min="9160" max="9161" width="16.44140625" style="7508" customWidth="1"/>
    <col min="9162" max="9162" width="15.44140625" style="7508" customWidth="1"/>
    <col min="9163" max="9412" width="9.109375" style="7508"/>
    <col min="9413" max="9413" width="3.88671875" style="7508" customWidth="1"/>
    <col min="9414" max="9414" width="36.88671875" style="7508" customWidth="1"/>
    <col min="9415" max="9415" width="13.44140625" style="7508" customWidth="1"/>
    <col min="9416" max="9417" width="16.44140625" style="7508" customWidth="1"/>
    <col min="9418" max="9418" width="15.44140625" style="7508" customWidth="1"/>
    <col min="9419" max="9668" width="9.109375" style="7508"/>
    <col min="9669" max="9669" width="3.88671875" style="7508" customWidth="1"/>
    <col min="9670" max="9670" width="36.88671875" style="7508" customWidth="1"/>
    <col min="9671" max="9671" width="13.44140625" style="7508" customWidth="1"/>
    <col min="9672" max="9673" width="16.44140625" style="7508" customWidth="1"/>
    <col min="9674" max="9674" width="15.44140625" style="7508" customWidth="1"/>
    <col min="9675" max="9924" width="9.109375" style="7508"/>
    <col min="9925" max="9925" width="3.88671875" style="7508" customWidth="1"/>
    <col min="9926" max="9926" width="36.88671875" style="7508" customWidth="1"/>
    <col min="9927" max="9927" width="13.44140625" style="7508" customWidth="1"/>
    <col min="9928" max="9929" width="16.44140625" style="7508" customWidth="1"/>
    <col min="9930" max="9930" width="15.44140625" style="7508" customWidth="1"/>
    <col min="9931" max="10180" width="9.109375" style="7508"/>
    <col min="10181" max="10181" width="3.88671875" style="7508" customWidth="1"/>
    <col min="10182" max="10182" width="36.88671875" style="7508" customWidth="1"/>
    <col min="10183" max="10183" width="13.44140625" style="7508" customWidth="1"/>
    <col min="10184" max="10185" width="16.44140625" style="7508" customWidth="1"/>
    <col min="10186" max="10186" width="15.44140625" style="7508" customWidth="1"/>
    <col min="10187" max="10436" width="9.109375" style="7508"/>
    <col min="10437" max="10437" width="3.88671875" style="7508" customWidth="1"/>
    <col min="10438" max="10438" width="36.88671875" style="7508" customWidth="1"/>
    <col min="10439" max="10439" width="13.44140625" style="7508" customWidth="1"/>
    <col min="10440" max="10441" width="16.44140625" style="7508" customWidth="1"/>
    <col min="10442" max="10442" width="15.44140625" style="7508" customWidth="1"/>
    <col min="10443" max="10692" width="9.109375" style="7508"/>
    <col min="10693" max="10693" width="3.88671875" style="7508" customWidth="1"/>
    <col min="10694" max="10694" width="36.88671875" style="7508" customWidth="1"/>
    <col min="10695" max="10695" width="13.44140625" style="7508" customWidth="1"/>
    <col min="10696" max="10697" width="16.44140625" style="7508" customWidth="1"/>
    <col min="10698" max="10698" width="15.44140625" style="7508" customWidth="1"/>
    <col min="10699" max="10948" width="9.109375" style="7508"/>
    <col min="10949" max="10949" width="3.88671875" style="7508" customWidth="1"/>
    <col min="10950" max="10950" width="36.88671875" style="7508" customWidth="1"/>
    <col min="10951" max="10951" width="13.44140625" style="7508" customWidth="1"/>
    <col min="10952" max="10953" width="16.44140625" style="7508" customWidth="1"/>
    <col min="10954" max="10954" width="15.44140625" style="7508" customWidth="1"/>
    <col min="10955" max="11204" width="9.109375" style="7508"/>
    <col min="11205" max="11205" width="3.88671875" style="7508" customWidth="1"/>
    <col min="11206" max="11206" width="36.88671875" style="7508" customWidth="1"/>
    <col min="11207" max="11207" width="13.44140625" style="7508" customWidth="1"/>
    <col min="11208" max="11209" width="16.44140625" style="7508" customWidth="1"/>
    <col min="11210" max="11210" width="15.44140625" style="7508" customWidth="1"/>
    <col min="11211" max="11460" width="9.109375" style="7508"/>
    <col min="11461" max="11461" width="3.88671875" style="7508" customWidth="1"/>
    <col min="11462" max="11462" width="36.88671875" style="7508" customWidth="1"/>
    <col min="11463" max="11463" width="13.44140625" style="7508" customWidth="1"/>
    <col min="11464" max="11465" width="16.44140625" style="7508" customWidth="1"/>
    <col min="11466" max="11466" width="15.44140625" style="7508" customWidth="1"/>
    <col min="11467" max="11716" width="9.109375" style="7508"/>
    <col min="11717" max="11717" width="3.88671875" style="7508" customWidth="1"/>
    <col min="11718" max="11718" width="36.88671875" style="7508" customWidth="1"/>
    <col min="11719" max="11719" width="13.44140625" style="7508" customWidth="1"/>
    <col min="11720" max="11721" width="16.44140625" style="7508" customWidth="1"/>
    <col min="11722" max="11722" width="15.44140625" style="7508" customWidth="1"/>
    <col min="11723" max="11972" width="9.109375" style="7508"/>
    <col min="11973" max="11973" width="3.88671875" style="7508" customWidth="1"/>
    <col min="11974" max="11974" width="36.88671875" style="7508" customWidth="1"/>
    <col min="11975" max="11975" width="13.44140625" style="7508" customWidth="1"/>
    <col min="11976" max="11977" width="16.44140625" style="7508" customWidth="1"/>
    <col min="11978" max="11978" width="15.44140625" style="7508" customWidth="1"/>
    <col min="11979" max="12228" width="9.109375" style="7508"/>
    <col min="12229" max="12229" width="3.88671875" style="7508" customWidth="1"/>
    <col min="12230" max="12230" width="36.88671875" style="7508" customWidth="1"/>
    <col min="12231" max="12231" width="13.44140625" style="7508" customWidth="1"/>
    <col min="12232" max="12233" width="16.44140625" style="7508" customWidth="1"/>
    <col min="12234" max="12234" width="15.44140625" style="7508" customWidth="1"/>
    <col min="12235" max="12484" width="9.109375" style="7508"/>
    <col min="12485" max="12485" width="3.88671875" style="7508" customWidth="1"/>
    <col min="12486" max="12486" width="36.88671875" style="7508" customWidth="1"/>
    <col min="12487" max="12487" width="13.44140625" style="7508" customWidth="1"/>
    <col min="12488" max="12489" width="16.44140625" style="7508" customWidth="1"/>
    <col min="12490" max="12490" width="15.44140625" style="7508" customWidth="1"/>
    <col min="12491" max="12740" width="9.109375" style="7508"/>
    <col min="12741" max="12741" width="3.88671875" style="7508" customWidth="1"/>
    <col min="12742" max="12742" width="36.88671875" style="7508" customWidth="1"/>
    <col min="12743" max="12743" width="13.44140625" style="7508" customWidth="1"/>
    <col min="12744" max="12745" width="16.44140625" style="7508" customWidth="1"/>
    <col min="12746" max="12746" width="15.44140625" style="7508" customWidth="1"/>
    <col min="12747" max="12996" width="9.109375" style="7508"/>
    <col min="12997" max="12997" width="3.88671875" style="7508" customWidth="1"/>
    <col min="12998" max="12998" width="36.88671875" style="7508" customWidth="1"/>
    <col min="12999" max="12999" width="13.44140625" style="7508" customWidth="1"/>
    <col min="13000" max="13001" width="16.44140625" style="7508" customWidth="1"/>
    <col min="13002" max="13002" width="15.44140625" style="7508" customWidth="1"/>
    <col min="13003" max="13252" width="9.109375" style="7508"/>
    <col min="13253" max="13253" width="3.88671875" style="7508" customWidth="1"/>
    <col min="13254" max="13254" width="36.88671875" style="7508" customWidth="1"/>
    <col min="13255" max="13255" width="13.44140625" style="7508" customWidth="1"/>
    <col min="13256" max="13257" width="16.44140625" style="7508" customWidth="1"/>
    <col min="13258" max="13258" width="15.44140625" style="7508" customWidth="1"/>
    <col min="13259" max="13508" width="9.109375" style="7508"/>
    <col min="13509" max="13509" width="3.88671875" style="7508" customWidth="1"/>
    <col min="13510" max="13510" width="36.88671875" style="7508" customWidth="1"/>
    <col min="13511" max="13511" width="13.44140625" style="7508" customWidth="1"/>
    <col min="13512" max="13513" width="16.44140625" style="7508" customWidth="1"/>
    <col min="13514" max="13514" width="15.44140625" style="7508" customWidth="1"/>
    <col min="13515" max="13764" width="9.109375" style="7508"/>
    <col min="13765" max="13765" width="3.88671875" style="7508" customWidth="1"/>
    <col min="13766" max="13766" width="36.88671875" style="7508" customWidth="1"/>
    <col min="13767" max="13767" width="13.44140625" style="7508" customWidth="1"/>
    <col min="13768" max="13769" width="16.44140625" style="7508" customWidth="1"/>
    <col min="13770" max="13770" width="15.44140625" style="7508" customWidth="1"/>
    <col min="13771" max="14020" width="9.109375" style="7508"/>
    <col min="14021" max="14021" width="3.88671875" style="7508" customWidth="1"/>
    <col min="14022" max="14022" width="36.88671875" style="7508" customWidth="1"/>
    <col min="14023" max="14023" width="13.44140625" style="7508" customWidth="1"/>
    <col min="14024" max="14025" width="16.44140625" style="7508" customWidth="1"/>
    <col min="14026" max="14026" width="15.44140625" style="7508" customWidth="1"/>
    <col min="14027" max="14276" width="9.109375" style="7508"/>
    <col min="14277" max="14277" width="3.88671875" style="7508" customWidth="1"/>
    <col min="14278" max="14278" width="36.88671875" style="7508" customWidth="1"/>
    <col min="14279" max="14279" width="13.44140625" style="7508" customWidth="1"/>
    <col min="14280" max="14281" width="16.44140625" style="7508" customWidth="1"/>
    <col min="14282" max="14282" width="15.44140625" style="7508" customWidth="1"/>
    <col min="14283" max="14532" width="9.109375" style="7508"/>
    <col min="14533" max="14533" width="3.88671875" style="7508" customWidth="1"/>
    <col min="14534" max="14534" width="36.88671875" style="7508" customWidth="1"/>
    <col min="14535" max="14535" width="13.44140625" style="7508" customWidth="1"/>
    <col min="14536" max="14537" width="16.44140625" style="7508" customWidth="1"/>
    <col min="14538" max="14538" width="15.44140625" style="7508" customWidth="1"/>
    <col min="14539" max="14788" width="9.109375" style="7508"/>
    <col min="14789" max="14789" width="3.88671875" style="7508" customWidth="1"/>
    <col min="14790" max="14790" width="36.88671875" style="7508" customWidth="1"/>
    <col min="14791" max="14791" width="13.44140625" style="7508" customWidth="1"/>
    <col min="14792" max="14793" width="16.44140625" style="7508" customWidth="1"/>
    <col min="14794" max="14794" width="15.44140625" style="7508" customWidth="1"/>
    <col min="14795" max="15044" width="9.109375" style="7508"/>
    <col min="15045" max="15045" width="3.88671875" style="7508" customWidth="1"/>
    <col min="15046" max="15046" width="36.88671875" style="7508" customWidth="1"/>
    <col min="15047" max="15047" width="13.44140625" style="7508" customWidth="1"/>
    <col min="15048" max="15049" width="16.44140625" style="7508" customWidth="1"/>
    <col min="15050" max="15050" width="15.44140625" style="7508" customWidth="1"/>
    <col min="15051" max="15300" width="9.109375" style="7508"/>
    <col min="15301" max="15301" width="3.88671875" style="7508" customWidth="1"/>
    <col min="15302" max="15302" width="36.88671875" style="7508" customWidth="1"/>
    <col min="15303" max="15303" width="13.44140625" style="7508" customWidth="1"/>
    <col min="15304" max="15305" width="16.44140625" style="7508" customWidth="1"/>
    <col min="15306" max="15306" width="15.44140625" style="7508" customWidth="1"/>
    <col min="15307" max="15556" width="9.109375" style="7508"/>
    <col min="15557" max="15557" width="3.88671875" style="7508" customWidth="1"/>
    <col min="15558" max="15558" width="36.88671875" style="7508" customWidth="1"/>
    <col min="15559" max="15559" width="13.44140625" style="7508" customWidth="1"/>
    <col min="15560" max="15561" width="16.44140625" style="7508" customWidth="1"/>
    <col min="15562" max="15562" width="15.44140625" style="7508" customWidth="1"/>
    <col min="15563" max="15812" width="9.109375" style="7508"/>
    <col min="15813" max="15813" width="3.88671875" style="7508" customWidth="1"/>
    <col min="15814" max="15814" width="36.88671875" style="7508" customWidth="1"/>
    <col min="15815" max="15815" width="13.44140625" style="7508" customWidth="1"/>
    <col min="15816" max="15817" width="16.44140625" style="7508" customWidth="1"/>
    <col min="15818" max="15818" width="15.44140625" style="7508" customWidth="1"/>
    <col min="15819" max="16068" width="9.109375" style="7508"/>
    <col min="16069" max="16069" width="3.88671875" style="7508" customWidth="1"/>
    <col min="16070" max="16070" width="36.88671875" style="7508" customWidth="1"/>
    <col min="16071" max="16071" width="13.44140625" style="7508" customWidth="1"/>
    <col min="16072" max="16073" width="16.44140625" style="7508" customWidth="1"/>
    <col min="16074" max="16074" width="15.44140625" style="7508" customWidth="1"/>
    <col min="16075" max="16384" width="9.109375" style="7508"/>
  </cols>
  <sheetData>
    <row r="1" spans="1:12" ht="15" customHeight="1">
      <c r="A1" s="14912" t="s">
        <v>1</v>
      </c>
      <c r="B1" s="14912"/>
      <c r="C1" s="14912"/>
      <c r="D1" s="14912"/>
      <c r="E1" s="14912"/>
      <c r="F1" s="14912"/>
      <c r="G1" s="14912"/>
      <c r="H1" s="14912"/>
      <c r="I1" s="14912"/>
      <c r="J1" s="14912"/>
    </row>
    <row r="2" spans="1:12" ht="15" customHeight="1">
      <c r="A2" s="7509"/>
      <c r="B2" s="7510"/>
      <c r="C2" s="7511"/>
      <c r="D2" s="7512"/>
      <c r="E2" s="7512"/>
      <c r="F2" s="7512"/>
      <c r="G2" s="7512"/>
      <c r="H2" s="7512"/>
      <c r="I2" s="7280"/>
      <c r="J2" s="7512"/>
    </row>
    <row r="3" spans="1:12" ht="15" customHeight="1">
      <c r="A3" s="7509" t="s">
        <v>10722</v>
      </c>
      <c r="B3" s="7513"/>
      <c r="C3" s="7514" t="s">
        <v>10721</v>
      </c>
      <c r="D3" s="7515"/>
      <c r="E3" s="7515"/>
      <c r="F3" s="7515"/>
      <c r="G3" s="7515"/>
      <c r="H3" s="7515"/>
      <c r="I3" s="7284"/>
      <c r="J3" s="15106"/>
    </row>
    <row r="4" spans="1:12" ht="15" customHeight="1">
      <c r="A4" s="7509" t="s">
        <v>10716</v>
      </c>
      <c r="B4" s="7509"/>
      <c r="C4" s="7511" t="s">
        <v>92</v>
      </c>
      <c r="D4" s="7516"/>
      <c r="E4" s="7516"/>
      <c r="F4" s="7516"/>
      <c r="G4" s="7515"/>
      <c r="H4" s="7516"/>
      <c r="I4" s="7286"/>
      <c r="J4" s="15106"/>
    </row>
    <row r="5" spans="1:12" ht="15" customHeight="1" thickBot="1">
      <c r="A5" s="7517" t="s">
        <v>7</v>
      </c>
      <c r="B5" s="7517"/>
      <c r="C5" s="7518" t="s">
        <v>8</v>
      </c>
      <c r="D5" s="7519"/>
      <c r="E5" s="7520"/>
      <c r="F5" s="7520"/>
      <c r="G5" s="7519"/>
      <c r="H5" s="7520"/>
      <c r="I5" s="7294"/>
      <c r="J5" s="7519"/>
    </row>
    <row r="6" spans="1:12" ht="15" customHeight="1">
      <c r="A6" s="7521"/>
      <c r="B6" s="7522"/>
      <c r="C6" s="7523" t="s">
        <v>9</v>
      </c>
      <c r="D6" s="9432" t="s">
        <v>10</v>
      </c>
      <c r="E6" s="15231" t="s">
        <v>10711</v>
      </c>
      <c r="F6" s="15232"/>
      <c r="G6" s="15233"/>
      <c r="H6" s="7297" t="s">
        <v>9985</v>
      </c>
      <c r="I6" s="7298"/>
      <c r="J6" s="7524" t="s">
        <v>12</v>
      </c>
    </row>
    <row r="7" spans="1:12" ht="15" customHeight="1">
      <c r="A7" s="7525"/>
      <c r="B7" s="7526" t="s">
        <v>13</v>
      </c>
      <c r="C7" s="15229" t="s">
        <v>14</v>
      </c>
      <c r="D7" s="7527" t="s">
        <v>15</v>
      </c>
      <c r="E7" s="11050" t="s">
        <v>10709</v>
      </c>
      <c r="F7" s="7299" t="s">
        <v>10710</v>
      </c>
      <c r="G7" s="15189" t="s">
        <v>458</v>
      </c>
      <c r="H7" s="7297" t="s">
        <v>11871</v>
      </c>
      <c r="I7" s="7298"/>
      <c r="J7" s="7529" t="s">
        <v>16</v>
      </c>
    </row>
    <row r="8" spans="1:12" ht="15" customHeight="1" thickBot="1">
      <c r="A8" s="7530"/>
      <c r="B8" s="7531"/>
      <c r="C8" s="15230"/>
      <c r="D8" s="7532">
        <v>2017</v>
      </c>
      <c r="E8" s="10887" t="s">
        <v>457</v>
      </c>
      <c r="F8" s="9404" t="s">
        <v>456</v>
      </c>
      <c r="G8" s="15190"/>
      <c r="H8" s="7302">
        <v>2018</v>
      </c>
      <c r="I8" s="7322"/>
      <c r="J8" s="7534">
        <v>2019</v>
      </c>
    </row>
    <row r="9" spans="1:12" ht="15" customHeight="1">
      <c r="A9" s="7535" t="s">
        <v>17</v>
      </c>
      <c r="B9" s="7536" t="s">
        <v>18</v>
      </c>
      <c r="C9" s="7537"/>
      <c r="D9" s="7538"/>
      <c r="E9" s="9433"/>
      <c r="F9" s="7539"/>
      <c r="G9" s="7540"/>
      <c r="H9" s="7541"/>
      <c r="I9" s="7307"/>
      <c r="J9" s="7540"/>
    </row>
    <row r="10" spans="1:12" ht="15" customHeight="1">
      <c r="A10" s="7525"/>
      <c r="B10" s="7536" t="s">
        <v>19</v>
      </c>
      <c r="C10" s="7537"/>
      <c r="D10" s="7538"/>
      <c r="E10" s="9433"/>
      <c r="F10" s="7539"/>
      <c r="G10" s="7540"/>
      <c r="H10" s="7541"/>
      <c r="I10" s="7307"/>
      <c r="J10" s="7540"/>
    </row>
    <row r="11" spans="1:12" ht="15" customHeight="1">
      <c r="A11" s="7525"/>
      <c r="B11" s="7287" t="s">
        <v>20</v>
      </c>
      <c r="C11" s="8773">
        <v>50101010</v>
      </c>
      <c r="D11" s="7542">
        <f>'WS-PS 2017'!B37</f>
        <v>4344349.04</v>
      </c>
      <c r="E11" s="9434">
        <f>'WS-PS ACTUAL JUNE 2018'!B37</f>
        <v>2647098.56</v>
      </c>
      <c r="F11" s="9435">
        <f>G11-E11</f>
        <v>4832933.4399999995</v>
      </c>
      <c r="G11" s="7542">
        <v>7480032</v>
      </c>
      <c r="H11" s="7543"/>
      <c r="I11" s="7359"/>
      <c r="J11" s="7542">
        <f>K11</f>
        <v>8232852</v>
      </c>
      <c r="K11" s="11928">
        <f>'staffing-pitogo'!F52</f>
        <v>8232852</v>
      </c>
      <c r="L11" s="7600">
        <f>'staffing-pitogo'!B52</f>
        <v>27</v>
      </c>
    </row>
    <row r="12" spans="1:12" ht="15" customHeight="1">
      <c r="A12" s="7525"/>
      <c r="B12" s="7287" t="s">
        <v>21</v>
      </c>
      <c r="C12" s="8773">
        <v>50102010</v>
      </c>
      <c r="D12" s="7540">
        <f>'WS-PS 2017'!F37</f>
        <v>394229.56</v>
      </c>
      <c r="E12" s="7544">
        <f>'WS-PS ACTUAL JUNE 2018'!D37</f>
        <v>221490.54</v>
      </c>
      <c r="F12" s="9435">
        <f t="shared" ref="F12:F27" si="0">G12-E12</f>
        <v>378509.45999999996</v>
      </c>
      <c r="G12" s="7540">
        <v>600000</v>
      </c>
      <c r="H12" s="7545"/>
      <c r="I12" s="7358"/>
      <c r="J12" s="7542">
        <f t="shared" ref="J12:J27" si="1">K12</f>
        <v>648000</v>
      </c>
      <c r="K12" s="7310">
        <f>24000*L11</f>
        <v>648000</v>
      </c>
    </row>
    <row r="13" spans="1:12" ht="15" customHeight="1">
      <c r="A13" s="7525"/>
      <c r="B13" s="7366" t="s">
        <v>22</v>
      </c>
      <c r="C13" s="8773">
        <v>50102040</v>
      </c>
      <c r="D13" s="7540">
        <f>'WS-PS 2017'!I37</f>
        <v>80000</v>
      </c>
      <c r="E13" s="7544">
        <f>'WS-PS ACTUAL JUNE 2018'!G37</f>
        <v>96000</v>
      </c>
      <c r="F13" s="9435">
        <f t="shared" si="0"/>
        <v>29000</v>
      </c>
      <c r="G13" s="7540">
        <v>125000</v>
      </c>
      <c r="H13" s="7545"/>
      <c r="I13" s="7358"/>
      <c r="J13" s="7542">
        <f t="shared" si="1"/>
        <v>162000</v>
      </c>
      <c r="K13" s="7310">
        <f>6000*L11</f>
        <v>162000</v>
      </c>
    </row>
    <row r="14" spans="1:12" ht="15" customHeight="1">
      <c r="A14" s="7525"/>
      <c r="B14" s="7366" t="s">
        <v>106</v>
      </c>
      <c r="C14" s="8773">
        <v>50102050</v>
      </c>
      <c r="D14" s="7540">
        <f>'WS-PS 2017'!J37</f>
        <v>192925</v>
      </c>
      <c r="E14" s="7544">
        <f>'WS-PS ACTUAL JUNE 2018'!H37</f>
        <v>104250</v>
      </c>
      <c r="F14" s="9435">
        <f t="shared" si="0"/>
        <v>345750</v>
      </c>
      <c r="G14" s="7540">
        <v>450000</v>
      </c>
      <c r="H14" s="7545"/>
      <c r="I14" s="7358"/>
      <c r="J14" s="7542">
        <f t="shared" si="1"/>
        <v>291600</v>
      </c>
      <c r="K14" s="7310">
        <f>10800*L11</f>
        <v>291600</v>
      </c>
    </row>
    <row r="15" spans="1:12" ht="15" customHeight="1">
      <c r="A15" s="7525"/>
      <c r="B15" s="7352" t="s">
        <v>10970</v>
      </c>
      <c r="C15" s="8778">
        <v>50102060</v>
      </c>
      <c r="D15" s="7540">
        <f>'WS-PS 2017'!K37</f>
        <v>27920.02</v>
      </c>
      <c r="E15" s="7544">
        <f>'WS-PS ACTUAL JUNE 2018'!I37</f>
        <v>15538.62</v>
      </c>
      <c r="F15" s="9435">
        <f t="shared" si="0"/>
        <v>29461.379999999997</v>
      </c>
      <c r="G15" s="7540">
        <v>45000</v>
      </c>
      <c r="H15" s="7545"/>
      <c r="I15" s="7358"/>
      <c r="J15" s="7542">
        <f t="shared" si="1"/>
        <v>48600</v>
      </c>
      <c r="K15" s="7310">
        <f>1800*L11</f>
        <v>48600</v>
      </c>
    </row>
    <row r="16" spans="1:12" ht="15" customHeight="1">
      <c r="A16" s="7525"/>
      <c r="B16" s="7488" t="s">
        <v>10932</v>
      </c>
      <c r="C16" s="8775">
        <v>50102080</v>
      </c>
      <c r="D16" s="7540">
        <f>'WS-PS 2017'!L37</f>
        <v>75000</v>
      </c>
      <c r="E16" s="7544">
        <f>'WS-PS ACTUAL JUNE 2018'!J37</f>
        <v>0</v>
      </c>
      <c r="F16" s="9435">
        <f t="shared" si="0"/>
        <v>125000</v>
      </c>
      <c r="G16" s="7540">
        <v>125000</v>
      </c>
      <c r="H16" s="7545"/>
      <c r="I16" s="7358"/>
      <c r="J16" s="7542">
        <f t="shared" si="1"/>
        <v>135000</v>
      </c>
      <c r="K16" s="7310">
        <f>5000*L11</f>
        <v>135000</v>
      </c>
    </row>
    <row r="17" spans="1:11" ht="15" customHeight="1">
      <c r="A17" s="7525"/>
      <c r="B17" s="7287" t="s">
        <v>95</v>
      </c>
      <c r="C17" s="8779">
        <v>50102110</v>
      </c>
      <c r="D17" s="7540">
        <f>'WS-PS 2017'!N37</f>
        <v>892161.2</v>
      </c>
      <c r="E17" s="7544">
        <f>'WS-PS ACTUAL JUNE 2018'!L37</f>
        <v>517882.54</v>
      </c>
      <c r="F17" s="9435">
        <f t="shared" si="0"/>
        <v>604141.46</v>
      </c>
      <c r="G17" s="7540">
        <v>1122024</v>
      </c>
      <c r="H17" s="7545"/>
      <c r="I17" s="7358"/>
      <c r="J17" s="7542">
        <f t="shared" si="1"/>
        <v>2058213</v>
      </c>
      <c r="K17" s="11719">
        <f>25%*K11</f>
        <v>2058213</v>
      </c>
    </row>
    <row r="18" spans="1:11" ht="15" customHeight="1">
      <c r="A18" s="7525"/>
      <c r="B18" s="7488" t="s">
        <v>10934</v>
      </c>
      <c r="C18" s="8773">
        <v>50102120</v>
      </c>
      <c r="D18" s="7540">
        <f>'WS-PS 2017'!O37</f>
        <v>0</v>
      </c>
      <c r="E18" s="7544">
        <f>'WS-PS ACTUAL JUNE 2018'!M37</f>
        <v>30000</v>
      </c>
      <c r="F18" s="9435">
        <f>G18-E18</f>
        <v>15000</v>
      </c>
      <c r="G18" s="7540">
        <v>45000</v>
      </c>
      <c r="H18" s="7545"/>
      <c r="I18" s="7358"/>
      <c r="J18" s="7542">
        <f t="shared" si="1"/>
        <v>5000</v>
      </c>
      <c r="K18" s="7310">
        <v>5000</v>
      </c>
    </row>
    <row r="19" spans="1:11" ht="15" customHeight="1">
      <c r="A19" s="7525"/>
      <c r="B19" s="7488" t="s">
        <v>10933</v>
      </c>
      <c r="C19" s="8773">
        <v>50102140</v>
      </c>
      <c r="D19" s="7540">
        <f>'WS-PS 2017'!U37+'WS-PS 2017'!S37</f>
        <v>710605</v>
      </c>
      <c r="E19" s="7544">
        <f>'WS-PS ACTUAL JUNE 2018'!O37</f>
        <v>422825</v>
      </c>
      <c r="F19" s="9435">
        <f t="shared" si="0"/>
        <v>823847</v>
      </c>
      <c r="G19" s="7540">
        <v>1246672</v>
      </c>
      <c r="H19" s="7545"/>
      <c r="I19" s="7358"/>
      <c r="J19" s="7542">
        <f t="shared" si="1"/>
        <v>1372142</v>
      </c>
      <c r="K19" s="7310">
        <f>SUM(K11:K11)/12*2</f>
        <v>1372142</v>
      </c>
    </row>
    <row r="20" spans="1:11" ht="15" customHeight="1">
      <c r="A20" s="7525"/>
      <c r="B20" s="7287" t="s">
        <v>26</v>
      </c>
      <c r="C20" s="8779">
        <v>50102150</v>
      </c>
      <c r="D20" s="7540">
        <f>'WS-PS 2017'!T37</f>
        <v>86000</v>
      </c>
      <c r="E20" s="7544">
        <f>'WS-PS ACTUAL JUNE 2018'!Q37</f>
        <v>0</v>
      </c>
      <c r="F20" s="9435">
        <f>G20-E20</f>
        <v>125000</v>
      </c>
      <c r="G20" s="7540">
        <v>125000</v>
      </c>
      <c r="H20" s="7545"/>
      <c r="I20" s="7358"/>
      <c r="J20" s="7542">
        <f t="shared" si="1"/>
        <v>135000</v>
      </c>
      <c r="K20" s="7371">
        <f>K16</f>
        <v>135000</v>
      </c>
    </row>
    <row r="21" spans="1:11" ht="15" customHeight="1">
      <c r="A21" s="7548"/>
      <c r="B21" s="7488" t="s">
        <v>11497</v>
      </c>
      <c r="C21" s="8774">
        <v>50102990</v>
      </c>
      <c r="D21" s="7545">
        <v>0</v>
      </c>
      <c r="E21" s="7544">
        <f>'WS-PS ACTUAL JUNE 2018'!R37</f>
        <v>0</v>
      </c>
      <c r="F21" s="9435">
        <f>G21-E21</f>
        <v>358418</v>
      </c>
      <c r="G21" s="7545">
        <v>358418</v>
      </c>
      <c r="H21" s="7545"/>
      <c r="I21" s="7358"/>
      <c r="J21" s="7542">
        <v>0</v>
      </c>
      <c r="K21" s="7310">
        <f>K11/12*0.575</f>
        <v>394490.82499999995</v>
      </c>
    </row>
    <row r="22" spans="1:11" ht="15" customHeight="1">
      <c r="A22" s="7546"/>
      <c r="B22" s="7803" t="s">
        <v>11499</v>
      </c>
      <c r="C22" s="8757" t="s">
        <v>11495</v>
      </c>
      <c r="D22" s="7545">
        <f>'WS-PS 2017'!Q37</f>
        <v>0</v>
      </c>
      <c r="E22" s="7544">
        <f>'WS-PS ACTUAL JUNE 2018'!S37</f>
        <v>0</v>
      </c>
      <c r="F22" s="9435">
        <f>G22-E22</f>
        <v>0</v>
      </c>
      <c r="G22" s="7545">
        <v>0</v>
      </c>
      <c r="H22" s="7545"/>
      <c r="I22" s="7358"/>
      <c r="J22" s="7542">
        <f t="shared" si="1"/>
        <v>81000</v>
      </c>
      <c r="K22" s="7310">
        <f>3000*L11</f>
        <v>81000</v>
      </c>
    </row>
    <row r="23" spans="1:11" ht="15" customHeight="1">
      <c r="A23" s="7525"/>
      <c r="B23" s="8088" t="s">
        <v>59</v>
      </c>
      <c r="C23" s="8773">
        <v>50103010</v>
      </c>
      <c r="D23" s="7540">
        <f>'WS-PS 2017'!V37</f>
        <v>521243.72</v>
      </c>
      <c r="E23" s="7544">
        <f>'WS-PS ACTUAL JUNE 2018'!T37</f>
        <v>317584.44</v>
      </c>
      <c r="F23" s="9435">
        <f t="shared" si="0"/>
        <v>580019.56000000006</v>
      </c>
      <c r="G23" s="7540">
        <v>897604</v>
      </c>
      <c r="H23" s="7545"/>
      <c r="I23" s="7358"/>
      <c r="J23" s="7542">
        <f t="shared" si="1"/>
        <v>987942.24</v>
      </c>
      <c r="K23" s="11720">
        <f>SUM(K11:K11)*12%</f>
        <v>987942.24</v>
      </c>
    </row>
    <row r="24" spans="1:11" ht="15" customHeight="1">
      <c r="A24" s="7525"/>
      <c r="B24" s="7803" t="s">
        <v>28</v>
      </c>
      <c r="C24" s="8773">
        <v>50103020</v>
      </c>
      <c r="D24" s="7540">
        <f>'WS-PS 2017'!W37</f>
        <v>19900</v>
      </c>
      <c r="E24" s="7544">
        <f>'WS-PS ACTUAL JUNE 2018'!U37</f>
        <v>11100</v>
      </c>
      <c r="F24" s="9435">
        <f t="shared" si="0"/>
        <v>18900</v>
      </c>
      <c r="G24" s="7540">
        <v>30000</v>
      </c>
      <c r="H24" s="7545"/>
      <c r="I24" s="7358"/>
      <c r="J24" s="7542">
        <f t="shared" si="1"/>
        <v>32400</v>
      </c>
      <c r="K24" s="7310">
        <f>1200*L11</f>
        <v>32400</v>
      </c>
    </row>
    <row r="25" spans="1:11" ht="15" customHeight="1">
      <c r="A25" s="7525"/>
      <c r="B25" s="7803" t="s">
        <v>29</v>
      </c>
      <c r="C25" s="8773">
        <v>50103030</v>
      </c>
      <c r="D25" s="7540">
        <f>'WS-PS 2017'!X37</f>
        <v>46825</v>
      </c>
      <c r="E25" s="7544">
        <f>'WS-PS ACTUAL JUNE 2018'!V37</f>
        <v>32643.45</v>
      </c>
      <c r="F25" s="9435">
        <f t="shared" si="0"/>
        <v>24356.55</v>
      </c>
      <c r="G25" s="7540">
        <v>57000</v>
      </c>
      <c r="H25" s="7545"/>
      <c r="I25" s="7358"/>
      <c r="J25" s="7542">
        <v>98455.170000000013</v>
      </c>
      <c r="K25" s="7310">
        <f>3600*L11</f>
        <v>97200</v>
      </c>
    </row>
    <row r="26" spans="1:11" ht="15" customHeight="1">
      <c r="A26" s="7525"/>
      <c r="B26" s="7803" t="s">
        <v>30</v>
      </c>
      <c r="C26" s="8773">
        <v>50103040</v>
      </c>
      <c r="D26" s="7540">
        <f>'WS-PS 2017'!Y37</f>
        <v>19804.900000000001</v>
      </c>
      <c r="E26" s="7544">
        <f>'WS-PS ACTUAL JUNE 2018'!W37</f>
        <v>11200</v>
      </c>
      <c r="F26" s="9435">
        <f t="shared" si="0"/>
        <v>18800</v>
      </c>
      <c r="G26" s="7540">
        <v>30000</v>
      </c>
      <c r="H26" s="7545"/>
      <c r="I26" s="7358"/>
      <c r="J26" s="7542">
        <f t="shared" si="1"/>
        <v>32400</v>
      </c>
      <c r="K26" s="7310">
        <f>K24</f>
        <v>32400</v>
      </c>
    </row>
    <row r="27" spans="1:11" ht="15" customHeight="1">
      <c r="A27" s="7525"/>
      <c r="B27" s="7488" t="s">
        <v>5025</v>
      </c>
      <c r="C27" s="8776">
        <v>50104990</v>
      </c>
      <c r="D27" s="7540">
        <f>'WS-PS 2017'!Z37</f>
        <v>430000</v>
      </c>
      <c r="E27" s="7544"/>
      <c r="F27" s="9435">
        <f t="shared" si="0"/>
        <v>0</v>
      </c>
      <c r="G27" s="7540">
        <v>0</v>
      </c>
      <c r="H27" s="7545"/>
      <c r="I27" s="7358"/>
      <c r="J27" s="7542">
        <f t="shared" si="1"/>
        <v>0</v>
      </c>
    </row>
    <row r="28" spans="1:11" ht="15" customHeight="1">
      <c r="A28" s="7525"/>
      <c r="B28" s="7536"/>
      <c r="C28" s="7537"/>
      <c r="D28" s="7549"/>
      <c r="E28" s="7550"/>
      <c r="F28" s="7550"/>
      <c r="G28" s="7549"/>
      <c r="H28" s="7551"/>
      <c r="I28" s="7373"/>
      <c r="J28" s="7549"/>
    </row>
    <row r="29" spans="1:11" ht="15" customHeight="1" thickBot="1">
      <c r="A29" s="7548"/>
      <c r="B29" s="7552" t="s">
        <v>37</v>
      </c>
      <c r="C29" s="7553"/>
      <c r="D29" s="7554">
        <f>SUM(D10:D28)</f>
        <v>7840963.4399999995</v>
      </c>
      <c r="E29" s="7554">
        <f>SUM(E10:E28)</f>
        <v>4427613.1500000004</v>
      </c>
      <c r="F29" s="7554">
        <f>SUM(F10:F28)</f>
        <v>8309136.8499999987</v>
      </c>
      <c r="G29" s="7554">
        <f>SUM(G10:G28)</f>
        <v>12736750</v>
      </c>
      <c r="H29" s="7554"/>
      <c r="I29" s="7384"/>
      <c r="J29" s="7554">
        <f>SUM(J10:J28)</f>
        <v>14320604.41</v>
      </c>
      <c r="K29" s="11779">
        <f>SUM(K11:K28)</f>
        <v>14713840.064999999</v>
      </c>
    </row>
    <row r="30" spans="1:11" ht="15" customHeight="1">
      <c r="A30" s="7555"/>
      <c r="B30" s="7556"/>
      <c r="C30" s="7557"/>
      <c r="D30" s="7558"/>
      <c r="E30" s="7558"/>
      <c r="F30" s="7558"/>
      <c r="G30" s="7558"/>
      <c r="H30" s="7558"/>
      <c r="I30" s="7389"/>
      <c r="J30" s="7558"/>
    </row>
    <row r="31" spans="1:11" ht="15" customHeight="1">
      <c r="A31" s="7536"/>
      <c r="B31" s="7552"/>
      <c r="C31" s="7559"/>
      <c r="D31" s="7560"/>
      <c r="E31" s="7560"/>
      <c r="F31" s="7560"/>
      <c r="G31" s="7560"/>
      <c r="H31" s="7560"/>
      <c r="I31" s="7350"/>
      <c r="J31" s="7560"/>
    </row>
    <row r="32" spans="1:11" ht="15" customHeight="1">
      <c r="A32" s="7536"/>
      <c r="B32" s="7552"/>
      <c r="C32" s="7559"/>
      <c r="D32" s="7560"/>
      <c r="E32" s="7560"/>
      <c r="F32" s="7560"/>
      <c r="G32" s="7560"/>
      <c r="H32" s="7560"/>
      <c r="I32" s="7350"/>
      <c r="J32" s="7560"/>
    </row>
    <row r="33" spans="1:10" ht="15" customHeight="1">
      <c r="A33" s="7536"/>
      <c r="B33" s="7552"/>
      <c r="C33" s="7559"/>
      <c r="D33" s="7560"/>
      <c r="E33" s="7560"/>
      <c r="F33" s="7560"/>
      <c r="G33" s="7560"/>
      <c r="H33" s="7560"/>
      <c r="I33" s="7350"/>
      <c r="J33" s="7560"/>
    </row>
    <row r="34" spans="1:10" ht="15" customHeight="1">
      <c r="A34" s="7536"/>
      <c r="B34" s="7552"/>
      <c r="C34" s="7559"/>
      <c r="D34" s="7560"/>
      <c r="E34" s="7560"/>
      <c r="F34" s="7560"/>
      <c r="G34" s="7560"/>
      <c r="H34" s="7560"/>
      <c r="I34" s="7350"/>
      <c r="J34" s="7560"/>
    </row>
    <row r="35" spans="1:10" ht="15" customHeight="1">
      <c r="A35" s="7536"/>
      <c r="B35" s="7552"/>
      <c r="C35" s="7559"/>
      <c r="D35" s="7560"/>
      <c r="E35" s="7560"/>
      <c r="F35" s="7560"/>
      <c r="G35" s="7560"/>
      <c r="H35" s="7560"/>
      <c r="I35" s="7350"/>
      <c r="J35" s="7560"/>
    </row>
    <row r="36" spans="1:10" ht="15" customHeight="1">
      <c r="A36" s="7536"/>
      <c r="B36" s="7552"/>
      <c r="C36" s="7559"/>
      <c r="D36" s="7560"/>
      <c r="E36" s="7560"/>
      <c r="F36" s="7560"/>
      <c r="G36" s="7560"/>
      <c r="H36" s="7560"/>
      <c r="I36" s="7350"/>
      <c r="J36" s="7560"/>
    </row>
    <row r="37" spans="1:10" ht="15" customHeight="1">
      <c r="A37" s="7536"/>
      <c r="B37" s="7552"/>
      <c r="C37" s="7559"/>
      <c r="D37" s="7560"/>
      <c r="E37" s="7560"/>
      <c r="F37" s="7560"/>
      <c r="G37" s="7560"/>
      <c r="H37" s="7560"/>
      <c r="I37" s="7350"/>
      <c r="J37" s="7560"/>
    </row>
    <row r="38" spans="1:10" ht="15" customHeight="1" thickBot="1">
      <c r="A38" s="7561" t="s">
        <v>187</v>
      </c>
      <c r="B38" s="7561"/>
      <c r="C38" s="7562"/>
      <c r="D38" s="9436"/>
      <c r="E38" s="9436"/>
      <c r="F38" s="9436"/>
      <c r="G38" s="7520"/>
      <c r="H38" s="7520"/>
      <c r="I38" s="7294"/>
      <c r="J38" s="7520"/>
    </row>
    <row r="39" spans="1:10" ht="15" customHeight="1">
      <c r="A39" s="7521"/>
      <c r="B39" s="7522"/>
      <c r="C39" s="7523" t="s">
        <v>9</v>
      </c>
      <c r="D39" s="7524" t="s">
        <v>10</v>
      </c>
      <c r="E39" s="15231" t="s">
        <v>10711</v>
      </c>
      <c r="F39" s="15232"/>
      <c r="G39" s="15233"/>
      <c r="H39" s="7563"/>
      <c r="I39" s="7494"/>
      <c r="J39" s="7524" t="s">
        <v>12</v>
      </c>
    </row>
    <row r="40" spans="1:10" ht="15" customHeight="1">
      <c r="A40" s="7525"/>
      <c r="B40" s="7526" t="s">
        <v>13</v>
      </c>
      <c r="C40" s="15229" t="s">
        <v>14</v>
      </c>
      <c r="D40" s="7529" t="s">
        <v>15</v>
      </c>
      <c r="E40" s="11050" t="s">
        <v>10709</v>
      </c>
      <c r="F40" s="7299" t="s">
        <v>10710</v>
      </c>
      <c r="G40" s="15189" t="s">
        <v>458</v>
      </c>
      <c r="H40" s="7564"/>
      <c r="I40" s="7495"/>
      <c r="J40" s="7529" t="s">
        <v>16</v>
      </c>
    </row>
    <row r="41" spans="1:10" ht="15" customHeight="1" thickBot="1">
      <c r="A41" s="7530"/>
      <c r="B41" s="7531"/>
      <c r="C41" s="15230"/>
      <c r="D41" s="7565">
        <v>2017</v>
      </c>
      <c r="E41" s="10887" t="s">
        <v>457</v>
      </c>
      <c r="F41" s="9404" t="s">
        <v>456</v>
      </c>
      <c r="G41" s="15190"/>
      <c r="H41" s="7566"/>
      <c r="I41" s="7567"/>
      <c r="J41" s="7565">
        <v>2019</v>
      </c>
    </row>
    <row r="42" spans="1:10" ht="15" customHeight="1">
      <c r="A42" s="7548"/>
      <c r="B42" s="7526"/>
      <c r="C42" s="7602"/>
      <c r="D42" s="7603"/>
      <c r="E42" s="11055"/>
      <c r="F42" s="10881"/>
      <c r="G42" s="11055"/>
      <c r="H42" s="7603"/>
      <c r="I42" s="7604"/>
      <c r="J42" s="7603"/>
    </row>
    <row r="43" spans="1:10" ht="15" customHeight="1">
      <c r="A43" s="7535"/>
      <c r="B43" s="7536" t="s">
        <v>38</v>
      </c>
      <c r="C43" s="7537"/>
      <c r="D43" s="7540"/>
      <c r="E43" s="7544"/>
      <c r="F43" s="7568"/>
      <c r="G43" s="7540"/>
      <c r="H43" s="7545"/>
      <c r="I43" s="7358"/>
      <c r="J43" s="7540"/>
    </row>
    <row r="44" spans="1:10" ht="15" customHeight="1">
      <c r="A44" s="7525"/>
      <c r="B44" s="7803" t="s">
        <v>391</v>
      </c>
      <c r="C44" s="8780">
        <v>50201010</v>
      </c>
      <c r="D44" s="7540">
        <f>'WS-MOOE 2017'!B37</f>
        <v>155412</v>
      </c>
      <c r="E44" s="7544">
        <f>'WS-MOOE ACTUAL JUNE 2018'!B38</f>
        <v>62460</v>
      </c>
      <c r="F44" s="9435">
        <f t="shared" ref="F44:F64" si="2">G44-E44</f>
        <v>67540</v>
      </c>
      <c r="G44" s="7540">
        <v>130000</v>
      </c>
      <c r="H44" s="7545">
        <v>96320</v>
      </c>
      <c r="I44" s="7358">
        <f>H44/G44</f>
        <v>0.74092307692307691</v>
      </c>
      <c r="J44" s="7540">
        <v>280000</v>
      </c>
    </row>
    <row r="45" spans="1:10" ht="15" customHeight="1">
      <c r="A45" s="7525"/>
      <c r="B45" s="7803" t="s">
        <v>10324</v>
      </c>
      <c r="C45" s="8780">
        <v>50202010</v>
      </c>
      <c r="D45" s="7540">
        <f>'WS-MOOE 2017'!H37</f>
        <v>29300</v>
      </c>
      <c r="E45" s="7544">
        <f>'WS-MOOE ACTUAL JUNE 2018'!G38</f>
        <v>4000</v>
      </c>
      <c r="F45" s="9435">
        <f t="shared" si="2"/>
        <v>176000</v>
      </c>
      <c r="G45" s="7540">
        <v>180000</v>
      </c>
      <c r="H45" s="7545">
        <v>14700</v>
      </c>
      <c r="I45" s="7358">
        <f t="shared" ref="I45:I63" si="3">H45/G45</f>
        <v>8.1666666666666665E-2</v>
      </c>
      <c r="J45" s="7540">
        <v>300000</v>
      </c>
    </row>
    <row r="46" spans="1:10" ht="15" customHeight="1">
      <c r="A46" s="7525"/>
      <c r="B46" s="7803" t="s">
        <v>392</v>
      </c>
      <c r="C46" s="8780">
        <v>50203010</v>
      </c>
      <c r="D46" s="7540">
        <f>'WS-MOOE 2017'!J37</f>
        <v>117561.60000000001</v>
      </c>
      <c r="E46" s="7544">
        <f>'WS-MOOE ACTUAL JUNE 2018'!H38</f>
        <v>8842.25</v>
      </c>
      <c r="F46" s="9435">
        <f t="shared" si="2"/>
        <v>171157.75</v>
      </c>
      <c r="G46" s="7540">
        <v>180000</v>
      </c>
      <c r="H46" s="7545">
        <v>155379</v>
      </c>
      <c r="I46" s="7358">
        <f t="shared" si="3"/>
        <v>0.86321666666666663</v>
      </c>
      <c r="J46" s="7540">
        <v>250000</v>
      </c>
    </row>
    <row r="47" spans="1:10" ht="15" customHeight="1">
      <c r="A47" s="7525"/>
      <c r="B47" s="7287" t="s">
        <v>97</v>
      </c>
      <c r="C47" s="8778">
        <v>50203020</v>
      </c>
      <c r="D47" s="7540">
        <f>'WS-MOOE 2017'!M37</f>
        <v>20000</v>
      </c>
      <c r="E47" s="7544">
        <f>'WS-MOOE ACTUAL JUNE 2018'!J38</f>
        <v>20625</v>
      </c>
      <c r="F47" s="9435">
        <f t="shared" si="2"/>
        <v>19375</v>
      </c>
      <c r="G47" s="7540">
        <v>40000</v>
      </c>
      <c r="H47" s="7545">
        <v>20625</v>
      </c>
      <c r="I47" s="7358">
        <f t="shared" si="3"/>
        <v>0.515625</v>
      </c>
      <c r="J47" s="7540">
        <v>40000</v>
      </c>
    </row>
    <row r="48" spans="1:10" ht="15" customHeight="1">
      <c r="A48" s="7525"/>
      <c r="B48" s="7287" t="s">
        <v>98</v>
      </c>
      <c r="C48" s="8778">
        <v>50203050</v>
      </c>
      <c r="D48" s="7540">
        <f>'WS-MOOE 2017'!O37</f>
        <v>247222.41</v>
      </c>
      <c r="E48" s="7544">
        <f>'WS-MOOE ACTUAL JUNE 2018'!L38</f>
        <v>111227.24</v>
      </c>
      <c r="F48" s="9435">
        <f t="shared" si="2"/>
        <v>338772.76</v>
      </c>
      <c r="G48" s="7540">
        <v>450000</v>
      </c>
      <c r="H48" s="7545">
        <v>165686.9</v>
      </c>
      <c r="I48" s="7358">
        <f t="shared" si="3"/>
        <v>0.36819311111111108</v>
      </c>
      <c r="J48" s="7540">
        <v>480000</v>
      </c>
    </row>
    <row r="49" spans="1:12" ht="15" customHeight="1">
      <c r="A49" s="7548"/>
      <c r="B49" s="7287" t="s">
        <v>9122</v>
      </c>
      <c r="C49" s="8781">
        <v>50203070</v>
      </c>
      <c r="D49" s="7545">
        <f>'WS-MOOE 2017'!P37</f>
        <v>858763.42</v>
      </c>
      <c r="E49" s="7544">
        <f>'WS-MOOE ACTUAL JUNE 2018'!M38</f>
        <v>88954.25</v>
      </c>
      <c r="F49" s="9435">
        <f t="shared" si="2"/>
        <v>2911045.75</v>
      </c>
      <c r="G49" s="7545">
        <v>3000000</v>
      </c>
      <c r="H49" s="7545">
        <v>1183820.27</v>
      </c>
      <c r="I49" s="7358">
        <f>H49/G49</f>
        <v>0.39460675666666667</v>
      </c>
      <c r="J49" s="7545">
        <v>2250000</v>
      </c>
    </row>
    <row r="50" spans="1:12" ht="15" customHeight="1">
      <c r="A50" s="7525"/>
      <c r="B50" s="7287" t="s">
        <v>135</v>
      </c>
      <c r="C50" s="8778">
        <v>50203080</v>
      </c>
      <c r="D50" s="7540">
        <f>'WS-MOOE 2017'!Q37</f>
        <v>837862.5</v>
      </c>
      <c r="E50" s="7544">
        <f>'WS-MOOE ACTUAL JUNE 2018'!N38</f>
        <v>50121.8</v>
      </c>
      <c r="F50" s="9435">
        <f t="shared" si="2"/>
        <v>2949878.2</v>
      </c>
      <c r="G50" s="7540">
        <v>3000000</v>
      </c>
      <c r="H50" s="7545">
        <v>2020347.39</v>
      </c>
      <c r="I50" s="7358">
        <f t="shared" si="3"/>
        <v>0.67344912999999995</v>
      </c>
      <c r="J50" s="7545">
        <v>2250000</v>
      </c>
    </row>
    <row r="51" spans="1:12" ht="15" customHeight="1">
      <c r="A51" s="7525"/>
      <c r="B51" s="7287" t="s">
        <v>44</v>
      </c>
      <c r="C51" s="8778">
        <v>50203090</v>
      </c>
      <c r="D51" s="7540">
        <f>'WS-MOOE 2017'!R37</f>
        <v>64055.05</v>
      </c>
      <c r="E51" s="7544">
        <f>'WS-MOOE ACTUAL JUNE 2018'!O38</f>
        <v>38247.25</v>
      </c>
      <c r="F51" s="9435">
        <f t="shared" si="2"/>
        <v>61752.75</v>
      </c>
      <c r="G51" s="7540">
        <v>100000</v>
      </c>
      <c r="H51" s="7545">
        <v>53367.25</v>
      </c>
      <c r="I51" s="7358">
        <f t="shared" si="3"/>
        <v>0.53367249999999999</v>
      </c>
      <c r="J51" s="7540">
        <v>200000</v>
      </c>
    </row>
    <row r="52" spans="1:12" ht="15" customHeight="1">
      <c r="A52" s="7525"/>
      <c r="B52" s="7287" t="s">
        <v>46</v>
      </c>
      <c r="C52" s="8778">
        <v>50204020</v>
      </c>
      <c r="D52" s="7540">
        <f>'WS-MOOE 2017'!X37</f>
        <v>248916.04</v>
      </c>
      <c r="E52" s="7544">
        <f>'WS-MOOE ACTUAL JUNE 2018'!S38</f>
        <v>121783.67</v>
      </c>
      <c r="F52" s="9435">
        <f t="shared" si="2"/>
        <v>228216.33000000002</v>
      </c>
      <c r="G52" s="7540">
        <v>350000</v>
      </c>
      <c r="H52" s="7545">
        <v>181482.26</v>
      </c>
      <c r="I52" s="7358">
        <f t="shared" si="3"/>
        <v>0.51852074285714289</v>
      </c>
      <c r="J52" s="7540">
        <v>450000</v>
      </c>
    </row>
    <row r="53" spans="1:12" ht="15" customHeight="1">
      <c r="A53" s="10390"/>
      <c r="B53" s="7287" t="s">
        <v>45</v>
      </c>
      <c r="C53" s="10136">
        <v>50204010</v>
      </c>
      <c r="D53" s="8804"/>
      <c r="E53" s="8804"/>
      <c r="F53" s="9442">
        <f>G53-E53</f>
        <v>60000</v>
      </c>
      <c r="G53" s="8804">
        <v>60000</v>
      </c>
      <c r="H53" s="8804">
        <v>0</v>
      </c>
      <c r="I53" s="8799">
        <f t="shared" si="3"/>
        <v>0</v>
      </c>
      <c r="J53" s="8804">
        <v>60000</v>
      </c>
    </row>
    <row r="54" spans="1:12" s="10374" customFormat="1" ht="15" customHeight="1">
      <c r="A54" s="7548"/>
      <c r="B54" s="7287" t="s">
        <v>11225</v>
      </c>
      <c r="C54" s="8802">
        <v>50203990</v>
      </c>
      <c r="D54" s="8804">
        <f>'WS-MOOE 2017'!V37</f>
        <v>10079.5</v>
      </c>
      <c r="E54" s="8804">
        <f>'WS-MOOE ACTUAL JUNE 2018'!T38</f>
        <v>980</v>
      </c>
      <c r="F54" s="9442">
        <f t="shared" si="2"/>
        <v>49020</v>
      </c>
      <c r="G54" s="8804">
        <v>50000</v>
      </c>
      <c r="H54" s="8804">
        <v>4980</v>
      </c>
      <c r="I54" s="8799">
        <f t="shared" si="3"/>
        <v>9.9599999999999994E-2</v>
      </c>
      <c r="J54" s="8804">
        <v>50000</v>
      </c>
      <c r="L54" s="10471"/>
    </row>
    <row r="55" spans="1:12" ht="15" customHeight="1">
      <c r="A55" s="7525"/>
      <c r="B55" s="7287" t="s">
        <v>62</v>
      </c>
      <c r="C55" s="8778">
        <v>50205010</v>
      </c>
      <c r="D55" s="7540">
        <f>'WS-MOOE 2017'!Z37</f>
        <v>0</v>
      </c>
      <c r="E55" s="7544">
        <f>'WS-MOOE ACTUAL JUNE 2018'!U38</f>
        <v>0</v>
      </c>
      <c r="F55" s="9435">
        <f t="shared" si="2"/>
        <v>1500</v>
      </c>
      <c r="G55" s="7540">
        <v>1500</v>
      </c>
      <c r="H55" s="7545">
        <v>1440</v>
      </c>
      <c r="I55" s="7358">
        <f t="shared" si="3"/>
        <v>0.96</v>
      </c>
      <c r="J55" s="7540">
        <v>3000</v>
      </c>
    </row>
    <row r="56" spans="1:12" ht="15" customHeight="1">
      <c r="A56" s="7525"/>
      <c r="B56" s="7536" t="s">
        <v>155</v>
      </c>
      <c r="C56" s="8782">
        <v>50205020</v>
      </c>
      <c r="D56" s="7540">
        <f>'WS-MOOE 2017'!AA37+'WS-MOOE 2017'!AC37</f>
        <v>13500</v>
      </c>
      <c r="E56" s="7544">
        <f>'WS-MOOE ACTUAL JUNE 2018'!V38</f>
        <v>9000</v>
      </c>
      <c r="F56" s="9435">
        <f t="shared" si="2"/>
        <v>11000</v>
      </c>
      <c r="G56" s="7569">
        <v>20000</v>
      </c>
      <c r="H56" s="7545">
        <v>15000</v>
      </c>
      <c r="I56" s="7358">
        <f t="shared" si="3"/>
        <v>0.75</v>
      </c>
      <c r="J56" s="7569">
        <v>25000</v>
      </c>
    </row>
    <row r="57" spans="1:12" ht="15" hidden="1" customHeight="1">
      <c r="A57" s="7548"/>
      <c r="B57" s="7287" t="s">
        <v>310</v>
      </c>
      <c r="C57" s="8778"/>
      <c r="D57" s="7545"/>
      <c r="E57" s="7544"/>
      <c r="F57" s="9435">
        <f t="shared" si="2"/>
        <v>0</v>
      </c>
      <c r="G57" s="7540"/>
      <c r="H57" s="7545"/>
      <c r="I57" s="7358" t="e">
        <f t="shared" si="3"/>
        <v>#DIV/0!</v>
      </c>
      <c r="J57" s="7540"/>
    </row>
    <row r="58" spans="1:12" ht="15" customHeight="1">
      <c r="A58" s="7548"/>
      <c r="B58" s="7803" t="s">
        <v>10973</v>
      </c>
      <c r="C58" s="8783">
        <v>50205030</v>
      </c>
      <c r="D58" s="7545">
        <f>'WS-MOOE 2017'!AE37</f>
        <v>11812.6</v>
      </c>
      <c r="E58" s="7544">
        <f>'WS-MOOE ACTUAL JUNE 2018'!Z38</f>
        <v>2198.98</v>
      </c>
      <c r="F58" s="9435">
        <f t="shared" si="2"/>
        <v>9801.02</v>
      </c>
      <c r="G58" s="7545">
        <v>12000</v>
      </c>
      <c r="H58" s="7545">
        <v>10193.93</v>
      </c>
      <c r="I58" s="7358">
        <f t="shared" si="3"/>
        <v>0.84949416666666666</v>
      </c>
      <c r="J58" s="7545">
        <v>20000</v>
      </c>
    </row>
    <row r="59" spans="1:12" ht="15" customHeight="1">
      <c r="A59" s="7525"/>
      <c r="B59" s="7287" t="s">
        <v>10961</v>
      </c>
      <c r="C59" s="8784">
        <v>50299020</v>
      </c>
      <c r="D59" s="7540">
        <f>'WS-MOOE 2017'!BJ37</f>
        <v>0</v>
      </c>
      <c r="E59" s="7544">
        <f>'WS-MOOE ACTUAL JUNE 2018'!BC38</f>
        <v>0</v>
      </c>
      <c r="F59" s="9435">
        <f t="shared" si="2"/>
        <v>5000</v>
      </c>
      <c r="G59" s="7540">
        <v>5000</v>
      </c>
      <c r="H59" s="7545">
        <v>1518</v>
      </c>
      <c r="I59" s="7358">
        <f t="shared" si="3"/>
        <v>0.30359999999999998</v>
      </c>
      <c r="J59" s="7540">
        <v>5000</v>
      </c>
    </row>
    <row r="60" spans="1:12" ht="15" customHeight="1">
      <c r="A60" s="7525"/>
      <c r="B60" s="7352" t="s">
        <v>100</v>
      </c>
      <c r="C60" s="8773">
        <v>50299030</v>
      </c>
      <c r="D60" s="7540">
        <f>'WS-MOOE 2017'!BK37</f>
        <v>39677.86</v>
      </c>
      <c r="E60" s="7544">
        <f>'WS-MOOE ACTUAL JUNE 2018'!BE38</f>
        <v>23750</v>
      </c>
      <c r="F60" s="9435">
        <f t="shared" si="2"/>
        <v>36250</v>
      </c>
      <c r="G60" s="7540">
        <v>60000</v>
      </c>
      <c r="H60" s="7545">
        <v>33750</v>
      </c>
      <c r="I60" s="7358">
        <f t="shared" si="3"/>
        <v>0.5625</v>
      </c>
      <c r="J60" s="7540">
        <v>60000</v>
      </c>
    </row>
    <row r="61" spans="1:12" ht="15" customHeight="1">
      <c r="A61" s="7525"/>
      <c r="B61" s="7352" t="s">
        <v>10956</v>
      </c>
      <c r="C61" s="8773">
        <v>50212990</v>
      </c>
      <c r="D61" s="7540">
        <f>'WS-MOOE 2017'!AO37</f>
        <v>1371024.25</v>
      </c>
      <c r="E61" s="7544">
        <f>'WS-MOOE ACTUAL JUNE 2018'!AJ38</f>
        <v>639622.59</v>
      </c>
      <c r="F61" s="9435">
        <f t="shared" si="2"/>
        <v>860377.41</v>
      </c>
      <c r="G61" s="7540">
        <v>1500000</v>
      </c>
      <c r="H61" s="7545">
        <v>1068692.52</v>
      </c>
      <c r="I61" s="7358">
        <f t="shared" si="3"/>
        <v>0.71246167999999999</v>
      </c>
      <c r="J61" s="7540">
        <v>2400000</v>
      </c>
    </row>
    <row r="62" spans="1:12" ht="15" customHeight="1">
      <c r="A62" s="7525"/>
      <c r="B62" s="7488" t="s">
        <v>10955</v>
      </c>
      <c r="C62" s="8776">
        <v>50211990</v>
      </c>
      <c r="D62" s="7540">
        <f>'WS-MOOE 2017'!AL37</f>
        <v>600133.32999999996</v>
      </c>
      <c r="E62" s="7544">
        <f>'WS-MOOE ACTUAL JUNE 2018'!AF38</f>
        <v>924095.04</v>
      </c>
      <c r="F62" s="9435">
        <f t="shared" si="2"/>
        <v>1575904.96</v>
      </c>
      <c r="G62" s="7540">
        <v>2500000</v>
      </c>
      <c r="H62" s="7545">
        <v>2214486.21</v>
      </c>
      <c r="I62" s="7358">
        <f t="shared" si="3"/>
        <v>0.88579448399999994</v>
      </c>
      <c r="J62" s="7540">
        <v>3000000</v>
      </c>
    </row>
    <row r="63" spans="1:12" ht="15" customHeight="1">
      <c r="A63" s="7525"/>
      <c r="B63" s="7488" t="s">
        <v>10959</v>
      </c>
      <c r="C63" s="8780">
        <v>50213040</v>
      </c>
      <c r="D63" s="7540">
        <f>'WS-MOOE 2017'!AS37</f>
        <v>18526</v>
      </c>
      <c r="E63" s="7544">
        <f>'WS-MOOE ACTUAL JUNE 2018'!AN38</f>
        <v>8458</v>
      </c>
      <c r="F63" s="9435">
        <f t="shared" si="2"/>
        <v>41542</v>
      </c>
      <c r="G63" s="7540">
        <v>50000</v>
      </c>
      <c r="H63" s="7545">
        <v>9158</v>
      </c>
      <c r="I63" s="7358">
        <f t="shared" si="3"/>
        <v>0.18315999999999999</v>
      </c>
      <c r="J63" s="7540">
        <v>50000</v>
      </c>
    </row>
    <row r="64" spans="1:12" ht="15" customHeight="1">
      <c r="A64" s="7525"/>
      <c r="B64" s="7287" t="s">
        <v>109</v>
      </c>
      <c r="C64" s="8778"/>
      <c r="D64" s="7540">
        <f>'WS-MOOE 2017'!AY37</f>
        <v>0</v>
      </c>
      <c r="E64" s="7544"/>
      <c r="F64" s="9435">
        <f t="shared" si="2"/>
        <v>20000</v>
      </c>
      <c r="G64" s="7540">
        <v>20000</v>
      </c>
      <c r="H64" s="7545"/>
      <c r="I64" s="7358">
        <v>0</v>
      </c>
      <c r="J64" s="7540">
        <v>0</v>
      </c>
    </row>
    <row r="65" spans="1:10" ht="15" customHeight="1" thickBot="1">
      <c r="A65" s="7530"/>
      <c r="B65" s="7517"/>
      <c r="C65" s="7570"/>
      <c r="D65" s="9437"/>
      <c r="E65" s="9438"/>
      <c r="F65" s="9438"/>
      <c r="G65" s="7571"/>
      <c r="H65" s="7572"/>
      <c r="I65" s="7573"/>
      <c r="J65" s="7571"/>
    </row>
    <row r="66" spans="1:10" ht="15" customHeight="1">
      <c r="A66" s="7536"/>
      <c r="B66" s="7536"/>
      <c r="C66" s="7559"/>
      <c r="D66" s="9439"/>
      <c r="E66" s="9439"/>
      <c r="F66" s="9439"/>
      <c r="G66" s="7574"/>
      <c r="H66" s="7574"/>
      <c r="I66" s="7290"/>
      <c r="J66" s="7574"/>
    </row>
    <row r="67" spans="1:10" ht="15" customHeight="1">
      <c r="A67" s="7536"/>
      <c r="B67" s="7536"/>
      <c r="C67" s="7559"/>
      <c r="D67" s="9439"/>
      <c r="E67" s="9439"/>
      <c r="F67" s="9439"/>
      <c r="G67" s="7574"/>
      <c r="H67" s="7574"/>
      <c r="I67" s="7290"/>
      <c r="J67" s="7574"/>
    </row>
    <row r="68" spans="1:10" ht="15" customHeight="1">
      <c r="A68" s="7536"/>
      <c r="B68" s="7536"/>
      <c r="C68" s="7559"/>
      <c r="D68" s="9439"/>
      <c r="E68" s="9439"/>
      <c r="F68" s="9439"/>
      <c r="G68" s="7574"/>
      <c r="H68" s="7574"/>
      <c r="I68" s="7290"/>
      <c r="J68" s="7574"/>
    </row>
    <row r="69" spans="1:10" ht="15" customHeight="1">
      <c r="A69" s="7536"/>
      <c r="B69" s="7536"/>
      <c r="C69" s="7559"/>
      <c r="D69" s="9439"/>
      <c r="E69" s="9439"/>
      <c r="F69" s="9439"/>
      <c r="G69" s="7574"/>
      <c r="H69" s="7574"/>
      <c r="I69" s="7290"/>
      <c r="J69" s="7574"/>
    </row>
    <row r="70" spans="1:10" ht="15" customHeight="1">
      <c r="A70" s="7536"/>
      <c r="B70" s="7536"/>
      <c r="C70" s="7559"/>
      <c r="D70" s="9439"/>
      <c r="E70" s="9439"/>
      <c r="F70" s="9439"/>
      <c r="G70" s="7574"/>
      <c r="H70" s="7574"/>
      <c r="I70" s="7290"/>
      <c r="J70" s="7574"/>
    </row>
    <row r="71" spans="1:10" ht="15" customHeight="1">
      <c r="A71" s="7536"/>
      <c r="B71" s="7536"/>
      <c r="C71" s="7559"/>
      <c r="D71" s="9439"/>
      <c r="E71" s="9439"/>
      <c r="F71" s="9439"/>
      <c r="G71" s="7574"/>
      <c r="H71" s="7574"/>
      <c r="I71" s="7290"/>
      <c r="J71" s="7574"/>
    </row>
    <row r="72" spans="1:10" ht="15" customHeight="1">
      <c r="A72" s="7536"/>
      <c r="B72" s="7536"/>
      <c r="C72" s="7559"/>
      <c r="D72" s="9439"/>
      <c r="E72" s="9439"/>
      <c r="F72" s="9439"/>
      <c r="G72" s="7574"/>
      <c r="H72" s="7574"/>
      <c r="I72" s="7290"/>
      <c r="J72" s="7574"/>
    </row>
    <row r="73" spans="1:10" ht="15" customHeight="1">
      <c r="A73" s="7536"/>
      <c r="B73" s="7536"/>
      <c r="C73" s="7559"/>
      <c r="D73" s="9439"/>
      <c r="E73" s="9439"/>
      <c r="F73" s="9439"/>
      <c r="G73" s="7574"/>
      <c r="H73" s="7574"/>
      <c r="I73" s="7290"/>
      <c r="J73" s="7574"/>
    </row>
    <row r="74" spans="1:10" ht="15" customHeight="1">
      <c r="A74" s="7536"/>
      <c r="B74" s="7536"/>
      <c r="C74" s="7559"/>
      <c r="D74" s="9439"/>
      <c r="E74" s="9439"/>
      <c r="F74" s="9439"/>
      <c r="G74" s="7574"/>
      <c r="H74" s="7574"/>
      <c r="I74" s="7290"/>
      <c r="J74" s="7574"/>
    </row>
    <row r="75" spans="1:10" ht="15" customHeight="1">
      <c r="A75" s="7536"/>
      <c r="B75" s="7536"/>
      <c r="C75" s="7559"/>
      <c r="D75" s="9439"/>
      <c r="E75" s="9439"/>
      <c r="F75" s="9439"/>
      <c r="G75" s="7574"/>
      <c r="H75" s="7574"/>
      <c r="I75" s="7290"/>
      <c r="J75" s="7574"/>
    </row>
    <row r="76" spans="1:10" ht="15" customHeight="1" thickBot="1">
      <c r="A76" s="7536" t="s">
        <v>10911</v>
      </c>
      <c r="B76" s="7536"/>
      <c r="C76" s="7559"/>
      <c r="D76" s="9439"/>
      <c r="E76" s="9439"/>
      <c r="F76" s="9439"/>
      <c r="G76" s="7574"/>
      <c r="H76" s="7574"/>
      <c r="I76" s="7290"/>
      <c r="J76" s="7574"/>
    </row>
    <row r="77" spans="1:10" ht="15" customHeight="1">
      <c r="A77" s="7521"/>
      <c r="B77" s="7522"/>
      <c r="C77" s="7523" t="s">
        <v>9</v>
      </c>
      <c r="D77" s="7524" t="s">
        <v>10</v>
      </c>
      <c r="E77" s="15231" t="s">
        <v>10711</v>
      </c>
      <c r="F77" s="15232"/>
      <c r="G77" s="15233"/>
      <c r="H77" s="7563"/>
      <c r="I77" s="7494"/>
      <c r="J77" s="7524" t="s">
        <v>12</v>
      </c>
    </row>
    <row r="78" spans="1:10" ht="15" customHeight="1">
      <c r="A78" s="7525"/>
      <c r="B78" s="7526" t="s">
        <v>13</v>
      </c>
      <c r="C78" s="15229" t="s">
        <v>14</v>
      </c>
      <c r="D78" s="7529" t="s">
        <v>15</v>
      </c>
      <c r="E78" s="11050" t="s">
        <v>10709</v>
      </c>
      <c r="F78" s="7299" t="s">
        <v>10710</v>
      </c>
      <c r="G78" s="15189" t="s">
        <v>458</v>
      </c>
      <c r="H78" s="7564"/>
      <c r="I78" s="7495"/>
      <c r="J78" s="7529" t="s">
        <v>16</v>
      </c>
    </row>
    <row r="79" spans="1:10" ht="15" customHeight="1" thickBot="1">
      <c r="A79" s="7530"/>
      <c r="B79" s="7531"/>
      <c r="C79" s="15230"/>
      <c r="D79" s="7565">
        <v>2017</v>
      </c>
      <c r="E79" s="10887" t="s">
        <v>457</v>
      </c>
      <c r="F79" s="9404" t="s">
        <v>456</v>
      </c>
      <c r="G79" s="15190"/>
      <c r="H79" s="7566"/>
      <c r="I79" s="7567"/>
      <c r="J79" s="7565">
        <v>2019</v>
      </c>
    </row>
    <row r="80" spans="1:10" ht="15" customHeight="1">
      <c r="A80" s="7575"/>
      <c r="B80" s="7526"/>
      <c r="C80" s="7576"/>
      <c r="D80" s="7529"/>
      <c r="E80" s="9440"/>
      <c r="F80" s="9441"/>
      <c r="G80" s="7564"/>
      <c r="H80" s="7564"/>
      <c r="I80" s="7495"/>
      <c r="J80" s="7564"/>
    </row>
    <row r="81" spans="1:12" ht="15" customHeight="1">
      <c r="A81" s="7577"/>
      <c r="B81" s="7488" t="s">
        <v>10938</v>
      </c>
      <c r="C81" s="8773">
        <v>50213050</v>
      </c>
      <c r="D81" s="7540">
        <f>'WS-MOOE 2017'!BA37</f>
        <v>0</v>
      </c>
      <c r="E81" s="7544">
        <f>'WS-MOOE ACTUAL JUNE 2018'!AS38</f>
        <v>3090</v>
      </c>
      <c r="F81" s="9435">
        <f>G81-E81</f>
        <v>96910</v>
      </c>
      <c r="G81" s="7545">
        <v>100000</v>
      </c>
      <c r="H81" s="7545">
        <v>5460</v>
      </c>
      <c r="I81" s="7358">
        <f>H81/G81</f>
        <v>5.4600000000000003E-2</v>
      </c>
      <c r="J81" s="7545">
        <v>100000</v>
      </c>
    </row>
    <row r="82" spans="1:12" ht="15" customHeight="1">
      <c r="A82" s="7577"/>
      <c r="B82" s="7488" t="s">
        <v>10937</v>
      </c>
      <c r="C82" s="8776">
        <v>50213060</v>
      </c>
      <c r="D82" s="7540">
        <f>'WS-MOOE 2017'!BB37</f>
        <v>13525</v>
      </c>
      <c r="E82" s="7544">
        <f>'WS-MOOE ACTUAL JUNE 2018'!AT38</f>
        <v>8425</v>
      </c>
      <c r="F82" s="9435">
        <f>G82-E82</f>
        <v>141575</v>
      </c>
      <c r="G82" s="7545">
        <v>150000</v>
      </c>
      <c r="H82" s="7545">
        <v>57785</v>
      </c>
      <c r="I82" s="7358">
        <f>H82/G82</f>
        <v>0.38523333333333332</v>
      </c>
      <c r="J82" s="7545">
        <v>120000</v>
      </c>
    </row>
    <row r="83" spans="1:12" ht="15" customHeight="1">
      <c r="A83" s="7577"/>
      <c r="B83" s="7287" t="s">
        <v>110</v>
      </c>
      <c r="C83" s="8778">
        <v>50216010</v>
      </c>
      <c r="D83" s="7540">
        <f>'WS-MOOE 2017'!BG37</f>
        <v>9520</v>
      </c>
      <c r="E83" s="7544">
        <f>'WS-MOOE ACTUAL JUNE 2018'!AY38</f>
        <v>8500</v>
      </c>
      <c r="F83" s="9435">
        <f>G83-E83</f>
        <v>61500</v>
      </c>
      <c r="G83" s="7545">
        <v>70000</v>
      </c>
      <c r="H83" s="7545">
        <v>8500</v>
      </c>
      <c r="I83" s="7358">
        <f>H83/G83</f>
        <v>0.12142857142857143</v>
      </c>
      <c r="J83" s="7545">
        <v>65000</v>
      </c>
    </row>
    <row r="84" spans="1:12" ht="15" customHeight="1">
      <c r="A84" s="7577"/>
      <c r="B84" s="7287" t="s">
        <v>72</v>
      </c>
      <c r="C84" s="8778">
        <v>50215020</v>
      </c>
      <c r="D84" s="7540">
        <f>'WS-MOOE 2017'!BH37</f>
        <v>0</v>
      </c>
      <c r="E84" s="7544">
        <f>'WS-MOOE ACTUAL JUNE 2018'!AZ38</f>
        <v>2062.5</v>
      </c>
      <c r="F84" s="9435">
        <f>G84-E84</f>
        <v>2937.5</v>
      </c>
      <c r="G84" s="7545">
        <v>5000</v>
      </c>
      <c r="H84" s="7545">
        <v>2400</v>
      </c>
      <c r="I84" s="7358">
        <f>H84/G84</f>
        <v>0.48</v>
      </c>
      <c r="J84" s="7545">
        <v>5000</v>
      </c>
    </row>
    <row r="85" spans="1:12" ht="15" customHeight="1">
      <c r="A85" s="7577"/>
      <c r="B85" s="7536" t="s">
        <v>50</v>
      </c>
      <c r="C85" s="8797">
        <v>50299990</v>
      </c>
      <c r="D85" s="7568">
        <f>'WS-MOOE 2017'!BO37</f>
        <v>87881.7</v>
      </c>
      <c r="E85" s="7568">
        <f>'WS-MOOE ACTUAL JUNE 2018'!BI38</f>
        <v>26687.25</v>
      </c>
      <c r="F85" s="9435">
        <f>G85-E85</f>
        <v>163312.75</v>
      </c>
      <c r="G85" s="7568">
        <v>190000</v>
      </c>
      <c r="H85" s="7568">
        <v>169108.09</v>
      </c>
      <c r="I85" s="7396">
        <f>H85/G85</f>
        <v>0.89004257894736838</v>
      </c>
      <c r="J85" s="7568">
        <v>280000</v>
      </c>
    </row>
    <row r="86" spans="1:12" ht="15" customHeight="1">
      <c r="A86" s="7577"/>
      <c r="B86" s="7552" t="s">
        <v>37</v>
      </c>
      <c r="C86" s="7578"/>
      <c r="D86" s="7581">
        <f>SUM(D44:D65,D81:D85)</f>
        <v>4754773.26</v>
      </c>
      <c r="E86" s="7581">
        <f>SUM(E44:E65,E81:E85)</f>
        <v>2163130.8199999998</v>
      </c>
      <c r="F86" s="7581">
        <f>SUM(F44:F65,F81:F85)</f>
        <v>10060369.18</v>
      </c>
      <c r="G86" s="7581">
        <f>SUM(G44:G65,G81:G85)</f>
        <v>12223500</v>
      </c>
      <c r="H86" s="7581">
        <f>SUM(H81:H85,H44:H64)</f>
        <v>7494199.8199999994</v>
      </c>
      <c r="I86" s="7324"/>
      <c r="J86" s="7581">
        <f>SUM(J44:J65,J81:J85)</f>
        <v>12743000</v>
      </c>
      <c r="K86" s="10391">
        <f>(J86-G86)/G86</f>
        <v>4.2500102262036245E-2</v>
      </c>
    </row>
    <row r="87" spans="1:12" ht="15" customHeight="1">
      <c r="A87" s="7577"/>
      <c r="B87" s="7536"/>
      <c r="C87" s="7578"/>
      <c r="D87" s="7540"/>
      <c r="E87" s="7544"/>
      <c r="F87" s="7568"/>
      <c r="G87" s="7545"/>
      <c r="H87" s="7545"/>
      <c r="I87" s="7358"/>
      <c r="J87" s="7545"/>
    </row>
    <row r="88" spans="1:12" ht="15" customHeight="1">
      <c r="A88" s="7582" t="s">
        <v>51</v>
      </c>
      <c r="B88" s="7583" t="s">
        <v>170</v>
      </c>
      <c r="C88" s="7578"/>
      <c r="D88" s="7540"/>
      <c r="E88" s="7544"/>
      <c r="F88" s="9435"/>
      <c r="G88" s="7545"/>
      <c r="H88" s="7545"/>
      <c r="I88" s="7358"/>
      <c r="J88" s="7545"/>
    </row>
    <row r="89" spans="1:12" ht="15.6" hidden="1" customHeight="1">
      <c r="A89" s="8803"/>
      <c r="B89" s="7583" t="s">
        <v>11708</v>
      </c>
      <c r="C89" s="11929">
        <v>50702990</v>
      </c>
      <c r="D89" s="8804"/>
      <c r="E89" s="8804"/>
      <c r="F89" s="9442"/>
      <c r="G89" s="8804"/>
      <c r="H89" s="8804"/>
      <c r="I89" s="8799"/>
      <c r="J89" s="8804">
        <v>0</v>
      </c>
    </row>
    <row r="90" spans="1:12" ht="2.1" customHeight="1">
      <c r="A90" s="8803"/>
      <c r="B90" s="7287"/>
      <c r="C90" s="8781"/>
      <c r="D90" s="8804"/>
      <c r="E90" s="8804"/>
      <c r="F90" s="9442"/>
      <c r="G90" s="10375"/>
      <c r="H90" s="8804"/>
      <c r="I90" s="8799"/>
      <c r="J90" s="8804"/>
      <c r="L90" s="7749"/>
    </row>
    <row r="91" spans="1:12" ht="15" hidden="1" customHeight="1">
      <c r="A91" s="8803"/>
      <c r="B91" s="7287" t="s">
        <v>11911</v>
      </c>
      <c r="C91" s="8802"/>
      <c r="D91" s="8804"/>
      <c r="E91" s="8804"/>
      <c r="F91" s="9442"/>
      <c r="G91" s="10375"/>
      <c r="H91" s="8804"/>
      <c r="I91" s="8799"/>
      <c r="J91" s="8804"/>
      <c r="L91" s="7749"/>
    </row>
    <row r="92" spans="1:12" ht="13.5" customHeight="1">
      <c r="A92" s="7582"/>
      <c r="B92" s="7583" t="s">
        <v>10975</v>
      </c>
      <c r="C92" s="7547">
        <v>50704990</v>
      </c>
      <c r="D92" s="7545"/>
      <c r="E92" s="7544"/>
      <c r="F92" s="9442">
        <f t="shared" ref="F92:F102" si="4">G92-E92</f>
        <v>1000000</v>
      </c>
      <c r="G92" s="8804">
        <v>1000000</v>
      </c>
      <c r="H92" s="7545">
        <v>0</v>
      </c>
      <c r="I92" s="7358">
        <f t="shared" ref="I92:I103" si="5">H92/G92</f>
        <v>0</v>
      </c>
      <c r="J92" s="7545">
        <v>1100000</v>
      </c>
      <c r="L92" s="7749"/>
    </row>
    <row r="93" spans="1:12" ht="15" hidden="1" customHeight="1">
      <c r="A93" s="7582"/>
      <c r="B93" s="7583" t="s">
        <v>5023</v>
      </c>
      <c r="C93" s="7547"/>
      <c r="D93" s="7545"/>
      <c r="E93" s="7544"/>
      <c r="F93" s="9442">
        <f t="shared" si="4"/>
        <v>0</v>
      </c>
      <c r="G93" s="8804"/>
      <c r="H93" s="7545"/>
      <c r="I93" s="7358" t="e">
        <f t="shared" si="5"/>
        <v>#DIV/0!</v>
      </c>
      <c r="J93" s="7545"/>
      <c r="L93" s="7749"/>
    </row>
    <row r="94" spans="1:12" ht="15" hidden="1" customHeight="1">
      <c r="A94" s="7582"/>
      <c r="B94" s="7584" t="s">
        <v>10000</v>
      </c>
      <c r="C94" s="7585"/>
      <c r="D94" s="9443">
        <f>'WS-CO 2017'!H36</f>
        <v>0</v>
      </c>
      <c r="E94" s="7499"/>
      <c r="F94" s="9442">
        <f t="shared" si="4"/>
        <v>0</v>
      </c>
      <c r="G94" s="8882"/>
      <c r="H94" s="7420"/>
      <c r="I94" s="7358" t="e">
        <f t="shared" si="5"/>
        <v>#DIV/0!</v>
      </c>
      <c r="J94" s="7420"/>
      <c r="L94" s="7749"/>
    </row>
    <row r="95" spans="1:12" ht="2.4" hidden="1" customHeight="1">
      <c r="A95" s="8803"/>
      <c r="B95" s="10674" t="s">
        <v>11912</v>
      </c>
      <c r="C95" s="10675"/>
      <c r="D95" s="8882"/>
      <c r="E95" s="8882"/>
      <c r="F95" s="9442"/>
      <c r="G95" s="8882"/>
      <c r="H95" s="8882"/>
      <c r="I95" s="8799"/>
      <c r="J95" s="8882"/>
      <c r="L95" s="7749"/>
    </row>
    <row r="96" spans="1:12" ht="15" customHeight="1">
      <c r="A96" s="8803"/>
      <c r="B96" s="10674" t="s">
        <v>122</v>
      </c>
      <c r="C96" s="10675">
        <v>50705020</v>
      </c>
      <c r="D96" s="8882"/>
      <c r="E96" s="8882"/>
      <c r="F96" s="9442"/>
      <c r="G96" s="8882"/>
      <c r="H96" s="8882"/>
      <c r="I96" s="8799"/>
      <c r="J96" s="8882">
        <v>187000</v>
      </c>
      <c r="L96" s="7749"/>
    </row>
    <row r="97" spans="1:12" ht="15" customHeight="1">
      <c r="A97" s="8803"/>
      <c r="B97" s="10674" t="s">
        <v>10946</v>
      </c>
      <c r="C97" s="10675">
        <v>50705030</v>
      </c>
      <c r="D97" s="8882"/>
      <c r="E97" s="8882"/>
      <c r="F97" s="9442"/>
      <c r="G97" s="8882"/>
      <c r="H97" s="8882"/>
      <c r="I97" s="8799"/>
      <c r="J97" s="8882">
        <v>150000</v>
      </c>
      <c r="L97" s="7749"/>
    </row>
    <row r="98" spans="1:12" ht="15" customHeight="1">
      <c r="A98" s="8803"/>
      <c r="B98" s="10674" t="s">
        <v>11594</v>
      </c>
      <c r="C98" s="10675">
        <v>50705110</v>
      </c>
      <c r="D98" s="8882"/>
      <c r="E98" s="8882"/>
      <c r="F98" s="9442"/>
      <c r="G98" s="8882"/>
      <c r="H98" s="8882"/>
      <c r="I98" s="8799"/>
      <c r="J98" s="8882">
        <v>422000</v>
      </c>
      <c r="L98" s="7749"/>
    </row>
    <row r="99" spans="1:12" ht="15" customHeight="1">
      <c r="A99" s="8803"/>
      <c r="B99" s="7287" t="s">
        <v>12221</v>
      </c>
      <c r="C99" s="8781">
        <v>50705990</v>
      </c>
      <c r="D99" s="8804"/>
      <c r="E99" s="8804"/>
      <c r="F99" s="9442">
        <f t="shared" ref="F99" si="6">G99-E99</f>
        <v>0</v>
      </c>
      <c r="G99" s="10375">
        <v>0</v>
      </c>
      <c r="H99" s="8804"/>
      <c r="I99" s="8799"/>
      <c r="J99" s="8804">
        <v>1191000</v>
      </c>
      <c r="L99" s="7749"/>
    </row>
    <row r="100" spans="1:12" ht="15" customHeight="1">
      <c r="A100" s="8803"/>
      <c r="B100" s="10674" t="s">
        <v>12219</v>
      </c>
      <c r="C100" s="10675">
        <v>50707010</v>
      </c>
      <c r="D100" s="8882"/>
      <c r="E100" s="8882"/>
      <c r="F100" s="9442"/>
      <c r="G100" s="8882"/>
      <c r="H100" s="8882"/>
      <c r="I100" s="8799"/>
      <c r="J100" s="8882">
        <v>50000</v>
      </c>
      <c r="L100" s="7749"/>
    </row>
    <row r="101" spans="1:12" ht="15" customHeight="1">
      <c r="A101" s="7582"/>
      <c r="B101" s="7287" t="s">
        <v>11709</v>
      </c>
      <c r="C101" s="8781">
        <v>50706010</v>
      </c>
      <c r="D101" s="7420"/>
      <c r="E101" s="7420"/>
      <c r="F101" s="9442">
        <f t="shared" si="4"/>
        <v>1000000</v>
      </c>
      <c r="G101" s="8882">
        <v>1000000</v>
      </c>
      <c r="H101" s="7420">
        <v>1000000</v>
      </c>
      <c r="I101" s="7358">
        <f t="shared" si="5"/>
        <v>1</v>
      </c>
      <c r="J101" s="7500">
        <v>0</v>
      </c>
      <c r="K101" s="7508" t="s">
        <v>11875</v>
      </c>
      <c r="L101" s="7749"/>
    </row>
    <row r="102" spans="1:12" s="9452" customFormat="1" ht="15" customHeight="1">
      <c r="A102" s="9447"/>
      <c r="B102" s="9448" t="s">
        <v>11197</v>
      </c>
      <c r="C102" s="9449">
        <v>50701010</v>
      </c>
      <c r="D102" s="9450"/>
      <c r="E102" s="9450"/>
      <c r="F102" s="9442">
        <f t="shared" si="4"/>
        <v>250000</v>
      </c>
      <c r="G102" s="9450">
        <v>250000</v>
      </c>
      <c r="H102" s="9450">
        <v>0</v>
      </c>
      <c r="I102" s="7358">
        <f t="shared" si="5"/>
        <v>0</v>
      </c>
      <c r="J102" s="9451">
        <v>0</v>
      </c>
      <c r="L102" s="13954"/>
    </row>
    <row r="103" spans="1:12" s="7588" customFormat="1" ht="15" customHeight="1">
      <c r="A103" s="7586"/>
      <c r="B103" s="7552" t="s">
        <v>37</v>
      </c>
      <c r="C103" s="7587"/>
      <c r="D103" s="9444">
        <f t="shared" ref="D103:J103" si="7">SUM(D88:D102)</f>
        <v>0</v>
      </c>
      <c r="E103" s="9444">
        <f t="shared" si="7"/>
        <v>0</v>
      </c>
      <c r="F103" s="9444">
        <f t="shared" si="7"/>
        <v>2250000</v>
      </c>
      <c r="G103" s="9444">
        <f t="shared" si="7"/>
        <v>2250000</v>
      </c>
      <c r="H103" s="9444">
        <f t="shared" si="7"/>
        <v>1000000</v>
      </c>
      <c r="I103" s="7358">
        <f t="shared" si="5"/>
        <v>0.44444444444444442</v>
      </c>
      <c r="J103" s="9444">
        <f t="shared" si="7"/>
        <v>3100000</v>
      </c>
      <c r="K103" s="10391">
        <f>(J103-G103)/G103</f>
        <v>0.37777777777777777</v>
      </c>
      <c r="L103" s="7856">
        <v>3100000</v>
      </c>
    </row>
    <row r="104" spans="1:12" s="7588" customFormat="1" ht="15" customHeight="1">
      <c r="A104" s="11930"/>
      <c r="B104" s="7552"/>
      <c r="C104" s="9446"/>
      <c r="D104" s="11931"/>
      <c r="E104" s="11931"/>
      <c r="F104" s="11931"/>
      <c r="G104" s="11931"/>
      <c r="H104" s="11931"/>
      <c r="I104" s="8799"/>
      <c r="J104" s="11931"/>
      <c r="K104" s="10391"/>
      <c r="L104" s="10262"/>
    </row>
    <row r="105" spans="1:12" s="7588" customFormat="1" ht="15" customHeight="1">
      <c r="A105" s="7582" t="s">
        <v>3699</v>
      </c>
      <c r="B105" s="7536" t="s">
        <v>3445</v>
      </c>
      <c r="C105" s="7589"/>
      <c r="D105" s="7545"/>
      <c r="E105" s="7544"/>
      <c r="F105" s="7568"/>
      <c r="G105" s="7545"/>
      <c r="H105" s="7545"/>
      <c r="I105" s="7358"/>
      <c r="J105" s="7545"/>
      <c r="L105" s="10262"/>
    </row>
    <row r="106" spans="1:12" ht="15" customHeight="1">
      <c r="A106" s="7582"/>
      <c r="C106" s="7578"/>
      <c r="D106" s="7590"/>
      <c r="E106" s="7590"/>
      <c r="F106" s="7590"/>
      <c r="G106" s="7591"/>
      <c r="H106" s="7590"/>
      <c r="I106" s="7592"/>
      <c r="J106" s="7591"/>
    </row>
    <row r="107" spans="1:12" ht="15" customHeight="1">
      <c r="A107" s="7582"/>
      <c r="B107" s="7552" t="s">
        <v>37</v>
      </c>
      <c r="C107" s="7547"/>
      <c r="D107" s="7580">
        <v>0</v>
      </c>
      <c r="E107" s="7580">
        <v>0</v>
      </c>
      <c r="F107" s="7580">
        <v>0</v>
      </c>
      <c r="G107" s="7580">
        <v>0</v>
      </c>
      <c r="H107" s="7580"/>
      <c r="I107" s="7601"/>
      <c r="J107" s="7580">
        <v>0</v>
      </c>
    </row>
    <row r="108" spans="1:12" ht="15" customHeight="1">
      <c r="A108" s="7593"/>
      <c r="B108" s="7594"/>
      <c r="C108" s="7595"/>
      <c r="D108" s="7549"/>
      <c r="E108" s="7550"/>
      <c r="F108" s="7550"/>
      <c r="G108" s="7579"/>
      <c r="H108" s="7551"/>
      <c r="I108" s="7373"/>
      <c r="J108" s="7579"/>
    </row>
    <row r="109" spans="1:12" ht="15" customHeight="1" thickBot="1">
      <c r="A109" s="7577"/>
      <c r="B109" s="7552" t="s">
        <v>55</v>
      </c>
      <c r="C109" s="7537"/>
      <c r="D109" s="9445">
        <f>(D29+D86+D103+D107)</f>
        <v>12595736.699999999</v>
      </c>
      <c r="E109" s="9445">
        <f>(E29+E86+E103+E107)</f>
        <v>6590743.9700000007</v>
      </c>
      <c r="F109" s="9445">
        <f>(F29+F86+F103+F107)</f>
        <v>20619506.029999997</v>
      </c>
      <c r="G109" s="7596">
        <f>(G29+G86+G103+G107)</f>
        <v>27210250</v>
      </c>
      <c r="H109" s="7596"/>
      <c r="I109" s="7367"/>
      <c r="J109" s="7596">
        <f>(J29+J86+J103+J107)</f>
        <v>30163604.41</v>
      </c>
      <c r="K109" s="10391">
        <f>(J109-G109)/G109</f>
        <v>0.10853830486673222</v>
      </c>
    </row>
    <row r="110" spans="1:12" s="7333" customFormat="1" ht="15" customHeight="1" thickTop="1">
      <c r="A110" s="7328" t="s">
        <v>4763</v>
      </c>
      <c r="B110" s="7328"/>
      <c r="C110" s="7329"/>
      <c r="D110" s="7330"/>
      <c r="E110" s="7330"/>
      <c r="F110" s="7330"/>
      <c r="G110" s="7331"/>
      <c r="H110" s="7330"/>
      <c r="I110" s="7332"/>
      <c r="J110" s="7331"/>
      <c r="L110" s="7842"/>
    </row>
    <row r="111" spans="1:12" s="7588" customFormat="1" ht="15" customHeight="1">
      <c r="A111" s="7513"/>
      <c r="B111" s="7513"/>
      <c r="C111" s="7514"/>
      <c r="D111" s="7515"/>
      <c r="E111" s="7515"/>
      <c r="F111" s="7515"/>
      <c r="G111" s="7597"/>
      <c r="H111" s="7515"/>
      <c r="I111" s="7381"/>
      <c r="J111" s="7597"/>
      <c r="L111" s="10262"/>
    </row>
    <row r="112" spans="1:12" ht="15" hidden="1" customHeight="1">
      <c r="A112" s="7335" t="s">
        <v>3483</v>
      </c>
      <c r="B112" s="7335"/>
      <c r="C112" s="7508"/>
      <c r="D112" s="10884" t="s">
        <v>3484</v>
      </c>
      <c r="E112" s="7336"/>
      <c r="F112" s="7336"/>
      <c r="G112" s="7337" t="s">
        <v>10666</v>
      </c>
      <c r="H112" s="7336"/>
      <c r="I112" s="7286"/>
      <c r="J112" s="7338"/>
    </row>
    <row r="113" spans="1:12" s="7588" customFormat="1" ht="15" hidden="1" customHeight="1">
      <c r="A113" s="7335"/>
      <c r="B113" s="7335"/>
      <c r="D113" s="10884"/>
      <c r="E113" s="7336"/>
      <c r="F113" s="7336"/>
      <c r="G113" s="7339"/>
      <c r="H113" s="7336"/>
      <c r="I113" s="7286"/>
      <c r="J113" s="7338"/>
      <c r="L113" s="10262"/>
    </row>
    <row r="114" spans="1:12" s="7588" customFormat="1" ht="15" hidden="1" customHeight="1">
      <c r="A114" s="7335"/>
      <c r="B114" s="7335"/>
      <c r="D114" s="10884"/>
      <c r="E114" s="7336"/>
      <c r="F114" s="7336"/>
      <c r="G114" s="7339"/>
      <c r="H114" s="7336"/>
      <c r="I114" s="7286"/>
      <c r="J114" s="7338"/>
      <c r="L114" s="10262"/>
    </row>
    <row r="115" spans="1:12" ht="15" hidden="1" customHeight="1">
      <c r="A115" s="7335"/>
      <c r="B115" s="7335"/>
      <c r="C115" s="7508"/>
      <c r="D115" s="10884"/>
      <c r="E115" s="7336"/>
      <c r="F115" s="7336"/>
      <c r="G115" s="7339"/>
      <c r="H115" s="7336"/>
      <c r="I115" s="7286"/>
      <c r="J115" s="7338"/>
    </row>
    <row r="116" spans="1:12" ht="15" hidden="1" customHeight="1">
      <c r="A116" s="7341"/>
      <c r="B116" s="10885" t="s">
        <v>11073</v>
      </c>
      <c r="C116" s="7508"/>
      <c r="D116" s="10872" t="s">
        <v>12059</v>
      </c>
      <c r="E116" s="9431"/>
      <c r="F116" s="9431"/>
      <c r="G116" s="7342" t="s">
        <v>10667</v>
      </c>
      <c r="H116" s="9431"/>
      <c r="I116" s="7284"/>
      <c r="J116" s="7343"/>
    </row>
    <row r="117" spans="1:12" ht="15" hidden="1" customHeight="1">
      <c r="B117" s="10884" t="s">
        <v>11224</v>
      </c>
      <c r="C117" s="7508"/>
      <c r="D117" s="10869" t="s">
        <v>3486</v>
      </c>
      <c r="E117" s="7336"/>
      <c r="F117" s="7336"/>
      <c r="G117" s="7344" t="s">
        <v>10668</v>
      </c>
      <c r="H117" s="7336"/>
      <c r="I117" s="7286"/>
      <c r="J117" s="7338"/>
    </row>
    <row r="118" spans="1:12" ht="15" customHeight="1">
      <c r="A118" s="7335"/>
      <c r="B118" s="7335"/>
      <c r="C118" s="7508"/>
      <c r="D118" s="10869"/>
      <c r="E118" s="7336"/>
      <c r="F118" s="7336"/>
      <c r="G118" s="7344"/>
      <c r="H118" s="7336"/>
      <c r="I118" s="7286"/>
      <c r="J118" s="7338"/>
    </row>
    <row r="119" spans="1:12" ht="15" customHeight="1">
      <c r="A119" s="7335"/>
      <c r="B119" s="7335"/>
      <c r="C119" s="7508"/>
      <c r="D119" s="10869"/>
      <c r="E119" s="7336"/>
      <c r="F119" s="7336"/>
      <c r="G119" s="7344"/>
      <c r="H119" s="7336"/>
      <c r="I119" s="7286"/>
      <c r="J119" s="7338"/>
    </row>
    <row r="120" spans="1:12" ht="15" hidden="1" customHeight="1">
      <c r="A120" s="7509"/>
      <c r="B120" s="7509"/>
      <c r="C120" s="7511"/>
      <c r="D120" s="7516"/>
      <c r="E120" s="7516"/>
      <c r="F120" s="7516"/>
      <c r="G120" s="7516" t="s">
        <v>11072</v>
      </c>
      <c r="H120" s="7515">
        <f>J109-G109</f>
        <v>2953354.41</v>
      </c>
      <c r="I120" s="7286">
        <f>H120/G109</f>
        <v>0.10853830486673222</v>
      </c>
      <c r="J120" s="7516"/>
    </row>
    <row r="121" spans="1:12" ht="15" hidden="1" customHeight="1">
      <c r="A121" s="7509"/>
      <c r="B121" s="7509"/>
      <c r="C121" s="7511"/>
      <c r="D121" s="7516"/>
      <c r="E121" s="9430"/>
      <c r="F121" s="7516"/>
      <c r="G121" s="7516"/>
      <c r="H121" s="7598"/>
      <c r="I121" s="7286"/>
      <c r="J121" s="7516"/>
    </row>
    <row r="122" spans="1:12" ht="15" hidden="1" customHeight="1">
      <c r="A122" s="7509"/>
      <c r="B122" s="7509"/>
      <c r="C122" s="7511"/>
      <c r="D122" s="7516"/>
      <c r="E122" s="7516"/>
      <c r="F122" s="7516"/>
      <c r="G122" s="7336" t="s">
        <v>11069</v>
      </c>
      <c r="H122" s="7599">
        <v>15359917</v>
      </c>
      <c r="I122" s="7286"/>
      <c r="J122" s="7516"/>
    </row>
    <row r="123" spans="1:12" ht="15" hidden="1" customHeight="1">
      <c r="A123" s="7509"/>
      <c r="B123" s="7509"/>
      <c r="C123" s="7511"/>
      <c r="D123" s="7516"/>
      <c r="E123" s="7516"/>
      <c r="F123" s="7516"/>
      <c r="G123" s="7336" t="s">
        <v>11070</v>
      </c>
      <c r="H123" s="7516">
        <f>G109-H122</f>
        <v>11850333</v>
      </c>
      <c r="I123" s="7286"/>
      <c r="J123" s="7516"/>
    </row>
    <row r="124" spans="1:12" ht="15" customHeight="1">
      <c r="A124" s="7509"/>
      <c r="B124" s="7509"/>
      <c r="C124" s="7511"/>
      <c r="D124" s="7516"/>
      <c r="E124" s="7516"/>
      <c r="F124" s="7516"/>
      <c r="G124" s="7516"/>
      <c r="H124" s="9430">
        <f>H123/H122</f>
        <v>0.77151022365550548</v>
      </c>
      <c r="I124" s="7286"/>
      <c r="J124" s="7516"/>
    </row>
  </sheetData>
  <mergeCells count="11">
    <mergeCell ref="C78:C79"/>
    <mergeCell ref="C7:C8"/>
    <mergeCell ref="A1:J1"/>
    <mergeCell ref="E6:G6"/>
    <mergeCell ref="G7:G8"/>
    <mergeCell ref="E77:G77"/>
    <mergeCell ref="G78:G79"/>
    <mergeCell ref="E39:G39"/>
    <mergeCell ref="C40:C41"/>
    <mergeCell ref="G40:G41"/>
    <mergeCell ref="J3:J4"/>
  </mergeCells>
  <printOptions horizontalCentered="1" gridLinesSet="0"/>
  <pageMargins left="0.25" right="0.25" top="0.5" bottom="0.25" header="0.25" footer="0.25"/>
  <pageSetup paperSize="119" firstPageNumber="317" orientation="landscape" useFirstPageNumber="1" r:id="rId1"/>
  <headerFooter alignWithMargins="0"/>
</worksheet>
</file>

<file path=xl/worksheets/sheet162.xml><?xml version="1.0" encoding="utf-8"?>
<worksheet xmlns="http://schemas.openxmlformats.org/spreadsheetml/2006/main" xmlns:r="http://schemas.openxmlformats.org/officeDocument/2006/relationships">
  <sheetPr codeName="Sheet185">
    <tabColor rgb="FFFFFF00"/>
  </sheetPr>
  <dimension ref="A1:E47"/>
  <sheetViews>
    <sheetView workbookViewId="0">
      <selection activeCell="A9" sqref="A9"/>
    </sheetView>
  </sheetViews>
  <sheetFormatPr defaultColWidth="9.109375" defaultRowHeight="14.4"/>
  <cols>
    <col min="1" max="1" width="44.109375" style="1005" customWidth="1"/>
    <col min="2" max="2" width="13.44140625" style="1124" customWidth="1"/>
    <col min="3" max="3" width="13.109375" style="1124" customWidth="1"/>
    <col min="4" max="4" width="11.88671875" style="1124" customWidth="1"/>
    <col min="5" max="5" width="14.109375" style="1124" customWidth="1"/>
    <col min="6" max="16384" width="9.109375" style="1005"/>
  </cols>
  <sheetData>
    <row r="1" spans="1:5" s="1118" customFormat="1" ht="18" customHeight="1">
      <c r="A1" s="946" t="s">
        <v>3426</v>
      </c>
      <c r="B1" s="1117"/>
      <c r="C1" s="1117"/>
      <c r="D1" s="1117"/>
      <c r="E1" s="1117"/>
    </row>
    <row r="2" spans="1:5" s="1118" customFormat="1" ht="22.5" customHeight="1">
      <c r="A2" s="946" t="s">
        <v>4808</v>
      </c>
      <c r="B2" s="1117"/>
      <c r="C2" s="1117"/>
      <c r="D2" s="1117"/>
      <c r="E2" s="1117"/>
    </row>
    <row r="3" spans="1:5" s="1118" customFormat="1">
      <c r="A3" s="15234" t="s">
        <v>3427</v>
      </c>
      <c r="B3" s="15236" t="s">
        <v>18</v>
      </c>
      <c r="C3" s="15236"/>
      <c r="D3" s="15236"/>
      <c r="E3" s="15237" t="s">
        <v>220</v>
      </c>
    </row>
    <row r="4" spans="1:5" s="1030" customFormat="1" ht="30.75" customHeight="1">
      <c r="A4" s="15235"/>
      <c r="B4" s="1119" t="s">
        <v>2151</v>
      </c>
      <c r="C4" s="1119" t="s">
        <v>1973</v>
      </c>
      <c r="D4" s="1119" t="s">
        <v>52</v>
      </c>
      <c r="E4" s="15238"/>
    </row>
    <row r="5" spans="1:5" s="1030" customFormat="1" ht="6.75" customHeight="1">
      <c r="A5" s="1574"/>
      <c r="B5" s="1592"/>
      <c r="C5" s="1592"/>
      <c r="D5" s="1592"/>
      <c r="E5" s="1592"/>
    </row>
    <row r="6" spans="1:5" s="1118" customFormat="1">
      <c r="A6" s="1120" t="s">
        <v>2048</v>
      </c>
      <c r="B6" s="1121"/>
      <c r="C6" s="1121"/>
      <c r="D6" s="1121"/>
      <c r="E6" s="1121"/>
    </row>
    <row r="7" spans="1:5">
      <c r="A7" s="1382" t="s">
        <v>3714</v>
      </c>
      <c r="B7" s="1122">
        <f>'lbpf 3-HPGARCIA '!J29</f>
        <v>14320604.41</v>
      </c>
      <c r="C7" s="1122">
        <f>'lbpf 3-HPGARCIA '!J86</f>
        <v>12743000</v>
      </c>
      <c r="D7" s="1122">
        <f>'lbpf 3-HPGARCIA '!J103</f>
        <v>3100000</v>
      </c>
      <c r="E7" s="1122">
        <f>SUM(B7:D7)</f>
        <v>30163604.41</v>
      </c>
    </row>
    <row r="8" spans="1:5">
      <c r="A8" s="1382" t="s">
        <v>3715</v>
      </c>
      <c r="B8" s="1122"/>
      <c r="C8" s="1122"/>
      <c r="D8" s="1122"/>
      <c r="E8" s="1122"/>
    </row>
    <row r="9" spans="1:5">
      <c r="A9" s="1031" t="s">
        <v>3716</v>
      </c>
      <c r="B9" s="1004"/>
      <c r="C9" s="1004"/>
      <c r="D9" s="1004"/>
      <c r="E9" s="1122"/>
    </row>
    <row r="10" spans="1:5">
      <c r="A10" s="1031" t="s">
        <v>3717</v>
      </c>
      <c r="B10" s="1004"/>
      <c r="C10" s="1004"/>
      <c r="D10" s="1004"/>
      <c r="E10" s="1122"/>
    </row>
    <row r="11" spans="1:5">
      <c r="A11" s="1031" t="s">
        <v>3718</v>
      </c>
      <c r="B11" s="1004"/>
      <c r="C11" s="1004"/>
      <c r="D11" s="1004"/>
      <c r="E11" s="1122"/>
    </row>
    <row r="12" spans="1:5" ht="30.75" customHeight="1">
      <c r="A12" s="1031" t="s">
        <v>3719</v>
      </c>
      <c r="B12" s="1004"/>
      <c r="C12" s="1004"/>
      <c r="D12" s="1004"/>
      <c r="E12" s="1122"/>
    </row>
    <row r="13" spans="1:5" ht="15.75" customHeight="1">
      <c r="A13" s="1031" t="s">
        <v>3721</v>
      </c>
      <c r="B13" s="1004"/>
      <c r="C13" s="1004"/>
      <c r="D13" s="1004"/>
      <c r="E13" s="1122"/>
    </row>
    <row r="14" spans="1:5" ht="16.5" customHeight="1">
      <c r="A14" s="1031" t="s">
        <v>3720</v>
      </c>
      <c r="B14" s="1004"/>
      <c r="C14" s="1004"/>
      <c r="D14" s="1004"/>
      <c r="E14" s="1122"/>
    </row>
    <row r="15" spans="1:5">
      <c r="A15" s="1031" t="s">
        <v>3722</v>
      </c>
      <c r="B15" s="1004"/>
      <c r="C15" s="1004"/>
      <c r="D15" s="1004"/>
      <c r="E15" s="1122"/>
    </row>
    <row r="16" spans="1:5">
      <c r="A16" s="1031" t="s">
        <v>3724</v>
      </c>
      <c r="B16" s="1004"/>
      <c r="C16" s="1004"/>
      <c r="D16" s="1004"/>
      <c r="E16" s="1122"/>
    </row>
    <row r="17" spans="1:5" ht="29.25" customHeight="1">
      <c r="A17" s="1031" t="s">
        <v>3723</v>
      </c>
      <c r="B17" s="1004"/>
      <c r="C17" s="1004"/>
      <c r="D17" s="1004"/>
      <c r="E17" s="1122"/>
    </row>
    <row r="18" spans="1:5">
      <c r="A18" s="1031" t="s">
        <v>3725</v>
      </c>
      <c r="B18" s="1004"/>
      <c r="C18" s="1004"/>
      <c r="D18" s="1004"/>
      <c r="E18" s="1122"/>
    </row>
    <row r="19" spans="1:5" ht="15" customHeight="1">
      <c r="A19" s="1031" t="s">
        <v>3726</v>
      </c>
      <c r="B19" s="1004"/>
      <c r="C19" s="1004"/>
      <c r="D19" s="1004"/>
      <c r="E19" s="1122"/>
    </row>
    <row r="20" spans="1:5" ht="14.25" customHeight="1">
      <c r="A20" s="1031" t="s">
        <v>3727</v>
      </c>
      <c r="B20" s="1004"/>
      <c r="C20" s="1004"/>
      <c r="D20" s="1004"/>
      <c r="E20" s="1122"/>
    </row>
    <row r="21" spans="1:5" ht="13.5" customHeight="1">
      <c r="A21" s="1031" t="s">
        <v>3728</v>
      </c>
      <c r="B21" s="1004"/>
      <c r="C21" s="1004"/>
      <c r="D21" s="1004"/>
      <c r="E21" s="1122"/>
    </row>
    <row r="22" spans="1:5" ht="15.75" customHeight="1">
      <c r="A22" s="1031" t="s">
        <v>3729</v>
      </c>
      <c r="B22" s="1004"/>
      <c r="C22" s="1004"/>
      <c r="D22" s="1004"/>
      <c r="E22" s="1122"/>
    </row>
    <row r="23" spans="1:5" ht="14.25" customHeight="1">
      <c r="A23" s="1031" t="s">
        <v>3730</v>
      </c>
      <c r="B23" s="1004"/>
      <c r="C23" s="1004"/>
      <c r="D23" s="1004"/>
      <c r="E23" s="1122"/>
    </row>
    <row r="24" spans="1:5" ht="15.75" customHeight="1">
      <c r="A24" s="1031" t="s">
        <v>3731</v>
      </c>
      <c r="B24" s="1004"/>
      <c r="C24" s="1004"/>
      <c r="D24" s="1004"/>
      <c r="E24" s="1122"/>
    </row>
    <row r="25" spans="1:5" ht="13.5" customHeight="1">
      <c r="A25" s="1031" t="s">
        <v>3732</v>
      </c>
      <c r="B25" s="1004"/>
      <c r="C25" s="1004"/>
      <c r="D25" s="1004"/>
      <c r="E25" s="1122"/>
    </row>
    <row r="26" spans="1:5" ht="14.25" customHeight="1">
      <c r="A26" s="1031" t="s">
        <v>3733</v>
      </c>
      <c r="B26" s="1004"/>
      <c r="C26" s="1004"/>
      <c r="D26" s="1004"/>
      <c r="E26" s="1122"/>
    </row>
    <row r="27" spans="1:5" ht="15.75" customHeight="1">
      <c r="A27" s="1031" t="s">
        <v>3734</v>
      </c>
      <c r="B27" s="1004"/>
      <c r="C27" s="1004"/>
      <c r="D27" s="1004"/>
      <c r="E27" s="1122"/>
    </row>
    <row r="28" spans="1:5" ht="13.5" customHeight="1">
      <c r="A28" s="1031" t="s">
        <v>3735</v>
      </c>
      <c r="B28" s="1004"/>
      <c r="C28" s="1004"/>
      <c r="D28" s="1004"/>
      <c r="E28" s="1122"/>
    </row>
    <row r="29" spans="1:5" ht="12.75" customHeight="1">
      <c r="A29" s="1031" t="s">
        <v>3736</v>
      </c>
      <c r="B29" s="1004"/>
      <c r="C29" s="1004"/>
      <c r="D29" s="1004"/>
      <c r="E29" s="1122"/>
    </row>
    <row r="30" spans="1:5" ht="13.5" customHeight="1">
      <c r="A30" s="1031" t="s">
        <v>3737</v>
      </c>
      <c r="B30" s="1004"/>
      <c r="C30" s="1004"/>
      <c r="D30" s="1004"/>
      <c r="E30" s="1122"/>
    </row>
    <row r="31" spans="1:5" ht="14.25" customHeight="1">
      <c r="A31" s="1031" t="s">
        <v>3738</v>
      </c>
      <c r="B31" s="1004"/>
      <c r="C31" s="1004"/>
      <c r="D31" s="1004"/>
      <c r="E31" s="1122"/>
    </row>
    <row r="32" spans="1:5" ht="13.5" customHeight="1">
      <c r="A32" s="1031" t="s">
        <v>3739</v>
      </c>
      <c r="B32" s="1004"/>
      <c r="C32" s="1004"/>
      <c r="D32" s="1004"/>
      <c r="E32" s="1122"/>
    </row>
    <row r="33" spans="1:5" ht="13.5" customHeight="1">
      <c r="A33" s="1031" t="s">
        <v>3740</v>
      </c>
      <c r="B33" s="1004"/>
      <c r="C33" s="1004"/>
      <c r="D33" s="1004"/>
      <c r="E33" s="1004"/>
    </row>
    <row r="34" spans="1:5" ht="26.25" customHeight="1">
      <c r="A34" s="1031" t="s">
        <v>3741</v>
      </c>
      <c r="B34" s="1004"/>
      <c r="C34" s="1004"/>
      <c r="D34" s="1004"/>
      <c r="E34" s="1004"/>
    </row>
    <row r="35" spans="1:5" ht="25.5" customHeight="1">
      <c r="A35" s="1031" t="s">
        <v>3742</v>
      </c>
      <c r="B35" s="1004"/>
      <c r="C35" s="1004"/>
      <c r="D35" s="1004"/>
      <c r="E35" s="1004"/>
    </row>
    <row r="36" spans="1:5" ht="27" customHeight="1">
      <c r="A36" s="1031" t="s">
        <v>3743</v>
      </c>
      <c r="B36" s="1004"/>
      <c r="C36" s="1004"/>
      <c r="D36" s="1004"/>
      <c r="E36" s="1004"/>
    </row>
    <row r="37" spans="1:5" ht="27" customHeight="1">
      <c r="A37" s="1031" t="s">
        <v>3744</v>
      </c>
      <c r="B37" s="1004"/>
      <c r="C37" s="1004"/>
      <c r="D37" s="1004"/>
      <c r="E37" s="1004"/>
    </row>
    <row r="38" spans="1:5" ht="15.75" customHeight="1">
      <c r="A38" s="1031" t="s">
        <v>3745</v>
      </c>
      <c r="B38" s="1004"/>
      <c r="C38" s="1004"/>
      <c r="D38" s="1004"/>
      <c r="E38" s="1004"/>
    </row>
    <row r="39" spans="1:5" ht="27.75" customHeight="1">
      <c r="A39" s="1031" t="s">
        <v>3746</v>
      </c>
      <c r="B39" s="1004"/>
      <c r="C39" s="1004"/>
      <c r="D39" s="1004"/>
      <c r="E39" s="1004"/>
    </row>
    <row r="40" spans="1:5" ht="30" customHeight="1">
      <c r="A40" s="1031" t="s">
        <v>3747</v>
      </c>
      <c r="B40" s="1004"/>
      <c r="C40" s="1004"/>
      <c r="D40" s="1004"/>
      <c r="E40" s="1004"/>
    </row>
    <row r="41" spans="1:5">
      <c r="A41" s="1031" t="s">
        <v>3748</v>
      </c>
      <c r="B41" s="1004"/>
      <c r="C41" s="1004"/>
      <c r="D41" s="1004"/>
      <c r="E41" s="1004"/>
    </row>
    <row r="42" spans="1:5" ht="27.6">
      <c r="A42" s="1031" t="s">
        <v>3749</v>
      </c>
      <c r="B42" s="1004"/>
      <c r="C42" s="1004"/>
      <c r="D42" s="1004"/>
      <c r="E42" s="1004"/>
    </row>
    <row r="43" spans="1:5">
      <c r="A43" s="1031" t="s">
        <v>3750</v>
      </c>
      <c r="B43" s="1004"/>
      <c r="C43" s="1004"/>
      <c r="D43" s="1004"/>
      <c r="E43" s="1004"/>
    </row>
    <row r="44" spans="1:5">
      <c r="A44" s="1385" t="s">
        <v>3429</v>
      </c>
      <c r="B44" s="1386"/>
      <c r="C44" s="1386"/>
      <c r="D44" s="1386"/>
      <c r="E44" s="1386"/>
    </row>
    <row r="45" spans="1:5">
      <c r="A45" s="1383" t="s">
        <v>3430</v>
      </c>
      <c r="B45" s="1122"/>
      <c r="C45" s="1122"/>
      <c r="D45" s="1122"/>
      <c r="E45" s="1122"/>
    </row>
    <row r="46" spans="1:5" ht="3.75" customHeight="1">
      <c r="A46" s="1382"/>
      <c r="B46" s="1122"/>
      <c r="C46" s="1122"/>
      <c r="D46" s="1122"/>
      <c r="E46" s="1122"/>
    </row>
    <row r="47" spans="1:5" s="1118" customFormat="1">
      <c r="A47" s="1384" t="s">
        <v>2850</v>
      </c>
      <c r="B47" s="1123">
        <f>SUM(B6:B46)</f>
        <v>14320604.41</v>
      </c>
      <c r="C47" s="1123">
        <f>SUM(C6:C46)</f>
        <v>12743000</v>
      </c>
      <c r="D47" s="1123">
        <f>SUM(D6:D46)</f>
        <v>3100000</v>
      </c>
      <c r="E47" s="1123">
        <f>SUM(E6:E46)</f>
        <v>30163604.41</v>
      </c>
    </row>
  </sheetData>
  <mergeCells count="3">
    <mergeCell ref="A3:A4"/>
    <mergeCell ref="B3:D3"/>
    <mergeCell ref="E3:E4"/>
  </mergeCells>
  <printOptions horizontalCentered="1"/>
  <pageMargins left="0.5" right="0.25" top="0.75" bottom="0.5" header="0.3" footer="0.25"/>
  <pageSetup paperSize="119" firstPageNumber="319" orientation="portrait" useFirstPageNumber="1" verticalDpi="300" r:id="rId1"/>
</worksheet>
</file>

<file path=xl/worksheets/sheet163.xml><?xml version="1.0" encoding="utf-8"?>
<worksheet xmlns="http://schemas.openxmlformats.org/spreadsheetml/2006/main" xmlns:r="http://schemas.openxmlformats.org/officeDocument/2006/relationships">
  <sheetPr codeName="Sheet121">
    <tabColor rgb="FFFFFF00"/>
  </sheetPr>
  <dimension ref="A1:H79"/>
  <sheetViews>
    <sheetView showGridLines="0" workbookViewId="0">
      <selection activeCell="H28" sqref="H28"/>
    </sheetView>
  </sheetViews>
  <sheetFormatPr defaultRowHeight="12.9" customHeight="1"/>
  <cols>
    <col min="1" max="1" width="40.5546875" style="7001" customWidth="1"/>
    <col min="2" max="3" width="8.5546875" style="7001" customWidth="1"/>
    <col min="4" max="6" width="14.5546875" style="7001" customWidth="1"/>
    <col min="7" max="7" width="12.88671875" style="7001" customWidth="1"/>
    <col min="8" max="8" width="19.6640625" style="7001" customWidth="1"/>
    <col min="9" max="12" width="8.88671875" style="7001" customWidth="1"/>
    <col min="13" max="256" width="9.109375" style="7001"/>
    <col min="257" max="257" width="29.88671875" style="7001" customWidth="1"/>
    <col min="258" max="259" width="9.109375" style="7001"/>
    <col min="260" max="260" width="11.44140625" style="7001" customWidth="1"/>
    <col min="261" max="261" width="13.88671875" style="7001" customWidth="1"/>
    <col min="262" max="262" width="14.109375" style="7001" customWidth="1"/>
    <col min="263" max="512" width="9.109375" style="7001"/>
    <col min="513" max="513" width="29.88671875" style="7001" customWidth="1"/>
    <col min="514" max="515" width="9.109375" style="7001"/>
    <col min="516" max="516" width="11.44140625" style="7001" customWidth="1"/>
    <col min="517" max="517" width="13.88671875" style="7001" customWidth="1"/>
    <col min="518" max="518" width="14.109375" style="7001" customWidth="1"/>
    <col min="519" max="768" width="9.109375" style="7001"/>
    <col min="769" max="769" width="29.88671875" style="7001" customWidth="1"/>
    <col min="770" max="771" width="9.109375" style="7001"/>
    <col min="772" max="772" width="11.44140625" style="7001" customWidth="1"/>
    <col min="773" max="773" width="13.88671875" style="7001" customWidth="1"/>
    <col min="774" max="774" width="14.109375" style="7001" customWidth="1"/>
    <col min="775" max="1024" width="9.109375" style="7001"/>
    <col min="1025" max="1025" width="29.88671875" style="7001" customWidth="1"/>
    <col min="1026" max="1027" width="9.109375" style="7001"/>
    <col min="1028" max="1028" width="11.44140625" style="7001" customWidth="1"/>
    <col min="1029" max="1029" width="13.88671875" style="7001" customWidth="1"/>
    <col min="1030" max="1030" width="14.109375" style="7001" customWidth="1"/>
    <col min="1031" max="1280" width="9.109375" style="7001"/>
    <col min="1281" max="1281" width="29.88671875" style="7001" customWidth="1"/>
    <col min="1282" max="1283" width="9.109375" style="7001"/>
    <col min="1284" max="1284" width="11.44140625" style="7001" customWidth="1"/>
    <col min="1285" max="1285" width="13.88671875" style="7001" customWidth="1"/>
    <col min="1286" max="1286" width="14.109375" style="7001" customWidth="1"/>
    <col min="1287" max="1536" width="9.109375" style="7001"/>
    <col min="1537" max="1537" width="29.88671875" style="7001" customWidth="1"/>
    <col min="1538" max="1539" width="9.109375" style="7001"/>
    <col min="1540" max="1540" width="11.44140625" style="7001" customWidth="1"/>
    <col min="1541" max="1541" width="13.88671875" style="7001" customWidth="1"/>
    <col min="1542" max="1542" width="14.109375" style="7001" customWidth="1"/>
    <col min="1543" max="1792" width="9.109375" style="7001"/>
    <col min="1793" max="1793" width="29.88671875" style="7001" customWidth="1"/>
    <col min="1794" max="1795" width="9.109375" style="7001"/>
    <col min="1796" max="1796" width="11.44140625" style="7001" customWidth="1"/>
    <col min="1797" max="1797" width="13.88671875" style="7001" customWidth="1"/>
    <col min="1798" max="1798" width="14.109375" style="7001" customWidth="1"/>
    <col min="1799" max="2048" width="9.109375" style="7001"/>
    <col min="2049" max="2049" width="29.88671875" style="7001" customWidth="1"/>
    <col min="2050" max="2051" width="9.109375" style="7001"/>
    <col min="2052" max="2052" width="11.44140625" style="7001" customWidth="1"/>
    <col min="2053" max="2053" width="13.88671875" style="7001" customWidth="1"/>
    <col min="2054" max="2054" width="14.109375" style="7001" customWidth="1"/>
    <col min="2055" max="2304" width="9.109375" style="7001"/>
    <col min="2305" max="2305" width="29.88671875" style="7001" customWidth="1"/>
    <col min="2306" max="2307" width="9.109375" style="7001"/>
    <col min="2308" max="2308" width="11.44140625" style="7001" customWidth="1"/>
    <col min="2309" max="2309" width="13.88671875" style="7001" customWidth="1"/>
    <col min="2310" max="2310" width="14.109375" style="7001" customWidth="1"/>
    <col min="2311" max="2560" width="9.109375" style="7001"/>
    <col min="2561" max="2561" width="29.88671875" style="7001" customWidth="1"/>
    <col min="2562" max="2563" width="9.109375" style="7001"/>
    <col min="2564" max="2564" width="11.44140625" style="7001" customWidth="1"/>
    <col min="2565" max="2565" width="13.88671875" style="7001" customWidth="1"/>
    <col min="2566" max="2566" width="14.109375" style="7001" customWidth="1"/>
    <col min="2567" max="2816" width="9.109375" style="7001"/>
    <col min="2817" max="2817" width="29.88671875" style="7001" customWidth="1"/>
    <col min="2818" max="2819" width="9.109375" style="7001"/>
    <col min="2820" max="2820" width="11.44140625" style="7001" customWidth="1"/>
    <col min="2821" max="2821" width="13.88671875" style="7001" customWidth="1"/>
    <col min="2822" max="2822" width="14.109375" style="7001" customWidth="1"/>
    <col min="2823" max="3072" width="9.109375" style="7001"/>
    <col min="3073" max="3073" width="29.88671875" style="7001" customWidth="1"/>
    <col min="3074" max="3075" width="9.109375" style="7001"/>
    <col min="3076" max="3076" width="11.44140625" style="7001" customWidth="1"/>
    <col min="3077" max="3077" width="13.88671875" style="7001" customWidth="1"/>
    <col min="3078" max="3078" width="14.109375" style="7001" customWidth="1"/>
    <col min="3079" max="3328" width="9.109375" style="7001"/>
    <col min="3329" max="3329" width="29.88671875" style="7001" customWidth="1"/>
    <col min="3330" max="3331" width="9.109375" style="7001"/>
    <col min="3332" max="3332" width="11.44140625" style="7001" customWidth="1"/>
    <col min="3333" max="3333" width="13.88671875" style="7001" customWidth="1"/>
    <col min="3334" max="3334" width="14.109375" style="7001" customWidth="1"/>
    <col min="3335" max="3584" width="9.109375" style="7001"/>
    <col min="3585" max="3585" width="29.88671875" style="7001" customWidth="1"/>
    <col min="3586" max="3587" width="9.109375" style="7001"/>
    <col min="3588" max="3588" width="11.44140625" style="7001" customWidth="1"/>
    <col min="3589" max="3589" width="13.88671875" style="7001" customWidth="1"/>
    <col min="3590" max="3590" width="14.109375" style="7001" customWidth="1"/>
    <col min="3591" max="3840" width="9.109375" style="7001"/>
    <col min="3841" max="3841" width="29.88671875" style="7001" customWidth="1"/>
    <col min="3842" max="3843" width="9.109375" style="7001"/>
    <col min="3844" max="3844" width="11.44140625" style="7001" customWidth="1"/>
    <col min="3845" max="3845" width="13.88671875" style="7001" customWidth="1"/>
    <col min="3846" max="3846" width="14.109375" style="7001" customWidth="1"/>
    <col min="3847" max="4096" width="9.109375" style="7001"/>
    <col min="4097" max="4097" width="29.88671875" style="7001" customWidth="1"/>
    <col min="4098" max="4099" width="9.109375" style="7001"/>
    <col min="4100" max="4100" width="11.44140625" style="7001" customWidth="1"/>
    <col min="4101" max="4101" width="13.88671875" style="7001" customWidth="1"/>
    <col min="4102" max="4102" width="14.109375" style="7001" customWidth="1"/>
    <col min="4103" max="4352" width="9.109375" style="7001"/>
    <col min="4353" max="4353" width="29.88671875" style="7001" customWidth="1"/>
    <col min="4354" max="4355" width="9.109375" style="7001"/>
    <col min="4356" max="4356" width="11.44140625" style="7001" customWidth="1"/>
    <col min="4357" max="4357" width="13.88671875" style="7001" customWidth="1"/>
    <col min="4358" max="4358" width="14.109375" style="7001" customWidth="1"/>
    <col min="4359" max="4608" width="9.109375" style="7001"/>
    <col min="4609" max="4609" width="29.88671875" style="7001" customWidth="1"/>
    <col min="4610" max="4611" width="9.109375" style="7001"/>
    <col min="4612" max="4612" width="11.44140625" style="7001" customWidth="1"/>
    <col min="4613" max="4613" width="13.88671875" style="7001" customWidth="1"/>
    <col min="4614" max="4614" width="14.109375" style="7001" customWidth="1"/>
    <col min="4615" max="4864" width="9.109375" style="7001"/>
    <col min="4865" max="4865" width="29.88671875" style="7001" customWidth="1"/>
    <col min="4866" max="4867" width="9.109375" style="7001"/>
    <col min="4868" max="4868" width="11.44140625" style="7001" customWidth="1"/>
    <col min="4869" max="4869" width="13.88671875" style="7001" customWidth="1"/>
    <col min="4870" max="4870" width="14.109375" style="7001" customWidth="1"/>
    <col min="4871" max="5120" width="9.109375" style="7001"/>
    <col min="5121" max="5121" width="29.88671875" style="7001" customWidth="1"/>
    <col min="5122" max="5123" width="9.109375" style="7001"/>
    <col min="5124" max="5124" width="11.44140625" style="7001" customWidth="1"/>
    <col min="5125" max="5125" width="13.88671875" style="7001" customWidth="1"/>
    <col min="5126" max="5126" width="14.109375" style="7001" customWidth="1"/>
    <col min="5127" max="5376" width="9.109375" style="7001"/>
    <col min="5377" max="5377" width="29.88671875" style="7001" customWidth="1"/>
    <col min="5378" max="5379" width="9.109375" style="7001"/>
    <col min="5380" max="5380" width="11.44140625" style="7001" customWidth="1"/>
    <col min="5381" max="5381" width="13.88671875" style="7001" customWidth="1"/>
    <col min="5382" max="5382" width="14.109375" style="7001" customWidth="1"/>
    <col min="5383" max="5632" width="9.109375" style="7001"/>
    <col min="5633" max="5633" width="29.88671875" style="7001" customWidth="1"/>
    <col min="5634" max="5635" width="9.109375" style="7001"/>
    <col min="5636" max="5636" width="11.44140625" style="7001" customWidth="1"/>
    <col min="5637" max="5637" width="13.88671875" style="7001" customWidth="1"/>
    <col min="5638" max="5638" width="14.109375" style="7001" customWidth="1"/>
    <col min="5639" max="5888" width="9.109375" style="7001"/>
    <col min="5889" max="5889" width="29.88671875" style="7001" customWidth="1"/>
    <col min="5890" max="5891" width="9.109375" style="7001"/>
    <col min="5892" max="5892" width="11.44140625" style="7001" customWidth="1"/>
    <col min="5893" max="5893" width="13.88671875" style="7001" customWidth="1"/>
    <col min="5894" max="5894" width="14.109375" style="7001" customWidth="1"/>
    <col min="5895" max="6144" width="9.109375" style="7001"/>
    <col min="6145" max="6145" width="29.88671875" style="7001" customWidth="1"/>
    <col min="6146" max="6147" width="9.109375" style="7001"/>
    <col min="6148" max="6148" width="11.44140625" style="7001" customWidth="1"/>
    <col min="6149" max="6149" width="13.88671875" style="7001" customWidth="1"/>
    <col min="6150" max="6150" width="14.109375" style="7001" customWidth="1"/>
    <col min="6151" max="6400" width="9.109375" style="7001"/>
    <col min="6401" max="6401" width="29.88671875" style="7001" customWidth="1"/>
    <col min="6402" max="6403" width="9.109375" style="7001"/>
    <col min="6404" max="6404" width="11.44140625" style="7001" customWidth="1"/>
    <col min="6405" max="6405" width="13.88671875" style="7001" customWidth="1"/>
    <col min="6406" max="6406" width="14.109375" style="7001" customWidth="1"/>
    <col min="6407" max="6656" width="9.109375" style="7001"/>
    <col min="6657" max="6657" width="29.88671875" style="7001" customWidth="1"/>
    <col min="6658" max="6659" width="9.109375" style="7001"/>
    <col min="6660" max="6660" width="11.44140625" style="7001" customWidth="1"/>
    <col min="6661" max="6661" width="13.88671875" style="7001" customWidth="1"/>
    <col min="6662" max="6662" width="14.109375" style="7001" customWidth="1"/>
    <col min="6663" max="6912" width="9.109375" style="7001"/>
    <col min="6913" max="6913" width="29.88671875" style="7001" customWidth="1"/>
    <col min="6914" max="6915" width="9.109375" style="7001"/>
    <col min="6916" max="6916" width="11.44140625" style="7001" customWidth="1"/>
    <col min="6917" max="6917" width="13.88671875" style="7001" customWidth="1"/>
    <col min="6918" max="6918" width="14.109375" style="7001" customWidth="1"/>
    <col min="6919" max="7168" width="9.109375" style="7001"/>
    <col min="7169" max="7169" width="29.88671875" style="7001" customWidth="1"/>
    <col min="7170" max="7171" width="9.109375" style="7001"/>
    <col min="7172" max="7172" width="11.44140625" style="7001" customWidth="1"/>
    <col min="7173" max="7173" width="13.88671875" style="7001" customWidth="1"/>
    <col min="7174" max="7174" width="14.109375" style="7001" customWidth="1"/>
    <col min="7175" max="7424" width="9.109375" style="7001"/>
    <col min="7425" max="7425" width="29.88671875" style="7001" customWidth="1"/>
    <col min="7426" max="7427" width="9.109375" style="7001"/>
    <col min="7428" max="7428" width="11.44140625" style="7001" customWidth="1"/>
    <col min="7429" max="7429" width="13.88671875" style="7001" customWidth="1"/>
    <col min="7430" max="7430" width="14.109375" style="7001" customWidth="1"/>
    <col min="7431" max="7680" width="9.109375" style="7001"/>
    <col min="7681" max="7681" width="29.88671875" style="7001" customWidth="1"/>
    <col min="7682" max="7683" width="9.109375" style="7001"/>
    <col min="7684" max="7684" width="11.44140625" style="7001" customWidth="1"/>
    <col min="7685" max="7685" width="13.88671875" style="7001" customWidth="1"/>
    <col min="7686" max="7686" width="14.109375" style="7001" customWidth="1"/>
    <col min="7687" max="7936" width="9.109375" style="7001"/>
    <col min="7937" max="7937" width="29.88671875" style="7001" customWidth="1"/>
    <col min="7938" max="7939" width="9.109375" style="7001"/>
    <col min="7940" max="7940" width="11.44140625" style="7001" customWidth="1"/>
    <col min="7941" max="7941" width="13.88671875" style="7001" customWidth="1"/>
    <col min="7942" max="7942" width="14.109375" style="7001" customWidth="1"/>
    <col min="7943" max="8192" width="9.109375" style="7001"/>
    <col min="8193" max="8193" width="29.88671875" style="7001" customWidth="1"/>
    <col min="8194" max="8195" width="9.109375" style="7001"/>
    <col min="8196" max="8196" width="11.44140625" style="7001" customWidth="1"/>
    <col min="8197" max="8197" width="13.88671875" style="7001" customWidth="1"/>
    <col min="8198" max="8198" width="14.109375" style="7001" customWidth="1"/>
    <col min="8199" max="8448" width="9.109375" style="7001"/>
    <col min="8449" max="8449" width="29.88671875" style="7001" customWidth="1"/>
    <col min="8450" max="8451" width="9.109375" style="7001"/>
    <col min="8452" max="8452" width="11.44140625" style="7001" customWidth="1"/>
    <col min="8453" max="8453" width="13.88671875" style="7001" customWidth="1"/>
    <col min="8454" max="8454" width="14.109375" style="7001" customWidth="1"/>
    <col min="8455" max="8704" width="9.109375" style="7001"/>
    <col min="8705" max="8705" width="29.88671875" style="7001" customWidth="1"/>
    <col min="8706" max="8707" width="9.109375" style="7001"/>
    <col min="8708" max="8708" width="11.44140625" style="7001" customWidth="1"/>
    <col min="8709" max="8709" width="13.88671875" style="7001" customWidth="1"/>
    <col min="8710" max="8710" width="14.109375" style="7001" customWidth="1"/>
    <col min="8711" max="8960" width="9.109375" style="7001"/>
    <col min="8961" max="8961" width="29.88671875" style="7001" customWidth="1"/>
    <col min="8962" max="8963" width="9.109375" style="7001"/>
    <col min="8964" max="8964" width="11.44140625" style="7001" customWidth="1"/>
    <col min="8965" max="8965" width="13.88671875" style="7001" customWidth="1"/>
    <col min="8966" max="8966" width="14.109375" style="7001" customWidth="1"/>
    <col min="8967" max="9216" width="9.109375" style="7001"/>
    <col min="9217" max="9217" width="29.88671875" style="7001" customWidth="1"/>
    <col min="9218" max="9219" width="9.109375" style="7001"/>
    <col min="9220" max="9220" width="11.44140625" style="7001" customWidth="1"/>
    <col min="9221" max="9221" width="13.88671875" style="7001" customWidth="1"/>
    <col min="9222" max="9222" width="14.109375" style="7001" customWidth="1"/>
    <col min="9223" max="9472" width="9.109375" style="7001"/>
    <col min="9473" max="9473" width="29.88671875" style="7001" customWidth="1"/>
    <col min="9474" max="9475" width="9.109375" style="7001"/>
    <col min="9476" max="9476" width="11.44140625" style="7001" customWidth="1"/>
    <col min="9477" max="9477" width="13.88671875" style="7001" customWidth="1"/>
    <col min="9478" max="9478" width="14.109375" style="7001" customWidth="1"/>
    <col min="9479" max="9728" width="9.109375" style="7001"/>
    <col min="9729" max="9729" width="29.88671875" style="7001" customWidth="1"/>
    <col min="9730" max="9731" width="9.109375" style="7001"/>
    <col min="9732" max="9732" width="11.44140625" style="7001" customWidth="1"/>
    <col min="9733" max="9733" width="13.88671875" style="7001" customWidth="1"/>
    <col min="9734" max="9734" width="14.109375" style="7001" customWidth="1"/>
    <col min="9735" max="9984" width="9.109375" style="7001"/>
    <col min="9985" max="9985" width="29.88671875" style="7001" customWidth="1"/>
    <col min="9986" max="9987" width="9.109375" style="7001"/>
    <col min="9988" max="9988" width="11.44140625" style="7001" customWidth="1"/>
    <col min="9989" max="9989" width="13.88671875" style="7001" customWidth="1"/>
    <col min="9990" max="9990" width="14.109375" style="7001" customWidth="1"/>
    <col min="9991" max="10240" width="9.109375" style="7001"/>
    <col min="10241" max="10241" width="29.88671875" style="7001" customWidth="1"/>
    <col min="10242" max="10243" width="9.109375" style="7001"/>
    <col min="10244" max="10244" width="11.44140625" style="7001" customWidth="1"/>
    <col min="10245" max="10245" width="13.88671875" style="7001" customWidth="1"/>
    <col min="10246" max="10246" width="14.109375" style="7001" customWidth="1"/>
    <col min="10247" max="10496" width="9.109375" style="7001"/>
    <col min="10497" max="10497" width="29.88671875" style="7001" customWidth="1"/>
    <col min="10498" max="10499" width="9.109375" style="7001"/>
    <col min="10500" max="10500" width="11.44140625" style="7001" customWidth="1"/>
    <col min="10501" max="10501" width="13.88671875" style="7001" customWidth="1"/>
    <col min="10502" max="10502" width="14.109375" style="7001" customWidth="1"/>
    <col min="10503" max="10752" width="9.109375" style="7001"/>
    <col min="10753" max="10753" width="29.88671875" style="7001" customWidth="1"/>
    <col min="10754" max="10755" width="9.109375" style="7001"/>
    <col min="10756" max="10756" width="11.44140625" style="7001" customWidth="1"/>
    <col min="10757" max="10757" width="13.88671875" style="7001" customWidth="1"/>
    <col min="10758" max="10758" width="14.109375" style="7001" customWidth="1"/>
    <col min="10759" max="11008" width="9.109375" style="7001"/>
    <col min="11009" max="11009" width="29.88671875" style="7001" customWidth="1"/>
    <col min="11010" max="11011" width="9.109375" style="7001"/>
    <col min="11012" max="11012" width="11.44140625" style="7001" customWidth="1"/>
    <col min="11013" max="11013" width="13.88671875" style="7001" customWidth="1"/>
    <col min="11014" max="11014" width="14.109375" style="7001" customWidth="1"/>
    <col min="11015" max="11264" width="9.109375" style="7001"/>
    <col min="11265" max="11265" width="29.88671875" style="7001" customWidth="1"/>
    <col min="11266" max="11267" width="9.109375" style="7001"/>
    <col min="11268" max="11268" width="11.44140625" style="7001" customWidth="1"/>
    <col min="11269" max="11269" width="13.88671875" style="7001" customWidth="1"/>
    <col min="11270" max="11270" width="14.109375" style="7001" customWidth="1"/>
    <col min="11271" max="11520" width="9.109375" style="7001"/>
    <col min="11521" max="11521" width="29.88671875" style="7001" customWidth="1"/>
    <col min="11522" max="11523" width="9.109375" style="7001"/>
    <col min="11524" max="11524" width="11.44140625" style="7001" customWidth="1"/>
    <col min="11525" max="11525" width="13.88671875" style="7001" customWidth="1"/>
    <col min="11526" max="11526" width="14.109375" style="7001" customWidth="1"/>
    <col min="11527" max="11776" width="9.109375" style="7001"/>
    <col min="11777" max="11777" width="29.88671875" style="7001" customWidth="1"/>
    <col min="11778" max="11779" width="9.109375" style="7001"/>
    <col min="11780" max="11780" width="11.44140625" style="7001" customWidth="1"/>
    <col min="11781" max="11781" width="13.88671875" style="7001" customWidth="1"/>
    <col min="11782" max="11782" width="14.109375" style="7001" customWidth="1"/>
    <col min="11783" max="12032" width="9.109375" style="7001"/>
    <col min="12033" max="12033" width="29.88671875" style="7001" customWidth="1"/>
    <col min="12034" max="12035" width="9.109375" style="7001"/>
    <col min="12036" max="12036" width="11.44140625" style="7001" customWidth="1"/>
    <col min="12037" max="12037" width="13.88671875" style="7001" customWidth="1"/>
    <col min="12038" max="12038" width="14.109375" style="7001" customWidth="1"/>
    <col min="12039" max="12288" width="9.109375" style="7001"/>
    <col min="12289" max="12289" width="29.88671875" style="7001" customWidth="1"/>
    <col min="12290" max="12291" width="9.109375" style="7001"/>
    <col min="12292" max="12292" width="11.44140625" style="7001" customWidth="1"/>
    <col min="12293" max="12293" width="13.88671875" style="7001" customWidth="1"/>
    <col min="12294" max="12294" width="14.109375" style="7001" customWidth="1"/>
    <col min="12295" max="12544" width="9.109375" style="7001"/>
    <col min="12545" max="12545" width="29.88671875" style="7001" customWidth="1"/>
    <col min="12546" max="12547" width="9.109375" style="7001"/>
    <col min="12548" max="12548" width="11.44140625" style="7001" customWidth="1"/>
    <col min="12549" max="12549" width="13.88671875" style="7001" customWidth="1"/>
    <col min="12550" max="12550" width="14.109375" style="7001" customWidth="1"/>
    <col min="12551" max="12800" width="9.109375" style="7001"/>
    <col min="12801" max="12801" width="29.88671875" style="7001" customWidth="1"/>
    <col min="12802" max="12803" width="9.109375" style="7001"/>
    <col min="12804" max="12804" width="11.44140625" style="7001" customWidth="1"/>
    <col min="12805" max="12805" width="13.88671875" style="7001" customWidth="1"/>
    <col min="12806" max="12806" width="14.109375" style="7001" customWidth="1"/>
    <col min="12807" max="13056" width="9.109375" style="7001"/>
    <col min="13057" max="13057" width="29.88671875" style="7001" customWidth="1"/>
    <col min="13058" max="13059" width="9.109375" style="7001"/>
    <col min="13060" max="13060" width="11.44140625" style="7001" customWidth="1"/>
    <col min="13061" max="13061" width="13.88671875" style="7001" customWidth="1"/>
    <col min="13062" max="13062" width="14.109375" style="7001" customWidth="1"/>
    <col min="13063" max="13312" width="9.109375" style="7001"/>
    <col min="13313" max="13313" width="29.88671875" style="7001" customWidth="1"/>
    <col min="13314" max="13315" width="9.109375" style="7001"/>
    <col min="13316" max="13316" width="11.44140625" style="7001" customWidth="1"/>
    <col min="13317" max="13317" width="13.88671875" style="7001" customWidth="1"/>
    <col min="13318" max="13318" width="14.109375" style="7001" customWidth="1"/>
    <col min="13319" max="13568" width="9.109375" style="7001"/>
    <col min="13569" max="13569" width="29.88671875" style="7001" customWidth="1"/>
    <col min="13570" max="13571" width="9.109375" style="7001"/>
    <col min="13572" max="13572" width="11.44140625" style="7001" customWidth="1"/>
    <col min="13573" max="13573" width="13.88671875" style="7001" customWidth="1"/>
    <col min="13574" max="13574" width="14.109375" style="7001" customWidth="1"/>
    <col min="13575" max="13824" width="9.109375" style="7001"/>
    <col min="13825" max="13825" width="29.88671875" style="7001" customWidth="1"/>
    <col min="13826" max="13827" width="9.109375" style="7001"/>
    <col min="13828" max="13828" width="11.44140625" style="7001" customWidth="1"/>
    <col min="13829" max="13829" width="13.88671875" style="7001" customWidth="1"/>
    <col min="13830" max="13830" width="14.109375" style="7001" customWidth="1"/>
    <col min="13831" max="14080" width="9.109375" style="7001"/>
    <col min="14081" max="14081" width="29.88671875" style="7001" customWidth="1"/>
    <col min="14082" max="14083" width="9.109375" style="7001"/>
    <col min="14084" max="14084" width="11.44140625" style="7001" customWidth="1"/>
    <col min="14085" max="14085" width="13.88671875" style="7001" customWidth="1"/>
    <col min="14086" max="14086" width="14.109375" style="7001" customWidth="1"/>
    <col min="14087" max="14336" width="9.109375" style="7001"/>
    <col min="14337" max="14337" width="29.88671875" style="7001" customWidth="1"/>
    <col min="14338" max="14339" width="9.109375" style="7001"/>
    <col min="14340" max="14340" width="11.44140625" style="7001" customWidth="1"/>
    <col min="14341" max="14341" width="13.88671875" style="7001" customWidth="1"/>
    <col min="14342" max="14342" width="14.109375" style="7001" customWidth="1"/>
    <col min="14343" max="14592" width="9.109375" style="7001"/>
    <col min="14593" max="14593" width="29.88671875" style="7001" customWidth="1"/>
    <col min="14594" max="14595" width="9.109375" style="7001"/>
    <col min="14596" max="14596" width="11.44140625" style="7001" customWidth="1"/>
    <col min="14597" max="14597" width="13.88671875" style="7001" customWidth="1"/>
    <col min="14598" max="14598" width="14.109375" style="7001" customWidth="1"/>
    <col min="14599" max="14848" width="9.109375" style="7001"/>
    <col min="14849" max="14849" width="29.88671875" style="7001" customWidth="1"/>
    <col min="14850" max="14851" width="9.109375" style="7001"/>
    <col min="14852" max="14852" width="11.44140625" style="7001" customWidth="1"/>
    <col min="14853" max="14853" width="13.88671875" style="7001" customWidth="1"/>
    <col min="14854" max="14854" width="14.109375" style="7001" customWidth="1"/>
    <col min="14855" max="15104" width="9.109375" style="7001"/>
    <col min="15105" max="15105" width="29.88671875" style="7001" customWidth="1"/>
    <col min="15106" max="15107" width="9.109375" style="7001"/>
    <col min="15108" max="15108" width="11.44140625" style="7001" customWidth="1"/>
    <col min="15109" max="15109" width="13.88671875" style="7001" customWidth="1"/>
    <col min="15110" max="15110" width="14.109375" style="7001" customWidth="1"/>
    <col min="15111" max="15360" width="9.109375" style="7001"/>
    <col min="15361" max="15361" width="29.88671875" style="7001" customWidth="1"/>
    <col min="15362" max="15363" width="9.109375" style="7001"/>
    <col min="15364" max="15364" width="11.44140625" style="7001" customWidth="1"/>
    <col min="15365" max="15365" width="13.88671875" style="7001" customWidth="1"/>
    <col min="15366" max="15366" width="14.109375" style="7001" customWidth="1"/>
    <col min="15367" max="15616" width="9.109375" style="7001"/>
    <col min="15617" max="15617" width="29.88671875" style="7001" customWidth="1"/>
    <col min="15618" max="15619" width="9.109375" style="7001"/>
    <col min="15620" max="15620" width="11.44140625" style="7001" customWidth="1"/>
    <col min="15621" max="15621" width="13.88671875" style="7001" customWidth="1"/>
    <col min="15622" max="15622" width="14.109375" style="7001" customWidth="1"/>
    <col min="15623" max="15872" width="9.109375" style="7001"/>
    <col min="15873" max="15873" width="29.88671875" style="7001" customWidth="1"/>
    <col min="15874" max="15875" width="9.109375" style="7001"/>
    <col min="15876" max="15876" width="11.44140625" style="7001" customWidth="1"/>
    <col min="15877" max="15877" width="13.88671875" style="7001" customWidth="1"/>
    <col min="15878" max="15878" width="14.109375" style="7001" customWidth="1"/>
    <col min="15879" max="16128" width="9.109375" style="7001"/>
    <col min="16129" max="16129" width="29.88671875" style="7001" customWidth="1"/>
    <col min="16130" max="16131" width="9.109375" style="7001"/>
    <col min="16132" max="16132" width="11.44140625" style="7001" customWidth="1"/>
    <col min="16133" max="16133" width="13.88671875" style="7001" customWidth="1"/>
    <col min="16134" max="16134" width="14.109375" style="7001" customWidth="1"/>
    <col min="16135" max="16384" width="9.109375" style="7001"/>
  </cols>
  <sheetData>
    <row r="1" spans="1:6" ht="12.9" customHeight="1">
      <c r="A1" s="14395" t="s">
        <v>1087</v>
      </c>
      <c r="B1" s="14395"/>
      <c r="C1" s="14395"/>
      <c r="D1" s="14395"/>
      <c r="E1" s="14395"/>
      <c r="F1" s="14395"/>
    </row>
    <row r="3" spans="1:6" ht="12.9" customHeight="1">
      <c r="A3" s="7162" t="s">
        <v>1397</v>
      </c>
    </row>
    <row r="4" spans="1:6" ht="12.9" customHeight="1" thickBot="1"/>
    <row r="5" spans="1:6" ht="12.9" customHeight="1">
      <c r="A5" s="9675" t="s">
        <v>842</v>
      </c>
      <c r="B5" s="10713" t="s">
        <v>1035</v>
      </c>
      <c r="C5" s="10713" t="s">
        <v>1036</v>
      </c>
      <c r="D5" s="14393" t="s">
        <v>1037</v>
      </c>
      <c r="E5" s="14393"/>
      <c r="F5" s="14394"/>
    </row>
    <row r="6" spans="1:6" ht="12.9" customHeight="1" thickBot="1">
      <c r="A6" s="9679" t="s">
        <v>1088</v>
      </c>
      <c r="B6" s="9755" t="s">
        <v>9</v>
      </c>
      <c r="C6" s="9755" t="s">
        <v>1039</v>
      </c>
      <c r="D6" s="9680" t="s">
        <v>10</v>
      </c>
      <c r="E6" s="9755" t="s">
        <v>11</v>
      </c>
      <c r="F6" s="9756" t="s">
        <v>11621</v>
      </c>
    </row>
    <row r="7" spans="1:6" ht="6.6" customHeight="1">
      <c r="A7" s="7231" t="s">
        <v>9</v>
      </c>
      <c r="B7" s="9665"/>
      <c r="C7" s="9665"/>
      <c r="D7" s="9665"/>
      <c r="E7" s="9665"/>
      <c r="F7" s="9729"/>
    </row>
    <row r="8" spans="1:6" ht="12.9" customHeight="1">
      <c r="A8" s="7231" t="s">
        <v>1139</v>
      </c>
      <c r="B8" s="7174"/>
      <c r="C8" s="9636"/>
      <c r="D8" s="9636"/>
      <c r="E8" s="9636"/>
      <c r="F8" s="10413"/>
    </row>
    <row r="9" spans="1:6" ht="12.9" customHeight="1">
      <c r="A9" s="6230" t="s">
        <v>1149</v>
      </c>
      <c r="B9" s="7174"/>
      <c r="C9" s="9636"/>
      <c r="D9" s="9636"/>
      <c r="E9" s="9636"/>
      <c r="F9" s="10413"/>
    </row>
    <row r="10" spans="1:6" ht="12.9" customHeight="1">
      <c r="A10" s="7231" t="s">
        <v>1310</v>
      </c>
      <c r="B10" s="7174"/>
      <c r="C10" s="9636"/>
      <c r="D10" s="9636"/>
      <c r="E10" s="9636"/>
      <c r="F10" s="10413"/>
    </row>
    <row r="11" spans="1:6" ht="6.9" customHeight="1">
      <c r="A11" s="7231"/>
      <c r="B11" s="7174"/>
      <c r="C11" s="9636"/>
      <c r="D11" s="9636"/>
      <c r="E11" s="9636"/>
      <c r="F11" s="10413"/>
    </row>
    <row r="12" spans="1:6" ht="12.9" customHeight="1">
      <c r="A12" s="6230" t="s">
        <v>1151</v>
      </c>
      <c r="B12" s="7174"/>
      <c r="C12" s="9636"/>
      <c r="D12" s="9636"/>
      <c r="E12" s="9636"/>
      <c r="F12" s="10413"/>
    </row>
    <row r="13" spans="1:6" ht="12.9" customHeight="1">
      <c r="A13" s="6230" t="s">
        <v>1109</v>
      </c>
      <c r="B13" s="7174"/>
      <c r="C13" s="9636"/>
      <c r="D13" s="9636"/>
      <c r="E13" s="9636"/>
      <c r="F13" s="10413"/>
    </row>
    <row r="14" spans="1:6" ht="8.4" customHeight="1">
      <c r="A14" s="7231"/>
      <c r="B14" s="7172"/>
      <c r="C14" s="9403"/>
      <c r="D14" s="9608"/>
      <c r="E14" s="9608"/>
      <c r="F14" s="9948"/>
    </row>
    <row r="15" spans="1:6" ht="12.9" customHeight="1">
      <c r="A15" s="6230" t="s">
        <v>1152</v>
      </c>
      <c r="B15" s="7172"/>
      <c r="C15" s="9403"/>
      <c r="D15" s="9608"/>
      <c r="E15" s="9608"/>
      <c r="F15" s="9948"/>
    </row>
    <row r="16" spans="1:6" ht="12.9" hidden="1" customHeight="1">
      <c r="A16" s="7231" t="s">
        <v>1399</v>
      </c>
      <c r="B16" s="7172">
        <v>0</v>
      </c>
      <c r="C16" s="9403">
        <v>23</v>
      </c>
      <c r="D16" s="9608">
        <v>0</v>
      </c>
      <c r="E16" s="9608"/>
      <c r="F16" s="9948"/>
    </row>
    <row r="17" spans="1:8" ht="12.9" customHeight="1">
      <c r="A17" s="7231" t="s">
        <v>1399</v>
      </c>
      <c r="B17" s="9403">
        <v>1</v>
      </c>
      <c r="C17" s="9403">
        <v>23</v>
      </c>
      <c r="D17" s="9608">
        <v>0</v>
      </c>
      <c r="E17" s="9608">
        <v>0</v>
      </c>
      <c r="F17" s="9948">
        <v>900180</v>
      </c>
    </row>
    <row r="18" spans="1:8" ht="12.9" customHeight="1">
      <c r="A18" s="7231" t="s">
        <v>1343</v>
      </c>
      <c r="B18" s="7172">
        <v>2</v>
      </c>
      <c r="C18" s="9403">
        <v>21</v>
      </c>
      <c r="D18" s="9608">
        <v>1154532</v>
      </c>
      <c r="E18" s="9608">
        <v>1901388</v>
      </c>
      <c r="F18" s="9948">
        <v>1398636</v>
      </c>
    </row>
    <row r="19" spans="1:8" ht="12.9" customHeight="1">
      <c r="A19" s="7231" t="s">
        <v>1346</v>
      </c>
      <c r="B19" s="7172">
        <v>1</v>
      </c>
      <c r="C19" s="9403">
        <v>15</v>
      </c>
      <c r="D19" s="9608">
        <v>358824</v>
      </c>
      <c r="E19" s="9608">
        <v>378540</v>
      </c>
      <c r="F19" s="9948">
        <v>399348</v>
      </c>
    </row>
    <row r="20" spans="1:8" ht="12.9" customHeight="1">
      <c r="A20" s="7231" t="s">
        <v>1347</v>
      </c>
      <c r="B20" s="7172">
        <v>3</v>
      </c>
      <c r="C20" s="9403">
        <v>11</v>
      </c>
      <c r="D20" s="9608">
        <v>499500</v>
      </c>
      <c r="E20" s="9608">
        <v>758244</v>
      </c>
      <c r="F20" s="9948">
        <v>785976</v>
      </c>
    </row>
    <row r="21" spans="1:8" ht="12.9" customHeight="1">
      <c r="A21" s="7231" t="s">
        <v>1327</v>
      </c>
      <c r="B21" s="7172">
        <v>1</v>
      </c>
      <c r="C21" s="9403">
        <v>11</v>
      </c>
      <c r="D21" s="9608">
        <v>235440</v>
      </c>
      <c r="E21" s="9608">
        <v>242148</v>
      </c>
      <c r="F21" s="9948">
        <v>252456</v>
      </c>
    </row>
    <row r="22" spans="1:8" ht="12.9" customHeight="1">
      <c r="A22" s="7231" t="s">
        <v>1398</v>
      </c>
      <c r="B22" s="7172">
        <v>0</v>
      </c>
      <c r="C22" s="9403">
        <v>11</v>
      </c>
      <c r="D22" s="9608">
        <v>252696</v>
      </c>
      <c r="E22" s="9608">
        <v>261324</v>
      </c>
      <c r="F22" s="9948">
        <v>0</v>
      </c>
    </row>
    <row r="23" spans="1:8" ht="12.9" customHeight="1">
      <c r="A23" s="7231" t="s">
        <v>1351</v>
      </c>
      <c r="B23" s="7172">
        <v>1</v>
      </c>
      <c r="C23" s="9403">
        <v>11</v>
      </c>
      <c r="D23" s="9608">
        <v>238236</v>
      </c>
      <c r="E23" s="9608">
        <v>245244</v>
      </c>
      <c r="F23" s="9948">
        <v>255924</v>
      </c>
    </row>
    <row r="24" spans="1:8" ht="12.9" customHeight="1">
      <c r="A24" s="7231" t="s">
        <v>11264</v>
      </c>
      <c r="B24" s="9403">
        <v>1</v>
      </c>
      <c r="C24" s="9403">
        <v>6</v>
      </c>
      <c r="D24" s="9608">
        <v>0</v>
      </c>
      <c r="E24" s="9608">
        <v>0</v>
      </c>
      <c r="F24" s="9948">
        <v>178164</v>
      </c>
    </row>
    <row r="25" spans="1:8" ht="12.9" customHeight="1">
      <c r="A25" s="7231" t="s">
        <v>1357</v>
      </c>
      <c r="B25" s="7172">
        <v>4</v>
      </c>
      <c r="C25" s="9403">
        <v>4</v>
      </c>
      <c r="D25" s="9608">
        <v>465372</v>
      </c>
      <c r="E25" s="9608">
        <v>483264</v>
      </c>
      <c r="F25" s="9948">
        <v>665376</v>
      </c>
    </row>
    <row r="26" spans="1:8" ht="12.9" customHeight="1">
      <c r="A26" s="7231" t="s">
        <v>1360</v>
      </c>
      <c r="B26" s="7172">
        <v>1</v>
      </c>
      <c r="C26" s="9403">
        <v>3</v>
      </c>
      <c r="D26" s="9608">
        <v>137856</v>
      </c>
      <c r="E26" s="9608">
        <v>145344</v>
      </c>
      <c r="F26" s="9948">
        <v>151896</v>
      </c>
    </row>
    <row r="27" spans="1:8" ht="12.9" customHeight="1">
      <c r="A27" s="7231" t="s">
        <v>1209</v>
      </c>
      <c r="B27" s="7172">
        <v>1</v>
      </c>
      <c r="C27" s="9403">
        <v>3</v>
      </c>
      <c r="D27" s="9608">
        <v>145320</v>
      </c>
      <c r="E27" s="9608">
        <v>0</v>
      </c>
      <c r="F27" s="9948">
        <v>149592</v>
      </c>
      <c r="G27" s="7001">
        <f>SUM(B16:B27)</f>
        <v>16</v>
      </c>
      <c r="H27" s="7164">
        <f>SUM(F16:F27)</f>
        <v>5137548</v>
      </c>
    </row>
    <row r="28" spans="1:8" ht="12.9" customHeight="1">
      <c r="A28" s="7231"/>
      <c r="B28" s="7172"/>
      <c r="C28" s="9403"/>
      <c r="D28" s="9608"/>
      <c r="E28" s="9608"/>
      <c r="F28" s="9948"/>
    </row>
    <row r="29" spans="1:8" ht="12.9" customHeight="1">
      <c r="A29" s="6230" t="s">
        <v>1094</v>
      </c>
      <c r="B29" s="7172"/>
      <c r="C29" s="9403"/>
      <c r="D29" s="9608"/>
      <c r="E29" s="9608"/>
      <c r="F29" s="9948"/>
    </row>
    <row r="30" spans="1:8" ht="12.9" customHeight="1">
      <c r="A30" s="7231" t="s">
        <v>10706</v>
      </c>
      <c r="B30" s="7172">
        <v>1</v>
      </c>
      <c r="C30" s="9403">
        <v>10</v>
      </c>
      <c r="D30" s="9608">
        <v>0</v>
      </c>
      <c r="E30" s="9608">
        <v>224616</v>
      </c>
      <c r="F30" s="9948">
        <v>230796</v>
      </c>
    </row>
    <row r="31" spans="1:8" ht="12.9" customHeight="1">
      <c r="A31" s="7231" t="s">
        <v>1096</v>
      </c>
      <c r="B31" s="7172">
        <v>1</v>
      </c>
      <c r="C31" s="9403">
        <v>8</v>
      </c>
      <c r="D31" s="9608">
        <v>394464</v>
      </c>
      <c r="E31" s="9608">
        <v>392580</v>
      </c>
      <c r="F31" s="9948">
        <v>202920</v>
      </c>
    </row>
    <row r="32" spans="1:8" ht="12.9" customHeight="1">
      <c r="A32" s="7231" t="s">
        <v>1158</v>
      </c>
      <c r="B32" s="7172">
        <v>2</v>
      </c>
      <c r="C32" s="9403">
        <v>1</v>
      </c>
      <c r="D32" s="9608">
        <v>255360</v>
      </c>
      <c r="E32" s="9608">
        <v>134076</v>
      </c>
      <c r="F32" s="9948">
        <v>273600</v>
      </c>
    </row>
    <row r="33" spans="1:8" ht="11.1" customHeight="1">
      <c r="A33" s="7231"/>
      <c r="B33" s="9683"/>
      <c r="C33" s="10402"/>
      <c r="D33" s="10403"/>
      <c r="E33" s="10403"/>
      <c r="F33" s="9746"/>
      <c r="G33" s="7001">
        <f>SUM(B30:B33)</f>
        <v>4</v>
      </c>
      <c r="H33" s="7164">
        <f>SUM(F30:F32)</f>
        <v>707316</v>
      </c>
    </row>
    <row r="34" spans="1:8" s="7165" customFormat="1" ht="12.9" customHeight="1">
      <c r="A34" s="7209" t="s">
        <v>1159</v>
      </c>
      <c r="B34" s="9613">
        <f>SUM(B11:B32)</f>
        <v>20</v>
      </c>
      <c r="C34" s="9662"/>
      <c r="D34" s="9668">
        <f>SUM(D11:D32)</f>
        <v>4137600</v>
      </c>
      <c r="E34" s="9668">
        <f>SUM(E11:E32)</f>
        <v>5166768</v>
      </c>
      <c r="F34" s="9669">
        <f>SUM(F11:F32)</f>
        <v>5844864</v>
      </c>
    </row>
    <row r="35" spans="1:8" ht="7.5" customHeight="1">
      <c r="A35" s="7231"/>
      <c r="B35" s="7174"/>
      <c r="C35" s="9636"/>
      <c r="D35" s="9636"/>
      <c r="E35" s="9636"/>
      <c r="F35" s="10413"/>
    </row>
    <row r="36" spans="1:8" ht="12.9" customHeight="1">
      <c r="A36" s="6230" t="s">
        <v>1113</v>
      </c>
      <c r="B36" s="7168" t="s">
        <v>9</v>
      </c>
      <c r="C36" s="9636"/>
      <c r="D36" s="9636"/>
      <c r="E36" s="9636"/>
      <c r="F36" s="10413"/>
    </row>
    <row r="37" spans="1:8" ht="12.9" customHeight="1">
      <c r="A37" s="7231" t="s">
        <v>1399</v>
      </c>
      <c r="B37" s="7172">
        <v>0</v>
      </c>
      <c r="C37" s="9403">
        <v>23</v>
      </c>
      <c r="D37" s="9608">
        <v>699720</v>
      </c>
      <c r="E37" s="9608">
        <v>787248</v>
      </c>
      <c r="F37" s="9948">
        <v>0</v>
      </c>
    </row>
    <row r="38" spans="1:8" ht="12.9" customHeight="1">
      <c r="A38" s="7231" t="s">
        <v>1390</v>
      </c>
      <c r="B38" s="7172">
        <v>1</v>
      </c>
      <c r="C38" s="9403">
        <v>21</v>
      </c>
      <c r="D38" s="9608">
        <v>573348</v>
      </c>
      <c r="E38" s="9608">
        <v>0</v>
      </c>
      <c r="F38" s="9948">
        <v>693660</v>
      </c>
    </row>
    <row r="39" spans="1:8" ht="12.9" customHeight="1">
      <c r="A39" s="7231" t="s">
        <v>1324</v>
      </c>
      <c r="B39" s="7172"/>
      <c r="C39" s="9403">
        <v>17</v>
      </c>
      <c r="D39" s="9608"/>
      <c r="E39" s="9608">
        <v>417372</v>
      </c>
      <c r="F39" s="9948" t="s">
        <v>12022</v>
      </c>
    </row>
    <row r="40" spans="1:8" ht="12.9" customHeight="1">
      <c r="A40" s="7231" t="s">
        <v>1345</v>
      </c>
      <c r="B40" s="7172">
        <v>1</v>
      </c>
      <c r="C40" s="9403">
        <v>17</v>
      </c>
      <c r="D40" s="9608"/>
      <c r="E40" s="9608">
        <v>417372</v>
      </c>
      <c r="F40" s="9948">
        <v>443304</v>
      </c>
    </row>
    <row r="41" spans="1:8" ht="12.9" customHeight="1">
      <c r="A41" s="7231" t="s">
        <v>12028</v>
      </c>
      <c r="B41" s="9403">
        <v>1</v>
      </c>
      <c r="C41" s="9403">
        <v>13</v>
      </c>
      <c r="D41" s="9608"/>
      <c r="E41" s="9608"/>
      <c r="F41" s="9948">
        <v>302784</v>
      </c>
    </row>
    <row r="42" spans="1:8" ht="12.9" customHeight="1">
      <c r="A42" s="7231" t="s">
        <v>10426</v>
      </c>
      <c r="B42" s="9403">
        <v>1</v>
      </c>
      <c r="C42" s="9403">
        <v>11</v>
      </c>
      <c r="D42" s="9608"/>
      <c r="E42" s="9608"/>
      <c r="F42" s="9948">
        <v>249048</v>
      </c>
    </row>
    <row r="43" spans="1:8" ht="12.9" customHeight="1">
      <c r="A43" s="7231" t="s">
        <v>11625</v>
      </c>
      <c r="B43" s="9403">
        <v>1</v>
      </c>
      <c r="C43" s="9403">
        <v>11</v>
      </c>
      <c r="D43" s="9608"/>
      <c r="E43" s="9608"/>
      <c r="F43" s="9948">
        <v>249048</v>
      </c>
    </row>
    <row r="44" spans="1:8" ht="12.9" customHeight="1">
      <c r="A44" s="7231" t="s">
        <v>1347</v>
      </c>
      <c r="B44" s="7172">
        <v>1</v>
      </c>
      <c r="C44" s="9403">
        <v>11</v>
      </c>
      <c r="D44" s="9608">
        <v>235440</v>
      </c>
      <c r="E44" s="9608">
        <v>242148</v>
      </c>
      <c r="F44" s="9948">
        <v>249048</v>
      </c>
    </row>
    <row r="45" spans="1:8" ht="12.9" customHeight="1">
      <c r="A45" s="7231" t="s">
        <v>10706</v>
      </c>
      <c r="B45" s="7172">
        <v>0</v>
      </c>
      <c r="C45" s="9403">
        <v>10</v>
      </c>
      <c r="D45" s="9608">
        <v>218604</v>
      </c>
      <c r="E45" s="9608">
        <v>0</v>
      </c>
      <c r="F45" s="9948">
        <v>0</v>
      </c>
    </row>
    <row r="46" spans="1:8" ht="12.9" customHeight="1">
      <c r="A46" s="7231" t="s">
        <v>11264</v>
      </c>
      <c r="B46" s="7172">
        <v>0</v>
      </c>
      <c r="C46" s="9403">
        <v>6</v>
      </c>
      <c r="D46" s="9608">
        <v>166212</v>
      </c>
      <c r="E46" s="9608">
        <v>172080</v>
      </c>
      <c r="F46" s="9948">
        <v>0</v>
      </c>
    </row>
    <row r="47" spans="1:8" ht="12.9" customHeight="1">
      <c r="A47" s="7231" t="s">
        <v>10403</v>
      </c>
      <c r="B47" s="7172">
        <v>0</v>
      </c>
      <c r="C47" s="9403">
        <v>3</v>
      </c>
      <c r="D47" s="9608">
        <v>0</v>
      </c>
      <c r="E47" s="9608">
        <v>142968</v>
      </c>
      <c r="F47" s="9948">
        <v>0</v>
      </c>
    </row>
    <row r="48" spans="1:8" ht="12.9" customHeight="1">
      <c r="A48" s="7231" t="s">
        <v>1158</v>
      </c>
      <c r="B48" s="7172">
        <v>0</v>
      </c>
      <c r="C48" s="9403">
        <v>1</v>
      </c>
      <c r="D48" s="9608">
        <v>0</v>
      </c>
      <c r="E48" s="9608">
        <v>134076</v>
      </c>
      <c r="F48" s="9948">
        <v>0</v>
      </c>
    </row>
    <row r="49" spans="1:8" ht="12.9" customHeight="1">
      <c r="A49" s="7231" t="s">
        <v>12056</v>
      </c>
      <c r="B49" s="9403">
        <v>1</v>
      </c>
      <c r="C49" s="9403">
        <v>8</v>
      </c>
      <c r="D49" s="9608">
        <v>0</v>
      </c>
      <c r="E49" s="9608">
        <v>0</v>
      </c>
      <c r="F49" s="9948">
        <v>201096</v>
      </c>
    </row>
    <row r="50" spans="1:8" ht="12.9" customHeight="1">
      <c r="A50" s="6230" t="s">
        <v>1400</v>
      </c>
      <c r="B50" s="9652">
        <f>SUM(B37:B49)</f>
        <v>7</v>
      </c>
      <c r="C50" s="9653"/>
      <c r="D50" s="9654">
        <f>SUM(D37:D49)</f>
        <v>1893324</v>
      </c>
      <c r="E50" s="9654">
        <f>SUM(E37:E49)</f>
        <v>2313264</v>
      </c>
      <c r="F50" s="9655">
        <f>SUM(F37:F49)</f>
        <v>2387988</v>
      </c>
    </row>
    <row r="51" spans="1:8" ht="8.1" customHeight="1" thickBot="1">
      <c r="A51" s="7235"/>
      <c r="B51" s="9645"/>
      <c r="C51" s="9645"/>
      <c r="D51" s="9758"/>
      <c r="E51" s="9758"/>
      <c r="F51" s="9759"/>
    </row>
    <row r="52" spans="1:8" s="7165" customFormat="1" ht="12.9" customHeight="1" thickBot="1">
      <c r="A52" s="9712" t="s">
        <v>1101</v>
      </c>
      <c r="B52" s="10710">
        <f>SUM(B34+B50)</f>
        <v>27</v>
      </c>
      <c r="C52" s="10429"/>
      <c r="D52" s="10419">
        <f>SUM(D34+D50)</f>
        <v>6030924</v>
      </c>
      <c r="E52" s="10419">
        <f>SUM(E34+E50)</f>
        <v>7480032</v>
      </c>
      <c r="F52" s="10420">
        <f>SUM(F34+F50)</f>
        <v>8232852</v>
      </c>
      <c r="H52" s="7198">
        <f>F52-4517772</f>
        <v>3715080</v>
      </c>
    </row>
    <row r="53" spans="1:8" ht="12.9" customHeight="1">
      <c r="A53" s="7248"/>
      <c r="B53" s="9666"/>
      <c r="C53" s="9666"/>
      <c r="D53" s="9665"/>
      <c r="E53" s="9665"/>
      <c r="F53" s="9729"/>
    </row>
    <row r="54" spans="1:8" ht="12.9" customHeight="1">
      <c r="A54" s="6230" t="s">
        <v>1075</v>
      </c>
      <c r="B54" s="7172"/>
      <c r="C54" s="9403"/>
      <c r="D54" s="9636"/>
      <c r="E54" s="9636"/>
      <c r="F54" s="10413"/>
    </row>
    <row r="55" spans="1:8" ht="12.9" customHeight="1">
      <c r="A55" s="6230" t="s">
        <v>1102</v>
      </c>
      <c r="B55" s="7174"/>
      <c r="C55" s="9636"/>
      <c r="D55" s="9636"/>
      <c r="E55" s="9636"/>
      <c r="F55" s="10413"/>
    </row>
    <row r="56" spans="1:8" ht="12.9" customHeight="1">
      <c r="A56" s="7231" t="s">
        <v>1103</v>
      </c>
      <c r="B56" s="7172">
        <v>2</v>
      </c>
      <c r="C56" s="9636"/>
      <c r="D56" s="9636"/>
      <c r="E56" s="9636"/>
      <c r="F56" s="10413"/>
    </row>
    <row r="57" spans="1:8" ht="12.9" customHeight="1">
      <c r="A57" s="7231" t="s">
        <v>1078</v>
      </c>
      <c r="B57" s="7172">
        <v>1</v>
      </c>
      <c r="C57" s="9636"/>
      <c r="D57" s="9636"/>
      <c r="E57" s="9636"/>
      <c r="F57" s="10413"/>
    </row>
    <row r="58" spans="1:8" ht="12.9" customHeight="1">
      <c r="A58" s="7231" t="s">
        <v>10707</v>
      </c>
      <c r="B58" s="7172"/>
      <c r="C58" s="9636"/>
      <c r="D58" s="9636"/>
      <c r="E58" s="9636"/>
      <c r="F58" s="10413"/>
    </row>
    <row r="59" spans="1:8" ht="12.9" customHeight="1">
      <c r="A59" s="7231"/>
      <c r="B59" s="8414"/>
      <c r="C59" s="10751"/>
      <c r="D59" s="10751"/>
      <c r="E59" s="10751"/>
      <c r="F59" s="7242"/>
    </row>
    <row r="60" spans="1:8" ht="12.9" customHeight="1">
      <c r="A60" s="7231" t="s">
        <v>1080</v>
      </c>
      <c r="B60" s="7174"/>
      <c r="C60" s="9636"/>
      <c r="D60" s="9636"/>
      <c r="E60" s="9636"/>
      <c r="F60" s="10413"/>
    </row>
    <row r="61" spans="1:8" ht="12.9" customHeight="1">
      <c r="A61" s="7231" t="s">
        <v>1104</v>
      </c>
      <c r="B61" s="7174"/>
      <c r="C61" s="9636"/>
      <c r="D61" s="9636"/>
      <c r="E61" s="9636"/>
      <c r="F61" s="10413"/>
    </row>
    <row r="62" spans="1:8" ht="12.9" customHeight="1">
      <c r="A62" s="7231" t="s">
        <v>1105</v>
      </c>
      <c r="B62" s="7174"/>
      <c r="C62" s="9636"/>
      <c r="D62" s="9636"/>
      <c r="E62" s="9636"/>
      <c r="F62" s="10413"/>
    </row>
    <row r="63" spans="1:8" ht="9.6" customHeight="1">
      <c r="A63" s="7231"/>
      <c r="B63" s="7189"/>
      <c r="C63" s="10426"/>
      <c r="D63" s="10426"/>
      <c r="E63" s="10426"/>
      <c r="F63" s="9778"/>
    </row>
    <row r="64" spans="1:8" ht="12.9" customHeight="1">
      <c r="A64" s="6230" t="s">
        <v>1083</v>
      </c>
      <c r="B64" s="9676"/>
      <c r="C64" s="9676"/>
      <c r="D64" s="9676"/>
      <c r="E64" s="9676"/>
      <c r="F64" s="9744"/>
    </row>
    <row r="65" spans="1:6" ht="9.6" customHeight="1">
      <c r="A65" s="7231"/>
      <c r="B65" s="9780"/>
      <c r="C65" s="10424"/>
      <c r="D65" s="10424"/>
      <c r="E65" s="10424"/>
      <c r="F65" s="10425"/>
    </row>
    <row r="66" spans="1:6" ht="12.9" customHeight="1">
      <c r="A66" s="7231" t="s">
        <v>1106</v>
      </c>
      <c r="B66" s="7174"/>
      <c r="C66" s="9636"/>
      <c r="D66" s="9636"/>
      <c r="E66" s="9636"/>
      <c r="F66" s="10413"/>
    </row>
    <row r="67" spans="1:6" ht="9.6" customHeight="1" thickBot="1">
      <c r="A67" s="7231"/>
      <c r="B67" s="7174"/>
      <c r="C67" s="9636"/>
      <c r="D67" s="9636"/>
      <c r="E67" s="9636"/>
      <c r="F67" s="10413"/>
    </row>
    <row r="68" spans="1:6" ht="9.6" customHeight="1">
      <c r="A68" s="7248"/>
      <c r="B68" s="9665"/>
      <c r="C68" s="9665"/>
      <c r="D68" s="9665"/>
      <c r="E68" s="9665"/>
      <c r="F68" s="9729"/>
    </row>
    <row r="69" spans="1:6" ht="12.9" customHeight="1">
      <c r="A69" s="6230" t="s">
        <v>1086</v>
      </c>
      <c r="B69" s="10751"/>
      <c r="C69" s="10751"/>
      <c r="D69" s="10751"/>
      <c r="E69" s="10751"/>
      <c r="F69" s="7242"/>
    </row>
    <row r="70" spans="1:6" ht="9.6" customHeight="1" thickBot="1">
      <c r="A70" s="7235"/>
      <c r="B70" s="9758"/>
      <c r="C70" s="9758"/>
      <c r="D70" s="9758"/>
      <c r="E70" s="9758"/>
      <c r="F70" s="9759"/>
    </row>
    <row r="71" spans="1:6" ht="12.9" customHeight="1">
      <c r="A71" s="6330"/>
      <c r="B71" s="6330"/>
      <c r="C71" s="6330"/>
      <c r="D71" s="6330"/>
      <c r="E71" s="6330"/>
      <c r="F71" s="6330"/>
    </row>
    <row r="72" spans="1:6" ht="12.9" customHeight="1">
      <c r="A72" s="6330"/>
      <c r="B72" s="6330"/>
      <c r="C72" s="6330"/>
      <c r="D72" s="6330"/>
      <c r="E72" s="6330"/>
      <c r="F72" s="6330"/>
    </row>
    <row r="73" spans="1:6" ht="12.9" customHeight="1">
      <c r="A73" s="6330"/>
      <c r="B73" s="6330"/>
      <c r="C73" s="6330"/>
      <c r="D73" s="6330"/>
      <c r="E73" s="6330"/>
      <c r="F73" s="6330"/>
    </row>
    <row r="74" spans="1:6" ht="12.9" customHeight="1">
      <c r="A74" s="6330"/>
      <c r="B74" s="6330"/>
      <c r="C74" s="6330"/>
      <c r="D74" s="6330"/>
      <c r="E74" s="6330"/>
      <c r="F74" s="6330"/>
    </row>
    <row r="75" spans="1:6" ht="12.9" customHeight="1">
      <c r="A75" s="6330"/>
      <c r="B75" s="6330"/>
      <c r="C75" s="6330"/>
      <c r="D75" s="6330"/>
      <c r="E75" s="6330"/>
      <c r="F75" s="6330"/>
    </row>
    <row r="76" spans="1:6" ht="12.9" customHeight="1">
      <c r="A76" s="6330"/>
      <c r="B76" s="6330"/>
      <c r="C76" s="6330"/>
      <c r="D76" s="6330"/>
      <c r="E76" s="6330"/>
      <c r="F76" s="6330"/>
    </row>
    <row r="77" spans="1:6" ht="12.9" customHeight="1">
      <c r="A77" s="6330"/>
      <c r="B77" s="6330"/>
      <c r="C77" s="6330"/>
      <c r="D77" s="6330"/>
      <c r="E77" s="6330"/>
      <c r="F77" s="6330"/>
    </row>
    <row r="78" spans="1:6" ht="12.9" customHeight="1">
      <c r="A78" s="6330"/>
      <c r="B78" s="6330"/>
      <c r="C78" s="6330"/>
      <c r="D78" s="6330"/>
      <c r="E78" s="6330"/>
      <c r="F78" s="6330"/>
    </row>
    <row r="79" spans="1:6" ht="12.9" customHeight="1">
      <c r="A79" s="6330"/>
      <c r="B79" s="6330"/>
      <c r="C79" s="6330"/>
      <c r="D79" s="6330"/>
      <c r="E79" s="6330"/>
      <c r="F79" s="6330"/>
    </row>
  </sheetData>
  <mergeCells count="2">
    <mergeCell ref="D5:F5"/>
    <mergeCell ref="A1:F1"/>
  </mergeCells>
  <pageMargins left="0.25" right="0.25" top="0.5" bottom="0.5" header="0.3" footer="0.3"/>
  <pageSetup paperSize="119" firstPageNumber="340" orientation="portrait" useFirstPageNumber="1" r:id="rId1"/>
  <headerFooter alignWithMargins="0"/>
</worksheet>
</file>

<file path=xl/worksheets/sheet164.xml><?xml version="1.0" encoding="utf-8"?>
<worksheet xmlns="http://schemas.openxmlformats.org/spreadsheetml/2006/main" xmlns:r="http://schemas.openxmlformats.org/officeDocument/2006/relationships">
  <sheetPr codeName="Sheet186">
    <tabColor rgb="FFFFFF00"/>
  </sheetPr>
  <dimension ref="A1:H80"/>
  <sheetViews>
    <sheetView topLeftCell="A8" workbookViewId="0">
      <selection activeCell="C62" sqref="C62"/>
    </sheetView>
  </sheetViews>
  <sheetFormatPr defaultColWidth="9.109375" defaultRowHeight="15.6"/>
  <cols>
    <col min="1" max="1" width="5.88671875" style="2134" customWidth="1"/>
    <col min="2" max="2" width="31.109375" style="2134" customWidth="1"/>
    <col min="3" max="3" width="16.44140625" style="2136" customWidth="1"/>
    <col min="4" max="4" width="18" style="2134" customWidth="1"/>
    <col min="5" max="5" width="12.44140625" style="2134" customWidth="1"/>
    <col min="6" max="6" width="10" style="2134" customWidth="1"/>
    <col min="7" max="7" width="9.109375" style="2134" customWidth="1"/>
    <col min="8" max="16384" width="9.109375" style="2134"/>
  </cols>
  <sheetData>
    <row r="1" spans="1:7" s="4381" customFormat="1">
      <c r="A1" s="15256" t="s">
        <v>1801</v>
      </c>
      <c r="B1" s="15256"/>
      <c r="C1" s="15256"/>
      <c r="D1" s="15256"/>
      <c r="E1" s="15256"/>
      <c r="F1" s="15256"/>
      <c r="G1" s="15256"/>
    </row>
    <row r="2" spans="1:7" ht="13.8">
      <c r="A2" s="4376"/>
      <c r="C2" s="2135"/>
    </row>
    <row r="3" spans="1:7">
      <c r="A3" s="15252" t="s">
        <v>734</v>
      </c>
      <c r="B3" s="15252"/>
      <c r="C3" s="15257" t="s">
        <v>9596</v>
      </c>
      <c r="D3" s="15257"/>
      <c r="E3" s="15257"/>
      <c r="F3" s="15257"/>
      <c r="G3" s="15257"/>
    </row>
    <row r="4" spans="1:7" ht="13.8">
      <c r="A4" s="15251" t="s">
        <v>838</v>
      </c>
      <c r="B4" s="15251"/>
      <c r="C4" s="4377" t="s">
        <v>268</v>
      </c>
      <c r="D4" s="4378"/>
      <c r="E4" s="4378"/>
      <c r="F4" s="4378"/>
      <c r="G4" s="4378"/>
    </row>
    <row r="5" spans="1:7" ht="13.8">
      <c r="A5" s="4378" t="s">
        <v>1986</v>
      </c>
      <c r="B5" s="4378"/>
      <c r="C5" s="15258" t="s">
        <v>5946</v>
      </c>
      <c r="D5" s="15258"/>
    </row>
    <row r="6" spans="1:7" ht="14.25" customHeight="1">
      <c r="A6" s="15259"/>
      <c r="B6" s="15259"/>
      <c r="C6" s="15259"/>
      <c r="D6" s="15259"/>
      <c r="E6" s="15259"/>
      <c r="F6" s="15259"/>
      <c r="G6" s="15259"/>
    </row>
    <row r="7" spans="1:7" ht="12" customHeight="1">
      <c r="A7" s="4376"/>
      <c r="C7" s="2135"/>
      <c r="D7" s="4378"/>
      <c r="E7" s="4378"/>
      <c r="F7" s="4378"/>
      <c r="G7" s="4378"/>
    </row>
    <row r="8" spans="1:7" ht="13.8">
      <c r="A8" s="15258" t="s">
        <v>1751</v>
      </c>
      <c r="B8" s="15258"/>
      <c r="C8" s="15258"/>
      <c r="D8" s="15258"/>
      <c r="E8" s="15258"/>
      <c r="F8" s="15258"/>
      <c r="G8" s="15258"/>
    </row>
    <row r="9" spans="1:7" ht="65.25" customHeight="1">
      <c r="A9" s="15252" t="s">
        <v>5947</v>
      </c>
      <c r="B9" s="15252"/>
      <c r="C9" s="15252"/>
      <c r="D9" s="15252"/>
      <c r="E9" s="15252"/>
      <c r="F9" s="15252"/>
      <c r="G9" s="15252"/>
    </row>
    <row r="10" spans="1:7" ht="12" customHeight="1">
      <c r="A10" s="4376"/>
      <c r="C10" s="2135"/>
    </row>
    <row r="11" spans="1:7" ht="13.8">
      <c r="A11" s="15258" t="s">
        <v>2364</v>
      </c>
      <c r="B11" s="15258"/>
      <c r="C11" s="15258"/>
    </row>
    <row r="12" spans="1:7" ht="33" customHeight="1">
      <c r="A12" s="4379"/>
      <c r="B12" s="15260" t="s">
        <v>5948</v>
      </c>
      <c r="C12" s="15252"/>
      <c r="D12" s="15252"/>
      <c r="E12" s="15252"/>
      <c r="F12" s="15252"/>
      <c r="G12" s="15252"/>
    </row>
    <row r="13" spans="1:7" ht="13.8">
      <c r="B13" s="15252" t="s">
        <v>5949</v>
      </c>
      <c r="C13" s="15252"/>
      <c r="D13" s="15252"/>
      <c r="E13" s="15252"/>
      <c r="F13" s="15252"/>
      <c r="G13" s="15252"/>
    </row>
    <row r="14" spans="1:7" ht="13.8">
      <c r="A14" s="4376"/>
      <c r="B14" s="2134" t="s">
        <v>2365</v>
      </c>
      <c r="C14" s="2135"/>
    </row>
    <row r="15" spans="1:7" ht="13.8">
      <c r="B15" s="15251" t="s">
        <v>5950</v>
      </c>
      <c r="C15" s="15251"/>
      <c r="D15" s="15251"/>
      <c r="E15" s="15251"/>
      <c r="F15" s="15251"/>
      <c r="G15" s="15251"/>
    </row>
    <row r="16" spans="1:7" ht="13.8">
      <c r="B16" s="15251" t="s">
        <v>2366</v>
      </c>
      <c r="C16" s="15251"/>
      <c r="D16" s="15251"/>
      <c r="E16" s="15251"/>
      <c r="F16" s="15251"/>
      <c r="G16" s="15251"/>
    </row>
    <row r="17" spans="1:7" ht="13.8">
      <c r="B17" s="15251" t="s">
        <v>2367</v>
      </c>
      <c r="C17" s="15251"/>
      <c r="D17" s="15251"/>
      <c r="E17" s="15251"/>
      <c r="F17" s="15251"/>
      <c r="G17" s="15251"/>
    </row>
    <row r="18" spans="1:7" ht="13.8">
      <c r="B18" s="15252" t="s">
        <v>2368</v>
      </c>
      <c r="C18" s="15252"/>
      <c r="D18" s="15252"/>
      <c r="E18" s="15252"/>
      <c r="F18" s="15252"/>
      <c r="G18" s="15252"/>
    </row>
    <row r="19" spans="1:7" ht="13.8">
      <c r="B19" s="15251" t="s">
        <v>2369</v>
      </c>
      <c r="C19" s="15251"/>
      <c r="D19" s="15251"/>
      <c r="E19" s="15251"/>
      <c r="F19" s="15251"/>
      <c r="G19" s="15251"/>
    </row>
    <row r="20" spans="1:7" ht="13.8">
      <c r="B20" s="2134" t="s">
        <v>2370</v>
      </c>
      <c r="C20" s="4380"/>
      <c r="D20" s="4380"/>
      <c r="E20" s="4380"/>
      <c r="F20" s="4380"/>
      <c r="G20" s="4380"/>
    </row>
    <row r="21" spans="1:7" ht="12" customHeight="1">
      <c r="A21" s="2135"/>
      <c r="C21" s="2135"/>
    </row>
    <row r="22" spans="1:7" ht="14.4" thickBot="1">
      <c r="A22" s="2135" t="s">
        <v>9597</v>
      </c>
      <c r="B22" s="2135"/>
      <c r="C22" s="2135"/>
      <c r="F22" s="2134" t="s">
        <v>9</v>
      </c>
    </row>
    <row r="23" spans="1:7" s="4385" customFormat="1" ht="33" customHeight="1" thickBot="1">
      <c r="A23" s="15253" t="s">
        <v>5951</v>
      </c>
      <c r="B23" s="4382" t="s">
        <v>1735</v>
      </c>
      <c r="C23" s="4383" t="s">
        <v>1736</v>
      </c>
      <c r="D23" s="4384" t="s">
        <v>1737</v>
      </c>
      <c r="E23" s="4384" t="s">
        <v>1738</v>
      </c>
      <c r="F23" s="15255" t="s">
        <v>1978</v>
      </c>
      <c r="G23" s="15255"/>
    </row>
    <row r="24" spans="1:7" s="4390" customFormat="1" ht="13.8" thickBot="1">
      <c r="A24" s="15254"/>
      <c r="B24" s="4386"/>
      <c r="C24" s="4387"/>
      <c r="D24" s="4388"/>
      <c r="E24" s="4388"/>
      <c r="F24" s="4389" t="s">
        <v>1789</v>
      </c>
      <c r="G24" s="4389" t="s">
        <v>1790</v>
      </c>
    </row>
    <row r="25" spans="1:7" s="4394" customFormat="1" ht="13.8" thickBot="1">
      <c r="A25" s="4391">
        <v>-1</v>
      </c>
      <c r="B25" s="4392">
        <v>-2</v>
      </c>
      <c r="C25" s="4393">
        <v>-3</v>
      </c>
      <c r="D25" s="4393">
        <v>-4</v>
      </c>
      <c r="E25" s="4393">
        <v>-5</v>
      </c>
      <c r="F25" s="4393">
        <v>-6</v>
      </c>
      <c r="G25" s="4393">
        <v>-7</v>
      </c>
    </row>
    <row r="26" spans="1:7" s="4390" customFormat="1" ht="30" customHeight="1" thickBot="1">
      <c r="A26" s="4395"/>
      <c r="B26" s="4396" t="s">
        <v>2371</v>
      </c>
      <c r="C26" s="4397">
        <v>885000</v>
      </c>
      <c r="D26" s="4398"/>
      <c r="E26" s="4398"/>
      <c r="F26" s="4398"/>
      <c r="G26" s="4398"/>
    </row>
    <row r="27" spans="1:7" s="4390" customFormat="1" ht="72" customHeight="1" thickBot="1">
      <c r="A27" s="4399"/>
      <c r="B27" s="4400" t="s">
        <v>9598</v>
      </c>
      <c r="C27" s="4401"/>
      <c r="D27" s="4402" t="s">
        <v>5952</v>
      </c>
      <c r="E27" s="4402" t="s">
        <v>5953</v>
      </c>
      <c r="F27" s="4403" t="s">
        <v>5125</v>
      </c>
      <c r="G27" s="4404" t="s">
        <v>5113</v>
      </c>
    </row>
    <row r="28" spans="1:7" s="4390" customFormat="1" ht="81.75" customHeight="1" thickBot="1">
      <c r="A28" s="4405"/>
      <c r="B28" s="4406" t="s">
        <v>9599</v>
      </c>
      <c r="C28" s="4407"/>
      <c r="D28" s="4408" t="s">
        <v>5954</v>
      </c>
      <c r="E28" s="4408" t="s">
        <v>2372</v>
      </c>
      <c r="F28" s="4409" t="s">
        <v>5125</v>
      </c>
      <c r="G28" s="4410" t="s">
        <v>5113</v>
      </c>
    </row>
    <row r="29" spans="1:7" s="4390" customFormat="1" ht="27.75" customHeight="1" thickBot="1">
      <c r="A29" s="4412"/>
      <c r="B29" s="4530" t="s">
        <v>5955</v>
      </c>
      <c r="C29" s="4531"/>
      <c r="D29" s="4411" t="s">
        <v>4599</v>
      </c>
      <c r="E29" s="4412"/>
      <c r="F29" s="4413" t="s">
        <v>5125</v>
      </c>
      <c r="G29" s="4414" t="s">
        <v>5113</v>
      </c>
    </row>
    <row r="30" spans="1:7" s="4390" customFormat="1" ht="0.75" hidden="1" customHeight="1" thickBot="1">
      <c r="A30" s="4525"/>
      <c r="B30" s="4415"/>
      <c r="C30" s="4416"/>
      <c r="D30" s="4415"/>
      <c r="E30" s="4415"/>
      <c r="F30" s="4417"/>
      <c r="G30" s="4418"/>
    </row>
    <row r="31" spans="1:7" s="4390" customFormat="1" ht="0.75" customHeight="1">
      <c r="A31" s="4525"/>
      <c r="B31" s="4415"/>
      <c r="C31" s="4416"/>
      <c r="D31" s="4415"/>
      <c r="E31" s="4415"/>
      <c r="F31" s="4417"/>
      <c r="G31" s="4418"/>
    </row>
    <row r="32" spans="1:7" s="4390" customFormat="1" ht="84" customHeight="1" thickBot="1">
      <c r="A32" s="4526"/>
      <c r="B32" s="4526" t="s">
        <v>9600</v>
      </c>
      <c r="C32" s="4527"/>
      <c r="D32" s="4427" t="s">
        <v>5956</v>
      </c>
      <c r="E32" s="4428" t="s">
        <v>4600</v>
      </c>
      <c r="F32" s="4528">
        <v>41821</v>
      </c>
      <c r="G32" s="4529" t="s">
        <v>5113</v>
      </c>
    </row>
    <row r="33" spans="1:8" s="4390" customFormat="1" ht="15" customHeight="1">
      <c r="A33" s="4419"/>
      <c r="B33" s="15246" t="s">
        <v>5957</v>
      </c>
      <c r="C33" s="15241"/>
      <c r="D33" s="15243" t="s">
        <v>2373</v>
      </c>
      <c r="E33" s="15243" t="s">
        <v>2374</v>
      </c>
      <c r="F33" s="4409">
        <v>41699</v>
      </c>
      <c r="G33" s="4420">
        <v>41699</v>
      </c>
    </row>
    <row r="34" spans="1:8" s="4390" customFormat="1" ht="15" customHeight="1">
      <c r="A34" s="4405"/>
      <c r="B34" s="15247"/>
      <c r="C34" s="15242"/>
      <c r="D34" s="15244"/>
      <c r="E34" s="15244"/>
      <c r="F34" s="4421">
        <v>41791</v>
      </c>
      <c r="G34" s="4420">
        <v>41791</v>
      </c>
    </row>
    <row r="35" spans="1:8" s="4390" customFormat="1" ht="15" customHeight="1">
      <c r="A35" s="4405"/>
      <c r="B35" s="15247"/>
      <c r="C35" s="15242"/>
      <c r="D35" s="15244"/>
      <c r="E35" s="15244"/>
      <c r="F35" s="4422" t="s">
        <v>5958</v>
      </c>
      <c r="G35" s="4418" t="s">
        <v>5958</v>
      </c>
    </row>
    <row r="36" spans="1:8" s="4390" customFormat="1" ht="15" customHeight="1" thickBot="1">
      <c r="A36" s="4405"/>
      <c r="B36" s="15248"/>
      <c r="C36" s="15249"/>
      <c r="D36" s="15245"/>
      <c r="E36" s="4423"/>
      <c r="F36" s="4422" t="s">
        <v>5113</v>
      </c>
      <c r="G36" s="4418" t="s">
        <v>5113</v>
      </c>
    </row>
    <row r="37" spans="1:8" s="4390" customFormat="1" ht="18" customHeight="1">
      <c r="A37" s="4419"/>
      <c r="B37" s="15239" t="s">
        <v>5959</v>
      </c>
      <c r="C37" s="15241"/>
      <c r="D37" s="15243" t="s">
        <v>2375</v>
      </c>
      <c r="E37" s="4424" t="s">
        <v>1809</v>
      </c>
      <c r="F37" s="4409" t="s">
        <v>5960</v>
      </c>
      <c r="G37" s="4425" t="s">
        <v>5960</v>
      </c>
    </row>
    <row r="38" spans="1:8" s="4390" customFormat="1" ht="24.75" customHeight="1" thickBot="1">
      <c r="A38" s="4426"/>
      <c r="B38" s="15250"/>
      <c r="C38" s="15249"/>
      <c r="D38" s="15245"/>
      <c r="E38" s="4427"/>
      <c r="F38" s="4428"/>
      <c r="G38" s="4429"/>
    </row>
    <row r="39" spans="1:8" s="4390" customFormat="1" ht="18" customHeight="1">
      <c r="A39" s="4419"/>
      <c r="B39" s="15239" t="s">
        <v>5961</v>
      </c>
      <c r="C39" s="15241"/>
      <c r="D39" s="15243" t="s">
        <v>5962</v>
      </c>
      <c r="E39" s="4430" t="s">
        <v>1809</v>
      </c>
      <c r="F39" s="4431">
        <v>41791</v>
      </c>
      <c r="G39" s="4425">
        <v>41791</v>
      </c>
    </row>
    <row r="40" spans="1:8" s="4390" customFormat="1" ht="18" customHeight="1">
      <c r="A40" s="4405"/>
      <c r="B40" s="15240"/>
      <c r="C40" s="15242"/>
      <c r="D40" s="15244"/>
      <c r="E40" s="4423"/>
      <c r="F40" s="4422"/>
      <c r="G40" s="4418"/>
    </row>
    <row r="41" spans="1:8" s="4390" customFormat="1" ht="31.5" customHeight="1">
      <c r="A41" s="4405"/>
      <c r="B41" s="15240"/>
      <c r="C41" s="15242"/>
      <c r="D41" s="15244"/>
      <c r="E41" s="4423"/>
      <c r="F41" s="4422"/>
      <c r="G41" s="4418"/>
    </row>
    <row r="42" spans="1:8" s="4390" customFormat="1" ht="4.5" customHeight="1" thickBot="1">
      <c r="A42" s="4426"/>
      <c r="B42" s="4432"/>
      <c r="C42" s="4433"/>
      <c r="D42" s="15245"/>
      <c r="E42" s="4427"/>
      <c r="F42" s="4434"/>
      <c r="G42" s="4435"/>
    </row>
    <row r="43" spans="1:8" s="4390" customFormat="1" ht="33" customHeight="1" thickBot="1">
      <c r="A43" s="4436"/>
      <c r="B43" s="4437" t="s">
        <v>2376</v>
      </c>
      <c r="C43" s="4438">
        <v>860000</v>
      </c>
      <c r="D43" s="4422"/>
      <c r="E43" s="4422"/>
      <c r="F43" s="4422"/>
      <c r="G43" s="4418"/>
      <c r="H43" s="4439"/>
    </row>
    <row r="44" spans="1:8" s="4390" customFormat="1" ht="93" customHeight="1" thickBot="1">
      <c r="A44" s="4400"/>
      <c r="B44" s="4440" t="s">
        <v>9601</v>
      </c>
      <c r="C44" s="4441"/>
      <c r="D44" s="4412" t="s">
        <v>2379</v>
      </c>
      <c r="E44" s="4412" t="s">
        <v>2380</v>
      </c>
      <c r="F44" s="4442" t="s">
        <v>5963</v>
      </c>
      <c r="G44" s="4443" t="s">
        <v>5963</v>
      </c>
    </row>
    <row r="45" spans="1:8" s="4390" customFormat="1" ht="108" customHeight="1" thickBot="1">
      <c r="A45" s="4400"/>
      <c r="B45" s="4444" t="s">
        <v>9602</v>
      </c>
      <c r="C45" s="4441"/>
      <c r="D45" s="4412" t="s">
        <v>2381</v>
      </c>
      <c r="E45" s="4412" t="s">
        <v>2382</v>
      </c>
      <c r="F45" s="4442" t="s">
        <v>5125</v>
      </c>
      <c r="G45" s="4443" t="s">
        <v>5113</v>
      </c>
    </row>
    <row r="46" spans="1:8" s="4390" customFormat="1" ht="66" customHeight="1" thickBot="1">
      <c r="A46" s="4400"/>
      <c r="B46" s="4445" t="s">
        <v>5964</v>
      </c>
      <c r="C46" s="4446"/>
      <c r="D46" s="4447" t="s">
        <v>5965</v>
      </c>
      <c r="E46" s="4448" t="s">
        <v>2383</v>
      </c>
      <c r="F46" s="4449" t="s">
        <v>5966</v>
      </c>
      <c r="G46" s="4450">
        <v>41730</v>
      </c>
    </row>
    <row r="47" spans="1:8" s="4390" customFormat="1" ht="28.5" customHeight="1" thickBot="1">
      <c r="A47" s="4400"/>
      <c r="B47" s="4451" t="s">
        <v>2384</v>
      </c>
      <c r="C47" s="4441">
        <v>275000</v>
      </c>
      <c r="D47" s="4452"/>
      <c r="E47" s="4452"/>
      <c r="F47" s="4395"/>
      <c r="G47" s="4450"/>
    </row>
    <row r="48" spans="1:8" s="4390" customFormat="1" ht="57" customHeight="1" thickBot="1">
      <c r="A48" s="4400"/>
      <c r="B48" s="4444" t="s">
        <v>5967</v>
      </c>
      <c r="C48" s="4441"/>
      <c r="D48" s="4452" t="s">
        <v>5968</v>
      </c>
      <c r="E48" s="4452"/>
      <c r="F48" s="4450">
        <v>41699</v>
      </c>
      <c r="G48" s="4450">
        <v>41699</v>
      </c>
    </row>
    <row r="49" spans="1:8" s="4390" customFormat="1" ht="62.25" customHeight="1" thickBot="1">
      <c r="A49" s="4400"/>
      <c r="B49" s="4444" t="s">
        <v>5969</v>
      </c>
      <c r="C49" s="4441"/>
      <c r="D49" s="4452" t="s">
        <v>2385</v>
      </c>
      <c r="E49" s="4452" t="s">
        <v>2386</v>
      </c>
      <c r="F49" s="4395" t="s">
        <v>5125</v>
      </c>
      <c r="G49" s="4395" t="s">
        <v>5970</v>
      </c>
    </row>
    <row r="50" spans="1:8" s="4390" customFormat="1" ht="37.5" customHeight="1" thickBot="1">
      <c r="A50" s="4395"/>
      <c r="B50" s="4453" t="s">
        <v>5971</v>
      </c>
      <c r="C50" s="4454">
        <v>205000</v>
      </c>
      <c r="D50" s="4455"/>
      <c r="E50" s="4456"/>
      <c r="F50" s="4457"/>
      <c r="G50" s="4395"/>
    </row>
    <row r="51" spans="1:8" s="4390" customFormat="1" ht="70.5" customHeight="1" thickBot="1">
      <c r="A51" s="4400"/>
      <c r="B51" s="4452" t="s">
        <v>9603</v>
      </c>
      <c r="C51" s="4441"/>
      <c r="D51" s="4400" t="s">
        <v>2377</v>
      </c>
      <c r="E51" s="4458" t="s">
        <v>2378</v>
      </c>
      <c r="F51" s="4459" t="s">
        <v>5125</v>
      </c>
      <c r="G51" s="4395" t="s">
        <v>5970</v>
      </c>
      <c r="H51" s="4439"/>
    </row>
    <row r="52" spans="1:8" s="4390" customFormat="1" ht="32.25" customHeight="1" thickBot="1">
      <c r="A52" s="4400"/>
      <c r="B52" s="4444" t="s">
        <v>5972</v>
      </c>
      <c r="C52" s="4441"/>
      <c r="D52" s="4400" t="s">
        <v>5973</v>
      </c>
      <c r="E52" s="4452"/>
      <c r="F52" s="4395"/>
      <c r="G52" s="4395"/>
      <c r="H52" s="4439"/>
    </row>
    <row r="53" spans="1:8" s="4462" customFormat="1" ht="34.5" customHeight="1" thickBot="1">
      <c r="A53" s="4400"/>
      <c r="B53" s="4460" t="s">
        <v>2387</v>
      </c>
      <c r="C53" s="4454">
        <v>860000</v>
      </c>
      <c r="D53" s="4461"/>
      <c r="E53" s="4460"/>
      <c r="F53" s="4395"/>
      <c r="G53" s="4395"/>
    </row>
    <row r="54" spans="1:8" s="4390" customFormat="1" ht="34.5" customHeight="1" thickBot="1">
      <c r="A54" s="4463"/>
      <c r="B54" s="4464" t="s">
        <v>5974</v>
      </c>
      <c r="C54" s="4465"/>
      <c r="D54" s="4466"/>
      <c r="E54" s="4466"/>
      <c r="F54" s="4463" t="s">
        <v>5125</v>
      </c>
      <c r="G54" s="4436" t="s">
        <v>5113</v>
      </c>
    </row>
    <row r="55" spans="1:8" s="4390" customFormat="1" ht="19.5" customHeight="1" thickBot="1">
      <c r="A55" s="4395"/>
      <c r="B55" s="4467" t="s">
        <v>5975</v>
      </c>
      <c r="C55" s="4468"/>
      <c r="D55" s="4461"/>
      <c r="E55" s="4461"/>
      <c r="F55" s="4395" t="s">
        <v>5125</v>
      </c>
      <c r="G55" s="4395" t="s">
        <v>5113</v>
      </c>
      <c r="H55" s="4439"/>
    </row>
    <row r="56" spans="1:8" s="4390" customFormat="1" ht="30" customHeight="1">
      <c r="A56" s="4436"/>
      <c r="B56" s="4469" t="s">
        <v>5976</v>
      </c>
      <c r="C56" s="4470"/>
      <c r="D56" s="4471"/>
      <c r="E56" s="4471"/>
      <c r="F56" s="4436" t="s">
        <v>5125</v>
      </c>
      <c r="G56" s="4436" t="s">
        <v>5113</v>
      </c>
    </row>
    <row r="57" spans="1:8" s="4390" customFormat="1" ht="32.25" customHeight="1" thickBot="1">
      <c r="A57" s="4459"/>
      <c r="B57" s="4472" t="s">
        <v>5977</v>
      </c>
      <c r="C57" s="4473"/>
      <c r="D57" s="4426"/>
      <c r="E57" s="4426"/>
      <c r="F57" s="4474" t="s">
        <v>5125</v>
      </c>
      <c r="G57" s="4474" t="s">
        <v>5113</v>
      </c>
    </row>
    <row r="58" spans="1:8" s="4390" customFormat="1" ht="36.75" customHeight="1" thickBot="1">
      <c r="A58" s="4400"/>
      <c r="B58" s="4460" t="s">
        <v>2388</v>
      </c>
      <c r="C58" s="4454">
        <v>255000</v>
      </c>
      <c r="D58" s="4455"/>
      <c r="E58" s="4395"/>
      <c r="F58" s="4395"/>
      <c r="G58" s="4455"/>
    </row>
    <row r="59" spans="1:8" s="4390" customFormat="1" ht="79.5" customHeight="1" thickBot="1">
      <c r="A59" s="4395"/>
      <c r="B59" s="4452" t="s">
        <v>5978</v>
      </c>
      <c r="C59" s="4475"/>
      <c r="D59" s="4408" t="s">
        <v>5979</v>
      </c>
      <c r="E59" s="4408"/>
      <c r="F59" s="4395" t="s">
        <v>5125</v>
      </c>
      <c r="G59" s="4455" t="s">
        <v>5113</v>
      </c>
    </row>
    <row r="60" spans="1:8" s="4390" customFormat="1" ht="26.25" customHeight="1" thickBot="1">
      <c r="A60" s="4400"/>
      <c r="B60" s="4460" t="s">
        <v>2389</v>
      </c>
      <c r="C60" s="4476">
        <v>225000</v>
      </c>
      <c r="D60" s="4440"/>
      <c r="E60" s="4400"/>
      <c r="F60" s="4455"/>
      <c r="G60" s="4450"/>
    </row>
    <row r="61" spans="1:8" s="4390" customFormat="1" ht="46.5" customHeight="1" thickBot="1">
      <c r="A61" s="4400"/>
      <c r="B61" s="4440" t="s">
        <v>5980</v>
      </c>
      <c r="C61" s="4477"/>
      <c r="D61" s="4478" t="s">
        <v>2390</v>
      </c>
      <c r="E61" s="4452"/>
      <c r="F61" s="4395" t="s">
        <v>5963</v>
      </c>
      <c r="G61" s="4479" t="s">
        <v>5963</v>
      </c>
    </row>
    <row r="62" spans="1:8" s="4390" customFormat="1" ht="27.75" customHeight="1" thickBot="1">
      <c r="A62" s="4400"/>
      <c r="B62" s="4460" t="s">
        <v>2391</v>
      </c>
      <c r="C62" s="4476">
        <f>13885000-778863</f>
        <v>13106137</v>
      </c>
      <c r="D62" s="4461"/>
      <c r="E62" s="4455"/>
      <c r="F62" s="4395"/>
      <c r="G62" s="4480"/>
      <c r="H62" s="4439"/>
    </row>
    <row r="63" spans="1:8" s="4390" customFormat="1" ht="39.75" customHeight="1" thickBot="1">
      <c r="A63" s="4436"/>
      <c r="B63" s="4426" t="s">
        <v>5981</v>
      </c>
      <c r="C63" s="4481"/>
      <c r="D63" s="4427" t="s">
        <v>2392</v>
      </c>
      <c r="E63" s="4482" t="s">
        <v>5982</v>
      </c>
      <c r="F63" s="4483" t="s">
        <v>5125</v>
      </c>
      <c r="G63" s="4403" t="s">
        <v>5113</v>
      </c>
    </row>
    <row r="64" spans="1:8" s="4390" customFormat="1" ht="43.5" customHeight="1" thickBot="1">
      <c r="A64" s="4405"/>
      <c r="B64" s="4484" t="s">
        <v>9604</v>
      </c>
      <c r="C64" s="4485"/>
      <c r="D64" s="4423" t="s">
        <v>2393</v>
      </c>
      <c r="E64" s="4423"/>
      <c r="F64" s="4486"/>
      <c r="G64" s="4486"/>
    </row>
    <row r="65" spans="1:8" s="4390" customFormat="1" ht="18.75" hidden="1" customHeight="1" thickBot="1">
      <c r="A65" s="4405"/>
      <c r="B65" s="4487" t="s">
        <v>5983</v>
      </c>
      <c r="C65" s="4488"/>
      <c r="D65" s="4423" t="s">
        <v>2394</v>
      </c>
      <c r="E65" s="4423"/>
      <c r="F65" s="4486"/>
      <c r="G65" s="4486"/>
    </row>
    <row r="66" spans="1:8" s="4390" customFormat="1" ht="30.75" customHeight="1" thickBot="1">
      <c r="A66" s="4405"/>
      <c r="B66" s="4400" t="s">
        <v>5984</v>
      </c>
      <c r="C66" s="4475"/>
      <c r="D66" s="4408" t="s">
        <v>2395</v>
      </c>
      <c r="E66" s="4408" t="s">
        <v>2396</v>
      </c>
      <c r="F66" s="4489" t="s">
        <v>5125</v>
      </c>
      <c r="G66" s="4410" t="s">
        <v>5113</v>
      </c>
    </row>
    <row r="67" spans="1:8" s="4390" customFormat="1" ht="78.75" customHeight="1" thickBot="1">
      <c r="A67" s="4405"/>
      <c r="B67" s="4490" t="s">
        <v>5985</v>
      </c>
      <c r="C67" s="4491"/>
      <c r="D67" s="4405" t="s">
        <v>5986</v>
      </c>
      <c r="E67" s="4405"/>
      <c r="F67" s="4436" t="s">
        <v>5125</v>
      </c>
      <c r="G67" s="4492" t="s">
        <v>5113</v>
      </c>
    </row>
    <row r="68" spans="1:8" s="4390" customFormat="1" ht="32.25" customHeight="1" thickBot="1">
      <c r="A68" s="4426"/>
      <c r="B68" s="4400" t="s">
        <v>5987</v>
      </c>
      <c r="C68" s="4493"/>
      <c r="D68" s="4400" t="s">
        <v>2397</v>
      </c>
      <c r="E68" s="4400"/>
      <c r="F68" s="4395" t="s">
        <v>5125</v>
      </c>
      <c r="G68" s="4395" t="s">
        <v>5113</v>
      </c>
    </row>
    <row r="69" spans="1:8" s="4390" customFormat="1" ht="33" customHeight="1" thickBot="1">
      <c r="A69" s="4400"/>
      <c r="B69" s="4453" t="s">
        <v>2398</v>
      </c>
      <c r="C69" s="4453"/>
      <c r="D69" s="4453"/>
      <c r="E69" s="4395"/>
      <c r="F69" s="4395"/>
      <c r="G69" s="4494"/>
    </row>
    <row r="70" spans="1:8" s="4390" customFormat="1" ht="80.25" customHeight="1" thickBot="1">
      <c r="A70" s="4426"/>
      <c r="B70" s="4495" t="s">
        <v>9605</v>
      </c>
      <c r="C70" s="4481">
        <v>3000000</v>
      </c>
      <c r="D70" s="4432" t="s">
        <v>5988</v>
      </c>
      <c r="E70" s="4432" t="s">
        <v>2399</v>
      </c>
      <c r="F70" s="4434" t="s">
        <v>5125</v>
      </c>
      <c r="G70" s="4434" t="s">
        <v>5113</v>
      </c>
    </row>
    <row r="71" spans="1:8" s="4390" customFormat="1" ht="106.5" customHeight="1" thickBot="1">
      <c r="A71" s="4496"/>
      <c r="B71" s="4440" t="s">
        <v>9606</v>
      </c>
      <c r="C71" s="4497">
        <v>3000000</v>
      </c>
      <c r="D71" s="4498" t="s">
        <v>2400</v>
      </c>
      <c r="E71" s="4499" t="s">
        <v>2401</v>
      </c>
      <c r="F71" s="4395" t="s">
        <v>5125</v>
      </c>
      <c r="G71" s="4395" t="s">
        <v>5113</v>
      </c>
    </row>
    <row r="72" spans="1:8" s="4390" customFormat="1" ht="66.75" customHeight="1" thickBot="1">
      <c r="A72" s="4500"/>
      <c r="B72" s="4501" t="s">
        <v>9607</v>
      </c>
      <c r="C72" s="4475">
        <v>295000</v>
      </c>
      <c r="D72" s="4432" t="s">
        <v>5989</v>
      </c>
      <c r="E72" s="4502"/>
      <c r="F72" s="4503" t="s">
        <v>5960</v>
      </c>
      <c r="G72" s="4504" t="s">
        <v>5113</v>
      </c>
      <c r="H72" s="4439"/>
    </row>
    <row r="73" spans="1:8" s="4390" customFormat="1" ht="15.75" customHeight="1" thickBot="1">
      <c r="A73" s="4505"/>
      <c r="B73" s="4506" t="s">
        <v>2403</v>
      </c>
      <c r="C73" s="4507">
        <v>405000</v>
      </c>
      <c r="D73" s="4502"/>
      <c r="E73" s="4502"/>
      <c r="F73" s="4508"/>
      <c r="G73" s="4508"/>
      <c r="H73" s="4439"/>
    </row>
    <row r="74" spans="1:8" s="4390" customFormat="1" ht="91.5" customHeight="1">
      <c r="A74" s="4509"/>
      <c r="B74" s="4510" t="s">
        <v>5990</v>
      </c>
      <c r="C74" s="4511"/>
      <c r="D74" s="4512" t="s">
        <v>5991</v>
      </c>
      <c r="E74" s="4513"/>
      <c r="F74" s="4514" t="s">
        <v>5125</v>
      </c>
      <c r="G74" s="4514" t="s">
        <v>5113</v>
      </c>
    </row>
    <row r="75" spans="1:8" s="4390" customFormat="1" ht="24" customHeight="1" thickBot="1">
      <c r="A75" s="4459"/>
      <c r="B75" s="4506" t="s">
        <v>2404</v>
      </c>
      <c r="C75" s="4515">
        <v>125000</v>
      </c>
      <c r="D75" s="4502"/>
      <c r="E75" s="4502"/>
      <c r="F75" s="4508" t="s">
        <v>5125</v>
      </c>
      <c r="G75" s="4516" t="s">
        <v>5113</v>
      </c>
      <c r="H75" s="4439"/>
    </row>
    <row r="76" spans="1:8" s="4390" customFormat="1" ht="28.5" customHeight="1" thickBot="1">
      <c r="A76" s="4436"/>
      <c r="B76" s="4517" t="s">
        <v>2405</v>
      </c>
      <c r="C76" s="4515">
        <v>170000</v>
      </c>
      <c r="D76" s="4432"/>
      <c r="E76" s="4432"/>
      <c r="F76" s="4508"/>
      <c r="G76" s="4434"/>
    </row>
    <row r="77" spans="1:8" s="4390" customFormat="1" ht="24.75" customHeight="1" thickBot="1">
      <c r="A77" s="4518"/>
      <c r="B77" s="4519" t="s">
        <v>4601</v>
      </c>
      <c r="C77" s="4520"/>
      <c r="D77" s="4521"/>
      <c r="E77" s="4521"/>
      <c r="F77" s="4522" t="s">
        <v>5125</v>
      </c>
      <c r="G77" s="4522" t="s">
        <v>5113</v>
      </c>
      <c r="H77" s="4439"/>
    </row>
    <row r="78" spans="1:8" s="4390" customFormat="1" ht="20.25" customHeight="1" thickBot="1">
      <c r="A78" s="4395"/>
      <c r="B78" s="4523" t="s">
        <v>2406</v>
      </c>
      <c r="C78" s="4476">
        <f>C26+C43+C47+C50+C53+C58+C60+C62+C70+C71+C72+C73+C75+C76</f>
        <v>23666137</v>
      </c>
      <c r="D78" s="4524"/>
      <c r="E78" s="4524"/>
      <c r="F78" s="4524"/>
      <c r="G78" s="4524"/>
      <c r="H78" s="4439"/>
    </row>
    <row r="79" spans="1:8" ht="13.8">
      <c r="C79" s="370"/>
    </row>
    <row r="80" spans="1:8">
      <c r="C80" s="4532"/>
    </row>
  </sheetData>
  <mergeCells count="28">
    <mergeCell ref="A23:A24"/>
    <mergeCell ref="F23:G23"/>
    <mergeCell ref="B15:G15"/>
    <mergeCell ref="A1:G1"/>
    <mergeCell ref="A3:B3"/>
    <mergeCell ref="C3:G3"/>
    <mergeCell ref="A4:B4"/>
    <mergeCell ref="C5:D5"/>
    <mergeCell ref="A6:G6"/>
    <mergeCell ref="A8:G8"/>
    <mergeCell ref="A9:G9"/>
    <mergeCell ref="A11:C11"/>
    <mergeCell ref="B12:G12"/>
    <mergeCell ref="B13:G13"/>
    <mergeCell ref="E33:E35"/>
    <mergeCell ref="B37:B38"/>
    <mergeCell ref="C37:C38"/>
    <mergeCell ref="D37:D38"/>
    <mergeCell ref="B16:G16"/>
    <mergeCell ref="B17:G17"/>
    <mergeCell ref="B18:G18"/>
    <mergeCell ref="B19:G19"/>
    <mergeCell ref="B39:B41"/>
    <mergeCell ref="C39:C41"/>
    <mergeCell ref="D39:D42"/>
    <mergeCell ref="B33:B36"/>
    <mergeCell ref="C33:C36"/>
    <mergeCell ref="D33:D36"/>
  </mergeCells>
  <pageMargins left="0.5" right="0" top="0.75" bottom="0.5" header="0.25" footer="0.25"/>
  <pageSetup paperSize="119" scale="95" firstPageNumber="310" orientation="portrait" useFirstPageNumber="1" horizontalDpi="300" verticalDpi="300" r:id="rId1"/>
</worksheet>
</file>

<file path=xl/worksheets/sheet165.xml><?xml version="1.0" encoding="utf-8"?>
<worksheet xmlns="http://schemas.openxmlformats.org/spreadsheetml/2006/main" xmlns:r="http://schemas.openxmlformats.org/officeDocument/2006/relationships">
  <sheetPr codeName="Sheet187">
    <tabColor rgb="FFFFFF00"/>
  </sheetPr>
  <dimension ref="A1:F28"/>
  <sheetViews>
    <sheetView topLeftCell="A19" workbookViewId="0">
      <selection activeCell="H17" sqref="H17"/>
    </sheetView>
  </sheetViews>
  <sheetFormatPr defaultColWidth="9.109375" defaultRowHeight="14.4"/>
  <cols>
    <col min="1" max="1" width="3.88671875" style="951" customWidth="1"/>
    <col min="2" max="2" width="33.44140625" style="1029" customWidth="1"/>
    <col min="3" max="3" width="16.44140625" style="2144" customWidth="1"/>
    <col min="4" max="4" width="14.88671875" style="959" customWidth="1"/>
    <col min="5" max="5" width="15" style="959" customWidth="1"/>
    <col min="6" max="6" width="14.109375" style="959" customWidth="1"/>
    <col min="7" max="16384" width="9.109375" style="951"/>
  </cols>
  <sheetData>
    <row r="1" spans="1:6" s="3605" customFormat="1" ht="18.75" customHeight="1">
      <c r="A1" s="3605" t="s">
        <v>3426</v>
      </c>
      <c r="C1" s="4533"/>
      <c r="D1" s="4533"/>
      <c r="E1" s="4533"/>
      <c r="F1" s="4533"/>
    </row>
    <row r="2" spans="1:6" s="3605" customFormat="1" ht="18.75" customHeight="1">
      <c r="C2" s="4533"/>
      <c r="D2" s="4533"/>
      <c r="E2" s="4533"/>
      <c r="F2" s="4533"/>
    </row>
    <row r="3" spans="1:6" s="3605" customFormat="1" ht="18.75" customHeight="1">
      <c r="A3" s="1595" t="s">
        <v>4968</v>
      </c>
      <c r="C3" s="4533"/>
      <c r="D3" s="4533"/>
      <c r="E3" s="4533"/>
      <c r="F3" s="4533"/>
    </row>
    <row r="4" spans="1:6" s="946" customFormat="1" ht="18.75" customHeight="1">
      <c r="C4" s="952"/>
      <c r="D4" s="952"/>
      <c r="E4" s="952"/>
      <c r="F4" s="952"/>
    </row>
    <row r="5" spans="1:6" s="946" customFormat="1">
      <c r="A5" s="1341"/>
      <c r="B5" s="14985" t="s">
        <v>3427</v>
      </c>
      <c r="C5" s="15261" t="s">
        <v>18</v>
      </c>
      <c r="D5" s="15261"/>
      <c r="E5" s="15261"/>
      <c r="F5" s="14987" t="s">
        <v>220</v>
      </c>
    </row>
    <row r="6" spans="1:6" s="1548" customFormat="1">
      <c r="A6" s="1342"/>
      <c r="B6" s="14986"/>
      <c r="C6" s="2012" t="s">
        <v>2151</v>
      </c>
      <c r="D6" s="1549" t="s">
        <v>1973</v>
      </c>
      <c r="E6" s="1549" t="s">
        <v>52</v>
      </c>
      <c r="F6" s="14988"/>
    </row>
    <row r="7" spans="1:6" s="1548" customFormat="1">
      <c r="A7" s="1588"/>
      <c r="B7" s="1600"/>
      <c r="C7" s="1589"/>
      <c r="D7" s="1589"/>
      <c r="E7" s="1589"/>
      <c r="F7" s="1589"/>
    </row>
    <row r="8" spans="1:6" s="946" customFormat="1">
      <c r="A8" s="1340" t="s">
        <v>2048</v>
      </c>
      <c r="B8" s="972"/>
      <c r="C8" s="953"/>
      <c r="D8" s="953"/>
      <c r="E8" s="953"/>
      <c r="F8" s="953"/>
    </row>
    <row r="9" spans="1:6" s="946" customFormat="1" ht="6.75" customHeight="1">
      <c r="A9" s="1343"/>
      <c r="B9" s="972"/>
      <c r="C9" s="1594"/>
      <c r="D9" s="1347"/>
      <c r="E9" s="1347"/>
      <c r="F9" s="1347"/>
    </row>
    <row r="10" spans="1:6" ht="25.5" customHeight="1">
      <c r="A10" s="1344">
        <v>1</v>
      </c>
      <c r="B10" s="1598" t="s">
        <v>2371</v>
      </c>
      <c r="C10" s="2140">
        <v>361000</v>
      </c>
      <c r="D10" s="954">
        <v>435000</v>
      </c>
      <c r="E10" s="954">
        <v>89000</v>
      </c>
      <c r="F10" s="954">
        <f>SUM(C10:E10)</f>
        <v>885000</v>
      </c>
    </row>
    <row r="11" spans="1:6" ht="30.75" customHeight="1">
      <c r="A11" s="1344">
        <v>2</v>
      </c>
      <c r="B11" s="1599" t="s">
        <v>2376</v>
      </c>
      <c r="C11" s="2140">
        <v>490000</v>
      </c>
      <c r="D11" s="954">
        <v>370000</v>
      </c>
      <c r="E11" s="954"/>
      <c r="F11" s="954">
        <f t="shared" ref="F11:F21" si="0">SUM(C11:E11)</f>
        <v>860000</v>
      </c>
    </row>
    <row r="12" spans="1:6" ht="33.75" customHeight="1">
      <c r="A12" s="1344">
        <v>3</v>
      </c>
      <c r="B12" s="1599" t="s">
        <v>2384</v>
      </c>
      <c r="C12" s="2140">
        <v>155000</v>
      </c>
      <c r="D12" s="957">
        <v>120000</v>
      </c>
      <c r="E12" s="957"/>
      <c r="F12" s="954">
        <f t="shared" si="0"/>
        <v>275000</v>
      </c>
    </row>
    <row r="13" spans="1:6" ht="26.25" customHeight="1">
      <c r="A13" s="2137">
        <v>4</v>
      </c>
      <c r="B13" s="2138" t="s">
        <v>5992</v>
      </c>
      <c r="C13" s="2141">
        <v>70000</v>
      </c>
      <c r="D13" s="2139">
        <v>135000</v>
      </c>
      <c r="E13" s="2139"/>
      <c r="F13" s="954">
        <f t="shared" si="0"/>
        <v>205000</v>
      </c>
    </row>
    <row r="14" spans="1:6" ht="33" customHeight="1">
      <c r="A14" s="2137">
        <v>5</v>
      </c>
      <c r="B14" s="1599" t="s">
        <v>2387</v>
      </c>
      <c r="C14" s="2140">
        <v>470000</v>
      </c>
      <c r="D14" s="957">
        <v>390000</v>
      </c>
      <c r="E14" s="957"/>
      <c r="F14" s="954">
        <f t="shared" si="0"/>
        <v>860000</v>
      </c>
    </row>
    <row r="15" spans="1:6" ht="35.25" customHeight="1">
      <c r="A15" s="2137">
        <v>6</v>
      </c>
      <c r="B15" s="1599" t="s">
        <v>2388</v>
      </c>
      <c r="C15" s="2140">
        <v>165000</v>
      </c>
      <c r="D15" s="957">
        <v>90000</v>
      </c>
      <c r="E15" s="957"/>
      <c r="F15" s="954">
        <f t="shared" si="0"/>
        <v>255000</v>
      </c>
    </row>
    <row r="16" spans="1:6" ht="26.4">
      <c r="A16" s="2137">
        <v>7</v>
      </c>
      <c r="B16" s="1599" t="s">
        <v>2389</v>
      </c>
      <c r="C16" s="2140">
        <v>170000</v>
      </c>
      <c r="D16" s="957">
        <v>55000</v>
      </c>
      <c r="E16" s="957"/>
      <c r="F16" s="954">
        <f t="shared" si="0"/>
        <v>225000</v>
      </c>
    </row>
    <row r="17" spans="1:6" ht="32.25" customHeight="1">
      <c r="A17" s="2137">
        <v>8</v>
      </c>
      <c r="B17" s="1599" t="s">
        <v>2391</v>
      </c>
      <c r="C17" s="2140">
        <f>7175000-778863</f>
        <v>6396137</v>
      </c>
      <c r="D17" s="957">
        <v>6710000</v>
      </c>
      <c r="E17" s="957"/>
      <c r="F17" s="954">
        <f t="shared" si="0"/>
        <v>13106137</v>
      </c>
    </row>
    <row r="18" spans="1:6" ht="22.5" customHeight="1">
      <c r="A18" s="2137">
        <v>9</v>
      </c>
      <c r="B18" s="1598" t="s">
        <v>2402</v>
      </c>
      <c r="C18" s="2140">
        <v>80000</v>
      </c>
      <c r="D18" s="1573">
        <v>215000</v>
      </c>
      <c r="E18" s="1573"/>
      <c r="F18" s="954">
        <f t="shared" si="0"/>
        <v>295000</v>
      </c>
    </row>
    <row r="19" spans="1:6" ht="21" customHeight="1">
      <c r="A19" s="2137">
        <v>10</v>
      </c>
      <c r="B19" s="1599" t="s">
        <v>2403</v>
      </c>
      <c r="C19" s="2140">
        <v>74000</v>
      </c>
      <c r="D19" s="1573">
        <v>60000</v>
      </c>
      <c r="E19" s="1573">
        <v>271000</v>
      </c>
      <c r="F19" s="954">
        <f t="shared" si="0"/>
        <v>405000</v>
      </c>
    </row>
    <row r="20" spans="1:6" ht="20.25" customHeight="1">
      <c r="A20" s="2137">
        <v>11</v>
      </c>
      <c r="B20" s="1599" t="s">
        <v>2404</v>
      </c>
      <c r="C20" s="2140">
        <v>75000</v>
      </c>
      <c r="D20" s="1573">
        <v>50000</v>
      </c>
      <c r="E20" s="1573"/>
      <c r="F20" s="954">
        <f t="shared" si="0"/>
        <v>125000</v>
      </c>
    </row>
    <row r="21" spans="1:6" ht="26.4">
      <c r="A21" s="2137">
        <v>12</v>
      </c>
      <c r="B21" s="1599" t="s">
        <v>2405</v>
      </c>
      <c r="C21" s="2140">
        <v>105000</v>
      </c>
      <c r="D21" s="1573">
        <v>65000</v>
      </c>
      <c r="E21" s="1573"/>
      <c r="F21" s="954">
        <f t="shared" si="0"/>
        <v>170000</v>
      </c>
    </row>
    <row r="22" spans="1:6">
      <c r="A22" s="1593"/>
      <c r="B22" s="1599"/>
      <c r="C22" s="2140"/>
      <c r="D22" s="1573"/>
      <c r="E22" s="1573"/>
      <c r="F22" s="1573"/>
    </row>
    <row r="23" spans="1:6">
      <c r="A23" s="1345"/>
      <c r="B23" s="1596"/>
      <c r="C23" s="2142"/>
      <c r="D23" s="955"/>
      <c r="E23" s="955"/>
      <c r="F23" s="954">
        <f>SUM(C23:E23)</f>
        <v>0</v>
      </c>
    </row>
    <row r="24" spans="1:6">
      <c r="A24" s="1340" t="s">
        <v>3429</v>
      </c>
      <c r="B24" s="1387"/>
      <c r="C24" s="1129"/>
      <c r="D24" s="954"/>
      <c r="E24" s="954"/>
      <c r="F24" s="956">
        <f>SUM(C24:E24)</f>
        <v>0</v>
      </c>
    </row>
    <row r="25" spans="1:6">
      <c r="A25" s="1343"/>
      <c r="B25" s="749" t="s">
        <v>1684</v>
      </c>
      <c r="C25" s="2143"/>
      <c r="D25" s="979">
        <v>3000000</v>
      </c>
      <c r="E25" s="951"/>
      <c r="F25" s="1329">
        <f>SUM(D25)</f>
        <v>3000000</v>
      </c>
    </row>
    <row r="26" spans="1:6">
      <c r="A26" s="1343"/>
      <c r="B26" s="749" t="s">
        <v>4825</v>
      </c>
      <c r="C26" s="2143"/>
      <c r="D26" s="979">
        <v>3000000</v>
      </c>
      <c r="E26" s="951"/>
      <c r="F26" s="1329">
        <f>SUM(D26)</f>
        <v>3000000</v>
      </c>
    </row>
    <row r="27" spans="1:6">
      <c r="A27" s="1345"/>
      <c r="B27" s="1597"/>
      <c r="C27" s="1129"/>
      <c r="D27" s="954"/>
      <c r="E27" s="954"/>
      <c r="F27" s="954"/>
    </row>
    <row r="28" spans="1:6" s="946" customFormat="1">
      <c r="A28" s="950"/>
      <c r="B28" s="963" t="s">
        <v>2850</v>
      </c>
      <c r="C28" s="958">
        <f>SUM(C8:C27)</f>
        <v>8611137</v>
      </c>
      <c r="D28" s="958">
        <f>SUM(D8:D27)</f>
        <v>14695000</v>
      </c>
      <c r="E28" s="958">
        <f>SUM(E8:E27)</f>
        <v>360000</v>
      </c>
      <c r="F28" s="958">
        <f>SUM(F8:F27)</f>
        <v>23666137</v>
      </c>
    </row>
  </sheetData>
  <mergeCells count="3">
    <mergeCell ref="B5:B6"/>
    <mergeCell ref="C5:E5"/>
    <mergeCell ref="F5:F6"/>
  </mergeCells>
  <printOptions horizontalCentered="1"/>
  <pageMargins left="0.5" right="0.25" top="0.75" bottom="0.5" header="0.3" footer="0.25"/>
  <pageSetup paperSize="119" firstPageNumber="329" orientation="portrait" useFirstPageNumber="1" verticalDpi="300" r:id="rId1"/>
</worksheet>
</file>

<file path=xl/worksheets/sheet166.xml><?xml version="1.0" encoding="utf-8"?>
<worksheet xmlns="http://schemas.openxmlformats.org/spreadsheetml/2006/main" xmlns:r="http://schemas.openxmlformats.org/officeDocument/2006/relationships">
  <sheetPr codeName="Sheet124">
    <tabColor theme="8" tint="-0.249977111117893"/>
  </sheetPr>
  <dimension ref="A1:L127"/>
  <sheetViews>
    <sheetView showGridLines="0" topLeftCell="B3" workbookViewId="0">
      <selection activeCell="J3" sqref="J1:T1048576"/>
    </sheetView>
  </sheetViews>
  <sheetFormatPr defaultRowHeight="15" customHeight="1"/>
  <cols>
    <col min="1" max="1" width="3.88671875" style="7351" customWidth="1"/>
    <col min="2" max="2" width="55.5546875" style="7351" customWidth="1"/>
    <col min="3" max="3" width="12.5546875" style="7383" customWidth="1"/>
    <col min="4" max="7" width="15.5546875" style="7338" customWidth="1"/>
    <col min="8" max="8" width="14" style="7338" hidden="1" customWidth="1"/>
    <col min="9" max="9" width="7.6640625" style="7348" hidden="1" customWidth="1"/>
    <col min="10" max="10" width="15.5546875" style="7338" customWidth="1"/>
    <col min="11" max="11" width="15.88671875" style="7351" customWidth="1"/>
    <col min="12" max="12" width="6.5546875" style="7383" customWidth="1"/>
    <col min="13" max="19" width="8.88671875" style="7351" customWidth="1"/>
    <col min="20" max="222" width="9.109375" style="7351"/>
    <col min="223" max="223" width="3.88671875" style="7351" customWidth="1"/>
    <col min="224" max="224" width="40.109375" style="7351" customWidth="1"/>
    <col min="225" max="225" width="11.109375" style="7351" customWidth="1"/>
    <col min="226" max="226" width="15.109375" style="7351" customWidth="1"/>
    <col min="227" max="227" width="14.44140625" style="7351" customWidth="1"/>
    <col min="228" max="228" width="16.44140625" style="7351" customWidth="1"/>
    <col min="229" max="229" width="12.88671875" style="7351" bestFit="1" customWidth="1"/>
    <col min="230" max="478" width="9.109375" style="7351"/>
    <col min="479" max="479" width="3.88671875" style="7351" customWidth="1"/>
    <col min="480" max="480" width="40.109375" style="7351" customWidth="1"/>
    <col min="481" max="481" width="11.109375" style="7351" customWidth="1"/>
    <col min="482" max="482" width="15.109375" style="7351" customWidth="1"/>
    <col min="483" max="483" width="14.44140625" style="7351" customWidth="1"/>
    <col min="484" max="484" width="16.44140625" style="7351" customWidth="1"/>
    <col min="485" max="485" width="12.88671875" style="7351" bestFit="1" customWidth="1"/>
    <col min="486" max="734" width="9.109375" style="7351"/>
    <col min="735" max="735" width="3.88671875" style="7351" customWidth="1"/>
    <col min="736" max="736" width="40.109375" style="7351" customWidth="1"/>
    <col min="737" max="737" width="11.109375" style="7351" customWidth="1"/>
    <col min="738" max="738" width="15.109375" style="7351" customWidth="1"/>
    <col min="739" max="739" width="14.44140625" style="7351" customWidth="1"/>
    <col min="740" max="740" width="16.44140625" style="7351" customWidth="1"/>
    <col min="741" max="741" width="12.88671875" style="7351" bestFit="1" customWidth="1"/>
    <col min="742" max="990" width="9.109375" style="7351"/>
    <col min="991" max="991" width="3.88671875" style="7351" customWidth="1"/>
    <col min="992" max="992" width="40.109375" style="7351" customWidth="1"/>
    <col min="993" max="993" width="11.109375" style="7351" customWidth="1"/>
    <col min="994" max="994" width="15.109375" style="7351" customWidth="1"/>
    <col min="995" max="995" width="14.44140625" style="7351" customWidth="1"/>
    <col min="996" max="996" width="16.44140625" style="7351" customWidth="1"/>
    <col min="997" max="997" width="12.88671875" style="7351" bestFit="1" customWidth="1"/>
    <col min="998" max="1246" width="9.109375" style="7351"/>
    <col min="1247" max="1247" width="3.88671875" style="7351" customWidth="1"/>
    <col min="1248" max="1248" width="40.109375" style="7351" customWidth="1"/>
    <col min="1249" max="1249" width="11.109375" style="7351" customWidth="1"/>
    <col min="1250" max="1250" width="15.109375" style="7351" customWidth="1"/>
    <col min="1251" max="1251" width="14.44140625" style="7351" customWidth="1"/>
    <col min="1252" max="1252" width="16.44140625" style="7351" customWidth="1"/>
    <col min="1253" max="1253" width="12.88671875" style="7351" bestFit="1" customWidth="1"/>
    <col min="1254" max="1502" width="9.109375" style="7351"/>
    <col min="1503" max="1503" width="3.88671875" style="7351" customWidth="1"/>
    <col min="1504" max="1504" width="40.109375" style="7351" customWidth="1"/>
    <col min="1505" max="1505" width="11.109375" style="7351" customWidth="1"/>
    <col min="1506" max="1506" width="15.109375" style="7351" customWidth="1"/>
    <col min="1507" max="1507" width="14.44140625" style="7351" customWidth="1"/>
    <col min="1508" max="1508" width="16.44140625" style="7351" customWidth="1"/>
    <col min="1509" max="1509" width="12.88671875" style="7351" bestFit="1" customWidth="1"/>
    <col min="1510" max="1758" width="9.109375" style="7351"/>
    <col min="1759" max="1759" width="3.88671875" style="7351" customWidth="1"/>
    <col min="1760" max="1760" width="40.109375" style="7351" customWidth="1"/>
    <col min="1761" max="1761" width="11.109375" style="7351" customWidth="1"/>
    <col min="1762" max="1762" width="15.109375" style="7351" customWidth="1"/>
    <col min="1763" max="1763" width="14.44140625" style="7351" customWidth="1"/>
    <col min="1764" max="1764" width="16.44140625" style="7351" customWidth="1"/>
    <col min="1765" max="1765" width="12.88671875" style="7351" bestFit="1" customWidth="1"/>
    <col min="1766" max="2014" width="9.109375" style="7351"/>
    <col min="2015" max="2015" width="3.88671875" style="7351" customWidth="1"/>
    <col min="2016" max="2016" width="40.109375" style="7351" customWidth="1"/>
    <col min="2017" max="2017" width="11.109375" style="7351" customWidth="1"/>
    <col min="2018" max="2018" width="15.109375" style="7351" customWidth="1"/>
    <col min="2019" max="2019" width="14.44140625" style="7351" customWidth="1"/>
    <col min="2020" max="2020" width="16.44140625" style="7351" customWidth="1"/>
    <col min="2021" max="2021" width="12.88671875" style="7351" bestFit="1" customWidth="1"/>
    <col min="2022" max="2270" width="9.109375" style="7351"/>
    <col min="2271" max="2271" width="3.88671875" style="7351" customWidth="1"/>
    <col min="2272" max="2272" width="40.109375" style="7351" customWidth="1"/>
    <col min="2273" max="2273" width="11.109375" style="7351" customWidth="1"/>
    <col min="2274" max="2274" width="15.109375" style="7351" customWidth="1"/>
    <col min="2275" max="2275" width="14.44140625" style="7351" customWidth="1"/>
    <col min="2276" max="2276" width="16.44140625" style="7351" customWidth="1"/>
    <col min="2277" max="2277" width="12.88671875" style="7351" bestFit="1" customWidth="1"/>
    <col min="2278" max="2526" width="9.109375" style="7351"/>
    <col min="2527" max="2527" width="3.88671875" style="7351" customWidth="1"/>
    <col min="2528" max="2528" width="40.109375" style="7351" customWidth="1"/>
    <col min="2529" max="2529" width="11.109375" style="7351" customWidth="1"/>
    <col min="2530" max="2530" width="15.109375" style="7351" customWidth="1"/>
    <col min="2531" max="2531" width="14.44140625" style="7351" customWidth="1"/>
    <col min="2532" max="2532" width="16.44140625" style="7351" customWidth="1"/>
    <col min="2533" max="2533" width="12.88671875" style="7351" bestFit="1" customWidth="1"/>
    <col min="2534" max="2782" width="9.109375" style="7351"/>
    <col min="2783" max="2783" width="3.88671875" style="7351" customWidth="1"/>
    <col min="2784" max="2784" width="40.109375" style="7351" customWidth="1"/>
    <col min="2785" max="2785" width="11.109375" style="7351" customWidth="1"/>
    <col min="2786" max="2786" width="15.109375" style="7351" customWidth="1"/>
    <col min="2787" max="2787" width="14.44140625" style="7351" customWidth="1"/>
    <col min="2788" max="2788" width="16.44140625" style="7351" customWidth="1"/>
    <col min="2789" max="2789" width="12.88671875" style="7351" bestFit="1" customWidth="1"/>
    <col min="2790" max="3038" width="9.109375" style="7351"/>
    <col min="3039" max="3039" width="3.88671875" style="7351" customWidth="1"/>
    <col min="3040" max="3040" width="40.109375" style="7351" customWidth="1"/>
    <col min="3041" max="3041" width="11.109375" style="7351" customWidth="1"/>
    <col min="3042" max="3042" width="15.109375" style="7351" customWidth="1"/>
    <col min="3043" max="3043" width="14.44140625" style="7351" customWidth="1"/>
    <col min="3044" max="3044" width="16.44140625" style="7351" customWidth="1"/>
    <col min="3045" max="3045" width="12.88671875" style="7351" bestFit="1" customWidth="1"/>
    <col min="3046" max="3294" width="9.109375" style="7351"/>
    <col min="3295" max="3295" width="3.88671875" style="7351" customWidth="1"/>
    <col min="3296" max="3296" width="40.109375" style="7351" customWidth="1"/>
    <col min="3297" max="3297" width="11.109375" style="7351" customWidth="1"/>
    <col min="3298" max="3298" width="15.109375" style="7351" customWidth="1"/>
    <col min="3299" max="3299" width="14.44140625" style="7351" customWidth="1"/>
    <col min="3300" max="3300" width="16.44140625" style="7351" customWidth="1"/>
    <col min="3301" max="3301" width="12.88671875" style="7351" bestFit="1" customWidth="1"/>
    <col min="3302" max="3550" width="9.109375" style="7351"/>
    <col min="3551" max="3551" width="3.88671875" style="7351" customWidth="1"/>
    <col min="3552" max="3552" width="40.109375" style="7351" customWidth="1"/>
    <col min="3553" max="3553" width="11.109375" style="7351" customWidth="1"/>
    <col min="3554" max="3554" width="15.109375" style="7351" customWidth="1"/>
    <col min="3555" max="3555" width="14.44140625" style="7351" customWidth="1"/>
    <col min="3556" max="3556" width="16.44140625" style="7351" customWidth="1"/>
    <col min="3557" max="3557" width="12.88671875" style="7351" bestFit="1" customWidth="1"/>
    <col min="3558" max="3806" width="9.109375" style="7351"/>
    <col min="3807" max="3807" width="3.88671875" style="7351" customWidth="1"/>
    <col min="3808" max="3808" width="40.109375" style="7351" customWidth="1"/>
    <col min="3809" max="3809" width="11.109375" style="7351" customWidth="1"/>
    <col min="3810" max="3810" width="15.109375" style="7351" customWidth="1"/>
    <col min="3811" max="3811" width="14.44140625" style="7351" customWidth="1"/>
    <col min="3812" max="3812" width="16.44140625" style="7351" customWidth="1"/>
    <col min="3813" max="3813" width="12.88671875" style="7351" bestFit="1" customWidth="1"/>
    <col min="3814" max="4062" width="9.109375" style="7351"/>
    <col min="4063" max="4063" width="3.88671875" style="7351" customWidth="1"/>
    <col min="4064" max="4064" width="40.109375" style="7351" customWidth="1"/>
    <col min="4065" max="4065" width="11.109375" style="7351" customWidth="1"/>
    <col min="4066" max="4066" width="15.109375" style="7351" customWidth="1"/>
    <col min="4067" max="4067" width="14.44140625" style="7351" customWidth="1"/>
    <col min="4068" max="4068" width="16.44140625" style="7351" customWidth="1"/>
    <col min="4069" max="4069" width="12.88671875" style="7351" bestFit="1" customWidth="1"/>
    <col min="4070" max="4318" width="9.109375" style="7351"/>
    <col min="4319" max="4319" width="3.88671875" style="7351" customWidth="1"/>
    <col min="4320" max="4320" width="40.109375" style="7351" customWidth="1"/>
    <col min="4321" max="4321" width="11.109375" style="7351" customWidth="1"/>
    <col min="4322" max="4322" width="15.109375" style="7351" customWidth="1"/>
    <col min="4323" max="4323" width="14.44140625" style="7351" customWidth="1"/>
    <col min="4324" max="4324" width="16.44140625" style="7351" customWidth="1"/>
    <col min="4325" max="4325" width="12.88671875" style="7351" bestFit="1" customWidth="1"/>
    <col min="4326" max="4574" width="9.109375" style="7351"/>
    <col min="4575" max="4575" width="3.88671875" style="7351" customWidth="1"/>
    <col min="4576" max="4576" width="40.109375" style="7351" customWidth="1"/>
    <col min="4577" max="4577" width="11.109375" style="7351" customWidth="1"/>
    <col min="4578" max="4578" width="15.109375" style="7351" customWidth="1"/>
    <col min="4579" max="4579" width="14.44140625" style="7351" customWidth="1"/>
    <col min="4580" max="4580" width="16.44140625" style="7351" customWidth="1"/>
    <col min="4581" max="4581" width="12.88671875" style="7351" bestFit="1" customWidth="1"/>
    <col min="4582" max="4830" width="9.109375" style="7351"/>
    <col min="4831" max="4831" width="3.88671875" style="7351" customWidth="1"/>
    <col min="4832" max="4832" width="40.109375" style="7351" customWidth="1"/>
    <col min="4833" max="4833" width="11.109375" style="7351" customWidth="1"/>
    <col min="4834" max="4834" width="15.109375" style="7351" customWidth="1"/>
    <col min="4835" max="4835" width="14.44140625" style="7351" customWidth="1"/>
    <col min="4836" max="4836" width="16.44140625" style="7351" customWidth="1"/>
    <col min="4837" max="4837" width="12.88671875" style="7351" bestFit="1" customWidth="1"/>
    <col min="4838" max="5086" width="9.109375" style="7351"/>
    <col min="5087" max="5087" width="3.88671875" style="7351" customWidth="1"/>
    <col min="5088" max="5088" width="40.109375" style="7351" customWidth="1"/>
    <col min="5089" max="5089" width="11.109375" style="7351" customWidth="1"/>
    <col min="5090" max="5090" width="15.109375" style="7351" customWidth="1"/>
    <col min="5091" max="5091" width="14.44140625" style="7351" customWidth="1"/>
    <col min="5092" max="5092" width="16.44140625" style="7351" customWidth="1"/>
    <col min="5093" max="5093" width="12.88671875" style="7351" bestFit="1" customWidth="1"/>
    <col min="5094" max="5342" width="9.109375" style="7351"/>
    <col min="5343" max="5343" width="3.88671875" style="7351" customWidth="1"/>
    <col min="5344" max="5344" width="40.109375" style="7351" customWidth="1"/>
    <col min="5345" max="5345" width="11.109375" style="7351" customWidth="1"/>
    <col min="5346" max="5346" width="15.109375" style="7351" customWidth="1"/>
    <col min="5347" max="5347" width="14.44140625" style="7351" customWidth="1"/>
    <col min="5348" max="5348" width="16.44140625" style="7351" customWidth="1"/>
    <col min="5349" max="5349" width="12.88671875" style="7351" bestFit="1" customWidth="1"/>
    <col min="5350" max="5598" width="9.109375" style="7351"/>
    <col min="5599" max="5599" width="3.88671875" style="7351" customWidth="1"/>
    <col min="5600" max="5600" width="40.109375" style="7351" customWidth="1"/>
    <col min="5601" max="5601" width="11.109375" style="7351" customWidth="1"/>
    <col min="5602" max="5602" width="15.109375" style="7351" customWidth="1"/>
    <col min="5603" max="5603" width="14.44140625" style="7351" customWidth="1"/>
    <col min="5604" max="5604" width="16.44140625" style="7351" customWidth="1"/>
    <col min="5605" max="5605" width="12.88671875" style="7351" bestFit="1" customWidth="1"/>
    <col min="5606" max="5854" width="9.109375" style="7351"/>
    <col min="5855" max="5855" width="3.88671875" style="7351" customWidth="1"/>
    <col min="5856" max="5856" width="40.109375" style="7351" customWidth="1"/>
    <col min="5857" max="5857" width="11.109375" style="7351" customWidth="1"/>
    <col min="5858" max="5858" width="15.109375" style="7351" customWidth="1"/>
    <col min="5859" max="5859" width="14.44140625" style="7351" customWidth="1"/>
    <col min="5860" max="5860" width="16.44140625" style="7351" customWidth="1"/>
    <col min="5861" max="5861" width="12.88671875" style="7351" bestFit="1" customWidth="1"/>
    <col min="5862" max="6110" width="9.109375" style="7351"/>
    <col min="6111" max="6111" width="3.88671875" style="7351" customWidth="1"/>
    <col min="6112" max="6112" width="40.109375" style="7351" customWidth="1"/>
    <col min="6113" max="6113" width="11.109375" style="7351" customWidth="1"/>
    <col min="6114" max="6114" width="15.109375" style="7351" customWidth="1"/>
    <col min="6115" max="6115" width="14.44140625" style="7351" customWidth="1"/>
    <col min="6116" max="6116" width="16.44140625" style="7351" customWidth="1"/>
    <col min="6117" max="6117" width="12.88671875" style="7351" bestFit="1" customWidth="1"/>
    <col min="6118" max="6366" width="9.109375" style="7351"/>
    <col min="6367" max="6367" width="3.88671875" style="7351" customWidth="1"/>
    <col min="6368" max="6368" width="40.109375" style="7351" customWidth="1"/>
    <col min="6369" max="6369" width="11.109375" style="7351" customWidth="1"/>
    <col min="6370" max="6370" width="15.109375" style="7351" customWidth="1"/>
    <col min="6371" max="6371" width="14.44140625" style="7351" customWidth="1"/>
    <col min="6372" max="6372" width="16.44140625" style="7351" customWidth="1"/>
    <col min="6373" max="6373" width="12.88671875" style="7351" bestFit="1" customWidth="1"/>
    <col min="6374" max="6622" width="9.109375" style="7351"/>
    <col min="6623" max="6623" width="3.88671875" style="7351" customWidth="1"/>
    <col min="6624" max="6624" width="40.109375" style="7351" customWidth="1"/>
    <col min="6625" max="6625" width="11.109375" style="7351" customWidth="1"/>
    <col min="6626" max="6626" width="15.109375" style="7351" customWidth="1"/>
    <col min="6627" max="6627" width="14.44140625" style="7351" customWidth="1"/>
    <col min="6628" max="6628" width="16.44140625" style="7351" customWidth="1"/>
    <col min="6629" max="6629" width="12.88671875" style="7351" bestFit="1" customWidth="1"/>
    <col min="6630" max="6878" width="9.109375" style="7351"/>
    <col min="6879" max="6879" width="3.88671875" style="7351" customWidth="1"/>
    <col min="6880" max="6880" width="40.109375" style="7351" customWidth="1"/>
    <col min="6881" max="6881" width="11.109375" style="7351" customWidth="1"/>
    <col min="6882" max="6882" width="15.109375" style="7351" customWidth="1"/>
    <col min="6883" max="6883" width="14.44140625" style="7351" customWidth="1"/>
    <col min="6884" max="6884" width="16.44140625" style="7351" customWidth="1"/>
    <col min="6885" max="6885" width="12.88671875" style="7351" bestFit="1" customWidth="1"/>
    <col min="6886" max="7134" width="9.109375" style="7351"/>
    <col min="7135" max="7135" width="3.88671875" style="7351" customWidth="1"/>
    <col min="7136" max="7136" width="40.109375" style="7351" customWidth="1"/>
    <col min="7137" max="7137" width="11.109375" style="7351" customWidth="1"/>
    <col min="7138" max="7138" width="15.109375" style="7351" customWidth="1"/>
    <col min="7139" max="7139" width="14.44140625" style="7351" customWidth="1"/>
    <col min="7140" max="7140" width="16.44140625" style="7351" customWidth="1"/>
    <col min="7141" max="7141" width="12.88671875" style="7351" bestFit="1" customWidth="1"/>
    <col min="7142" max="7390" width="9.109375" style="7351"/>
    <col min="7391" max="7391" width="3.88671875" style="7351" customWidth="1"/>
    <col min="7392" max="7392" width="40.109375" style="7351" customWidth="1"/>
    <col min="7393" max="7393" width="11.109375" style="7351" customWidth="1"/>
    <col min="7394" max="7394" width="15.109375" style="7351" customWidth="1"/>
    <col min="7395" max="7395" width="14.44140625" style="7351" customWidth="1"/>
    <col min="7396" max="7396" width="16.44140625" style="7351" customWidth="1"/>
    <col min="7397" max="7397" width="12.88671875" style="7351" bestFit="1" customWidth="1"/>
    <col min="7398" max="7646" width="9.109375" style="7351"/>
    <col min="7647" max="7647" width="3.88671875" style="7351" customWidth="1"/>
    <col min="7648" max="7648" width="40.109375" style="7351" customWidth="1"/>
    <col min="7649" max="7649" width="11.109375" style="7351" customWidth="1"/>
    <col min="7650" max="7650" width="15.109375" style="7351" customWidth="1"/>
    <col min="7651" max="7651" width="14.44140625" style="7351" customWidth="1"/>
    <col min="7652" max="7652" width="16.44140625" style="7351" customWidth="1"/>
    <col min="7653" max="7653" width="12.88671875" style="7351" bestFit="1" customWidth="1"/>
    <col min="7654" max="7902" width="9.109375" style="7351"/>
    <col min="7903" max="7903" width="3.88671875" style="7351" customWidth="1"/>
    <col min="7904" max="7904" width="40.109375" style="7351" customWidth="1"/>
    <col min="7905" max="7905" width="11.109375" style="7351" customWidth="1"/>
    <col min="7906" max="7906" width="15.109375" style="7351" customWidth="1"/>
    <col min="7907" max="7907" width="14.44140625" style="7351" customWidth="1"/>
    <col min="7908" max="7908" width="16.44140625" style="7351" customWidth="1"/>
    <col min="7909" max="7909" width="12.88671875" style="7351" bestFit="1" customWidth="1"/>
    <col min="7910" max="8158" width="9.109375" style="7351"/>
    <col min="8159" max="8159" width="3.88671875" style="7351" customWidth="1"/>
    <col min="8160" max="8160" width="40.109375" style="7351" customWidth="1"/>
    <col min="8161" max="8161" width="11.109375" style="7351" customWidth="1"/>
    <col min="8162" max="8162" width="15.109375" style="7351" customWidth="1"/>
    <col min="8163" max="8163" width="14.44140625" style="7351" customWidth="1"/>
    <col min="8164" max="8164" width="16.44140625" style="7351" customWidth="1"/>
    <col min="8165" max="8165" width="12.88671875" style="7351" bestFit="1" customWidth="1"/>
    <col min="8166" max="8414" width="9.109375" style="7351"/>
    <col min="8415" max="8415" width="3.88671875" style="7351" customWidth="1"/>
    <col min="8416" max="8416" width="40.109375" style="7351" customWidth="1"/>
    <col min="8417" max="8417" width="11.109375" style="7351" customWidth="1"/>
    <col min="8418" max="8418" width="15.109375" style="7351" customWidth="1"/>
    <col min="8419" max="8419" width="14.44140625" style="7351" customWidth="1"/>
    <col min="8420" max="8420" width="16.44140625" style="7351" customWidth="1"/>
    <col min="8421" max="8421" width="12.88671875" style="7351" bestFit="1" customWidth="1"/>
    <col min="8422" max="8670" width="9.109375" style="7351"/>
    <col min="8671" max="8671" width="3.88671875" style="7351" customWidth="1"/>
    <col min="8672" max="8672" width="40.109375" style="7351" customWidth="1"/>
    <col min="8673" max="8673" width="11.109375" style="7351" customWidth="1"/>
    <col min="8674" max="8674" width="15.109375" style="7351" customWidth="1"/>
    <col min="8675" max="8675" width="14.44140625" style="7351" customWidth="1"/>
    <col min="8676" max="8676" width="16.44140625" style="7351" customWidth="1"/>
    <col min="8677" max="8677" width="12.88671875" style="7351" bestFit="1" customWidth="1"/>
    <col min="8678" max="8926" width="9.109375" style="7351"/>
    <col min="8927" max="8927" width="3.88671875" style="7351" customWidth="1"/>
    <col min="8928" max="8928" width="40.109375" style="7351" customWidth="1"/>
    <col min="8929" max="8929" width="11.109375" style="7351" customWidth="1"/>
    <col min="8930" max="8930" width="15.109375" style="7351" customWidth="1"/>
    <col min="8931" max="8931" width="14.44140625" style="7351" customWidth="1"/>
    <col min="8932" max="8932" width="16.44140625" style="7351" customWidth="1"/>
    <col min="8933" max="8933" width="12.88671875" style="7351" bestFit="1" customWidth="1"/>
    <col min="8934" max="9182" width="9.109375" style="7351"/>
    <col min="9183" max="9183" width="3.88671875" style="7351" customWidth="1"/>
    <col min="9184" max="9184" width="40.109375" style="7351" customWidth="1"/>
    <col min="9185" max="9185" width="11.109375" style="7351" customWidth="1"/>
    <col min="9186" max="9186" width="15.109375" style="7351" customWidth="1"/>
    <col min="9187" max="9187" width="14.44140625" style="7351" customWidth="1"/>
    <col min="9188" max="9188" width="16.44140625" style="7351" customWidth="1"/>
    <col min="9189" max="9189" width="12.88671875" style="7351" bestFit="1" customWidth="1"/>
    <col min="9190" max="9438" width="9.109375" style="7351"/>
    <col min="9439" max="9439" width="3.88671875" style="7351" customWidth="1"/>
    <col min="9440" max="9440" width="40.109375" style="7351" customWidth="1"/>
    <col min="9441" max="9441" width="11.109375" style="7351" customWidth="1"/>
    <col min="9442" max="9442" width="15.109375" style="7351" customWidth="1"/>
    <col min="9443" max="9443" width="14.44140625" style="7351" customWidth="1"/>
    <col min="9444" max="9444" width="16.44140625" style="7351" customWidth="1"/>
    <col min="9445" max="9445" width="12.88671875" style="7351" bestFit="1" customWidth="1"/>
    <col min="9446" max="9694" width="9.109375" style="7351"/>
    <col min="9695" max="9695" width="3.88671875" style="7351" customWidth="1"/>
    <col min="9696" max="9696" width="40.109375" style="7351" customWidth="1"/>
    <col min="9697" max="9697" width="11.109375" style="7351" customWidth="1"/>
    <col min="9698" max="9698" width="15.109375" style="7351" customWidth="1"/>
    <col min="9699" max="9699" width="14.44140625" style="7351" customWidth="1"/>
    <col min="9700" max="9700" width="16.44140625" style="7351" customWidth="1"/>
    <col min="9701" max="9701" width="12.88671875" style="7351" bestFit="1" customWidth="1"/>
    <col min="9702" max="9950" width="9.109375" style="7351"/>
    <col min="9951" max="9951" width="3.88671875" style="7351" customWidth="1"/>
    <col min="9952" max="9952" width="40.109375" style="7351" customWidth="1"/>
    <col min="9953" max="9953" width="11.109375" style="7351" customWidth="1"/>
    <col min="9954" max="9954" width="15.109375" style="7351" customWidth="1"/>
    <col min="9955" max="9955" width="14.44140625" style="7351" customWidth="1"/>
    <col min="9956" max="9956" width="16.44140625" style="7351" customWidth="1"/>
    <col min="9957" max="9957" width="12.88671875" style="7351" bestFit="1" customWidth="1"/>
    <col min="9958" max="10206" width="9.109375" style="7351"/>
    <col min="10207" max="10207" width="3.88671875" style="7351" customWidth="1"/>
    <col min="10208" max="10208" width="40.109375" style="7351" customWidth="1"/>
    <col min="10209" max="10209" width="11.109375" style="7351" customWidth="1"/>
    <col min="10210" max="10210" width="15.109375" style="7351" customWidth="1"/>
    <col min="10211" max="10211" width="14.44140625" style="7351" customWidth="1"/>
    <col min="10212" max="10212" width="16.44140625" style="7351" customWidth="1"/>
    <col min="10213" max="10213" width="12.88671875" style="7351" bestFit="1" customWidth="1"/>
    <col min="10214" max="10462" width="9.109375" style="7351"/>
    <col min="10463" max="10463" width="3.88671875" style="7351" customWidth="1"/>
    <col min="10464" max="10464" width="40.109375" style="7351" customWidth="1"/>
    <col min="10465" max="10465" width="11.109375" style="7351" customWidth="1"/>
    <col min="10466" max="10466" width="15.109375" style="7351" customWidth="1"/>
    <col min="10467" max="10467" width="14.44140625" style="7351" customWidth="1"/>
    <col min="10468" max="10468" width="16.44140625" style="7351" customWidth="1"/>
    <col min="10469" max="10469" width="12.88671875" style="7351" bestFit="1" customWidth="1"/>
    <col min="10470" max="10718" width="9.109375" style="7351"/>
    <col min="10719" max="10719" width="3.88671875" style="7351" customWidth="1"/>
    <col min="10720" max="10720" width="40.109375" style="7351" customWidth="1"/>
    <col min="10721" max="10721" width="11.109375" style="7351" customWidth="1"/>
    <col min="10722" max="10722" width="15.109375" style="7351" customWidth="1"/>
    <col min="10723" max="10723" width="14.44140625" style="7351" customWidth="1"/>
    <col min="10724" max="10724" width="16.44140625" style="7351" customWidth="1"/>
    <col min="10725" max="10725" width="12.88671875" style="7351" bestFit="1" customWidth="1"/>
    <col min="10726" max="10974" width="9.109375" style="7351"/>
    <col min="10975" max="10975" width="3.88671875" style="7351" customWidth="1"/>
    <col min="10976" max="10976" width="40.109375" style="7351" customWidth="1"/>
    <col min="10977" max="10977" width="11.109375" style="7351" customWidth="1"/>
    <col min="10978" max="10978" width="15.109375" style="7351" customWidth="1"/>
    <col min="10979" max="10979" width="14.44140625" style="7351" customWidth="1"/>
    <col min="10980" max="10980" width="16.44140625" style="7351" customWidth="1"/>
    <col min="10981" max="10981" width="12.88671875" style="7351" bestFit="1" customWidth="1"/>
    <col min="10982" max="11230" width="9.109375" style="7351"/>
    <col min="11231" max="11231" width="3.88671875" style="7351" customWidth="1"/>
    <col min="11232" max="11232" width="40.109375" style="7351" customWidth="1"/>
    <col min="11233" max="11233" width="11.109375" style="7351" customWidth="1"/>
    <col min="11234" max="11234" width="15.109375" style="7351" customWidth="1"/>
    <col min="11235" max="11235" width="14.44140625" style="7351" customWidth="1"/>
    <col min="11236" max="11236" width="16.44140625" style="7351" customWidth="1"/>
    <col min="11237" max="11237" width="12.88671875" style="7351" bestFit="1" customWidth="1"/>
    <col min="11238" max="11486" width="9.109375" style="7351"/>
    <col min="11487" max="11487" width="3.88671875" style="7351" customWidth="1"/>
    <col min="11488" max="11488" width="40.109375" style="7351" customWidth="1"/>
    <col min="11489" max="11489" width="11.109375" style="7351" customWidth="1"/>
    <col min="11490" max="11490" width="15.109375" style="7351" customWidth="1"/>
    <col min="11491" max="11491" width="14.44140625" style="7351" customWidth="1"/>
    <col min="11492" max="11492" width="16.44140625" style="7351" customWidth="1"/>
    <col min="11493" max="11493" width="12.88671875" style="7351" bestFit="1" customWidth="1"/>
    <col min="11494" max="11742" width="9.109375" style="7351"/>
    <col min="11743" max="11743" width="3.88671875" style="7351" customWidth="1"/>
    <col min="11744" max="11744" width="40.109375" style="7351" customWidth="1"/>
    <col min="11745" max="11745" width="11.109375" style="7351" customWidth="1"/>
    <col min="11746" max="11746" width="15.109375" style="7351" customWidth="1"/>
    <col min="11747" max="11747" width="14.44140625" style="7351" customWidth="1"/>
    <col min="11748" max="11748" width="16.44140625" style="7351" customWidth="1"/>
    <col min="11749" max="11749" width="12.88671875" style="7351" bestFit="1" customWidth="1"/>
    <col min="11750" max="11998" width="9.109375" style="7351"/>
    <col min="11999" max="11999" width="3.88671875" style="7351" customWidth="1"/>
    <col min="12000" max="12000" width="40.109375" style="7351" customWidth="1"/>
    <col min="12001" max="12001" width="11.109375" style="7351" customWidth="1"/>
    <col min="12002" max="12002" width="15.109375" style="7351" customWidth="1"/>
    <col min="12003" max="12003" width="14.44140625" style="7351" customWidth="1"/>
    <col min="12004" max="12004" width="16.44140625" style="7351" customWidth="1"/>
    <col min="12005" max="12005" width="12.88671875" style="7351" bestFit="1" customWidth="1"/>
    <col min="12006" max="12254" width="9.109375" style="7351"/>
    <col min="12255" max="12255" width="3.88671875" style="7351" customWidth="1"/>
    <col min="12256" max="12256" width="40.109375" style="7351" customWidth="1"/>
    <col min="12257" max="12257" width="11.109375" style="7351" customWidth="1"/>
    <col min="12258" max="12258" width="15.109375" style="7351" customWidth="1"/>
    <col min="12259" max="12259" width="14.44140625" style="7351" customWidth="1"/>
    <col min="12260" max="12260" width="16.44140625" style="7351" customWidth="1"/>
    <col min="12261" max="12261" width="12.88671875" style="7351" bestFit="1" customWidth="1"/>
    <col min="12262" max="12510" width="9.109375" style="7351"/>
    <col min="12511" max="12511" width="3.88671875" style="7351" customWidth="1"/>
    <col min="12512" max="12512" width="40.109375" style="7351" customWidth="1"/>
    <col min="12513" max="12513" width="11.109375" style="7351" customWidth="1"/>
    <col min="12514" max="12514" width="15.109375" style="7351" customWidth="1"/>
    <col min="12515" max="12515" width="14.44140625" style="7351" customWidth="1"/>
    <col min="12516" max="12516" width="16.44140625" style="7351" customWidth="1"/>
    <col min="12517" max="12517" width="12.88671875" style="7351" bestFit="1" customWidth="1"/>
    <col min="12518" max="12766" width="9.109375" style="7351"/>
    <col min="12767" max="12767" width="3.88671875" style="7351" customWidth="1"/>
    <col min="12768" max="12768" width="40.109375" style="7351" customWidth="1"/>
    <col min="12769" max="12769" width="11.109375" style="7351" customWidth="1"/>
    <col min="12770" max="12770" width="15.109375" style="7351" customWidth="1"/>
    <col min="12771" max="12771" width="14.44140625" style="7351" customWidth="1"/>
    <col min="12772" max="12772" width="16.44140625" style="7351" customWidth="1"/>
    <col min="12773" max="12773" width="12.88671875" style="7351" bestFit="1" customWidth="1"/>
    <col min="12774" max="13022" width="9.109375" style="7351"/>
    <col min="13023" max="13023" width="3.88671875" style="7351" customWidth="1"/>
    <col min="13024" max="13024" width="40.109375" style="7351" customWidth="1"/>
    <col min="13025" max="13025" width="11.109375" style="7351" customWidth="1"/>
    <col min="13026" max="13026" width="15.109375" style="7351" customWidth="1"/>
    <col min="13027" max="13027" width="14.44140625" style="7351" customWidth="1"/>
    <col min="13028" max="13028" width="16.44140625" style="7351" customWidth="1"/>
    <col min="13029" max="13029" width="12.88671875" style="7351" bestFit="1" customWidth="1"/>
    <col min="13030" max="13278" width="9.109375" style="7351"/>
    <col min="13279" max="13279" width="3.88671875" style="7351" customWidth="1"/>
    <col min="13280" max="13280" width="40.109375" style="7351" customWidth="1"/>
    <col min="13281" max="13281" width="11.109375" style="7351" customWidth="1"/>
    <col min="13282" max="13282" width="15.109375" style="7351" customWidth="1"/>
    <col min="13283" max="13283" width="14.44140625" style="7351" customWidth="1"/>
    <col min="13284" max="13284" width="16.44140625" style="7351" customWidth="1"/>
    <col min="13285" max="13285" width="12.88671875" style="7351" bestFit="1" customWidth="1"/>
    <col min="13286" max="13534" width="9.109375" style="7351"/>
    <col min="13535" max="13535" width="3.88671875" style="7351" customWidth="1"/>
    <col min="13536" max="13536" width="40.109375" style="7351" customWidth="1"/>
    <col min="13537" max="13537" width="11.109375" style="7351" customWidth="1"/>
    <col min="13538" max="13538" width="15.109375" style="7351" customWidth="1"/>
    <col min="13539" max="13539" width="14.44140625" style="7351" customWidth="1"/>
    <col min="13540" max="13540" width="16.44140625" style="7351" customWidth="1"/>
    <col min="13541" max="13541" width="12.88671875" style="7351" bestFit="1" customWidth="1"/>
    <col min="13542" max="13790" width="9.109375" style="7351"/>
    <col min="13791" max="13791" width="3.88671875" style="7351" customWidth="1"/>
    <col min="13792" max="13792" width="40.109375" style="7351" customWidth="1"/>
    <col min="13793" max="13793" width="11.109375" style="7351" customWidth="1"/>
    <col min="13794" max="13794" width="15.109375" style="7351" customWidth="1"/>
    <col min="13795" max="13795" width="14.44140625" style="7351" customWidth="1"/>
    <col min="13796" max="13796" width="16.44140625" style="7351" customWidth="1"/>
    <col min="13797" max="13797" width="12.88671875" style="7351" bestFit="1" customWidth="1"/>
    <col min="13798" max="14046" width="9.109375" style="7351"/>
    <col min="14047" max="14047" width="3.88671875" style="7351" customWidth="1"/>
    <col min="14048" max="14048" width="40.109375" style="7351" customWidth="1"/>
    <col min="14049" max="14049" width="11.109375" style="7351" customWidth="1"/>
    <col min="14050" max="14050" width="15.109375" style="7351" customWidth="1"/>
    <col min="14051" max="14051" width="14.44140625" style="7351" customWidth="1"/>
    <col min="14052" max="14052" width="16.44140625" style="7351" customWidth="1"/>
    <col min="14053" max="14053" width="12.88671875" style="7351" bestFit="1" customWidth="1"/>
    <col min="14054" max="14302" width="9.109375" style="7351"/>
    <col min="14303" max="14303" width="3.88671875" style="7351" customWidth="1"/>
    <col min="14304" max="14304" width="40.109375" style="7351" customWidth="1"/>
    <col min="14305" max="14305" width="11.109375" style="7351" customWidth="1"/>
    <col min="14306" max="14306" width="15.109375" style="7351" customWidth="1"/>
    <col min="14307" max="14307" width="14.44140625" style="7351" customWidth="1"/>
    <col min="14308" max="14308" width="16.44140625" style="7351" customWidth="1"/>
    <col min="14309" max="14309" width="12.88671875" style="7351" bestFit="1" customWidth="1"/>
    <col min="14310" max="14558" width="9.109375" style="7351"/>
    <col min="14559" max="14559" width="3.88671875" style="7351" customWidth="1"/>
    <col min="14560" max="14560" width="40.109375" style="7351" customWidth="1"/>
    <col min="14561" max="14561" width="11.109375" style="7351" customWidth="1"/>
    <col min="14562" max="14562" width="15.109375" style="7351" customWidth="1"/>
    <col min="14563" max="14563" width="14.44140625" style="7351" customWidth="1"/>
    <col min="14564" max="14564" width="16.44140625" style="7351" customWidth="1"/>
    <col min="14565" max="14565" width="12.88671875" style="7351" bestFit="1" customWidth="1"/>
    <col min="14566" max="14814" width="9.109375" style="7351"/>
    <col min="14815" max="14815" width="3.88671875" style="7351" customWidth="1"/>
    <col min="14816" max="14816" width="40.109375" style="7351" customWidth="1"/>
    <col min="14817" max="14817" width="11.109375" style="7351" customWidth="1"/>
    <col min="14818" max="14818" width="15.109375" style="7351" customWidth="1"/>
    <col min="14819" max="14819" width="14.44140625" style="7351" customWidth="1"/>
    <col min="14820" max="14820" width="16.44140625" style="7351" customWidth="1"/>
    <col min="14821" max="14821" width="12.88671875" style="7351" bestFit="1" customWidth="1"/>
    <col min="14822" max="15070" width="9.109375" style="7351"/>
    <col min="15071" max="15071" width="3.88671875" style="7351" customWidth="1"/>
    <col min="15072" max="15072" width="40.109375" style="7351" customWidth="1"/>
    <col min="15073" max="15073" width="11.109375" style="7351" customWidth="1"/>
    <col min="15074" max="15074" width="15.109375" style="7351" customWidth="1"/>
    <col min="15075" max="15075" width="14.44140625" style="7351" customWidth="1"/>
    <col min="15076" max="15076" width="16.44140625" style="7351" customWidth="1"/>
    <col min="15077" max="15077" width="12.88671875" style="7351" bestFit="1" customWidth="1"/>
    <col min="15078" max="15326" width="9.109375" style="7351"/>
    <col min="15327" max="15327" width="3.88671875" style="7351" customWidth="1"/>
    <col min="15328" max="15328" width="40.109375" style="7351" customWidth="1"/>
    <col min="15329" max="15329" width="11.109375" style="7351" customWidth="1"/>
    <col min="15330" max="15330" width="15.109375" style="7351" customWidth="1"/>
    <col min="15331" max="15331" width="14.44140625" style="7351" customWidth="1"/>
    <col min="15332" max="15332" width="16.44140625" style="7351" customWidth="1"/>
    <col min="15333" max="15333" width="12.88671875" style="7351" bestFit="1" customWidth="1"/>
    <col min="15334" max="15582" width="9.109375" style="7351"/>
    <col min="15583" max="15583" width="3.88671875" style="7351" customWidth="1"/>
    <col min="15584" max="15584" width="40.109375" style="7351" customWidth="1"/>
    <col min="15585" max="15585" width="11.109375" style="7351" customWidth="1"/>
    <col min="15586" max="15586" width="15.109375" style="7351" customWidth="1"/>
    <col min="15587" max="15587" width="14.44140625" style="7351" customWidth="1"/>
    <col min="15588" max="15588" width="16.44140625" style="7351" customWidth="1"/>
    <col min="15589" max="15589" width="12.88671875" style="7351" bestFit="1" customWidth="1"/>
    <col min="15590" max="15838" width="9.109375" style="7351"/>
    <col min="15839" max="15839" width="3.88671875" style="7351" customWidth="1"/>
    <col min="15840" max="15840" width="40.109375" style="7351" customWidth="1"/>
    <col min="15841" max="15841" width="11.109375" style="7351" customWidth="1"/>
    <col min="15842" max="15842" width="15.109375" style="7351" customWidth="1"/>
    <col min="15843" max="15843" width="14.44140625" style="7351" customWidth="1"/>
    <col min="15844" max="15844" width="16.44140625" style="7351" customWidth="1"/>
    <col min="15845" max="15845" width="12.88671875" style="7351" bestFit="1" customWidth="1"/>
    <col min="15846" max="16094" width="9.109375" style="7351"/>
    <col min="16095" max="16095" width="3.88671875" style="7351" customWidth="1"/>
    <col min="16096" max="16096" width="40.109375" style="7351" customWidth="1"/>
    <col min="16097" max="16097" width="11.109375" style="7351" customWidth="1"/>
    <col min="16098" max="16098" width="15.109375" style="7351" customWidth="1"/>
    <col min="16099" max="16099" width="14.44140625" style="7351" customWidth="1"/>
    <col min="16100" max="16100" width="16.44140625" style="7351" customWidth="1"/>
    <col min="16101" max="16101" width="12.88671875" style="7351" bestFit="1" customWidth="1"/>
    <col min="16102" max="16384" width="9.109375" style="7351"/>
  </cols>
  <sheetData>
    <row r="1" spans="1:12" ht="15" customHeight="1">
      <c r="A1" s="14432" t="s">
        <v>1</v>
      </c>
      <c r="B1" s="14432"/>
      <c r="C1" s="14432"/>
      <c r="D1" s="14432"/>
      <c r="E1" s="14432"/>
      <c r="F1" s="14432"/>
      <c r="G1" s="14432"/>
      <c r="H1" s="14432"/>
      <c r="I1" s="14432"/>
      <c r="J1" s="14432"/>
    </row>
    <row r="2" spans="1:12" ht="15" customHeight="1">
      <c r="A2" s="7335"/>
      <c r="B2" s="7335"/>
      <c r="C2" s="10884"/>
      <c r="D2" s="7336"/>
      <c r="E2" s="7336"/>
      <c r="F2" s="7336"/>
      <c r="G2" s="7336"/>
      <c r="H2" s="7336"/>
      <c r="I2" s="7286"/>
      <c r="J2" s="7336"/>
    </row>
    <row r="3" spans="1:12" ht="15" customHeight="1">
      <c r="A3" s="7335" t="s">
        <v>10718</v>
      </c>
      <c r="B3" s="7341"/>
      <c r="C3" s="10885" t="s">
        <v>10719</v>
      </c>
      <c r="D3" s="9431"/>
      <c r="E3" s="9431"/>
      <c r="F3" s="9431"/>
      <c r="G3" s="9431"/>
      <c r="H3" s="9431"/>
      <c r="I3" s="7284"/>
      <c r="J3" s="9431"/>
    </row>
    <row r="4" spans="1:12" ht="15" customHeight="1">
      <c r="A4" s="7335" t="s">
        <v>10716</v>
      </c>
      <c r="B4" s="7335"/>
      <c r="C4" s="10884" t="s">
        <v>268</v>
      </c>
      <c r="D4" s="7336"/>
      <c r="E4" s="7336"/>
      <c r="F4" s="7336"/>
      <c r="G4" s="15262"/>
      <c r="H4" s="7336"/>
      <c r="I4" s="7286"/>
      <c r="J4" s="14775"/>
    </row>
    <row r="5" spans="1:12" ht="15" customHeight="1">
      <c r="A5" s="7352" t="s">
        <v>7</v>
      </c>
      <c r="B5" s="7352"/>
      <c r="C5" s="7356" t="s">
        <v>8</v>
      </c>
      <c r="D5" s="7354"/>
      <c r="E5" s="7354"/>
      <c r="F5" s="7354"/>
      <c r="G5" s="15262"/>
      <c r="H5" s="7354"/>
      <c r="I5" s="7290"/>
      <c r="J5" s="14775"/>
    </row>
    <row r="6" spans="1:12" s="7355" customFormat="1" ht="15" customHeight="1" thickBot="1">
      <c r="A6" s="7352"/>
      <c r="B6" s="7352"/>
      <c r="C6" s="7356"/>
      <c r="D6" s="7354"/>
      <c r="E6" s="7354"/>
      <c r="F6" s="7354"/>
      <c r="G6" s="7354"/>
      <c r="H6" s="7354"/>
      <c r="I6" s="7290"/>
      <c r="J6" s="7354"/>
      <c r="L6" s="8069"/>
    </row>
    <row r="7" spans="1:12" ht="15" customHeight="1">
      <c r="A7" s="11433"/>
      <c r="B7" s="11434"/>
      <c r="C7" s="11436" t="s">
        <v>9</v>
      </c>
      <c r="D7" s="9461" t="s">
        <v>10</v>
      </c>
      <c r="E7" s="14188" t="s">
        <v>10711</v>
      </c>
      <c r="F7" s="14189"/>
      <c r="G7" s="14190"/>
      <c r="H7" s="11851" t="s">
        <v>9985</v>
      </c>
      <c r="I7" s="8206"/>
      <c r="J7" s="11437" t="s">
        <v>12</v>
      </c>
    </row>
    <row r="8" spans="1:12" ht="15" customHeight="1">
      <c r="A8" s="11237"/>
      <c r="B8" s="7356" t="s">
        <v>13</v>
      </c>
      <c r="C8" s="14430" t="s">
        <v>14</v>
      </c>
      <c r="D8" s="11438" t="s">
        <v>15</v>
      </c>
      <c r="E8" s="9502" t="s">
        <v>10709</v>
      </c>
      <c r="F8" s="9503" t="s">
        <v>10710</v>
      </c>
      <c r="G8" s="14191" t="s">
        <v>458</v>
      </c>
      <c r="H8" s="7717" t="s">
        <v>11746</v>
      </c>
      <c r="I8" s="11085"/>
      <c r="J8" s="11439" t="s">
        <v>16</v>
      </c>
    </row>
    <row r="9" spans="1:12" ht="15" customHeight="1" thickBot="1">
      <c r="A9" s="11235"/>
      <c r="B9" s="7752"/>
      <c r="C9" s="14431"/>
      <c r="D9" s="7302">
        <v>2017</v>
      </c>
      <c r="E9" s="9467" t="s">
        <v>457</v>
      </c>
      <c r="F9" s="11661" t="s">
        <v>456</v>
      </c>
      <c r="G9" s="14192"/>
      <c r="H9" s="12522">
        <v>2018</v>
      </c>
      <c r="I9" s="7303"/>
      <c r="J9" s="11442">
        <v>2019</v>
      </c>
    </row>
    <row r="10" spans="1:12" ht="15" customHeight="1">
      <c r="A10" s="11241" t="s">
        <v>17</v>
      </c>
      <c r="B10" s="7352" t="s">
        <v>18</v>
      </c>
      <c r="C10" s="10387"/>
      <c r="D10" s="11252"/>
      <c r="E10" s="11252"/>
      <c r="F10" s="11252"/>
      <c r="G10" s="11252"/>
      <c r="H10" s="11252"/>
      <c r="I10" s="11163"/>
      <c r="J10" s="11269"/>
    </row>
    <row r="11" spans="1:12" ht="15" customHeight="1">
      <c r="A11" s="11237"/>
      <c r="B11" s="7352" t="s">
        <v>19</v>
      </c>
      <c r="C11" s="10387"/>
      <c r="D11" s="11252"/>
      <c r="E11" s="11252"/>
      <c r="F11" s="11252"/>
      <c r="G11" s="11252"/>
      <c r="H11" s="11252"/>
      <c r="I11" s="11163"/>
      <c r="J11" s="11269"/>
    </row>
    <row r="12" spans="1:12" ht="15" customHeight="1">
      <c r="A12" s="11237"/>
      <c r="B12" s="7287" t="s">
        <v>20</v>
      </c>
      <c r="C12" s="10136">
        <v>50101010</v>
      </c>
      <c r="D12" s="11443">
        <f>'WS-PS 2017'!B38</f>
        <v>5786749.4400000004</v>
      </c>
      <c r="E12" s="11443">
        <f>'WS-PS ACTUAL JUNE 2018'!B38</f>
        <v>3048735.06</v>
      </c>
      <c r="F12" s="11443">
        <f>G12-E12</f>
        <v>4270760.9399999995</v>
      </c>
      <c r="G12" s="11443">
        <v>7319496</v>
      </c>
      <c r="H12" s="11443"/>
      <c r="I12" s="11165"/>
      <c r="J12" s="11752">
        <f>K12</f>
        <v>9369876</v>
      </c>
      <c r="K12" s="7371">
        <f>'staffing-opswd'!F53</f>
        <v>9369876</v>
      </c>
      <c r="L12" s="7383">
        <f>'staffing-opswd'!B53</f>
        <v>37</v>
      </c>
    </row>
    <row r="13" spans="1:12" ht="15" customHeight="1">
      <c r="A13" s="11237"/>
      <c r="B13" s="7287" t="s">
        <v>21</v>
      </c>
      <c r="C13" s="10136">
        <v>50102010</v>
      </c>
      <c r="D13" s="11252">
        <f>'WS-PS 2017'!F38</f>
        <v>587545.47</v>
      </c>
      <c r="E13" s="11252">
        <f>'WS-PS ACTUAL JUNE 2018'!D38</f>
        <v>311409.14</v>
      </c>
      <c r="F13" s="11443">
        <f t="shared" ref="F13:F29" si="0">G13-E13</f>
        <v>384590.86</v>
      </c>
      <c r="G13" s="11252">
        <v>696000</v>
      </c>
      <c r="H13" s="11252"/>
      <c r="I13" s="11163"/>
      <c r="J13" s="11752">
        <f t="shared" ref="J13:J29" si="1">K13</f>
        <v>888000</v>
      </c>
      <c r="K13" s="7310">
        <f>24000*L12</f>
        <v>888000</v>
      </c>
    </row>
    <row r="14" spans="1:12" ht="15" customHeight="1">
      <c r="A14" s="11237"/>
      <c r="B14" s="7287" t="s">
        <v>104</v>
      </c>
      <c r="C14" s="10136">
        <v>50102020</v>
      </c>
      <c r="D14" s="11252">
        <f>'WS-PS 2017'!G38</f>
        <v>141375</v>
      </c>
      <c r="E14" s="11252">
        <f>'WS-PS ACTUAL JUNE 2018'!E38</f>
        <v>40375</v>
      </c>
      <c r="F14" s="11443">
        <f t="shared" si="0"/>
        <v>151625</v>
      </c>
      <c r="G14" s="11252">
        <v>192000</v>
      </c>
      <c r="H14" s="11252"/>
      <c r="I14" s="11163"/>
      <c r="J14" s="11752">
        <f t="shared" si="1"/>
        <v>192000</v>
      </c>
      <c r="K14" s="7310">
        <v>192000</v>
      </c>
    </row>
    <row r="15" spans="1:12" ht="15" customHeight="1">
      <c r="A15" s="11237"/>
      <c r="B15" s="7287" t="s">
        <v>105</v>
      </c>
      <c r="C15" s="10136">
        <v>50102030</v>
      </c>
      <c r="D15" s="11252">
        <f>'WS-PS 2017'!H38</f>
        <v>141375</v>
      </c>
      <c r="E15" s="11252">
        <f>'WS-PS ACTUAL JUNE 2018'!F38</f>
        <v>40375</v>
      </c>
      <c r="F15" s="11443">
        <f t="shared" si="0"/>
        <v>151625</v>
      </c>
      <c r="G15" s="11252">
        <v>192000</v>
      </c>
      <c r="H15" s="11252"/>
      <c r="I15" s="11163"/>
      <c r="J15" s="11752">
        <f t="shared" si="1"/>
        <v>192000</v>
      </c>
      <c r="K15" s="7310">
        <v>192000</v>
      </c>
    </row>
    <row r="16" spans="1:12" ht="15" customHeight="1">
      <c r="A16" s="11237"/>
      <c r="B16" s="7287" t="s">
        <v>22</v>
      </c>
      <c r="C16" s="10136">
        <v>50102040</v>
      </c>
      <c r="D16" s="11252">
        <f>'WS-PS 2017'!I38</f>
        <v>125000</v>
      </c>
      <c r="E16" s="11252">
        <f>'WS-PS ACTUAL JUNE 2018'!G38</f>
        <v>138000</v>
      </c>
      <c r="F16" s="11443">
        <f t="shared" si="0"/>
        <v>7000</v>
      </c>
      <c r="G16" s="11252">
        <v>145000</v>
      </c>
      <c r="H16" s="11252"/>
      <c r="I16" s="11163"/>
      <c r="J16" s="11752">
        <f t="shared" si="1"/>
        <v>222000</v>
      </c>
      <c r="K16" s="7310">
        <f>6000*L12</f>
        <v>222000</v>
      </c>
    </row>
    <row r="17" spans="1:11" ht="15" customHeight="1">
      <c r="A17" s="11237"/>
      <c r="B17" s="7488" t="s">
        <v>10932</v>
      </c>
      <c r="C17" s="10368">
        <v>50102080</v>
      </c>
      <c r="D17" s="11252">
        <f>'WS-PS 2017'!L38</f>
        <v>115000</v>
      </c>
      <c r="E17" s="11252">
        <f>'WS-PS ACTUAL JUNE 2018'!J38</f>
        <v>0</v>
      </c>
      <c r="F17" s="11443">
        <f t="shared" si="0"/>
        <v>145000</v>
      </c>
      <c r="G17" s="11252">
        <v>145000</v>
      </c>
      <c r="H17" s="11252"/>
      <c r="I17" s="11163"/>
      <c r="J17" s="11752">
        <f t="shared" si="1"/>
        <v>185000</v>
      </c>
      <c r="K17" s="7310">
        <f>5000*L12</f>
        <v>185000</v>
      </c>
    </row>
    <row r="18" spans="1:11" ht="15" customHeight="1">
      <c r="A18" s="11237"/>
      <c r="B18" s="7287" t="s">
        <v>95</v>
      </c>
      <c r="C18" s="11729">
        <v>50102110</v>
      </c>
      <c r="D18" s="11252">
        <f>'WS-PS 2017'!N38</f>
        <v>635916.31999999995</v>
      </c>
      <c r="E18" s="11252">
        <f>'WS-PS ACTUAL JUNE 2018'!L38</f>
        <v>331407.83</v>
      </c>
      <c r="F18" s="11443">
        <f t="shared" si="0"/>
        <v>358592.17</v>
      </c>
      <c r="G18" s="11252">
        <v>690000</v>
      </c>
      <c r="H18" s="11252"/>
      <c r="I18" s="11163"/>
      <c r="J18" s="11752">
        <f>K18</f>
        <v>2176449</v>
      </c>
      <c r="K18" s="7371">
        <f>25%*(K12-664080)</f>
        <v>2176449</v>
      </c>
    </row>
    <row r="19" spans="1:11" ht="15" customHeight="1">
      <c r="A19" s="11237"/>
      <c r="B19" s="7488" t="s">
        <v>10934</v>
      </c>
      <c r="C19" s="8872">
        <v>50102120</v>
      </c>
      <c r="D19" s="11252">
        <f>'WS-PS 2017'!O38</f>
        <v>40000</v>
      </c>
      <c r="E19" s="11252">
        <f>'WS-PS ACTUAL JUNE 2018'!M38</f>
        <v>5000</v>
      </c>
      <c r="F19" s="11443">
        <f>G19-E19</f>
        <v>10000</v>
      </c>
      <c r="G19" s="11252">
        <v>15000</v>
      </c>
      <c r="H19" s="11252"/>
      <c r="I19" s="11163"/>
      <c r="J19" s="11752">
        <f t="shared" si="1"/>
        <v>5000</v>
      </c>
      <c r="K19" s="7310">
        <v>5000</v>
      </c>
    </row>
    <row r="20" spans="1:11" ht="15" customHeight="1">
      <c r="A20" s="11237"/>
      <c r="B20" s="7287" t="s">
        <v>141</v>
      </c>
      <c r="C20" s="10136">
        <v>50102130</v>
      </c>
      <c r="D20" s="11252"/>
      <c r="E20" s="11252">
        <f>'WS-PS ACTUAL JUNE 2018'!N38</f>
        <v>2194.91</v>
      </c>
      <c r="F20" s="11443">
        <f t="shared" si="0"/>
        <v>117805.09</v>
      </c>
      <c r="G20" s="11252">
        <v>120000</v>
      </c>
      <c r="H20" s="11252"/>
      <c r="I20" s="11163"/>
      <c r="J20" s="11752">
        <f>K20</f>
        <v>170000</v>
      </c>
      <c r="K20" s="7310">
        <v>170000</v>
      </c>
    </row>
    <row r="21" spans="1:11" ht="15" customHeight="1">
      <c r="A21" s="11237"/>
      <c r="B21" s="7488" t="s">
        <v>10933</v>
      </c>
      <c r="C21" s="8872">
        <v>50102140</v>
      </c>
      <c r="D21" s="11443">
        <f>'WS-PS 2017'!U38+'WS-PS 2017'!S38</f>
        <v>995105.8</v>
      </c>
      <c r="E21" s="11443">
        <f>'WS-PS ACTUAL JUNE 2018'!O38</f>
        <v>443901</v>
      </c>
      <c r="F21" s="11443">
        <f t="shared" si="0"/>
        <v>776015</v>
      </c>
      <c r="G21" s="11443">
        <v>1219916</v>
      </c>
      <c r="H21" s="11443"/>
      <c r="I21" s="11165"/>
      <c r="J21" s="11752">
        <f t="shared" si="1"/>
        <v>1561646</v>
      </c>
      <c r="K21" s="7310">
        <f>SUM(K11:K12)/12*2</f>
        <v>1561646</v>
      </c>
    </row>
    <row r="22" spans="1:11" ht="15" customHeight="1">
      <c r="A22" s="11237"/>
      <c r="B22" s="7287" t="s">
        <v>26</v>
      </c>
      <c r="C22" s="11729">
        <v>50102150</v>
      </c>
      <c r="D22" s="11252">
        <f>'WS-PS 2017'!T38</f>
        <v>119000</v>
      </c>
      <c r="E22" s="11252">
        <f>'WS-PS ACTUAL JUNE 2018'!Q38</f>
        <v>0</v>
      </c>
      <c r="F22" s="11443">
        <f>G22-E22</f>
        <v>145000</v>
      </c>
      <c r="G22" s="11252">
        <v>145000</v>
      </c>
      <c r="H22" s="11252"/>
      <c r="I22" s="11163"/>
      <c r="J22" s="11752">
        <f t="shared" si="1"/>
        <v>185000</v>
      </c>
      <c r="K22" s="7371">
        <f>K17</f>
        <v>185000</v>
      </c>
    </row>
    <row r="23" spans="1:11" ht="15" customHeight="1">
      <c r="A23" s="11237"/>
      <c r="B23" s="7488" t="s">
        <v>11497</v>
      </c>
      <c r="C23" s="11257">
        <v>50102990</v>
      </c>
      <c r="D23" s="11252">
        <v>0</v>
      </c>
      <c r="E23" s="11252">
        <f>'WS-PS ACTUAL JUNE 2018'!R38</f>
        <v>0</v>
      </c>
      <c r="F23" s="11443">
        <f>G23-E23</f>
        <v>350725.85</v>
      </c>
      <c r="G23" s="11252">
        <v>350725.85</v>
      </c>
      <c r="H23" s="11252"/>
      <c r="I23" s="11163"/>
      <c r="J23" s="11752">
        <v>0</v>
      </c>
      <c r="K23" s="7310">
        <f>K12/12*0.575</f>
        <v>448973.22499999998</v>
      </c>
    </row>
    <row r="24" spans="1:11" ht="15" customHeight="1">
      <c r="A24" s="11237"/>
      <c r="B24" s="7803" t="s">
        <v>11499</v>
      </c>
      <c r="C24" s="11059" t="s">
        <v>11495</v>
      </c>
      <c r="D24" s="11252">
        <f>'WS-PS 2017'!Q38</f>
        <v>0</v>
      </c>
      <c r="E24" s="11252">
        <f>'WS-PS ACTUAL JUNE 2018'!S38</f>
        <v>0</v>
      </c>
      <c r="F24" s="11443">
        <f>G24-E24</f>
        <v>0</v>
      </c>
      <c r="G24" s="11252">
        <v>0</v>
      </c>
      <c r="H24" s="11252"/>
      <c r="I24" s="11163"/>
      <c r="J24" s="11752">
        <f t="shared" si="1"/>
        <v>111000</v>
      </c>
      <c r="K24" s="7310">
        <f>3000*L12</f>
        <v>111000</v>
      </c>
    </row>
    <row r="25" spans="1:11" ht="15" customHeight="1">
      <c r="A25" s="11237"/>
      <c r="B25" s="11518" t="s">
        <v>59</v>
      </c>
      <c r="C25" s="8872">
        <v>50103010</v>
      </c>
      <c r="D25" s="11252">
        <f>'WS-PS 2017'!V38</f>
        <v>694409.92</v>
      </c>
      <c r="E25" s="11252">
        <f>'WS-PS ACTUAL JUNE 2018'!T38</f>
        <v>365848.18</v>
      </c>
      <c r="F25" s="11443">
        <f t="shared" si="0"/>
        <v>512491.82</v>
      </c>
      <c r="G25" s="11252">
        <v>878340</v>
      </c>
      <c r="H25" s="11252"/>
      <c r="I25" s="11163"/>
      <c r="J25" s="11752">
        <f t="shared" si="1"/>
        <v>1124385.1199999999</v>
      </c>
      <c r="K25" s="11720">
        <f>SUM(K11:K12)*12%</f>
        <v>1124385.1199999999</v>
      </c>
    </row>
    <row r="26" spans="1:11" ht="15" customHeight="1">
      <c r="A26" s="11237"/>
      <c r="B26" s="7803" t="s">
        <v>28</v>
      </c>
      <c r="C26" s="8872">
        <v>50103020</v>
      </c>
      <c r="D26" s="11252">
        <f>'WS-PS 2017'!W38</f>
        <v>29400</v>
      </c>
      <c r="E26" s="11252">
        <f>'WS-PS ACTUAL JUNE 2018'!U38</f>
        <v>15600</v>
      </c>
      <c r="F26" s="11443">
        <f t="shared" si="0"/>
        <v>19200</v>
      </c>
      <c r="G26" s="11252">
        <v>34800</v>
      </c>
      <c r="H26" s="11252"/>
      <c r="I26" s="11163"/>
      <c r="J26" s="11752">
        <f t="shared" si="1"/>
        <v>44400</v>
      </c>
      <c r="K26" s="7310">
        <f>1200*L12</f>
        <v>44400</v>
      </c>
    </row>
    <row r="27" spans="1:11" ht="15" customHeight="1">
      <c r="A27" s="11237"/>
      <c r="B27" s="7803" t="s">
        <v>29</v>
      </c>
      <c r="C27" s="8872">
        <v>50103030</v>
      </c>
      <c r="D27" s="11252">
        <f>'WS-PS 2017'!X38</f>
        <v>59575</v>
      </c>
      <c r="E27" s="11252">
        <f>'WS-PS ACTUAL JUNE 2018'!V38</f>
        <v>37574.93</v>
      </c>
      <c r="F27" s="11443">
        <f t="shared" si="0"/>
        <v>32025.07</v>
      </c>
      <c r="G27" s="11252">
        <v>69600</v>
      </c>
      <c r="H27" s="11252"/>
      <c r="I27" s="11163"/>
      <c r="J27" s="11752">
        <v>106643.79000000004</v>
      </c>
      <c r="K27" s="7310">
        <f>3600*L12</f>
        <v>133200</v>
      </c>
    </row>
    <row r="28" spans="1:11" ht="15" customHeight="1">
      <c r="A28" s="11237"/>
      <c r="B28" s="7803" t="s">
        <v>30</v>
      </c>
      <c r="C28" s="8872">
        <v>50103040</v>
      </c>
      <c r="D28" s="11252">
        <f>'WS-PS 2017'!Y38</f>
        <v>29398.86</v>
      </c>
      <c r="E28" s="11252">
        <f>'WS-PS ACTUAL JUNE 2018'!W38</f>
        <v>15600</v>
      </c>
      <c r="F28" s="11443">
        <f t="shared" si="0"/>
        <v>19200</v>
      </c>
      <c r="G28" s="11252">
        <v>34800</v>
      </c>
      <c r="H28" s="11252"/>
      <c r="I28" s="11163"/>
      <c r="J28" s="11752">
        <f t="shared" si="1"/>
        <v>44400</v>
      </c>
      <c r="K28" s="7310">
        <f>K26</f>
        <v>44400</v>
      </c>
    </row>
    <row r="29" spans="1:11" ht="15" customHeight="1">
      <c r="A29" s="11237"/>
      <c r="B29" s="7488" t="s">
        <v>5025</v>
      </c>
      <c r="C29" s="11258">
        <v>50104990</v>
      </c>
      <c r="D29" s="11252">
        <f>'WS-PS 2017'!Z38</f>
        <v>590000</v>
      </c>
      <c r="E29" s="11252"/>
      <c r="F29" s="11443">
        <f t="shared" si="0"/>
        <v>0</v>
      </c>
      <c r="G29" s="11252">
        <v>0</v>
      </c>
      <c r="H29" s="11252"/>
      <c r="I29" s="11163"/>
      <c r="J29" s="11752">
        <f t="shared" si="1"/>
        <v>0</v>
      </c>
    </row>
    <row r="30" spans="1:11" ht="15" customHeight="1" thickBot="1">
      <c r="A30" s="11237"/>
      <c r="B30" s="7352"/>
      <c r="C30" s="10387"/>
      <c r="D30" s="11252"/>
      <c r="E30" s="11252"/>
      <c r="F30" s="11252"/>
      <c r="G30" s="11252"/>
      <c r="H30" s="11252"/>
      <c r="I30" s="11163"/>
      <c r="J30" s="11269"/>
    </row>
    <row r="31" spans="1:11" ht="15" customHeight="1" thickBot="1">
      <c r="A31" s="11235"/>
      <c r="B31" s="7391" t="s">
        <v>37</v>
      </c>
      <c r="C31" s="11261"/>
      <c r="D31" s="11873">
        <f>SUM(D11:D30)</f>
        <v>10089850.810000001</v>
      </c>
      <c r="E31" s="11873">
        <f>SUM(E11:E30)</f>
        <v>4796021.05</v>
      </c>
      <c r="F31" s="11873">
        <f>SUM(F11:F30)</f>
        <v>7451656.7999999998</v>
      </c>
      <c r="G31" s="7506">
        <f>SUM(G11:G30)</f>
        <v>12247677.85</v>
      </c>
      <c r="H31" s="7506"/>
      <c r="I31" s="7507"/>
      <c r="J31" s="12523">
        <f>SUM(J11:J30)</f>
        <v>16577799.91</v>
      </c>
      <c r="K31" s="11748">
        <f>SUM(K12:K30)</f>
        <v>17053329.344999999</v>
      </c>
    </row>
    <row r="32" spans="1:11" ht="15" customHeight="1">
      <c r="A32" s="7385"/>
      <c r="B32" s="7386"/>
      <c r="C32" s="7387"/>
      <c r="D32" s="7388"/>
      <c r="E32" s="7388"/>
      <c r="F32" s="7388"/>
      <c r="G32" s="7388"/>
      <c r="H32" s="7388"/>
      <c r="I32" s="7389"/>
      <c r="J32" s="7388"/>
    </row>
    <row r="33" spans="1:12" ht="15" customHeight="1">
      <c r="A33" s="7352"/>
      <c r="B33" s="7361"/>
      <c r="C33" s="7353"/>
      <c r="D33" s="7364"/>
      <c r="E33" s="7364"/>
      <c r="F33" s="7364"/>
      <c r="G33" s="7364"/>
      <c r="H33" s="7364"/>
      <c r="I33" s="7350"/>
      <c r="J33" s="7364"/>
    </row>
    <row r="34" spans="1:12" ht="15" customHeight="1">
      <c r="A34" s="7352"/>
      <c r="B34" s="7361"/>
      <c r="C34" s="7353"/>
      <c r="D34" s="7364"/>
      <c r="E34" s="7364"/>
      <c r="F34" s="7364"/>
      <c r="G34" s="7364"/>
      <c r="H34" s="7364"/>
      <c r="I34" s="7350"/>
      <c r="J34" s="7364"/>
    </row>
    <row r="35" spans="1:12" ht="15" customHeight="1">
      <c r="A35" s="7352"/>
      <c r="B35" s="7361"/>
      <c r="C35" s="7353"/>
      <c r="D35" s="7364"/>
      <c r="E35" s="7364"/>
      <c r="F35" s="7364"/>
      <c r="G35" s="7364"/>
      <c r="H35" s="7364"/>
      <c r="I35" s="7350"/>
      <c r="J35" s="7364"/>
    </row>
    <row r="36" spans="1:12" ht="15" customHeight="1">
      <c r="A36" s="7352"/>
      <c r="B36" s="7361"/>
      <c r="C36" s="7353"/>
      <c r="D36" s="7364"/>
      <c r="E36" s="7364"/>
      <c r="F36" s="7364"/>
      <c r="G36" s="7364"/>
      <c r="H36" s="7364"/>
      <c r="I36" s="7350"/>
      <c r="J36" s="7364"/>
    </row>
    <row r="37" spans="1:12" ht="15" customHeight="1">
      <c r="A37" s="7352"/>
      <c r="B37" s="7361"/>
      <c r="C37" s="7353"/>
      <c r="D37" s="7364"/>
      <c r="E37" s="7364"/>
      <c r="F37" s="7364"/>
      <c r="G37" s="7364"/>
      <c r="H37" s="7364"/>
      <c r="I37" s="7350"/>
      <c r="J37" s="7364"/>
    </row>
    <row r="38" spans="1:12" ht="15" customHeight="1">
      <c r="A38" s="7352"/>
      <c r="B38" s="7361"/>
      <c r="C38" s="7353"/>
      <c r="D38" s="7364"/>
      <c r="E38" s="7364"/>
      <c r="F38" s="7364"/>
      <c r="G38" s="7364"/>
      <c r="H38" s="7364"/>
      <c r="I38" s="7350"/>
      <c r="J38" s="7364"/>
    </row>
    <row r="39" spans="1:12" s="7355" customFormat="1" ht="15" customHeight="1" thickBot="1">
      <c r="A39" s="7390" t="s">
        <v>323</v>
      </c>
      <c r="B39" s="7391"/>
      <c r="C39" s="7392"/>
      <c r="D39" s="7393"/>
      <c r="E39" s="7393"/>
      <c r="F39" s="7393"/>
      <c r="G39" s="7393"/>
      <c r="H39" s="7393"/>
      <c r="I39" s="7394"/>
      <c r="J39" s="7393"/>
      <c r="L39" s="8069"/>
    </row>
    <row r="40" spans="1:12" ht="15" customHeight="1">
      <c r="A40" s="11433"/>
      <c r="B40" s="11434"/>
      <c r="C40" s="11436" t="s">
        <v>9</v>
      </c>
      <c r="D40" s="11769" t="s">
        <v>10</v>
      </c>
      <c r="E40" s="14188" t="s">
        <v>10711</v>
      </c>
      <c r="F40" s="14189"/>
      <c r="G40" s="14190"/>
      <c r="H40" s="11769"/>
      <c r="I40" s="12524"/>
      <c r="J40" s="12018" t="s">
        <v>12</v>
      </c>
    </row>
    <row r="41" spans="1:12" ht="15" customHeight="1">
      <c r="A41" s="11237"/>
      <c r="B41" s="7356" t="s">
        <v>13</v>
      </c>
      <c r="C41" s="14430" t="s">
        <v>14</v>
      </c>
      <c r="D41" s="11770" t="s">
        <v>15</v>
      </c>
      <c r="E41" s="9502" t="s">
        <v>10709</v>
      </c>
      <c r="F41" s="9503" t="s">
        <v>10710</v>
      </c>
      <c r="G41" s="14191" t="s">
        <v>458</v>
      </c>
      <c r="H41" s="11770"/>
      <c r="I41" s="12024"/>
      <c r="J41" s="12021" t="s">
        <v>16</v>
      </c>
    </row>
    <row r="42" spans="1:12" ht="15" customHeight="1" thickBot="1">
      <c r="A42" s="11235"/>
      <c r="B42" s="7752"/>
      <c r="C42" s="14431"/>
      <c r="D42" s="7496">
        <v>2017</v>
      </c>
      <c r="E42" s="9467" t="s">
        <v>457</v>
      </c>
      <c r="F42" s="11661" t="s">
        <v>456</v>
      </c>
      <c r="G42" s="14192"/>
      <c r="H42" s="7496"/>
      <c r="I42" s="7497"/>
      <c r="J42" s="12022">
        <v>2019</v>
      </c>
    </row>
    <row r="43" spans="1:12" ht="15" customHeight="1">
      <c r="A43" s="11241"/>
      <c r="B43" s="7352" t="s">
        <v>38</v>
      </c>
      <c r="C43" s="10387"/>
      <c r="D43" s="11252"/>
      <c r="E43" s="11252"/>
      <c r="F43" s="11252"/>
      <c r="G43" s="11252"/>
      <c r="H43" s="11252"/>
      <c r="I43" s="11163"/>
      <c r="J43" s="11269"/>
    </row>
    <row r="44" spans="1:12" ht="15" customHeight="1">
      <c r="A44" s="11237"/>
      <c r="B44" s="7287" t="s">
        <v>39</v>
      </c>
      <c r="C44" s="10136">
        <v>50201010</v>
      </c>
      <c r="D44" s="11252">
        <f>'WS-MOOE 2017'!B38</f>
        <v>191510.5</v>
      </c>
      <c r="E44" s="11252">
        <f>'WS-MOOE ACTUAL JUNE 2018'!B39</f>
        <v>55614</v>
      </c>
      <c r="F44" s="11443">
        <f t="shared" ref="F44:F67" si="2">G44-E44</f>
        <v>174386</v>
      </c>
      <c r="G44" s="11252">
        <v>230000</v>
      </c>
      <c r="H44" s="11252">
        <v>134856</v>
      </c>
      <c r="I44" s="11163">
        <f>H44/G44</f>
        <v>0.58633043478260871</v>
      </c>
      <c r="J44" s="11269">
        <v>280000</v>
      </c>
    </row>
    <row r="45" spans="1:12" ht="15" customHeight="1">
      <c r="A45" s="11237"/>
      <c r="B45" s="7287" t="s">
        <v>41</v>
      </c>
      <c r="C45" s="10136">
        <v>50202010</v>
      </c>
      <c r="D45" s="11252">
        <f>'WS-MOOE 2017'!H38</f>
        <v>189156</v>
      </c>
      <c r="E45" s="11252">
        <f>'WS-MOOE ACTUAL JUNE 2018'!G39</f>
        <v>7500</v>
      </c>
      <c r="F45" s="11443">
        <f t="shared" si="2"/>
        <v>592500</v>
      </c>
      <c r="G45" s="11252">
        <v>600000</v>
      </c>
      <c r="H45" s="11252">
        <v>135680</v>
      </c>
      <c r="I45" s="11163">
        <f t="shared" ref="I45:I65" si="3">H45/G45</f>
        <v>0.22613333333333333</v>
      </c>
      <c r="J45" s="11269">
        <v>650000</v>
      </c>
    </row>
    <row r="46" spans="1:12" ht="15" customHeight="1">
      <c r="A46" s="11237"/>
      <c r="B46" s="7287" t="s">
        <v>42</v>
      </c>
      <c r="C46" s="10136">
        <v>50203010</v>
      </c>
      <c r="D46" s="11252">
        <f>'WS-MOOE 2017'!J38</f>
        <v>178843</v>
      </c>
      <c r="E46" s="11252">
        <f>'WS-MOOE ACTUAL JUNE 2018'!H39</f>
        <v>18361.45</v>
      </c>
      <c r="F46" s="11443">
        <f t="shared" si="2"/>
        <v>301638.55</v>
      </c>
      <c r="G46" s="11252">
        <v>320000</v>
      </c>
      <c r="H46" s="11252">
        <v>263800.7</v>
      </c>
      <c r="I46" s="11163">
        <f t="shared" si="3"/>
        <v>0.8243771875</v>
      </c>
      <c r="J46" s="11269">
        <v>350000</v>
      </c>
    </row>
    <row r="47" spans="1:12" ht="15" customHeight="1">
      <c r="A47" s="11237"/>
      <c r="B47" s="7287" t="s">
        <v>44</v>
      </c>
      <c r="C47" s="10136">
        <v>50203090</v>
      </c>
      <c r="D47" s="11252">
        <f>'WS-MOOE 2017'!R38</f>
        <v>91992</v>
      </c>
      <c r="E47" s="11252">
        <f>'WS-MOOE ACTUAL JUNE 2018'!O39</f>
        <v>0</v>
      </c>
      <c r="F47" s="11443">
        <f t="shared" si="2"/>
        <v>140000</v>
      </c>
      <c r="G47" s="11252">
        <v>140000</v>
      </c>
      <c r="H47" s="11252">
        <v>0</v>
      </c>
      <c r="I47" s="11163">
        <f t="shared" si="3"/>
        <v>0</v>
      </c>
      <c r="J47" s="11269">
        <v>165000</v>
      </c>
    </row>
    <row r="48" spans="1:12" ht="15" customHeight="1">
      <c r="A48" s="11237"/>
      <c r="B48" s="7287" t="s">
        <v>45</v>
      </c>
      <c r="C48" s="10136">
        <v>50204010</v>
      </c>
      <c r="D48" s="11252">
        <f>'WS-MOOE 2017'!W38</f>
        <v>40309.1</v>
      </c>
      <c r="E48" s="11252">
        <f>'WS-MOOE ACTUAL JUNE 2018'!R39</f>
        <v>28615.8</v>
      </c>
      <c r="F48" s="11443">
        <f t="shared" si="2"/>
        <v>26384.2</v>
      </c>
      <c r="G48" s="11252">
        <v>55000</v>
      </c>
      <c r="H48" s="11252">
        <v>37201.800000000003</v>
      </c>
      <c r="I48" s="11163">
        <f t="shared" si="3"/>
        <v>0.67639636363636368</v>
      </c>
      <c r="J48" s="11268">
        <v>0</v>
      </c>
      <c r="K48" s="7487">
        <v>65000</v>
      </c>
    </row>
    <row r="49" spans="1:11" ht="15" customHeight="1">
      <c r="A49" s="11237"/>
      <c r="B49" s="7287" t="s">
        <v>46</v>
      </c>
      <c r="C49" s="10136">
        <v>50204020</v>
      </c>
      <c r="D49" s="11252">
        <f>'WS-MOOE 2017'!X38</f>
        <v>122578.3</v>
      </c>
      <c r="E49" s="11252">
        <f>'WS-MOOE ACTUAL JUNE 2018'!S39</f>
        <v>56562.31</v>
      </c>
      <c r="F49" s="11443">
        <f t="shared" si="2"/>
        <v>123437.69</v>
      </c>
      <c r="G49" s="11252">
        <v>180000</v>
      </c>
      <c r="H49" s="11252">
        <v>83302.59</v>
      </c>
      <c r="I49" s="11163">
        <f t="shared" si="3"/>
        <v>0.46279216666666667</v>
      </c>
      <c r="J49" s="11268">
        <v>0</v>
      </c>
      <c r="K49" s="7487">
        <v>190000</v>
      </c>
    </row>
    <row r="50" spans="1:11" ht="15" customHeight="1">
      <c r="A50" s="11237"/>
      <c r="B50" s="7287" t="s">
        <v>62</v>
      </c>
      <c r="C50" s="10136">
        <v>50205010</v>
      </c>
      <c r="D50" s="11252">
        <f>'WS-MOOE 2017'!Z38</f>
        <v>2217.64</v>
      </c>
      <c r="E50" s="11252">
        <f>'WS-MOOE ACTUAL JUNE 2018'!U39</f>
        <v>1320</v>
      </c>
      <c r="F50" s="11443">
        <f t="shared" si="2"/>
        <v>8680</v>
      </c>
      <c r="G50" s="11252">
        <v>10000</v>
      </c>
      <c r="H50" s="11252">
        <v>1320</v>
      </c>
      <c r="I50" s="11163">
        <f t="shared" si="3"/>
        <v>0.13200000000000001</v>
      </c>
      <c r="J50" s="11269">
        <v>10000</v>
      </c>
    </row>
    <row r="51" spans="1:11" ht="15" customHeight="1">
      <c r="A51" s="11237"/>
      <c r="B51" s="7536" t="s">
        <v>155</v>
      </c>
      <c r="C51" s="10136">
        <v>50205020</v>
      </c>
      <c r="D51" s="11252">
        <f>'WS-MOOE 2017'!AA38+'WS-MOOE 2017'!AC38</f>
        <v>68046.28</v>
      </c>
      <c r="E51" s="11252">
        <f>'WS-MOOE ACTUAL JUNE 2018'!V39</f>
        <v>37588.53</v>
      </c>
      <c r="F51" s="11443">
        <f t="shared" si="2"/>
        <v>44411.47</v>
      </c>
      <c r="G51" s="11252">
        <v>82000</v>
      </c>
      <c r="H51" s="11252">
        <v>55244.53</v>
      </c>
      <c r="I51" s="11163">
        <f t="shared" si="3"/>
        <v>0.67371378048780484</v>
      </c>
      <c r="J51" s="11269">
        <v>90000</v>
      </c>
    </row>
    <row r="52" spans="1:11" ht="15" hidden="1" customHeight="1">
      <c r="A52" s="11237"/>
      <c r="B52" s="7287" t="s">
        <v>89</v>
      </c>
      <c r="C52" s="10136"/>
      <c r="D52" s="11252"/>
      <c r="E52" s="11252"/>
      <c r="F52" s="11443">
        <f t="shared" si="2"/>
        <v>0</v>
      </c>
      <c r="G52" s="11252"/>
      <c r="H52" s="11252">
        <v>0</v>
      </c>
      <c r="I52" s="11163" t="s">
        <v>9</v>
      </c>
      <c r="J52" s="11269"/>
    </row>
    <row r="53" spans="1:11" ht="15" customHeight="1">
      <c r="A53" s="11237"/>
      <c r="B53" s="7803" t="s">
        <v>10973</v>
      </c>
      <c r="C53" s="11596">
        <v>50205030</v>
      </c>
      <c r="D53" s="11252">
        <f>'WS-MOOE 2017'!AE38</f>
        <v>31447.39</v>
      </c>
      <c r="E53" s="11252">
        <f>'WS-MOOE ACTUAL JUNE 2018'!Z39</f>
        <v>8921.2000000000007</v>
      </c>
      <c r="F53" s="11443">
        <f t="shared" si="2"/>
        <v>36078.800000000003</v>
      </c>
      <c r="G53" s="11252">
        <v>45000</v>
      </c>
      <c r="H53" s="11252">
        <v>11916.2</v>
      </c>
      <c r="I53" s="11163">
        <f t="shared" si="3"/>
        <v>0.26480444444444445</v>
      </c>
      <c r="J53" s="11269">
        <v>50000</v>
      </c>
    </row>
    <row r="54" spans="1:11" ht="15" customHeight="1">
      <c r="A54" s="11237"/>
      <c r="B54" s="7488" t="s">
        <v>10955</v>
      </c>
      <c r="C54" s="11258">
        <v>50211990</v>
      </c>
      <c r="D54" s="11252">
        <f>'WS-MOOE 2017'!AL38</f>
        <v>320034.03999999998</v>
      </c>
      <c r="E54" s="11252">
        <f>'WS-MOOE ACTUAL JUNE 2018'!AF39</f>
        <v>131277.45000000001</v>
      </c>
      <c r="F54" s="11443">
        <f>G54-E54</f>
        <v>348722.55</v>
      </c>
      <c r="G54" s="11252">
        <v>480000</v>
      </c>
      <c r="H54" s="11252">
        <v>350224.82</v>
      </c>
      <c r="I54" s="11163">
        <f>H54/G54</f>
        <v>0.72963504166666671</v>
      </c>
      <c r="J54" s="11269">
        <v>480000</v>
      </c>
    </row>
    <row r="55" spans="1:11" ht="15" customHeight="1">
      <c r="A55" s="11237"/>
      <c r="B55" s="7352" t="s">
        <v>10956</v>
      </c>
      <c r="C55" s="8872">
        <v>50212990</v>
      </c>
      <c r="D55" s="11252">
        <f>'WS-MOOE 2017'!AO38</f>
        <v>736335.53</v>
      </c>
      <c r="E55" s="11252">
        <f>'WS-MOOE ACTUAL JUNE 2018'!AJ39</f>
        <v>294236.88</v>
      </c>
      <c r="F55" s="11443">
        <f t="shared" si="2"/>
        <v>765763.12</v>
      </c>
      <c r="G55" s="11252">
        <v>1060000</v>
      </c>
      <c r="H55" s="11252">
        <v>684634.36</v>
      </c>
      <c r="I55" s="11163">
        <f t="shared" si="3"/>
        <v>0.64588147169811316</v>
      </c>
      <c r="J55" s="11269">
        <v>1346400</v>
      </c>
    </row>
    <row r="56" spans="1:11" ht="15" customHeight="1">
      <c r="A56" s="11237"/>
      <c r="B56" s="7488" t="s">
        <v>10959</v>
      </c>
      <c r="C56" s="10377">
        <v>50213040</v>
      </c>
      <c r="D56" s="11252">
        <f>'WS-MOOE 2017'!AS38</f>
        <v>0</v>
      </c>
      <c r="E56" s="11252">
        <f>'WS-MOOE ACTUAL JUNE 2018'!AN39</f>
        <v>0</v>
      </c>
      <c r="F56" s="11443">
        <f t="shared" si="2"/>
        <v>50000</v>
      </c>
      <c r="G56" s="11252">
        <v>50000</v>
      </c>
      <c r="H56" s="11252">
        <v>0</v>
      </c>
      <c r="I56" s="11163">
        <f t="shared" si="3"/>
        <v>0</v>
      </c>
      <c r="J56" s="11269">
        <v>75000</v>
      </c>
    </row>
    <row r="57" spans="1:11" ht="15" hidden="1" customHeight="1">
      <c r="A57" s="11237"/>
      <c r="B57" s="7352" t="s">
        <v>115</v>
      </c>
      <c r="C57" s="10387"/>
      <c r="D57" s="11252"/>
      <c r="E57" s="11252"/>
      <c r="F57" s="11443">
        <f t="shared" si="2"/>
        <v>0</v>
      </c>
      <c r="G57" s="11252"/>
      <c r="H57" s="11252">
        <v>0</v>
      </c>
      <c r="I57" s="11163" t="e">
        <f t="shared" si="3"/>
        <v>#DIV/0!</v>
      </c>
      <c r="J57" s="11269"/>
    </row>
    <row r="58" spans="1:11" ht="15" customHeight="1">
      <c r="A58" s="11237"/>
      <c r="B58" s="7488" t="s">
        <v>10938</v>
      </c>
      <c r="C58" s="8872">
        <v>50213050</v>
      </c>
      <c r="D58" s="11252">
        <f>'WS-MOOE 2017'!AW38</f>
        <v>31500</v>
      </c>
      <c r="E58" s="11252">
        <f>'WS-MOOE ACTUAL JUNE 2018'!AS39</f>
        <v>8661.85</v>
      </c>
      <c r="F58" s="11443">
        <f t="shared" si="2"/>
        <v>21338.15</v>
      </c>
      <c r="G58" s="11252">
        <v>30000</v>
      </c>
      <c r="H58" s="11252">
        <v>20484.849999999999</v>
      </c>
      <c r="I58" s="11163">
        <f t="shared" si="3"/>
        <v>0.68282833333333326</v>
      </c>
      <c r="J58" s="11269">
        <v>35000</v>
      </c>
    </row>
    <row r="59" spans="1:11" ht="15" customHeight="1">
      <c r="A59" s="11237"/>
      <c r="B59" s="7488" t="s">
        <v>10937</v>
      </c>
      <c r="C59" s="11258">
        <v>50213060</v>
      </c>
      <c r="D59" s="11252">
        <f>'WS-MOOE 2017'!BB38</f>
        <v>141414.75</v>
      </c>
      <c r="E59" s="11252">
        <f>'WS-MOOE ACTUAL JUNE 2018'!AT39</f>
        <v>6544</v>
      </c>
      <c r="F59" s="11443">
        <f t="shared" si="2"/>
        <v>173456</v>
      </c>
      <c r="G59" s="11252">
        <v>180000</v>
      </c>
      <c r="H59" s="11252">
        <v>156551</v>
      </c>
      <c r="I59" s="11163">
        <f t="shared" si="3"/>
        <v>0.86972777777777777</v>
      </c>
      <c r="J59" s="11269">
        <v>230000</v>
      </c>
    </row>
    <row r="60" spans="1:11" ht="15" hidden="1" customHeight="1">
      <c r="A60" s="11237"/>
      <c r="B60" s="7352" t="s">
        <v>9995</v>
      </c>
      <c r="C60" s="10387"/>
      <c r="D60" s="11252">
        <v>0</v>
      </c>
      <c r="E60" s="11252"/>
      <c r="F60" s="11443">
        <f t="shared" si="2"/>
        <v>0</v>
      </c>
      <c r="G60" s="11252"/>
      <c r="H60" s="11252">
        <v>0</v>
      </c>
      <c r="I60" s="11163" t="s">
        <v>9</v>
      </c>
      <c r="J60" s="11269"/>
    </row>
    <row r="61" spans="1:11" ht="15" customHeight="1">
      <c r="A61" s="11237"/>
      <c r="B61" s="7352" t="s">
        <v>49</v>
      </c>
      <c r="C61" s="10387">
        <v>50215020</v>
      </c>
      <c r="D61" s="11252">
        <f>'WS-MOOE 2017'!BH38</f>
        <v>31522.5</v>
      </c>
      <c r="E61" s="11252">
        <f>'WS-MOOE ACTUAL JUNE 2018'!AZ39</f>
        <v>16886.25</v>
      </c>
      <c r="F61" s="11443">
        <f t="shared" si="2"/>
        <v>23113.75</v>
      </c>
      <c r="G61" s="11252">
        <v>40000</v>
      </c>
      <c r="H61" s="11252">
        <v>16886.25</v>
      </c>
      <c r="I61" s="11163">
        <f t="shared" si="3"/>
        <v>0.42215625000000001</v>
      </c>
      <c r="J61" s="11269">
        <v>45000</v>
      </c>
    </row>
    <row r="62" spans="1:11" ht="15" customHeight="1">
      <c r="A62" s="11237"/>
      <c r="B62" s="7951" t="s">
        <v>10961</v>
      </c>
      <c r="C62" s="11975">
        <v>50299020</v>
      </c>
      <c r="D62" s="11252">
        <f>'WS-MOOE 2017'!BJ38</f>
        <v>2000</v>
      </c>
      <c r="E62" s="11252">
        <f>'WS-MOOE ACTUAL JUNE 2018'!BC39</f>
        <v>2500</v>
      </c>
      <c r="F62" s="11443">
        <f>G62-E62</f>
        <v>12500</v>
      </c>
      <c r="G62" s="11252">
        <v>15000</v>
      </c>
      <c r="H62" s="11252">
        <v>2500</v>
      </c>
      <c r="I62" s="11163">
        <f>H62/G62</f>
        <v>0.16666666666666666</v>
      </c>
      <c r="J62" s="11269">
        <v>15000</v>
      </c>
    </row>
    <row r="63" spans="1:11" ht="15" customHeight="1">
      <c r="A63" s="11237"/>
      <c r="B63" s="7352" t="s">
        <v>10979</v>
      </c>
      <c r="C63" s="10387">
        <v>50299050</v>
      </c>
      <c r="D63" s="11252">
        <f>'WS-MOOE 2017'!AJ38</f>
        <v>0</v>
      </c>
      <c r="E63" s="11252">
        <f>'WS-MOOE ACTUAL JUNE 2018'!BD39</f>
        <v>0</v>
      </c>
      <c r="F63" s="11443">
        <f>G63-E63</f>
        <v>25000</v>
      </c>
      <c r="G63" s="11252">
        <v>25000</v>
      </c>
      <c r="H63" s="11252">
        <v>0</v>
      </c>
      <c r="I63" s="11163">
        <f>H63/G63</f>
        <v>0</v>
      </c>
      <c r="J63" s="11269">
        <v>25000</v>
      </c>
    </row>
    <row r="64" spans="1:11" ht="15" customHeight="1">
      <c r="A64" s="11237"/>
      <c r="B64" s="7352" t="s">
        <v>10982</v>
      </c>
      <c r="C64" s="10387">
        <v>50299080</v>
      </c>
      <c r="D64" s="11252">
        <f>'WS-MOOE 2017'!BM38</f>
        <v>13105000</v>
      </c>
      <c r="E64" s="11252">
        <f>'WS-MOOE ACTUAL JUNE 2018'!BG39</f>
        <v>9154050</v>
      </c>
      <c r="F64" s="11443">
        <f>G64-E64</f>
        <v>4495950</v>
      </c>
      <c r="G64" s="11252">
        <v>13650000</v>
      </c>
      <c r="H64" s="11252">
        <v>13002570.75</v>
      </c>
      <c r="I64" s="11163">
        <f>H64/G64</f>
        <v>0.95256928571428567</v>
      </c>
      <c r="J64" s="11269">
        <v>13650000</v>
      </c>
    </row>
    <row r="65" spans="1:12" ht="15" customHeight="1">
      <c r="A65" s="11237"/>
      <c r="B65" s="7536" t="s">
        <v>50</v>
      </c>
      <c r="C65" s="10149">
        <v>50299990</v>
      </c>
      <c r="D65" s="11252">
        <f>'WS-MOOE 2017'!BO38</f>
        <v>119589.49</v>
      </c>
      <c r="E65" s="11252">
        <f>'WS-MOOE ACTUAL JUNE 2018'!BI39</f>
        <v>12307</v>
      </c>
      <c r="F65" s="11443">
        <f t="shared" si="2"/>
        <v>237693</v>
      </c>
      <c r="G65" s="11252">
        <v>250000</v>
      </c>
      <c r="H65" s="11252">
        <v>64807</v>
      </c>
      <c r="I65" s="11163">
        <f t="shared" si="3"/>
        <v>0.25922800000000001</v>
      </c>
      <c r="J65" s="11269">
        <v>270000</v>
      </c>
    </row>
    <row r="66" spans="1:12" ht="15" hidden="1" customHeight="1">
      <c r="A66" s="11237"/>
      <c r="B66" s="7352" t="s">
        <v>9971</v>
      </c>
      <c r="C66" s="10387"/>
      <c r="D66" s="11252">
        <f>'WS-MOOE 2017'!BV38</f>
        <v>0</v>
      </c>
      <c r="E66" s="11252"/>
      <c r="F66" s="11443">
        <f t="shared" si="2"/>
        <v>0</v>
      </c>
      <c r="G66" s="11252">
        <v>0</v>
      </c>
      <c r="H66" s="11252"/>
      <c r="I66" s="11163"/>
      <c r="J66" s="11269">
        <v>0</v>
      </c>
    </row>
    <row r="67" spans="1:12" ht="15" hidden="1" customHeight="1">
      <c r="A67" s="11237"/>
      <c r="B67" s="7352" t="s">
        <v>269</v>
      </c>
      <c r="C67" s="10387" t="s">
        <v>9970</v>
      </c>
      <c r="D67" s="11252">
        <f>'WS-MOOE 2017'!BW38</f>
        <v>0</v>
      </c>
      <c r="E67" s="11252"/>
      <c r="F67" s="11443">
        <f t="shared" si="2"/>
        <v>0</v>
      </c>
      <c r="G67" s="11252">
        <v>0</v>
      </c>
      <c r="H67" s="11252"/>
      <c r="I67" s="11163"/>
      <c r="J67" s="11269">
        <v>0</v>
      </c>
    </row>
    <row r="68" spans="1:12" ht="15" customHeight="1">
      <c r="A68" s="11237"/>
      <c r="B68" s="7352" t="s">
        <v>270</v>
      </c>
      <c r="C68" s="10387"/>
      <c r="D68" s="8869"/>
      <c r="E68" s="11252"/>
      <c r="F68" s="11252"/>
      <c r="G68" s="11252"/>
      <c r="H68" s="11252"/>
      <c r="I68" s="11163"/>
      <c r="J68" s="11269"/>
    </row>
    <row r="69" spans="1:12" ht="15" customHeight="1">
      <c r="A69" s="11237"/>
      <c r="B69" s="7361" t="s">
        <v>37</v>
      </c>
      <c r="C69" s="12525"/>
      <c r="D69" s="9538">
        <f>SUM(D44:D67)</f>
        <v>15403496.520000001</v>
      </c>
      <c r="E69" s="9538">
        <f>SUM(E44:E67)</f>
        <v>9840946.7200000007</v>
      </c>
      <c r="F69" s="9538">
        <f>SUM(F44:F67)</f>
        <v>7601053.2799999993</v>
      </c>
      <c r="G69" s="9538">
        <f>SUM(G44:G68)</f>
        <v>17442000</v>
      </c>
      <c r="H69" s="9538">
        <f>SUM(H43:H68)</f>
        <v>15021980.85</v>
      </c>
      <c r="I69" s="9466">
        <f>H69/G69</f>
        <v>0.86125334537323694</v>
      </c>
      <c r="J69" s="11761">
        <f>SUM(J44:J68)</f>
        <v>17766400</v>
      </c>
      <c r="K69" s="10372">
        <f>(J69-G69)/G69</f>
        <v>1.8598784543056988E-2</v>
      </c>
    </row>
    <row r="70" spans="1:12" s="7355" customFormat="1" ht="15" customHeight="1" thickBot="1">
      <c r="A70" s="11235"/>
      <c r="B70" s="7391"/>
      <c r="C70" s="7392"/>
      <c r="D70" s="9428"/>
      <c r="E70" s="9428"/>
      <c r="F70" s="9428"/>
      <c r="G70" s="9428"/>
      <c r="H70" s="9428"/>
      <c r="I70" s="11449"/>
      <c r="J70" s="11450"/>
      <c r="L70" s="8069"/>
    </row>
    <row r="71" spans="1:12" s="7355" customFormat="1" ht="15" customHeight="1">
      <c r="A71" s="7352"/>
      <c r="B71" s="7361"/>
      <c r="C71" s="7353"/>
      <c r="D71" s="7364"/>
      <c r="E71" s="7364"/>
      <c r="F71" s="7364"/>
      <c r="G71" s="7364"/>
      <c r="H71" s="7364"/>
      <c r="I71" s="7350"/>
      <c r="L71" s="8069"/>
    </row>
    <row r="72" spans="1:12" s="7355" customFormat="1" ht="15" customHeight="1">
      <c r="A72" s="7352"/>
      <c r="B72" s="7361"/>
      <c r="C72" s="7353"/>
      <c r="D72" s="7364"/>
      <c r="E72" s="7364"/>
      <c r="F72" s="7364"/>
      <c r="G72" s="7364"/>
      <c r="H72" s="7364"/>
      <c r="I72" s="7350"/>
      <c r="L72" s="8069"/>
    </row>
    <row r="73" spans="1:12" s="7355" customFormat="1" ht="15" customHeight="1">
      <c r="A73" s="7352"/>
      <c r="B73" s="7361"/>
      <c r="C73" s="7353"/>
      <c r="D73" s="7364"/>
      <c r="E73" s="7364"/>
      <c r="F73" s="7364"/>
      <c r="G73" s="7364"/>
      <c r="H73" s="7364"/>
      <c r="I73" s="7350"/>
      <c r="J73" s="7364"/>
      <c r="L73" s="8069"/>
    </row>
    <row r="74" spans="1:12" s="7355" customFormat="1" ht="15" customHeight="1">
      <c r="A74" s="7352"/>
      <c r="B74" s="7361"/>
      <c r="C74" s="7353"/>
      <c r="D74" s="7364"/>
      <c r="E74" s="7364"/>
      <c r="F74" s="7364"/>
      <c r="G74" s="7364"/>
      <c r="H74" s="7364"/>
      <c r="I74" s="7350"/>
      <c r="J74" s="7364"/>
      <c r="L74" s="8069"/>
    </row>
    <row r="75" spans="1:12" s="7355" customFormat="1" ht="15" customHeight="1">
      <c r="A75" s="7352"/>
      <c r="B75" s="7361"/>
      <c r="C75" s="7353"/>
      <c r="D75" s="7364"/>
      <c r="E75" s="7364"/>
      <c r="F75" s="7364"/>
      <c r="G75" s="7364"/>
      <c r="H75" s="7364"/>
      <c r="I75" s="7350"/>
      <c r="J75" s="7364"/>
      <c r="L75" s="8069"/>
    </row>
    <row r="76" spans="1:12" s="7355" customFormat="1" ht="15" customHeight="1">
      <c r="A76" s="7352"/>
      <c r="B76" s="7361"/>
      <c r="C76" s="7353"/>
      <c r="D76" s="7364"/>
      <c r="E76" s="7364"/>
      <c r="F76" s="7364"/>
      <c r="G76" s="7364"/>
      <c r="H76" s="7364"/>
      <c r="I76" s="7350"/>
      <c r="J76" s="7364"/>
      <c r="L76" s="8069"/>
    </row>
    <row r="77" spans="1:12" s="7355" customFormat="1" ht="15" customHeight="1">
      <c r="A77" s="7352"/>
      <c r="B77" s="7361"/>
      <c r="C77" s="7353"/>
      <c r="D77" s="7364"/>
      <c r="E77" s="7364"/>
      <c r="F77" s="7364"/>
      <c r="G77" s="7364"/>
      <c r="H77" s="7364"/>
      <c r="I77" s="7350"/>
      <c r="J77" s="7364"/>
      <c r="L77" s="8069"/>
    </row>
    <row r="78" spans="1:12" s="7355" customFormat="1" ht="15" customHeight="1">
      <c r="A78" s="7352"/>
      <c r="B78" s="7361"/>
      <c r="C78" s="7353"/>
      <c r="D78" s="7364"/>
      <c r="E78" s="7364"/>
      <c r="F78" s="7364"/>
      <c r="G78" s="7364"/>
      <c r="H78" s="7364"/>
      <c r="I78" s="7350"/>
      <c r="J78" s="7364"/>
      <c r="L78" s="8069"/>
    </row>
    <row r="79" spans="1:12" s="7355" customFormat="1" ht="15" customHeight="1">
      <c r="A79" s="7352"/>
      <c r="B79" s="7361"/>
      <c r="C79" s="7353"/>
      <c r="D79" s="7364"/>
      <c r="E79" s="7364"/>
      <c r="F79" s="7364"/>
      <c r="G79" s="7364"/>
      <c r="H79" s="7364"/>
      <c r="I79" s="7350"/>
      <c r="J79" s="7364"/>
      <c r="L79" s="8069"/>
    </row>
    <row r="80" spans="1:12" s="7355" customFormat="1" ht="15" customHeight="1">
      <c r="A80" s="7352"/>
      <c r="B80" s="7361"/>
      <c r="C80" s="7353"/>
      <c r="D80" s="7364"/>
      <c r="E80" s="7364"/>
      <c r="F80" s="7364"/>
      <c r="G80" s="7364"/>
      <c r="H80" s="7364"/>
      <c r="I80" s="7350"/>
      <c r="J80" s="7364"/>
      <c r="L80" s="8069"/>
    </row>
    <row r="81" spans="1:12" s="7355" customFormat="1" ht="15" customHeight="1">
      <c r="A81" s="7352"/>
      <c r="B81" s="7361"/>
      <c r="C81" s="7353"/>
      <c r="D81" s="7364"/>
      <c r="E81" s="7364"/>
      <c r="F81" s="7364"/>
      <c r="G81" s="7364"/>
      <c r="H81" s="7364"/>
      <c r="I81" s="7350"/>
      <c r="J81" s="7364"/>
      <c r="L81" s="8069"/>
    </row>
    <row r="82" spans="1:12" s="7355" customFormat="1" ht="15" customHeight="1" thickBot="1">
      <c r="A82" s="7489" t="s">
        <v>10720</v>
      </c>
      <c r="B82" s="7490"/>
      <c r="C82" s="7491"/>
      <c r="D82" s="7492"/>
      <c r="E82" s="7493"/>
      <c r="F82" s="7493"/>
      <c r="G82" s="7492"/>
      <c r="H82" s="7493"/>
      <c r="I82" s="7480"/>
      <c r="J82" s="7492"/>
      <c r="L82" s="8069"/>
    </row>
    <row r="83" spans="1:12" ht="15" customHeight="1">
      <c r="A83" s="11433"/>
      <c r="B83" s="11434"/>
      <c r="C83" s="11436" t="s">
        <v>9</v>
      </c>
      <c r="D83" s="11769" t="s">
        <v>10</v>
      </c>
      <c r="E83" s="14188" t="s">
        <v>10711</v>
      </c>
      <c r="F83" s="14189"/>
      <c r="G83" s="14190"/>
      <c r="H83" s="11769"/>
      <c r="I83" s="12524"/>
      <c r="J83" s="12018" t="s">
        <v>12</v>
      </c>
    </row>
    <row r="84" spans="1:12" ht="15" customHeight="1">
      <c r="A84" s="11237"/>
      <c r="B84" s="7356" t="s">
        <v>13</v>
      </c>
      <c r="C84" s="14430" t="s">
        <v>14</v>
      </c>
      <c r="D84" s="11770" t="s">
        <v>15</v>
      </c>
      <c r="E84" s="9502" t="s">
        <v>10709</v>
      </c>
      <c r="F84" s="9503" t="s">
        <v>10710</v>
      </c>
      <c r="G84" s="14191" t="s">
        <v>458</v>
      </c>
      <c r="H84" s="11770"/>
      <c r="I84" s="12024"/>
      <c r="J84" s="12021" t="s">
        <v>16</v>
      </c>
    </row>
    <row r="85" spans="1:12" ht="15" customHeight="1" thickBot="1">
      <c r="A85" s="11235"/>
      <c r="B85" s="7752"/>
      <c r="C85" s="14431"/>
      <c r="D85" s="7496">
        <v>2017</v>
      </c>
      <c r="E85" s="9467" t="s">
        <v>457</v>
      </c>
      <c r="F85" s="11661" t="s">
        <v>456</v>
      </c>
      <c r="G85" s="14192"/>
      <c r="H85" s="7496"/>
      <c r="I85" s="7497"/>
      <c r="J85" s="12022">
        <v>2019</v>
      </c>
    </row>
    <row r="86" spans="1:12" ht="15" customHeight="1">
      <c r="A86" s="11237"/>
      <c r="B86" s="7356"/>
      <c r="C86" s="11452"/>
      <c r="D86" s="11770"/>
      <c r="E86" s="11770"/>
      <c r="F86" s="11770"/>
      <c r="G86" s="11770"/>
      <c r="H86" s="11770"/>
      <c r="I86" s="12024"/>
      <c r="J86" s="12021"/>
    </row>
    <row r="87" spans="1:12" ht="15" customHeight="1">
      <c r="A87" s="11241" t="s">
        <v>51</v>
      </c>
      <c r="B87" s="7352" t="s">
        <v>52</v>
      </c>
      <c r="C87" s="10387"/>
      <c r="D87" s="8869" t="s">
        <v>9</v>
      </c>
      <c r="E87" s="8869"/>
      <c r="F87" s="8869"/>
      <c r="G87" s="8056"/>
      <c r="H87" s="8869"/>
      <c r="I87" s="8799"/>
      <c r="J87" s="11463"/>
    </row>
    <row r="88" spans="1:12" ht="15" customHeight="1">
      <c r="A88" s="11241"/>
      <c r="B88" s="7615" t="s">
        <v>122</v>
      </c>
      <c r="C88" s="10685">
        <v>50705020</v>
      </c>
      <c r="D88" s="8869">
        <f>'WS-CO 2017'!F37</f>
        <v>43660</v>
      </c>
      <c r="E88" s="8869"/>
      <c r="F88" s="11443">
        <f>G88-E88</f>
        <v>84000</v>
      </c>
      <c r="G88" s="8882">
        <v>84000</v>
      </c>
      <c r="H88" s="8882">
        <v>22498</v>
      </c>
      <c r="I88" s="11163">
        <f>H88/G88</f>
        <v>0.26783333333333331</v>
      </c>
      <c r="J88" s="11251">
        <f>139250+15645</f>
        <v>154895</v>
      </c>
      <c r="K88" s="7351" t="s">
        <v>11764</v>
      </c>
    </row>
    <row r="89" spans="1:12" ht="15" hidden="1" customHeight="1">
      <c r="A89" s="11241"/>
      <c r="B89" s="7498" t="s">
        <v>10064</v>
      </c>
      <c r="C89" s="10387"/>
      <c r="D89" s="8869"/>
      <c r="E89" s="8869"/>
      <c r="F89" s="11443">
        <f>G89-E89</f>
        <v>0</v>
      </c>
      <c r="G89" s="8882">
        <v>0</v>
      </c>
      <c r="H89" s="8882"/>
      <c r="I89" s="11163" t="e">
        <f>H89/G89</f>
        <v>#DIV/0!</v>
      </c>
      <c r="J89" s="11251">
        <v>0</v>
      </c>
    </row>
    <row r="90" spans="1:12" ht="15" customHeight="1">
      <c r="A90" s="11241"/>
      <c r="B90" s="7287" t="s">
        <v>9987</v>
      </c>
      <c r="C90" s="8802">
        <v>50707010</v>
      </c>
      <c r="D90" s="8869">
        <f>'WS-CO 2017'!K37</f>
        <v>75536</v>
      </c>
      <c r="E90" s="8869"/>
      <c r="F90" s="11443">
        <f>G90-E90</f>
        <v>35000</v>
      </c>
      <c r="G90" s="8882">
        <v>35000</v>
      </c>
      <c r="H90" s="8882">
        <v>3600</v>
      </c>
      <c r="I90" s="11163">
        <f>H90/G90</f>
        <v>0.10285714285714286</v>
      </c>
      <c r="J90" s="11251">
        <v>104212.5</v>
      </c>
    </row>
    <row r="91" spans="1:12" ht="15" customHeight="1">
      <c r="A91" s="11241"/>
      <c r="B91" s="7488" t="s">
        <v>10976</v>
      </c>
      <c r="C91" s="10144">
        <v>50705030</v>
      </c>
      <c r="D91" s="8869">
        <f>'WS-CO 2017'!H37</f>
        <v>143000</v>
      </c>
      <c r="E91" s="8869"/>
      <c r="F91" s="11443">
        <f>G91-E91</f>
        <v>233256</v>
      </c>
      <c r="G91" s="8882">
        <v>233256</v>
      </c>
      <c r="H91" s="8882">
        <v>198152.64</v>
      </c>
      <c r="I91" s="11163">
        <f>H91/G91</f>
        <v>0.8495071509414549</v>
      </c>
      <c r="J91" s="11251">
        <v>108400</v>
      </c>
    </row>
    <row r="92" spans="1:12" ht="15" hidden="1" customHeight="1">
      <c r="A92" s="11241"/>
      <c r="B92" s="7401" t="s">
        <v>11741</v>
      </c>
      <c r="C92" s="9410">
        <v>50706010</v>
      </c>
      <c r="D92" s="8882">
        <f>'WS-CO 2017'!E37</f>
        <v>0</v>
      </c>
      <c r="E92" s="8882"/>
      <c r="F92" s="11443">
        <f>G92-E92</f>
        <v>0</v>
      </c>
      <c r="G92" s="8869"/>
      <c r="H92" s="8869"/>
      <c r="I92" s="8799"/>
      <c r="J92" s="11463"/>
      <c r="K92" s="7351" t="s">
        <v>11765</v>
      </c>
    </row>
    <row r="93" spans="1:12" ht="15" customHeight="1">
      <c r="A93" s="11241"/>
      <c r="B93" s="7352"/>
      <c r="C93" s="10387"/>
      <c r="D93" s="8871"/>
      <c r="E93" s="8871"/>
      <c r="F93" s="11443"/>
      <c r="G93" s="8869"/>
      <c r="H93" s="8869"/>
      <c r="I93" s="8799"/>
      <c r="J93" s="11463"/>
    </row>
    <row r="94" spans="1:12" ht="15" customHeight="1">
      <c r="A94" s="11241"/>
      <c r="B94" s="7361" t="s">
        <v>37</v>
      </c>
      <c r="C94" s="10387"/>
      <c r="D94" s="9538">
        <f>SUM(D87:D93)</f>
        <v>262196</v>
      </c>
      <c r="E94" s="9538">
        <f>SUM(E87:E93)</f>
        <v>0</v>
      </c>
      <c r="F94" s="9538">
        <f>SUM(F87:F93)</f>
        <v>352256</v>
      </c>
      <c r="G94" s="9538">
        <f>SUM(G88:G93)</f>
        <v>352256</v>
      </c>
      <c r="H94" s="9538">
        <f>SUM(H87:H93)</f>
        <v>224250.64</v>
      </c>
      <c r="I94" s="9466"/>
      <c r="J94" s="11761">
        <f>SUM(J87:J93)</f>
        <v>367507.5</v>
      </c>
      <c r="K94" s="10372">
        <f>(J94-G94)/G94</f>
        <v>4.3296636537063955E-2</v>
      </c>
    </row>
    <row r="95" spans="1:12" ht="15" customHeight="1">
      <c r="A95" s="11241"/>
      <c r="B95" s="7361"/>
      <c r="C95" s="12525"/>
      <c r="D95" s="8873"/>
      <c r="E95" s="8873"/>
      <c r="F95" s="8873"/>
      <c r="G95" s="8873"/>
      <c r="H95" s="8873"/>
      <c r="I95" s="8874"/>
      <c r="J95" s="11460"/>
    </row>
    <row r="96" spans="1:12" ht="15" customHeight="1">
      <c r="A96" s="11241" t="s">
        <v>272</v>
      </c>
      <c r="B96" s="7352" t="s">
        <v>54</v>
      </c>
      <c r="C96" s="12525"/>
      <c r="D96" s="8873"/>
      <c r="E96" s="8873"/>
      <c r="F96" s="8873"/>
      <c r="G96" s="8873"/>
      <c r="H96" s="8873"/>
      <c r="I96" s="8874"/>
      <c r="J96" s="11460"/>
      <c r="K96" s="7338">
        <f>367507.5-J94</f>
        <v>0</v>
      </c>
    </row>
    <row r="97" spans="1:12" ht="15" customHeight="1">
      <c r="A97" s="11241"/>
      <c r="B97" s="7352" t="s">
        <v>4741</v>
      </c>
      <c r="C97" s="12525"/>
      <c r="D97" s="8873"/>
      <c r="E97" s="8873"/>
      <c r="F97" s="8873"/>
      <c r="G97" s="8873"/>
      <c r="H97" s="8873"/>
      <c r="I97" s="8874"/>
      <c r="J97" s="11460"/>
    </row>
    <row r="98" spans="1:12" ht="15" customHeight="1">
      <c r="A98" s="11241"/>
      <c r="B98" s="7352" t="s">
        <v>273</v>
      </c>
      <c r="C98" s="12525">
        <v>79993201</v>
      </c>
      <c r="D98" s="8869">
        <v>3000252.75</v>
      </c>
      <c r="E98" s="8869">
        <v>902780.04</v>
      </c>
      <c r="F98" s="11443">
        <f>G98-E98</f>
        <v>3297219.96</v>
      </c>
      <c r="G98" s="8869">
        <v>4200000</v>
      </c>
      <c r="H98" s="8869">
        <v>1614465.25</v>
      </c>
      <c r="I98" s="8799">
        <f>H98/G98</f>
        <v>0.38439648809523808</v>
      </c>
      <c r="J98" s="11463">
        <v>4000000</v>
      </c>
    </row>
    <row r="99" spans="1:12" ht="15" customHeight="1">
      <c r="A99" s="11241"/>
      <c r="B99" s="7501" t="s">
        <v>274</v>
      </c>
      <c r="C99" s="10387">
        <v>79993202</v>
      </c>
      <c r="D99" s="8869">
        <v>1989981.33</v>
      </c>
      <c r="E99" s="8869">
        <v>706137.05</v>
      </c>
      <c r="F99" s="11443">
        <f>G99-E99</f>
        <v>3493862.95</v>
      </c>
      <c r="G99" s="8869">
        <v>4200000</v>
      </c>
      <c r="H99" s="8869">
        <v>2604019.75</v>
      </c>
      <c r="I99" s="8799">
        <f>H99/G99</f>
        <v>0.6200047023809524</v>
      </c>
      <c r="J99" s="11463">
        <v>4000000</v>
      </c>
    </row>
    <row r="100" spans="1:12" ht="15" customHeight="1">
      <c r="A100" s="11241"/>
      <c r="B100" s="7501" t="s">
        <v>11132</v>
      </c>
      <c r="C100" s="10387"/>
      <c r="D100" s="8869"/>
      <c r="E100" s="8869"/>
      <c r="F100" s="11443"/>
      <c r="G100" s="8869"/>
      <c r="H100" s="8869"/>
      <c r="I100" s="8799"/>
      <c r="J100" s="11463">
        <v>5000000</v>
      </c>
    </row>
    <row r="101" spans="1:12" ht="15" customHeight="1">
      <c r="A101" s="11241"/>
      <c r="B101" s="7501" t="s">
        <v>11742</v>
      </c>
      <c r="C101" s="10387"/>
      <c r="D101" s="8869"/>
      <c r="E101" s="8869"/>
      <c r="F101" s="11443"/>
      <c r="G101" s="8869"/>
      <c r="H101" s="8869"/>
      <c r="I101" s="8799"/>
      <c r="J101" s="11463">
        <f>2100000-500000</f>
        <v>1600000</v>
      </c>
      <c r="K101" s="7351" t="s">
        <v>11757</v>
      </c>
    </row>
    <row r="102" spans="1:12" ht="15" customHeight="1">
      <c r="A102" s="11241"/>
      <c r="B102" s="7501" t="s">
        <v>11743</v>
      </c>
      <c r="C102" s="10387"/>
      <c r="D102" s="8869"/>
      <c r="E102" s="8869"/>
      <c r="F102" s="11443"/>
      <c r="G102" s="8869"/>
      <c r="H102" s="8869"/>
      <c r="I102" s="8799"/>
      <c r="J102" s="11463">
        <f>1900000-500000</f>
        <v>1400000</v>
      </c>
      <c r="K102" s="7351" t="s">
        <v>11757</v>
      </c>
    </row>
    <row r="103" spans="1:12" ht="15" customHeight="1">
      <c r="A103" s="11241"/>
      <c r="B103" s="7501" t="s">
        <v>11744</v>
      </c>
      <c r="C103" s="10387"/>
      <c r="D103" s="8869"/>
      <c r="E103" s="8869"/>
      <c r="F103" s="11443"/>
      <c r="G103" s="8869"/>
      <c r="H103" s="8869"/>
      <c r="I103" s="8799"/>
      <c r="J103" s="11463">
        <v>1500000</v>
      </c>
      <c r="K103" s="7351" t="s">
        <v>11757</v>
      </c>
    </row>
    <row r="104" spans="1:12" ht="15" customHeight="1">
      <c r="A104" s="11241"/>
      <c r="B104" s="11628" t="s">
        <v>373</v>
      </c>
      <c r="C104" s="10387"/>
      <c r="D104" s="8869"/>
      <c r="E104" s="8869"/>
      <c r="F104" s="11443"/>
      <c r="G104" s="8869"/>
      <c r="H104" s="8869"/>
      <c r="I104" s="8799"/>
      <c r="J104" s="11463">
        <v>3000000</v>
      </c>
      <c r="K104" s="7351" t="s">
        <v>11757</v>
      </c>
    </row>
    <row r="105" spans="1:12" ht="15" customHeight="1">
      <c r="A105" s="11241"/>
      <c r="B105" s="7501" t="s">
        <v>11083</v>
      </c>
      <c r="C105" s="10387">
        <v>79902</v>
      </c>
      <c r="D105" s="8869"/>
      <c r="E105" s="8869">
        <v>0</v>
      </c>
      <c r="F105" s="11443">
        <f t="shared" ref="F105:F110" si="4">G105-E105</f>
        <v>700000</v>
      </c>
      <c r="G105" s="8869">
        <v>700000</v>
      </c>
      <c r="H105" s="8869">
        <v>0</v>
      </c>
      <c r="I105" s="8799">
        <f>H105/G105</f>
        <v>0</v>
      </c>
      <c r="J105" s="11463">
        <v>520000</v>
      </c>
    </row>
    <row r="106" spans="1:12" ht="15" customHeight="1">
      <c r="A106" s="11241"/>
      <c r="B106" s="7501" t="s">
        <v>11084</v>
      </c>
      <c r="C106" s="10387">
        <v>79901</v>
      </c>
      <c r="D106" s="8869"/>
      <c r="E106" s="8869">
        <v>0</v>
      </c>
      <c r="F106" s="11443">
        <f t="shared" si="4"/>
        <v>100000</v>
      </c>
      <c r="G106" s="8869">
        <v>100000</v>
      </c>
      <c r="H106" s="8869">
        <v>0</v>
      </c>
      <c r="I106" s="8799">
        <f>H106/G106</f>
        <v>0</v>
      </c>
      <c r="J106" s="11463">
        <v>0</v>
      </c>
    </row>
    <row r="107" spans="1:12" ht="15" customHeight="1">
      <c r="A107" s="11241"/>
      <c r="B107" s="7501" t="s">
        <v>11937</v>
      </c>
      <c r="C107" s="10387"/>
      <c r="D107" s="8869"/>
      <c r="E107" s="8869"/>
      <c r="F107" s="11443">
        <f t="shared" si="4"/>
        <v>0</v>
      </c>
      <c r="G107" s="8869"/>
      <c r="H107" s="8869"/>
      <c r="I107" s="8799"/>
      <c r="J107" s="11760">
        <v>1500000</v>
      </c>
      <c r="K107" s="7351" t="s">
        <v>11757</v>
      </c>
    </row>
    <row r="108" spans="1:12" ht="15" customHeight="1">
      <c r="A108" s="11241"/>
      <c r="B108" s="7501" t="s">
        <v>11085</v>
      </c>
      <c r="C108" s="10387">
        <v>79906</v>
      </c>
      <c r="D108" s="8869"/>
      <c r="E108" s="8869">
        <v>78200</v>
      </c>
      <c r="F108" s="11443">
        <f t="shared" si="4"/>
        <v>2421800</v>
      </c>
      <c r="G108" s="8869">
        <v>2500000</v>
      </c>
      <c r="H108" s="8869">
        <v>1374038</v>
      </c>
      <c r="I108" s="8799">
        <f>H108/G108</f>
        <v>0.54961519999999997</v>
      </c>
      <c r="J108" s="11463">
        <v>2000000</v>
      </c>
    </row>
    <row r="109" spans="1:12" ht="15" customHeight="1">
      <c r="A109" s="11241"/>
      <c r="B109" s="7501" t="s">
        <v>11086</v>
      </c>
      <c r="C109" s="10387">
        <v>79904</v>
      </c>
      <c r="D109" s="8869"/>
      <c r="E109" s="8869">
        <v>0</v>
      </c>
      <c r="F109" s="11443">
        <f t="shared" si="4"/>
        <v>500000</v>
      </c>
      <c r="G109" s="8869">
        <v>500000</v>
      </c>
      <c r="H109" s="8869">
        <v>0</v>
      </c>
      <c r="I109" s="8799">
        <f>H109/G109</f>
        <v>0</v>
      </c>
      <c r="J109" s="11463">
        <v>500000</v>
      </c>
    </row>
    <row r="110" spans="1:12" ht="15" customHeight="1">
      <c r="A110" s="11241"/>
      <c r="B110" s="7501" t="s">
        <v>11093</v>
      </c>
      <c r="C110" s="10387">
        <v>79905</v>
      </c>
      <c r="D110" s="8869"/>
      <c r="E110" s="8869">
        <v>0</v>
      </c>
      <c r="F110" s="11443">
        <f t="shared" si="4"/>
        <v>100000</v>
      </c>
      <c r="G110" s="8869">
        <v>100000</v>
      </c>
      <c r="H110" s="8869">
        <v>26100</v>
      </c>
      <c r="I110" s="8799">
        <f>H110/G110</f>
        <v>0.26100000000000001</v>
      </c>
      <c r="J110" s="11448">
        <v>100000</v>
      </c>
    </row>
    <row r="111" spans="1:12" s="7374" customFormat="1" ht="15" customHeight="1">
      <c r="A111" s="11869"/>
      <c r="B111" s="7361" t="s">
        <v>37</v>
      </c>
      <c r="C111" s="10111"/>
      <c r="D111" s="9538">
        <f>SUM(D98:D99)</f>
        <v>4990234.08</v>
      </c>
      <c r="E111" s="9538">
        <f>SUM(E98:E110)</f>
        <v>1687117.09</v>
      </c>
      <c r="F111" s="9538">
        <f>SUM(F98:F110)</f>
        <v>10612882.91</v>
      </c>
      <c r="G111" s="9538">
        <f>SUM(G98:G110)</f>
        <v>12300000</v>
      </c>
      <c r="H111" s="9538">
        <f>H98+H99</f>
        <v>4218485</v>
      </c>
      <c r="I111" s="9466">
        <f>H111/G111</f>
        <v>0.34296626016260162</v>
      </c>
      <c r="J111" s="11761">
        <f>SUM(J98:J110)</f>
        <v>25120000</v>
      </c>
      <c r="K111" s="10372">
        <f>(J111-G111)/G111</f>
        <v>1.0422764227642276</v>
      </c>
      <c r="L111" s="7839"/>
    </row>
    <row r="112" spans="1:12" s="7374" customFormat="1" ht="10.5" customHeight="1">
      <c r="A112" s="11869"/>
      <c r="B112" s="7361"/>
      <c r="C112" s="10111"/>
      <c r="D112" s="11283"/>
      <c r="E112" s="11283"/>
      <c r="F112" s="11283"/>
      <c r="G112" s="11283"/>
      <c r="H112" s="11283"/>
      <c r="I112" s="11951"/>
      <c r="J112" s="11775"/>
      <c r="L112" s="7839"/>
    </row>
    <row r="113" spans="1:12" s="7374" customFormat="1" ht="15" customHeight="1" thickBot="1">
      <c r="A113" s="11519" t="s">
        <v>9</v>
      </c>
      <c r="B113" s="7391" t="s">
        <v>4668</v>
      </c>
      <c r="C113" s="7735"/>
      <c r="D113" s="9428">
        <f>D111+D94+D69+D31</f>
        <v>30745777.410000004</v>
      </c>
      <c r="E113" s="9428">
        <f>E111+E94+E69+E31</f>
        <v>16324084.859999999</v>
      </c>
      <c r="F113" s="9428">
        <f>F111+F94+F69+F31</f>
        <v>26017848.989999998</v>
      </c>
      <c r="G113" s="9428">
        <f>G111+G94+G69+G31</f>
        <v>42341933.850000001</v>
      </c>
      <c r="H113" s="9428"/>
      <c r="I113" s="11449"/>
      <c r="J113" s="11450">
        <f>J111+J94+J69+J31</f>
        <v>59831707.409999996</v>
      </c>
      <c r="L113" s="7839"/>
    </row>
    <row r="114" spans="1:12" s="7333" customFormat="1" ht="15" customHeight="1">
      <c r="A114" s="7738" t="s">
        <v>4763</v>
      </c>
      <c r="B114" s="7738"/>
      <c r="C114" s="7739"/>
      <c r="D114" s="7740"/>
      <c r="E114" s="7740"/>
      <c r="F114" s="7740"/>
      <c r="G114" s="7741"/>
      <c r="H114" s="7740"/>
      <c r="I114" s="7742"/>
      <c r="J114" s="7741"/>
      <c r="L114" s="7842"/>
    </row>
    <row r="115" spans="1:12" ht="15" customHeight="1">
      <c r="A115" s="7352"/>
      <c r="B115" s="7352"/>
      <c r="C115" s="10884"/>
      <c r="D115" s="7336"/>
      <c r="E115" s="7336"/>
      <c r="F115" s="7336"/>
      <c r="G115" s="7334"/>
      <c r="H115" s="7336"/>
      <c r="I115" s="7286"/>
      <c r="J115" s="7334"/>
    </row>
    <row r="116" spans="1:12" ht="15" hidden="1" customHeight="1">
      <c r="A116" s="7335" t="s">
        <v>10168</v>
      </c>
      <c r="B116" s="7335"/>
      <c r="C116" s="10884" t="s">
        <v>3484</v>
      </c>
      <c r="D116" s="7336"/>
      <c r="E116" s="7336"/>
      <c r="F116" s="7336"/>
      <c r="G116" s="7337" t="s">
        <v>10666</v>
      </c>
      <c r="H116" s="7336"/>
      <c r="I116" s="7286"/>
    </row>
    <row r="117" spans="1:12" s="7374" customFormat="1" ht="15" hidden="1" customHeight="1">
      <c r="A117" s="7335"/>
      <c r="B117" s="7335"/>
      <c r="C117" s="10884"/>
      <c r="D117" s="7336"/>
      <c r="E117" s="7336"/>
      <c r="F117" s="7336"/>
      <c r="G117" s="7339"/>
      <c r="H117" s="7336"/>
      <c r="I117" s="7286"/>
      <c r="J117" s="7338"/>
      <c r="L117" s="7839"/>
    </row>
    <row r="118" spans="1:12" ht="15" hidden="1" customHeight="1">
      <c r="A118" s="7335"/>
      <c r="B118" s="7335"/>
      <c r="C118" s="10884"/>
      <c r="D118" s="7336"/>
      <c r="E118" s="7336"/>
      <c r="F118" s="7336"/>
      <c r="G118" s="7339"/>
      <c r="H118" s="7336"/>
      <c r="I118" s="7286"/>
    </row>
    <row r="119" spans="1:12" ht="15" hidden="1" customHeight="1">
      <c r="A119" s="7341"/>
      <c r="B119" s="10885" t="s">
        <v>9486</v>
      </c>
      <c r="C119" s="7351"/>
      <c r="D119" s="10872" t="s">
        <v>12059</v>
      </c>
      <c r="E119" s="9431"/>
      <c r="F119" s="9431"/>
      <c r="G119" s="7342" t="s">
        <v>10667</v>
      </c>
      <c r="H119" s="9431"/>
      <c r="I119" s="7284"/>
      <c r="J119" s="7343"/>
    </row>
    <row r="120" spans="1:12" ht="15" hidden="1" customHeight="1">
      <c r="A120" s="7335" t="s">
        <v>9171</v>
      </c>
      <c r="B120" s="10884" t="s">
        <v>10345</v>
      </c>
      <c r="C120" s="7351"/>
      <c r="D120" s="10869" t="s">
        <v>3486</v>
      </c>
      <c r="E120" s="7336"/>
      <c r="F120" s="7336"/>
      <c r="G120" s="7344" t="s">
        <v>10668</v>
      </c>
      <c r="H120" s="7336"/>
      <c r="I120" s="7286"/>
    </row>
    <row r="121" spans="1:12" ht="15" hidden="1" customHeight="1">
      <c r="A121" s="7335"/>
      <c r="B121" s="7335"/>
      <c r="C121" s="10884"/>
      <c r="D121" s="7336"/>
      <c r="E121" s="7336"/>
      <c r="F121" s="7336"/>
      <c r="G121" s="7336"/>
      <c r="H121" s="7336"/>
      <c r="I121" s="7286"/>
      <c r="J121" s="7336"/>
    </row>
    <row r="122" spans="1:12" ht="15" hidden="1" customHeight="1">
      <c r="A122" s="7335"/>
      <c r="B122" s="7335"/>
      <c r="C122" s="10884"/>
      <c r="D122" s="7336"/>
      <c r="E122" s="7336"/>
      <c r="F122" s="7336"/>
      <c r="G122" s="7336"/>
      <c r="H122" s="7336"/>
      <c r="I122" s="7286"/>
      <c r="J122" s="7336"/>
    </row>
    <row r="123" spans="1:12" ht="15" hidden="1" customHeight="1">
      <c r="A123" s="7335"/>
      <c r="B123" s="7335"/>
      <c r="C123" s="10884"/>
      <c r="D123" s="7336"/>
      <c r="E123" s="7336"/>
      <c r="F123" s="7336"/>
      <c r="G123" s="7336"/>
      <c r="H123" s="7336"/>
      <c r="I123" s="7286"/>
      <c r="J123" s="7336"/>
    </row>
    <row r="124" spans="1:12" ht="15" hidden="1" customHeight="1">
      <c r="A124" s="7335"/>
      <c r="B124" s="7335"/>
      <c r="C124" s="10884"/>
      <c r="D124" s="7336"/>
      <c r="E124" s="7336"/>
      <c r="F124" s="7336"/>
      <c r="G124" s="8900" t="s">
        <v>11078</v>
      </c>
      <c r="H124" s="7285"/>
      <c r="I124" s="7286"/>
      <c r="J124" s="8900" t="s">
        <v>11080</v>
      </c>
    </row>
    <row r="125" spans="1:12" ht="15" hidden="1" customHeight="1">
      <c r="A125" s="7335"/>
      <c r="B125" s="7335"/>
      <c r="C125" s="10884"/>
      <c r="D125" s="7336"/>
      <c r="E125" s="7336"/>
      <c r="F125" s="7336">
        <v>33987354</v>
      </c>
      <c r="G125" s="12521">
        <f>G113-F125</f>
        <v>8354579.8500000015</v>
      </c>
      <c r="H125" s="7336"/>
      <c r="I125" s="7286"/>
      <c r="J125" s="8901">
        <f>J113-G113</f>
        <v>17489773.559999995</v>
      </c>
    </row>
    <row r="126" spans="1:12" ht="15" hidden="1" customHeight="1">
      <c r="G126" s="8867">
        <f>G125/F125</f>
        <v>0.24581436524890998</v>
      </c>
      <c r="J126" s="8867">
        <f>J125/G113</f>
        <v>0.41306033923625324</v>
      </c>
    </row>
    <row r="127" spans="1:12" ht="15" customHeight="1">
      <c r="G127" s="8901"/>
    </row>
  </sheetData>
  <mergeCells count="12">
    <mergeCell ref="C8:C9"/>
    <mergeCell ref="C84:C85"/>
    <mergeCell ref="J4:J5"/>
    <mergeCell ref="G4:G5"/>
    <mergeCell ref="A1:J1"/>
    <mergeCell ref="E7:G7"/>
    <mergeCell ref="G8:G9"/>
    <mergeCell ref="E83:G83"/>
    <mergeCell ref="G84:G85"/>
    <mergeCell ref="E40:G40"/>
    <mergeCell ref="C41:C42"/>
    <mergeCell ref="G41:G42"/>
  </mergeCells>
  <printOptions horizontalCentered="1" gridLinesSet="0"/>
  <pageMargins left="0.25" right="0.25" top="0.5" bottom="0.25" header="0.25" footer="0.25"/>
  <pageSetup paperSize="136" firstPageNumber="327" orientation="landscape" useFirstPageNumber="1" r:id="rId1"/>
  <headerFooter alignWithMargins="0"/>
</worksheet>
</file>

<file path=xl/worksheets/sheet167.xml><?xml version="1.0" encoding="utf-8"?>
<worksheet xmlns="http://schemas.openxmlformats.org/spreadsheetml/2006/main" xmlns:r="http://schemas.openxmlformats.org/officeDocument/2006/relationships">
  <sheetPr codeName="Sheet125">
    <tabColor rgb="FFFFFF00"/>
  </sheetPr>
  <dimension ref="A1:H102"/>
  <sheetViews>
    <sheetView showGridLines="0" workbookViewId="0">
      <selection activeCell="G18" sqref="G18"/>
    </sheetView>
  </sheetViews>
  <sheetFormatPr defaultRowHeight="12.9" customHeight="1"/>
  <cols>
    <col min="1" max="1" width="40.5546875" style="7001" customWidth="1"/>
    <col min="2" max="3" width="8.5546875" style="7001" customWidth="1"/>
    <col min="4" max="6" width="14.5546875" style="7001" customWidth="1"/>
    <col min="7" max="7" width="12.88671875" style="7001" customWidth="1"/>
    <col min="8" max="8" width="14.109375" style="7001" customWidth="1"/>
    <col min="9" max="12" width="8.88671875" style="7001" customWidth="1"/>
    <col min="13" max="256" width="9.109375" style="7001"/>
    <col min="257" max="257" width="33.109375" style="7001" customWidth="1"/>
    <col min="258" max="258" width="7.88671875" style="7001" customWidth="1"/>
    <col min="259" max="259" width="8.109375" style="7001" customWidth="1"/>
    <col min="260" max="260" width="13.44140625" style="7001" customWidth="1"/>
    <col min="261" max="261" width="13.109375" style="7001" customWidth="1"/>
    <col min="262" max="262" width="14" style="7001" customWidth="1"/>
    <col min="263" max="512" width="9.109375" style="7001"/>
    <col min="513" max="513" width="33.109375" style="7001" customWidth="1"/>
    <col min="514" max="514" width="7.88671875" style="7001" customWidth="1"/>
    <col min="515" max="515" width="8.109375" style="7001" customWidth="1"/>
    <col min="516" max="516" width="13.44140625" style="7001" customWidth="1"/>
    <col min="517" max="517" width="13.109375" style="7001" customWidth="1"/>
    <col min="518" max="518" width="14" style="7001" customWidth="1"/>
    <col min="519" max="768" width="9.109375" style="7001"/>
    <col min="769" max="769" width="33.109375" style="7001" customWidth="1"/>
    <col min="770" max="770" width="7.88671875" style="7001" customWidth="1"/>
    <col min="771" max="771" width="8.109375" style="7001" customWidth="1"/>
    <col min="772" max="772" width="13.44140625" style="7001" customWidth="1"/>
    <col min="773" max="773" width="13.109375" style="7001" customWidth="1"/>
    <col min="774" max="774" width="14" style="7001" customWidth="1"/>
    <col min="775" max="1024" width="9.109375" style="7001"/>
    <col min="1025" max="1025" width="33.109375" style="7001" customWidth="1"/>
    <col min="1026" max="1026" width="7.88671875" style="7001" customWidth="1"/>
    <col min="1027" max="1027" width="8.109375" style="7001" customWidth="1"/>
    <col min="1028" max="1028" width="13.44140625" style="7001" customWidth="1"/>
    <col min="1029" max="1029" width="13.109375" style="7001" customWidth="1"/>
    <col min="1030" max="1030" width="14" style="7001" customWidth="1"/>
    <col min="1031" max="1280" width="9.109375" style="7001"/>
    <col min="1281" max="1281" width="33.109375" style="7001" customWidth="1"/>
    <col min="1282" max="1282" width="7.88671875" style="7001" customWidth="1"/>
    <col min="1283" max="1283" width="8.109375" style="7001" customWidth="1"/>
    <col min="1284" max="1284" width="13.44140625" style="7001" customWidth="1"/>
    <col min="1285" max="1285" width="13.109375" style="7001" customWidth="1"/>
    <col min="1286" max="1286" width="14" style="7001" customWidth="1"/>
    <col min="1287" max="1536" width="9.109375" style="7001"/>
    <col min="1537" max="1537" width="33.109375" style="7001" customWidth="1"/>
    <col min="1538" max="1538" width="7.88671875" style="7001" customWidth="1"/>
    <col min="1539" max="1539" width="8.109375" style="7001" customWidth="1"/>
    <col min="1540" max="1540" width="13.44140625" style="7001" customWidth="1"/>
    <col min="1541" max="1541" width="13.109375" style="7001" customWidth="1"/>
    <col min="1542" max="1542" width="14" style="7001" customWidth="1"/>
    <col min="1543" max="1792" width="9.109375" style="7001"/>
    <col min="1793" max="1793" width="33.109375" style="7001" customWidth="1"/>
    <col min="1794" max="1794" width="7.88671875" style="7001" customWidth="1"/>
    <col min="1795" max="1795" width="8.109375" style="7001" customWidth="1"/>
    <col min="1796" max="1796" width="13.44140625" style="7001" customWidth="1"/>
    <col min="1797" max="1797" width="13.109375" style="7001" customWidth="1"/>
    <col min="1798" max="1798" width="14" style="7001" customWidth="1"/>
    <col min="1799" max="2048" width="9.109375" style="7001"/>
    <col min="2049" max="2049" width="33.109375" style="7001" customWidth="1"/>
    <col min="2050" max="2050" width="7.88671875" style="7001" customWidth="1"/>
    <col min="2051" max="2051" width="8.109375" style="7001" customWidth="1"/>
    <col min="2052" max="2052" width="13.44140625" style="7001" customWidth="1"/>
    <col min="2053" max="2053" width="13.109375" style="7001" customWidth="1"/>
    <col min="2054" max="2054" width="14" style="7001" customWidth="1"/>
    <col min="2055" max="2304" width="9.109375" style="7001"/>
    <col min="2305" max="2305" width="33.109375" style="7001" customWidth="1"/>
    <col min="2306" max="2306" width="7.88671875" style="7001" customWidth="1"/>
    <col min="2307" max="2307" width="8.109375" style="7001" customWidth="1"/>
    <col min="2308" max="2308" width="13.44140625" style="7001" customWidth="1"/>
    <col min="2309" max="2309" width="13.109375" style="7001" customWidth="1"/>
    <col min="2310" max="2310" width="14" style="7001" customWidth="1"/>
    <col min="2311" max="2560" width="9.109375" style="7001"/>
    <col min="2561" max="2561" width="33.109375" style="7001" customWidth="1"/>
    <col min="2562" max="2562" width="7.88671875" style="7001" customWidth="1"/>
    <col min="2563" max="2563" width="8.109375" style="7001" customWidth="1"/>
    <col min="2564" max="2564" width="13.44140625" style="7001" customWidth="1"/>
    <col min="2565" max="2565" width="13.109375" style="7001" customWidth="1"/>
    <col min="2566" max="2566" width="14" style="7001" customWidth="1"/>
    <col min="2567" max="2816" width="9.109375" style="7001"/>
    <col min="2817" max="2817" width="33.109375" style="7001" customWidth="1"/>
    <col min="2818" max="2818" width="7.88671875" style="7001" customWidth="1"/>
    <col min="2819" max="2819" width="8.109375" style="7001" customWidth="1"/>
    <col min="2820" max="2820" width="13.44140625" style="7001" customWidth="1"/>
    <col min="2821" max="2821" width="13.109375" style="7001" customWidth="1"/>
    <col min="2822" max="2822" width="14" style="7001" customWidth="1"/>
    <col min="2823" max="3072" width="9.109375" style="7001"/>
    <col min="3073" max="3073" width="33.109375" style="7001" customWidth="1"/>
    <col min="3074" max="3074" width="7.88671875" style="7001" customWidth="1"/>
    <col min="3075" max="3075" width="8.109375" style="7001" customWidth="1"/>
    <col min="3076" max="3076" width="13.44140625" style="7001" customWidth="1"/>
    <col min="3077" max="3077" width="13.109375" style="7001" customWidth="1"/>
    <col min="3078" max="3078" width="14" style="7001" customWidth="1"/>
    <col min="3079" max="3328" width="9.109375" style="7001"/>
    <col min="3329" max="3329" width="33.109375" style="7001" customWidth="1"/>
    <col min="3330" max="3330" width="7.88671875" style="7001" customWidth="1"/>
    <col min="3331" max="3331" width="8.109375" style="7001" customWidth="1"/>
    <col min="3332" max="3332" width="13.44140625" style="7001" customWidth="1"/>
    <col min="3333" max="3333" width="13.109375" style="7001" customWidth="1"/>
    <col min="3334" max="3334" width="14" style="7001" customWidth="1"/>
    <col min="3335" max="3584" width="9.109375" style="7001"/>
    <col min="3585" max="3585" width="33.109375" style="7001" customWidth="1"/>
    <col min="3586" max="3586" width="7.88671875" style="7001" customWidth="1"/>
    <col min="3587" max="3587" width="8.109375" style="7001" customWidth="1"/>
    <col min="3588" max="3588" width="13.44140625" style="7001" customWidth="1"/>
    <col min="3589" max="3589" width="13.109375" style="7001" customWidth="1"/>
    <col min="3590" max="3590" width="14" style="7001" customWidth="1"/>
    <col min="3591" max="3840" width="9.109375" style="7001"/>
    <col min="3841" max="3841" width="33.109375" style="7001" customWidth="1"/>
    <col min="3842" max="3842" width="7.88671875" style="7001" customWidth="1"/>
    <col min="3843" max="3843" width="8.109375" style="7001" customWidth="1"/>
    <col min="3844" max="3844" width="13.44140625" style="7001" customWidth="1"/>
    <col min="3845" max="3845" width="13.109375" style="7001" customWidth="1"/>
    <col min="3846" max="3846" width="14" style="7001" customWidth="1"/>
    <col min="3847" max="4096" width="9.109375" style="7001"/>
    <col min="4097" max="4097" width="33.109375" style="7001" customWidth="1"/>
    <col min="4098" max="4098" width="7.88671875" style="7001" customWidth="1"/>
    <col min="4099" max="4099" width="8.109375" style="7001" customWidth="1"/>
    <col min="4100" max="4100" width="13.44140625" style="7001" customWidth="1"/>
    <col min="4101" max="4101" width="13.109375" style="7001" customWidth="1"/>
    <col min="4102" max="4102" width="14" style="7001" customWidth="1"/>
    <col min="4103" max="4352" width="9.109375" style="7001"/>
    <col min="4353" max="4353" width="33.109375" style="7001" customWidth="1"/>
    <col min="4354" max="4354" width="7.88671875" style="7001" customWidth="1"/>
    <col min="4355" max="4355" width="8.109375" style="7001" customWidth="1"/>
    <col min="4356" max="4356" width="13.44140625" style="7001" customWidth="1"/>
    <col min="4357" max="4357" width="13.109375" style="7001" customWidth="1"/>
    <col min="4358" max="4358" width="14" style="7001" customWidth="1"/>
    <col min="4359" max="4608" width="9.109375" style="7001"/>
    <col min="4609" max="4609" width="33.109375" style="7001" customWidth="1"/>
    <col min="4610" max="4610" width="7.88671875" style="7001" customWidth="1"/>
    <col min="4611" max="4611" width="8.109375" style="7001" customWidth="1"/>
    <col min="4612" max="4612" width="13.44140625" style="7001" customWidth="1"/>
    <col min="4613" max="4613" width="13.109375" style="7001" customWidth="1"/>
    <col min="4614" max="4614" width="14" style="7001" customWidth="1"/>
    <col min="4615" max="4864" width="9.109375" style="7001"/>
    <col min="4865" max="4865" width="33.109375" style="7001" customWidth="1"/>
    <col min="4866" max="4866" width="7.88671875" style="7001" customWidth="1"/>
    <col min="4867" max="4867" width="8.109375" style="7001" customWidth="1"/>
    <col min="4868" max="4868" width="13.44140625" style="7001" customWidth="1"/>
    <col min="4869" max="4869" width="13.109375" style="7001" customWidth="1"/>
    <col min="4870" max="4870" width="14" style="7001" customWidth="1"/>
    <col min="4871" max="5120" width="9.109375" style="7001"/>
    <col min="5121" max="5121" width="33.109375" style="7001" customWidth="1"/>
    <col min="5122" max="5122" width="7.88671875" style="7001" customWidth="1"/>
    <col min="5123" max="5123" width="8.109375" style="7001" customWidth="1"/>
    <col min="5124" max="5124" width="13.44140625" style="7001" customWidth="1"/>
    <col min="5125" max="5125" width="13.109375" style="7001" customWidth="1"/>
    <col min="5126" max="5126" width="14" style="7001" customWidth="1"/>
    <col min="5127" max="5376" width="9.109375" style="7001"/>
    <col min="5377" max="5377" width="33.109375" style="7001" customWidth="1"/>
    <col min="5378" max="5378" width="7.88671875" style="7001" customWidth="1"/>
    <col min="5379" max="5379" width="8.109375" style="7001" customWidth="1"/>
    <col min="5380" max="5380" width="13.44140625" style="7001" customWidth="1"/>
    <col min="5381" max="5381" width="13.109375" style="7001" customWidth="1"/>
    <col min="5382" max="5382" width="14" style="7001" customWidth="1"/>
    <col min="5383" max="5632" width="9.109375" style="7001"/>
    <col min="5633" max="5633" width="33.109375" style="7001" customWidth="1"/>
    <col min="5634" max="5634" width="7.88671875" style="7001" customWidth="1"/>
    <col min="5635" max="5635" width="8.109375" style="7001" customWidth="1"/>
    <col min="5636" max="5636" width="13.44140625" style="7001" customWidth="1"/>
    <col min="5637" max="5637" width="13.109375" style="7001" customWidth="1"/>
    <col min="5638" max="5638" width="14" style="7001" customWidth="1"/>
    <col min="5639" max="5888" width="9.109375" style="7001"/>
    <col min="5889" max="5889" width="33.109375" style="7001" customWidth="1"/>
    <col min="5890" max="5890" width="7.88671875" style="7001" customWidth="1"/>
    <col min="5891" max="5891" width="8.109375" style="7001" customWidth="1"/>
    <col min="5892" max="5892" width="13.44140625" style="7001" customWidth="1"/>
    <col min="5893" max="5893" width="13.109375" style="7001" customWidth="1"/>
    <col min="5894" max="5894" width="14" style="7001" customWidth="1"/>
    <col min="5895" max="6144" width="9.109375" style="7001"/>
    <col min="6145" max="6145" width="33.109375" style="7001" customWidth="1"/>
    <col min="6146" max="6146" width="7.88671875" style="7001" customWidth="1"/>
    <col min="6147" max="6147" width="8.109375" style="7001" customWidth="1"/>
    <col min="6148" max="6148" width="13.44140625" style="7001" customWidth="1"/>
    <col min="6149" max="6149" width="13.109375" style="7001" customWidth="1"/>
    <col min="6150" max="6150" width="14" style="7001" customWidth="1"/>
    <col min="6151" max="6400" width="9.109375" style="7001"/>
    <col min="6401" max="6401" width="33.109375" style="7001" customWidth="1"/>
    <col min="6402" max="6402" width="7.88671875" style="7001" customWidth="1"/>
    <col min="6403" max="6403" width="8.109375" style="7001" customWidth="1"/>
    <col min="6404" max="6404" width="13.44140625" style="7001" customWidth="1"/>
    <col min="6405" max="6405" width="13.109375" style="7001" customWidth="1"/>
    <col min="6406" max="6406" width="14" style="7001" customWidth="1"/>
    <col min="6407" max="6656" width="9.109375" style="7001"/>
    <col min="6657" max="6657" width="33.109375" style="7001" customWidth="1"/>
    <col min="6658" max="6658" width="7.88671875" style="7001" customWidth="1"/>
    <col min="6659" max="6659" width="8.109375" style="7001" customWidth="1"/>
    <col min="6660" max="6660" width="13.44140625" style="7001" customWidth="1"/>
    <col min="6661" max="6661" width="13.109375" style="7001" customWidth="1"/>
    <col min="6662" max="6662" width="14" style="7001" customWidth="1"/>
    <col min="6663" max="6912" width="9.109375" style="7001"/>
    <col min="6913" max="6913" width="33.109375" style="7001" customWidth="1"/>
    <col min="6914" max="6914" width="7.88671875" style="7001" customWidth="1"/>
    <col min="6915" max="6915" width="8.109375" style="7001" customWidth="1"/>
    <col min="6916" max="6916" width="13.44140625" style="7001" customWidth="1"/>
    <col min="6917" max="6917" width="13.109375" style="7001" customWidth="1"/>
    <col min="6918" max="6918" width="14" style="7001" customWidth="1"/>
    <col min="6919" max="7168" width="9.109375" style="7001"/>
    <col min="7169" max="7169" width="33.109375" style="7001" customWidth="1"/>
    <col min="7170" max="7170" width="7.88671875" style="7001" customWidth="1"/>
    <col min="7171" max="7171" width="8.109375" style="7001" customWidth="1"/>
    <col min="7172" max="7172" width="13.44140625" style="7001" customWidth="1"/>
    <col min="7173" max="7173" width="13.109375" style="7001" customWidth="1"/>
    <col min="7174" max="7174" width="14" style="7001" customWidth="1"/>
    <col min="7175" max="7424" width="9.109375" style="7001"/>
    <col min="7425" max="7425" width="33.109375" style="7001" customWidth="1"/>
    <col min="7426" max="7426" width="7.88671875" style="7001" customWidth="1"/>
    <col min="7427" max="7427" width="8.109375" style="7001" customWidth="1"/>
    <col min="7428" max="7428" width="13.44140625" style="7001" customWidth="1"/>
    <col min="7429" max="7429" width="13.109375" style="7001" customWidth="1"/>
    <col min="7430" max="7430" width="14" style="7001" customWidth="1"/>
    <col min="7431" max="7680" width="9.109375" style="7001"/>
    <col min="7681" max="7681" width="33.109375" style="7001" customWidth="1"/>
    <col min="7682" max="7682" width="7.88671875" style="7001" customWidth="1"/>
    <col min="7683" max="7683" width="8.109375" style="7001" customWidth="1"/>
    <col min="7684" max="7684" width="13.44140625" style="7001" customWidth="1"/>
    <col min="7685" max="7685" width="13.109375" style="7001" customWidth="1"/>
    <col min="7686" max="7686" width="14" style="7001" customWidth="1"/>
    <col min="7687" max="7936" width="9.109375" style="7001"/>
    <col min="7937" max="7937" width="33.109375" style="7001" customWidth="1"/>
    <col min="7938" max="7938" width="7.88671875" style="7001" customWidth="1"/>
    <col min="7939" max="7939" width="8.109375" style="7001" customWidth="1"/>
    <col min="7940" max="7940" width="13.44140625" style="7001" customWidth="1"/>
    <col min="7941" max="7941" width="13.109375" style="7001" customWidth="1"/>
    <col min="7942" max="7942" width="14" style="7001" customWidth="1"/>
    <col min="7943" max="8192" width="9.109375" style="7001"/>
    <col min="8193" max="8193" width="33.109375" style="7001" customWidth="1"/>
    <col min="8194" max="8194" width="7.88671875" style="7001" customWidth="1"/>
    <col min="8195" max="8195" width="8.109375" style="7001" customWidth="1"/>
    <col min="8196" max="8196" width="13.44140625" style="7001" customWidth="1"/>
    <col min="8197" max="8197" width="13.109375" style="7001" customWidth="1"/>
    <col min="8198" max="8198" width="14" style="7001" customWidth="1"/>
    <col min="8199" max="8448" width="9.109375" style="7001"/>
    <col min="8449" max="8449" width="33.109375" style="7001" customWidth="1"/>
    <col min="8450" max="8450" width="7.88671875" style="7001" customWidth="1"/>
    <col min="8451" max="8451" width="8.109375" style="7001" customWidth="1"/>
    <col min="8452" max="8452" width="13.44140625" style="7001" customWidth="1"/>
    <col min="8453" max="8453" width="13.109375" style="7001" customWidth="1"/>
    <col min="8454" max="8454" width="14" style="7001" customWidth="1"/>
    <col min="8455" max="8704" width="9.109375" style="7001"/>
    <col min="8705" max="8705" width="33.109375" style="7001" customWidth="1"/>
    <col min="8706" max="8706" width="7.88671875" style="7001" customWidth="1"/>
    <col min="8707" max="8707" width="8.109375" style="7001" customWidth="1"/>
    <col min="8708" max="8708" width="13.44140625" style="7001" customWidth="1"/>
    <col min="8709" max="8709" width="13.109375" style="7001" customWidth="1"/>
    <col min="8710" max="8710" width="14" style="7001" customWidth="1"/>
    <col min="8711" max="8960" width="9.109375" style="7001"/>
    <col min="8961" max="8961" width="33.109375" style="7001" customWidth="1"/>
    <col min="8962" max="8962" width="7.88671875" style="7001" customWidth="1"/>
    <col min="8963" max="8963" width="8.109375" style="7001" customWidth="1"/>
    <col min="8964" max="8964" width="13.44140625" style="7001" customWidth="1"/>
    <col min="8965" max="8965" width="13.109375" style="7001" customWidth="1"/>
    <col min="8966" max="8966" width="14" style="7001" customWidth="1"/>
    <col min="8967" max="9216" width="9.109375" style="7001"/>
    <col min="9217" max="9217" width="33.109375" style="7001" customWidth="1"/>
    <col min="9218" max="9218" width="7.88671875" style="7001" customWidth="1"/>
    <col min="9219" max="9219" width="8.109375" style="7001" customWidth="1"/>
    <col min="9220" max="9220" width="13.44140625" style="7001" customWidth="1"/>
    <col min="9221" max="9221" width="13.109375" style="7001" customWidth="1"/>
    <col min="9222" max="9222" width="14" style="7001" customWidth="1"/>
    <col min="9223" max="9472" width="9.109375" style="7001"/>
    <col min="9473" max="9473" width="33.109375" style="7001" customWidth="1"/>
    <col min="9474" max="9474" width="7.88671875" style="7001" customWidth="1"/>
    <col min="9475" max="9475" width="8.109375" style="7001" customWidth="1"/>
    <col min="9476" max="9476" width="13.44140625" style="7001" customWidth="1"/>
    <col min="9477" max="9477" width="13.109375" style="7001" customWidth="1"/>
    <col min="9478" max="9478" width="14" style="7001" customWidth="1"/>
    <col min="9479" max="9728" width="9.109375" style="7001"/>
    <col min="9729" max="9729" width="33.109375" style="7001" customWidth="1"/>
    <col min="9730" max="9730" width="7.88671875" style="7001" customWidth="1"/>
    <col min="9731" max="9731" width="8.109375" style="7001" customWidth="1"/>
    <col min="9732" max="9732" width="13.44140625" style="7001" customWidth="1"/>
    <col min="9733" max="9733" width="13.109375" style="7001" customWidth="1"/>
    <col min="9734" max="9734" width="14" style="7001" customWidth="1"/>
    <col min="9735" max="9984" width="9.109375" style="7001"/>
    <col min="9985" max="9985" width="33.109375" style="7001" customWidth="1"/>
    <col min="9986" max="9986" width="7.88671875" style="7001" customWidth="1"/>
    <col min="9987" max="9987" width="8.109375" style="7001" customWidth="1"/>
    <col min="9988" max="9988" width="13.44140625" style="7001" customWidth="1"/>
    <col min="9989" max="9989" width="13.109375" style="7001" customWidth="1"/>
    <col min="9990" max="9990" width="14" style="7001" customWidth="1"/>
    <col min="9991" max="10240" width="9.109375" style="7001"/>
    <col min="10241" max="10241" width="33.109375" style="7001" customWidth="1"/>
    <col min="10242" max="10242" width="7.88671875" style="7001" customWidth="1"/>
    <col min="10243" max="10243" width="8.109375" style="7001" customWidth="1"/>
    <col min="10244" max="10244" width="13.44140625" style="7001" customWidth="1"/>
    <col min="10245" max="10245" width="13.109375" style="7001" customWidth="1"/>
    <col min="10246" max="10246" width="14" style="7001" customWidth="1"/>
    <col min="10247" max="10496" width="9.109375" style="7001"/>
    <col min="10497" max="10497" width="33.109375" style="7001" customWidth="1"/>
    <col min="10498" max="10498" width="7.88671875" style="7001" customWidth="1"/>
    <col min="10499" max="10499" width="8.109375" style="7001" customWidth="1"/>
    <col min="10500" max="10500" width="13.44140625" style="7001" customWidth="1"/>
    <col min="10501" max="10501" width="13.109375" style="7001" customWidth="1"/>
    <col min="10502" max="10502" width="14" style="7001" customWidth="1"/>
    <col min="10503" max="10752" width="9.109375" style="7001"/>
    <col min="10753" max="10753" width="33.109375" style="7001" customWidth="1"/>
    <col min="10754" max="10754" width="7.88671875" style="7001" customWidth="1"/>
    <col min="10755" max="10755" width="8.109375" style="7001" customWidth="1"/>
    <col min="10756" max="10756" width="13.44140625" style="7001" customWidth="1"/>
    <col min="10757" max="10757" width="13.109375" style="7001" customWidth="1"/>
    <col min="10758" max="10758" width="14" style="7001" customWidth="1"/>
    <col min="10759" max="11008" width="9.109375" style="7001"/>
    <col min="11009" max="11009" width="33.109375" style="7001" customWidth="1"/>
    <col min="11010" max="11010" width="7.88671875" style="7001" customWidth="1"/>
    <col min="11011" max="11011" width="8.109375" style="7001" customWidth="1"/>
    <col min="11012" max="11012" width="13.44140625" style="7001" customWidth="1"/>
    <col min="11013" max="11013" width="13.109375" style="7001" customWidth="1"/>
    <col min="11014" max="11014" width="14" style="7001" customWidth="1"/>
    <col min="11015" max="11264" width="9.109375" style="7001"/>
    <col min="11265" max="11265" width="33.109375" style="7001" customWidth="1"/>
    <col min="11266" max="11266" width="7.88671875" style="7001" customWidth="1"/>
    <col min="11267" max="11267" width="8.109375" style="7001" customWidth="1"/>
    <col min="11268" max="11268" width="13.44140625" style="7001" customWidth="1"/>
    <col min="11269" max="11269" width="13.109375" style="7001" customWidth="1"/>
    <col min="11270" max="11270" width="14" style="7001" customWidth="1"/>
    <col min="11271" max="11520" width="9.109375" style="7001"/>
    <col min="11521" max="11521" width="33.109375" style="7001" customWidth="1"/>
    <col min="11522" max="11522" width="7.88671875" style="7001" customWidth="1"/>
    <col min="11523" max="11523" width="8.109375" style="7001" customWidth="1"/>
    <col min="11524" max="11524" width="13.44140625" style="7001" customWidth="1"/>
    <col min="11525" max="11525" width="13.109375" style="7001" customWidth="1"/>
    <col min="11526" max="11526" width="14" style="7001" customWidth="1"/>
    <col min="11527" max="11776" width="9.109375" style="7001"/>
    <col min="11777" max="11777" width="33.109375" style="7001" customWidth="1"/>
    <col min="11778" max="11778" width="7.88671875" style="7001" customWidth="1"/>
    <col min="11779" max="11779" width="8.109375" style="7001" customWidth="1"/>
    <col min="11780" max="11780" width="13.44140625" style="7001" customWidth="1"/>
    <col min="11781" max="11781" width="13.109375" style="7001" customWidth="1"/>
    <col min="11782" max="11782" width="14" style="7001" customWidth="1"/>
    <col min="11783" max="12032" width="9.109375" style="7001"/>
    <col min="12033" max="12033" width="33.109375" style="7001" customWidth="1"/>
    <col min="12034" max="12034" width="7.88671875" style="7001" customWidth="1"/>
    <col min="12035" max="12035" width="8.109375" style="7001" customWidth="1"/>
    <col min="12036" max="12036" width="13.44140625" style="7001" customWidth="1"/>
    <col min="12037" max="12037" width="13.109375" style="7001" customWidth="1"/>
    <col min="12038" max="12038" width="14" style="7001" customWidth="1"/>
    <col min="12039" max="12288" width="9.109375" style="7001"/>
    <col min="12289" max="12289" width="33.109375" style="7001" customWidth="1"/>
    <col min="12290" max="12290" width="7.88671875" style="7001" customWidth="1"/>
    <col min="12291" max="12291" width="8.109375" style="7001" customWidth="1"/>
    <col min="12292" max="12292" width="13.44140625" style="7001" customWidth="1"/>
    <col min="12293" max="12293" width="13.109375" style="7001" customWidth="1"/>
    <col min="12294" max="12294" width="14" style="7001" customWidth="1"/>
    <col min="12295" max="12544" width="9.109375" style="7001"/>
    <col min="12545" max="12545" width="33.109375" style="7001" customWidth="1"/>
    <col min="12546" max="12546" width="7.88671875" style="7001" customWidth="1"/>
    <col min="12547" max="12547" width="8.109375" style="7001" customWidth="1"/>
    <col min="12548" max="12548" width="13.44140625" style="7001" customWidth="1"/>
    <col min="12549" max="12549" width="13.109375" style="7001" customWidth="1"/>
    <col min="12550" max="12550" width="14" style="7001" customWidth="1"/>
    <col min="12551" max="12800" width="9.109375" style="7001"/>
    <col min="12801" max="12801" width="33.109375" style="7001" customWidth="1"/>
    <col min="12802" max="12802" width="7.88671875" style="7001" customWidth="1"/>
    <col min="12803" max="12803" width="8.109375" style="7001" customWidth="1"/>
    <col min="12804" max="12804" width="13.44140625" style="7001" customWidth="1"/>
    <col min="12805" max="12805" width="13.109375" style="7001" customWidth="1"/>
    <col min="12806" max="12806" width="14" style="7001" customWidth="1"/>
    <col min="12807" max="13056" width="9.109375" style="7001"/>
    <col min="13057" max="13057" width="33.109375" style="7001" customWidth="1"/>
    <col min="13058" max="13058" width="7.88671875" style="7001" customWidth="1"/>
    <col min="13059" max="13059" width="8.109375" style="7001" customWidth="1"/>
    <col min="13060" max="13060" width="13.44140625" style="7001" customWidth="1"/>
    <col min="13061" max="13061" width="13.109375" style="7001" customWidth="1"/>
    <col min="13062" max="13062" width="14" style="7001" customWidth="1"/>
    <col min="13063" max="13312" width="9.109375" style="7001"/>
    <col min="13313" max="13313" width="33.109375" style="7001" customWidth="1"/>
    <col min="13314" max="13314" width="7.88671875" style="7001" customWidth="1"/>
    <col min="13315" max="13315" width="8.109375" style="7001" customWidth="1"/>
    <col min="13316" max="13316" width="13.44140625" style="7001" customWidth="1"/>
    <col min="13317" max="13317" width="13.109375" style="7001" customWidth="1"/>
    <col min="13318" max="13318" width="14" style="7001" customWidth="1"/>
    <col min="13319" max="13568" width="9.109375" style="7001"/>
    <col min="13569" max="13569" width="33.109375" style="7001" customWidth="1"/>
    <col min="13570" max="13570" width="7.88671875" style="7001" customWidth="1"/>
    <col min="13571" max="13571" width="8.109375" style="7001" customWidth="1"/>
    <col min="13572" max="13572" width="13.44140625" style="7001" customWidth="1"/>
    <col min="13573" max="13573" width="13.109375" style="7001" customWidth="1"/>
    <col min="13574" max="13574" width="14" style="7001" customWidth="1"/>
    <col min="13575" max="13824" width="9.109375" style="7001"/>
    <col min="13825" max="13825" width="33.109375" style="7001" customWidth="1"/>
    <col min="13826" max="13826" width="7.88671875" style="7001" customWidth="1"/>
    <col min="13827" max="13827" width="8.109375" style="7001" customWidth="1"/>
    <col min="13828" max="13828" width="13.44140625" style="7001" customWidth="1"/>
    <col min="13829" max="13829" width="13.109375" style="7001" customWidth="1"/>
    <col min="13830" max="13830" width="14" style="7001" customWidth="1"/>
    <col min="13831" max="14080" width="9.109375" style="7001"/>
    <col min="14081" max="14081" width="33.109375" style="7001" customWidth="1"/>
    <col min="14082" max="14082" width="7.88671875" style="7001" customWidth="1"/>
    <col min="14083" max="14083" width="8.109375" style="7001" customWidth="1"/>
    <col min="14084" max="14084" width="13.44140625" style="7001" customWidth="1"/>
    <col min="14085" max="14085" width="13.109375" style="7001" customWidth="1"/>
    <col min="14086" max="14086" width="14" style="7001" customWidth="1"/>
    <col min="14087" max="14336" width="9.109375" style="7001"/>
    <col min="14337" max="14337" width="33.109375" style="7001" customWidth="1"/>
    <col min="14338" max="14338" width="7.88671875" style="7001" customWidth="1"/>
    <col min="14339" max="14339" width="8.109375" style="7001" customWidth="1"/>
    <col min="14340" max="14340" width="13.44140625" style="7001" customWidth="1"/>
    <col min="14341" max="14341" width="13.109375" style="7001" customWidth="1"/>
    <col min="14342" max="14342" width="14" style="7001" customWidth="1"/>
    <col min="14343" max="14592" width="9.109375" style="7001"/>
    <col min="14593" max="14593" width="33.109375" style="7001" customWidth="1"/>
    <col min="14594" max="14594" width="7.88671875" style="7001" customWidth="1"/>
    <col min="14595" max="14595" width="8.109375" style="7001" customWidth="1"/>
    <col min="14596" max="14596" width="13.44140625" style="7001" customWidth="1"/>
    <col min="14597" max="14597" width="13.109375" style="7001" customWidth="1"/>
    <col min="14598" max="14598" width="14" style="7001" customWidth="1"/>
    <col min="14599" max="14848" width="9.109375" style="7001"/>
    <col min="14849" max="14849" width="33.109375" style="7001" customWidth="1"/>
    <col min="14850" max="14850" width="7.88671875" style="7001" customWidth="1"/>
    <col min="14851" max="14851" width="8.109375" style="7001" customWidth="1"/>
    <col min="14852" max="14852" width="13.44140625" style="7001" customWidth="1"/>
    <col min="14853" max="14853" width="13.109375" style="7001" customWidth="1"/>
    <col min="14854" max="14854" width="14" style="7001" customWidth="1"/>
    <col min="14855" max="15104" width="9.109375" style="7001"/>
    <col min="15105" max="15105" width="33.109375" style="7001" customWidth="1"/>
    <col min="15106" max="15106" width="7.88671875" style="7001" customWidth="1"/>
    <col min="15107" max="15107" width="8.109375" style="7001" customWidth="1"/>
    <col min="15108" max="15108" width="13.44140625" style="7001" customWidth="1"/>
    <col min="15109" max="15109" width="13.109375" style="7001" customWidth="1"/>
    <col min="15110" max="15110" width="14" style="7001" customWidth="1"/>
    <col min="15111" max="15360" width="9.109375" style="7001"/>
    <col min="15361" max="15361" width="33.109375" style="7001" customWidth="1"/>
    <col min="15362" max="15362" width="7.88671875" style="7001" customWidth="1"/>
    <col min="15363" max="15363" width="8.109375" style="7001" customWidth="1"/>
    <col min="15364" max="15364" width="13.44140625" style="7001" customWidth="1"/>
    <col min="15365" max="15365" width="13.109375" style="7001" customWidth="1"/>
    <col min="15366" max="15366" width="14" style="7001" customWidth="1"/>
    <col min="15367" max="15616" width="9.109375" style="7001"/>
    <col min="15617" max="15617" width="33.109375" style="7001" customWidth="1"/>
    <col min="15618" max="15618" width="7.88671875" style="7001" customWidth="1"/>
    <col min="15619" max="15619" width="8.109375" style="7001" customWidth="1"/>
    <col min="15620" max="15620" width="13.44140625" style="7001" customWidth="1"/>
    <col min="15621" max="15621" width="13.109375" style="7001" customWidth="1"/>
    <col min="15622" max="15622" width="14" style="7001" customWidth="1"/>
    <col min="15623" max="15872" width="9.109375" style="7001"/>
    <col min="15873" max="15873" width="33.109375" style="7001" customWidth="1"/>
    <col min="15874" max="15874" width="7.88671875" style="7001" customWidth="1"/>
    <col min="15875" max="15875" width="8.109375" style="7001" customWidth="1"/>
    <col min="15876" max="15876" width="13.44140625" style="7001" customWidth="1"/>
    <col min="15877" max="15877" width="13.109375" style="7001" customWidth="1"/>
    <col min="15878" max="15878" width="14" style="7001" customWidth="1"/>
    <col min="15879" max="16128" width="9.109375" style="7001"/>
    <col min="16129" max="16129" width="33.109375" style="7001" customWidth="1"/>
    <col min="16130" max="16130" width="7.88671875" style="7001" customWidth="1"/>
    <col min="16131" max="16131" width="8.109375" style="7001" customWidth="1"/>
    <col min="16132" max="16132" width="13.44140625" style="7001" customWidth="1"/>
    <col min="16133" max="16133" width="13.109375" style="7001" customWidth="1"/>
    <col min="16134" max="16134" width="14" style="7001" customWidth="1"/>
    <col min="16135" max="16384" width="9.109375" style="7001"/>
  </cols>
  <sheetData>
    <row r="1" spans="1:8" ht="12.9" customHeight="1">
      <c r="A1" s="14395" t="s">
        <v>1087</v>
      </c>
      <c r="B1" s="14395"/>
      <c r="C1" s="14395"/>
      <c r="D1" s="14395"/>
      <c r="E1" s="14395"/>
      <c r="F1" s="14395"/>
    </row>
    <row r="3" spans="1:8" ht="12.9" customHeight="1">
      <c r="A3" s="7162" t="s">
        <v>1401</v>
      </c>
    </row>
    <row r="4" spans="1:8" ht="12.9" customHeight="1" thickBot="1"/>
    <row r="5" spans="1:8" ht="12.9" customHeight="1">
      <c r="A5" s="9736"/>
      <c r="B5" s="9788"/>
      <c r="C5" s="9788"/>
      <c r="D5" s="14917"/>
      <c r="E5" s="14917"/>
      <c r="F5" s="14918"/>
    </row>
    <row r="6" spans="1:8" ht="12.9" customHeight="1">
      <c r="A6" s="7167" t="s">
        <v>842</v>
      </c>
      <c r="B6" s="7168" t="s">
        <v>1035</v>
      </c>
      <c r="C6" s="7168" t="s">
        <v>1036</v>
      </c>
      <c r="D6" s="15263" t="s">
        <v>1037</v>
      </c>
      <c r="E6" s="15263"/>
      <c r="F6" s="15264"/>
    </row>
    <row r="7" spans="1:8" ht="12.9" customHeight="1" thickBot="1">
      <c r="A7" s="9679" t="s">
        <v>1088</v>
      </c>
      <c r="B7" s="9755" t="s">
        <v>9</v>
      </c>
      <c r="C7" s="9755" t="s">
        <v>1039</v>
      </c>
      <c r="D7" s="9680" t="s">
        <v>10</v>
      </c>
      <c r="E7" s="9680" t="s">
        <v>11</v>
      </c>
      <c r="F7" s="9789" t="s">
        <v>11621</v>
      </c>
    </row>
    <row r="8" spans="1:8" ht="12.9" customHeight="1">
      <c r="A8" s="7231" t="s">
        <v>9</v>
      </c>
      <c r="B8" s="9665"/>
      <c r="C8" s="7174"/>
      <c r="D8" s="9665"/>
      <c r="E8" s="7174"/>
      <c r="F8" s="7242"/>
    </row>
    <row r="9" spans="1:8" ht="12.9" customHeight="1">
      <c r="A9" s="7231" t="s">
        <v>1139</v>
      </c>
      <c r="B9" s="7174"/>
      <c r="C9" s="7174"/>
      <c r="D9" s="7174"/>
      <c r="E9" s="7174"/>
      <c r="F9" s="7242"/>
    </row>
    <row r="10" spans="1:8" ht="12.9" customHeight="1">
      <c r="A10" s="6230" t="s">
        <v>1149</v>
      </c>
      <c r="B10" s="7174"/>
      <c r="C10" s="7174"/>
      <c r="D10" s="7174"/>
      <c r="E10" s="7174"/>
      <c r="F10" s="7242"/>
    </row>
    <row r="11" spans="1:8" ht="12.9" customHeight="1">
      <c r="A11" s="7231" t="s">
        <v>1195</v>
      </c>
      <c r="B11" s="7172">
        <v>1</v>
      </c>
      <c r="C11" s="7172">
        <v>26</v>
      </c>
      <c r="D11" s="7177">
        <v>947520</v>
      </c>
      <c r="E11" s="7177">
        <v>1121856</v>
      </c>
      <c r="F11" s="7245">
        <v>1310364</v>
      </c>
      <c r="G11" s="7001">
        <f>SUM(B11)</f>
        <v>1</v>
      </c>
      <c r="H11" s="7164">
        <f>SUM(F11)</f>
        <v>1310364</v>
      </c>
    </row>
    <row r="12" spans="1:8" ht="12.9" customHeight="1">
      <c r="A12" s="7231"/>
      <c r="B12" s="7174"/>
      <c r="C12" s="7174"/>
      <c r="D12" s="7174"/>
      <c r="E12" s="7174"/>
      <c r="F12" s="7242"/>
    </row>
    <row r="13" spans="1:8" ht="12.9" customHeight="1">
      <c r="A13" s="6230" t="s">
        <v>1151</v>
      </c>
      <c r="B13" s="7174"/>
      <c r="C13" s="7174"/>
      <c r="D13" s="7174"/>
      <c r="E13" s="7174"/>
      <c r="F13" s="7242"/>
    </row>
    <row r="14" spans="1:8" ht="12.9" customHeight="1">
      <c r="A14" s="6230" t="s">
        <v>1109</v>
      </c>
      <c r="B14" s="7174"/>
      <c r="C14" s="7174"/>
      <c r="D14" s="7174"/>
      <c r="E14" s="7174"/>
      <c r="F14" s="7242"/>
    </row>
    <row r="15" spans="1:8" ht="12.9" customHeight="1">
      <c r="A15" s="7231" t="s">
        <v>1403</v>
      </c>
      <c r="B15" s="7172">
        <v>0</v>
      </c>
      <c r="C15" s="7172">
        <v>24</v>
      </c>
      <c r="D15" s="7177">
        <v>772992</v>
      </c>
      <c r="E15" s="7177">
        <v>0</v>
      </c>
      <c r="F15" s="7245">
        <v>0</v>
      </c>
    </row>
    <row r="16" spans="1:8" ht="12.9" customHeight="1">
      <c r="A16" s="7231" t="s">
        <v>10159</v>
      </c>
      <c r="B16" s="7172">
        <v>1</v>
      </c>
      <c r="C16" s="7172">
        <v>18</v>
      </c>
      <c r="D16" s="7177">
        <v>428316</v>
      </c>
      <c r="E16" s="7177">
        <v>462516</v>
      </c>
      <c r="F16" s="7245">
        <v>493680</v>
      </c>
    </row>
    <row r="17" spans="1:8" ht="12.9" customHeight="1">
      <c r="A17" s="7231" t="s">
        <v>10160</v>
      </c>
      <c r="B17" s="7172">
        <v>1</v>
      </c>
      <c r="C17" s="7172">
        <v>15</v>
      </c>
      <c r="D17" s="7177">
        <v>330780</v>
      </c>
      <c r="E17" s="7177">
        <v>348120</v>
      </c>
      <c r="F17" s="7245">
        <v>370908</v>
      </c>
    </row>
    <row r="18" spans="1:8" ht="12.9" customHeight="1">
      <c r="A18" s="7231" t="s">
        <v>1350</v>
      </c>
      <c r="B18" s="7172">
        <v>3</v>
      </c>
      <c r="C18" s="7172">
        <v>11</v>
      </c>
      <c r="D18" s="7177">
        <v>235440</v>
      </c>
      <c r="E18" s="7177">
        <v>245244</v>
      </c>
      <c r="F18" s="7245">
        <v>750552</v>
      </c>
    </row>
    <row r="19" spans="1:8" ht="12.9" customHeight="1">
      <c r="A19" s="7231"/>
      <c r="B19" s="7172"/>
      <c r="C19" s="7172"/>
      <c r="D19" s="7177"/>
      <c r="E19" s="7177"/>
      <c r="F19" s="7245"/>
      <c r="G19" s="7001">
        <f>SUM(B15:B18)</f>
        <v>5</v>
      </c>
      <c r="H19" s="7164">
        <f>SUM(F15:F18)</f>
        <v>1615140</v>
      </c>
    </row>
    <row r="20" spans="1:8" ht="12.9" customHeight="1">
      <c r="A20" s="6230" t="s">
        <v>1152</v>
      </c>
      <c r="B20" s="7172"/>
      <c r="C20" s="7172"/>
      <c r="D20" s="7177"/>
      <c r="E20" s="7177"/>
      <c r="F20" s="7245"/>
    </row>
    <row r="21" spans="1:8" ht="12.9" customHeight="1">
      <c r="A21" s="7231" t="s">
        <v>1404</v>
      </c>
      <c r="B21" s="7172">
        <v>1</v>
      </c>
      <c r="C21" s="7172">
        <v>15</v>
      </c>
      <c r="D21" s="7177">
        <v>330780</v>
      </c>
      <c r="E21" s="7177">
        <v>348120</v>
      </c>
      <c r="F21" s="7245">
        <v>370908</v>
      </c>
    </row>
    <row r="22" spans="1:8" ht="12.9" customHeight="1">
      <c r="A22" s="7231" t="s">
        <v>1405</v>
      </c>
      <c r="B22" s="7172">
        <v>1</v>
      </c>
      <c r="C22" s="7172">
        <v>11</v>
      </c>
      <c r="D22" s="7177">
        <v>235440</v>
      </c>
      <c r="E22" s="7177">
        <v>242148</v>
      </c>
      <c r="F22" s="7245">
        <v>252456</v>
      </c>
    </row>
    <row r="23" spans="1:8" ht="12.9" customHeight="1">
      <c r="A23" s="7231" t="s">
        <v>4546</v>
      </c>
      <c r="B23" s="7172">
        <v>2</v>
      </c>
      <c r="C23" s="7172">
        <v>8</v>
      </c>
      <c r="D23" s="7177">
        <v>392652</v>
      </c>
      <c r="E23" s="7177">
        <v>403812</v>
      </c>
      <c r="F23" s="7245">
        <v>415272</v>
      </c>
    </row>
    <row r="24" spans="1:8" ht="12.9" customHeight="1">
      <c r="A24" s="7231" t="s">
        <v>1393</v>
      </c>
      <c r="B24" s="7172">
        <v>5</v>
      </c>
      <c r="C24" s="7172">
        <v>5</v>
      </c>
      <c r="D24" s="7177">
        <v>983532</v>
      </c>
      <c r="E24" s="7177">
        <v>848496</v>
      </c>
      <c r="F24" s="7245">
        <v>876036</v>
      </c>
    </row>
    <row r="25" spans="1:8" ht="12.9" hidden="1" customHeight="1">
      <c r="A25" s="7231" t="s">
        <v>1208</v>
      </c>
      <c r="B25" s="7172">
        <v>0</v>
      </c>
      <c r="C25" s="7172">
        <v>4</v>
      </c>
      <c r="D25" s="7177">
        <v>0</v>
      </c>
      <c r="E25" s="7177">
        <v>0</v>
      </c>
      <c r="F25" s="7245">
        <v>0</v>
      </c>
    </row>
    <row r="26" spans="1:8" ht="12.9" customHeight="1">
      <c r="A26" s="7231" t="s">
        <v>1406</v>
      </c>
      <c r="B26" s="7172">
        <v>4</v>
      </c>
      <c r="C26" s="7172">
        <v>3</v>
      </c>
      <c r="D26" s="7177">
        <v>702936</v>
      </c>
      <c r="E26" s="7177">
        <v>736488</v>
      </c>
      <c r="F26" s="7245">
        <f>768984-151896</f>
        <v>617088</v>
      </c>
    </row>
    <row r="27" spans="1:8" ht="12.9" customHeight="1">
      <c r="A27" s="7231"/>
      <c r="B27" s="7172"/>
      <c r="C27" s="7172"/>
      <c r="D27" s="7177"/>
      <c r="E27" s="7177"/>
      <c r="F27" s="7245"/>
      <c r="G27" s="7001">
        <f>SUM(B21:B27)</f>
        <v>13</v>
      </c>
      <c r="H27" s="7164">
        <f>SUM(F21:F26)</f>
        <v>2531760</v>
      </c>
    </row>
    <row r="28" spans="1:8" ht="12.9" customHeight="1">
      <c r="A28" s="6230" t="s">
        <v>1094</v>
      </c>
      <c r="B28" s="7172"/>
      <c r="C28" s="7172"/>
      <c r="D28" s="7177"/>
      <c r="E28" s="7177"/>
      <c r="F28" s="7245"/>
    </row>
    <row r="29" spans="1:8" ht="12.9" customHeight="1">
      <c r="A29" s="7231" t="s">
        <v>11304</v>
      </c>
      <c r="B29" s="9403">
        <v>1</v>
      </c>
      <c r="C29" s="9403">
        <v>8</v>
      </c>
      <c r="D29" s="7177">
        <v>0</v>
      </c>
      <c r="E29" s="7177">
        <v>0</v>
      </c>
      <c r="F29" s="9948">
        <v>201096</v>
      </c>
    </row>
    <row r="30" spans="1:8" ht="12.9" customHeight="1">
      <c r="A30" s="7231" t="s">
        <v>1395</v>
      </c>
      <c r="B30" s="7172">
        <v>0</v>
      </c>
      <c r="C30" s="7172">
        <v>11</v>
      </c>
      <c r="D30" s="7177">
        <v>238236</v>
      </c>
      <c r="E30" s="7177">
        <v>0</v>
      </c>
      <c r="F30" s="7245">
        <v>0</v>
      </c>
    </row>
    <row r="31" spans="1:8" ht="12.9" customHeight="1">
      <c r="A31" s="7231" t="s">
        <v>1156</v>
      </c>
      <c r="B31" s="7172">
        <v>2</v>
      </c>
      <c r="C31" s="7172">
        <v>3</v>
      </c>
      <c r="D31" s="7177">
        <v>290640</v>
      </c>
      <c r="E31" s="7177">
        <v>302880</v>
      </c>
      <c r="F31" s="7245">
        <v>315648</v>
      </c>
    </row>
    <row r="32" spans="1:8" ht="12.9" customHeight="1">
      <c r="A32" s="7231" t="s">
        <v>1407</v>
      </c>
      <c r="B32" s="7172">
        <v>1</v>
      </c>
      <c r="C32" s="7172">
        <v>3</v>
      </c>
      <c r="D32" s="7177">
        <v>139068</v>
      </c>
      <c r="E32" s="7177">
        <v>145344</v>
      </c>
      <c r="F32" s="7245">
        <v>153072</v>
      </c>
    </row>
    <row r="33" spans="1:8" ht="12.9" customHeight="1">
      <c r="A33" s="7231" t="s">
        <v>11401</v>
      </c>
      <c r="B33" s="9403">
        <v>1</v>
      </c>
      <c r="C33" s="9403">
        <v>2</v>
      </c>
      <c r="D33" s="9608"/>
      <c r="E33" s="9608">
        <v>134400</v>
      </c>
      <c r="F33" s="9948">
        <v>141132</v>
      </c>
    </row>
    <row r="34" spans="1:8" ht="12.9" customHeight="1" thickBot="1">
      <c r="A34" s="7231" t="s">
        <v>1158</v>
      </c>
      <c r="B34" s="8414">
        <v>2</v>
      </c>
      <c r="C34" s="8414">
        <v>1</v>
      </c>
      <c r="D34" s="8415">
        <v>247380</v>
      </c>
      <c r="E34" s="8415">
        <v>132912</v>
      </c>
      <c r="F34" s="7245">
        <v>272436</v>
      </c>
      <c r="G34" s="7001">
        <f>SUM(B29:B34)</f>
        <v>7</v>
      </c>
      <c r="H34" s="7164">
        <f>SUM(F29:F34)</f>
        <v>1083384</v>
      </c>
    </row>
    <row r="35" spans="1:8" ht="12.9" customHeight="1" thickBot="1">
      <c r="A35" s="9838" t="s">
        <v>1159</v>
      </c>
      <c r="B35" s="10845">
        <f>SUM(B11:B34)</f>
        <v>26</v>
      </c>
      <c r="C35" s="10854"/>
      <c r="D35" s="9840">
        <f>SUM(D11:D34)</f>
        <v>6275712</v>
      </c>
      <c r="E35" s="9840">
        <f>SUM(E11:E34)</f>
        <v>5472336</v>
      </c>
      <c r="F35" s="10786">
        <f>SUM(F11:F34)</f>
        <v>6540648</v>
      </c>
    </row>
    <row r="36" spans="1:8" ht="12.9" customHeight="1">
      <c r="A36" s="7231"/>
      <c r="B36" s="7174"/>
      <c r="C36" s="7174"/>
      <c r="D36" s="7174"/>
      <c r="E36" s="7174"/>
      <c r="F36" s="7242"/>
    </row>
    <row r="37" spans="1:8" ht="12.9" customHeight="1">
      <c r="A37" s="6230" t="s">
        <v>1113</v>
      </c>
      <c r="B37" s="7168" t="s">
        <v>9</v>
      </c>
      <c r="C37" s="7174"/>
      <c r="D37" s="7174"/>
      <c r="E37" s="7174"/>
      <c r="F37" s="7242"/>
    </row>
    <row r="38" spans="1:8" ht="12.9" customHeight="1">
      <c r="A38" s="7231" t="s">
        <v>11302</v>
      </c>
      <c r="B38" s="7172">
        <v>1</v>
      </c>
      <c r="C38" s="7172">
        <v>24</v>
      </c>
      <c r="D38" s="7177">
        <v>0</v>
      </c>
      <c r="E38" s="7177">
        <v>879588</v>
      </c>
      <c r="F38" s="7245">
        <v>1000872</v>
      </c>
    </row>
    <row r="39" spans="1:8" ht="12.9" hidden="1" customHeight="1">
      <c r="A39" s="7231" t="s">
        <v>10159</v>
      </c>
      <c r="B39" s="7172">
        <v>0</v>
      </c>
      <c r="C39" s="7172">
        <v>18</v>
      </c>
      <c r="D39" s="7177">
        <v>0</v>
      </c>
      <c r="E39" s="7177">
        <v>0</v>
      </c>
      <c r="F39" s="7245">
        <v>0</v>
      </c>
    </row>
    <row r="40" spans="1:8" ht="12.9" hidden="1" customHeight="1">
      <c r="A40" s="7231" t="s">
        <v>1404</v>
      </c>
      <c r="B40" s="7172">
        <v>0</v>
      </c>
      <c r="C40" s="7172">
        <v>15</v>
      </c>
      <c r="D40" s="7177">
        <v>0</v>
      </c>
      <c r="E40" s="7177">
        <v>0</v>
      </c>
      <c r="F40" s="7245">
        <v>0</v>
      </c>
    </row>
    <row r="41" spans="1:8" ht="12.9" hidden="1" customHeight="1">
      <c r="A41" s="7231" t="s">
        <v>10160</v>
      </c>
      <c r="B41" s="7172">
        <v>0</v>
      </c>
      <c r="C41" s="7172">
        <v>15</v>
      </c>
      <c r="D41" s="7177">
        <v>0</v>
      </c>
      <c r="E41" s="7177">
        <v>0</v>
      </c>
      <c r="F41" s="7245">
        <v>0</v>
      </c>
    </row>
    <row r="42" spans="1:8" ht="12.9" customHeight="1">
      <c r="A42" s="7231" t="s">
        <v>1350</v>
      </c>
      <c r="B42" s="7172">
        <v>3</v>
      </c>
      <c r="C42" s="7172">
        <v>11</v>
      </c>
      <c r="D42" s="7177">
        <v>470880</v>
      </c>
      <c r="E42" s="7177">
        <v>484296</v>
      </c>
      <c r="F42" s="7246">
        <v>747144</v>
      </c>
    </row>
    <row r="43" spans="1:8" ht="12.9" customHeight="1">
      <c r="A43" s="7231" t="s">
        <v>11304</v>
      </c>
      <c r="B43" s="7172">
        <v>0</v>
      </c>
      <c r="C43" s="7172">
        <v>8</v>
      </c>
      <c r="D43" s="7177"/>
      <c r="E43" s="7177">
        <v>195384</v>
      </c>
      <c r="F43" s="7246">
        <v>0</v>
      </c>
    </row>
    <row r="44" spans="1:8" ht="12.9" customHeight="1">
      <c r="A44" s="7231" t="s">
        <v>1136</v>
      </c>
      <c r="B44" s="7172">
        <v>1</v>
      </c>
      <c r="C44" s="7172">
        <v>5</v>
      </c>
      <c r="D44" s="7178">
        <v>0</v>
      </c>
      <c r="E44" s="7178">
        <v>161772</v>
      </c>
      <c r="F44" s="7246">
        <v>168084</v>
      </c>
    </row>
    <row r="45" spans="1:8" ht="12.9" hidden="1" customHeight="1">
      <c r="A45" s="7231" t="s">
        <v>1208</v>
      </c>
      <c r="B45" s="7172">
        <v>0</v>
      </c>
      <c r="C45" s="7172">
        <v>4</v>
      </c>
      <c r="D45" s="7178">
        <v>0</v>
      </c>
      <c r="E45" s="7178">
        <v>0</v>
      </c>
      <c r="F45" s="7246">
        <v>0</v>
      </c>
    </row>
    <row r="46" spans="1:8" ht="12.9" hidden="1" customHeight="1">
      <c r="A46" s="7231" t="s">
        <v>1406</v>
      </c>
      <c r="B46" s="7172">
        <v>0</v>
      </c>
      <c r="C46" s="7172">
        <v>3</v>
      </c>
      <c r="D46" s="7177">
        <v>0</v>
      </c>
      <c r="E46" s="7177">
        <v>0</v>
      </c>
      <c r="F46" s="7245">
        <v>0</v>
      </c>
    </row>
    <row r="47" spans="1:8" ht="12.9" customHeight="1">
      <c r="A47" s="7231" t="s">
        <v>10564</v>
      </c>
      <c r="B47" s="7172">
        <v>0</v>
      </c>
      <c r="C47" s="7172">
        <v>2</v>
      </c>
      <c r="D47" s="7177">
        <v>128004</v>
      </c>
      <c r="E47" s="7177">
        <v>0</v>
      </c>
      <c r="F47" s="7245">
        <v>0</v>
      </c>
    </row>
    <row r="48" spans="1:8" ht="12.9" customHeight="1">
      <c r="A48" s="7231" t="s">
        <v>11303</v>
      </c>
      <c r="B48" s="7172">
        <v>5</v>
      </c>
      <c r="C48" s="7172">
        <v>1</v>
      </c>
      <c r="D48" s="7177"/>
      <c r="E48" s="7177">
        <v>126120</v>
      </c>
      <c r="F48" s="7246">
        <f>132816*B48</f>
        <v>664080</v>
      </c>
    </row>
    <row r="49" spans="1:8" ht="12.9" customHeight="1">
      <c r="A49" s="7231" t="s">
        <v>1395</v>
      </c>
      <c r="B49" s="7172">
        <v>1</v>
      </c>
      <c r="C49" s="7172">
        <v>11</v>
      </c>
      <c r="D49" s="7177">
        <v>0</v>
      </c>
      <c r="E49" s="7177"/>
      <c r="F49" s="7245">
        <v>249048</v>
      </c>
    </row>
    <row r="50" spans="1:8" ht="12.9" customHeight="1">
      <c r="A50" s="7231"/>
      <c r="B50" s="7172"/>
      <c r="C50" s="7172"/>
      <c r="D50" s="7177"/>
      <c r="E50" s="7177"/>
      <c r="F50" s="7245"/>
    </row>
    <row r="51" spans="1:8" ht="12.9" customHeight="1">
      <c r="A51" s="6230" t="s">
        <v>1249</v>
      </c>
      <c r="B51" s="9652">
        <f>SUM(B38:B49)</f>
        <v>11</v>
      </c>
      <c r="C51" s="9653"/>
      <c r="D51" s="9654">
        <f>SUM(D38:D49)</f>
        <v>598884</v>
      </c>
      <c r="E51" s="9654">
        <f>SUM(E38:E49)</f>
        <v>1847160</v>
      </c>
      <c r="F51" s="9655">
        <f>SUM(F38:F49)</f>
        <v>2829228</v>
      </c>
    </row>
    <row r="52" spans="1:8" ht="12.9" customHeight="1" thickBot="1">
      <c r="A52" s="7231"/>
      <c r="B52" s="7172"/>
      <c r="C52" s="7172"/>
      <c r="D52" s="7177"/>
      <c r="E52" s="7177"/>
      <c r="F52" s="7245"/>
    </row>
    <row r="53" spans="1:8" s="7165" customFormat="1" ht="12.9" customHeight="1" thickBot="1">
      <c r="A53" s="9712" t="s">
        <v>1101</v>
      </c>
      <c r="B53" s="10710">
        <f>SUM(B35+B51)</f>
        <v>37</v>
      </c>
      <c r="C53" s="9661"/>
      <c r="D53" s="7226">
        <f>SUM(D35+D51)</f>
        <v>6874596</v>
      </c>
      <c r="E53" s="7226">
        <f>SUM(E35+E51)</f>
        <v>7319496</v>
      </c>
      <c r="F53" s="9713">
        <f>SUM(F35+F51)</f>
        <v>9369876</v>
      </c>
      <c r="H53" s="7198">
        <f>F53-5921364</f>
        <v>3448512</v>
      </c>
    </row>
    <row r="54" spans="1:8" ht="12.9" customHeight="1">
      <c r="A54" s="7231"/>
      <c r="B54" s="7172"/>
      <c r="C54" s="7172"/>
      <c r="D54" s="7174"/>
      <c r="E54" s="7174"/>
      <c r="F54" s="7242"/>
    </row>
    <row r="55" spans="1:8" ht="12.9" customHeight="1">
      <c r="A55" s="6230" t="s">
        <v>1075</v>
      </c>
      <c r="B55" s="7172"/>
      <c r="C55" s="7172"/>
      <c r="D55" s="7174"/>
      <c r="E55" s="7174"/>
      <c r="F55" s="7242"/>
    </row>
    <row r="56" spans="1:8" ht="12.9" customHeight="1">
      <c r="A56" s="6230" t="s">
        <v>1102</v>
      </c>
      <c r="B56" s="7174"/>
      <c r="C56" s="7174"/>
      <c r="D56" s="7174"/>
      <c r="E56" s="7174"/>
      <c r="F56" s="7242"/>
    </row>
    <row r="57" spans="1:8" ht="12.9" customHeight="1">
      <c r="A57" s="7231" t="s">
        <v>1077</v>
      </c>
      <c r="B57" s="7172">
        <v>8</v>
      </c>
      <c r="C57" s="7174"/>
      <c r="D57" s="7174"/>
      <c r="E57" s="7174"/>
      <c r="F57" s="7242"/>
    </row>
    <row r="58" spans="1:8" ht="12.9" customHeight="1">
      <c r="A58" s="7231" t="s">
        <v>1078</v>
      </c>
      <c r="B58" s="7172"/>
      <c r="C58" s="7174"/>
      <c r="D58" s="7174"/>
      <c r="E58" s="7174"/>
      <c r="F58" s="7242"/>
    </row>
    <row r="59" spans="1:8" ht="12.9" customHeight="1">
      <c r="A59" s="7231" t="s">
        <v>10697</v>
      </c>
      <c r="B59" s="7172">
        <v>1</v>
      </c>
      <c r="C59" s="7174"/>
      <c r="D59" s="7174"/>
      <c r="E59" s="7174"/>
      <c r="F59" s="7242"/>
    </row>
    <row r="60" spans="1:8" ht="12.9" customHeight="1">
      <c r="A60" s="7231" t="s">
        <v>10707</v>
      </c>
      <c r="B60" s="7172">
        <v>1</v>
      </c>
      <c r="C60" s="7174"/>
      <c r="D60" s="7174"/>
      <c r="E60" s="7174"/>
      <c r="F60" s="7242"/>
    </row>
    <row r="61" spans="1:8" ht="12.9" customHeight="1">
      <c r="A61" s="7231" t="s">
        <v>1080</v>
      </c>
      <c r="B61" s="7174"/>
      <c r="C61" s="7174"/>
      <c r="D61" s="7174"/>
      <c r="E61" s="7174"/>
      <c r="F61" s="7242"/>
    </row>
    <row r="62" spans="1:8" ht="12.9" customHeight="1">
      <c r="A62" s="7231" t="s">
        <v>1104</v>
      </c>
      <c r="B62" s="7174"/>
      <c r="C62" s="7174"/>
      <c r="D62" s="7174"/>
      <c r="E62" s="7174"/>
      <c r="F62" s="7242"/>
    </row>
    <row r="63" spans="1:8" ht="12.9" customHeight="1">
      <c r="A63" s="7231" t="s">
        <v>1105</v>
      </c>
      <c r="B63" s="10751"/>
      <c r="C63" s="10751"/>
      <c r="D63" s="10751"/>
      <c r="E63" s="10751"/>
      <c r="F63" s="7242"/>
    </row>
    <row r="64" spans="1:8" ht="12.9" customHeight="1">
      <c r="A64" s="7231"/>
      <c r="B64" s="10426"/>
      <c r="C64" s="10426"/>
      <c r="D64" s="10426"/>
      <c r="E64" s="10426"/>
      <c r="F64" s="9778"/>
    </row>
    <row r="65" spans="1:6" ht="12.9" customHeight="1">
      <c r="A65" s="6230" t="s">
        <v>1083</v>
      </c>
      <c r="B65" s="9676"/>
      <c r="C65" s="9676"/>
      <c r="D65" s="9676"/>
      <c r="E65" s="9676"/>
      <c r="F65" s="9744"/>
    </row>
    <row r="66" spans="1:6" ht="12.9" customHeight="1">
      <c r="A66" s="7231"/>
      <c r="B66" s="10424"/>
      <c r="C66" s="10424"/>
      <c r="D66" s="10424"/>
      <c r="E66" s="10424"/>
      <c r="F66" s="10425"/>
    </row>
    <row r="67" spans="1:6" ht="12.9" customHeight="1">
      <c r="A67" s="7231" t="s">
        <v>1106</v>
      </c>
      <c r="B67" s="7174"/>
      <c r="C67" s="7174"/>
      <c r="D67" s="7174"/>
      <c r="E67" s="7174"/>
      <c r="F67" s="7242"/>
    </row>
    <row r="68" spans="1:6" ht="12.9" customHeight="1" thickBot="1">
      <c r="A68" s="7231"/>
      <c r="B68" s="7174"/>
      <c r="C68" s="7174"/>
      <c r="D68" s="7174"/>
      <c r="E68" s="7174"/>
      <c r="F68" s="7242"/>
    </row>
    <row r="69" spans="1:6" ht="12.9" customHeight="1">
      <c r="A69" s="7248" t="s">
        <v>9</v>
      </c>
      <c r="B69" s="9665"/>
      <c r="C69" s="9665"/>
      <c r="D69" s="9665"/>
      <c r="E69" s="9665"/>
      <c r="F69" s="9729"/>
    </row>
    <row r="70" spans="1:6" ht="12.9" customHeight="1">
      <c r="A70" s="6230" t="s">
        <v>1086</v>
      </c>
      <c r="B70" s="10751"/>
      <c r="C70" s="10751"/>
      <c r="D70" s="10751"/>
      <c r="E70" s="10751"/>
      <c r="F70" s="7242"/>
    </row>
    <row r="71" spans="1:6" ht="12.9" customHeight="1" thickBot="1">
      <c r="A71" s="7235"/>
      <c r="B71" s="9758"/>
      <c r="C71" s="9758"/>
      <c r="D71" s="9758"/>
      <c r="E71" s="9758"/>
      <c r="F71" s="9759"/>
    </row>
    <row r="72" spans="1:6" ht="12.9" customHeight="1">
      <c r="A72" s="6330"/>
      <c r="B72" s="6330"/>
      <c r="C72" s="6330"/>
      <c r="D72" s="6330"/>
      <c r="E72" s="6330"/>
      <c r="F72" s="6330"/>
    </row>
    <row r="73" spans="1:6" ht="12.9" customHeight="1">
      <c r="A73" s="6330"/>
      <c r="B73" s="6330"/>
      <c r="C73" s="6330"/>
      <c r="D73" s="6330"/>
      <c r="E73" s="6330"/>
      <c r="F73" s="6330"/>
    </row>
    <row r="74" spans="1:6" ht="12.9" customHeight="1">
      <c r="A74" s="6330"/>
      <c r="B74" s="6330"/>
      <c r="C74" s="6330"/>
      <c r="D74" s="6330"/>
      <c r="E74" s="6330"/>
      <c r="F74" s="6330"/>
    </row>
    <row r="75" spans="1:6" ht="12.9" customHeight="1">
      <c r="A75" s="6330"/>
      <c r="B75" s="6330"/>
      <c r="C75" s="6330"/>
      <c r="D75" s="6330"/>
      <c r="E75" s="6330"/>
      <c r="F75" s="6330"/>
    </row>
    <row r="76" spans="1:6" ht="12.9" customHeight="1">
      <c r="A76" s="6330"/>
      <c r="B76" s="6330"/>
      <c r="C76" s="6330"/>
      <c r="D76" s="6330"/>
      <c r="E76" s="6330"/>
      <c r="F76" s="6330"/>
    </row>
    <row r="77" spans="1:6" ht="12.9" customHeight="1">
      <c r="A77" s="6330"/>
      <c r="B77" s="6330"/>
      <c r="C77" s="6330"/>
      <c r="D77" s="6330"/>
      <c r="E77" s="6330"/>
      <c r="F77" s="6330"/>
    </row>
    <row r="78" spans="1:6" ht="12.9" customHeight="1">
      <c r="A78" s="6330"/>
      <c r="B78" s="6330"/>
      <c r="C78" s="6330"/>
      <c r="D78" s="6330"/>
      <c r="E78" s="6330"/>
      <c r="F78" s="6330"/>
    </row>
    <row r="79" spans="1:6" ht="12.9" customHeight="1">
      <c r="A79" s="6330"/>
      <c r="B79" s="6330"/>
      <c r="C79" s="6330"/>
      <c r="D79" s="6330"/>
      <c r="E79" s="6330"/>
      <c r="F79" s="6330"/>
    </row>
    <row r="80" spans="1:6" ht="12.9" customHeight="1">
      <c r="A80" s="6330"/>
      <c r="B80" s="6330"/>
      <c r="C80" s="6330"/>
      <c r="D80" s="6330"/>
      <c r="E80" s="6330"/>
      <c r="F80" s="6330"/>
    </row>
    <row r="81" spans="1:6" ht="12.9" customHeight="1">
      <c r="A81" s="6330"/>
      <c r="B81" s="6330"/>
      <c r="C81" s="6330"/>
      <c r="D81" s="6330"/>
      <c r="E81" s="6330"/>
      <c r="F81" s="6330"/>
    </row>
    <row r="82" spans="1:6" ht="12.9" customHeight="1">
      <c r="A82" s="6330"/>
      <c r="B82" s="6330"/>
      <c r="C82" s="6330"/>
      <c r="D82" s="6330"/>
      <c r="E82" s="6330"/>
      <c r="F82" s="6330"/>
    </row>
    <row r="83" spans="1:6" ht="12.9" customHeight="1">
      <c r="A83" s="6330"/>
      <c r="B83" s="6330"/>
      <c r="C83" s="6330"/>
      <c r="D83" s="6330"/>
      <c r="E83" s="6330"/>
      <c r="F83" s="6330"/>
    </row>
    <row r="84" spans="1:6" ht="12.9" customHeight="1">
      <c r="A84" s="6330"/>
      <c r="B84" s="6330"/>
      <c r="C84" s="6330"/>
      <c r="D84" s="6330"/>
      <c r="E84" s="6330"/>
      <c r="F84" s="6330"/>
    </row>
    <row r="85" spans="1:6" ht="12.9" customHeight="1">
      <c r="A85" s="6330"/>
      <c r="B85" s="6330"/>
      <c r="C85" s="6330"/>
      <c r="D85" s="6330"/>
      <c r="E85" s="6330"/>
      <c r="F85" s="6330"/>
    </row>
    <row r="86" spans="1:6" ht="12.9" customHeight="1">
      <c r="A86" s="6330"/>
      <c r="B86" s="6330"/>
      <c r="C86" s="6330"/>
      <c r="D86" s="6330"/>
      <c r="E86" s="6330"/>
      <c r="F86" s="6330"/>
    </row>
    <row r="87" spans="1:6" ht="12.9" customHeight="1">
      <c r="A87" s="6330"/>
      <c r="B87" s="6330"/>
      <c r="C87" s="6330"/>
      <c r="D87" s="6330"/>
      <c r="E87" s="6330"/>
      <c r="F87" s="6330"/>
    </row>
    <row r="88" spans="1:6" ht="12.9" customHeight="1">
      <c r="A88" s="6330"/>
      <c r="B88" s="6330"/>
      <c r="C88" s="6330"/>
      <c r="D88" s="6330"/>
      <c r="E88" s="6330"/>
      <c r="F88" s="6330"/>
    </row>
    <row r="89" spans="1:6" ht="12.9" customHeight="1">
      <c r="A89" s="6330"/>
      <c r="B89" s="6330"/>
      <c r="C89" s="6330"/>
      <c r="D89" s="6330"/>
      <c r="E89" s="6330"/>
      <c r="F89" s="6330"/>
    </row>
    <row r="90" spans="1:6" ht="12.9" customHeight="1">
      <c r="A90" s="6330"/>
      <c r="B90" s="6330"/>
      <c r="C90" s="6330"/>
      <c r="D90" s="6330"/>
      <c r="E90" s="6330"/>
      <c r="F90" s="6330"/>
    </row>
    <row r="91" spans="1:6" ht="12.9" customHeight="1">
      <c r="A91" s="6330"/>
      <c r="B91" s="6330"/>
      <c r="C91" s="6330"/>
      <c r="D91" s="6330"/>
      <c r="E91" s="6330"/>
      <c r="F91" s="6330"/>
    </row>
    <row r="92" spans="1:6" ht="12.9" customHeight="1">
      <c r="A92" s="6330"/>
      <c r="B92" s="6330"/>
      <c r="C92" s="6330"/>
      <c r="D92" s="6330"/>
      <c r="E92" s="6330"/>
      <c r="F92" s="6330"/>
    </row>
    <row r="93" spans="1:6" ht="12.9" customHeight="1">
      <c r="A93" s="6330"/>
      <c r="B93" s="6330"/>
      <c r="C93" s="6330"/>
      <c r="D93" s="6330"/>
      <c r="E93" s="6330"/>
      <c r="F93" s="6330"/>
    </row>
    <row r="94" spans="1:6" ht="12.9" customHeight="1">
      <c r="A94" s="6330"/>
      <c r="B94" s="6330"/>
      <c r="C94" s="6330"/>
      <c r="D94" s="6330"/>
      <c r="E94" s="6330"/>
      <c r="F94" s="6330"/>
    </row>
    <row r="95" spans="1:6" ht="12.9" customHeight="1">
      <c r="A95" s="6330"/>
      <c r="B95" s="6330"/>
      <c r="C95" s="6330"/>
      <c r="D95" s="6330"/>
      <c r="E95" s="6330"/>
      <c r="F95" s="6330"/>
    </row>
    <row r="96" spans="1:6" ht="12.9" customHeight="1">
      <c r="A96" s="6330"/>
      <c r="B96" s="6330"/>
      <c r="C96" s="6330"/>
      <c r="D96" s="6330"/>
      <c r="E96" s="6330"/>
      <c r="F96" s="6330"/>
    </row>
    <row r="97" spans="1:6" ht="12.9" customHeight="1">
      <c r="A97" s="6330"/>
      <c r="B97" s="6330"/>
      <c r="C97" s="6330"/>
      <c r="D97" s="6330"/>
      <c r="E97" s="6330"/>
      <c r="F97" s="6330"/>
    </row>
    <row r="98" spans="1:6" ht="12.9" customHeight="1">
      <c r="A98" s="6330"/>
      <c r="B98" s="6330"/>
      <c r="C98" s="6330"/>
      <c r="D98" s="6330"/>
      <c r="E98" s="6330"/>
      <c r="F98" s="6330"/>
    </row>
    <row r="99" spans="1:6" ht="12.9" customHeight="1">
      <c r="A99" s="6330"/>
      <c r="B99" s="6330"/>
      <c r="C99" s="6330"/>
      <c r="D99" s="6330"/>
      <c r="E99" s="6330"/>
      <c r="F99" s="6330"/>
    </row>
    <row r="100" spans="1:6" ht="12.9" customHeight="1">
      <c r="A100" s="6330"/>
      <c r="B100" s="6330"/>
      <c r="C100" s="6330"/>
      <c r="D100" s="6330"/>
      <c r="E100" s="6330"/>
      <c r="F100" s="6330"/>
    </row>
    <row r="101" spans="1:6" ht="12.9" customHeight="1">
      <c r="A101" s="6330"/>
      <c r="B101" s="6330"/>
      <c r="C101" s="6330"/>
      <c r="D101" s="6330"/>
      <c r="E101" s="6330"/>
      <c r="F101" s="6330"/>
    </row>
    <row r="102" spans="1:6" ht="12.9" customHeight="1">
      <c r="A102" s="6330"/>
      <c r="B102" s="6330"/>
      <c r="C102" s="6330"/>
      <c r="D102" s="6330"/>
      <c r="E102" s="6330"/>
      <c r="F102" s="6330"/>
    </row>
  </sheetData>
  <mergeCells count="3">
    <mergeCell ref="D6:F6"/>
    <mergeCell ref="D5:F5"/>
    <mergeCell ref="A1:F1"/>
  </mergeCells>
  <pageMargins left="0.25" right="0.25" top="0.5" bottom="0" header="0" footer="0"/>
  <pageSetup paperSize="119" firstPageNumber="350" orientation="portrait" useFirstPageNumber="1" r:id="rId1"/>
  <headerFooter alignWithMargins="0"/>
</worksheet>
</file>

<file path=xl/worksheets/sheet168.xml><?xml version="1.0" encoding="utf-8"?>
<worksheet xmlns="http://schemas.openxmlformats.org/spreadsheetml/2006/main" xmlns:r="http://schemas.openxmlformats.org/officeDocument/2006/relationships">
  <sheetPr codeName="Sheet127">
    <tabColor rgb="FFFFFF00"/>
  </sheetPr>
  <dimension ref="A1:G1324"/>
  <sheetViews>
    <sheetView topLeftCell="A1178" workbookViewId="0">
      <selection activeCell="E1323" sqref="E1323"/>
    </sheetView>
  </sheetViews>
  <sheetFormatPr defaultRowHeight="13.2"/>
  <cols>
    <col min="1" max="1" width="6.88671875" style="4534" customWidth="1"/>
    <col min="2" max="2" width="30.88671875" style="4534" customWidth="1"/>
    <col min="3" max="3" width="14" style="4699" customWidth="1"/>
    <col min="4" max="4" width="17.88671875" style="4535" customWidth="1"/>
    <col min="5" max="5" width="24.88671875" style="4535" customWidth="1"/>
    <col min="6" max="6" width="7.44140625" style="4535" customWidth="1"/>
    <col min="7" max="7" width="7.88671875" style="4535" customWidth="1"/>
    <col min="8" max="244" width="9.109375" style="4534"/>
    <col min="245" max="245" width="27.109375" style="4534" customWidth="1"/>
    <col min="246" max="246" width="15.44140625" style="4534" customWidth="1"/>
    <col min="247" max="247" width="12" style="4534" customWidth="1"/>
    <col min="248" max="248" width="17" style="4534" customWidth="1"/>
    <col min="249" max="249" width="9.109375" style="4534"/>
    <col min="250" max="250" width="9.88671875" style="4534" customWidth="1"/>
    <col min="251" max="500" width="9.109375" style="4534"/>
    <col min="501" max="501" width="27.109375" style="4534" customWidth="1"/>
    <col min="502" max="502" width="15.44140625" style="4534" customWidth="1"/>
    <col min="503" max="503" width="12" style="4534" customWidth="1"/>
    <col min="504" max="504" width="17" style="4534" customWidth="1"/>
    <col min="505" max="505" width="9.109375" style="4534"/>
    <col min="506" max="506" width="9.88671875" style="4534" customWidth="1"/>
    <col min="507" max="756" width="9.109375" style="4534"/>
    <col min="757" max="757" width="27.109375" style="4534" customWidth="1"/>
    <col min="758" max="758" width="15.44140625" style="4534" customWidth="1"/>
    <col min="759" max="759" width="12" style="4534" customWidth="1"/>
    <col min="760" max="760" width="17" style="4534" customWidth="1"/>
    <col min="761" max="761" width="9.109375" style="4534"/>
    <col min="762" max="762" width="9.88671875" style="4534" customWidth="1"/>
    <col min="763" max="1012" width="9.109375" style="4534"/>
    <col min="1013" max="1013" width="27.109375" style="4534" customWidth="1"/>
    <col min="1014" max="1014" width="15.44140625" style="4534" customWidth="1"/>
    <col min="1015" max="1015" width="12" style="4534" customWidth="1"/>
    <col min="1016" max="1016" width="17" style="4534" customWidth="1"/>
    <col min="1017" max="1017" width="9.109375" style="4534"/>
    <col min="1018" max="1018" width="9.88671875" style="4534" customWidth="1"/>
    <col min="1019" max="1268" width="9.109375" style="4534"/>
    <col min="1269" max="1269" width="27.109375" style="4534" customWidth="1"/>
    <col min="1270" max="1270" width="15.44140625" style="4534" customWidth="1"/>
    <col min="1271" max="1271" width="12" style="4534" customWidth="1"/>
    <col min="1272" max="1272" width="17" style="4534" customWidth="1"/>
    <col min="1273" max="1273" width="9.109375" style="4534"/>
    <col min="1274" max="1274" width="9.88671875" style="4534" customWidth="1"/>
    <col min="1275" max="1524" width="9.109375" style="4534"/>
    <col min="1525" max="1525" width="27.109375" style="4534" customWidth="1"/>
    <col min="1526" max="1526" width="15.44140625" style="4534" customWidth="1"/>
    <col min="1527" max="1527" width="12" style="4534" customWidth="1"/>
    <col min="1528" max="1528" width="17" style="4534" customWidth="1"/>
    <col min="1529" max="1529" width="9.109375" style="4534"/>
    <col min="1530" max="1530" width="9.88671875" style="4534" customWidth="1"/>
    <col min="1531" max="1780" width="9.109375" style="4534"/>
    <col min="1781" max="1781" width="27.109375" style="4534" customWidth="1"/>
    <col min="1782" max="1782" width="15.44140625" style="4534" customWidth="1"/>
    <col min="1783" max="1783" width="12" style="4534" customWidth="1"/>
    <col min="1784" max="1784" width="17" style="4534" customWidth="1"/>
    <col min="1785" max="1785" width="9.109375" style="4534"/>
    <col min="1786" max="1786" width="9.88671875" style="4534" customWidth="1"/>
    <col min="1787" max="2036" width="9.109375" style="4534"/>
    <col min="2037" max="2037" width="27.109375" style="4534" customWidth="1"/>
    <col min="2038" max="2038" width="15.44140625" style="4534" customWidth="1"/>
    <col min="2039" max="2039" width="12" style="4534" customWidth="1"/>
    <col min="2040" max="2040" width="17" style="4534" customWidth="1"/>
    <col min="2041" max="2041" width="9.109375" style="4534"/>
    <col min="2042" max="2042" width="9.88671875" style="4534" customWidth="1"/>
    <col min="2043" max="2292" width="9.109375" style="4534"/>
    <col min="2293" max="2293" width="27.109375" style="4534" customWidth="1"/>
    <col min="2294" max="2294" width="15.44140625" style="4534" customWidth="1"/>
    <col min="2295" max="2295" width="12" style="4534" customWidth="1"/>
    <col min="2296" max="2296" width="17" style="4534" customWidth="1"/>
    <col min="2297" max="2297" width="9.109375" style="4534"/>
    <col min="2298" max="2298" width="9.88671875" style="4534" customWidth="1"/>
    <col min="2299" max="2548" width="9.109375" style="4534"/>
    <col min="2549" max="2549" width="27.109375" style="4534" customWidth="1"/>
    <col min="2550" max="2550" width="15.44140625" style="4534" customWidth="1"/>
    <col min="2551" max="2551" width="12" style="4534" customWidth="1"/>
    <col min="2552" max="2552" width="17" style="4534" customWidth="1"/>
    <col min="2553" max="2553" width="9.109375" style="4534"/>
    <col min="2554" max="2554" width="9.88671875" style="4534" customWidth="1"/>
    <col min="2555" max="2804" width="9.109375" style="4534"/>
    <col min="2805" max="2805" width="27.109375" style="4534" customWidth="1"/>
    <col min="2806" max="2806" width="15.44140625" style="4534" customWidth="1"/>
    <col min="2807" max="2807" width="12" style="4534" customWidth="1"/>
    <col min="2808" max="2808" width="17" style="4534" customWidth="1"/>
    <col min="2809" max="2809" width="9.109375" style="4534"/>
    <col min="2810" max="2810" width="9.88671875" style="4534" customWidth="1"/>
    <col min="2811" max="3060" width="9.109375" style="4534"/>
    <col min="3061" max="3061" width="27.109375" style="4534" customWidth="1"/>
    <col min="3062" max="3062" width="15.44140625" style="4534" customWidth="1"/>
    <col min="3063" max="3063" width="12" style="4534" customWidth="1"/>
    <col min="3064" max="3064" width="17" style="4534" customWidth="1"/>
    <col min="3065" max="3065" width="9.109375" style="4534"/>
    <col min="3066" max="3066" width="9.88671875" style="4534" customWidth="1"/>
    <col min="3067" max="3316" width="9.109375" style="4534"/>
    <col min="3317" max="3317" width="27.109375" style="4534" customWidth="1"/>
    <col min="3318" max="3318" width="15.44140625" style="4534" customWidth="1"/>
    <col min="3319" max="3319" width="12" style="4534" customWidth="1"/>
    <col min="3320" max="3320" width="17" style="4534" customWidth="1"/>
    <col min="3321" max="3321" width="9.109375" style="4534"/>
    <col min="3322" max="3322" width="9.88671875" style="4534" customWidth="1"/>
    <col min="3323" max="3572" width="9.109375" style="4534"/>
    <col min="3573" max="3573" width="27.109375" style="4534" customWidth="1"/>
    <col min="3574" max="3574" width="15.44140625" style="4534" customWidth="1"/>
    <col min="3575" max="3575" width="12" style="4534" customWidth="1"/>
    <col min="3576" max="3576" width="17" style="4534" customWidth="1"/>
    <col min="3577" max="3577" width="9.109375" style="4534"/>
    <col min="3578" max="3578" width="9.88671875" style="4534" customWidth="1"/>
    <col min="3579" max="3828" width="9.109375" style="4534"/>
    <col min="3829" max="3829" width="27.109375" style="4534" customWidth="1"/>
    <col min="3830" max="3830" width="15.44140625" style="4534" customWidth="1"/>
    <col min="3831" max="3831" width="12" style="4534" customWidth="1"/>
    <col min="3832" max="3832" width="17" style="4534" customWidth="1"/>
    <col min="3833" max="3833" width="9.109375" style="4534"/>
    <col min="3834" max="3834" width="9.88671875" style="4534" customWidth="1"/>
    <col min="3835" max="4084" width="9.109375" style="4534"/>
    <col min="4085" max="4085" width="27.109375" style="4534" customWidth="1"/>
    <col min="4086" max="4086" width="15.44140625" style="4534" customWidth="1"/>
    <col min="4087" max="4087" width="12" style="4534" customWidth="1"/>
    <col min="4088" max="4088" width="17" style="4534" customWidth="1"/>
    <col min="4089" max="4089" width="9.109375" style="4534"/>
    <col min="4090" max="4090" width="9.88671875" style="4534" customWidth="1"/>
    <col min="4091" max="4340" width="9.109375" style="4534"/>
    <col min="4341" max="4341" width="27.109375" style="4534" customWidth="1"/>
    <col min="4342" max="4342" width="15.44140625" style="4534" customWidth="1"/>
    <col min="4343" max="4343" width="12" style="4534" customWidth="1"/>
    <col min="4344" max="4344" width="17" style="4534" customWidth="1"/>
    <col min="4345" max="4345" width="9.109375" style="4534"/>
    <col min="4346" max="4346" width="9.88671875" style="4534" customWidth="1"/>
    <col min="4347" max="4596" width="9.109375" style="4534"/>
    <col min="4597" max="4597" width="27.109375" style="4534" customWidth="1"/>
    <col min="4598" max="4598" width="15.44140625" style="4534" customWidth="1"/>
    <col min="4599" max="4599" width="12" style="4534" customWidth="1"/>
    <col min="4600" max="4600" width="17" style="4534" customWidth="1"/>
    <col min="4601" max="4601" width="9.109375" style="4534"/>
    <col min="4602" max="4602" width="9.88671875" style="4534" customWidth="1"/>
    <col min="4603" max="4852" width="9.109375" style="4534"/>
    <col min="4853" max="4853" width="27.109375" style="4534" customWidth="1"/>
    <col min="4854" max="4854" width="15.44140625" style="4534" customWidth="1"/>
    <col min="4855" max="4855" width="12" style="4534" customWidth="1"/>
    <col min="4856" max="4856" width="17" style="4534" customWidth="1"/>
    <col min="4857" max="4857" width="9.109375" style="4534"/>
    <col min="4858" max="4858" width="9.88671875" style="4534" customWidth="1"/>
    <col min="4859" max="5108" width="9.109375" style="4534"/>
    <col min="5109" max="5109" width="27.109375" style="4534" customWidth="1"/>
    <col min="5110" max="5110" width="15.44140625" style="4534" customWidth="1"/>
    <col min="5111" max="5111" width="12" style="4534" customWidth="1"/>
    <col min="5112" max="5112" width="17" style="4534" customWidth="1"/>
    <col min="5113" max="5113" width="9.109375" style="4534"/>
    <col min="5114" max="5114" width="9.88671875" style="4534" customWidth="1"/>
    <col min="5115" max="5364" width="9.109375" style="4534"/>
    <col min="5365" max="5365" width="27.109375" style="4534" customWidth="1"/>
    <col min="5366" max="5366" width="15.44140625" style="4534" customWidth="1"/>
    <col min="5367" max="5367" width="12" style="4534" customWidth="1"/>
    <col min="5368" max="5368" width="17" style="4534" customWidth="1"/>
    <col min="5369" max="5369" width="9.109375" style="4534"/>
    <col min="5370" max="5370" width="9.88671875" style="4534" customWidth="1"/>
    <col min="5371" max="5620" width="9.109375" style="4534"/>
    <col min="5621" max="5621" width="27.109375" style="4534" customWidth="1"/>
    <col min="5622" max="5622" width="15.44140625" style="4534" customWidth="1"/>
    <col min="5623" max="5623" width="12" style="4534" customWidth="1"/>
    <col min="5624" max="5624" width="17" style="4534" customWidth="1"/>
    <col min="5625" max="5625" width="9.109375" style="4534"/>
    <col min="5626" max="5626" width="9.88671875" style="4534" customWidth="1"/>
    <col min="5627" max="5876" width="9.109375" style="4534"/>
    <col min="5877" max="5877" width="27.109375" style="4534" customWidth="1"/>
    <col min="5878" max="5878" width="15.44140625" style="4534" customWidth="1"/>
    <col min="5879" max="5879" width="12" style="4534" customWidth="1"/>
    <col min="5880" max="5880" width="17" style="4534" customWidth="1"/>
    <col min="5881" max="5881" width="9.109375" style="4534"/>
    <col min="5882" max="5882" width="9.88671875" style="4534" customWidth="1"/>
    <col min="5883" max="6132" width="9.109375" style="4534"/>
    <col min="6133" max="6133" width="27.109375" style="4534" customWidth="1"/>
    <col min="6134" max="6134" width="15.44140625" style="4534" customWidth="1"/>
    <col min="6135" max="6135" width="12" style="4534" customWidth="1"/>
    <col min="6136" max="6136" width="17" style="4534" customWidth="1"/>
    <col min="6137" max="6137" width="9.109375" style="4534"/>
    <col min="6138" max="6138" width="9.88671875" style="4534" customWidth="1"/>
    <col min="6139" max="6388" width="9.109375" style="4534"/>
    <col min="6389" max="6389" width="27.109375" style="4534" customWidth="1"/>
    <col min="6390" max="6390" width="15.44140625" style="4534" customWidth="1"/>
    <col min="6391" max="6391" width="12" style="4534" customWidth="1"/>
    <col min="6392" max="6392" width="17" style="4534" customWidth="1"/>
    <col min="6393" max="6393" width="9.109375" style="4534"/>
    <col min="6394" max="6394" width="9.88671875" style="4534" customWidth="1"/>
    <col min="6395" max="6644" width="9.109375" style="4534"/>
    <col min="6645" max="6645" width="27.109375" style="4534" customWidth="1"/>
    <col min="6646" max="6646" width="15.44140625" style="4534" customWidth="1"/>
    <col min="6647" max="6647" width="12" style="4534" customWidth="1"/>
    <col min="6648" max="6648" width="17" style="4534" customWidth="1"/>
    <col min="6649" max="6649" width="9.109375" style="4534"/>
    <col min="6650" max="6650" width="9.88671875" style="4534" customWidth="1"/>
    <col min="6651" max="6900" width="9.109375" style="4534"/>
    <col min="6901" max="6901" width="27.109375" style="4534" customWidth="1"/>
    <col min="6902" max="6902" width="15.44140625" style="4534" customWidth="1"/>
    <col min="6903" max="6903" width="12" style="4534" customWidth="1"/>
    <col min="6904" max="6904" width="17" style="4534" customWidth="1"/>
    <col min="6905" max="6905" width="9.109375" style="4534"/>
    <col min="6906" max="6906" width="9.88671875" style="4534" customWidth="1"/>
    <col min="6907" max="7156" width="9.109375" style="4534"/>
    <col min="7157" max="7157" width="27.109375" style="4534" customWidth="1"/>
    <col min="7158" max="7158" width="15.44140625" style="4534" customWidth="1"/>
    <col min="7159" max="7159" width="12" style="4534" customWidth="1"/>
    <col min="7160" max="7160" width="17" style="4534" customWidth="1"/>
    <col min="7161" max="7161" width="9.109375" style="4534"/>
    <col min="7162" max="7162" width="9.88671875" style="4534" customWidth="1"/>
    <col min="7163" max="7412" width="9.109375" style="4534"/>
    <col min="7413" max="7413" width="27.109375" style="4534" customWidth="1"/>
    <col min="7414" max="7414" width="15.44140625" style="4534" customWidth="1"/>
    <col min="7415" max="7415" width="12" style="4534" customWidth="1"/>
    <col min="7416" max="7416" width="17" style="4534" customWidth="1"/>
    <col min="7417" max="7417" width="9.109375" style="4534"/>
    <col min="7418" max="7418" width="9.88671875" style="4534" customWidth="1"/>
    <col min="7419" max="7668" width="9.109375" style="4534"/>
    <col min="7669" max="7669" width="27.109375" style="4534" customWidth="1"/>
    <col min="7670" max="7670" width="15.44140625" style="4534" customWidth="1"/>
    <col min="7671" max="7671" width="12" style="4534" customWidth="1"/>
    <col min="7672" max="7672" width="17" style="4534" customWidth="1"/>
    <col min="7673" max="7673" width="9.109375" style="4534"/>
    <col min="7674" max="7674" width="9.88671875" style="4534" customWidth="1"/>
    <col min="7675" max="7924" width="9.109375" style="4534"/>
    <col min="7925" max="7925" width="27.109375" style="4534" customWidth="1"/>
    <col min="7926" max="7926" width="15.44140625" style="4534" customWidth="1"/>
    <col min="7927" max="7927" width="12" style="4534" customWidth="1"/>
    <col min="7928" max="7928" width="17" style="4534" customWidth="1"/>
    <col min="7929" max="7929" width="9.109375" style="4534"/>
    <col min="7930" max="7930" width="9.88671875" style="4534" customWidth="1"/>
    <col min="7931" max="8180" width="9.109375" style="4534"/>
    <col min="8181" max="8181" width="27.109375" style="4534" customWidth="1"/>
    <col min="8182" max="8182" width="15.44140625" style="4534" customWidth="1"/>
    <col min="8183" max="8183" width="12" style="4534" customWidth="1"/>
    <col min="8184" max="8184" width="17" style="4534" customWidth="1"/>
    <col min="8185" max="8185" width="9.109375" style="4534"/>
    <col min="8186" max="8186" width="9.88671875" style="4534" customWidth="1"/>
    <col min="8187" max="8436" width="9.109375" style="4534"/>
    <col min="8437" max="8437" width="27.109375" style="4534" customWidth="1"/>
    <col min="8438" max="8438" width="15.44140625" style="4534" customWidth="1"/>
    <col min="8439" max="8439" width="12" style="4534" customWidth="1"/>
    <col min="8440" max="8440" width="17" style="4534" customWidth="1"/>
    <col min="8441" max="8441" width="9.109375" style="4534"/>
    <col min="8442" max="8442" width="9.88671875" style="4534" customWidth="1"/>
    <col min="8443" max="8692" width="9.109375" style="4534"/>
    <col min="8693" max="8693" width="27.109375" style="4534" customWidth="1"/>
    <col min="8694" max="8694" width="15.44140625" style="4534" customWidth="1"/>
    <col min="8695" max="8695" width="12" style="4534" customWidth="1"/>
    <col min="8696" max="8696" width="17" style="4534" customWidth="1"/>
    <col min="8697" max="8697" width="9.109375" style="4534"/>
    <col min="8698" max="8698" width="9.88671875" style="4534" customWidth="1"/>
    <col min="8699" max="8948" width="9.109375" style="4534"/>
    <col min="8949" max="8949" width="27.109375" style="4534" customWidth="1"/>
    <col min="8950" max="8950" width="15.44140625" style="4534" customWidth="1"/>
    <col min="8951" max="8951" width="12" style="4534" customWidth="1"/>
    <col min="8952" max="8952" width="17" style="4534" customWidth="1"/>
    <col min="8953" max="8953" width="9.109375" style="4534"/>
    <col min="8954" max="8954" width="9.88671875" style="4534" customWidth="1"/>
    <col min="8955" max="9204" width="9.109375" style="4534"/>
    <col min="9205" max="9205" width="27.109375" style="4534" customWidth="1"/>
    <col min="9206" max="9206" width="15.44140625" style="4534" customWidth="1"/>
    <col min="9207" max="9207" width="12" style="4534" customWidth="1"/>
    <col min="9208" max="9208" width="17" style="4534" customWidth="1"/>
    <col min="9209" max="9209" width="9.109375" style="4534"/>
    <col min="9210" max="9210" width="9.88671875" style="4534" customWidth="1"/>
    <col min="9211" max="9460" width="9.109375" style="4534"/>
    <col min="9461" max="9461" width="27.109375" style="4534" customWidth="1"/>
    <col min="9462" max="9462" width="15.44140625" style="4534" customWidth="1"/>
    <col min="9463" max="9463" width="12" style="4534" customWidth="1"/>
    <col min="9464" max="9464" width="17" style="4534" customWidth="1"/>
    <col min="9465" max="9465" width="9.109375" style="4534"/>
    <col min="9466" max="9466" width="9.88671875" style="4534" customWidth="1"/>
    <col min="9467" max="9716" width="9.109375" style="4534"/>
    <col min="9717" max="9717" width="27.109375" style="4534" customWidth="1"/>
    <col min="9718" max="9718" width="15.44140625" style="4534" customWidth="1"/>
    <col min="9719" max="9719" width="12" style="4534" customWidth="1"/>
    <col min="9720" max="9720" width="17" style="4534" customWidth="1"/>
    <col min="9721" max="9721" width="9.109375" style="4534"/>
    <col min="9722" max="9722" width="9.88671875" style="4534" customWidth="1"/>
    <col min="9723" max="9972" width="9.109375" style="4534"/>
    <col min="9973" max="9973" width="27.109375" style="4534" customWidth="1"/>
    <col min="9974" max="9974" width="15.44140625" style="4534" customWidth="1"/>
    <col min="9975" max="9975" width="12" style="4534" customWidth="1"/>
    <col min="9976" max="9976" width="17" style="4534" customWidth="1"/>
    <col min="9977" max="9977" width="9.109375" style="4534"/>
    <col min="9978" max="9978" width="9.88671875" style="4534" customWidth="1"/>
    <col min="9979" max="10228" width="9.109375" style="4534"/>
    <col min="10229" max="10229" width="27.109375" style="4534" customWidth="1"/>
    <col min="10230" max="10230" width="15.44140625" style="4534" customWidth="1"/>
    <col min="10231" max="10231" width="12" style="4534" customWidth="1"/>
    <col min="10232" max="10232" width="17" style="4534" customWidth="1"/>
    <col min="10233" max="10233" width="9.109375" style="4534"/>
    <col min="10234" max="10234" width="9.88671875" style="4534" customWidth="1"/>
    <col min="10235" max="10484" width="9.109375" style="4534"/>
    <col min="10485" max="10485" width="27.109375" style="4534" customWidth="1"/>
    <col min="10486" max="10486" width="15.44140625" style="4534" customWidth="1"/>
    <col min="10487" max="10487" width="12" style="4534" customWidth="1"/>
    <col min="10488" max="10488" width="17" style="4534" customWidth="1"/>
    <col min="10489" max="10489" width="9.109375" style="4534"/>
    <col min="10490" max="10490" width="9.88671875" style="4534" customWidth="1"/>
    <col min="10491" max="10740" width="9.109375" style="4534"/>
    <col min="10741" max="10741" width="27.109375" style="4534" customWidth="1"/>
    <col min="10742" max="10742" width="15.44140625" style="4534" customWidth="1"/>
    <col min="10743" max="10743" width="12" style="4534" customWidth="1"/>
    <col min="10744" max="10744" width="17" style="4534" customWidth="1"/>
    <col min="10745" max="10745" width="9.109375" style="4534"/>
    <col min="10746" max="10746" width="9.88671875" style="4534" customWidth="1"/>
    <col min="10747" max="10996" width="9.109375" style="4534"/>
    <col min="10997" max="10997" width="27.109375" style="4534" customWidth="1"/>
    <col min="10998" max="10998" width="15.44140625" style="4534" customWidth="1"/>
    <col min="10999" max="10999" width="12" style="4534" customWidth="1"/>
    <col min="11000" max="11000" width="17" style="4534" customWidth="1"/>
    <col min="11001" max="11001" width="9.109375" style="4534"/>
    <col min="11002" max="11002" width="9.88671875" style="4534" customWidth="1"/>
    <col min="11003" max="11252" width="9.109375" style="4534"/>
    <col min="11253" max="11253" width="27.109375" style="4534" customWidth="1"/>
    <col min="11254" max="11254" width="15.44140625" style="4534" customWidth="1"/>
    <col min="11255" max="11255" width="12" style="4534" customWidth="1"/>
    <col min="11256" max="11256" width="17" style="4534" customWidth="1"/>
    <col min="11257" max="11257" width="9.109375" style="4534"/>
    <col min="11258" max="11258" width="9.88671875" style="4534" customWidth="1"/>
    <col min="11259" max="11508" width="9.109375" style="4534"/>
    <col min="11509" max="11509" width="27.109375" style="4534" customWidth="1"/>
    <col min="11510" max="11510" width="15.44140625" style="4534" customWidth="1"/>
    <col min="11511" max="11511" width="12" style="4534" customWidth="1"/>
    <col min="11512" max="11512" width="17" style="4534" customWidth="1"/>
    <col min="11513" max="11513" width="9.109375" style="4534"/>
    <col min="11514" max="11514" width="9.88671875" style="4534" customWidth="1"/>
    <col min="11515" max="11764" width="9.109375" style="4534"/>
    <col min="11765" max="11765" width="27.109375" style="4534" customWidth="1"/>
    <col min="11766" max="11766" width="15.44140625" style="4534" customWidth="1"/>
    <col min="11767" max="11767" width="12" style="4534" customWidth="1"/>
    <col min="11768" max="11768" width="17" style="4534" customWidth="1"/>
    <col min="11769" max="11769" width="9.109375" style="4534"/>
    <col min="11770" max="11770" width="9.88671875" style="4534" customWidth="1"/>
    <col min="11771" max="12020" width="9.109375" style="4534"/>
    <col min="12021" max="12021" width="27.109375" style="4534" customWidth="1"/>
    <col min="12022" max="12022" width="15.44140625" style="4534" customWidth="1"/>
    <col min="12023" max="12023" width="12" style="4534" customWidth="1"/>
    <col min="12024" max="12024" width="17" style="4534" customWidth="1"/>
    <col min="12025" max="12025" width="9.109375" style="4534"/>
    <col min="12026" max="12026" width="9.88671875" style="4534" customWidth="1"/>
    <col min="12027" max="12276" width="9.109375" style="4534"/>
    <col min="12277" max="12277" width="27.109375" style="4534" customWidth="1"/>
    <col min="12278" max="12278" width="15.44140625" style="4534" customWidth="1"/>
    <col min="12279" max="12279" width="12" style="4534" customWidth="1"/>
    <col min="12280" max="12280" width="17" style="4534" customWidth="1"/>
    <col min="12281" max="12281" width="9.109375" style="4534"/>
    <col min="12282" max="12282" width="9.88671875" style="4534" customWidth="1"/>
    <col min="12283" max="12532" width="9.109375" style="4534"/>
    <col min="12533" max="12533" width="27.109375" style="4534" customWidth="1"/>
    <col min="12534" max="12534" width="15.44140625" style="4534" customWidth="1"/>
    <col min="12535" max="12535" width="12" style="4534" customWidth="1"/>
    <col min="12536" max="12536" width="17" style="4534" customWidth="1"/>
    <col min="12537" max="12537" width="9.109375" style="4534"/>
    <col min="12538" max="12538" width="9.88671875" style="4534" customWidth="1"/>
    <col min="12539" max="12788" width="9.109375" style="4534"/>
    <col min="12789" max="12789" width="27.109375" style="4534" customWidth="1"/>
    <col min="12790" max="12790" width="15.44140625" style="4534" customWidth="1"/>
    <col min="12791" max="12791" width="12" style="4534" customWidth="1"/>
    <col min="12792" max="12792" width="17" style="4534" customWidth="1"/>
    <col min="12793" max="12793" width="9.109375" style="4534"/>
    <col min="12794" max="12794" width="9.88671875" style="4534" customWidth="1"/>
    <col min="12795" max="13044" width="9.109375" style="4534"/>
    <col min="13045" max="13045" width="27.109375" style="4534" customWidth="1"/>
    <col min="13046" max="13046" width="15.44140625" style="4534" customWidth="1"/>
    <col min="13047" max="13047" width="12" style="4534" customWidth="1"/>
    <col min="13048" max="13048" width="17" style="4534" customWidth="1"/>
    <col min="13049" max="13049" width="9.109375" style="4534"/>
    <col min="13050" max="13050" width="9.88671875" style="4534" customWidth="1"/>
    <col min="13051" max="13300" width="9.109375" style="4534"/>
    <col min="13301" max="13301" width="27.109375" style="4534" customWidth="1"/>
    <col min="13302" max="13302" width="15.44140625" style="4534" customWidth="1"/>
    <col min="13303" max="13303" width="12" style="4534" customWidth="1"/>
    <col min="13304" max="13304" width="17" style="4534" customWidth="1"/>
    <col min="13305" max="13305" width="9.109375" style="4534"/>
    <col min="13306" max="13306" width="9.88671875" style="4534" customWidth="1"/>
    <col min="13307" max="13556" width="9.109375" style="4534"/>
    <col min="13557" max="13557" width="27.109375" style="4534" customWidth="1"/>
    <col min="13558" max="13558" width="15.44140625" style="4534" customWidth="1"/>
    <col min="13559" max="13559" width="12" style="4534" customWidth="1"/>
    <col min="13560" max="13560" width="17" style="4534" customWidth="1"/>
    <col min="13561" max="13561" width="9.109375" style="4534"/>
    <col min="13562" max="13562" width="9.88671875" style="4534" customWidth="1"/>
    <col min="13563" max="13812" width="9.109375" style="4534"/>
    <col min="13813" max="13813" width="27.109375" style="4534" customWidth="1"/>
    <col min="13814" max="13814" width="15.44140625" style="4534" customWidth="1"/>
    <col min="13815" max="13815" width="12" style="4534" customWidth="1"/>
    <col min="13816" max="13816" width="17" style="4534" customWidth="1"/>
    <col min="13817" max="13817" width="9.109375" style="4534"/>
    <col min="13818" max="13818" width="9.88671875" style="4534" customWidth="1"/>
    <col min="13819" max="14068" width="9.109375" style="4534"/>
    <col min="14069" max="14069" width="27.109375" style="4534" customWidth="1"/>
    <col min="14070" max="14070" width="15.44140625" style="4534" customWidth="1"/>
    <col min="14071" max="14071" width="12" style="4534" customWidth="1"/>
    <col min="14072" max="14072" width="17" style="4534" customWidth="1"/>
    <col min="14073" max="14073" width="9.109375" style="4534"/>
    <col min="14074" max="14074" width="9.88671875" style="4534" customWidth="1"/>
    <col min="14075" max="14324" width="9.109375" style="4534"/>
    <col min="14325" max="14325" width="27.109375" style="4534" customWidth="1"/>
    <col min="14326" max="14326" width="15.44140625" style="4534" customWidth="1"/>
    <col min="14327" max="14327" width="12" style="4534" customWidth="1"/>
    <col min="14328" max="14328" width="17" style="4534" customWidth="1"/>
    <col min="14329" max="14329" width="9.109375" style="4534"/>
    <col min="14330" max="14330" width="9.88671875" style="4534" customWidth="1"/>
    <col min="14331" max="14580" width="9.109375" style="4534"/>
    <col min="14581" max="14581" width="27.109375" style="4534" customWidth="1"/>
    <col min="14582" max="14582" width="15.44140625" style="4534" customWidth="1"/>
    <col min="14583" max="14583" width="12" style="4534" customWidth="1"/>
    <col min="14584" max="14584" width="17" style="4534" customWidth="1"/>
    <col min="14585" max="14585" width="9.109375" style="4534"/>
    <col min="14586" max="14586" width="9.88671875" style="4534" customWidth="1"/>
    <col min="14587" max="14836" width="9.109375" style="4534"/>
    <col min="14837" max="14837" width="27.109375" style="4534" customWidth="1"/>
    <col min="14838" max="14838" width="15.44140625" style="4534" customWidth="1"/>
    <col min="14839" max="14839" width="12" style="4534" customWidth="1"/>
    <col min="14840" max="14840" width="17" style="4534" customWidth="1"/>
    <col min="14841" max="14841" width="9.109375" style="4534"/>
    <col min="14842" max="14842" width="9.88671875" style="4534" customWidth="1"/>
    <col min="14843" max="15092" width="9.109375" style="4534"/>
    <col min="15093" max="15093" width="27.109375" style="4534" customWidth="1"/>
    <col min="15094" max="15094" width="15.44140625" style="4534" customWidth="1"/>
    <col min="15095" max="15095" width="12" style="4534" customWidth="1"/>
    <col min="15096" max="15096" width="17" style="4534" customWidth="1"/>
    <col min="15097" max="15097" width="9.109375" style="4534"/>
    <col min="15098" max="15098" width="9.88671875" style="4534" customWidth="1"/>
    <col min="15099" max="15348" width="9.109375" style="4534"/>
    <col min="15349" max="15349" width="27.109375" style="4534" customWidth="1"/>
    <col min="15350" max="15350" width="15.44140625" style="4534" customWidth="1"/>
    <col min="15351" max="15351" width="12" style="4534" customWidth="1"/>
    <col min="15352" max="15352" width="17" style="4534" customWidth="1"/>
    <col min="15353" max="15353" width="9.109375" style="4534"/>
    <col min="15354" max="15354" width="9.88671875" style="4534" customWidth="1"/>
    <col min="15355" max="15604" width="9.109375" style="4534"/>
    <col min="15605" max="15605" width="27.109375" style="4534" customWidth="1"/>
    <col min="15606" max="15606" width="15.44140625" style="4534" customWidth="1"/>
    <col min="15607" max="15607" width="12" style="4534" customWidth="1"/>
    <col min="15608" max="15608" width="17" style="4534" customWidth="1"/>
    <col min="15609" max="15609" width="9.109375" style="4534"/>
    <col min="15610" max="15610" width="9.88671875" style="4534" customWidth="1"/>
    <col min="15611" max="15860" width="9.109375" style="4534"/>
    <col min="15861" max="15861" width="27.109375" style="4534" customWidth="1"/>
    <col min="15862" max="15862" width="15.44140625" style="4534" customWidth="1"/>
    <col min="15863" max="15863" width="12" style="4534" customWidth="1"/>
    <col min="15864" max="15864" width="17" style="4534" customWidth="1"/>
    <col min="15865" max="15865" width="9.109375" style="4534"/>
    <col min="15866" max="15866" width="9.88671875" style="4534" customWidth="1"/>
    <col min="15867" max="16116" width="9.109375" style="4534"/>
    <col min="16117" max="16117" width="27.109375" style="4534" customWidth="1"/>
    <col min="16118" max="16118" width="15.44140625" style="4534" customWidth="1"/>
    <col min="16119" max="16119" width="12" style="4534" customWidth="1"/>
    <col min="16120" max="16120" width="17" style="4534" customWidth="1"/>
    <col min="16121" max="16121" width="9.109375" style="4534"/>
    <col min="16122" max="16122" width="9.88671875" style="4534" customWidth="1"/>
    <col min="16123" max="16384" width="9.109375" style="4534"/>
  </cols>
  <sheetData>
    <row r="1" spans="1:7" s="4629" customFormat="1" ht="15">
      <c r="A1" s="15269" t="s">
        <v>2138</v>
      </c>
      <c r="B1" s="15269"/>
      <c r="C1" s="15269"/>
      <c r="D1" s="15269"/>
      <c r="E1" s="15269"/>
      <c r="F1" s="15269"/>
      <c r="G1" s="15269"/>
    </row>
    <row r="2" spans="1:7" s="4629" customFormat="1" ht="15">
      <c r="A2" s="4630"/>
      <c r="B2" s="4630"/>
      <c r="C2" s="4672"/>
      <c r="D2" s="4631"/>
      <c r="E2" s="4631"/>
      <c r="F2" s="4631"/>
      <c r="G2" s="4631"/>
    </row>
    <row r="3" spans="1:7" s="4629" customFormat="1" ht="15">
      <c r="A3" s="4630" t="s">
        <v>9608</v>
      </c>
      <c r="B3" s="4630"/>
      <c r="C3" s="4672"/>
      <c r="D3" s="4631"/>
      <c r="E3" s="4631"/>
      <c r="F3" s="4631"/>
      <c r="G3" s="4631"/>
    </row>
    <row r="4" spans="1:7" s="4629" customFormat="1" ht="15">
      <c r="A4" s="4630" t="s">
        <v>9609</v>
      </c>
      <c r="B4" s="4630"/>
      <c r="C4" s="4672"/>
      <c r="D4" s="4631"/>
      <c r="E4" s="4631"/>
      <c r="F4" s="4631"/>
      <c r="G4" s="4631"/>
    </row>
    <row r="5" spans="1:7" s="4629" customFormat="1" ht="15">
      <c r="C5" s="4672"/>
      <c r="D5" s="4631"/>
      <c r="E5" s="4631"/>
      <c r="F5" s="4631"/>
      <c r="G5" s="4631"/>
    </row>
    <row r="6" spans="1:7" s="4629" customFormat="1" ht="15.75" customHeight="1">
      <c r="A6" s="15343" t="s">
        <v>8725</v>
      </c>
      <c r="B6" s="15343"/>
      <c r="C6" s="15343"/>
      <c r="D6" s="15343"/>
      <c r="E6" s="15343"/>
      <c r="F6" s="15343"/>
      <c r="G6" s="15343"/>
    </row>
    <row r="7" spans="1:7" s="4629" customFormat="1" ht="15.75" customHeight="1">
      <c r="A7" s="4632"/>
      <c r="B7" s="4632"/>
      <c r="C7" s="4700"/>
      <c r="D7" s="4632"/>
      <c r="E7" s="4632"/>
      <c r="F7" s="4632"/>
      <c r="G7" s="4632"/>
    </row>
    <row r="8" spans="1:7" ht="49.5" customHeight="1">
      <c r="A8" s="15338" t="s">
        <v>7246</v>
      </c>
      <c r="B8" s="15338"/>
      <c r="C8" s="15338"/>
      <c r="D8" s="15338"/>
      <c r="E8" s="15338"/>
      <c r="F8" s="15338"/>
      <c r="G8" s="15338"/>
    </row>
    <row r="9" spans="1:7" s="4536" customFormat="1" ht="65.25" customHeight="1">
      <c r="A9" s="15338" t="s">
        <v>5103</v>
      </c>
      <c r="B9" s="15338"/>
      <c r="C9" s="15338"/>
      <c r="D9" s="15338"/>
      <c r="E9" s="15338"/>
      <c r="F9" s="15338"/>
      <c r="G9" s="15338"/>
    </row>
    <row r="10" spans="1:7" ht="101.25" customHeight="1">
      <c r="A10" s="15338" t="s">
        <v>5104</v>
      </c>
      <c r="B10" s="15338"/>
      <c r="C10" s="15338"/>
      <c r="D10" s="15338"/>
      <c r="E10" s="15338"/>
      <c r="F10" s="15338"/>
      <c r="G10" s="15338"/>
    </row>
    <row r="11" spans="1:7" ht="63.75" customHeight="1">
      <c r="A11" s="15338" t="s">
        <v>5105</v>
      </c>
      <c r="B11" s="15338"/>
      <c r="C11" s="15338"/>
      <c r="D11" s="15338"/>
      <c r="E11" s="15338"/>
      <c r="F11" s="15338"/>
      <c r="G11" s="15338"/>
    </row>
    <row r="12" spans="1:7" ht="63.75" customHeight="1">
      <c r="A12" s="15338" t="s">
        <v>5106</v>
      </c>
      <c r="B12" s="15338"/>
      <c r="C12" s="15338"/>
      <c r="D12" s="15338"/>
      <c r="E12" s="15338"/>
      <c r="F12" s="15338"/>
      <c r="G12" s="15338"/>
    </row>
    <row r="13" spans="1:7" ht="38.25" customHeight="1">
      <c r="A13" s="15338" t="s">
        <v>5107</v>
      </c>
      <c r="B13" s="15338"/>
      <c r="C13" s="15338"/>
      <c r="D13" s="15338"/>
      <c r="E13" s="15338"/>
      <c r="F13" s="15338"/>
      <c r="G13" s="15338"/>
    </row>
    <row r="14" spans="1:7" ht="47.25" customHeight="1">
      <c r="A14" s="15344" t="s">
        <v>8726</v>
      </c>
      <c r="B14" s="15344"/>
      <c r="C14" s="15344"/>
      <c r="D14" s="15344"/>
      <c r="E14" s="15344"/>
      <c r="F14" s="15344"/>
      <c r="G14" s="15344"/>
    </row>
    <row r="15" spans="1:7" ht="52.5" customHeight="1">
      <c r="A15" s="15338" t="s">
        <v>5108</v>
      </c>
      <c r="B15" s="15338"/>
      <c r="C15" s="15338"/>
      <c r="D15" s="15338"/>
      <c r="E15" s="15338"/>
      <c r="F15" s="15338"/>
      <c r="G15" s="15338"/>
    </row>
    <row r="16" spans="1:7" ht="18.75" customHeight="1">
      <c r="A16" s="15344" t="s">
        <v>5109</v>
      </c>
      <c r="B16" s="15344"/>
      <c r="C16" s="15344"/>
      <c r="D16" s="15344"/>
      <c r="E16" s="15344"/>
      <c r="F16" s="15344"/>
      <c r="G16" s="15344"/>
    </row>
    <row r="17" spans="1:7" ht="16.5" customHeight="1">
      <c r="A17" s="15338" t="s">
        <v>8727</v>
      </c>
      <c r="B17" s="15338"/>
      <c r="C17" s="15338"/>
      <c r="D17" s="15338"/>
      <c r="E17" s="15338"/>
      <c r="F17" s="15338"/>
      <c r="G17" s="15338"/>
    </row>
    <row r="18" spans="1:7" ht="18.75" customHeight="1">
      <c r="A18" s="15338" t="s">
        <v>8728</v>
      </c>
      <c r="B18" s="15338"/>
      <c r="C18" s="15338"/>
      <c r="D18" s="15338"/>
      <c r="E18" s="15338"/>
      <c r="F18" s="15338"/>
      <c r="G18" s="15338"/>
    </row>
    <row r="19" spans="1:7" ht="18.75" customHeight="1">
      <c r="A19" s="15338" t="s">
        <v>8729</v>
      </c>
      <c r="B19" s="15338"/>
      <c r="C19" s="15338"/>
      <c r="D19" s="15338"/>
      <c r="E19" s="15338"/>
      <c r="F19" s="15338"/>
      <c r="G19" s="15338"/>
    </row>
    <row r="20" spans="1:7" ht="31.5" customHeight="1">
      <c r="A20" s="15338" t="s">
        <v>8730</v>
      </c>
      <c r="B20" s="15338"/>
      <c r="C20" s="15338"/>
      <c r="D20" s="15338"/>
      <c r="E20" s="15338"/>
      <c r="F20" s="15338"/>
      <c r="G20" s="15338"/>
    </row>
    <row r="21" spans="1:7" ht="18.75" customHeight="1">
      <c r="A21" s="15338" t="s">
        <v>8731</v>
      </c>
      <c r="B21" s="15338"/>
      <c r="C21" s="15338"/>
      <c r="D21" s="15338"/>
      <c r="E21" s="15338"/>
      <c r="F21" s="15338"/>
      <c r="G21" s="15338"/>
    </row>
    <row r="22" spans="1:7" ht="18.75" customHeight="1">
      <c r="A22" s="15338" t="s">
        <v>8732</v>
      </c>
      <c r="B22" s="15338"/>
      <c r="C22" s="15338"/>
      <c r="D22" s="15338"/>
      <c r="E22" s="15338"/>
      <c r="F22" s="15338"/>
      <c r="G22" s="15338"/>
    </row>
    <row r="23" spans="1:7" ht="18.75" customHeight="1">
      <c r="A23" s="15338" t="s">
        <v>8733</v>
      </c>
      <c r="B23" s="15338"/>
      <c r="C23" s="15338"/>
      <c r="D23" s="15338"/>
      <c r="E23" s="15338"/>
      <c r="F23" s="15338"/>
      <c r="G23" s="15338"/>
    </row>
    <row r="24" spans="1:7" ht="18.75" customHeight="1">
      <c r="A24" s="15338" t="s">
        <v>8734</v>
      </c>
      <c r="B24" s="15338"/>
      <c r="C24" s="15338"/>
      <c r="D24" s="15338"/>
      <c r="E24" s="15338"/>
      <c r="F24" s="15338"/>
      <c r="G24" s="15338"/>
    </row>
    <row r="25" spans="1:7" ht="15.75" customHeight="1">
      <c r="A25" s="15338"/>
      <c r="B25" s="15338"/>
      <c r="C25" s="15338"/>
      <c r="D25" s="15338"/>
      <c r="E25" s="15338"/>
      <c r="F25" s="15338"/>
      <c r="G25" s="15338"/>
    </row>
    <row r="26" spans="1:7" ht="15" customHeight="1">
      <c r="A26" s="15338"/>
      <c r="B26" s="15338"/>
      <c r="C26" s="15338"/>
      <c r="D26" s="15338"/>
      <c r="E26" s="15338"/>
      <c r="F26" s="15338"/>
      <c r="G26" s="15338"/>
    </row>
    <row r="27" spans="1:7" ht="15" customHeight="1">
      <c r="A27" s="4626"/>
      <c r="B27" s="4626"/>
      <c r="C27" s="4673"/>
      <c r="D27" s="4626"/>
      <c r="E27" s="4626"/>
      <c r="F27" s="4626"/>
      <c r="G27" s="4626"/>
    </row>
    <row r="28" spans="1:7" ht="15" customHeight="1">
      <c r="A28" s="4626"/>
      <c r="B28" s="4626"/>
      <c r="C28" s="4673"/>
      <c r="D28" s="4626"/>
      <c r="E28" s="4626"/>
      <c r="F28" s="4626"/>
      <c r="G28" s="4626"/>
    </row>
    <row r="29" spans="1:7" ht="15" customHeight="1">
      <c r="A29" s="4626"/>
      <c r="B29" s="4626"/>
      <c r="C29" s="4673"/>
      <c r="D29" s="4626"/>
      <c r="E29" s="4626"/>
      <c r="F29" s="4626"/>
      <c r="G29" s="4626"/>
    </row>
    <row r="30" spans="1:7" ht="15" customHeight="1">
      <c r="A30" s="4626"/>
      <c r="B30" s="4626"/>
      <c r="C30" s="4673"/>
      <c r="D30" s="4626"/>
      <c r="E30" s="4626"/>
      <c r="F30" s="4626"/>
      <c r="G30" s="4626"/>
    </row>
    <row r="31" spans="1:7" ht="15" customHeight="1">
      <c r="A31" s="4626"/>
      <c r="B31" s="4626"/>
      <c r="C31" s="4673"/>
      <c r="D31" s="4626"/>
      <c r="E31" s="4626"/>
      <c r="F31" s="4626"/>
      <c r="G31" s="4626"/>
    </row>
    <row r="32" spans="1:7" ht="15" customHeight="1">
      <c r="A32" s="4626"/>
      <c r="B32" s="4626"/>
      <c r="C32" s="4673"/>
      <c r="D32" s="4626"/>
      <c r="E32" s="4626"/>
      <c r="F32" s="4626"/>
      <c r="G32" s="4626"/>
    </row>
    <row r="33" spans="1:7" ht="15" customHeight="1">
      <c r="A33" s="4626"/>
      <c r="B33" s="4626"/>
      <c r="C33" s="4673"/>
      <c r="D33" s="4626"/>
      <c r="E33" s="4626"/>
      <c r="F33" s="4626"/>
      <c r="G33" s="4626"/>
    </row>
    <row r="34" spans="1:7" ht="15" customHeight="1">
      <c r="A34" s="4626"/>
      <c r="B34" s="4626"/>
      <c r="C34" s="4673"/>
      <c r="D34" s="4626"/>
      <c r="E34" s="4626"/>
      <c r="F34" s="4626"/>
      <c r="G34" s="4626"/>
    </row>
    <row r="35" spans="1:7" ht="15" customHeight="1">
      <c r="A35" s="4626"/>
      <c r="B35" s="4626"/>
      <c r="C35" s="4673"/>
      <c r="D35" s="4626"/>
      <c r="E35" s="4626"/>
      <c r="F35" s="4626"/>
      <c r="G35" s="4626"/>
    </row>
    <row r="36" spans="1:7" ht="15" customHeight="1">
      <c r="A36" s="4626"/>
      <c r="B36" s="4626"/>
      <c r="C36" s="4673"/>
      <c r="D36" s="4626"/>
      <c r="E36" s="4626"/>
      <c r="F36" s="4626"/>
      <c r="G36" s="4626"/>
    </row>
    <row r="37" spans="1:7" ht="15" customHeight="1">
      <c r="A37" s="4626"/>
      <c r="B37" s="4626"/>
      <c r="C37" s="4673"/>
      <c r="D37" s="4626"/>
      <c r="E37" s="4626"/>
      <c r="F37" s="4626"/>
      <c r="G37" s="4626"/>
    </row>
    <row r="38" spans="1:7" ht="15" customHeight="1">
      <c r="A38" s="15338"/>
      <c r="B38" s="15338"/>
      <c r="C38" s="15338"/>
      <c r="D38" s="15338"/>
      <c r="E38" s="15338"/>
      <c r="F38" s="15338"/>
      <c r="G38" s="15338"/>
    </row>
    <row r="39" spans="1:7" ht="34.5" customHeight="1">
      <c r="A39" s="15325" t="s">
        <v>2537</v>
      </c>
      <c r="B39" s="15325"/>
      <c r="C39" s="15340" t="s">
        <v>2538</v>
      </c>
      <c r="D39" s="15341"/>
      <c r="E39" s="15341"/>
      <c r="F39" s="15341"/>
      <c r="G39" s="15342"/>
    </row>
    <row r="40" spans="1:7" ht="16.5" customHeight="1">
      <c r="A40" s="15324" t="s">
        <v>8735</v>
      </c>
      <c r="B40" s="15324"/>
      <c r="C40" s="15324" t="s">
        <v>8736</v>
      </c>
      <c r="D40" s="15324"/>
      <c r="E40" s="15324"/>
      <c r="F40" s="15324"/>
      <c r="G40" s="15324"/>
    </row>
    <row r="41" spans="1:7" ht="16.5" customHeight="1">
      <c r="A41" s="15324"/>
      <c r="B41" s="15324"/>
      <c r="C41" s="15324" t="s">
        <v>8737</v>
      </c>
      <c r="D41" s="15324"/>
      <c r="E41" s="15324"/>
      <c r="F41" s="15324"/>
      <c r="G41" s="15324"/>
    </row>
    <row r="42" spans="1:7" ht="16.5" customHeight="1">
      <c r="A42" s="15324"/>
      <c r="B42" s="15324"/>
      <c r="C42" s="15324" t="s">
        <v>8738</v>
      </c>
      <c r="D42" s="15324"/>
      <c r="E42" s="15324"/>
      <c r="F42" s="15324"/>
      <c r="G42" s="15324"/>
    </row>
    <row r="43" spans="1:7" ht="15" customHeight="1">
      <c r="A43" s="15324"/>
      <c r="B43" s="15324"/>
      <c r="C43" s="15324" t="s">
        <v>8739</v>
      </c>
      <c r="D43" s="15324"/>
      <c r="E43" s="15324"/>
      <c r="F43" s="15324"/>
      <c r="G43" s="15324"/>
    </row>
    <row r="44" spans="1:7" ht="15" customHeight="1">
      <c r="A44" s="15324"/>
      <c r="B44" s="15324"/>
      <c r="C44" s="15324" t="s">
        <v>8740</v>
      </c>
      <c r="D44" s="15324"/>
      <c r="E44" s="15324"/>
      <c r="F44" s="15324"/>
      <c r="G44" s="15324"/>
    </row>
    <row r="45" spans="1:7" ht="17.25" customHeight="1">
      <c r="A45" s="15324"/>
      <c r="B45" s="15324"/>
      <c r="C45" s="15324" t="s">
        <v>8741</v>
      </c>
      <c r="D45" s="15324"/>
      <c r="E45" s="15324"/>
      <c r="F45" s="15324"/>
      <c r="G45" s="15324"/>
    </row>
    <row r="46" spans="1:7" ht="20.25" customHeight="1">
      <c r="A46" s="15324" t="s">
        <v>8742</v>
      </c>
      <c r="B46" s="15324"/>
      <c r="C46" s="15324" t="s">
        <v>8743</v>
      </c>
      <c r="D46" s="15324"/>
      <c r="E46" s="15324"/>
      <c r="F46" s="15324"/>
      <c r="G46" s="15324"/>
    </row>
    <row r="47" spans="1:7" ht="16.5" customHeight="1">
      <c r="A47" s="15324"/>
      <c r="B47" s="15324"/>
      <c r="C47" s="15324" t="s">
        <v>8744</v>
      </c>
      <c r="D47" s="15324"/>
      <c r="E47" s="15324"/>
      <c r="F47" s="15324"/>
      <c r="G47" s="15324"/>
    </row>
    <row r="48" spans="1:7" ht="34.5" customHeight="1">
      <c r="A48" s="15324"/>
      <c r="B48" s="15324"/>
      <c r="C48" s="15324" t="s">
        <v>8745</v>
      </c>
      <c r="D48" s="15324"/>
      <c r="E48" s="15324"/>
      <c r="F48" s="15324"/>
      <c r="G48" s="15324"/>
    </row>
    <row r="49" spans="1:7" ht="15.75" customHeight="1">
      <c r="A49" s="15324"/>
      <c r="B49" s="15324"/>
      <c r="C49" s="15324" t="s">
        <v>8746</v>
      </c>
      <c r="D49" s="15324"/>
      <c r="E49" s="15324"/>
      <c r="F49" s="15324"/>
      <c r="G49" s="15324"/>
    </row>
    <row r="50" spans="1:7" ht="15.75" customHeight="1">
      <c r="A50" s="15324"/>
      <c r="B50" s="15324"/>
      <c r="C50" s="15324" t="s">
        <v>8747</v>
      </c>
      <c r="D50" s="15324"/>
      <c r="E50" s="15324"/>
      <c r="F50" s="15324"/>
      <c r="G50" s="15324"/>
    </row>
    <row r="51" spans="1:7" ht="17.25" customHeight="1">
      <c r="A51" s="15324" t="s">
        <v>8748</v>
      </c>
      <c r="B51" s="15324"/>
      <c r="C51" s="15324" t="s">
        <v>8749</v>
      </c>
      <c r="D51" s="15324"/>
      <c r="E51" s="15324"/>
      <c r="F51" s="15324"/>
      <c r="G51" s="15324"/>
    </row>
    <row r="52" spans="1:7" ht="18.75" customHeight="1">
      <c r="A52" s="15324"/>
      <c r="B52" s="15324"/>
      <c r="C52" s="15324" t="s">
        <v>8750</v>
      </c>
      <c r="D52" s="15324"/>
      <c r="E52" s="15324"/>
      <c r="F52" s="15324"/>
      <c r="G52" s="15324"/>
    </row>
    <row r="53" spans="1:7" ht="16.5" customHeight="1">
      <c r="A53" s="15324"/>
      <c r="B53" s="15324"/>
      <c r="C53" s="15324" t="s">
        <v>8751</v>
      </c>
      <c r="D53" s="15324"/>
      <c r="E53" s="15324"/>
      <c r="F53" s="15324"/>
      <c r="G53" s="15324"/>
    </row>
    <row r="54" spans="1:7" ht="18.75" customHeight="1">
      <c r="A54" s="15324"/>
      <c r="B54" s="15324"/>
      <c r="C54" s="15324" t="s">
        <v>8752</v>
      </c>
      <c r="D54" s="15324"/>
      <c r="E54" s="15324"/>
      <c r="F54" s="15324"/>
      <c r="G54" s="15324"/>
    </row>
    <row r="55" spans="1:7" ht="18" customHeight="1">
      <c r="A55" s="15324" t="s">
        <v>8753</v>
      </c>
      <c r="B55" s="15324"/>
      <c r="C55" s="15324" t="s">
        <v>8754</v>
      </c>
      <c r="D55" s="15324"/>
      <c r="E55" s="15324"/>
      <c r="F55" s="15324"/>
      <c r="G55" s="15324"/>
    </row>
    <row r="56" spans="1:7" ht="17.25" customHeight="1">
      <c r="A56" s="15324"/>
      <c r="B56" s="15324"/>
      <c r="C56" s="15324" t="s">
        <v>8755</v>
      </c>
      <c r="D56" s="15324"/>
      <c r="E56" s="15324"/>
      <c r="F56" s="15324"/>
      <c r="G56" s="15324"/>
    </row>
    <row r="57" spans="1:7" ht="15" customHeight="1">
      <c r="A57" s="15324"/>
      <c r="B57" s="15324"/>
      <c r="C57" s="15324" t="s">
        <v>8756</v>
      </c>
      <c r="D57" s="15324"/>
      <c r="E57" s="15324"/>
      <c r="F57" s="15324"/>
      <c r="G57" s="15324"/>
    </row>
    <row r="58" spans="1:7" ht="15" customHeight="1">
      <c r="A58" s="15324"/>
      <c r="B58" s="15324"/>
      <c r="C58" s="15324" t="s">
        <v>8757</v>
      </c>
      <c r="D58" s="15324"/>
      <c r="E58" s="15324"/>
      <c r="F58" s="15324"/>
      <c r="G58" s="15324"/>
    </row>
    <row r="59" spans="1:7" ht="15.75" customHeight="1">
      <c r="A59" s="15324"/>
      <c r="B59" s="15324"/>
      <c r="C59" s="15324" t="s">
        <v>8758</v>
      </c>
      <c r="D59" s="15324"/>
      <c r="E59" s="15324"/>
      <c r="F59" s="15324"/>
      <c r="G59" s="15324"/>
    </row>
    <row r="60" spans="1:7" ht="18" customHeight="1">
      <c r="A60" s="15324" t="s">
        <v>8759</v>
      </c>
      <c r="B60" s="15324"/>
      <c r="C60" s="15324" t="s">
        <v>8760</v>
      </c>
      <c r="D60" s="15324"/>
      <c r="E60" s="15324"/>
      <c r="F60" s="15324"/>
      <c r="G60" s="15324"/>
    </row>
    <row r="61" spans="1:7" ht="18.75" customHeight="1">
      <c r="A61" s="15324"/>
      <c r="B61" s="15324"/>
      <c r="C61" s="15324" t="s">
        <v>8761</v>
      </c>
      <c r="D61" s="15324"/>
      <c r="E61" s="15324"/>
      <c r="F61" s="15324"/>
      <c r="G61" s="15324"/>
    </row>
    <row r="62" spans="1:7" ht="31.5" customHeight="1">
      <c r="A62" s="15324"/>
      <c r="B62" s="15324"/>
      <c r="C62" s="15324" t="s">
        <v>8762</v>
      </c>
      <c r="D62" s="15324"/>
      <c r="E62" s="15324"/>
      <c r="F62" s="15324"/>
      <c r="G62" s="15324"/>
    </row>
    <row r="63" spans="1:7" ht="18" customHeight="1">
      <c r="A63" s="15324"/>
      <c r="B63" s="15324"/>
      <c r="C63" s="15324" t="s">
        <v>8763</v>
      </c>
      <c r="D63" s="15324"/>
      <c r="E63" s="15324"/>
      <c r="F63" s="15324"/>
      <c r="G63" s="15324"/>
    </row>
    <row r="64" spans="1:7" ht="18.75" customHeight="1">
      <c r="A64" s="15324" t="s">
        <v>8764</v>
      </c>
      <c r="B64" s="15324"/>
      <c r="C64" s="15324" t="s">
        <v>8765</v>
      </c>
      <c r="D64" s="15324"/>
      <c r="E64" s="15324"/>
      <c r="F64" s="15324"/>
      <c r="G64" s="15324"/>
    </row>
    <row r="65" spans="1:7" ht="18.75" customHeight="1">
      <c r="A65" s="15324"/>
      <c r="B65" s="15324"/>
      <c r="C65" s="15324" t="s">
        <v>8766</v>
      </c>
      <c r="D65" s="15324"/>
      <c r="E65" s="15324"/>
      <c r="F65" s="15324"/>
      <c r="G65" s="15324"/>
    </row>
    <row r="66" spans="1:7" ht="18.75" customHeight="1">
      <c r="A66" s="15324"/>
      <c r="B66" s="15324"/>
      <c r="C66" s="15324" t="s">
        <v>8767</v>
      </c>
      <c r="D66" s="15324"/>
      <c r="E66" s="15324"/>
      <c r="F66" s="15324"/>
      <c r="G66" s="15324"/>
    </row>
    <row r="67" spans="1:7" ht="17.25" customHeight="1">
      <c r="A67" s="15324"/>
      <c r="B67" s="15324"/>
      <c r="C67" s="15324" t="s">
        <v>8768</v>
      </c>
      <c r="D67" s="15324"/>
      <c r="E67" s="15324"/>
      <c r="F67" s="15324"/>
      <c r="G67" s="15324"/>
    </row>
    <row r="68" spans="1:7" ht="15" customHeight="1">
      <c r="A68" s="15324"/>
      <c r="B68" s="15324"/>
      <c r="C68" s="15324" t="s">
        <v>8769</v>
      </c>
      <c r="D68" s="15324"/>
      <c r="E68" s="15324"/>
      <c r="F68" s="15324"/>
      <c r="G68" s="15324"/>
    </row>
    <row r="69" spans="1:7" ht="15.75" customHeight="1">
      <c r="A69" s="15324"/>
      <c r="B69" s="15324"/>
      <c r="C69" s="15324" t="s">
        <v>8770</v>
      </c>
      <c r="D69" s="15324"/>
      <c r="E69" s="15324"/>
      <c r="F69" s="15324"/>
      <c r="G69" s="15324"/>
    </row>
    <row r="70" spans="1:7" ht="20.25" customHeight="1">
      <c r="A70" s="15324" t="s">
        <v>8771</v>
      </c>
      <c r="B70" s="15324"/>
      <c r="C70" s="15324" t="s">
        <v>8772</v>
      </c>
      <c r="D70" s="15324"/>
      <c r="E70" s="15324"/>
      <c r="F70" s="15324"/>
      <c r="G70" s="15324"/>
    </row>
    <row r="71" spans="1:7" ht="16.5" customHeight="1">
      <c r="A71" s="15324"/>
      <c r="B71" s="15324"/>
      <c r="C71" s="15324" t="s">
        <v>8773</v>
      </c>
      <c r="D71" s="15324"/>
      <c r="E71" s="15324"/>
      <c r="F71" s="15324"/>
      <c r="G71" s="15324"/>
    </row>
    <row r="72" spans="1:7" ht="18" customHeight="1">
      <c r="A72" s="15324"/>
      <c r="B72" s="15324"/>
      <c r="C72" s="15324" t="s">
        <v>8774</v>
      </c>
      <c r="D72" s="15324"/>
      <c r="E72" s="15324"/>
      <c r="F72" s="15324"/>
      <c r="G72" s="15324"/>
    </row>
    <row r="73" spans="1:7" ht="16.5" customHeight="1">
      <c r="A73" s="15324" t="s">
        <v>8775</v>
      </c>
      <c r="B73" s="15324"/>
      <c r="C73" s="15324" t="s">
        <v>8776</v>
      </c>
      <c r="D73" s="15324"/>
      <c r="E73" s="15324"/>
      <c r="F73" s="15324"/>
      <c r="G73" s="15324"/>
    </row>
    <row r="74" spans="1:7" ht="16.5" customHeight="1">
      <c r="A74" s="15324"/>
      <c r="B74" s="15324"/>
      <c r="C74" s="15324" t="s">
        <v>8777</v>
      </c>
      <c r="D74" s="15324"/>
      <c r="E74" s="15324"/>
      <c r="F74" s="15324"/>
      <c r="G74" s="15324"/>
    </row>
    <row r="75" spans="1:7" ht="16.5" customHeight="1">
      <c r="A75" s="15324"/>
      <c r="B75" s="15324"/>
      <c r="C75" s="15324" t="s">
        <v>8778</v>
      </c>
      <c r="D75" s="15324"/>
      <c r="E75" s="15324"/>
      <c r="F75" s="15324"/>
      <c r="G75" s="15324"/>
    </row>
    <row r="76" spans="1:7" ht="16.5" customHeight="1">
      <c r="A76" s="15324"/>
      <c r="B76" s="15324"/>
      <c r="C76" s="15324" t="s">
        <v>8779</v>
      </c>
      <c r="D76" s="15324"/>
      <c r="E76" s="15324"/>
      <c r="F76" s="15324"/>
      <c r="G76" s="15324"/>
    </row>
    <row r="77" spans="1:7" ht="16.5" customHeight="1">
      <c r="A77" s="15324"/>
      <c r="B77" s="15324"/>
      <c r="C77" s="15324" t="s">
        <v>8780</v>
      </c>
      <c r="D77" s="15324"/>
      <c r="E77" s="15324"/>
      <c r="F77" s="15324"/>
      <c r="G77" s="15324"/>
    </row>
    <row r="78" spans="1:7" ht="19.5" customHeight="1">
      <c r="A78" s="15324"/>
      <c r="B78" s="15324"/>
      <c r="C78" s="15324" t="s">
        <v>8781</v>
      </c>
      <c r="D78" s="15324"/>
      <c r="E78" s="15324"/>
      <c r="F78" s="15324"/>
      <c r="G78" s="15324"/>
    </row>
    <row r="79" spans="1:7" ht="18" customHeight="1">
      <c r="A79" s="15324"/>
      <c r="B79" s="15324"/>
      <c r="C79" s="15324" t="s">
        <v>8782</v>
      </c>
      <c r="D79" s="15324"/>
      <c r="E79" s="15324"/>
      <c r="F79" s="15324"/>
      <c r="G79" s="15324"/>
    </row>
    <row r="80" spans="1:7" ht="21.75" customHeight="1">
      <c r="A80" s="15324"/>
      <c r="B80" s="15324"/>
      <c r="C80" s="15324" t="s">
        <v>8783</v>
      </c>
      <c r="D80" s="15324"/>
      <c r="E80" s="15324"/>
      <c r="F80" s="15324"/>
      <c r="G80" s="15324"/>
    </row>
    <row r="81" spans="1:7" ht="31.5" customHeight="1">
      <c r="A81" s="15324"/>
      <c r="B81" s="15324"/>
      <c r="C81" s="15324" t="s">
        <v>8784</v>
      </c>
      <c r="D81" s="15324"/>
      <c r="E81" s="15324"/>
      <c r="F81" s="15324"/>
      <c r="G81" s="15324"/>
    </row>
    <row r="82" spans="1:7" ht="7.5" customHeight="1">
      <c r="A82" s="15324"/>
      <c r="B82" s="15324"/>
      <c r="C82" s="4674"/>
      <c r="D82" s="4538"/>
      <c r="E82" s="4538"/>
      <c r="F82" s="4538"/>
      <c r="G82" s="4628"/>
    </row>
    <row r="83" spans="1:7" ht="7.5" customHeight="1">
      <c r="A83" s="4627"/>
      <c r="B83" s="4627"/>
      <c r="C83" s="4675"/>
      <c r="D83" s="4633"/>
      <c r="E83" s="4633"/>
      <c r="F83" s="4633"/>
      <c r="G83" s="4633"/>
    </row>
    <row r="84" spans="1:7" ht="7.5" customHeight="1">
      <c r="A84" s="4626"/>
      <c r="B84" s="4626"/>
      <c r="C84" s="4673"/>
      <c r="D84" s="4538"/>
      <c r="E84" s="4538"/>
      <c r="F84" s="4538"/>
      <c r="G84" s="4538"/>
    </row>
    <row r="85" spans="1:7" ht="16.5" customHeight="1">
      <c r="A85" s="4626"/>
      <c r="B85" s="4626"/>
      <c r="C85" s="4673"/>
      <c r="D85" s="4538"/>
      <c r="E85" s="4538"/>
      <c r="F85" s="4538"/>
      <c r="G85" s="4538"/>
    </row>
    <row r="86" spans="1:7" ht="16.5" customHeight="1">
      <c r="A86" s="4626"/>
      <c r="B86" s="4626"/>
      <c r="C86" s="4673"/>
      <c r="D86" s="4538"/>
      <c r="E86" s="4538"/>
      <c r="F86" s="4538"/>
      <c r="G86" s="4538"/>
    </row>
    <row r="87" spans="1:7" ht="16.5" customHeight="1">
      <c r="A87" s="4626"/>
      <c r="B87" s="4626"/>
      <c r="C87" s="4673"/>
      <c r="D87" s="4538"/>
      <c r="E87" s="4538"/>
      <c r="F87" s="4538"/>
      <c r="G87" s="4538"/>
    </row>
    <row r="88" spans="1:7" ht="16.5" customHeight="1">
      <c r="A88" s="4626"/>
      <c r="B88" s="4626"/>
      <c r="C88" s="4673"/>
      <c r="D88" s="4538"/>
      <c r="E88" s="4538"/>
      <c r="F88" s="4538"/>
      <c r="G88" s="4538"/>
    </row>
    <row r="89" spans="1:7" ht="16.5" customHeight="1">
      <c r="A89" s="4626"/>
      <c r="B89" s="4626"/>
      <c r="C89" s="4673"/>
      <c r="D89" s="4538"/>
      <c r="E89" s="4538"/>
      <c r="F89" s="4538"/>
      <c r="G89" s="4538"/>
    </row>
    <row r="90" spans="1:7" ht="16.5" customHeight="1">
      <c r="A90" s="4626"/>
      <c r="B90" s="4626"/>
      <c r="C90" s="4673"/>
      <c r="D90" s="4538"/>
      <c r="E90" s="4538"/>
      <c r="F90" s="4538"/>
      <c r="G90" s="4538"/>
    </row>
    <row r="91" spans="1:7" ht="16.5" customHeight="1">
      <c r="A91" s="4626"/>
      <c r="B91" s="4626"/>
      <c r="C91" s="4673"/>
      <c r="D91" s="4538"/>
      <c r="E91" s="4538"/>
      <c r="F91" s="4538"/>
      <c r="G91" s="4538"/>
    </row>
    <row r="92" spans="1:7" ht="16.5" customHeight="1">
      <c r="A92" s="4634"/>
      <c r="B92" s="4634"/>
      <c r="C92" s="4676"/>
      <c r="D92" s="4635"/>
      <c r="E92" s="4635"/>
      <c r="F92" s="4635"/>
      <c r="G92" s="4635"/>
    </row>
    <row r="93" spans="1:7" ht="34.5" customHeight="1">
      <c r="A93" s="15325" t="s">
        <v>2537</v>
      </c>
      <c r="B93" s="15325"/>
      <c r="C93" s="15340" t="s">
        <v>2538</v>
      </c>
      <c r="D93" s="15341"/>
      <c r="E93" s="15341"/>
      <c r="F93" s="15341"/>
      <c r="G93" s="15342"/>
    </row>
    <row r="94" spans="1:7" ht="19.5" customHeight="1">
      <c r="A94" s="15324" t="s">
        <v>8785</v>
      </c>
      <c r="B94" s="15324"/>
      <c r="C94" s="15337" t="s">
        <v>8786</v>
      </c>
      <c r="D94" s="15338"/>
      <c r="E94" s="15338"/>
      <c r="F94" s="15338"/>
      <c r="G94" s="15339"/>
    </row>
    <row r="95" spans="1:7" ht="17.25" customHeight="1">
      <c r="A95" s="15324"/>
      <c r="B95" s="15324"/>
      <c r="C95" s="15324" t="s">
        <v>8787</v>
      </c>
      <c r="D95" s="15324"/>
      <c r="E95" s="15324"/>
      <c r="F95" s="15324"/>
      <c r="G95" s="15324"/>
    </row>
    <row r="96" spans="1:7" ht="18.75" customHeight="1">
      <c r="A96" s="15324"/>
      <c r="B96" s="15324"/>
      <c r="C96" s="15324" t="s">
        <v>8788</v>
      </c>
      <c r="D96" s="15324"/>
      <c r="E96" s="15324"/>
      <c r="F96" s="15324"/>
      <c r="G96" s="15324"/>
    </row>
    <row r="97" spans="1:7" ht="18.75" customHeight="1">
      <c r="A97" s="15324"/>
      <c r="B97" s="15324"/>
      <c r="C97" s="15324" t="s">
        <v>8789</v>
      </c>
      <c r="D97" s="15324"/>
      <c r="E97" s="15324"/>
      <c r="F97" s="15324"/>
      <c r="G97" s="15324"/>
    </row>
    <row r="98" spans="1:7" ht="18.75" customHeight="1">
      <c r="A98" s="15324"/>
      <c r="B98" s="15324"/>
      <c r="C98" s="15324" t="s">
        <v>8790</v>
      </c>
      <c r="D98" s="15324"/>
      <c r="E98" s="15324"/>
      <c r="F98" s="15324"/>
      <c r="G98" s="15324"/>
    </row>
    <row r="99" spans="1:7" ht="32.25" customHeight="1">
      <c r="A99" s="15324"/>
      <c r="B99" s="15324"/>
      <c r="C99" s="15324" t="s">
        <v>8791</v>
      </c>
      <c r="D99" s="15324"/>
      <c r="E99" s="15324"/>
      <c r="F99" s="15324"/>
      <c r="G99" s="15324"/>
    </row>
    <row r="100" spans="1:7" ht="19.5" customHeight="1">
      <c r="A100" s="15324" t="s">
        <v>8792</v>
      </c>
      <c r="B100" s="15324"/>
      <c r="C100" s="15324" t="s">
        <v>8793</v>
      </c>
      <c r="D100" s="15324"/>
      <c r="E100" s="15324"/>
      <c r="F100" s="15324"/>
      <c r="G100" s="15324"/>
    </row>
    <row r="101" spans="1:7" ht="18" customHeight="1">
      <c r="A101" s="15324"/>
      <c r="B101" s="15324"/>
      <c r="C101" s="15324" t="s">
        <v>8794</v>
      </c>
      <c r="D101" s="15324"/>
      <c r="E101" s="15324"/>
      <c r="F101" s="15324"/>
      <c r="G101" s="15324"/>
    </row>
    <row r="102" spans="1:7" ht="18.75" customHeight="1">
      <c r="A102" s="15324"/>
      <c r="B102" s="15324"/>
      <c r="C102" s="15324" t="s">
        <v>8795</v>
      </c>
      <c r="D102" s="15324"/>
      <c r="E102" s="15324"/>
      <c r="F102" s="15324"/>
      <c r="G102" s="15324"/>
    </row>
    <row r="103" spans="1:7" ht="18" customHeight="1">
      <c r="A103" s="15324"/>
      <c r="B103" s="15324"/>
      <c r="C103" s="15324" t="s">
        <v>8796</v>
      </c>
      <c r="D103" s="15324"/>
      <c r="E103" s="15324"/>
      <c r="F103" s="15324"/>
      <c r="G103" s="15324"/>
    </row>
    <row r="104" spans="1:7" ht="21" customHeight="1">
      <c r="A104" s="15324" t="s">
        <v>8797</v>
      </c>
      <c r="B104" s="15324"/>
      <c r="C104" s="15324" t="s">
        <v>8798</v>
      </c>
      <c r="D104" s="15324"/>
      <c r="E104" s="15324"/>
      <c r="F104" s="15324"/>
      <c r="G104" s="15324"/>
    </row>
    <row r="105" spans="1:7" ht="20.25" customHeight="1">
      <c r="A105" s="15324"/>
      <c r="B105" s="15324"/>
      <c r="C105" s="15324" t="s">
        <v>8799</v>
      </c>
      <c r="D105" s="15324"/>
      <c r="E105" s="15324"/>
      <c r="F105" s="15324"/>
      <c r="G105" s="15324"/>
    </row>
    <row r="106" spans="1:7" ht="18" customHeight="1">
      <c r="A106" s="15324"/>
      <c r="B106" s="15324"/>
      <c r="C106" s="15324" t="s">
        <v>8800</v>
      </c>
      <c r="D106" s="15324"/>
      <c r="E106" s="15324"/>
      <c r="F106" s="15324"/>
      <c r="G106" s="15324"/>
    </row>
    <row r="107" spans="1:7" ht="19.5" customHeight="1">
      <c r="A107" s="15324"/>
      <c r="B107" s="15324"/>
      <c r="C107" s="15324" t="s">
        <v>8801</v>
      </c>
      <c r="D107" s="15324"/>
      <c r="E107" s="15324"/>
      <c r="F107" s="15324"/>
      <c r="G107" s="15324"/>
    </row>
    <row r="108" spans="1:7" ht="20.25" customHeight="1">
      <c r="A108" s="15324"/>
      <c r="B108" s="15324"/>
      <c r="C108" s="15324" t="s">
        <v>8802</v>
      </c>
      <c r="D108" s="15324"/>
      <c r="E108" s="15324"/>
      <c r="F108" s="15324"/>
      <c r="G108" s="15324"/>
    </row>
    <row r="109" spans="1:7" ht="20.25" customHeight="1">
      <c r="A109" s="15324"/>
      <c r="B109" s="15324"/>
      <c r="C109" s="15324" t="s">
        <v>8803</v>
      </c>
      <c r="D109" s="15324"/>
      <c r="E109" s="15324"/>
      <c r="F109" s="15324"/>
      <c r="G109" s="15324"/>
    </row>
    <row r="110" spans="1:7" ht="20.25" customHeight="1">
      <c r="A110" s="15324" t="s">
        <v>8804</v>
      </c>
      <c r="B110" s="15324"/>
      <c r="C110" s="15324" t="s">
        <v>8805</v>
      </c>
      <c r="D110" s="15324"/>
      <c r="E110" s="15324"/>
      <c r="F110" s="15324"/>
      <c r="G110" s="15324"/>
    </row>
    <row r="111" spans="1:7" ht="18" customHeight="1">
      <c r="A111" s="15324"/>
      <c r="B111" s="15324"/>
      <c r="C111" s="15324" t="s">
        <v>8806</v>
      </c>
      <c r="D111" s="15324"/>
      <c r="E111" s="15324"/>
      <c r="F111" s="15324"/>
      <c r="G111" s="15324"/>
    </row>
    <row r="112" spans="1:7" ht="18.75" customHeight="1">
      <c r="A112" s="15324"/>
      <c r="B112" s="15324"/>
      <c r="C112" s="15324" t="s">
        <v>8807</v>
      </c>
      <c r="D112" s="15324"/>
      <c r="E112" s="15324"/>
      <c r="F112" s="15324"/>
      <c r="G112" s="15324"/>
    </row>
    <row r="113" spans="1:7" ht="19.5" customHeight="1">
      <c r="A113" s="15336"/>
      <c r="B113" s="15336"/>
      <c r="C113" s="15336" t="s">
        <v>8808</v>
      </c>
      <c r="D113" s="15336"/>
      <c r="E113" s="15336"/>
      <c r="F113" s="15336"/>
      <c r="G113" s="15336"/>
    </row>
    <row r="114" spans="1:7" ht="19.5" customHeight="1">
      <c r="A114" s="4627"/>
      <c r="B114" s="4627"/>
      <c r="C114" s="4675"/>
      <c r="D114" s="4627"/>
      <c r="E114" s="4627"/>
      <c r="F114" s="4627"/>
      <c r="G114" s="4627"/>
    </row>
    <row r="115" spans="1:7" ht="19.5" customHeight="1">
      <c r="A115" s="4626"/>
      <c r="B115" s="4626"/>
      <c r="C115" s="4673"/>
      <c r="D115" s="4626"/>
      <c r="E115" s="4626"/>
      <c r="F115" s="4626"/>
      <c r="G115" s="4626"/>
    </row>
    <row r="116" spans="1:7" ht="19.5" customHeight="1">
      <c r="A116" s="4626"/>
      <c r="B116" s="4626"/>
      <c r="C116" s="4673"/>
      <c r="D116" s="4626"/>
      <c r="E116" s="4626"/>
      <c r="F116" s="4626"/>
      <c r="G116" s="4626"/>
    </row>
    <row r="117" spans="1:7" ht="28.5" customHeight="1">
      <c r="A117" s="15344" t="s">
        <v>2539</v>
      </c>
      <c r="B117" s="15344"/>
      <c r="C117" s="15344"/>
      <c r="D117" s="4715"/>
      <c r="E117" s="4715"/>
      <c r="F117" s="4715"/>
      <c r="G117" s="4715"/>
    </row>
    <row r="118" spans="1:7" ht="28.5" customHeight="1" thickBot="1">
      <c r="A118" s="4652" t="s">
        <v>2056</v>
      </c>
      <c r="B118" s="4652" t="s">
        <v>2540</v>
      </c>
      <c r="C118" s="4701" t="s">
        <v>1736</v>
      </c>
      <c r="D118" s="4653" t="s">
        <v>1760</v>
      </c>
      <c r="E118" s="4653" t="s">
        <v>1764</v>
      </c>
      <c r="F118" s="15346" t="s">
        <v>2541</v>
      </c>
      <c r="G118" s="15346"/>
    </row>
    <row r="119" spans="1:7" ht="18.75" customHeight="1" thickBot="1">
      <c r="A119" s="4660"/>
      <c r="B119" s="4660"/>
      <c r="C119" s="4677"/>
      <c r="D119" s="4654"/>
      <c r="E119" s="4654"/>
      <c r="F119" s="4655" t="s">
        <v>1789</v>
      </c>
      <c r="G119" s="4655" t="s">
        <v>1790</v>
      </c>
    </row>
    <row r="120" spans="1:7" ht="28.5" customHeight="1" thickBot="1">
      <c r="A120" s="4660"/>
      <c r="B120" s="4656" t="s">
        <v>5110</v>
      </c>
      <c r="C120" s="4677"/>
      <c r="D120" s="4654"/>
      <c r="E120" s="4654"/>
      <c r="F120" s="4654"/>
      <c r="G120" s="4654"/>
    </row>
    <row r="121" spans="1:7" ht="33" customHeight="1" thickBot="1">
      <c r="A121" s="4660"/>
      <c r="B121" s="4657" t="s">
        <v>5111</v>
      </c>
      <c r="C121" s="4677"/>
      <c r="D121" s="4658">
        <v>1</v>
      </c>
      <c r="E121" s="4654" t="s">
        <v>5112</v>
      </c>
      <c r="F121" s="4654" t="s">
        <v>5125</v>
      </c>
      <c r="G121" s="4654" t="s">
        <v>5113</v>
      </c>
    </row>
    <row r="122" spans="1:7" ht="34.5" customHeight="1" thickBot="1">
      <c r="A122" s="4660"/>
      <c r="B122" s="4660" t="s">
        <v>5114</v>
      </c>
      <c r="C122" s="4677"/>
      <c r="D122" s="4654"/>
      <c r="E122" s="4654"/>
      <c r="F122" s="4654" t="s">
        <v>5125</v>
      </c>
      <c r="G122" s="4654" t="s">
        <v>5113</v>
      </c>
    </row>
    <row r="123" spans="1:7" ht="42" customHeight="1" thickBot="1">
      <c r="A123" s="4660"/>
      <c r="B123" s="4656" t="s">
        <v>5115</v>
      </c>
      <c r="C123" s="4677" t="s">
        <v>5116</v>
      </c>
      <c r="D123" s="4658">
        <v>1</v>
      </c>
      <c r="E123" s="4654" t="s">
        <v>5117</v>
      </c>
      <c r="F123" s="4654" t="s">
        <v>5125</v>
      </c>
      <c r="G123" s="4654" t="s">
        <v>5113</v>
      </c>
    </row>
    <row r="124" spans="1:7" ht="27.75" customHeight="1" thickBot="1">
      <c r="A124" s="4660"/>
      <c r="B124" s="4660" t="s">
        <v>5118</v>
      </c>
      <c r="C124" s="4677"/>
      <c r="D124" s="4654"/>
      <c r="E124" s="4654"/>
      <c r="F124" s="4654" t="s">
        <v>5125</v>
      </c>
      <c r="G124" s="4654" t="s">
        <v>5113</v>
      </c>
    </row>
    <row r="125" spans="1:7" ht="14.25" customHeight="1">
      <c r="A125" s="15333"/>
      <c r="B125" s="15333" t="s">
        <v>8809</v>
      </c>
      <c r="C125" s="4702"/>
      <c r="D125" s="4663" t="s">
        <v>5119</v>
      </c>
      <c r="E125" s="4659" t="s">
        <v>5120</v>
      </c>
      <c r="F125" s="15267" t="s">
        <v>5125</v>
      </c>
      <c r="G125" s="15267" t="s">
        <v>5113</v>
      </c>
    </row>
    <row r="126" spans="1:7" ht="14.25" customHeight="1">
      <c r="A126" s="15334"/>
      <c r="B126" s="15334"/>
      <c r="C126" s="4703"/>
      <c r="D126" s="4666"/>
      <c r="E126" s="4659" t="s">
        <v>5121</v>
      </c>
      <c r="F126" s="15268"/>
      <c r="G126" s="15268"/>
    </row>
    <row r="127" spans="1:7" ht="14.25" customHeight="1">
      <c r="A127" s="15334"/>
      <c r="B127" s="15334"/>
      <c r="C127" s="4703"/>
      <c r="D127" s="4666"/>
      <c r="E127" s="4659" t="s">
        <v>5122</v>
      </c>
      <c r="F127" s="4659"/>
      <c r="G127" s="4659"/>
    </row>
    <row r="128" spans="1:7" ht="14.25" customHeight="1">
      <c r="A128" s="15334"/>
      <c r="B128" s="15334"/>
      <c r="C128" s="4703"/>
      <c r="D128" s="4666"/>
      <c r="E128" s="4659" t="s">
        <v>5123</v>
      </c>
      <c r="F128" s="4659"/>
      <c r="G128" s="4659"/>
    </row>
    <row r="129" spans="1:7" ht="14.25" customHeight="1" thickBot="1">
      <c r="A129" s="15345"/>
      <c r="B129" s="15345"/>
      <c r="C129" s="4677"/>
      <c r="D129" s="4661"/>
      <c r="E129" s="4654" t="s">
        <v>5124</v>
      </c>
      <c r="F129" s="4654"/>
      <c r="G129" s="4654"/>
    </row>
    <row r="130" spans="1:7" ht="14.25" customHeight="1">
      <c r="A130" s="4662"/>
      <c r="B130" s="15333" t="s">
        <v>8810</v>
      </c>
      <c r="C130" s="15326"/>
      <c r="D130" s="15329" t="s">
        <v>7248</v>
      </c>
      <c r="E130" s="4664" t="s">
        <v>5120</v>
      </c>
      <c r="F130" s="15267" t="s">
        <v>5125</v>
      </c>
      <c r="G130" s="15267" t="s">
        <v>5113</v>
      </c>
    </row>
    <row r="131" spans="1:7" ht="14.25" customHeight="1">
      <c r="A131" s="4665"/>
      <c r="B131" s="15334"/>
      <c r="C131" s="15327"/>
      <c r="D131" s="15330"/>
      <c r="E131" s="4659" t="s">
        <v>7249</v>
      </c>
      <c r="F131" s="15268"/>
      <c r="G131" s="15268"/>
    </row>
    <row r="132" spans="1:7" ht="14.25" customHeight="1">
      <c r="A132" s="4665"/>
      <c r="B132" s="15334"/>
      <c r="C132" s="15327"/>
      <c r="D132" s="15330"/>
      <c r="E132" s="4659" t="s">
        <v>5122</v>
      </c>
      <c r="F132" s="15268"/>
      <c r="G132" s="15268"/>
    </row>
    <row r="133" spans="1:7" ht="14.25" customHeight="1">
      <c r="A133" s="4665"/>
      <c r="B133" s="15334"/>
      <c r="C133" s="15327"/>
      <c r="D133" s="15330"/>
      <c r="E133" s="4659" t="s">
        <v>5123</v>
      </c>
      <c r="F133" s="15268"/>
      <c r="G133" s="15268"/>
    </row>
    <row r="134" spans="1:7" ht="14.25" customHeight="1">
      <c r="A134" s="4667"/>
      <c r="B134" s="15335"/>
      <c r="C134" s="15328"/>
      <c r="D134" s="15331"/>
      <c r="E134" s="4668" t="s">
        <v>5124</v>
      </c>
      <c r="F134" s="15332"/>
      <c r="G134" s="15332"/>
    </row>
    <row r="135" spans="1:7">
      <c r="A135" s="4636"/>
      <c r="B135" s="4626"/>
      <c r="C135" s="4673"/>
      <c r="D135" s="4644"/>
      <c r="E135" s="4538"/>
      <c r="F135" s="4538"/>
      <c r="G135" s="4538"/>
    </row>
    <row r="136" spans="1:7">
      <c r="A136" s="4636"/>
      <c r="B136" s="4626"/>
      <c r="C136" s="4673"/>
      <c r="D136" s="4644"/>
      <c r="E136" s="4538"/>
      <c r="F136" s="4538"/>
      <c r="G136" s="4538"/>
    </row>
    <row r="137" spans="1:7">
      <c r="A137" s="4636"/>
      <c r="B137" s="4626"/>
      <c r="C137" s="4673"/>
      <c r="D137" s="4644"/>
      <c r="E137" s="4538"/>
      <c r="F137" s="4538"/>
      <c r="G137" s="4538"/>
    </row>
    <row r="138" spans="1:7">
      <c r="A138" s="4636"/>
      <c r="B138" s="4626"/>
      <c r="C138" s="4673"/>
      <c r="D138" s="4644"/>
      <c r="E138" s="4538"/>
      <c r="F138" s="4538"/>
      <c r="G138" s="4538"/>
    </row>
    <row r="139" spans="1:7">
      <c r="A139" s="4636"/>
      <c r="B139" s="4626"/>
      <c r="C139" s="4673"/>
      <c r="D139" s="4644"/>
      <c r="E139" s="4538"/>
      <c r="F139" s="4538"/>
      <c r="G139" s="4538"/>
    </row>
    <row r="140" spans="1:7">
      <c r="A140" s="4636"/>
      <c r="B140" s="4626"/>
      <c r="C140" s="4673"/>
      <c r="D140" s="4644"/>
      <c r="E140" s="4538"/>
      <c r="F140" s="4538"/>
      <c r="G140" s="4538"/>
    </row>
    <row r="141" spans="1:7" ht="13.8" thickBot="1">
      <c r="A141" s="4645"/>
      <c r="B141" s="4646"/>
      <c r="C141" s="4680"/>
      <c r="D141" s="4647"/>
      <c r="E141" s="4637"/>
      <c r="F141" s="4637"/>
      <c r="G141" s="4637"/>
    </row>
    <row r="142" spans="1:7" ht="28.5" customHeight="1" thickBot="1">
      <c r="A142" s="4594" t="s">
        <v>2056</v>
      </c>
      <c r="B142" s="4539" t="s">
        <v>2540</v>
      </c>
      <c r="C142" s="4692" t="s">
        <v>1736</v>
      </c>
      <c r="D142" s="4540" t="s">
        <v>1760</v>
      </c>
      <c r="E142" s="4540" t="s">
        <v>1764</v>
      </c>
      <c r="F142" s="15347" t="s">
        <v>2541</v>
      </c>
      <c r="G142" s="15348"/>
    </row>
    <row r="143" spans="1:7" ht="18.75" customHeight="1" thickBot="1">
      <c r="A143" s="4545"/>
      <c r="B143" s="4541"/>
      <c r="C143" s="4678"/>
      <c r="D143" s="4565"/>
      <c r="E143" s="4565"/>
      <c r="F143" s="4705" t="s">
        <v>1789</v>
      </c>
      <c r="G143" s="4705" t="s">
        <v>1790</v>
      </c>
    </row>
    <row r="144" spans="1:7" ht="17.25" customHeight="1">
      <c r="A144" s="4546"/>
      <c r="B144" s="15265" t="s">
        <v>8811</v>
      </c>
      <c r="C144" s="15281"/>
      <c r="D144" s="15276" t="s">
        <v>7250</v>
      </c>
      <c r="E144" s="4638" t="s">
        <v>5120</v>
      </c>
      <c r="F144" s="15273" t="s">
        <v>5125</v>
      </c>
      <c r="G144" s="15273" t="s">
        <v>5113</v>
      </c>
    </row>
    <row r="145" spans="1:7" ht="16.5" customHeight="1">
      <c r="A145" s="4548"/>
      <c r="B145" s="15300"/>
      <c r="C145" s="15301"/>
      <c r="D145" s="15277"/>
      <c r="E145" s="4639" t="s">
        <v>7249</v>
      </c>
      <c r="F145" s="15274"/>
      <c r="G145" s="15274"/>
    </row>
    <row r="146" spans="1:7" ht="16.5" customHeight="1">
      <c r="A146" s="4548"/>
      <c r="B146" s="15300"/>
      <c r="C146" s="15301"/>
      <c r="D146" s="15277"/>
      <c r="E146" s="4639" t="s">
        <v>5122</v>
      </c>
      <c r="F146" s="15274"/>
      <c r="G146" s="15274"/>
    </row>
    <row r="147" spans="1:7" ht="16.5" customHeight="1">
      <c r="A147" s="4548"/>
      <c r="B147" s="15300"/>
      <c r="C147" s="15301"/>
      <c r="D147" s="15277"/>
      <c r="E147" s="4639" t="s">
        <v>5123</v>
      </c>
      <c r="F147" s="15274"/>
      <c r="G147" s="15274"/>
    </row>
    <row r="148" spans="1:7" ht="13.8" thickBot="1">
      <c r="A148" s="4550"/>
      <c r="B148" s="15266"/>
      <c r="C148" s="15282"/>
      <c r="D148" s="15278"/>
      <c r="E148" s="4640" t="s">
        <v>5124</v>
      </c>
      <c r="F148" s="15275"/>
      <c r="G148" s="15275"/>
    </row>
    <row r="149" spans="1:7" ht="16.5" customHeight="1">
      <c r="A149" s="4546"/>
      <c r="B149" s="4563" t="s">
        <v>8812</v>
      </c>
      <c r="C149" s="15281"/>
      <c r="D149" s="15276" t="s">
        <v>7251</v>
      </c>
      <c r="E149" s="4611" t="s">
        <v>5120</v>
      </c>
      <c r="F149" s="15273" t="s">
        <v>5125</v>
      </c>
      <c r="G149" s="15273" t="s">
        <v>5113</v>
      </c>
    </row>
    <row r="150" spans="1:7" ht="16.5" customHeight="1">
      <c r="A150" s="4548"/>
      <c r="B150" s="4537"/>
      <c r="C150" s="15301"/>
      <c r="D150" s="15277"/>
      <c r="E150" s="4614" t="s">
        <v>7249</v>
      </c>
      <c r="F150" s="15274"/>
      <c r="G150" s="15274"/>
    </row>
    <row r="151" spans="1:7" ht="16.5" customHeight="1">
      <c r="A151" s="4548"/>
      <c r="B151" s="4537"/>
      <c r="C151" s="15301"/>
      <c r="D151" s="15277"/>
      <c r="E151" s="4614" t="s">
        <v>5122</v>
      </c>
      <c r="F151" s="15274"/>
      <c r="G151" s="15274"/>
    </row>
    <row r="152" spans="1:7" ht="16.5" customHeight="1">
      <c r="A152" s="4548"/>
      <c r="B152" s="4537"/>
      <c r="C152" s="15301"/>
      <c r="D152" s="15277"/>
      <c r="E152" s="4614" t="s">
        <v>5123</v>
      </c>
      <c r="F152" s="15274"/>
      <c r="G152" s="15274"/>
    </row>
    <row r="153" spans="1:7" ht="17.25" customHeight="1" thickBot="1">
      <c r="A153" s="4550"/>
      <c r="B153" s="4553"/>
      <c r="C153" s="15282"/>
      <c r="D153" s="15278"/>
      <c r="E153" s="4554" t="s">
        <v>5124</v>
      </c>
      <c r="F153" s="15275"/>
      <c r="G153" s="15275"/>
    </row>
    <row r="154" spans="1:7" ht="16.5" customHeight="1">
      <c r="A154" s="4546"/>
      <c r="B154" s="4563" t="s">
        <v>8813</v>
      </c>
      <c r="C154" s="15281"/>
      <c r="D154" s="15276" t="s">
        <v>7252</v>
      </c>
      <c r="E154" s="4611" t="s">
        <v>5120</v>
      </c>
      <c r="F154" s="15273" t="s">
        <v>5125</v>
      </c>
      <c r="G154" s="15273" t="s">
        <v>5113</v>
      </c>
    </row>
    <row r="155" spans="1:7" ht="16.5" customHeight="1">
      <c r="A155" s="4548"/>
      <c r="B155" s="4537"/>
      <c r="C155" s="15301"/>
      <c r="D155" s="15277"/>
      <c r="E155" s="4614" t="s">
        <v>7249</v>
      </c>
      <c r="F155" s="15274"/>
      <c r="G155" s="15274"/>
    </row>
    <row r="156" spans="1:7" ht="16.5" customHeight="1">
      <c r="A156" s="4548"/>
      <c r="B156" s="4537"/>
      <c r="C156" s="15301"/>
      <c r="D156" s="15277"/>
      <c r="E156" s="4614" t="s">
        <v>5122</v>
      </c>
      <c r="F156" s="15274"/>
      <c r="G156" s="15274"/>
    </row>
    <row r="157" spans="1:7" ht="16.5" customHeight="1">
      <c r="A157" s="4548"/>
      <c r="B157" s="4537"/>
      <c r="C157" s="15301"/>
      <c r="D157" s="15277"/>
      <c r="E157" s="4614" t="s">
        <v>5123</v>
      </c>
      <c r="F157" s="15274"/>
      <c r="G157" s="15274"/>
    </row>
    <row r="158" spans="1:7" ht="17.25" customHeight="1" thickBot="1">
      <c r="A158" s="4550"/>
      <c r="B158" s="4553"/>
      <c r="C158" s="15282"/>
      <c r="D158" s="15278"/>
      <c r="E158" s="4554" t="s">
        <v>5124</v>
      </c>
      <c r="F158" s="15275"/>
      <c r="G158" s="15275"/>
    </row>
    <row r="159" spans="1:7" ht="15.75" customHeight="1">
      <c r="A159" s="4546"/>
      <c r="B159" s="15279" t="s">
        <v>8814</v>
      </c>
      <c r="C159" s="15281">
        <v>1000000</v>
      </c>
      <c r="D159" s="15273"/>
      <c r="E159" s="4638"/>
      <c r="F159" s="15273" t="s">
        <v>5125</v>
      </c>
      <c r="G159" s="15273" t="s">
        <v>5113</v>
      </c>
    </row>
    <row r="160" spans="1:7" ht="13.5" customHeight="1" thickBot="1">
      <c r="A160" s="4550"/>
      <c r="B160" s="15280"/>
      <c r="C160" s="15282"/>
      <c r="D160" s="15275"/>
      <c r="E160" s="4640"/>
      <c r="F160" s="15275"/>
      <c r="G160" s="15275"/>
    </row>
    <row r="161" spans="1:7" ht="16.5" customHeight="1">
      <c r="A161" s="4546"/>
      <c r="B161" s="4563" t="s">
        <v>8815</v>
      </c>
      <c r="C161" s="15281"/>
      <c r="D161" s="15276" t="s">
        <v>7253</v>
      </c>
      <c r="E161" s="4638" t="s">
        <v>5120</v>
      </c>
      <c r="F161" s="15273" t="s">
        <v>5125</v>
      </c>
      <c r="G161" s="15273" t="s">
        <v>5113</v>
      </c>
    </row>
    <row r="162" spans="1:7" ht="16.5" customHeight="1">
      <c r="A162" s="4548"/>
      <c r="B162" s="4537"/>
      <c r="C162" s="15301"/>
      <c r="D162" s="15277"/>
      <c r="E162" s="4639" t="s">
        <v>5121</v>
      </c>
      <c r="F162" s="15274"/>
      <c r="G162" s="15274"/>
    </row>
    <row r="163" spans="1:7" ht="16.5" customHeight="1">
      <c r="A163" s="4548"/>
      <c r="B163" s="4537"/>
      <c r="C163" s="15301"/>
      <c r="D163" s="15277"/>
      <c r="E163" s="4639" t="s">
        <v>7254</v>
      </c>
      <c r="F163" s="15274"/>
      <c r="G163" s="15274"/>
    </row>
    <row r="164" spans="1:7" ht="16.5" customHeight="1">
      <c r="A164" s="4548"/>
      <c r="B164" s="4537"/>
      <c r="C164" s="15301"/>
      <c r="D164" s="15277"/>
      <c r="E164" s="4639" t="s">
        <v>5123</v>
      </c>
      <c r="F164" s="15274"/>
      <c r="G164" s="15274"/>
    </row>
    <row r="165" spans="1:7" ht="16.5" customHeight="1" thickBot="1">
      <c r="A165" s="4550"/>
      <c r="B165" s="4553"/>
      <c r="C165" s="15282"/>
      <c r="D165" s="15278"/>
      <c r="E165" s="4640" t="s">
        <v>5124</v>
      </c>
      <c r="F165" s="15275"/>
      <c r="G165" s="15275"/>
    </row>
    <row r="166" spans="1:7" ht="16.5" customHeight="1">
      <c r="A166" s="4546"/>
      <c r="B166" s="4563" t="s">
        <v>8816</v>
      </c>
      <c r="C166" s="15281"/>
      <c r="D166" s="15276" t="s">
        <v>7255</v>
      </c>
      <c r="E166" s="4638" t="s">
        <v>5120</v>
      </c>
      <c r="F166" s="15273" t="s">
        <v>5125</v>
      </c>
      <c r="G166" s="15273" t="s">
        <v>5113</v>
      </c>
    </row>
    <row r="167" spans="1:7" ht="16.5" customHeight="1">
      <c r="A167" s="4548"/>
      <c r="B167" s="4537"/>
      <c r="C167" s="15301"/>
      <c r="D167" s="15277"/>
      <c r="E167" s="4639" t="s">
        <v>5121</v>
      </c>
      <c r="F167" s="15274"/>
      <c r="G167" s="15274"/>
    </row>
    <row r="168" spans="1:7" ht="16.5" customHeight="1">
      <c r="A168" s="4548"/>
      <c r="B168" s="4537"/>
      <c r="C168" s="15301"/>
      <c r="D168" s="15277"/>
      <c r="E168" s="4639" t="s">
        <v>7254</v>
      </c>
      <c r="F168" s="15274"/>
      <c r="G168" s="15274"/>
    </row>
    <row r="169" spans="1:7" ht="16.5" customHeight="1">
      <c r="A169" s="4548"/>
      <c r="B169" s="4537"/>
      <c r="C169" s="15301"/>
      <c r="D169" s="15277"/>
      <c r="E169" s="4639" t="s">
        <v>5123</v>
      </c>
      <c r="F169" s="15274"/>
      <c r="G169" s="15274"/>
    </row>
    <row r="170" spans="1:7" ht="16.5" customHeight="1" thickBot="1">
      <c r="A170" s="4550"/>
      <c r="B170" s="4553"/>
      <c r="C170" s="15282"/>
      <c r="D170" s="15278"/>
      <c r="E170" s="4640" t="s">
        <v>5124</v>
      </c>
      <c r="F170" s="15275"/>
      <c r="G170" s="15275"/>
    </row>
    <row r="171" spans="1:7" ht="16.5" customHeight="1">
      <c r="A171" s="4546"/>
      <c r="B171" s="4563" t="s">
        <v>8817</v>
      </c>
      <c r="C171" s="15281"/>
      <c r="D171" s="15276" t="s">
        <v>7256</v>
      </c>
      <c r="E171" s="4638" t="s">
        <v>5120</v>
      </c>
      <c r="F171" s="15273" t="s">
        <v>5125</v>
      </c>
      <c r="G171" s="15273" t="s">
        <v>5113</v>
      </c>
    </row>
    <row r="172" spans="1:7" ht="16.5" customHeight="1">
      <c r="A172" s="4548"/>
      <c r="B172" s="4537"/>
      <c r="C172" s="15301"/>
      <c r="D172" s="15277"/>
      <c r="E172" s="4639" t="s">
        <v>5121</v>
      </c>
      <c r="F172" s="15274"/>
      <c r="G172" s="15274"/>
    </row>
    <row r="173" spans="1:7" ht="16.5" customHeight="1">
      <c r="A173" s="4548"/>
      <c r="B173" s="4537"/>
      <c r="C173" s="15301"/>
      <c r="D173" s="15277"/>
      <c r="E173" s="4639" t="s">
        <v>7254</v>
      </c>
      <c r="F173" s="15274"/>
      <c r="G173" s="15274"/>
    </row>
    <row r="174" spans="1:7" ht="16.5" customHeight="1">
      <c r="A174" s="4548"/>
      <c r="B174" s="4537"/>
      <c r="C174" s="15301"/>
      <c r="D174" s="15277"/>
      <c r="E174" s="4639" t="s">
        <v>5123</v>
      </c>
      <c r="F174" s="15274"/>
      <c r="G174" s="15274"/>
    </row>
    <row r="175" spans="1:7" ht="17.25" customHeight="1" thickBot="1">
      <c r="A175" s="4550"/>
      <c r="B175" s="4553"/>
      <c r="C175" s="15282"/>
      <c r="D175" s="15278"/>
      <c r="E175" s="4640" t="s">
        <v>5124</v>
      </c>
      <c r="F175" s="15275"/>
      <c r="G175" s="15275"/>
    </row>
    <row r="176" spans="1:7" ht="16.5" customHeight="1">
      <c r="A176" s="4546"/>
      <c r="B176" s="4563" t="s">
        <v>8818</v>
      </c>
      <c r="C176" s="15281"/>
      <c r="D176" s="15273" t="s">
        <v>7257</v>
      </c>
      <c r="E176" s="4638" t="s">
        <v>5120</v>
      </c>
      <c r="F176" s="15273" t="s">
        <v>5125</v>
      </c>
      <c r="G176" s="15273" t="s">
        <v>5113</v>
      </c>
    </row>
    <row r="177" spans="1:7" ht="19.5" customHeight="1">
      <c r="A177" s="4548"/>
      <c r="B177" s="4537"/>
      <c r="C177" s="15301"/>
      <c r="D177" s="15274"/>
      <c r="E177" s="4639" t="s">
        <v>7258</v>
      </c>
      <c r="F177" s="15274"/>
      <c r="G177" s="15274"/>
    </row>
    <row r="178" spans="1:7" ht="16.5" customHeight="1" thickBot="1">
      <c r="A178" s="4550"/>
      <c r="B178" s="4553"/>
      <c r="C178" s="15282"/>
      <c r="D178" s="15275"/>
      <c r="E178" s="4640" t="s">
        <v>5123</v>
      </c>
      <c r="F178" s="15275"/>
      <c r="G178" s="15275"/>
    </row>
    <row r="179" spans="1:7" ht="17.25" customHeight="1" thickBot="1">
      <c r="A179" s="4555"/>
      <c r="B179" s="4556"/>
      <c r="C179" s="4678"/>
      <c r="D179" s="4705"/>
      <c r="E179" s="4557" t="s">
        <v>7259</v>
      </c>
      <c r="F179" s="4592"/>
      <c r="G179" s="4705"/>
    </row>
    <row r="180" spans="1:7" ht="20.25" customHeight="1">
      <c r="A180" s="4546"/>
      <c r="B180" s="4563" t="s">
        <v>8819</v>
      </c>
      <c r="C180" s="15281"/>
      <c r="D180" s="15276" t="s">
        <v>7260</v>
      </c>
      <c r="E180" s="4638" t="s">
        <v>5120</v>
      </c>
      <c r="F180" s="15273" t="s">
        <v>5125</v>
      </c>
      <c r="G180" s="15273" t="s">
        <v>5113</v>
      </c>
    </row>
    <row r="181" spans="1:7" s="4558" customFormat="1" ht="16.5" customHeight="1">
      <c r="A181" s="4548"/>
      <c r="B181" s="4537"/>
      <c r="C181" s="15301"/>
      <c r="D181" s="15277"/>
      <c r="E181" s="4639" t="s">
        <v>7258</v>
      </c>
      <c r="F181" s="15274"/>
      <c r="G181" s="15274"/>
    </row>
    <row r="182" spans="1:7" ht="16.5" customHeight="1">
      <c r="A182" s="4548"/>
      <c r="B182" s="4537"/>
      <c r="C182" s="15301"/>
      <c r="D182" s="15277"/>
      <c r="E182" s="4639" t="s">
        <v>5123</v>
      </c>
      <c r="F182" s="15274"/>
      <c r="G182" s="15274"/>
    </row>
    <row r="183" spans="1:7" ht="16.5" customHeight="1" thickBot="1">
      <c r="A183" s="4550"/>
      <c r="B183" s="4553"/>
      <c r="C183" s="15282"/>
      <c r="D183" s="15278"/>
      <c r="E183" s="4640" t="s">
        <v>7261</v>
      </c>
      <c r="F183" s="15275"/>
      <c r="G183" s="15275"/>
    </row>
    <row r="184" spans="1:7" ht="15.75" customHeight="1">
      <c r="A184" s="4546"/>
      <c r="B184" s="15265" t="s">
        <v>8820</v>
      </c>
      <c r="C184" s="15281"/>
      <c r="D184" s="15276" t="s">
        <v>7255</v>
      </c>
      <c r="E184" s="4638" t="s">
        <v>5120</v>
      </c>
      <c r="F184" s="15273" t="s">
        <v>5125</v>
      </c>
      <c r="G184" s="15273" t="s">
        <v>5113</v>
      </c>
    </row>
    <row r="185" spans="1:7" ht="13.5" customHeight="1">
      <c r="A185" s="4548"/>
      <c r="B185" s="15300"/>
      <c r="C185" s="15301"/>
      <c r="D185" s="15277"/>
      <c r="E185" s="4639" t="s">
        <v>7258</v>
      </c>
      <c r="F185" s="15274"/>
      <c r="G185" s="15274"/>
    </row>
    <row r="186" spans="1:7" ht="16.5" customHeight="1">
      <c r="A186" s="4548"/>
      <c r="B186" s="4537"/>
      <c r="C186" s="15301"/>
      <c r="D186" s="15277"/>
      <c r="E186" s="4639" t="s">
        <v>5123</v>
      </c>
      <c r="F186" s="15274"/>
      <c r="G186" s="15274"/>
    </row>
    <row r="187" spans="1:7" ht="17.25" customHeight="1" thickBot="1">
      <c r="A187" s="4550"/>
      <c r="B187" s="4553"/>
      <c r="C187" s="15282"/>
      <c r="D187" s="15278"/>
      <c r="E187" s="4640" t="s">
        <v>7261</v>
      </c>
      <c r="F187" s="15275"/>
      <c r="G187" s="15275"/>
    </row>
    <row r="188" spans="1:7" ht="16.5" customHeight="1">
      <c r="A188" s="4546"/>
      <c r="B188" s="15265" t="s">
        <v>8821</v>
      </c>
      <c r="C188" s="15281"/>
      <c r="D188" s="15273" t="s">
        <v>7262</v>
      </c>
      <c r="E188" s="4638" t="s">
        <v>5120</v>
      </c>
      <c r="F188" s="15273" t="s">
        <v>5125</v>
      </c>
      <c r="G188" s="15273" t="s">
        <v>5113</v>
      </c>
    </row>
    <row r="189" spans="1:7" ht="17.25" customHeight="1">
      <c r="A189" s="4548"/>
      <c r="B189" s="15300"/>
      <c r="C189" s="15301"/>
      <c r="D189" s="15274"/>
      <c r="E189" s="4639" t="s">
        <v>7258</v>
      </c>
      <c r="F189" s="15274"/>
      <c r="G189" s="15274"/>
    </row>
    <row r="190" spans="1:7" ht="16.5" customHeight="1">
      <c r="A190" s="4548"/>
      <c r="B190" s="15300"/>
      <c r="C190" s="15301"/>
      <c r="D190" s="15274"/>
      <c r="E190" s="4639" t="s">
        <v>5123</v>
      </c>
      <c r="F190" s="15274"/>
      <c r="G190" s="15274"/>
    </row>
    <row r="191" spans="1:7" ht="16.5" customHeight="1" thickBot="1">
      <c r="A191" s="4550"/>
      <c r="B191" s="15266"/>
      <c r="C191" s="15282"/>
      <c r="D191" s="15275"/>
      <c r="E191" s="4640" t="s">
        <v>7261</v>
      </c>
      <c r="F191" s="15275"/>
      <c r="G191" s="15275"/>
    </row>
    <row r="192" spans="1:7" ht="16.5" customHeight="1">
      <c r="A192" s="4641"/>
      <c r="B192" s="4642"/>
      <c r="C192" s="4679"/>
      <c r="D192" s="4643"/>
      <c r="E192" s="4643"/>
      <c r="F192" s="4643"/>
      <c r="G192" s="4643"/>
    </row>
    <row r="193" spans="1:7" ht="16.5" customHeight="1">
      <c r="A193" s="4636"/>
      <c r="B193" s="4626"/>
      <c r="C193" s="4673"/>
      <c r="D193" s="4538"/>
      <c r="E193" s="4538"/>
      <c r="F193" s="4538"/>
      <c r="G193" s="4538"/>
    </row>
    <row r="194" spans="1:7" ht="16.5" customHeight="1">
      <c r="A194" s="4636"/>
      <c r="B194" s="4626"/>
      <c r="C194" s="4673"/>
      <c r="D194" s="4538"/>
      <c r="E194" s="4538"/>
      <c r="F194" s="4538"/>
      <c r="G194" s="4538"/>
    </row>
    <row r="195" spans="1:7" ht="16.5" customHeight="1">
      <c r="A195" s="4636"/>
      <c r="B195" s="4626"/>
      <c r="C195" s="4673"/>
      <c r="D195" s="4538"/>
      <c r="E195" s="4538"/>
      <c r="F195" s="4538"/>
      <c r="G195" s="4538"/>
    </row>
    <row r="196" spans="1:7" ht="16.5" customHeight="1">
      <c r="A196" s="4636"/>
      <c r="B196" s="4626"/>
      <c r="C196" s="4673"/>
      <c r="D196" s="4538"/>
      <c r="E196" s="4538"/>
      <c r="F196" s="4538"/>
      <c r="G196" s="4538"/>
    </row>
    <row r="197" spans="1:7" ht="16.5" customHeight="1">
      <c r="A197" s="4636"/>
      <c r="B197" s="4626"/>
      <c r="C197" s="4673"/>
      <c r="D197" s="4538"/>
      <c r="E197" s="4538"/>
      <c r="F197" s="4538"/>
      <c r="G197" s="4538"/>
    </row>
    <row r="198" spans="1:7" ht="16.5" customHeight="1" thickBot="1">
      <c r="A198" s="4645"/>
      <c r="B198" s="4646"/>
      <c r="C198" s="4680"/>
      <c r="D198" s="4637"/>
      <c r="E198" s="4637"/>
      <c r="F198" s="4637"/>
      <c r="G198" s="4637"/>
    </row>
    <row r="199" spans="1:7" ht="28.5" customHeight="1" thickBot="1">
      <c r="A199" s="4594" t="s">
        <v>2056</v>
      </c>
      <c r="B199" s="4539" t="s">
        <v>2540</v>
      </c>
      <c r="C199" s="4692" t="s">
        <v>1736</v>
      </c>
      <c r="D199" s="4540" t="s">
        <v>1760</v>
      </c>
      <c r="E199" s="4540" t="s">
        <v>1764</v>
      </c>
      <c r="F199" s="15347" t="s">
        <v>2541</v>
      </c>
      <c r="G199" s="15348"/>
    </row>
    <row r="200" spans="1:7" ht="15" customHeight="1" thickBot="1">
      <c r="A200" s="4545"/>
      <c r="B200" s="4541"/>
      <c r="C200" s="4678"/>
      <c r="D200" s="4565"/>
      <c r="E200" s="4565"/>
      <c r="F200" s="4705" t="s">
        <v>1789</v>
      </c>
      <c r="G200" s="4705" t="s">
        <v>1790</v>
      </c>
    </row>
    <row r="201" spans="1:7" ht="55.5" customHeight="1" thickBot="1">
      <c r="A201" s="4559"/>
      <c r="B201" s="4556" t="s">
        <v>7263</v>
      </c>
      <c r="C201" s="4681">
        <v>150000</v>
      </c>
      <c r="D201" s="4560"/>
      <c r="E201" s="4561"/>
      <c r="F201" s="4565" t="s">
        <v>5125</v>
      </c>
      <c r="G201" s="4565" t="s">
        <v>5113</v>
      </c>
    </row>
    <row r="202" spans="1:7" ht="13.5" customHeight="1">
      <c r="A202" s="4546"/>
      <c r="B202" s="4563" t="s">
        <v>7264</v>
      </c>
      <c r="C202" s="15281"/>
      <c r="D202" s="4562" t="s">
        <v>7265</v>
      </c>
      <c r="E202" s="4638"/>
      <c r="F202" s="15273" t="s">
        <v>5125</v>
      </c>
      <c r="G202" s="15273" t="s">
        <v>5113</v>
      </c>
    </row>
    <row r="203" spans="1:7" ht="13.5" customHeight="1">
      <c r="A203" s="4548"/>
      <c r="B203" s="4537"/>
      <c r="C203" s="15301"/>
      <c r="D203" s="4562" t="s">
        <v>7266</v>
      </c>
      <c r="E203" s="4639" t="s">
        <v>7269</v>
      </c>
      <c r="F203" s="15274"/>
      <c r="G203" s="15274"/>
    </row>
    <row r="204" spans="1:7" ht="13.5" customHeight="1">
      <c r="A204" s="4548"/>
      <c r="B204" s="4537"/>
      <c r="C204" s="15301"/>
      <c r="D204" s="4562" t="s">
        <v>7267</v>
      </c>
      <c r="E204" s="4639" t="s">
        <v>7270</v>
      </c>
      <c r="F204" s="15274"/>
      <c r="G204" s="15274"/>
    </row>
    <row r="205" spans="1:7" ht="13.5" customHeight="1">
      <c r="A205" s="4548"/>
      <c r="B205" s="4537"/>
      <c r="C205" s="15301"/>
      <c r="D205" s="4562" t="s">
        <v>7268</v>
      </c>
      <c r="E205" s="4639" t="s">
        <v>7271</v>
      </c>
      <c r="F205" s="15274"/>
      <c r="G205" s="15274"/>
    </row>
    <row r="206" spans="1:7" ht="13.5" customHeight="1" thickBot="1">
      <c r="A206" s="4550"/>
      <c r="B206" s="4553"/>
      <c r="C206" s="15282"/>
      <c r="D206" s="4565"/>
      <c r="E206" s="4640" t="s">
        <v>7272</v>
      </c>
      <c r="F206" s="15275"/>
      <c r="G206" s="15275"/>
    </row>
    <row r="207" spans="1:7" ht="12" customHeight="1">
      <c r="A207" s="4546"/>
      <c r="B207" s="15302" t="s">
        <v>7273</v>
      </c>
      <c r="C207" s="15281"/>
      <c r="D207" s="15276" t="s">
        <v>7274</v>
      </c>
      <c r="E207" s="15276" t="s">
        <v>7275</v>
      </c>
      <c r="F207" s="15316" t="s">
        <v>5125</v>
      </c>
      <c r="G207" s="15273" t="s">
        <v>5113</v>
      </c>
    </row>
    <row r="208" spans="1:7" ht="29.25" customHeight="1" thickBot="1">
      <c r="A208" s="4550"/>
      <c r="B208" s="15303"/>
      <c r="C208" s="15282"/>
      <c r="D208" s="15278"/>
      <c r="E208" s="15278"/>
      <c r="F208" s="15317"/>
      <c r="G208" s="15275"/>
    </row>
    <row r="209" spans="1:7" ht="42.75" customHeight="1" thickBot="1">
      <c r="A209" s="4559"/>
      <c r="B209" s="4556" t="s">
        <v>7276</v>
      </c>
      <c r="C209" s="4682">
        <v>2300000</v>
      </c>
      <c r="D209" s="4565"/>
      <c r="E209" s="4561"/>
      <c r="F209" s="4565" t="s">
        <v>5125</v>
      </c>
      <c r="G209" s="4565" t="s">
        <v>5113</v>
      </c>
    </row>
    <row r="210" spans="1:7" ht="18" customHeight="1">
      <c r="A210" s="4546"/>
      <c r="B210" s="15302" t="s">
        <v>7277</v>
      </c>
      <c r="C210" s="15281"/>
      <c r="D210" s="4566" t="s">
        <v>7278</v>
      </c>
      <c r="E210" s="4564" t="s">
        <v>7280</v>
      </c>
      <c r="F210" s="15316" t="s">
        <v>5125</v>
      </c>
      <c r="G210" s="15273" t="s">
        <v>5113</v>
      </c>
    </row>
    <row r="211" spans="1:7" ht="17.25" customHeight="1">
      <c r="A211" s="4548"/>
      <c r="B211" s="15304"/>
      <c r="C211" s="15301"/>
      <c r="D211" s="4566" t="s">
        <v>7279</v>
      </c>
      <c r="E211" s="4544" t="s">
        <v>7281</v>
      </c>
      <c r="F211" s="15323"/>
      <c r="G211" s="15274"/>
    </row>
    <row r="212" spans="1:7" ht="18" customHeight="1" thickBot="1">
      <c r="A212" s="4550"/>
      <c r="B212" s="15303"/>
      <c r="C212" s="15282"/>
      <c r="D212" s="4565" t="s">
        <v>7279</v>
      </c>
      <c r="E212" s="4552" t="s">
        <v>7282</v>
      </c>
      <c r="F212" s="15317"/>
      <c r="G212" s="15275"/>
    </row>
    <row r="213" spans="1:7" ht="27.75" customHeight="1">
      <c r="A213" s="4546"/>
      <c r="B213" s="4567" t="s">
        <v>7283</v>
      </c>
      <c r="C213" s="15281">
        <v>600000</v>
      </c>
      <c r="D213" s="15273"/>
      <c r="E213" s="4638"/>
      <c r="F213" s="15273" t="s">
        <v>5125</v>
      </c>
      <c r="G213" s="15273" t="s">
        <v>5113</v>
      </c>
    </row>
    <row r="214" spans="1:7" ht="6" customHeight="1" thickBot="1">
      <c r="A214" s="4550"/>
      <c r="B214" s="4568"/>
      <c r="C214" s="15282"/>
      <c r="D214" s="15275"/>
      <c r="E214" s="4640"/>
      <c r="F214" s="15275"/>
      <c r="G214" s="15275"/>
    </row>
    <row r="215" spans="1:7" ht="16.5" customHeight="1">
      <c r="A215" s="4546"/>
      <c r="B215" s="15265" t="s">
        <v>9610</v>
      </c>
      <c r="C215" s="15281"/>
      <c r="D215" s="15273" t="s">
        <v>7284</v>
      </c>
      <c r="E215" s="4638" t="s">
        <v>4610</v>
      </c>
      <c r="F215" s="15273" t="s">
        <v>5125</v>
      </c>
      <c r="G215" s="15273" t="s">
        <v>5113</v>
      </c>
    </row>
    <row r="216" spans="1:7" ht="63.75" customHeight="1" thickBot="1">
      <c r="A216" s="4550"/>
      <c r="B216" s="15266"/>
      <c r="C216" s="15282"/>
      <c r="D216" s="15275"/>
      <c r="E216" s="4640" t="s">
        <v>7285</v>
      </c>
      <c r="F216" s="15275"/>
      <c r="G216" s="15275"/>
    </row>
    <row r="217" spans="1:7" ht="27" customHeight="1" thickBot="1">
      <c r="A217" s="4569"/>
      <c r="B217" s="4570" t="s">
        <v>7286</v>
      </c>
      <c r="C217" s="4681"/>
      <c r="D217" s="4561" t="s">
        <v>7287</v>
      </c>
      <c r="E217" s="4561" t="s">
        <v>7288</v>
      </c>
      <c r="F217" s="4565" t="s">
        <v>5125</v>
      </c>
      <c r="G217" s="4565" t="s">
        <v>5113</v>
      </c>
    </row>
    <row r="218" spans="1:7" ht="26.25" customHeight="1">
      <c r="A218" s="4588"/>
      <c r="B218" s="4576" t="s">
        <v>7289</v>
      </c>
      <c r="C218" s="15281"/>
      <c r="D218" s="15273" t="s">
        <v>7290</v>
      </c>
      <c r="E218" s="4564" t="s">
        <v>7291</v>
      </c>
      <c r="F218" s="15316" t="s">
        <v>5125</v>
      </c>
      <c r="G218" s="15273" t="s">
        <v>5113</v>
      </c>
    </row>
    <row r="219" spans="1:7" ht="3" customHeight="1" thickBot="1">
      <c r="A219" s="4589"/>
      <c r="B219" s="4577"/>
      <c r="C219" s="15282"/>
      <c r="D219" s="15275"/>
      <c r="E219" s="4552"/>
      <c r="F219" s="15317"/>
      <c r="G219" s="15275"/>
    </row>
    <row r="220" spans="1:7" ht="57" customHeight="1" thickBot="1">
      <c r="A220" s="4569"/>
      <c r="B220" s="4570" t="s">
        <v>7292</v>
      </c>
      <c r="C220" s="4682"/>
      <c r="D220" s="4552" t="s">
        <v>7293</v>
      </c>
      <c r="E220" s="4561" t="s">
        <v>7294</v>
      </c>
      <c r="F220" s="4565" t="s">
        <v>5125</v>
      </c>
      <c r="G220" s="4565" t="s">
        <v>5113</v>
      </c>
    </row>
    <row r="221" spans="1:7" ht="30" customHeight="1" thickBot="1">
      <c r="A221" s="4569"/>
      <c r="B221" s="4570" t="s">
        <v>7295</v>
      </c>
      <c r="C221" s="4682"/>
      <c r="D221" s="4552" t="s">
        <v>7296</v>
      </c>
      <c r="E221" s="4561" t="s">
        <v>7294</v>
      </c>
      <c r="F221" s="4565" t="s">
        <v>5125</v>
      </c>
      <c r="G221" s="4565" t="s">
        <v>5113</v>
      </c>
    </row>
    <row r="222" spans="1:7" ht="27" customHeight="1" thickBot="1">
      <c r="A222" s="4569"/>
      <c r="B222" s="4571" t="s">
        <v>7297</v>
      </c>
      <c r="C222" s="4682"/>
      <c r="D222" s="4552" t="s">
        <v>7298</v>
      </c>
      <c r="E222" s="4561"/>
      <c r="F222" s="4565" t="s">
        <v>5125</v>
      </c>
      <c r="G222" s="4565" t="s">
        <v>5113</v>
      </c>
    </row>
    <row r="223" spans="1:7" ht="16.5" customHeight="1">
      <c r="A223" s="4588"/>
      <c r="B223" s="4542" t="s">
        <v>7299</v>
      </c>
      <c r="C223" s="15281"/>
      <c r="D223" s="15273" t="s">
        <v>7302</v>
      </c>
      <c r="E223" s="15273" t="s">
        <v>7303</v>
      </c>
      <c r="F223" s="15316" t="s">
        <v>5125</v>
      </c>
      <c r="G223" s="15273" t="s">
        <v>5113</v>
      </c>
    </row>
    <row r="224" spans="1:7" ht="12.75" customHeight="1">
      <c r="A224" s="4595"/>
      <c r="B224" s="4543" t="s">
        <v>7300</v>
      </c>
      <c r="C224" s="15301"/>
      <c r="D224" s="15274"/>
      <c r="E224" s="15274"/>
      <c r="F224" s="15323"/>
      <c r="G224" s="15274"/>
    </row>
    <row r="225" spans="1:7" s="4558" customFormat="1" ht="15.75" customHeight="1" thickBot="1">
      <c r="A225" s="4589"/>
      <c r="B225" s="4545" t="s">
        <v>7301</v>
      </c>
      <c r="C225" s="15282"/>
      <c r="D225" s="15275"/>
      <c r="E225" s="15275"/>
      <c r="F225" s="15317"/>
      <c r="G225" s="15275"/>
    </row>
    <row r="226" spans="1:7" ht="55.5" customHeight="1" thickBot="1">
      <c r="A226" s="4569"/>
      <c r="B226" s="4570" t="s">
        <v>7304</v>
      </c>
      <c r="C226" s="4682"/>
      <c r="D226" s="4552" t="s">
        <v>7305</v>
      </c>
      <c r="E226" s="4561" t="s">
        <v>7306</v>
      </c>
      <c r="F226" s="4565" t="s">
        <v>5125</v>
      </c>
      <c r="G226" s="4565" t="s">
        <v>5113</v>
      </c>
    </row>
    <row r="227" spans="1:7" ht="44.25" customHeight="1" thickBot="1">
      <c r="A227" s="4588"/>
      <c r="B227" s="4542" t="s">
        <v>7307</v>
      </c>
      <c r="C227" s="4683"/>
      <c r="D227" s="4564" t="s">
        <v>7308</v>
      </c>
      <c r="E227" s="4549" t="s">
        <v>7309</v>
      </c>
      <c r="F227" s="4572" t="s">
        <v>5125</v>
      </c>
      <c r="G227" s="4564" t="s">
        <v>5113</v>
      </c>
    </row>
    <row r="228" spans="1:7" ht="30.75" customHeight="1" thickBot="1">
      <c r="A228" s="4569"/>
      <c r="B228" s="4570" t="s">
        <v>7310</v>
      </c>
      <c r="C228" s="4681"/>
      <c r="D228" s="4561" t="s">
        <v>7311</v>
      </c>
      <c r="E228" s="4573" t="s">
        <v>7312</v>
      </c>
      <c r="F228" s="4560" t="s">
        <v>5125</v>
      </c>
      <c r="G228" s="4560" t="s">
        <v>5113</v>
      </c>
    </row>
    <row r="229" spans="1:7" ht="16.5" customHeight="1">
      <c r="A229" s="4588"/>
      <c r="B229" s="15265" t="s">
        <v>7313</v>
      </c>
      <c r="C229" s="15281"/>
      <c r="D229" s="15273" t="s">
        <v>7308</v>
      </c>
      <c r="E229" s="4564" t="s">
        <v>7314</v>
      </c>
      <c r="F229" s="15316" t="s">
        <v>5125</v>
      </c>
      <c r="G229" s="15273" t="s">
        <v>5113</v>
      </c>
    </row>
    <row r="230" spans="1:7" ht="15.75" customHeight="1" thickBot="1">
      <c r="A230" s="4589"/>
      <c r="B230" s="15266"/>
      <c r="C230" s="15282"/>
      <c r="D230" s="15275"/>
      <c r="E230" s="4552" t="s">
        <v>7312</v>
      </c>
      <c r="F230" s="15317"/>
      <c r="G230" s="15275"/>
    </row>
    <row r="231" spans="1:7" ht="41.25" customHeight="1" thickBot="1">
      <c r="A231" s="4569"/>
      <c r="B231" s="4570" t="s">
        <v>7315</v>
      </c>
      <c r="C231" s="4682"/>
      <c r="D231" s="4552" t="s">
        <v>7316</v>
      </c>
      <c r="E231" s="4561" t="s">
        <v>7317</v>
      </c>
      <c r="F231" s="4565" t="s">
        <v>5125</v>
      </c>
      <c r="G231" s="4565" t="s">
        <v>5113</v>
      </c>
    </row>
    <row r="232" spans="1:7" ht="39" customHeight="1" thickBot="1">
      <c r="A232" s="4569"/>
      <c r="B232" s="4570" t="s">
        <v>7318</v>
      </c>
      <c r="C232" s="4682"/>
      <c r="D232" s="4552" t="s">
        <v>7319</v>
      </c>
      <c r="E232" s="4561" t="s">
        <v>7320</v>
      </c>
      <c r="F232" s="4552" t="s">
        <v>5125</v>
      </c>
      <c r="G232" s="4552" t="s">
        <v>5113</v>
      </c>
    </row>
    <row r="233" spans="1:7" ht="14.25" customHeight="1">
      <c r="A233" s="4641"/>
      <c r="B233" s="4642"/>
      <c r="C233" s="4679"/>
      <c r="D233" s="4643"/>
      <c r="E233" s="4643"/>
      <c r="F233" s="4643"/>
      <c r="G233" s="4643"/>
    </row>
    <row r="234" spans="1:7" ht="14.25" customHeight="1">
      <c r="A234" s="4636"/>
      <c r="B234" s="4626"/>
      <c r="C234" s="4673"/>
      <c r="D234" s="4538"/>
      <c r="E234" s="4538"/>
      <c r="F234" s="4538"/>
      <c r="G234" s="4538"/>
    </row>
    <row r="235" spans="1:7" ht="14.25" customHeight="1">
      <c r="A235" s="4636"/>
      <c r="B235" s="4626"/>
      <c r="C235" s="4673"/>
      <c r="D235" s="4538"/>
      <c r="E235" s="4538"/>
      <c r="F235" s="4538"/>
      <c r="G235" s="4538"/>
    </row>
    <row r="236" spans="1:7" ht="14.25" customHeight="1">
      <c r="A236" s="4636"/>
      <c r="B236" s="4626"/>
      <c r="C236" s="4673"/>
      <c r="D236" s="4538"/>
      <c r="E236" s="4538"/>
      <c r="F236" s="4538"/>
      <c r="G236" s="4538"/>
    </row>
    <row r="237" spans="1:7" ht="14.25" customHeight="1">
      <c r="A237" s="4636"/>
      <c r="B237" s="4626"/>
      <c r="C237" s="4673"/>
      <c r="D237" s="4538"/>
      <c r="E237" s="4538"/>
      <c r="F237" s="4538"/>
      <c r="G237" s="4538"/>
    </row>
    <row r="238" spans="1:7" ht="14.25" customHeight="1" thickBot="1">
      <c r="A238" s="4645"/>
      <c r="B238" s="4646"/>
      <c r="C238" s="4680"/>
      <c r="D238" s="4637"/>
      <c r="E238" s="4637"/>
      <c r="F238" s="4637"/>
      <c r="G238" s="4637"/>
    </row>
    <row r="239" spans="1:7" ht="28.5" customHeight="1" thickBot="1">
      <c r="A239" s="4594" t="s">
        <v>2056</v>
      </c>
      <c r="B239" s="4539" t="s">
        <v>2540</v>
      </c>
      <c r="C239" s="4692" t="s">
        <v>1736</v>
      </c>
      <c r="D239" s="4540" t="s">
        <v>1760</v>
      </c>
      <c r="E239" s="4540" t="s">
        <v>1764</v>
      </c>
      <c r="F239" s="15347" t="s">
        <v>2541</v>
      </c>
      <c r="G239" s="15348"/>
    </row>
    <row r="240" spans="1:7" ht="15" customHeight="1" thickBot="1">
      <c r="A240" s="4545"/>
      <c r="B240" s="4541"/>
      <c r="C240" s="4678"/>
      <c r="D240" s="4565"/>
      <c r="E240" s="4565"/>
      <c r="F240" s="4705" t="s">
        <v>1789</v>
      </c>
      <c r="G240" s="4705" t="s">
        <v>1790</v>
      </c>
    </row>
    <row r="241" spans="1:7" ht="29.25" customHeight="1">
      <c r="A241" s="4588"/>
      <c r="B241" s="4574" t="s">
        <v>7321</v>
      </c>
      <c r="C241" s="15281">
        <v>50000</v>
      </c>
      <c r="D241" s="15273"/>
      <c r="E241" s="4564"/>
      <c r="F241" s="15273" t="s">
        <v>5125</v>
      </c>
      <c r="G241" s="15273" t="s">
        <v>5113</v>
      </c>
    </row>
    <row r="242" spans="1:7" ht="0.75" customHeight="1" thickBot="1">
      <c r="A242" s="4589"/>
      <c r="B242" s="4575"/>
      <c r="C242" s="15282"/>
      <c r="D242" s="15275"/>
      <c r="E242" s="4552"/>
      <c r="F242" s="15275"/>
      <c r="G242" s="15275"/>
    </row>
    <row r="243" spans="1:7" ht="14.25" customHeight="1">
      <c r="A243" s="4588"/>
      <c r="B243" s="15296" t="s">
        <v>7322</v>
      </c>
      <c r="C243" s="15281"/>
      <c r="D243" s="4544" t="s">
        <v>7323</v>
      </c>
      <c r="E243" s="15273" t="s">
        <v>7328</v>
      </c>
      <c r="F243" s="15273" t="s">
        <v>5125</v>
      </c>
      <c r="G243" s="15273" t="s">
        <v>5113</v>
      </c>
    </row>
    <row r="244" spans="1:7" ht="14.25" customHeight="1">
      <c r="A244" s="4595"/>
      <c r="B244" s="15305"/>
      <c r="C244" s="15301"/>
      <c r="D244" s="4544" t="s">
        <v>7324</v>
      </c>
      <c r="E244" s="15274"/>
      <c r="F244" s="15274"/>
      <c r="G244" s="15274"/>
    </row>
    <row r="245" spans="1:7" ht="14.25" customHeight="1">
      <c r="A245" s="4595"/>
      <c r="B245" s="15305"/>
      <c r="C245" s="15301"/>
      <c r="D245" s="4544" t="s">
        <v>7325</v>
      </c>
      <c r="E245" s="15274"/>
      <c r="F245" s="15274"/>
      <c r="G245" s="15274"/>
    </row>
    <row r="246" spans="1:7" ht="14.25" customHeight="1">
      <c r="A246" s="4595"/>
      <c r="B246" s="15305"/>
      <c r="C246" s="15301"/>
      <c r="D246" s="4544" t="s">
        <v>7326</v>
      </c>
      <c r="E246" s="15274"/>
      <c r="F246" s="15274"/>
      <c r="G246" s="15274"/>
    </row>
    <row r="247" spans="1:7" ht="14.25" customHeight="1" thickBot="1">
      <c r="A247" s="4589"/>
      <c r="B247" s="15297"/>
      <c r="C247" s="15282"/>
      <c r="D247" s="4552" t="s">
        <v>7327</v>
      </c>
      <c r="E247" s="15275"/>
      <c r="F247" s="15275"/>
      <c r="G247" s="15275"/>
    </row>
    <row r="248" spans="1:7" ht="43.5" customHeight="1" thickBot="1">
      <c r="A248" s="4569"/>
      <c r="B248" s="4570" t="s">
        <v>7329</v>
      </c>
      <c r="C248" s="4682"/>
      <c r="D248" s="4552" t="s">
        <v>1823</v>
      </c>
      <c r="E248" s="4561" t="s">
        <v>7330</v>
      </c>
      <c r="F248" s="4552" t="s">
        <v>5125</v>
      </c>
      <c r="G248" s="4552" t="s">
        <v>5113</v>
      </c>
    </row>
    <row r="249" spans="1:7" ht="28.5" customHeight="1">
      <c r="A249" s="4588"/>
      <c r="B249" s="4576" t="s">
        <v>7331</v>
      </c>
      <c r="C249" s="15281"/>
      <c r="D249" s="15273" t="s">
        <v>7332</v>
      </c>
      <c r="E249" s="4564" t="s">
        <v>7333</v>
      </c>
      <c r="F249" s="15273" t="s">
        <v>5125</v>
      </c>
      <c r="G249" s="15273" t="s">
        <v>5113</v>
      </c>
    </row>
    <row r="250" spans="1:7" ht="3" customHeight="1" thickBot="1">
      <c r="A250" s="4589"/>
      <c r="B250" s="4577"/>
      <c r="C250" s="15282"/>
      <c r="D250" s="15275"/>
      <c r="E250" s="4552"/>
      <c r="F250" s="15275"/>
      <c r="G250" s="15275"/>
    </row>
    <row r="251" spans="1:7" ht="28.5" customHeight="1" thickBot="1">
      <c r="A251" s="4569"/>
      <c r="B251" s="4578" t="s">
        <v>7334</v>
      </c>
      <c r="C251" s="4682">
        <v>700000</v>
      </c>
      <c r="D251" s="4552"/>
      <c r="E251" s="4561"/>
      <c r="F251" s="4552" t="s">
        <v>5125</v>
      </c>
      <c r="G251" s="4552" t="s">
        <v>5113</v>
      </c>
    </row>
    <row r="252" spans="1:7" ht="30.75" customHeight="1" thickBot="1">
      <c r="A252" s="4569"/>
      <c r="B252" s="4570" t="s">
        <v>7335</v>
      </c>
      <c r="C252" s="4682"/>
      <c r="D252" s="4552" t="s">
        <v>7336</v>
      </c>
      <c r="E252" s="4561" t="s">
        <v>7337</v>
      </c>
      <c r="F252" s="4552" t="s">
        <v>5125</v>
      </c>
      <c r="G252" s="4552" t="s">
        <v>5113</v>
      </c>
    </row>
    <row r="253" spans="1:7" ht="43.5" customHeight="1" thickBot="1">
      <c r="A253" s="4569"/>
      <c r="B253" s="4570" t="s">
        <v>8429</v>
      </c>
      <c r="C253" s="4682"/>
      <c r="D253" s="4552" t="s">
        <v>7338</v>
      </c>
      <c r="E253" s="4561" t="s">
        <v>7339</v>
      </c>
      <c r="F253" s="4552" t="s">
        <v>5125</v>
      </c>
      <c r="G253" s="4552" t="s">
        <v>5113</v>
      </c>
    </row>
    <row r="254" spans="1:7" s="4558" customFormat="1" ht="15.75" customHeight="1">
      <c r="A254" s="4588"/>
      <c r="B254" s="15265" t="s">
        <v>7340</v>
      </c>
      <c r="C254" s="15281"/>
      <c r="D254" s="4544" t="s">
        <v>7341</v>
      </c>
      <c r="E254" s="15273" t="s">
        <v>7343</v>
      </c>
      <c r="F254" s="15273" t="s">
        <v>5125</v>
      </c>
      <c r="G254" s="15273" t="s">
        <v>5113</v>
      </c>
    </row>
    <row r="255" spans="1:7" ht="13.5" customHeight="1" thickBot="1">
      <c r="A255" s="4589"/>
      <c r="B255" s="15266"/>
      <c r="C255" s="15282"/>
      <c r="D255" s="4552" t="s">
        <v>7342</v>
      </c>
      <c r="E255" s="15275"/>
      <c r="F255" s="15275"/>
      <c r="G255" s="15275"/>
    </row>
    <row r="256" spans="1:7" ht="44.25" customHeight="1" thickBot="1">
      <c r="A256" s="4569"/>
      <c r="B256" s="4570" t="s">
        <v>7344</v>
      </c>
      <c r="C256" s="4682"/>
      <c r="D256" s="4552" t="s">
        <v>7345</v>
      </c>
      <c r="E256" s="4561" t="s">
        <v>8430</v>
      </c>
      <c r="F256" s="4552" t="s">
        <v>5125</v>
      </c>
      <c r="G256" s="4552" t="s">
        <v>5113</v>
      </c>
    </row>
    <row r="257" spans="1:7" ht="32.25" customHeight="1" thickBot="1">
      <c r="A257" s="4569"/>
      <c r="B257" s="4570" t="s">
        <v>7346</v>
      </c>
      <c r="C257" s="4682"/>
      <c r="D257" s="4552"/>
      <c r="E257" s="4561" t="s">
        <v>7347</v>
      </c>
      <c r="F257" s="4552" t="s">
        <v>5125</v>
      </c>
      <c r="G257" s="4552" t="s">
        <v>5113</v>
      </c>
    </row>
    <row r="258" spans="1:7" ht="28.5" customHeight="1">
      <c r="A258" s="4588"/>
      <c r="B258" s="4574" t="s">
        <v>7348</v>
      </c>
      <c r="C258" s="15281">
        <v>200000</v>
      </c>
      <c r="D258" s="15273"/>
      <c r="E258" s="4564"/>
      <c r="F258" s="15273" t="s">
        <v>5125</v>
      </c>
      <c r="G258" s="15273" t="s">
        <v>5113</v>
      </c>
    </row>
    <row r="259" spans="1:7" ht="1.5" customHeight="1" thickBot="1">
      <c r="A259" s="4589"/>
      <c r="B259" s="4575"/>
      <c r="C259" s="15282"/>
      <c r="D259" s="15275"/>
      <c r="E259" s="4552"/>
      <c r="F259" s="15275"/>
      <c r="G259" s="15275"/>
    </row>
    <row r="260" spans="1:7" ht="28.5" customHeight="1" thickBot="1">
      <c r="A260" s="4569"/>
      <c r="B260" s="4570" t="s">
        <v>7349</v>
      </c>
      <c r="C260" s="4682"/>
      <c r="D260" s="4552"/>
      <c r="E260" s="4573" t="s">
        <v>7350</v>
      </c>
      <c r="F260" s="4552" t="s">
        <v>5125</v>
      </c>
      <c r="G260" s="4552" t="s">
        <v>5113</v>
      </c>
    </row>
    <row r="261" spans="1:7" ht="15.75" customHeight="1">
      <c r="A261" s="4588"/>
      <c r="B261" s="4579" t="s">
        <v>7351</v>
      </c>
      <c r="C261" s="15281"/>
      <c r="D261" s="15273"/>
      <c r="E261" s="4580" t="s">
        <v>7353</v>
      </c>
      <c r="F261" s="15273" t="s">
        <v>5125</v>
      </c>
      <c r="G261" s="15273" t="s">
        <v>7355</v>
      </c>
    </row>
    <row r="262" spans="1:7" ht="15.75" customHeight="1" thickBot="1">
      <c r="A262" s="4595"/>
      <c r="B262" s="4579" t="s">
        <v>7352</v>
      </c>
      <c r="C262" s="15301"/>
      <c r="D262" s="15274"/>
      <c r="E262" s="4580" t="s">
        <v>7354</v>
      </c>
      <c r="F262" s="15274"/>
      <c r="G262" s="15274"/>
    </row>
    <row r="263" spans="1:7" ht="15" customHeight="1">
      <c r="A263" s="4588"/>
      <c r="B263" s="4581" t="s">
        <v>7356</v>
      </c>
      <c r="C263" s="15281">
        <v>30000</v>
      </c>
      <c r="D263" s="15273"/>
      <c r="E263" s="4582" t="s">
        <v>7357</v>
      </c>
      <c r="F263" s="15273" t="s">
        <v>5125</v>
      </c>
      <c r="G263" s="15273" t="s">
        <v>7358</v>
      </c>
    </row>
    <row r="264" spans="1:7" ht="15.75" customHeight="1">
      <c r="A264" s="4595"/>
      <c r="B264" s="4583" t="s">
        <v>9611</v>
      </c>
      <c r="C264" s="15301"/>
      <c r="D264" s="15274"/>
      <c r="E264" s="15274" t="s">
        <v>8431</v>
      </c>
      <c r="F264" s="15274"/>
      <c r="G264" s="15274"/>
    </row>
    <row r="265" spans="1:7" ht="13.5" customHeight="1" thickBot="1">
      <c r="A265" s="4595"/>
      <c r="B265" s="4583" t="s">
        <v>9612</v>
      </c>
      <c r="C265" s="15301"/>
      <c r="D265" s="15274"/>
      <c r="E265" s="15274"/>
      <c r="F265" s="15274"/>
      <c r="G265" s="15274"/>
    </row>
    <row r="266" spans="1:7" ht="15.75" customHeight="1">
      <c r="A266" s="4588"/>
      <c r="B266" s="4581" t="s">
        <v>7359</v>
      </c>
      <c r="C266" s="15281"/>
      <c r="D266" s="15273"/>
      <c r="E266" s="4582" t="s">
        <v>7361</v>
      </c>
      <c r="F266" s="15273" t="s">
        <v>5125</v>
      </c>
      <c r="G266" s="15273" t="s">
        <v>7358</v>
      </c>
    </row>
    <row r="267" spans="1:7" ht="14.25" customHeight="1">
      <c r="A267" s="4595"/>
      <c r="B267" s="4583" t="s">
        <v>7360</v>
      </c>
      <c r="C267" s="15301"/>
      <c r="D267" s="15274"/>
      <c r="E267" s="4580" t="s">
        <v>7362</v>
      </c>
      <c r="F267" s="15274"/>
      <c r="G267" s="15274"/>
    </row>
    <row r="268" spans="1:7" ht="4.5" customHeight="1" thickBot="1">
      <c r="A268" s="4589"/>
      <c r="B268" s="4545"/>
      <c r="C268" s="15282"/>
      <c r="D268" s="15275"/>
      <c r="E268" s="4552"/>
      <c r="F268" s="15275"/>
      <c r="G268" s="15275"/>
    </row>
    <row r="269" spans="1:7">
      <c r="A269" s="4588"/>
      <c r="B269" s="4542" t="s">
        <v>7363</v>
      </c>
      <c r="C269" s="15281">
        <v>400000</v>
      </c>
      <c r="D269" s="15273"/>
      <c r="E269" s="4580" t="s">
        <v>7361</v>
      </c>
      <c r="F269" s="15273" t="s">
        <v>5125</v>
      </c>
      <c r="G269" s="15273" t="s">
        <v>7358</v>
      </c>
    </row>
    <row r="270" spans="1:7" ht="13.8" thickBot="1">
      <c r="A270" s="4589"/>
      <c r="B270" s="4545"/>
      <c r="C270" s="15282"/>
      <c r="D270" s="15275"/>
      <c r="E270" s="4552" t="s">
        <v>8432</v>
      </c>
      <c r="F270" s="15275"/>
      <c r="G270" s="15275"/>
    </row>
    <row r="271" spans="1:7" ht="15.75" customHeight="1">
      <c r="A271" s="4588"/>
      <c r="B271" s="4542" t="s">
        <v>7364</v>
      </c>
      <c r="C271" s="15281">
        <v>167700</v>
      </c>
      <c r="D271" s="15273"/>
      <c r="E271" s="4580" t="s">
        <v>7361</v>
      </c>
      <c r="F271" s="15273" t="s">
        <v>5125</v>
      </c>
      <c r="G271" s="15273" t="s">
        <v>7358</v>
      </c>
    </row>
    <row r="272" spans="1:7" ht="16.5" customHeight="1" thickBot="1">
      <c r="A272" s="4589"/>
      <c r="B272" s="4545"/>
      <c r="C272" s="15282"/>
      <c r="D272" s="15275"/>
      <c r="E272" s="4552" t="s">
        <v>7365</v>
      </c>
      <c r="F272" s="15275"/>
      <c r="G272" s="15275"/>
    </row>
    <row r="273" spans="1:7">
      <c r="A273" s="4588"/>
      <c r="B273" s="4583" t="s">
        <v>7366</v>
      </c>
      <c r="C273" s="15281"/>
      <c r="D273" s="15273"/>
      <c r="E273" s="4580" t="s">
        <v>7369</v>
      </c>
      <c r="F273" s="15273" t="s">
        <v>5125</v>
      </c>
      <c r="G273" s="15273" t="s">
        <v>7358</v>
      </c>
    </row>
    <row r="274" spans="1:7">
      <c r="A274" s="4595"/>
      <c r="B274" s="4583" t="s">
        <v>7367</v>
      </c>
      <c r="C274" s="15301"/>
      <c r="D274" s="15274"/>
      <c r="E274" s="4580" t="s">
        <v>7370</v>
      </c>
      <c r="F274" s="15274"/>
      <c r="G274" s="15274"/>
    </row>
    <row r="275" spans="1:7" ht="12.75" customHeight="1">
      <c r="A275" s="4595"/>
      <c r="B275" s="4583" t="s">
        <v>7368</v>
      </c>
      <c r="C275" s="15301"/>
      <c r="D275" s="15274"/>
      <c r="E275" s="4580" t="s">
        <v>7371</v>
      </c>
      <c r="F275" s="15274"/>
      <c r="G275" s="15274"/>
    </row>
    <row r="276" spans="1:7">
      <c r="A276" s="4595"/>
      <c r="B276" s="4543"/>
      <c r="C276" s="15301"/>
      <c r="D276" s="15274"/>
      <c r="E276" s="4580" t="s">
        <v>7372</v>
      </c>
      <c r="F276" s="15274"/>
      <c r="G276" s="15274"/>
    </row>
    <row r="277" spans="1:7">
      <c r="A277" s="4595"/>
      <c r="B277" s="4543"/>
      <c r="C277" s="15301"/>
      <c r="D277" s="15274"/>
      <c r="E277" s="4580" t="s">
        <v>7373</v>
      </c>
      <c r="F277" s="15274"/>
      <c r="G277" s="15274"/>
    </row>
    <row r="278" spans="1:7" ht="12.75" customHeight="1">
      <c r="A278" s="4595"/>
      <c r="B278" s="4543"/>
      <c r="C278" s="15301"/>
      <c r="D278" s="15274"/>
      <c r="E278" s="4580" t="s">
        <v>7374</v>
      </c>
      <c r="F278" s="15274"/>
      <c r="G278" s="15274"/>
    </row>
    <row r="279" spans="1:7">
      <c r="A279" s="4595"/>
      <c r="B279" s="4543"/>
      <c r="C279" s="15301"/>
      <c r="D279" s="15274"/>
      <c r="E279" s="4544" t="s">
        <v>7375</v>
      </c>
      <c r="F279" s="15274"/>
      <c r="G279" s="15274"/>
    </row>
    <row r="280" spans="1:7" ht="16.5" customHeight="1" thickBot="1">
      <c r="A280" s="4589"/>
      <c r="B280" s="4545"/>
      <c r="C280" s="15282"/>
      <c r="D280" s="15275"/>
      <c r="E280" s="4585" t="s">
        <v>7376</v>
      </c>
      <c r="F280" s="15275"/>
      <c r="G280" s="15275"/>
    </row>
    <row r="281" spans="1:7">
      <c r="A281" s="4588"/>
      <c r="B281" s="4583" t="s">
        <v>7377</v>
      </c>
      <c r="C281" s="15281"/>
      <c r="D281" s="15273"/>
      <c r="E281" s="4580" t="s">
        <v>7361</v>
      </c>
      <c r="F281" s="15273" t="s">
        <v>5125</v>
      </c>
      <c r="G281" s="15273" t="s">
        <v>7358</v>
      </c>
    </row>
    <row r="282" spans="1:7" ht="13.8" thickBot="1">
      <c r="A282" s="4589"/>
      <c r="B282" s="4584" t="s">
        <v>7378</v>
      </c>
      <c r="C282" s="15282"/>
      <c r="D282" s="15275"/>
      <c r="E282" s="4585" t="s">
        <v>7379</v>
      </c>
      <c r="F282" s="15275"/>
      <c r="G282" s="15275"/>
    </row>
    <row r="283" spans="1:7">
      <c r="A283" s="4588"/>
      <c r="B283" s="4583" t="s">
        <v>7380</v>
      </c>
      <c r="C283" s="15281"/>
      <c r="D283" s="15273"/>
      <c r="E283" s="4580" t="s">
        <v>7382</v>
      </c>
      <c r="F283" s="15273" t="s">
        <v>5125</v>
      </c>
      <c r="G283" s="15273" t="s">
        <v>7358</v>
      </c>
    </row>
    <row r="284" spans="1:7" ht="15.75" customHeight="1" thickBot="1">
      <c r="A284" s="4589"/>
      <c r="B284" s="4584" t="s">
        <v>7381</v>
      </c>
      <c r="C284" s="15282"/>
      <c r="D284" s="15275"/>
      <c r="E284" s="4585" t="s">
        <v>7383</v>
      </c>
      <c r="F284" s="15275"/>
      <c r="G284" s="15275"/>
    </row>
    <row r="285" spans="1:7" s="4558" customFormat="1" ht="14.25" customHeight="1">
      <c r="A285" s="4588"/>
      <c r="B285" s="4583" t="s">
        <v>7384</v>
      </c>
      <c r="C285" s="15281">
        <v>50000</v>
      </c>
      <c r="D285" s="15273"/>
      <c r="E285" s="4580" t="s">
        <v>7386</v>
      </c>
      <c r="F285" s="15273" t="s">
        <v>5125</v>
      </c>
      <c r="G285" s="15273" t="s">
        <v>7358</v>
      </c>
    </row>
    <row r="286" spans="1:7">
      <c r="A286" s="4595"/>
      <c r="B286" s="4583" t="s">
        <v>7385</v>
      </c>
      <c r="C286" s="15301"/>
      <c r="D286" s="15274"/>
      <c r="E286" s="4580" t="s">
        <v>7387</v>
      </c>
      <c r="F286" s="15274"/>
      <c r="G286" s="15274"/>
    </row>
    <row r="287" spans="1:7" ht="12.75" customHeight="1">
      <c r="A287" s="4595"/>
      <c r="B287" s="4583" t="s">
        <v>556</v>
      </c>
      <c r="C287" s="15301"/>
      <c r="D287" s="15274"/>
      <c r="E287" s="4580" t="s">
        <v>7388</v>
      </c>
      <c r="F287" s="15274"/>
      <c r="G287" s="15274"/>
    </row>
    <row r="288" spans="1:7" ht="13.8" thickBot="1">
      <c r="A288" s="4589"/>
      <c r="B288" s="4545"/>
      <c r="C288" s="15282"/>
      <c r="D288" s="15275"/>
      <c r="E288" s="4585" t="s">
        <v>7389</v>
      </c>
      <c r="F288" s="15275"/>
      <c r="G288" s="15275"/>
    </row>
    <row r="289" spans="1:7">
      <c r="A289" s="4641"/>
      <c r="B289" s="4642"/>
      <c r="C289" s="4679"/>
      <c r="D289" s="4643"/>
      <c r="E289" s="4648"/>
      <c r="F289" s="4643"/>
      <c r="G289" s="4643"/>
    </row>
    <row r="290" spans="1:7">
      <c r="A290" s="4636"/>
      <c r="B290" s="4626"/>
      <c r="C290" s="4673"/>
      <c r="D290" s="4538"/>
      <c r="E290" s="4649"/>
      <c r="F290" s="4538"/>
      <c r="G290" s="4538"/>
    </row>
    <row r="291" spans="1:7">
      <c r="A291" s="4636"/>
      <c r="B291" s="4626"/>
      <c r="C291" s="4673"/>
      <c r="D291" s="4538"/>
      <c r="E291" s="4649"/>
      <c r="F291" s="4538"/>
      <c r="G291" s="4538"/>
    </row>
    <row r="292" spans="1:7">
      <c r="A292" s="4636"/>
      <c r="B292" s="4626"/>
      <c r="C292" s="4673"/>
      <c r="D292" s="4538"/>
      <c r="E292" s="4649"/>
      <c r="F292" s="4538"/>
      <c r="G292" s="4538"/>
    </row>
    <row r="293" spans="1:7">
      <c r="A293" s="4636"/>
      <c r="B293" s="4626"/>
      <c r="C293" s="4673"/>
      <c r="D293" s="4538"/>
      <c r="E293" s="4649"/>
      <c r="F293" s="4538"/>
      <c r="G293" s="4538"/>
    </row>
    <row r="294" spans="1:7">
      <c r="A294" s="4636"/>
      <c r="B294" s="4626"/>
      <c r="C294" s="4673"/>
      <c r="D294" s="4538"/>
      <c r="E294" s="4649"/>
      <c r="F294" s="4538"/>
      <c r="G294" s="4538"/>
    </row>
    <row r="295" spans="1:7" ht="13.8" thickBot="1">
      <c r="A295" s="4645"/>
      <c r="B295" s="4646"/>
      <c r="C295" s="4680"/>
      <c r="D295" s="4637"/>
      <c r="E295" s="4650"/>
      <c r="F295" s="4637"/>
      <c r="G295" s="4637"/>
    </row>
    <row r="296" spans="1:7" ht="28.5" customHeight="1" thickBot="1">
      <c r="A296" s="4594" t="s">
        <v>2056</v>
      </c>
      <c r="B296" s="4539" t="s">
        <v>2540</v>
      </c>
      <c r="C296" s="4692" t="s">
        <v>1736</v>
      </c>
      <c r="D296" s="4540" t="s">
        <v>1760</v>
      </c>
      <c r="E296" s="4540" t="s">
        <v>1764</v>
      </c>
      <c r="F296" s="15347" t="s">
        <v>2541</v>
      </c>
      <c r="G296" s="15348"/>
    </row>
    <row r="297" spans="1:7" ht="15" customHeight="1" thickBot="1">
      <c r="A297" s="4545"/>
      <c r="B297" s="4541"/>
      <c r="C297" s="4678"/>
      <c r="D297" s="4565"/>
      <c r="E297" s="4565"/>
      <c r="F297" s="4705" t="s">
        <v>1789</v>
      </c>
      <c r="G297" s="4705" t="s">
        <v>1790</v>
      </c>
    </row>
    <row r="298" spans="1:7" ht="15" customHeight="1">
      <c r="A298" s="4595"/>
      <c r="B298" s="4579" t="s">
        <v>7390</v>
      </c>
      <c r="C298" s="4684"/>
      <c r="D298" s="4544"/>
      <c r="E298" s="4544"/>
      <c r="F298" s="4595"/>
      <c r="G298" s="4595"/>
    </row>
    <row r="299" spans="1:7" ht="15" customHeight="1" thickBot="1">
      <c r="A299" s="4595"/>
      <c r="B299" s="4579" t="s">
        <v>7391</v>
      </c>
      <c r="C299" s="4684"/>
      <c r="D299" s="4544"/>
      <c r="E299" s="4544"/>
      <c r="F299" s="4595"/>
      <c r="G299" s="4595"/>
    </row>
    <row r="300" spans="1:7">
      <c r="A300" s="4588"/>
      <c r="B300" s="4581"/>
      <c r="C300" s="15281"/>
      <c r="D300" s="15273"/>
      <c r="E300" s="4582" t="s">
        <v>5126</v>
      </c>
      <c r="F300" s="15273" t="s">
        <v>5125</v>
      </c>
      <c r="G300" s="15273" t="s">
        <v>7358</v>
      </c>
    </row>
    <row r="301" spans="1:7" ht="14.25" customHeight="1">
      <c r="A301" s="4595"/>
      <c r="B301" s="4583" t="s">
        <v>7392</v>
      </c>
      <c r="C301" s="15301"/>
      <c r="D301" s="15274"/>
      <c r="E301" s="15274" t="s">
        <v>7394</v>
      </c>
      <c r="F301" s="15274"/>
      <c r="G301" s="15274"/>
    </row>
    <row r="302" spans="1:7" ht="15.75" customHeight="1">
      <c r="A302" s="4595"/>
      <c r="B302" s="4583" t="s">
        <v>7393</v>
      </c>
      <c r="C302" s="15301"/>
      <c r="D302" s="15274"/>
      <c r="E302" s="15274"/>
      <c r="F302" s="15274"/>
      <c r="G302" s="15274"/>
    </row>
    <row r="303" spans="1:7" ht="3" customHeight="1" thickBot="1">
      <c r="A303" s="4589"/>
      <c r="B303" s="4584"/>
      <c r="C303" s="15282"/>
      <c r="D303" s="15275"/>
      <c r="E303" s="4552"/>
      <c r="F303" s="15275"/>
      <c r="G303" s="15275"/>
    </row>
    <row r="304" spans="1:7">
      <c r="A304" s="4588"/>
      <c r="B304" s="15265" t="s">
        <v>8433</v>
      </c>
      <c r="C304" s="15281"/>
      <c r="D304" s="15273"/>
      <c r="E304" s="4580" t="s">
        <v>7395</v>
      </c>
      <c r="F304" s="15273" t="s">
        <v>5125</v>
      </c>
      <c r="G304" s="15273" t="s">
        <v>7358</v>
      </c>
    </row>
    <row r="305" spans="1:7" ht="15" customHeight="1">
      <c r="A305" s="4595"/>
      <c r="B305" s="15300"/>
      <c r="C305" s="15301"/>
      <c r="D305" s="15274"/>
      <c r="E305" s="4580" t="s">
        <v>7396</v>
      </c>
      <c r="F305" s="15274"/>
      <c r="G305" s="15274"/>
    </row>
    <row r="306" spans="1:7" ht="15" customHeight="1">
      <c r="A306" s="4595"/>
      <c r="B306" s="15300"/>
      <c r="C306" s="15301"/>
      <c r="D306" s="15274"/>
      <c r="E306" s="4580" t="s">
        <v>7397</v>
      </c>
      <c r="F306" s="15274"/>
      <c r="G306" s="15274"/>
    </row>
    <row r="307" spans="1:7" ht="12.75" customHeight="1">
      <c r="A307" s="4595"/>
      <c r="B307" s="15300"/>
      <c r="C307" s="15301"/>
      <c r="D307" s="15274"/>
      <c r="E307" s="4580" t="s">
        <v>7398</v>
      </c>
      <c r="F307" s="15274"/>
      <c r="G307" s="15274"/>
    </row>
    <row r="308" spans="1:7" ht="18.75" customHeight="1" thickBot="1">
      <c r="A308" s="4589"/>
      <c r="B308" s="15266"/>
      <c r="C308" s="15282"/>
      <c r="D308" s="15275"/>
      <c r="E308" s="4552" t="s">
        <v>8434</v>
      </c>
      <c r="F308" s="15275"/>
      <c r="G308" s="15275"/>
    </row>
    <row r="309" spans="1:7">
      <c r="A309" s="4588"/>
      <c r="B309" s="4583" t="s">
        <v>7399</v>
      </c>
      <c r="C309" s="15281"/>
      <c r="D309" s="15273"/>
      <c r="E309" s="4580" t="s">
        <v>7401</v>
      </c>
      <c r="F309" s="15273" t="s">
        <v>5125</v>
      </c>
      <c r="G309" s="15273" t="s">
        <v>7358</v>
      </c>
    </row>
    <row r="310" spans="1:7" ht="18" customHeight="1" thickBot="1">
      <c r="A310" s="4589"/>
      <c r="B310" s="4584" t="s">
        <v>7400</v>
      </c>
      <c r="C310" s="15282"/>
      <c r="D310" s="15275"/>
      <c r="E310" s="4585" t="s">
        <v>7402</v>
      </c>
      <c r="F310" s="15275"/>
      <c r="G310" s="15275"/>
    </row>
    <row r="311" spans="1:7" ht="17.25" customHeight="1">
      <c r="A311" s="4588"/>
      <c r="B311" s="4583" t="s">
        <v>7403</v>
      </c>
      <c r="C311" s="15281"/>
      <c r="D311" s="15273"/>
      <c r="E311" s="4580" t="s">
        <v>7406</v>
      </c>
      <c r="F311" s="15273" t="s">
        <v>5125</v>
      </c>
      <c r="G311" s="15273" t="s">
        <v>7358</v>
      </c>
    </row>
    <row r="312" spans="1:7">
      <c r="A312" s="4595"/>
      <c r="B312" s="4583" t="s">
        <v>7404</v>
      </c>
      <c r="C312" s="15301"/>
      <c r="D312" s="15274"/>
      <c r="E312" s="4580" t="s">
        <v>7407</v>
      </c>
      <c r="F312" s="15274"/>
      <c r="G312" s="15274"/>
    </row>
    <row r="313" spans="1:7">
      <c r="A313" s="4595"/>
      <c r="B313" s="4583" t="s">
        <v>7405</v>
      </c>
      <c r="C313" s="15301"/>
      <c r="D313" s="15274"/>
      <c r="E313" s="4580" t="s">
        <v>7408</v>
      </c>
      <c r="F313" s="15274"/>
      <c r="G313" s="15274"/>
    </row>
    <row r="314" spans="1:7" ht="13.8" thickBot="1">
      <c r="A314" s="4589"/>
      <c r="B314" s="4584"/>
      <c r="C314" s="15282"/>
      <c r="D314" s="15275"/>
      <c r="E314" s="4585" t="s">
        <v>7409</v>
      </c>
      <c r="F314" s="15275"/>
      <c r="G314" s="15275"/>
    </row>
    <row r="315" spans="1:7" ht="15" customHeight="1">
      <c r="A315" s="4588"/>
      <c r="B315" s="4579" t="s">
        <v>7410</v>
      </c>
      <c r="C315" s="4683"/>
      <c r="D315" s="15273"/>
      <c r="E315" s="4564"/>
      <c r="F315" s="15273"/>
      <c r="G315" s="15273"/>
    </row>
    <row r="316" spans="1:7" ht="18" customHeight="1" thickBot="1">
      <c r="A316" s="4589"/>
      <c r="B316" s="4586" t="s">
        <v>7411</v>
      </c>
      <c r="C316" s="4682"/>
      <c r="D316" s="15275"/>
      <c r="E316" s="4552"/>
      <c r="F316" s="15275"/>
      <c r="G316" s="15275"/>
    </row>
    <row r="317" spans="1:7" ht="20.25" customHeight="1">
      <c r="A317" s="4588"/>
      <c r="B317" s="15265" t="s">
        <v>8435</v>
      </c>
      <c r="C317" s="15281">
        <v>50000</v>
      </c>
      <c r="D317" s="15273"/>
      <c r="E317" s="4580" t="s">
        <v>7412</v>
      </c>
      <c r="F317" s="15273" t="s">
        <v>5125</v>
      </c>
      <c r="G317" s="15273" t="s">
        <v>7358</v>
      </c>
    </row>
    <row r="318" spans="1:7" ht="16.5" customHeight="1">
      <c r="A318" s="4595"/>
      <c r="B318" s="15300"/>
      <c r="C318" s="15301"/>
      <c r="D318" s="15274"/>
      <c r="E318" s="4580" t="s">
        <v>7413</v>
      </c>
      <c r="F318" s="15274"/>
      <c r="G318" s="15274"/>
    </row>
    <row r="319" spans="1:7">
      <c r="A319" s="4595"/>
      <c r="B319" s="15300"/>
      <c r="C319" s="15301"/>
      <c r="D319" s="15274"/>
      <c r="E319" s="4580" t="s">
        <v>7414</v>
      </c>
      <c r="F319" s="15274"/>
      <c r="G319" s="15274"/>
    </row>
    <row r="320" spans="1:7">
      <c r="A320" s="4595"/>
      <c r="B320" s="15300"/>
      <c r="C320" s="15301"/>
      <c r="D320" s="15274"/>
      <c r="E320" s="4544" t="s">
        <v>7415</v>
      </c>
      <c r="F320" s="15274"/>
      <c r="G320" s="15274"/>
    </row>
    <row r="321" spans="1:7" ht="13.8" thickBot="1">
      <c r="A321" s="4589"/>
      <c r="B321" s="15266"/>
      <c r="C321" s="15282"/>
      <c r="D321" s="15275"/>
      <c r="E321" s="4585" t="s">
        <v>7376</v>
      </c>
      <c r="F321" s="15275"/>
      <c r="G321" s="15275"/>
    </row>
    <row r="322" spans="1:7" ht="15" customHeight="1">
      <c r="A322" s="4588"/>
      <c r="B322" s="15265" t="s">
        <v>8436</v>
      </c>
      <c r="C322" s="15281">
        <v>50000</v>
      </c>
      <c r="D322" s="15273"/>
      <c r="E322" s="4580" t="s">
        <v>9614</v>
      </c>
      <c r="F322" s="15273" t="s">
        <v>5125</v>
      </c>
      <c r="G322" s="15273" t="s">
        <v>7358</v>
      </c>
    </row>
    <row r="323" spans="1:7" ht="15.75" customHeight="1">
      <c r="A323" s="4595"/>
      <c r="B323" s="15300"/>
      <c r="C323" s="15301"/>
      <c r="D323" s="15274"/>
      <c r="E323" s="4580" t="s">
        <v>9613</v>
      </c>
      <c r="F323" s="15274"/>
      <c r="G323" s="15274"/>
    </row>
    <row r="324" spans="1:7" ht="5.25" customHeight="1" thickBot="1">
      <c r="A324" s="4589"/>
      <c r="B324" s="15266"/>
      <c r="C324" s="15282"/>
      <c r="D324" s="15275"/>
      <c r="E324" s="4585"/>
      <c r="F324" s="15275"/>
      <c r="G324" s="15275"/>
    </row>
    <row r="325" spans="1:7">
      <c r="A325" s="4588"/>
      <c r="B325" s="4583" t="s">
        <v>7417</v>
      </c>
      <c r="C325" s="15281"/>
      <c r="D325" s="15273"/>
      <c r="E325" s="4580" t="s">
        <v>7416</v>
      </c>
      <c r="F325" s="15273" t="s">
        <v>5125</v>
      </c>
      <c r="G325" s="15273" t="s">
        <v>7358</v>
      </c>
    </row>
    <row r="326" spans="1:7">
      <c r="A326" s="4595"/>
      <c r="B326" s="4583" t="s">
        <v>7418</v>
      </c>
      <c r="C326" s="15301"/>
      <c r="D326" s="15274"/>
      <c r="E326" s="4580" t="s">
        <v>7420</v>
      </c>
      <c r="F326" s="15274"/>
      <c r="G326" s="15274"/>
    </row>
    <row r="327" spans="1:7">
      <c r="A327" s="4595"/>
      <c r="B327" s="4583" t="s">
        <v>7419</v>
      </c>
      <c r="C327" s="15301"/>
      <c r="D327" s="15274"/>
      <c r="E327" s="4580" t="s">
        <v>7421</v>
      </c>
      <c r="F327" s="15274"/>
      <c r="G327" s="15274"/>
    </row>
    <row r="328" spans="1:7" ht="13.8" thickBot="1">
      <c r="A328" s="4589"/>
      <c r="B328" s="4545"/>
      <c r="C328" s="15282"/>
      <c r="D328" s="15275"/>
      <c r="E328" s="4552" t="s">
        <v>7422</v>
      </c>
      <c r="F328" s="15275"/>
      <c r="G328" s="15275"/>
    </row>
    <row r="329" spans="1:7" ht="15.75" customHeight="1">
      <c r="A329" s="4588"/>
      <c r="B329" s="15265" t="s">
        <v>8437</v>
      </c>
      <c r="C329" s="15281"/>
      <c r="D329" s="15273"/>
      <c r="E329" s="4580" t="s">
        <v>7423</v>
      </c>
      <c r="F329" s="15273" t="s">
        <v>5125</v>
      </c>
      <c r="G329" s="15273" t="s">
        <v>7358</v>
      </c>
    </row>
    <row r="330" spans="1:7">
      <c r="A330" s="4595"/>
      <c r="B330" s="15300"/>
      <c r="C330" s="15301"/>
      <c r="D330" s="15274"/>
      <c r="E330" s="4580" t="s">
        <v>7424</v>
      </c>
      <c r="F330" s="15274"/>
      <c r="G330" s="15274"/>
    </row>
    <row r="331" spans="1:7">
      <c r="A331" s="4595"/>
      <c r="B331" s="15300"/>
      <c r="C331" s="15301"/>
      <c r="D331" s="15274"/>
      <c r="E331" s="4580" t="s">
        <v>9615</v>
      </c>
      <c r="F331" s="15274"/>
      <c r="G331" s="15274"/>
    </row>
    <row r="332" spans="1:7" ht="4.5" customHeight="1" thickBot="1">
      <c r="A332" s="4589"/>
      <c r="B332" s="15266"/>
      <c r="C332" s="15282"/>
      <c r="D332" s="15275"/>
      <c r="E332" s="4585"/>
      <c r="F332" s="15275"/>
      <c r="G332" s="15275"/>
    </row>
    <row r="333" spans="1:7" ht="15" customHeight="1">
      <c r="A333" s="4588"/>
      <c r="B333" s="4579" t="s">
        <v>7426</v>
      </c>
      <c r="C333" s="4683"/>
      <c r="D333" s="15273"/>
      <c r="E333" s="4564"/>
      <c r="F333" s="15273"/>
      <c r="G333" s="15273"/>
    </row>
    <row r="334" spans="1:7" ht="15.75" customHeight="1" thickBot="1">
      <c r="A334" s="4589"/>
      <c r="B334" s="4586" t="s">
        <v>7427</v>
      </c>
      <c r="C334" s="4682"/>
      <c r="D334" s="15275"/>
      <c r="E334" s="4552"/>
      <c r="F334" s="15275"/>
      <c r="G334" s="15275"/>
    </row>
    <row r="335" spans="1:7">
      <c r="A335" s="4588"/>
      <c r="B335" s="4583" t="s">
        <v>7428</v>
      </c>
      <c r="C335" s="15281">
        <v>80000</v>
      </c>
      <c r="D335" s="15273"/>
      <c r="E335" s="4580" t="s">
        <v>7430</v>
      </c>
      <c r="F335" s="15273" t="s">
        <v>5125</v>
      </c>
      <c r="G335" s="15273" t="s">
        <v>7358</v>
      </c>
    </row>
    <row r="336" spans="1:7" ht="15" customHeight="1">
      <c r="A336" s="4595"/>
      <c r="B336" s="4583" t="s">
        <v>7429</v>
      </c>
      <c r="C336" s="15301"/>
      <c r="D336" s="15274"/>
      <c r="E336" s="4580" t="s">
        <v>7431</v>
      </c>
      <c r="F336" s="15274"/>
      <c r="G336" s="15274"/>
    </row>
    <row r="337" spans="1:7" ht="29.25" customHeight="1" thickBot="1">
      <c r="A337" s="4589"/>
      <c r="B337" s="4545" t="s">
        <v>8438</v>
      </c>
      <c r="C337" s="15282"/>
      <c r="D337" s="15275"/>
      <c r="E337" s="4585" t="s">
        <v>7432</v>
      </c>
      <c r="F337" s="15275"/>
      <c r="G337" s="15275"/>
    </row>
    <row r="338" spans="1:7" ht="12.75" customHeight="1">
      <c r="A338" s="4588"/>
      <c r="B338" s="4581" t="s">
        <v>7433</v>
      </c>
      <c r="C338" s="15281"/>
      <c r="D338" s="15273"/>
      <c r="E338" s="4564"/>
      <c r="F338" s="15273" t="s">
        <v>5125</v>
      </c>
      <c r="G338" s="15273" t="s">
        <v>7358</v>
      </c>
    </row>
    <row r="339" spans="1:7">
      <c r="A339" s="4595"/>
      <c r="B339" s="4583" t="s">
        <v>7434</v>
      </c>
      <c r="C339" s="15301"/>
      <c r="D339" s="15274"/>
      <c r="E339" s="4544"/>
      <c r="F339" s="15274"/>
      <c r="G339" s="15274"/>
    </row>
    <row r="340" spans="1:7" ht="6.75" customHeight="1" thickBot="1">
      <c r="A340" s="4589"/>
      <c r="B340" s="4587"/>
      <c r="C340" s="15282"/>
      <c r="D340" s="15275"/>
      <c r="E340" s="4552"/>
      <c r="F340" s="15275"/>
      <c r="G340" s="15275"/>
    </row>
    <row r="341" spans="1:7" ht="12.75" customHeight="1">
      <c r="A341" s="4588"/>
      <c r="B341" s="4579" t="s">
        <v>7435</v>
      </c>
      <c r="C341" s="15281"/>
      <c r="D341" s="15273"/>
      <c r="E341" s="4564"/>
      <c r="F341" s="15273"/>
      <c r="G341" s="15273"/>
    </row>
    <row r="342" spans="1:7" ht="15" customHeight="1">
      <c r="A342" s="4595"/>
      <c r="B342" s="4579" t="s">
        <v>7436</v>
      </c>
      <c r="C342" s="15301"/>
      <c r="D342" s="15274"/>
      <c r="E342" s="4544"/>
      <c r="F342" s="15274"/>
      <c r="G342" s="15274"/>
    </row>
    <row r="343" spans="1:7" ht="15.75" customHeight="1" thickBot="1">
      <c r="A343" s="4589"/>
      <c r="B343" s="4586" t="s">
        <v>7437</v>
      </c>
      <c r="C343" s="15282"/>
      <c r="D343" s="15275"/>
      <c r="E343" s="4552"/>
      <c r="F343" s="15275"/>
      <c r="G343" s="15275"/>
    </row>
    <row r="344" spans="1:7" ht="15" customHeight="1">
      <c r="A344" s="4588"/>
      <c r="B344" s="4583" t="s">
        <v>7438</v>
      </c>
      <c r="C344" s="15281">
        <v>70000</v>
      </c>
      <c r="D344" s="15273"/>
      <c r="E344" s="4580" t="s">
        <v>9616</v>
      </c>
      <c r="F344" s="15273" t="s">
        <v>5125</v>
      </c>
      <c r="G344" s="15273" t="s">
        <v>7358</v>
      </c>
    </row>
    <row r="345" spans="1:7" ht="15" customHeight="1">
      <c r="A345" s="4595"/>
      <c r="B345" s="4583" t="s">
        <v>7439</v>
      </c>
      <c r="C345" s="15301"/>
      <c r="D345" s="15274"/>
      <c r="E345" s="4580" t="s">
        <v>9617</v>
      </c>
      <c r="F345" s="15274"/>
      <c r="G345" s="15274"/>
    </row>
    <row r="346" spans="1:7" ht="15.75" customHeight="1" thickBot="1">
      <c r="A346" s="4595"/>
      <c r="B346" s="4583"/>
      <c r="C346" s="15301"/>
      <c r="D346" s="15274"/>
      <c r="E346" s="4585" t="s">
        <v>7440</v>
      </c>
      <c r="F346" s="15274"/>
      <c r="G346" s="15274"/>
    </row>
    <row r="347" spans="1:7" ht="15" customHeight="1">
      <c r="A347" s="4588"/>
      <c r="B347" s="4651" t="s">
        <v>7441</v>
      </c>
      <c r="C347" s="15281"/>
      <c r="D347" s="15273"/>
      <c r="E347" s="4564"/>
      <c r="F347" s="15273"/>
      <c r="G347" s="15273"/>
    </row>
    <row r="348" spans="1:7" ht="15.75" customHeight="1" thickBot="1">
      <c r="A348" s="4589"/>
      <c r="B348" s="4586" t="s">
        <v>7442</v>
      </c>
      <c r="C348" s="15282"/>
      <c r="D348" s="15275"/>
      <c r="E348" s="4552"/>
      <c r="F348" s="15275"/>
      <c r="G348" s="15275"/>
    </row>
    <row r="349" spans="1:7">
      <c r="A349" s="4588"/>
      <c r="B349" s="4583" t="s">
        <v>7443</v>
      </c>
      <c r="C349" s="15281">
        <v>40000</v>
      </c>
      <c r="D349" s="15273"/>
      <c r="E349" s="4580" t="s">
        <v>7444</v>
      </c>
      <c r="F349" s="15273" t="s">
        <v>5125</v>
      </c>
      <c r="G349" s="15273" t="s">
        <v>7358</v>
      </c>
    </row>
    <row r="350" spans="1:7" ht="15" customHeight="1">
      <c r="A350" s="4595"/>
      <c r="B350" s="15300" t="s">
        <v>8440</v>
      </c>
      <c r="C350" s="15301"/>
      <c r="D350" s="15274"/>
      <c r="E350" s="4580" t="s">
        <v>7445</v>
      </c>
      <c r="F350" s="15274"/>
      <c r="G350" s="15274"/>
    </row>
    <row r="351" spans="1:7" ht="14.25" customHeight="1" thickBot="1">
      <c r="A351" s="4589"/>
      <c r="B351" s="15266"/>
      <c r="C351" s="15282"/>
      <c r="D351" s="15275"/>
      <c r="E351" s="4552" t="s">
        <v>8439</v>
      </c>
      <c r="F351" s="15275"/>
      <c r="G351" s="15275"/>
    </row>
    <row r="352" spans="1:7" ht="17.25" customHeight="1">
      <c r="A352" s="4588"/>
      <c r="B352" s="4583" t="s">
        <v>7446</v>
      </c>
      <c r="C352" s="15281"/>
      <c r="D352" s="15273"/>
      <c r="E352" s="4580" t="s">
        <v>7447</v>
      </c>
      <c r="F352" s="15273" t="s">
        <v>5125</v>
      </c>
      <c r="G352" s="15273" t="s">
        <v>7358</v>
      </c>
    </row>
    <row r="353" spans="1:7">
      <c r="A353" s="4595"/>
      <c r="B353" s="15300" t="s">
        <v>8441</v>
      </c>
      <c r="C353" s="15301"/>
      <c r="D353" s="15274"/>
      <c r="E353" s="4580" t="s">
        <v>7448</v>
      </c>
      <c r="F353" s="15274"/>
      <c r="G353" s="15274"/>
    </row>
    <row r="354" spans="1:7">
      <c r="A354" s="4595"/>
      <c r="B354" s="15300"/>
      <c r="C354" s="15301"/>
      <c r="D354" s="15274"/>
      <c r="E354" s="4580" t="s">
        <v>7449</v>
      </c>
      <c r="F354" s="15274"/>
      <c r="G354" s="15274"/>
    </row>
    <row r="355" spans="1:7" ht="18" customHeight="1" thickBot="1">
      <c r="A355" s="4589"/>
      <c r="B355" s="4545"/>
      <c r="C355" s="15282"/>
      <c r="D355" s="15275"/>
      <c r="E355" s="4585" t="s">
        <v>7450</v>
      </c>
      <c r="F355" s="15275"/>
      <c r="G355" s="15275"/>
    </row>
    <row r="356" spans="1:7" ht="18" customHeight="1">
      <c r="A356" s="4641"/>
      <c r="B356" s="4642"/>
      <c r="C356" s="4679"/>
      <c r="D356" s="4643"/>
      <c r="E356" s="4648"/>
      <c r="F356" s="4643"/>
      <c r="G356" s="4643"/>
    </row>
    <row r="357" spans="1:7" ht="18" customHeight="1">
      <c r="A357" s="4636"/>
      <c r="B357" s="4626"/>
      <c r="C357" s="4673"/>
      <c r="D357" s="4538"/>
      <c r="E357" s="4649"/>
      <c r="F357" s="4538"/>
      <c r="G357" s="4538"/>
    </row>
    <row r="358" spans="1:7" ht="18" customHeight="1">
      <c r="A358" s="4636"/>
      <c r="B358" s="4626"/>
      <c r="C358" s="4673"/>
      <c r="D358" s="4538"/>
      <c r="E358" s="4649"/>
      <c r="F358" s="4538"/>
      <c r="G358" s="4538"/>
    </row>
    <row r="359" spans="1:7" ht="18" customHeight="1">
      <c r="A359" s="4636"/>
      <c r="B359" s="4626"/>
      <c r="C359" s="4673"/>
      <c r="D359" s="4538"/>
      <c r="E359" s="4649"/>
      <c r="F359" s="4538"/>
      <c r="G359" s="4538"/>
    </row>
    <row r="360" spans="1:7" ht="18" customHeight="1">
      <c r="A360" s="4636"/>
      <c r="B360" s="4626"/>
      <c r="C360" s="4673"/>
      <c r="D360" s="4538"/>
      <c r="E360" s="4649"/>
      <c r="F360" s="4538"/>
      <c r="G360" s="4538"/>
    </row>
    <row r="361" spans="1:7" ht="18" customHeight="1" thickBot="1">
      <c r="A361" s="4645"/>
      <c r="B361" s="4646"/>
      <c r="C361" s="4680"/>
      <c r="D361" s="4637"/>
      <c r="E361" s="4650"/>
      <c r="F361" s="4637"/>
      <c r="G361" s="4637"/>
    </row>
    <row r="362" spans="1:7" ht="28.5" customHeight="1" thickBot="1">
      <c r="A362" s="4594" t="s">
        <v>2056</v>
      </c>
      <c r="B362" s="4539" t="s">
        <v>2540</v>
      </c>
      <c r="C362" s="4692" t="s">
        <v>1736</v>
      </c>
      <c r="D362" s="4540" t="s">
        <v>1760</v>
      </c>
      <c r="E362" s="4540" t="s">
        <v>1764</v>
      </c>
      <c r="F362" s="15347" t="s">
        <v>2541</v>
      </c>
      <c r="G362" s="15348"/>
    </row>
    <row r="363" spans="1:7" ht="15" customHeight="1" thickBot="1">
      <c r="A363" s="4545"/>
      <c r="B363" s="4541"/>
      <c r="C363" s="4678"/>
      <c r="D363" s="4565"/>
      <c r="E363" s="4565"/>
      <c r="F363" s="4705" t="s">
        <v>1789</v>
      </c>
      <c r="G363" s="4705" t="s">
        <v>1790</v>
      </c>
    </row>
    <row r="364" spans="1:7" ht="13.8" thickBot="1">
      <c r="A364" s="4569"/>
      <c r="B364" s="4578" t="s">
        <v>7451</v>
      </c>
      <c r="C364" s="4682"/>
      <c r="D364" s="4552"/>
      <c r="E364" s="4561"/>
      <c r="F364" s="4552"/>
      <c r="G364" s="4552"/>
    </row>
    <row r="365" spans="1:7">
      <c r="A365" s="4588"/>
      <c r="B365" s="4583" t="s">
        <v>7452</v>
      </c>
      <c r="C365" s="15281"/>
      <c r="D365" s="15273"/>
      <c r="E365" s="4580" t="s">
        <v>7453</v>
      </c>
      <c r="F365" s="15273" t="s">
        <v>5125</v>
      </c>
      <c r="G365" s="15273" t="s">
        <v>7358</v>
      </c>
    </row>
    <row r="366" spans="1:7">
      <c r="A366" s="4595"/>
      <c r="B366" s="15300" t="s">
        <v>8442</v>
      </c>
      <c r="C366" s="15301"/>
      <c r="D366" s="15274"/>
      <c r="E366" s="4580" t="s">
        <v>7454</v>
      </c>
      <c r="F366" s="15274"/>
      <c r="G366" s="15274"/>
    </row>
    <row r="367" spans="1:7" ht="17.25" customHeight="1" thickBot="1">
      <c r="A367" s="4589"/>
      <c r="B367" s="15266"/>
      <c r="C367" s="15282"/>
      <c r="D367" s="15275"/>
      <c r="E367" s="4585" t="s">
        <v>7455</v>
      </c>
      <c r="F367" s="15275"/>
      <c r="G367" s="15275"/>
    </row>
    <row r="368" spans="1:7" ht="15.75" customHeight="1">
      <c r="A368" s="4588"/>
      <c r="B368" s="4583" t="s">
        <v>7456</v>
      </c>
      <c r="C368" s="15281"/>
      <c r="D368" s="15273"/>
      <c r="E368" s="4580" t="s">
        <v>5126</v>
      </c>
      <c r="F368" s="15273" t="s">
        <v>5125</v>
      </c>
      <c r="G368" s="15273" t="s">
        <v>7358</v>
      </c>
    </row>
    <row r="369" spans="1:7">
      <c r="A369" s="4595"/>
      <c r="B369" s="4583" t="s">
        <v>7457</v>
      </c>
      <c r="C369" s="15301"/>
      <c r="D369" s="15274"/>
      <c r="E369" s="4580" t="s">
        <v>7458</v>
      </c>
      <c r="F369" s="15274"/>
      <c r="G369" s="15274"/>
    </row>
    <row r="370" spans="1:7" ht="30.75" customHeight="1">
      <c r="A370" s="4595"/>
      <c r="B370" s="4543"/>
      <c r="C370" s="15301"/>
      <c r="D370" s="15274"/>
      <c r="E370" s="4544" t="s">
        <v>8443</v>
      </c>
      <c r="F370" s="15274"/>
      <c r="G370" s="15274"/>
    </row>
    <row r="371" spans="1:7" ht="6.75" customHeight="1" thickBot="1">
      <c r="A371" s="4589"/>
      <c r="B371" s="4545"/>
      <c r="C371" s="15282"/>
      <c r="D371" s="15275"/>
      <c r="E371" s="4585"/>
      <c r="F371" s="15275"/>
      <c r="G371" s="15275"/>
    </row>
    <row r="372" spans="1:7" ht="15" customHeight="1">
      <c r="A372" s="4588"/>
      <c r="B372" s="4579" t="s">
        <v>7459</v>
      </c>
      <c r="C372" s="15281"/>
      <c r="D372" s="15273"/>
      <c r="E372" s="4564"/>
      <c r="F372" s="15273"/>
      <c r="G372" s="15273"/>
    </row>
    <row r="373" spans="1:7" ht="15.75" customHeight="1" thickBot="1">
      <c r="A373" s="4589"/>
      <c r="B373" s="4586" t="s">
        <v>7460</v>
      </c>
      <c r="C373" s="15282"/>
      <c r="D373" s="15275"/>
      <c r="E373" s="4552"/>
      <c r="F373" s="15275"/>
      <c r="G373" s="15275"/>
    </row>
    <row r="374" spans="1:7" ht="16.5" customHeight="1">
      <c r="A374" s="4588"/>
      <c r="B374" s="4583" t="s">
        <v>7461</v>
      </c>
      <c r="C374" s="4683">
        <v>337920</v>
      </c>
      <c r="D374" s="4564"/>
      <c r="E374" s="15273" t="s">
        <v>8444</v>
      </c>
      <c r="F374" s="4588" t="s">
        <v>5125</v>
      </c>
      <c r="G374" s="4588" t="s">
        <v>7358</v>
      </c>
    </row>
    <row r="375" spans="1:7" ht="16.5" customHeight="1" thickBot="1">
      <c r="A375" s="4595"/>
      <c r="B375" s="4583" t="s">
        <v>7462</v>
      </c>
      <c r="C375" s="4684"/>
      <c r="D375" s="4544"/>
      <c r="E375" s="15274"/>
      <c r="F375" s="4595"/>
      <c r="G375" s="4595"/>
    </row>
    <row r="376" spans="1:7" ht="15.75" customHeight="1">
      <c r="A376" s="4588"/>
      <c r="B376" s="4581" t="s">
        <v>7463</v>
      </c>
      <c r="C376" s="15281">
        <v>20000</v>
      </c>
      <c r="D376" s="15273"/>
      <c r="E376" s="4582" t="s">
        <v>7465</v>
      </c>
      <c r="F376" s="15273" t="s">
        <v>5125</v>
      </c>
      <c r="G376" s="15273" t="s">
        <v>7358</v>
      </c>
    </row>
    <row r="377" spans="1:7">
      <c r="A377" s="4595"/>
      <c r="B377" s="4583" t="s">
        <v>7464</v>
      </c>
      <c r="C377" s="15301"/>
      <c r="D377" s="15274"/>
      <c r="E377" s="4580" t="s">
        <v>7466</v>
      </c>
      <c r="F377" s="15274"/>
      <c r="G377" s="15274"/>
    </row>
    <row r="378" spans="1:7" ht="19.5" customHeight="1" thickBot="1">
      <c r="A378" s="4589"/>
      <c r="B378" s="4545"/>
      <c r="C378" s="15282"/>
      <c r="D378" s="15275"/>
      <c r="E378" s="4585" t="s">
        <v>7467</v>
      </c>
      <c r="F378" s="15275"/>
      <c r="G378" s="15275"/>
    </row>
    <row r="379" spans="1:7">
      <c r="A379" s="4588"/>
      <c r="B379" s="4583" t="s">
        <v>7468</v>
      </c>
      <c r="C379" s="15281">
        <v>35000</v>
      </c>
      <c r="D379" s="15273"/>
      <c r="E379" s="4580" t="s">
        <v>7470</v>
      </c>
      <c r="F379" s="15273" t="s">
        <v>5125</v>
      </c>
      <c r="G379" s="15273" t="s">
        <v>7358</v>
      </c>
    </row>
    <row r="380" spans="1:7">
      <c r="A380" s="4595"/>
      <c r="B380" s="4583" t="s">
        <v>7469</v>
      </c>
      <c r="C380" s="15301"/>
      <c r="D380" s="15274"/>
      <c r="E380" s="4580" t="s">
        <v>7471</v>
      </c>
      <c r="F380" s="15274"/>
      <c r="G380" s="15274"/>
    </row>
    <row r="381" spans="1:7" ht="17.25" customHeight="1" thickBot="1">
      <c r="A381" s="4589"/>
      <c r="B381" s="4545"/>
      <c r="C381" s="15282"/>
      <c r="D381" s="15275"/>
      <c r="E381" s="4585" t="s">
        <v>7472</v>
      </c>
      <c r="F381" s="15275"/>
      <c r="G381" s="15275"/>
    </row>
    <row r="382" spans="1:7">
      <c r="A382" s="4588"/>
      <c r="B382" s="4583" t="s">
        <v>7473</v>
      </c>
      <c r="C382" s="15281">
        <v>50000</v>
      </c>
      <c r="D382" s="15273"/>
      <c r="E382" s="4580" t="s">
        <v>7475</v>
      </c>
      <c r="F382" s="15273" t="s">
        <v>5125</v>
      </c>
      <c r="G382" s="15273" t="s">
        <v>7358</v>
      </c>
    </row>
    <row r="383" spans="1:7">
      <c r="A383" s="4595"/>
      <c r="B383" s="4583" t="s">
        <v>7474</v>
      </c>
      <c r="C383" s="15301"/>
      <c r="D383" s="15274"/>
      <c r="E383" s="4580" t="s">
        <v>7476</v>
      </c>
      <c r="F383" s="15274"/>
      <c r="G383" s="15274"/>
    </row>
    <row r="384" spans="1:7">
      <c r="A384" s="4595"/>
      <c r="B384" s="4543"/>
      <c r="C384" s="15301"/>
      <c r="D384" s="15274"/>
      <c r="E384" s="4580" t="s">
        <v>7477</v>
      </c>
      <c r="F384" s="15274"/>
      <c r="G384" s="15274"/>
    </row>
    <row r="385" spans="1:7">
      <c r="A385" s="4595"/>
      <c r="B385" s="4543"/>
      <c r="C385" s="15301"/>
      <c r="D385" s="15274"/>
      <c r="E385" s="4580" t="s">
        <v>7478</v>
      </c>
      <c r="F385" s="15274"/>
      <c r="G385" s="15274"/>
    </row>
    <row r="386" spans="1:7" ht="16.5" customHeight="1" thickBot="1">
      <c r="A386" s="4589"/>
      <c r="B386" s="4545"/>
      <c r="C386" s="15282"/>
      <c r="D386" s="15275"/>
      <c r="E386" s="4585" t="s">
        <v>7479</v>
      </c>
      <c r="F386" s="15275"/>
      <c r="G386" s="15275"/>
    </row>
    <row r="387" spans="1:7">
      <c r="A387" s="4588"/>
      <c r="B387" s="4583" t="s">
        <v>7480</v>
      </c>
      <c r="C387" s="15281"/>
      <c r="D387" s="15273"/>
      <c r="E387" s="4580" t="s">
        <v>7482</v>
      </c>
      <c r="F387" s="15273" t="s">
        <v>5125</v>
      </c>
      <c r="G387" s="15273" t="s">
        <v>7358</v>
      </c>
    </row>
    <row r="388" spans="1:7">
      <c r="A388" s="4595"/>
      <c r="B388" s="4583" t="s">
        <v>7481</v>
      </c>
      <c r="C388" s="15301"/>
      <c r="D388" s="15274"/>
      <c r="E388" s="4580" t="s">
        <v>7483</v>
      </c>
      <c r="F388" s="15274"/>
      <c r="G388" s="15274"/>
    </row>
    <row r="389" spans="1:7">
      <c r="A389" s="4595"/>
      <c r="B389" s="4543"/>
      <c r="C389" s="15301"/>
      <c r="D389" s="15274"/>
      <c r="E389" s="4580" t="s">
        <v>7484</v>
      </c>
      <c r="F389" s="15274"/>
      <c r="G389" s="15274"/>
    </row>
    <row r="390" spans="1:7" ht="13.8" thickBot="1">
      <c r="A390" s="4589"/>
      <c r="B390" s="4545"/>
      <c r="C390" s="15282"/>
      <c r="D390" s="15275"/>
      <c r="E390" s="4585" t="s">
        <v>7414</v>
      </c>
      <c r="F390" s="15275"/>
      <c r="G390" s="15275"/>
    </row>
    <row r="391" spans="1:7" ht="13.8" thickBot="1">
      <c r="A391" s="4569"/>
      <c r="B391" s="4570" t="s">
        <v>7485</v>
      </c>
      <c r="C391" s="4682"/>
      <c r="D391" s="4552"/>
      <c r="E391" s="4561" t="s">
        <v>7486</v>
      </c>
      <c r="F391" s="4552"/>
      <c r="G391" s="4552"/>
    </row>
    <row r="392" spans="1:7" ht="13.8" thickBot="1">
      <c r="A392" s="4569"/>
      <c r="B392" s="4570" t="s">
        <v>7487</v>
      </c>
      <c r="C392" s="4682"/>
      <c r="D392" s="4552"/>
      <c r="E392" s="4561" t="s">
        <v>7488</v>
      </c>
      <c r="F392" s="4552"/>
      <c r="G392" s="4552"/>
    </row>
    <row r="393" spans="1:7" ht="16.5" customHeight="1" thickBot="1">
      <c r="A393" s="4569"/>
      <c r="B393" s="4570" t="s">
        <v>7489</v>
      </c>
      <c r="C393" s="4682">
        <v>10000</v>
      </c>
      <c r="D393" s="4552"/>
      <c r="E393" s="4561" t="s">
        <v>7488</v>
      </c>
      <c r="F393" s="4552"/>
      <c r="G393" s="4552"/>
    </row>
    <row r="394" spans="1:7" ht="13.5" customHeight="1">
      <c r="A394" s="4588"/>
      <c r="B394" s="4542" t="s">
        <v>7490</v>
      </c>
      <c r="C394" s="15281">
        <v>30000</v>
      </c>
      <c r="D394" s="15273"/>
      <c r="E394" s="4564" t="s">
        <v>7488</v>
      </c>
      <c r="F394" s="15273"/>
      <c r="G394" s="15273"/>
    </row>
    <row r="395" spans="1:7" ht="3" customHeight="1" thickBot="1">
      <c r="A395" s="4589"/>
      <c r="B395" s="4545"/>
      <c r="C395" s="15282"/>
      <c r="D395" s="15275"/>
      <c r="E395" s="4552"/>
      <c r="F395" s="15275"/>
      <c r="G395" s="15275"/>
    </row>
    <row r="396" spans="1:7">
      <c r="A396" s="4588"/>
      <c r="B396" s="4583" t="s">
        <v>7491</v>
      </c>
      <c r="C396" s="15281"/>
      <c r="D396" s="15273"/>
      <c r="E396" s="4580" t="s">
        <v>7430</v>
      </c>
      <c r="F396" s="15273" t="s">
        <v>5125</v>
      </c>
      <c r="G396" s="15273" t="s">
        <v>7358</v>
      </c>
    </row>
    <row r="397" spans="1:7">
      <c r="A397" s="4595"/>
      <c r="B397" s="4583" t="s">
        <v>7492</v>
      </c>
      <c r="C397" s="15301"/>
      <c r="D397" s="15274"/>
      <c r="E397" s="4580" t="s">
        <v>7495</v>
      </c>
      <c r="F397" s="15274"/>
      <c r="G397" s="15274"/>
    </row>
    <row r="398" spans="1:7">
      <c r="A398" s="4595"/>
      <c r="B398" s="4583" t="s">
        <v>7493</v>
      </c>
      <c r="C398" s="15301"/>
      <c r="D398" s="15274"/>
      <c r="E398" s="4580" t="s">
        <v>7496</v>
      </c>
      <c r="F398" s="15274"/>
      <c r="G398" s="15274"/>
    </row>
    <row r="399" spans="1:7" ht="18" customHeight="1" thickBot="1">
      <c r="A399" s="4589"/>
      <c r="B399" s="4584" t="s">
        <v>7494</v>
      </c>
      <c r="C399" s="15282"/>
      <c r="D399" s="15275"/>
      <c r="E399" s="4552"/>
      <c r="F399" s="15275"/>
      <c r="G399" s="15275"/>
    </row>
    <row r="400" spans="1:7" ht="15" customHeight="1">
      <c r="A400" s="4588"/>
      <c r="B400" s="4583" t="s">
        <v>7497</v>
      </c>
      <c r="C400" s="15281">
        <v>200000</v>
      </c>
      <c r="D400" s="15273"/>
      <c r="E400" s="4580" t="s">
        <v>5127</v>
      </c>
      <c r="F400" s="15273" t="s">
        <v>5125</v>
      </c>
      <c r="G400" s="15273" t="s">
        <v>7358</v>
      </c>
    </row>
    <row r="401" spans="1:7" ht="17.25" customHeight="1" thickBot="1">
      <c r="A401" s="4589"/>
      <c r="B401" s="4584" t="s">
        <v>7498</v>
      </c>
      <c r="C401" s="15282"/>
      <c r="D401" s="15275"/>
      <c r="E401" s="4585" t="s">
        <v>7499</v>
      </c>
      <c r="F401" s="15275"/>
      <c r="G401" s="15275"/>
    </row>
    <row r="402" spans="1:7" ht="20.25" customHeight="1">
      <c r="A402" s="4588"/>
      <c r="B402" s="15265" t="s">
        <v>8445</v>
      </c>
      <c r="C402" s="15281"/>
      <c r="D402" s="15273"/>
      <c r="E402" s="4564"/>
      <c r="F402" s="15273" t="s">
        <v>5125</v>
      </c>
      <c r="G402" s="15273" t="s">
        <v>7358</v>
      </c>
    </row>
    <row r="403" spans="1:7" ht="12.75" customHeight="1" thickBot="1">
      <c r="A403" s="4589"/>
      <c r="B403" s="15266"/>
      <c r="C403" s="15282"/>
      <c r="D403" s="15275"/>
      <c r="E403" s="4552"/>
      <c r="F403" s="15275"/>
      <c r="G403" s="15275"/>
    </row>
    <row r="404" spans="1:7" ht="29.25" customHeight="1" thickBot="1">
      <c r="A404" s="4588"/>
      <c r="B404" s="4543" t="s">
        <v>8446</v>
      </c>
      <c r="C404" s="4683">
        <v>375000</v>
      </c>
      <c r="D404" s="4564"/>
      <c r="E404" s="4544" t="s">
        <v>8447</v>
      </c>
      <c r="F404" s="4564" t="s">
        <v>5125</v>
      </c>
      <c r="G404" s="4564" t="s">
        <v>7358</v>
      </c>
    </row>
    <row r="405" spans="1:7" ht="16.5" customHeight="1">
      <c r="A405" s="4588"/>
      <c r="B405" s="4581" t="s">
        <v>7501</v>
      </c>
      <c r="C405" s="4683">
        <v>50000</v>
      </c>
      <c r="D405" s="4564"/>
      <c r="E405" s="4582" t="s">
        <v>9621</v>
      </c>
      <c r="F405" s="4588" t="s">
        <v>5125</v>
      </c>
      <c r="G405" s="15273" t="s">
        <v>7358</v>
      </c>
    </row>
    <row r="406" spans="1:7" ht="13.8" thickBot="1">
      <c r="A406" s="4595"/>
      <c r="B406" s="4583" t="s">
        <v>7502</v>
      </c>
      <c r="C406" s="4684"/>
      <c r="D406" s="4544"/>
      <c r="E406" s="4580" t="s">
        <v>9622</v>
      </c>
      <c r="F406" s="4595"/>
      <c r="G406" s="15274"/>
    </row>
    <row r="407" spans="1:7">
      <c r="A407" s="4590"/>
      <c r="B407" s="4581" t="s">
        <v>7503</v>
      </c>
      <c r="C407" s="15281"/>
      <c r="D407" s="15283"/>
      <c r="E407" s="4582" t="s">
        <v>9618</v>
      </c>
      <c r="F407" s="15273" t="s">
        <v>5125</v>
      </c>
      <c r="G407" s="15273" t="s">
        <v>7358</v>
      </c>
    </row>
    <row r="408" spans="1:7" ht="16.5" customHeight="1">
      <c r="A408" s="4591"/>
      <c r="B408" s="4583" t="s">
        <v>7504</v>
      </c>
      <c r="C408" s="15301"/>
      <c r="D408" s="15322"/>
      <c r="E408" s="4580" t="s">
        <v>9619</v>
      </c>
      <c r="F408" s="15274"/>
      <c r="G408" s="15274"/>
    </row>
    <row r="409" spans="1:7" ht="14.25" customHeight="1" thickBot="1">
      <c r="A409" s="4591"/>
      <c r="B409" s="4594"/>
      <c r="C409" s="15301"/>
      <c r="D409" s="15322"/>
      <c r="E409" s="4580" t="s">
        <v>9620</v>
      </c>
      <c r="F409" s="15274"/>
      <c r="G409" s="15274"/>
    </row>
    <row r="410" spans="1:7" ht="32.25" customHeight="1" thickBot="1">
      <c r="A410" s="4569"/>
      <c r="B410" s="4578" t="s">
        <v>7505</v>
      </c>
      <c r="C410" s="4681"/>
      <c r="D410" s="4561"/>
      <c r="E410" s="4561" t="s">
        <v>7506</v>
      </c>
      <c r="F410" s="4561"/>
      <c r="G410" s="4561"/>
    </row>
    <row r="411" spans="1:7" ht="33" customHeight="1" thickBot="1">
      <c r="A411" s="4569"/>
      <c r="B411" s="4570" t="s">
        <v>7507</v>
      </c>
      <c r="C411" s="4682"/>
      <c r="D411" s="4552"/>
      <c r="E411" s="4561"/>
      <c r="F411" s="4552" t="s">
        <v>5125</v>
      </c>
      <c r="G411" s="4552" t="s">
        <v>7358</v>
      </c>
    </row>
    <row r="412" spans="1:7" ht="27" customHeight="1" thickBot="1">
      <c r="A412" s="4569"/>
      <c r="B412" s="4570" t="s">
        <v>7508</v>
      </c>
      <c r="C412" s="4682"/>
      <c r="D412" s="4552"/>
      <c r="E412" s="4561"/>
      <c r="F412" s="4552" t="s">
        <v>5125</v>
      </c>
      <c r="G412" s="4552" t="s">
        <v>7358</v>
      </c>
    </row>
    <row r="413" spans="1:7" ht="29.25" customHeight="1" thickBot="1">
      <c r="A413" s="4569"/>
      <c r="B413" s="4570" t="s">
        <v>7509</v>
      </c>
      <c r="C413" s="4682"/>
      <c r="D413" s="4552"/>
      <c r="E413" s="4561"/>
      <c r="F413" s="4552" t="s">
        <v>5125</v>
      </c>
      <c r="G413" s="4552" t="s">
        <v>7358</v>
      </c>
    </row>
    <row r="414" spans="1:7" ht="28.5" customHeight="1" thickBot="1">
      <c r="A414" s="4569"/>
      <c r="B414" s="4570" t="s">
        <v>7510</v>
      </c>
      <c r="C414" s="4682"/>
      <c r="D414" s="4552"/>
      <c r="E414" s="4561"/>
      <c r="F414" s="4552" t="s">
        <v>5125</v>
      </c>
      <c r="G414" s="4552" t="s">
        <v>7358</v>
      </c>
    </row>
    <row r="415" spans="1:7" ht="15.75" customHeight="1">
      <c r="A415" s="4641"/>
      <c r="B415" s="4642"/>
      <c r="C415" s="4679"/>
      <c r="D415" s="4643"/>
      <c r="E415" s="4643"/>
      <c r="F415" s="4643"/>
      <c r="G415" s="4643"/>
    </row>
    <row r="416" spans="1:7" ht="15.75" customHeight="1">
      <c r="A416" s="4636"/>
      <c r="B416" s="4626"/>
      <c r="C416" s="4673"/>
      <c r="D416" s="4538"/>
      <c r="E416" s="4538"/>
      <c r="F416" s="4538"/>
      <c r="G416" s="4538"/>
    </row>
    <row r="417" spans="1:7" ht="15.75" customHeight="1">
      <c r="A417" s="4636"/>
      <c r="B417" s="4626"/>
      <c r="C417" s="4673"/>
      <c r="D417" s="4538"/>
      <c r="E417" s="4538"/>
      <c r="F417" s="4538"/>
      <c r="G417" s="4538"/>
    </row>
    <row r="418" spans="1:7" ht="15.75" customHeight="1">
      <c r="A418" s="4636"/>
      <c r="B418" s="4626"/>
      <c r="C418" s="4673"/>
      <c r="D418" s="4538"/>
      <c r="E418" s="4538"/>
      <c r="F418" s="4538"/>
      <c r="G418" s="4538"/>
    </row>
    <row r="419" spans="1:7" ht="15.75" customHeight="1">
      <c r="A419" s="4636"/>
      <c r="B419" s="4626"/>
      <c r="C419" s="4673"/>
      <c r="D419" s="4538"/>
      <c r="E419" s="4538"/>
      <c r="F419" s="4538"/>
      <c r="G419" s="4538"/>
    </row>
    <row r="420" spans="1:7" ht="15.75" customHeight="1" thickBot="1">
      <c r="A420" s="4645"/>
      <c r="B420" s="4646"/>
      <c r="C420" s="4680"/>
      <c r="D420" s="4637"/>
      <c r="E420" s="4637"/>
      <c r="F420" s="4637"/>
      <c r="G420" s="4637"/>
    </row>
    <row r="421" spans="1:7" ht="28.5" customHeight="1" thickBot="1">
      <c r="A421" s="4594" t="s">
        <v>2056</v>
      </c>
      <c r="B421" s="4539" t="s">
        <v>2540</v>
      </c>
      <c r="C421" s="4692" t="s">
        <v>1736</v>
      </c>
      <c r="D421" s="4540" t="s">
        <v>1760</v>
      </c>
      <c r="E421" s="4540" t="s">
        <v>1764</v>
      </c>
      <c r="F421" s="15347" t="s">
        <v>2541</v>
      </c>
      <c r="G421" s="15348"/>
    </row>
    <row r="422" spans="1:7" ht="15" customHeight="1" thickBot="1">
      <c r="A422" s="4545"/>
      <c r="B422" s="4541"/>
      <c r="C422" s="4678"/>
      <c r="D422" s="4565"/>
      <c r="E422" s="4565"/>
      <c r="F422" s="4705" t="s">
        <v>1789</v>
      </c>
      <c r="G422" s="4705" t="s">
        <v>1790</v>
      </c>
    </row>
    <row r="423" spans="1:7" ht="34.5" customHeight="1" thickBot="1">
      <c r="A423" s="4569"/>
      <c r="B423" s="4578" t="s">
        <v>7511</v>
      </c>
      <c r="C423" s="4682"/>
      <c r="D423" s="4552"/>
      <c r="E423" s="4561" t="s">
        <v>7512</v>
      </c>
      <c r="F423" s="4552" t="s">
        <v>5125</v>
      </c>
      <c r="G423" s="4552" t="s">
        <v>7358</v>
      </c>
    </row>
    <row r="424" spans="1:7" ht="30" customHeight="1">
      <c r="A424" s="4588"/>
      <c r="B424" s="4542" t="s">
        <v>7513</v>
      </c>
      <c r="C424" s="4683"/>
      <c r="D424" s="4564" t="s">
        <v>7514</v>
      </c>
      <c r="E424" s="4564" t="s">
        <v>7515</v>
      </c>
      <c r="F424" s="4564" t="s">
        <v>5125</v>
      </c>
      <c r="G424" s="4564" t="s">
        <v>7358</v>
      </c>
    </row>
    <row r="425" spans="1:7" ht="14.25" customHeight="1">
      <c r="A425" s="4595"/>
      <c r="B425" s="4543" t="s">
        <v>7516</v>
      </c>
      <c r="C425" s="4684"/>
      <c r="D425" s="4544"/>
      <c r="E425" s="4544"/>
      <c r="F425" s="4544"/>
      <c r="G425" s="4544"/>
    </row>
    <row r="426" spans="1:7" ht="14.25" customHeight="1">
      <c r="A426" s="4595"/>
      <c r="B426" s="4543" t="s">
        <v>7517</v>
      </c>
      <c r="C426" s="4684"/>
      <c r="D426" s="4544"/>
      <c r="E426" s="4544"/>
      <c r="F426" s="4544"/>
      <c r="G426" s="4544"/>
    </row>
    <row r="427" spans="1:7" ht="14.25" customHeight="1">
      <c r="A427" s="4595"/>
      <c r="B427" s="4543" t="s">
        <v>7518</v>
      </c>
      <c r="C427" s="4684"/>
      <c r="D427" s="4544"/>
      <c r="E427" s="4544"/>
      <c r="F427" s="4544"/>
      <c r="G427" s="4544"/>
    </row>
    <row r="428" spans="1:7" ht="14.25" customHeight="1">
      <c r="A428" s="4595"/>
      <c r="B428" s="4543" t="s">
        <v>7519</v>
      </c>
      <c r="C428" s="4684"/>
      <c r="D428" s="4544"/>
      <c r="E428" s="4544"/>
      <c r="F428" s="4544"/>
      <c r="G428" s="4544"/>
    </row>
    <row r="429" spans="1:7" ht="14.25" customHeight="1">
      <c r="A429" s="4595"/>
      <c r="B429" s="4543" t="s">
        <v>7520</v>
      </c>
      <c r="C429" s="4684"/>
      <c r="D429" s="4544"/>
      <c r="E429" s="4544"/>
      <c r="F429" s="4544"/>
      <c r="G429" s="4544"/>
    </row>
    <row r="430" spans="1:7" ht="14.25" customHeight="1" thickBot="1">
      <c r="A430" s="4589"/>
      <c r="B430" s="4545" t="s">
        <v>7521</v>
      </c>
      <c r="C430" s="4682"/>
      <c r="D430" s="4552"/>
      <c r="E430" s="4552"/>
      <c r="F430" s="4552"/>
      <c r="G430" s="4552"/>
    </row>
    <row r="431" spans="1:7" ht="28.5" customHeight="1" thickBot="1">
      <c r="A431" s="4569"/>
      <c r="B431" s="4578" t="s">
        <v>7522</v>
      </c>
      <c r="C431" s="4682"/>
      <c r="D431" s="4552"/>
      <c r="E431" s="4561"/>
      <c r="F431" s="4552" t="s">
        <v>5125</v>
      </c>
      <c r="G431" s="4552" t="s">
        <v>7358</v>
      </c>
    </row>
    <row r="432" spans="1:7" ht="52.5" customHeight="1">
      <c r="A432" s="4588"/>
      <c r="B432" s="4542" t="s">
        <v>7523</v>
      </c>
      <c r="C432" s="15281"/>
      <c r="D432" s="15273" t="s">
        <v>7524</v>
      </c>
      <c r="E432" s="4564" t="s">
        <v>7525</v>
      </c>
      <c r="F432" s="15273" t="s">
        <v>5125</v>
      </c>
      <c r="G432" s="15273" t="s">
        <v>7358</v>
      </c>
    </row>
    <row r="433" spans="1:7" ht="5.25" customHeight="1" thickBot="1">
      <c r="A433" s="4589"/>
      <c r="B433" s="4545"/>
      <c r="C433" s="15282"/>
      <c r="D433" s="15275"/>
      <c r="E433" s="4552"/>
      <c r="F433" s="15275"/>
      <c r="G433" s="15275"/>
    </row>
    <row r="434" spans="1:7" ht="27" customHeight="1">
      <c r="A434" s="4588"/>
      <c r="B434" s="4542" t="s">
        <v>7526</v>
      </c>
      <c r="C434" s="15281"/>
      <c r="D434" s="15273" t="s">
        <v>7527</v>
      </c>
      <c r="E434" s="4564" t="s">
        <v>7528</v>
      </c>
      <c r="F434" s="15273" t="s">
        <v>5125</v>
      </c>
      <c r="G434" s="15273" t="s">
        <v>7358</v>
      </c>
    </row>
    <row r="435" spans="1:7" ht="6.75" customHeight="1" thickBot="1">
      <c r="A435" s="4589"/>
      <c r="B435" s="4545"/>
      <c r="C435" s="15282"/>
      <c r="D435" s="15275"/>
      <c r="E435" s="4552"/>
      <c r="F435" s="15275"/>
      <c r="G435" s="15275"/>
    </row>
    <row r="436" spans="1:7" ht="42" customHeight="1">
      <c r="A436" s="4588"/>
      <c r="B436" s="4574" t="s">
        <v>7529</v>
      </c>
      <c r="C436" s="15281"/>
      <c r="D436" s="15273" t="s">
        <v>7500</v>
      </c>
      <c r="E436" s="4564" t="s">
        <v>7530</v>
      </c>
      <c r="F436" s="15273" t="s">
        <v>5125</v>
      </c>
      <c r="G436" s="15273" t="s">
        <v>7358</v>
      </c>
    </row>
    <row r="437" spans="1:7" ht="6.75" customHeight="1" thickBot="1">
      <c r="A437" s="4589"/>
      <c r="B437" s="4575"/>
      <c r="C437" s="15282"/>
      <c r="D437" s="15275"/>
      <c r="E437" s="4552"/>
      <c r="F437" s="15275"/>
      <c r="G437" s="15275"/>
    </row>
    <row r="438" spans="1:7" ht="13.8" thickBot="1">
      <c r="A438" s="4569"/>
      <c r="B438" s="4570" t="s">
        <v>7531</v>
      </c>
      <c r="C438" s="4682"/>
      <c r="D438" s="4552"/>
      <c r="E438" s="4561"/>
      <c r="F438" s="4552"/>
      <c r="G438" s="4552"/>
    </row>
    <row r="439" spans="1:7" ht="19.5" customHeight="1" thickBot="1">
      <c r="A439" s="4569"/>
      <c r="B439" s="4570" t="s">
        <v>7532</v>
      </c>
      <c r="C439" s="4682"/>
      <c r="D439" s="4552"/>
      <c r="E439" s="4561"/>
      <c r="F439" s="4552"/>
      <c r="G439" s="4552"/>
    </row>
    <row r="440" spans="1:7" ht="19.5" customHeight="1">
      <c r="A440" s="4588"/>
      <c r="B440" s="4542" t="s">
        <v>7533</v>
      </c>
      <c r="C440" s="15281">
        <v>300000</v>
      </c>
      <c r="D440" s="15273" t="s">
        <v>7534</v>
      </c>
      <c r="E440" s="4564"/>
      <c r="F440" s="15273" t="s">
        <v>5125</v>
      </c>
      <c r="G440" s="15273" t="s">
        <v>7358</v>
      </c>
    </row>
    <row r="441" spans="1:7" ht="8.25" customHeight="1" thickBot="1">
      <c r="A441" s="4589"/>
      <c r="B441" s="4545"/>
      <c r="C441" s="15282"/>
      <c r="D441" s="15275"/>
      <c r="E441" s="4552"/>
      <c r="F441" s="15275"/>
      <c r="G441" s="15275"/>
    </row>
    <row r="442" spans="1:7" ht="19.5" customHeight="1">
      <c r="A442" s="4588"/>
      <c r="B442" s="4542" t="s">
        <v>7535</v>
      </c>
      <c r="C442" s="15281">
        <v>200000</v>
      </c>
      <c r="D442" s="15273" t="s">
        <v>7536</v>
      </c>
      <c r="E442" s="4564"/>
      <c r="F442" s="15273" t="s">
        <v>5125</v>
      </c>
      <c r="G442" s="15273" t="s">
        <v>7358</v>
      </c>
    </row>
    <row r="443" spans="1:7" ht="9.75" customHeight="1" thickBot="1">
      <c r="A443" s="4589"/>
      <c r="B443" s="4545"/>
      <c r="C443" s="15282"/>
      <c r="D443" s="15275"/>
      <c r="E443" s="4552"/>
      <c r="F443" s="15275"/>
      <c r="G443" s="15275"/>
    </row>
    <row r="444" spans="1:7" ht="27" customHeight="1">
      <c r="A444" s="4588"/>
      <c r="B444" s="4542" t="s">
        <v>7537</v>
      </c>
      <c r="C444" s="15281">
        <v>300000</v>
      </c>
      <c r="D444" s="15273" t="s">
        <v>7538</v>
      </c>
      <c r="E444" s="4564" t="s">
        <v>7539</v>
      </c>
      <c r="F444" s="15273" t="s">
        <v>5125</v>
      </c>
      <c r="G444" s="15273" t="s">
        <v>7358</v>
      </c>
    </row>
    <row r="445" spans="1:7" ht="6" customHeight="1" thickBot="1">
      <c r="A445" s="4589"/>
      <c r="B445" s="4545"/>
      <c r="C445" s="15282"/>
      <c r="D445" s="15275"/>
      <c r="E445" s="4552"/>
      <c r="F445" s="15275"/>
      <c r="G445" s="15275"/>
    </row>
    <row r="446" spans="1:7" ht="26.25" customHeight="1">
      <c r="A446" s="4588"/>
      <c r="B446" s="4542" t="s">
        <v>7540</v>
      </c>
      <c r="C446" s="15281">
        <v>300000</v>
      </c>
      <c r="D446" s="15273" t="s">
        <v>7541</v>
      </c>
      <c r="E446" s="4564" t="s">
        <v>7539</v>
      </c>
      <c r="F446" s="15273" t="s">
        <v>5125</v>
      </c>
      <c r="G446" s="15273" t="s">
        <v>7358</v>
      </c>
    </row>
    <row r="447" spans="1:7" ht="6" customHeight="1" thickBot="1">
      <c r="A447" s="4589"/>
      <c r="B447" s="4545"/>
      <c r="C447" s="15282"/>
      <c r="D447" s="15275"/>
      <c r="E447" s="4552"/>
      <c r="F447" s="15275"/>
      <c r="G447" s="15275"/>
    </row>
    <row r="448" spans="1:7" ht="16.5" customHeight="1">
      <c r="A448" s="4588"/>
      <c r="B448" s="4542" t="s">
        <v>7542</v>
      </c>
      <c r="C448" s="15281"/>
      <c r="D448" s="15273"/>
      <c r="E448" s="4564"/>
      <c r="F448" s="15273" t="s">
        <v>5125</v>
      </c>
      <c r="G448" s="15273" t="s">
        <v>7358</v>
      </c>
    </row>
    <row r="449" spans="1:7" ht="16.5" customHeight="1" thickBot="1">
      <c r="A449" s="4589"/>
      <c r="B449" s="4545" t="s">
        <v>7543</v>
      </c>
      <c r="C449" s="15282"/>
      <c r="D449" s="15275"/>
      <c r="E449" s="4552"/>
      <c r="F449" s="15275"/>
      <c r="G449" s="15275"/>
    </row>
    <row r="450" spans="1:7" ht="30" customHeight="1" thickBot="1">
      <c r="A450" s="4588"/>
      <c r="B450" s="4542" t="s">
        <v>7544</v>
      </c>
      <c r="C450" s="15281">
        <v>100000</v>
      </c>
      <c r="D450" s="15273" t="s">
        <v>7545</v>
      </c>
      <c r="E450" s="4564" t="s">
        <v>7546</v>
      </c>
      <c r="F450" s="15273" t="s">
        <v>5125</v>
      </c>
      <c r="G450" s="15273" t="s">
        <v>7358</v>
      </c>
    </row>
    <row r="451" spans="1:7" ht="25.5" hidden="1" customHeight="1" thickBot="1">
      <c r="A451" s="4589"/>
      <c r="B451" s="4545"/>
      <c r="C451" s="15282"/>
      <c r="D451" s="15275"/>
      <c r="E451" s="4552"/>
      <c r="F451" s="15275"/>
      <c r="G451" s="15275"/>
    </row>
    <row r="452" spans="1:7" ht="32.25" customHeight="1">
      <c r="A452" s="4588"/>
      <c r="B452" s="4542" t="s">
        <v>7547</v>
      </c>
      <c r="C452" s="15281">
        <v>70000</v>
      </c>
      <c r="D452" s="15273" t="s">
        <v>7548</v>
      </c>
      <c r="E452" s="4564" t="s">
        <v>7539</v>
      </c>
      <c r="F452" s="15273" t="s">
        <v>5125</v>
      </c>
      <c r="G452" s="15273" t="s">
        <v>7358</v>
      </c>
    </row>
    <row r="453" spans="1:7" ht="6" customHeight="1" thickBot="1">
      <c r="A453" s="4589"/>
      <c r="B453" s="4545"/>
      <c r="C453" s="15282"/>
      <c r="D453" s="15275"/>
      <c r="E453" s="4552"/>
      <c r="F453" s="15275"/>
      <c r="G453" s="15275"/>
    </row>
    <row r="454" spans="1:7" ht="26.25" customHeight="1" thickBot="1">
      <c r="A454" s="4569"/>
      <c r="B454" s="4570"/>
      <c r="C454" s="4682">
        <v>30000</v>
      </c>
      <c r="D454" s="4552"/>
      <c r="E454" s="4561"/>
      <c r="F454" s="4552" t="s">
        <v>5125</v>
      </c>
      <c r="G454" s="4552" t="s">
        <v>7358</v>
      </c>
    </row>
    <row r="455" spans="1:7" ht="31.5" customHeight="1">
      <c r="A455" s="4588"/>
      <c r="B455" s="4542" t="s">
        <v>7549</v>
      </c>
      <c r="C455" s="15281">
        <v>200000</v>
      </c>
      <c r="D455" s="15273"/>
      <c r="E455" s="4564" t="s">
        <v>7550</v>
      </c>
      <c r="F455" s="15273" t="s">
        <v>5125</v>
      </c>
      <c r="G455" s="15273" t="s">
        <v>7358</v>
      </c>
    </row>
    <row r="456" spans="1:7" ht="7.5" customHeight="1" thickBot="1">
      <c r="A456" s="4589"/>
      <c r="B456" s="4545"/>
      <c r="C456" s="15282"/>
      <c r="D456" s="15275"/>
      <c r="E456" s="4552"/>
      <c r="F456" s="15275"/>
      <c r="G456" s="15275"/>
    </row>
    <row r="457" spans="1:7" ht="28.5" customHeight="1" thickBot="1">
      <c r="A457" s="4569"/>
      <c r="B457" s="4578" t="s">
        <v>7551</v>
      </c>
      <c r="C457" s="4682"/>
      <c r="D457" s="4552"/>
      <c r="E457" s="4561"/>
      <c r="F457" s="4552"/>
      <c r="G457" s="4552"/>
    </row>
    <row r="458" spans="1:7" ht="39.75" customHeight="1">
      <c r="A458" s="4588"/>
      <c r="B458" s="4574" t="s">
        <v>7552</v>
      </c>
      <c r="C458" s="4683" t="s">
        <v>7553</v>
      </c>
      <c r="D458" s="4564" t="s">
        <v>7554</v>
      </c>
      <c r="E458" s="4564" t="s">
        <v>7555</v>
      </c>
      <c r="F458" s="4564" t="s">
        <v>5125</v>
      </c>
      <c r="G458" s="4564" t="s">
        <v>7358</v>
      </c>
    </row>
    <row r="459" spans="1:7" ht="16.5" customHeight="1">
      <c r="A459" s="4595"/>
      <c r="B459" s="4543" t="s">
        <v>7516</v>
      </c>
      <c r="C459" s="4684" t="s">
        <v>2544</v>
      </c>
      <c r="D459" s="4544">
        <v>30</v>
      </c>
      <c r="E459" s="4544" t="s">
        <v>7556</v>
      </c>
      <c r="F459" s="4544"/>
      <c r="G459" s="4544"/>
    </row>
    <row r="460" spans="1:7">
      <c r="A460" s="4595"/>
      <c r="B460" s="4543" t="s">
        <v>7557</v>
      </c>
      <c r="C460" s="4684" t="s">
        <v>2544</v>
      </c>
      <c r="D460" s="4544">
        <v>30</v>
      </c>
      <c r="E460" s="4544" t="s">
        <v>7556</v>
      </c>
      <c r="F460" s="4544"/>
      <c r="G460" s="4544"/>
    </row>
    <row r="461" spans="1:7">
      <c r="A461" s="4595"/>
      <c r="B461" s="4543" t="s">
        <v>7518</v>
      </c>
      <c r="C461" s="4684" t="s">
        <v>2544</v>
      </c>
      <c r="D461" s="4544">
        <v>30</v>
      </c>
      <c r="E461" s="4544" t="s">
        <v>7556</v>
      </c>
      <c r="F461" s="4544"/>
      <c r="G461" s="4544"/>
    </row>
    <row r="462" spans="1:7">
      <c r="A462" s="4595"/>
      <c r="B462" s="4543" t="s">
        <v>7519</v>
      </c>
      <c r="C462" s="4684" t="s">
        <v>2544</v>
      </c>
      <c r="D462" s="4544">
        <v>30</v>
      </c>
      <c r="E462" s="4544" t="s">
        <v>7556</v>
      </c>
      <c r="F462" s="4544"/>
      <c r="G462" s="4544"/>
    </row>
    <row r="463" spans="1:7">
      <c r="A463" s="4595"/>
      <c r="B463" s="4543" t="s">
        <v>7520</v>
      </c>
      <c r="C463" s="4684" t="s">
        <v>2544</v>
      </c>
      <c r="D463" s="4544">
        <v>30</v>
      </c>
      <c r="E463" s="4544" t="s">
        <v>7556</v>
      </c>
      <c r="F463" s="4544"/>
      <c r="G463" s="4544"/>
    </row>
    <row r="464" spans="1:7">
      <c r="A464" s="4595"/>
      <c r="B464" s="4543" t="s">
        <v>7558</v>
      </c>
      <c r="C464" s="4684" t="s">
        <v>2544</v>
      </c>
      <c r="D464" s="4544">
        <v>30</v>
      </c>
      <c r="E464" s="4544" t="s">
        <v>7556</v>
      </c>
      <c r="F464" s="4544"/>
      <c r="G464" s="4544"/>
    </row>
    <row r="465" spans="1:7" ht="13.8" thickBot="1">
      <c r="A465" s="4589"/>
      <c r="B465" s="4545" t="s">
        <v>7559</v>
      </c>
      <c r="C465" s="4682" t="s">
        <v>2544</v>
      </c>
      <c r="D465" s="4552">
        <v>30</v>
      </c>
      <c r="E465" s="4552" t="s">
        <v>7556</v>
      </c>
      <c r="F465" s="4552"/>
      <c r="G465" s="4552"/>
    </row>
    <row r="466" spans="1:7">
      <c r="A466" s="4641"/>
      <c r="B466" s="4642"/>
      <c r="C466" s="4679"/>
      <c r="D466" s="4643"/>
      <c r="E466" s="4643"/>
      <c r="F466" s="4643"/>
      <c r="G466" s="4643"/>
    </row>
    <row r="467" spans="1:7">
      <c r="A467" s="4636"/>
      <c r="B467" s="4626"/>
      <c r="C467" s="4673"/>
      <c r="D467" s="4538"/>
      <c r="E467" s="4538"/>
      <c r="F467" s="4538"/>
      <c r="G467" s="4538"/>
    </row>
    <row r="468" spans="1:7">
      <c r="A468" s="4636"/>
      <c r="B468" s="4626"/>
      <c r="C468" s="4673"/>
      <c r="D468" s="4538"/>
      <c r="E468" s="4538"/>
      <c r="F468" s="4538"/>
      <c r="G468" s="4538"/>
    </row>
    <row r="469" spans="1:7">
      <c r="A469" s="4636"/>
      <c r="B469" s="4626"/>
      <c r="C469" s="4673"/>
      <c r="D469" s="4538"/>
      <c r="E469" s="4538"/>
      <c r="F469" s="4538"/>
      <c r="G469" s="4538"/>
    </row>
    <row r="470" spans="1:7">
      <c r="A470" s="4636"/>
      <c r="B470" s="4626"/>
      <c r="C470" s="4673"/>
      <c r="D470" s="4538"/>
      <c r="E470" s="4538"/>
      <c r="F470" s="4538"/>
      <c r="G470" s="4538"/>
    </row>
    <row r="471" spans="1:7">
      <c r="A471" s="4636"/>
      <c r="B471" s="4626"/>
      <c r="C471" s="4673"/>
      <c r="D471" s="4538"/>
      <c r="E471" s="4538"/>
      <c r="F471" s="4538"/>
      <c r="G471" s="4538"/>
    </row>
    <row r="472" spans="1:7">
      <c r="A472" s="4636"/>
      <c r="B472" s="4626"/>
      <c r="C472" s="4673"/>
      <c r="D472" s="4538"/>
      <c r="E472" s="4538"/>
      <c r="F472" s="4538"/>
      <c r="G472" s="4538"/>
    </row>
    <row r="473" spans="1:7">
      <c r="A473" s="4636"/>
      <c r="B473" s="4626"/>
      <c r="C473" s="4673"/>
      <c r="D473" s="4538"/>
      <c r="E473" s="4538"/>
      <c r="F473" s="4538"/>
      <c r="G473" s="4538"/>
    </row>
    <row r="474" spans="1:7" ht="13.8" thickBot="1">
      <c r="A474" s="4645"/>
      <c r="B474" s="4646"/>
      <c r="C474" s="4680"/>
      <c r="D474" s="4637"/>
      <c r="E474" s="4637"/>
      <c r="F474" s="4637"/>
      <c r="G474" s="4637"/>
    </row>
    <row r="475" spans="1:7" ht="28.5" customHeight="1" thickBot="1">
      <c r="A475" s="4594" t="s">
        <v>2056</v>
      </c>
      <c r="B475" s="4539" t="s">
        <v>2540</v>
      </c>
      <c r="C475" s="4692" t="s">
        <v>1736</v>
      </c>
      <c r="D475" s="4540" t="s">
        <v>1760</v>
      </c>
      <c r="E475" s="4540" t="s">
        <v>1764</v>
      </c>
      <c r="F475" s="15347" t="s">
        <v>2541</v>
      </c>
      <c r="G475" s="15348"/>
    </row>
    <row r="476" spans="1:7" ht="15" customHeight="1" thickBot="1">
      <c r="A476" s="4545"/>
      <c r="B476" s="4541"/>
      <c r="C476" s="4678"/>
      <c r="D476" s="4565"/>
      <c r="E476" s="4565"/>
      <c r="F476" s="4705" t="s">
        <v>1789</v>
      </c>
      <c r="G476" s="4705" t="s">
        <v>1790</v>
      </c>
    </row>
    <row r="477" spans="1:7" ht="15" customHeight="1">
      <c r="A477" s="4595"/>
      <c r="B477" s="15321" t="s">
        <v>8448</v>
      </c>
      <c r="C477" s="15301"/>
      <c r="D477" s="15274" t="s">
        <v>7560</v>
      </c>
      <c r="E477" s="4544" t="s">
        <v>7561</v>
      </c>
      <c r="F477" s="15274" t="s">
        <v>5125</v>
      </c>
      <c r="G477" s="15274" t="s">
        <v>7358</v>
      </c>
    </row>
    <row r="478" spans="1:7" ht="15" customHeight="1">
      <c r="A478" s="4595"/>
      <c r="B478" s="15321"/>
      <c r="C478" s="15301"/>
      <c r="D478" s="15274"/>
      <c r="E478" s="4544" t="s">
        <v>1809</v>
      </c>
      <c r="F478" s="15274"/>
      <c r="G478" s="15274"/>
    </row>
    <row r="479" spans="1:7" ht="5.25" customHeight="1" thickBot="1">
      <c r="A479" s="4589"/>
      <c r="B479" s="4575"/>
      <c r="C479" s="15282"/>
      <c r="D479" s="15275"/>
      <c r="E479" s="4585"/>
      <c r="F479" s="15275"/>
      <c r="G479" s="15275"/>
    </row>
    <row r="480" spans="1:7" ht="28.5" customHeight="1">
      <c r="A480" s="4588"/>
      <c r="B480" s="4574" t="s">
        <v>8449</v>
      </c>
      <c r="C480" s="4683"/>
      <c r="D480" s="4564" t="s">
        <v>7562</v>
      </c>
      <c r="E480" s="4564" t="s">
        <v>7563</v>
      </c>
      <c r="F480" s="4564" t="s">
        <v>5125</v>
      </c>
      <c r="G480" s="4564" t="s">
        <v>7358</v>
      </c>
    </row>
    <row r="481" spans="1:7" ht="12.75" customHeight="1">
      <c r="A481" s="4595"/>
      <c r="B481" s="4543" t="s">
        <v>7564</v>
      </c>
      <c r="C481" s="4684"/>
      <c r="D481" s="4544"/>
      <c r="E481" s="4544" t="s">
        <v>7556</v>
      </c>
      <c r="F481" s="4544"/>
      <c r="G481" s="4544"/>
    </row>
    <row r="482" spans="1:7" ht="12.75" customHeight="1">
      <c r="A482" s="4595"/>
      <c r="B482" s="4543" t="s">
        <v>7516</v>
      </c>
      <c r="C482" s="4684"/>
      <c r="D482" s="4544">
        <v>1</v>
      </c>
      <c r="E482" s="4544" t="s">
        <v>7556</v>
      </c>
      <c r="F482" s="4544"/>
      <c r="G482" s="4544"/>
    </row>
    <row r="483" spans="1:7" ht="12.75" customHeight="1">
      <c r="A483" s="4595"/>
      <c r="B483" s="4543" t="s">
        <v>7517</v>
      </c>
      <c r="C483" s="4684"/>
      <c r="D483" s="4544">
        <v>1</v>
      </c>
      <c r="E483" s="4544" t="s">
        <v>7556</v>
      </c>
      <c r="F483" s="4544"/>
      <c r="G483" s="4544"/>
    </row>
    <row r="484" spans="1:7" ht="12.75" customHeight="1">
      <c r="A484" s="4595"/>
      <c r="B484" s="4543" t="s">
        <v>7518</v>
      </c>
      <c r="C484" s="4684"/>
      <c r="D484" s="4544">
        <v>1</v>
      </c>
      <c r="E484" s="4544" t="s">
        <v>7556</v>
      </c>
      <c r="F484" s="4595"/>
      <c r="G484" s="4595"/>
    </row>
    <row r="485" spans="1:7" ht="12.75" customHeight="1">
      <c r="A485" s="4595"/>
      <c r="B485" s="4543" t="s">
        <v>7519</v>
      </c>
      <c r="C485" s="4684"/>
      <c r="D485" s="4544">
        <v>1</v>
      </c>
      <c r="E485" s="4544" t="s">
        <v>7556</v>
      </c>
      <c r="F485" s="4544"/>
      <c r="G485" s="4544"/>
    </row>
    <row r="486" spans="1:7" ht="12.75" customHeight="1" thickBot="1">
      <c r="A486" s="4589"/>
      <c r="B486" s="4545" t="s">
        <v>7565</v>
      </c>
      <c r="C486" s="4682"/>
      <c r="D486" s="4552">
        <v>1</v>
      </c>
      <c r="E486" s="4552" t="s">
        <v>7556</v>
      </c>
      <c r="F486" s="4552"/>
      <c r="G486" s="4552"/>
    </row>
    <row r="487" spans="1:7" ht="17.25" customHeight="1" thickBot="1">
      <c r="A487" s="4569"/>
      <c r="B487" s="4578" t="s">
        <v>7566</v>
      </c>
      <c r="C487" s="4682"/>
      <c r="D487" s="4592"/>
      <c r="E487" s="4596"/>
      <c r="F487" s="4552"/>
      <c r="G487" s="4552"/>
    </row>
    <row r="488" spans="1:7" ht="42" customHeight="1">
      <c r="A488" s="4588"/>
      <c r="B488" s="4574" t="s">
        <v>7567</v>
      </c>
      <c r="C488" s="4683" t="s">
        <v>7568</v>
      </c>
      <c r="D488" s="4564" t="s">
        <v>8450</v>
      </c>
      <c r="E488" s="4564" t="s">
        <v>7569</v>
      </c>
      <c r="F488" s="4564" t="s">
        <v>5125</v>
      </c>
      <c r="G488" s="4564" t="s">
        <v>7358</v>
      </c>
    </row>
    <row r="489" spans="1:7" ht="13.5" customHeight="1">
      <c r="A489" s="4595"/>
      <c r="B489" s="4543" t="s">
        <v>7516</v>
      </c>
      <c r="C489" s="4684"/>
      <c r="D489" s="4544">
        <v>5</v>
      </c>
      <c r="E489" s="4544" t="s">
        <v>7556</v>
      </c>
      <c r="F489" s="4544"/>
      <c r="G489" s="4544"/>
    </row>
    <row r="490" spans="1:7" ht="13.5" customHeight="1">
      <c r="A490" s="4595"/>
      <c r="B490" s="4543" t="s">
        <v>7517</v>
      </c>
      <c r="C490" s="4684"/>
      <c r="D490" s="4544">
        <v>5</v>
      </c>
      <c r="E490" s="4544" t="s">
        <v>7556</v>
      </c>
      <c r="F490" s="4544"/>
      <c r="G490" s="4544"/>
    </row>
    <row r="491" spans="1:7" ht="13.5" customHeight="1">
      <c r="A491" s="4595"/>
      <c r="B491" s="4543" t="s">
        <v>7518</v>
      </c>
      <c r="C491" s="4684"/>
      <c r="D491" s="4544">
        <v>5</v>
      </c>
      <c r="E491" s="4544" t="s">
        <v>7556</v>
      </c>
      <c r="F491" s="4544"/>
      <c r="G491" s="4544"/>
    </row>
    <row r="492" spans="1:7" ht="13.5" customHeight="1">
      <c r="A492" s="4595"/>
      <c r="B492" s="4543" t="s">
        <v>7519</v>
      </c>
      <c r="C492" s="4684"/>
      <c r="D492" s="4544">
        <v>5</v>
      </c>
      <c r="E492" s="4544" t="s">
        <v>7556</v>
      </c>
      <c r="F492" s="4544"/>
      <c r="G492" s="4544"/>
    </row>
    <row r="493" spans="1:7" ht="13.5" customHeight="1">
      <c r="A493" s="4595"/>
      <c r="B493" s="4543" t="s">
        <v>7520</v>
      </c>
      <c r="C493" s="4684"/>
      <c r="D493" s="4544">
        <v>5</v>
      </c>
      <c r="E493" s="4544" t="s">
        <v>7556</v>
      </c>
      <c r="F493" s="4544"/>
      <c r="G493" s="4544"/>
    </row>
    <row r="494" spans="1:7" ht="13.5" customHeight="1" thickBot="1">
      <c r="A494" s="4589"/>
      <c r="B494" s="4545" t="s">
        <v>7570</v>
      </c>
      <c r="C494" s="4682"/>
      <c r="D494" s="4552">
        <v>5</v>
      </c>
      <c r="E494" s="4552" t="s">
        <v>7556</v>
      </c>
      <c r="F494" s="4552"/>
      <c r="G494" s="4552"/>
    </row>
    <row r="495" spans="1:7" ht="42" customHeight="1">
      <c r="A495" s="4588"/>
      <c r="B495" s="4574" t="s">
        <v>8451</v>
      </c>
      <c r="C495" s="4683" t="s">
        <v>7568</v>
      </c>
      <c r="D495" s="4564" t="s">
        <v>7571</v>
      </c>
      <c r="E495" s="4564" t="s">
        <v>7572</v>
      </c>
      <c r="F495" s="4564" t="s">
        <v>5125</v>
      </c>
      <c r="G495" s="4564" t="s">
        <v>7358</v>
      </c>
    </row>
    <row r="496" spans="1:7" ht="16.5" customHeight="1">
      <c r="A496" s="4595"/>
      <c r="B496" s="4543" t="s">
        <v>7573</v>
      </c>
      <c r="C496" s="4684"/>
      <c r="D496" s="4544"/>
      <c r="E496" s="4544" t="s">
        <v>7556</v>
      </c>
      <c r="F496" s="4544"/>
      <c r="G496" s="4544"/>
    </row>
    <row r="497" spans="1:7">
      <c r="A497" s="4595"/>
      <c r="B497" s="4543" t="s">
        <v>7517</v>
      </c>
      <c r="C497" s="4684"/>
      <c r="D497" s="4544"/>
      <c r="E497" s="4544" t="s">
        <v>7556</v>
      </c>
      <c r="F497" s="4544"/>
      <c r="G497" s="4544"/>
    </row>
    <row r="498" spans="1:7">
      <c r="A498" s="4595"/>
      <c r="B498" s="4543" t="s">
        <v>7518</v>
      </c>
      <c r="C498" s="4684"/>
      <c r="D498" s="4544"/>
      <c r="E498" s="4544" t="s">
        <v>7556</v>
      </c>
      <c r="F498" s="4544"/>
      <c r="G498" s="4544"/>
    </row>
    <row r="499" spans="1:7">
      <c r="A499" s="4595"/>
      <c r="B499" s="4543" t="s">
        <v>7519</v>
      </c>
      <c r="C499" s="4684"/>
      <c r="D499" s="4544"/>
      <c r="E499" s="4544" t="s">
        <v>7574</v>
      </c>
      <c r="F499" s="4544"/>
      <c r="G499" s="4544"/>
    </row>
    <row r="500" spans="1:7">
      <c r="A500" s="4595"/>
      <c r="B500" s="4543" t="s">
        <v>7520</v>
      </c>
      <c r="C500" s="4684"/>
      <c r="D500" s="4544"/>
      <c r="E500" s="4544" t="s">
        <v>7556</v>
      </c>
      <c r="F500" s="4544"/>
      <c r="G500" s="4544"/>
    </row>
    <row r="501" spans="1:7" ht="19.5" customHeight="1" thickBot="1">
      <c r="A501" s="4589"/>
      <c r="B501" s="4545" t="s">
        <v>7558</v>
      </c>
      <c r="C501" s="4682"/>
      <c r="D501" s="4552"/>
      <c r="E501" s="4552" t="s">
        <v>7556</v>
      </c>
      <c r="F501" s="4552"/>
      <c r="G501" s="4552"/>
    </row>
    <row r="502" spans="1:7" ht="30.75" customHeight="1" thickBot="1">
      <c r="A502" s="4569"/>
      <c r="B502" s="4578" t="s">
        <v>7576</v>
      </c>
      <c r="C502" s="4682"/>
      <c r="D502" s="4552"/>
      <c r="E502" s="4561"/>
      <c r="F502" s="4552" t="s">
        <v>7575</v>
      </c>
      <c r="G502" s="4552" t="s">
        <v>7358</v>
      </c>
    </row>
    <row r="503" spans="1:7" ht="42.75" customHeight="1">
      <c r="A503" s="4588"/>
      <c r="B503" s="4574" t="s">
        <v>8452</v>
      </c>
      <c r="C503" s="15281">
        <v>100000</v>
      </c>
      <c r="D503" s="15273"/>
      <c r="E503" s="4564" t="s">
        <v>7577</v>
      </c>
      <c r="F503" s="15273" t="s">
        <v>7575</v>
      </c>
      <c r="G503" s="15273" t="s">
        <v>7358</v>
      </c>
    </row>
    <row r="504" spans="1:7" ht="4.5" customHeight="1" thickBot="1">
      <c r="A504" s="4589"/>
      <c r="B504" s="4575"/>
      <c r="C504" s="15282"/>
      <c r="D504" s="15275"/>
      <c r="E504" s="4552"/>
      <c r="F504" s="15275"/>
      <c r="G504" s="15275"/>
    </row>
    <row r="505" spans="1:7" ht="15.75" customHeight="1">
      <c r="A505" s="4588"/>
      <c r="B505" s="4542" t="s">
        <v>7578</v>
      </c>
      <c r="C505" s="4683"/>
      <c r="D505" s="4564"/>
      <c r="E505" s="4564" t="s">
        <v>7556</v>
      </c>
      <c r="F505" s="4564"/>
      <c r="G505" s="4564"/>
    </row>
    <row r="506" spans="1:7" ht="15.75" customHeight="1">
      <c r="A506" s="4595"/>
      <c r="B506" s="4543" t="s">
        <v>7516</v>
      </c>
      <c r="C506" s="4684"/>
      <c r="D506" s="4544"/>
      <c r="E506" s="4544" t="s">
        <v>7556</v>
      </c>
      <c r="F506" s="4544"/>
      <c r="G506" s="4544"/>
    </row>
    <row r="507" spans="1:7" ht="15.75" customHeight="1">
      <c r="A507" s="4595"/>
      <c r="B507" s="4543" t="s">
        <v>7518</v>
      </c>
      <c r="C507" s="4684"/>
      <c r="D507" s="4544"/>
      <c r="E507" s="4544" t="s">
        <v>7556</v>
      </c>
      <c r="F507" s="4544"/>
      <c r="G507" s="4544"/>
    </row>
    <row r="508" spans="1:7" ht="15.75" customHeight="1" thickBot="1">
      <c r="A508" s="4589"/>
      <c r="B508" s="4545" t="s">
        <v>7517</v>
      </c>
      <c r="C508" s="4682"/>
      <c r="D508" s="4552"/>
      <c r="E508" s="4552" t="s">
        <v>7556</v>
      </c>
      <c r="F508" s="4552"/>
      <c r="G508" s="4552"/>
    </row>
    <row r="509" spans="1:7" ht="30" customHeight="1">
      <c r="A509" s="4588"/>
      <c r="B509" s="4574" t="s">
        <v>8455</v>
      </c>
      <c r="C509" s="15281">
        <v>100000</v>
      </c>
      <c r="D509" s="15273" t="s">
        <v>8453</v>
      </c>
      <c r="E509" s="4564" t="s">
        <v>8454</v>
      </c>
      <c r="F509" s="15273" t="s">
        <v>7575</v>
      </c>
      <c r="G509" s="15273" t="s">
        <v>7358</v>
      </c>
    </row>
    <row r="510" spans="1:7" ht="3.75" customHeight="1" thickBot="1">
      <c r="A510" s="4589"/>
      <c r="B510" s="4575"/>
      <c r="C510" s="15282"/>
      <c r="D510" s="15275"/>
      <c r="E510" s="4552"/>
      <c r="F510" s="15275"/>
      <c r="G510" s="15275"/>
    </row>
    <row r="511" spans="1:7" ht="28.5" customHeight="1" thickBot="1">
      <c r="A511" s="4569"/>
      <c r="B511" s="4570" t="s">
        <v>7579</v>
      </c>
      <c r="C511" s="4682"/>
      <c r="D511" s="4552"/>
      <c r="E511" s="4561"/>
      <c r="F511" s="4552" t="s">
        <v>7575</v>
      </c>
      <c r="G511" s="4552" t="s">
        <v>7358</v>
      </c>
    </row>
    <row r="512" spans="1:7" ht="30.75" customHeight="1">
      <c r="A512" s="4588"/>
      <c r="B512" s="4542" t="s">
        <v>7580</v>
      </c>
      <c r="C512" s="15281"/>
      <c r="D512" s="15273" t="s">
        <v>7581</v>
      </c>
      <c r="E512" s="4564" t="s">
        <v>7582</v>
      </c>
      <c r="F512" s="15273" t="s">
        <v>7575</v>
      </c>
      <c r="G512" s="15273" t="s">
        <v>7358</v>
      </c>
    </row>
    <row r="513" spans="1:7" ht="7.5" customHeight="1" thickBot="1">
      <c r="A513" s="4589"/>
      <c r="B513" s="4545"/>
      <c r="C513" s="15282"/>
      <c r="D513" s="15275"/>
      <c r="E513" s="4552"/>
      <c r="F513" s="15275"/>
      <c r="G513" s="15275"/>
    </row>
    <row r="514" spans="1:7" ht="28.5" customHeight="1" thickBot="1">
      <c r="A514" s="4569"/>
      <c r="B514" s="4570" t="s">
        <v>8822</v>
      </c>
      <c r="C514" s="4682"/>
      <c r="D514" s="4552"/>
      <c r="E514" s="4561" t="s">
        <v>7583</v>
      </c>
      <c r="F514" s="4552" t="s">
        <v>7575</v>
      </c>
      <c r="G514" s="4552" t="s">
        <v>7358</v>
      </c>
    </row>
    <row r="515" spans="1:7" ht="27.75" customHeight="1" thickBot="1">
      <c r="A515" s="4588"/>
      <c r="B515" s="4542" t="s">
        <v>7584</v>
      </c>
      <c r="C515" s="4683"/>
      <c r="D515" s="4564" t="s">
        <v>7585</v>
      </c>
      <c r="E515" s="4564"/>
      <c r="F515" s="4588" t="s">
        <v>7575</v>
      </c>
      <c r="G515" s="4588" t="s">
        <v>7358</v>
      </c>
    </row>
    <row r="516" spans="1:7" ht="32.25" customHeight="1">
      <c r="A516" s="4588"/>
      <c r="B516" s="4542" t="s">
        <v>7586</v>
      </c>
      <c r="C516" s="15281"/>
      <c r="D516" s="15273" t="s">
        <v>7585</v>
      </c>
      <c r="E516" s="4564"/>
      <c r="F516" s="15273" t="s">
        <v>7575</v>
      </c>
      <c r="G516" s="15273" t="s">
        <v>7358</v>
      </c>
    </row>
    <row r="517" spans="1:7" ht="3" customHeight="1" thickBot="1">
      <c r="A517" s="4589"/>
      <c r="B517" s="4545"/>
      <c r="C517" s="15282"/>
      <c r="D517" s="15275"/>
      <c r="E517" s="4552"/>
      <c r="F517" s="15275"/>
      <c r="G517" s="15275"/>
    </row>
    <row r="518" spans="1:7" ht="23.25" customHeight="1">
      <c r="A518" s="4588"/>
      <c r="B518" s="4542" t="s">
        <v>7587</v>
      </c>
      <c r="C518" s="15281"/>
      <c r="D518" s="15273" t="s">
        <v>7588</v>
      </c>
      <c r="E518" s="4564"/>
      <c r="F518" s="15273" t="s">
        <v>7575</v>
      </c>
      <c r="G518" s="15273" t="s">
        <v>7358</v>
      </c>
    </row>
    <row r="519" spans="1:7" ht="2.25" customHeight="1" thickBot="1">
      <c r="A519" s="4589"/>
      <c r="B519" s="4545"/>
      <c r="C519" s="15282"/>
      <c r="D519" s="15275"/>
      <c r="E519" s="4552"/>
      <c r="F519" s="15275"/>
      <c r="G519" s="15275"/>
    </row>
    <row r="520" spans="1:7" ht="27" customHeight="1">
      <c r="A520" s="4588"/>
      <c r="B520" s="4542" t="s">
        <v>7589</v>
      </c>
      <c r="C520" s="15281"/>
      <c r="D520" s="15273" t="s">
        <v>7590</v>
      </c>
      <c r="E520" s="4564"/>
      <c r="F520" s="15273" t="s">
        <v>7575</v>
      </c>
      <c r="G520" s="15273" t="s">
        <v>7358</v>
      </c>
    </row>
    <row r="521" spans="1:7" ht="2.25" customHeight="1" thickBot="1">
      <c r="A521" s="4589"/>
      <c r="B521" s="4545"/>
      <c r="C521" s="15282"/>
      <c r="D521" s="15275"/>
      <c r="E521" s="4552"/>
      <c r="F521" s="15275"/>
      <c r="G521" s="15275"/>
    </row>
    <row r="522" spans="1:7" ht="29.25" customHeight="1" thickBot="1">
      <c r="A522" s="4588"/>
      <c r="B522" s="4542" t="s">
        <v>7591</v>
      </c>
      <c r="C522" s="4704"/>
      <c r="D522" s="4588" t="s">
        <v>7592</v>
      </c>
      <c r="E522" s="4564"/>
      <c r="F522" s="4588" t="s">
        <v>7575</v>
      </c>
      <c r="G522" s="4588" t="s">
        <v>7358</v>
      </c>
    </row>
    <row r="523" spans="1:7" ht="14.25" customHeight="1">
      <c r="A523" s="4641"/>
      <c r="B523" s="4642"/>
      <c r="C523" s="4706"/>
      <c r="D523" s="4641"/>
      <c r="E523" s="4643"/>
      <c r="F523" s="4641"/>
      <c r="G523" s="4641"/>
    </row>
    <row r="524" spans="1:7" ht="14.25" customHeight="1">
      <c r="A524" s="4636"/>
      <c r="B524" s="4626"/>
      <c r="C524" s="4673"/>
      <c r="D524" s="4538"/>
      <c r="E524" s="4538"/>
      <c r="F524" s="4538"/>
      <c r="G524" s="4538"/>
    </row>
    <row r="525" spans="1:7" ht="14.25" customHeight="1">
      <c r="A525" s="4636"/>
      <c r="B525" s="4626"/>
      <c r="C525" s="4673"/>
      <c r="D525" s="4538"/>
      <c r="E525" s="4538"/>
      <c r="F525" s="4538"/>
      <c r="G525" s="4538"/>
    </row>
    <row r="526" spans="1:7" ht="14.25" customHeight="1">
      <c r="A526" s="4636"/>
      <c r="B526" s="4626"/>
      <c r="C526" s="4673"/>
      <c r="D526" s="4538"/>
      <c r="E526" s="4538"/>
      <c r="F526" s="4538"/>
      <c r="G526" s="4538"/>
    </row>
    <row r="527" spans="1:7" ht="14.25" customHeight="1">
      <c r="A527" s="4636"/>
      <c r="B527" s="4626"/>
      <c r="C527" s="4673"/>
      <c r="D527" s="4538"/>
      <c r="E527" s="4538"/>
      <c r="F527" s="4538"/>
      <c r="G527" s="4538"/>
    </row>
    <row r="528" spans="1:7" ht="14.25" customHeight="1">
      <c r="A528" s="4636"/>
      <c r="B528" s="4626"/>
      <c r="C528" s="4673"/>
      <c r="D528" s="4538"/>
      <c r="E528" s="4538"/>
      <c r="F528" s="4538"/>
      <c r="G528" s="4538"/>
    </row>
    <row r="529" spans="1:7" ht="14.25" customHeight="1" thickBot="1">
      <c r="A529" s="4645"/>
      <c r="B529" s="4646"/>
      <c r="C529" s="4680"/>
      <c r="D529" s="4637"/>
      <c r="E529" s="4637"/>
      <c r="F529" s="4637"/>
      <c r="G529" s="4637"/>
    </row>
    <row r="530" spans="1:7" ht="28.5" customHeight="1" thickBot="1">
      <c r="A530" s="4594" t="s">
        <v>2056</v>
      </c>
      <c r="B530" s="4539" t="s">
        <v>2540</v>
      </c>
      <c r="C530" s="4692" t="s">
        <v>1736</v>
      </c>
      <c r="D530" s="4540" t="s">
        <v>1760</v>
      </c>
      <c r="E530" s="4540" t="s">
        <v>1764</v>
      </c>
      <c r="F530" s="15294" t="s">
        <v>2541</v>
      </c>
      <c r="G530" s="15295"/>
    </row>
    <row r="531" spans="1:7" ht="15" customHeight="1" thickBot="1">
      <c r="A531" s="4545"/>
      <c r="B531" s="4541"/>
      <c r="C531" s="4678"/>
      <c r="D531" s="4565"/>
      <c r="E531" s="4565"/>
      <c r="F531" s="4705" t="s">
        <v>1789</v>
      </c>
      <c r="G531" s="4705" t="s">
        <v>1790</v>
      </c>
    </row>
    <row r="532" spans="1:7" ht="30" customHeight="1" thickBot="1">
      <c r="A532" s="4569"/>
      <c r="B532" s="4570" t="s">
        <v>7593</v>
      </c>
      <c r="C532" s="4682"/>
      <c r="D532" s="4552" t="s">
        <v>7594</v>
      </c>
      <c r="E532" s="4561"/>
      <c r="F532" s="4552" t="s">
        <v>7575</v>
      </c>
      <c r="G532" s="4552" t="s">
        <v>7358</v>
      </c>
    </row>
    <row r="533" spans="1:7" ht="18" customHeight="1">
      <c r="A533" s="4588"/>
      <c r="B533" s="15265" t="s">
        <v>7595</v>
      </c>
      <c r="C533" s="15281"/>
      <c r="D533" s="15273" t="s">
        <v>7596</v>
      </c>
      <c r="E533" s="4564"/>
      <c r="F533" s="15273" t="s">
        <v>7575</v>
      </c>
      <c r="G533" s="15273" t="s">
        <v>7358</v>
      </c>
    </row>
    <row r="534" spans="1:7" ht="9" customHeight="1" thickBot="1">
      <c r="A534" s="4589"/>
      <c r="B534" s="15266"/>
      <c r="C534" s="15282"/>
      <c r="D534" s="15275"/>
      <c r="E534" s="4552"/>
      <c r="F534" s="15275"/>
      <c r="G534" s="15275"/>
    </row>
    <row r="535" spans="1:7" ht="29.25" customHeight="1">
      <c r="A535" s="4588"/>
      <c r="B535" s="4542" t="s">
        <v>7597</v>
      </c>
      <c r="C535" s="15281"/>
      <c r="D535" s="15273" t="s">
        <v>7598</v>
      </c>
      <c r="E535" s="4564"/>
      <c r="F535" s="15273" t="s">
        <v>7575</v>
      </c>
      <c r="G535" s="15273" t="s">
        <v>7358</v>
      </c>
    </row>
    <row r="536" spans="1:7" ht="3" customHeight="1" thickBot="1">
      <c r="A536" s="4589"/>
      <c r="B536" s="4545"/>
      <c r="C536" s="15282"/>
      <c r="D536" s="15275"/>
      <c r="E536" s="4552"/>
      <c r="F536" s="15275"/>
      <c r="G536" s="15275"/>
    </row>
    <row r="537" spans="1:7" ht="28.5" customHeight="1">
      <c r="A537" s="4588"/>
      <c r="B537" s="4542" t="s">
        <v>7599</v>
      </c>
      <c r="C537" s="4683"/>
      <c r="D537" s="4564" t="s">
        <v>7598</v>
      </c>
      <c r="E537" s="4564"/>
      <c r="F537" s="4564" t="s">
        <v>7575</v>
      </c>
      <c r="G537" s="4564" t="s">
        <v>7358</v>
      </c>
    </row>
    <row r="538" spans="1:7" ht="31.5" customHeight="1">
      <c r="A538" s="4595"/>
      <c r="B538" s="4543" t="s">
        <v>7516</v>
      </c>
      <c r="C538" s="4684"/>
      <c r="D538" s="4544" t="s">
        <v>8453</v>
      </c>
      <c r="E538" s="4544" t="s">
        <v>8456</v>
      </c>
      <c r="F538" s="4544" t="s">
        <v>7575</v>
      </c>
      <c r="G538" s="4544" t="s">
        <v>7358</v>
      </c>
    </row>
    <row r="539" spans="1:7" ht="16.5" customHeight="1">
      <c r="A539" s="4595"/>
      <c r="B539" s="4543" t="s">
        <v>7517</v>
      </c>
      <c r="C539" s="4684"/>
      <c r="D539" s="4544"/>
      <c r="E539" s="4544" t="s">
        <v>7556</v>
      </c>
      <c r="F539" s="4544"/>
      <c r="G539" s="4544"/>
    </row>
    <row r="540" spans="1:7">
      <c r="A540" s="4595"/>
      <c r="B540" s="4543" t="s">
        <v>7518</v>
      </c>
      <c r="C540" s="4684"/>
      <c r="D540" s="4544"/>
      <c r="E540" s="4544" t="s">
        <v>7556</v>
      </c>
      <c r="F540" s="4544"/>
      <c r="G540" s="4544"/>
    </row>
    <row r="541" spans="1:7">
      <c r="A541" s="4595"/>
      <c r="B541" s="4543" t="s">
        <v>7519</v>
      </c>
      <c r="C541" s="4684"/>
      <c r="D541" s="4544"/>
      <c r="E541" s="4544" t="s">
        <v>7556</v>
      </c>
      <c r="F541" s="4544"/>
      <c r="G541" s="4544"/>
    </row>
    <row r="542" spans="1:7">
      <c r="A542" s="4595"/>
      <c r="B542" s="4543" t="s">
        <v>7520</v>
      </c>
      <c r="C542" s="4684"/>
      <c r="D542" s="4544"/>
      <c r="E542" s="4544" t="s">
        <v>7556</v>
      </c>
      <c r="F542" s="4544"/>
      <c r="G542" s="4544"/>
    </row>
    <row r="543" spans="1:7" ht="13.5" customHeight="1">
      <c r="A543" s="4595"/>
      <c r="B543" s="4543" t="s">
        <v>7600</v>
      </c>
      <c r="C543" s="15301"/>
      <c r="D543" s="15274"/>
      <c r="E543" s="4544" t="s">
        <v>7556</v>
      </c>
      <c r="F543" s="15274"/>
      <c r="G543" s="15274"/>
    </row>
    <row r="544" spans="1:7" ht="2.25" customHeight="1" thickBot="1">
      <c r="A544" s="4589"/>
      <c r="B544" s="4545"/>
      <c r="C544" s="15282"/>
      <c r="D544" s="15275"/>
      <c r="E544" s="4552"/>
      <c r="F544" s="15275"/>
      <c r="G544" s="15275"/>
    </row>
    <row r="545" spans="1:7" ht="30" customHeight="1">
      <c r="A545" s="4588"/>
      <c r="B545" s="4574" t="s">
        <v>7601</v>
      </c>
      <c r="C545" s="15281">
        <v>675000</v>
      </c>
      <c r="D545" s="15273" t="s">
        <v>7602</v>
      </c>
      <c r="E545" s="4564" t="s">
        <v>7603</v>
      </c>
      <c r="F545" s="15273" t="s">
        <v>7575</v>
      </c>
      <c r="G545" s="15273" t="s">
        <v>7358</v>
      </c>
    </row>
    <row r="546" spans="1:7" ht="3.75" customHeight="1" thickBot="1">
      <c r="A546" s="4589"/>
      <c r="B546" s="4575"/>
      <c r="C546" s="15282"/>
      <c r="D546" s="15275"/>
      <c r="E546" s="4552"/>
      <c r="F546" s="15275"/>
      <c r="G546" s="15275"/>
    </row>
    <row r="547" spans="1:7" ht="40.5" customHeight="1" thickBot="1">
      <c r="A547" s="4588"/>
      <c r="B547" s="4574" t="s">
        <v>7604</v>
      </c>
      <c r="C547" s="4683">
        <v>25000</v>
      </c>
      <c r="D547" s="4564" t="s">
        <v>7605</v>
      </c>
      <c r="E547" s="4564" t="s">
        <v>7606</v>
      </c>
      <c r="F547" s="4564" t="s">
        <v>7575</v>
      </c>
      <c r="G547" s="4564" t="s">
        <v>7358</v>
      </c>
    </row>
    <row r="548" spans="1:7" ht="54.75" customHeight="1" thickBot="1">
      <c r="A548" s="4588"/>
      <c r="B548" s="4574" t="s">
        <v>7607</v>
      </c>
      <c r="C548" s="4683">
        <v>50000</v>
      </c>
      <c r="D548" s="4564" t="s">
        <v>2542</v>
      </c>
      <c r="E548" s="4564" t="s">
        <v>7608</v>
      </c>
      <c r="F548" s="4564" t="s">
        <v>7575</v>
      </c>
      <c r="G548" s="4564" t="s">
        <v>7358</v>
      </c>
    </row>
    <row r="549" spans="1:7" ht="27.75" customHeight="1" thickBot="1">
      <c r="A549" s="4588"/>
      <c r="B549" s="4574" t="s">
        <v>7609</v>
      </c>
      <c r="C549" s="4683">
        <v>50000</v>
      </c>
      <c r="D549" s="4564" t="s">
        <v>7605</v>
      </c>
      <c r="E549" s="4564" t="s">
        <v>8457</v>
      </c>
      <c r="F549" s="4588" t="s">
        <v>7575</v>
      </c>
      <c r="G549" s="4588" t="s">
        <v>7358</v>
      </c>
    </row>
    <row r="550" spans="1:7" ht="40.5" customHeight="1" thickBot="1">
      <c r="A550" s="4588"/>
      <c r="B550" s="4574" t="s">
        <v>7610</v>
      </c>
      <c r="C550" s="4683"/>
      <c r="D550" s="4564" t="s">
        <v>7611</v>
      </c>
      <c r="E550" s="4564" t="s">
        <v>7612</v>
      </c>
      <c r="F550" s="4564" t="s">
        <v>7575</v>
      </c>
      <c r="G550" s="4564" t="s">
        <v>7358</v>
      </c>
    </row>
    <row r="551" spans="1:7" ht="30" customHeight="1" thickBot="1">
      <c r="A551" s="4588"/>
      <c r="B551" s="4574" t="s">
        <v>7613</v>
      </c>
      <c r="C551" s="4683"/>
      <c r="D551" s="4564"/>
      <c r="E551" s="4564" t="s">
        <v>7614</v>
      </c>
      <c r="F551" s="4564" t="s">
        <v>7575</v>
      </c>
      <c r="G551" s="4564" t="s">
        <v>7358</v>
      </c>
    </row>
    <row r="552" spans="1:7" ht="28.5" customHeight="1" thickBot="1">
      <c r="A552" s="4569"/>
      <c r="B552" s="4578" t="s">
        <v>8724</v>
      </c>
      <c r="C552" s="4681"/>
      <c r="D552" s="4561"/>
      <c r="E552" s="4561" t="s">
        <v>7615</v>
      </c>
      <c r="F552" s="4561" t="s">
        <v>7575</v>
      </c>
      <c r="G552" s="4561" t="s">
        <v>7358</v>
      </c>
    </row>
    <row r="553" spans="1:7" ht="28.5" customHeight="1" thickBot="1">
      <c r="A553" s="4569"/>
      <c r="B553" s="4578" t="s">
        <v>8723</v>
      </c>
      <c r="C553" s="4682"/>
      <c r="D553" s="4552"/>
      <c r="E553" s="4561"/>
      <c r="F553" s="4552" t="s">
        <v>7575</v>
      </c>
      <c r="G553" s="4552" t="s">
        <v>7358</v>
      </c>
    </row>
    <row r="554" spans="1:7" ht="28.5" customHeight="1">
      <c r="A554" s="4588"/>
      <c r="B554" s="4542" t="s">
        <v>7616</v>
      </c>
      <c r="C554" s="15281">
        <v>50000</v>
      </c>
      <c r="D554" s="15273" t="s">
        <v>7617</v>
      </c>
      <c r="E554" s="4564" t="s">
        <v>7618</v>
      </c>
      <c r="F554" s="15273"/>
      <c r="G554" s="15273"/>
    </row>
    <row r="555" spans="1:7" ht="3.75" customHeight="1" thickBot="1">
      <c r="A555" s="4589"/>
      <c r="B555" s="4545"/>
      <c r="C555" s="15282"/>
      <c r="D555" s="15275"/>
      <c r="E555" s="4552"/>
      <c r="F555" s="15275"/>
      <c r="G555" s="15275"/>
    </row>
    <row r="556" spans="1:7" ht="28.5" customHeight="1">
      <c r="A556" s="4588"/>
      <c r="B556" s="4574" t="s">
        <v>7619</v>
      </c>
      <c r="C556" s="4684"/>
      <c r="D556" s="4544"/>
      <c r="E556" s="4564"/>
      <c r="F556" s="4544" t="s">
        <v>7575</v>
      </c>
      <c r="G556" s="4544" t="s">
        <v>7358</v>
      </c>
    </row>
    <row r="557" spans="1:7" ht="15" customHeight="1">
      <c r="A557" s="4595"/>
      <c r="B557" s="4543" t="s">
        <v>7516</v>
      </c>
      <c r="C557" s="4684"/>
      <c r="D557" s="4544"/>
      <c r="E557" s="4544"/>
      <c r="F557" s="4544"/>
      <c r="G557" s="4544"/>
    </row>
    <row r="558" spans="1:7" ht="15" customHeight="1">
      <c r="A558" s="4595"/>
      <c r="B558" s="4543" t="s">
        <v>7517</v>
      </c>
      <c r="C558" s="4684"/>
      <c r="D558" s="4544"/>
      <c r="E558" s="4544" t="s">
        <v>7556</v>
      </c>
      <c r="F558" s="4544"/>
      <c r="G558" s="4544"/>
    </row>
    <row r="559" spans="1:7" ht="15" customHeight="1">
      <c r="A559" s="4595"/>
      <c r="B559" s="4543" t="s">
        <v>7518</v>
      </c>
      <c r="C559" s="4684"/>
      <c r="D559" s="4544"/>
      <c r="E559" s="4544" t="s">
        <v>7556</v>
      </c>
      <c r="F559" s="4544"/>
      <c r="G559" s="4544"/>
    </row>
    <row r="560" spans="1:7" ht="15" customHeight="1">
      <c r="A560" s="4595"/>
      <c r="B560" s="4543" t="s">
        <v>7519</v>
      </c>
      <c r="C560" s="4684"/>
      <c r="D560" s="4544"/>
      <c r="E560" s="4544" t="s">
        <v>7556</v>
      </c>
      <c r="F560" s="4544"/>
      <c r="G560" s="4544"/>
    </row>
    <row r="561" spans="1:7" ht="15" customHeight="1">
      <c r="A561" s="4595"/>
      <c r="B561" s="4543" t="s">
        <v>7520</v>
      </c>
      <c r="C561" s="4684"/>
      <c r="D561" s="4544"/>
      <c r="E561" s="4544" t="s">
        <v>7556</v>
      </c>
      <c r="F561" s="4544"/>
      <c r="G561" s="4544"/>
    </row>
    <row r="562" spans="1:7" ht="27.75" customHeight="1" thickBot="1">
      <c r="A562" s="4595"/>
      <c r="B562" s="4543" t="s">
        <v>7620</v>
      </c>
      <c r="C562" s="4684"/>
      <c r="D562" s="4544"/>
      <c r="E562" s="4544" t="s">
        <v>7556</v>
      </c>
      <c r="F562" s="4595"/>
      <c r="G562" s="4595"/>
    </row>
    <row r="563" spans="1:7" ht="27.75" customHeight="1" thickBot="1">
      <c r="A563" s="4569"/>
      <c r="B563" s="4578" t="s">
        <v>7621</v>
      </c>
      <c r="C563" s="4681"/>
      <c r="D563" s="4561"/>
      <c r="E563" s="4561"/>
      <c r="F563" s="4561" t="s">
        <v>7575</v>
      </c>
      <c r="G563" s="4561" t="s">
        <v>7358</v>
      </c>
    </row>
    <row r="564" spans="1:7" ht="29.25" customHeight="1">
      <c r="A564" s="4588"/>
      <c r="B564" s="4574" t="s">
        <v>7622</v>
      </c>
      <c r="C564" s="4683"/>
      <c r="D564" s="4564" t="s">
        <v>7623</v>
      </c>
      <c r="E564" s="4564" t="s">
        <v>7624</v>
      </c>
      <c r="F564" s="4564" t="s">
        <v>7575</v>
      </c>
      <c r="G564" s="4564" t="s">
        <v>7358</v>
      </c>
    </row>
    <row r="565" spans="1:7" ht="14.25" customHeight="1">
      <c r="A565" s="4595"/>
      <c r="B565" s="4543" t="s">
        <v>7517</v>
      </c>
      <c r="C565" s="4684"/>
      <c r="D565" s="4544"/>
      <c r="E565" s="4544"/>
      <c r="F565" s="4544"/>
      <c r="G565" s="4544"/>
    </row>
    <row r="566" spans="1:7" ht="14.25" customHeight="1">
      <c r="A566" s="4595"/>
      <c r="B566" s="4543" t="s">
        <v>7519</v>
      </c>
      <c r="C566" s="4684"/>
      <c r="D566" s="4544"/>
      <c r="E566" s="4544" t="s">
        <v>7556</v>
      </c>
      <c r="F566" s="4544"/>
      <c r="G566" s="4544"/>
    </row>
    <row r="567" spans="1:7" ht="14.25" customHeight="1">
      <c r="A567" s="4595"/>
      <c r="B567" s="4543" t="s">
        <v>7518</v>
      </c>
      <c r="C567" s="4684"/>
      <c r="D567" s="4544"/>
      <c r="E567" s="4544" t="s">
        <v>7556</v>
      </c>
      <c r="F567" s="4544"/>
      <c r="G567" s="4544"/>
    </row>
    <row r="568" spans="1:7" ht="14.25" customHeight="1">
      <c r="A568" s="4595"/>
      <c r="B568" s="4543" t="s">
        <v>7516</v>
      </c>
      <c r="C568" s="4684"/>
      <c r="D568" s="4544"/>
      <c r="E568" s="4544" t="s">
        <v>7556</v>
      </c>
      <c r="F568" s="4544"/>
      <c r="G568" s="4544"/>
    </row>
    <row r="569" spans="1:7" ht="14.25" customHeight="1">
      <c r="A569" s="4595"/>
      <c r="B569" s="4543" t="s">
        <v>7625</v>
      </c>
      <c r="C569" s="4684"/>
      <c r="D569" s="4544"/>
      <c r="E569" s="4544" t="s">
        <v>7556</v>
      </c>
      <c r="F569" s="4544"/>
      <c r="G569" s="4544"/>
    </row>
    <row r="570" spans="1:7" ht="14.25" customHeight="1">
      <c r="A570" s="4595"/>
      <c r="B570" s="4543" t="s">
        <v>7626</v>
      </c>
      <c r="C570" s="4684"/>
      <c r="D570" s="4544"/>
      <c r="E570" s="4544" t="s">
        <v>7556</v>
      </c>
      <c r="F570" s="4544"/>
      <c r="G570" s="4544"/>
    </row>
    <row r="571" spans="1:7" ht="14.25" customHeight="1">
      <c r="A571" s="4595"/>
      <c r="B571" s="4543" t="s">
        <v>7627</v>
      </c>
      <c r="C571" s="4684"/>
      <c r="D571" s="4544"/>
      <c r="E571" s="4544" t="s">
        <v>7556</v>
      </c>
      <c r="F571" s="4544"/>
      <c r="G571" s="4544"/>
    </row>
    <row r="572" spans="1:7" ht="14.25" customHeight="1" thickBot="1">
      <c r="A572" s="4589"/>
      <c r="B572" s="4545" t="s">
        <v>7520</v>
      </c>
      <c r="C572" s="4682"/>
      <c r="D572" s="4552"/>
      <c r="E572" s="4552" t="s">
        <v>7556</v>
      </c>
      <c r="F572" s="4552"/>
      <c r="G572" s="4552"/>
    </row>
    <row r="573" spans="1:7" ht="14.25" customHeight="1">
      <c r="A573" s="4641"/>
      <c r="B573" s="4642"/>
      <c r="C573" s="4679"/>
      <c r="D573" s="4643"/>
      <c r="E573" s="4643"/>
      <c r="F573" s="4643"/>
      <c r="G573" s="4643"/>
    </row>
    <row r="574" spans="1:7" ht="14.25" customHeight="1">
      <c r="A574" s="4636"/>
      <c r="B574" s="4626"/>
      <c r="C574" s="4673"/>
      <c r="D574" s="4538"/>
      <c r="E574" s="4538"/>
      <c r="F574" s="4538"/>
      <c r="G574" s="4538"/>
    </row>
    <row r="575" spans="1:7" ht="14.25" customHeight="1">
      <c r="A575" s="4636"/>
      <c r="B575" s="4626"/>
      <c r="C575" s="4673"/>
      <c r="D575" s="4538"/>
      <c r="E575" s="4538"/>
      <c r="F575" s="4538"/>
      <c r="G575" s="4538"/>
    </row>
    <row r="576" spans="1:7" ht="14.25" customHeight="1">
      <c r="A576" s="4636"/>
      <c r="B576" s="4626"/>
      <c r="C576" s="4673"/>
      <c r="D576" s="4538"/>
      <c r="E576" s="4538"/>
      <c r="F576" s="4538"/>
      <c r="G576" s="4538"/>
    </row>
    <row r="577" spans="1:7" ht="14.25" customHeight="1">
      <c r="A577" s="4636"/>
      <c r="B577" s="4626"/>
      <c r="C577" s="4673"/>
      <c r="D577" s="4538"/>
      <c r="E577" s="4538"/>
      <c r="F577" s="4538"/>
      <c r="G577" s="4538"/>
    </row>
    <row r="578" spans="1:7" ht="14.25" customHeight="1" thickBot="1">
      <c r="A578" s="4645"/>
      <c r="B578" s="4646"/>
      <c r="C578" s="4680"/>
      <c r="D578" s="4637"/>
      <c r="E578" s="4637"/>
      <c r="F578" s="4637"/>
      <c r="G578" s="4637"/>
    </row>
    <row r="579" spans="1:7" ht="28.5" customHeight="1" thickBot="1">
      <c r="A579" s="4594" t="s">
        <v>2056</v>
      </c>
      <c r="B579" s="4539" t="s">
        <v>2540</v>
      </c>
      <c r="C579" s="4692" t="s">
        <v>1736</v>
      </c>
      <c r="D579" s="4540" t="s">
        <v>1760</v>
      </c>
      <c r="E579" s="4540" t="s">
        <v>1764</v>
      </c>
      <c r="F579" s="15294" t="s">
        <v>2541</v>
      </c>
      <c r="G579" s="15295"/>
    </row>
    <row r="580" spans="1:7" ht="15" customHeight="1" thickBot="1">
      <c r="A580" s="4545"/>
      <c r="B580" s="4541"/>
      <c r="C580" s="4678"/>
      <c r="D580" s="4565"/>
      <c r="E580" s="4565"/>
      <c r="F580" s="4705" t="s">
        <v>1789</v>
      </c>
      <c r="G580" s="4705" t="s">
        <v>1790</v>
      </c>
    </row>
    <row r="581" spans="1:7" ht="33" customHeight="1">
      <c r="A581" s="4588"/>
      <c r="B581" s="4574" t="s">
        <v>7628</v>
      </c>
      <c r="C581" s="4683"/>
      <c r="D581" s="15273" t="s">
        <v>7629</v>
      </c>
      <c r="E581" s="4564" t="s">
        <v>7630</v>
      </c>
      <c r="F581" s="4564" t="s">
        <v>7575</v>
      </c>
      <c r="G581" s="4564" t="s">
        <v>7358</v>
      </c>
    </row>
    <row r="582" spans="1:7">
      <c r="A582" s="4595"/>
      <c r="B582" s="4543" t="s">
        <v>7631</v>
      </c>
      <c r="C582" s="4684"/>
      <c r="D582" s="15274"/>
      <c r="E582" s="4544" t="s">
        <v>7556</v>
      </c>
      <c r="F582" s="4544"/>
      <c r="G582" s="4544"/>
    </row>
    <row r="583" spans="1:7">
      <c r="A583" s="4595"/>
      <c r="B583" s="4543" t="s">
        <v>7632</v>
      </c>
      <c r="C583" s="4684"/>
      <c r="D583" s="15274"/>
      <c r="E583" s="4544" t="s">
        <v>7556</v>
      </c>
      <c r="F583" s="4544"/>
      <c r="G583" s="4544"/>
    </row>
    <row r="584" spans="1:7" ht="15.75" customHeight="1">
      <c r="A584" s="4595"/>
      <c r="B584" s="4543" t="s">
        <v>7633</v>
      </c>
      <c r="C584" s="4684"/>
      <c r="D584" s="4544"/>
      <c r="E584" s="4544" t="s">
        <v>7556</v>
      </c>
      <c r="F584" s="4544"/>
      <c r="G584" s="4544"/>
    </row>
    <row r="585" spans="1:7" ht="15" customHeight="1">
      <c r="A585" s="4595"/>
      <c r="B585" s="4543" t="s">
        <v>7634</v>
      </c>
      <c r="C585" s="4684"/>
      <c r="D585" s="4544"/>
      <c r="E585" s="4544" t="s">
        <v>7556</v>
      </c>
      <c r="F585" s="4544"/>
      <c r="G585" s="4544"/>
    </row>
    <row r="586" spans="1:7" s="4597" customFormat="1" ht="15.75" customHeight="1">
      <c r="A586" s="4595"/>
      <c r="B586" s="4543" t="s">
        <v>7635</v>
      </c>
      <c r="C586" s="4684"/>
      <c r="D586" s="4544"/>
      <c r="E586" s="4544" t="s">
        <v>7556</v>
      </c>
      <c r="F586" s="4544"/>
      <c r="G586" s="4544"/>
    </row>
    <row r="587" spans="1:7" s="4597" customFormat="1" ht="15.75" customHeight="1" thickBot="1">
      <c r="A587" s="4595"/>
      <c r="B587" s="4543" t="s">
        <v>7636</v>
      </c>
      <c r="C587" s="4684"/>
      <c r="D587" s="4544"/>
      <c r="E587" s="4544" t="s">
        <v>7556</v>
      </c>
      <c r="F587" s="4544"/>
      <c r="G587" s="4544"/>
    </row>
    <row r="588" spans="1:7" ht="42" customHeight="1" thickBot="1">
      <c r="A588" s="4569"/>
      <c r="B588" s="4570" t="s">
        <v>7637</v>
      </c>
      <c r="C588" s="4681">
        <v>2900000</v>
      </c>
      <c r="D588" s="4561"/>
      <c r="E588" s="4561"/>
      <c r="F588" s="4561" t="s">
        <v>7575</v>
      </c>
      <c r="G588" s="4561" t="s">
        <v>7358</v>
      </c>
    </row>
    <row r="589" spans="1:7" ht="40.5" customHeight="1" thickBot="1">
      <c r="A589" s="4588"/>
      <c r="B589" s="4542" t="s">
        <v>7638</v>
      </c>
      <c r="C589" s="4683">
        <v>750000</v>
      </c>
      <c r="D589" s="4564" t="s">
        <v>7639</v>
      </c>
      <c r="E589" s="4564" t="s">
        <v>7640</v>
      </c>
      <c r="F589" s="4564" t="s">
        <v>5125</v>
      </c>
      <c r="G589" s="4564" t="s">
        <v>5113</v>
      </c>
    </row>
    <row r="590" spans="1:7" ht="41.25" customHeight="1" thickBot="1">
      <c r="A590" s="4588"/>
      <c r="B590" s="4542" t="s">
        <v>7641</v>
      </c>
      <c r="C590" s="4683">
        <v>1000000</v>
      </c>
      <c r="D590" s="4564" t="s">
        <v>7642</v>
      </c>
      <c r="E590" s="4564" t="s">
        <v>7643</v>
      </c>
      <c r="F590" s="4564" t="s">
        <v>5125</v>
      </c>
      <c r="G590" s="4564" t="s">
        <v>5113</v>
      </c>
    </row>
    <row r="591" spans="1:7" ht="39" customHeight="1">
      <c r="A591" s="4588"/>
      <c r="B591" s="4542" t="s">
        <v>7644</v>
      </c>
      <c r="C591" s="15281">
        <v>150000</v>
      </c>
      <c r="D591" s="15273"/>
      <c r="E591" s="4564"/>
      <c r="F591" s="15273" t="s">
        <v>5125</v>
      </c>
      <c r="G591" s="15273" t="s">
        <v>5113</v>
      </c>
    </row>
    <row r="592" spans="1:7" ht="2.25" customHeight="1" thickBot="1">
      <c r="A592" s="4589"/>
      <c r="B592" s="4545"/>
      <c r="C592" s="15282"/>
      <c r="D592" s="15275"/>
      <c r="E592" s="4552"/>
      <c r="F592" s="15275"/>
      <c r="G592" s="15275"/>
    </row>
    <row r="593" spans="1:7" ht="64.5" customHeight="1">
      <c r="A593" s="4588"/>
      <c r="B593" s="4542" t="s">
        <v>7645</v>
      </c>
      <c r="C593" s="15281">
        <v>300000</v>
      </c>
      <c r="D593" s="15273"/>
      <c r="E593" s="4564" t="s">
        <v>7646</v>
      </c>
      <c r="F593" s="15273" t="s">
        <v>5125</v>
      </c>
      <c r="G593" s="15273" t="s">
        <v>5113</v>
      </c>
    </row>
    <row r="594" spans="1:7" ht="4.5" customHeight="1" thickBot="1">
      <c r="A594" s="4589"/>
      <c r="B594" s="4545"/>
      <c r="C594" s="15282"/>
      <c r="D594" s="15275"/>
      <c r="E594" s="4552"/>
      <c r="F594" s="15275"/>
      <c r="G594" s="15275"/>
    </row>
    <row r="595" spans="1:7" ht="41.25" customHeight="1">
      <c r="A595" s="4588"/>
      <c r="B595" s="4542" t="s">
        <v>8458</v>
      </c>
      <c r="C595" s="15281">
        <v>200000</v>
      </c>
      <c r="D595" s="15273"/>
      <c r="E595" s="4564" t="s">
        <v>7647</v>
      </c>
      <c r="F595" s="15273" t="s">
        <v>5125</v>
      </c>
      <c r="G595" s="15273" t="s">
        <v>5113</v>
      </c>
    </row>
    <row r="596" spans="1:7" ht="4.5" customHeight="1" thickBot="1">
      <c r="A596" s="4589"/>
      <c r="B596" s="4545"/>
      <c r="C596" s="15282"/>
      <c r="D596" s="15275"/>
      <c r="E596" s="4552"/>
      <c r="F596" s="15275"/>
      <c r="G596" s="15275"/>
    </row>
    <row r="597" spans="1:7" ht="40.5" customHeight="1" thickBot="1">
      <c r="A597" s="4588"/>
      <c r="B597" s="4542" t="s">
        <v>7648</v>
      </c>
      <c r="C597" s="4683">
        <v>500000</v>
      </c>
      <c r="D597" s="4564"/>
      <c r="E597" s="4564" t="s">
        <v>7649</v>
      </c>
      <c r="F597" s="4564" t="s">
        <v>5125</v>
      </c>
      <c r="G597" s="4564" t="s">
        <v>5113</v>
      </c>
    </row>
    <row r="598" spans="1:7" ht="39.75" customHeight="1" thickBot="1">
      <c r="A598" s="4588"/>
      <c r="B598" s="4542" t="s">
        <v>7650</v>
      </c>
      <c r="C598" s="4683">
        <v>200000</v>
      </c>
      <c r="D598" s="4564" t="s">
        <v>7651</v>
      </c>
      <c r="E598" s="4564" t="s">
        <v>8459</v>
      </c>
      <c r="F598" s="4564" t="s">
        <v>5125</v>
      </c>
      <c r="G598" s="4564" t="s">
        <v>5113</v>
      </c>
    </row>
    <row r="599" spans="1:7" ht="28.5" customHeight="1" thickBot="1">
      <c r="A599" s="4569"/>
      <c r="B599" s="4570" t="s">
        <v>7652</v>
      </c>
      <c r="C599" s="4681"/>
      <c r="D599" s="4561"/>
      <c r="E599" s="4561"/>
      <c r="F599" s="4561" t="s">
        <v>5125</v>
      </c>
      <c r="G599" s="4561" t="s">
        <v>5113</v>
      </c>
    </row>
    <row r="600" spans="1:7" ht="26.25" customHeight="1">
      <c r="A600" s="4588"/>
      <c r="B600" s="4542" t="s">
        <v>8823</v>
      </c>
      <c r="C600" s="15281"/>
      <c r="D600" s="15273" t="s">
        <v>7653</v>
      </c>
      <c r="E600" s="4564" t="s">
        <v>8460</v>
      </c>
      <c r="F600" s="15273" t="s">
        <v>5125</v>
      </c>
      <c r="G600" s="15273" t="s">
        <v>5113</v>
      </c>
    </row>
    <row r="601" spans="1:7" ht="4.5" customHeight="1" thickBot="1">
      <c r="A601" s="4589"/>
      <c r="B601" s="4545"/>
      <c r="C601" s="15282"/>
      <c r="D601" s="15275"/>
      <c r="E601" s="4552"/>
      <c r="F601" s="15275"/>
      <c r="G601" s="15275"/>
    </row>
    <row r="602" spans="1:7" ht="29.25" customHeight="1">
      <c r="A602" s="4588"/>
      <c r="B602" s="4542" t="s">
        <v>7654</v>
      </c>
      <c r="C602" s="15281"/>
      <c r="D602" s="15273" t="s">
        <v>7655</v>
      </c>
      <c r="E602" s="4564" t="s">
        <v>7656</v>
      </c>
      <c r="F602" s="15273" t="s">
        <v>5125</v>
      </c>
      <c r="G602" s="15273" t="s">
        <v>5113</v>
      </c>
    </row>
    <row r="603" spans="1:7" ht="3" customHeight="1" thickBot="1">
      <c r="A603" s="4589"/>
      <c r="B603" s="4545"/>
      <c r="C603" s="15282"/>
      <c r="D603" s="15275"/>
      <c r="E603" s="4552"/>
      <c r="F603" s="15275"/>
      <c r="G603" s="15275"/>
    </row>
    <row r="604" spans="1:7" ht="19.5" customHeight="1" thickBot="1">
      <c r="A604" s="4569"/>
      <c r="B604" s="4570"/>
      <c r="C604" s="4682">
        <v>3200000</v>
      </c>
      <c r="D604" s="4552"/>
      <c r="E604" s="4561"/>
      <c r="F604" s="4552" t="s">
        <v>5125</v>
      </c>
      <c r="G604" s="4552" t="s">
        <v>5113</v>
      </c>
    </row>
    <row r="605" spans="1:7" ht="42.75" customHeight="1" thickBot="1">
      <c r="A605" s="4588"/>
      <c r="B605" s="4542" t="s">
        <v>7657</v>
      </c>
      <c r="C605" s="4683" t="s">
        <v>7658</v>
      </c>
      <c r="D605" s="4564" t="s">
        <v>7659</v>
      </c>
      <c r="E605" s="4564" t="s">
        <v>7660</v>
      </c>
      <c r="F605" s="4564" t="s">
        <v>7575</v>
      </c>
      <c r="G605" s="4564" t="s">
        <v>7358</v>
      </c>
    </row>
    <row r="606" spans="1:7" ht="54.75" customHeight="1" thickBot="1">
      <c r="A606" s="4588"/>
      <c r="B606" s="4542" t="s">
        <v>7661</v>
      </c>
      <c r="C606" s="4683" t="s">
        <v>7662</v>
      </c>
      <c r="D606" s="4564" t="s">
        <v>7663</v>
      </c>
      <c r="E606" s="4564" t="s">
        <v>7664</v>
      </c>
      <c r="F606" s="4564" t="s">
        <v>5125</v>
      </c>
      <c r="G606" s="4564" t="s">
        <v>5113</v>
      </c>
    </row>
    <row r="607" spans="1:7" ht="56.25" customHeight="1" thickBot="1">
      <c r="A607" s="4588"/>
      <c r="B607" s="4542" t="s">
        <v>7665</v>
      </c>
      <c r="C607" s="4683" t="s">
        <v>7666</v>
      </c>
      <c r="D607" s="4564" t="s">
        <v>7667</v>
      </c>
      <c r="E607" s="4564" t="s">
        <v>7668</v>
      </c>
      <c r="F607" s="4564" t="s">
        <v>5125</v>
      </c>
      <c r="G607" s="4564" t="s">
        <v>5113</v>
      </c>
    </row>
    <row r="608" spans="1:7" ht="52.5" customHeight="1" thickBot="1">
      <c r="A608" s="4588"/>
      <c r="B608" s="4542" t="s">
        <v>7669</v>
      </c>
      <c r="C608" s="4683" t="s">
        <v>7670</v>
      </c>
      <c r="D608" s="4564" t="s">
        <v>7671</v>
      </c>
      <c r="E608" s="4564" t="s">
        <v>7672</v>
      </c>
      <c r="F608" s="4564" t="s">
        <v>5125</v>
      </c>
      <c r="G608" s="4564" t="s">
        <v>5113</v>
      </c>
    </row>
    <row r="609" spans="1:7" ht="45.75" customHeight="1" thickBot="1">
      <c r="A609" s="4588"/>
      <c r="B609" s="4542" t="s">
        <v>7673</v>
      </c>
      <c r="C609" s="4683" t="s">
        <v>7674</v>
      </c>
      <c r="D609" s="4564" t="s">
        <v>7675</v>
      </c>
      <c r="E609" s="4564" t="s">
        <v>7676</v>
      </c>
      <c r="F609" s="4564" t="s">
        <v>5125</v>
      </c>
      <c r="G609" s="4564" t="s">
        <v>5113</v>
      </c>
    </row>
    <row r="610" spans="1:7" ht="16.5" customHeight="1">
      <c r="A610" s="4641"/>
      <c r="B610" s="4642"/>
      <c r="C610" s="4679"/>
      <c r="D610" s="4643"/>
      <c r="E610" s="4643"/>
      <c r="F610" s="4643"/>
      <c r="G610" s="4643"/>
    </row>
    <row r="611" spans="1:7" ht="16.5" customHeight="1">
      <c r="A611" s="4636"/>
      <c r="B611" s="4626"/>
      <c r="C611" s="4673"/>
      <c r="D611" s="4538"/>
      <c r="E611" s="4538"/>
      <c r="F611" s="4538"/>
      <c r="G611" s="4538"/>
    </row>
    <row r="612" spans="1:7" ht="16.5" customHeight="1">
      <c r="A612" s="4636"/>
      <c r="B612" s="4626"/>
      <c r="C612" s="4673"/>
      <c r="D612" s="4538"/>
      <c r="E612" s="4538"/>
      <c r="F612" s="4538"/>
      <c r="G612" s="4538"/>
    </row>
    <row r="613" spans="1:7" ht="16.5" customHeight="1">
      <c r="A613" s="4636"/>
      <c r="B613" s="4626"/>
      <c r="C613" s="4673"/>
      <c r="D613" s="4538"/>
      <c r="E613" s="4538"/>
      <c r="F613" s="4538"/>
      <c r="G613" s="4538"/>
    </row>
    <row r="614" spans="1:7" ht="16.5" customHeight="1" thickBot="1">
      <c r="A614" s="4645"/>
      <c r="B614" s="4646"/>
      <c r="C614" s="4680"/>
      <c r="D614" s="4637"/>
      <c r="E614" s="4637"/>
      <c r="F614" s="4637"/>
      <c r="G614" s="4637"/>
    </row>
    <row r="615" spans="1:7" ht="28.5" customHeight="1" thickBot="1">
      <c r="A615" s="4594" t="s">
        <v>2056</v>
      </c>
      <c r="B615" s="4539" t="s">
        <v>2540</v>
      </c>
      <c r="C615" s="4692" t="s">
        <v>1736</v>
      </c>
      <c r="D615" s="4540" t="s">
        <v>1760</v>
      </c>
      <c r="E615" s="4540" t="s">
        <v>1764</v>
      </c>
      <c r="F615" s="15294" t="s">
        <v>2541</v>
      </c>
      <c r="G615" s="15295"/>
    </row>
    <row r="616" spans="1:7" ht="15" customHeight="1" thickBot="1">
      <c r="A616" s="4545"/>
      <c r="B616" s="4541"/>
      <c r="C616" s="4678"/>
      <c r="D616" s="4565"/>
      <c r="E616" s="4565"/>
      <c r="F616" s="4705" t="s">
        <v>1789</v>
      </c>
      <c r="G616" s="4705" t="s">
        <v>1790</v>
      </c>
    </row>
    <row r="617" spans="1:7" ht="44.25" customHeight="1" thickBot="1">
      <c r="A617" s="4588"/>
      <c r="B617" s="4542" t="s">
        <v>7677</v>
      </c>
      <c r="C617" s="4683" t="s">
        <v>7678</v>
      </c>
      <c r="D617" s="4564" t="s">
        <v>7679</v>
      </c>
      <c r="E617" s="4564" t="s">
        <v>7680</v>
      </c>
      <c r="F617" s="4564" t="s">
        <v>5125</v>
      </c>
      <c r="G617" s="4564" t="s">
        <v>5113</v>
      </c>
    </row>
    <row r="618" spans="1:7" ht="30" customHeight="1" thickBot="1">
      <c r="A618" s="4588"/>
      <c r="B618" s="4542" t="s">
        <v>7681</v>
      </c>
      <c r="C618" s="4683" t="s">
        <v>7682</v>
      </c>
      <c r="D618" s="4564" t="s">
        <v>7683</v>
      </c>
      <c r="E618" s="4564" t="s">
        <v>7684</v>
      </c>
      <c r="F618" s="4588" t="s">
        <v>5125</v>
      </c>
      <c r="G618" s="4588" t="s">
        <v>5113</v>
      </c>
    </row>
    <row r="619" spans="1:7" ht="30" customHeight="1" thickBot="1">
      <c r="A619" s="4569"/>
      <c r="B619" s="4570" t="s">
        <v>7685</v>
      </c>
      <c r="C619" s="4681"/>
      <c r="D619" s="4561"/>
      <c r="E619" s="4561" t="s">
        <v>7686</v>
      </c>
      <c r="F619" s="4561"/>
      <c r="G619" s="4561"/>
    </row>
    <row r="620" spans="1:7" ht="53.25" customHeight="1">
      <c r="A620" s="4588"/>
      <c r="B620" s="4542" t="s">
        <v>7687</v>
      </c>
      <c r="C620" s="15281">
        <v>60000</v>
      </c>
      <c r="D620" s="15273" t="s">
        <v>7688</v>
      </c>
      <c r="E620" s="4564" t="s">
        <v>7689</v>
      </c>
      <c r="F620" s="15273" t="s">
        <v>5125</v>
      </c>
      <c r="G620" s="15273" t="s">
        <v>5113</v>
      </c>
    </row>
    <row r="621" spans="1:7" ht="4.5" customHeight="1" thickBot="1">
      <c r="A621" s="4589"/>
      <c r="B621" s="4545"/>
      <c r="C621" s="15282"/>
      <c r="D621" s="15275"/>
      <c r="E621" s="4552"/>
      <c r="F621" s="15275"/>
      <c r="G621" s="15275"/>
    </row>
    <row r="622" spans="1:7" ht="41.25" customHeight="1">
      <c r="A622" s="4588"/>
      <c r="B622" s="4542" t="s">
        <v>7690</v>
      </c>
      <c r="C622" s="15281">
        <v>6000</v>
      </c>
      <c r="D622" s="15273" t="s">
        <v>7691</v>
      </c>
      <c r="E622" s="4564" t="s">
        <v>7692</v>
      </c>
      <c r="F622" s="15273" t="s">
        <v>5125</v>
      </c>
      <c r="G622" s="15273" t="s">
        <v>5113</v>
      </c>
    </row>
    <row r="623" spans="1:7" ht="3.75" customHeight="1" thickBot="1">
      <c r="A623" s="4589"/>
      <c r="B623" s="4545"/>
      <c r="C623" s="15282"/>
      <c r="D623" s="15275"/>
      <c r="E623" s="4552"/>
      <c r="F623" s="15275"/>
      <c r="G623" s="15275"/>
    </row>
    <row r="624" spans="1:7" ht="41.25" customHeight="1">
      <c r="A624" s="4588"/>
      <c r="B624" s="4542" t="s">
        <v>7693</v>
      </c>
      <c r="C624" s="15281" t="s">
        <v>7694</v>
      </c>
      <c r="D624" s="15273" t="s">
        <v>7695</v>
      </c>
      <c r="E624" s="4564" t="s">
        <v>7696</v>
      </c>
      <c r="F624" s="15273" t="s">
        <v>5125</v>
      </c>
      <c r="G624" s="15273" t="s">
        <v>5113</v>
      </c>
    </row>
    <row r="625" spans="1:7" ht="5.25" customHeight="1" thickBot="1">
      <c r="A625" s="4589"/>
      <c r="B625" s="4545"/>
      <c r="C625" s="15282"/>
      <c r="D625" s="15275"/>
      <c r="E625" s="4552"/>
      <c r="F625" s="15275"/>
      <c r="G625" s="15275"/>
    </row>
    <row r="626" spans="1:7" ht="25.5" customHeight="1">
      <c r="A626" s="4588"/>
      <c r="B626" s="4542" t="s">
        <v>7697</v>
      </c>
      <c r="C626" s="15281" t="s">
        <v>7698</v>
      </c>
      <c r="D626" s="15273" t="s">
        <v>7699</v>
      </c>
      <c r="E626" s="4564" t="s">
        <v>7700</v>
      </c>
      <c r="F626" s="15273" t="s">
        <v>5125</v>
      </c>
      <c r="G626" s="15273" t="s">
        <v>5113</v>
      </c>
    </row>
    <row r="627" spans="1:7" ht="3" customHeight="1" thickBot="1">
      <c r="A627" s="4589"/>
      <c r="B627" s="4545"/>
      <c r="C627" s="15282"/>
      <c r="D627" s="15275"/>
      <c r="E627" s="4552"/>
      <c r="F627" s="15275"/>
      <c r="G627" s="15275"/>
    </row>
    <row r="628" spans="1:7" ht="41.25" customHeight="1">
      <c r="A628" s="4588"/>
      <c r="B628" s="4542" t="s">
        <v>7701</v>
      </c>
      <c r="C628" s="15281" t="s">
        <v>7702</v>
      </c>
      <c r="D628" s="15273" t="s">
        <v>8705</v>
      </c>
      <c r="E628" s="4564" t="s">
        <v>8461</v>
      </c>
      <c r="F628" s="15273" t="s">
        <v>5125</v>
      </c>
      <c r="G628" s="15273" t="s">
        <v>5113</v>
      </c>
    </row>
    <row r="629" spans="1:7" ht="6" customHeight="1" thickBot="1">
      <c r="A629" s="4589"/>
      <c r="B629" s="4545"/>
      <c r="C629" s="15282"/>
      <c r="D629" s="15275"/>
      <c r="E629" s="4552"/>
      <c r="F629" s="15275"/>
      <c r="G629" s="15275"/>
    </row>
    <row r="630" spans="1:7" ht="27.75" customHeight="1">
      <c r="A630" s="4588"/>
      <c r="B630" s="4542" t="s">
        <v>7703</v>
      </c>
      <c r="C630" s="15281" t="s">
        <v>7704</v>
      </c>
      <c r="D630" s="15273" t="s">
        <v>7705</v>
      </c>
      <c r="E630" s="4564" t="s">
        <v>7706</v>
      </c>
      <c r="F630" s="15273" t="s">
        <v>5125</v>
      </c>
      <c r="G630" s="15273" t="s">
        <v>5113</v>
      </c>
    </row>
    <row r="631" spans="1:7" ht="3.75" customHeight="1" thickBot="1">
      <c r="A631" s="4589"/>
      <c r="B631" s="4545"/>
      <c r="C631" s="15282"/>
      <c r="D631" s="15275"/>
      <c r="E631" s="4552"/>
      <c r="F631" s="15275"/>
      <c r="G631" s="15275"/>
    </row>
    <row r="632" spans="1:7" ht="26.25" customHeight="1">
      <c r="A632" s="4588"/>
      <c r="B632" s="4542" t="s">
        <v>7707</v>
      </c>
      <c r="C632" s="15281"/>
      <c r="D632" s="15273" t="s">
        <v>7708</v>
      </c>
      <c r="E632" s="4564" t="s">
        <v>7709</v>
      </c>
      <c r="F632" s="15273" t="s">
        <v>5125</v>
      </c>
      <c r="G632" s="15273" t="s">
        <v>5113</v>
      </c>
    </row>
    <row r="633" spans="1:7" ht="5.25" customHeight="1" thickBot="1">
      <c r="A633" s="4589"/>
      <c r="B633" s="4545"/>
      <c r="C633" s="15282"/>
      <c r="D633" s="15275"/>
      <c r="E633" s="4552"/>
      <c r="F633" s="15275"/>
      <c r="G633" s="15275"/>
    </row>
    <row r="634" spans="1:7" ht="27" customHeight="1">
      <c r="A634" s="4588"/>
      <c r="B634" s="4542" t="s">
        <v>7710</v>
      </c>
      <c r="C634" s="15281"/>
      <c r="D634" s="15273" t="s">
        <v>7711</v>
      </c>
      <c r="E634" s="4564" t="s">
        <v>7712</v>
      </c>
      <c r="F634" s="15273" t="s">
        <v>5125</v>
      </c>
      <c r="G634" s="15273" t="s">
        <v>5113</v>
      </c>
    </row>
    <row r="635" spans="1:7" ht="4.5" customHeight="1" thickBot="1">
      <c r="A635" s="4589"/>
      <c r="B635" s="4545"/>
      <c r="C635" s="15282"/>
      <c r="D635" s="15275"/>
      <c r="E635" s="4552"/>
      <c r="F635" s="15275"/>
      <c r="G635" s="15275"/>
    </row>
    <row r="636" spans="1:7" ht="26.25" customHeight="1">
      <c r="A636" s="4588"/>
      <c r="B636" s="4574" t="s">
        <v>7713</v>
      </c>
      <c r="C636" s="15281"/>
      <c r="D636" s="15273"/>
      <c r="E636" s="4564"/>
      <c r="F636" s="15273" t="s">
        <v>5125</v>
      </c>
      <c r="G636" s="15273" t="s">
        <v>5113</v>
      </c>
    </row>
    <row r="637" spans="1:7" ht="3.75" customHeight="1" thickBot="1">
      <c r="A637" s="4589"/>
      <c r="B637" s="4575"/>
      <c r="C637" s="15282"/>
      <c r="D637" s="15275"/>
      <c r="E637" s="4552"/>
      <c r="F637" s="15275"/>
      <c r="G637" s="15275"/>
    </row>
    <row r="638" spans="1:7" ht="39" customHeight="1">
      <c r="A638" s="4588"/>
      <c r="B638" s="4574" t="s">
        <v>7714</v>
      </c>
      <c r="C638" s="15281" t="s">
        <v>7715</v>
      </c>
      <c r="D638" s="15273"/>
      <c r="E638" s="4564"/>
      <c r="F638" s="15273" t="s">
        <v>5125</v>
      </c>
      <c r="G638" s="15273" t="s">
        <v>5113</v>
      </c>
    </row>
    <row r="639" spans="1:7" ht="4.5" customHeight="1" thickBot="1">
      <c r="A639" s="4589"/>
      <c r="B639" s="4575"/>
      <c r="C639" s="15282"/>
      <c r="D639" s="15275"/>
      <c r="E639" s="4552"/>
      <c r="F639" s="15275"/>
      <c r="G639" s="15275"/>
    </row>
    <row r="640" spans="1:7" ht="37.5" customHeight="1">
      <c r="A640" s="4588"/>
      <c r="B640" s="4574" t="s">
        <v>7716</v>
      </c>
      <c r="C640" s="15281" t="s">
        <v>7717</v>
      </c>
      <c r="D640" s="15273"/>
      <c r="E640" s="4564" t="s">
        <v>7718</v>
      </c>
      <c r="F640" s="15273" t="s">
        <v>5125</v>
      </c>
      <c r="G640" s="15273" t="s">
        <v>5113</v>
      </c>
    </row>
    <row r="641" spans="1:7" ht="5.25" customHeight="1" thickBot="1">
      <c r="A641" s="4589"/>
      <c r="B641" s="4575"/>
      <c r="C641" s="15282"/>
      <c r="D641" s="15275"/>
      <c r="E641" s="4552"/>
      <c r="F641" s="15275"/>
      <c r="G641" s="15275"/>
    </row>
    <row r="642" spans="1:7" ht="41.25" customHeight="1">
      <c r="A642" s="4588"/>
      <c r="B642" s="4574" t="s">
        <v>7719</v>
      </c>
      <c r="C642" s="15281"/>
      <c r="D642" s="15273"/>
      <c r="E642" s="4564" t="s">
        <v>7720</v>
      </c>
      <c r="F642" s="15273" t="s">
        <v>5125</v>
      </c>
      <c r="G642" s="15273" t="s">
        <v>5113</v>
      </c>
    </row>
    <row r="643" spans="1:7" ht="3.75" customHeight="1" thickBot="1">
      <c r="A643" s="4589"/>
      <c r="B643" s="4575"/>
      <c r="C643" s="15282"/>
      <c r="D643" s="15275"/>
      <c r="E643" s="4552"/>
      <c r="F643" s="15275"/>
      <c r="G643" s="15275"/>
    </row>
    <row r="644" spans="1:7" ht="28.5" customHeight="1">
      <c r="A644" s="4588"/>
      <c r="B644" s="4542" t="s">
        <v>7721</v>
      </c>
      <c r="C644" s="15281" t="s">
        <v>7722</v>
      </c>
      <c r="D644" s="15273"/>
      <c r="E644" s="4564" t="s">
        <v>7723</v>
      </c>
      <c r="F644" s="15273" t="s">
        <v>5125</v>
      </c>
      <c r="G644" s="15273" t="s">
        <v>5113</v>
      </c>
    </row>
    <row r="645" spans="1:7" ht="2.25" customHeight="1" thickBot="1">
      <c r="A645" s="4589"/>
      <c r="B645" s="4545"/>
      <c r="C645" s="15282"/>
      <c r="D645" s="15275"/>
      <c r="E645" s="4552"/>
      <c r="F645" s="15275"/>
      <c r="G645" s="15275"/>
    </row>
    <row r="646" spans="1:7" ht="21" customHeight="1">
      <c r="A646" s="4588"/>
      <c r="B646" s="4542" t="s">
        <v>7724</v>
      </c>
      <c r="C646" s="15281"/>
      <c r="D646" s="15273" t="s">
        <v>8706</v>
      </c>
      <c r="E646" s="4598">
        <v>500000</v>
      </c>
      <c r="F646" s="15273" t="s">
        <v>5125</v>
      </c>
      <c r="G646" s="15273" t="s">
        <v>5113</v>
      </c>
    </row>
    <row r="647" spans="1:7" ht="5.25" customHeight="1" thickBot="1">
      <c r="A647" s="4589"/>
      <c r="B647" s="4545"/>
      <c r="C647" s="15282"/>
      <c r="D647" s="15275"/>
      <c r="E647" s="4593"/>
      <c r="F647" s="15275"/>
      <c r="G647" s="15275"/>
    </row>
    <row r="648" spans="1:7" ht="21.75" customHeight="1">
      <c r="A648" s="4588"/>
      <c r="B648" s="4542" t="s">
        <v>7725</v>
      </c>
      <c r="C648" s="15281"/>
      <c r="D648" s="15273" t="s">
        <v>7726</v>
      </c>
      <c r="E648" s="4598">
        <v>20000</v>
      </c>
      <c r="F648" s="15273" t="s">
        <v>5125</v>
      </c>
      <c r="G648" s="15273" t="s">
        <v>5113</v>
      </c>
    </row>
    <row r="649" spans="1:7" ht="6" customHeight="1" thickBot="1">
      <c r="A649" s="4589"/>
      <c r="B649" s="4545"/>
      <c r="C649" s="15282"/>
      <c r="D649" s="15275"/>
      <c r="E649" s="4593"/>
      <c r="F649" s="15275"/>
      <c r="G649" s="15275"/>
    </row>
    <row r="650" spans="1:7" ht="15.75" customHeight="1">
      <c r="A650" s="4588"/>
      <c r="B650" s="4599" t="s">
        <v>8824</v>
      </c>
      <c r="C650" s="15281"/>
      <c r="D650" s="15273" t="s">
        <v>7727</v>
      </c>
      <c r="E650" s="4598">
        <v>5000</v>
      </c>
      <c r="F650" s="15273" t="s">
        <v>5125</v>
      </c>
      <c r="G650" s="15273" t="s">
        <v>5113</v>
      </c>
    </row>
    <row r="651" spans="1:7" ht="16.5" customHeight="1" thickBot="1">
      <c r="A651" s="4589"/>
      <c r="B651" s="4600"/>
      <c r="C651" s="15282"/>
      <c r="D651" s="15275"/>
      <c r="E651" s="4593"/>
      <c r="F651" s="15275"/>
      <c r="G651" s="15275"/>
    </row>
    <row r="652" spans="1:7" ht="27" customHeight="1">
      <c r="A652" s="4588"/>
      <c r="B652" s="4599" t="s">
        <v>8825</v>
      </c>
      <c r="C652" s="15281"/>
      <c r="D652" s="15273" t="s">
        <v>7728</v>
      </c>
      <c r="E652" s="4598">
        <v>1000</v>
      </c>
      <c r="F652" s="15273" t="s">
        <v>5125</v>
      </c>
      <c r="G652" s="15273" t="s">
        <v>5113</v>
      </c>
    </row>
    <row r="653" spans="1:7" ht="3" customHeight="1" thickBot="1">
      <c r="A653" s="4589"/>
      <c r="B653" s="4600"/>
      <c r="C653" s="15282"/>
      <c r="D653" s="15275"/>
      <c r="E653" s="4593"/>
      <c r="F653" s="15275"/>
      <c r="G653" s="15275"/>
    </row>
    <row r="654" spans="1:7" ht="41.25" customHeight="1">
      <c r="A654" s="4588"/>
      <c r="B654" s="4542" t="s">
        <v>7729</v>
      </c>
      <c r="C654" s="15281" t="s">
        <v>7730</v>
      </c>
      <c r="D654" s="15273"/>
      <c r="E654" s="4564" t="s">
        <v>7731</v>
      </c>
      <c r="F654" s="15273" t="s">
        <v>5125</v>
      </c>
      <c r="G654" s="15273" t="s">
        <v>5113</v>
      </c>
    </row>
    <row r="655" spans="1:7" ht="3" customHeight="1" thickBot="1">
      <c r="A655" s="4589"/>
      <c r="B655" s="4545"/>
      <c r="C655" s="15282"/>
      <c r="D655" s="15275"/>
      <c r="E655" s="4552"/>
      <c r="F655" s="15275"/>
      <c r="G655" s="15275"/>
    </row>
    <row r="656" spans="1:7" ht="15" customHeight="1">
      <c r="A656" s="4588"/>
      <c r="B656" s="4542" t="s">
        <v>7732</v>
      </c>
      <c r="C656" s="15281"/>
      <c r="D656" s="15273" t="s">
        <v>7733</v>
      </c>
      <c r="E656" s="4598">
        <v>400000</v>
      </c>
      <c r="F656" s="15273" t="s">
        <v>5125</v>
      </c>
      <c r="G656" s="15273" t="s">
        <v>5113</v>
      </c>
    </row>
    <row r="657" spans="1:7" ht="13.5" customHeight="1" thickBot="1">
      <c r="A657" s="4589"/>
      <c r="B657" s="4545"/>
      <c r="C657" s="15282"/>
      <c r="D657" s="15275"/>
      <c r="E657" s="4593"/>
      <c r="F657" s="15275"/>
      <c r="G657" s="15275"/>
    </row>
    <row r="658" spans="1:7" ht="27" customHeight="1" thickBot="1">
      <c r="A658" s="4588"/>
      <c r="B658" s="4542" t="s">
        <v>7734</v>
      </c>
      <c r="C658" s="4704"/>
      <c r="D658" s="4588" t="s">
        <v>7726</v>
      </c>
      <c r="E658" s="4598">
        <v>16000</v>
      </c>
      <c r="F658" s="4588" t="s">
        <v>5125</v>
      </c>
      <c r="G658" s="4588" t="s">
        <v>5113</v>
      </c>
    </row>
    <row r="659" spans="1:7" ht="14.25" customHeight="1">
      <c r="A659" s="4641"/>
      <c r="B659" s="4642"/>
      <c r="C659" s="4706"/>
      <c r="D659" s="4641"/>
      <c r="E659" s="4669"/>
      <c r="F659" s="4641"/>
      <c r="G659" s="4641"/>
    </row>
    <row r="660" spans="1:7" ht="14.25" customHeight="1">
      <c r="A660" s="4636"/>
      <c r="B660" s="4626"/>
      <c r="C660" s="4673"/>
      <c r="D660" s="4538"/>
      <c r="E660" s="4670"/>
      <c r="F660" s="4538"/>
      <c r="G660" s="4538"/>
    </row>
    <row r="661" spans="1:7" ht="14.25" customHeight="1">
      <c r="A661" s="4636"/>
      <c r="B661" s="4626"/>
      <c r="C661" s="4673"/>
      <c r="D661" s="4538"/>
      <c r="E661" s="4670"/>
      <c r="F661" s="4538"/>
      <c r="G661" s="4538"/>
    </row>
    <row r="662" spans="1:7" ht="14.25" customHeight="1">
      <c r="A662" s="4636"/>
      <c r="B662" s="4626"/>
      <c r="C662" s="4673"/>
      <c r="D662" s="4538"/>
      <c r="E662" s="4670"/>
      <c r="F662" s="4538"/>
      <c r="G662" s="4538"/>
    </row>
    <row r="663" spans="1:7" ht="14.25" customHeight="1">
      <c r="A663" s="4636"/>
      <c r="B663" s="4626"/>
      <c r="C663" s="4673"/>
      <c r="D663" s="4538"/>
      <c r="E663" s="4670"/>
      <c r="F663" s="4538"/>
      <c r="G663" s="4538"/>
    </row>
    <row r="664" spans="1:7" ht="14.25" customHeight="1" thickBot="1">
      <c r="A664" s="4645"/>
      <c r="B664" s="4646"/>
      <c r="C664" s="4680"/>
      <c r="D664" s="4637"/>
      <c r="E664" s="4671"/>
      <c r="F664" s="4637"/>
      <c r="G664" s="4637"/>
    </row>
    <row r="665" spans="1:7" ht="28.5" customHeight="1" thickBot="1">
      <c r="A665" s="4594" t="s">
        <v>2056</v>
      </c>
      <c r="B665" s="4539" t="s">
        <v>2540</v>
      </c>
      <c r="C665" s="4692" t="s">
        <v>1736</v>
      </c>
      <c r="D665" s="4540" t="s">
        <v>1760</v>
      </c>
      <c r="E665" s="4540" t="s">
        <v>1764</v>
      </c>
      <c r="F665" s="15294" t="s">
        <v>2541</v>
      </c>
      <c r="G665" s="15295"/>
    </row>
    <row r="666" spans="1:7" ht="15" customHeight="1" thickBot="1">
      <c r="A666" s="4545"/>
      <c r="B666" s="4541"/>
      <c r="C666" s="4678"/>
      <c r="D666" s="4565"/>
      <c r="E666" s="4565"/>
      <c r="F666" s="4705" t="s">
        <v>1789</v>
      </c>
      <c r="G666" s="4705" t="s">
        <v>1790</v>
      </c>
    </row>
    <row r="667" spans="1:7" ht="53.25" customHeight="1">
      <c r="A667" s="4588"/>
      <c r="B667" s="4574" t="s">
        <v>7735</v>
      </c>
      <c r="C667" s="15281"/>
      <c r="D667" s="15273" t="s">
        <v>7736</v>
      </c>
      <c r="E667" s="4564" t="s">
        <v>7737</v>
      </c>
      <c r="F667" s="15273" t="s">
        <v>5125</v>
      </c>
      <c r="G667" s="15273" t="s">
        <v>5113</v>
      </c>
    </row>
    <row r="668" spans="1:7" ht="3.75" customHeight="1" thickBot="1">
      <c r="A668" s="4589"/>
      <c r="B668" s="4575"/>
      <c r="C668" s="15282"/>
      <c r="D668" s="15275"/>
      <c r="E668" s="4552"/>
      <c r="F668" s="15275"/>
      <c r="G668" s="15275"/>
    </row>
    <row r="669" spans="1:7" ht="27.75" customHeight="1">
      <c r="A669" s="4588"/>
      <c r="B669" s="4574" t="s">
        <v>7738</v>
      </c>
      <c r="C669" s="15281"/>
      <c r="D669" s="15273" t="s">
        <v>7739</v>
      </c>
      <c r="E669" s="4564" t="s">
        <v>7740</v>
      </c>
      <c r="F669" s="15273" t="s">
        <v>5125</v>
      </c>
      <c r="G669" s="15273" t="s">
        <v>5113</v>
      </c>
    </row>
    <row r="670" spans="1:7" ht="2.25" customHeight="1" thickBot="1">
      <c r="A670" s="4589"/>
      <c r="B670" s="4575"/>
      <c r="C670" s="15282"/>
      <c r="D670" s="15275"/>
      <c r="E670" s="4552"/>
      <c r="F670" s="15275"/>
      <c r="G670" s="15275"/>
    </row>
    <row r="671" spans="1:7" ht="14.25" customHeight="1">
      <c r="A671" s="4588"/>
      <c r="B671" s="4574"/>
      <c r="C671" s="15281"/>
      <c r="D671" s="15273"/>
      <c r="E671" s="4564" t="s">
        <v>8707</v>
      </c>
      <c r="F671" s="4588"/>
      <c r="G671" s="4588"/>
    </row>
    <row r="672" spans="1:7" ht="15" customHeight="1" thickBot="1">
      <c r="A672" s="4589"/>
      <c r="B672" s="4575"/>
      <c r="C672" s="15282"/>
      <c r="D672" s="15275"/>
      <c r="E672" s="4552" t="s">
        <v>7741</v>
      </c>
      <c r="F672" s="4589"/>
      <c r="G672" s="4589"/>
    </row>
    <row r="673" spans="1:7" ht="53.25" customHeight="1">
      <c r="A673" s="4588"/>
      <c r="B673" s="4574" t="s">
        <v>7742</v>
      </c>
      <c r="C673" s="15281" t="s">
        <v>7743</v>
      </c>
      <c r="D673" s="15273" t="s">
        <v>7744</v>
      </c>
      <c r="E673" s="4564" t="s">
        <v>7745</v>
      </c>
      <c r="F673" s="15273" t="s">
        <v>5125</v>
      </c>
      <c r="G673" s="15273" t="s">
        <v>5113</v>
      </c>
    </row>
    <row r="674" spans="1:7" ht="3" customHeight="1" thickBot="1">
      <c r="A674" s="4589"/>
      <c r="B674" s="4575"/>
      <c r="C674" s="15282"/>
      <c r="D674" s="15275"/>
      <c r="E674" s="4552"/>
      <c r="F674" s="15275"/>
      <c r="G674" s="15275"/>
    </row>
    <row r="675" spans="1:7" ht="52.5" customHeight="1">
      <c r="A675" s="4588"/>
      <c r="B675" s="4542" t="s">
        <v>7746</v>
      </c>
      <c r="C675" s="15281"/>
      <c r="D675" s="15273" t="s">
        <v>7747</v>
      </c>
      <c r="E675" s="4564" t="s">
        <v>7748</v>
      </c>
      <c r="F675" s="15273" t="s">
        <v>5125</v>
      </c>
      <c r="G675" s="15273" t="s">
        <v>5113</v>
      </c>
    </row>
    <row r="676" spans="1:7" ht="3" customHeight="1" thickBot="1">
      <c r="A676" s="4589"/>
      <c r="B676" s="4545"/>
      <c r="C676" s="15282"/>
      <c r="D676" s="15275"/>
      <c r="E676" s="4552"/>
      <c r="F676" s="15275"/>
      <c r="G676" s="15275"/>
    </row>
    <row r="677" spans="1:7" ht="39.75" customHeight="1">
      <c r="A677" s="4588"/>
      <c r="B677" s="4574" t="s">
        <v>7749</v>
      </c>
      <c r="C677" s="15281" t="s">
        <v>7750</v>
      </c>
      <c r="D677" s="15273" t="s">
        <v>7751</v>
      </c>
      <c r="E677" s="4564" t="s">
        <v>7752</v>
      </c>
      <c r="F677" s="15273" t="s">
        <v>5125</v>
      </c>
      <c r="G677" s="15273" t="s">
        <v>5113</v>
      </c>
    </row>
    <row r="678" spans="1:7" ht="5.25" customHeight="1" thickBot="1">
      <c r="A678" s="4589"/>
      <c r="B678" s="4575"/>
      <c r="C678" s="15282"/>
      <c r="D678" s="15275"/>
      <c r="E678" s="4552"/>
      <c r="F678" s="15275"/>
      <c r="G678" s="15275"/>
    </row>
    <row r="679" spans="1:7" ht="26.25" customHeight="1">
      <c r="A679" s="4588"/>
      <c r="B679" s="4574" t="s">
        <v>7753</v>
      </c>
      <c r="C679" s="15281" t="s">
        <v>7754</v>
      </c>
      <c r="D679" s="15273"/>
      <c r="E679" s="4564"/>
      <c r="F679" s="15273" t="s">
        <v>5125</v>
      </c>
      <c r="G679" s="15273" t="s">
        <v>5113</v>
      </c>
    </row>
    <row r="680" spans="1:7" ht="3.75" customHeight="1" thickBot="1">
      <c r="A680" s="4589"/>
      <c r="B680" s="4575"/>
      <c r="C680" s="15282"/>
      <c r="D680" s="15275"/>
      <c r="E680" s="4552"/>
      <c r="F680" s="15275"/>
      <c r="G680" s="15275"/>
    </row>
    <row r="681" spans="1:7" ht="53.25" customHeight="1">
      <c r="A681" s="4588"/>
      <c r="B681" s="4574" t="s">
        <v>7755</v>
      </c>
      <c r="C681" s="15281"/>
      <c r="D681" s="15273"/>
      <c r="E681" s="4564" t="s">
        <v>7756</v>
      </c>
      <c r="F681" s="15273" t="s">
        <v>5125</v>
      </c>
      <c r="G681" s="15273" t="s">
        <v>5113</v>
      </c>
    </row>
    <row r="682" spans="1:7" ht="4.5" customHeight="1" thickBot="1">
      <c r="A682" s="4589"/>
      <c r="B682" s="4575"/>
      <c r="C682" s="15282"/>
      <c r="D682" s="15275"/>
      <c r="E682" s="4552"/>
      <c r="F682" s="15275"/>
      <c r="G682" s="15275"/>
    </row>
    <row r="683" spans="1:7" ht="18" customHeight="1">
      <c r="A683" s="4588"/>
      <c r="B683" s="4542" t="s">
        <v>7757</v>
      </c>
      <c r="C683" s="15281" t="s">
        <v>7758</v>
      </c>
      <c r="D683" s="15273" t="s">
        <v>7759</v>
      </c>
      <c r="E683" s="4564">
        <v>300</v>
      </c>
      <c r="F683" s="15273" t="s">
        <v>5125</v>
      </c>
      <c r="G683" s="15273" t="s">
        <v>5113</v>
      </c>
    </row>
    <row r="684" spans="1:7" ht="6.75" customHeight="1" thickBot="1">
      <c r="A684" s="4589"/>
      <c r="B684" s="4545"/>
      <c r="C684" s="15282"/>
      <c r="D684" s="15275"/>
      <c r="E684" s="4552"/>
      <c r="F684" s="15275"/>
      <c r="G684" s="15275"/>
    </row>
    <row r="685" spans="1:7" ht="22.5" customHeight="1">
      <c r="A685" s="4588"/>
      <c r="B685" s="4542" t="s">
        <v>7760</v>
      </c>
      <c r="C685" s="15281" t="s">
        <v>7750</v>
      </c>
      <c r="D685" s="15273" t="s">
        <v>7761</v>
      </c>
      <c r="E685" s="4564">
        <v>80</v>
      </c>
      <c r="F685" s="15273" t="s">
        <v>5125</v>
      </c>
      <c r="G685" s="15273" t="s">
        <v>5113</v>
      </c>
    </row>
    <row r="686" spans="1:7" ht="5.25" customHeight="1" thickBot="1">
      <c r="A686" s="4589"/>
      <c r="B686" s="4545"/>
      <c r="C686" s="15282"/>
      <c r="D686" s="15275"/>
      <c r="E686" s="4552"/>
      <c r="F686" s="15275"/>
      <c r="G686" s="15275"/>
    </row>
    <row r="687" spans="1:7" ht="19.5" customHeight="1">
      <c r="A687" s="4588"/>
      <c r="B687" s="4542" t="s">
        <v>7762</v>
      </c>
      <c r="C687" s="15281" t="s">
        <v>7694</v>
      </c>
      <c r="D687" s="15273" t="s">
        <v>7763</v>
      </c>
      <c r="E687" s="4564">
        <v>1</v>
      </c>
      <c r="F687" s="15273" t="s">
        <v>5125</v>
      </c>
      <c r="G687" s="15273" t="s">
        <v>5113</v>
      </c>
    </row>
    <row r="688" spans="1:7" ht="10.5" customHeight="1" thickBot="1">
      <c r="A688" s="4589"/>
      <c r="B688" s="4545"/>
      <c r="C688" s="15282"/>
      <c r="D688" s="15275"/>
      <c r="E688" s="4552"/>
      <c r="F688" s="15275"/>
      <c r="G688" s="15275"/>
    </row>
    <row r="689" spans="1:7" ht="25.5" customHeight="1">
      <c r="A689" s="4588"/>
      <c r="B689" s="4542" t="s">
        <v>7764</v>
      </c>
      <c r="C689" s="15281" t="s">
        <v>7765</v>
      </c>
      <c r="D689" s="15273" t="s">
        <v>7766</v>
      </c>
      <c r="E689" s="4564">
        <v>1</v>
      </c>
      <c r="F689" s="15273" t="s">
        <v>5125</v>
      </c>
      <c r="G689" s="15273" t="s">
        <v>5113</v>
      </c>
    </row>
    <row r="690" spans="1:7" ht="4.5" customHeight="1" thickBot="1">
      <c r="A690" s="4589"/>
      <c r="B690" s="4545"/>
      <c r="C690" s="15282"/>
      <c r="D690" s="15275"/>
      <c r="E690" s="4552"/>
      <c r="F690" s="15275"/>
      <c r="G690" s="15275"/>
    </row>
    <row r="691" spans="1:7" ht="26.25" customHeight="1">
      <c r="A691" s="4588"/>
      <c r="B691" s="4542" t="s">
        <v>7767</v>
      </c>
      <c r="C691" s="15281"/>
      <c r="D691" s="15273" t="s">
        <v>7768</v>
      </c>
      <c r="E691" s="4564">
        <v>50</v>
      </c>
      <c r="F691" s="15273" t="s">
        <v>5125</v>
      </c>
      <c r="G691" s="15273" t="s">
        <v>5113</v>
      </c>
    </row>
    <row r="692" spans="1:7" ht="5.25" customHeight="1" thickBot="1">
      <c r="A692" s="4589"/>
      <c r="B692" s="4545"/>
      <c r="C692" s="15282"/>
      <c r="D692" s="15275"/>
      <c r="E692" s="4552"/>
      <c r="F692" s="15275"/>
      <c r="G692" s="15275"/>
    </row>
    <row r="693" spans="1:7" ht="39" customHeight="1">
      <c r="A693" s="4588"/>
      <c r="B693" s="4542" t="s">
        <v>7769</v>
      </c>
      <c r="C693" s="15281"/>
      <c r="D693" s="15273" t="s">
        <v>7770</v>
      </c>
      <c r="E693" s="4564">
        <v>6</v>
      </c>
      <c r="F693" s="15273" t="s">
        <v>5125</v>
      </c>
      <c r="G693" s="15273" t="s">
        <v>5113</v>
      </c>
    </row>
    <row r="694" spans="1:7" ht="4.5" customHeight="1" thickBot="1">
      <c r="A694" s="4589"/>
      <c r="B694" s="4545"/>
      <c r="C694" s="15282"/>
      <c r="D694" s="15275"/>
      <c r="E694" s="4552"/>
      <c r="F694" s="15275"/>
      <c r="G694" s="15275"/>
    </row>
    <row r="695" spans="1:7" ht="27" customHeight="1">
      <c r="A695" s="4588"/>
      <c r="B695" s="4574" t="s">
        <v>7771</v>
      </c>
      <c r="C695" s="15281"/>
      <c r="D695" s="15273"/>
      <c r="E695" s="4564" t="s">
        <v>7772</v>
      </c>
      <c r="F695" s="15273" t="s">
        <v>5125</v>
      </c>
      <c r="G695" s="15273" t="s">
        <v>5113</v>
      </c>
    </row>
    <row r="696" spans="1:7" ht="5.25" customHeight="1" thickBot="1">
      <c r="A696" s="4589"/>
      <c r="B696" s="4575"/>
      <c r="C696" s="15282"/>
      <c r="D696" s="15275"/>
      <c r="E696" s="4552"/>
      <c r="F696" s="15275"/>
      <c r="G696" s="15275"/>
    </row>
    <row r="697" spans="1:7" ht="23.25" customHeight="1">
      <c r="A697" s="4588"/>
      <c r="B697" s="4542" t="s">
        <v>7773</v>
      </c>
      <c r="C697" s="15281" t="s">
        <v>7774</v>
      </c>
      <c r="D697" s="15273" t="s">
        <v>7775</v>
      </c>
      <c r="E697" s="4564">
        <v>15</v>
      </c>
      <c r="F697" s="15273" t="s">
        <v>5125</v>
      </c>
      <c r="G697" s="15273" t="s">
        <v>5113</v>
      </c>
    </row>
    <row r="698" spans="1:7" ht="7.5" customHeight="1" thickBot="1">
      <c r="A698" s="4589"/>
      <c r="B698" s="4545"/>
      <c r="C698" s="15282"/>
      <c r="D698" s="15275"/>
      <c r="E698" s="4552"/>
      <c r="F698" s="15275"/>
      <c r="G698" s="15275"/>
    </row>
    <row r="699" spans="1:7" ht="12.75" customHeight="1">
      <c r="A699" s="4588"/>
      <c r="B699" s="4542" t="s">
        <v>7776</v>
      </c>
      <c r="C699" s="15281" t="s">
        <v>7694</v>
      </c>
      <c r="D699" s="15273" t="s">
        <v>7777</v>
      </c>
      <c r="E699" s="4564">
        <v>13</v>
      </c>
      <c r="F699" s="15273" t="s">
        <v>5125</v>
      </c>
      <c r="G699" s="15273" t="s">
        <v>5113</v>
      </c>
    </row>
    <row r="700" spans="1:7" ht="15" customHeight="1" thickBot="1">
      <c r="A700" s="4589"/>
      <c r="B700" s="4545"/>
      <c r="C700" s="15282"/>
      <c r="D700" s="15275"/>
      <c r="E700" s="4552"/>
      <c r="F700" s="15275"/>
      <c r="G700" s="15275"/>
    </row>
    <row r="701" spans="1:7" ht="23.25" customHeight="1">
      <c r="A701" s="4588"/>
      <c r="B701" s="4542" t="s">
        <v>7778</v>
      </c>
      <c r="C701" s="15281"/>
      <c r="D701" s="15273" t="s">
        <v>7779</v>
      </c>
      <c r="E701" s="4564">
        <v>13</v>
      </c>
      <c r="F701" s="15273" t="s">
        <v>5125</v>
      </c>
      <c r="G701" s="15273" t="s">
        <v>5113</v>
      </c>
    </row>
    <row r="702" spans="1:7" ht="6" customHeight="1" thickBot="1">
      <c r="A702" s="4589"/>
      <c r="B702" s="4545"/>
      <c r="C702" s="15282"/>
      <c r="D702" s="15275"/>
      <c r="E702" s="4552"/>
      <c r="F702" s="15275"/>
      <c r="G702" s="15275"/>
    </row>
    <row r="703" spans="1:7" ht="53.25" customHeight="1">
      <c r="A703" s="4588"/>
      <c r="B703" s="4574" t="s">
        <v>7780</v>
      </c>
      <c r="C703" s="15281"/>
      <c r="D703" s="15273"/>
      <c r="E703" s="4564" t="s">
        <v>7781</v>
      </c>
      <c r="F703" s="15273" t="s">
        <v>5125</v>
      </c>
      <c r="G703" s="15273" t="s">
        <v>5113</v>
      </c>
    </row>
    <row r="704" spans="1:7" ht="2.25" customHeight="1" thickBot="1">
      <c r="A704" s="4589"/>
      <c r="B704" s="4575"/>
      <c r="C704" s="15282"/>
      <c r="D704" s="15275"/>
      <c r="E704" s="4552"/>
      <c r="F704" s="15275"/>
      <c r="G704" s="15275"/>
    </row>
    <row r="705" spans="1:7" ht="18" customHeight="1">
      <c r="A705" s="4588"/>
      <c r="B705" s="4542" t="s">
        <v>7782</v>
      </c>
      <c r="C705" s="15281" t="s">
        <v>7694</v>
      </c>
      <c r="D705" s="15273" t="s">
        <v>4610</v>
      </c>
      <c r="E705" s="4564">
        <v>15</v>
      </c>
      <c r="F705" s="15273" t="s">
        <v>5125</v>
      </c>
      <c r="G705" s="15273" t="s">
        <v>5113</v>
      </c>
    </row>
    <row r="706" spans="1:7" ht="8.25" customHeight="1" thickBot="1">
      <c r="A706" s="4589"/>
      <c r="B706" s="4545"/>
      <c r="C706" s="15282"/>
      <c r="D706" s="15275"/>
      <c r="E706" s="4552"/>
      <c r="F706" s="15275"/>
      <c r="G706" s="15275"/>
    </row>
    <row r="707" spans="1:7" ht="24" customHeight="1">
      <c r="A707" s="4588"/>
      <c r="B707" s="4542" t="s">
        <v>7783</v>
      </c>
      <c r="C707" s="15281" t="s">
        <v>7784</v>
      </c>
      <c r="D707" s="15273" t="s">
        <v>4610</v>
      </c>
      <c r="E707" s="4564">
        <v>2</v>
      </c>
      <c r="F707" s="15273" t="s">
        <v>5125</v>
      </c>
      <c r="G707" s="15273" t="s">
        <v>5113</v>
      </c>
    </row>
    <row r="708" spans="1:7" ht="3" customHeight="1" thickBot="1">
      <c r="A708" s="4589"/>
      <c r="B708" s="4545"/>
      <c r="C708" s="15282"/>
      <c r="D708" s="15275"/>
      <c r="E708" s="4552"/>
      <c r="F708" s="15275"/>
      <c r="G708" s="15275"/>
    </row>
    <row r="709" spans="1:7" ht="22.5" customHeight="1">
      <c r="A709" s="4588"/>
      <c r="B709" s="4542" t="s">
        <v>7785</v>
      </c>
      <c r="C709" s="15281" t="s">
        <v>7694</v>
      </c>
      <c r="D709" s="15273" t="s">
        <v>4610</v>
      </c>
      <c r="E709" s="4564">
        <v>3</v>
      </c>
      <c r="F709" s="15273" t="s">
        <v>5125</v>
      </c>
      <c r="G709" s="15273" t="s">
        <v>5113</v>
      </c>
    </row>
    <row r="710" spans="1:7" ht="2.25" customHeight="1" thickBot="1">
      <c r="A710" s="4589"/>
      <c r="B710" s="4545"/>
      <c r="C710" s="15282"/>
      <c r="D710" s="15275"/>
      <c r="E710" s="4552"/>
      <c r="F710" s="15275"/>
      <c r="G710" s="15275"/>
    </row>
    <row r="711" spans="1:7" ht="21.75" customHeight="1">
      <c r="A711" s="4588"/>
      <c r="B711" s="4542" t="s">
        <v>7786</v>
      </c>
      <c r="C711" s="15281" t="s">
        <v>7774</v>
      </c>
      <c r="D711" s="15273" t="s">
        <v>7787</v>
      </c>
      <c r="E711" s="4564">
        <v>1</v>
      </c>
      <c r="F711" s="15273" t="s">
        <v>5125</v>
      </c>
      <c r="G711" s="15273" t="s">
        <v>5113</v>
      </c>
    </row>
    <row r="712" spans="1:7" ht="6" customHeight="1" thickBot="1">
      <c r="A712" s="4589"/>
      <c r="B712" s="4545"/>
      <c r="C712" s="15282"/>
      <c r="D712" s="15275"/>
      <c r="E712" s="4552"/>
      <c r="F712" s="15275"/>
      <c r="G712" s="15275"/>
    </row>
    <row r="713" spans="1:7" ht="14.25" customHeight="1">
      <c r="A713" s="4641"/>
      <c r="B713" s="4642"/>
      <c r="C713" s="4679"/>
      <c r="D713" s="4643"/>
      <c r="E713" s="4643"/>
      <c r="F713" s="4643"/>
      <c r="G713" s="4643"/>
    </row>
    <row r="714" spans="1:7" ht="14.25" customHeight="1">
      <c r="A714" s="4636"/>
      <c r="B714" s="4626"/>
      <c r="C714" s="4673"/>
      <c r="D714" s="4538"/>
      <c r="E714" s="4538"/>
      <c r="F714" s="4538"/>
      <c r="G714" s="4538"/>
    </row>
    <row r="715" spans="1:7" ht="14.25" customHeight="1">
      <c r="A715" s="4636"/>
      <c r="B715" s="4626"/>
      <c r="C715" s="4673"/>
      <c r="D715" s="4538"/>
      <c r="E715" s="4538"/>
      <c r="F715" s="4538"/>
      <c r="G715" s="4538"/>
    </row>
    <row r="716" spans="1:7" ht="14.25" customHeight="1">
      <c r="A716" s="4636"/>
      <c r="B716" s="4626"/>
      <c r="C716" s="4673"/>
      <c r="D716" s="4538"/>
      <c r="E716" s="4538"/>
      <c r="F716" s="4538"/>
      <c r="G716" s="4538"/>
    </row>
    <row r="717" spans="1:7" ht="14.25" customHeight="1">
      <c r="A717" s="4636"/>
      <c r="B717" s="4626"/>
      <c r="C717" s="4673"/>
      <c r="D717" s="4538"/>
      <c r="E717" s="4538"/>
      <c r="F717" s="4538"/>
      <c r="G717" s="4538"/>
    </row>
    <row r="718" spans="1:7" ht="14.25" customHeight="1" thickBot="1">
      <c r="A718" s="4645"/>
      <c r="B718" s="4646"/>
      <c r="C718" s="4680"/>
      <c r="D718" s="4637"/>
      <c r="E718" s="4637"/>
      <c r="F718" s="4637"/>
      <c r="G718" s="4637"/>
    </row>
    <row r="719" spans="1:7" ht="28.5" customHeight="1" thickBot="1">
      <c r="A719" s="4594" t="s">
        <v>2056</v>
      </c>
      <c r="B719" s="4539" t="s">
        <v>2540</v>
      </c>
      <c r="C719" s="4692" t="s">
        <v>1736</v>
      </c>
      <c r="D719" s="4540" t="s">
        <v>1760</v>
      </c>
      <c r="E719" s="4540" t="s">
        <v>1764</v>
      </c>
      <c r="F719" s="15294" t="s">
        <v>2541</v>
      </c>
      <c r="G719" s="15295"/>
    </row>
    <row r="720" spans="1:7" ht="15" customHeight="1" thickBot="1">
      <c r="A720" s="4545"/>
      <c r="B720" s="4541"/>
      <c r="C720" s="4678"/>
      <c r="D720" s="4565"/>
      <c r="E720" s="4565"/>
      <c r="F720" s="4705" t="s">
        <v>1789</v>
      </c>
      <c r="G720" s="4705" t="s">
        <v>1790</v>
      </c>
    </row>
    <row r="721" spans="1:7" ht="26.25" customHeight="1">
      <c r="A721" s="4588"/>
      <c r="B721" s="4542" t="s">
        <v>7788</v>
      </c>
      <c r="C721" s="15281" t="s">
        <v>7774</v>
      </c>
      <c r="D721" s="15273" t="s">
        <v>7787</v>
      </c>
      <c r="E721" s="4564">
        <v>1</v>
      </c>
      <c r="F721" s="15273" t="s">
        <v>5125</v>
      </c>
      <c r="G721" s="15273" t="s">
        <v>5113</v>
      </c>
    </row>
    <row r="722" spans="1:7" ht="6.75" customHeight="1" thickBot="1">
      <c r="A722" s="4589"/>
      <c r="B722" s="4545"/>
      <c r="C722" s="15282"/>
      <c r="D722" s="15275"/>
      <c r="E722" s="4552"/>
      <c r="F722" s="15275"/>
      <c r="G722" s="15275"/>
    </row>
    <row r="723" spans="1:7" ht="21" customHeight="1">
      <c r="A723" s="4588"/>
      <c r="B723" s="4542" t="s">
        <v>7789</v>
      </c>
      <c r="C723" s="15281" t="s">
        <v>7774</v>
      </c>
      <c r="D723" s="15273" t="s">
        <v>7787</v>
      </c>
      <c r="E723" s="4564">
        <v>1</v>
      </c>
      <c r="F723" s="15273" t="s">
        <v>5125</v>
      </c>
      <c r="G723" s="15273" t="s">
        <v>5113</v>
      </c>
    </row>
    <row r="724" spans="1:7" ht="5.25" customHeight="1" thickBot="1">
      <c r="A724" s="4589"/>
      <c r="B724" s="4545"/>
      <c r="C724" s="15282"/>
      <c r="D724" s="15275"/>
      <c r="E724" s="4552"/>
      <c r="F724" s="15275"/>
      <c r="G724" s="15275"/>
    </row>
    <row r="725" spans="1:7" ht="54" customHeight="1">
      <c r="A725" s="4588"/>
      <c r="B725" s="4542" t="s">
        <v>7790</v>
      </c>
      <c r="C725" s="15281" t="s">
        <v>7774</v>
      </c>
      <c r="D725" s="15273" t="s">
        <v>8708</v>
      </c>
      <c r="E725" s="4564" t="s">
        <v>7791</v>
      </c>
      <c r="F725" s="15273" t="s">
        <v>5125</v>
      </c>
      <c r="G725" s="15273" t="s">
        <v>5113</v>
      </c>
    </row>
    <row r="726" spans="1:7" ht="3.75" customHeight="1" thickBot="1">
      <c r="A726" s="4589"/>
      <c r="B726" s="4545"/>
      <c r="C726" s="15282"/>
      <c r="D726" s="15275"/>
      <c r="E726" s="4552"/>
      <c r="F726" s="15275"/>
      <c r="G726" s="15275"/>
    </row>
    <row r="727" spans="1:7" ht="25.5" customHeight="1">
      <c r="A727" s="4588"/>
      <c r="B727" s="4574" t="s">
        <v>7792</v>
      </c>
      <c r="C727" s="15281"/>
      <c r="D727" s="15273" t="s">
        <v>7793</v>
      </c>
      <c r="E727" s="4564">
        <v>5</v>
      </c>
      <c r="F727" s="15273" t="s">
        <v>5125</v>
      </c>
      <c r="G727" s="15273" t="s">
        <v>5113</v>
      </c>
    </row>
    <row r="728" spans="1:7" ht="3.75" customHeight="1" thickBot="1">
      <c r="A728" s="4589"/>
      <c r="B728" s="4575"/>
      <c r="C728" s="15282"/>
      <c r="D728" s="15275"/>
      <c r="E728" s="4552"/>
      <c r="F728" s="15275"/>
      <c r="G728" s="15275"/>
    </row>
    <row r="729" spans="1:7" ht="27" customHeight="1">
      <c r="A729" s="4588"/>
      <c r="B729" s="4574" t="s">
        <v>7794</v>
      </c>
      <c r="C729" s="15281"/>
      <c r="D729" s="15273"/>
      <c r="E729" s="4564" t="s">
        <v>7795</v>
      </c>
      <c r="F729" s="15273" t="s">
        <v>5125</v>
      </c>
      <c r="G729" s="15273" t="s">
        <v>5113</v>
      </c>
    </row>
    <row r="730" spans="1:7" ht="7.5" customHeight="1" thickBot="1">
      <c r="A730" s="4589"/>
      <c r="B730" s="4575"/>
      <c r="C730" s="15282"/>
      <c r="D730" s="15275"/>
      <c r="E730" s="4552"/>
      <c r="F730" s="15275"/>
      <c r="G730" s="15275"/>
    </row>
    <row r="731" spans="1:7" ht="21.75" customHeight="1">
      <c r="A731" s="4588"/>
      <c r="B731" s="4542" t="s">
        <v>7796</v>
      </c>
      <c r="C731" s="15281"/>
      <c r="D731" s="15273" t="s">
        <v>7797</v>
      </c>
      <c r="E731" s="4564">
        <v>100</v>
      </c>
      <c r="F731" s="15273" t="s">
        <v>5125</v>
      </c>
      <c r="G731" s="15273" t="s">
        <v>5113</v>
      </c>
    </row>
    <row r="732" spans="1:7" ht="8.25" customHeight="1" thickBot="1">
      <c r="A732" s="4589"/>
      <c r="B732" s="4545"/>
      <c r="C732" s="15282"/>
      <c r="D732" s="15275"/>
      <c r="E732" s="4552"/>
      <c r="F732" s="15275"/>
      <c r="G732" s="15275"/>
    </row>
    <row r="733" spans="1:7" ht="23.25" customHeight="1">
      <c r="A733" s="4588"/>
      <c r="B733" s="4542"/>
      <c r="C733" s="15281"/>
      <c r="D733" s="15273" t="s">
        <v>7798</v>
      </c>
      <c r="E733" s="4564">
        <v>100</v>
      </c>
      <c r="F733" s="15273" t="s">
        <v>5125</v>
      </c>
      <c r="G733" s="15273" t="s">
        <v>5113</v>
      </c>
    </row>
    <row r="734" spans="1:7" ht="4.5" customHeight="1" thickBot="1">
      <c r="A734" s="4589"/>
      <c r="B734" s="4545"/>
      <c r="C734" s="15282"/>
      <c r="D734" s="15275"/>
      <c r="E734" s="4552"/>
      <c r="F734" s="15275"/>
      <c r="G734" s="15275"/>
    </row>
    <row r="735" spans="1:7" ht="27" customHeight="1">
      <c r="A735" s="4588"/>
      <c r="B735" s="4542"/>
      <c r="C735" s="15281"/>
      <c r="D735" s="15273" t="s">
        <v>7799</v>
      </c>
      <c r="E735" s="4564">
        <v>20</v>
      </c>
      <c r="F735" s="15273" t="s">
        <v>5125</v>
      </c>
      <c r="G735" s="15273" t="s">
        <v>5113</v>
      </c>
    </row>
    <row r="736" spans="1:7" ht="5.25" customHeight="1" thickBot="1">
      <c r="A736" s="4589"/>
      <c r="B736" s="4545"/>
      <c r="C736" s="15282"/>
      <c r="D736" s="15275"/>
      <c r="E736" s="4552"/>
      <c r="F736" s="15275"/>
      <c r="G736" s="15275"/>
    </row>
    <row r="737" spans="1:7" ht="21" customHeight="1">
      <c r="A737" s="4588"/>
      <c r="B737" s="4542"/>
      <c r="C737" s="15281"/>
      <c r="D737" s="15273" t="s">
        <v>7800</v>
      </c>
      <c r="E737" s="4564">
        <v>20</v>
      </c>
      <c r="F737" s="15273" t="s">
        <v>5125</v>
      </c>
      <c r="G737" s="15273" t="s">
        <v>5113</v>
      </c>
    </row>
    <row r="738" spans="1:7" ht="6.75" customHeight="1" thickBot="1">
      <c r="A738" s="4589"/>
      <c r="B738" s="4545"/>
      <c r="C738" s="15282"/>
      <c r="D738" s="15275"/>
      <c r="E738" s="4552"/>
      <c r="F738" s="15275"/>
      <c r="G738" s="15275"/>
    </row>
    <row r="739" spans="1:7" ht="18.75" customHeight="1">
      <c r="A739" s="4588"/>
      <c r="B739" s="4542"/>
      <c r="C739" s="15281"/>
      <c r="D739" s="15273" t="s">
        <v>7801</v>
      </c>
      <c r="E739" s="4564">
        <v>20</v>
      </c>
      <c r="F739" s="15273" t="s">
        <v>5125</v>
      </c>
      <c r="G739" s="15273" t="s">
        <v>5113</v>
      </c>
    </row>
    <row r="740" spans="1:7" ht="11.25" customHeight="1" thickBot="1">
      <c r="A740" s="4589"/>
      <c r="B740" s="4545"/>
      <c r="C740" s="15282"/>
      <c r="D740" s="15275"/>
      <c r="E740" s="4552"/>
      <c r="F740" s="15275"/>
      <c r="G740" s="15275"/>
    </row>
    <row r="741" spans="1:7" ht="26.25" customHeight="1">
      <c r="A741" s="4588"/>
      <c r="B741" s="4542"/>
      <c r="C741" s="15281"/>
      <c r="D741" s="15273" t="s">
        <v>7802</v>
      </c>
      <c r="E741" s="4564">
        <v>10</v>
      </c>
      <c r="F741" s="15273" t="s">
        <v>5125</v>
      </c>
      <c r="G741" s="15273" t="s">
        <v>5113</v>
      </c>
    </row>
    <row r="742" spans="1:7" ht="3" customHeight="1" thickBot="1">
      <c r="A742" s="4589"/>
      <c r="B742" s="4545"/>
      <c r="C742" s="15282"/>
      <c r="D742" s="15275"/>
      <c r="E742" s="4552"/>
      <c r="F742" s="15275"/>
      <c r="G742" s="15275"/>
    </row>
    <row r="743" spans="1:7" ht="26.25" customHeight="1">
      <c r="A743" s="4588"/>
      <c r="B743" s="4542" t="s">
        <v>7803</v>
      </c>
      <c r="C743" s="15281" t="s">
        <v>7750</v>
      </c>
      <c r="D743" s="15273" t="s">
        <v>7804</v>
      </c>
      <c r="E743" s="4564">
        <v>2</v>
      </c>
      <c r="F743" s="15273" t="s">
        <v>5125</v>
      </c>
      <c r="G743" s="15273" t="s">
        <v>5113</v>
      </c>
    </row>
    <row r="744" spans="1:7" ht="4.5" customHeight="1" thickBot="1">
      <c r="A744" s="4589"/>
      <c r="B744" s="4545"/>
      <c r="C744" s="15282"/>
      <c r="D744" s="15275"/>
      <c r="E744" s="4552"/>
      <c r="F744" s="15275"/>
      <c r="G744" s="15275"/>
    </row>
    <row r="745" spans="1:7" ht="42.75" customHeight="1" thickBot="1">
      <c r="A745" s="4569"/>
      <c r="B745" s="4578" t="s">
        <v>7805</v>
      </c>
      <c r="C745" s="4682"/>
      <c r="D745" s="4552"/>
      <c r="E745" s="4561"/>
      <c r="F745" s="4552" t="s">
        <v>5125</v>
      </c>
      <c r="G745" s="4552" t="s">
        <v>5113</v>
      </c>
    </row>
    <row r="746" spans="1:7" ht="27" customHeight="1">
      <c r="A746" s="4588"/>
      <c r="B746" s="4542" t="s">
        <v>7806</v>
      </c>
      <c r="C746" s="15281"/>
      <c r="D746" s="15273" t="s">
        <v>7807</v>
      </c>
      <c r="E746" s="4564">
        <v>5</v>
      </c>
      <c r="F746" s="15273" t="s">
        <v>5125</v>
      </c>
      <c r="G746" s="15273" t="s">
        <v>5113</v>
      </c>
    </row>
    <row r="747" spans="1:7" ht="18" customHeight="1" thickBot="1">
      <c r="A747" s="4589"/>
      <c r="B747" s="4545"/>
      <c r="C747" s="15282"/>
      <c r="D747" s="15275"/>
      <c r="E747" s="4552"/>
      <c r="F747" s="15275"/>
      <c r="G747" s="15275"/>
    </row>
    <row r="748" spans="1:7" ht="26.25" customHeight="1">
      <c r="A748" s="4588"/>
      <c r="B748" s="4542" t="s">
        <v>7808</v>
      </c>
      <c r="C748" s="15281" t="s">
        <v>7765</v>
      </c>
      <c r="D748" s="15273" t="s">
        <v>7809</v>
      </c>
      <c r="E748" s="4564">
        <v>4</v>
      </c>
      <c r="F748" s="15273" t="s">
        <v>5125</v>
      </c>
      <c r="G748" s="15273" t="s">
        <v>5113</v>
      </c>
    </row>
    <row r="749" spans="1:7" ht="3" customHeight="1" thickBot="1">
      <c r="A749" s="4589"/>
      <c r="B749" s="4545"/>
      <c r="C749" s="15282"/>
      <c r="D749" s="15275"/>
      <c r="E749" s="4552"/>
      <c r="F749" s="15275"/>
      <c r="G749" s="15275"/>
    </row>
    <row r="750" spans="1:7" ht="19.5" customHeight="1">
      <c r="A750" s="4588"/>
      <c r="B750" s="4542" t="s">
        <v>7810</v>
      </c>
      <c r="C750" s="15281" t="s">
        <v>7774</v>
      </c>
      <c r="D750" s="15273" t="s">
        <v>7811</v>
      </c>
      <c r="E750" s="4564">
        <v>2</v>
      </c>
      <c r="F750" s="15273" t="s">
        <v>5125</v>
      </c>
      <c r="G750" s="15273" t="s">
        <v>5113</v>
      </c>
    </row>
    <row r="751" spans="1:7" ht="9" customHeight="1" thickBot="1">
      <c r="A751" s="4589"/>
      <c r="B751" s="4545"/>
      <c r="C751" s="15282"/>
      <c r="D751" s="15275"/>
      <c r="E751" s="4552"/>
      <c r="F751" s="15275"/>
      <c r="G751" s="15275"/>
    </row>
    <row r="752" spans="1:7" ht="19.5" customHeight="1">
      <c r="A752" s="4588"/>
      <c r="B752" s="4542" t="s">
        <v>7812</v>
      </c>
      <c r="C752" s="15281" t="s">
        <v>7765</v>
      </c>
      <c r="D752" s="15273" t="s">
        <v>7813</v>
      </c>
      <c r="E752" s="4564">
        <v>6</v>
      </c>
      <c r="F752" s="15273" t="s">
        <v>5125</v>
      </c>
      <c r="G752" s="15273" t="s">
        <v>5113</v>
      </c>
    </row>
    <row r="753" spans="1:7" ht="6" customHeight="1" thickBot="1">
      <c r="A753" s="4589"/>
      <c r="B753" s="4545"/>
      <c r="C753" s="15282"/>
      <c r="D753" s="15275"/>
      <c r="E753" s="4552"/>
      <c r="F753" s="15275"/>
      <c r="G753" s="15275"/>
    </row>
    <row r="754" spans="1:7" ht="40.5" customHeight="1" thickBot="1">
      <c r="A754" s="4569"/>
      <c r="B754" s="4578" t="s">
        <v>7814</v>
      </c>
      <c r="C754" s="4682"/>
      <c r="D754" s="4552"/>
      <c r="E754" s="4561" t="s">
        <v>8709</v>
      </c>
      <c r="F754" s="4552" t="s">
        <v>5125</v>
      </c>
      <c r="G754" s="4552" t="s">
        <v>5113</v>
      </c>
    </row>
    <row r="755" spans="1:7" ht="28.5" customHeight="1">
      <c r="A755" s="4588"/>
      <c r="B755" s="4542" t="s">
        <v>7815</v>
      </c>
      <c r="C755" s="15281" t="s">
        <v>7774</v>
      </c>
      <c r="D755" s="15273" t="s">
        <v>7816</v>
      </c>
      <c r="E755" s="4564">
        <v>3</v>
      </c>
      <c r="F755" s="15273" t="s">
        <v>5125</v>
      </c>
      <c r="G755" s="15273" t="s">
        <v>5113</v>
      </c>
    </row>
    <row r="756" spans="1:7" ht="0.75" customHeight="1" thickBot="1">
      <c r="A756" s="4589"/>
      <c r="B756" s="4545"/>
      <c r="C756" s="15282"/>
      <c r="D756" s="15275"/>
      <c r="E756" s="4552"/>
      <c r="F756" s="15275"/>
      <c r="G756" s="15275"/>
    </row>
    <row r="757" spans="1:7" ht="24" customHeight="1">
      <c r="A757" s="4588"/>
      <c r="B757" s="4542" t="s">
        <v>7817</v>
      </c>
      <c r="C757" s="15281" t="s">
        <v>7765</v>
      </c>
      <c r="D757" s="15273" t="s">
        <v>7818</v>
      </c>
      <c r="E757" s="4564">
        <v>6</v>
      </c>
      <c r="F757" s="15273" t="s">
        <v>5125</v>
      </c>
      <c r="G757" s="15273" t="s">
        <v>5113</v>
      </c>
    </row>
    <row r="758" spans="1:7" ht="5.25" customHeight="1" thickBot="1">
      <c r="A758" s="4589"/>
      <c r="B758" s="4545"/>
      <c r="C758" s="15282"/>
      <c r="D758" s="15275"/>
      <c r="E758" s="4552"/>
      <c r="F758" s="15275"/>
      <c r="G758" s="15275"/>
    </row>
    <row r="759" spans="1:7" ht="24.75" customHeight="1">
      <c r="A759" s="4588"/>
      <c r="B759" s="4542" t="s">
        <v>7819</v>
      </c>
      <c r="C759" s="15281" t="s">
        <v>7765</v>
      </c>
      <c r="D759" s="15273" t="s">
        <v>7818</v>
      </c>
      <c r="E759" s="4564">
        <v>4</v>
      </c>
      <c r="F759" s="15273" t="s">
        <v>5125</v>
      </c>
      <c r="G759" s="15273" t="s">
        <v>5113</v>
      </c>
    </row>
    <row r="760" spans="1:7" ht="3" customHeight="1" thickBot="1">
      <c r="A760" s="4589"/>
      <c r="B760" s="4545"/>
      <c r="C760" s="15282"/>
      <c r="D760" s="15275"/>
      <c r="E760" s="4552"/>
      <c r="F760" s="15275"/>
      <c r="G760" s="15275"/>
    </row>
    <row r="761" spans="1:7" ht="22.5" customHeight="1">
      <c r="A761" s="4588"/>
      <c r="B761" s="4542" t="s">
        <v>7820</v>
      </c>
      <c r="C761" s="15281" t="s">
        <v>7765</v>
      </c>
      <c r="D761" s="15273" t="s">
        <v>7818</v>
      </c>
      <c r="E761" s="4564">
        <v>6</v>
      </c>
      <c r="F761" s="15273" t="s">
        <v>5125</v>
      </c>
      <c r="G761" s="15273" t="s">
        <v>5113</v>
      </c>
    </row>
    <row r="762" spans="1:7" ht="6" customHeight="1" thickBot="1">
      <c r="A762" s="4589"/>
      <c r="B762" s="4545"/>
      <c r="C762" s="15282"/>
      <c r="D762" s="15275"/>
      <c r="E762" s="4552"/>
      <c r="F762" s="15275"/>
      <c r="G762" s="15275"/>
    </row>
    <row r="763" spans="1:7" ht="16.5" customHeight="1">
      <c r="A763" s="4588"/>
      <c r="B763" s="4542" t="s">
        <v>7821</v>
      </c>
      <c r="C763" s="15281"/>
      <c r="D763" s="15273" t="s">
        <v>7822</v>
      </c>
      <c r="E763" s="4564">
        <v>2</v>
      </c>
      <c r="F763" s="15273" t="s">
        <v>5125</v>
      </c>
      <c r="G763" s="15273" t="s">
        <v>5113</v>
      </c>
    </row>
    <row r="764" spans="1:7" ht="14.25" customHeight="1" thickBot="1">
      <c r="A764" s="4589"/>
      <c r="B764" s="4545"/>
      <c r="C764" s="15282"/>
      <c r="D764" s="15275"/>
      <c r="E764" s="4552"/>
      <c r="F764" s="15275"/>
      <c r="G764" s="15275"/>
    </row>
    <row r="765" spans="1:7" ht="40.5" customHeight="1">
      <c r="A765" s="4588"/>
      <c r="B765" s="4574" t="s">
        <v>7823</v>
      </c>
      <c r="C765" s="15281" t="s">
        <v>7824</v>
      </c>
      <c r="D765" s="15273" t="s">
        <v>7825</v>
      </c>
      <c r="E765" s="4564">
        <v>100</v>
      </c>
      <c r="F765" s="15273" t="s">
        <v>5125</v>
      </c>
      <c r="G765" s="15273" t="s">
        <v>5113</v>
      </c>
    </row>
    <row r="766" spans="1:7" ht="1.5" customHeight="1" thickBot="1">
      <c r="A766" s="4589"/>
      <c r="B766" s="4575"/>
      <c r="C766" s="15282"/>
      <c r="D766" s="15275"/>
      <c r="E766" s="4552"/>
      <c r="F766" s="15275"/>
      <c r="G766" s="15275"/>
    </row>
    <row r="767" spans="1:7" ht="24.75" customHeight="1">
      <c r="A767" s="4588"/>
      <c r="B767" s="4542"/>
      <c r="C767" s="15281"/>
      <c r="D767" s="15273" t="s">
        <v>7826</v>
      </c>
      <c r="E767" s="4564">
        <v>4</v>
      </c>
      <c r="F767" s="15273" t="s">
        <v>5125</v>
      </c>
      <c r="G767" s="15273" t="s">
        <v>5113</v>
      </c>
    </row>
    <row r="768" spans="1:7" ht="2.25" customHeight="1" thickBot="1">
      <c r="A768" s="4589"/>
      <c r="B768" s="4545"/>
      <c r="C768" s="15282"/>
      <c r="D768" s="15275"/>
      <c r="E768" s="4552"/>
      <c r="F768" s="15275"/>
      <c r="G768" s="15275"/>
    </row>
    <row r="769" spans="1:7" ht="24.75" customHeight="1">
      <c r="A769" s="4588"/>
      <c r="B769" s="4542"/>
      <c r="C769" s="15281" t="s">
        <v>7750</v>
      </c>
      <c r="D769" s="15273" t="s">
        <v>7827</v>
      </c>
      <c r="E769" s="4564">
        <v>2</v>
      </c>
      <c r="F769" s="15273" t="s">
        <v>5125</v>
      </c>
      <c r="G769" s="15273" t="s">
        <v>5113</v>
      </c>
    </row>
    <row r="770" spans="1:7" ht="2.25" customHeight="1" thickBot="1">
      <c r="A770" s="4589"/>
      <c r="B770" s="4545"/>
      <c r="C770" s="15282"/>
      <c r="D770" s="15275"/>
      <c r="E770" s="4552"/>
      <c r="F770" s="15275"/>
      <c r="G770" s="15275"/>
    </row>
    <row r="771" spans="1:7" ht="15.75" customHeight="1">
      <c r="A771" s="4641"/>
      <c r="B771" s="4642"/>
      <c r="C771" s="4679"/>
      <c r="D771" s="4643"/>
      <c r="E771" s="4643"/>
      <c r="F771" s="4643"/>
      <c r="G771" s="4643"/>
    </row>
    <row r="772" spans="1:7" ht="15.75" customHeight="1">
      <c r="A772" s="4636"/>
      <c r="B772" s="4626"/>
      <c r="C772" s="4673"/>
      <c r="D772" s="4538"/>
      <c r="E772" s="4538"/>
      <c r="F772" s="4538"/>
      <c r="G772" s="4538"/>
    </row>
    <row r="773" spans="1:7" ht="15.75" customHeight="1">
      <c r="A773" s="4636"/>
      <c r="B773" s="4626"/>
      <c r="C773" s="4673"/>
      <c r="D773" s="4538"/>
      <c r="E773" s="4538"/>
      <c r="F773" s="4538"/>
      <c r="G773" s="4538"/>
    </row>
    <row r="774" spans="1:7" ht="15.75" customHeight="1">
      <c r="A774" s="4636"/>
      <c r="B774" s="4626"/>
      <c r="C774" s="4673"/>
      <c r="D774" s="4538"/>
      <c r="E774" s="4538"/>
      <c r="F774" s="4538"/>
      <c r="G774" s="4538"/>
    </row>
    <row r="775" spans="1:7" ht="15.75" customHeight="1" thickBot="1">
      <c r="A775" s="4645"/>
      <c r="B775" s="4646"/>
      <c r="C775" s="4680"/>
      <c r="D775" s="4637"/>
      <c r="E775" s="4637"/>
      <c r="F775" s="4637"/>
      <c r="G775" s="4637"/>
    </row>
    <row r="776" spans="1:7" ht="28.5" customHeight="1" thickBot="1">
      <c r="A776" s="4594" t="s">
        <v>2056</v>
      </c>
      <c r="B776" s="4539" t="s">
        <v>2540</v>
      </c>
      <c r="C776" s="4692" t="s">
        <v>1736</v>
      </c>
      <c r="D776" s="4540" t="s">
        <v>1760</v>
      </c>
      <c r="E776" s="4540" t="s">
        <v>1764</v>
      </c>
      <c r="F776" s="15294" t="s">
        <v>2541</v>
      </c>
      <c r="G776" s="15295"/>
    </row>
    <row r="777" spans="1:7" ht="15" customHeight="1" thickBot="1">
      <c r="A777" s="4545"/>
      <c r="B777" s="4541"/>
      <c r="C777" s="4678"/>
      <c r="D777" s="4565"/>
      <c r="E777" s="4565"/>
      <c r="F777" s="4705" t="s">
        <v>1789</v>
      </c>
      <c r="G777" s="4705" t="s">
        <v>1790</v>
      </c>
    </row>
    <row r="778" spans="1:7" ht="30" customHeight="1">
      <c r="A778" s="4588"/>
      <c r="B778" s="4574" t="s">
        <v>3575</v>
      </c>
      <c r="C778" s="15281" t="s">
        <v>7828</v>
      </c>
      <c r="D778" s="15273"/>
      <c r="E778" s="4564" t="s">
        <v>7829</v>
      </c>
      <c r="F778" s="15273" t="s">
        <v>5125</v>
      </c>
      <c r="G778" s="15273" t="s">
        <v>5113</v>
      </c>
    </row>
    <row r="779" spans="1:7" ht="3" customHeight="1" thickBot="1">
      <c r="A779" s="4589"/>
      <c r="B779" s="4575"/>
      <c r="C779" s="15282"/>
      <c r="D779" s="15275"/>
      <c r="E779" s="4552"/>
      <c r="F779" s="15275"/>
      <c r="G779" s="15275"/>
    </row>
    <row r="780" spans="1:7" ht="16.5" customHeight="1">
      <c r="A780" s="4588"/>
      <c r="B780" s="4542" t="s">
        <v>7830</v>
      </c>
      <c r="C780" s="15281" t="s">
        <v>7824</v>
      </c>
      <c r="D780" s="15273" t="s">
        <v>7818</v>
      </c>
      <c r="E780" s="4564">
        <v>16</v>
      </c>
      <c r="F780" s="15273" t="s">
        <v>5125</v>
      </c>
      <c r="G780" s="15273" t="s">
        <v>5113</v>
      </c>
    </row>
    <row r="781" spans="1:7" ht="11.25" customHeight="1" thickBot="1">
      <c r="A781" s="4589"/>
      <c r="B781" s="4545"/>
      <c r="C781" s="15282"/>
      <c r="D781" s="15275"/>
      <c r="E781" s="4552"/>
      <c r="F781" s="15275"/>
      <c r="G781" s="15275"/>
    </row>
    <row r="782" spans="1:7" ht="12.75" customHeight="1">
      <c r="A782" s="4588"/>
      <c r="B782" s="4542" t="s">
        <v>7831</v>
      </c>
      <c r="C782" s="15281" t="s">
        <v>7694</v>
      </c>
      <c r="D782" s="15273" t="s">
        <v>8710</v>
      </c>
      <c r="E782" s="4564">
        <v>12</v>
      </c>
      <c r="F782" s="15273" t="s">
        <v>5125</v>
      </c>
      <c r="G782" s="15273" t="s">
        <v>5113</v>
      </c>
    </row>
    <row r="783" spans="1:7" ht="27" customHeight="1" thickBot="1">
      <c r="A783" s="4589"/>
      <c r="B783" s="4545"/>
      <c r="C783" s="15282"/>
      <c r="D783" s="15275"/>
      <c r="E783" s="4552"/>
      <c r="F783" s="15275"/>
      <c r="G783" s="15275"/>
    </row>
    <row r="784" spans="1:7" ht="28.5" customHeight="1">
      <c r="A784" s="4588"/>
      <c r="B784" s="4542" t="s">
        <v>7832</v>
      </c>
      <c r="C784" s="15281" t="s">
        <v>7765</v>
      </c>
      <c r="D784" s="15273" t="s">
        <v>7833</v>
      </c>
      <c r="E784" s="4564" t="s">
        <v>7834</v>
      </c>
      <c r="F784" s="15273" t="s">
        <v>5125</v>
      </c>
      <c r="G784" s="15273" t="s">
        <v>5113</v>
      </c>
    </row>
    <row r="785" spans="1:7" ht="6" customHeight="1" thickBot="1">
      <c r="A785" s="4589"/>
      <c r="B785" s="4545"/>
      <c r="C785" s="15282"/>
      <c r="D785" s="15275"/>
      <c r="E785" s="4552"/>
      <c r="F785" s="15275"/>
      <c r="G785" s="15275"/>
    </row>
    <row r="786" spans="1:7" ht="42" customHeight="1">
      <c r="A786" s="4588"/>
      <c r="B786" s="4542" t="s">
        <v>7835</v>
      </c>
      <c r="C786" s="15281"/>
      <c r="D786" s="15273" t="s">
        <v>7836</v>
      </c>
      <c r="E786" s="4564">
        <v>12</v>
      </c>
      <c r="F786" s="15273" t="s">
        <v>5125</v>
      </c>
      <c r="G786" s="15273" t="s">
        <v>5113</v>
      </c>
    </row>
    <row r="787" spans="1:7" ht="5.25" customHeight="1" thickBot="1">
      <c r="A787" s="4589"/>
      <c r="B787" s="4545"/>
      <c r="C787" s="15282"/>
      <c r="D787" s="15275"/>
      <c r="E787" s="4552"/>
      <c r="F787" s="15275"/>
      <c r="G787" s="15275"/>
    </row>
    <row r="788" spans="1:7" ht="39" customHeight="1">
      <c r="A788" s="4588"/>
      <c r="B788" s="4542" t="s">
        <v>7837</v>
      </c>
      <c r="C788" s="15281" t="s">
        <v>7838</v>
      </c>
      <c r="D788" s="15273" t="s">
        <v>7839</v>
      </c>
      <c r="E788" s="4564" t="s">
        <v>8711</v>
      </c>
      <c r="F788" s="15273" t="s">
        <v>5125</v>
      </c>
      <c r="G788" s="15273" t="s">
        <v>5113</v>
      </c>
    </row>
    <row r="789" spans="1:7" ht="5.25" customHeight="1" thickBot="1">
      <c r="A789" s="4589"/>
      <c r="B789" s="4545"/>
      <c r="C789" s="15282"/>
      <c r="D789" s="15275"/>
      <c r="E789" s="4552"/>
      <c r="F789" s="15275"/>
      <c r="G789" s="15275"/>
    </row>
    <row r="790" spans="1:7" ht="27.75" customHeight="1">
      <c r="A790" s="4588"/>
      <c r="B790" s="4542" t="s">
        <v>7840</v>
      </c>
      <c r="C790" s="15281" t="s">
        <v>7750</v>
      </c>
      <c r="D790" s="15273" t="s">
        <v>7841</v>
      </c>
      <c r="E790" s="4564" t="s">
        <v>7842</v>
      </c>
      <c r="F790" s="15273" t="s">
        <v>5125</v>
      </c>
      <c r="G790" s="15273" t="s">
        <v>5113</v>
      </c>
    </row>
    <row r="791" spans="1:7" ht="5.25" customHeight="1" thickBot="1">
      <c r="A791" s="4589"/>
      <c r="B791" s="4545"/>
      <c r="C791" s="15282"/>
      <c r="D791" s="15275"/>
      <c r="E791" s="4552"/>
      <c r="F791" s="15275"/>
      <c r="G791" s="15275"/>
    </row>
    <row r="792" spans="1:7" ht="54" customHeight="1">
      <c r="A792" s="4588"/>
      <c r="B792" s="4542" t="s">
        <v>7843</v>
      </c>
      <c r="C792" s="15281" t="s">
        <v>7698</v>
      </c>
      <c r="D792" s="15273" t="s">
        <v>7844</v>
      </c>
      <c r="E792" s="4564" t="s">
        <v>7845</v>
      </c>
      <c r="F792" s="15273" t="s">
        <v>5125</v>
      </c>
      <c r="G792" s="15273" t="s">
        <v>5113</v>
      </c>
    </row>
    <row r="793" spans="1:7" ht="3" customHeight="1" thickBot="1">
      <c r="A793" s="4589"/>
      <c r="B793" s="4545"/>
      <c r="C793" s="15282"/>
      <c r="D793" s="15275"/>
      <c r="E793" s="4552"/>
      <c r="F793" s="15275"/>
      <c r="G793" s="15275"/>
    </row>
    <row r="794" spans="1:7" ht="16.5" customHeight="1">
      <c r="A794" s="4588"/>
      <c r="B794" s="4542" t="s">
        <v>7846</v>
      </c>
      <c r="C794" s="15281" t="s">
        <v>7847</v>
      </c>
      <c r="D794" s="15273" t="s">
        <v>7848</v>
      </c>
      <c r="E794" s="4564" t="s">
        <v>1974</v>
      </c>
      <c r="F794" s="15273" t="s">
        <v>5125</v>
      </c>
      <c r="G794" s="15273" t="s">
        <v>5113</v>
      </c>
    </row>
    <row r="795" spans="1:7" ht="13.5" customHeight="1" thickBot="1">
      <c r="A795" s="4589"/>
      <c r="B795" s="4545"/>
      <c r="C795" s="15282"/>
      <c r="D795" s="15275"/>
      <c r="E795" s="4552"/>
      <c r="F795" s="15275"/>
      <c r="G795" s="15275"/>
    </row>
    <row r="796" spans="1:7" ht="40.5" customHeight="1">
      <c r="A796" s="4588"/>
      <c r="B796" s="4542" t="s">
        <v>7849</v>
      </c>
      <c r="C796" s="15281" t="s">
        <v>7750</v>
      </c>
      <c r="D796" s="15273" t="s">
        <v>7850</v>
      </c>
      <c r="E796" s="4564" t="s">
        <v>7851</v>
      </c>
      <c r="F796" s="15273" t="s">
        <v>5125</v>
      </c>
      <c r="G796" s="15273" t="s">
        <v>5113</v>
      </c>
    </row>
    <row r="797" spans="1:7" ht="3" customHeight="1" thickBot="1">
      <c r="A797" s="4589"/>
      <c r="B797" s="4545"/>
      <c r="C797" s="15282"/>
      <c r="D797" s="15275"/>
      <c r="E797" s="4552"/>
      <c r="F797" s="15275"/>
      <c r="G797" s="15275"/>
    </row>
    <row r="798" spans="1:7" ht="4.5" customHeight="1">
      <c r="A798" s="4588"/>
      <c r="B798" s="4574"/>
      <c r="C798" s="15281"/>
      <c r="D798" s="15273"/>
      <c r="E798" s="4564"/>
      <c r="F798" s="15273" t="s">
        <v>5125</v>
      </c>
      <c r="G798" s="15273" t="s">
        <v>5113</v>
      </c>
    </row>
    <row r="799" spans="1:7" ht="33" customHeight="1" thickBot="1">
      <c r="A799" s="4589"/>
      <c r="B799" s="4575" t="s">
        <v>9623</v>
      </c>
      <c r="C799" s="15282"/>
      <c r="D799" s="15275"/>
      <c r="E799" s="4552"/>
      <c r="F799" s="15275"/>
      <c r="G799" s="15275"/>
    </row>
    <row r="800" spans="1:7">
      <c r="A800" s="4588"/>
      <c r="B800" s="4574" t="s">
        <v>7852</v>
      </c>
      <c r="C800" s="15281"/>
      <c r="D800" s="15273"/>
      <c r="E800" s="4564"/>
      <c r="F800" s="15273" t="s">
        <v>5125</v>
      </c>
      <c r="G800" s="15273" t="s">
        <v>5113</v>
      </c>
    </row>
    <row r="801" spans="1:7" ht="13.8" thickBot="1">
      <c r="A801" s="4589"/>
      <c r="B801" s="4575" t="s">
        <v>7853</v>
      </c>
      <c r="C801" s="15282"/>
      <c r="D801" s="15275"/>
      <c r="E801" s="4552"/>
      <c r="F801" s="15275"/>
      <c r="G801" s="15275"/>
    </row>
    <row r="802" spans="1:7" ht="15.75" customHeight="1">
      <c r="A802" s="4588"/>
      <c r="B802" s="15265" t="s">
        <v>8712</v>
      </c>
      <c r="C802" s="15281"/>
      <c r="D802" s="4544" t="s">
        <v>7854</v>
      </c>
      <c r="E802" s="15273" t="s">
        <v>7856</v>
      </c>
      <c r="F802" s="15273" t="s">
        <v>5125</v>
      </c>
      <c r="G802" s="15273" t="s">
        <v>5113</v>
      </c>
    </row>
    <row r="803" spans="1:7" ht="14.25" customHeight="1">
      <c r="A803" s="4595"/>
      <c r="B803" s="15300"/>
      <c r="C803" s="15301"/>
      <c r="D803" s="4544" t="s">
        <v>7855</v>
      </c>
      <c r="E803" s="15274"/>
      <c r="F803" s="15274"/>
      <c r="G803" s="15274"/>
    </row>
    <row r="804" spans="1:7" ht="1.5" customHeight="1" thickBot="1">
      <c r="A804" s="4589"/>
      <c r="B804" s="4545"/>
      <c r="C804" s="15282"/>
      <c r="D804" s="4552"/>
      <c r="E804" s="4552"/>
      <c r="F804" s="15275"/>
      <c r="G804" s="15275"/>
    </row>
    <row r="805" spans="1:7" ht="16.5" customHeight="1">
      <c r="A805" s="4588"/>
      <c r="B805" s="4542"/>
      <c r="C805" s="15281"/>
      <c r="D805" s="4544" t="s">
        <v>7857</v>
      </c>
      <c r="E805" s="15273" t="s">
        <v>7861</v>
      </c>
      <c r="F805" s="15273" t="s">
        <v>5125</v>
      </c>
      <c r="G805" s="15273" t="s">
        <v>5113</v>
      </c>
    </row>
    <row r="806" spans="1:7" ht="30" customHeight="1">
      <c r="A806" s="4595"/>
      <c r="B806" s="4543"/>
      <c r="C806" s="15301"/>
      <c r="D806" s="4544" t="s">
        <v>7858</v>
      </c>
      <c r="E806" s="15274"/>
      <c r="F806" s="15274"/>
      <c r="G806" s="15274"/>
    </row>
    <row r="807" spans="1:7" ht="28.5" customHeight="1">
      <c r="A807" s="4595"/>
      <c r="B807" s="4543"/>
      <c r="C807" s="15301"/>
      <c r="D807" s="4544" t="s">
        <v>7859</v>
      </c>
      <c r="E807" s="15274"/>
      <c r="F807" s="15274"/>
      <c r="G807" s="15274"/>
    </row>
    <row r="808" spans="1:7" ht="28.5" customHeight="1" thickBot="1">
      <c r="A808" s="4589"/>
      <c r="B808" s="4545"/>
      <c r="C808" s="15282"/>
      <c r="D808" s="4552" t="s">
        <v>7860</v>
      </c>
      <c r="E808" s="15275"/>
      <c r="F808" s="15275"/>
      <c r="G808" s="15275"/>
    </row>
    <row r="809" spans="1:7" ht="40.5" customHeight="1">
      <c r="A809" s="4588"/>
      <c r="B809" s="4542"/>
      <c r="C809" s="15281"/>
      <c r="D809" s="15273" t="s">
        <v>7862</v>
      </c>
      <c r="E809" s="4564" t="s">
        <v>7863</v>
      </c>
      <c r="F809" s="15273" t="s">
        <v>5125</v>
      </c>
      <c r="G809" s="15273" t="s">
        <v>5113</v>
      </c>
    </row>
    <row r="810" spans="1:7" ht="4.5" customHeight="1" thickBot="1">
      <c r="A810" s="4589"/>
      <c r="B810" s="4545"/>
      <c r="C810" s="15282"/>
      <c r="D810" s="15275"/>
      <c r="E810" s="4552"/>
      <c r="F810" s="15275"/>
      <c r="G810" s="15275"/>
    </row>
    <row r="811" spans="1:7" ht="14.25" customHeight="1">
      <c r="A811" s="4588"/>
      <c r="B811" s="4574" t="s">
        <v>7864</v>
      </c>
      <c r="C811" s="15281"/>
      <c r="D811" s="15273"/>
      <c r="E811" s="4564"/>
      <c r="F811" s="15273" t="s">
        <v>5125</v>
      </c>
      <c r="G811" s="15273" t="s">
        <v>5113</v>
      </c>
    </row>
    <row r="812" spans="1:7" ht="28.5" customHeight="1" thickBot="1">
      <c r="A812" s="4589"/>
      <c r="B812" s="4575" t="s">
        <v>7865</v>
      </c>
      <c r="C812" s="15282"/>
      <c r="D812" s="15275"/>
      <c r="E812" s="4552"/>
      <c r="F812" s="15275"/>
      <c r="G812" s="15275"/>
    </row>
    <row r="813" spans="1:7" ht="12.75" customHeight="1">
      <c r="A813" s="4588"/>
      <c r="B813" s="4601" t="s">
        <v>7866</v>
      </c>
      <c r="C813" s="15281"/>
      <c r="D813" s="15273"/>
      <c r="E813" s="4564"/>
      <c r="F813" s="15273" t="s">
        <v>5125</v>
      </c>
      <c r="G813" s="15273" t="s">
        <v>5113</v>
      </c>
    </row>
    <row r="814" spans="1:7" ht="15.75" customHeight="1">
      <c r="A814" s="4595"/>
      <c r="B814" s="4602" t="s">
        <v>7867</v>
      </c>
      <c r="C814" s="15301"/>
      <c r="D814" s="15274"/>
      <c r="E814" s="4544"/>
      <c r="F814" s="15274"/>
      <c r="G814" s="15274"/>
    </row>
    <row r="815" spans="1:7" ht="1.5" customHeight="1" thickBot="1">
      <c r="A815" s="4589"/>
      <c r="B815" s="4545"/>
      <c r="C815" s="15282"/>
      <c r="D815" s="15275"/>
      <c r="E815" s="4552"/>
      <c r="F815" s="15275"/>
      <c r="G815" s="15275"/>
    </row>
    <row r="816" spans="1:7" ht="15" customHeight="1">
      <c r="A816" s="4588"/>
      <c r="B816" s="4542" t="s">
        <v>7868</v>
      </c>
      <c r="C816" s="15281"/>
      <c r="D816" s="15273"/>
      <c r="E816" s="4564"/>
      <c r="F816" s="15273" t="s">
        <v>5125</v>
      </c>
      <c r="G816" s="15273" t="s">
        <v>5113</v>
      </c>
    </row>
    <row r="817" spans="1:7" ht="29.25" customHeight="1" thickBot="1">
      <c r="A817" s="4589"/>
      <c r="B817" s="4545" t="s">
        <v>7869</v>
      </c>
      <c r="C817" s="15282"/>
      <c r="D817" s="15275"/>
      <c r="E817" s="4552"/>
      <c r="F817" s="15275"/>
      <c r="G817" s="15275"/>
    </row>
    <row r="818" spans="1:7" ht="21.75" customHeight="1">
      <c r="A818" s="4588"/>
      <c r="B818" s="4542" t="s">
        <v>7870</v>
      </c>
      <c r="C818" s="4683">
        <v>150000</v>
      </c>
      <c r="D818" s="4564" t="s">
        <v>7872</v>
      </c>
      <c r="E818" s="15273" t="s">
        <v>7873</v>
      </c>
      <c r="F818" s="4564" t="s">
        <v>5125</v>
      </c>
      <c r="G818" s="4564" t="s">
        <v>5113</v>
      </c>
    </row>
    <row r="819" spans="1:7" ht="31.5" customHeight="1" thickBot="1">
      <c r="A819" s="4595"/>
      <c r="B819" s="4543" t="s">
        <v>7871</v>
      </c>
      <c r="C819" s="4684"/>
      <c r="D819" s="4544"/>
      <c r="E819" s="15274"/>
      <c r="F819" s="4544"/>
      <c r="G819" s="4544"/>
    </row>
    <row r="820" spans="1:7" ht="15" customHeight="1">
      <c r="A820" s="4641"/>
      <c r="B820" s="4642"/>
      <c r="C820" s="4679"/>
      <c r="D820" s="4643"/>
      <c r="E820" s="4643"/>
      <c r="F820" s="4643"/>
      <c r="G820" s="4643"/>
    </row>
    <row r="821" spans="1:7" ht="15" customHeight="1">
      <c r="A821" s="4636"/>
      <c r="B821" s="4626"/>
      <c r="C821" s="4673"/>
      <c r="D821" s="4538"/>
      <c r="E821" s="4538"/>
      <c r="F821" s="4538"/>
      <c r="G821" s="4538"/>
    </row>
    <row r="822" spans="1:7" ht="15" customHeight="1">
      <c r="A822" s="4636"/>
      <c r="B822" s="4626"/>
      <c r="C822" s="4673"/>
      <c r="D822" s="4538"/>
      <c r="E822" s="4538"/>
      <c r="F822" s="4538"/>
      <c r="G822" s="4538"/>
    </row>
    <row r="823" spans="1:7" ht="15" customHeight="1">
      <c r="A823" s="4636"/>
      <c r="B823" s="4626"/>
      <c r="C823" s="4673"/>
      <c r="D823" s="4538"/>
      <c r="E823" s="4538"/>
      <c r="F823" s="4538"/>
      <c r="G823" s="4538"/>
    </row>
    <row r="824" spans="1:7" ht="15" customHeight="1">
      <c r="A824" s="4636"/>
      <c r="B824" s="4626"/>
      <c r="C824" s="4673"/>
      <c r="D824" s="4538"/>
      <c r="E824" s="4538"/>
      <c r="F824" s="4538"/>
      <c r="G824" s="4538"/>
    </row>
    <row r="825" spans="1:7" ht="15" customHeight="1">
      <c r="A825" s="4636"/>
      <c r="B825" s="4626"/>
      <c r="C825" s="4673"/>
      <c r="D825" s="4538"/>
      <c r="E825" s="4538"/>
      <c r="F825" s="4538"/>
      <c r="G825" s="4538"/>
    </row>
    <row r="826" spans="1:7" ht="15" customHeight="1">
      <c r="A826" s="4636"/>
      <c r="B826" s="4626"/>
      <c r="C826" s="4673"/>
      <c r="D826" s="4538"/>
      <c r="E826" s="4538"/>
      <c r="F826" s="4538"/>
      <c r="G826" s="4538"/>
    </row>
    <row r="827" spans="1:7" ht="15" customHeight="1" thickBot="1">
      <c r="A827" s="4645"/>
      <c r="B827" s="4646"/>
      <c r="C827" s="4680"/>
      <c r="D827" s="4637"/>
      <c r="E827" s="4637"/>
      <c r="F827" s="4637"/>
      <c r="G827" s="4637"/>
    </row>
    <row r="828" spans="1:7" ht="28.5" customHeight="1" thickBot="1">
      <c r="A828" s="4594" t="s">
        <v>2056</v>
      </c>
      <c r="B828" s="4539" t="s">
        <v>2540</v>
      </c>
      <c r="C828" s="4692" t="s">
        <v>1736</v>
      </c>
      <c r="D828" s="4540" t="s">
        <v>1760</v>
      </c>
      <c r="E828" s="4540" t="s">
        <v>1764</v>
      </c>
      <c r="F828" s="15294" t="s">
        <v>2541</v>
      </c>
      <c r="G828" s="15295"/>
    </row>
    <row r="829" spans="1:7" ht="15" customHeight="1" thickBot="1">
      <c r="A829" s="4545"/>
      <c r="B829" s="4541"/>
      <c r="C829" s="4678"/>
      <c r="D829" s="4565"/>
      <c r="E829" s="4565"/>
      <c r="F829" s="4705" t="s">
        <v>1789</v>
      </c>
      <c r="G829" s="4705" t="s">
        <v>1790</v>
      </c>
    </row>
    <row r="830" spans="1:7" ht="16.5" customHeight="1">
      <c r="A830" s="4588"/>
      <c r="B830" s="4542" t="s">
        <v>7874</v>
      </c>
      <c r="C830" s="15281"/>
      <c r="D830" s="15273" t="s">
        <v>7876</v>
      </c>
      <c r="E830" s="15273" t="s">
        <v>7877</v>
      </c>
      <c r="F830" s="15273" t="s">
        <v>5125</v>
      </c>
      <c r="G830" s="15273" t="s">
        <v>5113</v>
      </c>
    </row>
    <row r="831" spans="1:7" ht="42" customHeight="1" thickBot="1">
      <c r="A831" s="4589"/>
      <c r="B831" s="4545" t="s">
        <v>7875</v>
      </c>
      <c r="C831" s="15282"/>
      <c r="D831" s="15275"/>
      <c r="E831" s="15275"/>
      <c r="F831" s="15275"/>
      <c r="G831" s="15275"/>
    </row>
    <row r="832" spans="1:7" ht="15.75" customHeight="1">
      <c r="A832" s="4588"/>
      <c r="B832" s="4542" t="s">
        <v>7874</v>
      </c>
      <c r="C832" s="15281"/>
      <c r="D832" s="4544"/>
      <c r="E832" s="15273" t="s">
        <v>7878</v>
      </c>
      <c r="F832" s="15273" t="s">
        <v>5125</v>
      </c>
      <c r="G832" s="15273" t="s">
        <v>5113</v>
      </c>
    </row>
    <row r="833" spans="1:7" ht="39.75" customHeight="1">
      <c r="A833" s="4595"/>
      <c r="B833" s="4543" t="s">
        <v>7875</v>
      </c>
      <c r="C833" s="15301"/>
      <c r="D833" s="4544" t="s">
        <v>7876</v>
      </c>
      <c r="E833" s="15274"/>
      <c r="F833" s="15274"/>
      <c r="G833" s="15274"/>
    </row>
    <row r="834" spans="1:7" ht="4.5" customHeight="1" thickBot="1">
      <c r="A834" s="4589"/>
      <c r="B834" s="4545"/>
      <c r="C834" s="15282"/>
      <c r="D834" s="4552"/>
      <c r="E834" s="4552"/>
      <c r="F834" s="15275"/>
      <c r="G834" s="15275"/>
    </row>
    <row r="835" spans="1:7" ht="12.75" customHeight="1">
      <c r="A835" s="4588"/>
      <c r="B835" s="4542" t="s">
        <v>7879</v>
      </c>
      <c r="C835" s="15281">
        <v>100000</v>
      </c>
      <c r="D835" s="15273" t="s">
        <v>7881</v>
      </c>
      <c r="E835" s="15273" t="s">
        <v>7882</v>
      </c>
      <c r="F835" s="15273" t="s">
        <v>5125</v>
      </c>
      <c r="G835" s="15273" t="s">
        <v>5113</v>
      </c>
    </row>
    <row r="836" spans="1:7" ht="15" customHeight="1">
      <c r="A836" s="4595"/>
      <c r="B836" s="4543" t="s">
        <v>7880</v>
      </c>
      <c r="C836" s="15301"/>
      <c r="D836" s="15274"/>
      <c r="E836" s="15274"/>
      <c r="F836" s="15274"/>
      <c r="G836" s="15274"/>
    </row>
    <row r="837" spans="1:7" ht="3.75" customHeight="1" thickBot="1">
      <c r="A837" s="4589"/>
      <c r="B837" s="4545"/>
      <c r="C837" s="15282"/>
      <c r="D837" s="15275"/>
      <c r="E837" s="4552"/>
      <c r="F837" s="15275"/>
      <c r="G837" s="15275"/>
    </row>
    <row r="838" spans="1:7" ht="13.5" customHeight="1">
      <c r="A838" s="4588"/>
      <c r="B838" s="4542" t="s">
        <v>7883</v>
      </c>
      <c r="C838" s="15281"/>
      <c r="D838" s="15273" t="s">
        <v>7885</v>
      </c>
      <c r="E838" s="15265" t="s">
        <v>7886</v>
      </c>
      <c r="F838" s="15273" t="s">
        <v>5125</v>
      </c>
      <c r="G838" s="15273" t="s">
        <v>5113</v>
      </c>
    </row>
    <row r="839" spans="1:7" ht="78" customHeight="1">
      <c r="A839" s="4595"/>
      <c r="B839" s="4543" t="s">
        <v>7884</v>
      </c>
      <c r="C839" s="15301"/>
      <c r="D839" s="15274"/>
      <c r="E839" s="15300"/>
      <c r="F839" s="15274"/>
      <c r="G839" s="15274"/>
    </row>
    <row r="840" spans="1:7" ht="2.25" customHeight="1" thickBot="1">
      <c r="A840" s="4589"/>
      <c r="B840" s="4545"/>
      <c r="C840" s="15282"/>
      <c r="D840" s="15275"/>
      <c r="E840" s="4552"/>
      <c r="F840" s="15275"/>
      <c r="G840" s="15275"/>
    </row>
    <row r="841" spans="1:7" ht="16.5" customHeight="1">
      <c r="A841" s="4588"/>
      <c r="B841" s="4542" t="s">
        <v>7887</v>
      </c>
      <c r="C841" s="15281"/>
      <c r="D841" s="15273"/>
      <c r="E841" s="4564"/>
      <c r="F841" s="15273" t="s">
        <v>5125</v>
      </c>
      <c r="G841" s="15273" t="s">
        <v>5113</v>
      </c>
    </row>
    <row r="842" spans="1:7" ht="29.25" customHeight="1" thickBot="1">
      <c r="A842" s="4589"/>
      <c r="B842" s="4545" t="s">
        <v>7888</v>
      </c>
      <c r="C842" s="15282"/>
      <c r="D842" s="15275"/>
      <c r="E842" s="4552"/>
      <c r="F842" s="15275"/>
      <c r="G842" s="15275"/>
    </row>
    <row r="843" spans="1:7" ht="13.5" customHeight="1">
      <c r="A843" s="4588"/>
      <c r="B843" s="4542" t="s">
        <v>7889</v>
      </c>
      <c r="C843" s="15281">
        <v>100000</v>
      </c>
      <c r="D843" s="15273" t="s">
        <v>3576</v>
      </c>
      <c r="E843" s="15265" t="s">
        <v>7891</v>
      </c>
      <c r="F843" s="15273" t="s">
        <v>5125</v>
      </c>
      <c r="G843" s="15273" t="s">
        <v>5113</v>
      </c>
    </row>
    <row r="844" spans="1:7" ht="26.25" customHeight="1">
      <c r="A844" s="4595"/>
      <c r="B844" s="4543" t="s">
        <v>7890</v>
      </c>
      <c r="C844" s="15301"/>
      <c r="D844" s="15274"/>
      <c r="E844" s="15300"/>
      <c r="F844" s="15274"/>
      <c r="G844" s="15274"/>
    </row>
    <row r="845" spans="1:7" ht="1.5" customHeight="1" thickBot="1">
      <c r="A845" s="4589"/>
      <c r="B845" s="4545"/>
      <c r="C845" s="15282"/>
      <c r="D845" s="15275"/>
      <c r="E845" s="4552"/>
      <c r="F845" s="15275"/>
      <c r="G845" s="15275"/>
    </row>
    <row r="846" spans="1:7" ht="16.5" customHeight="1" thickBot="1">
      <c r="A846" s="4569"/>
      <c r="B846" s="4570"/>
      <c r="C846" s="4682"/>
      <c r="D846" s="4552"/>
      <c r="E846" s="4561" t="s">
        <v>7892</v>
      </c>
      <c r="F846" s="4592"/>
      <c r="G846" s="4592"/>
    </row>
    <row r="847" spans="1:7" ht="27.75" customHeight="1">
      <c r="A847" s="4588"/>
      <c r="B847" s="4542"/>
      <c r="C847" s="15281"/>
      <c r="D847" s="15273" t="s">
        <v>7893</v>
      </c>
      <c r="E847" s="4564" t="s">
        <v>7894</v>
      </c>
      <c r="F847" s="15273" t="s">
        <v>5125</v>
      </c>
      <c r="G847" s="15273" t="s">
        <v>5113</v>
      </c>
    </row>
    <row r="848" spans="1:7" ht="3.75" customHeight="1" thickBot="1">
      <c r="A848" s="4589"/>
      <c r="B848" s="4545"/>
      <c r="C848" s="15282"/>
      <c r="D848" s="15275"/>
      <c r="E848" s="4552"/>
      <c r="F848" s="15275"/>
      <c r="G848" s="15275"/>
    </row>
    <row r="849" spans="1:7" ht="16.5" customHeight="1">
      <c r="A849" s="4588"/>
      <c r="B849" s="4542" t="s">
        <v>7895</v>
      </c>
      <c r="C849" s="15281"/>
      <c r="D849" s="15273" t="s">
        <v>7897</v>
      </c>
      <c r="E849" s="15265" t="s">
        <v>7898</v>
      </c>
      <c r="F849" s="15273" t="s">
        <v>5125</v>
      </c>
      <c r="G849" s="15273" t="s">
        <v>5113</v>
      </c>
    </row>
    <row r="850" spans="1:7" ht="27.75" customHeight="1">
      <c r="A850" s="4595"/>
      <c r="B850" s="4543" t="s">
        <v>7896</v>
      </c>
      <c r="C850" s="15301"/>
      <c r="D850" s="15274"/>
      <c r="E850" s="15300"/>
      <c r="F850" s="15274"/>
      <c r="G850" s="15274"/>
    </row>
    <row r="851" spans="1:7" ht="3.75" customHeight="1" thickBot="1">
      <c r="A851" s="4589"/>
      <c r="B851" s="4545"/>
      <c r="C851" s="15282"/>
      <c r="D851" s="15275"/>
      <c r="E851" s="4552"/>
      <c r="F851" s="15275"/>
      <c r="G851" s="15275"/>
    </row>
    <row r="852" spans="1:7" ht="28.5" customHeight="1">
      <c r="A852" s="4588"/>
      <c r="B852" s="4542"/>
      <c r="C852" s="15281">
        <v>100000</v>
      </c>
      <c r="D852" s="15273" t="s">
        <v>7899</v>
      </c>
      <c r="E852" s="4564" t="s">
        <v>7900</v>
      </c>
      <c r="F852" s="15273" t="s">
        <v>5125</v>
      </c>
      <c r="G852" s="15273" t="s">
        <v>5113</v>
      </c>
    </row>
    <row r="853" spans="1:7" ht="13.5" customHeight="1">
      <c r="A853" s="4595"/>
      <c r="B853" s="4543"/>
      <c r="C853" s="15301"/>
      <c r="D853" s="15274"/>
      <c r="E853" s="4544" t="s">
        <v>7901</v>
      </c>
      <c r="F853" s="15274"/>
      <c r="G853" s="15274"/>
    </row>
    <row r="854" spans="1:7" ht="29.25" customHeight="1" thickBot="1">
      <c r="A854" s="4589"/>
      <c r="B854" s="4545"/>
      <c r="C854" s="15282"/>
      <c r="D854" s="15275"/>
      <c r="E854" s="4552" t="s">
        <v>7902</v>
      </c>
      <c r="F854" s="15275"/>
      <c r="G854" s="15275"/>
    </row>
    <row r="855" spans="1:7" ht="28.5" customHeight="1">
      <c r="A855" s="4588"/>
      <c r="B855" s="4542"/>
      <c r="C855" s="15281"/>
      <c r="D855" s="15273" t="s">
        <v>7903</v>
      </c>
      <c r="E855" s="4564" t="s">
        <v>7904</v>
      </c>
      <c r="F855" s="15273" t="s">
        <v>5125</v>
      </c>
      <c r="G855" s="15273" t="s">
        <v>5113</v>
      </c>
    </row>
    <row r="856" spans="1:7" ht="3.75" customHeight="1" thickBot="1">
      <c r="A856" s="4589"/>
      <c r="B856" s="4545"/>
      <c r="C856" s="15282"/>
      <c r="D856" s="15275"/>
      <c r="E856" s="4552"/>
      <c r="F856" s="15275"/>
      <c r="G856" s="15275"/>
    </row>
    <row r="857" spans="1:7" ht="39" customHeight="1">
      <c r="A857" s="4588"/>
      <c r="B857" s="4542"/>
      <c r="C857" s="15281"/>
      <c r="D857" s="15273" t="s">
        <v>7905</v>
      </c>
      <c r="E857" s="4564" t="s">
        <v>8713</v>
      </c>
      <c r="F857" s="15273" t="s">
        <v>5125</v>
      </c>
      <c r="G857" s="15273" t="s">
        <v>5113</v>
      </c>
    </row>
    <row r="858" spans="1:7" ht="4.5" customHeight="1" thickBot="1">
      <c r="A858" s="4589"/>
      <c r="B858" s="4545"/>
      <c r="C858" s="15282"/>
      <c r="D858" s="15275"/>
      <c r="E858" s="4552"/>
      <c r="F858" s="15275"/>
      <c r="G858" s="15275"/>
    </row>
    <row r="859" spans="1:7" ht="15" customHeight="1">
      <c r="A859" s="4588"/>
      <c r="B859" s="4542" t="s">
        <v>7906</v>
      </c>
      <c r="C859" s="15281"/>
      <c r="D859" s="15273" t="s">
        <v>7908</v>
      </c>
      <c r="E859" s="15265" t="s">
        <v>7909</v>
      </c>
      <c r="F859" s="15273" t="s">
        <v>5125</v>
      </c>
      <c r="G859" s="15273" t="s">
        <v>5113</v>
      </c>
    </row>
    <row r="860" spans="1:7" ht="23.25" customHeight="1">
      <c r="A860" s="4595"/>
      <c r="B860" s="4543" t="s">
        <v>7907</v>
      </c>
      <c r="C860" s="15301"/>
      <c r="D860" s="15274"/>
      <c r="E860" s="15300"/>
      <c r="F860" s="15274"/>
      <c r="G860" s="15274"/>
    </row>
    <row r="861" spans="1:7" ht="3" customHeight="1" thickBot="1">
      <c r="A861" s="4589"/>
      <c r="B861" s="4545"/>
      <c r="C861" s="15282"/>
      <c r="D861" s="15275"/>
      <c r="E861" s="4552"/>
      <c r="F861" s="15275"/>
      <c r="G861" s="15275"/>
    </row>
    <row r="862" spans="1:7" ht="40.5" customHeight="1">
      <c r="A862" s="4588"/>
      <c r="B862" s="4542"/>
      <c r="C862" s="15281"/>
      <c r="D862" s="15273" t="s">
        <v>7910</v>
      </c>
      <c r="E862" s="4564" t="s">
        <v>7911</v>
      </c>
      <c r="F862" s="15273" t="s">
        <v>5125</v>
      </c>
      <c r="G862" s="15273" t="s">
        <v>5113</v>
      </c>
    </row>
    <row r="863" spans="1:7" ht="3.75" customHeight="1" thickBot="1">
      <c r="A863" s="4589"/>
      <c r="B863" s="4545"/>
      <c r="C863" s="15282"/>
      <c r="D863" s="15275"/>
      <c r="E863" s="4552"/>
      <c r="F863" s="15275"/>
      <c r="G863" s="15275"/>
    </row>
    <row r="864" spans="1:7" ht="13.5" customHeight="1">
      <c r="A864" s="4588"/>
      <c r="B864" s="4542" t="s">
        <v>7912</v>
      </c>
      <c r="C864" s="15281"/>
      <c r="D864" s="15273" t="s">
        <v>7914</v>
      </c>
      <c r="E864" s="15273" t="s">
        <v>7915</v>
      </c>
      <c r="F864" s="15273" t="s">
        <v>5125</v>
      </c>
      <c r="G864" s="15273" t="s">
        <v>5113</v>
      </c>
    </row>
    <row r="865" spans="1:7" ht="27.75" customHeight="1">
      <c r="A865" s="4595"/>
      <c r="B865" s="4543" t="s">
        <v>7913</v>
      </c>
      <c r="C865" s="15301"/>
      <c r="D865" s="15274"/>
      <c r="E865" s="15274"/>
      <c r="F865" s="15274"/>
      <c r="G865" s="15274"/>
    </row>
    <row r="866" spans="1:7" ht="3.75" customHeight="1" thickBot="1">
      <c r="A866" s="4589"/>
      <c r="B866" s="4545"/>
      <c r="C866" s="15282"/>
      <c r="D866" s="15275"/>
      <c r="E866" s="4552"/>
      <c r="F866" s="15275"/>
      <c r="G866" s="15275"/>
    </row>
    <row r="867" spans="1:7" ht="15" customHeight="1">
      <c r="A867" s="4588"/>
      <c r="B867" s="4542" t="s">
        <v>7916</v>
      </c>
      <c r="C867" s="15281"/>
      <c r="D867" s="15273" t="s">
        <v>7918</v>
      </c>
      <c r="E867" s="15273" t="s">
        <v>7919</v>
      </c>
      <c r="F867" s="15273" t="s">
        <v>5125</v>
      </c>
      <c r="G867" s="15273" t="s">
        <v>5113</v>
      </c>
    </row>
    <row r="868" spans="1:7" ht="24.75" customHeight="1">
      <c r="A868" s="4595"/>
      <c r="B868" s="4543" t="s">
        <v>7917</v>
      </c>
      <c r="C868" s="15301"/>
      <c r="D868" s="15274"/>
      <c r="E868" s="15274"/>
      <c r="F868" s="15274"/>
      <c r="G868" s="15274"/>
    </row>
    <row r="869" spans="1:7" ht="3.75" customHeight="1" thickBot="1">
      <c r="A869" s="4589"/>
      <c r="B869" s="4545"/>
      <c r="C869" s="15282"/>
      <c r="D869" s="15275"/>
      <c r="E869" s="4552"/>
      <c r="F869" s="15275"/>
      <c r="G869" s="15275"/>
    </row>
    <row r="870" spans="1:7" ht="15.75" customHeight="1" thickBot="1">
      <c r="A870" s="4569"/>
      <c r="B870" s="4570"/>
      <c r="C870" s="4682"/>
      <c r="D870" s="4552"/>
      <c r="E870" s="4561" t="s">
        <v>7920</v>
      </c>
      <c r="F870" s="4552"/>
      <c r="G870" s="4552"/>
    </row>
    <row r="871" spans="1:7" ht="52.5" customHeight="1">
      <c r="A871" s="4588"/>
      <c r="B871" s="4542"/>
      <c r="C871" s="15281">
        <v>100000</v>
      </c>
      <c r="D871" s="15273" t="s">
        <v>7921</v>
      </c>
      <c r="E871" s="4564" t="s">
        <v>7922</v>
      </c>
      <c r="F871" s="15273" t="s">
        <v>5125</v>
      </c>
      <c r="G871" s="15273" t="s">
        <v>5113</v>
      </c>
    </row>
    <row r="872" spans="1:7" ht="1.5" customHeight="1" thickBot="1">
      <c r="A872" s="4589"/>
      <c r="B872" s="4545"/>
      <c r="C872" s="15282"/>
      <c r="D872" s="15275"/>
      <c r="E872" s="4552"/>
      <c r="F872" s="15275"/>
      <c r="G872" s="15275"/>
    </row>
    <row r="873" spans="1:7" ht="29.25" customHeight="1" thickBot="1">
      <c r="A873" s="4588"/>
      <c r="B873" s="4542"/>
      <c r="C873" s="4683"/>
      <c r="D873" s="4564" t="s">
        <v>7905</v>
      </c>
      <c r="E873" s="4564" t="s">
        <v>7923</v>
      </c>
      <c r="F873" s="4564" t="s">
        <v>5125</v>
      </c>
      <c r="G873" s="4564" t="s">
        <v>5113</v>
      </c>
    </row>
    <row r="874" spans="1:7" ht="13.5" customHeight="1">
      <c r="A874" s="4641"/>
      <c r="B874" s="4642"/>
      <c r="C874" s="4679"/>
      <c r="D874" s="4643"/>
      <c r="E874" s="4643"/>
      <c r="F874" s="4643"/>
      <c r="G874" s="4643"/>
    </row>
    <row r="875" spans="1:7" ht="13.5" customHeight="1">
      <c r="A875" s="4636"/>
      <c r="B875" s="4626"/>
      <c r="C875" s="4673"/>
      <c r="D875" s="4538"/>
      <c r="E875" s="4538"/>
      <c r="F875" s="4538"/>
      <c r="G875" s="4538"/>
    </row>
    <row r="876" spans="1:7" ht="13.5" customHeight="1">
      <c r="A876" s="4636"/>
      <c r="B876" s="4626"/>
      <c r="C876" s="4673"/>
      <c r="D876" s="4538"/>
      <c r="E876" s="4538"/>
      <c r="F876" s="4538"/>
      <c r="G876" s="4538"/>
    </row>
    <row r="877" spans="1:7" ht="13.5" customHeight="1">
      <c r="A877" s="4636"/>
      <c r="B877" s="4626"/>
      <c r="C877" s="4673"/>
      <c r="D877" s="4538"/>
      <c r="E877" s="4538"/>
      <c r="F877" s="4538"/>
      <c r="G877" s="4538"/>
    </row>
    <row r="878" spans="1:7" ht="13.5" customHeight="1" thickBot="1">
      <c r="A878" s="4645"/>
      <c r="B878" s="4646"/>
      <c r="C878" s="4680"/>
      <c r="D878" s="4637"/>
      <c r="E878" s="4637"/>
      <c r="F878" s="4637"/>
      <c r="G878" s="4637"/>
    </row>
    <row r="879" spans="1:7" ht="28.5" customHeight="1" thickBot="1">
      <c r="A879" s="4594" t="s">
        <v>2056</v>
      </c>
      <c r="B879" s="4539" t="s">
        <v>2540</v>
      </c>
      <c r="C879" s="4692" t="s">
        <v>1736</v>
      </c>
      <c r="D879" s="4540" t="s">
        <v>1760</v>
      </c>
      <c r="E879" s="4540" t="s">
        <v>1764</v>
      </c>
      <c r="F879" s="15294" t="s">
        <v>2541</v>
      </c>
      <c r="G879" s="15295"/>
    </row>
    <row r="880" spans="1:7" ht="15" customHeight="1" thickBot="1">
      <c r="A880" s="4545"/>
      <c r="B880" s="4541"/>
      <c r="C880" s="4678"/>
      <c r="D880" s="4565"/>
      <c r="E880" s="4565"/>
      <c r="F880" s="4705" t="s">
        <v>1789</v>
      </c>
      <c r="G880" s="4705" t="s">
        <v>1790</v>
      </c>
    </row>
    <row r="881" spans="1:7" ht="26.25" customHeight="1">
      <c r="A881" s="4588"/>
      <c r="B881" s="4542" t="s">
        <v>8714</v>
      </c>
      <c r="C881" s="15281"/>
      <c r="D881" s="15273" t="s">
        <v>7924</v>
      </c>
      <c r="E881" s="4564" t="s">
        <v>7925</v>
      </c>
      <c r="F881" s="15273" t="s">
        <v>5125</v>
      </c>
      <c r="G881" s="15273" t="s">
        <v>5113</v>
      </c>
    </row>
    <row r="882" spans="1:7" ht="53.25" customHeight="1">
      <c r="A882" s="4595"/>
      <c r="B882" s="4543"/>
      <c r="C882" s="15301"/>
      <c r="D882" s="15274"/>
      <c r="E882" s="4544" t="s">
        <v>7926</v>
      </c>
      <c r="F882" s="15274"/>
      <c r="G882" s="15274"/>
    </row>
    <row r="883" spans="1:7" ht="3" customHeight="1" thickBot="1">
      <c r="A883" s="4589"/>
      <c r="B883" s="4545"/>
      <c r="C883" s="15282"/>
      <c r="D883" s="15275"/>
      <c r="E883" s="4552"/>
      <c r="F883" s="15275"/>
      <c r="G883" s="15275"/>
    </row>
    <row r="884" spans="1:7" ht="90.75" customHeight="1">
      <c r="A884" s="4588"/>
      <c r="B884" s="4542"/>
      <c r="C884" s="15281">
        <v>350000</v>
      </c>
      <c r="D884" s="15273" t="s">
        <v>7927</v>
      </c>
      <c r="E884" s="4564" t="s">
        <v>7928</v>
      </c>
      <c r="F884" s="15273" t="s">
        <v>5125</v>
      </c>
      <c r="G884" s="15273" t="s">
        <v>5113</v>
      </c>
    </row>
    <row r="885" spans="1:7" ht="3.75" customHeight="1" thickBot="1">
      <c r="A885" s="4589"/>
      <c r="B885" s="4545"/>
      <c r="C885" s="15282"/>
      <c r="D885" s="15275"/>
      <c r="E885" s="4552"/>
      <c r="F885" s="15275"/>
      <c r="G885" s="15275"/>
    </row>
    <row r="886" spans="1:7" ht="41.25" customHeight="1" thickBot="1">
      <c r="A886" s="4569"/>
      <c r="B886" s="4570"/>
      <c r="C886" s="4682"/>
      <c r="D886" s="4552"/>
      <c r="E886" s="4561" t="s">
        <v>3578</v>
      </c>
      <c r="F886" s="4552" t="s">
        <v>5125</v>
      </c>
      <c r="G886" s="4552" t="s">
        <v>5113</v>
      </c>
    </row>
    <row r="887" spans="1:7" ht="27" customHeight="1">
      <c r="A887" s="4588"/>
      <c r="B887" s="4542"/>
      <c r="C887" s="15281">
        <v>25000</v>
      </c>
      <c r="D887" s="15273" t="s">
        <v>7929</v>
      </c>
      <c r="E887" s="4564" t="s">
        <v>7930</v>
      </c>
      <c r="F887" s="15273" t="s">
        <v>5125</v>
      </c>
      <c r="G887" s="15273" t="s">
        <v>5113</v>
      </c>
    </row>
    <row r="888" spans="1:7" ht="2.25" customHeight="1" thickBot="1">
      <c r="A888" s="4589"/>
      <c r="B888" s="4545"/>
      <c r="C888" s="15282"/>
      <c r="D888" s="15275"/>
      <c r="E888" s="4552"/>
      <c r="F888" s="15275"/>
      <c r="G888" s="15275"/>
    </row>
    <row r="889" spans="1:7" ht="15.75" customHeight="1">
      <c r="A889" s="4588"/>
      <c r="B889" s="4542"/>
      <c r="C889" s="15281">
        <v>25000</v>
      </c>
      <c r="D889" s="4544" t="s">
        <v>7931</v>
      </c>
      <c r="E889" s="15273" t="s">
        <v>7933</v>
      </c>
      <c r="F889" s="15273" t="s">
        <v>5125</v>
      </c>
      <c r="G889" s="15273" t="s">
        <v>5113</v>
      </c>
    </row>
    <row r="890" spans="1:7" ht="27" thickBot="1">
      <c r="A890" s="4589"/>
      <c r="B890" s="4545"/>
      <c r="C890" s="15282"/>
      <c r="D890" s="4552" t="s">
        <v>7932</v>
      </c>
      <c r="E890" s="15275"/>
      <c r="F890" s="15275"/>
      <c r="G890" s="15275"/>
    </row>
    <row r="891" spans="1:7" ht="40.5" customHeight="1">
      <c r="A891" s="4588"/>
      <c r="B891" s="4542"/>
      <c r="C891" s="15281">
        <v>25000</v>
      </c>
      <c r="D891" s="15273" t="s">
        <v>7934</v>
      </c>
      <c r="E891" s="4564" t="s">
        <v>7935</v>
      </c>
      <c r="F891" s="15273" t="s">
        <v>5125</v>
      </c>
      <c r="G891" s="15273" t="s">
        <v>5113</v>
      </c>
    </row>
    <row r="892" spans="1:7" ht="5.25" customHeight="1" thickBot="1">
      <c r="A892" s="4589"/>
      <c r="B892" s="4545"/>
      <c r="C892" s="15282"/>
      <c r="D892" s="15275"/>
      <c r="E892" s="4552"/>
      <c r="F892" s="15275"/>
      <c r="G892" s="15275"/>
    </row>
    <row r="893" spans="1:7" ht="12.75" customHeight="1">
      <c r="A893" s="4588"/>
      <c r="B893" s="4542" t="s">
        <v>7936</v>
      </c>
      <c r="C893" s="15281"/>
      <c r="D893" s="15273" t="s">
        <v>7938</v>
      </c>
      <c r="E893" s="15273" t="s">
        <v>7939</v>
      </c>
      <c r="F893" s="15273" t="s">
        <v>5125</v>
      </c>
      <c r="G893" s="15273" t="s">
        <v>5113</v>
      </c>
    </row>
    <row r="894" spans="1:7" ht="67.5" customHeight="1" thickBot="1">
      <c r="A894" s="4589"/>
      <c r="B894" s="4545" t="s">
        <v>7937</v>
      </c>
      <c r="C894" s="15282"/>
      <c r="D894" s="15275"/>
      <c r="E894" s="15275"/>
      <c r="F894" s="15275"/>
      <c r="G894" s="15275"/>
    </row>
    <row r="895" spans="1:7" ht="13.5" customHeight="1">
      <c r="A895" s="4588"/>
      <c r="B895" s="4542" t="s">
        <v>7940</v>
      </c>
      <c r="C895" s="15281">
        <v>30000</v>
      </c>
      <c r="D895" s="15273" t="s">
        <v>1809</v>
      </c>
      <c r="E895" s="15273" t="s">
        <v>7942</v>
      </c>
      <c r="F895" s="15273" t="s">
        <v>5125</v>
      </c>
      <c r="G895" s="15273" t="s">
        <v>5113</v>
      </c>
    </row>
    <row r="896" spans="1:7" ht="26.25" customHeight="1">
      <c r="A896" s="4595"/>
      <c r="B896" s="4543" t="s">
        <v>7941</v>
      </c>
      <c r="C896" s="15301"/>
      <c r="D896" s="15274"/>
      <c r="E896" s="15274"/>
      <c r="F896" s="15274"/>
      <c r="G896" s="15274"/>
    </row>
    <row r="897" spans="1:7" ht="6" customHeight="1" thickBot="1">
      <c r="A897" s="4589"/>
      <c r="B897" s="4545"/>
      <c r="C897" s="15282"/>
      <c r="D897" s="15275"/>
      <c r="E897" s="4552"/>
      <c r="F897" s="15275"/>
      <c r="G897" s="15275"/>
    </row>
    <row r="898" spans="1:7" ht="79.5" customHeight="1">
      <c r="A898" s="4588"/>
      <c r="B898" s="4542"/>
      <c r="C898" s="15281"/>
      <c r="D898" s="15273" t="s">
        <v>3566</v>
      </c>
      <c r="E898" s="4564" t="s">
        <v>7943</v>
      </c>
      <c r="F898" s="15273" t="s">
        <v>5125</v>
      </c>
      <c r="G898" s="15273" t="s">
        <v>5113</v>
      </c>
    </row>
    <row r="899" spans="1:7" ht="2.25" customHeight="1" thickBot="1">
      <c r="A899" s="4589"/>
      <c r="B899" s="4545"/>
      <c r="C899" s="15282"/>
      <c r="D899" s="15275"/>
      <c r="E899" s="4552"/>
      <c r="F899" s="15275"/>
      <c r="G899" s="15275"/>
    </row>
    <row r="900" spans="1:7" ht="51" customHeight="1">
      <c r="A900" s="4588"/>
      <c r="B900" s="4542"/>
      <c r="C900" s="15281"/>
      <c r="D900" s="15273" t="s">
        <v>7944</v>
      </c>
      <c r="E900" s="4564" t="s">
        <v>7945</v>
      </c>
      <c r="F900" s="15273" t="s">
        <v>5125</v>
      </c>
      <c r="G900" s="15273" t="s">
        <v>5113</v>
      </c>
    </row>
    <row r="901" spans="1:7" ht="3.75" customHeight="1" thickBot="1">
      <c r="A901" s="4589"/>
      <c r="B901" s="4545"/>
      <c r="C901" s="15282"/>
      <c r="D901" s="15275"/>
      <c r="E901" s="4552"/>
      <c r="F901" s="15275"/>
      <c r="G901" s="15275"/>
    </row>
    <row r="902" spans="1:7" ht="18" customHeight="1">
      <c r="A902" s="4588"/>
      <c r="B902" s="4542" t="s">
        <v>7946</v>
      </c>
      <c r="C902" s="15281"/>
      <c r="D902" s="15273" t="s">
        <v>7948</v>
      </c>
      <c r="E902" s="15273" t="s">
        <v>7949</v>
      </c>
      <c r="F902" s="15273" t="s">
        <v>5125</v>
      </c>
      <c r="G902" s="15273" t="s">
        <v>5113</v>
      </c>
    </row>
    <row r="903" spans="1:7" ht="37.5" customHeight="1">
      <c r="A903" s="4595"/>
      <c r="B903" s="4543" t="s">
        <v>7947</v>
      </c>
      <c r="C903" s="15301"/>
      <c r="D903" s="15274"/>
      <c r="E903" s="15274"/>
      <c r="F903" s="15274"/>
      <c r="G903" s="15274"/>
    </row>
    <row r="904" spans="1:7" ht="5.25" customHeight="1" thickBot="1">
      <c r="A904" s="4589"/>
      <c r="B904" s="4545"/>
      <c r="C904" s="15282"/>
      <c r="D904" s="15275"/>
      <c r="E904" s="4552"/>
      <c r="F904" s="15275"/>
      <c r="G904" s="15275"/>
    </row>
    <row r="905" spans="1:7" ht="27.75" customHeight="1">
      <c r="A905" s="4588"/>
      <c r="B905" s="4542"/>
      <c r="C905" s="15281"/>
      <c r="D905" s="15273" t="s">
        <v>7950</v>
      </c>
      <c r="E905" s="4564" t="s">
        <v>7951</v>
      </c>
      <c r="F905" s="15273" t="s">
        <v>5125</v>
      </c>
      <c r="G905" s="15273" t="s">
        <v>5113</v>
      </c>
    </row>
    <row r="906" spans="1:7" ht="3.75" customHeight="1" thickBot="1">
      <c r="A906" s="4589"/>
      <c r="B906" s="4545"/>
      <c r="C906" s="15282"/>
      <c r="D906" s="15275"/>
      <c r="E906" s="4552"/>
      <c r="F906" s="15275"/>
      <c r="G906" s="15275"/>
    </row>
    <row r="907" spans="1:7" ht="27" customHeight="1">
      <c r="A907" s="4588"/>
      <c r="B907" s="4542"/>
      <c r="C907" s="15281"/>
      <c r="D907" s="15273" t="s">
        <v>7952</v>
      </c>
      <c r="E907" s="4564" t="s">
        <v>7953</v>
      </c>
      <c r="F907" s="15273" t="s">
        <v>5125</v>
      </c>
      <c r="G907" s="15273" t="s">
        <v>5113</v>
      </c>
    </row>
    <row r="908" spans="1:7" ht="4.5" customHeight="1" thickBot="1">
      <c r="A908" s="4589"/>
      <c r="B908" s="4545"/>
      <c r="C908" s="15282"/>
      <c r="D908" s="15275"/>
      <c r="E908" s="4552"/>
      <c r="F908" s="15275"/>
      <c r="G908" s="15275"/>
    </row>
    <row r="909" spans="1:7" ht="13.5" customHeight="1">
      <c r="A909" s="4588"/>
      <c r="B909" s="4542" t="s">
        <v>7954</v>
      </c>
      <c r="C909" s="15281">
        <v>10000</v>
      </c>
      <c r="D909" s="15273" t="s">
        <v>1809</v>
      </c>
      <c r="E909" s="15273" t="s">
        <v>7956</v>
      </c>
      <c r="F909" s="15273" t="s">
        <v>5125</v>
      </c>
      <c r="G909" s="15273" t="s">
        <v>5113</v>
      </c>
    </row>
    <row r="910" spans="1:7" ht="24" customHeight="1">
      <c r="A910" s="4595"/>
      <c r="B910" s="4543" t="s">
        <v>7955</v>
      </c>
      <c r="C910" s="15301"/>
      <c r="D910" s="15274"/>
      <c r="E910" s="15274"/>
      <c r="F910" s="15274"/>
      <c r="G910" s="15274"/>
    </row>
    <row r="911" spans="1:7" ht="2.25" customHeight="1" thickBot="1">
      <c r="A911" s="4589"/>
      <c r="B911" s="4545"/>
      <c r="C911" s="15282"/>
      <c r="D911" s="15275"/>
      <c r="E911" s="4552"/>
      <c r="F911" s="15275"/>
      <c r="G911" s="15275"/>
    </row>
    <row r="912" spans="1:7" ht="26.25" customHeight="1">
      <c r="A912" s="4588"/>
      <c r="B912" s="4542"/>
      <c r="C912" s="15281"/>
      <c r="D912" s="15273" t="s">
        <v>7957</v>
      </c>
      <c r="E912" s="4564" t="s">
        <v>7958</v>
      </c>
      <c r="F912" s="15273" t="s">
        <v>5125</v>
      </c>
      <c r="G912" s="15273" t="s">
        <v>5113</v>
      </c>
    </row>
    <row r="913" spans="1:7" ht="2.25" customHeight="1" thickBot="1">
      <c r="A913" s="4589"/>
      <c r="B913" s="4545"/>
      <c r="C913" s="15282"/>
      <c r="D913" s="15275"/>
      <c r="E913" s="4552"/>
      <c r="F913" s="15275"/>
      <c r="G913" s="15275"/>
    </row>
    <row r="914" spans="1:7" ht="16.5" customHeight="1">
      <c r="A914" s="4588"/>
      <c r="B914" s="4542" t="s">
        <v>7959</v>
      </c>
      <c r="C914" s="4683" t="s">
        <v>7961</v>
      </c>
      <c r="D914" s="4564" t="s">
        <v>7961</v>
      </c>
      <c r="E914" s="4564" t="s">
        <v>7962</v>
      </c>
      <c r="F914" s="4564" t="s">
        <v>5125</v>
      </c>
      <c r="G914" s="4564" t="s">
        <v>5113</v>
      </c>
    </row>
    <row r="915" spans="1:7" ht="39.75" customHeight="1">
      <c r="A915" s="4595"/>
      <c r="B915" s="4543" t="s">
        <v>7960</v>
      </c>
      <c r="C915" s="4684"/>
      <c r="D915" s="4544"/>
      <c r="E915" s="4544"/>
      <c r="F915" s="4544"/>
      <c r="G915" s="4544"/>
    </row>
    <row r="916" spans="1:7" ht="13.5" customHeight="1" thickBot="1">
      <c r="A916" s="4589"/>
      <c r="B916" s="4545"/>
      <c r="C916" s="4682"/>
      <c r="D916" s="4552"/>
      <c r="E916" s="4552"/>
      <c r="F916" s="4552"/>
      <c r="G916" s="4552"/>
    </row>
    <row r="917" spans="1:7" ht="13.5" customHeight="1">
      <c r="A917" s="4641"/>
      <c r="B917" s="4642"/>
      <c r="C917" s="4679"/>
      <c r="D917" s="4643"/>
      <c r="E917" s="4643"/>
      <c r="F917" s="4643"/>
      <c r="G917" s="4643"/>
    </row>
    <row r="918" spans="1:7" ht="13.5" customHeight="1">
      <c r="A918" s="4636"/>
      <c r="B918" s="4626"/>
      <c r="C918" s="4673"/>
      <c r="D918" s="4538"/>
      <c r="E918" s="4538"/>
      <c r="F918" s="4538"/>
      <c r="G918" s="4538"/>
    </row>
    <row r="919" spans="1:7" ht="13.5" customHeight="1">
      <c r="A919" s="4636"/>
      <c r="B919" s="4626"/>
      <c r="C919" s="4673"/>
      <c r="D919" s="4538"/>
      <c r="E919" s="4538"/>
      <c r="F919" s="4538"/>
      <c r="G919" s="4538"/>
    </row>
    <row r="920" spans="1:7" ht="13.5" customHeight="1">
      <c r="A920" s="4636"/>
      <c r="B920" s="4626"/>
      <c r="C920" s="4673"/>
      <c r="D920" s="4538"/>
      <c r="E920" s="4538"/>
      <c r="F920" s="4538"/>
      <c r="G920" s="4538"/>
    </row>
    <row r="921" spans="1:7" ht="13.5" customHeight="1" thickBot="1">
      <c r="A921" s="4645"/>
      <c r="B921" s="4646"/>
      <c r="C921" s="4680"/>
      <c r="D921" s="4637"/>
      <c r="E921" s="4637"/>
      <c r="F921" s="4637"/>
      <c r="G921" s="4637"/>
    </row>
    <row r="922" spans="1:7" ht="28.5" customHeight="1" thickBot="1">
      <c r="A922" s="4594" t="s">
        <v>2056</v>
      </c>
      <c r="B922" s="4539" t="s">
        <v>2540</v>
      </c>
      <c r="C922" s="4692" t="s">
        <v>1736</v>
      </c>
      <c r="D922" s="4540" t="s">
        <v>1760</v>
      </c>
      <c r="E922" s="4540" t="s">
        <v>1764</v>
      </c>
      <c r="F922" s="15294" t="s">
        <v>2541</v>
      </c>
      <c r="G922" s="15295"/>
    </row>
    <row r="923" spans="1:7" ht="15" customHeight="1" thickBot="1">
      <c r="A923" s="4545"/>
      <c r="B923" s="4541"/>
      <c r="C923" s="4678"/>
      <c r="D923" s="4565"/>
      <c r="E923" s="4565"/>
      <c r="F923" s="4705" t="s">
        <v>1789</v>
      </c>
      <c r="G923" s="4705" t="s">
        <v>1790</v>
      </c>
    </row>
    <row r="924" spans="1:7" ht="14.25" customHeight="1">
      <c r="A924" s="4588"/>
      <c r="B924" s="4574" t="s">
        <v>7963</v>
      </c>
      <c r="C924" s="15281"/>
      <c r="D924" s="15273"/>
      <c r="E924" s="4564"/>
      <c r="F924" s="15273" t="s">
        <v>5125</v>
      </c>
      <c r="G924" s="15273" t="s">
        <v>5113</v>
      </c>
    </row>
    <row r="925" spans="1:7" ht="14.25" customHeight="1" thickBot="1">
      <c r="A925" s="4589"/>
      <c r="B925" s="4575" t="s">
        <v>7964</v>
      </c>
      <c r="C925" s="15282"/>
      <c r="D925" s="15275"/>
      <c r="E925" s="4552"/>
      <c r="F925" s="15275"/>
      <c r="G925" s="15275"/>
    </row>
    <row r="926" spans="1:7" ht="14.25" customHeight="1">
      <c r="A926" s="4588"/>
      <c r="B926" s="4542" t="s">
        <v>7965</v>
      </c>
      <c r="C926" s="15281"/>
      <c r="D926" s="15273" t="s">
        <v>7653</v>
      </c>
      <c r="E926" s="15273" t="s">
        <v>7967</v>
      </c>
      <c r="F926" s="15273" t="s">
        <v>5125</v>
      </c>
      <c r="G926" s="15273" t="s">
        <v>5113</v>
      </c>
    </row>
    <row r="927" spans="1:7" ht="27" customHeight="1">
      <c r="A927" s="4595"/>
      <c r="B927" s="4543" t="s">
        <v>7966</v>
      </c>
      <c r="C927" s="15301"/>
      <c r="D927" s="15274"/>
      <c r="E927" s="15274"/>
      <c r="F927" s="15274"/>
      <c r="G927" s="15274"/>
    </row>
    <row r="928" spans="1:7" ht="3.75" customHeight="1" thickBot="1">
      <c r="A928" s="4589"/>
      <c r="B928" s="4545"/>
      <c r="C928" s="15282"/>
      <c r="D928" s="15275"/>
      <c r="E928" s="4552"/>
      <c r="F928" s="15275"/>
      <c r="G928" s="15275"/>
    </row>
    <row r="929" spans="1:7" ht="12.75" customHeight="1">
      <c r="A929" s="4588"/>
      <c r="B929" s="4542" t="s">
        <v>7968</v>
      </c>
      <c r="C929" s="15281">
        <v>50000</v>
      </c>
      <c r="D929" s="15273" t="s">
        <v>7970</v>
      </c>
      <c r="E929" s="15273" t="s">
        <v>7971</v>
      </c>
      <c r="F929" s="15273" t="s">
        <v>5125</v>
      </c>
      <c r="G929" s="15273" t="s">
        <v>5113</v>
      </c>
    </row>
    <row r="930" spans="1:7" ht="14.25" customHeight="1">
      <c r="A930" s="4595"/>
      <c r="B930" s="4543" t="s">
        <v>7969</v>
      </c>
      <c r="C930" s="15301"/>
      <c r="D930" s="15274"/>
      <c r="E930" s="15274"/>
      <c r="F930" s="15274"/>
      <c r="G930" s="15274"/>
    </row>
    <row r="931" spans="1:7" ht="1.5" customHeight="1" thickBot="1">
      <c r="A931" s="4589"/>
      <c r="B931" s="4545"/>
      <c r="C931" s="15282"/>
      <c r="D931" s="15275"/>
      <c r="E931" s="4552"/>
      <c r="F931" s="15275"/>
      <c r="G931" s="15275"/>
    </row>
    <row r="932" spans="1:7" ht="14.25" customHeight="1">
      <c r="A932" s="4588"/>
      <c r="B932" s="4542" t="s">
        <v>7972</v>
      </c>
      <c r="C932" s="15281"/>
      <c r="D932" s="15273" t="s">
        <v>7974</v>
      </c>
      <c r="E932" s="15273" t="s">
        <v>7975</v>
      </c>
      <c r="F932" s="15273" t="s">
        <v>5125</v>
      </c>
      <c r="G932" s="15273" t="s">
        <v>5113</v>
      </c>
    </row>
    <row r="933" spans="1:7" ht="28.5" customHeight="1" thickBot="1">
      <c r="A933" s="4589"/>
      <c r="B933" s="4545" t="s">
        <v>7973</v>
      </c>
      <c r="C933" s="15282"/>
      <c r="D933" s="15275"/>
      <c r="E933" s="15275"/>
      <c r="F933" s="15275"/>
      <c r="G933" s="15275"/>
    </row>
    <row r="934" spans="1:7" ht="42.75" customHeight="1">
      <c r="A934" s="4588"/>
      <c r="B934" s="4542"/>
      <c r="C934" s="15281"/>
      <c r="D934" s="15273" t="s">
        <v>7976</v>
      </c>
      <c r="E934" s="4564" t="s">
        <v>7977</v>
      </c>
      <c r="F934" s="15273" t="s">
        <v>5125</v>
      </c>
      <c r="G934" s="15273" t="s">
        <v>5113</v>
      </c>
    </row>
    <row r="935" spans="1:7" ht="3" customHeight="1" thickBot="1">
      <c r="A935" s="4589"/>
      <c r="B935" s="4545"/>
      <c r="C935" s="15282"/>
      <c r="D935" s="15275"/>
      <c r="E935" s="4552"/>
      <c r="F935" s="15275"/>
      <c r="G935" s="15275"/>
    </row>
    <row r="936" spans="1:7" ht="12.75" customHeight="1">
      <c r="A936" s="4588"/>
      <c r="B936" s="4542" t="s">
        <v>7978</v>
      </c>
      <c r="C936" s="15281"/>
      <c r="D936" s="15273" t="s">
        <v>7980</v>
      </c>
      <c r="E936" s="15273" t="s">
        <v>7981</v>
      </c>
      <c r="F936" s="15273" t="s">
        <v>5125</v>
      </c>
      <c r="G936" s="15273" t="s">
        <v>5113</v>
      </c>
    </row>
    <row r="937" spans="1:7" ht="40.5" customHeight="1" thickBot="1">
      <c r="A937" s="4589"/>
      <c r="B937" s="4545" t="s">
        <v>7979</v>
      </c>
      <c r="C937" s="15282"/>
      <c r="D937" s="15275"/>
      <c r="E937" s="15275"/>
      <c r="F937" s="15275"/>
      <c r="G937" s="15275"/>
    </row>
    <row r="938" spans="1:7" ht="18" customHeight="1">
      <c r="A938" s="4588"/>
      <c r="B938" s="4542" t="s">
        <v>7982</v>
      </c>
      <c r="C938" s="15281">
        <v>350000</v>
      </c>
      <c r="D938" s="15273" t="s">
        <v>7984</v>
      </c>
      <c r="E938" s="15273" t="s">
        <v>7985</v>
      </c>
      <c r="F938" s="15273" t="s">
        <v>5125</v>
      </c>
      <c r="G938" s="15273" t="s">
        <v>5113</v>
      </c>
    </row>
    <row r="939" spans="1:7" ht="14.25" customHeight="1" thickBot="1">
      <c r="A939" s="4589"/>
      <c r="B939" s="4545" t="s">
        <v>7983</v>
      </c>
      <c r="C939" s="15282"/>
      <c r="D939" s="15275"/>
      <c r="E939" s="15275"/>
      <c r="F939" s="15275"/>
      <c r="G939" s="15275"/>
    </row>
    <row r="940" spans="1:7" ht="29.25" customHeight="1" thickBot="1">
      <c r="A940" s="4569"/>
      <c r="B940" s="4570" t="s">
        <v>7986</v>
      </c>
      <c r="C940" s="4682"/>
      <c r="D940" s="4552"/>
      <c r="E940" s="4561" t="s">
        <v>7987</v>
      </c>
      <c r="F940" s="4552"/>
      <c r="G940" s="4552"/>
    </row>
    <row r="941" spans="1:7" ht="28.5" customHeight="1">
      <c r="A941" s="4588"/>
      <c r="B941" s="4542"/>
      <c r="C941" s="15281"/>
      <c r="D941" s="15273" t="s">
        <v>1809</v>
      </c>
      <c r="E941" s="4564" t="s">
        <v>7988</v>
      </c>
      <c r="F941" s="15273" t="s">
        <v>5125</v>
      </c>
      <c r="G941" s="15273" t="s">
        <v>5113</v>
      </c>
    </row>
    <row r="942" spans="1:7" ht="1.5" customHeight="1" thickBot="1">
      <c r="A942" s="4589"/>
      <c r="B942" s="4545"/>
      <c r="C942" s="15282"/>
      <c r="D942" s="15275"/>
      <c r="E942" s="4552"/>
      <c r="F942" s="15275"/>
      <c r="G942" s="15275"/>
    </row>
    <row r="943" spans="1:7" ht="16.5" customHeight="1">
      <c r="A943" s="4588"/>
      <c r="B943" s="4542"/>
      <c r="C943" s="15281">
        <v>50000</v>
      </c>
      <c r="D943" s="4544" t="s">
        <v>7989</v>
      </c>
      <c r="E943" s="15273" t="s">
        <v>7991</v>
      </c>
      <c r="F943" s="15273" t="s">
        <v>5125</v>
      </c>
      <c r="G943" s="15273" t="s">
        <v>5113</v>
      </c>
    </row>
    <row r="944" spans="1:7" ht="14.25" customHeight="1" thickBot="1">
      <c r="A944" s="4589"/>
      <c r="B944" s="4545"/>
      <c r="C944" s="15282"/>
      <c r="D944" s="4552" t="s">
        <v>7990</v>
      </c>
      <c r="E944" s="15275"/>
      <c r="F944" s="15275"/>
      <c r="G944" s="15275"/>
    </row>
    <row r="945" spans="1:7" ht="27.75" customHeight="1">
      <c r="A945" s="4588"/>
      <c r="B945" s="4542"/>
      <c r="C945" s="15281"/>
      <c r="D945" s="15273" t="s">
        <v>7992</v>
      </c>
      <c r="E945" s="4564" t="s">
        <v>7993</v>
      </c>
      <c r="F945" s="15273" t="s">
        <v>5125</v>
      </c>
      <c r="G945" s="15273" t="s">
        <v>5113</v>
      </c>
    </row>
    <row r="946" spans="1:7" ht="3" customHeight="1" thickBot="1">
      <c r="A946" s="4589"/>
      <c r="B946" s="4545"/>
      <c r="C946" s="15282"/>
      <c r="D946" s="15275"/>
      <c r="E946" s="4552"/>
      <c r="F946" s="15275"/>
      <c r="G946" s="15275"/>
    </row>
    <row r="947" spans="1:7" ht="14.25" customHeight="1">
      <c r="A947" s="4588"/>
      <c r="B947" s="4574" t="s">
        <v>7994</v>
      </c>
      <c r="C947" s="15281"/>
      <c r="D947" s="15283"/>
      <c r="E947" s="4603"/>
      <c r="F947" s="15273" t="s">
        <v>5125</v>
      </c>
      <c r="G947" s="15273" t="s">
        <v>5113</v>
      </c>
    </row>
    <row r="948" spans="1:7" ht="15" customHeight="1" thickBot="1">
      <c r="A948" s="4589"/>
      <c r="B948" s="4575" t="s">
        <v>7995</v>
      </c>
      <c r="C948" s="15282"/>
      <c r="D948" s="15284"/>
      <c r="E948" s="4592"/>
      <c r="F948" s="15275"/>
      <c r="G948" s="15275"/>
    </row>
    <row r="949" spans="1:7" ht="12.75" customHeight="1">
      <c r="A949" s="4588"/>
      <c r="B949" s="4542" t="s">
        <v>7996</v>
      </c>
      <c r="C949" s="15281"/>
      <c r="D949" s="15273" t="s">
        <v>7998</v>
      </c>
      <c r="E949" s="4564" t="s">
        <v>7999</v>
      </c>
      <c r="F949" s="15273" t="s">
        <v>5125</v>
      </c>
      <c r="G949" s="15273" t="s">
        <v>5113</v>
      </c>
    </row>
    <row r="950" spans="1:7" ht="27" customHeight="1" thickBot="1">
      <c r="A950" s="4589"/>
      <c r="B950" s="4545" t="s">
        <v>7997</v>
      </c>
      <c r="C950" s="15282"/>
      <c r="D950" s="15275"/>
      <c r="E950" s="4552"/>
      <c r="F950" s="15275"/>
      <c r="G950" s="15275"/>
    </row>
    <row r="951" spans="1:7" ht="28.5" customHeight="1">
      <c r="A951" s="4588"/>
      <c r="B951" s="4542"/>
      <c r="C951" s="15281"/>
      <c r="D951" s="15273" t="s">
        <v>7908</v>
      </c>
      <c r="E951" s="4564" t="s">
        <v>8000</v>
      </c>
      <c r="F951" s="15273" t="s">
        <v>5125</v>
      </c>
      <c r="G951" s="15273" t="s">
        <v>5113</v>
      </c>
    </row>
    <row r="952" spans="1:7" ht="1.5" customHeight="1" thickBot="1">
      <c r="A952" s="4589"/>
      <c r="B952" s="4545"/>
      <c r="C952" s="15282"/>
      <c r="D952" s="15275"/>
      <c r="E952" s="4552"/>
      <c r="F952" s="15275"/>
      <c r="G952" s="15275"/>
    </row>
    <row r="953" spans="1:7" ht="26.25" customHeight="1">
      <c r="A953" s="4588"/>
      <c r="B953" s="4542"/>
      <c r="C953" s="15281"/>
      <c r="D953" s="15273" t="s">
        <v>7905</v>
      </c>
      <c r="E953" s="4564" t="s">
        <v>8001</v>
      </c>
      <c r="F953" s="15273" t="s">
        <v>5125</v>
      </c>
      <c r="G953" s="15273" t="s">
        <v>5113</v>
      </c>
    </row>
    <row r="954" spans="1:7" ht="3" customHeight="1" thickBot="1">
      <c r="A954" s="4589"/>
      <c r="B954" s="4545"/>
      <c r="C954" s="15282"/>
      <c r="D954" s="15275"/>
      <c r="E954" s="4552"/>
      <c r="F954" s="15275"/>
      <c r="G954" s="15275"/>
    </row>
    <row r="955" spans="1:7" ht="41.25" customHeight="1">
      <c r="A955" s="4588"/>
      <c r="B955" s="4542"/>
      <c r="C955" s="15281">
        <v>100000</v>
      </c>
      <c r="D955" s="15273" t="s">
        <v>8002</v>
      </c>
      <c r="E955" s="4564" t="s">
        <v>8003</v>
      </c>
      <c r="F955" s="15273" t="s">
        <v>5125</v>
      </c>
      <c r="G955" s="15273" t="s">
        <v>5113</v>
      </c>
    </row>
    <row r="956" spans="1:7" ht="2.25" customHeight="1" thickBot="1">
      <c r="A956" s="4589"/>
      <c r="B956" s="4545"/>
      <c r="C956" s="15282"/>
      <c r="D956" s="15275"/>
      <c r="E956" s="4552"/>
      <c r="F956" s="15275"/>
      <c r="G956" s="15275"/>
    </row>
    <row r="957" spans="1:7" ht="28.5" customHeight="1">
      <c r="A957" s="4588"/>
      <c r="B957" s="4542" t="s">
        <v>8004</v>
      </c>
      <c r="C957" s="15281"/>
      <c r="D957" s="15273" t="s">
        <v>8005</v>
      </c>
      <c r="E957" s="4564" t="s">
        <v>8715</v>
      </c>
      <c r="F957" s="15273" t="s">
        <v>5125</v>
      </c>
      <c r="G957" s="15273" t="s">
        <v>5113</v>
      </c>
    </row>
    <row r="958" spans="1:7" ht="52.5" customHeight="1">
      <c r="A958" s="4595"/>
      <c r="B958" s="4543"/>
      <c r="C958" s="15301"/>
      <c r="D958" s="15274"/>
      <c r="E958" s="4544" t="s">
        <v>8006</v>
      </c>
      <c r="F958" s="15274"/>
      <c r="G958" s="15274"/>
    </row>
    <row r="959" spans="1:7" ht="3.75" customHeight="1" thickBot="1">
      <c r="A959" s="4589"/>
      <c r="B959" s="4545"/>
      <c r="C959" s="15282"/>
      <c r="D959" s="15275"/>
      <c r="E959" s="4552"/>
      <c r="F959" s="15275"/>
      <c r="G959" s="15275"/>
    </row>
    <row r="960" spans="1:7" ht="66.75" customHeight="1">
      <c r="A960" s="4588"/>
      <c r="B960" s="4542"/>
      <c r="C960" s="15281"/>
      <c r="D960" s="15273" t="s">
        <v>8007</v>
      </c>
      <c r="E960" s="4564" t="s">
        <v>8008</v>
      </c>
      <c r="F960" s="15273" t="s">
        <v>5125</v>
      </c>
      <c r="G960" s="15273" t="s">
        <v>5113</v>
      </c>
    </row>
    <row r="961" spans="1:7" ht="3.75" customHeight="1" thickBot="1">
      <c r="A961" s="4589"/>
      <c r="B961" s="4545"/>
      <c r="C961" s="15282"/>
      <c r="D961" s="15275"/>
      <c r="E961" s="4552"/>
      <c r="F961" s="15275"/>
      <c r="G961" s="15275"/>
    </row>
    <row r="962" spans="1:7" ht="77.25" customHeight="1">
      <c r="A962" s="4588"/>
      <c r="B962" s="4542"/>
      <c r="C962" s="15281"/>
      <c r="D962" s="15273" t="s">
        <v>8009</v>
      </c>
      <c r="E962" s="4564" t="s">
        <v>9624</v>
      </c>
      <c r="F962" s="15273" t="s">
        <v>5125</v>
      </c>
      <c r="G962" s="15273" t="s">
        <v>5113</v>
      </c>
    </row>
    <row r="963" spans="1:7" ht="27" customHeight="1" thickBot="1">
      <c r="A963" s="4589"/>
      <c r="B963" s="4545"/>
      <c r="C963" s="15282"/>
      <c r="D963" s="15275"/>
      <c r="E963" s="4552" t="s">
        <v>8010</v>
      </c>
      <c r="F963" s="15275"/>
      <c r="G963" s="15275"/>
    </row>
    <row r="964" spans="1:7" ht="16.5" customHeight="1">
      <c r="A964" s="4641"/>
      <c r="B964" s="4642"/>
      <c r="C964" s="4679"/>
      <c r="D964" s="4643"/>
      <c r="E964" s="4643"/>
      <c r="F964" s="4643"/>
      <c r="G964" s="4643"/>
    </row>
    <row r="965" spans="1:7" ht="16.5" customHeight="1">
      <c r="A965" s="4636"/>
      <c r="B965" s="4626"/>
      <c r="C965" s="4673"/>
      <c r="D965" s="4538"/>
      <c r="E965" s="4538"/>
      <c r="F965" s="4538"/>
      <c r="G965" s="4538"/>
    </row>
    <row r="966" spans="1:7" ht="16.5" customHeight="1">
      <c r="A966" s="4636"/>
      <c r="B966" s="4626"/>
      <c r="C966" s="4673"/>
      <c r="D966" s="4538"/>
      <c r="E966" s="4538"/>
      <c r="F966" s="4538"/>
      <c r="G966" s="4538"/>
    </row>
    <row r="967" spans="1:7" ht="16.5" customHeight="1">
      <c r="A967" s="4636"/>
      <c r="B967" s="4626"/>
      <c r="C967" s="4673"/>
      <c r="D967" s="4538"/>
      <c r="E967" s="4538"/>
      <c r="F967" s="4538"/>
      <c r="G967" s="4538"/>
    </row>
    <row r="968" spans="1:7" ht="16.5" customHeight="1">
      <c r="A968" s="4636"/>
      <c r="B968" s="4626"/>
      <c r="C968" s="4673"/>
      <c r="D968" s="4538"/>
      <c r="E968" s="4538"/>
      <c r="F968" s="4538"/>
      <c r="G968" s="4538"/>
    </row>
    <row r="969" spans="1:7" ht="16.5" customHeight="1" thickBot="1">
      <c r="A969" s="4645"/>
      <c r="B969" s="4646"/>
      <c r="C969" s="4680"/>
      <c r="D969" s="4637"/>
      <c r="E969" s="4637"/>
      <c r="F969" s="4637"/>
      <c r="G969" s="4637"/>
    </row>
    <row r="970" spans="1:7" ht="28.5" customHeight="1" thickBot="1">
      <c r="A970" s="4594" t="s">
        <v>2056</v>
      </c>
      <c r="B970" s="4539" t="s">
        <v>2540</v>
      </c>
      <c r="C970" s="4692" t="s">
        <v>1736</v>
      </c>
      <c r="D970" s="4540" t="s">
        <v>1760</v>
      </c>
      <c r="E970" s="4540" t="s">
        <v>1764</v>
      </c>
      <c r="F970" s="15294" t="s">
        <v>2541</v>
      </c>
      <c r="G970" s="15295"/>
    </row>
    <row r="971" spans="1:7" ht="15" customHeight="1" thickBot="1">
      <c r="A971" s="4545"/>
      <c r="B971" s="4541"/>
      <c r="C971" s="4678"/>
      <c r="D971" s="4565"/>
      <c r="E971" s="4565"/>
      <c r="F971" s="4705" t="s">
        <v>1789</v>
      </c>
      <c r="G971" s="4705" t="s">
        <v>1790</v>
      </c>
    </row>
    <row r="972" spans="1:7" ht="39.75" customHeight="1">
      <c r="A972" s="4588"/>
      <c r="B972" s="4542"/>
      <c r="C972" s="15281"/>
      <c r="D972" s="15273" t="s">
        <v>8011</v>
      </c>
      <c r="E972" s="4564" t="s">
        <v>8012</v>
      </c>
      <c r="F972" s="15273" t="s">
        <v>5125</v>
      </c>
      <c r="G972" s="15273" t="s">
        <v>5113</v>
      </c>
    </row>
    <row r="973" spans="1:7" ht="3.75" customHeight="1" thickBot="1">
      <c r="A973" s="4589"/>
      <c r="B973" s="4545"/>
      <c r="C973" s="15282"/>
      <c r="D973" s="15275"/>
      <c r="E973" s="4552"/>
      <c r="F973" s="15275"/>
      <c r="G973" s="15275"/>
    </row>
    <row r="974" spans="1:7" ht="12.75" customHeight="1">
      <c r="A974" s="4588"/>
      <c r="B974" s="4542" t="s">
        <v>8013</v>
      </c>
      <c r="C974" s="15281"/>
      <c r="D974" s="15273" t="s">
        <v>8015</v>
      </c>
      <c r="E974" s="15273" t="s">
        <v>8016</v>
      </c>
      <c r="F974" s="15273" t="s">
        <v>5125</v>
      </c>
      <c r="G974" s="15273" t="s">
        <v>5113</v>
      </c>
    </row>
    <row r="975" spans="1:7" ht="14.25" customHeight="1">
      <c r="A975" s="4595"/>
      <c r="B975" s="4543" t="s">
        <v>8014</v>
      </c>
      <c r="C975" s="15301"/>
      <c r="D975" s="15274"/>
      <c r="E975" s="15274"/>
      <c r="F975" s="15274"/>
      <c r="G975" s="15274"/>
    </row>
    <row r="976" spans="1:7" ht="3" customHeight="1" thickBot="1">
      <c r="A976" s="4589"/>
      <c r="B976" s="4545"/>
      <c r="C976" s="15282"/>
      <c r="D976" s="15275"/>
      <c r="E976" s="4552"/>
      <c r="F976" s="15275"/>
      <c r="G976" s="15275"/>
    </row>
    <row r="977" spans="1:7" ht="18.75" customHeight="1">
      <c r="A977" s="4588"/>
      <c r="B977" s="4542"/>
      <c r="C977" s="15281"/>
      <c r="D977" s="15273" t="s">
        <v>8017</v>
      </c>
      <c r="E977" s="4564" t="s">
        <v>8018</v>
      </c>
      <c r="F977" s="15273" t="s">
        <v>5125</v>
      </c>
      <c r="G977" s="15273" t="s">
        <v>5113</v>
      </c>
    </row>
    <row r="978" spans="1:7" ht="10.5" customHeight="1" thickBot="1">
      <c r="A978" s="4589"/>
      <c r="B978" s="4545"/>
      <c r="C978" s="15282"/>
      <c r="D978" s="15275"/>
      <c r="E978" s="4552"/>
      <c r="F978" s="15275"/>
      <c r="G978" s="15275"/>
    </row>
    <row r="979" spans="1:7" ht="38.25" customHeight="1">
      <c r="A979" s="4588"/>
      <c r="B979" s="4542"/>
      <c r="C979" s="15281"/>
      <c r="D979" s="15273" t="s">
        <v>8019</v>
      </c>
      <c r="E979" s="4564" t="s">
        <v>8020</v>
      </c>
      <c r="F979" s="15273" t="s">
        <v>5125</v>
      </c>
      <c r="G979" s="15273" t="s">
        <v>5113</v>
      </c>
    </row>
    <row r="980" spans="1:7" ht="5.25" customHeight="1" thickBot="1">
      <c r="A980" s="4589"/>
      <c r="B980" s="4545"/>
      <c r="C980" s="15282"/>
      <c r="D980" s="15275"/>
      <c r="E980" s="4552"/>
      <c r="F980" s="15275"/>
      <c r="G980" s="15275"/>
    </row>
    <row r="981" spans="1:7" ht="27.75" customHeight="1">
      <c r="A981" s="4588"/>
      <c r="B981" s="4542"/>
      <c r="C981" s="15281"/>
      <c r="D981" s="15273" t="s">
        <v>8021</v>
      </c>
      <c r="E981" s="4564" t="s">
        <v>8022</v>
      </c>
      <c r="F981" s="15273" t="s">
        <v>5125</v>
      </c>
      <c r="G981" s="15273" t="s">
        <v>5113</v>
      </c>
    </row>
    <row r="982" spans="1:7" ht="3.75" customHeight="1" thickBot="1">
      <c r="A982" s="4589"/>
      <c r="B982" s="4545"/>
      <c r="C982" s="15282"/>
      <c r="D982" s="15275"/>
      <c r="E982" s="4552"/>
      <c r="F982" s="15275"/>
      <c r="G982" s="15275"/>
    </row>
    <row r="983" spans="1:7" ht="17.25" customHeight="1">
      <c r="A983" s="4588"/>
      <c r="B983" s="4542"/>
      <c r="C983" s="15281">
        <v>110000</v>
      </c>
      <c r="D983" s="15273" t="s">
        <v>8023</v>
      </c>
      <c r="E983" s="15273" t="s">
        <v>8024</v>
      </c>
      <c r="F983" s="15273" t="s">
        <v>5125</v>
      </c>
      <c r="G983" s="15273" t="s">
        <v>5113</v>
      </c>
    </row>
    <row r="984" spans="1:7" ht="13.5" customHeight="1" thickBot="1">
      <c r="A984" s="4589"/>
      <c r="B984" s="4545"/>
      <c r="C984" s="15282"/>
      <c r="D984" s="15275"/>
      <c r="E984" s="15275"/>
      <c r="F984" s="15275"/>
      <c r="G984" s="15275"/>
    </row>
    <row r="985" spans="1:7" ht="15.75" customHeight="1">
      <c r="A985" s="4588"/>
      <c r="B985" s="4574" t="s">
        <v>8025</v>
      </c>
      <c r="C985" s="15281"/>
      <c r="D985" s="15283"/>
      <c r="E985" s="4603"/>
      <c r="F985" s="15273" t="s">
        <v>5125</v>
      </c>
      <c r="G985" s="15273" t="s">
        <v>5113</v>
      </c>
    </row>
    <row r="986" spans="1:7" ht="28.5" customHeight="1" thickBot="1">
      <c r="A986" s="4589"/>
      <c r="B986" s="4575" t="s">
        <v>8026</v>
      </c>
      <c r="C986" s="15282"/>
      <c r="D986" s="15284"/>
      <c r="E986" s="4592"/>
      <c r="F986" s="15275"/>
      <c r="G986" s="15275"/>
    </row>
    <row r="987" spans="1:7" ht="16.5" customHeight="1">
      <c r="A987" s="4588"/>
      <c r="B987" s="4542" t="s">
        <v>8027</v>
      </c>
      <c r="C987" s="15281"/>
      <c r="D987" s="15273" t="s">
        <v>8011</v>
      </c>
      <c r="E987" s="15273" t="s">
        <v>8029</v>
      </c>
      <c r="F987" s="15273" t="s">
        <v>5125</v>
      </c>
      <c r="G987" s="15273" t="s">
        <v>5113</v>
      </c>
    </row>
    <row r="988" spans="1:7" ht="29.25" customHeight="1" thickBot="1">
      <c r="A988" s="4589"/>
      <c r="B988" s="4545" t="s">
        <v>8028</v>
      </c>
      <c r="C988" s="15282"/>
      <c r="D988" s="15275"/>
      <c r="E988" s="15275"/>
      <c r="F988" s="15275"/>
      <c r="G988" s="15275"/>
    </row>
    <row r="989" spans="1:7" ht="13.5" customHeight="1">
      <c r="A989" s="4588"/>
      <c r="B989" s="4542"/>
      <c r="C989" s="15281">
        <v>20000</v>
      </c>
      <c r="D989" s="15273" t="s">
        <v>8030</v>
      </c>
      <c r="E989" s="15273" t="s">
        <v>8031</v>
      </c>
      <c r="F989" s="15273" t="s">
        <v>5125</v>
      </c>
      <c r="G989" s="15273" t="s">
        <v>5113</v>
      </c>
    </row>
    <row r="990" spans="1:7" ht="27" customHeight="1" thickBot="1">
      <c r="A990" s="4589"/>
      <c r="B990" s="4545"/>
      <c r="C990" s="15282"/>
      <c r="D990" s="15275"/>
      <c r="E990" s="15275"/>
      <c r="F990" s="15275"/>
      <c r="G990" s="15275"/>
    </row>
    <row r="991" spans="1:7" ht="67.5" customHeight="1">
      <c r="A991" s="4588"/>
      <c r="B991" s="4542"/>
      <c r="C991" s="15281">
        <v>50000</v>
      </c>
      <c r="D991" s="15273" t="s">
        <v>8032</v>
      </c>
      <c r="E991" s="4564" t="s">
        <v>8033</v>
      </c>
      <c r="F991" s="15273" t="s">
        <v>5125</v>
      </c>
      <c r="G991" s="15273" t="s">
        <v>5113</v>
      </c>
    </row>
    <row r="992" spans="1:7" ht="4.5" customHeight="1" thickBot="1">
      <c r="A992" s="4589"/>
      <c r="B992" s="4545"/>
      <c r="C992" s="15282"/>
      <c r="D992" s="15275"/>
      <c r="E992" s="4552"/>
      <c r="F992" s="15275"/>
      <c r="G992" s="15275"/>
    </row>
    <row r="993" spans="1:7" ht="16.5" customHeight="1">
      <c r="A993" s="4588"/>
      <c r="B993" s="4542" t="s">
        <v>8034</v>
      </c>
      <c r="C993" s="15281"/>
      <c r="D993" s="15273" t="s">
        <v>8036</v>
      </c>
      <c r="E993" s="15273" t="s">
        <v>8037</v>
      </c>
      <c r="F993" s="15273" t="s">
        <v>5125</v>
      </c>
      <c r="G993" s="15273" t="s">
        <v>5113</v>
      </c>
    </row>
    <row r="994" spans="1:7" ht="41.25" customHeight="1">
      <c r="A994" s="4595"/>
      <c r="B994" s="4543" t="s">
        <v>8035</v>
      </c>
      <c r="C994" s="15301"/>
      <c r="D994" s="15274"/>
      <c r="E994" s="15274"/>
      <c r="F994" s="15274"/>
      <c r="G994" s="15274"/>
    </row>
    <row r="995" spans="1:7" ht="6" customHeight="1" thickBot="1">
      <c r="A995" s="4589"/>
      <c r="B995" s="4545"/>
      <c r="C995" s="15282"/>
      <c r="D995" s="15275"/>
      <c r="E995" s="4552"/>
      <c r="F995" s="15275"/>
      <c r="G995" s="15275"/>
    </row>
    <row r="996" spans="1:7" ht="25.5" customHeight="1" thickBot="1">
      <c r="A996" s="4569"/>
      <c r="B996" s="4570"/>
      <c r="C996" s="4682">
        <v>100000</v>
      </c>
      <c r="D996" s="4552" t="s">
        <v>8038</v>
      </c>
      <c r="E996" s="4561" t="s">
        <v>8039</v>
      </c>
      <c r="F996" s="4552" t="s">
        <v>5125</v>
      </c>
      <c r="G996" s="4552" t="s">
        <v>5113</v>
      </c>
    </row>
    <row r="997" spans="1:7" ht="16.5" customHeight="1">
      <c r="A997" s="4588"/>
      <c r="B997" s="4542" t="s">
        <v>8040</v>
      </c>
      <c r="C997" s="15281"/>
      <c r="D997" s="15273" t="s">
        <v>7914</v>
      </c>
      <c r="E997" s="15273" t="s">
        <v>8042</v>
      </c>
      <c r="F997" s="15273" t="s">
        <v>5125</v>
      </c>
      <c r="G997" s="15273" t="s">
        <v>5113</v>
      </c>
    </row>
    <row r="998" spans="1:7" ht="37.5" customHeight="1">
      <c r="A998" s="4595"/>
      <c r="B998" s="4543" t="s">
        <v>8041</v>
      </c>
      <c r="C998" s="15301"/>
      <c r="D998" s="15274"/>
      <c r="E998" s="15274"/>
      <c r="F998" s="15274"/>
      <c r="G998" s="15274"/>
    </row>
    <row r="999" spans="1:7" ht="6" customHeight="1" thickBot="1">
      <c r="A999" s="4589"/>
      <c r="B999" s="4545"/>
      <c r="C999" s="15282"/>
      <c r="D999" s="15275"/>
      <c r="E999" s="4552"/>
      <c r="F999" s="15275"/>
      <c r="G999" s="15275"/>
    </row>
    <row r="1000" spans="1:7" ht="52.5" customHeight="1">
      <c r="A1000" s="4588"/>
      <c r="B1000" s="4542" t="s">
        <v>8043</v>
      </c>
      <c r="C1000" s="15281">
        <v>30000</v>
      </c>
      <c r="D1000" s="15273" t="s">
        <v>8044</v>
      </c>
      <c r="E1000" s="4564" t="s">
        <v>8045</v>
      </c>
      <c r="F1000" s="15273" t="s">
        <v>5125</v>
      </c>
      <c r="G1000" s="15273" t="s">
        <v>5113</v>
      </c>
    </row>
    <row r="1001" spans="1:7" ht="6.75" customHeight="1" thickBot="1">
      <c r="A1001" s="4589"/>
      <c r="B1001" s="4545"/>
      <c r="C1001" s="15282"/>
      <c r="D1001" s="15275"/>
      <c r="E1001" s="4552"/>
      <c r="F1001" s="15275"/>
      <c r="G1001" s="15275"/>
    </row>
    <row r="1002" spans="1:7" ht="14.25" customHeight="1" thickBot="1">
      <c r="A1002" s="4569"/>
      <c r="B1002" s="4570"/>
      <c r="C1002" s="4682"/>
      <c r="D1002" s="4552"/>
      <c r="E1002" s="4561" t="s">
        <v>8046</v>
      </c>
      <c r="F1002" s="4552"/>
      <c r="G1002" s="4552"/>
    </row>
    <row r="1003" spans="1:7" ht="19.5" customHeight="1">
      <c r="A1003" s="4588"/>
      <c r="B1003" s="4542" t="s">
        <v>8047</v>
      </c>
      <c r="C1003" s="15281">
        <v>10000</v>
      </c>
      <c r="D1003" s="15273" t="s">
        <v>1812</v>
      </c>
      <c r="E1003" s="15273" t="s">
        <v>8049</v>
      </c>
      <c r="F1003" s="15273" t="s">
        <v>5125</v>
      </c>
      <c r="G1003" s="15273" t="s">
        <v>5113</v>
      </c>
    </row>
    <row r="1004" spans="1:7" ht="53.25" customHeight="1" thickBot="1">
      <c r="A1004" s="4589"/>
      <c r="B1004" s="4545" t="s">
        <v>8048</v>
      </c>
      <c r="C1004" s="15282"/>
      <c r="D1004" s="15275"/>
      <c r="E1004" s="15275"/>
      <c r="F1004" s="15275"/>
      <c r="G1004" s="15275"/>
    </row>
    <row r="1005" spans="1:7" ht="16.5" customHeight="1">
      <c r="A1005" s="4588"/>
      <c r="B1005" s="4542" t="s">
        <v>8047</v>
      </c>
      <c r="C1005" s="15281">
        <v>25000</v>
      </c>
      <c r="D1005" s="15273" t="s">
        <v>8051</v>
      </c>
      <c r="E1005" s="15273" t="s">
        <v>8052</v>
      </c>
      <c r="F1005" s="15273" t="s">
        <v>5125</v>
      </c>
      <c r="G1005" s="15273" t="s">
        <v>5113</v>
      </c>
    </row>
    <row r="1006" spans="1:7" ht="27" customHeight="1" thickBot="1">
      <c r="A1006" s="4589"/>
      <c r="B1006" s="4545" t="s">
        <v>8050</v>
      </c>
      <c r="C1006" s="15282"/>
      <c r="D1006" s="15275"/>
      <c r="E1006" s="15275"/>
      <c r="F1006" s="15275"/>
      <c r="G1006" s="15275"/>
    </row>
    <row r="1007" spans="1:7" ht="16.5" customHeight="1">
      <c r="A1007" s="4588"/>
      <c r="B1007" s="4542" t="s">
        <v>8053</v>
      </c>
      <c r="C1007" s="15281">
        <v>200000</v>
      </c>
      <c r="D1007" s="15273" t="s">
        <v>8055</v>
      </c>
      <c r="E1007" s="15273" t="s">
        <v>8056</v>
      </c>
      <c r="F1007" s="15273" t="s">
        <v>5125</v>
      </c>
      <c r="G1007" s="15273" t="s">
        <v>5113</v>
      </c>
    </row>
    <row r="1008" spans="1:7" ht="26.25" customHeight="1" thickBot="1">
      <c r="A1008" s="4589"/>
      <c r="B1008" s="4545" t="s">
        <v>8054</v>
      </c>
      <c r="C1008" s="15282"/>
      <c r="D1008" s="15275"/>
      <c r="E1008" s="15275"/>
      <c r="F1008" s="15275"/>
      <c r="G1008" s="15275"/>
    </row>
    <row r="1009" spans="1:7" ht="15" customHeight="1">
      <c r="A1009" s="4641"/>
      <c r="B1009" s="4642"/>
      <c r="C1009" s="4679"/>
      <c r="D1009" s="4643"/>
      <c r="E1009" s="4643"/>
      <c r="F1009" s="4643"/>
      <c r="G1009" s="4643"/>
    </row>
    <row r="1010" spans="1:7" ht="15" customHeight="1">
      <c r="A1010" s="4636"/>
      <c r="B1010" s="4626"/>
      <c r="C1010" s="4673"/>
      <c r="D1010" s="4538"/>
      <c r="E1010" s="4538"/>
      <c r="F1010" s="4538"/>
      <c r="G1010" s="4538"/>
    </row>
    <row r="1011" spans="1:7" ht="15" customHeight="1">
      <c r="A1011" s="4636"/>
      <c r="B1011" s="4626"/>
      <c r="C1011" s="4673"/>
      <c r="D1011" s="4538"/>
      <c r="E1011" s="4538"/>
      <c r="F1011" s="4538"/>
      <c r="G1011" s="4538"/>
    </row>
    <row r="1012" spans="1:7" ht="15" customHeight="1">
      <c r="A1012" s="4636"/>
      <c r="B1012" s="4626"/>
      <c r="C1012" s="4673"/>
      <c r="D1012" s="4538"/>
      <c r="E1012" s="4538"/>
      <c r="F1012" s="4538"/>
      <c r="G1012" s="4538"/>
    </row>
    <row r="1013" spans="1:7" ht="15" customHeight="1">
      <c r="A1013" s="4636"/>
      <c r="B1013" s="4626"/>
      <c r="C1013" s="4673"/>
      <c r="D1013" s="4538"/>
      <c r="E1013" s="4538"/>
      <c r="F1013" s="4538"/>
      <c r="G1013" s="4538"/>
    </row>
    <row r="1014" spans="1:7" ht="15" customHeight="1">
      <c r="A1014" s="4636"/>
      <c r="B1014" s="4626"/>
      <c r="C1014" s="4673"/>
      <c r="D1014" s="4538"/>
      <c r="E1014" s="4538"/>
      <c r="F1014" s="4538"/>
      <c r="G1014" s="4538"/>
    </row>
    <row r="1015" spans="1:7" ht="15" customHeight="1">
      <c r="A1015" s="4636"/>
      <c r="B1015" s="4626"/>
      <c r="C1015" s="4673"/>
      <c r="D1015" s="4538"/>
      <c r="E1015" s="4538"/>
      <c r="F1015" s="4538"/>
      <c r="G1015" s="4538"/>
    </row>
    <row r="1016" spans="1:7" ht="15" customHeight="1" thickBot="1">
      <c r="A1016" s="4645"/>
      <c r="B1016" s="4646"/>
      <c r="C1016" s="4680"/>
      <c r="D1016" s="4637"/>
      <c r="E1016" s="4637"/>
      <c r="F1016" s="4637"/>
      <c r="G1016" s="4637"/>
    </row>
    <row r="1017" spans="1:7" ht="28.5" customHeight="1" thickBot="1">
      <c r="A1017" s="4594" t="s">
        <v>2056</v>
      </c>
      <c r="B1017" s="4539" t="s">
        <v>2540</v>
      </c>
      <c r="C1017" s="4692" t="s">
        <v>1736</v>
      </c>
      <c r="D1017" s="4540" t="s">
        <v>1760</v>
      </c>
      <c r="E1017" s="4540" t="s">
        <v>1764</v>
      </c>
      <c r="F1017" s="15294" t="s">
        <v>2541</v>
      </c>
      <c r="G1017" s="15295"/>
    </row>
    <row r="1018" spans="1:7" ht="15" customHeight="1" thickBot="1">
      <c r="A1018" s="4545"/>
      <c r="B1018" s="4541"/>
      <c r="C1018" s="4678"/>
      <c r="D1018" s="4565"/>
      <c r="E1018" s="4565"/>
      <c r="F1018" s="4705" t="s">
        <v>1789</v>
      </c>
      <c r="G1018" s="4705" t="s">
        <v>1790</v>
      </c>
    </row>
    <row r="1019" spans="1:7" ht="15" customHeight="1">
      <c r="A1019" s="4588"/>
      <c r="B1019" s="4574" t="s">
        <v>8057</v>
      </c>
      <c r="C1019" s="15281"/>
      <c r="D1019" s="15273" t="s">
        <v>8059</v>
      </c>
      <c r="E1019" s="15273" t="s">
        <v>8060</v>
      </c>
      <c r="F1019" s="15273" t="s">
        <v>5125</v>
      </c>
      <c r="G1019" s="15273" t="s">
        <v>5113</v>
      </c>
    </row>
    <row r="1020" spans="1:7" ht="39" customHeight="1">
      <c r="A1020" s="4595"/>
      <c r="B1020" s="4594" t="s">
        <v>8058</v>
      </c>
      <c r="C1020" s="15301"/>
      <c r="D1020" s="15274"/>
      <c r="E1020" s="15274"/>
      <c r="F1020" s="15274"/>
      <c r="G1020" s="15274"/>
    </row>
    <row r="1021" spans="1:7" ht="3.75" customHeight="1" thickBot="1">
      <c r="A1021" s="4589"/>
      <c r="B1021" s="4545"/>
      <c r="C1021" s="15282"/>
      <c r="D1021" s="15275"/>
      <c r="E1021" s="4552"/>
      <c r="F1021" s="15275"/>
      <c r="G1021" s="15275"/>
    </row>
    <row r="1022" spans="1:7" ht="19.5" customHeight="1">
      <c r="A1022" s="4588"/>
      <c r="B1022" s="4542"/>
      <c r="C1022" s="15281">
        <v>500000</v>
      </c>
      <c r="D1022" s="4544" t="s">
        <v>8061</v>
      </c>
      <c r="E1022" s="15273" t="s">
        <v>8064</v>
      </c>
      <c r="F1022" s="15273" t="s">
        <v>5125</v>
      </c>
      <c r="G1022" s="15273" t="s">
        <v>5113</v>
      </c>
    </row>
    <row r="1023" spans="1:7">
      <c r="A1023" s="4595"/>
      <c r="B1023" s="4543"/>
      <c r="C1023" s="15301"/>
      <c r="D1023" s="4544" t="s">
        <v>8062</v>
      </c>
      <c r="E1023" s="15274"/>
      <c r="F1023" s="15274"/>
      <c r="G1023" s="15274"/>
    </row>
    <row r="1024" spans="1:7" ht="19.5" customHeight="1">
      <c r="A1024" s="4595"/>
      <c r="B1024" s="4543"/>
      <c r="C1024" s="15301"/>
      <c r="D1024" s="4544" t="s">
        <v>8063</v>
      </c>
      <c r="E1024" s="15274"/>
      <c r="F1024" s="15274"/>
      <c r="G1024" s="15274"/>
    </row>
    <row r="1025" spans="1:7" ht="3" customHeight="1" thickBot="1">
      <c r="A1025" s="4589"/>
      <c r="B1025" s="4545"/>
      <c r="C1025" s="15282"/>
      <c r="D1025" s="4552"/>
      <c r="E1025" s="4552"/>
      <c r="F1025" s="15275"/>
      <c r="G1025" s="15275"/>
    </row>
    <row r="1026" spans="1:7" ht="27.75" customHeight="1">
      <c r="A1026" s="4588"/>
      <c r="B1026" s="4542"/>
      <c r="C1026" s="15281"/>
      <c r="D1026" s="15273" t="s">
        <v>1813</v>
      </c>
      <c r="E1026" s="4564" t="s">
        <v>8065</v>
      </c>
      <c r="F1026" s="15273" t="s">
        <v>5125</v>
      </c>
      <c r="G1026" s="15273" t="s">
        <v>5113</v>
      </c>
    </row>
    <row r="1027" spans="1:7" ht="2.25" customHeight="1" thickBot="1">
      <c r="A1027" s="4589"/>
      <c r="B1027" s="4545"/>
      <c r="C1027" s="15282"/>
      <c r="D1027" s="15275"/>
      <c r="E1027" s="4552"/>
      <c r="F1027" s="15275"/>
      <c r="G1027" s="15275"/>
    </row>
    <row r="1028" spans="1:7" ht="13.5" customHeight="1">
      <c r="A1028" s="4588"/>
      <c r="B1028" s="4574" t="s">
        <v>8066</v>
      </c>
      <c r="C1028" s="15281"/>
      <c r="D1028" s="15273"/>
      <c r="E1028" s="4564"/>
      <c r="F1028" s="15273" t="s">
        <v>5125</v>
      </c>
      <c r="G1028" s="15273" t="s">
        <v>5113</v>
      </c>
    </row>
    <row r="1029" spans="1:7" ht="15" customHeight="1" thickBot="1">
      <c r="A1029" s="4589"/>
      <c r="B1029" s="4575" t="s">
        <v>8067</v>
      </c>
      <c r="C1029" s="15282"/>
      <c r="D1029" s="15275"/>
      <c r="E1029" s="4552"/>
      <c r="F1029" s="15275"/>
      <c r="G1029" s="15275"/>
    </row>
    <row r="1030" spans="1:7" ht="14.25" customHeight="1">
      <c r="A1030" s="4588"/>
      <c r="B1030" s="4601" t="s">
        <v>8068</v>
      </c>
      <c r="C1030" s="15281"/>
      <c r="D1030" s="15273"/>
      <c r="E1030" s="4564"/>
      <c r="F1030" s="15273" t="s">
        <v>5125</v>
      </c>
      <c r="G1030" s="15273" t="s">
        <v>5113</v>
      </c>
    </row>
    <row r="1031" spans="1:7" ht="27" customHeight="1" thickBot="1">
      <c r="A1031" s="4589"/>
      <c r="B1031" s="4604" t="s">
        <v>8069</v>
      </c>
      <c r="C1031" s="15282"/>
      <c r="D1031" s="15275"/>
      <c r="E1031" s="4552"/>
      <c r="F1031" s="15275"/>
      <c r="G1031" s="15275"/>
    </row>
    <row r="1032" spans="1:7" ht="16.5" customHeight="1">
      <c r="A1032" s="4588"/>
      <c r="B1032" s="4542" t="s">
        <v>8070</v>
      </c>
      <c r="C1032" s="4686">
        <v>130000</v>
      </c>
      <c r="D1032" s="15276" t="s">
        <v>8072</v>
      </c>
      <c r="E1032" s="15276" t="s">
        <v>8073</v>
      </c>
      <c r="F1032" s="15273" t="s">
        <v>5125</v>
      </c>
      <c r="G1032" s="15273" t="s">
        <v>5113</v>
      </c>
    </row>
    <row r="1033" spans="1:7" ht="11.25" customHeight="1">
      <c r="A1033" s="4595"/>
      <c r="B1033" s="4543"/>
      <c r="C1033" s="4686" t="s">
        <v>8071</v>
      </c>
      <c r="D1033" s="15277"/>
      <c r="E1033" s="15277"/>
      <c r="F1033" s="15274"/>
      <c r="G1033" s="15274"/>
    </row>
    <row r="1034" spans="1:7" ht="3" customHeight="1" thickBot="1">
      <c r="A1034" s="4589"/>
      <c r="B1034" s="4545"/>
      <c r="C1034" s="4682"/>
      <c r="D1034" s="15278"/>
      <c r="E1034" s="4551"/>
      <c r="F1034" s="15275"/>
      <c r="G1034" s="15275"/>
    </row>
    <row r="1035" spans="1:7" ht="25.5" customHeight="1">
      <c r="A1035" s="4588"/>
      <c r="B1035" s="4542"/>
      <c r="C1035" s="15281"/>
      <c r="D1035" s="4549" t="s">
        <v>8074</v>
      </c>
      <c r="E1035" s="15276" t="s">
        <v>8076</v>
      </c>
      <c r="F1035" s="15273" t="s">
        <v>5125</v>
      </c>
      <c r="G1035" s="15273" t="s">
        <v>5113</v>
      </c>
    </row>
    <row r="1036" spans="1:7" ht="14.25" customHeight="1">
      <c r="A1036" s="4595"/>
      <c r="B1036" s="4543"/>
      <c r="C1036" s="15301"/>
      <c r="D1036" s="4549" t="s">
        <v>8075</v>
      </c>
      <c r="E1036" s="15277"/>
      <c r="F1036" s="15274"/>
      <c r="G1036" s="15274"/>
    </row>
    <row r="1037" spans="1:7" ht="3" customHeight="1" thickBot="1">
      <c r="A1037" s="4589"/>
      <c r="B1037" s="4545"/>
      <c r="C1037" s="15282"/>
      <c r="D1037" s="4552"/>
      <c r="E1037" s="4551"/>
      <c r="F1037" s="15275"/>
      <c r="G1037" s="15275"/>
    </row>
    <row r="1038" spans="1:7" ht="51.75" customHeight="1">
      <c r="A1038" s="4588"/>
      <c r="B1038" s="4542"/>
      <c r="C1038" s="15281"/>
      <c r="D1038" s="15276" t="s">
        <v>8077</v>
      </c>
      <c r="E1038" s="4547" t="s">
        <v>8078</v>
      </c>
      <c r="F1038" s="15273" t="s">
        <v>5125</v>
      </c>
      <c r="G1038" s="15273" t="s">
        <v>5113</v>
      </c>
    </row>
    <row r="1039" spans="1:7" ht="3" customHeight="1" thickBot="1">
      <c r="A1039" s="4589"/>
      <c r="B1039" s="4545"/>
      <c r="C1039" s="15282"/>
      <c r="D1039" s="15278"/>
      <c r="E1039" s="4551"/>
      <c r="F1039" s="15275"/>
      <c r="G1039" s="15275"/>
    </row>
    <row r="1040" spans="1:7" ht="14.25" customHeight="1">
      <c r="A1040" s="4588"/>
      <c r="B1040" s="4601" t="s">
        <v>8079</v>
      </c>
      <c r="C1040" s="15281"/>
      <c r="D1040" s="15273"/>
      <c r="E1040" s="4564"/>
      <c r="F1040" s="15273" t="s">
        <v>5125</v>
      </c>
      <c r="G1040" s="15273" t="s">
        <v>5113</v>
      </c>
    </row>
    <row r="1041" spans="1:7" ht="14.25" customHeight="1" thickBot="1">
      <c r="A1041" s="4589"/>
      <c r="B1041" s="4604" t="s">
        <v>8080</v>
      </c>
      <c r="C1041" s="15282"/>
      <c r="D1041" s="15275"/>
      <c r="E1041" s="4552"/>
      <c r="F1041" s="15275"/>
      <c r="G1041" s="15275"/>
    </row>
    <row r="1042" spans="1:7" ht="39" customHeight="1">
      <c r="A1042" s="4588"/>
      <c r="B1042" s="4576" t="s">
        <v>8081</v>
      </c>
      <c r="C1042" s="15281"/>
      <c r="D1042" s="15276" t="s">
        <v>8082</v>
      </c>
      <c r="E1042" s="4547" t="s">
        <v>8083</v>
      </c>
      <c r="F1042" s="15273" t="s">
        <v>5125</v>
      </c>
      <c r="G1042" s="15273" t="s">
        <v>5113</v>
      </c>
    </row>
    <row r="1043" spans="1:7" ht="3" customHeight="1" thickBot="1">
      <c r="A1043" s="4589"/>
      <c r="B1043" s="4577"/>
      <c r="C1043" s="15282"/>
      <c r="D1043" s="15278"/>
      <c r="E1043" s="4551"/>
      <c r="F1043" s="15275"/>
      <c r="G1043" s="15275"/>
    </row>
    <row r="1044" spans="1:7" ht="38.25" customHeight="1">
      <c r="A1044" s="4588"/>
      <c r="B1044" s="4542"/>
      <c r="C1044" s="15281"/>
      <c r="D1044" s="15276" t="s">
        <v>8084</v>
      </c>
      <c r="E1044" s="4547" t="s">
        <v>8085</v>
      </c>
      <c r="F1044" s="15273" t="s">
        <v>5125</v>
      </c>
      <c r="G1044" s="15273" t="s">
        <v>5113</v>
      </c>
    </row>
    <row r="1045" spans="1:7" ht="3" customHeight="1" thickBot="1">
      <c r="A1045" s="4589"/>
      <c r="B1045" s="4545"/>
      <c r="C1045" s="15282"/>
      <c r="D1045" s="15278"/>
      <c r="E1045" s="4551"/>
      <c r="F1045" s="15275"/>
      <c r="G1045" s="15275"/>
    </row>
    <row r="1046" spans="1:7" ht="51.75" customHeight="1">
      <c r="A1046" s="4588"/>
      <c r="B1046" s="4542"/>
      <c r="C1046" s="15281"/>
      <c r="D1046" s="15276" t="s">
        <v>8086</v>
      </c>
      <c r="E1046" s="4547" t="s">
        <v>8087</v>
      </c>
      <c r="F1046" s="15273" t="s">
        <v>5125</v>
      </c>
      <c r="G1046" s="15273" t="s">
        <v>5113</v>
      </c>
    </row>
    <row r="1047" spans="1:7" ht="2.25" customHeight="1" thickBot="1">
      <c r="A1047" s="4589"/>
      <c r="B1047" s="4545"/>
      <c r="C1047" s="15282"/>
      <c r="D1047" s="15278"/>
      <c r="E1047" s="4551"/>
      <c r="F1047" s="15275"/>
      <c r="G1047" s="15275"/>
    </row>
    <row r="1048" spans="1:7" ht="39" customHeight="1">
      <c r="A1048" s="4588"/>
      <c r="B1048" s="4542"/>
      <c r="C1048" s="15281"/>
      <c r="D1048" s="15276" t="s">
        <v>8088</v>
      </c>
      <c r="E1048" s="4547" t="s">
        <v>8089</v>
      </c>
      <c r="F1048" s="15273" t="s">
        <v>5125</v>
      </c>
      <c r="G1048" s="15273" t="s">
        <v>5113</v>
      </c>
    </row>
    <row r="1049" spans="1:7" ht="0.75" customHeight="1" thickBot="1">
      <c r="A1049" s="4589"/>
      <c r="B1049" s="4545"/>
      <c r="C1049" s="15282"/>
      <c r="D1049" s="15278"/>
      <c r="E1049" s="4551"/>
      <c r="F1049" s="15275"/>
      <c r="G1049" s="15275"/>
    </row>
    <row r="1050" spans="1:7" ht="13.5" customHeight="1">
      <c r="A1050" s="4588"/>
      <c r="B1050" s="4542"/>
      <c r="C1050" s="15291">
        <v>10000</v>
      </c>
      <c r="D1050" s="4549" t="s">
        <v>8090</v>
      </c>
      <c r="E1050" s="15276" t="s">
        <v>8092</v>
      </c>
      <c r="F1050" s="15273" t="s">
        <v>5125</v>
      </c>
      <c r="G1050" s="15273" t="s">
        <v>5113</v>
      </c>
    </row>
    <row r="1051" spans="1:7" ht="24" customHeight="1" thickBot="1">
      <c r="A1051" s="4589"/>
      <c r="B1051" s="4545"/>
      <c r="C1051" s="15292"/>
      <c r="D1051" s="4551" t="s">
        <v>8091</v>
      </c>
      <c r="E1051" s="15278"/>
      <c r="F1051" s="15275"/>
      <c r="G1051" s="15275"/>
    </row>
    <row r="1052" spans="1:7" ht="16.5" customHeight="1">
      <c r="A1052" s="4588"/>
      <c r="B1052" s="4542"/>
      <c r="C1052" s="15291">
        <v>50000</v>
      </c>
      <c r="D1052" s="4549" t="s">
        <v>8093</v>
      </c>
      <c r="E1052" s="15273" t="s">
        <v>8716</v>
      </c>
      <c r="F1052" s="15273" t="s">
        <v>5125</v>
      </c>
      <c r="G1052" s="15273" t="s">
        <v>5113</v>
      </c>
    </row>
    <row r="1053" spans="1:7" ht="25.5" customHeight="1">
      <c r="A1053" s="4595"/>
      <c r="B1053" s="4543"/>
      <c r="C1053" s="15299"/>
      <c r="D1053" s="4549" t="s">
        <v>8094</v>
      </c>
      <c r="E1053" s="15274"/>
      <c r="F1053" s="15274"/>
      <c r="G1053" s="15274"/>
    </row>
    <row r="1054" spans="1:7" ht="3.75" customHeight="1" thickBot="1">
      <c r="A1054" s="4589"/>
      <c r="B1054" s="4545"/>
      <c r="C1054" s="15292"/>
      <c r="D1054" s="4552"/>
      <c r="E1054" s="4552"/>
      <c r="F1054" s="15275"/>
      <c r="G1054" s="15275"/>
    </row>
    <row r="1055" spans="1:7" ht="14.25" customHeight="1">
      <c r="A1055" s="4588"/>
      <c r="B1055" s="4601" t="s">
        <v>8095</v>
      </c>
      <c r="C1055" s="15291"/>
      <c r="D1055" s="15276"/>
      <c r="E1055" s="4564"/>
      <c r="F1055" s="15273" t="s">
        <v>5125</v>
      </c>
      <c r="G1055" s="15273" t="s">
        <v>5113</v>
      </c>
    </row>
    <row r="1056" spans="1:7" ht="26.25" customHeight="1" thickBot="1">
      <c r="A1056" s="4589"/>
      <c r="B1056" s="4604" t="s">
        <v>8096</v>
      </c>
      <c r="C1056" s="15292"/>
      <c r="D1056" s="15278"/>
      <c r="E1056" s="4552"/>
      <c r="F1056" s="15275"/>
      <c r="G1056" s="15275"/>
    </row>
    <row r="1057" spans="1:7" ht="29.25" customHeight="1">
      <c r="A1057" s="4588"/>
      <c r="B1057" s="4576" t="s">
        <v>8097</v>
      </c>
      <c r="C1057" s="15291"/>
      <c r="D1057" s="15276" t="s">
        <v>8098</v>
      </c>
      <c r="E1057" s="4547" t="s">
        <v>8099</v>
      </c>
      <c r="F1057" s="15273" t="s">
        <v>5125</v>
      </c>
      <c r="G1057" s="15273" t="s">
        <v>5113</v>
      </c>
    </row>
    <row r="1058" spans="1:7" ht="9.75" customHeight="1" thickBot="1">
      <c r="A1058" s="4589"/>
      <c r="B1058" s="4577"/>
      <c r="C1058" s="15292"/>
      <c r="D1058" s="15278"/>
      <c r="E1058" s="4551"/>
      <c r="F1058" s="15275"/>
      <c r="G1058" s="15275"/>
    </row>
    <row r="1059" spans="1:7" ht="13.5" customHeight="1">
      <c r="A1059" s="4588"/>
      <c r="B1059" s="4601" t="s">
        <v>8100</v>
      </c>
      <c r="C1059" s="15291"/>
      <c r="D1059" s="15276"/>
      <c r="E1059" s="4564"/>
      <c r="F1059" s="15273" t="s">
        <v>5125</v>
      </c>
      <c r="G1059" s="15273" t="s">
        <v>5113</v>
      </c>
    </row>
    <row r="1060" spans="1:7" ht="12.75" customHeight="1" thickBot="1">
      <c r="A1060" s="4589"/>
      <c r="B1060" s="4604" t="s">
        <v>8101</v>
      </c>
      <c r="C1060" s="15292"/>
      <c r="D1060" s="15278"/>
      <c r="E1060" s="4552"/>
      <c r="F1060" s="15275"/>
      <c r="G1060" s="15275"/>
    </row>
    <row r="1061" spans="1:7" ht="16.5" customHeight="1">
      <c r="A1061" s="4588"/>
      <c r="B1061" s="4542" t="s">
        <v>8102</v>
      </c>
      <c r="C1061" s="15281"/>
      <c r="D1061" s="4544" t="s">
        <v>8103</v>
      </c>
      <c r="E1061" s="4544" t="s">
        <v>8108</v>
      </c>
      <c r="F1061" s="15273" t="s">
        <v>5125</v>
      </c>
      <c r="G1061" s="15273" t="s">
        <v>5113</v>
      </c>
    </row>
    <row r="1062" spans="1:7" ht="13.5" customHeight="1">
      <c r="A1062" s="4595"/>
      <c r="B1062" s="4543"/>
      <c r="C1062" s="15301"/>
      <c r="D1062" s="4544" t="s">
        <v>8104</v>
      </c>
      <c r="E1062" s="15274" t="s">
        <v>8717</v>
      </c>
      <c r="F1062" s="15274"/>
      <c r="G1062" s="15274"/>
    </row>
    <row r="1063" spans="1:7" ht="26.4">
      <c r="A1063" s="4595"/>
      <c r="B1063" s="4543"/>
      <c r="C1063" s="15301"/>
      <c r="D1063" s="4544" t="s">
        <v>8105</v>
      </c>
      <c r="E1063" s="15274"/>
      <c r="F1063" s="15274"/>
      <c r="G1063" s="15274"/>
    </row>
    <row r="1064" spans="1:7" ht="26.4">
      <c r="A1064" s="4595"/>
      <c r="B1064" s="4543"/>
      <c r="C1064" s="15301"/>
      <c r="D1064" s="4544" t="s">
        <v>8106</v>
      </c>
      <c r="E1064" s="4544" t="s">
        <v>8109</v>
      </c>
      <c r="F1064" s="15274"/>
      <c r="G1064" s="15274"/>
    </row>
    <row r="1065" spans="1:7" ht="13.5" customHeight="1">
      <c r="A1065" s="4595"/>
      <c r="B1065" s="4543"/>
      <c r="C1065" s="15301"/>
      <c r="D1065" s="15274" t="s">
        <v>8107</v>
      </c>
      <c r="E1065" s="4544" t="s">
        <v>8110</v>
      </c>
      <c r="F1065" s="15274"/>
      <c r="G1065" s="15274"/>
    </row>
    <row r="1066" spans="1:7" ht="27.75" customHeight="1">
      <c r="A1066" s="4595"/>
      <c r="B1066" s="4543"/>
      <c r="C1066" s="15301"/>
      <c r="D1066" s="15274"/>
      <c r="E1066" s="4544" t="s">
        <v>8111</v>
      </c>
      <c r="F1066" s="15274"/>
      <c r="G1066" s="15274"/>
    </row>
    <row r="1067" spans="1:7" ht="13.5" customHeight="1" thickBot="1">
      <c r="A1067" s="4589"/>
      <c r="B1067" s="4545"/>
      <c r="C1067" s="15282"/>
      <c r="D1067" s="4552"/>
      <c r="E1067" s="4552" t="s">
        <v>8112</v>
      </c>
      <c r="F1067" s="15275"/>
      <c r="G1067" s="15275"/>
    </row>
    <row r="1068" spans="1:7" ht="13.5" customHeight="1">
      <c r="A1068" s="4641"/>
      <c r="B1068" s="4642"/>
      <c r="C1068" s="4679"/>
      <c r="D1068" s="4643"/>
      <c r="E1068" s="4643"/>
      <c r="F1068" s="4643"/>
      <c r="G1068" s="4643"/>
    </row>
    <row r="1069" spans="1:7" ht="13.5" customHeight="1">
      <c r="A1069" s="4636"/>
      <c r="B1069" s="4626"/>
      <c r="C1069" s="4673"/>
      <c r="D1069" s="4538"/>
      <c r="E1069" s="4538"/>
      <c r="F1069" s="4538"/>
      <c r="G1069" s="4538"/>
    </row>
    <row r="1070" spans="1:7" ht="13.5" customHeight="1">
      <c r="A1070" s="4636"/>
      <c r="B1070" s="4626"/>
      <c r="C1070" s="4673"/>
      <c r="D1070" s="4538"/>
      <c r="E1070" s="4538"/>
      <c r="F1070" s="4538"/>
      <c r="G1070" s="4538"/>
    </row>
    <row r="1071" spans="1:7" ht="13.5" customHeight="1" thickBot="1">
      <c r="A1071" s="4645"/>
      <c r="B1071" s="4646"/>
      <c r="C1071" s="4680"/>
      <c r="D1071" s="4637"/>
      <c r="E1071" s="4637"/>
      <c r="F1071" s="4637"/>
      <c r="G1071" s="4637"/>
    </row>
    <row r="1072" spans="1:7" ht="28.5" customHeight="1" thickBot="1">
      <c r="A1072" s="4594" t="s">
        <v>2056</v>
      </c>
      <c r="B1072" s="4539" t="s">
        <v>2540</v>
      </c>
      <c r="C1072" s="4692" t="s">
        <v>1736</v>
      </c>
      <c r="D1072" s="4540" t="s">
        <v>1760</v>
      </c>
      <c r="E1072" s="4540" t="s">
        <v>1764</v>
      </c>
      <c r="F1072" s="15294" t="s">
        <v>2541</v>
      </c>
      <c r="G1072" s="15295"/>
    </row>
    <row r="1073" spans="1:7" ht="15" customHeight="1" thickBot="1">
      <c r="A1073" s="4545"/>
      <c r="B1073" s="4541"/>
      <c r="C1073" s="4678"/>
      <c r="D1073" s="4565"/>
      <c r="E1073" s="4565"/>
      <c r="F1073" s="4705" t="s">
        <v>1789</v>
      </c>
      <c r="G1073" s="4705" t="s">
        <v>1790</v>
      </c>
    </row>
    <row r="1074" spans="1:7" ht="16.5" customHeight="1">
      <c r="A1074" s="4595"/>
      <c r="B1074" s="4543"/>
      <c r="C1074" s="15299"/>
      <c r="D1074" s="4549" t="s">
        <v>8113</v>
      </c>
      <c r="E1074" s="15277" t="s">
        <v>8116</v>
      </c>
      <c r="F1074" s="15274" t="s">
        <v>5125</v>
      </c>
      <c r="G1074" s="15274" t="s">
        <v>5113</v>
      </c>
    </row>
    <row r="1075" spans="1:7" ht="15" customHeight="1">
      <c r="A1075" s="4595"/>
      <c r="B1075" s="4543"/>
      <c r="C1075" s="15299"/>
      <c r="D1075" s="4549" t="s">
        <v>8114</v>
      </c>
      <c r="E1075" s="15277"/>
      <c r="F1075" s="15274"/>
      <c r="G1075" s="15274"/>
    </row>
    <row r="1076" spans="1:7" ht="26.25" customHeight="1" thickBot="1">
      <c r="A1076" s="4589"/>
      <c r="B1076" s="4545"/>
      <c r="C1076" s="15292"/>
      <c r="D1076" s="4551" t="s">
        <v>8115</v>
      </c>
      <c r="E1076" s="15278"/>
      <c r="F1076" s="15275"/>
      <c r="G1076" s="15275"/>
    </row>
    <row r="1077" spans="1:7" ht="12" customHeight="1">
      <c r="A1077" s="4588"/>
      <c r="B1077" s="4574" t="s">
        <v>8117</v>
      </c>
      <c r="C1077" s="15291"/>
      <c r="D1077" s="15318"/>
      <c r="E1077" s="4603"/>
      <c r="F1077" s="15273" t="s">
        <v>5125</v>
      </c>
      <c r="G1077" s="15273" t="s">
        <v>5113</v>
      </c>
    </row>
    <row r="1078" spans="1:7" ht="13.5" customHeight="1">
      <c r="A1078" s="4595"/>
      <c r="B1078" s="4594" t="s">
        <v>8118</v>
      </c>
      <c r="C1078" s="15299"/>
      <c r="D1078" s="15320"/>
      <c r="E1078" s="4605"/>
      <c r="F1078" s="15274"/>
      <c r="G1078" s="15274"/>
    </row>
    <row r="1079" spans="1:7" ht="3" customHeight="1" thickBot="1">
      <c r="A1079" s="4589"/>
      <c r="B1079" s="4575"/>
      <c r="C1079" s="15292"/>
      <c r="D1079" s="15319"/>
      <c r="E1079" s="4592"/>
      <c r="F1079" s="15275"/>
      <c r="G1079" s="15275"/>
    </row>
    <row r="1080" spans="1:7" ht="27" customHeight="1">
      <c r="A1080" s="4588"/>
      <c r="B1080" s="4542" t="s">
        <v>8119</v>
      </c>
      <c r="C1080" s="4684"/>
      <c r="D1080" s="4544" t="s">
        <v>1823</v>
      </c>
      <c r="E1080" s="4544" t="s">
        <v>9625</v>
      </c>
      <c r="F1080" s="15273" t="s">
        <v>5125</v>
      </c>
      <c r="G1080" s="15273" t="s">
        <v>5113</v>
      </c>
    </row>
    <row r="1081" spans="1:7" ht="29.25" customHeight="1">
      <c r="A1081" s="4595"/>
      <c r="B1081" s="4543"/>
      <c r="C1081" s="4684">
        <v>10000</v>
      </c>
      <c r="D1081" s="4544" t="s">
        <v>8120</v>
      </c>
      <c r="E1081" s="4544" t="s">
        <v>9629</v>
      </c>
      <c r="F1081" s="15274"/>
      <c r="G1081" s="15274"/>
    </row>
    <row r="1082" spans="1:7" ht="13.5" customHeight="1">
      <c r="A1082" s="4595"/>
      <c r="B1082" s="4543"/>
      <c r="C1082" s="4684">
        <v>250000</v>
      </c>
      <c r="D1082" s="4544" t="s">
        <v>8121</v>
      </c>
      <c r="E1082" s="4544" t="s">
        <v>9628</v>
      </c>
      <c r="F1082" s="15274"/>
      <c r="G1082" s="15274"/>
    </row>
    <row r="1083" spans="1:7" ht="14.25" customHeight="1">
      <c r="A1083" s="4595"/>
      <c r="B1083" s="4543"/>
      <c r="C1083" s="4684">
        <v>220000</v>
      </c>
      <c r="D1083" s="4544" t="s">
        <v>8122</v>
      </c>
      <c r="E1083" s="4544" t="s">
        <v>9626</v>
      </c>
      <c r="F1083" s="15274"/>
      <c r="G1083" s="15274"/>
    </row>
    <row r="1084" spans="1:7" ht="13.5" customHeight="1">
      <c r="A1084" s="4595"/>
      <c r="B1084" s="4543"/>
      <c r="C1084" s="4684"/>
      <c r="D1084" s="4544"/>
      <c r="E1084" s="4544" t="s">
        <v>8123</v>
      </c>
      <c r="F1084" s="15274"/>
      <c r="G1084" s="15274"/>
    </row>
    <row r="1085" spans="1:7" ht="13.5" customHeight="1">
      <c r="A1085" s="4595"/>
      <c r="B1085" s="4543"/>
      <c r="C1085" s="4684"/>
      <c r="D1085" s="4544"/>
      <c r="E1085" s="4544" t="s">
        <v>9627</v>
      </c>
      <c r="F1085" s="15274"/>
      <c r="G1085" s="15274"/>
    </row>
    <row r="1086" spans="1:7" ht="13.5" customHeight="1" thickBot="1">
      <c r="A1086" s="4595"/>
      <c r="B1086" s="4543"/>
      <c r="C1086" s="4684"/>
      <c r="D1086" s="4544"/>
      <c r="E1086" s="4552" t="s">
        <v>8124</v>
      </c>
      <c r="F1086" s="15274"/>
      <c r="G1086" s="15274"/>
    </row>
    <row r="1087" spans="1:7" ht="29.25" customHeight="1">
      <c r="A1087" s="4588"/>
      <c r="B1087" s="4542" t="s">
        <v>8125</v>
      </c>
      <c r="C1087" s="15281"/>
      <c r="D1087" s="15273" t="s">
        <v>8126</v>
      </c>
      <c r="E1087" s="4564" t="s">
        <v>8127</v>
      </c>
      <c r="F1087" s="15273" t="s">
        <v>5125</v>
      </c>
      <c r="G1087" s="15273" t="s">
        <v>5113</v>
      </c>
    </row>
    <row r="1088" spans="1:7" ht="4.5" customHeight="1" thickBot="1">
      <c r="A1088" s="4589"/>
      <c r="B1088" s="4545"/>
      <c r="C1088" s="15282"/>
      <c r="D1088" s="15275"/>
      <c r="E1088" s="4552"/>
      <c r="F1088" s="15275"/>
      <c r="G1088" s="15275"/>
    </row>
    <row r="1089" spans="1:7" ht="27" customHeight="1" thickBot="1">
      <c r="A1089" s="4569"/>
      <c r="B1089" s="4570"/>
      <c r="C1089" s="4682"/>
      <c r="D1089" s="4552"/>
      <c r="E1089" s="4561" t="s">
        <v>8128</v>
      </c>
      <c r="F1089" s="4552" t="s">
        <v>5125</v>
      </c>
      <c r="G1089" s="4552" t="s">
        <v>5113</v>
      </c>
    </row>
    <row r="1090" spans="1:7" ht="28.5" customHeight="1">
      <c r="A1090" s="4588"/>
      <c r="B1090" s="4542" t="s">
        <v>8129</v>
      </c>
      <c r="C1090" s="15281"/>
      <c r="D1090" s="15273" t="s">
        <v>7425</v>
      </c>
      <c r="E1090" s="4564" t="s">
        <v>8130</v>
      </c>
      <c r="F1090" s="15273" t="s">
        <v>5125</v>
      </c>
      <c r="G1090" s="15273" t="s">
        <v>5113</v>
      </c>
    </row>
    <row r="1091" spans="1:7" ht="3.75" customHeight="1" thickBot="1">
      <c r="A1091" s="4589"/>
      <c r="B1091" s="4545"/>
      <c r="C1091" s="15282"/>
      <c r="D1091" s="15275"/>
      <c r="E1091" s="4552"/>
      <c r="F1091" s="15275"/>
      <c r="G1091" s="15275"/>
    </row>
    <row r="1092" spans="1:7" ht="26.25" customHeight="1">
      <c r="A1092" s="4588"/>
      <c r="B1092" s="4542" t="s">
        <v>8131</v>
      </c>
      <c r="C1092" s="15281"/>
      <c r="D1092" s="15273" t="s">
        <v>1823</v>
      </c>
      <c r="E1092" s="4564" t="s">
        <v>8132</v>
      </c>
      <c r="F1092" s="15273" t="s">
        <v>5125</v>
      </c>
      <c r="G1092" s="15273" t="s">
        <v>5113</v>
      </c>
    </row>
    <row r="1093" spans="1:7" ht="4.5" customHeight="1" thickBot="1">
      <c r="A1093" s="4589"/>
      <c r="B1093" s="4545"/>
      <c r="C1093" s="15282"/>
      <c r="D1093" s="15275"/>
      <c r="E1093" s="4552"/>
      <c r="F1093" s="15275"/>
      <c r="G1093" s="15275"/>
    </row>
    <row r="1094" spans="1:7" ht="40.5" customHeight="1">
      <c r="A1094" s="4588"/>
      <c r="B1094" s="4542" t="s">
        <v>8133</v>
      </c>
      <c r="C1094" s="15281"/>
      <c r="D1094" s="15273" t="s">
        <v>1823</v>
      </c>
      <c r="E1094" s="4564" t="s">
        <v>8134</v>
      </c>
      <c r="F1094" s="15273" t="s">
        <v>5125</v>
      </c>
      <c r="G1094" s="15273" t="s">
        <v>5113</v>
      </c>
    </row>
    <row r="1095" spans="1:7" ht="4.5" customHeight="1" thickBot="1">
      <c r="A1095" s="4589"/>
      <c r="B1095" s="4545"/>
      <c r="C1095" s="15282"/>
      <c r="D1095" s="15275"/>
      <c r="E1095" s="4552"/>
      <c r="F1095" s="15275"/>
      <c r="G1095" s="15275"/>
    </row>
    <row r="1096" spans="1:7" ht="53.25" customHeight="1">
      <c r="A1096" s="4588"/>
      <c r="B1096" s="4542" t="s">
        <v>8135</v>
      </c>
      <c r="C1096" s="15281"/>
      <c r="D1096" s="15273" t="s">
        <v>8136</v>
      </c>
      <c r="E1096" s="4564" t="s">
        <v>8137</v>
      </c>
      <c r="F1096" s="15273" t="s">
        <v>5125</v>
      </c>
      <c r="G1096" s="15273" t="s">
        <v>5113</v>
      </c>
    </row>
    <row r="1097" spans="1:7" ht="3" customHeight="1" thickBot="1">
      <c r="A1097" s="4589"/>
      <c r="B1097" s="4545"/>
      <c r="C1097" s="15282"/>
      <c r="D1097" s="15275"/>
      <c r="E1097" s="4552"/>
      <c r="F1097" s="15275"/>
      <c r="G1097" s="15275"/>
    </row>
    <row r="1098" spans="1:7" ht="13.5" customHeight="1">
      <c r="A1098" s="4588"/>
      <c r="B1098" s="4574" t="s">
        <v>8138</v>
      </c>
      <c r="C1098" s="15291"/>
      <c r="D1098" s="15318"/>
      <c r="E1098" s="4603"/>
      <c r="F1098" s="15273" t="s">
        <v>5125</v>
      </c>
      <c r="G1098" s="15273" t="s">
        <v>5113</v>
      </c>
    </row>
    <row r="1099" spans="1:7" ht="15.75" customHeight="1" thickBot="1">
      <c r="A1099" s="4589"/>
      <c r="B1099" s="4575" t="s">
        <v>2526</v>
      </c>
      <c r="C1099" s="15292"/>
      <c r="D1099" s="15319"/>
      <c r="E1099" s="4592"/>
      <c r="F1099" s="15275"/>
      <c r="G1099" s="15275"/>
    </row>
    <row r="1100" spans="1:7" ht="28.5" customHeight="1">
      <c r="A1100" s="4588"/>
      <c r="B1100" s="4542" t="s">
        <v>8139</v>
      </c>
      <c r="C1100" s="15291"/>
      <c r="D1100" s="15273" t="s">
        <v>8077</v>
      </c>
      <c r="E1100" s="4564" t="s">
        <v>8140</v>
      </c>
      <c r="F1100" s="15273" t="s">
        <v>5125</v>
      </c>
      <c r="G1100" s="15273" t="s">
        <v>5113</v>
      </c>
    </row>
    <row r="1101" spans="1:7" ht="4.5" customHeight="1" thickBot="1">
      <c r="A1101" s="4589"/>
      <c r="B1101" s="4545"/>
      <c r="C1101" s="15292"/>
      <c r="D1101" s="15275"/>
      <c r="E1101" s="4552"/>
      <c r="F1101" s="15275"/>
      <c r="G1101" s="15275"/>
    </row>
    <row r="1102" spans="1:7" ht="25.5" customHeight="1" thickBot="1">
      <c r="A1102" s="4569"/>
      <c r="B1102" s="4570"/>
      <c r="C1102" s="4687"/>
      <c r="D1102" s="4551"/>
      <c r="E1102" s="4561" t="s">
        <v>8141</v>
      </c>
      <c r="F1102" s="4552" t="s">
        <v>5125</v>
      </c>
      <c r="G1102" s="4552" t="s">
        <v>5113</v>
      </c>
    </row>
    <row r="1103" spans="1:7" ht="25.5" customHeight="1" thickBot="1">
      <c r="A1103" s="4569"/>
      <c r="B1103" s="4570"/>
      <c r="C1103" s="4687"/>
      <c r="D1103" s="4551"/>
      <c r="E1103" s="4561" t="s">
        <v>8142</v>
      </c>
      <c r="F1103" s="4552" t="s">
        <v>5125</v>
      </c>
      <c r="G1103" s="4552" t="s">
        <v>5113</v>
      </c>
    </row>
    <row r="1104" spans="1:7" ht="24.75" customHeight="1">
      <c r="A1104" s="4588"/>
      <c r="B1104" s="4542" t="s">
        <v>8143</v>
      </c>
      <c r="C1104" s="15291"/>
      <c r="D1104" s="15273" t="s">
        <v>8144</v>
      </c>
      <c r="E1104" s="4564" t="s">
        <v>8718</v>
      </c>
      <c r="F1104" s="15273" t="s">
        <v>5125</v>
      </c>
      <c r="G1104" s="15273" t="s">
        <v>5113</v>
      </c>
    </row>
    <row r="1105" spans="1:7" ht="3.75" customHeight="1" thickBot="1">
      <c r="A1105" s="4589"/>
      <c r="B1105" s="4545"/>
      <c r="C1105" s="15292"/>
      <c r="D1105" s="15275"/>
      <c r="E1105" s="4552"/>
      <c r="F1105" s="15275"/>
      <c r="G1105" s="15275"/>
    </row>
    <row r="1106" spans="1:7" ht="29.25" customHeight="1">
      <c r="A1106" s="4588"/>
      <c r="B1106" s="4542" t="s">
        <v>8145</v>
      </c>
      <c r="C1106" s="15291"/>
      <c r="D1106" s="15273" t="s">
        <v>1823</v>
      </c>
      <c r="E1106" s="4564" t="s">
        <v>8146</v>
      </c>
      <c r="F1106" s="15273" t="s">
        <v>5125</v>
      </c>
      <c r="G1106" s="15273" t="s">
        <v>5113</v>
      </c>
    </row>
    <row r="1107" spans="1:7" ht="3" customHeight="1" thickBot="1">
      <c r="A1107" s="4589"/>
      <c r="B1107" s="4545"/>
      <c r="C1107" s="15292"/>
      <c r="D1107" s="15275"/>
      <c r="E1107" s="4552"/>
      <c r="F1107" s="15275"/>
      <c r="G1107" s="15275"/>
    </row>
    <row r="1108" spans="1:7" ht="28.5" customHeight="1">
      <c r="A1108" s="4588"/>
      <c r="B1108" s="4542" t="s">
        <v>8147</v>
      </c>
      <c r="C1108" s="15291"/>
      <c r="D1108" s="15273" t="s">
        <v>8148</v>
      </c>
      <c r="E1108" s="4564" t="s">
        <v>8149</v>
      </c>
      <c r="F1108" s="15273" t="s">
        <v>5125</v>
      </c>
      <c r="G1108" s="15273" t="s">
        <v>5113</v>
      </c>
    </row>
    <row r="1109" spans="1:7" ht="3.75" customHeight="1" thickBot="1">
      <c r="A1109" s="4589"/>
      <c r="B1109" s="4545"/>
      <c r="C1109" s="15292"/>
      <c r="D1109" s="15275"/>
      <c r="E1109" s="4552"/>
      <c r="F1109" s="15275"/>
      <c r="G1109" s="15275"/>
    </row>
    <row r="1110" spans="1:7" ht="27.75" customHeight="1" thickBot="1">
      <c r="A1110" s="4590"/>
      <c r="B1110" s="4574" t="s">
        <v>8150</v>
      </c>
      <c r="C1110" s="4682">
        <v>1350000</v>
      </c>
      <c r="D1110" s="4552"/>
      <c r="E1110" s="4561" t="s">
        <v>8151</v>
      </c>
      <c r="F1110" s="4564" t="s">
        <v>5125</v>
      </c>
      <c r="G1110" s="4564" t="s">
        <v>5113</v>
      </c>
    </row>
    <row r="1111" spans="1:7" ht="65.25" customHeight="1">
      <c r="A1111" s="4588"/>
      <c r="B1111" s="4542" t="s">
        <v>8152</v>
      </c>
      <c r="C1111" s="15291"/>
      <c r="D1111" s="15273" t="s">
        <v>2069</v>
      </c>
      <c r="E1111" s="4564" t="s">
        <v>8153</v>
      </c>
      <c r="F1111" s="15273" t="s">
        <v>5125</v>
      </c>
      <c r="G1111" s="15273" t="s">
        <v>5113</v>
      </c>
    </row>
    <row r="1112" spans="1:7" ht="5.25" customHeight="1" thickBot="1">
      <c r="A1112" s="4589"/>
      <c r="B1112" s="4545"/>
      <c r="C1112" s="15292"/>
      <c r="D1112" s="15275"/>
      <c r="E1112" s="4552"/>
      <c r="F1112" s="15275"/>
      <c r="G1112" s="15275"/>
    </row>
    <row r="1113" spans="1:7" ht="27" customHeight="1" thickBot="1">
      <c r="A1113" s="4569"/>
      <c r="B1113" s="4570"/>
      <c r="C1113" s="4687"/>
      <c r="D1113" s="4552" t="s">
        <v>8154</v>
      </c>
      <c r="E1113" s="4561" t="s">
        <v>8155</v>
      </c>
      <c r="F1113" s="4552" t="s">
        <v>5125</v>
      </c>
      <c r="G1113" s="4552" t="s">
        <v>5113</v>
      </c>
    </row>
    <row r="1114" spans="1:7" ht="13.5" customHeight="1">
      <c r="A1114" s="4588"/>
      <c r="B1114" s="4542"/>
      <c r="C1114" s="15291"/>
      <c r="D1114" s="15273" t="s">
        <v>8156</v>
      </c>
      <c r="E1114" s="4564" t="s">
        <v>8157</v>
      </c>
      <c r="F1114" s="15273" t="s">
        <v>5125</v>
      </c>
      <c r="G1114" s="15273" t="s">
        <v>5113</v>
      </c>
    </row>
    <row r="1115" spans="1:7" ht="12.75" customHeight="1" thickBot="1">
      <c r="A1115" s="4589"/>
      <c r="B1115" s="4545"/>
      <c r="C1115" s="15292"/>
      <c r="D1115" s="15275"/>
      <c r="E1115" s="4552"/>
      <c r="F1115" s="15275"/>
      <c r="G1115" s="15275"/>
    </row>
    <row r="1116" spans="1:7" ht="12.75" customHeight="1">
      <c r="A1116" s="4588"/>
      <c r="B1116" s="4542"/>
      <c r="C1116" s="15291"/>
      <c r="D1116" s="15273" t="s">
        <v>8158</v>
      </c>
      <c r="E1116" s="4564" t="s">
        <v>8159</v>
      </c>
      <c r="F1116" s="15273" t="s">
        <v>5125</v>
      </c>
      <c r="G1116" s="15273" t="s">
        <v>5113</v>
      </c>
    </row>
    <row r="1117" spans="1:7" ht="12.75" customHeight="1" thickBot="1">
      <c r="A1117" s="4589"/>
      <c r="B1117" s="4545"/>
      <c r="C1117" s="15292"/>
      <c r="D1117" s="15275"/>
      <c r="E1117" s="4552" t="s">
        <v>3423</v>
      </c>
      <c r="F1117" s="15275"/>
      <c r="G1117" s="15275"/>
    </row>
    <row r="1118" spans="1:7" ht="14.25" customHeight="1">
      <c r="A1118" s="4641"/>
      <c r="B1118" s="4642"/>
      <c r="C1118" s="4709"/>
      <c r="D1118" s="4643"/>
      <c r="E1118" s="4643"/>
      <c r="F1118" s="4643"/>
      <c r="G1118" s="4643"/>
    </row>
    <row r="1119" spans="1:7" ht="14.25" customHeight="1">
      <c r="A1119" s="4636"/>
      <c r="B1119" s="4626"/>
      <c r="C1119" s="4708"/>
      <c r="D1119" s="4538"/>
      <c r="E1119" s="4538"/>
      <c r="F1119" s="4538"/>
      <c r="G1119" s="4538"/>
    </row>
    <row r="1120" spans="1:7" ht="14.25" customHeight="1">
      <c r="A1120" s="4636"/>
      <c r="B1120" s="4626"/>
      <c r="C1120" s="4708"/>
      <c r="D1120" s="4538"/>
      <c r="E1120" s="4538"/>
      <c r="F1120" s="4538"/>
      <c r="G1120" s="4538"/>
    </row>
    <row r="1121" spans="1:7" ht="14.25" customHeight="1">
      <c r="A1121" s="4636"/>
      <c r="B1121" s="4626"/>
      <c r="C1121" s="4708"/>
      <c r="D1121" s="4538"/>
      <c r="E1121" s="4538"/>
      <c r="F1121" s="4538"/>
      <c r="G1121" s="4538"/>
    </row>
    <row r="1122" spans="1:7" ht="14.25" customHeight="1">
      <c r="A1122" s="4636"/>
      <c r="B1122" s="4626"/>
      <c r="C1122" s="4708"/>
      <c r="D1122" s="4538"/>
      <c r="E1122" s="4538"/>
      <c r="F1122" s="4538"/>
      <c r="G1122" s="4538"/>
    </row>
    <row r="1123" spans="1:7" ht="14.25" customHeight="1">
      <c r="A1123" s="4636"/>
      <c r="B1123" s="4626"/>
      <c r="C1123" s="4708"/>
      <c r="D1123" s="4538"/>
      <c r="E1123" s="4538"/>
      <c r="F1123" s="4538"/>
      <c r="G1123" s="4538"/>
    </row>
    <row r="1124" spans="1:7" ht="15.75" customHeight="1" thickBot="1">
      <c r="A1124" s="4645"/>
      <c r="B1124" s="4646"/>
      <c r="C1124" s="4710"/>
      <c r="D1124" s="4637"/>
      <c r="E1124" s="4637"/>
      <c r="F1124" s="4637"/>
      <c r="G1124" s="4637"/>
    </row>
    <row r="1125" spans="1:7" ht="28.5" customHeight="1" thickBot="1">
      <c r="A1125" s="4594" t="s">
        <v>2056</v>
      </c>
      <c r="B1125" s="4539" t="s">
        <v>2540</v>
      </c>
      <c r="C1125" s="4692" t="s">
        <v>1736</v>
      </c>
      <c r="D1125" s="4540" t="s">
        <v>1760</v>
      </c>
      <c r="E1125" s="4540" t="s">
        <v>1764</v>
      </c>
      <c r="F1125" s="15294" t="s">
        <v>2541</v>
      </c>
      <c r="G1125" s="15295"/>
    </row>
    <row r="1126" spans="1:7" ht="15" customHeight="1" thickBot="1">
      <c r="A1126" s="4545"/>
      <c r="B1126" s="4541"/>
      <c r="C1126" s="4678"/>
      <c r="D1126" s="4565"/>
      <c r="E1126" s="4565"/>
      <c r="F1126" s="4705" t="s">
        <v>1789</v>
      </c>
      <c r="G1126" s="4705" t="s">
        <v>1790</v>
      </c>
    </row>
    <row r="1127" spans="1:7" ht="27" customHeight="1">
      <c r="A1127" s="15270"/>
      <c r="B1127" s="4567" t="s">
        <v>8160</v>
      </c>
      <c r="C1127" s="4707">
        <v>4480000</v>
      </c>
      <c r="D1127" s="4547"/>
      <c r="E1127" s="4546"/>
      <c r="F1127" s="15273" t="s">
        <v>5125</v>
      </c>
      <c r="G1127" s="15273" t="s">
        <v>5113</v>
      </c>
    </row>
    <row r="1128" spans="1:7" ht="5.25" customHeight="1" thickBot="1">
      <c r="A1128" s="15272"/>
      <c r="B1128" s="4568"/>
      <c r="C1128" s="4689"/>
      <c r="D1128" s="4551"/>
      <c r="E1128" s="4550"/>
      <c r="F1128" s="15275"/>
      <c r="G1128" s="15275"/>
    </row>
    <row r="1129" spans="1:7" ht="28.5" customHeight="1">
      <c r="A1129" s="15270"/>
      <c r="B1129" s="4567" t="s">
        <v>8161</v>
      </c>
      <c r="C1129" s="4688">
        <v>950000</v>
      </c>
      <c r="D1129" s="4547"/>
      <c r="E1129" s="4606" t="s">
        <v>8162</v>
      </c>
      <c r="F1129" s="15273" t="s">
        <v>5125</v>
      </c>
      <c r="G1129" s="15273" t="s">
        <v>5113</v>
      </c>
    </row>
    <row r="1130" spans="1:7" ht="9.75" customHeight="1" thickBot="1">
      <c r="A1130" s="15272"/>
      <c r="B1130" s="4568"/>
      <c r="C1130" s="4689"/>
      <c r="D1130" s="4551"/>
      <c r="E1130" s="4607"/>
      <c r="F1130" s="15275"/>
      <c r="G1130" s="15275"/>
    </row>
    <row r="1131" spans="1:7" ht="41.25" customHeight="1">
      <c r="A1131" s="15270"/>
      <c r="B1131" s="4567" t="s">
        <v>8163</v>
      </c>
      <c r="C1131" s="4688"/>
      <c r="D1131" s="4547"/>
      <c r="E1131" s="4712" t="s">
        <v>8164</v>
      </c>
      <c r="F1131" s="15316" t="s">
        <v>5125</v>
      </c>
      <c r="G1131" s="15273" t="s">
        <v>5113</v>
      </c>
    </row>
    <row r="1132" spans="1:7" ht="4.5" customHeight="1" thickBot="1">
      <c r="A1132" s="15272"/>
      <c r="B1132" s="4568"/>
      <c r="C1132" s="4689"/>
      <c r="D1132" s="4551"/>
      <c r="E1132" s="4713"/>
      <c r="F1132" s="15317"/>
      <c r="G1132" s="15275"/>
    </row>
    <row r="1133" spans="1:7" ht="28.5" customHeight="1">
      <c r="A1133" s="15270"/>
      <c r="B1133" s="4563" t="s">
        <v>8165</v>
      </c>
      <c r="C1133" s="4688"/>
      <c r="D1133" s="4564" t="s">
        <v>3602</v>
      </c>
      <c r="E1133" s="4588" t="s">
        <v>8166</v>
      </c>
      <c r="F1133" s="15316" t="s">
        <v>5125</v>
      </c>
      <c r="G1133" s="15273" t="s">
        <v>5113</v>
      </c>
    </row>
    <row r="1134" spans="1:7" ht="3.75" customHeight="1" thickBot="1">
      <c r="A1134" s="15272"/>
      <c r="B1134" s="4553"/>
      <c r="C1134" s="4689"/>
      <c r="D1134" s="4552"/>
      <c r="E1134" s="4589"/>
      <c r="F1134" s="15317"/>
      <c r="G1134" s="15275"/>
    </row>
    <row r="1135" spans="1:7" ht="39.75" customHeight="1" thickBot="1">
      <c r="A1135" s="4588"/>
      <c r="B1135" s="4563" t="s">
        <v>8167</v>
      </c>
      <c r="C1135" s="4688" t="s">
        <v>8168</v>
      </c>
      <c r="D1135" s="4564" t="s">
        <v>8169</v>
      </c>
      <c r="E1135" s="4588" t="s">
        <v>8170</v>
      </c>
      <c r="F1135" s="4565" t="s">
        <v>5125</v>
      </c>
      <c r="G1135" s="4565" t="s">
        <v>5113</v>
      </c>
    </row>
    <row r="1136" spans="1:7" ht="29.25" customHeight="1" thickBot="1">
      <c r="A1136" s="4588"/>
      <c r="B1136" s="4563" t="s">
        <v>8171</v>
      </c>
      <c r="C1136" s="4688" t="s">
        <v>8172</v>
      </c>
      <c r="D1136" s="4564" t="s">
        <v>1812</v>
      </c>
      <c r="E1136" s="4588" t="s">
        <v>8173</v>
      </c>
      <c r="F1136" s="4711" t="s">
        <v>5125</v>
      </c>
      <c r="G1136" s="4588" t="s">
        <v>5113</v>
      </c>
    </row>
    <row r="1137" spans="1:7" ht="41.25" customHeight="1">
      <c r="A1137" s="15270"/>
      <c r="B1137" s="4563" t="s">
        <v>8174</v>
      </c>
      <c r="C1137" s="4688" t="s">
        <v>7556</v>
      </c>
      <c r="D1137" s="4564" t="s">
        <v>3602</v>
      </c>
      <c r="E1137" s="4588" t="s">
        <v>8175</v>
      </c>
      <c r="F1137" s="15316" t="s">
        <v>5125</v>
      </c>
      <c r="G1137" s="15273" t="s">
        <v>5113</v>
      </c>
    </row>
    <row r="1138" spans="1:7" ht="0.75" customHeight="1" thickBot="1">
      <c r="A1138" s="15272"/>
      <c r="B1138" s="4553"/>
      <c r="C1138" s="4689"/>
      <c r="D1138" s="4552"/>
      <c r="E1138" s="4589"/>
      <c r="F1138" s="15317"/>
      <c r="G1138" s="15275"/>
    </row>
    <row r="1139" spans="1:7" ht="38.25" customHeight="1">
      <c r="A1139" s="15270"/>
      <c r="B1139" s="4563" t="s">
        <v>8176</v>
      </c>
      <c r="C1139" s="4688">
        <v>290000</v>
      </c>
      <c r="D1139" s="4564" t="s">
        <v>8177</v>
      </c>
      <c r="E1139" s="4588" t="s">
        <v>8178</v>
      </c>
      <c r="F1139" s="15316" t="s">
        <v>5125</v>
      </c>
      <c r="G1139" s="15273" t="s">
        <v>5113</v>
      </c>
    </row>
    <row r="1140" spans="1:7" ht="4.5" customHeight="1" thickBot="1">
      <c r="A1140" s="15272"/>
      <c r="B1140" s="4553"/>
      <c r="C1140" s="4689"/>
      <c r="D1140" s="4552"/>
      <c r="E1140" s="4550"/>
      <c r="F1140" s="15275"/>
      <c r="G1140" s="15275"/>
    </row>
    <row r="1141" spans="1:7" ht="42" customHeight="1">
      <c r="A1141" s="15270"/>
      <c r="B1141" s="4563" t="s">
        <v>8179</v>
      </c>
      <c r="C1141" s="4688"/>
      <c r="D1141" s="4564" t="s">
        <v>8180</v>
      </c>
      <c r="E1141" s="4546" t="s">
        <v>8181</v>
      </c>
      <c r="F1141" s="4588" t="s">
        <v>5125</v>
      </c>
      <c r="G1141" s="4588" t="s">
        <v>5113</v>
      </c>
    </row>
    <row r="1142" spans="1:7" ht="4.5" customHeight="1" thickBot="1">
      <c r="A1142" s="15272"/>
      <c r="B1142" s="4553"/>
      <c r="C1142" s="4689"/>
      <c r="D1142" s="4552"/>
      <c r="E1142" s="4550"/>
      <c r="F1142" s="4595"/>
      <c r="G1142" s="4595"/>
    </row>
    <row r="1143" spans="1:7" ht="40.5" customHeight="1">
      <c r="A1143" s="15270"/>
      <c r="B1143" s="4567" t="s">
        <v>8182</v>
      </c>
      <c r="C1143" s="4688"/>
      <c r="D1143" s="4564"/>
      <c r="E1143" s="4546" t="s">
        <v>8183</v>
      </c>
      <c r="F1143" s="15273" t="s">
        <v>5125</v>
      </c>
      <c r="G1143" s="15273" t="s">
        <v>5113</v>
      </c>
    </row>
    <row r="1144" spans="1:7" ht="1.5" customHeight="1" thickBot="1">
      <c r="A1144" s="15272"/>
      <c r="B1144" s="4568"/>
      <c r="C1144" s="4689"/>
      <c r="D1144" s="4552"/>
      <c r="E1144" s="4550"/>
      <c r="F1144" s="15275"/>
      <c r="G1144" s="15275"/>
    </row>
    <row r="1145" spans="1:7" ht="26.25" customHeight="1" thickBot="1">
      <c r="A1145" s="4589"/>
      <c r="B1145" s="4556" t="s">
        <v>8184</v>
      </c>
      <c r="C1145" s="4690"/>
      <c r="D1145" s="4552"/>
      <c r="E1145" s="4559" t="s">
        <v>8185</v>
      </c>
      <c r="F1145" s="4588" t="s">
        <v>5125</v>
      </c>
      <c r="G1145" s="4588" t="s">
        <v>5113</v>
      </c>
    </row>
    <row r="1146" spans="1:7" ht="28.5" customHeight="1">
      <c r="A1146" s="15270"/>
      <c r="B1146" s="4563" t="s">
        <v>8186</v>
      </c>
      <c r="C1146" s="4688"/>
      <c r="D1146" s="4564" t="s">
        <v>8180</v>
      </c>
      <c r="E1146" s="4546" t="s">
        <v>8187</v>
      </c>
      <c r="F1146" s="15273" t="s">
        <v>5125</v>
      </c>
      <c r="G1146" s="15273" t="s">
        <v>5113</v>
      </c>
    </row>
    <row r="1147" spans="1:7" ht="3.75" customHeight="1" thickBot="1">
      <c r="A1147" s="15272"/>
      <c r="B1147" s="4553"/>
      <c r="C1147" s="4689"/>
      <c r="D1147" s="4552"/>
      <c r="E1147" s="4550"/>
      <c r="F1147" s="15275"/>
      <c r="G1147" s="15275"/>
    </row>
    <row r="1148" spans="1:7" ht="28.5" customHeight="1">
      <c r="A1148" s="15270"/>
      <c r="B1148" s="4567" t="s">
        <v>8188</v>
      </c>
      <c r="C1148" s="4688"/>
      <c r="D1148" s="4603"/>
      <c r="E1148" s="4608" t="s">
        <v>8189</v>
      </c>
      <c r="F1148" s="15273" t="s">
        <v>5125</v>
      </c>
      <c r="G1148" s="15273" t="s">
        <v>5113</v>
      </c>
    </row>
    <row r="1149" spans="1:7" ht="3.75" customHeight="1" thickBot="1">
      <c r="A1149" s="15272"/>
      <c r="B1149" s="4568"/>
      <c r="C1149" s="4689"/>
      <c r="D1149" s="4592"/>
      <c r="E1149" s="4609"/>
      <c r="F1149" s="15275"/>
      <c r="G1149" s="15275"/>
    </row>
    <row r="1150" spans="1:7" ht="27.75" customHeight="1">
      <c r="A1150" s="15270"/>
      <c r="B1150" s="4563" t="s">
        <v>8190</v>
      </c>
      <c r="C1150" s="4688"/>
      <c r="D1150" s="4564" t="s">
        <v>8191</v>
      </c>
      <c r="E1150" s="4546" t="s">
        <v>8192</v>
      </c>
      <c r="F1150" s="15273" t="s">
        <v>5125</v>
      </c>
      <c r="G1150" s="15273" t="s">
        <v>5113</v>
      </c>
    </row>
    <row r="1151" spans="1:7" ht="5.25" customHeight="1" thickBot="1">
      <c r="A1151" s="15272"/>
      <c r="B1151" s="4553"/>
      <c r="C1151" s="4689"/>
      <c r="D1151" s="4552"/>
      <c r="E1151" s="4550"/>
      <c r="F1151" s="15275"/>
      <c r="G1151" s="15275"/>
    </row>
    <row r="1152" spans="1:7" ht="27" customHeight="1">
      <c r="A1152" s="15270"/>
      <c r="B1152" s="4563" t="s">
        <v>8193</v>
      </c>
      <c r="C1152" s="4688"/>
      <c r="D1152" s="4564" t="s">
        <v>8194</v>
      </c>
      <c r="E1152" s="4546" t="s">
        <v>8195</v>
      </c>
      <c r="F1152" s="15273" t="s">
        <v>5125</v>
      </c>
      <c r="G1152" s="15273" t="s">
        <v>5113</v>
      </c>
    </row>
    <row r="1153" spans="1:7" ht="4.5" customHeight="1" thickBot="1">
      <c r="A1153" s="15272"/>
      <c r="B1153" s="4553"/>
      <c r="C1153" s="4689"/>
      <c r="D1153" s="4552"/>
      <c r="E1153" s="4550"/>
      <c r="F1153" s="15275"/>
      <c r="G1153" s="15275"/>
    </row>
    <row r="1154" spans="1:7" ht="27.75" customHeight="1">
      <c r="A1154" s="15270"/>
      <c r="B1154" s="4563" t="s">
        <v>8196</v>
      </c>
      <c r="C1154" s="4688"/>
      <c r="D1154" s="4564" t="s">
        <v>8197</v>
      </c>
      <c r="E1154" s="4546" t="s">
        <v>8198</v>
      </c>
      <c r="F1154" s="15273" t="s">
        <v>5125</v>
      </c>
      <c r="G1154" s="15273" t="s">
        <v>5113</v>
      </c>
    </row>
    <row r="1155" spans="1:7" ht="3.75" customHeight="1" thickBot="1">
      <c r="A1155" s="15272"/>
      <c r="B1155" s="4553"/>
      <c r="C1155" s="4689"/>
      <c r="D1155" s="4552"/>
      <c r="E1155" s="4550"/>
      <c r="F1155" s="15275"/>
      <c r="G1155" s="15275"/>
    </row>
    <row r="1156" spans="1:7" ht="24.75" customHeight="1" thickBot="1">
      <c r="A1156" s="4588"/>
      <c r="B1156" s="4563" t="s">
        <v>8199</v>
      </c>
      <c r="C1156" s="4688"/>
      <c r="D1156" s="4564" t="s">
        <v>7592</v>
      </c>
      <c r="E1156" s="4546" t="s">
        <v>8200</v>
      </c>
      <c r="F1156" s="4588" t="s">
        <v>5125</v>
      </c>
      <c r="G1156" s="4588" t="s">
        <v>5113</v>
      </c>
    </row>
    <row r="1157" spans="1:7" ht="18.75" customHeight="1">
      <c r="A1157" s="15270"/>
      <c r="B1157" s="4563" t="s">
        <v>8201</v>
      </c>
      <c r="C1157" s="4688"/>
      <c r="D1157" s="4564" t="s">
        <v>8202</v>
      </c>
      <c r="E1157" s="4546" t="s">
        <v>8203</v>
      </c>
      <c r="F1157" s="15273" t="s">
        <v>5125</v>
      </c>
      <c r="G1157" s="15273" t="s">
        <v>5113</v>
      </c>
    </row>
    <row r="1158" spans="1:7" ht="6.75" customHeight="1" thickBot="1">
      <c r="A1158" s="15272"/>
      <c r="B1158" s="4553"/>
      <c r="C1158" s="4689"/>
      <c r="D1158" s="4552"/>
      <c r="E1158" s="4550"/>
      <c r="F1158" s="15275"/>
      <c r="G1158" s="15275"/>
    </row>
    <row r="1159" spans="1:7" ht="21" customHeight="1">
      <c r="A1159" s="15270"/>
      <c r="B1159" s="4563" t="s">
        <v>8204</v>
      </c>
      <c r="C1159" s="4688"/>
      <c r="D1159" s="4564" t="s">
        <v>8205</v>
      </c>
      <c r="E1159" s="4546" t="s">
        <v>8206</v>
      </c>
      <c r="F1159" s="15273" t="s">
        <v>5125</v>
      </c>
      <c r="G1159" s="15273" t="s">
        <v>5113</v>
      </c>
    </row>
    <row r="1160" spans="1:7" ht="6" customHeight="1" thickBot="1">
      <c r="A1160" s="15272"/>
      <c r="B1160" s="4553"/>
      <c r="C1160" s="4689"/>
      <c r="D1160" s="4552"/>
      <c r="E1160" s="4550"/>
      <c r="F1160" s="15275"/>
      <c r="G1160" s="15275"/>
    </row>
    <row r="1161" spans="1:7" ht="24" customHeight="1">
      <c r="A1161" s="15270"/>
      <c r="B1161" s="4563" t="s">
        <v>8207</v>
      </c>
      <c r="C1161" s="4688"/>
      <c r="D1161" s="4564" t="s">
        <v>8208</v>
      </c>
      <c r="E1161" s="4546" t="s">
        <v>8209</v>
      </c>
      <c r="F1161" s="15273" t="s">
        <v>5125</v>
      </c>
      <c r="G1161" s="15273" t="s">
        <v>5113</v>
      </c>
    </row>
    <row r="1162" spans="1:7" ht="4.5" customHeight="1" thickBot="1">
      <c r="A1162" s="15272"/>
      <c r="B1162" s="4553"/>
      <c r="C1162" s="4689"/>
      <c r="D1162" s="4552"/>
      <c r="E1162" s="4550"/>
      <c r="F1162" s="15275"/>
      <c r="G1162" s="15275"/>
    </row>
    <row r="1163" spans="1:7" ht="28.5" customHeight="1">
      <c r="A1163" s="15270"/>
      <c r="B1163" s="4563" t="s">
        <v>8210</v>
      </c>
      <c r="C1163" s="4688"/>
      <c r="D1163" s="4564" t="s">
        <v>8719</v>
      </c>
      <c r="E1163" s="4546" t="s">
        <v>8211</v>
      </c>
      <c r="F1163" s="4588" t="s">
        <v>5125</v>
      </c>
      <c r="G1163" s="4588" t="s">
        <v>5113</v>
      </c>
    </row>
    <row r="1164" spans="1:7" ht="3" customHeight="1" thickBot="1">
      <c r="A1164" s="15272"/>
      <c r="B1164" s="4553"/>
      <c r="C1164" s="4689"/>
      <c r="D1164" s="4552"/>
      <c r="E1164" s="4550"/>
      <c r="F1164" s="4595"/>
      <c r="G1164" s="4595"/>
    </row>
    <row r="1165" spans="1:7" ht="39" customHeight="1">
      <c r="A1165" s="15270"/>
      <c r="B1165" s="4563" t="s">
        <v>8212</v>
      </c>
      <c r="C1165" s="4688"/>
      <c r="D1165" s="4564" t="s">
        <v>8213</v>
      </c>
      <c r="E1165" s="4546" t="s">
        <v>8214</v>
      </c>
      <c r="F1165" s="15273" t="s">
        <v>5125</v>
      </c>
      <c r="G1165" s="15273" t="s">
        <v>5113</v>
      </c>
    </row>
    <row r="1166" spans="1:7" ht="6" customHeight="1" thickBot="1">
      <c r="A1166" s="15272"/>
      <c r="B1166" s="4553"/>
      <c r="C1166" s="4689"/>
      <c r="D1166" s="4552"/>
      <c r="E1166" s="4550"/>
      <c r="F1166" s="15275"/>
      <c r="G1166" s="15275"/>
    </row>
    <row r="1167" spans="1:7" ht="30" customHeight="1">
      <c r="A1167" s="15289"/>
      <c r="B1167" s="4567" t="s">
        <v>8215</v>
      </c>
      <c r="C1167" s="4688"/>
      <c r="D1167" s="4564"/>
      <c r="E1167" s="4546" t="s">
        <v>8216</v>
      </c>
      <c r="F1167" s="15273" t="s">
        <v>5125</v>
      </c>
      <c r="G1167" s="15273" t="s">
        <v>5113</v>
      </c>
    </row>
    <row r="1168" spans="1:7" ht="5.25" customHeight="1" thickBot="1">
      <c r="A1168" s="15315"/>
      <c r="B1168" s="4568"/>
      <c r="C1168" s="4689"/>
      <c r="D1168" s="4552"/>
      <c r="E1168" s="4550"/>
      <c r="F1168" s="15275"/>
      <c r="G1168" s="15275"/>
    </row>
    <row r="1169" spans="1:7" ht="30.75" customHeight="1" thickBot="1">
      <c r="A1169" s="4588"/>
      <c r="B1169" s="4563" t="s">
        <v>8217</v>
      </c>
      <c r="C1169" s="4688"/>
      <c r="D1169" s="4564" t="s">
        <v>8218</v>
      </c>
      <c r="E1169" s="4546" t="s">
        <v>8219</v>
      </c>
      <c r="F1169" s="4552" t="s">
        <v>5125</v>
      </c>
      <c r="G1169" s="4565" t="s">
        <v>5113</v>
      </c>
    </row>
    <row r="1170" spans="1:7" ht="15.75" customHeight="1">
      <c r="A1170" s="4641"/>
      <c r="B1170" s="4642"/>
      <c r="C1170" s="4679"/>
      <c r="D1170" s="4643"/>
      <c r="E1170" s="4641"/>
      <c r="F1170" s="4643"/>
      <c r="G1170" s="4643"/>
    </row>
    <row r="1171" spans="1:7" ht="15.75" customHeight="1">
      <c r="A1171" s="4636"/>
      <c r="B1171" s="4626"/>
      <c r="C1171" s="4673"/>
      <c r="D1171" s="4538"/>
      <c r="E1171" s="4636"/>
      <c r="F1171" s="4538"/>
      <c r="G1171" s="4538"/>
    </row>
    <row r="1172" spans="1:7" ht="15.75" customHeight="1">
      <c r="A1172" s="4636"/>
      <c r="B1172" s="4626"/>
      <c r="C1172" s="4673"/>
      <c r="D1172" s="4538"/>
      <c r="E1172" s="4636"/>
      <c r="F1172" s="4538"/>
      <c r="G1172" s="4538"/>
    </row>
    <row r="1173" spans="1:7" ht="15.75" customHeight="1">
      <c r="A1173" s="4636"/>
      <c r="B1173" s="4626"/>
      <c r="C1173" s="4673"/>
      <c r="D1173" s="4538"/>
      <c r="E1173" s="4636"/>
      <c r="F1173" s="4538"/>
      <c r="G1173" s="4538"/>
    </row>
    <row r="1174" spans="1:7" ht="15.75" customHeight="1">
      <c r="A1174" s="4636"/>
      <c r="B1174" s="4626"/>
      <c r="C1174" s="4673"/>
      <c r="D1174" s="4538"/>
      <c r="E1174" s="4636"/>
      <c r="F1174" s="4538"/>
      <c r="G1174" s="4538"/>
    </row>
    <row r="1175" spans="1:7" ht="15.75" customHeight="1" thickBot="1">
      <c r="A1175" s="4645"/>
      <c r="B1175" s="4646"/>
      <c r="C1175" s="4680"/>
      <c r="D1175" s="4637"/>
      <c r="E1175" s="4645"/>
      <c r="F1175" s="4637"/>
      <c r="G1175" s="4637"/>
    </row>
    <row r="1176" spans="1:7" ht="28.5" customHeight="1" thickBot="1">
      <c r="A1176" s="4594" t="s">
        <v>2056</v>
      </c>
      <c r="B1176" s="4539" t="s">
        <v>2540</v>
      </c>
      <c r="C1176" s="4692" t="s">
        <v>1736</v>
      </c>
      <c r="D1176" s="4540" t="s">
        <v>1760</v>
      </c>
      <c r="E1176" s="4540" t="s">
        <v>1764</v>
      </c>
      <c r="F1176" s="15294" t="s">
        <v>2541</v>
      </c>
      <c r="G1176" s="15295"/>
    </row>
    <row r="1177" spans="1:7" ht="15" customHeight="1" thickBot="1">
      <c r="A1177" s="4545"/>
      <c r="B1177" s="4541"/>
      <c r="C1177" s="4678"/>
      <c r="D1177" s="4565"/>
      <c r="E1177" s="4565"/>
      <c r="F1177" s="4705" t="s">
        <v>1789</v>
      </c>
      <c r="G1177" s="4705" t="s">
        <v>1790</v>
      </c>
    </row>
    <row r="1178" spans="1:7" ht="26.25" customHeight="1">
      <c r="A1178" s="15270"/>
      <c r="B1178" s="4567" t="s">
        <v>8220</v>
      </c>
      <c r="C1178" s="4688"/>
      <c r="D1178" s="4564"/>
      <c r="E1178" s="4546" t="s">
        <v>8221</v>
      </c>
      <c r="F1178" s="15273" t="s">
        <v>5125</v>
      </c>
      <c r="G1178" s="15273" t="s">
        <v>5113</v>
      </c>
    </row>
    <row r="1179" spans="1:7" ht="4.5" customHeight="1" thickBot="1">
      <c r="A1179" s="15272"/>
      <c r="B1179" s="4568"/>
      <c r="C1179" s="4689"/>
      <c r="D1179" s="4552"/>
      <c r="E1179" s="4550"/>
      <c r="F1179" s="15275"/>
      <c r="G1179" s="15275"/>
    </row>
    <row r="1180" spans="1:7" ht="28.5" customHeight="1">
      <c r="A1180" s="15270"/>
      <c r="B1180" s="4563" t="s">
        <v>8222</v>
      </c>
      <c r="C1180" s="4688"/>
      <c r="D1180" s="4564" t="s">
        <v>8223</v>
      </c>
      <c r="E1180" s="4546" t="s">
        <v>8224</v>
      </c>
      <c r="F1180" s="15273" t="s">
        <v>5125</v>
      </c>
      <c r="G1180" s="15273" t="s">
        <v>5113</v>
      </c>
    </row>
    <row r="1181" spans="1:7" ht="3.75" customHeight="1" thickBot="1">
      <c r="A1181" s="15272"/>
      <c r="B1181" s="4553"/>
      <c r="C1181" s="4689"/>
      <c r="D1181" s="4552"/>
      <c r="E1181" s="4550"/>
      <c r="F1181" s="15275"/>
      <c r="G1181" s="15275"/>
    </row>
    <row r="1182" spans="1:7" ht="29.25" customHeight="1">
      <c r="A1182" s="15270"/>
      <c r="B1182" s="4563" t="s">
        <v>8225</v>
      </c>
      <c r="C1182" s="4688"/>
      <c r="D1182" s="4564"/>
      <c r="E1182" s="4546" t="s">
        <v>8720</v>
      </c>
      <c r="F1182" s="15273" t="s">
        <v>5125</v>
      </c>
      <c r="G1182" s="15273" t="s">
        <v>5113</v>
      </c>
    </row>
    <row r="1183" spans="1:7" ht="4.5" customHeight="1" thickBot="1">
      <c r="A1183" s="15272"/>
      <c r="B1183" s="4553"/>
      <c r="C1183" s="4689"/>
      <c r="D1183" s="4552"/>
      <c r="E1183" s="4550"/>
      <c r="F1183" s="15275"/>
      <c r="G1183" s="15275"/>
    </row>
    <row r="1184" spans="1:7" ht="39.75" customHeight="1">
      <c r="A1184" s="15270"/>
      <c r="B1184" s="4563" t="s">
        <v>8226</v>
      </c>
      <c r="C1184" s="4688"/>
      <c r="D1184" s="4564" t="s">
        <v>8144</v>
      </c>
      <c r="E1184" s="4546" t="s">
        <v>8227</v>
      </c>
      <c r="F1184" s="15273" t="s">
        <v>5125</v>
      </c>
      <c r="G1184" s="15273" t="s">
        <v>5113</v>
      </c>
    </row>
    <row r="1185" spans="1:7" ht="3.75" customHeight="1" thickBot="1">
      <c r="A1185" s="15272"/>
      <c r="B1185" s="4553"/>
      <c r="C1185" s="4689"/>
      <c r="D1185" s="4552"/>
      <c r="E1185" s="4550"/>
      <c r="F1185" s="15275"/>
      <c r="G1185" s="15275"/>
    </row>
    <row r="1186" spans="1:7" ht="27.75" customHeight="1">
      <c r="A1186" s="4588"/>
      <c r="B1186" s="4563" t="s">
        <v>8228</v>
      </c>
      <c r="C1186" s="4688"/>
      <c r="D1186" s="4564" t="s">
        <v>8229</v>
      </c>
      <c r="E1186" s="4546" t="s">
        <v>8230</v>
      </c>
      <c r="F1186" s="15273" t="s">
        <v>5125</v>
      </c>
      <c r="G1186" s="15273" t="s">
        <v>5113</v>
      </c>
    </row>
    <row r="1187" spans="1:7" ht="5.25" customHeight="1" thickBot="1">
      <c r="A1187" s="4595"/>
      <c r="B1187" s="4537"/>
      <c r="C1187" s="4691"/>
      <c r="D1187" s="4544"/>
      <c r="E1187" s="4548"/>
      <c r="F1187" s="15275"/>
      <c r="G1187" s="15275"/>
    </row>
    <row r="1188" spans="1:7" ht="39.75" customHeight="1">
      <c r="A1188" s="15270"/>
      <c r="B1188" s="4563" t="s">
        <v>8231</v>
      </c>
      <c r="C1188" s="4688"/>
      <c r="D1188" s="4564" t="s">
        <v>3602</v>
      </c>
      <c r="E1188" s="4546" t="s">
        <v>8232</v>
      </c>
      <c r="F1188" s="15273" t="s">
        <v>5125</v>
      </c>
      <c r="G1188" s="15273" t="s">
        <v>5113</v>
      </c>
    </row>
    <row r="1189" spans="1:7" ht="3" customHeight="1" thickBot="1">
      <c r="A1189" s="15272"/>
      <c r="B1189" s="4553"/>
      <c r="C1189" s="4689"/>
      <c r="D1189" s="4552"/>
      <c r="E1189" s="4550"/>
      <c r="F1189" s="15275"/>
      <c r="G1189" s="15275"/>
    </row>
    <row r="1190" spans="1:7" ht="26.25" customHeight="1">
      <c r="A1190" s="15270"/>
      <c r="B1190" s="4563" t="s">
        <v>8233</v>
      </c>
      <c r="C1190" s="4688"/>
      <c r="D1190" s="4564" t="s">
        <v>7905</v>
      </c>
      <c r="E1190" s="4546" t="s">
        <v>8234</v>
      </c>
      <c r="F1190" s="15273" t="s">
        <v>5125</v>
      </c>
      <c r="G1190" s="15273" t="s">
        <v>5113</v>
      </c>
    </row>
    <row r="1191" spans="1:7" ht="3" customHeight="1" thickBot="1">
      <c r="A1191" s="15272"/>
      <c r="B1191" s="4553"/>
      <c r="C1191" s="4689"/>
      <c r="D1191" s="4552"/>
      <c r="E1191" s="4550"/>
      <c r="F1191" s="15275"/>
      <c r="G1191" s="15275"/>
    </row>
    <row r="1192" spans="1:7" ht="27" customHeight="1" thickBot="1">
      <c r="A1192" s="4589"/>
      <c r="B1192" s="4610" t="s">
        <v>8235</v>
      </c>
      <c r="C1192" s="4690"/>
      <c r="D1192" s="4561" t="s">
        <v>8236</v>
      </c>
      <c r="E1192" s="4559" t="s">
        <v>8237</v>
      </c>
      <c r="F1192" s="4588" t="s">
        <v>5125</v>
      </c>
      <c r="G1192" s="4588" t="s">
        <v>5113</v>
      </c>
    </row>
    <row r="1193" spans="1:7" ht="20.25" customHeight="1">
      <c r="A1193" s="15270"/>
      <c r="B1193" s="4563" t="s">
        <v>8238</v>
      </c>
      <c r="C1193" s="4688"/>
      <c r="D1193" s="4564" t="s">
        <v>8239</v>
      </c>
      <c r="E1193" s="4546" t="s">
        <v>8240</v>
      </c>
      <c r="F1193" s="15273" t="s">
        <v>5125</v>
      </c>
      <c r="G1193" s="15273" t="s">
        <v>5113</v>
      </c>
    </row>
    <row r="1194" spans="1:7" ht="6" customHeight="1" thickBot="1">
      <c r="A1194" s="15272"/>
      <c r="B1194" s="4553"/>
      <c r="C1194" s="4689"/>
      <c r="D1194" s="4552"/>
      <c r="E1194" s="4550"/>
      <c r="F1194" s="15275"/>
      <c r="G1194" s="15275"/>
    </row>
    <row r="1195" spans="1:7" ht="39.75" customHeight="1">
      <c r="A1195" s="15270"/>
      <c r="B1195" s="4563" t="s">
        <v>8241</v>
      </c>
      <c r="C1195" s="4688"/>
      <c r="D1195" s="4564" t="s">
        <v>8242</v>
      </c>
      <c r="E1195" s="4546" t="s">
        <v>8243</v>
      </c>
      <c r="F1195" s="15273" t="s">
        <v>5125</v>
      </c>
      <c r="G1195" s="15273" t="s">
        <v>5113</v>
      </c>
    </row>
    <row r="1196" spans="1:7" ht="4.5" customHeight="1" thickBot="1">
      <c r="A1196" s="15272"/>
      <c r="B1196" s="4553"/>
      <c r="C1196" s="4689"/>
      <c r="D1196" s="4552"/>
      <c r="E1196" s="4550"/>
      <c r="F1196" s="15275"/>
      <c r="G1196" s="15275"/>
    </row>
    <row r="1197" spans="1:7" ht="29.25" customHeight="1">
      <c r="A1197" s="15270"/>
      <c r="B1197" s="4563" t="s">
        <v>8244</v>
      </c>
      <c r="C1197" s="4688"/>
      <c r="D1197" s="4564" t="s">
        <v>8245</v>
      </c>
      <c r="E1197" s="4546" t="s">
        <v>8246</v>
      </c>
      <c r="F1197" s="15273" t="s">
        <v>5125</v>
      </c>
      <c r="G1197" s="15273" t="s">
        <v>5113</v>
      </c>
    </row>
    <row r="1198" spans="1:7" ht="3" customHeight="1" thickBot="1">
      <c r="A1198" s="15272"/>
      <c r="B1198" s="4553"/>
      <c r="C1198" s="4689"/>
      <c r="D1198" s="4552"/>
      <c r="E1198" s="4550"/>
      <c r="F1198" s="15275"/>
      <c r="G1198" s="15275"/>
    </row>
    <row r="1199" spans="1:7" ht="40.5" customHeight="1">
      <c r="A1199" s="15270"/>
      <c r="B1199" s="4563" t="s">
        <v>8247</v>
      </c>
      <c r="C1199" s="4688"/>
      <c r="D1199" s="4564" t="s">
        <v>8245</v>
      </c>
      <c r="E1199" s="4546" t="s">
        <v>8248</v>
      </c>
      <c r="F1199" s="15273" t="s">
        <v>5125</v>
      </c>
      <c r="G1199" s="15273" t="s">
        <v>5113</v>
      </c>
    </row>
    <row r="1200" spans="1:7" ht="8.25" customHeight="1" thickBot="1">
      <c r="A1200" s="15272"/>
      <c r="B1200" s="4553"/>
      <c r="C1200" s="4689"/>
      <c r="D1200" s="4552"/>
      <c r="E1200" s="4550"/>
      <c r="F1200" s="15275"/>
      <c r="G1200" s="15275"/>
    </row>
    <row r="1201" spans="1:7" ht="26.4">
      <c r="A1201" s="15270"/>
      <c r="B1201" s="4563" t="s">
        <v>8249</v>
      </c>
      <c r="C1201" s="4688"/>
      <c r="D1201" s="4564" t="s">
        <v>8250</v>
      </c>
      <c r="E1201" s="4546" t="s">
        <v>8251</v>
      </c>
      <c r="F1201" s="15273" t="s">
        <v>5125</v>
      </c>
      <c r="G1201" s="15273" t="s">
        <v>5113</v>
      </c>
    </row>
    <row r="1202" spans="1:7" ht="4.5" customHeight="1" thickBot="1">
      <c r="A1202" s="15272"/>
      <c r="B1202" s="4553"/>
      <c r="C1202" s="4689"/>
      <c r="D1202" s="4552"/>
      <c r="E1202" s="4550"/>
      <c r="F1202" s="15275"/>
      <c r="G1202" s="15275"/>
    </row>
    <row r="1203" spans="1:7" ht="28.5" customHeight="1">
      <c r="A1203" s="15270"/>
      <c r="B1203" s="4563" t="s">
        <v>8252</v>
      </c>
      <c r="C1203" s="4688"/>
      <c r="D1203" s="4564" t="s">
        <v>8253</v>
      </c>
      <c r="E1203" s="4546" t="s">
        <v>8254</v>
      </c>
      <c r="F1203" s="15273" t="s">
        <v>5125</v>
      </c>
      <c r="G1203" s="15273" t="s">
        <v>5113</v>
      </c>
    </row>
    <row r="1204" spans="1:7" ht="4.5" customHeight="1" thickBot="1">
      <c r="A1204" s="15272"/>
      <c r="B1204" s="4553"/>
      <c r="C1204" s="4689"/>
      <c r="D1204" s="4552"/>
      <c r="E1204" s="4550"/>
      <c r="F1204" s="15275"/>
      <c r="G1204" s="15275"/>
    </row>
    <row r="1205" spans="1:7" ht="39.75" customHeight="1">
      <c r="A1205" s="15270"/>
      <c r="B1205" s="4563" t="s">
        <v>8255</v>
      </c>
      <c r="C1205" s="4688"/>
      <c r="D1205" s="4564" t="s">
        <v>8256</v>
      </c>
      <c r="E1205" s="4546" t="s">
        <v>8257</v>
      </c>
      <c r="F1205" s="15273" t="s">
        <v>5125</v>
      </c>
      <c r="G1205" s="15273" t="s">
        <v>5113</v>
      </c>
    </row>
    <row r="1206" spans="1:7" ht="6.75" customHeight="1" thickBot="1">
      <c r="A1206" s="15272"/>
      <c r="B1206" s="4553"/>
      <c r="C1206" s="4689"/>
      <c r="D1206" s="4552"/>
      <c r="E1206" s="4550"/>
      <c r="F1206" s="15275"/>
      <c r="G1206" s="15275"/>
    </row>
    <row r="1207" spans="1:7" ht="28.5" customHeight="1">
      <c r="A1207" s="15270"/>
      <c r="B1207" s="4563" t="s">
        <v>8258</v>
      </c>
      <c r="C1207" s="4688">
        <v>100000</v>
      </c>
      <c r="D1207" s="4564" t="s">
        <v>3574</v>
      </c>
      <c r="E1207" s="4546" t="s">
        <v>8259</v>
      </c>
      <c r="F1207" s="15273" t="s">
        <v>5125</v>
      </c>
      <c r="G1207" s="15273" t="s">
        <v>5113</v>
      </c>
    </row>
    <row r="1208" spans="1:7" ht="3" customHeight="1" thickBot="1">
      <c r="A1208" s="15272"/>
      <c r="B1208" s="4553"/>
      <c r="C1208" s="4689"/>
      <c r="D1208" s="4552"/>
      <c r="E1208" s="4550"/>
      <c r="F1208" s="15275"/>
      <c r="G1208" s="15275"/>
    </row>
    <row r="1209" spans="1:7" ht="41.25" customHeight="1">
      <c r="A1209" s="15270"/>
      <c r="B1209" s="4563" t="s">
        <v>8260</v>
      </c>
      <c r="C1209" s="4688">
        <v>100000</v>
      </c>
      <c r="D1209" s="4564" t="s">
        <v>8261</v>
      </c>
      <c r="E1209" s="4546" t="s">
        <v>8262</v>
      </c>
      <c r="F1209" s="15273" t="s">
        <v>5125</v>
      </c>
      <c r="G1209" s="15273" t="s">
        <v>5113</v>
      </c>
    </row>
    <row r="1210" spans="1:7" ht="4.5" customHeight="1" thickBot="1">
      <c r="A1210" s="15272"/>
      <c r="B1210" s="4553"/>
      <c r="C1210" s="4689"/>
      <c r="D1210" s="4552"/>
      <c r="E1210" s="4550"/>
      <c r="F1210" s="15275"/>
      <c r="G1210" s="15275"/>
    </row>
    <row r="1211" spans="1:7" ht="27" customHeight="1">
      <c r="A1211" s="15270"/>
      <c r="B1211" s="4563" t="s">
        <v>8263</v>
      </c>
      <c r="C1211" s="4688">
        <v>250000</v>
      </c>
      <c r="D1211" s="4564" t="s">
        <v>8264</v>
      </c>
      <c r="E1211" s="4546" t="s">
        <v>8265</v>
      </c>
      <c r="F1211" s="4588" t="s">
        <v>5125</v>
      </c>
      <c r="G1211" s="4588" t="s">
        <v>5113</v>
      </c>
    </row>
    <row r="1212" spans="1:7" ht="6" customHeight="1" thickBot="1">
      <c r="A1212" s="15272"/>
      <c r="B1212" s="4553"/>
      <c r="C1212" s="4689"/>
      <c r="D1212" s="4552"/>
      <c r="E1212" s="4550"/>
      <c r="F1212" s="4589"/>
      <c r="G1212" s="4589"/>
    </row>
    <row r="1213" spans="1:7" ht="26.25" customHeight="1">
      <c r="A1213" s="15270"/>
      <c r="B1213" s="4563" t="s">
        <v>8266</v>
      </c>
      <c r="C1213" s="4688"/>
      <c r="D1213" s="4564" t="s">
        <v>8267</v>
      </c>
      <c r="E1213" s="4546" t="s">
        <v>8268</v>
      </c>
      <c r="F1213" s="15273" t="s">
        <v>5125</v>
      </c>
      <c r="G1213" s="15273" t="s">
        <v>5113</v>
      </c>
    </row>
    <row r="1214" spans="1:7" ht="4.5" customHeight="1" thickBot="1">
      <c r="A1214" s="15272"/>
      <c r="B1214" s="4553"/>
      <c r="C1214" s="4689"/>
      <c r="D1214" s="4552"/>
      <c r="E1214" s="4550"/>
      <c r="F1214" s="15275"/>
      <c r="G1214" s="15275"/>
    </row>
    <row r="1215" spans="1:7" ht="28.5" customHeight="1">
      <c r="A1215" s="15270"/>
      <c r="B1215" s="4563" t="s">
        <v>8269</v>
      </c>
      <c r="C1215" s="4688"/>
      <c r="D1215" s="4564" t="s">
        <v>8270</v>
      </c>
      <c r="E1215" s="4546" t="s">
        <v>8271</v>
      </c>
      <c r="F1215" s="4588" t="s">
        <v>5125</v>
      </c>
      <c r="G1215" s="4588" t="s">
        <v>5113</v>
      </c>
    </row>
    <row r="1216" spans="1:7" ht="5.25" customHeight="1" thickBot="1">
      <c r="A1216" s="15272"/>
      <c r="B1216" s="4553"/>
      <c r="C1216" s="4689"/>
      <c r="D1216" s="4552"/>
      <c r="E1216" s="4550"/>
      <c r="F1216" s="4595"/>
      <c r="G1216" s="4595"/>
    </row>
    <row r="1217" spans="1:7" ht="27" customHeight="1" thickBot="1">
      <c r="A1217" s="4588"/>
      <c r="B1217" s="4563" t="s">
        <v>8272</v>
      </c>
      <c r="C1217" s="4688">
        <v>401455</v>
      </c>
      <c r="D1217" s="4564" t="s">
        <v>8273</v>
      </c>
      <c r="E1217" s="4546" t="s">
        <v>8274</v>
      </c>
      <c r="F1217" s="4588" t="s">
        <v>5129</v>
      </c>
      <c r="G1217" s="4588" t="s">
        <v>5113</v>
      </c>
    </row>
    <row r="1218" spans="1:7" ht="40.5" customHeight="1" thickBot="1">
      <c r="A1218" s="4588"/>
      <c r="B1218" s="4563" t="s">
        <v>8275</v>
      </c>
      <c r="C1218" s="4688"/>
      <c r="D1218" s="4564" t="s">
        <v>8276</v>
      </c>
      <c r="E1218" s="4546" t="s">
        <v>8277</v>
      </c>
      <c r="F1218" s="4588" t="s">
        <v>5129</v>
      </c>
      <c r="G1218" s="4588" t="s">
        <v>5113</v>
      </c>
    </row>
    <row r="1219" spans="1:7" ht="40.200000000000003" thickBot="1">
      <c r="A1219" s="4588"/>
      <c r="B1219" s="4563" t="s">
        <v>8278</v>
      </c>
      <c r="C1219" s="4688"/>
      <c r="D1219" s="4564" t="s">
        <v>8279</v>
      </c>
      <c r="E1219" s="4546" t="s">
        <v>8280</v>
      </c>
      <c r="F1219" s="4588" t="s">
        <v>5129</v>
      </c>
      <c r="G1219" s="4588" t="s">
        <v>5113</v>
      </c>
    </row>
    <row r="1220" spans="1:7" ht="27" customHeight="1" thickBot="1">
      <c r="A1220" s="4588"/>
      <c r="B1220" s="4563" t="s">
        <v>8281</v>
      </c>
      <c r="C1220" s="4688"/>
      <c r="D1220" s="4564" t="s">
        <v>8282</v>
      </c>
      <c r="E1220" s="4546" t="s">
        <v>8283</v>
      </c>
      <c r="F1220" s="4588" t="s">
        <v>5129</v>
      </c>
      <c r="G1220" s="4588" t="s">
        <v>5113</v>
      </c>
    </row>
    <row r="1221" spans="1:7" ht="16.5" customHeight="1">
      <c r="A1221" s="4641"/>
      <c r="B1221" s="4642"/>
      <c r="C1221" s="4679"/>
      <c r="D1221" s="4643"/>
      <c r="E1221" s="4641"/>
      <c r="F1221" s="4641"/>
      <c r="G1221" s="4641"/>
    </row>
    <row r="1222" spans="1:7" ht="16.5" customHeight="1">
      <c r="A1222" s="4636"/>
      <c r="B1222" s="4626"/>
      <c r="C1222" s="4673"/>
      <c r="D1222" s="4538"/>
      <c r="E1222" s="4636"/>
      <c r="F1222" s="4636"/>
      <c r="G1222" s="4636"/>
    </row>
    <row r="1223" spans="1:7" ht="16.5" customHeight="1">
      <c r="A1223" s="4636"/>
      <c r="B1223" s="4626"/>
      <c r="C1223" s="4673"/>
      <c r="D1223" s="4538"/>
      <c r="E1223" s="4636"/>
      <c r="F1223" s="4636"/>
      <c r="G1223" s="4636"/>
    </row>
    <row r="1224" spans="1:7" ht="16.5" customHeight="1">
      <c r="A1224" s="4636"/>
      <c r="B1224" s="4626"/>
      <c r="C1224" s="4673"/>
      <c r="D1224" s="4538"/>
      <c r="E1224" s="4636"/>
      <c r="F1224" s="4636"/>
      <c r="G1224" s="4636"/>
    </row>
    <row r="1225" spans="1:7" ht="15.75" customHeight="1" thickBot="1">
      <c r="A1225" s="4645"/>
      <c r="B1225" s="4646"/>
      <c r="C1225" s="4680"/>
      <c r="D1225" s="4637"/>
      <c r="E1225" s="4645"/>
      <c r="F1225" s="4645"/>
      <c r="G1225" s="4645"/>
    </row>
    <row r="1226" spans="1:7" ht="28.5" customHeight="1" thickBot="1">
      <c r="A1226" s="4594" t="s">
        <v>2056</v>
      </c>
      <c r="B1226" s="4539" t="s">
        <v>2540</v>
      </c>
      <c r="C1226" s="4692" t="s">
        <v>1736</v>
      </c>
      <c r="D1226" s="4540" t="s">
        <v>1760</v>
      </c>
      <c r="E1226" s="4540" t="s">
        <v>1764</v>
      </c>
      <c r="F1226" s="15294" t="s">
        <v>2541</v>
      </c>
      <c r="G1226" s="15295"/>
    </row>
    <row r="1227" spans="1:7" ht="15" customHeight="1" thickBot="1">
      <c r="A1227" s="4545"/>
      <c r="B1227" s="4541"/>
      <c r="C1227" s="4678"/>
      <c r="D1227" s="4565"/>
      <c r="E1227" s="4565"/>
      <c r="F1227" s="4705" t="s">
        <v>1789</v>
      </c>
      <c r="G1227" s="4705" t="s">
        <v>1790</v>
      </c>
    </row>
    <row r="1228" spans="1:7" ht="27" customHeight="1">
      <c r="A1228" s="15270"/>
      <c r="B1228" s="4563" t="s">
        <v>8284</v>
      </c>
      <c r="C1228" s="4688"/>
      <c r="D1228" s="4564" t="s">
        <v>8285</v>
      </c>
      <c r="E1228" s="4546" t="s">
        <v>8286</v>
      </c>
      <c r="F1228" s="4588" t="s">
        <v>5125</v>
      </c>
      <c r="G1228" s="4588" t="s">
        <v>5113</v>
      </c>
    </row>
    <row r="1229" spans="1:7" ht="4.5" customHeight="1" thickBot="1">
      <c r="A1229" s="15272"/>
      <c r="B1229" s="4553"/>
      <c r="C1229" s="4689"/>
      <c r="D1229" s="4552"/>
      <c r="E1229" s="4550"/>
      <c r="F1229" s="4595"/>
      <c r="G1229" s="4595"/>
    </row>
    <row r="1230" spans="1:7" ht="24.75" customHeight="1">
      <c r="A1230" s="15270"/>
      <c r="B1230" s="4563" t="s">
        <v>8287</v>
      </c>
      <c r="C1230" s="4688"/>
      <c r="D1230" s="4564" t="s">
        <v>8285</v>
      </c>
      <c r="E1230" s="4546" t="s">
        <v>8288</v>
      </c>
      <c r="F1230" s="4588" t="s">
        <v>5125</v>
      </c>
      <c r="G1230" s="4588" t="s">
        <v>5113</v>
      </c>
    </row>
    <row r="1231" spans="1:7" ht="3" customHeight="1" thickBot="1">
      <c r="A1231" s="15272"/>
      <c r="B1231" s="4553"/>
      <c r="C1231" s="4689"/>
      <c r="D1231" s="4552"/>
      <c r="E1231" s="4550"/>
      <c r="F1231" s="4589"/>
      <c r="G1231" s="4589"/>
    </row>
    <row r="1232" spans="1:7" ht="18.75" customHeight="1">
      <c r="A1232" s="15270"/>
      <c r="B1232" s="4615" t="s">
        <v>8289</v>
      </c>
      <c r="C1232" s="4696">
        <v>50000</v>
      </c>
      <c r="D1232" s="15276" t="s">
        <v>8721</v>
      </c>
      <c r="E1232" s="15308" t="s">
        <v>8292</v>
      </c>
      <c r="F1232" s="15273" t="s">
        <v>5125</v>
      </c>
      <c r="G1232" s="15273" t="s">
        <v>5113</v>
      </c>
    </row>
    <row r="1233" spans="1:7" ht="14.25" customHeight="1">
      <c r="A1233" s="15271"/>
      <c r="B1233" s="4612" t="s">
        <v>8290</v>
      </c>
      <c r="C1233" s="4698"/>
      <c r="D1233" s="15277"/>
      <c r="E1233" s="15309"/>
      <c r="F1233" s="15274"/>
      <c r="G1233" s="15274"/>
    </row>
    <row r="1234" spans="1:7" ht="14.25" customHeight="1">
      <c r="A1234" s="15271"/>
      <c r="B1234" s="4612" t="s">
        <v>8291</v>
      </c>
      <c r="C1234" s="4698">
        <v>-50000</v>
      </c>
      <c r="D1234" s="15277"/>
      <c r="E1234" s="15309"/>
      <c r="F1234" s="4549"/>
      <c r="G1234" s="4595"/>
    </row>
    <row r="1235" spans="1:7" ht="2.25" customHeight="1" thickBot="1">
      <c r="A1235" s="15272"/>
      <c r="B1235" s="4616"/>
      <c r="C1235" s="4689"/>
      <c r="D1235" s="4551"/>
      <c r="E1235" s="4607"/>
      <c r="F1235" s="4549"/>
      <c r="G1235" s="4595"/>
    </row>
    <row r="1236" spans="1:7" ht="18" customHeight="1">
      <c r="A1236" s="15270"/>
      <c r="B1236" s="15296" t="s">
        <v>8293</v>
      </c>
      <c r="C1236" s="4696">
        <v>50000</v>
      </c>
      <c r="D1236" s="4564" t="s">
        <v>3579</v>
      </c>
      <c r="E1236" s="15310" t="s">
        <v>8292</v>
      </c>
      <c r="F1236" s="15273" t="s">
        <v>5125</v>
      </c>
      <c r="G1236" s="15273" t="s">
        <v>5113</v>
      </c>
    </row>
    <row r="1237" spans="1:7" ht="10.5" customHeight="1" thickBot="1">
      <c r="A1237" s="15272"/>
      <c r="B1237" s="15297"/>
      <c r="C1237" s="4697"/>
      <c r="D1237" s="4552"/>
      <c r="E1237" s="15311"/>
      <c r="F1237" s="15275"/>
      <c r="G1237" s="15275"/>
    </row>
    <row r="1238" spans="1:7" ht="17.25" customHeight="1">
      <c r="A1238" s="15270"/>
      <c r="B1238" s="4615" t="s">
        <v>8294</v>
      </c>
      <c r="C1238" s="4696">
        <v>25000</v>
      </c>
      <c r="D1238" s="4564"/>
      <c r="E1238" s="4606"/>
      <c r="F1238" s="15273" t="s">
        <v>5125</v>
      </c>
      <c r="G1238" s="15273" t="s">
        <v>5113</v>
      </c>
    </row>
    <row r="1239" spans="1:7" ht="2.25" customHeight="1">
      <c r="A1239" s="15271"/>
      <c r="B1239" s="15277" t="s">
        <v>8295</v>
      </c>
      <c r="C1239" s="4698"/>
      <c r="D1239" s="4544"/>
      <c r="E1239" s="4613"/>
      <c r="F1239" s="15274"/>
      <c r="G1239" s="15274"/>
    </row>
    <row r="1240" spans="1:7" ht="24" customHeight="1" thickBot="1">
      <c r="A1240" s="15272"/>
      <c r="B1240" s="15278"/>
      <c r="C1240" s="4697"/>
      <c r="D1240" s="4552"/>
      <c r="E1240" s="4607"/>
      <c r="F1240" s="15275"/>
      <c r="G1240" s="15275"/>
    </row>
    <row r="1241" spans="1:7" ht="27.75" customHeight="1" thickBot="1">
      <c r="A1241" s="4589"/>
      <c r="B1241" s="4618" t="s">
        <v>8297</v>
      </c>
      <c r="C1241" s="4678"/>
      <c r="D1241" s="4565"/>
      <c r="E1241" s="4637"/>
      <c r="F1241" s="4552"/>
      <c r="G1241" s="4552"/>
    </row>
    <row r="1242" spans="1:7" ht="27" thickBot="1">
      <c r="A1242" s="4589"/>
      <c r="B1242" s="4618" t="s">
        <v>8298</v>
      </c>
      <c r="C1242" s="4678"/>
      <c r="D1242" s="4565"/>
      <c r="E1242" s="4637"/>
      <c r="F1242" s="4552"/>
      <c r="G1242" s="4552"/>
    </row>
    <row r="1243" spans="1:7" ht="30.75" customHeight="1">
      <c r="A1243" s="15270"/>
      <c r="B1243" s="4620" t="s">
        <v>8299</v>
      </c>
      <c r="C1243" s="4692" t="s">
        <v>8301</v>
      </c>
      <c r="D1243" s="4562" t="s">
        <v>8304</v>
      </c>
      <c r="E1243" s="15312" t="s">
        <v>8310</v>
      </c>
      <c r="F1243" s="15276" t="s">
        <v>5125</v>
      </c>
      <c r="G1243" s="15276" t="s">
        <v>5113</v>
      </c>
    </row>
    <row r="1244" spans="1:7" ht="26.4">
      <c r="A1244" s="15271"/>
      <c r="B1244" s="4620" t="s">
        <v>8300</v>
      </c>
      <c r="C1244" s="4692" t="s">
        <v>8302</v>
      </c>
      <c r="D1244" s="4562" t="s">
        <v>8305</v>
      </c>
      <c r="E1244" s="15313"/>
      <c r="F1244" s="15277"/>
      <c r="G1244" s="15277"/>
    </row>
    <row r="1245" spans="1:7" ht="39.6">
      <c r="A1245" s="15271"/>
      <c r="B1245" s="4621"/>
      <c r="C1245" s="4692"/>
      <c r="D1245" s="4562" t="s">
        <v>8306</v>
      </c>
      <c r="E1245" s="15313"/>
      <c r="F1245" s="15277"/>
      <c r="G1245" s="15277"/>
    </row>
    <row r="1246" spans="1:7" ht="39.6">
      <c r="A1246" s="15271"/>
      <c r="B1246" s="4621"/>
      <c r="C1246" s="4692" t="s">
        <v>8303</v>
      </c>
      <c r="D1246" s="4562" t="s">
        <v>8307</v>
      </c>
      <c r="E1246" s="15313"/>
      <c r="F1246" s="15277"/>
      <c r="G1246" s="15277"/>
    </row>
    <row r="1247" spans="1:7" ht="40.5" customHeight="1">
      <c r="A1247" s="15271"/>
      <c r="B1247" s="4621"/>
      <c r="C1247" s="4692"/>
      <c r="D1247" s="4562" t="s">
        <v>8308</v>
      </c>
      <c r="E1247" s="15313"/>
      <c r="F1247" s="15277"/>
      <c r="G1247" s="15277"/>
    </row>
    <row r="1248" spans="1:7" ht="13.8" thickBot="1">
      <c r="A1248" s="15272"/>
      <c r="B1248" s="4619"/>
      <c r="C1248" s="4678"/>
      <c r="D1248" s="4617" t="s">
        <v>8309</v>
      </c>
      <c r="E1248" s="15314"/>
      <c r="F1248" s="15278"/>
      <c r="G1248" s="15278"/>
    </row>
    <row r="1249" spans="1:7" ht="26.4">
      <c r="A1249" s="15270"/>
      <c r="B1249" s="4620" t="s">
        <v>8311</v>
      </c>
      <c r="C1249" s="15281" t="s">
        <v>8303</v>
      </c>
      <c r="D1249" s="4562" t="s">
        <v>8314</v>
      </c>
      <c r="E1249" s="15273"/>
      <c r="F1249" s="15276" t="s">
        <v>5125</v>
      </c>
      <c r="G1249" s="15276" t="s">
        <v>5113</v>
      </c>
    </row>
    <row r="1250" spans="1:7" ht="26.4">
      <c r="A1250" s="15271"/>
      <c r="B1250" s="4620" t="s">
        <v>8312</v>
      </c>
      <c r="C1250" s="15301"/>
      <c r="D1250" s="4562" t="s">
        <v>8315</v>
      </c>
      <c r="E1250" s="15274"/>
      <c r="F1250" s="15277"/>
      <c r="G1250" s="15277"/>
    </row>
    <row r="1251" spans="1:7" ht="27" thickBot="1">
      <c r="A1251" s="15272"/>
      <c r="B1251" s="4622" t="s">
        <v>8313</v>
      </c>
      <c r="C1251" s="15282"/>
      <c r="D1251" s="4617" t="s">
        <v>8316</v>
      </c>
      <c r="E1251" s="15275"/>
      <c r="F1251" s="15278"/>
      <c r="G1251" s="15278"/>
    </row>
    <row r="1252" spans="1:7" ht="67.5" customHeight="1">
      <c r="A1252" s="15270"/>
      <c r="B1252" s="15285" t="s">
        <v>8317</v>
      </c>
      <c r="C1252" s="15291" t="s">
        <v>8318</v>
      </c>
      <c r="D1252" s="15276" t="s">
        <v>8319</v>
      </c>
      <c r="E1252" s="15273" t="s">
        <v>8320</v>
      </c>
      <c r="F1252" s="15276" t="s">
        <v>5125</v>
      </c>
      <c r="G1252" s="15276" t="s">
        <v>5113</v>
      </c>
    </row>
    <row r="1253" spans="1:7" ht="13.8" thickBot="1">
      <c r="A1253" s="15272"/>
      <c r="B1253" s="15286"/>
      <c r="C1253" s="15292"/>
      <c r="D1253" s="15278"/>
      <c r="E1253" s="15275"/>
      <c r="F1253" s="15278"/>
      <c r="G1253" s="15278"/>
    </row>
    <row r="1254" spans="1:7" ht="39.6">
      <c r="A1254" s="15270"/>
      <c r="B1254" s="15296" t="s">
        <v>9630</v>
      </c>
      <c r="C1254" s="4693" t="s">
        <v>8321</v>
      </c>
      <c r="D1254" s="4562" t="s">
        <v>3580</v>
      </c>
      <c r="E1254" s="15273"/>
      <c r="F1254" s="15276" t="s">
        <v>5125</v>
      </c>
      <c r="G1254" s="15276" t="s">
        <v>5113</v>
      </c>
    </row>
    <row r="1255" spans="1:7" ht="26.4">
      <c r="A1255" s="15271"/>
      <c r="B1255" s="15305"/>
      <c r="C1255" s="4693" t="s">
        <v>8322</v>
      </c>
      <c r="D1255" s="4549" t="s">
        <v>9631</v>
      </c>
      <c r="E1255" s="15274"/>
      <c r="F1255" s="15277"/>
      <c r="G1255" s="15277"/>
    </row>
    <row r="1256" spans="1:7" ht="3" customHeight="1" thickBot="1">
      <c r="A1256" s="15272"/>
      <c r="B1256" s="15297"/>
      <c r="C1256" s="4678"/>
      <c r="D1256" s="4565"/>
      <c r="E1256" s="15275"/>
      <c r="F1256" s="15278"/>
      <c r="G1256" s="15278"/>
    </row>
    <row r="1257" spans="1:7" ht="17.25" customHeight="1">
      <c r="A1257" s="15270"/>
      <c r="B1257" s="15296" t="s">
        <v>8826</v>
      </c>
      <c r="C1257" s="15281" t="s">
        <v>8323</v>
      </c>
      <c r="D1257" s="15273" t="s">
        <v>8324</v>
      </c>
      <c r="E1257" s="15273"/>
      <c r="F1257" s="15276" t="s">
        <v>5125</v>
      </c>
      <c r="G1257" s="15276" t="s">
        <v>5113</v>
      </c>
    </row>
    <row r="1258" spans="1:7" ht="13.8" thickBot="1">
      <c r="A1258" s="15272"/>
      <c r="B1258" s="15297"/>
      <c r="C1258" s="15282"/>
      <c r="D1258" s="15275"/>
      <c r="E1258" s="15275"/>
      <c r="F1258" s="15278"/>
      <c r="G1258" s="15278"/>
    </row>
    <row r="1259" spans="1:7" ht="90.75" customHeight="1" thickBot="1">
      <c r="A1259" s="4589"/>
      <c r="B1259" s="4541" t="s">
        <v>8827</v>
      </c>
      <c r="C1259" s="4678" t="s">
        <v>8325</v>
      </c>
      <c r="D1259" s="4565" t="s">
        <v>8326</v>
      </c>
      <c r="E1259" s="4565"/>
      <c r="F1259" s="4617" t="s">
        <v>5125</v>
      </c>
      <c r="G1259" s="4617" t="s">
        <v>5113</v>
      </c>
    </row>
    <row r="1260" spans="1:7" ht="25.5" customHeight="1">
      <c r="A1260" s="15270"/>
      <c r="B1260" s="4623" t="s">
        <v>8327</v>
      </c>
      <c r="C1260" s="4693" t="s">
        <v>8329</v>
      </c>
      <c r="D1260" s="15276" t="s">
        <v>8332</v>
      </c>
      <c r="E1260" s="15273" t="s">
        <v>8333</v>
      </c>
      <c r="F1260" s="15276" t="s">
        <v>5125</v>
      </c>
      <c r="G1260" s="15276" t="s">
        <v>5113</v>
      </c>
    </row>
    <row r="1261" spans="1:7" ht="26.4">
      <c r="A1261" s="15271"/>
      <c r="B1261" s="15271" t="s">
        <v>8328</v>
      </c>
      <c r="C1261" s="4693" t="s">
        <v>8330</v>
      </c>
      <c r="D1261" s="15277"/>
      <c r="E1261" s="15274"/>
      <c r="F1261" s="15277"/>
      <c r="G1261" s="15277"/>
    </row>
    <row r="1262" spans="1:7" ht="27" thickBot="1">
      <c r="A1262" s="15272"/>
      <c r="B1262" s="15272"/>
      <c r="C1262" s="4694" t="s">
        <v>8331</v>
      </c>
      <c r="D1262" s="15278"/>
      <c r="E1262" s="15275"/>
      <c r="F1262" s="15278"/>
      <c r="G1262" s="15278"/>
    </row>
    <row r="1263" spans="1:7">
      <c r="A1263" s="4641"/>
      <c r="B1263" s="4641"/>
      <c r="C1263" s="4709"/>
      <c r="D1263" s="4714"/>
      <c r="E1263" s="4643"/>
      <c r="F1263" s="4714"/>
      <c r="G1263" s="4714"/>
    </row>
    <row r="1264" spans="1:7">
      <c r="A1264" s="4636"/>
      <c r="B1264" s="4636"/>
      <c r="C1264" s="4708"/>
      <c r="D1264" s="4644"/>
      <c r="E1264" s="4538"/>
      <c r="F1264" s="4644"/>
      <c r="G1264" s="4644"/>
    </row>
    <row r="1265" spans="1:7">
      <c r="A1265" s="4636"/>
      <c r="B1265" s="4636"/>
      <c r="C1265" s="4708"/>
      <c r="D1265" s="4644"/>
      <c r="E1265" s="4538"/>
      <c r="F1265" s="4644"/>
      <c r="G1265" s="4644"/>
    </row>
    <row r="1266" spans="1:7">
      <c r="A1266" s="4636"/>
      <c r="B1266" s="4636"/>
      <c r="C1266" s="4708"/>
      <c r="D1266" s="4644"/>
      <c r="E1266" s="4538"/>
      <c r="F1266" s="4644"/>
      <c r="G1266" s="4644"/>
    </row>
    <row r="1267" spans="1:7">
      <c r="A1267" s="4636"/>
      <c r="B1267" s="4636"/>
      <c r="C1267" s="4708"/>
      <c r="D1267" s="4644"/>
      <c r="E1267" s="4538"/>
      <c r="F1267" s="4644"/>
      <c r="G1267" s="4644"/>
    </row>
    <row r="1268" spans="1:7">
      <c r="A1268" s="4636"/>
      <c r="B1268" s="4636"/>
      <c r="C1268" s="4708"/>
      <c r="D1268" s="4644"/>
      <c r="E1268" s="4538"/>
      <c r="F1268" s="4644"/>
      <c r="G1268" s="4644"/>
    </row>
    <row r="1269" spans="1:7" ht="13.8" thickBot="1">
      <c r="A1269" s="4645"/>
      <c r="B1269" s="4645"/>
      <c r="C1269" s="4695"/>
      <c r="D1269" s="4647"/>
      <c r="E1269" s="4637"/>
      <c r="F1269" s="4647"/>
      <c r="G1269" s="4647"/>
    </row>
    <row r="1270" spans="1:7" ht="28.5" customHeight="1" thickBot="1">
      <c r="A1270" s="4594" t="s">
        <v>2056</v>
      </c>
      <c r="B1270" s="4539" t="s">
        <v>2540</v>
      </c>
      <c r="C1270" s="4692" t="s">
        <v>1736</v>
      </c>
      <c r="D1270" s="4540" t="s">
        <v>1760</v>
      </c>
      <c r="E1270" s="4540" t="s">
        <v>1764</v>
      </c>
      <c r="F1270" s="15294" t="s">
        <v>2541</v>
      </c>
      <c r="G1270" s="15295"/>
    </row>
    <row r="1271" spans="1:7" ht="15" customHeight="1" thickBot="1">
      <c r="A1271" s="4545"/>
      <c r="B1271" s="4541"/>
      <c r="C1271" s="4678"/>
      <c r="D1271" s="4565"/>
      <c r="E1271" s="4565"/>
      <c r="F1271" s="4705" t="s">
        <v>1789</v>
      </c>
      <c r="G1271" s="4705" t="s">
        <v>1790</v>
      </c>
    </row>
    <row r="1272" spans="1:7" ht="40.200000000000003" thickBot="1">
      <c r="A1272" s="4589"/>
      <c r="B1272" s="4622" t="s">
        <v>8334</v>
      </c>
      <c r="C1272" s="4694" t="s">
        <v>8335</v>
      </c>
      <c r="D1272" s="4617" t="s">
        <v>3581</v>
      </c>
      <c r="E1272" s="4565" t="s">
        <v>8336</v>
      </c>
      <c r="F1272" s="4565"/>
      <c r="G1272" s="4565"/>
    </row>
    <row r="1273" spans="1:7" ht="40.200000000000003" thickBot="1">
      <c r="A1273" s="4589"/>
      <c r="B1273" s="4622" t="s">
        <v>8337</v>
      </c>
      <c r="C1273" s="4694" t="s">
        <v>8338</v>
      </c>
      <c r="D1273" s="4617" t="s">
        <v>3582</v>
      </c>
      <c r="E1273" s="4565"/>
      <c r="F1273" s="4617" t="s">
        <v>5125</v>
      </c>
      <c r="G1273" s="4617" t="s">
        <v>5113</v>
      </c>
    </row>
    <row r="1274" spans="1:7" ht="39.6">
      <c r="A1274" s="15270"/>
      <c r="B1274" s="15285" t="s">
        <v>8339</v>
      </c>
      <c r="C1274" s="15291" t="s">
        <v>8340</v>
      </c>
      <c r="D1274" s="4562" t="s">
        <v>8341</v>
      </c>
      <c r="E1274" s="15273"/>
      <c r="F1274" s="15276" t="s">
        <v>5125</v>
      </c>
      <c r="G1274" s="15276" t="s">
        <v>5113</v>
      </c>
    </row>
    <row r="1275" spans="1:7" ht="40.200000000000003" thickBot="1">
      <c r="A1275" s="15271"/>
      <c r="B1275" s="15293"/>
      <c r="C1275" s="15299"/>
      <c r="D1275" s="4562" t="s">
        <v>8342</v>
      </c>
      <c r="E1275" s="15274"/>
      <c r="F1275" s="15277"/>
      <c r="G1275" s="15277"/>
    </row>
    <row r="1276" spans="1:7" ht="39.6">
      <c r="A1276" s="15270"/>
      <c r="B1276" s="15285" t="s">
        <v>8343</v>
      </c>
      <c r="C1276" s="15291" t="s">
        <v>8344</v>
      </c>
      <c r="D1276" s="4562" t="s">
        <v>8345</v>
      </c>
      <c r="E1276" s="15273" t="s">
        <v>8347</v>
      </c>
      <c r="F1276" s="15276" t="s">
        <v>5125</v>
      </c>
      <c r="G1276" s="15276" t="s">
        <v>5113</v>
      </c>
    </row>
    <row r="1277" spans="1:7" ht="13.8" thickBot="1">
      <c r="A1277" s="15272"/>
      <c r="B1277" s="15286"/>
      <c r="C1277" s="15292"/>
      <c r="D1277" s="4617" t="s">
        <v>8346</v>
      </c>
      <c r="E1277" s="15275"/>
      <c r="F1277" s="15278"/>
      <c r="G1277" s="15278"/>
    </row>
    <row r="1278" spans="1:7" ht="42" customHeight="1" thickBot="1">
      <c r="A1278" s="4589"/>
      <c r="B1278" s="4622" t="s">
        <v>8348</v>
      </c>
      <c r="C1278" s="4694" t="s">
        <v>8349</v>
      </c>
      <c r="D1278" s="4617" t="s">
        <v>8350</v>
      </c>
      <c r="E1278" s="4565" t="s">
        <v>8351</v>
      </c>
      <c r="F1278" s="4617" t="s">
        <v>5125</v>
      </c>
      <c r="G1278" s="4617" t="s">
        <v>5113</v>
      </c>
    </row>
    <row r="1279" spans="1:7" ht="41.25" customHeight="1" thickBot="1">
      <c r="A1279" s="4589"/>
      <c r="B1279" s="4622" t="s">
        <v>8352</v>
      </c>
      <c r="C1279" s="4695" t="s">
        <v>8353</v>
      </c>
      <c r="D1279" s="4573" t="s">
        <v>8354</v>
      </c>
      <c r="E1279" s="4565" t="s">
        <v>8355</v>
      </c>
      <c r="F1279" s="4617" t="s">
        <v>5125</v>
      </c>
      <c r="G1279" s="4617" t="s">
        <v>5113</v>
      </c>
    </row>
    <row r="1280" spans="1:7" ht="12" customHeight="1">
      <c r="A1280" s="15270"/>
      <c r="B1280" s="15285" t="s">
        <v>8356</v>
      </c>
      <c r="C1280" s="15287" t="s">
        <v>8357</v>
      </c>
      <c r="D1280" s="4549" t="s">
        <v>8358</v>
      </c>
      <c r="E1280" s="15273" t="s">
        <v>8360</v>
      </c>
      <c r="F1280" s="15276" t="s">
        <v>5125</v>
      </c>
      <c r="G1280" s="15276" t="s">
        <v>5113</v>
      </c>
    </row>
    <row r="1281" spans="1:7" ht="19.5" customHeight="1" thickBot="1">
      <c r="A1281" s="15272"/>
      <c r="B1281" s="15286"/>
      <c r="C1281" s="15288"/>
      <c r="D1281" s="4551" t="s">
        <v>8359</v>
      </c>
      <c r="E1281" s="15275"/>
      <c r="F1281" s="15278"/>
      <c r="G1281" s="15278"/>
    </row>
    <row r="1282" spans="1:7" ht="28.5" customHeight="1">
      <c r="A1282" s="15270"/>
      <c r="B1282" s="15270" t="s">
        <v>8361</v>
      </c>
      <c r="C1282" s="15287" t="s">
        <v>8722</v>
      </c>
      <c r="D1282" s="4544" t="s">
        <v>3583</v>
      </c>
      <c r="E1282" s="15273" t="s">
        <v>8362</v>
      </c>
      <c r="F1282" s="15276" t="s">
        <v>5125</v>
      </c>
      <c r="G1282" s="15276" t="s">
        <v>5113</v>
      </c>
    </row>
    <row r="1283" spans="1:7" ht="24" customHeight="1" thickBot="1">
      <c r="A1283" s="15272"/>
      <c r="B1283" s="15272"/>
      <c r="C1283" s="15298"/>
      <c r="D1283" s="4552" t="s">
        <v>3584</v>
      </c>
      <c r="E1283" s="15275"/>
      <c r="F1283" s="15278"/>
      <c r="G1283" s="15278"/>
    </row>
    <row r="1284" spans="1:7" ht="26.4">
      <c r="A1284" s="15270"/>
      <c r="B1284" s="15289" t="s">
        <v>8363</v>
      </c>
      <c r="C1284" s="4688" t="s">
        <v>8364</v>
      </c>
      <c r="D1284" s="4544" t="s">
        <v>8366</v>
      </c>
      <c r="E1284" s="15273"/>
      <c r="F1284" s="15276" t="s">
        <v>5125</v>
      </c>
      <c r="G1284" s="15276" t="s">
        <v>5113</v>
      </c>
    </row>
    <row r="1285" spans="1:7" ht="40.5" customHeight="1">
      <c r="A1285" s="15271"/>
      <c r="B1285" s="15290"/>
      <c r="C1285" s="4673" t="s">
        <v>558</v>
      </c>
      <c r="D1285" s="4544" t="s">
        <v>8367</v>
      </c>
      <c r="E1285" s="15274"/>
      <c r="F1285" s="15277"/>
      <c r="G1285" s="15277"/>
    </row>
    <row r="1286" spans="1:7" ht="40.200000000000003" thickBot="1">
      <c r="A1286" s="15271"/>
      <c r="B1286" s="15290"/>
      <c r="C1286" s="4692" t="s">
        <v>8365</v>
      </c>
      <c r="D1286" s="4566" t="s">
        <v>8368</v>
      </c>
      <c r="E1286" s="15274"/>
      <c r="F1286" s="15277"/>
      <c r="G1286" s="15277"/>
    </row>
    <row r="1287" spans="1:7" ht="79.8" thickBot="1">
      <c r="A1287" s="4569"/>
      <c r="B1287" s="4716" t="s">
        <v>8369</v>
      </c>
      <c r="C1287" s="4717" t="s">
        <v>8370</v>
      </c>
      <c r="D1287" s="4560" t="s">
        <v>8371</v>
      </c>
      <c r="E1287" s="4560" t="s">
        <v>8372</v>
      </c>
      <c r="F1287" s="4718" t="s">
        <v>5125</v>
      </c>
      <c r="G1287" s="4718" t="s">
        <v>5113</v>
      </c>
    </row>
    <row r="1288" spans="1:7">
      <c r="A1288" s="15270"/>
      <c r="B1288" s="15285"/>
      <c r="C1288" s="15291"/>
      <c r="D1288" s="4562" t="s">
        <v>8373</v>
      </c>
      <c r="E1288" s="15273"/>
      <c r="F1288" s="15283"/>
      <c r="G1288" s="15283"/>
    </row>
    <row r="1289" spans="1:7" ht="40.200000000000003" thickBot="1">
      <c r="A1289" s="15272"/>
      <c r="B1289" s="15286"/>
      <c r="C1289" s="15292"/>
      <c r="D1289" s="4617" t="s">
        <v>8374</v>
      </c>
      <c r="E1289" s="15275"/>
      <c r="F1289" s="15284"/>
      <c r="G1289" s="15284"/>
    </row>
    <row r="1290" spans="1:7" ht="26.4">
      <c r="A1290" s="15270"/>
      <c r="B1290" s="15285" t="s">
        <v>8375</v>
      </c>
      <c r="C1290" s="4692" t="s">
        <v>8376</v>
      </c>
      <c r="D1290" s="4566" t="s">
        <v>8380</v>
      </c>
      <c r="E1290" s="15273" t="s">
        <v>8388</v>
      </c>
      <c r="F1290" s="15276" t="s">
        <v>5125</v>
      </c>
      <c r="G1290" s="15276" t="s">
        <v>5113</v>
      </c>
    </row>
    <row r="1291" spans="1:7">
      <c r="A1291" s="15271"/>
      <c r="B1291" s="15293"/>
      <c r="C1291" s="4692" t="s">
        <v>8377</v>
      </c>
      <c r="D1291" s="4566" t="s">
        <v>8381</v>
      </c>
      <c r="E1291" s="15274"/>
      <c r="F1291" s="15277"/>
      <c r="G1291" s="15277"/>
    </row>
    <row r="1292" spans="1:7" ht="29.25" customHeight="1">
      <c r="A1292" s="15271"/>
      <c r="B1292" s="15293"/>
      <c r="C1292" s="4692" t="s">
        <v>8378</v>
      </c>
      <c r="D1292" s="4566" t="s">
        <v>8382</v>
      </c>
      <c r="E1292" s="15274"/>
      <c r="F1292" s="15277"/>
      <c r="G1292" s="15277"/>
    </row>
    <row r="1293" spans="1:7" ht="26.4">
      <c r="A1293" s="15271"/>
      <c r="B1293" s="15293"/>
      <c r="C1293" s="4692"/>
      <c r="D1293" s="4566" t="s">
        <v>8383</v>
      </c>
      <c r="E1293" s="15274"/>
      <c r="F1293" s="15277"/>
      <c r="G1293" s="15277"/>
    </row>
    <row r="1294" spans="1:7" ht="16.5" customHeight="1">
      <c r="A1294" s="15271"/>
      <c r="B1294" s="15293"/>
      <c r="C1294" s="4692"/>
      <c r="D1294" s="4566" t="s">
        <v>8384</v>
      </c>
      <c r="E1294" s="15274"/>
      <c r="F1294" s="15277"/>
      <c r="G1294" s="15277"/>
    </row>
    <row r="1295" spans="1:7">
      <c r="A1295" s="15271"/>
      <c r="B1295" s="15293"/>
      <c r="C1295" s="4692"/>
      <c r="D1295" s="4566" t="s">
        <v>8385</v>
      </c>
      <c r="E1295" s="15274"/>
      <c r="F1295" s="15277"/>
      <c r="G1295" s="15277"/>
    </row>
    <row r="1296" spans="1:7" ht="39.6">
      <c r="A1296" s="15271"/>
      <c r="B1296" s="15293"/>
      <c r="C1296" s="4692" t="s">
        <v>8379</v>
      </c>
      <c r="D1296" s="4566" t="s">
        <v>8386</v>
      </c>
      <c r="E1296" s="15274"/>
      <c r="F1296" s="15277"/>
      <c r="G1296" s="15277"/>
    </row>
    <row r="1297" spans="1:7" ht="40.200000000000003" thickBot="1">
      <c r="A1297" s="15272"/>
      <c r="B1297" s="15286"/>
      <c r="C1297" s="4678" t="s">
        <v>554</v>
      </c>
      <c r="D1297" s="4565" t="s">
        <v>8387</v>
      </c>
      <c r="E1297" s="15275"/>
      <c r="F1297" s="15278"/>
      <c r="G1297" s="15278"/>
    </row>
    <row r="1298" spans="1:7" ht="26.4">
      <c r="A1298" s="15270"/>
      <c r="B1298" s="15285" t="s">
        <v>8389</v>
      </c>
      <c r="C1298" s="15281" t="s">
        <v>8390</v>
      </c>
      <c r="D1298" s="4562" t="s">
        <v>8391</v>
      </c>
      <c r="E1298" s="15273" t="s">
        <v>8393</v>
      </c>
      <c r="F1298" s="15276" t="s">
        <v>5125</v>
      </c>
      <c r="G1298" s="15276" t="s">
        <v>5113</v>
      </c>
    </row>
    <row r="1299" spans="1:7" ht="13.8" thickBot="1">
      <c r="A1299" s="15272"/>
      <c r="B1299" s="15286"/>
      <c r="C1299" s="15282"/>
      <c r="D1299" s="4617" t="s">
        <v>8392</v>
      </c>
      <c r="E1299" s="15275"/>
      <c r="F1299" s="15278"/>
      <c r="G1299" s="15278"/>
    </row>
    <row r="1300" spans="1:7" ht="27.75" customHeight="1" thickBot="1">
      <c r="A1300" s="4589"/>
      <c r="B1300" s="4622" t="s">
        <v>8394</v>
      </c>
      <c r="C1300" s="4694" t="s">
        <v>8395</v>
      </c>
      <c r="D1300" s="4617" t="s">
        <v>8396</v>
      </c>
      <c r="E1300" s="4565" t="s">
        <v>8296</v>
      </c>
      <c r="F1300" s="4617" t="s">
        <v>5125</v>
      </c>
      <c r="G1300" s="4617" t="s">
        <v>5113</v>
      </c>
    </row>
    <row r="1301" spans="1:7" ht="17.25" customHeight="1">
      <c r="A1301" s="4641"/>
      <c r="B1301" s="4719"/>
      <c r="C1301" s="4709"/>
      <c r="D1301" s="4714"/>
      <c r="E1301" s="4643"/>
      <c r="F1301" s="4714"/>
      <c r="G1301" s="4714"/>
    </row>
    <row r="1302" spans="1:7" ht="17.25" customHeight="1">
      <c r="A1302" s="4636"/>
      <c r="B1302" s="4720"/>
      <c r="C1302" s="4708"/>
      <c r="D1302" s="4644"/>
      <c r="E1302" s="4538"/>
      <c r="F1302" s="4644"/>
      <c r="G1302" s="4644"/>
    </row>
    <row r="1303" spans="1:7" ht="17.25" customHeight="1">
      <c r="A1303" s="4636"/>
      <c r="B1303" s="4720"/>
      <c r="C1303" s="4708"/>
      <c r="D1303" s="4644"/>
      <c r="E1303" s="4538"/>
      <c r="F1303" s="4644"/>
      <c r="G1303" s="4644"/>
    </row>
    <row r="1304" spans="1:7" ht="17.25" customHeight="1" thickBot="1">
      <c r="A1304" s="4645"/>
      <c r="B1304" s="4721"/>
      <c r="C1304" s="4695"/>
      <c r="D1304" s="4647"/>
      <c r="E1304" s="4637"/>
      <c r="F1304" s="4647"/>
      <c r="G1304" s="4647"/>
    </row>
    <row r="1305" spans="1:7" ht="28.5" customHeight="1" thickBot="1">
      <c r="A1305" s="4594" t="s">
        <v>2056</v>
      </c>
      <c r="B1305" s="4539" t="s">
        <v>2540</v>
      </c>
      <c r="C1305" s="4692" t="s">
        <v>1736</v>
      </c>
      <c r="D1305" s="4540" t="s">
        <v>1760</v>
      </c>
      <c r="E1305" s="4540" t="s">
        <v>1764</v>
      </c>
      <c r="F1305" s="15294" t="s">
        <v>2541</v>
      </c>
      <c r="G1305" s="15295"/>
    </row>
    <row r="1306" spans="1:7" ht="15" customHeight="1" thickBot="1">
      <c r="A1306" s="4545"/>
      <c r="B1306" s="4541"/>
      <c r="C1306" s="4678"/>
      <c r="D1306" s="4565"/>
      <c r="E1306" s="4565"/>
      <c r="F1306" s="4705" t="s">
        <v>1789</v>
      </c>
      <c r="G1306" s="4705" t="s">
        <v>1790</v>
      </c>
    </row>
    <row r="1307" spans="1:7" ht="40.200000000000003" thickBot="1">
      <c r="A1307" s="4589"/>
      <c r="B1307" s="4622" t="s">
        <v>8397</v>
      </c>
      <c r="C1307" s="4694" t="s">
        <v>8398</v>
      </c>
      <c r="D1307" s="4617" t="s">
        <v>8399</v>
      </c>
      <c r="E1307" s="4565"/>
      <c r="F1307" s="4565"/>
      <c r="G1307" s="4565"/>
    </row>
    <row r="1308" spans="1:7" ht="26.4">
      <c r="A1308" s="15270"/>
      <c r="B1308" s="4623" t="s">
        <v>8400</v>
      </c>
      <c r="C1308" s="4692" t="s">
        <v>8402</v>
      </c>
      <c r="D1308" s="4566" t="s">
        <v>8405</v>
      </c>
      <c r="E1308" s="15273" t="s">
        <v>8406</v>
      </c>
      <c r="F1308" s="15276" t="s">
        <v>5125</v>
      </c>
      <c r="G1308" s="15276" t="s">
        <v>5113</v>
      </c>
    </row>
    <row r="1309" spans="1:7" ht="39.6">
      <c r="A1309" s="15271"/>
      <c r="B1309" s="4621" t="s">
        <v>8401</v>
      </c>
      <c r="C1309" s="4692" t="s">
        <v>8403</v>
      </c>
      <c r="D1309" s="4566" t="s">
        <v>3585</v>
      </c>
      <c r="E1309" s="15274"/>
      <c r="F1309" s="15277"/>
      <c r="G1309" s="15277"/>
    </row>
    <row r="1310" spans="1:7" ht="27" thickBot="1">
      <c r="A1310" s="15272"/>
      <c r="B1310" s="4619"/>
      <c r="C1310" s="4678" t="s">
        <v>8404</v>
      </c>
      <c r="D1310" s="4565"/>
      <c r="E1310" s="15275"/>
      <c r="F1310" s="15278"/>
      <c r="G1310" s="15278"/>
    </row>
    <row r="1311" spans="1:7" ht="118.8">
      <c r="A1311" s="15270"/>
      <c r="B1311" s="15279"/>
      <c r="C1311" s="15281" t="s">
        <v>8407</v>
      </c>
      <c r="D1311" s="4566" t="s">
        <v>8408</v>
      </c>
      <c r="E1311" s="15273"/>
      <c r="F1311" s="15283"/>
      <c r="G1311" s="15283"/>
    </row>
    <row r="1312" spans="1:7" ht="13.8" thickBot="1">
      <c r="A1312" s="15272"/>
      <c r="B1312" s="15280"/>
      <c r="C1312" s="15282"/>
      <c r="D1312" s="4565" t="s">
        <v>8409</v>
      </c>
      <c r="E1312" s="15275"/>
      <c r="F1312" s="15284"/>
      <c r="G1312" s="15284"/>
    </row>
    <row r="1313" spans="1:7" ht="26.4">
      <c r="A1313" s="15270"/>
      <c r="B1313" s="4623" t="s">
        <v>8400</v>
      </c>
      <c r="C1313" s="4692" t="s">
        <v>8402</v>
      </c>
      <c r="D1313" s="4566" t="s">
        <v>8405</v>
      </c>
      <c r="E1313" s="15273" t="s">
        <v>8406</v>
      </c>
      <c r="F1313" s="15276" t="s">
        <v>5125</v>
      </c>
      <c r="G1313" s="15276" t="s">
        <v>5113</v>
      </c>
    </row>
    <row r="1314" spans="1:7" ht="39.6">
      <c r="A1314" s="15271"/>
      <c r="B1314" s="4621" t="s">
        <v>8401</v>
      </c>
      <c r="C1314" s="4692" t="s">
        <v>8403</v>
      </c>
      <c r="D1314" s="4566" t="s">
        <v>3585</v>
      </c>
      <c r="E1314" s="15274"/>
      <c r="F1314" s="15277"/>
      <c r="G1314" s="15277"/>
    </row>
    <row r="1315" spans="1:7" ht="66" customHeight="1">
      <c r="A1315" s="15271"/>
      <c r="B1315" s="4621"/>
      <c r="C1315" s="4692" t="s">
        <v>8410</v>
      </c>
      <c r="D1315" s="4566" t="s">
        <v>8413</v>
      </c>
      <c r="E1315" s="15274"/>
      <c r="F1315" s="15277"/>
      <c r="G1315" s="15277"/>
    </row>
    <row r="1316" spans="1:7" ht="92.4">
      <c r="A1316" s="15271"/>
      <c r="B1316" s="4621"/>
      <c r="C1316" s="4692" t="s">
        <v>8411</v>
      </c>
      <c r="D1316" s="4566" t="s">
        <v>8414</v>
      </c>
      <c r="E1316" s="15274"/>
      <c r="F1316" s="15277"/>
      <c r="G1316" s="15277"/>
    </row>
    <row r="1317" spans="1:7" ht="40.200000000000003" thickBot="1">
      <c r="A1317" s="15272"/>
      <c r="B1317" s="4619"/>
      <c r="C1317" s="4678" t="s">
        <v>8412</v>
      </c>
      <c r="D1317" s="4565" t="s">
        <v>8415</v>
      </c>
      <c r="E1317" s="15275"/>
      <c r="F1317" s="15278"/>
      <c r="G1317" s="15278"/>
    </row>
    <row r="1318" spans="1:7" ht="39.6">
      <c r="A1318" s="15270"/>
      <c r="B1318" s="15285" t="s">
        <v>8416</v>
      </c>
      <c r="C1318" s="4693" t="s">
        <v>8417</v>
      </c>
      <c r="D1318" s="15276" t="s">
        <v>3586</v>
      </c>
      <c r="E1318" s="15273" t="s">
        <v>8419</v>
      </c>
      <c r="F1318" s="15276" t="s">
        <v>5125</v>
      </c>
      <c r="G1318" s="15276" t="s">
        <v>5113</v>
      </c>
    </row>
    <row r="1319" spans="1:7" ht="27" thickBot="1">
      <c r="A1319" s="15272"/>
      <c r="B1319" s="15286"/>
      <c r="C1319" s="4694" t="s">
        <v>8418</v>
      </c>
      <c r="D1319" s="15278"/>
      <c r="E1319" s="15275"/>
      <c r="F1319" s="15278"/>
      <c r="G1319" s="15278"/>
    </row>
    <row r="1320" spans="1:7" ht="56.25" customHeight="1" thickBot="1">
      <c r="A1320" s="4588"/>
      <c r="B1320" s="4712" t="s">
        <v>8420</v>
      </c>
      <c r="C1320" s="4685" t="s">
        <v>8421</v>
      </c>
      <c r="D1320" s="4547" t="s">
        <v>8422</v>
      </c>
      <c r="E1320" s="4564"/>
      <c r="F1320" s="4547" t="s">
        <v>5125</v>
      </c>
      <c r="G1320" s="4547" t="s">
        <v>5113</v>
      </c>
    </row>
    <row r="1321" spans="1:7">
      <c r="A1321" s="15270"/>
      <c r="B1321" s="15285" t="s">
        <v>8423</v>
      </c>
      <c r="C1321" s="15281"/>
      <c r="D1321" s="15276" t="s">
        <v>8424</v>
      </c>
      <c r="E1321" s="15273"/>
      <c r="F1321" s="15276" t="s">
        <v>5125</v>
      </c>
      <c r="G1321" s="15276" t="s">
        <v>5113</v>
      </c>
    </row>
    <row r="1322" spans="1:7" ht="19.5" customHeight="1">
      <c r="A1322" s="15271"/>
      <c r="B1322" s="15293"/>
      <c r="C1322" s="15301"/>
      <c r="D1322" s="15277"/>
      <c r="E1322" s="15274"/>
      <c r="F1322" s="15277"/>
      <c r="G1322" s="15277"/>
    </row>
    <row r="1323" spans="1:7" ht="53.4" thickBot="1">
      <c r="A1323" s="4589"/>
      <c r="B1323" s="4622" t="s">
        <v>8425</v>
      </c>
      <c r="C1323" s="4678" t="s">
        <v>8426</v>
      </c>
      <c r="D1323" s="4617" t="s">
        <v>8427</v>
      </c>
      <c r="E1323" s="4565"/>
      <c r="F1323" s="4617" t="s">
        <v>5125</v>
      </c>
      <c r="G1323" s="4617" t="s">
        <v>5113</v>
      </c>
    </row>
    <row r="1324" spans="1:7" ht="15" customHeight="1" thickBot="1">
      <c r="A1324" s="15306" t="s">
        <v>220</v>
      </c>
      <c r="B1324" s="15307"/>
      <c r="C1324" s="15306" t="s">
        <v>8428</v>
      </c>
      <c r="D1324" s="15307"/>
      <c r="E1324" s="4624"/>
      <c r="F1324" s="4625"/>
      <c r="G1324" s="4624"/>
    </row>
  </sheetData>
  <mergeCells count="1506">
    <mergeCell ref="F1232:F1233"/>
    <mergeCell ref="G1232:G1233"/>
    <mergeCell ref="F1238:F1240"/>
    <mergeCell ref="G1238:G1240"/>
    <mergeCell ref="F142:G142"/>
    <mergeCell ref="F199:G199"/>
    <mergeCell ref="E207:E208"/>
    <mergeCell ref="F239:G239"/>
    <mergeCell ref="F296:G296"/>
    <mergeCell ref="F362:G362"/>
    <mergeCell ref="F421:G421"/>
    <mergeCell ref="F475:G475"/>
    <mergeCell ref="F530:G530"/>
    <mergeCell ref="F579:G579"/>
    <mergeCell ref="F615:G615"/>
    <mergeCell ref="F665:G665"/>
    <mergeCell ref="F719:G719"/>
    <mergeCell ref="F776:G776"/>
    <mergeCell ref="F828:G828"/>
    <mergeCell ref="F879:G879"/>
    <mergeCell ref="F922:G922"/>
    <mergeCell ref="F970:G970"/>
    <mergeCell ref="E983:E984"/>
    <mergeCell ref="F1017:G1017"/>
    <mergeCell ref="F1072:G1072"/>
    <mergeCell ref="F1125:G1125"/>
    <mergeCell ref="F1176:G1176"/>
    <mergeCell ref="F1226:G1226"/>
    <mergeCell ref="F1236:F1237"/>
    <mergeCell ref="G1236:G1237"/>
    <mergeCell ref="F171:F175"/>
    <mergeCell ref="G171:G175"/>
    <mergeCell ref="A6:G6"/>
    <mergeCell ref="A117:C117"/>
    <mergeCell ref="A125:A129"/>
    <mergeCell ref="C39:G39"/>
    <mergeCell ref="A8:G8"/>
    <mergeCell ref="A9:G9"/>
    <mergeCell ref="A10:G10"/>
    <mergeCell ref="A11:G11"/>
    <mergeCell ref="A12:G12"/>
    <mergeCell ref="A13:G13"/>
    <mergeCell ref="A14:G14"/>
    <mergeCell ref="A15:G15"/>
    <mergeCell ref="A16:G16"/>
    <mergeCell ref="A17:G17"/>
    <mergeCell ref="A18:G18"/>
    <mergeCell ref="A19:G19"/>
    <mergeCell ref="A20:G20"/>
    <mergeCell ref="A21:G21"/>
    <mergeCell ref="A22:G22"/>
    <mergeCell ref="A23:G23"/>
    <mergeCell ref="A24:G24"/>
    <mergeCell ref="A25:G25"/>
    <mergeCell ref="A26:G26"/>
    <mergeCell ref="A38:G38"/>
    <mergeCell ref="C113:G113"/>
    <mergeCell ref="C109:G109"/>
    <mergeCell ref="C107:G107"/>
    <mergeCell ref="C102:G102"/>
    <mergeCell ref="F118:G118"/>
    <mergeCell ref="B125:B129"/>
    <mergeCell ref="A40:B45"/>
    <mergeCell ref="A46:B50"/>
    <mergeCell ref="C63:G63"/>
    <mergeCell ref="C71:G71"/>
    <mergeCell ref="C69:G69"/>
    <mergeCell ref="C66:G66"/>
    <mergeCell ref="C100:G100"/>
    <mergeCell ref="C105:G105"/>
    <mergeCell ref="C103:G103"/>
    <mergeCell ref="C101:G101"/>
    <mergeCell ref="C106:G106"/>
    <mergeCell ref="C52:G52"/>
    <mergeCell ref="C60:G60"/>
    <mergeCell ref="C58:G58"/>
    <mergeCell ref="C55:G55"/>
    <mergeCell ref="C54:G54"/>
    <mergeCell ref="C111:G111"/>
    <mergeCell ref="C70:G70"/>
    <mergeCell ref="C68:G68"/>
    <mergeCell ref="C65:G65"/>
    <mergeCell ref="C96:G96"/>
    <mergeCell ref="C94:G94"/>
    <mergeCell ref="C81:G81"/>
    <mergeCell ref="C53:G53"/>
    <mergeCell ref="C93:G93"/>
    <mergeCell ref="A70:B72"/>
    <mergeCell ref="A73:B82"/>
    <mergeCell ref="A94:B99"/>
    <mergeCell ref="A100:B103"/>
    <mergeCell ref="A104:B109"/>
    <mergeCell ref="F149:F153"/>
    <mergeCell ref="G149:G153"/>
    <mergeCell ref="C130:C134"/>
    <mergeCell ref="D130:D134"/>
    <mergeCell ref="F130:F134"/>
    <mergeCell ref="G130:G134"/>
    <mergeCell ref="C144:C148"/>
    <mergeCell ref="D144:D148"/>
    <mergeCell ref="B130:B134"/>
    <mergeCell ref="B144:B148"/>
    <mergeCell ref="D149:D153"/>
    <mergeCell ref="A110:B113"/>
    <mergeCell ref="C72:G72"/>
    <mergeCell ref="C79:G79"/>
    <mergeCell ref="C76:G76"/>
    <mergeCell ref="C73:G73"/>
    <mergeCell ref="A93:B93"/>
    <mergeCell ref="A39:B39"/>
    <mergeCell ref="C45:G45"/>
    <mergeCell ref="C51:G51"/>
    <mergeCell ref="C62:G62"/>
    <mergeCell ref="C56:G56"/>
    <mergeCell ref="C67:G67"/>
    <mergeCell ref="C78:G78"/>
    <mergeCell ref="C74:G74"/>
    <mergeCell ref="C99:G99"/>
    <mergeCell ref="C64:G64"/>
    <mergeCell ref="C97:G97"/>
    <mergeCell ref="C95:G95"/>
    <mergeCell ref="C80:G80"/>
    <mergeCell ref="C77:G77"/>
    <mergeCell ref="C75:G75"/>
    <mergeCell ref="C49:G49"/>
    <mergeCell ref="C47:G47"/>
    <mergeCell ref="C44:G44"/>
    <mergeCell ref="C42:G42"/>
    <mergeCell ref="C40:G40"/>
    <mergeCell ref="C50:G50"/>
    <mergeCell ref="C48:G48"/>
    <mergeCell ref="C46:G46"/>
    <mergeCell ref="C43:G43"/>
    <mergeCell ref="C41:G41"/>
    <mergeCell ref="C61:G61"/>
    <mergeCell ref="C59:G59"/>
    <mergeCell ref="C57:G57"/>
    <mergeCell ref="A51:B54"/>
    <mergeCell ref="A55:B59"/>
    <mergeCell ref="A60:B63"/>
    <mergeCell ref="A64:B69"/>
    <mergeCell ref="F176:F178"/>
    <mergeCell ref="G176:G178"/>
    <mergeCell ref="C171:C175"/>
    <mergeCell ref="D171:D175"/>
    <mergeCell ref="C98:G98"/>
    <mergeCell ref="C108:G108"/>
    <mergeCell ref="C110:G110"/>
    <mergeCell ref="C112:G112"/>
    <mergeCell ref="C104:G104"/>
    <mergeCell ref="F161:F165"/>
    <mergeCell ref="G161:G165"/>
    <mergeCell ref="C166:C170"/>
    <mergeCell ref="D166:D170"/>
    <mergeCell ref="F166:F170"/>
    <mergeCell ref="G166:G170"/>
    <mergeCell ref="C161:C165"/>
    <mergeCell ref="D161:D165"/>
    <mergeCell ref="F154:F158"/>
    <mergeCell ref="G154:G158"/>
    <mergeCell ref="C159:C160"/>
    <mergeCell ref="D159:D160"/>
    <mergeCell ref="F159:F160"/>
    <mergeCell ref="G159:G160"/>
    <mergeCell ref="C154:C158"/>
    <mergeCell ref="D154:D158"/>
    <mergeCell ref="F144:F148"/>
    <mergeCell ref="G144:G148"/>
    <mergeCell ref="C149:C153"/>
    <mergeCell ref="F207:F208"/>
    <mergeCell ref="G207:G208"/>
    <mergeCell ref="G188:G191"/>
    <mergeCell ref="C202:C206"/>
    <mergeCell ref="F202:F206"/>
    <mergeCell ref="G202:G206"/>
    <mergeCell ref="C188:C191"/>
    <mergeCell ref="D188:D191"/>
    <mergeCell ref="F188:F191"/>
    <mergeCell ref="G180:G183"/>
    <mergeCell ref="C184:C187"/>
    <mergeCell ref="D184:D187"/>
    <mergeCell ref="F184:F187"/>
    <mergeCell ref="G184:G187"/>
    <mergeCell ref="C180:C183"/>
    <mergeCell ref="D180:D183"/>
    <mergeCell ref="F180:F183"/>
    <mergeCell ref="F223:F225"/>
    <mergeCell ref="G223:G225"/>
    <mergeCell ref="C218:C219"/>
    <mergeCell ref="D218:D219"/>
    <mergeCell ref="F218:F219"/>
    <mergeCell ref="G218:G219"/>
    <mergeCell ref="C215:C216"/>
    <mergeCell ref="D215:D216"/>
    <mergeCell ref="F215:F216"/>
    <mergeCell ref="G215:G216"/>
    <mergeCell ref="C213:C214"/>
    <mergeCell ref="D213:D214"/>
    <mergeCell ref="F213:F214"/>
    <mergeCell ref="G213:G214"/>
    <mergeCell ref="C210:C212"/>
    <mergeCell ref="F210:F212"/>
    <mergeCell ref="G210:G212"/>
    <mergeCell ref="F258:F259"/>
    <mergeCell ref="G258:G259"/>
    <mergeCell ref="C254:C255"/>
    <mergeCell ref="F254:F255"/>
    <mergeCell ref="G254:G255"/>
    <mergeCell ref="C249:C250"/>
    <mergeCell ref="D249:D250"/>
    <mergeCell ref="F249:F250"/>
    <mergeCell ref="G249:G250"/>
    <mergeCell ref="C243:C247"/>
    <mergeCell ref="F243:F247"/>
    <mergeCell ref="G243:G247"/>
    <mergeCell ref="C241:C242"/>
    <mergeCell ref="D241:D242"/>
    <mergeCell ref="F241:F242"/>
    <mergeCell ref="G241:G242"/>
    <mergeCell ref="C229:C230"/>
    <mergeCell ref="D229:D230"/>
    <mergeCell ref="F229:F230"/>
    <mergeCell ref="G229:G230"/>
    <mergeCell ref="F271:F272"/>
    <mergeCell ref="G271:G272"/>
    <mergeCell ref="C273:C280"/>
    <mergeCell ref="D273:D280"/>
    <mergeCell ref="F273:F280"/>
    <mergeCell ref="G273:G280"/>
    <mergeCell ref="C266:C268"/>
    <mergeCell ref="D266:D268"/>
    <mergeCell ref="F266:F268"/>
    <mergeCell ref="G266:G268"/>
    <mergeCell ref="C269:C270"/>
    <mergeCell ref="D269:D270"/>
    <mergeCell ref="F269:F270"/>
    <mergeCell ref="G269:G270"/>
    <mergeCell ref="C261:C262"/>
    <mergeCell ref="D261:D262"/>
    <mergeCell ref="F261:F262"/>
    <mergeCell ref="G261:G262"/>
    <mergeCell ref="C263:C265"/>
    <mergeCell ref="D263:D265"/>
    <mergeCell ref="F263:F265"/>
    <mergeCell ref="G263:G265"/>
    <mergeCell ref="F304:F308"/>
    <mergeCell ref="G304:G308"/>
    <mergeCell ref="C309:C310"/>
    <mergeCell ref="D309:D310"/>
    <mergeCell ref="F309:F310"/>
    <mergeCell ref="G309:G310"/>
    <mergeCell ref="C300:C303"/>
    <mergeCell ref="D300:D303"/>
    <mergeCell ref="F300:F303"/>
    <mergeCell ref="G300:G303"/>
    <mergeCell ref="C285:C288"/>
    <mergeCell ref="D285:D288"/>
    <mergeCell ref="F285:F288"/>
    <mergeCell ref="G285:G288"/>
    <mergeCell ref="C281:C282"/>
    <mergeCell ref="D281:D282"/>
    <mergeCell ref="F281:F282"/>
    <mergeCell ref="G281:G282"/>
    <mergeCell ref="C283:C284"/>
    <mergeCell ref="D283:D284"/>
    <mergeCell ref="F283:F284"/>
    <mergeCell ref="G283:G284"/>
    <mergeCell ref="C329:C332"/>
    <mergeCell ref="D329:D332"/>
    <mergeCell ref="F329:F332"/>
    <mergeCell ref="G329:G332"/>
    <mergeCell ref="C322:C324"/>
    <mergeCell ref="D322:D324"/>
    <mergeCell ref="F322:F324"/>
    <mergeCell ref="G322:G324"/>
    <mergeCell ref="C325:C328"/>
    <mergeCell ref="D325:D328"/>
    <mergeCell ref="F325:F328"/>
    <mergeCell ref="G325:G328"/>
    <mergeCell ref="C317:C321"/>
    <mergeCell ref="D317:D321"/>
    <mergeCell ref="F317:F321"/>
    <mergeCell ref="G317:G321"/>
    <mergeCell ref="C311:C314"/>
    <mergeCell ref="D311:D314"/>
    <mergeCell ref="F311:F314"/>
    <mergeCell ref="G311:G314"/>
    <mergeCell ref="D315:D316"/>
    <mergeCell ref="F315:F316"/>
    <mergeCell ref="G315:G316"/>
    <mergeCell ref="C344:C346"/>
    <mergeCell ref="D344:D346"/>
    <mergeCell ref="F344:F346"/>
    <mergeCell ref="G344:G346"/>
    <mergeCell ref="C347:C348"/>
    <mergeCell ref="D347:D348"/>
    <mergeCell ref="F347:F348"/>
    <mergeCell ref="G347:G348"/>
    <mergeCell ref="C338:C340"/>
    <mergeCell ref="D338:D340"/>
    <mergeCell ref="F338:F340"/>
    <mergeCell ref="G338:G340"/>
    <mergeCell ref="C341:C343"/>
    <mergeCell ref="D341:D343"/>
    <mergeCell ref="F341:F343"/>
    <mergeCell ref="G341:G343"/>
    <mergeCell ref="D333:D334"/>
    <mergeCell ref="F333:F334"/>
    <mergeCell ref="G333:G334"/>
    <mergeCell ref="C335:C337"/>
    <mergeCell ref="D335:D337"/>
    <mergeCell ref="F335:F337"/>
    <mergeCell ref="G335:G337"/>
    <mergeCell ref="E374:E375"/>
    <mergeCell ref="C368:C371"/>
    <mergeCell ref="D368:D371"/>
    <mergeCell ref="F368:F371"/>
    <mergeCell ref="G368:G371"/>
    <mergeCell ref="C372:C373"/>
    <mergeCell ref="D372:D373"/>
    <mergeCell ref="F372:F373"/>
    <mergeCell ref="G372:G373"/>
    <mergeCell ref="C365:C367"/>
    <mergeCell ref="D365:D367"/>
    <mergeCell ref="F365:F367"/>
    <mergeCell ref="G365:G367"/>
    <mergeCell ref="B366:B367"/>
    <mergeCell ref="C349:C351"/>
    <mergeCell ref="D349:D351"/>
    <mergeCell ref="F349:F351"/>
    <mergeCell ref="G349:G351"/>
    <mergeCell ref="C352:C355"/>
    <mergeCell ref="D352:D355"/>
    <mergeCell ref="F352:F355"/>
    <mergeCell ref="G352:G355"/>
    <mergeCell ref="C394:C395"/>
    <mergeCell ref="D394:D395"/>
    <mergeCell ref="F394:F395"/>
    <mergeCell ref="G394:G395"/>
    <mergeCell ref="C387:C390"/>
    <mergeCell ref="D387:D390"/>
    <mergeCell ref="F387:F390"/>
    <mergeCell ref="G387:G390"/>
    <mergeCell ref="C379:C381"/>
    <mergeCell ref="D379:D381"/>
    <mergeCell ref="F379:F381"/>
    <mergeCell ref="G379:G381"/>
    <mergeCell ref="C382:C386"/>
    <mergeCell ref="D382:D386"/>
    <mergeCell ref="F382:F386"/>
    <mergeCell ref="G382:G386"/>
    <mergeCell ref="C376:C378"/>
    <mergeCell ref="D376:D378"/>
    <mergeCell ref="F376:F378"/>
    <mergeCell ref="G376:G378"/>
    <mergeCell ref="C407:C409"/>
    <mergeCell ref="D407:D409"/>
    <mergeCell ref="F407:F409"/>
    <mergeCell ref="G407:G409"/>
    <mergeCell ref="G405:G406"/>
    <mergeCell ref="C402:C403"/>
    <mergeCell ref="D402:D403"/>
    <mergeCell ref="F402:F403"/>
    <mergeCell ref="G402:G403"/>
    <mergeCell ref="B402:B403"/>
    <mergeCell ref="C396:C399"/>
    <mergeCell ref="D396:D399"/>
    <mergeCell ref="F396:F399"/>
    <mergeCell ref="G396:G399"/>
    <mergeCell ref="C400:C401"/>
    <mergeCell ref="D400:D401"/>
    <mergeCell ref="F400:F401"/>
    <mergeCell ref="G400:G401"/>
    <mergeCell ref="C442:C443"/>
    <mergeCell ref="D442:D443"/>
    <mergeCell ref="F442:F443"/>
    <mergeCell ref="G442:G443"/>
    <mergeCell ref="C440:C441"/>
    <mergeCell ref="D440:D441"/>
    <mergeCell ref="F440:F441"/>
    <mergeCell ref="G440:G441"/>
    <mergeCell ref="C434:C435"/>
    <mergeCell ref="D434:D435"/>
    <mergeCell ref="F434:F435"/>
    <mergeCell ref="G434:G435"/>
    <mergeCell ref="C436:C437"/>
    <mergeCell ref="D436:D437"/>
    <mergeCell ref="F436:F437"/>
    <mergeCell ref="G436:G437"/>
    <mergeCell ref="C432:C433"/>
    <mergeCell ref="D432:D433"/>
    <mergeCell ref="F432:F433"/>
    <mergeCell ref="G432:G433"/>
    <mergeCell ref="C455:C456"/>
    <mergeCell ref="D455:D456"/>
    <mergeCell ref="F455:F456"/>
    <mergeCell ref="G455:G456"/>
    <mergeCell ref="C450:C451"/>
    <mergeCell ref="D450:D451"/>
    <mergeCell ref="F450:F451"/>
    <mergeCell ref="G450:G451"/>
    <mergeCell ref="C452:C453"/>
    <mergeCell ref="D452:D453"/>
    <mergeCell ref="F452:F453"/>
    <mergeCell ref="G452:G453"/>
    <mergeCell ref="C448:C449"/>
    <mergeCell ref="D448:D449"/>
    <mergeCell ref="F448:F449"/>
    <mergeCell ref="G448:G449"/>
    <mergeCell ref="C444:C445"/>
    <mergeCell ref="D444:D445"/>
    <mergeCell ref="F444:F445"/>
    <mergeCell ref="G444:G445"/>
    <mergeCell ref="C446:C447"/>
    <mergeCell ref="D446:D447"/>
    <mergeCell ref="F446:F447"/>
    <mergeCell ref="G446:G447"/>
    <mergeCell ref="C516:C517"/>
    <mergeCell ref="D516:D517"/>
    <mergeCell ref="F516:F517"/>
    <mergeCell ref="G516:G517"/>
    <mergeCell ref="C512:C513"/>
    <mergeCell ref="D512:D513"/>
    <mergeCell ref="F512:F513"/>
    <mergeCell ref="G512:G513"/>
    <mergeCell ref="C509:C510"/>
    <mergeCell ref="D509:D510"/>
    <mergeCell ref="F509:F510"/>
    <mergeCell ref="G509:G510"/>
    <mergeCell ref="C503:C504"/>
    <mergeCell ref="D503:D504"/>
    <mergeCell ref="F503:F504"/>
    <mergeCell ref="G503:G504"/>
    <mergeCell ref="B477:B478"/>
    <mergeCell ref="C477:C479"/>
    <mergeCell ref="D477:D479"/>
    <mergeCell ref="F477:F479"/>
    <mergeCell ref="G477:G479"/>
    <mergeCell ref="C533:C534"/>
    <mergeCell ref="D533:D534"/>
    <mergeCell ref="F533:F534"/>
    <mergeCell ref="G533:G534"/>
    <mergeCell ref="C535:C536"/>
    <mergeCell ref="D535:D536"/>
    <mergeCell ref="F535:F536"/>
    <mergeCell ref="G535:G536"/>
    <mergeCell ref="C518:C519"/>
    <mergeCell ref="D518:D519"/>
    <mergeCell ref="F518:F519"/>
    <mergeCell ref="G518:G519"/>
    <mergeCell ref="C520:C521"/>
    <mergeCell ref="D520:D521"/>
    <mergeCell ref="F520:F521"/>
    <mergeCell ref="G520:G521"/>
    <mergeCell ref="D581:D583"/>
    <mergeCell ref="C554:C555"/>
    <mergeCell ref="D554:D555"/>
    <mergeCell ref="F554:F555"/>
    <mergeCell ref="G554:G555"/>
    <mergeCell ref="C545:C546"/>
    <mergeCell ref="D545:D546"/>
    <mergeCell ref="F545:F546"/>
    <mergeCell ref="G545:G546"/>
    <mergeCell ref="C543:C544"/>
    <mergeCell ref="D543:D544"/>
    <mergeCell ref="F543:F544"/>
    <mergeCell ref="G543:G544"/>
    <mergeCell ref="C600:C601"/>
    <mergeCell ref="D600:D601"/>
    <mergeCell ref="F600:F601"/>
    <mergeCell ref="G600:G601"/>
    <mergeCell ref="C602:C603"/>
    <mergeCell ref="D602:D603"/>
    <mergeCell ref="F602:F603"/>
    <mergeCell ref="G602:G603"/>
    <mergeCell ref="C593:C594"/>
    <mergeCell ref="D593:D594"/>
    <mergeCell ref="F593:F594"/>
    <mergeCell ref="G593:G594"/>
    <mergeCell ref="C595:C596"/>
    <mergeCell ref="D595:D596"/>
    <mergeCell ref="F595:F596"/>
    <mergeCell ref="G595:G596"/>
    <mergeCell ref="C591:C592"/>
    <mergeCell ref="D591:D592"/>
    <mergeCell ref="F591:F592"/>
    <mergeCell ref="G591:G592"/>
    <mergeCell ref="C628:C629"/>
    <mergeCell ref="D628:D629"/>
    <mergeCell ref="F628:F629"/>
    <mergeCell ref="G628:G629"/>
    <mergeCell ref="C630:C631"/>
    <mergeCell ref="D630:D631"/>
    <mergeCell ref="F630:F631"/>
    <mergeCell ref="G630:G631"/>
    <mergeCell ref="C624:C625"/>
    <mergeCell ref="D624:D625"/>
    <mergeCell ref="F624:F625"/>
    <mergeCell ref="G624:G625"/>
    <mergeCell ref="C626:C627"/>
    <mergeCell ref="D626:D627"/>
    <mergeCell ref="F626:F627"/>
    <mergeCell ref="G626:G627"/>
    <mergeCell ref="C620:C621"/>
    <mergeCell ref="D620:D621"/>
    <mergeCell ref="F620:F621"/>
    <mergeCell ref="G620:G621"/>
    <mergeCell ref="C622:C623"/>
    <mergeCell ref="D622:D623"/>
    <mergeCell ref="F622:F623"/>
    <mergeCell ref="G622:G623"/>
    <mergeCell ref="C640:C641"/>
    <mergeCell ref="D640:D641"/>
    <mergeCell ref="F640:F641"/>
    <mergeCell ref="G640:G641"/>
    <mergeCell ref="C642:C643"/>
    <mergeCell ref="D642:D643"/>
    <mergeCell ref="F642:F643"/>
    <mergeCell ref="G642:G643"/>
    <mergeCell ref="C638:C639"/>
    <mergeCell ref="D638:D639"/>
    <mergeCell ref="F638:F639"/>
    <mergeCell ref="G638:G639"/>
    <mergeCell ref="C636:C637"/>
    <mergeCell ref="D636:D637"/>
    <mergeCell ref="F636:F637"/>
    <mergeCell ref="G636:G637"/>
    <mergeCell ref="C632:C633"/>
    <mergeCell ref="D632:D633"/>
    <mergeCell ref="F632:F633"/>
    <mergeCell ref="G632:G633"/>
    <mergeCell ref="C634:C635"/>
    <mergeCell ref="D634:D635"/>
    <mergeCell ref="F634:F635"/>
    <mergeCell ref="G634:G635"/>
    <mergeCell ref="C652:C653"/>
    <mergeCell ref="D652:D653"/>
    <mergeCell ref="F652:F653"/>
    <mergeCell ref="G652:G653"/>
    <mergeCell ref="C654:C655"/>
    <mergeCell ref="D654:D655"/>
    <mergeCell ref="F654:F655"/>
    <mergeCell ref="G654:G655"/>
    <mergeCell ref="C648:C649"/>
    <mergeCell ref="D648:D649"/>
    <mergeCell ref="F648:F649"/>
    <mergeCell ref="G648:G649"/>
    <mergeCell ref="C650:C651"/>
    <mergeCell ref="D650:D651"/>
    <mergeCell ref="F650:F651"/>
    <mergeCell ref="G650:G651"/>
    <mergeCell ref="C644:C645"/>
    <mergeCell ref="D644:D645"/>
    <mergeCell ref="F644:F645"/>
    <mergeCell ref="G644:G645"/>
    <mergeCell ref="C646:C647"/>
    <mergeCell ref="D646:D647"/>
    <mergeCell ref="F646:F647"/>
    <mergeCell ref="G646:G647"/>
    <mergeCell ref="C671:C672"/>
    <mergeCell ref="D671:D672"/>
    <mergeCell ref="C667:C668"/>
    <mergeCell ref="D667:D668"/>
    <mergeCell ref="F667:F668"/>
    <mergeCell ref="G667:G668"/>
    <mergeCell ref="C669:C670"/>
    <mergeCell ref="D669:D670"/>
    <mergeCell ref="F669:F670"/>
    <mergeCell ref="G669:G670"/>
    <mergeCell ref="C656:C657"/>
    <mergeCell ref="D656:D657"/>
    <mergeCell ref="F656:F657"/>
    <mergeCell ref="G656:G657"/>
    <mergeCell ref="C681:C682"/>
    <mergeCell ref="D681:D682"/>
    <mergeCell ref="F681:F682"/>
    <mergeCell ref="G681:G682"/>
    <mergeCell ref="C683:C684"/>
    <mergeCell ref="D683:D684"/>
    <mergeCell ref="F683:F684"/>
    <mergeCell ref="G683:G684"/>
    <mergeCell ref="C677:C678"/>
    <mergeCell ref="D677:D678"/>
    <mergeCell ref="F677:F678"/>
    <mergeCell ref="G677:G678"/>
    <mergeCell ref="C679:C680"/>
    <mergeCell ref="D679:D680"/>
    <mergeCell ref="F679:F680"/>
    <mergeCell ref="G679:G680"/>
    <mergeCell ref="C673:C674"/>
    <mergeCell ref="D673:D674"/>
    <mergeCell ref="F673:F674"/>
    <mergeCell ref="G673:G674"/>
    <mergeCell ref="C675:C676"/>
    <mergeCell ref="D675:D676"/>
    <mergeCell ref="F675:F676"/>
    <mergeCell ref="G675:G676"/>
    <mergeCell ref="C691:C692"/>
    <mergeCell ref="D691:D692"/>
    <mergeCell ref="F691:F692"/>
    <mergeCell ref="G691:G692"/>
    <mergeCell ref="C689:C690"/>
    <mergeCell ref="D689:D690"/>
    <mergeCell ref="F689:F690"/>
    <mergeCell ref="G689:G690"/>
    <mergeCell ref="C685:C686"/>
    <mergeCell ref="D685:D686"/>
    <mergeCell ref="F685:F686"/>
    <mergeCell ref="G685:G686"/>
    <mergeCell ref="C699:C700"/>
    <mergeCell ref="D699:D700"/>
    <mergeCell ref="F699:F700"/>
    <mergeCell ref="G699:G700"/>
    <mergeCell ref="C693:C694"/>
    <mergeCell ref="D693:D694"/>
    <mergeCell ref="F693:F694"/>
    <mergeCell ref="G693:G694"/>
    <mergeCell ref="C695:C696"/>
    <mergeCell ref="D695:D696"/>
    <mergeCell ref="F695:F696"/>
    <mergeCell ref="G695:G696"/>
    <mergeCell ref="C687:C688"/>
    <mergeCell ref="D687:D688"/>
    <mergeCell ref="F687:F688"/>
    <mergeCell ref="G687:G688"/>
    <mergeCell ref="C705:C706"/>
    <mergeCell ref="D705:D706"/>
    <mergeCell ref="F705:F706"/>
    <mergeCell ref="G705:G706"/>
    <mergeCell ref="C707:C708"/>
    <mergeCell ref="D707:D708"/>
    <mergeCell ref="F707:F708"/>
    <mergeCell ref="G707:G708"/>
    <mergeCell ref="C701:C702"/>
    <mergeCell ref="D701:D702"/>
    <mergeCell ref="F701:F702"/>
    <mergeCell ref="G701:G702"/>
    <mergeCell ref="C703:C704"/>
    <mergeCell ref="D703:D704"/>
    <mergeCell ref="F703:F704"/>
    <mergeCell ref="G703:G704"/>
    <mergeCell ref="C697:C698"/>
    <mergeCell ref="D697:D698"/>
    <mergeCell ref="F697:F698"/>
    <mergeCell ref="G697:G698"/>
    <mergeCell ref="C725:C726"/>
    <mergeCell ref="D725:D726"/>
    <mergeCell ref="F725:F726"/>
    <mergeCell ref="G725:G726"/>
    <mergeCell ref="C721:C722"/>
    <mergeCell ref="D721:D722"/>
    <mergeCell ref="F721:F722"/>
    <mergeCell ref="G721:G722"/>
    <mergeCell ref="C723:C724"/>
    <mergeCell ref="D723:D724"/>
    <mergeCell ref="F723:F724"/>
    <mergeCell ref="G723:G724"/>
    <mergeCell ref="C709:C710"/>
    <mergeCell ref="D709:D710"/>
    <mergeCell ref="F709:F710"/>
    <mergeCell ref="G709:G710"/>
    <mergeCell ref="C711:C712"/>
    <mergeCell ref="D711:D712"/>
    <mergeCell ref="F711:F712"/>
    <mergeCell ref="G711:G712"/>
    <mergeCell ref="C733:C734"/>
    <mergeCell ref="D733:D734"/>
    <mergeCell ref="F733:F734"/>
    <mergeCell ref="G733:G734"/>
    <mergeCell ref="C735:C736"/>
    <mergeCell ref="D735:D736"/>
    <mergeCell ref="F735:F736"/>
    <mergeCell ref="G735:G736"/>
    <mergeCell ref="C729:C730"/>
    <mergeCell ref="D729:D730"/>
    <mergeCell ref="F729:F730"/>
    <mergeCell ref="G729:G730"/>
    <mergeCell ref="C731:C732"/>
    <mergeCell ref="D731:D732"/>
    <mergeCell ref="F731:F732"/>
    <mergeCell ref="G731:G732"/>
    <mergeCell ref="C727:C728"/>
    <mergeCell ref="D727:D728"/>
    <mergeCell ref="F727:F728"/>
    <mergeCell ref="G727:G728"/>
    <mergeCell ref="C746:C747"/>
    <mergeCell ref="D746:D747"/>
    <mergeCell ref="F746:F747"/>
    <mergeCell ref="G746:G747"/>
    <mergeCell ref="C741:C742"/>
    <mergeCell ref="D741:D742"/>
    <mergeCell ref="F741:F742"/>
    <mergeCell ref="G741:G742"/>
    <mergeCell ref="C743:C744"/>
    <mergeCell ref="D743:D744"/>
    <mergeCell ref="F743:F744"/>
    <mergeCell ref="G743:G744"/>
    <mergeCell ref="C737:C738"/>
    <mergeCell ref="D737:D738"/>
    <mergeCell ref="F737:F738"/>
    <mergeCell ref="G737:G738"/>
    <mergeCell ref="C739:C740"/>
    <mergeCell ref="D739:D740"/>
    <mergeCell ref="F739:F740"/>
    <mergeCell ref="G739:G740"/>
    <mergeCell ref="C761:C762"/>
    <mergeCell ref="D761:D762"/>
    <mergeCell ref="F761:F762"/>
    <mergeCell ref="G761:G762"/>
    <mergeCell ref="C755:C756"/>
    <mergeCell ref="D755:D756"/>
    <mergeCell ref="F755:F756"/>
    <mergeCell ref="G755:G756"/>
    <mergeCell ref="C752:C753"/>
    <mergeCell ref="D752:D753"/>
    <mergeCell ref="F752:F753"/>
    <mergeCell ref="G752:G753"/>
    <mergeCell ref="C748:C749"/>
    <mergeCell ref="D748:D749"/>
    <mergeCell ref="F748:F749"/>
    <mergeCell ref="G748:G749"/>
    <mergeCell ref="C763:C764"/>
    <mergeCell ref="D763:D764"/>
    <mergeCell ref="F763:F764"/>
    <mergeCell ref="G763:G764"/>
    <mergeCell ref="C757:C758"/>
    <mergeCell ref="D757:D758"/>
    <mergeCell ref="F757:F758"/>
    <mergeCell ref="G757:G758"/>
    <mergeCell ref="C759:C760"/>
    <mergeCell ref="D759:D760"/>
    <mergeCell ref="F759:F760"/>
    <mergeCell ref="G759:G760"/>
    <mergeCell ref="C750:C751"/>
    <mergeCell ref="D750:D751"/>
    <mergeCell ref="F750:F751"/>
    <mergeCell ref="G750:G751"/>
    <mergeCell ref="C780:C781"/>
    <mergeCell ref="D780:D781"/>
    <mergeCell ref="F780:F781"/>
    <mergeCell ref="G780:G781"/>
    <mergeCell ref="C782:C783"/>
    <mergeCell ref="D782:D783"/>
    <mergeCell ref="F782:F783"/>
    <mergeCell ref="G782:G783"/>
    <mergeCell ref="C769:C770"/>
    <mergeCell ref="D769:D770"/>
    <mergeCell ref="F769:F770"/>
    <mergeCell ref="G769:G770"/>
    <mergeCell ref="C778:C779"/>
    <mergeCell ref="D778:D779"/>
    <mergeCell ref="F778:F779"/>
    <mergeCell ref="G778:G779"/>
    <mergeCell ref="C765:C766"/>
    <mergeCell ref="D765:D766"/>
    <mergeCell ref="F765:F766"/>
    <mergeCell ref="G765:G766"/>
    <mergeCell ref="C767:C768"/>
    <mergeCell ref="D767:D768"/>
    <mergeCell ref="F767:F768"/>
    <mergeCell ref="G767:G768"/>
    <mergeCell ref="C792:C793"/>
    <mergeCell ref="D792:D793"/>
    <mergeCell ref="F792:F793"/>
    <mergeCell ref="G792:G793"/>
    <mergeCell ref="C788:C789"/>
    <mergeCell ref="D788:D789"/>
    <mergeCell ref="F788:F789"/>
    <mergeCell ref="G788:G789"/>
    <mergeCell ref="C790:C791"/>
    <mergeCell ref="D790:D791"/>
    <mergeCell ref="F790:F791"/>
    <mergeCell ref="G790:G791"/>
    <mergeCell ref="C784:C785"/>
    <mergeCell ref="D784:D785"/>
    <mergeCell ref="F784:F785"/>
    <mergeCell ref="G784:G785"/>
    <mergeCell ref="C786:C787"/>
    <mergeCell ref="D786:D787"/>
    <mergeCell ref="F786:F787"/>
    <mergeCell ref="G786:G787"/>
    <mergeCell ref="C802:C804"/>
    <mergeCell ref="F802:F804"/>
    <mergeCell ref="G802:G804"/>
    <mergeCell ref="C800:C801"/>
    <mergeCell ref="D800:D801"/>
    <mergeCell ref="F800:F801"/>
    <mergeCell ref="G800:G801"/>
    <mergeCell ref="C798:C799"/>
    <mergeCell ref="D798:D799"/>
    <mergeCell ref="F798:F799"/>
    <mergeCell ref="G798:G799"/>
    <mergeCell ref="E802:E803"/>
    <mergeCell ref="C794:C795"/>
    <mergeCell ref="D794:D795"/>
    <mergeCell ref="F794:F795"/>
    <mergeCell ref="G794:G795"/>
    <mergeCell ref="C796:C797"/>
    <mergeCell ref="D796:D797"/>
    <mergeCell ref="F796:F797"/>
    <mergeCell ref="G796:G797"/>
    <mergeCell ref="F816:F817"/>
    <mergeCell ref="G816:G817"/>
    <mergeCell ref="C813:C815"/>
    <mergeCell ref="D813:D815"/>
    <mergeCell ref="F813:F815"/>
    <mergeCell ref="G813:G815"/>
    <mergeCell ref="C811:C812"/>
    <mergeCell ref="D811:D812"/>
    <mergeCell ref="F811:F812"/>
    <mergeCell ref="G811:G812"/>
    <mergeCell ref="C805:C808"/>
    <mergeCell ref="F805:F808"/>
    <mergeCell ref="G805:G808"/>
    <mergeCell ref="C809:C810"/>
    <mergeCell ref="D809:D810"/>
    <mergeCell ref="F809:F810"/>
    <mergeCell ref="G809:G810"/>
    <mergeCell ref="F838:F840"/>
    <mergeCell ref="G838:G840"/>
    <mergeCell ref="C835:C837"/>
    <mergeCell ref="D835:D837"/>
    <mergeCell ref="F835:F837"/>
    <mergeCell ref="G835:G837"/>
    <mergeCell ref="C832:C834"/>
    <mergeCell ref="F832:F834"/>
    <mergeCell ref="G832:G834"/>
    <mergeCell ref="C830:C831"/>
    <mergeCell ref="D830:D831"/>
    <mergeCell ref="F830:F831"/>
    <mergeCell ref="G830:G831"/>
    <mergeCell ref="F852:F854"/>
    <mergeCell ref="G852:G854"/>
    <mergeCell ref="C849:C851"/>
    <mergeCell ref="D849:D851"/>
    <mergeCell ref="F849:F851"/>
    <mergeCell ref="G849:G851"/>
    <mergeCell ref="C847:C848"/>
    <mergeCell ref="D847:D848"/>
    <mergeCell ref="F847:F848"/>
    <mergeCell ref="G847:G848"/>
    <mergeCell ref="C843:C845"/>
    <mergeCell ref="D843:D845"/>
    <mergeCell ref="F843:F845"/>
    <mergeCell ref="G843:G845"/>
    <mergeCell ref="C841:C842"/>
    <mergeCell ref="D841:D842"/>
    <mergeCell ref="F841:F842"/>
    <mergeCell ref="G841:G842"/>
    <mergeCell ref="F867:F869"/>
    <mergeCell ref="G867:G869"/>
    <mergeCell ref="C864:C866"/>
    <mergeCell ref="D864:D866"/>
    <mergeCell ref="F864:F866"/>
    <mergeCell ref="G864:G866"/>
    <mergeCell ref="C862:C863"/>
    <mergeCell ref="D862:D863"/>
    <mergeCell ref="F862:F863"/>
    <mergeCell ref="G862:G863"/>
    <mergeCell ref="C859:C861"/>
    <mergeCell ref="D859:D861"/>
    <mergeCell ref="F859:F861"/>
    <mergeCell ref="G859:G861"/>
    <mergeCell ref="C855:C856"/>
    <mergeCell ref="D855:D856"/>
    <mergeCell ref="F855:F856"/>
    <mergeCell ref="G855:G856"/>
    <mergeCell ref="C857:C858"/>
    <mergeCell ref="D857:D858"/>
    <mergeCell ref="F857:F858"/>
    <mergeCell ref="G857:G858"/>
    <mergeCell ref="F887:F888"/>
    <mergeCell ref="G887:G888"/>
    <mergeCell ref="F881:F883"/>
    <mergeCell ref="G881:G883"/>
    <mergeCell ref="C884:C885"/>
    <mergeCell ref="D884:D885"/>
    <mergeCell ref="F884:F885"/>
    <mergeCell ref="G884:G885"/>
    <mergeCell ref="C881:C883"/>
    <mergeCell ref="D881:D883"/>
    <mergeCell ref="C871:C872"/>
    <mergeCell ref="D871:D872"/>
    <mergeCell ref="F871:F872"/>
    <mergeCell ref="G871:G872"/>
    <mergeCell ref="F898:F899"/>
    <mergeCell ref="G898:G899"/>
    <mergeCell ref="C895:C897"/>
    <mergeCell ref="D895:D897"/>
    <mergeCell ref="F895:F897"/>
    <mergeCell ref="G895:G897"/>
    <mergeCell ref="C893:C894"/>
    <mergeCell ref="D893:D894"/>
    <mergeCell ref="F893:F894"/>
    <mergeCell ref="G893:G894"/>
    <mergeCell ref="C891:C892"/>
    <mergeCell ref="D891:D892"/>
    <mergeCell ref="F891:F892"/>
    <mergeCell ref="G891:G892"/>
    <mergeCell ref="C889:C890"/>
    <mergeCell ref="F889:F890"/>
    <mergeCell ref="G889:G890"/>
    <mergeCell ref="F909:F911"/>
    <mergeCell ref="G909:G911"/>
    <mergeCell ref="C907:C908"/>
    <mergeCell ref="D907:D908"/>
    <mergeCell ref="F907:F908"/>
    <mergeCell ref="G907:G908"/>
    <mergeCell ref="C905:C906"/>
    <mergeCell ref="D905:D906"/>
    <mergeCell ref="F905:F906"/>
    <mergeCell ref="G905:G906"/>
    <mergeCell ref="C900:C901"/>
    <mergeCell ref="D900:D901"/>
    <mergeCell ref="F900:F901"/>
    <mergeCell ref="G900:G901"/>
    <mergeCell ref="C902:C904"/>
    <mergeCell ref="D902:D904"/>
    <mergeCell ref="F902:F904"/>
    <mergeCell ref="G902:G904"/>
    <mergeCell ref="E926:E927"/>
    <mergeCell ref="C926:C928"/>
    <mergeCell ref="D926:D928"/>
    <mergeCell ref="F926:F928"/>
    <mergeCell ref="G926:G928"/>
    <mergeCell ref="C924:C925"/>
    <mergeCell ref="D924:D925"/>
    <mergeCell ref="F924:F925"/>
    <mergeCell ref="G924:G925"/>
    <mergeCell ref="C912:C913"/>
    <mergeCell ref="D912:D913"/>
    <mergeCell ref="F912:F913"/>
    <mergeCell ref="G912:G913"/>
    <mergeCell ref="E929:E930"/>
    <mergeCell ref="E932:E933"/>
    <mergeCell ref="E936:E937"/>
    <mergeCell ref="C934:C935"/>
    <mergeCell ref="D934:D935"/>
    <mergeCell ref="F934:F935"/>
    <mergeCell ref="G934:G935"/>
    <mergeCell ref="C936:C937"/>
    <mergeCell ref="D936:D937"/>
    <mergeCell ref="F936:F937"/>
    <mergeCell ref="G936:G937"/>
    <mergeCell ref="C932:C933"/>
    <mergeCell ref="D932:D933"/>
    <mergeCell ref="F932:F933"/>
    <mergeCell ref="G932:G933"/>
    <mergeCell ref="C929:C931"/>
    <mergeCell ref="D929:D931"/>
    <mergeCell ref="F929:F931"/>
    <mergeCell ref="G929:G931"/>
    <mergeCell ref="G945:G946"/>
    <mergeCell ref="E938:E939"/>
    <mergeCell ref="C947:C948"/>
    <mergeCell ref="D947:D948"/>
    <mergeCell ref="F947:F948"/>
    <mergeCell ref="G947:G948"/>
    <mergeCell ref="C941:C942"/>
    <mergeCell ref="D941:D942"/>
    <mergeCell ref="F941:F942"/>
    <mergeCell ref="G941:G942"/>
    <mergeCell ref="C943:C944"/>
    <mergeCell ref="F943:F944"/>
    <mergeCell ref="G943:G944"/>
    <mergeCell ref="C938:C939"/>
    <mergeCell ref="D938:D939"/>
    <mergeCell ref="F938:F939"/>
    <mergeCell ref="G938:G939"/>
    <mergeCell ref="C962:C963"/>
    <mergeCell ref="D962:D963"/>
    <mergeCell ref="F962:F963"/>
    <mergeCell ref="G962:G963"/>
    <mergeCell ref="C960:C961"/>
    <mergeCell ref="D960:D961"/>
    <mergeCell ref="F960:F961"/>
    <mergeCell ref="G960:G961"/>
    <mergeCell ref="C955:C956"/>
    <mergeCell ref="D955:D956"/>
    <mergeCell ref="F955:F956"/>
    <mergeCell ref="G955:G956"/>
    <mergeCell ref="C957:C959"/>
    <mergeCell ref="D957:D959"/>
    <mergeCell ref="F957:F959"/>
    <mergeCell ref="G957:G959"/>
    <mergeCell ref="E943:E944"/>
    <mergeCell ref="C951:C952"/>
    <mergeCell ref="D951:D952"/>
    <mergeCell ref="F951:F952"/>
    <mergeCell ref="G951:G952"/>
    <mergeCell ref="C953:C954"/>
    <mergeCell ref="D953:D954"/>
    <mergeCell ref="F953:F954"/>
    <mergeCell ref="G953:G954"/>
    <mergeCell ref="C949:C950"/>
    <mergeCell ref="D949:D950"/>
    <mergeCell ref="F949:F950"/>
    <mergeCell ref="G949:G950"/>
    <mergeCell ref="C945:C946"/>
    <mergeCell ref="D945:D946"/>
    <mergeCell ref="F945:F946"/>
    <mergeCell ref="E974:E975"/>
    <mergeCell ref="C977:C978"/>
    <mergeCell ref="D977:D978"/>
    <mergeCell ref="F977:F978"/>
    <mergeCell ref="G977:G978"/>
    <mergeCell ref="C979:C980"/>
    <mergeCell ref="D979:D980"/>
    <mergeCell ref="F979:F980"/>
    <mergeCell ref="G979:G980"/>
    <mergeCell ref="C972:C973"/>
    <mergeCell ref="D972:D973"/>
    <mergeCell ref="F972:F973"/>
    <mergeCell ref="G972:G973"/>
    <mergeCell ref="C974:C976"/>
    <mergeCell ref="D974:D976"/>
    <mergeCell ref="F974:F976"/>
    <mergeCell ref="G974:G976"/>
    <mergeCell ref="D991:D992"/>
    <mergeCell ref="F991:F992"/>
    <mergeCell ref="G991:G992"/>
    <mergeCell ref="C987:C988"/>
    <mergeCell ref="D987:D988"/>
    <mergeCell ref="F987:F988"/>
    <mergeCell ref="G987:G988"/>
    <mergeCell ref="C985:C986"/>
    <mergeCell ref="D985:D986"/>
    <mergeCell ref="F985:F986"/>
    <mergeCell ref="G985:G986"/>
    <mergeCell ref="C981:C982"/>
    <mergeCell ref="D981:D982"/>
    <mergeCell ref="F981:F982"/>
    <mergeCell ref="G981:G982"/>
    <mergeCell ref="C983:C984"/>
    <mergeCell ref="D983:D984"/>
    <mergeCell ref="F983:F984"/>
    <mergeCell ref="G983:G984"/>
    <mergeCell ref="F1007:F1008"/>
    <mergeCell ref="G1007:G1008"/>
    <mergeCell ref="C1005:C1006"/>
    <mergeCell ref="D1005:D1006"/>
    <mergeCell ref="F1005:F1006"/>
    <mergeCell ref="G1005:G1006"/>
    <mergeCell ref="E1003:E1004"/>
    <mergeCell ref="C1003:C1004"/>
    <mergeCell ref="D1003:D1004"/>
    <mergeCell ref="F1003:F1004"/>
    <mergeCell ref="G1003:G1004"/>
    <mergeCell ref="C1000:C1001"/>
    <mergeCell ref="D1000:D1001"/>
    <mergeCell ref="F1000:F1001"/>
    <mergeCell ref="G1000:G1001"/>
    <mergeCell ref="E987:E988"/>
    <mergeCell ref="E989:E990"/>
    <mergeCell ref="E993:E994"/>
    <mergeCell ref="E997:E998"/>
    <mergeCell ref="C997:C999"/>
    <mergeCell ref="D997:D999"/>
    <mergeCell ref="F997:F999"/>
    <mergeCell ref="G997:G999"/>
    <mergeCell ref="C993:C995"/>
    <mergeCell ref="D993:D995"/>
    <mergeCell ref="F993:F995"/>
    <mergeCell ref="G993:G995"/>
    <mergeCell ref="C989:C990"/>
    <mergeCell ref="D989:D990"/>
    <mergeCell ref="F989:F990"/>
    <mergeCell ref="G989:G990"/>
    <mergeCell ref="C991:C992"/>
    <mergeCell ref="E1032:E1033"/>
    <mergeCell ref="C1035:C1037"/>
    <mergeCell ref="F1035:F1037"/>
    <mergeCell ref="G1035:G1037"/>
    <mergeCell ref="D1032:D1034"/>
    <mergeCell ref="F1032:F1034"/>
    <mergeCell ref="G1032:G1034"/>
    <mergeCell ref="C1030:C1031"/>
    <mergeCell ref="D1030:D1031"/>
    <mergeCell ref="F1030:F1031"/>
    <mergeCell ref="G1030:G1031"/>
    <mergeCell ref="C1028:C1029"/>
    <mergeCell ref="D1028:D1029"/>
    <mergeCell ref="F1028:F1029"/>
    <mergeCell ref="G1028:G1029"/>
    <mergeCell ref="E1005:E1006"/>
    <mergeCell ref="E1007:E1008"/>
    <mergeCell ref="E1019:E1020"/>
    <mergeCell ref="E1022:E1024"/>
    <mergeCell ref="C1022:C1025"/>
    <mergeCell ref="F1022:F1025"/>
    <mergeCell ref="G1022:G1025"/>
    <mergeCell ref="C1026:C1027"/>
    <mergeCell ref="D1026:D1027"/>
    <mergeCell ref="F1026:F1027"/>
    <mergeCell ref="G1026:G1027"/>
    <mergeCell ref="C1019:C1021"/>
    <mergeCell ref="D1019:D1021"/>
    <mergeCell ref="F1019:F1021"/>
    <mergeCell ref="G1019:G1021"/>
    <mergeCell ref="C1007:C1008"/>
    <mergeCell ref="D1007:D1008"/>
    <mergeCell ref="E1035:E1036"/>
    <mergeCell ref="C1042:C1043"/>
    <mergeCell ref="D1042:D1043"/>
    <mergeCell ref="F1042:F1043"/>
    <mergeCell ref="G1042:G1043"/>
    <mergeCell ref="C1044:C1045"/>
    <mergeCell ref="D1044:D1045"/>
    <mergeCell ref="F1044:F1045"/>
    <mergeCell ref="G1044:G1045"/>
    <mergeCell ref="C1038:C1039"/>
    <mergeCell ref="D1038:D1039"/>
    <mergeCell ref="F1038:F1039"/>
    <mergeCell ref="G1038:G1039"/>
    <mergeCell ref="C1040:C1041"/>
    <mergeCell ref="D1040:D1041"/>
    <mergeCell ref="F1040:F1041"/>
    <mergeCell ref="G1040:G1041"/>
    <mergeCell ref="C1055:C1056"/>
    <mergeCell ref="D1055:D1056"/>
    <mergeCell ref="F1055:F1056"/>
    <mergeCell ref="G1055:G1056"/>
    <mergeCell ref="E1050:E1051"/>
    <mergeCell ref="E1052:E1053"/>
    <mergeCell ref="C1050:C1051"/>
    <mergeCell ref="F1050:F1051"/>
    <mergeCell ref="G1050:G1051"/>
    <mergeCell ref="C1052:C1054"/>
    <mergeCell ref="F1052:F1054"/>
    <mergeCell ref="G1052:G1054"/>
    <mergeCell ref="C1046:C1047"/>
    <mergeCell ref="D1046:D1047"/>
    <mergeCell ref="F1046:F1047"/>
    <mergeCell ref="G1046:G1047"/>
    <mergeCell ref="C1048:C1049"/>
    <mergeCell ref="D1048:D1049"/>
    <mergeCell ref="F1048:F1049"/>
    <mergeCell ref="G1048:G1049"/>
    <mergeCell ref="C1061:C1067"/>
    <mergeCell ref="F1061:F1067"/>
    <mergeCell ref="G1061:G1067"/>
    <mergeCell ref="C1074:C1076"/>
    <mergeCell ref="F1074:F1076"/>
    <mergeCell ref="G1074:G1076"/>
    <mergeCell ref="E1062:E1063"/>
    <mergeCell ref="D1065:D1066"/>
    <mergeCell ref="E1074:E1076"/>
    <mergeCell ref="C1057:C1058"/>
    <mergeCell ref="D1057:D1058"/>
    <mergeCell ref="F1057:F1058"/>
    <mergeCell ref="G1057:G1058"/>
    <mergeCell ref="C1059:C1060"/>
    <mergeCell ref="D1059:D1060"/>
    <mergeCell ref="F1059:F1060"/>
    <mergeCell ref="G1059:G1060"/>
    <mergeCell ref="C1090:C1091"/>
    <mergeCell ref="D1090:D1091"/>
    <mergeCell ref="F1090:F1091"/>
    <mergeCell ref="G1090:G1091"/>
    <mergeCell ref="C1092:C1093"/>
    <mergeCell ref="D1092:D1093"/>
    <mergeCell ref="F1092:F1093"/>
    <mergeCell ref="G1092:G1093"/>
    <mergeCell ref="F1080:F1086"/>
    <mergeCell ref="G1080:G1086"/>
    <mergeCell ref="C1087:C1088"/>
    <mergeCell ref="D1087:D1088"/>
    <mergeCell ref="F1087:F1088"/>
    <mergeCell ref="G1087:G1088"/>
    <mergeCell ref="C1077:C1079"/>
    <mergeCell ref="D1077:D1079"/>
    <mergeCell ref="F1077:F1079"/>
    <mergeCell ref="G1077:G1079"/>
    <mergeCell ref="C1104:C1105"/>
    <mergeCell ref="D1104:D1105"/>
    <mergeCell ref="F1104:F1105"/>
    <mergeCell ref="G1104:G1105"/>
    <mergeCell ref="C1100:C1101"/>
    <mergeCell ref="D1100:D1101"/>
    <mergeCell ref="F1100:F1101"/>
    <mergeCell ref="G1100:G1101"/>
    <mergeCell ref="C1098:C1099"/>
    <mergeCell ref="D1098:D1099"/>
    <mergeCell ref="F1098:F1099"/>
    <mergeCell ref="G1098:G1099"/>
    <mergeCell ref="C1094:C1095"/>
    <mergeCell ref="D1094:D1095"/>
    <mergeCell ref="F1094:F1095"/>
    <mergeCell ref="G1094:G1095"/>
    <mergeCell ref="C1096:C1097"/>
    <mergeCell ref="D1096:D1097"/>
    <mergeCell ref="F1096:F1097"/>
    <mergeCell ref="G1096:G1097"/>
    <mergeCell ref="C1116:C1117"/>
    <mergeCell ref="D1116:D1117"/>
    <mergeCell ref="F1116:F1117"/>
    <mergeCell ref="G1116:G1117"/>
    <mergeCell ref="C1114:C1115"/>
    <mergeCell ref="D1114:D1115"/>
    <mergeCell ref="F1114:F1115"/>
    <mergeCell ref="G1114:G1115"/>
    <mergeCell ref="C1111:C1112"/>
    <mergeCell ref="D1111:D1112"/>
    <mergeCell ref="F1111:F1112"/>
    <mergeCell ref="G1111:G1112"/>
    <mergeCell ref="C1106:C1107"/>
    <mergeCell ref="D1106:D1107"/>
    <mergeCell ref="F1106:F1107"/>
    <mergeCell ref="G1106:G1107"/>
    <mergeCell ref="C1108:C1109"/>
    <mergeCell ref="D1108:D1109"/>
    <mergeCell ref="F1108:F1109"/>
    <mergeCell ref="G1108:G1109"/>
    <mergeCell ref="F1137:F1138"/>
    <mergeCell ref="G1137:G1138"/>
    <mergeCell ref="A1146:A1147"/>
    <mergeCell ref="A1148:A1149"/>
    <mergeCell ref="F1143:F1144"/>
    <mergeCell ref="G1143:G1144"/>
    <mergeCell ref="A1143:A1144"/>
    <mergeCell ref="F1133:F1134"/>
    <mergeCell ref="G1133:G1134"/>
    <mergeCell ref="A1139:A1140"/>
    <mergeCell ref="F1139:F1140"/>
    <mergeCell ref="G1139:G1140"/>
    <mergeCell ref="A1141:A1142"/>
    <mergeCell ref="A1137:A1138"/>
    <mergeCell ref="F1127:F1128"/>
    <mergeCell ref="G1127:G1128"/>
    <mergeCell ref="A1133:A1134"/>
    <mergeCell ref="A1129:A1130"/>
    <mergeCell ref="F1129:F1130"/>
    <mergeCell ref="G1129:G1130"/>
    <mergeCell ref="A1131:A1132"/>
    <mergeCell ref="F1131:F1132"/>
    <mergeCell ref="G1131:G1132"/>
    <mergeCell ref="A1127:A1128"/>
    <mergeCell ref="F1152:F1153"/>
    <mergeCell ref="G1152:G1153"/>
    <mergeCell ref="F1154:F1155"/>
    <mergeCell ref="G1154:G1155"/>
    <mergeCell ref="A1163:A1164"/>
    <mergeCell ref="A1165:A1166"/>
    <mergeCell ref="A1159:A1160"/>
    <mergeCell ref="A1161:A1162"/>
    <mergeCell ref="F1182:F1183"/>
    <mergeCell ref="G1182:G1183"/>
    <mergeCell ref="F1184:F1185"/>
    <mergeCell ref="G1184:G1185"/>
    <mergeCell ref="F1146:F1147"/>
    <mergeCell ref="G1146:G1147"/>
    <mergeCell ref="A1157:A1158"/>
    <mergeCell ref="F1157:F1158"/>
    <mergeCell ref="G1157:G1158"/>
    <mergeCell ref="A1154:A1155"/>
    <mergeCell ref="F1148:F1149"/>
    <mergeCell ref="G1148:G1149"/>
    <mergeCell ref="F1150:F1151"/>
    <mergeCell ref="G1150:G1151"/>
    <mergeCell ref="A1150:A1151"/>
    <mergeCell ref="A1152:A1153"/>
    <mergeCell ref="F1167:F1168"/>
    <mergeCell ref="G1167:G1168"/>
    <mergeCell ref="F1186:F1187"/>
    <mergeCell ref="G1186:G1187"/>
    <mergeCell ref="A1188:A1189"/>
    <mergeCell ref="F1188:F1189"/>
    <mergeCell ref="G1188:G1189"/>
    <mergeCell ref="F1178:F1179"/>
    <mergeCell ref="G1178:G1179"/>
    <mergeCell ref="F1180:F1181"/>
    <mergeCell ref="G1180:G1181"/>
    <mergeCell ref="A1182:A1183"/>
    <mergeCell ref="F1159:F1160"/>
    <mergeCell ref="G1159:G1160"/>
    <mergeCell ref="A1184:A1185"/>
    <mergeCell ref="F1161:F1162"/>
    <mergeCell ref="G1161:G1162"/>
    <mergeCell ref="A1178:A1179"/>
    <mergeCell ref="A1180:A1181"/>
    <mergeCell ref="F1165:F1166"/>
    <mergeCell ref="G1165:G1166"/>
    <mergeCell ref="A1167:A1168"/>
    <mergeCell ref="G1203:G1204"/>
    <mergeCell ref="A1205:A1206"/>
    <mergeCell ref="F1190:F1191"/>
    <mergeCell ref="G1190:G1191"/>
    <mergeCell ref="A1207:A1208"/>
    <mergeCell ref="A1201:A1202"/>
    <mergeCell ref="A1203:A1204"/>
    <mergeCell ref="F1195:F1196"/>
    <mergeCell ref="G1195:G1196"/>
    <mergeCell ref="A1197:A1198"/>
    <mergeCell ref="A1199:A1200"/>
    <mergeCell ref="G1199:G1200"/>
    <mergeCell ref="A1193:A1194"/>
    <mergeCell ref="F1193:F1194"/>
    <mergeCell ref="G1193:G1194"/>
    <mergeCell ref="A1195:A1196"/>
    <mergeCell ref="A1190:A1191"/>
    <mergeCell ref="A1324:B1324"/>
    <mergeCell ref="C1324:D1324"/>
    <mergeCell ref="D1232:D1234"/>
    <mergeCell ref="E1232:E1234"/>
    <mergeCell ref="B1236:B1237"/>
    <mergeCell ref="E1236:E1237"/>
    <mergeCell ref="A1238:A1240"/>
    <mergeCell ref="A1236:A1237"/>
    <mergeCell ref="B1239:B1240"/>
    <mergeCell ref="A1243:A1248"/>
    <mergeCell ref="E1243:E1248"/>
    <mergeCell ref="F1243:F1248"/>
    <mergeCell ref="G1243:G1248"/>
    <mergeCell ref="A1249:A1251"/>
    <mergeCell ref="C1249:C1251"/>
    <mergeCell ref="E1249:E1251"/>
    <mergeCell ref="F1249:F1251"/>
    <mergeCell ref="G1249:G1251"/>
    <mergeCell ref="A1232:A1235"/>
    <mergeCell ref="A1252:A1253"/>
    <mergeCell ref="B1252:B1253"/>
    <mergeCell ref="C1252:C1253"/>
    <mergeCell ref="D1252:D1253"/>
    <mergeCell ref="E1252:E1253"/>
    <mergeCell ref="F1252:F1253"/>
    <mergeCell ref="G1252:G1253"/>
    <mergeCell ref="A1254:A1256"/>
    <mergeCell ref="B1254:B1256"/>
    <mergeCell ref="E1254:E1256"/>
    <mergeCell ref="F1254:F1256"/>
    <mergeCell ref="G1254:G1256"/>
    <mergeCell ref="A1257:A1258"/>
    <mergeCell ref="B322:B324"/>
    <mergeCell ref="B329:B332"/>
    <mergeCell ref="B350:B351"/>
    <mergeCell ref="B353:B354"/>
    <mergeCell ref="A1321:A1322"/>
    <mergeCell ref="B1321:B1322"/>
    <mergeCell ref="C1321:C1322"/>
    <mergeCell ref="D1321:D1322"/>
    <mergeCell ref="E1321:E1322"/>
    <mergeCell ref="F1321:F1322"/>
    <mergeCell ref="G1321:G1322"/>
    <mergeCell ref="A1228:A1229"/>
    <mergeCell ref="A1230:A1231"/>
    <mergeCell ref="F1205:F1206"/>
    <mergeCell ref="G1205:G1206"/>
    <mergeCell ref="F1207:F1208"/>
    <mergeCell ref="G1207:G1208"/>
    <mergeCell ref="F1213:F1214"/>
    <mergeCell ref="G1213:G1214"/>
    <mergeCell ref="A1213:A1214"/>
    <mergeCell ref="F1197:F1198"/>
    <mergeCell ref="G1197:G1198"/>
    <mergeCell ref="A1215:A1216"/>
    <mergeCell ref="F1199:F1200"/>
    <mergeCell ref="B802:B803"/>
    <mergeCell ref="F1209:F1210"/>
    <mergeCell ref="G1209:G1210"/>
    <mergeCell ref="A1211:A1212"/>
    <mergeCell ref="A1209:A1210"/>
    <mergeCell ref="F1201:F1202"/>
    <mergeCell ref="G1201:G1202"/>
    <mergeCell ref="F1203:F1204"/>
    <mergeCell ref="B159:B160"/>
    <mergeCell ref="B184:B185"/>
    <mergeCell ref="B188:B191"/>
    <mergeCell ref="B207:B208"/>
    <mergeCell ref="B210:B212"/>
    <mergeCell ref="B215:B216"/>
    <mergeCell ref="E223:E225"/>
    <mergeCell ref="B243:B247"/>
    <mergeCell ref="E243:E247"/>
    <mergeCell ref="E254:E255"/>
    <mergeCell ref="B254:B255"/>
    <mergeCell ref="E264:E265"/>
    <mergeCell ref="E301:E302"/>
    <mergeCell ref="B304:B308"/>
    <mergeCell ref="B317:B321"/>
    <mergeCell ref="C304:C308"/>
    <mergeCell ref="D304:D308"/>
    <mergeCell ref="C271:C272"/>
    <mergeCell ref="D271:D272"/>
    <mergeCell ref="C258:C259"/>
    <mergeCell ref="D258:D259"/>
    <mergeCell ref="C223:C225"/>
    <mergeCell ref="D223:D225"/>
    <mergeCell ref="C207:C208"/>
    <mergeCell ref="D207:D208"/>
    <mergeCell ref="C176:C178"/>
    <mergeCell ref="D176:D178"/>
    <mergeCell ref="E818:E819"/>
    <mergeCell ref="E830:E831"/>
    <mergeCell ref="E832:E833"/>
    <mergeCell ref="E835:E836"/>
    <mergeCell ref="E838:E839"/>
    <mergeCell ref="E843:E844"/>
    <mergeCell ref="E849:E850"/>
    <mergeCell ref="E859:E860"/>
    <mergeCell ref="E864:E865"/>
    <mergeCell ref="E867:E868"/>
    <mergeCell ref="E889:E890"/>
    <mergeCell ref="E893:E894"/>
    <mergeCell ref="E895:E896"/>
    <mergeCell ref="E902:E903"/>
    <mergeCell ref="E909:E910"/>
    <mergeCell ref="E805:E808"/>
    <mergeCell ref="C909:C911"/>
    <mergeCell ref="D909:D911"/>
    <mergeCell ref="C898:C899"/>
    <mergeCell ref="D898:D899"/>
    <mergeCell ref="C887:C888"/>
    <mergeCell ref="D887:D888"/>
    <mergeCell ref="C867:C869"/>
    <mergeCell ref="D867:D869"/>
    <mergeCell ref="C852:C854"/>
    <mergeCell ref="D852:D854"/>
    <mergeCell ref="C838:C840"/>
    <mergeCell ref="D838:D840"/>
    <mergeCell ref="C816:C817"/>
    <mergeCell ref="D816:D817"/>
    <mergeCell ref="B1257:B1258"/>
    <mergeCell ref="C1257:C1258"/>
    <mergeCell ref="D1257:D1258"/>
    <mergeCell ref="E1257:E1258"/>
    <mergeCell ref="F1257:F1258"/>
    <mergeCell ref="G1257:G1258"/>
    <mergeCell ref="E1284:E1286"/>
    <mergeCell ref="F1284:F1286"/>
    <mergeCell ref="G1284:G1286"/>
    <mergeCell ref="C1282:C1283"/>
    <mergeCell ref="A1260:A1262"/>
    <mergeCell ref="D1260:D1262"/>
    <mergeCell ref="E1260:E1262"/>
    <mergeCell ref="F1260:F1262"/>
    <mergeCell ref="G1260:G1262"/>
    <mergeCell ref="A1274:A1275"/>
    <mergeCell ref="B1274:B1275"/>
    <mergeCell ref="C1274:C1275"/>
    <mergeCell ref="E1274:E1275"/>
    <mergeCell ref="F1274:F1275"/>
    <mergeCell ref="G1274:G1275"/>
    <mergeCell ref="A1276:A1277"/>
    <mergeCell ref="B1276:B1277"/>
    <mergeCell ref="C1276:C1277"/>
    <mergeCell ref="E1276:E1277"/>
    <mergeCell ref="F1276:F1277"/>
    <mergeCell ref="G1276:G1277"/>
    <mergeCell ref="B1261:B1262"/>
    <mergeCell ref="F1270:G1270"/>
    <mergeCell ref="A1318:A1319"/>
    <mergeCell ref="B1318:B1319"/>
    <mergeCell ref="D1318:D1319"/>
    <mergeCell ref="E1318:E1319"/>
    <mergeCell ref="F1318:F1319"/>
    <mergeCell ref="G1318:G1319"/>
    <mergeCell ref="A1288:A1289"/>
    <mergeCell ref="B1288:B1289"/>
    <mergeCell ref="C1288:C1289"/>
    <mergeCell ref="E1288:E1289"/>
    <mergeCell ref="F1288:F1289"/>
    <mergeCell ref="G1288:G1289"/>
    <mergeCell ref="A1290:A1297"/>
    <mergeCell ref="B1290:B1297"/>
    <mergeCell ref="E1290:E1297"/>
    <mergeCell ref="F1290:F1297"/>
    <mergeCell ref="G1290:G1297"/>
    <mergeCell ref="A1298:A1299"/>
    <mergeCell ref="B1298:B1299"/>
    <mergeCell ref="C1298:C1299"/>
    <mergeCell ref="E1298:E1299"/>
    <mergeCell ref="F1298:F1299"/>
    <mergeCell ref="G1298:G1299"/>
    <mergeCell ref="F1305:G1305"/>
    <mergeCell ref="B533:B534"/>
    <mergeCell ref="B229:B230"/>
    <mergeCell ref="F125:F126"/>
    <mergeCell ref="G125:G126"/>
    <mergeCell ref="A1:G1"/>
    <mergeCell ref="A1308:A1310"/>
    <mergeCell ref="E1308:E1310"/>
    <mergeCell ref="F1308:F1310"/>
    <mergeCell ref="G1308:G1310"/>
    <mergeCell ref="A1311:A1312"/>
    <mergeCell ref="B1311:B1312"/>
    <mergeCell ref="C1311:C1312"/>
    <mergeCell ref="E1311:E1312"/>
    <mergeCell ref="F1311:F1312"/>
    <mergeCell ref="G1311:G1312"/>
    <mergeCell ref="A1313:A1317"/>
    <mergeCell ref="E1313:E1317"/>
    <mergeCell ref="F1313:F1317"/>
    <mergeCell ref="G1313:G1317"/>
    <mergeCell ref="A1280:A1281"/>
    <mergeCell ref="B1280:B1281"/>
    <mergeCell ref="C1280:C1281"/>
    <mergeCell ref="E1280:E1281"/>
    <mergeCell ref="F1280:F1281"/>
    <mergeCell ref="G1280:G1281"/>
    <mergeCell ref="A1282:A1283"/>
    <mergeCell ref="B1282:B1283"/>
    <mergeCell ref="E1282:E1283"/>
    <mergeCell ref="F1282:F1283"/>
    <mergeCell ref="G1282:G1283"/>
    <mergeCell ref="A1284:A1286"/>
    <mergeCell ref="B1284:B1286"/>
  </mergeCells>
  <pageMargins left="0.5" right="0.25" top="0.75" bottom="0.5" header="0.5" footer="0.25"/>
  <pageSetup paperSize="119" scale="90" firstPageNumber="333" orientation="portrait" horizontalDpi="300" verticalDpi="300" r:id="rId1"/>
  <headerFooter alignWithMargins="0"/>
</worksheet>
</file>

<file path=xl/worksheets/sheet169.xml><?xml version="1.0" encoding="utf-8"?>
<worksheet xmlns="http://schemas.openxmlformats.org/spreadsheetml/2006/main" xmlns:r="http://schemas.openxmlformats.org/officeDocument/2006/relationships">
  <sheetPr codeName="Sheet129">
    <tabColor theme="8" tint="-0.249977111117893"/>
  </sheetPr>
  <dimension ref="A1:L93"/>
  <sheetViews>
    <sheetView showGridLines="0" topLeftCell="B3" zoomScale="110" zoomScaleNormal="110" workbookViewId="0">
      <selection activeCell="J17" sqref="J17"/>
    </sheetView>
  </sheetViews>
  <sheetFormatPr defaultRowHeight="15" customHeight="1"/>
  <cols>
    <col min="1" max="1" width="3.88671875" style="7275" customWidth="1"/>
    <col min="2" max="2" width="55.5546875" style="7275" customWidth="1"/>
    <col min="3" max="3" width="12.5546875" style="7346" customWidth="1"/>
    <col min="4" max="7" width="15.5546875" style="7347" customWidth="1"/>
    <col min="8" max="8" width="14.109375" style="7347" hidden="1" customWidth="1"/>
    <col min="9" max="9" width="8.109375" style="7348" hidden="1" customWidth="1"/>
    <col min="10" max="10" width="15.5546875" style="7347" customWidth="1"/>
    <col min="11" max="11" width="16.6640625" style="7275" customWidth="1"/>
    <col min="12" max="12" width="11.5546875" style="7346" customWidth="1"/>
    <col min="13" max="15" width="8.88671875" style="7275" customWidth="1"/>
    <col min="16" max="205" width="9.109375" style="7275"/>
    <col min="206" max="206" width="3.88671875" style="7275" customWidth="1"/>
    <col min="207" max="207" width="41.109375" style="7275" customWidth="1"/>
    <col min="208" max="208" width="11.88671875" style="7275" customWidth="1"/>
    <col min="209" max="209" width="14.109375" style="7275" customWidth="1"/>
    <col min="210" max="210" width="14.88671875" style="7275" customWidth="1"/>
    <col min="211" max="211" width="14.44140625" style="7275" customWidth="1"/>
    <col min="212" max="461" width="9.109375" style="7275"/>
    <col min="462" max="462" width="3.88671875" style="7275" customWidth="1"/>
    <col min="463" max="463" width="41.109375" style="7275" customWidth="1"/>
    <col min="464" max="464" width="11.88671875" style="7275" customWidth="1"/>
    <col min="465" max="465" width="14.109375" style="7275" customWidth="1"/>
    <col min="466" max="466" width="14.88671875" style="7275" customWidth="1"/>
    <col min="467" max="467" width="14.44140625" style="7275" customWidth="1"/>
    <col min="468" max="717" width="9.109375" style="7275"/>
    <col min="718" max="718" width="3.88671875" style="7275" customWidth="1"/>
    <col min="719" max="719" width="41.109375" style="7275" customWidth="1"/>
    <col min="720" max="720" width="11.88671875" style="7275" customWidth="1"/>
    <col min="721" max="721" width="14.109375" style="7275" customWidth="1"/>
    <col min="722" max="722" width="14.88671875" style="7275" customWidth="1"/>
    <col min="723" max="723" width="14.44140625" style="7275" customWidth="1"/>
    <col min="724" max="973" width="9.109375" style="7275"/>
    <col min="974" max="974" width="3.88671875" style="7275" customWidth="1"/>
    <col min="975" max="975" width="41.109375" style="7275" customWidth="1"/>
    <col min="976" max="976" width="11.88671875" style="7275" customWidth="1"/>
    <col min="977" max="977" width="14.109375" style="7275" customWidth="1"/>
    <col min="978" max="978" width="14.88671875" style="7275" customWidth="1"/>
    <col min="979" max="979" width="14.44140625" style="7275" customWidth="1"/>
    <col min="980" max="1229" width="9.109375" style="7275"/>
    <col min="1230" max="1230" width="3.88671875" style="7275" customWidth="1"/>
    <col min="1231" max="1231" width="41.109375" style="7275" customWidth="1"/>
    <col min="1232" max="1232" width="11.88671875" style="7275" customWidth="1"/>
    <col min="1233" max="1233" width="14.109375" style="7275" customWidth="1"/>
    <col min="1234" max="1234" width="14.88671875" style="7275" customWidth="1"/>
    <col min="1235" max="1235" width="14.44140625" style="7275" customWidth="1"/>
    <col min="1236" max="1485" width="9.109375" style="7275"/>
    <col min="1486" max="1486" width="3.88671875" style="7275" customWidth="1"/>
    <col min="1487" max="1487" width="41.109375" style="7275" customWidth="1"/>
    <col min="1488" max="1488" width="11.88671875" style="7275" customWidth="1"/>
    <col min="1489" max="1489" width="14.109375" style="7275" customWidth="1"/>
    <col min="1490" max="1490" width="14.88671875" style="7275" customWidth="1"/>
    <col min="1491" max="1491" width="14.44140625" style="7275" customWidth="1"/>
    <col min="1492" max="1741" width="9.109375" style="7275"/>
    <col min="1742" max="1742" width="3.88671875" style="7275" customWidth="1"/>
    <col min="1743" max="1743" width="41.109375" style="7275" customWidth="1"/>
    <col min="1744" max="1744" width="11.88671875" style="7275" customWidth="1"/>
    <col min="1745" max="1745" width="14.109375" style="7275" customWidth="1"/>
    <col min="1746" max="1746" width="14.88671875" style="7275" customWidth="1"/>
    <col min="1747" max="1747" width="14.44140625" style="7275" customWidth="1"/>
    <col min="1748" max="1997" width="9.109375" style="7275"/>
    <col min="1998" max="1998" width="3.88671875" style="7275" customWidth="1"/>
    <col min="1999" max="1999" width="41.109375" style="7275" customWidth="1"/>
    <col min="2000" max="2000" width="11.88671875" style="7275" customWidth="1"/>
    <col min="2001" max="2001" width="14.109375" style="7275" customWidth="1"/>
    <col min="2002" max="2002" width="14.88671875" style="7275" customWidth="1"/>
    <col min="2003" max="2003" width="14.44140625" style="7275" customWidth="1"/>
    <col min="2004" max="2253" width="9.109375" style="7275"/>
    <col min="2254" max="2254" width="3.88671875" style="7275" customWidth="1"/>
    <col min="2255" max="2255" width="41.109375" style="7275" customWidth="1"/>
    <col min="2256" max="2256" width="11.88671875" style="7275" customWidth="1"/>
    <col min="2257" max="2257" width="14.109375" style="7275" customWidth="1"/>
    <col min="2258" max="2258" width="14.88671875" style="7275" customWidth="1"/>
    <col min="2259" max="2259" width="14.44140625" style="7275" customWidth="1"/>
    <col min="2260" max="2509" width="9.109375" style="7275"/>
    <col min="2510" max="2510" width="3.88671875" style="7275" customWidth="1"/>
    <col min="2511" max="2511" width="41.109375" style="7275" customWidth="1"/>
    <col min="2512" max="2512" width="11.88671875" style="7275" customWidth="1"/>
    <col min="2513" max="2513" width="14.109375" style="7275" customWidth="1"/>
    <col min="2514" max="2514" width="14.88671875" style="7275" customWidth="1"/>
    <col min="2515" max="2515" width="14.44140625" style="7275" customWidth="1"/>
    <col min="2516" max="2765" width="9.109375" style="7275"/>
    <col min="2766" max="2766" width="3.88671875" style="7275" customWidth="1"/>
    <col min="2767" max="2767" width="41.109375" style="7275" customWidth="1"/>
    <col min="2768" max="2768" width="11.88671875" style="7275" customWidth="1"/>
    <col min="2769" max="2769" width="14.109375" style="7275" customWidth="1"/>
    <col min="2770" max="2770" width="14.88671875" style="7275" customWidth="1"/>
    <col min="2771" max="2771" width="14.44140625" style="7275" customWidth="1"/>
    <col min="2772" max="3021" width="9.109375" style="7275"/>
    <col min="3022" max="3022" width="3.88671875" style="7275" customWidth="1"/>
    <col min="3023" max="3023" width="41.109375" style="7275" customWidth="1"/>
    <col min="3024" max="3024" width="11.88671875" style="7275" customWidth="1"/>
    <col min="3025" max="3025" width="14.109375" style="7275" customWidth="1"/>
    <col min="3026" max="3026" width="14.88671875" style="7275" customWidth="1"/>
    <col min="3027" max="3027" width="14.44140625" style="7275" customWidth="1"/>
    <col min="3028" max="3277" width="9.109375" style="7275"/>
    <col min="3278" max="3278" width="3.88671875" style="7275" customWidth="1"/>
    <col min="3279" max="3279" width="41.109375" style="7275" customWidth="1"/>
    <col min="3280" max="3280" width="11.88671875" style="7275" customWidth="1"/>
    <col min="3281" max="3281" width="14.109375" style="7275" customWidth="1"/>
    <col min="3282" max="3282" width="14.88671875" style="7275" customWidth="1"/>
    <col min="3283" max="3283" width="14.44140625" style="7275" customWidth="1"/>
    <col min="3284" max="3533" width="9.109375" style="7275"/>
    <col min="3534" max="3534" width="3.88671875" style="7275" customWidth="1"/>
    <col min="3535" max="3535" width="41.109375" style="7275" customWidth="1"/>
    <col min="3536" max="3536" width="11.88671875" style="7275" customWidth="1"/>
    <col min="3537" max="3537" width="14.109375" style="7275" customWidth="1"/>
    <col min="3538" max="3538" width="14.88671875" style="7275" customWidth="1"/>
    <col min="3539" max="3539" width="14.44140625" style="7275" customWidth="1"/>
    <col min="3540" max="3789" width="9.109375" style="7275"/>
    <col min="3790" max="3790" width="3.88671875" style="7275" customWidth="1"/>
    <col min="3791" max="3791" width="41.109375" style="7275" customWidth="1"/>
    <col min="3792" max="3792" width="11.88671875" style="7275" customWidth="1"/>
    <col min="3793" max="3793" width="14.109375" style="7275" customWidth="1"/>
    <col min="3794" max="3794" width="14.88671875" style="7275" customWidth="1"/>
    <col min="3795" max="3795" width="14.44140625" style="7275" customWidth="1"/>
    <col min="3796" max="4045" width="9.109375" style="7275"/>
    <col min="4046" max="4046" width="3.88671875" style="7275" customWidth="1"/>
    <col min="4047" max="4047" width="41.109375" style="7275" customWidth="1"/>
    <col min="4048" max="4048" width="11.88671875" style="7275" customWidth="1"/>
    <col min="4049" max="4049" width="14.109375" style="7275" customWidth="1"/>
    <col min="4050" max="4050" width="14.88671875" style="7275" customWidth="1"/>
    <col min="4051" max="4051" width="14.44140625" style="7275" customWidth="1"/>
    <col min="4052" max="4301" width="9.109375" style="7275"/>
    <col min="4302" max="4302" width="3.88671875" style="7275" customWidth="1"/>
    <col min="4303" max="4303" width="41.109375" style="7275" customWidth="1"/>
    <col min="4304" max="4304" width="11.88671875" style="7275" customWidth="1"/>
    <col min="4305" max="4305" width="14.109375" style="7275" customWidth="1"/>
    <col min="4306" max="4306" width="14.88671875" style="7275" customWidth="1"/>
    <col min="4307" max="4307" width="14.44140625" style="7275" customWidth="1"/>
    <col min="4308" max="4557" width="9.109375" style="7275"/>
    <col min="4558" max="4558" width="3.88671875" style="7275" customWidth="1"/>
    <col min="4559" max="4559" width="41.109375" style="7275" customWidth="1"/>
    <col min="4560" max="4560" width="11.88671875" style="7275" customWidth="1"/>
    <col min="4561" max="4561" width="14.109375" style="7275" customWidth="1"/>
    <col min="4562" max="4562" width="14.88671875" style="7275" customWidth="1"/>
    <col min="4563" max="4563" width="14.44140625" style="7275" customWidth="1"/>
    <col min="4564" max="4813" width="9.109375" style="7275"/>
    <col min="4814" max="4814" width="3.88671875" style="7275" customWidth="1"/>
    <col min="4815" max="4815" width="41.109375" style="7275" customWidth="1"/>
    <col min="4816" max="4816" width="11.88671875" style="7275" customWidth="1"/>
    <col min="4817" max="4817" width="14.109375" style="7275" customWidth="1"/>
    <col min="4818" max="4818" width="14.88671875" style="7275" customWidth="1"/>
    <col min="4819" max="4819" width="14.44140625" style="7275" customWidth="1"/>
    <col min="4820" max="5069" width="9.109375" style="7275"/>
    <col min="5070" max="5070" width="3.88671875" style="7275" customWidth="1"/>
    <col min="5071" max="5071" width="41.109375" style="7275" customWidth="1"/>
    <col min="5072" max="5072" width="11.88671875" style="7275" customWidth="1"/>
    <col min="5073" max="5073" width="14.109375" style="7275" customWidth="1"/>
    <col min="5074" max="5074" width="14.88671875" style="7275" customWidth="1"/>
    <col min="5075" max="5075" width="14.44140625" style="7275" customWidth="1"/>
    <col min="5076" max="5325" width="9.109375" style="7275"/>
    <col min="5326" max="5326" width="3.88671875" style="7275" customWidth="1"/>
    <col min="5327" max="5327" width="41.109375" style="7275" customWidth="1"/>
    <col min="5328" max="5328" width="11.88671875" style="7275" customWidth="1"/>
    <col min="5329" max="5329" width="14.109375" style="7275" customWidth="1"/>
    <col min="5330" max="5330" width="14.88671875" style="7275" customWidth="1"/>
    <col min="5331" max="5331" width="14.44140625" style="7275" customWidth="1"/>
    <col min="5332" max="5581" width="9.109375" style="7275"/>
    <col min="5582" max="5582" width="3.88671875" style="7275" customWidth="1"/>
    <col min="5583" max="5583" width="41.109375" style="7275" customWidth="1"/>
    <col min="5584" max="5584" width="11.88671875" style="7275" customWidth="1"/>
    <col min="5585" max="5585" width="14.109375" style="7275" customWidth="1"/>
    <col min="5586" max="5586" width="14.88671875" style="7275" customWidth="1"/>
    <col min="5587" max="5587" width="14.44140625" style="7275" customWidth="1"/>
    <col min="5588" max="5837" width="9.109375" style="7275"/>
    <col min="5838" max="5838" width="3.88671875" style="7275" customWidth="1"/>
    <col min="5839" max="5839" width="41.109375" style="7275" customWidth="1"/>
    <col min="5840" max="5840" width="11.88671875" style="7275" customWidth="1"/>
    <col min="5841" max="5841" width="14.109375" style="7275" customWidth="1"/>
    <col min="5842" max="5842" width="14.88671875" style="7275" customWidth="1"/>
    <col min="5843" max="5843" width="14.44140625" style="7275" customWidth="1"/>
    <col min="5844" max="6093" width="9.109375" style="7275"/>
    <col min="6094" max="6094" width="3.88671875" style="7275" customWidth="1"/>
    <col min="6095" max="6095" width="41.109375" style="7275" customWidth="1"/>
    <col min="6096" max="6096" width="11.88671875" style="7275" customWidth="1"/>
    <col min="6097" max="6097" width="14.109375" style="7275" customWidth="1"/>
    <col min="6098" max="6098" width="14.88671875" style="7275" customWidth="1"/>
    <col min="6099" max="6099" width="14.44140625" style="7275" customWidth="1"/>
    <col min="6100" max="6349" width="9.109375" style="7275"/>
    <col min="6350" max="6350" width="3.88671875" style="7275" customWidth="1"/>
    <col min="6351" max="6351" width="41.109375" style="7275" customWidth="1"/>
    <col min="6352" max="6352" width="11.88671875" style="7275" customWidth="1"/>
    <col min="6353" max="6353" width="14.109375" style="7275" customWidth="1"/>
    <col min="6354" max="6354" width="14.88671875" style="7275" customWidth="1"/>
    <col min="6355" max="6355" width="14.44140625" style="7275" customWidth="1"/>
    <col min="6356" max="6605" width="9.109375" style="7275"/>
    <col min="6606" max="6606" width="3.88671875" style="7275" customWidth="1"/>
    <col min="6607" max="6607" width="41.109375" style="7275" customWidth="1"/>
    <col min="6608" max="6608" width="11.88671875" style="7275" customWidth="1"/>
    <col min="6609" max="6609" width="14.109375" style="7275" customWidth="1"/>
    <col min="6610" max="6610" width="14.88671875" style="7275" customWidth="1"/>
    <col min="6611" max="6611" width="14.44140625" style="7275" customWidth="1"/>
    <col min="6612" max="6861" width="9.109375" style="7275"/>
    <col min="6862" max="6862" width="3.88671875" style="7275" customWidth="1"/>
    <col min="6863" max="6863" width="41.109375" style="7275" customWidth="1"/>
    <col min="6864" max="6864" width="11.88671875" style="7275" customWidth="1"/>
    <col min="6865" max="6865" width="14.109375" style="7275" customWidth="1"/>
    <col min="6866" max="6866" width="14.88671875" style="7275" customWidth="1"/>
    <col min="6867" max="6867" width="14.44140625" style="7275" customWidth="1"/>
    <col min="6868" max="7117" width="9.109375" style="7275"/>
    <col min="7118" max="7118" width="3.88671875" style="7275" customWidth="1"/>
    <col min="7119" max="7119" width="41.109375" style="7275" customWidth="1"/>
    <col min="7120" max="7120" width="11.88671875" style="7275" customWidth="1"/>
    <col min="7121" max="7121" width="14.109375" style="7275" customWidth="1"/>
    <col min="7122" max="7122" width="14.88671875" style="7275" customWidth="1"/>
    <col min="7123" max="7123" width="14.44140625" style="7275" customWidth="1"/>
    <col min="7124" max="7373" width="9.109375" style="7275"/>
    <col min="7374" max="7374" width="3.88671875" style="7275" customWidth="1"/>
    <col min="7375" max="7375" width="41.109375" style="7275" customWidth="1"/>
    <col min="7376" max="7376" width="11.88671875" style="7275" customWidth="1"/>
    <col min="7377" max="7377" width="14.109375" style="7275" customWidth="1"/>
    <col min="7378" max="7378" width="14.88671875" style="7275" customWidth="1"/>
    <col min="7379" max="7379" width="14.44140625" style="7275" customWidth="1"/>
    <col min="7380" max="7629" width="9.109375" style="7275"/>
    <col min="7630" max="7630" width="3.88671875" style="7275" customWidth="1"/>
    <col min="7631" max="7631" width="41.109375" style="7275" customWidth="1"/>
    <col min="7632" max="7632" width="11.88671875" style="7275" customWidth="1"/>
    <col min="7633" max="7633" width="14.109375" style="7275" customWidth="1"/>
    <col min="7634" max="7634" width="14.88671875" style="7275" customWidth="1"/>
    <col min="7635" max="7635" width="14.44140625" style="7275" customWidth="1"/>
    <col min="7636" max="7885" width="9.109375" style="7275"/>
    <col min="7886" max="7886" width="3.88671875" style="7275" customWidth="1"/>
    <col min="7887" max="7887" width="41.109375" style="7275" customWidth="1"/>
    <col min="7888" max="7888" width="11.88671875" style="7275" customWidth="1"/>
    <col min="7889" max="7889" width="14.109375" style="7275" customWidth="1"/>
    <col min="7890" max="7890" width="14.88671875" style="7275" customWidth="1"/>
    <col min="7891" max="7891" width="14.44140625" style="7275" customWidth="1"/>
    <col min="7892" max="8141" width="9.109375" style="7275"/>
    <col min="8142" max="8142" width="3.88671875" style="7275" customWidth="1"/>
    <col min="8143" max="8143" width="41.109375" style="7275" customWidth="1"/>
    <col min="8144" max="8144" width="11.88671875" style="7275" customWidth="1"/>
    <col min="8145" max="8145" width="14.109375" style="7275" customWidth="1"/>
    <col min="8146" max="8146" width="14.88671875" style="7275" customWidth="1"/>
    <col min="8147" max="8147" width="14.44140625" style="7275" customWidth="1"/>
    <col min="8148" max="8397" width="9.109375" style="7275"/>
    <col min="8398" max="8398" width="3.88671875" style="7275" customWidth="1"/>
    <col min="8399" max="8399" width="41.109375" style="7275" customWidth="1"/>
    <col min="8400" max="8400" width="11.88671875" style="7275" customWidth="1"/>
    <col min="8401" max="8401" width="14.109375" style="7275" customWidth="1"/>
    <col min="8402" max="8402" width="14.88671875" style="7275" customWidth="1"/>
    <col min="8403" max="8403" width="14.44140625" style="7275" customWidth="1"/>
    <col min="8404" max="8653" width="9.109375" style="7275"/>
    <col min="8654" max="8654" width="3.88671875" style="7275" customWidth="1"/>
    <col min="8655" max="8655" width="41.109375" style="7275" customWidth="1"/>
    <col min="8656" max="8656" width="11.88671875" style="7275" customWidth="1"/>
    <col min="8657" max="8657" width="14.109375" style="7275" customWidth="1"/>
    <col min="8658" max="8658" width="14.88671875" style="7275" customWidth="1"/>
    <col min="8659" max="8659" width="14.44140625" style="7275" customWidth="1"/>
    <col min="8660" max="8909" width="9.109375" style="7275"/>
    <col min="8910" max="8910" width="3.88671875" style="7275" customWidth="1"/>
    <col min="8911" max="8911" width="41.109375" style="7275" customWidth="1"/>
    <col min="8912" max="8912" width="11.88671875" style="7275" customWidth="1"/>
    <col min="8913" max="8913" width="14.109375" style="7275" customWidth="1"/>
    <col min="8914" max="8914" width="14.88671875" style="7275" customWidth="1"/>
    <col min="8915" max="8915" width="14.44140625" style="7275" customWidth="1"/>
    <col min="8916" max="9165" width="9.109375" style="7275"/>
    <col min="9166" max="9166" width="3.88671875" style="7275" customWidth="1"/>
    <col min="9167" max="9167" width="41.109375" style="7275" customWidth="1"/>
    <col min="9168" max="9168" width="11.88671875" style="7275" customWidth="1"/>
    <col min="9169" max="9169" width="14.109375" style="7275" customWidth="1"/>
    <col min="9170" max="9170" width="14.88671875" style="7275" customWidth="1"/>
    <col min="9171" max="9171" width="14.44140625" style="7275" customWidth="1"/>
    <col min="9172" max="9421" width="9.109375" style="7275"/>
    <col min="9422" max="9422" width="3.88671875" style="7275" customWidth="1"/>
    <col min="9423" max="9423" width="41.109375" style="7275" customWidth="1"/>
    <col min="9424" max="9424" width="11.88671875" style="7275" customWidth="1"/>
    <col min="9425" max="9425" width="14.109375" style="7275" customWidth="1"/>
    <col min="9426" max="9426" width="14.88671875" style="7275" customWidth="1"/>
    <col min="9427" max="9427" width="14.44140625" style="7275" customWidth="1"/>
    <col min="9428" max="9677" width="9.109375" style="7275"/>
    <col min="9678" max="9678" width="3.88671875" style="7275" customWidth="1"/>
    <col min="9679" max="9679" width="41.109375" style="7275" customWidth="1"/>
    <col min="9680" max="9680" width="11.88671875" style="7275" customWidth="1"/>
    <col min="9681" max="9681" width="14.109375" style="7275" customWidth="1"/>
    <col min="9682" max="9682" width="14.88671875" style="7275" customWidth="1"/>
    <col min="9683" max="9683" width="14.44140625" style="7275" customWidth="1"/>
    <col min="9684" max="9933" width="9.109375" style="7275"/>
    <col min="9934" max="9934" width="3.88671875" style="7275" customWidth="1"/>
    <col min="9935" max="9935" width="41.109375" style="7275" customWidth="1"/>
    <col min="9936" max="9936" width="11.88671875" style="7275" customWidth="1"/>
    <col min="9937" max="9937" width="14.109375" style="7275" customWidth="1"/>
    <col min="9938" max="9938" width="14.88671875" style="7275" customWidth="1"/>
    <col min="9939" max="9939" width="14.44140625" style="7275" customWidth="1"/>
    <col min="9940" max="10189" width="9.109375" style="7275"/>
    <col min="10190" max="10190" width="3.88671875" style="7275" customWidth="1"/>
    <col min="10191" max="10191" width="41.109375" style="7275" customWidth="1"/>
    <col min="10192" max="10192" width="11.88671875" style="7275" customWidth="1"/>
    <col min="10193" max="10193" width="14.109375" style="7275" customWidth="1"/>
    <col min="10194" max="10194" width="14.88671875" style="7275" customWidth="1"/>
    <col min="10195" max="10195" width="14.44140625" style="7275" customWidth="1"/>
    <col min="10196" max="10445" width="9.109375" style="7275"/>
    <col min="10446" max="10446" width="3.88671875" style="7275" customWidth="1"/>
    <col min="10447" max="10447" width="41.109375" style="7275" customWidth="1"/>
    <col min="10448" max="10448" width="11.88671875" style="7275" customWidth="1"/>
    <col min="10449" max="10449" width="14.109375" style="7275" customWidth="1"/>
    <col min="10450" max="10450" width="14.88671875" style="7275" customWidth="1"/>
    <col min="10451" max="10451" width="14.44140625" style="7275" customWidth="1"/>
    <col min="10452" max="10701" width="9.109375" style="7275"/>
    <col min="10702" max="10702" width="3.88671875" style="7275" customWidth="1"/>
    <col min="10703" max="10703" width="41.109375" style="7275" customWidth="1"/>
    <col min="10704" max="10704" width="11.88671875" style="7275" customWidth="1"/>
    <col min="10705" max="10705" width="14.109375" style="7275" customWidth="1"/>
    <col min="10706" max="10706" width="14.88671875" style="7275" customWidth="1"/>
    <col min="10707" max="10707" width="14.44140625" style="7275" customWidth="1"/>
    <col min="10708" max="10957" width="9.109375" style="7275"/>
    <col min="10958" max="10958" width="3.88671875" style="7275" customWidth="1"/>
    <col min="10959" max="10959" width="41.109375" style="7275" customWidth="1"/>
    <col min="10960" max="10960" width="11.88671875" style="7275" customWidth="1"/>
    <col min="10961" max="10961" width="14.109375" style="7275" customWidth="1"/>
    <col min="10962" max="10962" width="14.88671875" style="7275" customWidth="1"/>
    <col min="10963" max="10963" width="14.44140625" style="7275" customWidth="1"/>
    <col min="10964" max="11213" width="9.109375" style="7275"/>
    <col min="11214" max="11214" width="3.88671875" style="7275" customWidth="1"/>
    <col min="11215" max="11215" width="41.109375" style="7275" customWidth="1"/>
    <col min="11216" max="11216" width="11.88671875" style="7275" customWidth="1"/>
    <col min="11217" max="11217" width="14.109375" style="7275" customWidth="1"/>
    <col min="11218" max="11218" width="14.88671875" style="7275" customWidth="1"/>
    <col min="11219" max="11219" width="14.44140625" style="7275" customWidth="1"/>
    <col min="11220" max="11469" width="9.109375" style="7275"/>
    <col min="11470" max="11470" width="3.88671875" style="7275" customWidth="1"/>
    <col min="11471" max="11471" width="41.109375" style="7275" customWidth="1"/>
    <col min="11472" max="11472" width="11.88671875" style="7275" customWidth="1"/>
    <col min="11473" max="11473" width="14.109375" style="7275" customWidth="1"/>
    <col min="11474" max="11474" width="14.88671875" style="7275" customWidth="1"/>
    <col min="11475" max="11475" width="14.44140625" style="7275" customWidth="1"/>
    <col min="11476" max="11725" width="9.109375" style="7275"/>
    <col min="11726" max="11726" width="3.88671875" style="7275" customWidth="1"/>
    <col min="11727" max="11727" width="41.109375" style="7275" customWidth="1"/>
    <col min="11728" max="11728" width="11.88671875" style="7275" customWidth="1"/>
    <col min="11729" max="11729" width="14.109375" style="7275" customWidth="1"/>
    <col min="11730" max="11730" width="14.88671875" style="7275" customWidth="1"/>
    <col min="11731" max="11731" width="14.44140625" style="7275" customWidth="1"/>
    <col min="11732" max="11981" width="9.109375" style="7275"/>
    <col min="11982" max="11982" width="3.88671875" style="7275" customWidth="1"/>
    <col min="11983" max="11983" width="41.109375" style="7275" customWidth="1"/>
    <col min="11984" max="11984" width="11.88671875" style="7275" customWidth="1"/>
    <col min="11985" max="11985" width="14.109375" style="7275" customWidth="1"/>
    <col min="11986" max="11986" width="14.88671875" style="7275" customWidth="1"/>
    <col min="11987" max="11987" width="14.44140625" style="7275" customWidth="1"/>
    <col min="11988" max="12237" width="9.109375" style="7275"/>
    <col min="12238" max="12238" width="3.88671875" style="7275" customWidth="1"/>
    <col min="12239" max="12239" width="41.109375" style="7275" customWidth="1"/>
    <col min="12240" max="12240" width="11.88671875" style="7275" customWidth="1"/>
    <col min="12241" max="12241" width="14.109375" style="7275" customWidth="1"/>
    <col min="12242" max="12242" width="14.88671875" style="7275" customWidth="1"/>
    <col min="12243" max="12243" width="14.44140625" style="7275" customWidth="1"/>
    <col min="12244" max="12493" width="9.109375" style="7275"/>
    <col min="12494" max="12494" width="3.88671875" style="7275" customWidth="1"/>
    <col min="12495" max="12495" width="41.109375" style="7275" customWidth="1"/>
    <col min="12496" max="12496" width="11.88671875" style="7275" customWidth="1"/>
    <col min="12497" max="12497" width="14.109375" style="7275" customWidth="1"/>
    <col min="12498" max="12498" width="14.88671875" style="7275" customWidth="1"/>
    <col min="12499" max="12499" width="14.44140625" style="7275" customWidth="1"/>
    <col min="12500" max="12749" width="9.109375" style="7275"/>
    <col min="12750" max="12750" width="3.88671875" style="7275" customWidth="1"/>
    <col min="12751" max="12751" width="41.109375" style="7275" customWidth="1"/>
    <col min="12752" max="12752" width="11.88671875" style="7275" customWidth="1"/>
    <col min="12753" max="12753" width="14.109375" style="7275" customWidth="1"/>
    <col min="12754" max="12754" width="14.88671875" style="7275" customWidth="1"/>
    <col min="12755" max="12755" width="14.44140625" style="7275" customWidth="1"/>
    <col min="12756" max="13005" width="9.109375" style="7275"/>
    <col min="13006" max="13006" width="3.88671875" style="7275" customWidth="1"/>
    <col min="13007" max="13007" width="41.109375" style="7275" customWidth="1"/>
    <col min="13008" max="13008" width="11.88671875" style="7275" customWidth="1"/>
    <col min="13009" max="13009" width="14.109375" style="7275" customWidth="1"/>
    <col min="13010" max="13010" width="14.88671875" style="7275" customWidth="1"/>
    <col min="13011" max="13011" width="14.44140625" style="7275" customWidth="1"/>
    <col min="13012" max="13261" width="9.109375" style="7275"/>
    <col min="13262" max="13262" width="3.88671875" style="7275" customWidth="1"/>
    <col min="13263" max="13263" width="41.109375" style="7275" customWidth="1"/>
    <col min="13264" max="13264" width="11.88671875" style="7275" customWidth="1"/>
    <col min="13265" max="13265" width="14.109375" style="7275" customWidth="1"/>
    <col min="13266" max="13266" width="14.88671875" style="7275" customWidth="1"/>
    <col min="13267" max="13267" width="14.44140625" style="7275" customWidth="1"/>
    <col min="13268" max="13517" width="9.109375" style="7275"/>
    <col min="13518" max="13518" width="3.88671875" style="7275" customWidth="1"/>
    <col min="13519" max="13519" width="41.109375" style="7275" customWidth="1"/>
    <col min="13520" max="13520" width="11.88671875" style="7275" customWidth="1"/>
    <col min="13521" max="13521" width="14.109375" style="7275" customWidth="1"/>
    <col min="13522" max="13522" width="14.88671875" style="7275" customWidth="1"/>
    <col min="13523" max="13523" width="14.44140625" style="7275" customWidth="1"/>
    <col min="13524" max="13773" width="9.109375" style="7275"/>
    <col min="13774" max="13774" width="3.88671875" style="7275" customWidth="1"/>
    <col min="13775" max="13775" width="41.109375" style="7275" customWidth="1"/>
    <col min="13776" max="13776" width="11.88671875" style="7275" customWidth="1"/>
    <col min="13777" max="13777" width="14.109375" style="7275" customWidth="1"/>
    <col min="13778" max="13778" width="14.88671875" style="7275" customWidth="1"/>
    <col min="13779" max="13779" width="14.44140625" style="7275" customWidth="1"/>
    <col min="13780" max="14029" width="9.109375" style="7275"/>
    <col min="14030" max="14030" width="3.88671875" style="7275" customWidth="1"/>
    <col min="14031" max="14031" width="41.109375" style="7275" customWidth="1"/>
    <col min="14032" max="14032" width="11.88671875" style="7275" customWidth="1"/>
    <col min="14033" max="14033" width="14.109375" style="7275" customWidth="1"/>
    <col min="14034" max="14034" width="14.88671875" style="7275" customWidth="1"/>
    <col min="14035" max="14035" width="14.44140625" style="7275" customWidth="1"/>
    <col min="14036" max="14285" width="9.109375" style="7275"/>
    <col min="14286" max="14286" width="3.88671875" style="7275" customWidth="1"/>
    <col min="14287" max="14287" width="41.109375" style="7275" customWidth="1"/>
    <col min="14288" max="14288" width="11.88671875" style="7275" customWidth="1"/>
    <col min="14289" max="14289" width="14.109375" style="7275" customWidth="1"/>
    <col min="14290" max="14290" width="14.88671875" style="7275" customWidth="1"/>
    <col min="14291" max="14291" width="14.44140625" style="7275" customWidth="1"/>
    <col min="14292" max="14541" width="9.109375" style="7275"/>
    <col min="14542" max="14542" width="3.88671875" style="7275" customWidth="1"/>
    <col min="14543" max="14543" width="41.109375" style="7275" customWidth="1"/>
    <col min="14544" max="14544" width="11.88671875" style="7275" customWidth="1"/>
    <col min="14545" max="14545" width="14.109375" style="7275" customWidth="1"/>
    <col min="14546" max="14546" width="14.88671875" style="7275" customWidth="1"/>
    <col min="14547" max="14547" width="14.44140625" style="7275" customWidth="1"/>
    <col min="14548" max="14797" width="9.109375" style="7275"/>
    <col min="14798" max="14798" width="3.88671875" style="7275" customWidth="1"/>
    <col min="14799" max="14799" width="41.109375" style="7275" customWidth="1"/>
    <col min="14800" max="14800" width="11.88671875" style="7275" customWidth="1"/>
    <col min="14801" max="14801" width="14.109375" style="7275" customWidth="1"/>
    <col min="14802" max="14802" width="14.88671875" style="7275" customWidth="1"/>
    <col min="14803" max="14803" width="14.44140625" style="7275" customWidth="1"/>
    <col min="14804" max="15053" width="9.109375" style="7275"/>
    <col min="15054" max="15054" width="3.88671875" style="7275" customWidth="1"/>
    <col min="15055" max="15055" width="41.109375" style="7275" customWidth="1"/>
    <col min="15056" max="15056" width="11.88671875" style="7275" customWidth="1"/>
    <col min="15057" max="15057" width="14.109375" style="7275" customWidth="1"/>
    <col min="15058" max="15058" width="14.88671875" style="7275" customWidth="1"/>
    <col min="15059" max="15059" width="14.44140625" style="7275" customWidth="1"/>
    <col min="15060" max="15309" width="9.109375" style="7275"/>
    <col min="15310" max="15310" width="3.88671875" style="7275" customWidth="1"/>
    <col min="15311" max="15311" width="41.109375" style="7275" customWidth="1"/>
    <col min="15312" max="15312" width="11.88671875" style="7275" customWidth="1"/>
    <col min="15313" max="15313" width="14.109375" style="7275" customWidth="1"/>
    <col min="15314" max="15314" width="14.88671875" style="7275" customWidth="1"/>
    <col min="15315" max="15315" width="14.44140625" style="7275" customWidth="1"/>
    <col min="15316" max="15565" width="9.109375" style="7275"/>
    <col min="15566" max="15566" width="3.88671875" style="7275" customWidth="1"/>
    <col min="15567" max="15567" width="41.109375" style="7275" customWidth="1"/>
    <col min="15568" max="15568" width="11.88671875" style="7275" customWidth="1"/>
    <col min="15569" max="15569" width="14.109375" style="7275" customWidth="1"/>
    <col min="15570" max="15570" width="14.88671875" style="7275" customWidth="1"/>
    <col min="15571" max="15571" width="14.44140625" style="7275" customWidth="1"/>
    <col min="15572" max="15821" width="9.109375" style="7275"/>
    <col min="15822" max="15822" width="3.88671875" style="7275" customWidth="1"/>
    <col min="15823" max="15823" width="41.109375" style="7275" customWidth="1"/>
    <col min="15824" max="15824" width="11.88671875" style="7275" customWidth="1"/>
    <col min="15825" max="15825" width="14.109375" style="7275" customWidth="1"/>
    <col min="15826" max="15826" width="14.88671875" style="7275" customWidth="1"/>
    <col min="15827" max="15827" width="14.44140625" style="7275" customWidth="1"/>
    <col min="15828" max="16077" width="9.109375" style="7275"/>
    <col min="16078" max="16078" width="3.88671875" style="7275" customWidth="1"/>
    <col min="16079" max="16079" width="41.109375" style="7275" customWidth="1"/>
    <col min="16080" max="16080" width="11.88671875" style="7275" customWidth="1"/>
    <col min="16081" max="16081" width="14.109375" style="7275" customWidth="1"/>
    <col min="16082" max="16082" width="14.88671875" style="7275" customWidth="1"/>
    <col min="16083" max="16083" width="14.44140625" style="7275" customWidth="1"/>
    <col min="16084" max="16384" width="9.109375" style="7275"/>
  </cols>
  <sheetData>
    <row r="1" spans="1:12" ht="15" customHeight="1">
      <c r="A1" s="14807" t="s">
        <v>1</v>
      </c>
      <c r="B1" s="14807"/>
      <c r="C1" s="14807"/>
      <c r="D1" s="14807"/>
      <c r="E1" s="14807"/>
      <c r="F1" s="14807"/>
      <c r="G1" s="14807"/>
      <c r="H1" s="14807"/>
      <c r="I1" s="14807"/>
      <c r="J1" s="14807"/>
    </row>
    <row r="2" spans="1:12" ht="15" customHeight="1">
      <c r="A2" s="7276"/>
      <c r="B2" s="7277"/>
      <c r="C2" s="7278"/>
      <c r="D2" s="7279"/>
      <c r="E2" s="7279"/>
      <c r="F2" s="7279"/>
      <c r="G2" s="7279"/>
      <c r="H2" s="7279"/>
      <c r="I2" s="7280"/>
      <c r="J2" s="7279"/>
    </row>
    <row r="3" spans="1:12" ht="15" customHeight="1">
      <c r="A3" s="7276" t="s">
        <v>2</v>
      </c>
      <c r="B3" s="7281"/>
      <c r="C3" s="7282" t="s">
        <v>10073</v>
      </c>
      <c r="D3" s="7283"/>
      <c r="E3" s="7283"/>
      <c r="F3" s="7283"/>
      <c r="G3" s="7283"/>
      <c r="H3" s="7283"/>
      <c r="I3" s="7284"/>
      <c r="J3" s="7283"/>
    </row>
    <row r="4" spans="1:12" ht="15" customHeight="1">
      <c r="A4" s="7276" t="s">
        <v>4</v>
      </c>
      <c r="B4" s="7276"/>
      <c r="C4" s="7278" t="s">
        <v>317</v>
      </c>
      <c r="D4" s="7285"/>
      <c r="E4" s="7285"/>
      <c r="F4" s="7285"/>
      <c r="G4" s="14809"/>
      <c r="H4" s="7285"/>
      <c r="I4" s="7286"/>
      <c r="J4" s="14952"/>
    </row>
    <row r="5" spans="1:12" ht="15" customHeight="1">
      <c r="A5" s="7287" t="s">
        <v>7</v>
      </c>
      <c r="B5" s="7287"/>
      <c r="C5" s="7288" t="s">
        <v>8</v>
      </c>
      <c r="D5" s="7289"/>
      <c r="E5" s="7289"/>
      <c r="F5" s="7289"/>
      <c r="G5" s="14809"/>
      <c r="H5" s="7289"/>
      <c r="I5" s="7290"/>
      <c r="J5" s="14952"/>
    </row>
    <row r="6" spans="1:12" ht="15" customHeight="1" thickBot="1">
      <c r="A6" s="7291"/>
      <c r="B6" s="7291"/>
      <c r="C6" s="7292"/>
      <c r="D6" s="7293"/>
      <c r="E6" s="7293"/>
      <c r="F6" s="7293"/>
      <c r="G6" s="7293"/>
      <c r="H6" s="7293"/>
      <c r="I6" s="7294"/>
      <c r="J6" s="7293"/>
    </row>
    <row r="7" spans="1:12" ht="15" customHeight="1">
      <c r="A7" s="7694"/>
      <c r="B7" s="11658"/>
      <c r="C7" s="9460" t="s">
        <v>9</v>
      </c>
      <c r="D7" s="10868" t="s">
        <v>10</v>
      </c>
      <c r="E7" s="14188" t="s">
        <v>10711</v>
      </c>
      <c r="F7" s="14189"/>
      <c r="G7" s="14190"/>
      <c r="H7" s="11080" t="s">
        <v>9985</v>
      </c>
      <c r="I7" s="8206"/>
      <c r="J7" s="11659" t="s">
        <v>12</v>
      </c>
    </row>
    <row r="8" spans="1:12" ht="15" customHeight="1">
      <c r="A8" s="7657"/>
      <c r="B8" s="7295" t="s">
        <v>13</v>
      </c>
      <c r="C8" s="15145" t="s">
        <v>14</v>
      </c>
      <c r="D8" s="11123" t="s">
        <v>15</v>
      </c>
      <c r="E8" s="9502" t="s">
        <v>10709</v>
      </c>
      <c r="F8" s="9503" t="s">
        <v>10710</v>
      </c>
      <c r="G8" s="14191" t="s">
        <v>458</v>
      </c>
      <c r="H8" s="11178" t="s">
        <v>11822</v>
      </c>
      <c r="I8" s="11085"/>
      <c r="J8" s="11660" t="s">
        <v>16</v>
      </c>
    </row>
    <row r="9" spans="1:12" ht="15" customHeight="1" thickBot="1">
      <c r="A9" s="7699"/>
      <c r="B9" s="7897"/>
      <c r="C9" s="15146"/>
      <c r="D9" s="9455">
        <v>2017</v>
      </c>
      <c r="E9" s="9467" t="s">
        <v>457</v>
      </c>
      <c r="F9" s="11661" t="s">
        <v>456</v>
      </c>
      <c r="G9" s="14192"/>
      <c r="H9" s="7302">
        <v>2018</v>
      </c>
      <c r="I9" s="7303"/>
      <c r="J9" s="11662">
        <v>2019</v>
      </c>
    </row>
    <row r="10" spans="1:12" ht="15" customHeight="1">
      <c r="A10" s="11663" t="s">
        <v>17</v>
      </c>
      <c r="B10" s="7287" t="s">
        <v>18</v>
      </c>
      <c r="C10" s="10136"/>
      <c r="D10" s="11664"/>
      <c r="E10" s="11664"/>
      <c r="F10" s="11664"/>
      <c r="G10" s="11664"/>
      <c r="H10" s="11664"/>
      <c r="I10" s="11163"/>
      <c r="J10" s="11665"/>
    </row>
    <row r="11" spans="1:12" ht="15" customHeight="1">
      <c r="A11" s="7657"/>
      <c r="B11" s="7287" t="s">
        <v>19</v>
      </c>
      <c r="C11" s="10136"/>
      <c r="D11" s="11664"/>
      <c r="E11" s="11664"/>
      <c r="F11" s="11664"/>
      <c r="G11" s="11664"/>
      <c r="H11" s="11664"/>
      <c r="I11" s="11163"/>
      <c r="J11" s="11665"/>
    </row>
    <row r="12" spans="1:12" ht="15" customHeight="1">
      <c r="A12" s="7657"/>
      <c r="B12" s="8805" t="s">
        <v>20</v>
      </c>
      <c r="C12" s="8802">
        <v>50101010</v>
      </c>
      <c r="D12" s="11667">
        <f>'WS-PS 2017'!B47</f>
        <v>14046163.289999999</v>
      </c>
      <c r="E12" s="11667">
        <f>'WS-PS ACTUAL JUNE 2018'!B47</f>
        <v>7604374.21</v>
      </c>
      <c r="F12" s="11667">
        <f>G12-E12</f>
        <v>12857497.789999999</v>
      </c>
      <c r="G12" s="11667">
        <v>20461872</v>
      </c>
      <c r="H12" s="11667"/>
      <c r="I12" s="11165"/>
      <c r="J12" s="11670">
        <f>K12</f>
        <v>22855608</v>
      </c>
      <c r="K12" s="11719">
        <f>'staffing-agri'!F59</f>
        <v>22855608</v>
      </c>
      <c r="L12" s="7346">
        <f>'staffing-agri'!B59</f>
        <v>101</v>
      </c>
    </row>
    <row r="13" spans="1:12" ht="15" customHeight="1">
      <c r="A13" s="7657"/>
      <c r="B13" s="8805" t="s">
        <v>21</v>
      </c>
      <c r="C13" s="8802">
        <v>50102010</v>
      </c>
      <c r="D13" s="11664">
        <f>'WS-PS 2017'!F47</f>
        <v>1552000</v>
      </c>
      <c r="E13" s="11664">
        <f>'WS-PS ACTUAL JUNE 2018'!D47</f>
        <v>778181.86</v>
      </c>
      <c r="F13" s="11667">
        <f t="shared" ref="F13:F27" si="0">G13-E13</f>
        <v>1357818.1400000001</v>
      </c>
      <c r="G13" s="11664">
        <v>2136000</v>
      </c>
      <c r="H13" s="11664"/>
      <c r="I13" s="11163"/>
      <c r="J13" s="11670">
        <f t="shared" ref="J13:J27" si="1">K13</f>
        <v>2424000</v>
      </c>
      <c r="K13" s="7310">
        <f>24000*L12</f>
        <v>2424000</v>
      </c>
    </row>
    <row r="14" spans="1:12" ht="15" customHeight="1">
      <c r="A14" s="7657"/>
      <c r="B14" s="8805" t="s">
        <v>104</v>
      </c>
      <c r="C14" s="8802">
        <v>50102020</v>
      </c>
      <c r="D14" s="11664">
        <f>'WS-PS 2017'!G47</f>
        <v>192000</v>
      </c>
      <c r="E14" s="11664">
        <f>'WS-PS ACTUAL JUNE 2018'!E47</f>
        <v>80000</v>
      </c>
      <c r="F14" s="11667">
        <f t="shared" si="0"/>
        <v>112000</v>
      </c>
      <c r="G14" s="11664">
        <v>192000</v>
      </c>
      <c r="H14" s="11664"/>
      <c r="I14" s="11163"/>
      <c r="J14" s="11670">
        <f t="shared" si="1"/>
        <v>192000</v>
      </c>
      <c r="K14" s="7310">
        <v>192000</v>
      </c>
    </row>
    <row r="15" spans="1:12" ht="15" customHeight="1">
      <c r="A15" s="7657"/>
      <c r="B15" s="8805" t="s">
        <v>105</v>
      </c>
      <c r="C15" s="8802">
        <v>50102030</v>
      </c>
      <c r="D15" s="11664">
        <f>'WS-PS 2017'!H47</f>
        <v>192000</v>
      </c>
      <c r="E15" s="11664">
        <f>'WS-PS ACTUAL JUNE 2018'!F47</f>
        <v>80000</v>
      </c>
      <c r="F15" s="11667">
        <f t="shared" si="0"/>
        <v>112000</v>
      </c>
      <c r="G15" s="11664">
        <v>192000</v>
      </c>
      <c r="H15" s="11664"/>
      <c r="I15" s="11163"/>
      <c r="J15" s="11670">
        <f t="shared" si="1"/>
        <v>192000</v>
      </c>
      <c r="K15" s="7310">
        <v>192000</v>
      </c>
    </row>
    <row r="16" spans="1:12" ht="15" customHeight="1">
      <c r="A16" s="7657"/>
      <c r="B16" s="8805" t="s">
        <v>22</v>
      </c>
      <c r="C16" s="8802">
        <v>50102040</v>
      </c>
      <c r="D16" s="11664">
        <f>'WS-PS 2017'!I47</f>
        <v>325000</v>
      </c>
      <c r="E16" s="11664">
        <f>'WS-PS ACTUAL JUNE 2018'!G47</f>
        <v>383000</v>
      </c>
      <c r="F16" s="11667">
        <f t="shared" si="0"/>
        <v>62000</v>
      </c>
      <c r="G16" s="11664">
        <v>445000</v>
      </c>
      <c r="H16" s="11664"/>
      <c r="I16" s="11163"/>
      <c r="J16" s="11670">
        <f t="shared" si="1"/>
        <v>606000</v>
      </c>
      <c r="K16" s="7310">
        <f>6000*L12</f>
        <v>606000</v>
      </c>
    </row>
    <row r="17" spans="1:12" ht="15" customHeight="1">
      <c r="A17" s="7657"/>
      <c r="B17" s="8807" t="s">
        <v>10932</v>
      </c>
      <c r="C17" s="10368">
        <v>50102080</v>
      </c>
      <c r="D17" s="11664">
        <f>'WS-PS 2017'!L47</f>
        <v>315000</v>
      </c>
      <c r="E17" s="11664">
        <f>'WS-PS ACTUAL JUNE 2018'!J47</f>
        <v>0</v>
      </c>
      <c r="F17" s="11667">
        <f t="shared" si="0"/>
        <v>445000</v>
      </c>
      <c r="G17" s="11664">
        <v>445000</v>
      </c>
      <c r="H17" s="11664"/>
      <c r="I17" s="11163"/>
      <c r="J17" s="11670">
        <f t="shared" si="1"/>
        <v>505000</v>
      </c>
      <c r="K17" s="7310">
        <f>5000*L12</f>
        <v>505000</v>
      </c>
    </row>
    <row r="18" spans="1:12" ht="15" customHeight="1">
      <c r="A18" s="7657"/>
      <c r="B18" s="7488" t="s">
        <v>10934</v>
      </c>
      <c r="C18" s="8872">
        <v>50102120</v>
      </c>
      <c r="D18" s="11664">
        <f>'WS-PS 2017'!O47</f>
        <v>65000</v>
      </c>
      <c r="E18" s="11664">
        <f>'WS-PS ACTUAL JUNE 2018'!M47</f>
        <v>0</v>
      </c>
      <c r="F18" s="11667">
        <f>G18-E18</f>
        <v>25000</v>
      </c>
      <c r="G18" s="11664">
        <v>25000</v>
      </c>
      <c r="H18" s="11664"/>
      <c r="I18" s="11163"/>
      <c r="J18" s="11670">
        <f t="shared" si="1"/>
        <v>75000</v>
      </c>
      <c r="K18" s="7310">
        <v>75000</v>
      </c>
    </row>
    <row r="19" spans="1:12" ht="15" customHeight="1">
      <c r="A19" s="7657"/>
      <c r="B19" s="7488" t="s">
        <v>10933</v>
      </c>
      <c r="C19" s="8872">
        <v>50102140</v>
      </c>
      <c r="D19" s="11730">
        <f>'WS-PS 2017'!U47+'WS-PS 2017'!S47</f>
        <v>2397084.5</v>
      </c>
      <c r="E19" s="11730">
        <f>'WS-PS ACTUAL JUNE 2018'!O47</f>
        <v>1228237</v>
      </c>
      <c r="F19" s="11667">
        <f t="shared" si="0"/>
        <v>2182075</v>
      </c>
      <c r="G19" s="11730">
        <v>3410312</v>
      </c>
      <c r="H19" s="11730"/>
      <c r="I19" s="11731"/>
      <c r="J19" s="11843">
        <f t="shared" si="1"/>
        <v>3809268</v>
      </c>
      <c r="K19" s="7310">
        <f>SUM(K11:K12)/12*2</f>
        <v>3809268</v>
      </c>
    </row>
    <row r="20" spans="1:12" ht="15" customHeight="1">
      <c r="A20" s="7657"/>
      <c r="B20" s="7287" t="s">
        <v>26</v>
      </c>
      <c r="C20" s="11729">
        <v>50102150</v>
      </c>
      <c r="D20" s="11664">
        <f>'WS-PS 2017'!T47</f>
        <v>321500</v>
      </c>
      <c r="E20" s="11664">
        <f>'WS-PS ACTUAL JUNE 2018'!Q47</f>
        <v>0</v>
      </c>
      <c r="F20" s="11667">
        <f>G20-E20</f>
        <v>445000</v>
      </c>
      <c r="G20" s="11664">
        <v>445000</v>
      </c>
      <c r="H20" s="11664"/>
      <c r="I20" s="11163"/>
      <c r="J20" s="11843">
        <f t="shared" si="1"/>
        <v>505000</v>
      </c>
      <c r="K20" s="7371">
        <f>K17</f>
        <v>505000</v>
      </c>
    </row>
    <row r="21" spans="1:12" ht="15" customHeight="1">
      <c r="A21" s="7657"/>
      <c r="B21" s="7488" t="s">
        <v>11497</v>
      </c>
      <c r="C21" s="11257">
        <v>50102990</v>
      </c>
      <c r="D21" s="11664"/>
      <c r="E21" s="11664">
        <f>'WS-PS ACTUAL JUNE 2018'!R47</f>
        <v>0</v>
      </c>
      <c r="F21" s="11667">
        <f>G21-E21</f>
        <v>980465</v>
      </c>
      <c r="G21" s="11664">
        <v>980465</v>
      </c>
      <c r="H21" s="11664"/>
      <c r="I21" s="11163"/>
      <c r="J21" s="11843">
        <v>0</v>
      </c>
      <c r="K21" s="7310">
        <f>K12/12*0.575</f>
        <v>1095164.5499999998</v>
      </c>
    </row>
    <row r="22" spans="1:12" ht="15" customHeight="1">
      <c r="A22" s="7657"/>
      <c r="B22" s="7803" t="s">
        <v>11499</v>
      </c>
      <c r="C22" s="11059" t="s">
        <v>11495</v>
      </c>
      <c r="D22" s="11664">
        <f>'WS-PS 2017'!Q47</f>
        <v>0</v>
      </c>
      <c r="E22" s="11664">
        <f>'WS-PS ACTUAL JUNE 2018'!S47</f>
        <v>0</v>
      </c>
      <c r="F22" s="11667">
        <f>G22-E22</f>
        <v>0</v>
      </c>
      <c r="G22" s="11664">
        <v>0</v>
      </c>
      <c r="H22" s="11664"/>
      <c r="I22" s="11163"/>
      <c r="J22" s="11843">
        <f t="shared" si="1"/>
        <v>303000</v>
      </c>
      <c r="K22" s="7310">
        <f>3000*L12</f>
        <v>303000</v>
      </c>
    </row>
    <row r="23" spans="1:12" ht="15" customHeight="1">
      <c r="A23" s="7657"/>
      <c r="B23" s="11518" t="s">
        <v>59</v>
      </c>
      <c r="C23" s="8872">
        <v>50103010</v>
      </c>
      <c r="D23" s="11664">
        <f>'WS-PS 2017'!V47</f>
        <v>1684754.67</v>
      </c>
      <c r="E23" s="11664">
        <f>'WS-PS ACTUAL JUNE 2018'!T47</f>
        <v>912524.91</v>
      </c>
      <c r="F23" s="11667">
        <f t="shared" si="0"/>
        <v>1542900.0899999999</v>
      </c>
      <c r="G23" s="11664">
        <v>2455425</v>
      </c>
      <c r="H23" s="11664"/>
      <c r="I23" s="11163"/>
      <c r="J23" s="11843">
        <f t="shared" si="1"/>
        <v>2742672.96</v>
      </c>
      <c r="K23" s="11720">
        <f>SUM(K11:K12)*12%</f>
        <v>2742672.96</v>
      </c>
    </row>
    <row r="24" spans="1:12" ht="15" customHeight="1">
      <c r="A24" s="7657"/>
      <c r="B24" s="7803" t="s">
        <v>28</v>
      </c>
      <c r="C24" s="8872">
        <v>50103020</v>
      </c>
      <c r="D24" s="11664">
        <f>'WS-PS 2017'!W47</f>
        <v>77600</v>
      </c>
      <c r="E24" s="11664">
        <f>'WS-PS ACTUAL JUNE 2018'!U47</f>
        <v>39000</v>
      </c>
      <c r="F24" s="11667">
        <f t="shared" si="0"/>
        <v>67800</v>
      </c>
      <c r="G24" s="11664">
        <v>106800</v>
      </c>
      <c r="H24" s="11664"/>
      <c r="I24" s="11163"/>
      <c r="J24" s="11843">
        <f t="shared" si="1"/>
        <v>121200</v>
      </c>
      <c r="K24" s="7310">
        <f>1200*L12</f>
        <v>121200</v>
      </c>
    </row>
    <row r="25" spans="1:12" ht="15" customHeight="1">
      <c r="A25" s="7657"/>
      <c r="B25" s="7803" t="s">
        <v>29</v>
      </c>
      <c r="C25" s="8872">
        <v>50103030</v>
      </c>
      <c r="D25" s="11664">
        <f>'WS-PS 2017'!X47</f>
        <v>153600</v>
      </c>
      <c r="E25" s="11664">
        <f>'WS-PS ACTUAL JUNE 2018'!V47</f>
        <v>97027.87</v>
      </c>
      <c r="F25" s="11667">
        <f t="shared" si="0"/>
        <v>121972.13</v>
      </c>
      <c r="G25" s="11664">
        <v>219000</v>
      </c>
      <c r="H25" s="11664"/>
      <c r="I25" s="11163"/>
      <c r="J25" s="12526">
        <v>279745.62</v>
      </c>
      <c r="K25" s="7310">
        <f>3600*L12</f>
        <v>363600</v>
      </c>
      <c r="L25" s="7346">
        <v>279745.62</v>
      </c>
    </row>
    <row r="26" spans="1:12" ht="15" customHeight="1">
      <c r="A26" s="7657"/>
      <c r="B26" s="7803" t="s">
        <v>30</v>
      </c>
      <c r="C26" s="8872">
        <v>50103040</v>
      </c>
      <c r="D26" s="11664">
        <f>'WS-PS 2017'!Y47</f>
        <v>78197.72</v>
      </c>
      <c r="E26" s="11664">
        <f>'WS-PS ACTUAL JUNE 2018'!W47</f>
        <v>38789.96</v>
      </c>
      <c r="F26" s="11667">
        <f t="shared" si="0"/>
        <v>68010.040000000008</v>
      </c>
      <c r="G26" s="11664">
        <v>106800</v>
      </c>
      <c r="H26" s="11664"/>
      <c r="I26" s="11163"/>
      <c r="J26" s="11843">
        <f t="shared" si="1"/>
        <v>121200</v>
      </c>
      <c r="K26" s="7310">
        <f>K24</f>
        <v>121200</v>
      </c>
    </row>
    <row r="27" spans="1:12" ht="15" customHeight="1">
      <c r="A27" s="7657"/>
      <c r="B27" s="7488" t="s">
        <v>5025</v>
      </c>
      <c r="C27" s="11258">
        <v>50104990</v>
      </c>
      <c r="D27" s="11664">
        <f>'WS-PS 2017'!Z47</f>
        <v>1575000</v>
      </c>
      <c r="E27" s="11664"/>
      <c r="F27" s="11667">
        <f t="shared" si="0"/>
        <v>0</v>
      </c>
      <c r="G27" s="11664">
        <v>0</v>
      </c>
      <c r="H27" s="11664"/>
      <c r="I27" s="11163"/>
      <c r="J27" s="11670">
        <f t="shared" si="1"/>
        <v>0</v>
      </c>
    </row>
    <row r="28" spans="1:12" s="7314" customFormat="1" ht="15" customHeight="1">
      <c r="A28" s="7657"/>
      <c r="B28" s="7311"/>
      <c r="C28" s="10136"/>
      <c r="D28" s="7829"/>
      <c r="E28" s="7829"/>
      <c r="F28" s="11667"/>
      <c r="G28" s="7829"/>
      <c r="H28" s="7829"/>
      <c r="I28" s="7478"/>
      <c r="J28" s="12444"/>
      <c r="L28" s="7898"/>
    </row>
    <row r="29" spans="1:12" ht="15" customHeight="1" thickBot="1">
      <c r="A29" s="7699"/>
      <c r="B29" s="7781" t="s">
        <v>37</v>
      </c>
      <c r="C29" s="11732"/>
      <c r="D29" s="11673">
        <f>SUM(D11:D27)</f>
        <v>22974900.18</v>
      </c>
      <c r="E29" s="11673">
        <f>SUM(E11:E27)</f>
        <v>11241135.810000001</v>
      </c>
      <c r="F29" s="11673">
        <f>SUM(F11:F27)</f>
        <v>20379538.189999998</v>
      </c>
      <c r="G29" s="7326">
        <f>SUM(G11:G27)</f>
        <v>31620674</v>
      </c>
      <c r="H29" s="7326"/>
      <c r="I29" s="7327"/>
      <c r="J29" s="11674">
        <f>SUM(J11:J27)</f>
        <v>34731694.579999998</v>
      </c>
      <c r="K29" s="11657">
        <f>SUM(K12:K28)</f>
        <v>35910713.509999998</v>
      </c>
    </row>
    <row r="30" spans="1:12" ht="15" customHeight="1">
      <c r="A30" s="7317"/>
      <c r="B30" s="7318"/>
      <c r="C30" s="7319"/>
      <c r="D30" s="7320"/>
      <c r="E30" s="7320"/>
      <c r="F30" s="7320"/>
      <c r="G30" s="7320"/>
      <c r="H30" s="7320"/>
      <c r="I30" s="7321"/>
      <c r="J30" s="7320"/>
    </row>
    <row r="31" spans="1:12" ht="15" customHeight="1">
      <c r="A31" s="7287"/>
      <c r="B31" s="7315"/>
      <c r="C31" s="7288"/>
      <c r="D31" s="7349"/>
      <c r="E31" s="7349"/>
      <c r="F31" s="7349"/>
      <c r="G31" s="7349"/>
      <c r="H31" s="7349"/>
      <c r="I31" s="7350"/>
      <c r="J31" s="7349"/>
    </row>
    <row r="32" spans="1:12" ht="15" customHeight="1">
      <c r="A32" s="7287"/>
      <c r="B32" s="7315"/>
      <c r="C32" s="7288"/>
      <c r="D32" s="7349"/>
      <c r="E32" s="7349"/>
      <c r="F32" s="7349"/>
      <c r="G32" s="7349"/>
      <c r="H32" s="7349"/>
      <c r="I32" s="7350"/>
      <c r="J32" s="7349"/>
    </row>
    <row r="33" spans="1:12" ht="15" customHeight="1">
      <c r="A33" s="7287"/>
      <c r="B33" s="7315"/>
      <c r="C33" s="7288"/>
      <c r="D33" s="7349"/>
      <c r="E33" s="7349"/>
      <c r="F33" s="7349"/>
      <c r="G33" s="7349"/>
      <c r="H33" s="7349"/>
      <c r="I33" s="7350"/>
      <c r="J33" s="7349"/>
    </row>
    <row r="34" spans="1:12" ht="15" customHeight="1">
      <c r="A34" s="7287"/>
      <c r="B34" s="7315"/>
      <c r="C34" s="7288"/>
      <c r="D34" s="7349"/>
      <c r="E34" s="7349"/>
      <c r="F34" s="7349"/>
      <c r="G34" s="7349"/>
      <c r="H34" s="7349"/>
      <c r="I34" s="7350"/>
      <c r="J34" s="7349"/>
    </row>
    <row r="35" spans="1:12" ht="15" customHeight="1">
      <c r="A35" s="7287"/>
      <c r="B35" s="7315"/>
      <c r="C35" s="7288"/>
      <c r="D35" s="7349"/>
      <c r="E35" s="7349"/>
      <c r="F35" s="7349"/>
      <c r="G35" s="7349"/>
      <c r="H35" s="7349"/>
      <c r="I35" s="7350"/>
      <c r="J35" s="7349"/>
    </row>
    <row r="36" spans="1:12" ht="15" customHeight="1">
      <c r="A36" s="7287"/>
      <c r="B36" s="7315"/>
      <c r="C36" s="7288"/>
      <c r="D36" s="7349"/>
      <c r="E36" s="7349"/>
      <c r="F36" s="7349"/>
      <c r="G36" s="7349"/>
      <c r="H36" s="7349"/>
      <c r="I36" s="7350"/>
      <c r="J36" s="7349"/>
    </row>
    <row r="37" spans="1:12" ht="15" customHeight="1">
      <c r="A37" s="7287"/>
      <c r="B37" s="7315"/>
      <c r="C37" s="7288"/>
      <c r="D37" s="7349"/>
      <c r="E37" s="7349"/>
      <c r="F37" s="7349"/>
      <c r="G37" s="7349"/>
      <c r="H37" s="7349"/>
      <c r="I37" s="7350"/>
      <c r="J37" s="7349"/>
    </row>
    <row r="38" spans="1:12" ht="15" customHeight="1">
      <c r="A38" s="7287"/>
      <c r="B38" s="7315"/>
      <c r="C38" s="7288"/>
      <c r="D38" s="7349"/>
      <c r="E38" s="7349"/>
      <c r="F38" s="7349"/>
      <c r="G38" s="7349"/>
      <c r="H38" s="7349"/>
      <c r="I38" s="7350"/>
      <c r="J38" s="7349"/>
    </row>
    <row r="39" spans="1:12" s="7314" customFormat="1" ht="15" customHeight="1" thickBot="1">
      <c r="A39" s="7291" t="s">
        <v>10211</v>
      </c>
      <c r="B39" s="7291"/>
      <c r="C39" s="7292"/>
      <c r="D39" s="7293"/>
      <c r="E39" s="7293"/>
      <c r="F39" s="7293"/>
      <c r="G39" s="7293"/>
      <c r="H39" s="7293"/>
      <c r="I39" s="7294"/>
      <c r="J39" s="7293"/>
      <c r="L39" s="7898"/>
    </row>
    <row r="40" spans="1:12" ht="15" customHeight="1">
      <c r="A40" s="7694"/>
      <c r="B40" s="11658"/>
      <c r="C40" s="9460" t="s">
        <v>9</v>
      </c>
      <c r="D40" s="10868" t="s">
        <v>10</v>
      </c>
      <c r="E40" s="14188" t="s">
        <v>10711</v>
      </c>
      <c r="F40" s="14189"/>
      <c r="G40" s="14190"/>
      <c r="H40" s="11080"/>
      <c r="I40" s="8206"/>
      <c r="J40" s="11659" t="s">
        <v>12</v>
      </c>
    </row>
    <row r="41" spans="1:12" ht="15" customHeight="1">
      <c r="A41" s="7657"/>
      <c r="B41" s="7295" t="s">
        <v>13</v>
      </c>
      <c r="C41" s="15145" t="s">
        <v>14</v>
      </c>
      <c r="D41" s="11123" t="s">
        <v>15</v>
      </c>
      <c r="E41" s="9502" t="s">
        <v>10709</v>
      </c>
      <c r="F41" s="9503" t="s">
        <v>10710</v>
      </c>
      <c r="G41" s="14191" t="s">
        <v>458</v>
      </c>
      <c r="H41" s="11084"/>
      <c r="I41" s="11085"/>
      <c r="J41" s="11660" t="s">
        <v>16</v>
      </c>
    </row>
    <row r="42" spans="1:12" ht="15" customHeight="1" thickBot="1">
      <c r="A42" s="7699"/>
      <c r="B42" s="7897"/>
      <c r="C42" s="15146"/>
      <c r="D42" s="9455">
        <v>2017</v>
      </c>
      <c r="E42" s="9467" t="s">
        <v>457</v>
      </c>
      <c r="F42" s="11661" t="s">
        <v>456</v>
      </c>
      <c r="G42" s="14192"/>
      <c r="H42" s="7302"/>
      <c r="I42" s="7322"/>
      <c r="J42" s="11662">
        <v>2019</v>
      </c>
    </row>
    <row r="43" spans="1:12" ht="12.9" customHeight="1">
      <c r="A43" s="11663"/>
      <c r="B43" s="7287" t="s">
        <v>38</v>
      </c>
      <c r="C43" s="10136"/>
      <c r="D43" s="11664"/>
      <c r="E43" s="11664"/>
      <c r="F43" s="11664"/>
      <c r="G43" s="11664"/>
      <c r="H43" s="11664"/>
      <c r="I43" s="11163"/>
      <c r="J43" s="11665"/>
    </row>
    <row r="44" spans="1:12" ht="12.9" customHeight="1">
      <c r="A44" s="7657"/>
      <c r="B44" s="8805" t="s">
        <v>39</v>
      </c>
      <c r="C44" s="8802">
        <v>50201010</v>
      </c>
      <c r="D44" s="11664">
        <f>'WS-MOOE 2017'!B47</f>
        <v>1069781.8</v>
      </c>
      <c r="E44" s="11664">
        <f>'WS-MOOE ACTUAL JUNE 2018'!B48</f>
        <v>431101.69</v>
      </c>
      <c r="F44" s="11667">
        <f>G44-E44</f>
        <v>818898.31</v>
      </c>
      <c r="G44" s="11664">
        <v>1250000</v>
      </c>
      <c r="H44" s="11664">
        <v>701760.01</v>
      </c>
      <c r="I44" s="11163">
        <f>H44/G44</f>
        <v>0.56140800800000001</v>
      </c>
      <c r="J44" s="11665">
        <v>1250000</v>
      </c>
    </row>
    <row r="45" spans="1:12" ht="12.9" customHeight="1">
      <c r="A45" s="7657"/>
      <c r="B45" s="8805" t="s">
        <v>41</v>
      </c>
      <c r="C45" s="8802">
        <v>50202010</v>
      </c>
      <c r="D45" s="11664">
        <f>'WS-MOOE 2017'!H47</f>
        <v>190200</v>
      </c>
      <c r="E45" s="11664">
        <f>'WS-MOOE ACTUAL JUNE 2018'!G48</f>
        <v>29282</v>
      </c>
      <c r="F45" s="11667">
        <f t="shared" ref="F45:F55" si="2">G45-E45</f>
        <v>220718</v>
      </c>
      <c r="G45" s="11664">
        <v>250000</v>
      </c>
      <c r="H45" s="11664">
        <v>29282</v>
      </c>
      <c r="I45" s="11163">
        <f>H45/G45</f>
        <v>0.117128</v>
      </c>
      <c r="J45" s="11665">
        <v>250000</v>
      </c>
    </row>
    <row r="46" spans="1:12" ht="12.9" customHeight="1">
      <c r="A46" s="7657"/>
      <c r="B46" s="8805" t="s">
        <v>42</v>
      </c>
      <c r="C46" s="8802">
        <v>50203010</v>
      </c>
      <c r="D46" s="11664">
        <f>'WS-MOOE 2017'!J47</f>
        <v>364280.4</v>
      </c>
      <c r="E46" s="11664">
        <f>'WS-MOOE ACTUAL JUNE 2018'!H48</f>
        <v>21630.1</v>
      </c>
      <c r="F46" s="11667">
        <f t="shared" si="2"/>
        <v>293369.90000000002</v>
      </c>
      <c r="G46" s="11664">
        <v>315000</v>
      </c>
      <c r="H46" s="11664">
        <v>236841.4</v>
      </c>
      <c r="I46" s="11163">
        <f>H46/G46</f>
        <v>0.75187746031746028</v>
      </c>
      <c r="J46" s="11665">
        <v>315000</v>
      </c>
    </row>
    <row r="47" spans="1:12" ht="12.9" customHeight="1">
      <c r="A47" s="7657"/>
      <c r="B47" s="8805" t="s">
        <v>44</v>
      </c>
      <c r="C47" s="8802">
        <v>50203090</v>
      </c>
      <c r="D47" s="11664">
        <f>'WS-MOOE 2017'!R47</f>
        <v>314999.74</v>
      </c>
      <c r="E47" s="11664">
        <f>'WS-MOOE ACTUAL JUNE 2018'!O48</f>
        <v>0</v>
      </c>
      <c r="F47" s="11667">
        <f t="shared" si="2"/>
        <v>365000</v>
      </c>
      <c r="G47" s="11664">
        <v>365000</v>
      </c>
      <c r="H47" s="11664">
        <v>0</v>
      </c>
      <c r="I47" s="11163">
        <f t="shared" ref="I47:I61" si="3">H47/G47</f>
        <v>0</v>
      </c>
      <c r="J47" s="11665">
        <v>365000</v>
      </c>
    </row>
    <row r="48" spans="1:12" ht="12.9" customHeight="1">
      <c r="A48" s="7657"/>
      <c r="B48" s="7287" t="s">
        <v>10980</v>
      </c>
      <c r="C48" s="8802">
        <v>50203100</v>
      </c>
      <c r="D48" s="11664">
        <f>'WS-MOOE 2017'!T47</f>
        <v>51854</v>
      </c>
      <c r="E48" s="11664">
        <f>'WS-MOOE ACTUAL JUNE 2018'!P48</f>
        <v>7180</v>
      </c>
      <c r="F48" s="11667">
        <f t="shared" si="2"/>
        <v>142820</v>
      </c>
      <c r="G48" s="11664">
        <v>150000</v>
      </c>
      <c r="H48" s="11664">
        <v>62180</v>
      </c>
      <c r="I48" s="11163">
        <f t="shared" si="3"/>
        <v>0.41453333333333331</v>
      </c>
      <c r="J48" s="11665">
        <v>150000</v>
      </c>
    </row>
    <row r="49" spans="1:11" ht="12.9" customHeight="1">
      <c r="A49" s="7657"/>
      <c r="B49" s="8805" t="s">
        <v>45</v>
      </c>
      <c r="C49" s="8802">
        <v>50204010</v>
      </c>
      <c r="D49" s="11664">
        <f>'WS-MOOE 2017'!W47</f>
        <v>43000.57</v>
      </c>
      <c r="E49" s="11664">
        <f>'WS-MOOE ACTUAL JUNE 2018'!R48</f>
        <v>16524.64</v>
      </c>
      <c r="F49" s="11667">
        <f t="shared" si="2"/>
        <v>33475.360000000001</v>
      </c>
      <c r="G49" s="11664">
        <v>50000</v>
      </c>
      <c r="H49" s="11664">
        <v>19511.03</v>
      </c>
      <c r="I49" s="11163">
        <f t="shared" si="3"/>
        <v>0.39022059999999997</v>
      </c>
      <c r="J49" s="11678">
        <v>0</v>
      </c>
      <c r="K49" s="8899">
        <v>50000</v>
      </c>
    </row>
    <row r="50" spans="1:11" ht="12.9" customHeight="1">
      <c r="A50" s="7657"/>
      <c r="B50" s="8805" t="s">
        <v>46</v>
      </c>
      <c r="C50" s="8802">
        <v>50204020</v>
      </c>
      <c r="D50" s="11664">
        <f>'WS-MOOE 2017'!X47</f>
        <v>243757.11</v>
      </c>
      <c r="E50" s="11664">
        <f>'WS-MOOE ACTUAL JUNE 2018'!S48</f>
        <v>115116.25</v>
      </c>
      <c r="F50" s="11667">
        <f t="shared" si="2"/>
        <v>134883.75</v>
      </c>
      <c r="G50" s="11664">
        <v>250000</v>
      </c>
      <c r="H50" s="11664">
        <v>159955.69</v>
      </c>
      <c r="I50" s="11163">
        <f t="shared" si="3"/>
        <v>0.63982276000000005</v>
      </c>
      <c r="J50" s="11678">
        <v>0</v>
      </c>
      <c r="K50" s="8899">
        <v>250000</v>
      </c>
    </row>
    <row r="51" spans="1:11" ht="12.9" customHeight="1">
      <c r="A51" s="7657"/>
      <c r="B51" s="8805" t="s">
        <v>62</v>
      </c>
      <c r="C51" s="8802">
        <v>50205010</v>
      </c>
      <c r="D51" s="11664">
        <f>'WS-MOOE 2017'!Z47</f>
        <v>4500</v>
      </c>
      <c r="E51" s="11664">
        <f>'WS-MOOE ACTUAL JUNE 2018'!U48</f>
        <v>2317.44</v>
      </c>
      <c r="F51" s="11667">
        <f t="shared" si="2"/>
        <v>3182.56</v>
      </c>
      <c r="G51" s="11664">
        <v>5500</v>
      </c>
      <c r="H51" s="11664">
        <v>2317.44</v>
      </c>
      <c r="I51" s="11163">
        <f t="shared" si="3"/>
        <v>0.42135272727272727</v>
      </c>
      <c r="J51" s="11665">
        <v>5500</v>
      </c>
    </row>
    <row r="52" spans="1:11" ht="12.9" customHeight="1">
      <c r="A52" s="7657"/>
      <c r="B52" s="8808" t="s">
        <v>155</v>
      </c>
      <c r="C52" s="8802">
        <v>50205020</v>
      </c>
      <c r="D52" s="11664">
        <f>'WS-MOOE 2017'!AA47+'WS-MOOE 2017'!AC47</f>
        <v>214306.15</v>
      </c>
      <c r="E52" s="11664">
        <f>'WS-MOOE ACTUAL JUNE 2018'!V48</f>
        <v>98031.83</v>
      </c>
      <c r="F52" s="11667">
        <f t="shared" si="2"/>
        <v>181968.16999999998</v>
      </c>
      <c r="G52" s="11664">
        <v>280000</v>
      </c>
      <c r="H52" s="11664">
        <v>120710.24</v>
      </c>
      <c r="I52" s="11163">
        <f t="shared" si="3"/>
        <v>0.43110799999999999</v>
      </c>
      <c r="J52" s="11665">
        <v>280000</v>
      </c>
    </row>
    <row r="53" spans="1:11" ht="12.9" hidden="1" customHeight="1">
      <c r="A53" s="7657"/>
      <c r="B53" s="8805" t="s">
        <v>89</v>
      </c>
      <c r="C53" s="8802"/>
      <c r="D53" s="11664"/>
      <c r="E53" s="11664"/>
      <c r="F53" s="11667">
        <f t="shared" si="2"/>
        <v>0</v>
      </c>
      <c r="G53" s="11664"/>
      <c r="H53" s="11664">
        <v>0</v>
      </c>
      <c r="I53" s="11163" t="e">
        <f t="shared" si="3"/>
        <v>#DIV/0!</v>
      </c>
      <c r="J53" s="11665"/>
    </row>
    <row r="54" spans="1:11" ht="12.9" hidden="1" customHeight="1">
      <c r="A54" s="7657"/>
      <c r="B54" s="8809" t="s">
        <v>10973</v>
      </c>
      <c r="C54" s="10377">
        <v>50205030</v>
      </c>
      <c r="D54" s="11664"/>
      <c r="E54" s="11664"/>
      <c r="F54" s="11667"/>
      <c r="G54" s="11664">
        <v>0</v>
      </c>
      <c r="H54" s="11664"/>
      <c r="I54" s="11163"/>
      <c r="J54" s="11665">
        <v>0</v>
      </c>
    </row>
    <row r="55" spans="1:11" ht="12.9" customHeight="1">
      <c r="A55" s="7657"/>
      <c r="B55" s="7352" t="s">
        <v>10940</v>
      </c>
      <c r="C55" s="8872">
        <v>50212990</v>
      </c>
      <c r="D55" s="11664">
        <f>'WS-MOOE 2017'!AO47</f>
        <v>481376.98</v>
      </c>
      <c r="E55" s="11664">
        <f>'WS-MOOE ACTUAL JUNE 2018'!AJ48</f>
        <v>149693.76000000001</v>
      </c>
      <c r="F55" s="11667">
        <f t="shared" si="2"/>
        <v>315306.23999999999</v>
      </c>
      <c r="G55" s="11664">
        <v>465000</v>
      </c>
      <c r="H55" s="11664">
        <v>294913.14</v>
      </c>
      <c r="I55" s="11163">
        <f t="shared" si="3"/>
        <v>0.63422180645161297</v>
      </c>
      <c r="J55" s="11665">
        <v>465000</v>
      </c>
    </row>
    <row r="56" spans="1:11" ht="12.9" customHeight="1">
      <c r="A56" s="7657"/>
      <c r="B56" s="7488" t="s">
        <v>10959</v>
      </c>
      <c r="C56" s="10377">
        <v>50213040</v>
      </c>
      <c r="D56" s="11664">
        <f>'WS-MOOE 2017'!AS47</f>
        <v>99000.2</v>
      </c>
      <c r="E56" s="11664">
        <f>'WS-MOOE ACTUAL JUNE 2018'!AN48</f>
        <v>0</v>
      </c>
      <c r="F56" s="11667">
        <f t="shared" ref="F56:F61" si="4">G56-E56</f>
        <v>125500</v>
      </c>
      <c r="G56" s="11664">
        <v>125500</v>
      </c>
      <c r="H56" s="11664">
        <v>59716</v>
      </c>
      <c r="I56" s="11163">
        <f t="shared" si="3"/>
        <v>0.47582470119521914</v>
      </c>
      <c r="J56" s="11665">
        <v>100000</v>
      </c>
    </row>
    <row r="57" spans="1:11" ht="12.9" hidden="1" customHeight="1">
      <c r="A57" s="7657"/>
      <c r="B57" s="7352" t="s">
        <v>115</v>
      </c>
      <c r="C57" s="10387"/>
      <c r="D57" s="11664"/>
      <c r="E57" s="11664"/>
      <c r="F57" s="11667">
        <f t="shared" si="4"/>
        <v>0</v>
      </c>
      <c r="G57" s="11664"/>
      <c r="H57" s="11664">
        <v>0</v>
      </c>
      <c r="I57" s="11163" t="e">
        <f t="shared" si="3"/>
        <v>#DIV/0!</v>
      </c>
      <c r="J57" s="11665"/>
    </row>
    <row r="58" spans="1:11" ht="12.9" customHeight="1">
      <c r="A58" s="7657"/>
      <c r="B58" s="7488" t="s">
        <v>10938</v>
      </c>
      <c r="C58" s="8872">
        <v>50213050</v>
      </c>
      <c r="D58" s="11664">
        <f>'WS-MOOE 2017'!AW47</f>
        <v>45929</v>
      </c>
      <c r="E58" s="11664">
        <f>'WS-MOOE ACTUAL JUNE 2018'!AS48</f>
        <v>0</v>
      </c>
      <c r="F58" s="11667">
        <f t="shared" si="4"/>
        <v>120000</v>
      </c>
      <c r="G58" s="11664">
        <v>120000</v>
      </c>
      <c r="H58" s="11664">
        <v>72188</v>
      </c>
      <c r="I58" s="11163">
        <f t="shared" si="3"/>
        <v>0.60156666666666669</v>
      </c>
      <c r="J58" s="11665">
        <v>120000</v>
      </c>
    </row>
    <row r="59" spans="1:11" ht="12.9" customHeight="1">
      <c r="A59" s="7657"/>
      <c r="B59" s="7488" t="s">
        <v>10937</v>
      </c>
      <c r="C59" s="11258">
        <v>50213060</v>
      </c>
      <c r="D59" s="11664">
        <f>'WS-MOOE 2017'!BB47</f>
        <v>313411.7</v>
      </c>
      <c r="E59" s="11664">
        <f>'WS-MOOE ACTUAL JUNE 2018'!AT48</f>
        <v>0</v>
      </c>
      <c r="F59" s="11667">
        <f t="shared" si="4"/>
        <v>260000</v>
      </c>
      <c r="G59" s="11664">
        <v>260000</v>
      </c>
      <c r="H59" s="11664">
        <v>231400</v>
      </c>
      <c r="I59" s="11163">
        <f t="shared" si="3"/>
        <v>0.89</v>
      </c>
      <c r="J59" s="11665">
        <v>260000</v>
      </c>
    </row>
    <row r="60" spans="1:11" ht="12.9" customHeight="1">
      <c r="A60" s="7657"/>
      <c r="B60" s="8806" t="s">
        <v>49</v>
      </c>
      <c r="C60" s="8872">
        <v>50215020</v>
      </c>
      <c r="D60" s="11664">
        <f>'WS-MOOE 2017'!BH47</f>
        <v>12000</v>
      </c>
      <c r="E60" s="11664">
        <f>'WS-MOOE ACTUAL JUNE 2018'!AZ48</f>
        <v>12375</v>
      </c>
      <c r="F60" s="11667">
        <f t="shared" si="4"/>
        <v>10725</v>
      </c>
      <c r="G60" s="11664">
        <v>23100</v>
      </c>
      <c r="H60" s="11664">
        <v>16875</v>
      </c>
      <c r="I60" s="11163">
        <f t="shared" si="3"/>
        <v>0.73051948051948057</v>
      </c>
      <c r="J60" s="11665">
        <v>23100</v>
      </c>
    </row>
    <row r="61" spans="1:11" ht="12.9" customHeight="1">
      <c r="A61" s="7657"/>
      <c r="B61" s="8808" t="s">
        <v>50</v>
      </c>
      <c r="C61" s="10149">
        <v>50299990</v>
      </c>
      <c r="D61" s="11664">
        <f>'WS-MOOE 2017'!BO47</f>
        <v>209807.19</v>
      </c>
      <c r="E61" s="11664">
        <f>'WS-MOOE ACTUAL JUNE 2018'!BI48</f>
        <v>6456.8</v>
      </c>
      <c r="F61" s="11667">
        <f t="shared" si="4"/>
        <v>243543.2</v>
      </c>
      <c r="G61" s="11664">
        <v>250000</v>
      </c>
      <c r="H61" s="11664">
        <v>62583.9</v>
      </c>
      <c r="I61" s="11163">
        <f t="shared" si="3"/>
        <v>0.25033559999999999</v>
      </c>
      <c r="J61" s="11665">
        <v>250000</v>
      </c>
    </row>
    <row r="62" spans="1:11" ht="12.9" customHeight="1">
      <c r="A62" s="7657"/>
      <c r="B62" s="8808" t="s">
        <v>11547</v>
      </c>
      <c r="C62" s="10136"/>
      <c r="D62" s="11664"/>
      <c r="E62" s="11664"/>
      <c r="F62" s="11667"/>
      <c r="G62" s="11664"/>
      <c r="H62" s="11664"/>
      <c r="I62" s="11163"/>
      <c r="J62" s="11665">
        <v>50773</v>
      </c>
    </row>
    <row r="63" spans="1:11" ht="12.9" customHeight="1">
      <c r="A63" s="7657"/>
      <c r="B63" s="7315" t="s">
        <v>37</v>
      </c>
      <c r="C63" s="10136"/>
      <c r="D63" s="11712">
        <f>SUM(D43:D62)</f>
        <v>3658204.8400000003</v>
      </c>
      <c r="E63" s="11712">
        <f>SUM(E43:E62)</f>
        <v>889709.50999999989</v>
      </c>
      <c r="F63" s="11712">
        <f>SUM(F43:F62)</f>
        <v>3269390.49</v>
      </c>
      <c r="G63" s="11712">
        <f>SUM(G43:G62)</f>
        <v>4159100</v>
      </c>
      <c r="H63" s="11712">
        <f>SUM(H44:H61)</f>
        <v>2070233.8499999996</v>
      </c>
      <c r="I63" s="11206">
        <f>H63/G63</f>
        <v>0.49776005626217201</v>
      </c>
      <c r="J63" s="11713">
        <f>SUM(J43:J62)</f>
        <v>3884373</v>
      </c>
      <c r="K63" s="10391">
        <f>(J63-G63)/G63</f>
        <v>-6.6054434853694305E-2</v>
      </c>
    </row>
    <row r="64" spans="1:11" ht="12.9" customHeight="1">
      <c r="A64" s="7657"/>
      <c r="B64" s="7315"/>
      <c r="C64" s="10136"/>
      <c r="D64" s="11687"/>
      <c r="E64" s="11687"/>
      <c r="F64" s="11687"/>
      <c r="G64" s="11687"/>
      <c r="H64" s="11687"/>
      <c r="I64" s="11210"/>
      <c r="J64" s="11689"/>
    </row>
    <row r="65" spans="1:12" ht="12.9" customHeight="1">
      <c r="A65" s="12527">
        <v>2</v>
      </c>
      <c r="B65" s="7287" t="s">
        <v>52</v>
      </c>
      <c r="C65" s="10136"/>
      <c r="D65" s="11687"/>
      <c r="E65" s="11687"/>
      <c r="F65" s="11687"/>
      <c r="G65" s="11664"/>
      <c r="H65" s="11664"/>
      <c r="I65" s="11163"/>
      <c r="J65" s="11665"/>
    </row>
    <row r="66" spans="1:12" ht="12.9" customHeight="1">
      <c r="A66" s="11663"/>
      <c r="B66" s="7615" t="s">
        <v>11761</v>
      </c>
      <c r="C66" s="12528"/>
      <c r="D66" s="11664">
        <f>'WS-CO 2017'!F46</f>
        <v>0</v>
      </c>
      <c r="E66" s="11664"/>
      <c r="F66" s="11664"/>
      <c r="G66" s="11664"/>
      <c r="H66" s="11664"/>
      <c r="I66" s="11163"/>
      <c r="J66" s="11665">
        <v>49227</v>
      </c>
    </row>
    <row r="67" spans="1:12" ht="12.9" customHeight="1">
      <c r="A67" s="11690"/>
      <c r="B67" s="7287" t="s">
        <v>5023</v>
      </c>
      <c r="C67" s="8802">
        <v>50707010</v>
      </c>
      <c r="D67" s="11664">
        <f>'WS-CO 2017'!K46</f>
        <v>296560</v>
      </c>
      <c r="E67" s="11664"/>
      <c r="F67" s="11667">
        <f>G67-E67</f>
        <v>0</v>
      </c>
      <c r="G67" s="11664">
        <v>0</v>
      </c>
      <c r="H67" s="11664"/>
      <c r="I67" s="11163"/>
      <c r="J67" s="11665">
        <v>0</v>
      </c>
    </row>
    <row r="68" spans="1:12" ht="6" customHeight="1">
      <c r="A68" s="11663"/>
      <c r="B68" s="7287"/>
      <c r="C68" s="10136"/>
      <c r="D68" s="11664"/>
      <c r="E68" s="11664"/>
      <c r="F68" s="11664"/>
      <c r="G68" s="11664"/>
      <c r="H68" s="11664"/>
      <c r="I68" s="11163"/>
      <c r="J68" s="11665"/>
    </row>
    <row r="69" spans="1:12" ht="12.9" customHeight="1">
      <c r="A69" s="11663"/>
      <c r="B69" s="7315" t="s">
        <v>37</v>
      </c>
      <c r="C69" s="10136"/>
      <c r="D69" s="9465">
        <f>SUM(D65:D68)</f>
        <v>296560</v>
      </c>
      <c r="E69" s="9465">
        <f>SUM(E65:E68)</f>
        <v>0</v>
      </c>
      <c r="F69" s="9465">
        <f>SUM(F65:F68)</f>
        <v>0</v>
      </c>
      <c r="G69" s="9465">
        <f>SUM(G65:G68)</f>
        <v>0</v>
      </c>
      <c r="H69" s="9465">
        <f>SUM(H66:H68)</f>
        <v>0</v>
      </c>
      <c r="I69" s="9466"/>
      <c r="J69" s="11744">
        <f>SUM(J65:J68)</f>
        <v>49227</v>
      </c>
    </row>
    <row r="70" spans="1:12" ht="12.9" customHeight="1">
      <c r="A70" s="11663" t="s">
        <v>53</v>
      </c>
      <c r="B70" s="7287" t="s">
        <v>3445</v>
      </c>
      <c r="C70" s="10136"/>
      <c r="D70" s="11664"/>
      <c r="E70" s="11664"/>
      <c r="F70" s="11664"/>
      <c r="G70" s="11664"/>
      <c r="H70" s="11664"/>
      <c r="I70" s="11163"/>
      <c r="J70" s="11665"/>
    </row>
    <row r="71" spans="1:12" ht="7.5" customHeight="1">
      <c r="A71" s="11663"/>
      <c r="B71" s="7287"/>
      <c r="C71" s="10136"/>
      <c r="D71" s="11664"/>
      <c r="E71" s="11664"/>
      <c r="F71" s="11664"/>
      <c r="G71" s="11664"/>
      <c r="H71" s="11664"/>
      <c r="I71" s="11163"/>
      <c r="J71" s="11665"/>
    </row>
    <row r="72" spans="1:12" ht="12.9" customHeight="1">
      <c r="A72" s="11663"/>
      <c r="B72" s="7295" t="s">
        <v>182</v>
      </c>
      <c r="C72" s="10136"/>
      <c r="D72" s="11694">
        <v>0</v>
      </c>
      <c r="E72" s="11694">
        <v>0</v>
      </c>
      <c r="F72" s="11694">
        <v>0</v>
      </c>
      <c r="G72" s="11695">
        <v>0</v>
      </c>
      <c r="H72" s="11695"/>
      <c r="I72" s="11220"/>
      <c r="J72" s="12446">
        <v>0</v>
      </c>
    </row>
    <row r="73" spans="1:12" ht="6.9" customHeight="1" thickBot="1">
      <c r="A73" s="11663"/>
      <c r="B73" s="7295"/>
      <c r="C73" s="10136"/>
      <c r="D73" s="11673"/>
      <c r="E73" s="7326"/>
      <c r="F73" s="7326"/>
      <c r="G73" s="7326"/>
      <c r="H73" s="7326"/>
      <c r="I73" s="7327"/>
      <c r="J73" s="11674"/>
    </row>
    <row r="74" spans="1:12" ht="15" customHeight="1" thickBot="1">
      <c r="A74" s="12471"/>
      <c r="B74" s="12469" t="s">
        <v>55</v>
      </c>
      <c r="C74" s="12529"/>
      <c r="D74" s="12530">
        <f>(D29+D63+D69+D72)</f>
        <v>26929665.02</v>
      </c>
      <c r="E74" s="12530">
        <f>(E29+E63+E69+E72)</f>
        <v>12130845.32</v>
      </c>
      <c r="F74" s="12530">
        <f>(F29+F63+F69+F72)</f>
        <v>23648928.68</v>
      </c>
      <c r="G74" s="12530">
        <f>(G29+G63+G69+G72)</f>
        <v>35779774</v>
      </c>
      <c r="H74" s="12530"/>
      <c r="I74" s="7507"/>
      <c r="J74" s="12470">
        <f>(J29+J63+J69+J72)</f>
        <v>38665294.579999998</v>
      </c>
      <c r="K74" s="10391">
        <f>(J74-G74)/G74</f>
        <v>8.064669665045951E-2</v>
      </c>
    </row>
    <row r="75" spans="1:12" s="7333" customFormat="1" ht="15" customHeight="1">
      <c r="A75" s="7738" t="s">
        <v>4763</v>
      </c>
      <c r="B75" s="7738"/>
      <c r="C75" s="7739"/>
      <c r="D75" s="7740"/>
      <c r="E75" s="7740"/>
      <c r="F75" s="7740"/>
      <c r="G75" s="7741"/>
      <c r="H75" s="7740"/>
      <c r="I75" s="7742"/>
      <c r="J75" s="7741"/>
      <c r="L75" s="7842"/>
    </row>
    <row r="76" spans="1:12" ht="15" customHeight="1">
      <c r="A76" s="7276"/>
      <c r="B76" s="7276"/>
      <c r="C76" s="7278"/>
      <c r="D76" s="7285"/>
      <c r="E76" s="7285"/>
      <c r="F76" s="7285"/>
      <c r="G76" s="7334"/>
      <c r="H76" s="7285"/>
      <c r="I76" s="7286"/>
      <c r="J76" s="7334"/>
    </row>
    <row r="77" spans="1:12" ht="15" hidden="1" customHeight="1">
      <c r="A77" s="7335" t="s">
        <v>3483</v>
      </c>
      <c r="B77" s="7335"/>
      <c r="C77" s="10884" t="s">
        <v>3484</v>
      </c>
      <c r="D77" s="7275"/>
      <c r="E77" s="7336"/>
      <c r="F77" s="9459" t="s">
        <v>10666</v>
      </c>
      <c r="G77" s="7275"/>
      <c r="H77" s="7336"/>
      <c r="I77" s="7286"/>
      <c r="J77" s="7338"/>
    </row>
    <row r="78" spans="1:12" s="7340" customFormat="1" ht="15" hidden="1" customHeight="1">
      <c r="A78" s="7335"/>
      <c r="B78" s="7335"/>
      <c r="D78" s="10884"/>
      <c r="E78" s="7336"/>
      <c r="F78" s="7336"/>
      <c r="G78" s="7339"/>
      <c r="H78" s="7336"/>
      <c r="I78" s="7286"/>
      <c r="J78" s="7338"/>
      <c r="L78" s="10258"/>
    </row>
    <row r="79" spans="1:12" ht="15" hidden="1" customHeight="1">
      <c r="A79" s="7335"/>
      <c r="B79" s="7335"/>
      <c r="C79" s="7275"/>
      <c r="D79" s="10884"/>
      <c r="E79" s="7336"/>
      <c r="F79" s="7336"/>
      <c r="G79" s="7339"/>
      <c r="H79" s="7336"/>
      <c r="I79" s="7286"/>
      <c r="J79" s="7338"/>
    </row>
    <row r="80" spans="1:12" ht="15" hidden="1" customHeight="1">
      <c r="A80" s="7341"/>
      <c r="B80" s="10885" t="s">
        <v>9490</v>
      </c>
      <c r="C80" s="7275"/>
      <c r="D80" s="10872" t="s">
        <v>12059</v>
      </c>
      <c r="E80" s="9431"/>
      <c r="F80" s="9431"/>
      <c r="G80" s="7342" t="s">
        <v>10667</v>
      </c>
      <c r="H80" s="9431"/>
      <c r="I80" s="7284"/>
      <c r="J80" s="7343"/>
    </row>
    <row r="81" spans="1:10" ht="15" hidden="1" customHeight="1">
      <c r="A81" s="7335" t="s">
        <v>9171</v>
      </c>
      <c r="B81" s="10884" t="s">
        <v>9491</v>
      </c>
      <c r="C81" s="7275"/>
      <c r="D81" s="10869" t="s">
        <v>3486</v>
      </c>
      <c r="E81" s="7336"/>
      <c r="F81" s="7336"/>
      <c r="G81" s="7344" t="s">
        <v>10668</v>
      </c>
      <c r="H81" s="7336"/>
      <c r="I81" s="7286"/>
      <c r="J81" s="7338"/>
    </row>
    <row r="82" spans="1:10" ht="15" customHeight="1">
      <c r="A82" s="7276"/>
      <c r="B82" s="7276"/>
      <c r="C82" s="7278"/>
      <c r="D82" s="7285"/>
      <c r="E82" s="7285"/>
      <c r="F82" s="7285"/>
      <c r="G82" s="7285"/>
      <c r="H82" s="7345"/>
      <c r="I82" s="7286"/>
      <c r="J82" s="7285"/>
    </row>
    <row r="83" spans="1:10" ht="15" customHeight="1">
      <c r="A83" s="7276"/>
      <c r="B83" s="7276"/>
      <c r="C83" s="7278"/>
      <c r="D83" s="7285"/>
      <c r="E83" s="7285"/>
      <c r="F83" s="7285"/>
      <c r="G83" s="7285"/>
      <c r="H83" s="7345"/>
      <c r="I83" s="7286"/>
      <c r="J83" s="7285"/>
    </row>
    <row r="84" spans="1:10" ht="15" customHeight="1">
      <c r="A84" s="7276"/>
      <c r="B84" s="7276"/>
      <c r="C84" s="7278"/>
      <c r="D84" s="7285"/>
      <c r="E84" s="7285"/>
      <c r="F84" s="7285"/>
      <c r="G84" s="7285"/>
      <c r="H84" s="7345"/>
      <c r="I84" s="7286"/>
      <c r="J84" s="7285"/>
    </row>
    <row r="85" spans="1:10" ht="15" customHeight="1">
      <c r="A85" s="7276"/>
      <c r="B85" s="7276"/>
      <c r="C85" s="7278"/>
      <c r="D85" s="7285"/>
      <c r="E85" s="7285"/>
      <c r="F85" s="7285"/>
      <c r="G85" s="7285"/>
      <c r="H85" s="7345"/>
      <c r="I85" s="7286"/>
      <c r="J85" s="7285"/>
    </row>
    <row r="86" spans="1:10" ht="15" hidden="1" customHeight="1">
      <c r="A86" s="7276"/>
      <c r="B86" s="7276"/>
      <c r="C86" s="7278"/>
      <c r="D86" s="7285"/>
      <c r="E86" s="7285"/>
      <c r="F86" s="7285"/>
      <c r="G86" s="8900" t="s">
        <v>11078</v>
      </c>
      <c r="H86" s="7285"/>
      <c r="I86" s="7286"/>
      <c r="J86" s="8900" t="s">
        <v>11080</v>
      </c>
    </row>
    <row r="87" spans="1:10" ht="15" hidden="1" customHeight="1">
      <c r="A87" s="7276"/>
      <c r="B87" s="7276"/>
      <c r="C87" s="7278"/>
      <c r="D87" s="7285"/>
      <c r="E87" s="7285"/>
      <c r="F87" s="7285"/>
      <c r="G87" s="11058"/>
      <c r="H87" s="7285"/>
      <c r="I87" s="7286"/>
      <c r="J87" s="11058"/>
    </row>
    <row r="88" spans="1:10" ht="15" hidden="1" customHeight="1">
      <c r="A88" s="7276"/>
      <c r="B88" s="7276"/>
      <c r="C88" s="7278"/>
      <c r="D88" s="7285"/>
      <c r="E88" s="7285"/>
      <c r="F88" s="7285"/>
      <c r="G88" s="7285"/>
      <c r="H88" s="7285"/>
      <c r="I88" s="7286"/>
      <c r="J88" s="7685"/>
    </row>
    <row r="89" spans="1:10" ht="15" hidden="1" customHeight="1">
      <c r="A89" s="7276"/>
      <c r="B89" s="7281"/>
      <c r="C89" s="7282"/>
      <c r="D89" s="7283"/>
      <c r="E89" s="7283"/>
      <c r="F89" s="7283">
        <v>30359027</v>
      </c>
      <c r="G89" s="7285">
        <f>G74-F89</f>
        <v>5420747</v>
      </c>
      <c r="H89" s="7283"/>
      <c r="I89" s="7284"/>
      <c r="J89" s="7685">
        <f>J74-G74</f>
        <v>2885520.5799999982</v>
      </c>
    </row>
    <row r="90" spans="1:10" ht="15" hidden="1" customHeight="1">
      <c r="A90" s="7276"/>
      <c r="B90" s="7276"/>
      <c r="C90" s="7278"/>
      <c r="D90" s="7285"/>
      <c r="E90" s="7285"/>
      <c r="F90" s="7285"/>
      <c r="G90" s="9430">
        <f>G89/F89</f>
        <v>0.17855470137432269</v>
      </c>
      <c r="H90" s="7285"/>
      <c r="I90" s="7286"/>
      <c r="J90" s="8865">
        <f>J89/G74</f>
        <v>8.064669665045951E-2</v>
      </c>
    </row>
    <row r="91" spans="1:10" ht="15" customHeight="1">
      <c r="A91" s="7276"/>
      <c r="B91" s="7276"/>
      <c r="C91" s="7278"/>
      <c r="D91" s="7285"/>
      <c r="E91" s="7285"/>
      <c r="F91" s="7285"/>
      <c r="G91" s="7285"/>
      <c r="H91" s="7285"/>
      <c r="I91" s="7286"/>
      <c r="J91" s="7285"/>
    </row>
    <row r="92" spans="1:10" ht="15" customHeight="1">
      <c r="A92" s="7276"/>
      <c r="B92" s="7281"/>
      <c r="C92" s="7282"/>
      <c r="D92" s="7283"/>
      <c r="E92" s="7283"/>
      <c r="F92" s="7283"/>
      <c r="G92" s="7285"/>
      <c r="H92" s="7283"/>
      <c r="I92" s="7284"/>
      <c r="J92" s="7285"/>
    </row>
    <row r="93" spans="1:10" ht="15" customHeight="1">
      <c r="A93" s="7276"/>
      <c r="B93" s="7276"/>
      <c r="C93" s="7278"/>
      <c r="D93" s="7285"/>
      <c r="E93" s="7285"/>
      <c r="F93" s="7285"/>
      <c r="G93" s="7285"/>
      <c r="H93" s="7285"/>
      <c r="I93" s="7286"/>
      <c r="J93" s="7285"/>
    </row>
  </sheetData>
  <mergeCells count="9">
    <mergeCell ref="A1:J1"/>
    <mergeCell ref="E40:G40"/>
    <mergeCell ref="G41:G42"/>
    <mergeCell ref="C8:C9"/>
    <mergeCell ref="J4:J5"/>
    <mergeCell ref="C41:C42"/>
    <mergeCell ref="G4:G5"/>
    <mergeCell ref="E7:G7"/>
    <mergeCell ref="G8:G9"/>
  </mergeCells>
  <printOptions horizontalCentered="1" gridLinesSet="0"/>
  <pageMargins left="0.25" right="0.25" top="0.5" bottom="0.25" header="0.25" footer="0.25"/>
  <pageSetup paperSize="119" firstPageNumber="347" orientation="landscape" useFirstPageNumber="1" r:id="rId1"/>
  <headerFooter alignWithMargins="0"/>
</worksheet>
</file>

<file path=xl/worksheets/sheet17.xml><?xml version="1.0" encoding="utf-8"?>
<worksheet xmlns="http://schemas.openxmlformats.org/spreadsheetml/2006/main" xmlns:r="http://schemas.openxmlformats.org/officeDocument/2006/relationships">
  <sheetPr codeName="Sheet146">
    <tabColor rgb="FF7030A0"/>
  </sheetPr>
  <dimension ref="A1:Q130"/>
  <sheetViews>
    <sheetView showGridLines="0" topLeftCell="A13" workbookViewId="0">
      <selection sqref="A1:J1"/>
    </sheetView>
  </sheetViews>
  <sheetFormatPr defaultColWidth="9.109375" defaultRowHeight="13.8"/>
  <cols>
    <col min="1" max="1" width="2.88671875" style="5140" customWidth="1"/>
    <col min="2" max="2" width="34.88671875" style="5140" customWidth="1"/>
    <col min="3" max="3" width="7.109375" style="5140" customWidth="1"/>
    <col min="4" max="4" width="6.109375" style="5140" customWidth="1"/>
    <col min="5" max="5" width="1.44140625" style="5140" customWidth="1"/>
    <col min="6" max="6" width="16.109375" style="8633" customWidth="1"/>
    <col min="7" max="7" width="1.88671875" style="5140" customWidth="1"/>
    <col min="8" max="8" width="16" style="8666" customWidth="1"/>
    <col min="9" max="9" width="2" style="8409" customWidth="1"/>
    <col min="10" max="10" width="15.109375" style="10350" customWidth="1"/>
    <col min="11" max="11" width="19" style="5141" hidden="1" customWidth="1"/>
    <col min="12" max="12" width="14.44140625" style="5140" hidden="1" customWidth="1"/>
    <col min="13" max="13" width="17.44140625" style="5140" hidden="1" customWidth="1"/>
    <col min="14" max="14" width="17.109375" style="5141" hidden="1" customWidth="1"/>
    <col min="15" max="15" width="16.109375" style="5140" hidden="1" customWidth="1"/>
    <col min="16" max="16" width="0" style="5140" hidden="1" customWidth="1"/>
    <col min="17" max="17" width="16.109375" style="5140" hidden="1" customWidth="1"/>
    <col min="18" max="16384" width="9.109375" style="5140"/>
  </cols>
  <sheetData>
    <row r="1" spans="1:15" s="8236" customFormat="1" ht="16.5" customHeight="1">
      <c r="A1" s="14080" t="s">
        <v>462</v>
      </c>
      <c r="B1" s="14080"/>
      <c r="C1" s="14080"/>
      <c r="D1" s="14080"/>
      <c r="E1" s="14080"/>
      <c r="F1" s="14080"/>
      <c r="G1" s="14080"/>
      <c r="H1" s="14080"/>
      <c r="I1" s="14080"/>
      <c r="J1" s="14080"/>
      <c r="K1" s="8235"/>
      <c r="N1" s="8235"/>
    </row>
    <row r="2" spans="1:15" ht="10.5" customHeight="1">
      <c r="A2" s="14081" t="s">
        <v>463</v>
      </c>
      <c r="B2" s="14081"/>
      <c r="C2" s="14081"/>
      <c r="D2" s="14081"/>
      <c r="E2" s="14081"/>
      <c r="F2" s="14081"/>
      <c r="G2" s="14081"/>
      <c r="H2" s="14081"/>
      <c r="I2" s="14081"/>
      <c r="J2" s="14081"/>
    </row>
    <row r="3" spans="1:15" s="5166" customFormat="1" ht="13.5" customHeight="1">
      <c r="A3" s="14082" t="s">
        <v>8</v>
      </c>
      <c r="B3" s="14082"/>
      <c r="C3" s="14082"/>
      <c r="D3" s="14082"/>
      <c r="E3" s="14082"/>
      <c r="F3" s="14082"/>
      <c r="G3" s="14082"/>
      <c r="H3" s="14082"/>
      <c r="I3" s="14082"/>
      <c r="J3" s="14082"/>
      <c r="K3" s="8237"/>
      <c r="N3" s="8237"/>
    </row>
    <row r="4" spans="1:15" s="8239" customFormat="1" ht="13.5" customHeight="1" thickBot="1">
      <c r="A4" s="8238"/>
      <c r="B4" s="8238"/>
      <c r="C4" s="8238"/>
      <c r="D4" s="8238"/>
      <c r="E4" s="8238"/>
      <c r="F4" s="8595"/>
      <c r="G4" s="8238"/>
      <c r="H4" s="8635"/>
      <c r="I4" s="8238"/>
      <c r="J4" s="10318"/>
      <c r="K4" s="6719"/>
      <c r="N4" s="6719"/>
    </row>
    <row r="5" spans="1:15">
      <c r="A5" s="8240"/>
      <c r="B5" s="8241"/>
      <c r="C5" s="8242" t="s">
        <v>464</v>
      </c>
      <c r="D5" s="8243" t="s">
        <v>465</v>
      </c>
      <c r="E5" s="14083" t="s">
        <v>11473</v>
      </c>
      <c r="F5" s="14084"/>
      <c r="G5" s="14085" t="s">
        <v>11502</v>
      </c>
      <c r="H5" s="14086"/>
      <c r="I5" s="14083" t="s">
        <v>11515</v>
      </c>
      <c r="J5" s="14087"/>
    </row>
    <row r="6" spans="1:15">
      <c r="A6" s="14088" t="s">
        <v>467</v>
      </c>
      <c r="B6" s="14089"/>
      <c r="C6" s="8244" t="s">
        <v>468</v>
      </c>
      <c r="D6" s="8245" t="s">
        <v>469</v>
      </c>
      <c r="E6" s="14072" t="s">
        <v>470</v>
      </c>
      <c r="F6" s="14090"/>
      <c r="G6" s="14091" t="s">
        <v>4815</v>
      </c>
      <c r="H6" s="14092"/>
      <c r="I6" s="14072" t="s">
        <v>471</v>
      </c>
      <c r="J6" s="14073"/>
    </row>
    <row r="7" spans="1:15">
      <c r="A7" s="8246" t="s">
        <v>472</v>
      </c>
      <c r="B7" s="8247"/>
      <c r="C7" s="8248" t="s">
        <v>473</v>
      </c>
      <c r="D7" s="8249" t="s">
        <v>474</v>
      </c>
      <c r="E7" s="14074" t="s">
        <v>475</v>
      </c>
      <c r="F7" s="14075"/>
      <c r="G7" s="14076" t="s">
        <v>476</v>
      </c>
      <c r="H7" s="14077"/>
      <c r="I7" s="14078" t="s">
        <v>477</v>
      </c>
      <c r="J7" s="14079"/>
    </row>
    <row r="8" spans="1:15" ht="4.5" customHeight="1">
      <c r="A8" s="5134"/>
      <c r="B8" s="5135"/>
      <c r="C8" s="8250"/>
      <c r="D8" s="8251"/>
      <c r="E8" s="5136"/>
      <c r="F8" s="8596"/>
      <c r="G8" s="5138"/>
      <c r="H8" s="8636"/>
      <c r="I8" s="5139"/>
      <c r="J8" s="10319"/>
    </row>
    <row r="9" spans="1:15" ht="17.100000000000001" customHeight="1">
      <c r="A9" s="8252" t="s">
        <v>478</v>
      </c>
      <c r="B9" s="8253" t="s">
        <v>455</v>
      </c>
      <c r="C9" s="5147"/>
      <c r="D9" s="8254"/>
      <c r="E9" s="8255" t="s">
        <v>405</v>
      </c>
      <c r="F9" s="8597">
        <f>'receipts program'!D9</f>
        <v>115000000</v>
      </c>
      <c r="G9" s="8256" t="s">
        <v>405</v>
      </c>
      <c r="H9" s="8637">
        <v>295000000</v>
      </c>
      <c r="I9" s="8257" t="s">
        <v>405</v>
      </c>
      <c r="J9" s="10320">
        <f>'receipts program'!M9</f>
        <v>105000000</v>
      </c>
    </row>
    <row r="10" spans="1:15" ht="6.75" customHeight="1">
      <c r="A10" s="8258"/>
      <c r="B10" s="8259"/>
      <c r="C10" s="8260"/>
      <c r="D10" s="8261"/>
      <c r="E10" s="8262"/>
      <c r="F10" s="8598"/>
      <c r="G10" s="8262"/>
      <c r="H10" s="8638"/>
      <c r="I10" s="8263"/>
      <c r="J10" s="10321"/>
    </row>
    <row r="11" spans="1:15" ht="17.100000000000001" customHeight="1">
      <c r="A11" s="8252" t="s">
        <v>129</v>
      </c>
      <c r="B11" s="8253" t="s">
        <v>465</v>
      </c>
      <c r="C11" s="8260"/>
      <c r="D11" s="8261"/>
      <c r="E11" s="8264"/>
      <c r="F11" s="8599"/>
      <c r="G11" s="8265"/>
      <c r="H11" s="8639"/>
      <c r="I11" s="8266"/>
      <c r="J11" s="10322"/>
    </row>
    <row r="12" spans="1:15" ht="6" customHeight="1">
      <c r="A12" s="8258"/>
      <c r="B12" s="8259"/>
      <c r="C12" s="8260"/>
      <c r="D12" s="8261"/>
      <c r="E12" s="8264"/>
      <c r="F12" s="8599"/>
      <c r="G12" s="8265"/>
      <c r="H12" s="8640"/>
      <c r="I12" s="8266"/>
      <c r="J12" s="10322"/>
    </row>
    <row r="13" spans="1:15" ht="17.100000000000001" customHeight="1">
      <c r="A13" s="8258"/>
      <c r="B13" s="8253" t="s">
        <v>479</v>
      </c>
      <c r="C13" s="8260"/>
      <c r="D13" s="8261"/>
      <c r="E13" s="8264"/>
      <c r="F13" s="8599"/>
      <c r="G13" s="8265"/>
      <c r="H13" s="8640"/>
      <c r="I13" s="8266"/>
      <c r="J13" s="10322"/>
    </row>
    <row r="14" spans="1:15" ht="17.100000000000001" customHeight="1" thickBot="1">
      <c r="A14" s="8258"/>
      <c r="B14" s="8267" t="s">
        <v>4753</v>
      </c>
      <c r="C14" s="8260"/>
      <c r="D14" s="8261"/>
      <c r="E14" s="8264"/>
      <c r="F14" s="8599"/>
      <c r="G14" s="8265"/>
      <c r="H14" s="8640"/>
      <c r="I14" s="8266"/>
      <c r="J14" s="10322"/>
    </row>
    <row r="15" spans="1:15" ht="17.100000000000001" customHeight="1">
      <c r="A15" s="8258"/>
      <c r="B15" s="8268" t="s">
        <v>480</v>
      </c>
      <c r="C15" s="5137">
        <v>588</v>
      </c>
      <c r="D15" s="8269" t="s">
        <v>481</v>
      </c>
      <c r="E15" s="8270" t="s">
        <v>405</v>
      </c>
      <c r="F15" s="8599">
        <f>'receipts program'!D15</f>
        <v>29140372.300000001</v>
      </c>
      <c r="G15" s="8271" t="s">
        <v>405</v>
      </c>
      <c r="H15" s="8640">
        <v>31000000</v>
      </c>
      <c r="I15" s="8272" t="s">
        <v>405</v>
      </c>
      <c r="J15" s="10322">
        <f>'receipts program'!M15</f>
        <v>32550000</v>
      </c>
      <c r="K15" s="5141">
        <f>J15</f>
        <v>32550000</v>
      </c>
      <c r="M15" s="8273"/>
      <c r="N15" s="10316" t="s">
        <v>11515</v>
      </c>
      <c r="O15" s="10317" t="s">
        <v>11469</v>
      </c>
    </row>
    <row r="16" spans="1:15" ht="17.100000000000001" customHeight="1">
      <c r="A16" s="8258"/>
      <c r="B16" s="8268" t="s">
        <v>482</v>
      </c>
      <c r="C16" s="5137" t="s">
        <v>449</v>
      </c>
      <c r="D16" s="8269" t="s">
        <v>481</v>
      </c>
      <c r="E16" s="8264"/>
      <c r="F16" s="8599">
        <f>'receipts program'!D16</f>
        <v>12750576.800000001</v>
      </c>
      <c r="G16" s="8265"/>
      <c r="H16" s="8640">
        <v>12200000</v>
      </c>
      <c r="I16" s="8266"/>
      <c r="J16" s="10322">
        <f>'receipts program'!M16</f>
        <v>13420000</v>
      </c>
      <c r="K16" s="5141">
        <f>J16</f>
        <v>13420000</v>
      </c>
      <c r="M16" s="6718" t="s">
        <v>481</v>
      </c>
      <c r="N16" s="6719">
        <f>SUM(J15:J16,J20:J29,J35:J45,J48:J49,J52:J53,J79,J82)</f>
        <v>2405342881</v>
      </c>
      <c r="O16" s="10314">
        <f>SUM(F15:F16,F20:F29,F34:F45,F48:F49,F52:F54,F79,F82)</f>
        <v>1995556313.78</v>
      </c>
    </row>
    <row r="17" spans="1:17" ht="17.100000000000001" customHeight="1">
      <c r="A17" s="8258"/>
      <c r="B17" s="8268" t="s">
        <v>483</v>
      </c>
      <c r="C17" s="5137" t="s">
        <v>447</v>
      </c>
      <c r="D17" s="8269" t="s">
        <v>484</v>
      </c>
      <c r="E17" s="8274"/>
      <c r="F17" s="8600">
        <f>'receipts program'!D17</f>
        <v>7381140.79</v>
      </c>
      <c r="G17" s="8274"/>
      <c r="H17" s="8640">
        <v>5500000</v>
      </c>
      <c r="I17" s="5137"/>
      <c r="J17" s="10323">
        <f>'receipts program'!M17</f>
        <v>7500000</v>
      </c>
      <c r="L17" s="5141">
        <f>J17</f>
        <v>7500000</v>
      </c>
      <c r="M17" s="6718" t="s">
        <v>484</v>
      </c>
      <c r="N17" s="8275">
        <f>SUM(J17,J54:J56,J80:J81,J86:J87)</f>
        <v>19650000</v>
      </c>
      <c r="O17" s="10315">
        <f>SUM(F17,F54:F56,F80:F81,F86:F87,F83)</f>
        <v>7381140.79</v>
      </c>
    </row>
    <row r="18" spans="1:17" ht="17.100000000000001" customHeight="1">
      <c r="A18" s="8258"/>
      <c r="B18" s="8276" t="s">
        <v>485</v>
      </c>
      <c r="C18" s="5147"/>
      <c r="D18" s="8254"/>
      <c r="E18" s="8277" t="s">
        <v>405</v>
      </c>
      <c r="F18" s="8601">
        <f>SUM(F15:F17)</f>
        <v>49272089.890000001</v>
      </c>
      <c r="G18" s="8278" t="s">
        <v>405</v>
      </c>
      <c r="H18" s="8641">
        <f>SUM(H15:H17)</f>
        <v>48700000</v>
      </c>
      <c r="I18" s="8279" t="s">
        <v>405</v>
      </c>
      <c r="J18" s="10324">
        <f>SUM(J15:J17)</f>
        <v>53470000</v>
      </c>
      <c r="L18" s="5141"/>
      <c r="M18" s="6718"/>
      <c r="N18" s="6719">
        <f>SUM(N16:N17)</f>
        <v>2424992881</v>
      </c>
      <c r="O18" s="10314">
        <f>SUM(O16:O17)</f>
        <v>2002937454.5699999</v>
      </c>
    </row>
    <row r="19" spans="1:17" ht="17.100000000000001" customHeight="1">
      <c r="A19" s="8258"/>
      <c r="B19" s="8267" t="s">
        <v>486</v>
      </c>
      <c r="C19" s="8260"/>
      <c r="D19" s="8261"/>
      <c r="E19" s="8264"/>
      <c r="F19" s="8597"/>
      <c r="G19" s="8281"/>
      <c r="H19" s="8642"/>
      <c r="I19" s="8282"/>
      <c r="J19" s="10320"/>
      <c r="L19" s="5141"/>
      <c r="M19" s="6718" t="s">
        <v>527</v>
      </c>
      <c r="N19" s="9349">
        <f>J92</f>
        <v>0</v>
      </c>
      <c r="O19" s="10314"/>
    </row>
    <row r="20" spans="1:17" ht="17.100000000000001" customHeight="1">
      <c r="A20" s="8258"/>
      <c r="B20" s="8268" t="s">
        <v>445</v>
      </c>
      <c r="C20" s="5137">
        <v>584</v>
      </c>
      <c r="D20" s="8269" t="s">
        <v>481</v>
      </c>
      <c r="E20" s="8264"/>
      <c r="F20" s="8599">
        <f>'receipts program'!D22</f>
        <v>2092598.67</v>
      </c>
      <c r="G20" s="8265"/>
      <c r="H20" s="8640">
        <v>2000000</v>
      </c>
      <c r="I20" s="8266"/>
      <c r="J20" s="10322">
        <f>'receipts program'!M22</f>
        <v>2450000</v>
      </c>
      <c r="K20" s="5141">
        <f>J20</f>
        <v>2450000</v>
      </c>
      <c r="L20" s="5141"/>
      <c r="M20" s="6718" t="s">
        <v>9199</v>
      </c>
      <c r="N20" s="8275">
        <f>J9</f>
        <v>105000000</v>
      </c>
      <c r="O20" s="8836">
        <f>F9</f>
        <v>115000000</v>
      </c>
    </row>
    <row r="21" spans="1:17" ht="17.100000000000001" customHeight="1">
      <c r="A21" s="8258"/>
      <c r="B21" s="8268" t="s">
        <v>3132</v>
      </c>
      <c r="C21" s="5137">
        <v>593</v>
      </c>
      <c r="D21" s="8269" t="s">
        <v>481</v>
      </c>
      <c r="E21" s="8264"/>
      <c r="F21" s="8599">
        <f>'receipts program'!D23</f>
        <v>1522365.2</v>
      </c>
      <c r="G21" s="8265"/>
      <c r="H21" s="8640">
        <v>1800000</v>
      </c>
      <c r="I21" s="8266"/>
      <c r="J21" s="10322">
        <f>'receipts program'!M23</f>
        <v>2000000</v>
      </c>
      <c r="K21" s="5141">
        <f t="shared" ref="K21:K27" si="0">J21</f>
        <v>2000000</v>
      </c>
      <c r="M21" s="6718"/>
      <c r="N21" s="6719">
        <f>N18+N20+N19</f>
        <v>2529992881</v>
      </c>
      <c r="O21" s="10314">
        <f>SUM(O18:O20)</f>
        <v>2117937454.5699999</v>
      </c>
      <c r="Q21" s="5140">
        <v>520915137</v>
      </c>
    </row>
    <row r="22" spans="1:17" ht="17.100000000000001" customHeight="1">
      <c r="A22" s="8258"/>
      <c r="B22" s="8268" t="s">
        <v>444</v>
      </c>
      <c r="C22" s="5137">
        <v>581</v>
      </c>
      <c r="D22" s="8269" t="s">
        <v>481</v>
      </c>
      <c r="E22" s="8270" t="s">
        <v>405</v>
      </c>
      <c r="F22" s="8599">
        <f>'receipts program'!D24</f>
        <v>614656.18000000005</v>
      </c>
      <c r="G22" s="8270" t="s">
        <v>405</v>
      </c>
      <c r="H22" s="8640">
        <v>800000</v>
      </c>
      <c r="I22" s="8284" t="s">
        <v>405</v>
      </c>
      <c r="J22" s="10322">
        <f>'receipts program'!M24</f>
        <v>800000</v>
      </c>
      <c r="K22" s="5141">
        <f t="shared" si="0"/>
        <v>800000</v>
      </c>
      <c r="L22" s="5141"/>
      <c r="M22" s="10309" t="s">
        <v>7234</v>
      </c>
      <c r="N22" s="10310">
        <f>O16*45%</f>
        <v>898000341.20099998</v>
      </c>
      <c r="O22" s="8280"/>
    </row>
    <row r="23" spans="1:17" ht="17.100000000000001" customHeight="1">
      <c r="A23" s="8258"/>
      <c r="B23" s="8268" t="s">
        <v>487</v>
      </c>
      <c r="C23" s="5137">
        <v>592</v>
      </c>
      <c r="D23" s="8269" t="s">
        <v>481</v>
      </c>
      <c r="E23" s="8264"/>
      <c r="F23" s="8599">
        <f>'receipts program'!D25</f>
        <v>2044205.2</v>
      </c>
      <c r="G23" s="8265"/>
      <c r="H23" s="8640">
        <v>2000000</v>
      </c>
      <c r="I23" s="8266"/>
      <c r="J23" s="10322">
        <f>'receipts program'!M25</f>
        <v>2100000</v>
      </c>
      <c r="K23" s="5141">
        <f t="shared" si="0"/>
        <v>2100000</v>
      </c>
      <c r="L23" s="5141"/>
      <c r="M23" s="8283"/>
      <c r="N23" s="6719"/>
      <c r="O23" s="8280"/>
      <c r="Q23" s="5140">
        <f>N22-Q21</f>
        <v>377085204.20099998</v>
      </c>
    </row>
    <row r="24" spans="1:17" ht="17.100000000000001" customHeight="1">
      <c r="A24" s="8258"/>
      <c r="B24" s="9807" t="s">
        <v>11509</v>
      </c>
      <c r="C24" s="5137">
        <v>587</v>
      </c>
      <c r="D24" s="8269" t="s">
        <v>481</v>
      </c>
      <c r="E24" s="8264"/>
      <c r="F24" s="8599">
        <f>'receipts program'!D26</f>
        <v>12966194.949999999</v>
      </c>
      <c r="G24" s="8265"/>
      <c r="H24" s="8640">
        <v>5600000</v>
      </c>
      <c r="I24" s="8266"/>
      <c r="J24" s="10322">
        <f>'receipts program'!M26</f>
        <v>13000000</v>
      </c>
      <c r="K24" s="5141">
        <f t="shared" si="0"/>
        <v>13000000</v>
      </c>
      <c r="L24" s="5141"/>
      <c r="M24" s="10309" t="s">
        <v>9200</v>
      </c>
      <c r="N24" s="10311">
        <f>N16*5%</f>
        <v>120267144.05000001</v>
      </c>
      <c r="O24" s="8280"/>
    </row>
    <row r="25" spans="1:17" ht="17.100000000000001" customHeight="1">
      <c r="A25" s="8258"/>
      <c r="B25" s="8268" t="s">
        <v>3133</v>
      </c>
      <c r="C25" s="5137">
        <v>582</v>
      </c>
      <c r="D25" s="8269" t="s">
        <v>481</v>
      </c>
      <c r="E25" s="8264"/>
      <c r="F25" s="8599">
        <f>'receipts program'!D27</f>
        <v>20042</v>
      </c>
      <c r="G25" s="8265"/>
      <c r="H25" s="8640">
        <v>25000</v>
      </c>
      <c r="I25" s="8266"/>
      <c r="J25" s="10322">
        <f>'receipts program'!M27</f>
        <v>25000</v>
      </c>
      <c r="K25" s="5141">
        <f t="shared" si="0"/>
        <v>25000</v>
      </c>
      <c r="L25" s="5141"/>
      <c r="M25" s="8283"/>
      <c r="N25" s="6719"/>
      <c r="O25" s="8280"/>
    </row>
    <row r="26" spans="1:17" ht="12.75" customHeight="1">
      <c r="A26" s="8258"/>
      <c r="B26" s="8268" t="s">
        <v>3134</v>
      </c>
      <c r="C26" s="5137">
        <v>564</v>
      </c>
      <c r="D26" s="8269" t="s">
        <v>481</v>
      </c>
      <c r="E26" s="8264"/>
      <c r="F26" s="8599">
        <f>'receipts program'!D28</f>
        <v>316765.8</v>
      </c>
      <c r="G26" s="8265"/>
      <c r="H26" s="8643">
        <v>200000</v>
      </c>
      <c r="I26" s="8285"/>
      <c r="J26" s="10322">
        <f>'receipts program'!M28</f>
        <v>400000</v>
      </c>
      <c r="K26" s="5141">
        <f t="shared" si="0"/>
        <v>400000</v>
      </c>
      <c r="L26" s="5141"/>
      <c r="M26" s="10309" t="s">
        <v>10586</v>
      </c>
      <c r="N26" s="10312">
        <f>SUM(F15:F16)*2%</f>
        <v>837818.98200000008</v>
      </c>
      <c r="O26" s="8280"/>
    </row>
    <row r="27" spans="1:17" ht="12.75" hidden="1" customHeight="1">
      <c r="A27" s="8286"/>
      <c r="B27" s="8287" t="s">
        <v>9202</v>
      </c>
      <c r="C27" s="5137"/>
      <c r="D27" s="8288" t="s">
        <v>484</v>
      </c>
      <c r="E27" s="8274"/>
      <c r="F27" s="8602">
        <v>0</v>
      </c>
      <c r="G27" s="8289"/>
      <c r="H27" s="8643"/>
      <c r="I27" s="8290"/>
      <c r="J27" s="10323"/>
      <c r="K27" s="5141">
        <f t="shared" si="0"/>
        <v>0</v>
      </c>
      <c r="L27" s="5141"/>
      <c r="M27" s="8283"/>
      <c r="N27" s="6719"/>
      <c r="O27" s="8280"/>
    </row>
    <row r="28" spans="1:17" ht="12.75" customHeight="1">
      <c r="A28" s="8258"/>
      <c r="B28" s="8268" t="s">
        <v>8856</v>
      </c>
      <c r="C28" s="5137"/>
      <c r="D28" s="8269" t="s">
        <v>481</v>
      </c>
      <c r="E28" s="8291"/>
      <c r="F28" s="8603">
        <f>'receipts program'!D30</f>
        <v>0</v>
      </c>
      <c r="G28" s="8291"/>
      <c r="H28" s="8643">
        <v>800000</v>
      </c>
      <c r="I28" s="8292"/>
      <c r="J28" s="10322">
        <f>'receipts program'!M30</f>
        <v>800000</v>
      </c>
      <c r="K28" s="5141">
        <f>J28</f>
        <v>800000</v>
      </c>
      <c r="L28" s="5141"/>
      <c r="M28" s="8283"/>
      <c r="N28" s="6719"/>
      <c r="O28" s="8280"/>
    </row>
    <row r="29" spans="1:17" ht="15" customHeight="1">
      <c r="A29" s="8293"/>
      <c r="B29" s="8294" t="s">
        <v>3338</v>
      </c>
      <c r="C29" s="5137"/>
      <c r="D29" s="8295" t="s">
        <v>481</v>
      </c>
      <c r="E29" s="8296"/>
      <c r="F29" s="8600">
        <f>'receipts program'!D31</f>
        <v>445839.94</v>
      </c>
      <c r="G29" s="8296"/>
      <c r="H29" s="8643">
        <v>150000</v>
      </c>
      <c r="I29" s="8297"/>
      <c r="J29" s="10323">
        <f>'receipts program'!M31</f>
        <v>250000</v>
      </c>
      <c r="K29" s="5141">
        <f>J29</f>
        <v>250000</v>
      </c>
      <c r="M29" s="10309" t="s">
        <v>10585</v>
      </c>
      <c r="N29" s="10313">
        <f>J79*20%</f>
        <v>404379576.20000005</v>
      </c>
      <c r="O29" s="8280"/>
    </row>
    <row r="30" spans="1:17" ht="17.100000000000001" customHeight="1" thickBot="1">
      <c r="A30" s="8258"/>
      <c r="B30" s="8276" t="s">
        <v>485</v>
      </c>
      <c r="C30" s="5147"/>
      <c r="D30" s="8254"/>
      <c r="E30" s="8301" t="s">
        <v>405</v>
      </c>
      <c r="F30" s="8604">
        <f>SUM(F20:F29)</f>
        <v>20022667.940000001</v>
      </c>
      <c r="G30" s="8302" t="s">
        <v>405</v>
      </c>
      <c r="H30" s="8644">
        <f>SUM(H20:H29)</f>
        <v>13375000</v>
      </c>
      <c r="I30" s="8303" t="s">
        <v>405</v>
      </c>
      <c r="J30" s="10325">
        <f>SUM(J20:J29)</f>
        <v>21825000</v>
      </c>
      <c r="L30" s="5141"/>
      <c r="M30" s="8298"/>
      <c r="N30" s="8299"/>
      <c r="O30" s="8300"/>
    </row>
    <row r="31" spans="1:17" ht="24.75" customHeight="1">
      <c r="A31" s="8258"/>
      <c r="B31" s="8276" t="s">
        <v>443</v>
      </c>
      <c r="C31" s="5147"/>
      <c r="D31" s="8254"/>
      <c r="E31" s="8304" t="s">
        <v>405</v>
      </c>
      <c r="F31" s="8605">
        <f>SUM(F18,F30)</f>
        <v>69294757.829999998</v>
      </c>
      <c r="G31" s="8305" t="s">
        <v>405</v>
      </c>
      <c r="H31" s="8645">
        <f>SUM(H18,H30)</f>
        <v>62075000</v>
      </c>
      <c r="I31" s="8306" t="s">
        <v>405</v>
      </c>
      <c r="J31" s="10326">
        <f>SUM(J18,J30)</f>
        <v>75295000</v>
      </c>
      <c r="L31" s="5141"/>
    </row>
    <row r="32" spans="1:17" ht="25.5" customHeight="1">
      <c r="A32" s="8258"/>
      <c r="B32" s="8253" t="s">
        <v>4754</v>
      </c>
      <c r="C32" s="8260"/>
      <c r="D32" s="8261"/>
      <c r="E32" s="8264"/>
      <c r="F32" s="8606"/>
      <c r="G32" s="8307"/>
      <c r="H32" s="8646"/>
      <c r="I32" s="8308"/>
      <c r="J32" s="10327"/>
      <c r="L32" s="5141"/>
    </row>
    <row r="33" spans="1:14" ht="15" customHeight="1">
      <c r="A33" s="8258"/>
      <c r="B33" s="8267" t="s">
        <v>4755</v>
      </c>
      <c r="C33" s="8260"/>
      <c r="D33" s="8261"/>
      <c r="E33" s="8264"/>
      <c r="F33" s="8597"/>
      <c r="G33" s="8281"/>
      <c r="H33" s="8637"/>
      <c r="I33" s="8309"/>
      <c r="J33" s="10320"/>
      <c r="L33" s="5141"/>
      <c r="M33" s="8310"/>
    </row>
    <row r="34" spans="1:14" ht="15" hidden="1" customHeight="1">
      <c r="A34" s="8293"/>
      <c r="B34" s="8311" t="s">
        <v>3135</v>
      </c>
      <c r="C34" s="5137">
        <v>605</v>
      </c>
      <c r="D34" s="8269" t="s">
        <v>481</v>
      </c>
      <c r="E34" s="8264"/>
      <c r="F34" s="8607">
        <f>'receipts program'!D39</f>
        <v>0</v>
      </c>
      <c r="G34" s="8281"/>
      <c r="H34" s="8637"/>
      <c r="I34" s="8309"/>
      <c r="J34" s="10320"/>
      <c r="L34" s="5141"/>
    </row>
    <row r="35" spans="1:14" ht="15" customHeight="1">
      <c r="A35" s="8258"/>
      <c r="B35" s="8268" t="s">
        <v>3136</v>
      </c>
      <c r="C35" s="5137">
        <v>631</v>
      </c>
      <c r="D35" s="8269" t="s">
        <v>481</v>
      </c>
      <c r="E35" s="8264"/>
      <c r="F35" s="8599">
        <f>'receipts program'!D40</f>
        <v>145373138.99000001</v>
      </c>
      <c r="G35" s="8265"/>
      <c r="H35" s="8643">
        <v>236000000</v>
      </c>
      <c r="I35" s="8285"/>
      <c r="J35" s="10322">
        <f>'receipts program'!M40</f>
        <v>236000000</v>
      </c>
      <c r="K35" s="5141">
        <f>J35</f>
        <v>236000000</v>
      </c>
      <c r="L35" s="5141"/>
    </row>
    <row r="36" spans="1:14" ht="17.100000000000001" customHeight="1">
      <c r="A36" s="8293"/>
      <c r="B36" s="8311" t="s">
        <v>3137</v>
      </c>
      <c r="C36" s="5137">
        <v>613</v>
      </c>
      <c r="D36" s="8269" t="s">
        <v>481</v>
      </c>
      <c r="E36" s="8264"/>
      <c r="F36" s="8607">
        <f>'receipts program'!D41</f>
        <v>3926680.14</v>
      </c>
      <c r="G36" s="8265"/>
      <c r="H36" s="8643">
        <v>7000000</v>
      </c>
      <c r="I36" s="8285"/>
      <c r="J36" s="10322">
        <f>'receipts program'!M41</f>
        <v>6000000</v>
      </c>
      <c r="K36" s="5141">
        <f t="shared" ref="K36:K45" si="1">J36</f>
        <v>6000000</v>
      </c>
      <c r="L36" s="5141"/>
    </row>
    <row r="37" spans="1:14" s="8239" customFormat="1" ht="17.100000000000001" hidden="1" customHeight="1">
      <c r="A37" s="8293"/>
      <c r="B37" s="8311" t="s">
        <v>3138</v>
      </c>
      <c r="C37" s="5137">
        <v>619</v>
      </c>
      <c r="D37" s="8269" t="s">
        <v>481</v>
      </c>
      <c r="E37" s="8264"/>
      <c r="F37" s="8603">
        <f>'receipts program'!D42</f>
        <v>0</v>
      </c>
      <c r="G37" s="8265"/>
      <c r="H37" s="8643"/>
      <c r="I37" s="8285"/>
      <c r="J37" s="10322"/>
      <c r="K37" s="5141">
        <f t="shared" si="1"/>
        <v>0</v>
      </c>
      <c r="L37" s="6719"/>
      <c r="N37" s="6719"/>
    </row>
    <row r="38" spans="1:14" s="8239" customFormat="1" ht="17.100000000000001" hidden="1" customHeight="1">
      <c r="A38" s="8293"/>
      <c r="B38" s="8268" t="s">
        <v>3139</v>
      </c>
      <c r="C38" s="5137">
        <v>618</v>
      </c>
      <c r="D38" s="8269" t="s">
        <v>481</v>
      </c>
      <c r="E38" s="8264"/>
      <c r="F38" s="8603">
        <f>'receipts program'!D43</f>
        <v>0</v>
      </c>
      <c r="G38" s="8265"/>
      <c r="H38" s="8643"/>
      <c r="I38" s="8285"/>
      <c r="J38" s="10322"/>
      <c r="K38" s="5141">
        <f t="shared" si="1"/>
        <v>0</v>
      </c>
      <c r="L38" s="6719"/>
      <c r="N38" s="6719"/>
    </row>
    <row r="39" spans="1:14" ht="17.100000000000001" customHeight="1">
      <c r="A39" s="8258"/>
      <c r="B39" s="8259" t="s">
        <v>440</v>
      </c>
      <c r="C39" s="5137" t="s">
        <v>439</v>
      </c>
      <c r="D39" s="8269" t="s">
        <v>481</v>
      </c>
      <c r="E39" s="8312"/>
      <c r="F39" s="8608">
        <f>'receipts program'!D45</f>
        <v>1954843.04</v>
      </c>
      <c r="G39" s="8264"/>
      <c r="H39" s="8647">
        <v>3000000</v>
      </c>
      <c r="I39" s="8313"/>
      <c r="J39" s="10328">
        <f>'receipts program'!M45</f>
        <v>5000000</v>
      </c>
      <c r="K39" s="5141">
        <f t="shared" si="1"/>
        <v>5000000</v>
      </c>
      <c r="L39" s="5141"/>
    </row>
    <row r="40" spans="1:14" ht="17.100000000000001" customHeight="1">
      <c r="A40" s="8258"/>
      <c r="B40" s="8259" t="s">
        <v>488</v>
      </c>
      <c r="C40" s="5137" t="s">
        <v>437</v>
      </c>
      <c r="D40" s="8269" t="s">
        <v>481</v>
      </c>
      <c r="E40" s="8312"/>
      <c r="F40" s="8609">
        <f>'receipts program'!D46</f>
        <v>1698436.95</v>
      </c>
      <c r="G40" s="8314"/>
      <c r="H40" s="8647">
        <v>80000</v>
      </c>
      <c r="I40" s="8313"/>
      <c r="J40" s="10328">
        <f>'receipts program'!M46</f>
        <v>0</v>
      </c>
      <c r="K40" s="5141">
        <f t="shared" si="1"/>
        <v>0</v>
      </c>
      <c r="L40" s="5141"/>
    </row>
    <row r="41" spans="1:14" ht="17.100000000000001" hidden="1" customHeight="1">
      <c r="A41" s="8258"/>
      <c r="B41" s="8259" t="s">
        <v>489</v>
      </c>
      <c r="C41" s="5137" t="s">
        <v>3140</v>
      </c>
      <c r="D41" s="8269" t="s">
        <v>484</v>
      </c>
      <c r="E41" s="8312"/>
      <c r="F41" s="8609">
        <f>'receipts program'!D47</f>
        <v>0</v>
      </c>
      <c r="G41" s="8314"/>
      <c r="H41" s="8647">
        <v>0</v>
      </c>
      <c r="I41" s="8313"/>
      <c r="J41" s="10328">
        <f>'receipts program'!M47</f>
        <v>0</v>
      </c>
      <c r="K41" s="5141">
        <f t="shared" si="1"/>
        <v>0</v>
      </c>
      <c r="L41" s="5141">
        <f>F41</f>
        <v>0</v>
      </c>
    </row>
    <row r="42" spans="1:14" ht="17.100000000000001" customHeight="1">
      <c r="A42" s="8258"/>
      <c r="B42" s="8259" t="s">
        <v>490</v>
      </c>
      <c r="C42" s="5137" t="s">
        <v>3141</v>
      </c>
      <c r="D42" s="8269" t="s">
        <v>481</v>
      </c>
      <c r="E42" s="8312"/>
      <c r="F42" s="8609">
        <f>'receipts program'!D48</f>
        <v>7633066.7699999996</v>
      </c>
      <c r="G42" s="8314"/>
      <c r="H42" s="8647">
        <v>8500000</v>
      </c>
      <c r="I42" s="8313"/>
      <c r="J42" s="10328">
        <f>'receipts program'!M48</f>
        <v>10000000</v>
      </c>
      <c r="K42" s="5141">
        <f t="shared" si="1"/>
        <v>10000000</v>
      </c>
      <c r="L42" s="5141"/>
    </row>
    <row r="43" spans="1:14" ht="13.5" customHeight="1">
      <c r="A43" s="8258"/>
      <c r="B43" s="8259" t="s">
        <v>491</v>
      </c>
      <c r="C43" s="5137" t="s">
        <v>3142</v>
      </c>
      <c r="D43" s="8269" t="s">
        <v>481</v>
      </c>
      <c r="E43" s="8312"/>
      <c r="F43" s="8609">
        <f>'receipts program'!D49</f>
        <v>1206920</v>
      </c>
      <c r="G43" s="8314"/>
      <c r="H43" s="8647">
        <v>2000000</v>
      </c>
      <c r="I43" s="8313"/>
      <c r="J43" s="10328">
        <f>'receipts program'!M49</f>
        <v>2500000</v>
      </c>
      <c r="K43" s="5141">
        <f t="shared" si="1"/>
        <v>2500000</v>
      </c>
      <c r="L43" s="5141"/>
    </row>
    <row r="44" spans="1:14" ht="13.5" hidden="1" customHeight="1">
      <c r="A44" s="8258"/>
      <c r="B44" s="8259" t="s">
        <v>3143</v>
      </c>
      <c r="C44" s="5137">
        <v>649</v>
      </c>
      <c r="D44" s="8269" t="s">
        <v>484</v>
      </c>
      <c r="E44" s="8312"/>
      <c r="F44" s="8610">
        <f>'receipts program'!D50</f>
        <v>0</v>
      </c>
      <c r="G44" s="8315"/>
      <c r="H44" s="8646" t="s">
        <v>492</v>
      </c>
      <c r="I44" s="8316"/>
      <c r="J44" s="10329" t="s">
        <v>492</v>
      </c>
      <c r="K44" s="5141" t="str">
        <f t="shared" si="1"/>
        <v>.</v>
      </c>
      <c r="L44" s="5141"/>
    </row>
    <row r="45" spans="1:14" ht="13.5" customHeight="1">
      <c r="A45" s="8286"/>
      <c r="B45" s="8412" t="s">
        <v>10583</v>
      </c>
      <c r="C45" s="5137"/>
      <c r="D45" s="8317" t="s">
        <v>481</v>
      </c>
      <c r="E45" s="8312"/>
      <c r="F45" s="8611">
        <f>'receipts program'!D51</f>
        <v>7904224.5</v>
      </c>
      <c r="G45" s="8315"/>
      <c r="H45" s="10289">
        <v>2000000</v>
      </c>
      <c r="I45" s="8318"/>
      <c r="J45" s="10330">
        <f>'receipts program'!M51</f>
        <v>50000</v>
      </c>
      <c r="K45" s="5141">
        <f t="shared" si="1"/>
        <v>50000</v>
      </c>
      <c r="L45" s="5141"/>
    </row>
    <row r="46" spans="1:14" ht="13.5" customHeight="1">
      <c r="A46" s="8258"/>
      <c r="B46" s="8276" t="s">
        <v>485</v>
      </c>
      <c r="C46" s="8260"/>
      <c r="D46" s="8261"/>
      <c r="E46" s="8277" t="s">
        <v>405</v>
      </c>
      <c r="F46" s="8601">
        <f>SUM(F34:F45)</f>
        <v>169697310.38999999</v>
      </c>
      <c r="G46" s="8278" t="s">
        <v>405</v>
      </c>
      <c r="H46" s="8648">
        <f>SUM(H33:H45)</f>
        <v>258580000</v>
      </c>
      <c r="I46" s="8319" t="s">
        <v>405</v>
      </c>
      <c r="J46" s="10324">
        <f>SUM(J35:J45)</f>
        <v>259550000</v>
      </c>
      <c r="L46" s="5141"/>
    </row>
    <row r="47" spans="1:14" ht="17.100000000000001" customHeight="1">
      <c r="A47" s="8258"/>
      <c r="B47" s="8267" t="s">
        <v>4756</v>
      </c>
      <c r="C47" s="8260"/>
      <c r="D47" s="8261"/>
      <c r="E47" s="5149"/>
      <c r="F47" s="8612"/>
      <c r="G47" s="8320"/>
      <c r="H47" s="8637"/>
      <c r="I47" s="8321"/>
      <c r="J47" s="10320"/>
      <c r="L47" s="5141"/>
    </row>
    <row r="48" spans="1:14" ht="17.100000000000001" customHeight="1">
      <c r="A48" s="8258"/>
      <c r="B48" s="8259" t="s">
        <v>3144</v>
      </c>
      <c r="C48" s="5137">
        <v>664</v>
      </c>
      <c r="D48" s="8269" t="s">
        <v>481</v>
      </c>
      <c r="E48" s="5149"/>
      <c r="F48" s="8613">
        <f>'receipts program'!D71</f>
        <v>4990011.33</v>
      </c>
      <c r="G48" s="8322"/>
      <c r="H48" s="8643">
        <v>6000000</v>
      </c>
      <c r="I48" s="8323"/>
      <c r="J48" s="10322">
        <f>'receipts program'!M71</f>
        <v>10000000</v>
      </c>
      <c r="K48" s="5141">
        <f>J48</f>
        <v>10000000</v>
      </c>
      <c r="L48" s="5141"/>
    </row>
    <row r="49" spans="1:12" ht="17.100000000000001" customHeight="1">
      <c r="A49" s="8258"/>
      <c r="B49" s="8259" t="s">
        <v>493</v>
      </c>
      <c r="C49" s="8260"/>
      <c r="D49" s="8269" t="s">
        <v>481</v>
      </c>
      <c r="E49" s="8324"/>
      <c r="F49" s="8600">
        <f>'receipts program'!D72</f>
        <v>170500</v>
      </c>
      <c r="G49" s="8325"/>
      <c r="H49" s="8643">
        <v>200000</v>
      </c>
      <c r="I49" s="8326"/>
      <c r="J49" s="10323">
        <f>'receipts program'!M72</f>
        <v>100000</v>
      </c>
      <c r="K49" s="5141">
        <f>J49</f>
        <v>100000</v>
      </c>
      <c r="L49" s="5141"/>
    </row>
    <row r="50" spans="1:12" ht="17.100000000000001" customHeight="1">
      <c r="A50" s="8258"/>
      <c r="B50" s="8276" t="s">
        <v>485</v>
      </c>
      <c r="C50" s="8260"/>
      <c r="D50" s="8261"/>
      <c r="E50" s="8277" t="s">
        <v>405</v>
      </c>
      <c r="F50" s="8601">
        <f>SUM(F48:F49)</f>
        <v>5160511.33</v>
      </c>
      <c r="G50" s="8278" t="s">
        <v>405</v>
      </c>
      <c r="H50" s="8649">
        <f>SUM(H48:H49)</f>
        <v>6200000</v>
      </c>
      <c r="I50" s="8319" t="s">
        <v>405</v>
      </c>
      <c r="J50" s="10324">
        <f>SUM(J48:J49)</f>
        <v>10100000</v>
      </c>
      <c r="L50" s="5141"/>
    </row>
    <row r="51" spans="1:12" ht="17.100000000000001" customHeight="1">
      <c r="A51" s="8258"/>
      <c r="B51" s="8267" t="s">
        <v>4757</v>
      </c>
      <c r="C51" s="8260"/>
      <c r="D51" s="8261"/>
      <c r="E51" s="5149"/>
      <c r="F51" s="8614"/>
      <c r="G51" s="8320"/>
      <c r="H51" s="8637"/>
      <c r="I51" s="8321"/>
      <c r="J51" s="10320"/>
      <c r="L51" s="5141"/>
    </row>
    <row r="52" spans="1:12" ht="17.100000000000001" customHeight="1">
      <c r="A52" s="8327"/>
      <c r="B52" s="8268" t="s">
        <v>3145</v>
      </c>
      <c r="C52" s="5137">
        <v>678</v>
      </c>
      <c r="D52" s="8269" t="s">
        <v>481</v>
      </c>
      <c r="E52" s="8264"/>
      <c r="F52" s="8599">
        <f>'receipts program'!D78</f>
        <v>3411526.82</v>
      </c>
      <c r="G52" s="8265"/>
      <c r="H52" s="8643">
        <v>3100000</v>
      </c>
      <c r="I52" s="8285"/>
      <c r="J52" s="10322">
        <f>'receipts program'!M78</f>
        <v>1000000</v>
      </c>
      <c r="K52" s="5141">
        <f>J52</f>
        <v>1000000</v>
      </c>
      <c r="L52" s="5141"/>
    </row>
    <row r="53" spans="1:12" ht="17.100000000000001" customHeight="1">
      <c r="A53" s="8327"/>
      <c r="B53" s="8268" t="s">
        <v>494</v>
      </c>
      <c r="C53" s="5137">
        <v>661</v>
      </c>
      <c r="D53" s="8269" t="s">
        <v>481</v>
      </c>
      <c r="E53" s="8264"/>
      <c r="F53" s="8599">
        <f>'receipts program'!D77</f>
        <v>37875000</v>
      </c>
      <c r="G53" s="8265"/>
      <c r="H53" s="8643">
        <v>30000000</v>
      </c>
      <c r="I53" s="8285"/>
      <c r="J53" s="10322">
        <f>'receipts program'!M77</f>
        <v>40000000</v>
      </c>
      <c r="K53" s="5141">
        <f>J53</f>
        <v>40000000</v>
      </c>
      <c r="L53" s="5141"/>
    </row>
    <row r="54" spans="1:12" ht="12" customHeight="1">
      <c r="A54" s="8327"/>
      <c r="B54" s="8268" t="s">
        <v>11514</v>
      </c>
      <c r="C54" s="5137" t="s">
        <v>495</v>
      </c>
      <c r="D54" s="8269" t="s">
        <v>484</v>
      </c>
      <c r="E54" s="8264"/>
      <c r="F54" s="8599">
        <f>'receipts program'!D79</f>
        <v>0</v>
      </c>
      <c r="G54" s="8265"/>
      <c r="H54" s="8643">
        <v>0</v>
      </c>
      <c r="I54" s="8285"/>
      <c r="J54" s="10322">
        <f>'receipts program'!M79</f>
        <v>9000000</v>
      </c>
      <c r="L54" s="5141">
        <f>F54</f>
        <v>0</v>
      </c>
    </row>
    <row r="55" spans="1:12" ht="13.5" hidden="1" customHeight="1">
      <c r="A55" s="8327"/>
      <c r="B55" s="8268" t="s">
        <v>496</v>
      </c>
      <c r="C55" s="5137" t="s">
        <v>3146</v>
      </c>
      <c r="D55" s="8269" t="s">
        <v>484</v>
      </c>
      <c r="E55" s="8264"/>
      <c r="F55" s="8599"/>
      <c r="G55" s="8265"/>
      <c r="H55" s="8643">
        <v>0</v>
      </c>
      <c r="I55" s="8285"/>
      <c r="J55" s="10322">
        <f>'receipts program'!M80</f>
        <v>0</v>
      </c>
      <c r="L55" s="5141">
        <f>F54</f>
        <v>0</v>
      </c>
    </row>
    <row r="56" spans="1:12" ht="17.100000000000001" hidden="1" customHeight="1">
      <c r="A56" s="8327"/>
      <c r="B56" s="8268" t="s">
        <v>497</v>
      </c>
      <c r="C56" s="5137" t="s">
        <v>495</v>
      </c>
      <c r="D56" s="8269" t="s">
        <v>484</v>
      </c>
      <c r="E56" s="8274"/>
      <c r="F56" s="8600"/>
      <c r="G56" s="8289"/>
      <c r="H56" s="8643">
        <v>0</v>
      </c>
      <c r="I56" s="8290"/>
      <c r="J56" s="10323">
        <f>'receipts program'!M81</f>
        <v>0</v>
      </c>
      <c r="L56" s="5141"/>
    </row>
    <row r="57" spans="1:12" ht="17.100000000000001" customHeight="1">
      <c r="A57" s="8328"/>
      <c r="B57" s="8329" t="s">
        <v>498</v>
      </c>
      <c r="C57" s="5147"/>
      <c r="D57" s="8330"/>
      <c r="E57" s="8277" t="s">
        <v>405</v>
      </c>
      <c r="F57" s="8601">
        <f>SUM(F52:F56)</f>
        <v>41286526.82</v>
      </c>
      <c r="G57" s="8331" t="s">
        <v>405</v>
      </c>
      <c r="H57" s="8641">
        <f>SUM(H52:H56)</f>
        <v>33100000</v>
      </c>
      <c r="I57" s="8279" t="s">
        <v>405</v>
      </c>
      <c r="J57" s="10324">
        <f>SUM(J52:J56)</f>
        <v>50000000</v>
      </c>
      <c r="L57" s="5141"/>
    </row>
    <row r="58" spans="1:12" ht="6.6" customHeight="1">
      <c r="A58" s="8328"/>
      <c r="B58" s="5148"/>
      <c r="C58" s="8332"/>
      <c r="D58" s="8332"/>
      <c r="E58" s="5149"/>
      <c r="F58" s="8614"/>
      <c r="G58" s="8333"/>
      <c r="H58" s="8642"/>
      <c r="I58" s="5151"/>
      <c r="J58" s="10320"/>
      <c r="L58" s="5141"/>
    </row>
    <row r="59" spans="1:12" ht="17.100000000000001" customHeight="1">
      <c r="A59" s="8328"/>
      <c r="B59" s="5148" t="s">
        <v>499</v>
      </c>
      <c r="C59" s="8332"/>
      <c r="D59" s="8332"/>
      <c r="E59" s="5149" t="s">
        <v>405</v>
      </c>
      <c r="F59" s="8612">
        <f>SUM(F46,F50,F57)</f>
        <v>216144348.53999999</v>
      </c>
      <c r="G59" s="8334" t="s">
        <v>405</v>
      </c>
      <c r="H59" s="8642">
        <f>SUM(H46,H50,H57)</f>
        <v>297880000</v>
      </c>
      <c r="I59" s="5151" t="s">
        <v>405</v>
      </c>
      <c r="J59" s="10320">
        <f>SUM(J46,J50,J57)</f>
        <v>319650000</v>
      </c>
      <c r="L59" s="5141"/>
    </row>
    <row r="60" spans="1:12" ht="6.6" customHeight="1" thickBot="1">
      <c r="A60" s="8335"/>
      <c r="B60" s="5153"/>
      <c r="C60" s="8336"/>
      <c r="D60" s="8336"/>
      <c r="E60" s="5154"/>
      <c r="F60" s="8615"/>
      <c r="G60" s="8337"/>
      <c r="H60" s="8650"/>
      <c r="I60" s="5156"/>
      <c r="J60" s="10331"/>
      <c r="L60" s="5141"/>
    </row>
    <row r="61" spans="1:12" ht="17.100000000000001" customHeight="1">
      <c r="A61" s="5142"/>
      <c r="B61" s="5143"/>
      <c r="C61" s="5142"/>
      <c r="D61" s="5142"/>
      <c r="E61" s="5144"/>
      <c r="F61" s="8616"/>
      <c r="G61" s="5145"/>
      <c r="H61" s="8651"/>
      <c r="I61" s="5146"/>
      <c r="J61" s="10332"/>
      <c r="L61" s="5141"/>
    </row>
    <row r="62" spans="1:12" ht="17.100000000000001" customHeight="1">
      <c r="A62" s="5147"/>
      <c r="B62" s="5148"/>
      <c r="C62" s="5147"/>
      <c r="D62" s="5147"/>
      <c r="E62" s="5149"/>
      <c r="F62" s="8612"/>
      <c r="G62" s="5150"/>
      <c r="H62" s="8637"/>
      <c r="I62" s="5151"/>
      <c r="J62" s="10333"/>
      <c r="L62" s="5141"/>
    </row>
    <row r="63" spans="1:12" ht="17.100000000000001" customHeight="1">
      <c r="A63" s="5147"/>
      <c r="B63" s="5148"/>
      <c r="C63" s="5147"/>
      <c r="D63" s="5147"/>
      <c r="E63" s="5149"/>
      <c r="F63" s="8612"/>
      <c r="G63" s="5150"/>
      <c r="H63" s="8637"/>
      <c r="I63" s="5151"/>
      <c r="J63" s="10333"/>
      <c r="L63" s="5141"/>
    </row>
    <row r="64" spans="1:12" ht="17.100000000000001" customHeight="1">
      <c r="A64" s="5147"/>
      <c r="B64" s="5148"/>
      <c r="C64" s="5147"/>
      <c r="D64" s="5147"/>
      <c r="E64" s="5149"/>
      <c r="F64" s="8612"/>
      <c r="G64" s="5150"/>
      <c r="H64" s="8637"/>
      <c r="I64" s="5151"/>
      <c r="J64" s="10333"/>
      <c r="L64" s="5141"/>
    </row>
    <row r="65" spans="1:14" ht="17.100000000000001" customHeight="1">
      <c r="A65" s="5147"/>
      <c r="B65" s="5148"/>
      <c r="C65" s="5147"/>
      <c r="D65" s="5147"/>
      <c r="E65" s="5149"/>
      <c r="F65" s="8612"/>
      <c r="G65" s="5150"/>
      <c r="H65" s="8637"/>
      <c r="I65" s="5151"/>
      <c r="J65" s="10333"/>
      <c r="L65" s="5141"/>
    </row>
    <row r="66" spans="1:14" ht="17.100000000000001" customHeight="1">
      <c r="A66" s="5147"/>
      <c r="B66" s="5148"/>
      <c r="C66" s="5147"/>
      <c r="D66" s="5147"/>
      <c r="E66" s="5149"/>
      <c r="F66" s="8612"/>
      <c r="G66" s="5150"/>
      <c r="H66" s="8637"/>
      <c r="I66" s="5151"/>
      <c r="J66" s="10333"/>
      <c r="L66" s="5141"/>
    </row>
    <row r="67" spans="1:14" ht="17.100000000000001" customHeight="1">
      <c r="A67" s="5147"/>
      <c r="B67" s="5148"/>
      <c r="C67" s="5147"/>
      <c r="D67" s="5147"/>
      <c r="E67" s="5149"/>
      <c r="F67" s="8612"/>
      <c r="G67" s="5150"/>
      <c r="H67" s="8637"/>
      <c r="I67" s="5151"/>
      <c r="J67" s="10333"/>
      <c r="L67" s="5141"/>
    </row>
    <row r="68" spans="1:14" ht="17.100000000000001" customHeight="1">
      <c r="A68" s="5147"/>
      <c r="B68" s="5148"/>
      <c r="C68" s="5147"/>
      <c r="D68" s="5147"/>
      <c r="E68" s="5149"/>
      <c r="F68" s="8612"/>
      <c r="G68" s="5150"/>
      <c r="H68" s="8637"/>
      <c r="I68" s="5151"/>
      <c r="J68" s="10333"/>
      <c r="L68" s="5141"/>
    </row>
    <row r="69" spans="1:14" ht="17.100000000000001" customHeight="1">
      <c r="A69" s="5147"/>
      <c r="B69" s="5148"/>
      <c r="C69" s="5147"/>
      <c r="D69" s="5147"/>
      <c r="E69" s="5149"/>
      <c r="F69" s="8612"/>
      <c r="G69" s="5150"/>
      <c r="H69" s="8637"/>
      <c r="I69" s="5151"/>
      <c r="J69" s="10333"/>
      <c r="L69" s="5141"/>
    </row>
    <row r="70" spans="1:14" ht="17.100000000000001" customHeight="1">
      <c r="A70" s="5147"/>
      <c r="B70" s="5148"/>
      <c r="C70" s="5147"/>
      <c r="D70" s="5147"/>
      <c r="E70" s="5149"/>
      <c r="F70" s="8612"/>
      <c r="G70" s="5150"/>
      <c r="H70" s="8637"/>
      <c r="I70" s="5151"/>
      <c r="J70" s="10333"/>
      <c r="L70" s="5141"/>
    </row>
    <row r="71" spans="1:14" ht="17.100000000000001" customHeight="1">
      <c r="A71" s="5147"/>
      <c r="B71" s="5148"/>
      <c r="C71" s="5147"/>
      <c r="D71" s="5147"/>
      <c r="E71" s="5149"/>
      <c r="F71" s="8612"/>
      <c r="G71" s="5150"/>
      <c r="H71" s="8637"/>
      <c r="I71" s="5151"/>
      <c r="J71" s="10333"/>
      <c r="L71" s="5141"/>
    </row>
    <row r="72" spans="1:14" ht="17.100000000000001" customHeight="1">
      <c r="A72" s="5147"/>
      <c r="B72" s="5148"/>
      <c r="C72" s="5147"/>
      <c r="D72" s="5147"/>
      <c r="E72" s="5149"/>
      <c r="F72" s="8612"/>
      <c r="G72" s="5150"/>
      <c r="H72" s="8637"/>
      <c r="I72" s="5151"/>
      <c r="J72" s="10333"/>
      <c r="L72" s="5141"/>
    </row>
    <row r="73" spans="1:14" ht="17.100000000000001" customHeight="1" thickBot="1">
      <c r="A73" s="5152" t="s">
        <v>4814</v>
      </c>
      <c r="B73" s="5153"/>
      <c r="C73" s="5152"/>
      <c r="D73" s="5152"/>
      <c r="E73" s="5154"/>
      <c r="F73" s="8615"/>
      <c r="G73" s="5155"/>
      <c r="H73" s="8652"/>
      <c r="I73" s="5156"/>
      <c r="J73" s="10334"/>
      <c r="L73" s="5141"/>
    </row>
    <row r="74" spans="1:14">
      <c r="A74" s="8240"/>
      <c r="B74" s="8241"/>
      <c r="C74" s="8242" t="s">
        <v>464</v>
      </c>
      <c r="D74" s="8243" t="s">
        <v>465</v>
      </c>
      <c r="E74" s="14083" t="s">
        <v>11473</v>
      </c>
      <c r="F74" s="14084"/>
      <c r="G74" s="14085" t="s">
        <v>466</v>
      </c>
      <c r="H74" s="14086"/>
      <c r="I74" s="14083" t="s">
        <v>11058</v>
      </c>
      <c r="J74" s="14087"/>
    </row>
    <row r="75" spans="1:14">
      <c r="A75" s="14088" t="s">
        <v>467</v>
      </c>
      <c r="B75" s="14089"/>
      <c r="C75" s="8244" t="s">
        <v>468</v>
      </c>
      <c r="D75" s="8245" t="s">
        <v>469</v>
      </c>
      <c r="E75" s="14072" t="s">
        <v>470</v>
      </c>
      <c r="F75" s="14090"/>
      <c r="G75" s="14091" t="s">
        <v>11500</v>
      </c>
      <c r="H75" s="14092"/>
      <c r="I75" s="14072" t="s">
        <v>471</v>
      </c>
      <c r="J75" s="14073"/>
    </row>
    <row r="76" spans="1:14">
      <c r="A76" s="8246" t="s">
        <v>472</v>
      </c>
      <c r="B76" s="8247"/>
      <c r="C76" s="8338" t="s">
        <v>473</v>
      </c>
      <c r="D76" s="8339" t="s">
        <v>474</v>
      </c>
      <c r="E76" s="14074" t="s">
        <v>475</v>
      </c>
      <c r="F76" s="14075"/>
      <c r="G76" s="14076" t="s">
        <v>476</v>
      </c>
      <c r="H76" s="14077"/>
      <c r="I76" s="14078" t="s">
        <v>477</v>
      </c>
      <c r="J76" s="14079"/>
    </row>
    <row r="77" spans="1:14">
      <c r="A77" s="5167"/>
      <c r="B77" s="5168"/>
      <c r="C77" s="5169"/>
      <c r="D77" s="5170"/>
      <c r="E77" s="5137"/>
      <c r="F77" s="8596"/>
      <c r="G77" s="5171"/>
      <c r="H77" s="8636"/>
      <c r="I77" s="5661"/>
      <c r="J77" s="10335"/>
    </row>
    <row r="78" spans="1:14" s="8239" customFormat="1" ht="17.100000000000001" customHeight="1">
      <c r="A78" s="8328"/>
      <c r="B78" s="8340" t="s">
        <v>4758</v>
      </c>
      <c r="C78" s="5147"/>
      <c r="D78" s="8330"/>
      <c r="E78" s="5149"/>
      <c r="F78" s="8612"/>
      <c r="G78" s="8341"/>
      <c r="H78" s="8637"/>
      <c r="I78" s="8342"/>
      <c r="J78" s="10336"/>
      <c r="K78" s="6719"/>
      <c r="N78" s="6719"/>
    </row>
    <row r="79" spans="1:14" ht="17.100000000000001" customHeight="1">
      <c r="A79" s="8327"/>
      <c r="B79" s="8268" t="s">
        <v>500</v>
      </c>
      <c r="C79" s="5137">
        <v>665</v>
      </c>
      <c r="D79" s="8269" t="s">
        <v>481</v>
      </c>
      <c r="E79" s="8312"/>
      <c r="F79" s="8608">
        <f>'receipts program'!D88</f>
        <v>1713520553</v>
      </c>
      <c r="G79" s="8264"/>
      <c r="H79" s="8647">
        <v>1838042482</v>
      </c>
      <c r="I79" s="8343"/>
      <c r="J79" s="10337">
        <f>'receipts program'!M88</f>
        <v>2021897881</v>
      </c>
      <c r="K79" s="5141">
        <f>J79</f>
        <v>2021897881</v>
      </c>
      <c r="L79" s="5141"/>
    </row>
    <row r="80" spans="1:14" ht="12.75" customHeight="1">
      <c r="A80" s="8327"/>
      <c r="B80" s="8268" t="s">
        <v>9205</v>
      </c>
      <c r="C80" s="5137">
        <v>669</v>
      </c>
      <c r="D80" s="8269" t="s">
        <v>484</v>
      </c>
      <c r="E80" s="8312"/>
      <c r="F80" s="8608">
        <f>'receipts program'!D89</f>
        <v>0</v>
      </c>
      <c r="G80" s="8264"/>
      <c r="H80" s="8647">
        <v>50000</v>
      </c>
      <c r="I80" s="8343"/>
      <c r="J80" s="10337">
        <f>'receipts program'!M89</f>
        <v>150000</v>
      </c>
      <c r="L80" s="6719">
        <f>J80</f>
        <v>150000</v>
      </c>
    </row>
    <row r="81" spans="1:12" ht="12.75" hidden="1" customHeight="1">
      <c r="A81" s="8327"/>
      <c r="B81" s="8268" t="s">
        <v>9206</v>
      </c>
      <c r="C81" s="5137" t="s">
        <v>9</v>
      </c>
      <c r="D81" s="8269" t="s">
        <v>484</v>
      </c>
      <c r="E81" s="8312"/>
      <c r="F81" s="8608">
        <f>'receipts program'!D90</f>
        <v>0</v>
      </c>
      <c r="G81" s="8264"/>
      <c r="H81" s="8647">
        <v>0</v>
      </c>
      <c r="I81" s="8343"/>
      <c r="J81" s="10337">
        <v>0</v>
      </c>
      <c r="L81" s="5141"/>
    </row>
    <row r="82" spans="1:12" ht="12.75" customHeight="1">
      <c r="A82" s="8327"/>
      <c r="B82" s="8268" t="s">
        <v>4762</v>
      </c>
      <c r="C82" s="5137" t="s">
        <v>3147</v>
      </c>
      <c r="D82" s="8269" t="s">
        <v>481</v>
      </c>
      <c r="E82" s="8312"/>
      <c r="F82" s="8608">
        <f>'receipts program'!D91</f>
        <v>3977795.2</v>
      </c>
      <c r="G82" s="8264"/>
      <c r="H82" s="8647">
        <v>2000000</v>
      </c>
      <c r="I82" s="8343" t="s">
        <v>9</v>
      </c>
      <c r="J82" s="10337">
        <f>'receipts program'!M91</f>
        <v>5000000</v>
      </c>
      <c r="K82" s="5141">
        <f>J82</f>
        <v>5000000</v>
      </c>
      <c r="L82" s="5141"/>
    </row>
    <row r="83" spans="1:12" ht="18.75" customHeight="1">
      <c r="A83" s="8344"/>
      <c r="B83" s="8268" t="s">
        <v>9207</v>
      </c>
      <c r="C83" s="5137"/>
      <c r="D83" s="8288" t="s">
        <v>484</v>
      </c>
      <c r="E83" s="8312"/>
      <c r="F83" s="8617"/>
      <c r="G83" s="8274"/>
      <c r="H83" s="8647"/>
      <c r="I83" s="8343"/>
      <c r="J83" s="10337"/>
      <c r="L83" s="5141"/>
    </row>
    <row r="84" spans="1:12" ht="18" customHeight="1">
      <c r="A84" s="8258"/>
      <c r="B84" s="8276" t="s">
        <v>485</v>
      </c>
      <c r="C84" s="8260"/>
      <c r="D84" s="8261"/>
      <c r="E84" s="8277" t="s">
        <v>405</v>
      </c>
      <c r="F84" s="8601">
        <f>SUM(F79:F83)</f>
        <v>1717498348.2</v>
      </c>
      <c r="G84" s="8278" t="s">
        <v>405</v>
      </c>
      <c r="H84" s="8649">
        <f>SUM(H79:H83)</f>
        <v>1840092482</v>
      </c>
      <c r="I84" s="8345" t="s">
        <v>405</v>
      </c>
      <c r="J84" s="10324">
        <f>SUM(J79:J82)</f>
        <v>2027047881</v>
      </c>
      <c r="L84" s="5141"/>
    </row>
    <row r="85" spans="1:12" ht="17.100000000000001" customHeight="1">
      <c r="A85" s="8258"/>
      <c r="B85" s="8253" t="s">
        <v>4759</v>
      </c>
      <c r="C85" s="8260"/>
      <c r="D85" s="8346"/>
      <c r="E85" s="5149"/>
      <c r="F85" s="8597"/>
      <c r="G85" s="8347"/>
      <c r="H85" s="8637"/>
      <c r="I85" s="8342"/>
      <c r="J85" s="10336"/>
      <c r="L85" s="5141"/>
    </row>
    <row r="86" spans="1:12" ht="12" customHeight="1">
      <c r="A86" s="8258"/>
      <c r="B86" s="8268" t="s">
        <v>4761</v>
      </c>
      <c r="C86" s="5137">
        <v>682</v>
      </c>
      <c r="D86" s="8348" t="s">
        <v>484</v>
      </c>
      <c r="E86" s="8349"/>
      <c r="F86" s="8618">
        <v>0</v>
      </c>
      <c r="G86" s="8350"/>
      <c r="H86" s="8643">
        <v>1000000</v>
      </c>
      <c r="I86" s="8351"/>
      <c r="J86" s="10323">
        <f>'receipts program'!M97</f>
        <v>3000000</v>
      </c>
      <c r="L86" s="5141">
        <f>J86</f>
        <v>3000000</v>
      </c>
    </row>
    <row r="87" spans="1:12" ht="12" customHeight="1">
      <c r="A87" s="8258"/>
      <c r="B87" s="8268"/>
      <c r="C87" s="8260"/>
      <c r="D87" s="8348"/>
      <c r="E87" s="8352"/>
      <c r="F87" s="8618"/>
      <c r="G87" s="8353"/>
      <c r="H87" s="8643"/>
      <c r="I87" s="8351"/>
      <c r="J87" s="10323"/>
      <c r="L87" s="5141"/>
    </row>
    <row r="88" spans="1:12" ht="17.25" customHeight="1">
      <c r="A88" s="8258"/>
      <c r="B88" s="5148" t="s">
        <v>485</v>
      </c>
      <c r="C88" s="8354"/>
      <c r="D88" s="8354"/>
      <c r="E88" s="8355" t="s">
        <v>405</v>
      </c>
      <c r="F88" s="8619">
        <f>SUM(F86:F87)</f>
        <v>0</v>
      </c>
      <c r="G88" s="8356" t="s">
        <v>405</v>
      </c>
      <c r="H88" s="8653">
        <f>SUM(H86:H87)</f>
        <v>1000000</v>
      </c>
      <c r="I88" s="8357" t="s">
        <v>405</v>
      </c>
      <c r="J88" s="10338">
        <f>SUM(J86:J87)</f>
        <v>3000000</v>
      </c>
      <c r="L88" s="5141"/>
    </row>
    <row r="89" spans="1:12" ht="17.25" customHeight="1">
      <c r="A89" s="8286"/>
      <c r="B89" s="5148"/>
      <c r="C89" s="8354"/>
      <c r="D89" s="8354"/>
      <c r="E89" s="8355"/>
      <c r="F89" s="8620"/>
      <c r="G89" s="8358"/>
      <c r="H89" s="8653"/>
      <c r="I89" s="8357"/>
      <c r="J89" s="10338"/>
      <c r="L89" s="5141"/>
    </row>
    <row r="90" spans="1:12" ht="17.100000000000001" customHeight="1">
      <c r="A90" s="8258"/>
      <c r="B90" s="8359" t="s">
        <v>4760</v>
      </c>
      <c r="C90" s="8354"/>
      <c r="D90" s="8354" t="s">
        <v>484</v>
      </c>
      <c r="E90" s="8360" t="s">
        <v>405</v>
      </c>
      <c r="F90" s="8600">
        <v>0</v>
      </c>
      <c r="G90" s="8361" t="s">
        <v>405</v>
      </c>
      <c r="H90" s="8643">
        <v>440000000</v>
      </c>
      <c r="I90" s="8351" t="s">
        <v>405</v>
      </c>
      <c r="J90" s="10323">
        <f>'receipts program'!M103</f>
        <v>0</v>
      </c>
      <c r="L90" s="5141">
        <f>J90</f>
        <v>0</v>
      </c>
    </row>
    <row r="91" spans="1:12" ht="17.100000000000001" customHeight="1">
      <c r="A91" s="8286"/>
      <c r="B91" s="8359"/>
      <c r="C91" s="8354"/>
      <c r="D91" s="8354"/>
      <c r="E91" s="8362"/>
      <c r="F91" s="8621"/>
      <c r="G91" s="8363"/>
      <c r="H91" s="8654"/>
      <c r="I91" s="8364"/>
      <c r="J91" s="10339"/>
      <c r="L91" s="5141"/>
    </row>
    <row r="92" spans="1:12" ht="17.100000000000001" customHeight="1">
      <c r="A92" s="8286"/>
      <c r="B92" s="5148" t="s">
        <v>485</v>
      </c>
      <c r="C92" s="8365"/>
      <c r="D92" s="8354"/>
      <c r="E92" s="8362" t="s">
        <v>405</v>
      </c>
      <c r="F92" s="8368">
        <f>F90</f>
        <v>0</v>
      </c>
      <c r="G92" s="8366" t="s">
        <v>405</v>
      </c>
      <c r="H92" s="8655">
        <f>H90</f>
        <v>440000000</v>
      </c>
      <c r="I92" s="8367" t="s">
        <v>405</v>
      </c>
      <c r="J92" s="10340">
        <f>J90</f>
        <v>0</v>
      </c>
      <c r="L92" s="5141"/>
    </row>
    <row r="93" spans="1:12" ht="17.100000000000001" customHeight="1">
      <c r="A93" s="8286"/>
      <c r="B93" s="5148"/>
      <c r="C93" s="8365"/>
      <c r="D93" s="8354"/>
      <c r="E93" s="8369"/>
      <c r="F93" s="8622"/>
      <c r="G93" s="8370"/>
      <c r="H93" s="8656"/>
      <c r="I93" s="8371"/>
      <c r="J93" s="10341"/>
      <c r="L93" s="5141"/>
    </row>
    <row r="94" spans="1:12" ht="15.75" customHeight="1">
      <c r="A94" s="8286"/>
      <c r="B94" s="8359" t="s">
        <v>502</v>
      </c>
      <c r="C94" s="8372"/>
      <c r="D94" s="8372"/>
      <c r="E94" s="8373" t="s">
        <v>405</v>
      </c>
      <c r="F94" s="8623">
        <f>SUM(F31,F59,F84,F88,F92)</f>
        <v>2002937454.5700002</v>
      </c>
      <c r="G94" s="8374" t="s">
        <v>405</v>
      </c>
      <c r="H94" s="8657">
        <f>SUM(H31,H59,H84,H88,H92)</f>
        <v>2641047482</v>
      </c>
      <c r="I94" s="8375" t="s">
        <v>405</v>
      </c>
      <c r="J94" s="10342">
        <f>SUM(J31,J59,J84,J88,J92)</f>
        <v>2424992881</v>
      </c>
      <c r="L94" s="5141"/>
    </row>
    <row r="95" spans="1:12" ht="15.75" customHeight="1">
      <c r="A95" s="8344" t="s">
        <v>9192</v>
      </c>
      <c r="B95" s="8376"/>
      <c r="C95" s="5137"/>
      <c r="D95" s="8288"/>
      <c r="E95" s="5149"/>
      <c r="F95" s="8624"/>
      <c r="G95" s="8324"/>
      <c r="H95" s="8658"/>
      <c r="I95" s="8324"/>
      <c r="J95" s="10343"/>
      <c r="L95" s="5141"/>
    </row>
    <row r="96" spans="1:12" ht="15.75" customHeight="1">
      <c r="A96" s="8286"/>
      <c r="B96" s="8377" t="s">
        <v>9193</v>
      </c>
      <c r="C96" s="5137"/>
      <c r="D96" s="8288"/>
      <c r="E96" s="5149"/>
      <c r="F96" s="8625">
        <f>'receipts program'!D107</f>
        <v>0</v>
      </c>
      <c r="G96" s="8324"/>
      <c r="H96" s="8658"/>
      <c r="I96" s="8324"/>
      <c r="J96" s="10343"/>
      <c r="L96" s="5141"/>
    </row>
    <row r="97" spans="1:13" ht="15.75" customHeight="1">
      <c r="A97" s="8286"/>
      <c r="B97" s="8377" t="s">
        <v>9194</v>
      </c>
      <c r="C97" s="5137"/>
      <c r="D97" s="8288"/>
      <c r="E97" s="5149"/>
      <c r="F97" s="8626">
        <f>'receipts program'!D108</f>
        <v>0</v>
      </c>
      <c r="G97" s="8324"/>
      <c r="H97" s="8658"/>
      <c r="I97" s="8324"/>
      <c r="J97" s="10343"/>
      <c r="L97" s="5141"/>
    </row>
    <row r="98" spans="1:13" ht="15.75" customHeight="1" thickBot="1">
      <c r="A98" s="8378"/>
      <c r="B98" s="8379"/>
      <c r="C98" s="8380"/>
      <c r="D98" s="8381"/>
      <c r="E98" s="8382"/>
      <c r="F98" s="8627"/>
      <c r="G98" s="8383"/>
      <c r="H98" s="8659"/>
      <c r="I98" s="8384"/>
      <c r="J98" s="10344"/>
      <c r="L98" s="5141"/>
    </row>
    <row r="99" spans="1:13" ht="22.5" customHeight="1" thickBot="1">
      <c r="A99" s="8385" t="s">
        <v>188</v>
      </c>
      <c r="B99" s="8386" t="s">
        <v>503</v>
      </c>
      <c r="C99" s="8387"/>
      <c r="D99" s="8388"/>
      <c r="E99" s="8389" t="s">
        <v>405</v>
      </c>
      <c r="F99" s="8628">
        <f>F94+F9+F96+F97</f>
        <v>2117937454.5700002</v>
      </c>
      <c r="G99" s="8390" t="s">
        <v>405</v>
      </c>
      <c r="H99" s="8660">
        <f>H94+H9+H96+H97</f>
        <v>2936047482</v>
      </c>
      <c r="I99" s="8391" t="s">
        <v>405</v>
      </c>
      <c r="J99" s="10345">
        <f>J94+J9</f>
        <v>2529992881</v>
      </c>
      <c r="K99" s="5141">
        <f>SUM(K9:K98)</f>
        <v>2405342881</v>
      </c>
      <c r="L99" s="5141">
        <f>SUM(L9:L98)</f>
        <v>10650000</v>
      </c>
      <c r="M99" s="8392">
        <f>SUM(K99:L99)</f>
        <v>2415992881</v>
      </c>
    </row>
    <row r="100" spans="1:13" ht="15" customHeight="1">
      <c r="A100" s="8359"/>
      <c r="B100" s="5147"/>
      <c r="C100" s="8260"/>
      <c r="D100" s="8260"/>
      <c r="E100" s="5149"/>
      <c r="F100" s="8624"/>
      <c r="G100" s="5149"/>
      <c r="H100" s="8658"/>
      <c r="I100" s="8393"/>
      <c r="J100" s="10346"/>
      <c r="M100" s="8392">
        <f>M99+J9</f>
        <v>2520992881</v>
      </c>
    </row>
    <row r="101" spans="1:13" ht="39.75" hidden="1" customHeight="1">
      <c r="A101" s="14093" t="s">
        <v>10438</v>
      </c>
      <c r="B101" s="14093"/>
      <c r="C101" s="14093"/>
      <c r="D101" s="14093"/>
      <c r="E101" s="14093"/>
      <c r="F101" s="14093"/>
      <c r="G101" s="14093"/>
      <c r="H101" s="14093"/>
      <c r="I101" s="14093"/>
      <c r="J101" s="14093"/>
      <c r="K101" s="5141">
        <f>SUM(K8:K100)</f>
        <v>4810685762</v>
      </c>
    </row>
    <row r="102" spans="1:13" ht="15" hidden="1" customHeight="1">
      <c r="A102" s="8394"/>
      <c r="B102" s="8395"/>
      <c r="C102" s="8395"/>
      <c r="D102" s="8395"/>
      <c r="E102" s="8395"/>
      <c r="F102" s="8629"/>
      <c r="G102" s="5158"/>
      <c r="H102" s="8661"/>
      <c r="I102" s="8396"/>
      <c r="J102" s="10347"/>
    </row>
    <row r="103" spans="1:13" ht="15" hidden="1" customHeight="1">
      <c r="A103" s="8395"/>
      <c r="B103" s="8395"/>
      <c r="C103" s="8395"/>
      <c r="D103" s="8395"/>
      <c r="E103" s="8395"/>
      <c r="F103" s="8629"/>
      <c r="G103" s="5158"/>
      <c r="H103" s="8661"/>
      <c r="I103" s="8396"/>
      <c r="J103" s="10347"/>
    </row>
    <row r="104" spans="1:13" s="8398" customFormat="1" ht="15" hidden="1" customHeight="1">
      <c r="A104" s="8397" t="s">
        <v>9172</v>
      </c>
      <c r="B104" s="8395"/>
      <c r="C104" s="8395"/>
      <c r="D104" s="8395"/>
      <c r="E104" s="8395"/>
      <c r="F104" s="8629"/>
      <c r="G104" s="5158"/>
      <c r="H104" s="8661"/>
      <c r="I104" s="5158"/>
      <c r="J104" s="10347"/>
      <c r="K104" s="5158"/>
    </row>
    <row r="105" spans="1:13" s="8399" customFormat="1" ht="15" hidden="1" customHeight="1">
      <c r="A105" s="8395"/>
      <c r="B105" s="5140"/>
      <c r="C105" s="8395"/>
      <c r="D105" s="8395"/>
      <c r="E105" s="8395"/>
      <c r="F105" s="8629"/>
      <c r="G105" s="5158"/>
      <c r="H105" s="8662"/>
      <c r="I105" s="5158"/>
      <c r="J105" s="10347"/>
      <c r="K105" s="5158"/>
    </row>
    <row r="106" spans="1:13" s="8398" customFormat="1" ht="15" hidden="1" customHeight="1">
      <c r="A106" s="8395"/>
      <c r="B106" s="5140"/>
      <c r="C106" s="8395"/>
      <c r="D106" s="8395"/>
      <c r="E106" s="8395"/>
      <c r="F106" s="8629"/>
      <c r="G106" s="5158"/>
      <c r="H106" s="8662"/>
      <c r="I106" s="5158"/>
      <c r="J106" s="10347"/>
      <c r="K106" s="5158"/>
    </row>
    <row r="107" spans="1:13" s="8399" customFormat="1" ht="15" hidden="1" customHeight="1">
      <c r="A107" s="8395"/>
      <c r="B107" s="5140"/>
      <c r="C107" s="8395"/>
      <c r="D107" s="8395"/>
      <c r="E107" s="8395"/>
      <c r="F107" s="8629"/>
      <c r="G107" s="5158"/>
      <c r="H107" s="8662"/>
      <c r="I107" s="5158"/>
      <c r="J107" s="10347"/>
      <c r="K107" s="5158"/>
    </row>
    <row r="108" spans="1:13" s="8401" customFormat="1" ht="15" hidden="1" customHeight="1">
      <c r="A108" s="8400" t="s">
        <v>9173</v>
      </c>
      <c r="B108" s="8400"/>
      <c r="C108" s="8400" t="s">
        <v>10122</v>
      </c>
      <c r="E108" s="8400"/>
      <c r="F108" s="6991"/>
      <c r="G108" s="14094" t="s">
        <v>9186</v>
      </c>
      <c r="H108" s="14094"/>
      <c r="I108" s="14094"/>
      <c r="J108" s="14094"/>
      <c r="K108" s="5160"/>
    </row>
    <row r="109" spans="1:13" s="8403" customFormat="1" ht="15" hidden="1" customHeight="1">
      <c r="A109" s="8402" t="s">
        <v>9174</v>
      </c>
      <c r="B109" s="8397"/>
      <c r="C109" s="8402" t="s">
        <v>10347</v>
      </c>
      <c r="E109" s="8402"/>
      <c r="F109" s="8630"/>
      <c r="G109" s="14095" t="s">
        <v>9187</v>
      </c>
      <c r="H109" s="14095"/>
      <c r="I109" s="14095"/>
      <c r="J109" s="14095"/>
      <c r="K109" s="5164"/>
    </row>
    <row r="110" spans="1:13" s="8401" customFormat="1" ht="15" hidden="1" customHeight="1">
      <c r="A110" s="8402"/>
      <c r="B110" s="8397"/>
      <c r="C110" s="8397"/>
      <c r="D110" s="8402"/>
      <c r="E110" s="8402"/>
      <c r="F110" s="6989"/>
      <c r="G110" s="5164"/>
      <c r="H110" s="8663"/>
      <c r="I110" s="5164"/>
      <c r="J110" s="10348"/>
      <c r="K110" s="5164"/>
    </row>
    <row r="111" spans="1:13" s="8401" customFormat="1" ht="15" hidden="1" customHeight="1">
      <c r="A111" s="8402"/>
      <c r="B111" s="8397"/>
      <c r="C111" s="8397"/>
      <c r="D111" s="8402"/>
      <c r="E111" s="8402"/>
      <c r="F111" s="6989"/>
      <c r="G111" s="5164"/>
      <c r="H111" s="8663"/>
      <c r="I111" s="5164"/>
      <c r="J111" s="10348"/>
      <c r="K111" s="5164"/>
    </row>
    <row r="112" spans="1:13" s="8401" customFormat="1" ht="15" hidden="1" customHeight="1">
      <c r="A112" s="8402"/>
      <c r="B112" s="8397"/>
      <c r="C112" s="8397"/>
      <c r="D112" s="8402" t="s">
        <v>9</v>
      </c>
      <c r="E112" s="8402"/>
      <c r="F112" s="6989"/>
      <c r="G112" s="5164"/>
      <c r="H112" s="8663"/>
      <c r="I112" s="5164"/>
      <c r="J112" s="10348"/>
      <c r="K112" s="5164"/>
    </row>
    <row r="113" spans="1:14" s="8401" customFormat="1" ht="15" hidden="1" customHeight="1">
      <c r="A113" s="6091"/>
      <c r="B113" s="8404" t="s">
        <v>10470</v>
      </c>
      <c r="C113" s="8405" t="s">
        <v>10473</v>
      </c>
      <c r="E113" s="8405"/>
      <c r="F113" s="8631"/>
      <c r="G113" s="14046" t="s">
        <v>9163</v>
      </c>
      <c r="H113" s="14046"/>
      <c r="I113" s="14046"/>
      <c r="J113" s="14046"/>
    </row>
    <row r="114" spans="1:14" s="8401" customFormat="1" ht="15" hidden="1" customHeight="1">
      <c r="A114" s="6092"/>
      <c r="B114" s="8406" t="s">
        <v>747</v>
      </c>
      <c r="C114" s="8407" t="s">
        <v>10474</v>
      </c>
      <c r="E114" s="8407"/>
      <c r="F114" s="8632"/>
      <c r="G114" s="14071" t="s">
        <v>10472</v>
      </c>
      <c r="H114" s="14071"/>
      <c r="I114" s="14071"/>
      <c r="J114" s="14071"/>
    </row>
    <row r="115" spans="1:14" s="8401" customFormat="1" ht="15" hidden="1" customHeight="1">
      <c r="A115" s="5166"/>
      <c r="B115" s="8402"/>
      <c r="C115" s="8402"/>
      <c r="D115" s="8402"/>
      <c r="E115" s="5166"/>
      <c r="F115" s="6998"/>
      <c r="G115" s="5166"/>
      <c r="H115" s="8664"/>
      <c r="I115" s="5166"/>
      <c r="J115" s="10349"/>
      <c r="K115" s="5166"/>
    </row>
    <row r="116" spans="1:14" s="8401" customFormat="1" ht="15" hidden="1" customHeight="1">
      <c r="A116" s="5166"/>
      <c r="B116" s="8402"/>
      <c r="C116" s="8402"/>
      <c r="D116" s="8402"/>
      <c r="E116" s="5166"/>
      <c r="F116" s="6998"/>
      <c r="G116" s="5166"/>
      <c r="H116" s="8664"/>
      <c r="I116" s="5166"/>
      <c r="J116" s="10349"/>
      <c r="K116" s="5166"/>
    </row>
    <row r="117" spans="1:14" s="8401" customFormat="1" ht="15" hidden="1" customHeight="1">
      <c r="A117" s="5166"/>
      <c r="B117" s="8402"/>
      <c r="C117" s="8402"/>
      <c r="D117" s="8402"/>
      <c r="E117" s="5166"/>
      <c r="F117" s="6998"/>
      <c r="G117" s="5166"/>
      <c r="H117" s="8664"/>
      <c r="I117" s="5166"/>
      <c r="J117" s="10349"/>
      <c r="K117" s="5166"/>
    </row>
    <row r="118" spans="1:14" s="5166" customFormat="1" ht="15" hidden="1" customHeight="1">
      <c r="A118" s="14096" t="s">
        <v>9161</v>
      </c>
      <c r="B118" s="14096"/>
      <c r="C118" s="14096"/>
      <c r="D118" s="14096"/>
      <c r="E118" s="14096"/>
      <c r="F118" s="14096"/>
      <c r="G118" s="14096"/>
      <c r="H118" s="14096"/>
      <c r="I118" s="14096"/>
      <c r="J118" s="14096"/>
      <c r="N118" s="8237"/>
    </row>
    <row r="119" spans="1:14" s="5166" customFormat="1" ht="15" hidden="1" customHeight="1">
      <c r="C119" s="5166" t="s">
        <v>10174</v>
      </c>
      <c r="F119" s="6998"/>
      <c r="H119" s="8665"/>
      <c r="J119" s="10349"/>
      <c r="N119" s="8237"/>
    </row>
    <row r="120" spans="1:14" s="5166" customFormat="1" ht="15" hidden="1" customHeight="1">
      <c r="F120" s="6998"/>
      <c r="H120" s="8665"/>
      <c r="J120" s="10349"/>
      <c r="N120" s="8237"/>
    </row>
    <row r="121" spans="1:14" s="5166" customFormat="1" ht="15" hidden="1" customHeight="1">
      <c r="F121" s="6998"/>
      <c r="H121" s="8665"/>
      <c r="J121" s="10349"/>
      <c r="N121" s="8237"/>
    </row>
    <row r="122" spans="1:14" s="5166" customFormat="1" ht="15" hidden="1" customHeight="1">
      <c r="B122" s="5166" t="s">
        <v>9176</v>
      </c>
      <c r="C122" s="8236"/>
      <c r="F122" s="6998"/>
      <c r="H122" s="8665"/>
      <c r="J122" s="10349"/>
      <c r="N122" s="8237"/>
    </row>
    <row r="123" spans="1:14" s="5166" customFormat="1" ht="15" hidden="1" customHeight="1">
      <c r="C123" s="8236"/>
      <c r="F123" s="6998"/>
      <c r="H123" s="8665"/>
      <c r="J123" s="10349"/>
      <c r="N123" s="8237"/>
    </row>
    <row r="124" spans="1:14" s="5166" customFormat="1" ht="15" hidden="1" customHeight="1">
      <c r="A124" s="14096" t="s">
        <v>5182</v>
      </c>
      <c r="B124" s="14096"/>
      <c r="C124" s="14096"/>
      <c r="D124" s="14096"/>
      <c r="E124" s="14096"/>
      <c r="F124" s="14096"/>
      <c r="G124" s="14096"/>
      <c r="H124" s="14096"/>
      <c r="I124" s="14096"/>
      <c r="J124" s="14096"/>
      <c r="K124" s="8236"/>
      <c r="N124" s="8237"/>
    </row>
    <row r="125" spans="1:14" s="8236" customFormat="1" ht="15" hidden="1" customHeight="1">
      <c r="A125" s="5166"/>
      <c r="B125" s="5166"/>
      <c r="C125" s="5166"/>
      <c r="D125" s="5166" t="s">
        <v>9185</v>
      </c>
      <c r="E125" s="5166"/>
      <c r="F125" s="6998"/>
      <c r="G125" s="5166"/>
      <c r="H125" s="8665"/>
      <c r="I125" s="5166"/>
      <c r="J125" s="10349"/>
      <c r="K125" s="5166"/>
      <c r="N125" s="8235"/>
    </row>
    <row r="126" spans="1:14" ht="15" hidden="1" customHeight="1">
      <c r="B126" s="8408"/>
    </row>
    <row r="127" spans="1:14" ht="12" hidden="1" customHeight="1"/>
    <row r="128" spans="1:14" ht="12" hidden="1" customHeight="1">
      <c r="A128" s="8410"/>
      <c r="B128" s="8410"/>
      <c r="C128" s="8410"/>
      <c r="D128" s="8410"/>
      <c r="E128" s="8410"/>
      <c r="F128" s="8634"/>
      <c r="G128" s="8410"/>
      <c r="H128" s="8667"/>
      <c r="I128" s="8411"/>
      <c r="J128" s="10351"/>
    </row>
    <row r="129" ht="12" hidden="1" customHeight="1"/>
    <row r="130" ht="12" customHeight="1"/>
  </sheetData>
  <mergeCells count="30">
    <mergeCell ref="G108:J108"/>
    <mergeCell ref="G109:J109"/>
    <mergeCell ref="A118:J118"/>
    <mergeCell ref="A124:J124"/>
    <mergeCell ref="G113:J113"/>
    <mergeCell ref="G114:J114"/>
    <mergeCell ref="E74:F74"/>
    <mergeCell ref="G74:H74"/>
    <mergeCell ref="I76:J76"/>
    <mergeCell ref="A101:J101"/>
    <mergeCell ref="I74:J74"/>
    <mergeCell ref="A75:B75"/>
    <mergeCell ref="E75:F75"/>
    <mergeCell ref="G75:H75"/>
    <mergeCell ref="I75:J75"/>
    <mergeCell ref="E76:F76"/>
    <mergeCell ref="G76:H76"/>
    <mergeCell ref="I6:J6"/>
    <mergeCell ref="E7:F7"/>
    <mergeCell ref="G7:H7"/>
    <mergeCell ref="I7:J7"/>
    <mergeCell ref="A1:J1"/>
    <mergeCell ref="A2:J2"/>
    <mergeCell ref="A3:J3"/>
    <mergeCell ref="E5:F5"/>
    <mergeCell ref="G5:H5"/>
    <mergeCell ref="I5:J5"/>
    <mergeCell ref="A6:B6"/>
    <mergeCell ref="E6:F6"/>
    <mergeCell ref="G6:H6"/>
  </mergeCells>
  <printOptions horizontalCentered="1" gridLinesSet="0"/>
  <pageMargins left="0.5" right="0.25" top="0.75" bottom="0.5" header="0.25" footer="0.25"/>
  <pageSetup paperSize="5" scale="95" firstPageNumber="3" orientation="portrait" useFirstPageNumber="1" verticalDpi="300" r:id="rId1"/>
  <headerFooter alignWithMargins="0"/>
</worksheet>
</file>

<file path=xl/worksheets/sheet170.xml><?xml version="1.0" encoding="utf-8"?>
<worksheet xmlns="http://schemas.openxmlformats.org/spreadsheetml/2006/main" xmlns:r="http://schemas.openxmlformats.org/officeDocument/2006/relationships">
  <sheetPr codeName="Sheet188">
    <tabColor rgb="FFFFFF00"/>
  </sheetPr>
  <dimension ref="A1:F27"/>
  <sheetViews>
    <sheetView topLeftCell="A7" workbookViewId="0">
      <selection activeCell="E3" sqref="E3"/>
    </sheetView>
  </sheetViews>
  <sheetFormatPr defaultColWidth="9.109375" defaultRowHeight="14.4"/>
  <cols>
    <col min="1" max="1" width="29.88671875" style="951" customWidth="1"/>
    <col min="2" max="2" width="16.88671875" style="951" customWidth="1"/>
    <col min="3" max="3" width="16.44140625" style="959" customWidth="1"/>
    <col min="4" max="4" width="15.109375" style="959" customWidth="1"/>
    <col min="5" max="5" width="16.44140625" style="959" customWidth="1"/>
    <col min="6" max="6" width="15.44140625" style="959" customWidth="1"/>
    <col min="7" max="7" width="9.109375" style="951"/>
    <col min="8" max="8" width="24.109375" style="951" customWidth="1"/>
    <col min="9" max="11" width="17.88671875" style="951" customWidth="1"/>
    <col min="12" max="16384" width="9.109375" style="951"/>
  </cols>
  <sheetData>
    <row r="1" spans="1:6" s="946" customFormat="1" ht="18.75" customHeight="1">
      <c r="A1" s="946" t="s">
        <v>3426</v>
      </c>
      <c r="C1" s="952"/>
      <c r="D1" s="952"/>
      <c r="E1" s="952"/>
      <c r="F1" s="952"/>
    </row>
    <row r="2" spans="1:6" s="946" customFormat="1" ht="18.75" customHeight="1">
      <c r="A2" s="113" t="s">
        <v>4809</v>
      </c>
      <c r="B2" s="113"/>
      <c r="C2" s="952"/>
      <c r="D2" s="952"/>
      <c r="E2" s="952"/>
      <c r="F2" s="952"/>
    </row>
    <row r="3" spans="1:6" s="946" customFormat="1" ht="18.75" customHeight="1" thickBot="1">
      <c r="C3" s="952"/>
      <c r="D3" s="952"/>
      <c r="E3" s="952"/>
      <c r="F3" s="952"/>
    </row>
    <row r="4" spans="1:6" s="881" customFormat="1" ht="76.5" customHeight="1" thickTop="1" thickBot="1">
      <c r="A4" s="1950" t="s">
        <v>1991</v>
      </c>
      <c r="B4" s="1951" t="s">
        <v>9632</v>
      </c>
      <c r="C4" s="1951" t="s">
        <v>5130</v>
      </c>
      <c r="D4" s="1951" t="s">
        <v>52</v>
      </c>
      <c r="E4" s="1952" t="s">
        <v>458</v>
      </c>
    </row>
    <row r="5" spans="1:6" s="971" customFormat="1">
      <c r="A5" s="1938"/>
      <c r="B5" s="3658"/>
      <c r="C5" s="1941"/>
      <c r="D5" s="1941"/>
      <c r="E5" s="1943"/>
    </row>
    <row r="6" spans="1:6" s="1548" customFormat="1">
      <c r="A6" s="1939" t="s">
        <v>5131</v>
      </c>
      <c r="B6" s="4723">
        <v>24993783</v>
      </c>
      <c r="C6" s="1941"/>
      <c r="D6" s="1941"/>
      <c r="E6" s="4724">
        <f>SUM(B6:D6)</f>
        <v>24993783</v>
      </c>
    </row>
    <row r="7" spans="1:6" s="946" customFormat="1">
      <c r="A7" s="1939"/>
      <c r="B7" s="3692"/>
      <c r="C7" s="1941"/>
      <c r="D7" s="1941"/>
      <c r="E7" s="1943"/>
    </row>
    <row r="8" spans="1:6" s="946" customFormat="1">
      <c r="A8" s="1938" t="s">
        <v>5132</v>
      </c>
      <c r="B8" s="3658"/>
      <c r="C8" s="1942">
        <v>532550</v>
      </c>
      <c r="D8" s="1941"/>
      <c r="E8" s="1944">
        <v>532550</v>
      </c>
    </row>
    <row r="9" spans="1:6">
      <c r="A9" s="1938" t="s">
        <v>5133</v>
      </c>
      <c r="B9" s="3658"/>
      <c r="C9" s="1941"/>
      <c r="D9" s="1941"/>
      <c r="E9" s="1943"/>
      <c r="F9" s="951"/>
    </row>
    <row r="10" spans="1:6">
      <c r="A10" s="1938"/>
      <c r="B10" s="3658"/>
      <c r="C10" s="1941"/>
      <c r="D10" s="1941"/>
      <c r="E10" s="1943"/>
      <c r="F10" s="951"/>
    </row>
    <row r="11" spans="1:6">
      <c r="A11" s="1938" t="s">
        <v>5134</v>
      </c>
      <c r="B11" s="3658"/>
      <c r="C11" s="1942">
        <v>196900</v>
      </c>
      <c r="D11" s="1941"/>
      <c r="E11" s="1944">
        <v>196900</v>
      </c>
      <c r="F11" s="951"/>
    </row>
    <row r="12" spans="1:6">
      <c r="A12" s="1938"/>
      <c r="B12" s="3658"/>
      <c r="C12" s="1941"/>
      <c r="D12" s="1941"/>
      <c r="E12" s="1943"/>
      <c r="F12" s="951"/>
    </row>
    <row r="13" spans="1:6">
      <c r="A13" s="1938" t="s">
        <v>5135</v>
      </c>
      <c r="B13" s="3658"/>
      <c r="C13" s="1942">
        <v>177000</v>
      </c>
      <c r="D13" s="1941"/>
      <c r="E13" s="1944">
        <v>177000</v>
      </c>
      <c r="F13" s="951"/>
    </row>
    <row r="14" spans="1:6">
      <c r="A14" s="1938"/>
      <c r="B14" s="3658"/>
      <c r="C14" s="1941"/>
      <c r="D14" s="1941"/>
      <c r="E14" s="1943"/>
      <c r="F14" s="951"/>
    </row>
    <row r="15" spans="1:6">
      <c r="A15" s="1938" t="s">
        <v>5136</v>
      </c>
      <c r="B15" s="3658"/>
      <c r="C15" s="1942">
        <v>239400</v>
      </c>
      <c r="D15" s="1941"/>
      <c r="E15" s="1944">
        <v>239400</v>
      </c>
      <c r="F15" s="951"/>
    </row>
    <row r="16" spans="1:6">
      <c r="A16" s="1938"/>
      <c r="B16" s="3658"/>
      <c r="C16" s="1941"/>
      <c r="D16" s="1941"/>
      <c r="E16" s="1943"/>
      <c r="F16" s="951"/>
    </row>
    <row r="17" spans="1:6">
      <c r="A17" s="1938" t="s">
        <v>5137</v>
      </c>
      <c r="B17" s="3658"/>
      <c r="C17" s="1942">
        <v>119400</v>
      </c>
      <c r="D17" s="1941"/>
      <c r="E17" s="1944">
        <v>119400</v>
      </c>
      <c r="F17" s="951"/>
    </row>
    <row r="18" spans="1:6">
      <c r="A18" s="1938"/>
      <c r="B18" s="3658"/>
      <c r="C18" s="1941"/>
      <c r="D18" s="1941"/>
      <c r="E18" s="1943"/>
      <c r="F18" s="951"/>
    </row>
    <row r="19" spans="1:6">
      <c r="A19" s="1938" t="s">
        <v>5138</v>
      </c>
      <c r="B19" s="3658"/>
      <c r="C19" s="1942">
        <v>3355250</v>
      </c>
      <c r="D19" s="1942">
        <v>625170</v>
      </c>
      <c r="E19" s="1944">
        <v>3980420</v>
      </c>
      <c r="F19" s="951"/>
    </row>
    <row r="20" spans="1:6">
      <c r="A20" s="1938" t="s">
        <v>5139</v>
      </c>
      <c r="B20" s="3658"/>
      <c r="C20" s="1138"/>
      <c r="D20" s="1138"/>
      <c r="E20" s="1945"/>
      <c r="F20" s="951"/>
    </row>
    <row r="21" spans="1:6" s="946" customFormat="1">
      <c r="A21" s="1938"/>
      <c r="B21" s="3658"/>
      <c r="C21" s="1138"/>
      <c r="D21" s="1138"/>
      <c r="E21" s="1945"/>
    </row>
    <row r="22" spans="1:6" ht="15" thickBot="1">
      <c r="A22" s="1940"/>
      <c r="B22" s="4722"/>
      <c r="C22" s="1538"/>
      <c r="D22" s="1538"/>
      <c r="E22" s="1946"/>
      <c r="F22" s="951"/>
    </row>
    <row r="23" spans="1:6" ht="15" thickBot="1">
      <c r="A23" s="1947" t="s">
        <v>220</v>
      </c>
      <c r="B23" s="4725">
        <f>SUM(B6:B19)</f>
        <v>24993783</v>
      </c>
      <c r="C23" s="1948">
        <f>SUM(C7:C22)</f>
        <v>4620500</v>
      </c>
      <c r="D23" s="1948">
        <f>SUM(D9:D21)</f>
        <v>625170</v>
      </c>
      <c r="E23" s="1949">
        <f>SUM(B23:D23)</f>
        <v>30239453</v>
      </c>
      <c r="F23" s="951"/>
    </row>
    <row r="24" spans="1:6" ht="15" thickTop="1"/>
    <row r="25" spans="1:6">
      <c r="B25" s="959"/>
    </row>
    <row r="27" spans="1:6">
      <c r="B27" s="4726"/>
    </row>
  </sheetData>
  <printOptions horizontalCentered="1"/>
  <pageMargins left="0.5" right="0.25" top="0.75" bottom="0.5" header="0.3" footer="0.25"/>
  <pageSetup paperSize="119" firstPageNumber="348" orientation="portrait" useFirstPageNumber="1" verticalDpi="300" r:id="rId1"/>
</worksheet>
</file>

<file path=xl/worksheets/sheet171.xml><?xml version="1.0" encoding="utf-8"?>
<worksheet xmlns="http://schemas.openxmlformats.org/spreadsheetml/2006/main" xmlns:r="http://schemas.openxmlformats.org/officeDocument/2006/relationships">
  <sheetPr codeName="Sheet130">
    <tabColor rgb="FFFFFF00"/>
  </sheetPr>
  <dimension ref="A1:H87"/>
  <sheetViews>
    <sheetView showGridLines="0" workbookViewId="0">
      <selection activeCell="G22" sqref="G22"/>
    </sheetView>
  </sheetViews>
  <sheetFormatPr defaultRowHeight="12.9" customHeight="1"/>
  <cols>
    <col min="1" max="1" width="40.5546875" style="7165" customWidth="1"/>
    <col min="2" max="3" width="8.5546875" style="7165" customWidth="1"/>
    <col min="4" max="5" width="14.5546875" style="7165" customWidth="1"/>
    <col min="6" max="6" width="15.44140625" style="7165" customWidth="1"/>
    <col min="7" max="7" width="14" style="7165" customWidth="1"/>
    <col min="8" max="8" width="15.109375" style="7165" customWidth="1"/>
    <col min="9" max="12" width="8.88671875" style="7165" customWidth="1"/>
    <col min="13" max="233" width="9.109375" style="7165"/>
    <col min="234" max="234" width="33.109375" style="7165" customWidth="1"/>
    <col min="235" max="235" width="8.44140625" style="7165" customWidth="1"/>
    <col min="236" max="236" width="9.109375" style="7165"/>
    <col min="237" max="237" width="10.44140625" style="7165" customWidth="1"/>
    <col min="238" max="238" width="13.44140625" style="7165" customWidth="1"/>
    <col min="239" max="239" width="13.88671875" style="7165" customWidth="1"/>
    <col min="240" max="240" width="9.109375" style="7165"/>
    <col min="241" max="241" width="16" style="7165" customWidth="1"/>
    <col min="242" max="242" width="14.44140625" style="7165" customWidth="1"/>
    <col min="243" max="489" width="9.109375" style="7165"/>
    <col min="490" max="490" width="33.109375" style="7165" customWidth="1"/>
    <col min="491" max="491" width="8.44140625" style="7165" customWidth="1"/>
    <col min="492" max="492" width="9.109375" style="7165"/>
    <col min="493" max="493" width="10.44140625" style="7165" customWidth="1"/>
    <col min="494" max="494" width="13.44140625" style="7165" customWidth="1"/>
    <col min="495" max="495" width="13.88671875" style="7165" customWidth="1"/>
    <col min="496" max="496" width="9.109375" style="7165"/>
    <col min="497" max="497" width="16" style="7165" customWidth="1"/>
    <col min="498" max="498" width="14.44140625" style="7165" customWidth="1"/>
    <col min="499" max="745" width="9.109375" style="7165"/>
    <col min="746" max="746" width="33.109375" style="7165" customWidth="1"/>
    <col min="747" max="747" width="8.44140625" style="7165" customWidth="1"/>
    <col min="748" max="748" width="9.109375" style="7165"/>
    <col min="749" max="749" width="10.44140625" style="7165" customWidth="1"/>
    <col min="750" max="750" width="13.44140625" style="7165" customWidth="1"/>
    <col min="751" max="751" width="13.88671875" style="7165" customWidth="1"/>
    <col min="752" max="752" width="9.109375" style="7165"/>
    <col min="753" max="753" width="16" style="7165" customWidth="1"/>
    <col min="754" max="754" width="14.44140625" style="7165" customWidth="1"/>
    <col min="755" max="1001" width="9.109375" style="7165"/>
    <col min="1002" max="1002" width="33.109375" style="7165" customWidth="1"/>
    <col min="1003" max="1003" width="8.44140625" style="7165" customWidth="1"/>
    <col min="1004" max="1004" width="9.109375" style="7165"/>
    <col min="1005" max="1005" width="10.44140625" style="7165" customWidth="1"/>
    <col min="1006" max="1006" width="13.44140625" style="7165" customWidth="1"/>
    <col min="1007" max="1007" width="13.88671875" style="7165" customWidth="1"/>
    <col min="1008" max="1008" width="9.109375" style="7165"/>
    <col min="1009" max="1009" width="16" style="7165" customWidth="1"/>
    <col min="1010" max="1010" width="14.44140625" style="7165" customWidth="1"/>
    <col min="1011" max="1257" width="9.109375" style="7165"/>
    <col min="1258" max="1258" width="33.109375" style="7165" customWidth="1"/>
    <col min="1259" max="1259" width="8.44140625" style="7165" customWidth="1"/>
    <col min="1260" max="1260" width="9.109375" style="7165"/>
    <col min="1261" max="1261" width="10.44140625" style="7165" customWidth="1"/>
    <col min="1262" max="1262" width="13.44140625" style="7165" customWidth="1"/>
    <col min="1263" max="1263" width="13.88671875" style="7165" customWidth="1"/>
    <col min="1264" max="1264" width="9.109375" style="7165"/>
    <col min="1265" max="1265" width="16" style="7165" customWidth="1"/>
    <col min="1266" max="1266" width="14.44140625" style="7165" customWidth="1"/>
    <col min="1267" max="1513" width="9.109375" style="7165"/>
    <col min="1514" max="1514" width="33.109375" style="7165" customWidth="1"/>
    <col min="1515" max="1515" width="8.44140625" style="7165" customWidth="1"/>
    <col min="1516" max="1516" width="9.109375" style="7165"/>
    <col min="1517" max="1517" width="10.44140625" style="7165" customWidth="1"/>
    <col min="1518" max="1518" width="13.44140625" style="7165" customWidth="1"/>
    <col min="1519" max="1519" width="13.88671875" style="7165" customWidth="1"/>
    <col min="1520" max="1520" width="9.109375" style="7165"/>
    <col min="1521" max="1521" width="16" style="7165" customWidth="1"/>
    <col min="1522" max="1522" width="14.44140625" style="7165" customWidth="1"/>
    <col min="1523" max="1769" width="9.109375" style="7165"/>
    <col min="1770" max="1770" width="33.109375" style="7165" customWidth="1"/>
    <col min="1771" max="1771" width="8.44140625" style="7165" customWidth="1"/>
    <col min="1772" max="1772" width="9.109375" style="7165"/>
    <col min="1773" max="1773" width="10.44140625" style="7165" customWidth="1"/>
    <col min="1774" max="1774" width="13.44140625" style="7165" customWidth="1"/>
    <col min="1775" max="1775" width="13.88671875" style="7165" customWidth="1"/>
    <col min="1776" max="1776" width="9.109375" style="7165"/>
    <col min="1777" max="1777" width="16" style="7165" customWidth="1"/>
    <col min="1778" max="1778" width="14.44140625" style="7165" customWidth="1"/>
    <col min="1779" max="2025" width="9.109375" style="7165"/>
    <col min="2026" max="2026" width="33.109375" style="7165" customWidth="1"/>
    <col min="2027" max="2027" width="8.44140625" style="7165" customWidth="1"/>
    <col min="2028" max="2028" width="9.109375" style="7165"/>
    <col min="2029" max="2029" width="10.44140625" style="7165" customWidth="1"/>
    <col min="2030" max="2030" width="13.44140625" style="7165" customWidth="1"/>
    <col min="2031" max="2031" width="13.88671875" style="7165" customWidth="1"/>
    <col min="2032" max="2032" width="9.109375" style="7165"/>
    <col min="2033" max="2033" width="16" style="7165" customWidth="1"/>
    <col min="2034" max="2034" width="14.44140625" style="7165" customWidth="1"/>
    <col min="2035" max="2281" width="9.109375" style="7165"/>
    <col min="2282" max="2282" width="33.109375" style="7165" customWidth="1"/>
    <col min="2283" max="2283" width="8.44140625" style="7165" customWidth="1"/>
    <col min="2284" max="2284" width="9.109375" style="7165"/>
    <col min="2285" max="2285" width="10.44140625" style="7165" customWidth="1"/>
    <col min="2286" max="2286" width="13.44140625" style="7165" customWidth="1"/>
    <col min="2287" max="2287" width="13.88671875" style="7165" customWidth="1"/>
    <col min="2288" max="2288" width="9.109375" style="7165"/>
    <col min="2289" max="2289" width="16" style="7165" customWidth="1"/>
    <col min="2290" max="2290" width="14.44140625" style="7165" customWidth="1"/>
    <col min="2291" max="2537" width="9.109375" style="7165"/>
    <col min="2538" max="2538" width="33.109375" style="7165" customWidth="1"/>
    <col min="2539" max="2539" width="8.44140625" style="7165" customWidth="1"/>
    <col min="2540" max="2540" width="9.109375" style="7165"/>
    <col min="2541" max="2541" width="10.44140625" style="7165" customWidth="1"/>
    <col min="2542" max="2542" width="13.44140625" style="7165" customWidth="1"/>
    <col min="2543" max="2543" width="13.88671875" style="7165" customWidth="1"/>
    <col min="2544" max="2544" width="9.109375" style="7165"/>
    <col min="2545" max="2545" width="16" style="7165" customWidth="1"/>
    <col min="2546" max="2546" width="14.44140625" style="7165" customWidth="1"/>
    <col min="2547" max="2793" width="9.109375" style="7165"/>
    <col min="2794" max="2794" width="33.109375" style="7165" customWidth="1"/>
    <col min="2795" max="2795" width="8.44140625" style="7165" customWidth="1"/>
    <col min="2796" max="2796" width="9.109375" style="7165"/>
    <col min="2797" max="2797" width="10.44140625" style="7165" customWidth="1"/>
    <col min="2798" max="2798" width="13.44140625" style="7165" customWidth="1"/>
    <col min="2799" max="2799" width="13.88671875" style="7165" customWidth="1"/>
    <col min="2800" max="2800" width="9.109375" style="7165"/>
    <col min="2801" max="2801" width="16" style="7165" customWidth="1"/>
    <col min="2802" max="2802" width="14.44140625" style="7165" customWidth="1"/>
    <col min="2803" max="3049" width="9.109375" style="7165"/>
    <col min="3050" max="3050" width="33.109375" style="7165" customWidth="1"/>
    <col min="3051" max="3051" width="8.44140625" style="7165" customWidth="1"/>
    <col min="3052" max="3052" width="9.109375" style="7165"/>
    <col min="3053" max="3053" width="10.44140625" style="7165" customWidth="1"/>
    <col min="3054" max="3054" width="13.44140625" style="7165" customWidth="1"/>
    <col min="3055" max="3055" width="13.88671875" style="7165" customWidth="1"/>
    <col min="3056" max="3056" width="9.109375" style="7165"/>
    <col min="3057" max="3057" width="16" style="7165" customWidth="1"/>
    <col min="3058" max="3058" width="14.44140625" style="7165" customWidth="1"/>
    <col min="3059" max="3305" width="9.109375" style="7165"/>
    <col min="3306" max="3306" width="33.109375" style="7165" customWidth="1"/>
    <col min="3307" max="3307" width="8.44140625" style="7165" customWidth="1"/>
    <col min="3308" max="3308" width="9.109375" style="7165"/>
    <col min="3309" max="3309" width="10.44140625" style="7165" customWidth="1"/>
    <col min="3310" max="3310" width="13.44140625" style="7165" customWidth="1"/>
    <col min="3311" max="3311" width="13.88671875" style="7165" customWidth="1"/>
    <col min="3312" max="3312" width="9.109375" style="7165"/>
    <col min="3313" max="3313" width="16" style="7165" customWidth="1"/>
    <col min="3314" max="3314" width="14.44140625" style="7165" customWidth="1"/>
    <col min="3315" max="3561" width="9.109375" style="7165"/>
    <col min="3562" max="3562" width="33.109375" style="7165" customWidth="1"/>
    <col min="3563" max="3563" width="8.44140625" style="7165" customWidth="1"/>
    <col min="3564" max="3564" width="9.109375" style="7165"/>
    <col min="3565" max="3565" width="10.44140625" style="7165" customWidth="1"/>
    <col min="3566" max="3566" width="13.44140625" style="7165" customWidth="1"/>
    <col min="3567" max="3567" width="13.88671875" style="7165" customWidth="1"/>
    <col min="3568" max="3568" width="9.109375" style="7165"/>
    <col min="3569" max="3569" width="16" style="7165" customWidth="1"/>
    <col min="3570" max="3570" width="14.44140625" style="7165" customWidth="1"/>
    <col min="3571" max="3817" width="9.109375" style="7165"/>
    <col min="3818" max="3818" width="33.109375" style="7165" customWidth="1"/>
    <col min="3819" max="3819" width="8.44140625" style="7165" customWidth="1"/>
    <col min="3820" max="3820" width="9.109375" style="7165"/>
    <col min="3821" max="3821" width="10.44140625" style="7165" customWidth="1"/>
    <col min="3822" max="3822" width="13.44140625" style="7165" customWidth="1"/>
    <col min="3823" max="3823" width="13.88671875" style="7165" customWidth="1"/>
    <col min="3824" max="3824" width="9.109375" style="7165"/>
    <col min="3825" max="3825" width="16" style="7165" customWidth="1"/>
    <col min="3826" max="3826" width="14.44140625" style="7165" customWidth="1"/>
    <col min="3827" max="4073" width="9.109375" style="7165"/>
    <col min="4074" max="4074" width="33.109375" style="7165" customWidth="1"/>
    <col min="4075" max="4075" width="8.44140625" style="7165" customWidth="1"/>
    <col min="4076" max="4076" width="9.109375" style="7165"/>
    <col min="4077" max="4077" width="10.44140625" style="7165" customWidth="1"/>
    <col min="4078" max="4078" width="13.44140625" style="7165" customWidth="1"/>
    <col min="4079" max="4079" width="13.88671875" style="7165" customWidth="1"/>
    <col min="4080" max="4080" width="9.109375" style="7165"/>
    <col min="4081" max="4081" width="16" style="7165" customWidth="1"/>
    <col min="4082" max="4082" width="14.44140625" style="7165" customWidth="1"/>
    <col min="4083" max="4329" width="9.109375" style="7165"/>
    <col min="4330" max="4330" width="33.109375" style="7165" customWidth="1"/>
    <col min="4331" max="4331" width="8.44140625" style="7165" customWidth="1"/>
    <col min="4332" max="4332" width="9.109375" style="7165"/>
    <col min="4333" max="4333" width="10.44140625" style="7165" customWidth="1"/>
    <col min="4334" max="4334" width="13.44140625" style="7165" customWidth="1"/>
    <col min="4335" max="4335" width="13.88671875" style="7165" customWidth="1"/>
    <col min="4336" max="4336" width="9.109375" style="7165"/>
    <col min="4337" max="4337" width="16" style="7165" customWidth="1"/>
    <col min="4338" max="4338" width="14.44140625" style="7165" customWidth="1"/>
    <col min="4339" max="4585" width="9.109375" style="7165"/>
    <col min="4586" max="4586" width="33.109375" style="7165" customWidth="1"/>
    <col min="4587" max="4587" width="8.44140625" style="7165" customWidth="1"/>
    <col min="4588" max="4588" width="9.109375" style="7165"/>
    <col min="4589" max="4589" width="10.44140625" style="7165" customWidth="1"/>
    <col min="4590" max="4590" width="13.44140625" style="7165" customWidth="1"/>
    <col min="4591" max="4591" width="13.88671875" style="7165" customWidth="1"/>
    <col min="4592" max="4592" width="9.109375" style="7165"/>
    <col min="4593" max="4593" width="16" style="7165" customWidth="1"/>
    <col min="4594" max="4594" width="14.44140625" style="7165" customWidth="1"/>
    <col min="4595" max="4841" width="9.109375" style="7165"/>
    <col min="4842" max="4842" width="33.109375" style="7165" customWidth="1"/>
    <col min="4843" max="4843" width="8.44140625" style="7165" customWidth="1"/>
    <col min="4844" max="4844" width="9.109375" style="7165"/>
    <col min="4845" max="4845" width="10.44140625" style="7165" customWidth="1"/>
    <col min="4846" max="4846" width="13.44140625" style="7165" customWidth="1"/>
    <col min="4847" max="4847" width="13.88671875" style="7165" customWidth="1"/>
    <col min="4848" max="4848" width="9.109375" style="7165"/>
    <col min="4849" max="4849" width="16" style="7165" customWidth="1"/>
    <col min="4850" max="4850" width="14.44140625" style="7165" customWidth="1"/>
    <col min="4851" max="5097" width="9.109375" style="7165"/>
    <col min="5098" max="5098" width="33.109375" style="7165" customWidth="1"/>
    <col min="5099" max="5099" width="8.44140625" style="7165" customWidth="1"/>
    <col min="5100" max="5100" width="9.109375" style="7165"/>
    <col min="5101" max="5101" width="10.44140625" style="7165" customWidth="1"/>
    <col min="5102" max="5102" width="13.44140625" style="7165" customWidth="1"/>
    <col min="5103" max="5103" width="13.88671875" style="7165" customWidth="1"/>
    <col min="5104" max="5104" width="9.109375" style="7165"/>
    <col min="5105" max="5105" width="16" style="7165" customWidth="1"/>
    <col min="5106" max="5106" width="14.44140625" style="7165" customWidth="1"/>
    <col min="5107" max="5353" width="9.109375" style="7165"/>
    <col min="5354" max="5354" width="33.109375" style="7165" customWidth="1"/>
    <col min="5355" max="5355" width="8.44140625" style="7165" customWidth="1"/>
    <col min="5356" max="5356" width="9.109375" style="7165"/>
    <col min="5357" max="5357" width="10.44140625" style="7165" customWidth="1"/>
    <col min="5358" max="5358" width="13.44140625" style="7165" customWidth="1"/>
    <col min="5359" max="5359" width="13.88671875" style="7165" customWidth="1"/>
    <col min="5360" max="5360" width="9.109375" style="7165"/>
    <col min="5361" max="5361" width="16" style="7165" customWidth="1"/>
    <col min="5362" max="5362" width="14.44140625" style="7165" customWidth="1"/>
    <col min="5363" max="5609" width="9.109375" style="7165"/>
    <col min="5610" max="5610" width="33.109375" style="7165" customWidth="1"/>
    <col min="5611" max="5611" width="8.44140625" style="7165" customWidth="1"/>
    <col min="5612" max="5612" width="9.109375" style="7165"/>
    <col min="5613" max="5613" width="10.44140625" style="7165" customWidth="1"/>
    <col min="5614" max="5614" width="13.44140625" style="7165" customWidth="1"/>
    <col min="5615" max="5615" width="13.88671875" style="7165" customWidth="1"/>
    <col min="5616" max="5616" width="9.109375" style="7165"/>
    <col min="5617" max="5617" width="16" style="7165" customWidth="1"/>
    <col min="5618" max="5618" width="14.44140625" style="7165" customWidth="1"/>
    <col min="5619" max="5865" width="9.109375" style="7165"/>
    <col min="5866" max="5866" width="33.109375" style="7165" customWidth="1"/>
    <col min="5867" max="5867" width="8.44140625" style="7165" customWidth="1"/>
    <col min="5868" max="5868" width="9.109375" style="7165"/>
    <col min="5869" max="5869" width="10.44140625" style="7165" customWidth="1"/>
    <col min="5870" max="5870" width="13.44140625" style="7165" customWidth="1"/>
    <col min="5871" max="5871" width="13.88671875" style="7165" customWidth="1"/>
    <col min="5872" max="5872" width="9.109375" style="7165"/>
    <col min="5873" max="5873" width="16" style="7165" customWidth="1"/>
    <col min="5874" max="5874" width="14.44140625" style="7165" customWidth="1"/>
    <col min="5875" max="6121" width="9.109375" style="7165"/>
    <col min="6122" max="6122" width="33.109375" style="7165" customWidth="1"/>
    <col min="6123" max="6123" width="8.44140625" style="7165" customWidth="1"/>
    <col min="6124" max="6124" width="9.109375" style="7165"/>
    <col min="6125" max="6125" width="10.44140625" style="7165" customWidth="1"/>
    <col min="6126" max="6126" width="13.44140625" style="7165" customWidth="1"/>
    <col min="6127" max="6127" width="13.88671875" style="7165" customWidth="1"/>
    <col min="6128" max="6128" width="9.109375" style="7165"/>
    <col min="6129" max="6129" width="16" style="7165" customWidth="1"/>
    <col min="6130" max="6130" width="14.44140625" style="7165" customWidth="1"/>
    <col min="6131" max="6377" width="9.109375" style="7165"/>
    <col min="6378" max="6378" width="33.109375" style="7165" customWidth="1"/>
    <col min="6379" max="6379" width="8.44140625" style="7165" customWidth="1"/>
    <col min="6380" max="6380" width="9.109375" style="7165"/>
    <col min="6381" max="6381" width="10.44140625" style="7165" customWidth="1"/>
    <col min="6382" max="6382" width="13.44140625" style="7165" customWidth="1"/>
    <col min="6383" max="6383" width="13.88671875" style="7165" customWidth="1"/>
    <col min="6384" max="6384" width="9.109375" style="7165"/>
    <col min="6385" max="6385" width="16" style="7165" customWidth="1"/>
    <col min="6386" max="6386" width="14.44140625" style="7165" customWidth="1"/>
    <col min="6387" max="6633" width="9.109375" style="7165"/>
    <col min="6634" max="6634" width="33.109375" style="7165" customWidth="1"/>
    <col min="6635" max="6635" width="8.44140625" style="7165" customWidth="1"/>
    <col min="6636" max="6636" width="9.109375" style="7165"/>
    <col min="6637" max="6637" width="10.44140625" style="7165" customWidth="1"/>
    <col min="6638" max="6638" width="13.44140625" style="7165" customWidth="1"/>
    <col min="6639" max="6639" width="13.88671875" style="7165" customWidth="1"/>
    <col min="6640" max="6640" width="9.109375" style="7165"/>
    <col min="6641" max="6641" width="16" style="7165" customWidth="1"/>
    <col min="6642" max="6642" width="14.44140625" style="7165" customWidth="1"/>
    <col min="6643" max="6889" width="9.109375" style="7165"/>
    <col min="6890" max="6890" width="33.109375" style="7165" customWidth="1"/>
    <col min="6891" max="6891" width="8.44140625" style="7165" customWidth="1"/>
    <col min="6892" max="6892" width="9.109375" style="7165"/>
    <col min="6893" max="6893" width="10.44140625" style="7165" customWidth="1"/>
    <col min="6894" max="6894" width="13.44140625" style="7165" customWidth="1"/>
    <col min="6895" max="6895" width="13.88671875" style="7165" customWidth="1"/>
    <col min="6896" max="6896" width="9.109375" style="7165"/>
    <col min="6897" max="6897" width="16" style="7165" customWidth="1"/>
    <col min="6898" max="6898" width="14.44140625" style="7165" customWidth="1"/>
    <col min="6899" max="7145" width="9.109375" style="7165"/>
    <col min="7146" max="7146" width="33.109375" style="7165" customWidth="1"/>
    <col min="7147" max="7147" width="8.44140625" style="7165" customWidth="1"/>
    <col min="7148" max="7148" width="9.109375" style="7165"/>
    <col min="7149" max="7149" width="10.44140625" style="7165" customWidth="1"/>
    <col min="7150" max="7150" width="13.44140625" style="7165" customWidth="1"/>
    <col min="7151" max="7151" width="13.88671875" style="7165" customWidth="1"/>
    <col min="7152" max="7152" width="9.109375" style="7165"/>
    <col min="7153" max="7153" width="16" style="7165" customWidth="1"/>
    <col min="7154" max="7154" width="14.44140625" style="7165" customWidth="1"/>
    <col min="7155" max="7401" width="9.109375" style="7165"/>
    <col min="7402" max="7402" width="33.109375" style="7165" customWidth="1"/>
    <col min="7403" max="7403" width="8.44140625" style="7165" customWidth="1"/>
    <col min="7404" max="7404" width="9.109375" style="7165"/>
    <col min="7405" max="7405" width="10.44140625" style="7165" customWidth="1"/>
    <col min="7406" max="7406" width="13.44140625" style="7165" customWidth="1"/>
    <col min="7407" max="7407" width="13.88671875" style="7165" customWidth="1"/>
    <col min="7408" max="7408" width="9.109375" style="7165"/>
    <col min="7409" max="7409" width="16" style="7165" customWidth="1"/>
    <col min="7410" max="7410" width="14.44140625" style="7165" customWidth="1"/>
    <col min="7411" max="7657" width="9.109375" style="7165"/>
    <col min="7658" max="7658" width="33.109375" style="7165" customWidth="1"/>
    <col min="7659" max="7659" width="8.44140625" style="7165" customWidth="1"/>
    <col min="7660" max="7660" width="9.109375" style="7165"/>
    <col min="7661" max="7661" width="10.44140625" style="7165" customWidth="1"/>
    <col min="7662" max="7662" width="13.44140625" style="7165" customWidth="1"/>
    <col min="7663" max="7663" width="13.88671875" style="7165" customWidth="1"/>
    <col min="7664" max="7664" width="9.109375" style="7165"/>
    <col min="7665" max="7665" width="16" style="7165" customWidth="1"/>
    <col min="7666" max="7666" width="14.44140625" style="7165" customWidth="1"/>
    <col min="7667" max="7913" width="9.109375" style="7165"/>
    <col min="7914" max="7914" width="33.109375" style="7165" customWidth="1"/>
    <col min="7915" max="7915" width="8.44140625" style="7165" customWidth="1"/>
    <col min="7916" max="7916" width="9.109375" style="7165"/>
    <col min="7917" max="7917" width="10.44140625" style="7165" customWidth="1"/>
    <col min="7918" max="7918" width="13.44140625" style="7165" customWidth="1"/>
    <col min="7919" max="7919" width="13.88671875" style="7165" customWidth="1"/>
    <col min="7920" max="7920" width="9.109375" style="7165"/>
    <col min="7921" max="7921" width="16" style="7165" customWidth="1"/>
    <col min="7922" max="7922" width="14.44140625" style="7165" customWidth="1"/>
    <col min="7923" max="8169" width="9.109375" style="7165"/>
    <col min="8170" max="8170" width="33.109375" style="7165" customWidth="1"/>
    <col min="8171" max="8171" width="8.44140625" style="7165" customWidth="1"/>
    <col min="8172" max="8172" width="9.109375" style="7165"/>
    <col min="8173" max="8173" width="10.44140625" style="7165" customWidth="1"/>
    <col min="8174" max="8174" width="13.44140625" style="7165" customWidth="1"/>
    <col min="8175" max="8175" width="13.88671875" style="7165" customWidth="1"/>
    <col min="8176" max="8176" width="9.109375" style="7165"/>
    <col min="8177" max="8177" width="16" style="7165" customWidth="1"/>
    <col min="8178" max="8178" width="14.44140625" style="7165" customWidth="1"/>
    <col min="8179" max="8425" width="9.109375" style="7165"/>
    <col min="8426" max="8426" width="33.109375" style="7165" customWidth="1"/>
    <col min="8427" max="8427" width="8.44140625" style="7165" customWidth="1"/>
    <col min="8428" max="8428" width="9.109375" style="7165"/>
    <col min="8429" max="8429" width="10.44140625" style="7165" customWidth="1"/>
    <col min="8430" max="8430" width="13.44140625" style="7165" customWidth="1"/>
    <col min="8431" max="8431" width="13.88671875" style="7165" customWidth="1"/>
    <col min="8432" max="8432" width="9.109375" style="7165"/>
    <col min="8433" max="8433" width="16" style="7165" customWidth="1"/>
    <col min="8434" max="8434" width="14.44140625" style="7165" customWidth="1"/>
    <col min="8435" max="8681" width="9.109375" style="7165"/>
    <col min="8682" max="8682" width="33.109375" style="7165" customWidth="1"/>
    <col min="8683" max="8683" width="8.44140625" style="7165" customWidth="1"/>
    <col min="8684" max="8684" width="9.109375" style="7165"/>
    <col min="8685" max="8685" width="10.44140625" style="7165" customWidth="1"/>
    <col min="8686" max="8686" width="13.44140625" style="7165" customWidth="1"/>
    <col min="8687" max="8687" width="13.88671875" style="7165" customWidth="1"/>
    <col min="8688" max="8688" width="9.109375" style="7165"/>
    <col min="8689" max="8689" width="16" style="7165" customWidth="1"/>
    <col min="8690" max="8690" width="14.44140625" style="7165" customWidth="1"/>
    <col min="8691" max="8937" width="9.109375" style="7165"/>
    <col min="8938" max="8938" width="33.109375" style="7165" customWidth="1"/>
    <col min="8939" max="8939" width="8.44140625" style="7165" customWidth="1"/>
    <col min="8940" max="8940" width="9.109375" style="7165"/>
    <col min="8941" max="8941" width="10.44140625" style="7165" customWidth="1"/>
    <col min="8942" max="8942" width="13.44140625" style="7165" customWidth="1"/>
    <col min="8943" max="8943" width="13.88671875" style="7165" customWidth="1"/>
    <col min="8944" max="8944" width="9.109375" style="7165"/>
    <col min="8945" max="8945" width="16" style="7165" customWidth="1"/>
    <col min="8946" max="8946" width="14.44140625" style="7165" customWidth="1"/>
    <col min="8947" max="9193" width="9.109375" style="7165"/>
    <col min="9194" max="9194" width="33.109375" style="7165" customWidth="1"/>
    <col min="9195" max="9195" width="8.44140625" style="7165" customWidth="1"/>
    <col min="9196" max="9196" width="9.109375" style="7165"/>
    <col min="9197" max="9197" width="10.44140625" style="7165" customWidth="1"/>
    <col min="9198" max="9198" width="13.44140625" style="7165" customWidth="1"/>
    <col min="9199" max="9199" width="13.88671875" style="7165" customWidth="1"/>
    <col min="9200" max="9200" width="9.109375" style="7165"/>
    <col min="9201" max="9201" width="16" style="7165" customWidth="1"/>
    <col min="9202" max="9202" width="14.44140625" style="7165" customWidth="1"/>
    <col min="9203" max="9449" width="9.109375" style="7165"/>
    <col min="9450" max="9450" width="33.109375" style="7165" customWidth="1"/>
    <col min="9451" max="9451" width="8.44140625" style="7165" customWidth="1"/>
    <col min="9452" max="9452" width="9.109375" style="7165"/>
    <col min="9453" max="9453" width="10.44140625" style="7165" customWidth="1"/>
    <col min="9454" max="9454" width="13.44140625" style="7165" customWidth="1"/>
    <col min="9455" max="9455" width="13.88671875" style="7165" customWidth="1"/>
    <col min="9456" max="9456" width="9.109375" style="7165"/>
    <col min="9457" max="9457" width="16" style="7165" customWidth="1"/>
    <col min="9458" max="9458" width="14.44140625" style="7165" customWidth="1"/>
    <col min="9459" max="9705" width="9.109375" style="7165"/>
    <col min="9706" max="9706" width="33.109375" style="7165" customWidth="1"/>
    <col min="9707" max="9707" width="8.44140625" style="7165" customWidth="1"/>
    <col min="9708" max="9708" width="9.109375" style="7165"/>
    <col min="9709" max="9709" width="10.44140625" style="7165" customWidth="1"/>
    <col min="9710" max="9710" width="13.44140625" style="7165" customWidth="1"/>
    <col min="9711" max="9711" width="13.88671875" style="7165" customWidth="1"/>
    <col min="9712" max="9712" width="9.109375" style="7165"/>
    <col min="9713" max="9713" width="16" style="7165" customWidth="1"/>
    <col min="9714" max="9714" width="14.44140625" style="7165" customWidth="1"/>
    <col min="9715" max="9961" width="9.109375" style="7165"/>
    <col min="9962" max="9962" width="33.109375" style="7165" customWidth="1"/>
    <col min="9963" max="9963" width="8.44140625" style="7165" customWidth="1"/>
    <col min="9964" max="9964" width="9.109375" style="7165"/>
    <col min="9965" max="9965" width="10.44140625" style="7165" customWidth="1"/>
    <col min="9966" max="9966" width="13.44140625" style="7165" customWidth="1"/>
    <col min="9967" max="9967" width="13.88671875" style="7165" customWidth="1"/>
    <col min="9968" max="9968" width="9.109375" style="7165"/>
    <col min="9969" max="9969" width="16" style="7165" customWidth="1"/>
    <col min="9970" max="9970" width="14.44140625" style="7165" customWidth="1"/>
    <col min="9971" max="10217" width="9.109375" style="7165"/>
    <col min="10218" max="10218" width="33.109375" style="7165" customWidth="1"/>
    <col min="10219" max="10219" width="8.44140625" style="7165" customWidth="1"/>
    <col min="10220" max="10220" width="9.109375" style="7165"/>
    <col min="10221" max="10221" width="10.44140625" style="7165" customWidth="1"/>
    <col min="10222" max="10222" width="13.44140625" style="7165" customWidth="1"/>
    <col min="10223" max="10223" width="13.88671875" style="7165" customWidth="1"/>
    <col min="10224" max="10224" width="9.109375" style="7165"/>
    <col min="10225" max="10225" width="16" style="7165" customWidth="1"/>
    <col min="10226" max="10226" width="14.44140625" style="7165" customWidth="1"/>
    <col min="10227" max="10473" width="9.109375" style="7165"/>
    <col min="10474" max="10474" width="33.109375" style="7165" customWidth="1"/>
    <col min="10475" max="10475" width="8.44140625" style="7165" customWidth="1"/>
    <col min="10476" max="10476" width="9.109375" style="7165"/>
    <col min="10477" max="10477" width="10.44140625" style="7165" customWidth="1"/>
    <col min="10478" max="10478" width="13.44140625" style="7165" customWidth="1"/>
    <col min="10479" max="10479" width="13.88671875" style="7165" customWidth="1"/>
    <col min="10480" max="10480" width="9.109375" style="7165"/>
    <col min="10481" max="10481" width="16" style="7165" customWidth="1"/>
    <col min="10482" max="10482" width="14.44140625" style="7165" customWidth="1"/>
    <col min="10483" max="10729" width="9.109375" style="7165"/>
    <col min="10730" max="10730" width="33.109375" style="7165" customWidth="1"/>
    <col min="10731" max="10731" width="8.44140625" style="7165" customWidth="1"/>
    <col min="10732" max="10732" width="9.109375" style="7165"/>
    <col min="10733" max="10733" width="10.44140625" style="7165" customWidth="1"/>
    <col min="10734" max="10734" width="13.44140625" style="7165" customWidth="1"/>
    <col min="10735" max="10735" width="13.88671875" style="7165" customWidth="1"/>
    <col min="10736" max="10736" width="9.109375" style="7165"/>
    <col min="10737" max="10737" width="16" style="7165" customWidth="1"/>
    <col min="10738" max="10738" width="14.44140625" style="7165" customWidth="1"/>
    <col min="10739" max="10985" width="9.109375" style="7165"/>
    <col min="10986" max="10986" width="33.109375" style="7165" customWidth="1"/>
    <col min="10987" max="10987" width="8.44140625" style="7165" customWidth="1"/>
    <col min="10988" max="10988" width="9.109375" style="7165"/>
    <col min="10989" max="10989" width="10.44140625" style="7165" customWidth="1"/>
    <col min="10990" max="10990" width="13.44140625" style="7165" customWidth="1"/>
    <col min="10991" max="10991" width="13.88671875" style="7165" customWidth="1"/>
    <col min="10992" max="10992" width="9.109375" style="7165"/>
    <col min="10993" max="10993" width="16" style="7165" customWidth="1"/>
    <col min="10994" max="10994" width="14.44140625" style="7165" customWidth="1"/>
    <col min="10995" max="11241" width="9.109375" style="7165"/>
    <col min="11242" max="11242" width="33.109375" style="7165" customWidth="1"/>
    <col min="11243" max="11243" width="8.44140625" style="7165" customWidth="1"/>
    <col min="11244" max="11244" width="9.109375" style="7165"/>
    <col min="11245" max="11245" width="10.44140625" style="7165" customWidth="1"/>
    <col min="11246" max="11246" width="13.44140625" style="7165" customWidth="1"/>
    <col min="11247" max="11247" width="13.88671875" style="7165" customWidth="1"/>
    <col min="11248" max="11248" width="9.109375" style="7165"/>
    <col min="11249" max="11249" width="16" style="7165" customWidth="1"/>
    <col min="11250" max="11250" width="14.44140625" style="7165" customWidth="1"/>
    <col min="11251" max="11497" width="9.109375" style="7165"/>
    <col min="11498" max="11498" width="33.109375" style="7165" customWidth="1"/>
    <col min="11499" max="11499" width="8.44140625" style="7165" customWidth="1"/>
    <col min="11500" max="11500" width="9.109375" style="7165"/>
    <col min="11501" max="11501" width="10.44140625" style="7165" customWidth="1"/>
    <col min="11502" max="11502" width="13.44140625" style="7165" customWidth="1"/>
    <col min="11503" max="11503" width="13.88671875" style="7165" customWidth="1"/>
    <col min="11504" max="11504" width="9.109375" style="7165"/>
    <col min="11505" max="11505" width="16" style="7165" customWidth="1"/>
    <col min="11506" max="11506" width="14.44140625" style="7165" customWidth="1"/>
    <col min="11507" max="11753" width="9.109375" style="7165"/>
    <col min="11754" max="11754" width="33.109375" style="7165" customWidth="1"/>
    <col min="11755" max="11755" width="8.44140625" style="7165" customWidth="1"/>
    <col min="11756" max="11756" width="9.109375" style="7165"/>
    <col min="11757" max="11757" width="10.44140625" style="7165" customWidth="1"/>
    <col min="11758" max="11758" width="13.44140625" style="7165" customWidth="1"/>
    <col min="11759" max="11759" width="13.88671875" style="7165" customWidth="1"/>
    <col min="11760" max="11760" width="9.109375" style="7165"/>
    <col min="11761" max="11761" width="16" style="7165" customWidth="1"/>
    <col min="11762" max="11762" width="14.44140625" style="7165" customWidth="1"/>
    <col min="11763" max="12009" width="9.109375" style="7165"/>
    <col min="12010" max="12010" width="33.109375" style="7165" customWidth="1"/>
    <col min="12011" max="12011" width="8.44140625" style="7165" customWidth="1"/>
    <col min="12012" max="12012" width="9.109375" style="7165"/>
    <col min="12013" max="12013" width="10.44140625" style="7165" customWidth="1"/>
    <col min="12014" max="12014" width="13.44140625" style="7165" customWidth="1"/>
    <col min="12015" max="12015" width="13.88671875" style="7165" customWidth="1"/>
    <col min="12016" max="12016" width="9.109375" style="7165"/>
    <col min="12017" max="12017" width="16" style="7165" customWidth="1"/>
    <col min="12018" max="12018" width="14.44140625" style="7165" customWidth="1"/>
    <col min="12019" max="12265" width="9.109375" style="7165"/>
    <col min="12266" max="12266" width="33.109375" style="7165" customWidth="1"/>
    <col min="12267" max="12267" width="8.44140625" style="7165" customWidth="1"/>
    <col min="12268" max="12268" width="9.109375" style="7165"/>
    <col min="12269" max="12269" width="10.44140625" style="7165" customWidth="1"/>
    <col min="12270" max="12270" width="13.44140625" style="7165" customWidth="1"/>
    <col min="12271" max="12271" width="13.88671875" style="7165" customWidth="1"/>
    <col min="12272" max="12272" width="9.109375" style="7165"/>
    <col min="12273" max="12273" width="16" style="7165" customWidth="1"/>
    <col min="12274" max="12274" width="14.44140625" style="7165" customWidth="1"/>
    <col min="12275" max="12521" width="9.109375" style="7165"/>
    <col min="12522" max="12522" width="33.109375" style="7165" customWidth="1"/>
    <col min="12523" max="12523" width="8.44140625" style="7165" customWidth="1"/>
    <col min="12524" max="12524" width="9.109375" style="7165"/>
    <col min="12525" max="12525" width="10.44140625" style="7165" customWidth="1"/>
    <col min="12526" max="12526" width="13.44140625" style="7165" customWidth="1"/>
    <col min="12527" max="12527" width="13.88671875" style="7165" customWidth="1"/>
    <col min="12528" max="12528" width="9.109375" style="7165"/>
    <col min="12529" max="12529" width="16" style="7165" customWidth="1"/>
    <col min="12530" max="12530" width="14.44140625" style="7165" customWidth="1"/>
    <col min="12531" max="12777" width="9.109375" style="7165"/>
    <col min="12778" max="12778" width="33.109375" style="7165" customWidth="1"/>
    <col min="12779" max="12779" width="8.44140625" style="7165" customWidth="1"/>
    <col min="12780" max="12780" width="9.109375" style="7165"/>
    <col min="12781" max="12781" width="10.44140625" style="7165" customWidth="1"/>
    <col min="12782" max="12782" width="13.44140625" style="7165" customWidth="1"/>
    <col min="12783" max="12783" width="13.88671875" style="7165" customWidth="1"/>
    <col min="12784" max="12784" width="9.109375" style="7165"/>
    <col min="12785" max="12785" width="16" style="7165" customWidth="1"/>
    <col min="12786" max="12786" width="14.44140625" style="7165" customWidth="1"/>
    <col min="12787" max="13033" width="9.109375" style="7165"/>
    <col min="13034" max="13034" width="33.109375" style="7165" customWidth="1"/>
    <col min="13035" max="13035" width="8.44140625" style="7165" customWidth="1"/>
    <col min="13036" max="13036" width="9.109375" style="7165"/>
    <col min="13037" max="13037" width="10.44140625" style="7165" customWidth="1"/>
    <col min="13038" max="13038" width="13.44140625" style="7165" customWidth="1"/>
    <col min="13039" max="13039" width="13.88671875" style="7165" customWidth="1"/>
    <col min="13040" max="13040" width="9.109375" style="7165"/>
    <col min="13041" max="13041" width="16" style="7165" customWidth="1"/>
    <col min="13042" max="13042" width="14.44140625" style="7165" customWidth="1"/>
    <col min="13043" max="13289" width="9.109375" style="7165"/>
    <col min="13290" max="13290" width="33.109375" style="7165" customWidth="1"/>
    <col min="13291" max="13291" width="8.44140625" style="7165" customWidth="1"/>
    <col min="13292" max="13292" width="9.109375" style="7165"/>
    <col min="13293" max="13293" width="10.44140625" style="7165" customWidth="1"/>
    <col min="13294" max="13294" width="13.44140625" style="7165" customWidth="1"/>
    <col min="13295" max="13295" width="13.88671875" style="7165" customWidth="1"/>
    <col min="13296" max="13296" width="9.109375" style="7165"/>
    <col min="13297" max="13297" width="16" style="7165" customWidth="1"/>
    <col min="13298" max="13298" width="14.44140625" style="7165" customWidth="1"/>
    <col min="13299" max="13545" width="9.109375" style="7165"/>
    <col min="13546" max="13546" width="33.109375" style="7165" customWidth="1"/>
    <col min="13547" max="13547" width="8.44140625" style="7165" customWidth="1"/>
    <col min="13548" max="13548" width="9.109375" style="7165"/>
    <col min="13549" max="13549" width="10.44140625" style="7165" customWidth="1"/>
    <col min="13550" max="13550" width="13.44140625" style="7165" customWidth="1"/>
    <col min="13551" max="13551" width="13.88671875" style="7165" customWidth="1"/>
    <col min="13552" max="13552" width="9.109375" style="7165"/>
    <col min="13553" max="13553" width="16" style="7165" customWidth="1"/>
    <col min="13554" max="13554" width="14.44140625" style="7165" customWidth="1"/>
    <col min="13555" max="13801" width="9.109375" style="7165"/>
    <col min="13802" max="13802" width="33.109375" style="7165" customWidth="1"/>
    <col min="13803" max="13803" width="8.44140625" style="7165" customWidth="1"/>
    <col min="13804" max="13804" width="9.109375" style="7165"/>
    <col min="13805" max="13805" width="10.44140625" style="7165" customWidth="1"/>
    <col min="13806" max="13806" width="13.44140625" style="7165" customWidth="1"/>
    <col min="13807" max="13807" width="13.88671875" style="7165" customWidth="1"/>
    <col min="13808" max="13808" width="9.109375" style="7165"/>
    <col min="13809" max="13809" width="16" style="7165" customWidth="1"/>
    <col min="13810" max="13810" width="14.44140625" style="7165" customWidth="1"/>
    <col min="13811" max="14057" width="9.109375" style="7165"/>
    <col min="14058" max="14058" width="33.109375" style="7165" customWidth="1"/>
    <col min="14059" max="14059" width="8.44140625" style="7165" customWidth="1"/>
    <col min="14060" max="14060" width="9.109375" style="7165"/>
    <col min="14061" max="14061" width="10.44140625" style="7165" customWidth="1"/>
    <col min="14062" max="14062" width="13.44140625" style="7165" customWidth="1"/>
    <col min="14063" max="14063" width="13.88671875" style="7165" customWidth="1"/>
    <col min="14064" max="14064" width="9.109375" style="7165"/>
    <col min="14065" max="14065" width="16" style="7165" customWidth="1"/>
    <col min="14066" max="14066" width="14.44140625" style="7165" customWidth="1"/>
    <col min="14067" max="14313" width="9.109375" style="7165"/>
    <col min="14314" max="14314" width="33.109375" style="7165" customWidth="1"/>
    <col min="14315" max="14315" width="8.44140625" style="7165" customWidth="1"/>
    <col min="14316" max="14316" width="9.109375" style="7165"/>
    <col min="14317" max="14317" width="10.44140625" style="7165" customWidth="1"/>
    <col min="14318" max="14318" width="13.44140625" style="7165" customWidth="1"/>
    <col min="14319" max="14319" width="13.88671875" style="7165" customWidth="1"/>
    <col min="14320" max="14320" width="9.109375" style="7165"/>
    <col min="14321" max="14321" width="16" style="7165" customWidth="1"/>
    <col min="14322" max="14322" width="14.44140625" style="7165" customWidth="1"/>
    <col min="14323" max="14569" width="9.109375" style="7165"/>
    <col min="14570" max="14570" width="33.109375" style="7165" customWidth="1"/>
    <col min="14571" max="14571" width="8.44140625" style="7165" customWidth="1"/>
    <col min="14572" max="14572" width="9.109375" style="7165"/>
    <col min="14573" max="14573" width="10.44140625" style="7165" customWidth="1"/>
    <col min="14574" max="14574" width="13.44140625" style="7165" customWidth="1"/>
    <col min="14575" max="14575" width="13.88671875" style="7165" customWidth="1"/>
    <col min="14576" max="14576" width="9.109375" style="7165"/>
    <col min="14577" max="14577" width="16" style="7165" customWidth="1"/>
    <col min="14578" max="14578" width="14.44140625" style="7165" customWidth="1"/>
    <col min="14579" max="14825" width="9.109375" style="7165"/>
    <col min="14826" max="14826" width="33.109375" style="7165" customWidth="1"/>
    <col min="14827" max="14827" width="8.44140625" style="7165" customWidth="1"/>
    <col min="14828" max="14828" width="9.109375" style="7165"/>
    <col min="14829" max="14829" width="10.44140625" style="7165" customWidth="1"/>
    <col min="14830" max="14830" width="13.44140625" style="7165" customWidth="1"/>
    <col min="14831" max="14831" width="13.88671875" style="7165" customWidth="1"/>
    <col min="14832" max="14832" width="9.109375" style="7165"/>
    <col min="14833" max="14833" width="16" style="7165" customWidth="1"/>
    <col min="14834" max="14834" width="14.44140625" style="7165" customWidth="1"/>
    <col min="14835" max="15081" width="9.109375" style="7165"/>
    <col min="15082" max="15082" width="33.109375" style="7165" customWidth="1"/>
    <col min="15083" max="15083" width="8.44140625" style="7165" customWidth="1"/>
    <col min="15084" max="15084" width="9.109375" style="7165"/>
    <col min="15085" max="15085" width="10.44140625" style="7165" customWidth="1"/>
    <col min="15086" max="15086" width="13.44140625" style="7165" customWidth="1"/>
    <col min="15087" max="15087" width="13.88671875" style="7165" customWidth="1"/>
    <col min="15088" max="15088" width="9.109375" style="7165"/>
    <col min="15089" max="15089" width="16" style="7165" customWidth="1"/>
    <col min="15090" max="15090" width="14.44140625" style="7165" customWidth="1"/>
    <col min="15091" max="15337" width="9.109375" style="7165"/>
    <col min="15338" max="15338" width="33.109375" style="7165" customWidth="1"/>
    <col min="15339" max="15339" width="8.44140625" style="7165" customWidth="1"/>
    <col min="15340" max="15340" width="9.109375" style="7165"/>
    <col min="15341" max="15341" width="10.44140625" style="7165" customWidth="1"/>
    <col min="15342" max="15342" width="13.44140625" style="7165" customWidth="1"/>
    <col min="15343" max="15343" width="13.88671875" style="7165" customWidth="1"/>
    <col min="15344" max="15344" width="9.109375" style="7165"/>
    <col min="15345" max="15345" width="16" style="7165" customWidth="1"/>
    <col min="15346" max="15346" width="14.44140625" style="7165" customWidth="1"/>
    <col min="15347" max="15593" width="9.109375" style="7165"/>
    <col min="15594" max="15594" width="33.109375" style="7165" customWidth="1"/>
    <col min="15595" max="15595" width="8.44140625" style="7165" customWidth="1"/>
    <col min="15596" max="15596" width="9.109375" style="7165"/>
    <col min="15597" max="15597" width="10.44140625" style="7165" customWidth="1"/>
    <col min="15598" max="15598" width="13.44140625" style="7165" customWidth="1"/>
    <col min="15599" max="15599" width="13.88671875" style="7165" customWidth="1"/>
    <col min="15600" max="15600" width="9.109375" style="7165"/>
    <col min="15601" max="15601" width="16" style="7165" customWidth="1"/>
    <col min="15602" max="15602" width="14.44140625" style="7165" customWidth="1"/>
    <col min="15603" max="15849" width="9.109375" style="7165"/>
    <col min="15850" max="15850" width="33.109375" style="7165" customWidth="1"/>
    <col min="15851" max="15851" width="8.44140625" style="7165" customWidth="1"/>
    <col min="15852" max="15852" width="9.109375" style="7165"/>
    <col min="15853" max="15853" width="10.44140625" style="7165" customWidth="1"/>
    <col min="15854" max="15854" width="13.44140625" style="7165" customWidth="1"/>
    <col min="15855" max="15855" width="13.88671875" style="7165" customWidth="1"/>
    <col min="15856" max="15856" width="9.109375" style="7165"/>
    <col min="15857" max="15857" width="16" style="7165" customWidth="1"/>
    <col min="15858" max="15858" width="14.44140625" style="7165" customWidth="1"/>
    <col min="15859" max="16105" width="9.109375" style="7165"/>
    <col min="16106" max="16106" width="33.109375" style="7165" customWidth="1"/>
    <col min="16107" max="16107" width="8.44140625" style="7165" customWidth="1"/>
    <col min="16108" max="16108" width="9.109375" style="7165"/>
    <col min="16109" max="16109" width="10.44140625" style="7165" customWidth="1"/>
    <col min="16110" max="16110" width="13.44140625" style="7165" customWidth="1"/>
    <col min="16111" max="16111" width="13.88671875" style="7165" customWidth="1"/>
    <col min="16112" max="16112" width="9.109375" style="7165"/>
    <col min="16113" max="16113" width="16" style="7165" customWidth="1"/>
    <col min="16114" max="16114" width="14.44140625" style="7165" customWidth="1"/>
    <col min="16115" max="16384" width="9.109375" style="7165"/>
  </cols>
  <sheetData>
    <row r="1" spans="1:8" ht="12.9" customHeight="1">
      <c r="A1" s="14215" t="s">
        <v>1087</v>
      </c>
      <c r="B1" s="14215"/>
      <c r="C1" s="14215"/>
      <c r="D1" s="14215"/>
      <c r="E1" s="14215"/>
      <c r="F1" s="14215"/>
    </row>
    <row r="3" spans="1:8" ht="12.9" customHeight="1">
      <c r="A3" s="5860" t="s">
        <v>10073</v>
      </c>
    </row>
    <row r="4" spans="1:8" ht="12.9" customHeight="1" thickBot="1"/>
    <row r="5" spans="1:8" ht="12.9" customHeight="1">
      <c r="A5" s="9697" t="s">
        <v>842</v>
      </c>
      <c r="B5" s="10711" t="s">
        <v>1035</v>
      </c>
      <c r="C5" s="10711" t="s">
        <v>1036</v>
      </c>
      <c r="D5" s="14213" t="s">
        <v>10555</v>
      </c>
      <c r="E5" s="14213"/>
      <c r="F5" s="14214"/>
    </row>
    <row r="6" spans="1:8" ht="12.9" customHeight="1" thickBot="1">
      <c r="A6" s="9698" t="s">
        <v>1088</v>
      </c>
      <c r="B6" s="9772" t="s">
        <v>9</v>
      </c>
      <c r="C6" s="9772" t="s">
        <v>1039</v>
      </c>
      <c r="D6" s="9719" t="s">
        <v>10</v>
      </c>
      <c r="E6" s="9772" t="s">
        <v>10525</v>
      </c>
      <c r="F6" s="9773" t="s">
        <v>11621</v>
      </c>
    </row>
    <row r="7" spans="1:8" ht="12.9" customHeight="1">
      <c r="A7" s="9725" t="s">
        <v>1139</v>
      </c>
      <c r="B7" s="9624"/>
      <c r="C7" s="9624"/>
      <c r="D7" s="9624"/>
      <c r="E7" s="9624"/>
      <c r="F7" s="9716"/>
    </row>
    <row r="8" spans="1:8" ht="12.9" customHeight="1">
      <c r="A8" s="7209" t="s">
        <v>1149</v>
      </c>
      <c r="B8" s="10765"/>
      <c r="C8" s="10765"/>
      <c r="D8" s="10765"/>
      <c r="E8" s="10765"/>
      <c r="F8" s="7215"/>
    </row>
    <row r="9" spans="1:8" ht="12.9" customHeight="1">
      <c r="A9" s="7207" t="s">
        <v>1402</v>
      </c>
      <c r="B9" s="10753">
        <v>1</v>
      </c>
      <c r="C9" s="10753">
        <v>26</v>
      </c>
      <c r="D9" s="10767">
        <v>1014024</v>
      </c>
      <c r="E9" s="10767">
        <v>1190652</v>
      </c>
      <c r="F9" s="7220">
        <v>1420848</v>
      </c>
    </row>
    <row r="10" spans="1:8" ht="12.9" customHeight="1">
      <c r="A10" s="7207" t="s">
        <v>10161</v>
      </c>
      <c r="B10" s="10753">
        <v>1</v>
      </c>
      <c r="C10" s="10753">
        <v>24</v>
      </c>
      <c r="D10" s="10766">
        <v>783552</v>
      </c>
      <c r="E10" s="10766">
        <v>892764</v>
      </c>
      <c r="F10" s="6142">
        <v>1017204</v>
      </c>
      <c r="G10" s="7165">
        <f>SUM(B9:B10)</f>
        <v>2</v>
      </c>
      <c r="H10" s="7198">
        <f>SUM(F9:F10)</f>
        <v>2438052</v>
      </c>
    </row>
    <row r="11" spans="1:8" ht="8.1" customHeight="1">
      <c r="A11" s="7207"/>
      <c r="B11" s="10753"/>
      <c r="C11" s="10753"/>
      <c r="D11" s="10766"/>
      <c r="E11" s="10766"/>
      <c r="F11" s="6142"/>
      <c r="H11" s="7198"/>
    </row>
    <row r="12" spans="1:8" ht="12.9" customHeight="1">
      <c r="A12" s="7209" t="s">
        <v>4990</v>
      </c>
      <c r="B12" s="10765"/>
      <c r="C12" s="10765"/>
      <c r="D12" s="10765"/>
      <c r="E12" s="10765"/>
      <c r="F12" s="7215"/>
    </row>
    <row r="13" spans="1:8" ht="12.9" customHeight="1">
      <c r="A13" s="7209" t="s">
        <v>1109</v>
      </c>
      <c r="B13" s="10765"/>
      <c r="C13" s="10765"/>
      <c r="D13" s="10765"/>
      <c r="E13" s="10765"/>
      <c r="F13" s="7215"/>
    </row>
    <row r="14" spans="1:8" ht="12.9" hidden="1" customHeight="1">
      <c r="A14" s="7207" t="s">
        <v>1421</v>
      </c>
      <c r="B14" s="10753">
        <v>0</v>
      </c>
      <c r="C14" s="10753">
        <v>22</v>
      </c>
      <c r="D14" s="10806">
        <v>0</v>
      </c>
      <c r="E14" s="10806">
        <v>0</v>
      </c>
      <c r="F14" s="9704">
        <v>0</v>
      </c>
    </row>
    <row r="15" spans="1:8" ht="12.9" hidden="1" customHeight="1">
      <c r="A15" s="7207" t="s">
        <v>1408</v>
      </c>
      <c r="B15" s="10753">
        <v>0</v>
      </c>
      <c r="C15" s="10753">
        <v>20</v>
      </c>
      <c r="D15" s="10754">
        <v>0</v>
      </c>
      <c r="E15" s="10775">
        <v>0</v>
      </c>
      <c r="F15" s="9776">
        <v>0</v>
      </c>
    </row>
    <row r="16" spans="1:8" ht="12.9" customHeight="1">
      <c r="A16" s="7207" t="s">
        <v>1409</v>
      </c>
      <c r="B16" s="10753">
        <v>3</v>
      </c>
      <c r="C16" s="10753">
        <v>18</v>
      </c>
      <c r="D16" s="10754">
        <v>433332</v>
      </c>
      <c r="E16" s="10754">
        <v>914040</v>
      </c>
      <c r="F16" s="7216">
        <v>1462932</v>
      </c>
    </row>
    <row r="17" spans="1:8" ht="12.9" customHeight="1">
      <c r="A17" s="7207" t="s">
        <v>1410</v>
      </c>
      <c r="B17" s="10753">
        <v>4</v>
      </c>
      <c r="C17" s="10753">
        <v>15</v>
      </c>
      <c r="D17" s="10754">
        <v>713508</v>
      </c>
      <c r="E17" s="10754">
        <v>374040</v>
      </c>
      <c r="F17" s="7216">
        <v>1498464</v>
      </c>
    </row>
    <row r="18" spans="1:8" ht="12.9" customHeight="1">
      <c r="A18" s="7207" t="s">
        <v>1212</v>
      </c>
      <c r="B18" s="10753">
        <v>1</v>
      </c>
      <c r="C18" s="10753">
        <v>15</v>
      </c>
      <c r="D18" s="10754">
        <v>358824</v>
      </c>
      <c r="E18" s="10754">
        <v>378540</v>
      </c>
      <c r="F18" s="7216">
        <v>399348</v>
      </c>
    </row>
    <row r="19" spans="1:8" ht="12.9" customHeight="1">
      <c r="A19" s="7207" t="s">
        <v>1411</v>
      </c>
      <c r="B19" s="10753">
        <v>0</v>
      </c>
      <c r="C19" s="10753">
        <v>15</v>
      </c>
      <c r="D19" s="10754">
        <v>693468</v>
      </c>
      <c r="E19" s="10754">
        <v>356556</v>
      </c>
      <c r="F19" s="7216">
        <v>0</v>
      </c>
    </row>
    <row r="20" spans="1:8" ht="12.9" customHeight="1">
      <c r="A20" s="7207" t="s">
        <v>1412</v>
      </c>
      <c r="B20" s="10753">
        <v>1</v>
      </c>
      <c r="C20" s="10753">
        <v>11</v>
      </c>
      <c r="D20" s="10754">
        <v>255684</v>
      </c>
      <c r="E20" s="10754">
        <v>264660</v>
      </c>
      <c r="F20" s="7216">
        <v>273948</v>
      </c>
    </row>
    <row r="21" spans="1:8" ht="12.9" customHeight="1">
      <c r="A21" s="7207" t="s">
        <v>11305</v>
      </c>
      <c r="B21" s="10753">
        <v>1</v>
      </c>
      <c r="C21" s="10753">
        <v>11</v>
      </c>
      <c r="D21" s="10754"/>
      <c r="E21" s="10754">
        <v>248376</v>
      </c>
      <c r="F21" s="7216">
        <v>255924</v>
      </c>
    </row>
    <row r="22" spans="1:8" ht="12.9" customHeight="1">
      <c r="A22" s="7207" t="s">
        <v>1413</v>
      </c>
      <c r="B22" s="10753">
        <v>9</v>
      </c>
      <c r="C22" s="10753">
        <v>10</v>
      </c>
      <c r="D22" s="10754">
        <v>2282676</v>
      </c>
      <c r="E22" s="10754">
        <v>2330796</v>
      </c>
      <c r="F22" s="7216">
        <v>2130396</v>
      </c>
    </row>
    <row r="23" spans="1:8" ht="12.9" customHeight="1">
      <c r="A23" s="7207" t="s">
        <v>5006</v>
      </c>
      <c r="B23" s="10753">
        <v>1</v>
      </c>
      <c r="C23" s="10753">
        <v>8</v>
      </c>
      <c r="D23" s="10754">
        <v>191628</v>
      </c>
      <c r="E23" s="10754">
        <v>199020</v>
      </c>
      <c r="F23" s="7216">
        <v>204756</v>
      </c>
    </row>
    <row r="24" spans="1:8" ht="12.9" customHeight="1">
      <c r="A24" s="7207" t="s">
        <v>1414</v>
      </c>
      <c r="B24" s="10753">
        <v>8</v>
      </c>
      <c r="C24" s="10753">
        <v>6</v>
      </c>
      <c r="D24" s="10754">
        <v>1176672</v>
      </c>
      <c r="E24" s="10754">
        <v>1409736</v>
      </c>
      <c r="F24" s="7216">
        <v>1451652</v>
      </c>
    </row>
    <row r="25" spans="1:8" ht="12.9" customHeight="1">
      <c r="A25" s="7207" t="s">
        <v>1415</v>
      </c>
      <c r="B25" s="10753">
        <v>9</v>
      </c>
      <c r="C25" s="10753">
        <v>6</v>
      </c>
      <c r="D25" s="10754">
        <v>2947536</v>
      </c>
      <c r="E25" s="10754">
        <v>2503572</v>
      </c>
      <c r="F25" s="7216">
        <f>1850076-179532</f>
        <v>1670544</v>
      </c>
    </row>
    <row r="26" spans="1:8" ht="12.9" customHeight="1">
      <c r="A26" s="7207" t="s">
        <v>1416</v>
      </c>
      <c r="B26" s="10753">
        <v>2</v>
      </c>
      <c r="C26" s="10753">
        <v>2</v>
      </c>
      <c r="D26" s="10754">
        <v>260544</v>
      </c>
      <c r="E26" s="10754">
        <v>273264</v>
      </c>
      <c r="F26" s="7216">
        <v>288816</v>
      </c>
    </row>
    <row r="27" spans="1:8" ht="12.9" customHeight="1">
      <c r="A27" s="7207" t="s">
        <v>1417</v>
      </c>
      <c r="B27" s="10753">
        <v>1</v>
      </c>
      <c r="C27" s="10753">
        <v>7</v>
      </c>
      <c r="D27" s="10754">
        <v>188700</v>
      </c>
      <c r="E27" s="10754">
        <v>193896</v>
      </c>
      <c r="F27" s="7216">
        <v>199248</v>
      </c>
    </row>
    <row r="28" spans="1:8" ht="12.9" customHeight="1">
      <c r="A28" s="7207" t="s">
        <v>1418</v>
      </c>
      <c r="B28" s="10753">
        <v>4</v>
      </c>
      <c r="C28" s="10753">
        <v>5</v>
      </c>
      <c r="D28" s="10754">
        <v>659472</v>
      </c>
      <c r="E28" s="10754">
        <v>684036</v>
      </c>
      <c r="F28" s="7216">
        <v>707952</v>
      </c>
      <c r="G28" s="7165">
        <f>SUM(B14:B28)</f>
        <v>44</v>
      </c>
      <c r="H28" s="7198">
        <f>SUM(F14:F28)</f>
        <v>10543980</v>
      </c>
    </row>
    <row r="29" spans="1:8" ht="6" customHeight="1">
      <c r="A29" s="7207"/>
      <c r="B29" s="10753"/>
      <c r="C29" s="10753"/>
      <c r="D29" s="10754"/>
      <c r="E29" s="10754"/>
      <c r="F29" s="7216"/>
    </row>
    <row r="30" spans="1:8" ht="12.9" customHeight="1">
      <c r="A30" s="7209" t="s">
        <v>1094</v>
      </c>
      <c r="B30" s="10753"/>
      <c r="C30" s="10753"/>
      <c r="D30" s="10754"/>
      <c r="E30" s="10754"/>
      <c r="F30" s="7216"/>
    </row>
    <row r="31" spans="1:8" ht="12.9" hidden="1" customHeight="1">
      <c r="A31" s="7207" t="s">
        <v>1095</v>
      </c>
      <c r="B31" s="10753">
        <v>0</v>
      </c>
      <c r="C31" s="10753">
        <v>18</v>
      </c>
      <c r="D31" s="10754"/>
      <c r="E31" s="10754"/>
      <c r="F31" s="7216"/>
    </row>
    <row r="32" spans="1:8" ht="12.9" customHeight="1">
      <c r="A32" s="7207" t="s">
        <v>1419</v>
      </c>
      <c r="B32" s="10753">
        <v>2</v>
      </c>
      <c r="C32" s="10753">
        <v>14</v>
      </c>
      <c r="D32" s="10754">
        <v>303480</v>
      </c>
      <c r="E32" s="10754">
        <v>635856</v>
      </c>
      <c r="F32" s="7216">
        <v>670248</v>
      </c>
    </row>
    <row r="33" spans="1:8" ht="12.9" customHeight="1">
      <c r="A33" s="7207" t="s">
        <v>1097</v>
      </c>
      <c r="B33" s="10753">
        <v>1</v>
      </c>
      <c r="C33" s="10753">
        <v>6</v>
      </c>
      <c r="D33" s="10754">
        <v>176772</v>
      </c>
      <c r="E33" s="10754">
        <v>0</v>
      </c>
      <c r="F33" s="7216">
        <v>178164</v>
      </c>
    </row>
    <row r="34" spans="1:8" ht="12.9" customHeight="1">
      <c r="A34" s="7207" t="s">
        <v>1155</v>
      </c>
      <c r="B34" s="10753">
        <v>2</v>
      </c>
      <c r="C34" s="10753">
        <v>4</v>
      </c>
      <c r="D34" s="10754">
        <v>458652</v>
      </c>
      <c r="E34" s="10754">
        <v>474204</v>
      </c>
      <c r="F34" s="7216">
        <v>333312</v>
      </c>
    </row>
    <row r="35" spans="1:8" ht="12.9" customHeight="1">
      <c r="A35" s="7207" t="s">
        <v>1156</v>
      </c>
      <c r="B35" s="10753">
        <v>8</v>
      </c>
      <c r="C35" s="10753">
        <v>3</v>
      </c>
      <c r="D35" s="10754">
        <v>1124028</v>
      </c>
      <c r="E35" s="10754">
        <v>1319256</v>
      </c>
      <c r="F35" s="7216">
        <v>1228368</v>
      </c>
    </row>
    <row r="36" spans="1:8" ht="12.9" customHeight="1">
      <c r="A36" s="7207" t="s">
        <v>1420</v>
      </c>
      <c r="B36" s="10753">
        <v>1</v>
      </c>
      <c r="C36" s="10753">
        <v>2</v>
      </c>
      <c r="D36" s="10754">
        <v>130272</v>
      </c>
      <c r="E36" s="10754">
        <v>136632</v>
      </c>
      <c r="F36" s="7216">
        <v>144408</v>
      </c>
    </row>
    <row r="37" spans="1:8" ht="12.9" customHeight="1" thickBot="1">
      <c r="A37" s="7207" t="s">
        <v>1158</v>
      </c>
      <c r="B37" s="10753">
        <v>8</v>
      </c>
      <c r="C37" s="10753">
        <v>1</v>
      </c>
      <c r="D37" s="10754">
        <v>627036</v>
      </c>
      <c r="E37" s="10754">
        <v>654324</v>
      </c>
      <c r="F37" s="7216">
        <v>1079472</v>
      </c>
      <c r="G37" s="7165">
        <f>SUM(B32:B37)</f>
        <v>22</v>
      </c>
      <c r="H37" s="7198">
        <f>SUM(F31:F37)</f>
        <v>3633972</v>
      </c>
    </row>
    <row r="38" spans="1:8" ht="12.9" customHeight="1" thickBot="1">
      <c r="A38" s="10422" t="s">
        <v>1159</v>
      </c>
      <c r="B38" s="10725">
        <f>SUM(B9:B37)</f>
        <v>68</v>
      </c>
      <c r="C38" s="10418"/>
      <c r="D38" s="10419">
        <f>SUM(D8:D37)</f>
        <v>14779860</v>
      </c>
      <c r="E38" s="10419">
        <f>SUM(E8:E37)</f>
        <v>15434220</v>
      </c>
      <c r="F38" s="10420">
        <f>SUM(F8:F37)</f>
        <v>16616004</v>
      </c>
    </row>
    <row r="39" spans="1:8" ht="7.5" customHeight="1">
      <c r="A39" s="7209"/>
      <c r="B39" s="10760"/>
      <c r="C39" s="10770"/>
      <c r="D39" s="10776"/>
      <c r="E39" s="10776"/>
      <c r="F39" s="9718"/>
    </row>
    <row r="40" spans="1:8" ht="12.9" customHeight="1">
      <c r="A40" s="7209" t="s">
        <v>1113</v>
      </c>
      <c r="B40" s="10760" t="s">
        <v>9</v>
      </c>
      <c r="C40" s="10765"/>
      <c r="D40" s="10765"/>
      <c r="E40" s="10765"/>
      <c r="F40" s="7215"/>
    </row>
    <row r="41" spans="1:8" ht="12.9" hidden="1" customHeight="1">
      <c r="A41" s="7207" t="s">
        <v>9137</v>
      </c>
      <c r="B41" s="10753">
        <v>0</v>
      </c>
      <c r="C41" s="10753">
        <v>24</v>
      </c>
      <c r="D41" s="10859">
        <v>0</v>
      </c>
      <c r="E41" s="10859">
        <v>0</v>
      </c>
      <c r="F41" s="9791">
        <v>0</v>
      </c>
    </row>
    <row r="42" spans="1:8" ht="12.9" customHeight="1">
      <c r="A42" s="7207" t="s">
        <v>4998</v>
      </c>
      <c r="B42" s="10753">
        <v>1</v>
      </c>
      <c r="C42" s="10753">
        <v>22</v>
      </c>
      <c r="D42" s="10754">
        <v>633396</v>
      </c>
      <c r="E42" s="10754">
        <v>704604</v>
      </c>
      <c r="F42" s="7216">
        <v>783828</v>
      </c>
    </row>
    <row r="43" spans="1:8" ht="12.9" hidden="1" customHeight="1">
      <c r="A43" s="7207" t="s">
        <v>4999</v>
      </c>
      <c r="B43" s="10753">
        <v>0</v>
      </c>
      <c r="C43" s="10753">
        <v>20</v>
      </c>
      <c r="D43" s="10754">
        <v>0</v>
      </c>
      <c r="E43" s="10754">
        <v>0</v>
      </c>
      <c r="F43" s="7216">
        <v>0</v>
      </c>
    </row>
    <row r="44" spans="1:8" ht="12.9" customHeight="1">
      <c r="A44" s="7207" t="s">
        <v>5007</v>
      </c>
      <c r="B44" s="10753">
        <v>0</v>
      </c>
      <c r="C44" s="10753">
        <v>18</v>
      </c>
      <c r="D44" s="10754">
        <v>856632</v>
      </c>
      <c r="E44" s="10754">
        <v>457020</v>
      </c>
      <c r="F44" s="7216">
        <v>0</v>
      </c>
    </row>
    <row r="45" spans="1:8" ht="12.9" customHeight="1">
      <c r="A45" s="7207" t="s">
        <v>5001</v>
      </c>
      <c r="B45" s="10753">
        <v>1</v>
      </c>
      <c r="C45" s="10753">
        <v>15</v>
      </c>
      <c r="D45" s="10754">
        <v>992340</v>
      </c>
      <c r="E45" s="10754">
        <v>1422900</v>
      </c>
      <c r="F45" s="7216">
        <v>366372</v>
      </c>
    </row>
    <row r="46" spans="1:8" ht="12.9" customHeight="1">
      <c r="A46" s="7207" t="s">
        <v>5000</v>
      </c>
      <c r="B46" s="10753">
        <v>1</v>
      </c>
      <c r="C46" s="10753">
        <v>15</v>
      </c>
      <c r="D46" s="10754">
        <v>0</v>
      </c>
      <c r="E46" s="10754">
        <v>378540</v>
      </c>
      <c r="F46" s="7216">
        <v>366372</v>
      </c>
    </row>
    <row r="47" spans="1:8" ht="12.9" customHeight="1">
      <c r="A47" s="7207" t="s">
        <v>5005</v>
      </c>
      <c r="B47" s="10753">
        <v>0</v>
      </c>
      <c r="C47" s="10753">
        <v>14</v>
      </c>
      <c r="D47" s="10754">
        <v>303480</v>
      </c>
      <c r="E47" s="10754">
        <v>0</v>
      </c>
      <c r="F47" s="7216">
        <v>0</v>
      </c>
    </row>
    <row r="48" spans="1:8" ht="12.9" customHeight="1">
      <c r="A48" s="7207" t="s">
        <v>5002</v>
      </c>
      <c r="B48" s="10753">
        <v>3</v>
      </c>
      <c r="C48" s="10753">
        <v>10</v>
      </c>
      <c r="D48" s="10754">
        <v>437208</v>
      </c>
      <c r="E48" s="10754">
        <v>453192</v>
      </c>
      <c r="F48" s="7216">
        <v>692388</v>
      </c>
    </row>
    <row r="49" spans="1:6" ht="12.9" customHeight="1">
      <c r="A49" s="7207" t="s">
        <v>5003</v>
      </c>
      <c r="B49" s="10753">
        <v>0</v>
      </c>
      <c r="C49" s="10753">
        <v>6</v>
      </c>
      <c r="D49" s="10754">
        <v>166212</v>
      </c>
      <c r="E49" s="10754">
        <v>0</v>
      </c>
      <c r="F49" s="7216">
        <v>0</v>
      </c>
    </row>
    <row r="50" spans="1:6" ht="12.9" customHeight="1">
      <c r="A50" s="7207" t="s">
        <v>1259</v>
      </c>
      <c r="B50" s="10753">
        <v>1</v>
      </c>
      <c r="C50" s="10753">
        <v>6</v>
      </c>
      <c r="D50" s="10754">
        <v>0</v>
      </c>
      <c r="E50" s="10754">
        <v>344160</v>
      </c>
      <c r="F50" s="7216">
        <v>178164</v>
      </c>
    </row>
    <row r="51" spans="1:6" ht="12.9" customHeight="1">
      <c r="A51" s="7207" t="s">
        <v>5004</v>
      </c>
      <c r="B51" s="10753">
        <v>6</v>
      </c>
      <c r="C51" s="10753">
        <v>6</v>
      </c>
      <c r="D51" s="10754">
        <v>0</v>
      </c>
      <c r="E51" s="10754">
        <v>172080</v>
      </c>
      <c r="F51" s="7216">
        <f>178164*B51</f>
        <v>1068984</v>
      </c>
    </row>
    <row r="52" spans="1:6" ht="12.9" customHeight="1">
      <c r="A52" s="7207" t="s">
        <v>10554</v>
      </c>
      <c r="B52" s="10753">
        <v>1</v>
      </c>
      <c r="C52" s="10753">
        <v>5</v>
      </c>
      <c r="D52" s="10754">
        <v>155700</v>
      </c>
      <c r="E52" s="10754">
        <v>161772</v>
      </c>
      <c r="F52" s="7216">
        <v>168084</v>
      </c>
    </row>
    <row r="53" spans="1:6" ht="12.9" customHeight="1">
      <c r="A53" s="7207" t="s">
        <v>1155</v>
      </c>
      <c r="B53" s="10753"/>
      <c r="C53" s="10753">
        <v>4</v>
      </c>
      <c r="D53" s="10754"/>
      <c r="E53" s="10754"/>
      <c r="F53" s="7216" t="s">
        <v>12022</v>
      </c>
    </row>
    <row r="54" spans="1:6" ht="12.9" customHeight="1">
      <c r="A54" s="7207" t="s">
        <v>1261</v>
      </c>
      <c r="B54" s="10753">
        <v>3</v>
      </c>
      <c r="C54" s="10753">
        <v>3</v>
      </c>
      <c r="D54" s="10754">
        <v>409932</v>
      </c>
      <c r="E54" s="10754">
        <v>428904</v>
      </c>
      <c r="F54" s="7216">
        <f>149592*B54</f>
        <v>448776</v>
      </c>
    </row>
    <row r="55" spans="1:6" ht="12.9" customHeight="1">
      <c r="A55" s="7207" t="s">
        <v>1428</v>
      </c>
      <c r="B55" s="9614">
        <v>5</v>
      </c>
      <c r="C55" s="9614">
        <v>2</v>
      </c>
      <c r="D55" s="9617"/>
      <c r="E55" s="9617"/>
      <c r="F55" s="9951">
        <f>141132*B55</f>
        <v>705660</v>
      </c>
    </row>
    <row r="56" spans="1:6" ht="12.9" customHeight="1">
      <c r="A56" s="7207" t="s">
        <v>1263</v>
      </c>
      <c r="B56" s="10753">
        <v>11</v>
      </c>
      <c r="C56" s="10753">
        <v>1</v>
      </c>
      <c r="D56" s="10754"/>
      <c r="E56" s="10754">
        <v>504480</v>
      </c>
      <c r="F56" s="7216">
        <f>132816*B56</f>
        <v>1460976</v>
      </c>
    </row>
    <row r="57" spans="1:6" ht="12.9" customHeight="1">
      <c r="A57" s="7209" t="s">
        <v>1073</v>
      </c>
      <c r="B57" s="9613">
        <f>SUM(B41:B56)</f>
        <v>33</v>
      </c>
      <c r="C57" s="9631"/>
      <c r="D57" s="9668">
        <f>SUM(D41:D56)</f>
        <v>3954900</v>
      </c>
      <c r="E57" s="9668">
        <f>SUM(E41:E56)</f>
        <v>5027652</v>
      </c>
      <c r="F57" s="9669">
        <f>SUM(F41:F56)</f>
        <v>6239604</v>
      </c>
    </row>
    <row r="58" spans="1:6" s="7199" customFormat="1" ht="6" customHeight="1" thickBot="1">
      <c r="A58" s="9717"/>
      <c r="B58" s="9772"/>
      <c r="C58" s="9634"/>
      <c r="D58" s="9792"/>
      <c r="E58" s="9792"/>
      <c r="F58" s="9793"/>
    </row>
    <row r="59" spans="1:6" ht="12.9" customHeight="1" thickBot="1">
      <c r="A59" s="10422" t="s">
        <v>1101</v>
      </c>
      <c r="B59" s="10725">
        <f>SUM(B38+B57)</f>
        <v>101</v>
      </c>
      <c r="C59" s="10414"/>
      <c r="D59" s="10419">
        <f>SUM(D38+D57)</f>
        <v>18734760</v>
      </c>
      <c r="E59" s="10419">
        <f>SUM(E38+E57)</f>
        <v>20461872</v>
      </c>
      <c r="F59" s="10420">
        <f>SUM(F38+F57)</f>
        <v>22855608</v>
      </c>
    </row>
    <row r="60" spans="1:6" ht="12.9" customHeight="1">
      <c r="A60" s="7209" t="s">
        <v>1075</v>
      </c>
      <c r="B60" s="10753"/>
      <c r="C60" s="10753"/>
      <c r="D60" s="10765"/>
      <c r="E60" s="10765"/>
      <c r="F60" s="7215"/>
    </row>
    <row r="61" spans="1:6" ht="12.9" customHeight="1">
      <c r="A61" s="7209" t="s">
        <v>1102</v>
      </c>
      <c r="B61" s="10765"/>
      <c r="C61" s="10765"/>
      <c r="D61" s="10765"/>
      <c r="E61" s="10765"/>
      <c r="F61" s="7215"/>
    </row>
    <row r="62" spans="1:6" ht="12.9" customHeight="1">
      <c r="A62" s="7207" t="s">
        <v>1077</v>
      </c>
      <c r="B62" s="10753">
        <v>15</v>
      </c>
      <c r="C62" s="10765"/>
      <c r="D62" s="10765"/>
      <c r="E62" s="10765"/>
      <c r="F62" s="7215"/>
    </row>
    <row r="63" spans="1:6" ht="12.9" customHeight="1">
      <c r="A63" s="7207" t="s">
        <v>1078</v>
      </c>
      <c r="B63" s="10753">
        <v>2</v>
      </c>
      <c r="C63" s="10765"/>
      <c r="D63" s="10765"/>
      <c r="E63" s="10765"/>
      <c r="F63" s="7215"/>
    </row>
    <row r="64" spans="1:6" ht="12.9" customHeight="1">
      <c r="A64" s="7231" t="s">
        <v>10707</v>
      </c>
      <c r="B64" s="10753"/>
      <c r="C64" s="10765"/>
      <c r="D64" s="10765"/>
      <c r="E64" s="10765"/>
      <c r="F64" s="7215"/>
    </row>
    <row r="65" spans="1:6" ht="12.9" customHeight="1">
      <c r="A65" s="7231" t="s">
        <v>10697</v>
      </c>
      <c r="B65" s="10753">
        <v>1</v>
      </c>
      <c r="C65" s="10765"/>
      <c r="D65" s="10765"/>
      <c r="E65" s="10765"/>
      <c r="F65" s="7215"/>
    </row>
    <row r="66" spans="1:6" ht="6.6" customHeight="1">
      <c r="A66" s="7207" t="s">
        <v>168</v>
      </c>
      <c r="B66" s="10765"/>
      <c r="C66" s="10765"/>
      <c r="D66" s="10765"/>
      <c r="E66" s="10765"/>
      <c r="F66" s="7215"/>
    </row>
    <row r="67" spans="1:6" ht="12.9" customHeight="1">
      <c r="A67" s="7207" t="s">
        <v>1080</v>
      </c>
      <c r="B67" s="10765"/>
      <c r="C67" s="10765"/>
      <c r="D67" s="10765"/>
      <c r="E67" s="10765"/>
      <c r="F67" s="7215"/>
    </row>
    <row r="68" spans="1:6" ht="12.9" customHeight="1">
      <c r="A68" s="7207" t="s">
        <v>1104</v>
      </c>
      <c r="B68" s="10765"/>
      <c r="C68" s="10765"/>
      <c r="D68" s="10765"/>
      <c r="E68" s="10765"/>
      <c r="F68" s="7215"/>
    </row>
    <row r="69" spans="1:6" ht="12.9" customHeight="1">
      <c r="A69" s="7207" t="s">
        <v>1105</v>
      </c>
      <c r="B69" s="10428"/>
      <c r="C69" s="10428"/>
      <c r="D69" s="10428"/>
      <c r="E69" s="10428"/>
      <c r="F69" s="9783"/>
    </row>
    <row r="70" spans="1:6" ht="12.9" customHeight="1">
      <c r="A70" s="7209" t="s">
        <v>1083</v>
      </c>
      <c r="B70" s="9631"/>
      <c r="C70" s="9631"/>
      <c r="D70" s="9631"/>
      <c r="E70" s="9631"/>
      <c r="F70" s="9741"/>
    </row>
    <row r="71" spans="1:6" ht="12.9" customHeight="1">
      <c r="A71" s="7207" t="s">
        <v>1106</v>
      </c>
      <c r="B71" s="10765"/>
      <c r="C71" s="10765"/>
      <c r="D71" s="10765"/>
      <c r="E71" s="10765"/>
      <c r="F71" s="7215"/>
    </row>
    <row r="72" spans="1:6" s="7199" customFormat="1" ht="6.9" customHeight="1" thickBot="1">
      <c r="A72" s="7207"/>
      <c r="B72" s="10765"/>
      <c r="C72" s="10765"/>
      <c r="D72" s="10765"/>
      <c r="E72" s="10765"/>
      <c r="F72" s="7215"/>
    </row>
    <row r="73" spans="1:6" s="7199" customFormat="1" ht="6.9" customHeight="1">
      <c r="A73" s="9715"/>
      <c r="B73" s="9624"/>
      <c r="C73" s="9624"/>
      <c r="D73" s="9624"/>
      <c r="E73" s="9624"/>
      <c r="F73" s="9716"/>
    </row>
    <row r="74" spans="1:6" ht="12.9" customHeight="1">
      <c r="A74" s="7209" t="s">
        <v>1086</v>
      </c>
      <c r="B74" s="10765"/>
      <c r="C74" s="10765"/>
      <c r="D74" s="10765"/>
      <c r="E74" s="10765"/>
      <c r="F74" s="7215"/>
    </row>
    <row r="75" spans="1:6" ht="8.1" customHeight="1" thickBot="1">
      <c r="A75" s="9709"/>
      <c r="B75" s="9634"/>
      <c r="C75" s="9634"/>
      <c r="D75" s="9634"/>
      <c r="E75" s="9634"/>
      <c r="F75" s="9753"/>
    </row>
    <row r="76" spans="1:6" ht="12.9" customHeight="1">
      <c r="A76" s="7199"/>
      <c r="B76" s="7199"/>
      <c r="C76" s="7199"/>
      <c r="D76" s="7199"/>
      <c r="E76" s="7199"/>
      <c r="F76" s="7199"/>
    </row>
    <row r="77" spans="1:6" ht="12.9" customHeight="1">
      <c r="A77" s="7199"/>
      <c r="B77" s="7199"/>
      <c r="C77" s="7199"/>
      <c r="D77" s="7199"/>
      <c r="E77" s="7199"/>
      <c r="F77" s="7199"/>
    </row>
    <row r="78" spans="1:6" ht="12.9" customHeight="1">
      <c r="A78" s="7199"/>
      <c r="B78" s="7199"/>
      <c r="C78" s="7199"/>
      <c r="D78" s="7199"/>
      <c r="E78" s="7199"/>
      <c r="F78" s="7199"/>
    </row>
    <row r="79" spans="1:6" ht="12.9" customHeight="1">
      <c r="A79" s="7199"/>
      <c r="B79" s="7199"/>
      <c r="C79" s="7199"/>
      <c r="D79" s="7199"/>
      <c r="E79" s="7199"/>
      <c r="F79" s="7199"/>
    </row>
    <row r="80" spans="1:6" ht="12.9" customHeight="1">
      <c r="A80" s="7199"/>
      <c r="B80" s="7199"/>
      <c r="C80" s="7199"/>
      <c r="D80" s="7199"/>
      <c r="E80" s="7199"/>
      <c r="F80" s="7199"/>
    </row>
    <row r="81" spans="1:6" ht="12.9" customHeight="1">
      <c r="A81" s="7199"/>
      <c r="B81" s="7199"/>
      <c r="C81" s="7199"/>
      <c r="D81" s="7199"/>
      <c r="E81" s="7199"/>
      <c r="F81" s="7199"/>
    </row>
    <row r="82" spans="1:6" ht="12.9" customHeight="1">
      <c r="A82" s="7199"/>
      <c r="B82" s="7199"/>
      <c r="C82" s="7199"/>
      <c r="D82" s="7199"/>
      <c r="E82" s="7199"/>
      <c r="F82" s="7199"/>
    </row>
    <row r="83" spans="1:6" ht="12.9" customHeight="1">
      <c r="A83" s="7199"/>
      <c r="B83" s="7199"/>
      <c r="C83" s="7199"/>
      <c r="D83" s="7199"/>
      <c r="E83" s="7199"/>
      <c r="F83" s="7199"/>
    </row>
    <row r="84" spans="1:6" ht="12.9" customHeight="1">
      <c r="A84" s="7199"/>
      <c r="B84" s="7199"/>
      <c r="C84" s="7199"/>
      <c r="D84" s="7199"/>
      <c r="E84" s="7199"/>
      <c r="F84" s="7199"/>
    </row>
    <row r="85" spans="1:6" ht="12.9" customHeight="1">
      <c r="A85" s="7199"/>
      <c r="B85" s="7199"/>
      <c r="C85" s="7199"/>
      <c r="D85" s="7199"/>
      <c r="E85" s="7199"/>
      <c r="F85" s="7199"/>
    </row>
    <row r="86" spans="1:6" ht="12.9" customHeight="1">
      <c r="A86" s="7199"/>
      <c r="B86" s="7199"/>
      <c r="C86" s="7199"/>
      <c r="D86" s="7199"/>
      <c r="E86" s="7199"/>
      <c r="F86" s="7199"/>
    </row>
    <row r="87" spans="1:6" ht="12.9" customHeight="1">
      <c r="A87" s="7199"/>
      <c r="B87" s="7199"/>
      <c r="C87" s="7199"/>
      <c r="D87" s="7199"/>
      <c r="E87" s="7199"/>
      <c r="F87" s="7199"/>
    </row>
  </sheetData>
  <mergeCells count="2">
    <mergeCell ref="D5:F5"/>
    <mergeCell ref="A1:F1"/>
  </mergeCells>
  <pageMargins left="0.25" right="0.25" top="0.5" bottom="0.5" header="0.3" footer="0.3"/>
  <pageSetup paperSize="136" firstPageNumber="402" orientation="portrait" useFirstPageNumber="1" r:id="rId1"/>
  <headerFooter alignWithMargins="0"/>
</worksheet>
</file>

<file path=xl/worksheets/sheet172.xml><?xml version="1.0" encoding="utf-8"?>
<worksheet xmlns="http://schemas.openxmlformats.org/spreadsheetml/2006/main" xmlns:r="http://schemas.openxmlformats.org/officeDocument/2006/relationships">
  <sheetPr codeName="Sheet189">
    <tabColor rgb="FFFFFF00"/>
  </sheetPr>
  <dimension ref="A1:J173"/>
  <sheetViews>
    <sheetView topLeftCell="A160" workbookViewId="0">
      <selection activeCell="D167" sqref="D167"/>
    </sheetView>
  </sheetViews>
  <sheetFormatPr defaultRowHeight="13.8"/>
  <cols>
    <col min="1" max="1" width="5.109375" style="4727" customWidth="1"/>
    <col min="2" max="2" width="30.109375" style="4727" customWidth="1"/>
    <col min="3" max="3" width="12.109375" style="4727" hidden="1" customWidth="1"/>
    <col min="4" max="4" width="12.109375" style="4727" customWidth="1"/>
    <col min="5" max="5" width="29" style="4727" customWidth="1"/>
    <col min="6" max="6" width="6.44140625" style="4727" customWidth="1"/>
    <col min="7" max="7" width="7.109375" style="4727" customWidth="1"/>
    <col min="8" max="8" width="7.44140625" style="4727" customWidth="1"/>
    <col min="9" max="9" width="0" style="4727" hidden="1" customWidth="1"/>
    <col min="10" max="256" width="9.109375" style="4727"/>
    <col min="257" max="257" width="7.44140625" style="4727" customWidth="1"/>
    <col min="258" max="258" width="31.44140625" style="4727" customWidth="1"/>
    <col min="259" max="259" width="0" style="4727" hidden="1" customWidth="1"/>
    <col min="260" max="260" width="12.109375" style="4727" customWidth="1"/>
    <col min="261" max="261" width="30.109375" style="4727" customWidth="1"/>
    <col min="262" max="262" width="6.44140625" style="4727" customWidth="1"/>
    <col min="263" max="263" width="7.109375" style="4727" customWidth="1"/>
    <col min="264" max="264" width="9.109375" style="4727"/>
    <col min="265" max="265" width="0" style="4727" hidden="1" customWidth="1"/>
    <col min="266" max="512" width="9.109375" style="4727"/>
    <col min="513" max="513" width="7.44140625" style="4727" customWidth="1"/>
    <col min="514" max="514" width="31.44140625" style="4727" customWidth="1"/>
    <col min="515" max="515" width="0" style="4727" hidden="1" customWidth="1"/>
    <col min="516" max="516" width="12.109375" style="4727" customWidth="1"/>
    <col min="517" max="517" width="30.109375" style="4727" customWidth="1"/>
    <col min="518" max="518" width="6.44140625" style="4727" customWidth="1"/>
    <col min="519" max="519" width="7.109375" style="4727" customWidth="1"/>
    <col min="520" max="520" width="9.109375" style="4727"/>
    <col min="521" max="521" width="0" style="4727" hidden="1" customWidth="1"/>
    <col min="522" max="768" width="9.109375" style="4727"/>
    <col min="769" max="769" width="7.44140625" style="4727" customWidth="1"/>
    <col min="770" max="770" width="31.44140625" style="4727" customWidth="1"/>
    <col min="771" max="771" width="0" style="4727" hidden="1" customWidth="1"/>
    <col min="772" max="772" width="12.109375" style="4727" customWidth="1"/>
    <col min="773" max="773" width="30.109375" style="4727" customWidth="1"/>
    <col min="774" max="774" width="6.44140625" style="4727" customWidth="1"/>
    <col min="775" max="775" width="7.109375" style="4727" customWidth="1"/>
    <col min="776" max="776" width="9.109375" style="4727"/>
    <col min="777" max="777" width="0" style="4727" hidden="1" customWidth="1"/>
    <col min="778" max="1024" width="9.109375" style="4727"/>
    <col min="1025" max="1025" width="7.44140625" style="4727" customWidth="1"/>
    <col min="1026" max="1026" width="31.44140625" style="4727" customWidth="1"/>
    <col min="1027" max="1027" width="0" style="4727" hidden="1" customWidth="1"/>
    <col min="1028" max="1028" width="12.109375" style="4727" customWidth="1"/>
    <col min="1029" max="1029" width="30.109375" style="4727" customWidth="1"/>
    <col min="1030" max="1030" width="6.44140625" style="4727" customWidth="1"/>
    <col min="1031" max="1031" width="7.109375" style="4727" customWidth="1"/>
    <col min="1032" max="1032" width="9.109375" style="4727"/>
    <col min="1033" max="1033" width="0" style="4727" hidden="1" customWidth="1"/>
    <col min="1034" max="1280" width="9.109375" style="4727"/>
    <col min="1281" max="1281" width="7.44140625" style="4727" customWidth="1"/>
    <col min="1282" max="1282" width="31.44140625" style="4727" customWidth="1"/>
    <col min="1283" max="1283" width="0" style="4727" hidden="1" customWidth="1"/>
    <col min="1284" max="1284" width="12.109375" style="4727" customWidth="1"/>
    <col min="1285" max="1285" width="30.109375" style="4727" customWidth="1"/>
    <col min="1286" max="1286" width="6.44140625" style="4727" customWidth="1"/>
    <col min="1287" max="1287" width="7.109375" style="4727" customWidth="1"/>
    <col min="1288" max="1288" width="9.109375" style="4727"/>
    <col min="1289" max="1289" width="0" style="4727" hidden="1" customWidth="1"/>
    <col min="1290" max="1536" width="9.109375" style="4727"/>
    <col min="1537" max="1537" width="7.44140625" style="4727" customWidth="1"/>
    <col min="1538" max="1538" width="31.44140625" style="4727" customWidth="1"/>
    <col min="1539" max="1539" width="0" style="4727" hidden="1" customWidth="1"/>
    <col min="1540" max="1540" width="12.109375" style="4727" customWidth="1"/>
    <col min="1541" max="1541" width="30.109375" style="4727" customWidth="1"/>
    <col min="1542" max="1542" width="6.44140625" style="4727" customWidth="1"/>
    <col min="1543" max="1543" width="7.109375" style="4727" customWidth="1"/>
    <col min="1544" max="1544" width="9.109375" style="4727"/>
    <col min="1545" max="1545" width="0" style="4727" hidden="1" customWidth="1"/>
    <col min="1546" max="1792" width="9.109375" style="4727"/>
    <col min="1793" max="1793" width="7.44140625" style="4727" customWidth="1"/>
    <col min="1794" max="1794" width="31.44140625" style="4727" customWidth="1"/>
    <col min="1795" max="1795" width="0" style="4727" hidden="1" customWidth="1"/>
    <col min="1796" max="1796" width="12.109375" style="4727" customWidth="1"/>
    <col min="1797" max="1797" width="30.109375" style="4727" customWidth="1"/>
    <col min="1798" max="1798" width="6.44140625" style="4727" customWidth="1"/>
    <col min="1799" max="1799" width="7.109375" style="4727" customWidth="1"/>
    <col min="1800" max="1800" width="9.109375" style="4727"/>
    <col min="1801" max="1801" width="0" style="4727" hidden="1" customWidth="1"/>
    <col min="1802" max="2048" width="9.109375" style="4727"/>
    <col min="2049" max="2049" width="7.44140625" style="4727" customWidth="1"/>
    <col min="2050" max="2050" width="31.44140625" style="4727" customWidth="1"/>
    <col min="2051" max="2051" width="0" style="4727" hidden="1" customWidth="1"/>
    <col min="2052" max="2052" width="12.109375" style="4727" customWidth="1"/>
    <col min="2053" max="2053" width="30.109375" style="4727" customWidth="1"/>
    <col min="2054" max="2054" width="6.44140625" style="4727" customWidth="1"/>
    <col min="2055" max="2055" width="7.109375" style="4727" customWidth="1"/>
    <col min="2056" max="2056" width="9.109375" style="4727"/>
    <col min="2057" max="2057" width="0" style="4727" hidden="1" customWidth="1"/>
    <col min="2058" max="2304" width="9.109375" style="4727"/>
    <col min="2305" max="2305" width="7.44140625" style="4727" customWidth="1"/>
    <col min="2306" max="2306" width="31.44140625" style="4727" customWidth="1"/>
    <col min="2307" max="2307" width="0" style="4727" hidden="1" customWidth="1"/>
    <col min="2308" max="2308" width="12.109375" style="4727" customWidth="1"/>
    <col min="2309" max="2309" width="30.109375" style="4727" customWidth="1"/>
    <col min="2310" max="2310" width="6.44140625" style="4727" customWidth="1"/>
    <col min="2311" max="2311" width="7.109375" style="4727" customWidth="1"/>
    <col min="2312" max="2312" width="9.109375" style="4727"/>
    <col min="2313" max="2313" width="0" style="4727" hidden="1" customWidth="1"/>
    <col min="2314" max="2560" width="9.109375" style="4727"/>
    <col min="2561" max="2561" width="7.44140625" style="4727" customWidth="1"/>
    <col min="2562" max="2562" width="31.44140625" style="4727" customWidth="1"/>
    <col min="2563" max="2563" width="0" style="4727" hidden="1" customWidth="1"/>
    <col min="2564" max="2564" width="12.109375" style="4727" customWidth="1"/>
    <col min="2565" max="2565" width="30.109375" style="4727" customWidth="1"/>
    <col min="2566" max="2566" width="6.44140625" style="4727" customWidth="1"/>
    <col min="2567" max="2567" width="7.109375" style="4727" customWidth="1"/>
    <col min="2568" max="2568" width="9.109375" style="4727"/>
    <col min="2569" max="2569" width="0" style="4727" hidden="1" customWidth="1"/>
    <col min="2570" max="2816" width="9.109375" style="4727"/>
    <col min="2817" max="2817" width="7.44140625" style="4727" customWidth="1"/>
    <col min="2818" max="2818" width="31.44140625" style="4727" customWidth="1"/>
    <col min="2819" max="2819" width="0" style="4727" hidden="1" customWidth="1"/>
    <col min="2820" max="2820" width="12.109375" style="4727" customWidth="1"/>
    <col min="2821" max="2821" width="30.109375" style="4727" customWidth="1"/>
    <col min="2822" max="2822" width="6.44140625" style="4727" customWidth="1"/>
    <col min="2823" max="2823" width="7.109375" style="4727" customWidth="1"/>
    <col min="2824" max="2824" width="9.109375" style="4727"/>
    <col min="2825" max="2825" width="0" style="4727" hidden="1" customWidth="1"/>
    <col min="2826" max="3072" width="9.109375" style="4727"/>
    <col min="3073" max="3073" width="7.44140625" style="4727" customWidth="1"/>
    <col min="3074" max="3074" width="31.44140625" style="4727" customWidth="1"/>
    <col min="3075" max="3075" width="0" style="4727" hidden="1" customWidth="1"/>
    <col min="3076" max="3076" width="12.109375" style="4727" customWidth="1"/>
    <col min="3077" max="3077" width="30.109375" style="4727" customWidth="1"/>
    <col min="3078" max="3078" width="6.44140625" style="4727" customWidth="1"/>
    <col min="3079" max="3079" width="7.109375" style="4727" customWidth="1"/>
    <col min="3080" max="3080" width="9.109375" style="4727"/>
    <col min="3081" max="3081" width="0" style="4727" hidden="1" customWidth="1"/>
    <col min="3082" max="3328" width="9.109375" style="4727"/>
    <col min="3329" max="3329" width="7.44140625" style="4727" customWidth="1"/>
    <col min="3330" max="3330" width="31.44140625" style="4727" customWidth="1"/>
    <col min="3331" max="3331" width="0" style="4727" hidden="1" customWidth="1"/>
    <col min="3332" max="3332" width="12.109375" style="4727" customWidth="1"/>
    <col min="3333" max="3333" width="30.109375" style="4727" customWidth="1"/>
    <col min="3334" max="3334" width="6.44140625" style="4727" customWidth="1"/>
    <col min="3335" max="3335" width="7.109375" style="4727" customWidth="1"/>
    <col min="3336" max="3336" width="9.109375" style="4727"/>
    <col min="3337" max="3337" width="0" style="4727" hidden="1" customWidth="1"/>
    <col min="3338" max="3584" width="9.109375" style="4727"/>
    <col min="3585" max="3585" width="7.44140625" style="4727" customWidth="1"/>
    <col min="3586" max="3586" width="31.44140625" style="4727" customWidth="1"/>
    <col min="3587" max="3587" width="0" style="4727" hidden="1" customWidth="1"/>
    <col min="3588" max="3588" width="12.109375" style="4727" customWidth="1"/>
    <col min="3589" max="3589" width="30.109375" style="4727" customWidth="1"/>
    <col min="3590" max="3590" width="6.44140625" style="4727" customWidth="1"/>
    <col min="3591" max="3591" width="7.109375" style="4727" customWidth="1"/>
    <col min="3592" max="3592" width="9.109375" style="4727"/>
    <col min="3593" max="3593" width="0" style="4727" hidden="1" customWidth="1"/>
    <col min="3594" max="3840" width="9.109375" style="4727"/>
    <col min="3841" max="3841" width="7.44140625" style="4727" customWidth="1"/>
    <col min="3842" max="3842" width="31.44140625" style="4727" customWidth="1"/>
    <col min="3843" max="3843" width="0" style="4727" hidden="1" customWidth="1"/>
    <col min="3844" max="3844" width="12.109375" style="4727" customWidth="1"/>
    <col min="3845" max="3845" width="30.109375" style="4727" customWidth="1"/>
    <col min="3846" max="3846" width="6.44140625" style="4727" customWidth="1"/>
    <col min="3847" max="3847" width="7.109375" style="4727" customWidth="1"/>
    <col min="3848" max="3848" width="9.109375" style="4727"/>
    <col min="3849" max="3849" width="0" style="4727" hidden="1" customWidth="1"/>
    <col min="3850" max="4096" width="9.109375" style="4727"/>
    <col min="4097" max="4097" width="7.44140625" style="4727" customWidth="1"/>
    <col min="4098" max="4098" width="31.44140625" style="4727" customWidth="1"/>
    <col min="4099" max="4099" width="0" style="4727" hidden="1" customWidth="1"/>
    <col min="4100" max="4100" width="12.109375" style="4727" customWidth="1"/>
    <col min="4101" max="4101" width="30.109375" style="4727" customWidth="1"/>
    <col min="4102" max="4102" width="6.44140625" style="4727" customWidth="1"/>
    <col min="4103" max="4103" width="7.109375" style="4727" customWidth="1"/>
    <col min="4104" max="4104" width="9.109375" style="4727"/>
    <col min="4105" max="4105" width="0" style="4727" hidden="1" customWidth="1"/>
    <col min="4106" max="4352" width="9.109375" style="4727"/>
    <col min="4353" max="4353" width="7.44140625" style="4727" customWidth="1"/>
    <col min="4354" max="4354" width="31.44140625" style="4727" customWidth="1"/>
    <col min="4355" max="4355" width="0" style="4727" hidden="1" customWidth="1"/>
    <col min="4356" max="4356" width="12.109375" style="4727" customWidth="1"/>
    <col min="4357" max="4357" width="30.109375" style="4727" customWidth="1"/>
    <col min="4358" max="4358" width="6.44140625" style="4727" customWidth="1"/>
    <col min="4359" max="4359" width="7.109375" style="4727" customWidth="1"/>
    <col min="4360" max="4360" width="9.109375" style="4727"/>
    <col min="4361" max="4361" width="0" style="4727" hidden="1" customWidth="1"/>
    <col min="4362" max="4608" width="9.109375" style="4727"/>
    <col min="4609" max="4609" width="7.44140625" style="4727" customWidth="1"/>
    <col min="4610" max="4610" width="31.44140625" style="4727" customWidth="1"/>
    <col min="4611" max="4611" width="0" style="4727" hidden="1" customWidth="1"/>
    <col min="4612" max="4612" width="12.109375" style="4727" customWidth="1"/>
    <col min="4613" max="4613" width="30.109375" style="4727" customWidth="1"/>
    <col min="4614" max="4614" width="6.44140625" style="4727" customWidth="1"/>
    <col min="4615" max="4615" width="7.109375" style="4727" customWidth="1"/>
    <col min="4616" max="4616" width="9.109375" style="4727"/>
    <col min="4617" max="4617" width="0" style="4727" hidden="1" customWidth="1"/>
    <col min="4618" max="4864" width="9.109375" style="4727"/>
    <col min="4865" max="4865" width="7.44140625" style="4727" customWidth="1"/>
    <col min="4866" max="4866" width="31.44140625" style="4727" customWidth="1"/>
    <col min="4867" max="4867" width="0" style="4727" hidden="1" customWidth="1"/>
    <col min="4868" max="4868" width="12.109375" style="4727" customWidth="1"/>
    <col min="4869" max="4869" width="30.109375" style="4727" customWidth="1"/>
    <col min="4870" max="4870" width="6.44140625" style="4727" customWidth="1"/>
    <col min="4871" max="4871" width="7.109375" style="4727" customWidth="1"/>
    <col min="4872" max="4872" width="9.109375" style="4727"/>
    <col min="4873" max="4873" width="0" style="4727" hidden="1" customWidth="1"/>
    <col min="4874" max="5120" width="9.109375" style="4727"/>
    <col min="5121" max="5121" width="7.44140625" style="4727" customWidth="1"/>
    <col min="5122" max="5122" width="31.44140625" style="4727" customWidth="1"/>
    <col min="5123" max="5123" width="0" style="4727" hidden="1" customWidth="1"/>
    <col min="5124" max="5124" width="12.109375" style="4727" customWidth="1"/>
    <col min="5125" max="5125" width="30.109375" style="4727" customWidth="1"/>
    <col min="5126" max="5126" width="6.44140625" style="4727" customWidth="1"/>
    <col min="5127" max="5127" width="7.109375" style="4727" customWidth="1"/>
    <col min="5128" max="5128" width="9.109375" style="4727"/>
    <col min="5129" max="5129" width="0" style="4727" hidden="1" customWidth="1"/>
    <col min="5130" max="5376" width="9.109375" style="4727"/>
    <col min="5377" max="5377" width="7.44140625" style="4727" customWidth="1"/>
    <col min="5378" max="5378" width="31.44140625" style="4727" customWidth="1"/>
    <col min="5379" max="5379" width="0" style="4727" hidden="1" customWidth="1"/>
    <col min="5380" max="5380" width="12.109375" style="4727" customWidth="1"/>
    <col min="5381" max="5381" width="30.109375" style="4727" customWidth="1"/>
    <col min="5382" max="5382" width="6.44140625" style="4727" customWidth="1"/>
    <col min="5383" max="5383" width="7.109375" style="4727" customWidth="1"/>
    <col min="5384" max="5384" width="9.109375" style="4727"/>
    <col min="5385" max="5385" width="0" style="4727" hidden="1" customWidth="1"/>
    <col min="5386" max="5632" width="9.109375" style="4727"/>
    <col min="5633" max="5633" width="7.44140625" style="4727" customWidth="1"/>
    <col min="5634" max="5634" width="31.44140625" style="4727" customWidth="1"/>
    <col min="5635" max="5635" width="0" style="4727" hidden="1" customWidth="1"/>
    <col min="5636" max="5636" width="12.109375" style="4727" customWidth="1"/>
    <col min="5637" max="5637" width="30.109375" style="4727" customWidth="1"/>
    <col min="5638" max="5638" width="6.44140625" style="4727" customWidth="1"/>
    <col min="5639" max="5639" width="7.109375" style="4727" customWidth="1"/>
    <col min="5640" max="5640" width="9.109375" style="4727"/>
    <col min="5641" max="5641" width="0" style="4727" hidden="1" customWidth="1"/>
    <col min="5642" max="5888" width="9.109375" style="4727"/>
    <col min="5889" max="5889" width="7.44140625" style="4727" customWidth="1"/>
    <col min="5890" max="5890" width="31.44140625" style="4727" customWidth="1"/>
    <col min="5891" max="5891" width="0" style="4727" hidden="1" customWidth="1"/>
    <col min="5892" max="5892" width="12.109375" style="4727" customWidth="1"/>
    <col min="5893" max="5893" width="30.109375" style="4727" customWidth="1"/>
    <col min="5894" max="5894" width="6.44140625" style="4727" customWidth="1"/>
    <col min="5895" max="5895" width="7.109375" style="4727" customWidth="1"/>
    <col min="5896" max="5896" width="9.109375" style="4727"/>
    <col min="5897" max="5897" width="0" style="4727" hidden="1" customWidth="1"/>
    <col min="5898" max="6144" width="9.109375" style="4727"/>
    <col min="6145" max="6145" width="7.44140625" style="4727" customWidth="1"/>
    <col min="6146" max="6146" width="31.44140625" style="4727" customWidth="1"/>
    <col min="6147" max="6147" width="0" style="4727" hidden="1" customWidth="1"/>
    <col min="6148" max="6148" width="12.109375" style="4727" customWidth="1"/>
    <col min="6149" max="6149" width="30.109375" style="4727" customWidth="1"/>
    <col min="6150" max="6150" width="6.44140625" style="4727" customWidth="1"/>
    <col min="6151" max="6151" width="7.109375" style="4727" customWidth="1"/>
    <col min="6152" max="6152" width="9.109375" style="4727"/>
    <col min="6153" max="6153" width="0" style="4727" hidden="1" customWidth="1"/>
    <col min="6154" max="6400" width="9.109375" style="4727"/>
    <col min="6401" max="6401" width="7.44140625" style="4727" customWidth="1"/>
    <col min="6402" max="6402" width="31.44140625" style="4727" customWidth="1"/>
    <col min="6403" max="6403" width="0" style="4727" hidden="1" customWidth="1"/>
    <col min="6404" max="6404" width="12.109375" style="4727" customWidth="1"/>
    <col min="6405" max="6405" width="30.109375" style="4727" customWidth="1"/>
    <col min="6406" max="6406" width="6.44140625" style="4727" customWidth="1"/>
    <col min="6407" max="6407" width="7.109375" style="4727" customWidth="1"/>
    <col min="6408" max="6408" width="9.109375" style="4727"/>
    <col min="6409" max="6409" width="0" style="4727" hidden="1" customWidth="1"/>
    <col min="6410" max="6656" width="9.109375" style="4727"/>
    <col min="6657" max="6657" width="7.44140625" style="4727" customWidth="1"/>
    <col min="6658" max="6658" width="31.44140625" style="4727" customWidth="1"/>
    <col min="6659" max="6659" width="0" style="4727" hidden="1" customWidth="1"/>
    <col min="6660" max="6660" width="12.109375" style="4727" customWidth="1"/>
    <col min="6661" max="6661" width="30.109375" style="4727" customWidth="1"/>
    <col min="6662" max="6662" width="6.44140625" style="4727" customWidth="1"/>
    <col min="6663" max="6663" width="7.109375" style="4727" customWidth="1"/>
    <col min="6664" max="6664" width="9.109375" style="4727"/>
    <col min="6665" max="6665" width="0" style="4727" hidden="1" customWidth="1"/>
    <col min="6666" max="6912" width="9.109375" style="4727"/>
    <col min="6913" max="6913" width="7.44140625" style="4727" customWidth="1"/>
    <col min="6914" max="6914" width="31.44140625" style="4727" customWidth="1"/>
    <col min="6915" max="6915" width="0" style="4727" hidden="1" customWidth="1"/>
    <col min="6916" max="6916" width="12.109375" style="4727" customWidth="1"/>
    <col min="6917" max="6917" width="30.109375" style="4727" customWidth="1"/>
    <col min="6918" max="6918" width="6.44140625" style="4727" customWidth="1"/>
    <col min="6919" max="6919" width="7.109375" style="4727" customWidth="1"/>
    <col min="6920" max="6920" width="9.109375" style="4727"/>
    <col min="6921" max="6921" width="0" style="4727" hidden="1" customWidth="1"/>
    <col min="6922" max="7168" width="9.109375" style="4727"/>
    <col min="7169" max="7169" width="7.44140625" style="4727" customWidth="1"/>
    <col min="7170" max="7170" width="31.44140625" style="4727" customWidth="1"/>
    <col min="7171" max="7171" width="0" style="4727" hidden="1" customWidth="1"/>
    <col min="7172" max="7172" width="12.109375" style="4727" customWidth="1"/>
    <col min="7173" max="7173" width="30.109375" style="4727" customWidth="1"/>
    <col min="7174" max="7174" width="6.44140625" style="4727" customWidth="1"/>
    <col min="7175" max="7175" width="7.109375" style="4727" customWidth="1"/>
    <col min="7176" max="7176" width="9.109375" style="4727"/>
    <col min="7177" max="7177" width="0" style="4727" hidden="1" customWidth="1"/>
    <col min="7178" max="7424" width="9.109375" style="4727"/>
    <col min="7425" max="7425" width="7.44140625" style="4727" customWidth="1"/>
    <col min="7426" max="7426" width="31.44140625" style="4727" customWidth="1"/>
    <col min="7427" max="7427" width="0" style="4727" hidden="1" customWidth="1"/>
    <col min="7428" max="7428" width="12.109375" style="4727" customWidth="1"/>
    <col min="7429" max="7429" width="30.109375" style="4727" customWidth="1"/>
    <col min="7430" max="7430" width="6.44140625" style="4727" customWidth="1"/>
    <col min="7431" max="7431" width="7.109375" style="4727" customWidth="1"/>
    <col min="7432" max="7432" width="9.109375" style="4727"/>
    <col min="7433" max="7433" width="0" style="4727" hidden="1" customWidth="1"/>
    <col min="7434" max="7680" width="9.109375" style="4727"/>
    <col min="7681" max="7681" width="7.44140625" style="4727" customWidth="1"/>
    <col min="7682" max="7682" width="31.44140625" style="4727" customWidth="1"/>
    <col min="7683" max="7683" width="0" style="4727" hidden="1" customWidth="1"/>
    <col min="7684" max="7684" width="12.109375" style="4727" customWidth="1"/>
    <col min="7685" max="7685" width="30.109375" style="4727" customWidth="1"/>
    <col min="7686" max="7686" width="6.44140625" style="4727" customWidth="1"/>
    <col min="7687" max="7687" width="7.109375" style="4727" customWidth="1"/>
    <col min="7688" max="7688" width="9.109375" style="4727"/>
    <col min="7689" max="7689" width="0" style="4727" hidden="1" customWidth="1"/>
    <col min="7690" max="7936" width="9.109375" style="4727"/>
    <col min="7937" max="7937" width="7.44140625" style="4727" customWidth="1"/>
    <col min="7938" max="7938" width="31.44140625" style="4727" customWidth="1"/>
    <col min="7939" max="7939" width="0" style="4727" hidden="1" customWidth="1"/>
    <col min="7940" max="7940" width="12.109375" style="4727" customWidth="1"/>
    <col min="7941" max="7941" width="30.109375" style="4727" customWidth="1"/>
    <col min="7942" max="7942" width="6.44140625" style="4727" customWidth="1"/>
    <col min="7943" max="7943" width="7.109375" style="4727" customWidth="1"/>
    <col min="7944" max="7944" width="9.109375" style="4727"/>
    <col min="7945" max="7945" width="0" style="4727" hidden="1" customWidth="1"/>
    <col min="7946" max="8192" width="9.109375" style="4727"/>
    <col min="8193" max="8193" width="7.44140625" style="4727" customWidth="1"/>
    <col min="8194" max="8194" width="31.44140625" style="4727" customWidth="1"/>
    <col min="8195" max="8195" width="0" style="4727" hidden="1" customWidth="1"/>
    <col min="8196" max="8196" width="12.109375" style="4727" customWidth="1"/>
    <col min="8197" max="8197" width="30.109375" style="4727" customWidth="1"/>
    <col min="8198" max="8198" width="6.44140625" style="4727" customWidth="1"/>
    <col min="8199" max="8199" width="7.109375" style="4727" customWidth="1"/>
    <col min="8200" max="8200" width="9.109375" style="4727"/>
    <col min="8201" max="8201" width="0" style="4727" hidden="1" customWidth="1"/>
    <col min="8202" max="8448" width="9.109375" style="4727"/>
    <col min="8449" max="8449" width="7.44140625" style="4727" customWidth="1"/>
    <col min="8450" max="8450" width="31.44140625" style="4727" customWidth="1"/>
    <col min="8451" max="8451" width="0" style="4727" hidden="1" customWidth="1"/>
    <col min="8452" max="8452" width="12.109375" style="4727" customWidth="1"/>
    <col min="8453" max="8453" width="30.109375" style="4727" customWidth="1"/>
    <col min="8454" max="8454" width="6.44140625" style="4727" customWidth="1"/>
    <col min="8455" max="8455" width="7.109375" style="4727" customWidth="1"/>
    <col min="8456" max="8456" width="9.109375" style="4727"/>
    <col min="8457" max="8457" width="0" style="4727" hidden="1" customWidth="1"/>
    <col min="8458" max="8704" width="9.109375" style="4727"/>
    <col min="8705" max="8705" width="7.44140625" style="4727" customWidth="1"/>
    <col min="8706" max="8706" width="31.44140625" style="4727" customWidth="1"/>
    <col min="8707" max="8707" width="0" style="4727" hidden="1" customWidth="1"/>
    <col min="8708" max="8708" width="12.109375" style="4727" customWidth="1"/>
    <col min="8709" max="8709" width="30.109375" style="4727" customWidth="1"/>
    <col min="8710" max="8710" width="6.44140625" style="4727" customWidth="1"/>
    <col min="8711" max="8711" width="7.109375" style="4727" customWidth="1"/>
    <col min="8712" max="8712" width="9.109375" style="4727"/>
    <col min="8713" max="8713" width="0" style="4727" hidden="1" customWidth="1"/>
    <col min="8714" max="8960" width="9.109375" style="4727"/>
    <col min="8961" max="8961" width="7.44140625" style="4727" customWidth="1"/>
    <col min="8962" max="8962" width="31.44140625" style="4727" customWidth="1"/>
    <col min="8963" max="8963" width="0" style="4727" hidden="1" customWidth="1"/>
    <col min="8964" max="8964" width="12.109375" style="4727" customWidth="1"/>
    <col min="8965" max="8965" width="30.109375" style="4727" customWidth="1"/>
    <col min="8966" max="8966" width="6.44140625" style="4727" customWidth="1"/>
    <col min="8967" max="8967" width="7.109375" style="4727" customWidth="1"/>
    <col min="8968" max="8968" width="9.109375" style="4727"/>
    <col min="8969" max="8969" width="0" style="4727" hidden="1" customWidth="1"/>
    <col min="8970" max="9216" width="9.109375" style="4727"/>
    <col min="9217" max="9217" width="7.44140625" style="4727" customWidth="1"/>
    <col min="9218" max="9218" width="31.44140625" style="4727" customWidth="1"/>
    <col min="9219" max="9219" width="0" style="4727" hidden="1" customWidth="1"/>
    <col min="9220" max="9220" width="12.109375" style="4727" customWidth="1"/>
    <col min="9221" max="9221" width="30.109375" style="4727" customWidth="1"/>
    <col min="9222" max="9222" width="6.44140625" style="4727" customWidth="1"/>
    <col min="9223" max="9223" width="7.109375" style="4727" customWidth="1"/>
    <col min="9224" max="9224" width="9.109375" style="4727"/>
    <col min="9225" max="9225" width="0" style="4727" hidden="1" customWidth="1"/>
    <col min="9226" max="9472" width="9.109375" style="4727"/>
    <col min="9473" max="9473" width="7.44140625" style="4727" customWidth="1"/>
    <col min="9474" max="9474" width="31.44140625" style="4727" customWidth="1"/>
    <col min="9475" max="9475" width="0" style="4727" hidden="1" customWidth="1"/>
    <col min="9476" max="9476" width="12.109375" style="4727" customWidth="1"/>
    <col min="9477" max="9477" width="30.109375" style="4727" customWidth="1"/>
    <col min="9478" max="9478" width="6.44140625" style="4727" customWidth="1"/>
    <col min="9479" max="9479" width="7.109375" style="4727" customWidth="1"/>
    <col min="9480" max="9480" width="9.109375" style="4727"/>
    <col min="9481" max="9481" width="0" style="4727" hidden="1" customWidth="1"/>
    <col min="9482" max="9728" width="9.109375" style="4727"/>
    <col min="9729" max="9729" width="7.44140625" style="4727" customWidth="1"/>
    <col min="9730" max="9730" width="31.44140625" style="4727" customWidth="1"/>
    <col min="9731" max="9731" width="0" style="4727" hidden="1" customWidth="1"/>
    <col min="9732" max="9732" width="12.109375" style="4727" customWidth="1"/>
    <col min="9733" max="9733" width="30.109375" style="4727" customWidth="1"/>
    <col min="9734" max="9734" width="6.44140625" style="4727" customWidth="1"/>
    <col min="9735" max="9735" width="7.109375" style="4727" customWidth="1"/>
    <col min="9736" max="9736" width="9.109375" style="4727"/>
    <col min="9737" max="9737" width="0" style="4727" hidden="1" customWidth="1"/>
    <col min="9738" max="9984" width="9.109375" style="4727"/>
    <col min="9985" max="9985" width="7.44140625" style="4727" customWidth="1"/>
    <col min="9986" max="9986" width="31.44140625" style="4727" customWidth="1"/>
    <col min="9987" max="9987" width="0" style="4727" hidden="1" customWidth="1"/>
    <col min="9988" max="9988" width="12.109375" style="4727" customWidth="1"/>
    <col min="9989" max="9989" width="30.109375" style="4727" customWidth="1"/>
    <col min="9990" max="9990" width="6.44140625" style="4727" customWidth="1"/>
    <col min="9991" max="9991" width="7.109375" style="4727" customWidth="1"/>
    <col min="9992" max="9992" width="9.109375" style="4727"/>
    <col min="9993" max="9993" width="0" style="4727" hidden="1" customWidth="1"/>
    <col min="9994" max="10240" width="9.109375" style="4727"/>
    <col min="10241" max="10241" width="7.44140625" style="4727" customWidth="1"/>
    <col min="10242" max="10242" width="31.44140625" style="4727" customWidth="1"/>
    <col min="10243" max="10243" width="0" style="4727" hidden="1" customWidth="1"/>
    <col min="10244" max="10244" width="12.109375" style="4727" customWidth="1"/>
    <col min="10245" max="10245" width="30.109375" style="4727" customWidth="1"/>
    <col min="10246" max="10246" width="6.44140625" style="4727" customWidth="1"/>
    <col min="10247" max="10247" width="7.109375" style="4727" customWidth="1"/>
    <col min="10248" max="10248" width="9.109375" style="4727"/>
    <col min="10249" max="10249" width="0" style="4727" hidden="1" customWidth="1"/>
    <col min="10250" max="10496" width="9.109375" style="4727"/>
    <col min="10497" max="10497" width="7.44140625" style="4727" customWidth="1"/>
    <col min="10498" max="10498" width="31.44140625" style="4727" customWidth="1"/>
    <col min="10499" max="10499" width="0" style="4727" hidden="1" customWidth="1"/>
    <col min="10500" max="10500" width="12.109375" style="4727" customWidth="1"/>
    <col min="10501" max="10501" width="30.109375" style="4727" customWidth="1"/>
    <col min="10502" max="10502" width="6.44140625" style="4727" customWidth="1"/>
    <col min="10503" max="10503" width="7.109375" style="4727" customWidth="1"/>
    <col min="10504" max="10504" width="9.109375" style="4727"/>
    <col min="10505" max="10505" width="0" style="4727" hidden="1" customWidth="1"/>
    <col min="10506" max="10752" width="9.109375" style="4727"/>
    <col min="10753" max="10753" width="7.44140625" style="4727" customWidth="1"/>
    <col min="10754" max="10754" width="31.44140625" style="4727" customWidth="1"/>
    <col min="10755" max="10755" width="0" style="4727" hidden="1" customWidth="1"/>
    <col min="10756" max="10756" width="12.109375" style="4727" customWidth="1"/>
    <col min="10757" max="10757" width="30.109375" style="4727" customWidth="1"/>
    <col min="10758" max="10758" width="6.44140625" style="4727" customWidth="1"/>
    <col min="10759" max="10759" width="7.109375" style="4727" customWidth="1"/>
    <col min="10760" max="10760" width="9.109375" style="4727"/>
    <col min="10761" max="10761" width="0" style="4727" hidden="1" customWidth="1"/>
    <col min="10762" max="11008" width="9.109375" style="4727"/>
    <col min="11009" max="11009" width="7.44140625" style="4727" customWidth="1"/>
    <col min="11010" max="11010" width="31.44140625" style="4727" customWidth="1"/>
    <col min="11011" max="11011" width="0" style="4727" hidden="1" customWidth="1"/>
    <col min="11012" max="11012" width="12.109375" style="4727" customWidth="1"/>
    <col min="11013" max="11013" width="30.109375" style="4727" customWidth="1"/>
    <col min="11014" max="11014" width="6.44140625" style="4727" customWidth="1"/>
    <col min="11015" max="11015" width="7.109375" style="4727" customWidth="1"/>
    <col min="11016" max="11016" width="9.109375" style="4727"/>
    <col min="11017" max="11017" width="0" style="4727" hidden="1" customWidth="1"/>
    <col min="11018" max="11264" width="9.109375" style="4727"/>
    <col min="11265" max="11265" width="7.44140625" style="4727" customWidth="1"/>
    <col min="11266" max="11266" width="31.44140625" style="4727" customWidth="1"/>
    <col min="11267" max="11267" width="0" style="4727" hidden="1" customWidth="1"/>
    <col min="11268" max="11268" width="12.109375" style="4727" customWidth="1"/>
    <col min="11269" max="11269" width="30.109375" style="4727" customWidth="1"/>
    <col min="11270" max="11270" width="6.44140625" style="4727" customWidth="1"/>
    <col min="11271" max="11271" width="7.109375" style="4727" customWidth="1"/>
    <col min="11272" max="11272" width="9.109375" style="4727"/>
    <col min="11273" max="11273" width="0" style="4727" hidden="1" customWidth="1"/>
    <col min="11274" max="11520" width="9.109375" style="4727"/>
    <col min="11521" max="11521" width="7.44140625" style="4727" customWidth="1"/>
    <col min="11522" max="11522" width="31.44140625" style="4727" customWidth="1"/>
    <col min="11523" max="11523" width="0" style="4727" hidden="1" customWidth="1"/>
    <col min="11524" max="11524" width="12.109375" style="4727" customWidth="1"/>
    <col min="11525" max="11525" width="30.109375" style="4727" customWidth="1"/>
    <col min="11526" max="11526" width="6.44140625" style="4727" customWidth="1"/>
    <col min="11527" max="11527" width="7.109375" style="4727" customWidth="1"/>
    <col min="11528" max="11528" width="9.109375" style="4727"/>
    <col min="11529" max="11529" width="0" style="4727" hidden="1" customWidth="1"/>
    <col min="11530" max="11776" width="9.109375" style="4727"/>
    <col min="11777" max="11777" width="7.44140625" style="4727" customWidth="1"/>
    <col min="11778" max="11778" width="31.44140625" style="4727" customWidth="1"/>
    <col min="11779" max="11779" width="0" style="4727" hidden="1" customWidth="1"/>
    <col min="11780" max="11780" width="12.109375" style="4727" customWidth="1"/>
    <col min="11781" max="11781" width="30.109375" style="4727" customWidth="1"/>
    <col min="11782" max="11782" width="6.44140625" style="4727" customWidth="1"/>
    <col min="11783" max="11783" width="7.109375" style="4727" customWidth="1"/>
    <col min="11784" max="11784" width="9.109375" style="4727"/>
    <col min="11785" max="11785" width="0" style="4727" hidden="1" customWidth="1"/>
    <col min="11786" max="12032" width="9.109375" style="4727"/>
    <col min="12033" max="12033" width="7.44140625" style="4727" customWidth="1"/>
    <col min="12034" max="12034" width="31.44140625" style="4727" customWidth="1"/>
    <col min="12035" max="12035" width="0" style="4727" hidden="1" customWidth="1"/>
    <col min="12036" max="12036" width="12.109375" style="4727" customWidth="1"/>
    <col min="12037" max="12037" width="30.109375" style="4727" customWidth="1"/>
    <col min="12038" max="12038" width="6.44140625" style="4727" customWidth="1"/>
    <col min="12039" max="12039" width="7.109375" style="4727" customWidth="1"/>
    <col min="12040" max="12040" width="9.109375" style="4727"/>
    <col min="12041" max="12041" width="0" style="4727" hidden="1" customWidth="1"/>
    <col min="12042" max="12288" width="9.109375" style="4727"/>
    <col min="12289" max="12289" width="7.44140625" style="4727" customWidth="1"/>
    <col min="12290" max="12290" width="31.44140625" style="4727" customWidth="1"/>
    <col min="12291" max="12291" width="0" style="4727" hidden="1" customWidth="1"/>
    <col min="12292" max="12292" width="12.109375" style="4727" customWidth="1"/>
    <col min="12293" max="12293" width="30.109375" style="4727" customWidth="1"/>
    <col min="12294" max="12294" width="6.44140625" style="4727" customWidth="1"/>
    <col min="12295" max="12295" width="7.109375" style="4727" customWidth="1"/>
    <col min="12296" max="12296" width="9.109375" style="4727"/>
    <col min="12297" max="12297" width="0" style="4727" hidden="1" customWidth="1"/>
    <col min="12298" max="12544" width="9.109375" style="4727"/>
    <col min="12545" max="12545" width="7.44140625" style="4727" customWidth="1"/>
    <col min="12546" max="12546" width="31.44140625" style="4727" customWidth="1"/>
    <col min="12547" max="12547" width="0" style="4727" hidden="1" customWidth="1"/>
    <col min="12548" max="12548" width="12.109375" style="4727" customWidth="1"/>
    <col min="12549" max="12549" width="30.109375" style="4727" customWidth="1"/>
    <col min="12550" max="12550" width="6.44140625" style="4727" customWidth="1"/>
    <col min="12551" max="12551" width="7.109375" style="4727" customWidth="1"/>
    <col min="12552" max="12552" width="9.109375" style="4727"/>
    <col min="12553" max="12553" width="0" style="4727" hidden="1" customWidth="1"/>
    <col min="12554" max="12800" width="9.109375" style="4727"/>
    <col min="12801" max="12801" width="7.44140625" style="4727" customWidth="1"/>
    <col min="12802" max="12802" width="31.44140625" style="4727" customWidth="1"/>
    <col min="12803" max="12803" width="0" style="4727" hidden="1" customWidth="1"/>
    <col min="12804" max="12804" width="12.109375" style="4727" customWidth="1"/>
    <col min="12805" max="12805" width="30.109375" style="4727" customWidth="1"/>
    <col min="12806" max="12806" width="6.44140625" style="4727" customWidth="1"/>
    <col min="12807" max="12807" width="7.109375" style="4727" customWidth="1"/>
    <col min="12808" max="12808" width="9.109375" style="4727"/>
    <col min="12809" max="12809" width="0" style="4727" hidden="1" customWidth="1"/>
    <col min="12810" max="13056" width="9.109375" style="4727"/>
    <col min="13057" max="13057" width="7.44140625" style="4727" customWidth="1"/>
    <col min="13058" max="13058" width="31.44140625" style="4727" customWidth="1"/>
    <col min="13059" max="13059" width="0" style="4727" hidden="1" customWidth="1"/>
    <col min="13060" max="13060" width="12.109375" style="4727" customWidth="1"/>
    <col min="13061" max="13061" width="30.109375" style="4727" customWidth="1"/>
    <col min="13062" max="13062" width="6.44140625" style="4727" customWidth="1"/>
    <col min="13063" max="13063" width="7.109375" style="4727" customWidth="1"/>
    <col min="13064" max="13064" width="9.109375" style="4727"/>
    <col min="13065" max="13065" width="0" style="4727" hidden="1" customWidth="1"/>
    <col min="13066" max="13312" width="9.109375" style="4727"/>
    <col min="13313" max="13313" width="7.44140625" style="4727" customWidth="1"/>
    <col min="13314" max="13314" width="31.44140625" style="4727" customWidth="1"/>
    <col min="13315" max="13315" width="0" style="4727" hidden="1" customWidth="1"/>
    <col min="13316" max="13316" width="12.109375" style="4727" customWidth="1"/>
    <col min="13317" max="13317" width="30.109375" style="4727" customWidth="1"/>
    <col min="13318" max="13318" width="6.44140625" style="4727" customWidth="1"/>
    <col min="13319" max="13319" width="7.109375" style="4727" customWidth="1"/>
    <col min="13320" max="13320" width="9.109375" style="4727"/>
    <col min="13321" max="13321" width="0" style="4727" hidden="1" customWidth="1"/>
    <col min="13322" max="13568" width="9.109375" style="4727"/>
    <col min="13569" max="13569" width="7.44140625" style="4727" customWidth="1"/>
    <col min="13570" max="13570" width="31.44140625" style="4727" customWidth="1"/>
    <col min="13571" max="13571" width="0" style="4727" hidden="1" customWidth="1"/>
    <col min="13572" max="13572" width="12.109375" style="4727" customWidth="1"/>
    <col min="13573" max="13573" width="30.109375" style="4727" customWidth="1"/>
    <col min="13574" max="13574" width="6.44140625" style="4727" customWidth="1"/>
    <col min="13575" max="13575" width="7.109375" style="4727" customWidth="1"/>
    <col min="13576" max="13576" width="9.109375" style="4727"/>
    <col min="13577" max="13577" width="0" style="4727" hidden="1" customWidth="1"/>
    <col min="13578" max="13824" width="9.109375" style="4727"/>
    <col min="13825" max="13825" width="7.44140625" style="4727" customWidth="1"/>
    <col min="13826" max="13826" width="31.44140625" style="4727" customWidth="1"/>
    <col min="13827" max="13827" width="0" style="4727" hidden="1" customWidth="1"/>
    <col min="13828" max="13828" width="12.109375" style="4727" customWidth="1"/>
    <col min="13829" max="13829" width="30.109375" style="4727" customWidth="1"/>
    <col min="13830" max="13830" width="6.44140625" style="4727" customWidth="1"/>
    <col min="13831" max="13831" width="7.109375" style="4727" customWidth="1"/>
    <col min="13832" max="13832" width="9.109375" style="4727"/>
    <col min="13833" max="13833" width="0" style="4727" hidden="1" customWidth="1"/>
    <col min="13834" max="14080" width="9.109375" style="4727"/>
    <col min="14081" max="14081" width="7.44140625" style="4727" customWidth="1"/>
    <col min="14082" max="14082" width="31.44140625" style="4727" customWidth="1"/>
    <col min="14083" max="14083" width="0" style="4727" hidden="1" customWidth="1"/>
    <col min="14084" max="14084" width="12.109375" style="4727" customWidth="1"/>
    <col min="14085" max="14085" width="30.109375" style="4727" customWidth="1"/>
    <col min="14086" max="14086" width="6.44140625" style="4727" customWidth="1"/>
    <col min="14087" max="14087" width="7.109375" style="4727" customWidth="1"/>
    <col min="14088" max="14088" width="9.109375" style="4727"/>
    <col min="14089" max="14089" width="0" style="4727" hidden="1" customWidth="1"/>
    <col min="14090" max="14336" width="9.109375" style="4727"/>
    <col min="14337" max="14337" width="7.44140625" style="4727" customWidth="1"/>
    <col min="14338" max="14338" width="31.44140625" style="4727" customWidth="1"/>
    <col min="14339" max="14339" width="0" style="4727" hidden="1" customWidth="1"/>
    <col min="14340" max="14340" width="12.109375" style="4727" customWidth="1"/>
    <col min="14341" max="14341" width="30.109375" style="4727" customWidth="1"/>
    <col min="14342" max="14342" width="6.44140625" style="4727" customWidth="1"/>
    <col min="14343" max="14343" width="7.109375" style="4727" customWidth="1"/>
    <col min="14344" max="14344" width="9.109375" style="4727"/>
    <col min="14345" max="14345" width="0" style="4727" hidden="1" customWidth="1"/>
    <col min="14346" max="14592" width="9.109375" style="4727"/>
    <col min="14593" max="14593" width="7.44140625" style="4727" customWidth="1"/>
    <col min="14594" max="14594" width="31.44140625" style="4727" customWidth="1"/>
    <col min="14595" max="14595" width="0" style="4727" hidden="1" customWidth="1"/>
    <col min="14596" max="14596" width="12.109375" style="4727" customWidth="1"/>
    <col min="14597" max="14597" width="30.109375" style="4727" customWidth="1"/>
    <col min="14598" max="14598" width="6.44140625" style="4727" customWidth="1"/>
    <col min="14599" max="14599" width="7.109375" style="4727" customWidth="1"/>
    <col min="14600" max="14600" width="9.109375" style="4727"/>
    <col min="14601" max="14601" width="0" style="4727" hidden="1" customWidth="1"/>
    <col min="14602" max="14848" width="9.109375" style="4727"/>
    <col min="14849" max="14849" width="7.44140625" style="4727" customWidth="1"/>
    <col min="14850" max="14850" width="31.44140625" style="4727" customWidth="1"/>
    <col min="14851" max="14851" width="0" style="4727" hidden="1" customWidth="1"/>
    <col min="14852" max="14852" width="12.109375" style="4727" customWidth="1"/>
    <col min="14853" max="14853" width="30.109375" style="4727" customWidth="1"/>
    <col min="14854" max="14854" width="6.44140625" style="4727" customWidth="1"/>
    <col min="14855" max="14855" width="7.109375" style="4727" customWidth="1"/>
    <col min="14856" max="14856" width="9.109375" style="4727"/>
    <col min="14857" max="14857" width="0" style="4727" hidden="1" customWidth="1"/>
    <col min="14858" max="15104" width="9.109375" style="4727"/>
    <col min="15105" max="15105" width="7.44140625" style="4727" customWidth="1"/>
    <col min="15106" max="15106" width="31.44140625" style="4727" customWidth="1"/>
    <col min="15107" max="15107" width="0" style="4727" hidden="1" customWidth="1"/>
    <col min="15108" max="15108" width="12.109375" style="4727" customWidth="1"/>
    <col min="15109" max="15109" width="30.109375" style="4727" customWidth="1"/>
    <col min="15110" max="15110" width="6.44140625" style="4727" customWidth="1"/>
    <col min="15111" max="15111" width="7.109375" style="4727" customWidth="1"/>
    <col min="15112" max="15112" width="9.109375" style="4727"/>
    <col min="15113" max="15113" width="0" style="4727" hidden="1" customWidth="1"/>
    <col min="15114" max="15360" width="9.109375" style="4727"/>
    <col min="15361" max="15361" width="7.44140625" style="4727" customWidth="1"/>
    <col min="15362" max="15362" width="31.44140625" style="4727" customWidth="1"/>
    <col min="15363" max="15363" width="0" style="4727" hidden="1" customWidth="1"/>
    <col min="15364" max="15364" width="12.109375" style="4727" customWidth="1"/>
    <col min="15365" max="15365" width="30.109375" style="4727" customWidth="1"/>
    <col min="15366" max="15366" width="6.44140625" style="4727" customWidth="1"/>
    <col min="15367" max="15367" width="7.109375" style="4727" customWidth="1"/>
    <col min="15368" max="15368" width="9.109375" style="4727"/>
    <col min="15369" max="15369" width="0" style="4727" hidden="1" customWidth="1"/>
    <col min="15370" max="15616" width="9.109375" style="4727"/>
    <col min="15617" max="15617" width="7.44140625" style="4727" customWidth="1"/>
    <col min="15618" max="15618" width="31.44140625" style="4727" customWidth="1"/>
    <col min="15619" max="15619" width="0" style="4727" hidden="1" customWidth="1"/>
    <col min="15620" max="15620" width="12.109375" style="4727" customWidth="1"/>
    <col min="15621" max="15621" width="30.109375" style="4727" customWidth="1"/>
    <col min="15622" max="15622" width="6.44140625" style="4727" customWidth="1"/>
    <col min="15623" max="15623" width="7.109375" style="4727" customWidth="1"/>
    <col min="15624" max="15624" width="9.109375" style="4727"/>
    <col min="15625" max="15625" width="0" style="4727" hidden="1" customWidth="1"/>
    <col min="15626" max="15872" width="9.109375" style="4727"/>
    <col min="15873" max="15873" width="7.44140625" style="4727" customWidth="1"/>
    <col min="15874" max="15874" width="31.44140625" style="4727" customWidth="1"/>
    <col min="15875" max="15875" width="0" style="4727" hidden="1" customWidth="1"/>
    <col min="15876" max="15876" width="12.109375" style="4727" customWidth="1"/>
    <col min="15877" max="15877" width="30.109375" style="4727" customWidth="1"/>
    <col min="15878" max="15878" width="6.44140625" style="4727" customWidth="1"/>
    <col min="15879" max="15879" width="7.109375" style="4727" customWidth="1"/>
    <col min="15880" max="15880" width="9.109375" style="4727"/>
    <col min="15881" max="15881" width="0" style="4727" hidden="1" customWidth="1"/>
    <col min="15882" max="16128" width="9.109375" style="4727"/>
    <col min="16129" max="16129" width="7.44140625" style="4727" customWidth="1"/>
    <col min="16130" max="16130" width="31.44140625" style="4727" customWidth="1"/>
    <col min="16131" max="16131" width="0" style="4727" hidden="1" customWidth="1"/>
    <col min="16132" max="16132" width="12.109375" style="4727" customWidth="1"/>
    <col min="16133" max="16133" width="30.109375" style="4727" customWidth="1"/>
    <col min="16134" max="16134" width="6.44140625" style="4727" customWidth="1"/>
    <col min="16135" max="16135" width="7.109375" style="4727" customWidth="1"/>
    <col min="16136" max="16136" width="9.109375" style="4727"/>
    <col min="16137" max="16137" width="0" style="4727" hidden="1" customWidth="1"/>
    <col min="16138" max="16384" width="9.109375" style="4727"/>
  </cols>
  <sheetData>
    <row r="1" spans="1:8" s="5080" customFormat="1" ht="15.6">
      <c r="A1" s="15349" t="s">
        <v>2138</v>
      </c>
      <c r="B1" s="15349"/>
      <c r="C1" s="15349"/>
      <c r="D1" s="15349"/>
      <c r="E1" s="15349"/>
      <c r="F1" s="15349"/>
      <c r="G1" s="15349"/>
      <c r="H1" s="15349"/>
    </row>
    <row r="2" spans="1:8" s="5080" customFormat="1" ht="15"/>
    <row r="3" spans="1:8" s="5080" customFormat="1" ht="15.6">
      <c r="A3" s="5080" t="s">
        <v>9928</v>
      </c>
      <c r="B3" s="5081"/>
    </row>
    <row r="4" spans="1:8" s="5080" customFormat="1" ht="15.6">
      <c r="A4" s="5080" t="s">
        <v>9929</v>
      </c>
    </row>
    <row r="6" spans="1:8" s="5080" customFormat="1" ht="15.6">
      <c r="A6" s="5081" t="s">
        <v>5140</v>
      </c>
      <c r="B6" s="5081"/>
    </row>
    <row r="7" spans="1:8" s="5080" customFormat="1" ht="3" customHeight="1"/>
    <row r="8" spans="1:8" s="5080" customFormat="1" ht="15">
      <c r="B8" s="5080" t="s">
        <v>2407</v>
      </c>
    </row>
    <row r="9" spans="1:8" s="5080" customFormat="1" ht="4.5" customHeight="1"/>
    <row r="10" spans="1:8" s="5080" customFormat="1" ht="15.6">
      <c r="A10" s="5081" t="s">
        <v>5141</v>
      </c>
    </row>
    <row r="11" spans="1:8" s="5080" customFormat="1" ht="3.75" customHeight="1"/>
    <row r="12" spans="1:8" s="5080" customFormat="1" ht="15">
      <c r="B12" s="5080" t="s">
        <v>2408</v>
      </c>
    </row>
    <row r="13" spans="1:8" s="5080" customFormat="1" ht="15">
      <c r="B13" s="5080" t="s">
        <v>2409</v>
      </c>
    </row>
    <row r="14" spans="1:8" s="5080" customFormat="1" ht="29.25" customHeight="1">
      <c r="B14" s="15356" t="s">
        <v>2410</v>
      </c>
      <c r="C14" s="15356"/>
      <c r="D14" s="15356"/>
      <c r="E14" s="15356"/>
      <c r="F14" s="15356"/>
      <c r="G14" s="15356"/>
      <c r="H14" s="15356"/>
    </row>
    <row r="15" spans="1:8" s="5080" customFormat="1" ht="15">
      <c r="B15" s="5080" t="s">
        <v>2411</v>
      </c>
    </row>
    <row r="16" spans="1:8" s="5080" customFormat="1" ht="15">
      <c r="B16" s="5080" t="s">
        <v>2412</v>
      </c>
    </row>
    <row r="17" spans="1:9" s="5080" customFormat="1" ht="32.25" customHeight="1">
      <c r="B17" s="15356" t="s">
        <v>2413</v>
      </c>
      <c r="C17" s="15356"/>
      <c r="D17" s="15356"/>
      <c r="E17" s="15356"/>
      <c r="F17" s="15356"/>
      <c r="G17" s="15356"/>
      <c r="H17" s="15356"/>
    </row>
    <row r="18" spans="1:9" ht="9" customHeight="1"/>
    <row r="19" spans="1:9" s="5080" customFormat="1" ht="15.6">
      <c r="A19" s="5081" t="s">
        <v>5142</v>
      </c>
      <c r="B19" s="5081"/>
    </row>
    <row r="20" spans="1:9" ht="6" customHeight="1"/>
    <row r="21" spans="1:9" s="4731" customFormat="1" ht="25.5" customHeight="1">
      <c r="A21" s="4728" t="s">
        <v>94</v>
      </c>
      <c r="B21" s="4729" t="s">
        <v>2414</v>
      </c>
      <c r="C21" s="4728"/>
      <c r="D21" s="4729"/>
      <c r="E21" s="4728"/>
      <c r="F21" s="4730"/>
      <c r="G21" s="15350" t="s">
        <v>1739</v>
      </c>
      <c r="H21" s="15351"/>
    </row>
    <row r="22" spans="1:9" s="4731" customFormat="1">
      <c r="A22" s="4732" t="s">
        <v>9238</v>
      </c>
      <c r="B22" s="4733" t="s">
        <v>2415</v>
      </c>
      <c r="C22" s="4732" t="s">
        <v>1736</v>
      </c>
      <c r="D22" s="4732" t="s">
        <v>1736</v>
      </c>
      <c r="E22" s="4734" t="s">
        <v>1760</v>
      </c>
      <c r="F22" s="4732" t="s">
        <v>1764</v>
      </c>
      <c r="G22" s="15352" t="s">
        <v>2569</v>
      </c>
      <c r="H22" s="15353"/>
    </row>
    <row r="23" spans="1:9" s="4731" customFormat="1">
      <c r="A23" s="4735" t="s">
        <v>2090</v>
      </c>
      <c r="B23" s="4736" t="s">
        <v>2091</v>
      </c>
      <c r="C23" s="4735" t="s">
        <v>2092</v>
      </c>
      <c r="D23" s="4735" t="s">
        <v>2092</v>
      </c>
      <c r="E23" s="4737" t="s">
        <v>2094</v>
      </c>
      <c r="F23" s="4732" t="s">
        <v>2416</v>
      </c>
      <c r="G23" s="4738" t="s">
        <v>1789</v>
      </c>
      <c r="H23" s="4735" t="s">
        <v>1790</v>
      </c>
    </row>
    <row r="24" spans="1:9" ht="15" customHeight="1">
      <c r="A24" s="1954"/>
      <c r="B24" s="4739" t="s">
        <v>3618</v>
      </c>
      <c r="C24" s="4740"/>
      <c r="D24" s="4741"/>
      <c r="E24" s="1953"/>
      <c r="F24" s="1958"/>
      <c r="G24" s="5078" t="s">
        <v>1766</v>
      </c>
      <c r="H24" s="5079" t="s">
        <v>1767</v>
      </c>
      <c r="I24" s="4727">
        <f>C24/C165</f>
        <v>0</v>
      </c>
    </row>
    <row r="25" spans="1:9" ht="15" customHeight="1">
      <c r="A25" s="1954"/>
      <c r="B25" s="4739"/>
      <c r="C25" s="4740"/>
      <c r="D25" s="4741"/>
      <c r="E25" s="1953"/>
      <c r="F25" s="1954"/>
      <c r="G25" s="1961"/>
      <c r="H25" s="1954"/>
    </row>
    <row r="26" spans="1:9" ht="15" customHeight="1">
      <c r="A26" s="1954"/>
      <c r="B26" s="4742" t="s">
        <v>5143</v>
      </c>
      <c r="C26" s="4740">
        <v>843364</v>
      </c>
      <c r="D26" s="4741">
        <f>1078436+5000</f>
        <v>1083436</v>
      </c>
      <c r="E26" s="1953"/>
      <c r="F26" s="1954"/>
      <c r="G26" s="1961"/>
      <c r="H26" s="1954"/>
    </row>
    <row r="27" spans="1:9" ht="15" customHeight="1">
      <c r="A27" s="1954"/>
      <c r="B27" s="4742" t="s">
        <v>5144</v>
      </c>
      <c r="C27" s="4743"/>
      <c r="D27" s="4744"/>
      <c r="E27" s="1953" t="s">
        <v>2417</v>
      </c>
      <c r="F27" s="1954">
        <v>376</v>
      </c>
      <c r="G27" s="1961"/>
      <c r="H27" s="1954"/>
    </row>
    <row r="28" spans="1:9" ht="15" customHeight="1">
      <c r="A28" s="1954"/>
      <c r="B28" s="4745" t="s">
        <v>5145</v>
      </c>
      <c r="C28" s="1954"/>
      <c r="D28" s="1953"/>
      <c r="E28" s="1953" t="s">
        <v>2418</v>
      </c>
      <c r="F28" s="4746">
        <v>609</v>
      </c>
      <c r="G28" s="1961"/>
      <c r="H28" s="1954"/>
    </row>
    <row r="29" spans="1:9" ht="15" customHeight="1">
      <c r="A29" s="1954"/>
      <c r="B29" s="1954" t="s">
        <v>2419</v>
      </c>
      <c r="C29" s="1954"/>
      <c r="D29" s="1953"/>
      <c r="E29" s="1953" t="s">
        <v>2420</v>
      </c>
      <c r="F29" s="1954">
        <v>8</v>
      </c>
      <c r="G29" s="1961"/>
      <c r="H29" s="1954"/>
    </row>
    <row r="30" spans="1:9" ht="15" customHeight="1">
      <c r="A30" s="1954"/>
      <c r="B30" s="1954" t="s">
        <v>2421</v>
      </c>
      <c r="C30" s="1954"/>
      <c r="D30" s="1953"/>
      <c r="E30" s="1953" t="s">
        <v>2422</v>
      </c>
      <c r="F30" s="1954">
        <v>20</v>
      </c>
      <c r="G30" s="1961"/>
      <c r="H30" s="1954"/>
    </row>
    <row r="31" spans="1:9" ht="15" customHeight="1">
      <c r="A31" s="1954"/>
      <c r="B31" s="1954" t="s">
        <v>2423</v>
      </c>
      <c r="C31" s="1954"/>
      <c r="D31" s="1953"/>
      <c r="E31" s="1953" t="s">
        <v>2424</v>
      </c>
      <c r="F31" s="1954">
        <v>24</v>
      </c>
      <c r="G31" s="1961"/>
      <c r="H31" s="1954"/>
    </row>
    <row r="32" spans="1:9" ht="15" customHeight="1">
      <c r="A32" s="1954"/>
      <c r="B32" s="1954" t="s">
        <v>2425</v>
      </c>
      <c r="C32" s="1954"/>
      <c r="D32" s="1953"/>
      <c r="E32" s="1953" t="s">
        <v>2426</v>
      </c>
      <c r="F32" s="1954"/>
      <c r="G32" s="1961"/>
      <c r="H32" s="1954"/>
    </row>
    <row r="33" spans="1:9" ht="15" customHeight="1">
      <c r="A33" s="1954"/>
      <c r="B33" s="1954" t="s">
        <v>2427</v>
      </c>
      <c r="C33" s="1954"/>
      <c r="D33" s="1953"/>
      <c r="E33" s="1953" t="s">
        <v>2428</v>
      </c>
      <c r="F33" s="1954">
        <v>10</v>
      </c>
      <c r="G33" s="1961"/>
      <c r="H33" s="1954"/>
    </row>
    <row r="34" spans="1:9" ht="15" customHeight="1">
      <c r="A34" s="1954"/>
      <c r="B34" s="1954" t="s">
        <v>2429</v>
      </c>
      <c r="C34" s="1954"/>
      <c r="D34" s="1953"/>
      <c r="E34" s="1953" t="s">
        <v>2430</v>
      </c>
      <c r="F34" s="1954">
        <v>240</v>
      </c>
      <c r="G34" s="1961"/>
      <c r="H34" s="1954"/>
    </row>
    <row r="35" spans="1:9" ht="15" customHeight="1">
      <c r="A35" s="1954"/>
      <c r="B35" s="1954" t="s">
        <v>2431</v>
      </c>
      <c r="C35" s="1954"/>
      <c r="D35" s="1953"/>
      <c r="E35" s="1953" t="s">
        <v>3619</v>
      </c>
      <c r="F35" s="1954">
        <v>5</v>
      </c>
      <c r="G35" s="1961"/>
      <c r="H35" s="1954"/>
    </row>
    <row r="36" spans="1:9" ht="15" customHeight="1">
      <c r="A36" s="1954"/>
      <c r="B36" s="1954" t="s">
        <v>2432</v>
      </c>
      <c r="C36" s="1954"/>
      <c r="D36" s="1953"/>
      <c r="E36" s="1953" t="s">
        <v>5146</v>
      </c>
      <c r="F36" s="1954">
        <v>104</v>
      </c>
      <c r="G36" s="1961"/>
      <c r="H36" s="1954"/>
    </row>
    <row r="37" spans="1:9" ht="15" customHeight="1">
      <c r="A37" s="1954"/>
      <c r="B37" s="1954" t="s">
        <v>2433</v>
      </c>
      <c r="C37" s="1954"/>
      <c r="D37" s="1953"/>
      <c r="E37" s="1953" t="s">
        <v>5147</v>
      </c>
      <c r="F37" s="1954">
        <v>376</v>
      </c>
      <c r="G37" s="1961"/>
      <c r="H37" s="1954"/>
    </row>
    <row r="38" spans="1:9" ht="15" customHeight="1">
      <c r="A38" s="1954"/>
      <c r="B38" s="1955"/>
      <c r="C38" s="1954"/>
      <c r="D38" s="1953"/>
      <c r="E38" s="1953" t="s">
        <v>5148</v>
      </c>
      <c r="F38" s="1960"/>
      <c r="G38" s="1961"/>
      <c r="H38" s="1954"/>
    </row>
    <row r="39" spans="1:9" ht="15" customHeight="1">
      <c r="A39" s="1957"/>
      <c r="B39" s="4747" t="s">
        <v>3620</v>
      </c>
      <c r="C39" s="4748"/>
      <c r="D39" s="4748"/>
      <c r="E39" s="1958"/>
      <c r="F39" s="1954"/>
      <c r="G39" s="1958"/>
      <c r="H39" s="1958"/>
      <c r="I39" s="4727">
        <f>C39/C165</f>
        <v>0</v>
      </c>
    </row>
    <row r="40" spans="1:9" ht="15" customHeight="1">
      <c r="A40" s="1953"/>
      <c r="B40" s="4742"/>
      <c r="C40" s="1963"/>
      <c r="D40" s="1963"/>
      <c r="E40" s="1954"/>
      <c r="F40" s="1954"/>
      <c r="G40" s="1954"/>
      <c r="H40" s="1954"/>
    </row>
    <row r="41" spans="1:9" ht="15" customHeight="1">
      <c r="A41" s="1953"/>
      <c r="B41" s="4749" t="s">
        <v>2434</v>
      </c>
      <c r="C41" s="1963">
        <v>289153</v>
      </c>
      <c r="D41" s="4744">
        <v>384695</v>
      </c>
      <c r="E41" s="1954" t="s">
        <v>5149</v>
      </c>
      <c r="F41" s="1954"/>
      <c r="G41" s="4763" t="s">
        <v>1766</v>
      </c>
      <c r="H41" s="4763" t="s">
        <v>1767</v>
      </c>
    </row>
    <row r="42" spans="1:9" ht="15" customHeight="1">
      <c r="A42" s="1953"/>
      <c r="B42" s="4742" t="s">
        <v>2435</v>
      </c>
      <c r="C42" s="1955"/>
      <c r="D42" s="1955"/>
      <c r="E42" s="1954" t="s">
        <v>3621</v>
      </c>
      <c r="F42" s="1954">
        <v>1</v>
      </c>
      <c r="G42" s="1954"/>
      <c r="H42" s="1954"/>
    </row>
    <row r="43" spans="1:9" ht="15" customHeight="1">
      <c r="A43" s="1953"/>
      <c r="B43" s="1954"/>
      <c r="C43" s="1955"/>
      <c r="D43" s="1955"/>
      <c r="E43" s="1954" t="s">
        <v>2437</v>
      </c>
      <c r="F43" s="1954">
        <v>10</v>
      </c>
      <c r="G43" s="1954"/>
      <c r="H43" s="1954"/>
    </row>
    <row r="44" spans="1:9" ht="15" customHeight="1">
      <c r="A44" s="1953"/>
      <c r="B44" s="1954" t="s">
        <v>2436</v>
      </c>
      <c r="C44" s="1955"/>
      <c r="D44" s="1955"/>
      <c r="E44" s="1954" t="s">
        <v>2440</v>
      </c>
      <c r="F44" s="4746">
        <v>1000</v>
      </c>
      <c r="G44" s="1954"/>
      <c r="H44" s="1954"/>
    </row>
    <row r="45" spans="1:9" ht="15" customHeight="1">
      <c r="A45" s="1953"/>
      <c r="B45" s="1954" t="s">
        <v>2438</v>
      </c>
      <c r="C45" s="1955"/>
      <c r="D45" s="1955"/>
      <c r="E45" s="1954" t="s">
        <v>5150</v>
      </c>
      <c r="F45" s="1954">
        <v>47</v>
      </c>
      <c r="G45" s="1954"/>
      <c r="H45" s="1954"/>
    </row>
    <row r="46" spans="1:9" ht="15" customHeight="1">
      <c r="A46" s="1953"/>
      <c r="B46" s="1954" t="s">
        <v>2439</v>
      </c>
      <c r="C46" s="1955"/>
      <c r="D46" s="1955"/>
      <c r="E46" s="1954" t="s">
        <v>5151</v>
      </c>
      <c r="F46" s="1954"/>
      <c r="G46" s="1954"/>
      <c r="H46" s="1954"/>
    </row>
    <row r="47" spans="1:9" ht="15" customHeight="1">
      <c r="A47" s="1953"/>
      <c r="B47" s="1954" t="s">
        <v>2441</v>
      </c>
      <c r="C47" s="1955"/>
      <c r="D47" s="1955"/>
      <c r="E47" s="1954" t="s">
        <v>2443</v>
      </c>
      <c r="F47" s="4746">
        <v>5000</v>
      </c>
      <c r="G47" s="1954"/>
      <c r="H47" s="1954"/>
    </row>
    <row r="48" spans="1:9" ht="15" customHeight="1">
      <c r="A48" s="1953"/>
      <c r="B48" s="1954" t="s">
        <v>2442</v>
      </c>
      <c r="C48" s="1955"/>
      <c r="D48" s="1955"/>
      <c r="E48" s="1954" t="s">
        <v>2444</v>
      </c>
      <c r="F48" s="4746"/>
      <c r="G48" s="1954"/>
      <c r="H48" s="1954"/>
    </row>
    <row r="49" spans="1:10" ht="15" customHeight="1">
      <c r="A49" s="1953"/>
      <c r="B49" s="1954"/>
      <c r="C49" s="1955"/>
      <c r="D49" s="1955"/>
      <c r="E49" s="1954" t="s">
        <v>2445</v>
      </c>
      <c r="F49" s="1954"/>
      <c r="G49" s="1954"/>
      <c r="H49" s="1954"/>
    </row>
    <row r="50" spans="1:10" ht="15" customHeight="1">
      <c r="A50" s="1953"/>
      <c r="B50" s="1954"/>
      <c r="C50" s="1955"/>
      <c r="D50" s="1955"/>
      <c r="E50" s="1954" t="s">
        <v>2446</v>
      </c>
      <c r="F50" s="4750" t="s">
        <v>2447</v>
      </c>
      <c r="G50" s="1954"/>
      <c r="H50" s="1954"/>
    </row>
    <row r="51" spans="1:10" ht="15" customHeight="1">
      <c r="A51" s="1953"/>
      <c r="B51" s="1954"/>
      <c r="C51" s="1955"/>
      <c r="D51" s="1955"/>
      <c r="E51" s="1954" t="s">
        <v>2448</v>
      </c>
      <c r="F51" s="1954"/>
      <c r="G51" s="1954"/>
      <c r="H51" s="1954"/>
    </row>
    <row r="52" spans="1:10" ht="15" customHeight="1">
      <c r="A52" s="1953"/>
      <c r="B52" s="1954"/>
      <c r="C52" s="1955"/>
      <c r="D52" s="1955"/>
      <c r="E52" s="1954" t="s">
        <v>2449</v>
      </c>
      <c r="F52" s="1954">
        <v>4</v>
      </c>
      <c r="G52" s="1954"/>
      <c r="H52" s="1954"/>
    </row>
    <row r="53" spans="1:10" ht="15" customHeight="1">
      <c r="A53" s="1953"/>
      <c r="B53" s="1954"/>
      <c r="C53" s="1955"/>
      <c r="D53" s="1955"/>
      <c r="E53" s="1954" t="s">
        <v>2450</v>
      </c>
      <c r="F53" s="1954">
        <v>282</v>
      </c>
      <c r="G53" s="1954"/>
      <c r="H53" s="1954"/>
    </row>
    <row r="54" spans="1:10" ht="15" customHeight="1">
      <c r="A54" s="1956"/>
      <c r="B54" s="1960"/>
      <c r="C54" s="4751"/>
      <c r="D54" s="4751"/>
      <c r="E54" s="1960" t="s">
        <v>2451</v>
      </c>
      <c r="F54" s="1960">
        <v>2</v>
      </c>
      <c r="G54" s="1960"/>
      <c r="H54" s="1960"/>
      <c r="I54" s="1955"/>
      <c r="J54" s="1955"/>
    </row>
    <row r="55" spans="1:10">
      <c r="A55" s="1955"/>
      <c r="B55" s="1955"/>
      <c r="C55" s="1955"/>
      <c r="D55" s="1955"/>
      <c r="E55" s="1955"/>
      <c r="F55" s="1955"/>
      <c r="G55" s="1955"/>
      <c r="H55" s="1955"/>
      <c r="I55" s="1955"/>
      <c r="J55" s="1955"/>
    </row>
    <row r="56" spans="1:10">
      <c r="A56" s="1955"/>
      <c r="B56" s="1955"/>
      <c r="C56" s="1955"/>
      <c r="D56" s="1955"/>
      <c r="E56" s="1955"/>
      <c r="F56" s="1955"/>
      <c r="G56" s="1955"/>
      <c r="H56" s="1955"/>
      <c r="I56" s="1955"/>
      <c r="J56" s="1955"/>
    </row>
    <row r="57" spans="1:10">
      <c r="A57" s="1955"/>
      <c r="B57" s="1955"/>
      <c r="C57" s="1955"/>
      <c r="D57" s="1955"/>
      <c r="E57" s="1955"/>
      <c r="F57" s="1955"/>
      <c r="G57" s="1955"/>
      <c r="H57" s="1955"/>
      <c r="I57" s="1955"/>
      <c r="J57" s="1955"/>
    </row>
    <row r="58" spans="1:10">
      <c r="A58" s="1955"/>
      <c r="B58" s="1955"/>
      <c r="C58" s="1955"/>
      <c r="D58" s="1955"/>
      <c r="E58" s="1955"/>
      <c r="F58" s="1955"/>
      <c r="G58" s="1955"/>
      <c r="H58" s="1955"/>
      <c r="I58" s="1955"/>
      <c r="J58" s="1955"/>
    </row>
    <row r="59" spans="1:10">
      <c r="A59" s="1955"/>
      <c r="B59" s="1955"/>
      <c r="C59" s="1955"/>
      <c r="D59" s="1955"/>
      <c r="E59" s="1955"/>
      <c r="F59" s="1955"/>
      <c r="G59" s="1955"/>
      <c r="H59" s="1955"/>
      <c r="I59" s="1955"/>
      <c r="J59" s="1955"/>
    </row>
    <row r="60" spans="1:10" s="4731" customFormat="1" ht="15" customHeight="1">
      <c r="A60" s="4728" t="s">
        <v>94</v>
      </c>
      <c r="B60" s="4729" t="s">
        <v>2414</v>
      </c>
      <c r="C60" s="4728"/>
      <c r="D60" s="4729"/>
      <c r="E60" s="4728"/>
      <c r="F60" s="4730"/>
      <c r="G60" s="15350" t="s">
        <v>1739</v>
      </c>
      <c r="H60" s="15351"/>
    </row>
    <row r="61" spans="1:10" s="4731" customFormat="1" ht="15" customHeight="1">
      <c r="A61" s="4732" t="s">
        <v>9238</v>
      </c>
      <c r="B61" s="4733" t="s">
        <v>2415</v>
      </c>
      <c r="C61" s="4732" t="s">
        <v>1736</v>
      </c>
      <c r="D61" s="4732" t="s">
        <v>1736</v>
      </c>
      <c r="E61" s="4734" t="s">
        <v>1760</v>
      </c>
      <c r="F61" s="4732" t="s">
        <v>1764</v>
      </c>
      <c r="G61" s="15352" t="s">
        <v>2569</v>
      </c>
      <c r="H61" s="15353"/>
    </row>
    <row r="62" spans="1:10" s="4731" customFormat="1" ht="15" customHeight="1">
      <c r="A62" s="4735" t="s">
        <v>2090</v>
      </c>
      <c r="B62" s="4736" t="s">
        <v>2091</v>
      </c>
      <c r="C62" s="4735" t="s">
        <v>2092</v>
      </c>
      <c r="D62" s="4735" t="s">
        <v>2092</v>
      </c>
      <c r="E62" s="4737" t="s">
        <v>2094</v>
      </c>
      <c r="F62" s="4732" t="s">
        <v>2416</v>
      </c>
      <c r="G62" s="4738" t="s">
        <v>1789</v>
      </c>
      <c r="H62" s="4735" t="s">
        <v>1790</v>
      </c>
    </row>
    <row r="63" spans="1:10" ht="15" customHeight="1">
      <c r="A63" s="1957"/>
      <c r="B63" s="4747" t="s">
        <v>3622</v>
      </c>
      <c r="C63" s="1959"/>
      <c r="D63" s="1959"/>
      <c r="E63" s="1957"/>
      <c r="F63" s="1958"/>
      <c r="G63" s="1958"/>
      <c r="H63" s="1958"/>
      <c r="I63" s="1955"/>
      <c r="J63" s="1955"/>
    </row>
    <row r="64" spans="1:10" ht="15" customHeight="1">
      <c r="A64" s="1953"/>
      <c r="B64" s="1954"/>
      <c r="C64" s="1955"/>
      <c r="D64" s="1955"/>
      <c r="E64" s="1953"/>
      <c r="F64" s="1954"/>
      <c r="G64" s="1954"/>
      <c r="H64" s="1954"/>
      <c r="I64" s="1955"/>
      <c r="J64" s="1955"/>
    </row>
    <row r="65" spans="1:10" ht="15" customHeight="1">
      <c r="A65" s="1954"/>
      <c r="B65" s="4742" t="s">
        <v>3623</v>
      </c>
      <c r="C65" s="4740">
        <v>1004507</v>
      </c>
      <c r="D65" s="4741">
        <f>1704718+5000</f>
        <v>1709718</v>
      </c>
      <c r="E65" s="1953" t="s">
        <v>2452</v>
      </c>
      <c r="F65" s="1954">
        <v>30</v>
      </c>
      <c r="G65" s="4763" t="s">
        <v>1766</v>
      </c>
      <c r="H65" s="4763" t="s">
        <v>1767</v>
      </c>
      <c r="I65" s="1955">
        <f>C65/C165</f>
        <v>6.4886072606783196E-2</v>
      </c>
      <c r="J65" s="1955"/>
    </row>
    <row r="66" spans="1:10" ht="15" customHeight="1">
      <c r="A66" s="1954"/>
      <c r="B66" s="4742"/>
      <c r="C66" s="4743"/>
      <c r="D66" s="4744"/>
      <c r="E66" s="1953" t="s">
        <v>2453</v>
      </c>
      <c r="F66" s="1954">
        <v>74</v>
      </c>
      <c r="G66" s="1955"/>
      <c r="H66" s="1954"/>
      <c r="I66" s="1955"/>
      <c r="J66" s="1955"/>
    </row>
    <row r="67" spans="1:10" ht="15" customHeight="1">
      <c r="A67" s="1954"/>
      <c r="B67" s="1954" t="s">
        <v>2455</v>
      </c>
      <c r="C67" s="1954"/>
      <c r="D67" s="1953"/>
      <c r="E67" s="1953" t="s">
        <v>2454</v>
      </c>
      <c r="F67" s="1954"/>
      <c r="G67" s="1954"/>
      <c r="H67" s="1954"/>
      <c r="I67" s="1955"/>
      <c r="J67" s="1955"/>
    </row>
    <row r="68" spans="1:10" ht="15" customHeight="1">
      <c r="A68" s="1954"/>
      <c r="B68" s="1954" t="s">
        <v>2457</v>
      </c>
      <c r="C68" s="1954"/>
      <c r="D68" s="1953"/>
      <c r="E68" s="1953" t="s">
        <v>2456</v>
      </c>
      <c r="F68" s="4746">
        <v>7000</v>
      </c>
      <c r="G68" s="1954"/>
      <c r="H68" s="1954"/>
      <c r="I68" s="1955"/>
      <c r="J68" s="1955"/>
    </row>
    <row r="69" spans="1:10" ht="15" customHeight="1">
      <c r="A69" s="1954"/>
      <c r="B69" s="1954" t="s">
        <v>2459</v>
      </c>
      <c r="C69" s="1954"/>
      <c r="D69" s="1953"/>
      <c r="E69" s="1953" t="s">
        <v>2458</v>
      </c>
      <c r="F69" s="4746">
        <v>1000</v>
      </c>
      <c r="G69" s="1954"/>
      <c r="H69" s="1954"/>
      <c r="I69" s="1955"/>
      <c r="J69" s="1955"/>
    </row>
    <row r="70" spans="1:10" ht="15" customHeight="1">
      <c r="A70" s="1954"/>
      <c r="B70" s="1954" t="s">
        <v>2461</v>
      </c>
      <c r="C70" s="1954"/>
      <c r="D70" s="1953"/>
      <c r="E70" s="1953" t="s">
        <v>2460</v>
      </c>
      <c r="F70" s="1954">
        <v>5</v>
      </c>
      <c r="G70" s="1954"/>
      <c r="H70" s="1954"/>
      <c r="I70" s="1955"/>
      <c r="J70" s="1955"/>
    </row>
    <row r="71" spans="1:10" ht="15" customHeight="1">
      <c r="A71" s="1954"/>
      <c r="B71" s="1954"/>
      <c r="C71" s="1954"/>
      <c r="D71" s="1953"/>
      <c r="E71" s="1953" t="s">
        <v>2462</v>
      </c>
      <c r="F71" s="4746">
        <v>2000</v>
      </c>
      <c r="G71" s="1955"/>
      <c r="H71" s="1954"/>
      <c r="I71" s="1955"/>
      <c r="J71" s="1955"/>
    </row>
    <row r="72" spans="1:10" ht="15" customHeight="1">
      <c r="A72" s="1953"/>
      <c r="B72" s="1953"/>
      <c r="C72" s="1955"/>
      <c r="D72" s="1953"/>
      <c r="E72" s="1953"/>
      <c r="F72" s="4752"/>
      <c r="G72" s="1953"/>
      <c r="H72" s="1954"/>
      <c r="I72" s="1955"/>
      <c r="J72" s="1953"/>
    </row>
    <row r="73" spans="1:10" ht="15" customHeight="1">
      <c r="A73" s="1953"/>
      <c r="B73" s="4742" t="s">
        <v>5152</v>
      </c>
      <c r="C73" s="1963">
        <v>1932216</v>
      </c>
      <c r="D73" s="1963">
        <f>1736330+5000</f>
        <v>1741330</v>
      </c>
      <c r="E73" s="1954" t="s">
        <v>2468</v>
      </c>
      <c r="F73" s="1954">
        <v>5</v>
      </c>
      <c r="G73" s="4763" t="s">
        <v>1766</v>
      </c>
      <c r="H73" s="4763" t="s">
        <v>1767</v>
      </c>
      <c r="I73" s="1955"/>
      <c r="J73" s="1955"/>
    </row>
    <row r="74" spans="1:10" ht="15" customHeight="1">
      <c r="A74" s="1953"/>
      <c r="B74" s="4742" t="s">
        <v>5153</v>
      </c>
      <c r="C74" s="4753"/>
      <c r="D74" s="4753"/>
      <c r="E74" s="1954" t="s">
        <v>2470</v>
      </c>
      <c r="F74" s="4750">
        <v>1</v>
      </c>
      <c r="G74" s="1954"/>
      <c r="H74" s="1954"/>
      <c r="I74" s="1955"/>
      <c r="J74" s="1955"/>
    </row>
    <row r="75" spans="1:10" ht="15" customHeight="1">
      <c r="A75" s="1953"/>
      <c r="B75" s="4742"/>
      <c r="C75" s="4753"/>
      <c r="D75" s="4753"/>
      <c r="E75" s="1954" t="s">
        <v>2472</v>
      </c>
      <c r="F75" s="1954"/>
      <c r="G75" s="1954"/>
      <c r="H75" s="1954"/>
      <c r="I75" s="1955"/>
      <c r="J75" s="1955"/>
    </row>
    <row r="76" spans="1:10" ht="15" customHeight="1">
      <c r="A76" s="1953"/>
      <c r="B76" s="1954" t="s">
        <v>2467</v>
      </c>
      <c r="C76" s="1955"/>
      <c r="D76" s="1955"/>
      <c r="E76" s="1954" t="s">
        <v>2474</v>
      </c>
      <c r="F76" s="1954">
        <v>100</v>
      </c>
      <c r="G76" s="1954"/>
      <c r="H76" s="1954"/>
      <c r="I76" s="1955"/>
      <c r="J76" s="1955"/>
    </row>
    <row r="77" spans="1:10" ht="15" customHeight="1">
      <c r="A77" s="1953"/>
      <c r="B77" s="1954" t="s">
        <v>2469</v>
      </c>
      <c r="C77" s="1955"/>
      <c r="D77" s="1955"/>
      <c r="E77" s="1954" t="s">
        <v>2476</v>
      </c>
      <c r="F77" s="1954">
        <v>2</v>
      </c>
      <c r="G77" s="1954"/>
      <c r="H77" s="1954"/>
      <c r="I77" s="1955"/>
      <c r="J77" s="1955"/>
    </row>
    <row r="78" spans="1:10" ht="15" customHeight="1">
      <c r="A78" s="1953"/>
      <c r="B78" s="1954" t="s">
        <v>2471</v>
      </c>
      <c r="C78" s="1955"/>
      <c r="D78" s="1955"/>
      <c r="E78" s="1954" t="s">
        <v>2478</v>
      </c>
      <c r="F78" s="1954">
        <v>100</v>
      </c>
      <c r="G78" s="1954"/>
      <c r="H78" s="1954"/>
      <c r="I78" s="1955"/>
      <c r="J78" s="1955"/>
    </row>
    <row r="79" spans="1:10" ht="15" customHeight="1">
      <c r="A79" s="1953"/>
      <c r="B79" s="1954" t="s">
        <v>2473</v>
      </c>
      <c r="C79" s="1955"/>
      <c r="D79" s="1955"/>
      <c r="E79" s="1954" t="s">
        <v>2480</v>
      </c>
      <c r="F79" s="1954"/>
      <c r="G79" s="1954"/>
      <c r="H79" s="1954"/>
      <c r="I79" s="1955"/>
      <c r="J79" s="1955"/>
    </row>
    <row r="80" spans="1:10" ht="15" customHeight="1">
      <c r="A80" s="1953"/>
      <c r="B80" s="1954" t="s">
        <v>2475</v>
      </c>
      <c r="C80" s="1955"/>
      <c r="D80" s="1955"/>
      <c r="E80" s="1954"/>
      <c r="F80" s="1954"/>
      <c r="G80" s="1954"/>
      <c r="H80" s="1954"/>
      <c r="I80" s="1955"/>
      <c r="J80" s="1955"/>
    </row>
    <row r="81" spans="1:10" ht="15" customHeight="1">
      <c r="A81" s="1953"/>
      <c r="B81" s="1954" t="s">
        <v>2477</v>
      </c>
      <c r="C81" s="1955"/>
      <c r="D81" s="1955"/>
      <c r="E81" s="1954"/>
      <c r="F81" s="1954"/>
      <c r="G81" s="1954"/>
      <c r="H81" s="1954"/>
      <c r="I81" s="1955"/>
      <c r="J81" s="1955"/>
    </row>
    <row r="82" spans="1:10" ht="15" customHeight="1">
      <c r="A82" s="1953"/>
      <c r="B82" s="1954" t="s">
        <v>2479</v>
      </c>
      <c r="C82" s="1955"/>
      <c r="D82" s="1955"/>
      <c r="E82" s="1954"/>
      <c r="F82" s="1954"/>
      <c r="G82" s="1954"/>
      <c r="H82" s="1954"/>
      <c r="I82" s="1955"/>
      <c r="J82" s="1955"/>
    </row>
    <row r="83" spans="1:10" ht="15" customHeight="1">
      <c r="A83" s="1953"/>
      <c r="B83" s="1953"/>
      <c r="C83" s="1955"/>
      <c r="D83" s="1953"/>
      <c r="E83" s="1953"/>
      <c r="F83" s="1953"/>
      <c r="G83" s="1953"/>
      <c r="H83" s="1954"/>
      <c r="I83" s="1955"/>
      <c r="J83" s="1953"/>
    </row>
    <row r="84" spans="1:10" ht="15" customHeight="1">
      <c r="A84" s="1953"/>
      <c r="B84" s="4742" t="s">
        <v>2497</v>
      </c>
      <c r="C84" s="1963">
        <v>373490</v>
      </c>
      <c r="D84" s="1963">
        <v>494090</v>
      </c>
      <c r="E84" s="1954" t="s">
        <v>2500</v>
      </c>
      <c r="F84" s="4754">
        <v>7</v>
      </c>
      <c r="G84" s="4763" t="s">
        <v>1766</v>
      </c>
      <c r="H84" s="4763" t="s">
        <v>1767</v>
      </c>
      <c r="I84" s="1955"/>
      <c r="J84" s="1955"/>
    </row>
    <row r="85" spans="1:10" ht="15" customHeight="1">
      <c r="A85" s="1953"/>
      <c r="B85" s="4742" t="s">
        <v>2498</v>
      </c>
      <c r="C85" s="4755"/>
      <c r="D85" s="4755"/>
      <c r="E85" s="1954" t="s">
        <v>2502</v>
      </c>
      <c r="F85" s="1955">
        <v>12</v>
      </c>
      <c r="G85" s="1954"/>
      <c r="H85" s="1954"/>
      <c r="I85" s="1955"/>
      <c r="J85" s="1955"/>
    </row>
    <row r="86" spans="1:10" ht="15" customHeight="1">
      <c r="A86" s="1953"/>
      <c r="B86" s="4742"/>
      <c r="C86" s="4755"/>
      <c r="D86" s="4755"/>
      <c r="E86" s="1954" t="s">
        <v>2504</v>
      </c>
      <c r="F86" s="1955">
        <v>500</v>
      </c>
      <c r="G86" s="1954"/>
      <c r="H86" s="1954"/>
      <c r="I86" s="1955"/>
      <c r="J86" s="1955"/>
    </row>
    <row r="87" spans="1:10" ht="15" customHeight="1">
      <c r="A87" s="1953"/>
      <c r="B87" s="1954" t="s">
        <v>2499</v>
      </c>
      <c r="C87" s="4755"/>
      <c r="D87" s="4755"/>
      <c r="E87" s="4756"/>
      <c r="F87" s="1955"/>
      <c r="G87" s="1954"/>
      <c r="H87" s="1954"/>
      <c r="I87" s="1955"/>
      <c r="J87" s="1955"/>
    </row>
    <row r="88" spans="1:10" ht="15" customHeight="1">
      <c r="A88" s="1953"/>
      <c r="B88" s="1954" t="s">
        <v>2501</v>
      </c>
      <c r="C88" s="4755"/>
      <c r="D88" s="4755"/>
      <c r="E88" s="1954"/>
      <c r="F88" s="1955"/>
      <c r="G88" s="1954"/>
      <c r="H88" s="1954"/>
      <c r="I88" s="1955"/>
      <c r="J88" s="1955"/>
    </row>
    <row r="89" spans="1:10" ht="15" customHeight="1">
      <c r="A89" s="1953"/>
      <c r="B89" s="1954" t="s">
        <v>2503</v>
      </c>
      <c r="C89" s="4755"/>
      <c r="D89" s="4755"/>
      <c r="E89" s="1954"/>
      <c r="F89" s="1955"/>
      <c r="G89" s="1954"/>
      <c r="H89" s="1954"/>
      <c r="I89" s="1955"/>
      <c r="J89" s="1955"/>
    </row>
    <row r="90" spans="1:10" ht="15" customHeight="1">
      <c r="A90" s="1953"/>
      <c r="B90" s="1954" t="s">
        <v>2505</v>
      </c>
      <c r="C90" s="4755"/>
      <c r="D90" s="4755"/>
      <c r="E90" s="1954"/>
      <c r="F90" s="1955"/>
      <c r="G90" s="1954"/>
      <c r="H90" s="1954"/>
      <c r="I90" s="1955"/>
      <c r="J90" s="1955"/>
    </row>
    <row r="91" spans="1:10" ht="15" customHeight="1">
      <c r="A91" s="1953"/>
      <c r="B91" s="1954" t="s">
        <v>2506</v>
      </c>
      <c r="C91" s="4755"/>
      <c r="D91" s="4755"/>
      <c r="E91" s="1954"/>
      <c r="F91" s="1955"/>
      <c r="G91" s="1954"/>
      <c r="H91" s="1954"/>
      <c r="I91" s="1955"/>
      <c r="J91" s="1955"/>
    </row>
    <row r="92" spans="1:10" ht="15" customHeight="1">
      <c r="A92" s="1953"/>
      <c r="B92" s="1954" t="s">
        <v>2507</v>
      </c>
      <c r="C92" s="4755"/>
      <c r="D92" s="4755"/>
      <c r="E92" s="1954"/>
      <c r="F92" s="1955"/>
      <c r="G92" s="1954"/>
      <c r="H92" s="1954"/>
      <c r="I92" s="1955"/>
      <c r="J92" s="1955"/>
    </row>
    <row r="93" spans="1:10" ht="15" customHeight="1">
      <c r="A93" s="1953"/>
      <c r="B93" s="1954" t="s">
        <v>2508</v>
      </c>
      <c r="C93" s="4755"/>
      <c r="D93" s="4755"/>
      <c r="E93" s="1954"/>
      <c r="F93" s="1955"/>
      <c r="G93" s="1954"/>
      <c r="H93" s="1954"/>
      <c r="I93" s="1955"/>
      <c r="J93" s="1955"/>
    </row>
    <row r="94" spans="1:10" ht="15" customHeight="1">
      <c r="A94" s="1953"/>
      <c r="B94" s="1954" t="s">
        <v>2509</v>
      </c>
      <c r="C94" s="4755"/>
      <c r="D94" s="4755"/>
      <c r="E94" s="1954"/>
      <c r="F94" s="1955"/>
      <c r="G94" s="1954"/>
      <c r="H94" s="1954"/>
      <c r="I94" s="1955"/>
      <c r="J94" s="1955"/>
    </row>
    <row r="95" spans="1:10" ht="15" customHeight="1">
      <c r="A95" s="1953"/>
      <c r="B95" s="1953"/>
      <c r="C95" s="1955"/>
      <c r="D95" s="1953"/>
      <c r="E95" s="1953"/>
      <c r="F95" s="1953"/>
      <c r="G95" s="1953"/>
      <c r="H95" s="1954"/>
      <c r="I95" s="1955"/>
      <c r="J95" s="1953"/>
    </row>
    <row r="96" spans="1:10" ht="15" customHeight="1">
      <c r="A96" s="1953"/>
      <c r="B96" s="4742" t="s">
        <v>5154</v>
      </c>
      <c r="C96" s="1963">
        <v>938243</v>
      </c>
      <c r="D96" s="1963">
        <v>538972</v>
      </c>
      <c r="E96" s="1954" t="s">
        <v>2463</v>
      </c>
      <c r="F96" s="1955">
        <v>12</v>
      </c>
      <c r="G96" s="4763" t="s">
        <v>1766</v>
      </c>
      <c r="H96" s="4763" t="s">
        <v>1767</v>
      </c>
      <c r="I96" s="1955"/>
      <c r="J96" s="1953"/>
    </row>
    <row r="97" spans="1:10" ht="15" customHeight="1">
      <c r="A97" s="1953"/>
      <c r="B97" s="4742" t="s">
        <v>5155</v>
      </c>
      <c r="C97" s="1963"/>
      <c r="D97" s="1963"/>
      <c r="E97" s="1954" t="s">
        <v>2464</v>
      </c>
      <c r="F97" s="1955">
        <v>1</v>
      </c>
      <c r="G97" s="1954"/>
      <c r="H97" s="1954"/>
      <c r="I97" s="1955"/>
      <c r="J97" s="1953"/>
    </row>
    <row r="98" spans="1:10" ht="15" customHeight="1">
      <c r="A98" s="1953"/>
      <c r="B98" s="1954"/>
      <c r="C98" s="1955"/>
      <c r="D98" s="1955"/>
      <c r="E98" s="1954" t="s">
        <v>5156</v>
      </c>
      <c r="F98" s="1955">
        <v>10</v>
      </c>
      <c r="G98" s="1954"/>
      <c r="H98" s="1954"/>
      <c r="I98" s="1955"/>
      <c r="J98" s="1953"/>
    </row>
    <row r="99" spans="1:10" ht="15" customHeight="1">
      <c r="A99" s="1953"/>
      <c r="B99" s="1954" t="s">
        <v>5157</v>
      </c>
      <c r="C99" s="1955"/>
      <c r="D99" s="1955"/>
      <c r="E99" s="1954" t="s">
        <v>2465</v>
      </c>
      <c r="F99" s="1955">
        <v>210</v>
      </c>
      <c r="G99" s="1954"/>
      <c r="H99" s="1954"/>
      <c r="I99" s="1955"/>
      <c r="J99" s="1953"/>
    </row>
    <row r="100" spans="1:10" ht="15" customHeight="1">
      <c r="A100" s="1953"/>
      <c r="B100" s="1954" t="s">
        <v>5158</v>
      </c>
      <c r="C100" s="1955"/>
      <c r="D100" s="1955"/>
      <c r="E100" s="1954" t="s">
        <v>2466</v>
      </c>
      <c r="F100" s="1954">
        <v>90</v>
      </c>
      <c r="G100" s="1954"/>
      <c r="H100" s="1954"/>
      <c r="I100" s="1955"/>
      <c r="J100" s="1953"/>
    </row>
    <row r="101" spans="1:10" ht="15" customHeight="1">
      <c r="A101" s="1953"/>
      <c r="B101" s="1954" t="s">
        <v>5159</v>
      </c>
      <c r="C101" s="1955"/>
      <c r="D101" s="1955"/>
      <c r="E101" s="1954"/>
      <c r="F101" s="1955"/>
      <c r="G101" s="1954"/>
      <c r="H101" s="1954"/>
      <c r="I101" s="1955"/>
      <c r="J101" s="1953"/>
    </row>
    <row r="102" spans="1:10" ht="15" customHeight="1">
      <c r="A102" s="1953"/>
      <c r="B102" s="1954" t="s">
        <v>5160</v>
      </c>
      <c r="C102" s="1955"/>
      <c r="D102" s="1955"/>
      <c r="E102" s="1954"/>
      <c r="F102" s="1955"/>
      <c r="G102" s="1954"/>
      <c r="H102" s="1954"/>
      <c r="I102" s="1955"/>
      <c r="J102" s="1953"/>
    </row>
    <row r="103" spans="1:10" ht="15" customHeight="1">
      <c r="A103" s="1953"/>
      <c r="B103" s="1954"/>
      <c r="C103" s="1955"/>
      <c r="D103" s="1955"/>
      <c r="E103" s="1953"/>
      <c r="F103" s="4746"/>
      <c r="G103" s="1955"/>
      <c r="H103" s="1954"/>
      <c r="I103" s="1955"/>
      <c r="J103" s="1955"/>
    </row>
    <row r="104" spans="1:10" ht="15" customHeight="1">
      <c r="A104" s="1956"/>
      <c r="B104" s="1960"/>
      <c r="C104" s="4751"/>
      <c r="D104" s="4751"/>
      <c r="E104" s="1956"/>
      <c r="F104" s="4757"/>
      <c r="G104" s="4751"/>
      <c r="H104" s="1960"/>
      <c r="I104" s="1955"/>
      <c r="J104" s="1955"/>
    </row>
    <row r="105" spans="1:10" ht="15" customHeight="1">
      <c r="A105" s="1953"/>
      <c r="B105" s="4739" t="s">
        <v>5161</v>
      </c>
      <c r="C105" s="1955"/>
      <c r="D105" s="1955"/>
      <c r="E105" s="1953"/>
      <c r="F105" s="4746"/>
      <c r="G105" s="1955"/>
      <c r="H105" s="1954"/>
      <c r="I105" s="1955"/>
      <c r="J105" s="1955"/>
    </row>
    <row r="106" spans="1:10" ht="15" customHeight="1">
      <c r="A106" s="1953"/>
      <c r="B106" s="4739" t="s">
        <v>5162</v>
      </c>
      <c r="C106" s="1955"/>
      <c r="D106" s="1955"/>
      <c r="E106" s="1953"/>
      <c r="F106" s="4746"/>
      <c r="G106" s="1955"/>
      <c r="H106" s="1954"/>
      <c r="I106" s="1955"/>
      <c r="J106" s="1955"/>
    </row>
    <row r="107" spans="1:10" ht="15" customHeight="1">
      <c r="A107" s="1953"/>
      <c r="B107" s="4758"/>
      <c r="C107" s="1955"/>
      <c r="D107" s="1953"/>
      <c r="E107" s="1953"/>
      <c r="F107" s="4752"/>
      <c r="G107" s="1953"/>
      <c r="H107" s="1954"/>
      <c r="I107" s="1955"/>
      <c r="J107" s="1953"/>
    </row>
    <row r="108" spans="1:10" ht="15" customHeight="1">
      <c r="A108" s="1953"/>
      <c r="B108" s="4742" t="s">
        <v>2481</v>
      </c>
      <c r="C108" s="1963">
        <v>1637031</v>
      </c>
      <c r="D108" s="1963">
        <f>3417893+5000</f>
        <v>3422893</v>
      </c>
      <c r="E108" s="1954" t="s">
        <v>2482</v>
      </c>
      <c r="F108" s="4746">
        <v>25000</v>
      </c>
      <c r="G108" s="4763" t="s">
        <v>1766</v>
      </c>
      <c r="H108" s="4763" t="s">
        <v>1767</v>
      </c>
      <c r="I108" s="1955"/>
      <c r="J108" s="1955"/>
    </row>
    <row r="109" spans="1:10" ht="15" customHeight="1">
      <c r="A109" s="1953"/>
      <c r="B109" s="4742" t="s">
        <v>2435</v>
      </c>
      <c r="C109" s="4755"/>
      <c r="D109" s="4755"/>
      <c r="E109" s="1954" t="s">
        <v>2483</v>
      </c>
      <c r="F109" s="4746">
        <v>3000</v>
      </c>
      <c r="G109" s="1954"/>
      <c r="H109" s="1954"/>
      <c r="I109" s="1955"/>
      <c r="J109" s="1955"/>
    </row>
    <row r="110" spans="1:10" ht="15" customHeight="1">
      <c r="A110" s="1953"/>
      <c r="B110" s="4742"/>
      <c r="C110" s="4755"/>
      <c r="D110" s="4755"/>
      <c r="E110" s="1954" t="s">
        <v>2485</v>
      </c>
      <c r="F110" s="4746">
        <v>350</v>
      </c>
      <c r="G110" s="1954"/>
      <c r="H110" s="1954"/>
      <c r="I110" s="1955"/>
      <c r="J110" s="1955"/>
    </row>
    <row r="111" spans="1:10" ht="15" customHeight="1">
      <c r="A111" s="1953"/>
      <c r="B111" s="1954" t="s">
        <v>2484</v>
      </c>
      <c r="C111" s="4755"/>
      <c r="D111" s="4755"/>
      <c r="E111" s="1954" t="s">
        <v>2487</v>
      </c>
      <c r="F111" s="1954">
        <v>200</v>
      </c>
      <c r="G111" s="1954"/>
      <c r="H111" s="1954"/>
      <c r="I111" s="1955"/>
      <c r="J111" s="1955"/>
    </row>
    <row r="112" spans="1:10" ht="15" customHeight="1">
      <c r="A112" s="1953"/>
      <c r="B112" s="1954" t="s">
        <v>2486</v>
      </c>
      <c r="C112" s="4755"/>
      <c r="D112" s="4755"/>
      <c r="E112" s="1954" t="s">
        <v>2489</v>
      </c>
      <c r="F112" s="1954">
        <v>200</v>
      </c>
      <c r="G112" s="1954"/>
      <c r="H112" s="1954"/>
      <c r="I112" s="1955"/>
      <c r="J112" s="1955"/>
    </row>
    <row r="113" spans="1:10" ht="15" customHeight="1">
      <c r="A113" s="1956"/>
      <c r="B113" s="1960" t="s">
        <v>2488</v>
      </c>
      <c r="C113" s="4759"/>
      <c r="D113" s="4759"/>
      <c r="E113" s="1960" t="s">
        <v>2491</v>
      </c>
      <c r="F113" s="1960">
        <v>250</v>
      </c>
      <c r="G113" s="1960"/>
      <c r="H113" s="1960"/>
      <c r="I113" s="1955"/>
      <c r="J113" s="1955"/>
    </row>
    <row r="114" spans="1:10" ht="15" customHeight="1">
      <c r="A114" s="1955"/>
      <c r="B114" s="1955"/>
      <c r="C114" s="4755"/>
      <c r="D114" s="4755"/>
      <c r="E114" s="1955"/>
      <c r="F114" s="1955"/>
      <c r="G114" s="1955"/>
      <c r="H114" s="1955"/>
      <c r="I114" s="1955"/>
      <c r="J114" s="1955"/>
    </row>
    <row r="115" spans="1:10" ht="15" customHeight="1">
      <c r="A115" s="1955"/>
      <c r="B115" s="1955"/>
      <c r="C115" s="4755"/>
      <c r="D115" s="4755"/>
      <c r="E115" s="1955"/>
      <c r="F115" s="1955"/>
      <c r="G115" s="1955"/>
      <c r="H115" s="1955"/>
      <c r="I115" s="1955"/>
      <c r="J115" s="1955"/>
    </row>
    <row r="116" spans="1:10" ht="15" customHeight="1">
      <c r="A116" s="1955"/>
      <c r="B116" s="1955"/>
      <c r="C116" s="4755"/>
      <c r="D116" s="4755"/>
      <c r="E116" s="1955"/>
      <c r="F116" s="1955"/>
      <c r="G116" s="1955"/>
      <c r="H116" s="1955"/>
      <c r="I116" s="1955"/>
      <c r="J116" s="1955"/>
    </row>
    <row r="117" spans="1:10" ht="15" customHeight="1">
      <c r="A117" s="1955"/>
      <c r="B117" s="1955"/>
      <c r="C117" s="4755"/>
      <c r="D117" s="4755"/>
      <c r="E117" s="1955"/>
      <c r="F117" s="1955"/>
      <c r="G117" s="1955"/>
      <c r="H117" s="1955"/>
      <c r="I117" s="1955"/>
      <c r="J117" s="1955"/>
    </row>
    <row r="118" spans="1:10" s="4731" customFormat="1" ht="15" customHeight="1">
      <c r="A118" s="4728" t="s">
        <v>94</v>
      </c>
      <c r="B118" s="4729" t="s">
        <v>2414</v>
      </c>
      <c r="C118" s="4728"/>
      <c r="D118" s="4729"/>
      <c r="E118" s="4728"/>
      <c r="F118" s="4730"/>
      <c r="G118" s="15350" t="s">
        <v>1739</v>
      </c>
      <c r="H118" s="15351"/>
    </row>
    <row r="119" spans="1:10" s="4731" customFormat="1" ht="15" customHeight="1">
      <c r="A119" s="4732" t="s">
        <v>9238</v>
      </c>
      <c r="B119" s="4733" t="s">
        <v>2415</v>
      </c>
      <c r="C119" s="4732" t="s">
        <v>1736</v>
      </c>
      <c r="D119" s="4732" t="s">
        <v>1736</v>
      </c>
      <c r="E119" s="4734" t="s">
        <v>1760</v>
      </c>
      <c r="F119" s="4732" t="s">
        <v>1764</v>
      </c>
      <c r="G119" s="15352" t="s">
        <v>2569</v>
      </c>
      <c r="H119" s="15353"/>
    </row>
    <row r="120" spans="1:10" s="4731" customFormat="1" ht="15" customHeight="1">
      <c r="A120" s="4735" t="s">
        <v>2090</v>
      </c>
      <c r="B120" s="4736" t="s">
        <v>2091</v>
      </c>
      <c r="C120" s="4735" t="s">
        <v>2092</v>
      </c>
      <c r="D120" s="4735" t="s">
        <v>2092</v>
      </c>
      <c r="E120" s="4737" t="s">
        <v>2094</v>
      </c>
      <c r="F120" s="4732" t="s">
        <v>2416</v>
      </c>
      <c r="G120" s="4738" t="s">
        <v>1789</v>
      </c>
      <c r="H120" s="4735" t="s">
        <v>1790</v>
      </c>
    </row>
    <row r="121" spans="1:10" ht="15" customHeight="1">
      <c r="A121" s="1957"/>
      <c r="B121" s="1958"/>
      <c r="C121" s="4760"/>
      <c r="D121" s="4760"/>
      <c r="E121" s="1958"/>
      <c r="F121" s="1958"/>
      <c r="G121" s="1958"/>
      <c r="H121" s="1958"/>
      <c r="I121" s="1955"/>
      <c r="J121" s="1955"/>
    </row>
    <row r="122" spans="1:10" ht="15" customHeight="1">
      <c r="A122" s="1953"/>
      <c r="B122" s="1954" t="s">
        <v>2490</v>
      </c>
      <c r="C122" s="4755"/>
      <c r="D122" s="4755"/>
      <c r="E122" s="1954" t="s">
        <v>2493</v>
      </c>
      <c r="F122" s="1954"/>
      <c r="G122" s="1954"/>
      <c r="H122" s="1954"/>
      <c r="I122" s="1955"/>
      <c r="J122" s="1955"/>
    </row>
    <row r="123" spans="1:10" ht="15" customHeight="1">
      <c r="A123" s="1953"/>
      <c r="B123" s="1954" t="s">
        <v>2492</v>
      </c>
      <c r="C123" s="4755"/>
      <c r="D123" s="4755"/>
      <c r="E123" s="1954" t="s">
        <v>2495</v>
      </c>
      <c r="F123" s="4746">
        <v>13500</v>
      </c>
      <c r="G123" s="1954"/>
      <c r="H123" s="1954"/>
      <c r="I123" s="1955"/>
      <c r="J123" s="1955"/>
    </row>
    <row r="124" spans="1:10" ht="15" customHeight="1">
      <c r="A124" s="1953"/>
      <c r="B124" s="1954" t="s">
        <v>2494</v>
      </c>
      <c r="C124" s="4755"/>
      <c r="D124" s="4755"/>
      <c r="E124" s="1954"/>
      <c r="F124" s="1954"/>
      <c r="G124" s="1954"/>
      <c r="H124" s="1954"/>
      <c r="I124" s="1955"/>
      <c r="J124" s="1955"/>
    </row>
    <row r="125" spans="1:10" ht="15" customHeight="1">
      <c r="A125" s="1953"/>
      <c r="B125" s="1954" t="s">
        <v>2496</v>
      </c>
      <c r="C125" s="4755"/>
      <c r="D125" s="4755"/>
      <c r="E125" s="1954"/>
      <c r="F125" s="1954"/>
      <c r="G125" s="1954"/>
      <c r="H125" s="1954"/>
      <c r="I125" s="1955"/>
      <c r="J125" s="1955"/>
    </row>
    <row r="126" spans="1:10" ht="15" customHeight="1">
      <c r="A126" s="1956"/>
      <c r="B126" s="1960"/>
      <c r="C126" s="4759"/>
      <c r="D126" s="4759"/>
      <c r="E126" s="1960"/>
      <c r="F126" s="1960"/>
      <c r="G126" s="1960"/>
      <c r="H126" s="1960"/>
      <c r="I126" s="1955"/>
      <c r="J126" s="1955"/>
    </row>
    <row r="127" spans="1:10" ht="15" customHeight="1">
      <c r="A127" s="1957"/>
      <c r="B127" s="4747" t="s">
        <v>3624</v>
      </c>
      <c r="C127" s="1959"/>
      <c r="D127" s="1959"/>
      <c r="E127" s="1957"/>
      <c r="F127" s="4761"/>
      <c r="G127" s="1959"/>
      <c r="H127" s="1958"/>
      <c r="I127" s="1955"/>
      <c r="J127" s="1955"/>
    </row>
    <row r="128" spans="1:10" ht="15" customHeight="1">
      <c r="A128" s="1953"/>
      <c r="B128" s="1954"/>
      <c r="C128" s="1955"/>
      <c r="D128" s="1954"/>
      <c r="E128" s="1955"/>
      <c r="F128" s="4746"/>
      <c r="G128" s="1955"/>
      <c r="H128" s="1954"/>
      <c r="I128" s="1955"/>
      <c r="J128" s="1955"/>
    </row>
    <row r="129" spans="1:10" ht="15" customHeight="1">
      <c r="A129" s="1953"/>
      <c r="B129" s="4742" t="s">
        <v>3625</v>
      </c>
      <c r="C129" s="1955"/>
      <c r="D129" s="1963">
        <v>862749</v>
      </c>
      <c r="E129" s="1953" t="s">
        <v>5163</v>
      </c>
      <c r="F129" s="4746">
        <v>5</v>
      </c>
      <c r="G129" s="4755" t="s">
        <v>1766</v>
      </c>
      <c r="H129" s="4763" t="s">
        <v>1767</v>
      </c>
      <c r="I129" s="1955"/>
      <c r="J129" s="1955"/>
    </row>
    <row r="130" spans="1:10" ht="15" customHeight="1">
      <c r="A130" s="1953"/>
      <c r="B130" s="1954"/>
      <c r="C130" s="1955"/>
      <c r="D130" s="1955"/>
      <c r="E130" s="1953" t="s">
        <v>3626</v>
      </c>
      <c r="F130" s="4746">
        <v>3</v>
      </c>
      <c r="G130" s="1955"/>
      <c r="H130" s="1954"/>
      <c r="I130" s="1955"/>
      <c r="J130" s="1955"/>
    </row>
    <row r="131" spans="1:10" ht="15" customHeight="1">
      <c r="A131" s="1953"/>
      <c r="B131" s="1954" t="s">
        <v>5164</v>
      </c>
      <c r="C131" s="1955"/>
      <c r="D131" s="1955"/>
      <c r="E131" s="1953" t="s">
        <v>3627</v>
      </c>
      <c r="F131" s="4746">
        <v>3</v>
      </c>
      <c r="G131" s="1955"/>
      <c r="H131" s="1954"/>
      <c r="I131" s="1955"/>
      <c r="J131" s="1955"/>
    </row>
    <row r="132" spans="1:10" ht="15" customHeight="1">
      <c r="A132" s="1953"/>
      <c r="B132" s="1954" t="s">
        <v>5165</v>
      </c>
      <c r="C132" s="1955"/>
      <c r="D132" s="1955"/>
      <c r="E132" s="1953" t="s">
        <v>3628</v>
      </c>
      <c r="F132" s="4746">
        <v>3</v>
      </c>
      <c r="G132" s="1955"/>
      <c r="H132" s="1954"/>
      <c r="I132" s="1955"/>
      <c r="J132" s="1955"/>
    </row>
    <row r="133" spans="1:10" ht="15" customHeight="1">
      <c r="A133" s="1953"/>
      <c r="B133" s="1954" t="s">
        <v>5166</v>
      </c>
      <c r="C133" s="1955"/>
      <c r="D133" s="1955"/>
      <c r="E133" s="1953" t="s">
        <v>3629</v>
      </c>
      <c r="F133" s="4746">
        <v>24</v>
      </c>
      <c r="G133" s="1955"/>
      <c r="H133" s="1954"/>
      <c r="I133" s="1955"/>
      <c r="J133" s="1955"/>
    </row>
    <row r="134" spans="1:10" ht="15" customHeight="1">
      <c r="A134" s="1953"/>
      <c r="B134" s="1954" t="s">
        <v>5167</v>
      </c>
      <c r="C134" s="1955"/>
      <c r="D134" s="1955"/>
      <c r="E134" s="1953" t="s">
        <v>3630</v>
      </c>
      <c r="F134" s="4746">
        <v>2</v>
      </c>
      <c r="G134" s="1955"/>
      <c r="H134" s="1954"/>
      <c r="I134" s="1955"/>
      <c r="J134" s="1955"/>
    </row>
    <row r="135" spans="1:10" ht="15" customHeight="1">
      <c r="A135" s="1953"/>
      <c r="B135" s="1954"/>
      <c r="C135" s="1955"/>
      <c r="D135" s="1955"/>
      <c r="E135" s="1953" t="s">
        <v>2495</v>
      </c>
      <c r="F135" s="4746">
        <v>200</v>
      </c>
      <c r="G135" s="1955"/>
      <c r="H135" s="1954"/>
      <c r="I135" s="1955"/>
      <c r="J135" s="1955"/>
    </row>
    <row r="136" spans="1:10" ht="15" customHeight="1">
      <c r="A136" s="1956"/>
      <c r="B136" s="1960"/>
      <c r="C136" s="4751"/>
      <c r="D136" s="4751"/>
      <c r="E136" s="1956"/>
      <c r="F136" s="4757"/>
      <c r="G136" s="4751"/>
      <c r="H136" s="1960"/>
      <c r="I136" s="1955"/>
      <c r="J136" s="1955"/>
    </row>
    <row r="137" spans="1:10" ht="15" customHeight="1">
      <c r="A137" s="1958"/>
      <c r="B137" s="4762" t="s">
        <v>5168</v>
      </c>
      <c r="C137" s="4748">
        <v>659631</v>
      </c>
      <c r="D137" s="4748">
        <v>1074654</v>
      </c>
      <c r="E137" s="1958" t="s">
        <v>2510</v>
      </c>
      <c r="F137" s="1959">
        <v>1</v>
      </c>
      <c r="G137" s="5079" t="s">
        <v>1766</v>
      </c>
      <c r="H137" s="5078" t="s">
        <v>1767</v>
      </c>
      <c r="I137" s="1955">
        <f>C137/C165</f>
        <v>4.260882697650191E-2</v>
      </c>
      <c r="J137" s="1955"/>
    </row>
    <row r="138" spans="1:10" ht="15" customHeight="1">
      <c r="A138" s="1954"/>
      <c r="B138" s="4742" t="s">
        <v>2511</v>
      </c>
      <c r="C138" s="4755"/>
      <c r="D138" s="4755"/>
      <c r="E138" s="1954" t="s">
        <v>2512</v>
      </c>
      <c r="F138" s="1955">
        <v>4</v>
      </c>
      <c r="G138" s="1954"/>
      <c r="H138" s="1961"/>
      <c r="I138" s="1955"/>
      <c r="J138" s="1955"/>
    </row>
    <row r="139" spans="1:10" ht="15" customHeight="1">
      <c r="A139" s="1954"/>
      <c r="B139" s="1954"/>
      <c r="C139" s="4755"/>
      <c r="D139" s="4755"/>
      <c r="E139" s="1954" t="s">
        <v>2514</v>
      </c>
      <c r="F139" s="1955">
        <v>2</v>
      </c>
      <c r="G139" s="1954"/>
      <c r="H139" s="1961"/>
      <c r="I139" s="1955"/>
      <c r="J139" s="1955"/>
    </row>
    <row r="140" spans="1:10" ht="15" customHeight="1">
      <c r="A140" s="1954"/>
      <c r="B140" s="1954" t="s">
        <v>2513</v>
      </c>
      <c r="C140" s="4755"/>
      <c r="D140" s="4755"/>
      <c r="E140" s="1954" t="s">
        <v>2516</v>
      </c>
      <c r="F140" s="1955">
        <v>2</v>
      </c>
      <c r="G140" s="1954"/>
      <c r="H140" s="1961"/>
      <c r="I140" s="1955"/>
      <c r="J140" s="1955"/>
    </row>
    <row r="141" spans="1:10" ht="15" customHeight="1">
      <c r="A141" s="1954"/>
      <c r="B141" s="1954" t="s">
        <v>2515</v>
      </c>
      <c r="C141" s="4755"/>
      <c r="D141" s="4755"/>
      <c r="E141" s="1954" t="s">
        <v>2518</v>
      </c>
      <c r="F141" s="1955"/>
      <c r="G141" s="1954"/>
      <c r="H141" s="1961"/>
      <c r="I141" s="1955"/>
      <c r="J141" s="1955"/>
    </row>
    <row r="142" spans="1:10" ht="15" customHeight="1">
      <c r="A142" s="1954"/>
      <c r="B142" s="1954" t="s">
        <v>2517</v>
      </c>
      <c r="C142" s="4755"/>
      <c r="D142" s="4755"/>
      <c r="E142" s="1954" t="s">
        <v>2520</v>
      </c>
      <c r="F142" s="1955">
        <v>3</v>
      </c>
      <c r="G142" s="1954"/>
      <c r="H142" s="1961"/>
      <c r="I142" s="1955"/>
      <c r="J142" s="1955"/>
    </row>
    <row r="143" spans="1:10" ht="15" customHeight="1">
      <c r="A143" s="1954"/>
      <c r="B143" s="1954" t="s">
        <v>2519</v>
      </c>
      <c r="C143" s="4755"/>
      <c r="D143" s="4755"/>
      <c r="E143" s="1954" t="s">
        <v>2522</v>
      </c>
      <c r="F143" s="1955">
        <v>2</v>
      </c>
      <c r="G143" s="1954"/>
      <c r="H143" s="1961"/>
      <c r="I143" s="1955"/>
      <c r="J143" s="1955"/>
    </row>
    <row r="144" spans="1:10" ht="15" customHeight="1">
      <c r="A144" s="1954"/>
      <c r="B144" s="1954" t="s">
        <v>2521</v>
      </c>
      <c r="C144" s="4755"/>
      <c r="D144" s="4755"/>
      <c r="E144" s="1954"/>
      <c r="F144" s="1955"/>
      <c r="G144" s="1954"/>
      <c r="H144" s="1961"/>
      <c r="I144" s="1955"/>
      <c r="J144" s="1955"/>
    </row>
    <row r="145" spans="1:10" ht="15" customHeight="1">
      <c r="A145" s="1954"/>
      <c r="B145" s="1954" t="s">
        <v>2523</v>
      </c>
      <c r="C145" s="4755"/>
      <c r="D145" s="4755"/>
      <c r="E145" s="1954"/>
      <c r="F145" s="1955"/>
      <c r="G145" s="1953"/>
      <c r="H145" s="1954"/>
      <c r="I145" s="1955"/>
      <c r="J145" s="1955"/>
    </row>
    <row r="146" spans="1:10" ht="15" customHeight="1">
      <c r="A146" s="1958"/>
      <c r="B146" s="4762" t="s">
        <v>936</v>
      </c>
      <c r="C146" s="4748">
        <v>6478167</v>
      </c>
      <c r="D146" s="4748">
        <f>5920867+5000+59121.29</f>
        <v>5984988.29</v>
      </c>
      <c r="E146" s="1957" t="s">
        <v>2524</v>
      </c>
      <c r="F146" s="1958">
        <v>12</v>
      </c>
      <c r="G146" s="5078" t="s">
        <v>1766</v>
      </c>
      <c r="H146" s="5078" t="s">
        <v>1767</v>
      </c>
      <c r="I146" s="4727">
        <f>C146/C165</f>
        <v>0.41845682939080253</v>
      </c>
    </row>
    <row r="147" spans="1:10" ht="15" customHeight="1">
      <c r="A147" s="1954"/>
      <c r="B147" s="1954"/>
      <c r="C147" s="4755"/>
      <c r="D147" s="4755"/>
      <c r="E147" s="1953" t="s">
        <v>3631</v>
      </c>
      <c r="F147" s="1954">
        <v>3</v>
      </c>
      <c r="G147" s="1961"/>
      <c r="H147" s="1961"/>
    </row>
    <row r="148" spans="1:10" ht="15" customHeight="1">
      <c r="A148" s="1954"/>
      <c r="B148" s="1954"/>
      <c r="C148" s="4755"/>
      <c r="D148" s="4755"/>
      <c r="E148" s="1953" t="s">
        <v>3632</v>
      </c>
      <c r="F148" s="1954">
        <v>50</v>
      </c>
      <c r="G148" s="1961"/>
      <c r="H148" s="1961"/>
    </row>
    <row r="149" spans="1:10" ht="15" customHeight="1">
      <c r="A149" s="1954"/>
      <c r="B149" s="1954"/>
      <c r="C149" s="4755"/>
      <c r="D149" s="4755"/>
      <c r="E149" s="1953" t="s">
        <v>3633</v>
      </c>
      <c r="F149" s="1954">
        <v>45</v>
      </c>
      <c r="G149" s="1961"/>
      <c r="H149" s="1961"/>
    </row>
    <row r="150" spans="1:10" ht="15" customHeight="1">
      <c r="A150" s="1954"/>
      <c r="B150" s="1954"/>
      <c r="C150" s="4755"/>
      <c r="D150" s="4755"/>
      <c r="E150" s="1953" t="s">
        <v>3634</v>
      </c>
      <c r="F150" s="1954">
        <v>10</v>
      </c>
      <c r="G150" s="1961"/>
      <c r="H150" s="1961"/>
    </row>
    <row r="151" spans="1:10" ht="15" customHeight="1">
      <c r="A151" s="1954"/>
      <c r="B151" s="1954"/>
      <c r="C151" s="4755"/>
      <c r="D151" s="4755"/>
      <c r="E151" s="1953" t="s">
        <v>3635</v>
      </c>
      <c r="F151" s="1954">
        <v>5</v>
      </c>
      <c r="G151" s="1961"/>
      <c r="H151" s="1961"/>
    </row>
    <row r="152" spans="1:10" ht="15" customHeight="1">
      <c r="A152" s="1954"/>
      <c r="B152" s="1954"/>
      <c r="C152" s="4755"/>
      <c r="D152" s="4755"/>
      <c r="E152" s="1953" t="s">
        <v>5169</v>
      </c>
      <c r="F152" s="1954">
        <v>10</v>
      </c>
      <c r="G152" s="1961"/>
      <c r="H152" s="1961"/>
    </row>
    <row r="153" spans="1:10" ht="15" customHeight="1">
      <c r="A153" s="1960"/>
      <c r="B153" s="1960"/>
      <c r="C153" s="4759"/>
      <c r="D153" s="4759"/>
      <c r="E153" s="1956" t="s">
        <v>2525</v>
      </c>
      <c r="F153" s="1960"/>
      <c r="G153" s="1962"/>
      <c r="H153" s="1962"/>
    </row>
    <row r="154" spans="1:10" ht="15" customHeight="1">
      <c r="A154" s="1954"/>
      <c r="B154" s="1955"/>
      <c r="C154" s="4763"/>
      <c r="D154" s="4764"/>
      <c r="E154" s="1954"/>
      <c r="F154" s="1954"/>
      <c r="G154" s="1961"/>
      <c r="H154" s="1961"/>
    </row>
    <row r="155" spans="1:10" ht="15" customHeight="1">
      <c r="A155" s="1954"/>
      <c r="B155" s="4745" t="s">
        <v>2526</v>
      </c>
      <c r="C155" s="4743">
        <v>843364</v>
      </c>
      <c r="D155" s="4743">
        <f>1186758+48000</f>
        <v>1234758</v>
      </c>
      <c r="E155" s="1961" t="s">
        <v>5170</v>
      </c>
      <c r="F155" s="1953">
        <v>10</v>
      </c>
      <c r="G155" s="4763" t="s">
        <v>1766</v>
      </c>
      <c r="H155" s="4763" t="s">
        <v>1767</v>
      </c>
      <c r="I155" s="4727">
        <f>C155/C165</f>
        <v>5.4477049675061597E-2</v>
      </c>
    </row>
    <row r="156" spans="1:10" ht="15" customHeight="1">
      <c r="A156" s="1954"/>
      <c r="B156" s="4745"/>
      <c r="C156" s="4743"/>
      <c r="D156" s="4743"/>
      <c r="E156" s="1961" t="s">
        <v>5171</v>
      </c>
      <c r="F156" s="1955"/>
      <c r="G156" s="1954"/>
      <c r="H156" s="1954"/>
    </row>
    <row r="157" spans="1:10" ht="15" customHeight="1">
      <c r="A157" s="1954"/>
      <c r="B157" s="1955"/>
      <c r="C157" s="1954"/>
      <c r="D157" s="1954"/>
      <c r="E157" s="1961" t="s">
        <v>2527</v>
      </c>
      <c r="F157" s="1955"/>
      <c r="G157" s="1954"/>
      <c r="H157" s="1954"/>
    </row>
    <row r="158" spans="1:10" ht="15" customHeight="1">
      <c r="A158" s="1954"/>
      <c r="B158" s="1955"/>
      <c r="C158" s="1954"/>
      <c r="D158" s="1954"/>
      <c r="E158" s="1961" t="s">
        <v>2528</v>
      </c>
      <c r="F158" s="1955"/>
      <c r="G158" s="1954"/>
      <c r="H158" s="1954"/>
    </row>
    <row r="159" spans="1:10" ht="15" customHeight="1">
      <c r="A159" s="1954"/>
      <c r="B159" s="1955"/>
      <c r="C159" s="1954"/>
      <c r="D159" s="1954"/>
      <c r="E159" s="1961" t="s">
        <v>2529</v>
      </c>
      <c r="F159" s="1955">
        <v>5</v>
      </c>
      <c r="G159" s="1954"/>
      <c r="H159" s="1954"/>
    </row>
    <row r="160" spans="1:10" ht="15" customHeight="1">
      <c r="A160" s="1954"/>
      <c r="B160" s="1955"/>
      <c r="C160" s="1954"/>
      <c r="D160" s="1954"/>
      <c r="E160" s="1961" t="s">
        <v>2530</v>
      </c>
      <c r="F160" s="1955">
        <v>10</v>
      </c>
      <c r="G160" s="1954"/>
      <c r="H160" s="1954"/>
    </row>
    <row r="161" spans="1:9" ht="15" customHeight="1">
      <c r="A161" s="1954"/>
      <c r="B161" s="1955"/>
      <c r="C161" s="1954"/>
      <c r="D161" s="1954"/>
      <c r="E161" s="1961" t="s">
        <v>2531</v>
      </c>
      <c r="F161" s="1955"/>
      <c r="G161" s="1954"/>
      <c r="H161" s="1954"/>
    </row>
    <row r="162" spans="1:9" ht="15" customHeight="1">
      <c r="A162" s="1954"/>
      <c r="B162" s="1955"/>
      <c r="C162" s="1954"/>
      <c r="D162" s="1954"/>
      <c r="E162" s="1961" t="s">
        <v>2532</v>
      </c>
      <c r="F162" s="1955">
        <v>1</v>
      </c>
      <c r="G162" s="1954"/>
      <c r="H162" s="1954"/>
    </row>
    <row r="163" spans="1:9" ht="15" customHeight="1">
      <c r="A163" s="1954"/>
      <c r="B163" s="1955"/>
      <c r="C163" s="1954"/>
      <c r="D163" s="1954"/>
      <c r="E163" s="1961" t="s">
        <v>2533</v>
      </c>
      <c r="F163" s="1955"/>
      <c r="G163" s="1954"/>
      <c r="H163" s="1954"/>
    </row>
    <row r="164" spans="1:9" ht="15" customHeight="1">
      <c r="A164" s="1960"/>
      <c r="B164" s="4751"/>
      <c r="C164" s="1960"/>
      <c r="D164" s="1960"/>
      <c r="E164" s="1962" t="s">
        <v>2534</v>
      </c>
      <c r="F164" s="4751">
        <v>1</v>
      </c>
      <c r="G164" s="1960"/>
      <c r="H164" s="1960"/>
    </row>
    <row r="165" spans="1:9" ht="15" customHeight="1">
      <c r="A165" s="4765"/>
      <c r="B165" s="4766" t="s">
        <v>2535</v>
      </c>
      <c r="C165" s="4767">
        <v>15481088</v>
      </c>
      <c r="D165" s="4767">
        <f>SUM(D26:D164)</f>
        <v>18532283.289999999</v>
      </c>
      <c r="E165" s="4765"/>
      <c r="F165" s="4765"/>
      <c r="G165" s="4765"/>
      <c r="H165" s="4765"/>
      <c r="I165" s="4727">
        <f>SUM(I24:I164)</f>
        <v>0.58042877864914921</v>
      </c>
    </row>
    <row r="166" spans="1:9">
      <c r="A166" s="1955"/>
      <c r="B166" s="1963"/>
      <c r="C166" s="1963"/>
      <c r="D166" s="1963"/>
      <c r="E166" s="1955"/>
      <c r="F166" s="1955"/>
      <c r="G166" s="1955"/>
      <c r="H166" s="1955"/>
    </row>
    <row r="167" spans="1:9">
      <c r="A167" s="1955"/>
      <c r="B167" s="1964"/>
      <c r="C167" s="1963"/>
      <c r="D167" s="1963"/>
      <c r="E167" s="1955"/>
      <c r="F167" s="1955"/>
      <c r="G167" s="1955"/>
      <c r="H167" s="1955"/>
    </row>
    <row r="168" spans="1:9" hidden="1">
      <c r="A168" s="4727" t="s">
        <v>3483</v>
      </c>
      <c r="D168" s="4768"/>
    </row>
    <row r="169" spans="1:9" hidden="1">
      <c r="E169" s="4769" t="s">
        <v>5172</v>
      </c>
    </row>
    <row r="170" spans="1:9" hidden="1">
      <c r="B170" s="4770" t="s">
        <v>5173</v>
      </c>
    </row>
    <row r="171" spans="1:9" hidden="1">
      <c r="B171" s="4771" t="s">
        <v>5174</v>
      </c>
      <c r="E171" s="15354" t="s">
        <v>5175</v>
      </c>
      <c r="F171" s="15354"/>
      <c r="G171" s="15354"/>
      <c r="H171" s="15354"/>
    </row>
    <row r="172" spans="1:9" hidden="1">
      <c r="E172" s="15355" t="s">
        <v>737</v>
      </c>
      <c r="F172" s="15355"/>
      <c r="G172" s="15355"/>
      <c r="H172" s="15355"/>
    </row>
    <row r="173" spans="1:9" hidden="1"/>
  </sheetData>
  <mergeCells count="11">
    <mergeCell ref="A1:H1"/>
    <mergeCell ref="G21:H21"/>
    <mergeCell ref="G22:H22"/>
    <mergeCell ref="E171:H171"/>
    <mergeCell ref="E172:H172"/>
    <mergeCell ref="G60:H60"/>
    <mergeCell ref="G61:H61"/>
    <mergeCell ref="G118:H118"/>
    <mergeCell ref="G119:H119"/>
    <mergeCell ref="B14:H14"/>
    <mergeCell ref="B17:H17"/>
  </mergeCells>
  <pageMargins left="0.5" right="0.25" top="0.75" bottom="0.5" header="0.5" footer="0.25"/>
  <pageSetup paperSize="119" orientation="portrait" r:id="rId1"/>
  <headerFooter alignWithMargins="0"/>
</worksheet>
</file>

<file path=xl/worksheets/sheet173.xml><?xml version="1.0" encoding="utf-8"?>
<worksheet xmlns="http://schemas.openxmlformats.org/spreadsheetml/2006/main" xmlns:r="http://schemas.openxmlformats.org/officeDocument/2006/relationships">
  <sheetPr codeName="Sheet133">
    <tabColor theme="8" tint="-0.249977111117893"/>
  </sheetPr>
  <dimension ref="A1:M171"/>
  <sheetViews>
    <sheetView showGridLines="0" topLeftCell="B3" workbookViewId="0">
      <selection activeCell="L22" sqref="L22"/>
    </sheetView>
  </sheetViews>
  <sheetFormatPr defaultRowHeight="15" customHeight="1"/>
  <cols>
    <col min="1" max="1" width="3.88671875" style="7351" customWidth="1"/>
    <col min="2" max="2" width="55.5546875" style="7351" customWidth="1"/>
    <col min="3" max="3" width="15.109375" style="7505" hidden="1" customWidth="1"/>
    <col min="4" max="4" width="12.5546875" style="7383" customWidth="1"/>
    <col min="5" max="8" width="15.5546875" style="7338" customWidth="1"/>
    <col min="9" max="9" width="15" style="7338" hidden="1" customWidth="1"/>
    <col min="10" max="10" width="7.88671875" style="7348" hidden="1" customWidth="1"/>
    <col min="11" max="11" width="15.5546875" style="7338" customWidth="1"/>
    <col min="12" max="12" width="17" style="7374" customWidth="1"/>
    <col min="13" max="13" width="4.88671875" style="7383" customWidth="1"/>
    <col min="14" max="19" width="8.88671875" style="7351" customWidth="1"/>
    <col min="20" max="248" width="9.109375" style="7351"/>
    <col min="249" max="249" width="3.88671875" style="7351" customWidth="1"/>
    <col min="250" max="250" width="38.88671875" style="7351" customWidth="1"/>
    <col min="251" max="251" width="11.88671875" style="7351" customWidth="1"/>
    <col min="252" max="252" width="15" style="7351" customWidth="1"/>
    <col min="253" max="253" width="16.44140625" style="7351" customWidth="1"/>
    <col min="254" max="254" width="15.109375" style="7351" customWidth="1"/>
    <col min="255" max="504" width="9.109375" style="7351"/>
    <col min="505" max="505" width="3.88671875" style="7351" customWidth="1"/>
    <col min="506" max="506" width="38.88671875" style="7351" customWidth="1"/>
    <col min="507" max="507" width="11.88671875" style="7351" customWidth="1"/>
    <col min="508" max="508" width="15" style="7351" customWidth="1"/>
    <col min="509" max="509" width="16.44140625" style="7351" customWidth="1"/>
    <col min="510" max="510" width="15.109375" style="7351" customWidth="1"/>
    <col min="511" max="760" width="9.109375" style="7351"/>
    <col min="761" max="761" width="3.88671875" style="7351" customWidth="1"/>
    <col min="762" max="762" width="38.88671875" style="7351" customWidth="1"/>
    <col min="763" max="763" width="11.88671875" style="7351" customWidth="1"/>
    <col min="764" max="764" width="15" style="7351" customWidth="1"/>
    <col min="765" max="765" width="16.44140625" style="7351" customWidth="1"/>
    <col min="766" max="766" width="15.109375" style="7351" customWidth="1"/>
    <col min="767" max="1016" width="9.109375" style="7351"/>
    <col min="1017" max="1017" width="3.88671875" style="7351" customWidth="1"/>
    <col min="1018" max="1018" width="38.88671875" style="7351" customWidth="1"/>
    <col min="1019" max="1019" width="11.88671875" style="7351" customWidth="1"/>
    <col min="1020" max="1020" width="15" style="7351" customWidth="1"/>
    <col min="1021" max="1021" width="16.44140625" style="7351" customWidth="1"/>
    <col min="1022" max="1022" width="15.109375" style="7351" customWidth="1"/>
    <col min="1023" max="1272" width="9.109375" style="7351"/>
    <col min="1273" max="1273" width="3.88671875" style="7351" customWidth="1"/>
    <col min="1274" max="1274" width="38.88671875" style="7351" customWidth="1"/>
    <col min="1275" max="1275" width="11.88671875" style="7351" customWidth="1"/>
    <col min="1276" max="1276" width="15" style="7351" customWidth="1"/>
    <col min="1277" max="1277" width="16.44140625" style="7351" customWidth="1"/>
    <col min="1278" max="1278" width="15.109375" style="7351" customWidth="1"/>
    <col min="1279" max="1528" width="9.109375" style="7351"/>
    <col min="1529" max="1529" width="3.88671875" style="7351" customWidth="1"/>
    <col min="1530" max="1530" width="38.88671875" style="7351" customWidth="1"/>
    <col min="1531" max="1531" width="11.88671875" style="7351" customWidth="1"/>
    <col min="1532" max="1532" width="15" style="7351" customWidth="1"/>
    <col min="1533" max="1533" width="16.44140625" style="7351" customWidth="1"/>
    <col min="1534" max="1534" width="15.109375" style="7351" customWidth="1"/>
    <col min="1535" max="1784" width="9.109375" style="7351"/>
    <col min="1785" max="1785" width="3.88671875" style="7351" customWidth="1"/>
    <col min="1786" max="1786" width="38.88671875" style="7351" customWidth="1"/>
    <col min="1787" max="1787" width="11.88671875" style="7351" customWidth="1"/>
    <col min="1788" max="1788" width="15" style="7351" customWidth="1"/>
    <col min="1789" max="1789" width="16.44140625" style="7351" customWidth="1"/>
    <col min="1790" max="1790" width="15.109375" style="7351" customWidth="1"/>
    <col min="1791" max="2040" width="9.109375" style="7351"/>
    <col min="2041" max="2041" width="3.88671875" style="7351" customWidth="1"/>
    <col min="2042" max="2042" width="38.88671875" style="7351" customWidth="1"/>
    <col min="2043" max="2043" width="11.88671875" style="7351" customWidth="1"/>
    <col min="2044" max="2044" width="15" style="7351" customWidth="1"/>
    <col min="2045" max="2045" width="16.44140625" style="7351" customWidth="1"/>
    <col min="2046" max="2046" width="15.109375" style="7351" customWidth="1"/>
    <col min="2047" max="2296" width="9.109375" style="7351"/>
    <col min="2297" max="2297" width="3.88671875" style="7351" customWidth="1"/>
    <col min="2298" max="2298" width="38.88671875" style="7351" customWidth="1"/>
    <col min="2299" max="2299" width="11.88671875" style="7351" customWidth="1"/>
    <col min="2300" max="2300" width="15" style="7351" customWidth="1"/>
    <col min="2301" max="2301" width="16.44140625" style="7351" customWidth="1"/>
    <col min="2302" max="2302" width="15.109375" style="7351" customWidth="1"/>
    <col min="2303" max="2552" width="9.109375" style="7351"/>
    <col min="2553" max="2553" width="3.88671875" style="7351" customWidth="1"/>
    <col min="2554" max="2554" width="38.88671875" style="7351" customWidth="1"/>
    <col min="2555" max="2555" width="11.88671875" style="7351" customWidth="1"/>
    <col min="2556" max="2556" width="15" style="7351" customWidth="1"/>
    <col min="2557" max="2557" width="16.44140625" style="7351" customWidth="1"/>
    <col min="2558" max="2558" width="15.109375" style="7351" customWidth="1"/>
    <col min="2559" max="2808" width="9.109375" style="7351"/>
    <col min="2809" max="2809" width="3.88671875" style="7351" customWidth="1"/>
    <col min="2810" max="2810" width="38.88671875" style="7351" customWidth="1"/>
    <col min="2811" max="2811" width="11.88671875" style="7351" customWidth="1"/>
    <col min="2812" max="2812" width="15" style="7351" customWidth="1"/>
    <col min="2813" max="2813" width="16.44140625" style="7351" customWidth="1"/>
    <col min="2814" max="2814" width="15.109375" style="7351" customWidth="1"/>
    <col min="2815" max="3064" width="9.109375" style="7351"/>
    <col min="3065" max="3065" width="3.88671875" style="7351" customWidth="1"/>
    <col min="3066" max="3066" width="38.88671875" style="7351" customWidth="1"/>
    <col min="3067" max="3067" width="11.88671875" style="7351" customWidth="1"/>
    <col min="3068" max="3068" width="15" style="7351" customWidth="1"/>
    <col min="3069" max="3069" width="16.44140625" style="7351" customWidth="1"/>
    <col min="3070" max="3070" width="15.109375" style="7351" customWidth="1"/>
    <col min="3071" max="3320" width="9.109375" style="7351"/>
    <col min="3321" max="3321" width="3.88671875" style="7351" customWidth="1"/>
    <col min="3322" max="3322" width="38.88671875" style="7351" customWidth="1"/>
    <col min="3323" max="3323" width="11.88671875" style="7351" customWidth="1"/>
    <col min="3324" max="3324" width="15" style="7351" customWidth="1"/>
    <col min="3325" max="3325" width="16.44140625" style="7351" customWidth="1"/>
    <col min="3326" max="3326" width="15.109375" style="7351" customWidth="1"/>
    <col min="3327" max="3576" width="9.109375" style="7351"/>
    <col min="3577" max="3577" width="3.88671875" style="7351" customWidth="1"/>
    <col min="3578" max="3578" width="38.88671875" style="7351" customWidth="1"/>
    <col min="3579" max="3579" width="11.88671875" style="7351" customWidth="1"/>
    <col min="3580" max="3580" width="15" style="7351" customWidth="1"/>
    <col min="3581" max="3581" width="16.44140625" style="7351" customWidth="1"/>
    <col min="3582" max="3582" width="15.109375" style="7351" customWidth="1"/>
    <col min="3583" max="3832" width="9.109375" style="7351"/>
    <col min="3833" max="3833" width="3.88671875" style="7351" customWidth="1"/>
    <col min="3834" max="3834" width="38.88671875" style="7351" customWidth="1"/>
    <col min="3835" max="3835" width="11.88671875" style="7351" customWidth="1"/>
    <col min="3836" max="3836" width="15" style="7351" customWidth="1"/>
    <col min="3837" max="3837" width="16.44140625" style="7351" customWidth="1"/>
    <col min="3838" max="3838" width="15.109375" style="7351" customWidth="1"/>
    <col min="3839" max="4088" width="9.109375" style="7351"/>
    <col min="4089" max="4089" width="3.88671875" style="7351" customWidth="1"/>
    <col min="4090" max="4090" width="38.88671875" style="7351" customWidth="1"/>
    <col min="4091" max="4091" width="11.88671875" style="7351" customWidth="1"/>
    <col min="4092" max="4092" width="15" style="7351" customWidth="1"/>
    <col min="4093" max="4093" width="16.44140625" style="7351" customWidth="1"/>
    <col min="4094" max="4094" width="15.109375" style="7351" customWidth="1"/>
    <col min="4095" max="4344" width="9.109375" style="7351"/>
    <col min="4345" max="4345" width="3.88671875" style="7351" customWidth="1"/>
    <col min="4346" max="4346" width="38.88671875" style="7351" customWidth="1"/>
    <col min="4347" max="4347" width="11.88671875" style="7351" customWidth="1"/>
    <col min="4348" max="4348" width="15" style="7351" customWidth="1"/>
    <col min="4349" max="4349" width="16.44140625" style="7351" customWidth="1"/>
    <col min="4350" max="4350" width="15.109375" style="7351" customWidth="1"/>
    <col min="4351" max="4600" width="9.109375" style="7351"/>
    <col min="4601" max="4601" width="3.88671875" style="7351" customWidth="1"/>
    <col min="4602" max="4602" width="38.88671875" style="7351" customWidth="1"/>
    <col min="4603" max="4603" width="11.88671875" style="7351" customWidth="1"/>
    <col min="4604" max="4604" width="15" style="7351" customWidth="1"/>
    <col min="4605" max="4605" width="16.44140625" style="7351" customWidth="1"/>
    <col min="4606" max="4606" width="15.109375" style="7351" customWidth="1"/>
    <col min="4607" max="4856" width="9.109375" style="7351"/>
    <col min="4857" max="4857" width="3.88671875" style="7351" customWidth="1"/>
    <col min="4858" max="4858" width="38.88671875" style="7351" customWidth="1"/>
    <col min="4859" max="4859" width="11.88671875" style="7351" customWidth="1"/>
    <col min="4860" max="4860" width="15" style="7351" customWidth="1"/>
    <col min="4861" max="4861" width="16.44140625" style="7351" customWidth="1"/>
    <col min="4862" max="4862" width="15.109375" style="7351" customWidth="1"/>
    <col min="4863" max="5112" width="9.109375" style="7351"/>
    <col min="5113" max="5113" width="3.88671875" style="7351" customWidth="1"/>
    <col min="5114" max="5114" width="38.88671875" style="7351" customWidth="1"/>
    <col min="5115" max="5115" width="11.88671875" style="7351" customWidth="1"/>
    <col min="5116" max="5116" width="15" style="7351" customWidth="1"/>
    <col min="5117" max="5117" width="16.44140625" style="7351" customWidth="1"/>
    <col min="5118" max="5118" width="15.109375" style="7351" customWidth="1"/>
    <col min="5119" max="5368" width="9.109375" style="7351"/>
    <col min="5369" max="5369" width="3.88671875" style="7351" customWidth="1"/>
    <col min="5370" max="5370" width="38.88671875" style="7351" customWidth="1"/>
    <col min="5371" max="5371" width="11.88671875" style="7351" customWidth="1"/>
    <col min="5372" max="5372" width="15" style="7351" customWidth="1"/>
    <col min="5373" max="5373" width="16.44140625" style="7351" customWidth="1"/>
    <col min="5374" max="5374" width="15.109375" style="7351" customWidth="1"/>
    <col min="5375" max="5624" width="9.109375" style="7351"/>
    <col min="5625" max="5625" width="3.88671875" style="7351" customWidth="1"/>
    <col min="5626" max="5626" width="38.88671875" style="7351" customWidth="1"/>
    <col min="5627" max="5627" width="11.88671875" style="7351" customWidth="1"/>
    <col min="5628" max="5628" width="15" style="7351" customWidth="1"/>
    <col min="5629" max="5629" width="16.44140625" style="7351" customWidth="1"/>
    <col min="5630" max="5630" width="15.109375" style="7351" customWidth="1"/>
    <col min="5631" max="5880" width="9.109375" style="7351"/>
    <col min="5881" max="5881" width="3.88671875" style="7351" customWidth="1"/>
    <col min="5882" max="5882" width="38.88671875" style="7351" customWidth="1"/>
    <col min="5883" max="5883" width="11.88671875" style="7351" customWidth="1"/>
    <col min="5884" max="5884" width="15" style="7351" customWidth="1"/>
    <col min="5885" max="5885" width="16.44140625" style="7351" customWidth="1"/>
    <col min="5886" max="5886" width="15.109375" style="7351" customWidth="1"/>
    <col min="5887" max="6136" width="9.109375" style="7351"/>
    <col min="6137" max="6137" width="3.88671875" style="7351" customWidth="1"/>
    <col min="6138" max="6138" width="38.88671875" style="7351" customWidth="1"/>
    <col min="6139" max="6139" width="11.88671875" style="7351" customWidth="1"/>
    <col min="6140" max="6140" width="15" style="7351" customWidth="1"/>
    <col min="6141" max="6141" width="16.44140625" style="7351" customWidth="1"/>
    <col min="6142" max="6142" width="15.109375" style="7351" customWidth="1"/>
    <col min="6143" max="6392" width="9.109375" style="7351"/>
    <col min="6393" max="6393" width="3.88671875" style="7351" customWidth="1"/>
    <col min="6394" max="6394" width="38.88671875" style="7351" customWidth="1"/>
    <col min="6395" max="6395" width="11.88671875" style="7351" customWidth="1"/>
    <col min="6396" max="6396" width="15" style="7351" customWidth="1"/>
    <col min="6397" max="6397" width="16.44140625" style="7351" customWidth="1"/>
    <col min="6398" max="6398" width="15.109375" style="7351" customWidth="1"/>
    <col min="6399" max="6648" width="9.109375" style="7351"/>
    <col min="6649" max="6649" width="3.88671875" style="7351" customWidth="1"/>
    <col min="6650" max="6650" width="38.88671875" style="7351" customWidth="1"/>
    <col min="6651" max="6651" width="11.88671875" style="7351" customWidth="1"/>
    <col min="6652" max="6652" width="15" style="7351" customWidth="1"/>
    <col min="6653" max="6653" width="16.44140625" style="7351" customWidth="1"/>
    <col min="6654" max="6654" width="15.109375" style="7351" customWidth="1"/>
    <col min="6655" max="6904" width="9.109375" style="7351"/>
    <col min="6905" max="6905" width="3.88671875" style="7351" customWidth="1"/>
    <col min="6906" max="6906" width="38.88671875" style="7351" customWidth="1"/>
    <col min="6907" max="6907" width="11.88671875" style="7351" customWidth="1"/>
    <col min="6908" max="6908" width="15" style="7351" customWidth="1"/>
    <col min="6909" max="6909" width="16.44140625" style="7351" customWidth="1"/>
    <col min="6910" max="6910" width="15.109375" style="7351" customWidth="1"/>
    <col min="6911" max="7160" width="9.109375" style="7351"/>
    <col min="7161" max="7161" width="3.88671875" style="7351" customWidth="1"/>
    <col min="7162" max="7162" width="38.88671875" style="7351" customWidth="1"/>
    <col min="7163" max="7163" width="11.88671875" style="7351" customWidth="1"/>
    <col min="7164" max="7164" width="15" style="7351" customWidth="1"/>
    <col min="7165" max="7165" width="16.44140625" style="7351" customWidth="1"/>
    <col min="7166" max="7166" width="15.109375" style="7351" customWidth="1"/>
    <col min="7167" max="7416" width="9.109375" style="7351"/>
    <col min="7417" max="7417" width="3.88671875" style="7351" customWidth="1"/>
    <col min="7418" max="7418" width="38.88671875" style="7351" customWidth="1"/>
    <col min="7419" max="7419" width="11.88671875" style="7351" customWidth="1"/>
    <col min="7420" max="7420" width="15" style="7351" customWidth="1"/>
    <col min="7421" max="7421" width="16.44140625" style="7351" customWidth="1"/>
    <col min="7422" max="7422" width="15.109375" style="7351" customWidth="1"/>
    <col min="7423" max="7672" width="9.109375" style="7351"/>
    <col min="7673" max="7673" width="3.88671875" style="7351" customWidth="1"/>
    <col min="7674" max="7674" width="38.88671875" style="7351" customWidth="1"/>
    <col min="7675" max="7675" width="11.88671875" style="7351" customWidth="1"/>
    <col min="7676" max="7676" width="15" style="7351" customWidth="1"/>
    <col min="7677" max="7677" width="16.44140625" style="7351" customWidth="1"/>
    <col min="7678" max="7678" width="15.109375" style="7351" customWidth="1"/>
    <col min="7679" max="7928" width="9.109375" style="7351"/>
    <col min="7929" max="7929" width="3.88671875" style="7351" customWidth="1"/>
    <col min="7930" max="7930" width="38.88671875" style="7351" customWidth="1"/>
    <col min="7931" max="7931" width="11.88671875" style="7351" customWidth="1"/>
    <col min="7932" max="7932" width="15" style="7351" customWidth="1"/>
    <col min="7933" max="7933" width="16.44140625" style="7351" customWidth="1"/>
    <col min="7934" max="7934" width="15.109375" style="7351" customWidth="1"/>
    <col min="7935" max="8184" width="9.109375" style="7351"/>
    <col min="8185" max="8185" width="3.88671875" style="7351" customWidth="1"/>
    <col min="8186" max="8186" width="38.88671875" style="7351" customWidth="1"/>
    <col min="8187" max="8187" width="11.88671875" style="7351" customWidth="1"/>
    <col min="8188" max="8188" width="15" style="7351" customWidth="1"/>
    <col min="8189" max="8189" width="16.44140625" style="7351" customWidth="1"/>
    <col min="8190" max="8190" width="15.109375" style="7351" customWidth="1"/>
    <col min="8191" max="8440" width="9.109375" style="7351"/>
    <col min="8441" max="8441" width="3.88671875" style="7351" customWidth="1"/>
    <col min="8442" max="8442" width="38.88671875" style="7351" customWidth="1"/>
    <col min="8443" max="8443" width="11.88671875" style="7351" customWidth="1"/>
    <col min="8444" max="8444" width="15" style="7351" customWidth="1"/>
    <col min="8445" max="8445" width="16.44140625" style="7351" customWidth="1"/>
    <col min="8446" max="8446" width="15.109375" style="7351" customWidth="1"/>
    <col min="8447" max="8696" width="9.109375" style="7351"/>
    <col min="8697" max="8697" width="3.88671875" style="7351" customWidth="1"/>
    <col min="8698" max="8698" width="38.88671875" style="7351" customWidth="1"/>
    <col min="8699" max="8699" width="11.88671875" style="7351" customWidth="1"/>
    <col min="8700" max="8700" width="15" style="7351" customWidth="1"/>
    <col min="8701" max="8701" width="16.44140625" style="7351" customWidth="1"/>
    <col min="8702" max="8702" width="15.109375" style="7351" customWidth="1"/>
    <col min="8703" max="8952" width="9.109375" style="7351"/>
    <col min="8953" max="8953" width="3.88671875" style="7351" customWidth="1"/>
    <col min="8954" max="8954" width="38.88671875" style="7351" customWidth="1"/>
    <col min="8955" max="8955" width="11.88671875" style="7351" customWidth="1"/>
    <col min="8956" max="8956" width="15" style="7351" customWidth="1"/>
    <col min="8957" max="8957" width="16.44140625" style="7351" customWidth="1"/>
    <col min="8958" max="8958" width="15.109375" style="7351" customWidth="1"/>
    <col min="8959" max="9208" width="9.109375" style="7351"/>
    <col min="9209" max="9209" width="3.88671875" style="7351" customWidth="1"/>
    <col min="9210" max="9210" width="38.88671875" style="7351" customWidth="1"/>
    <col min="9211" max="9211" width="11.88671875" style="7351" customWidth="1"/>
    <col min="9212" max="9212" width="15" style="7351" customWidth="1"/>
    <col min="9213" max="9213" width="16.44140625" style="7351" customWidth="1"/>
    <col min="9214" max="9214" width="15.109375" style="7351" customWidth="1"/>
    <col min="9215" max="9464" width="9.109375" style="7351"/>
    <col min="9465" max="9465" width="3.88671875" style="7351" customWidth="1"/>
    <col min="9466" max="9466" width="38.88671875" style="7351" customWidth="1"/>
    <col min="9467" max="9467" width="11.88671875" style="7351" customWidth="1"/>
    <col min="9468" max="9468" width="15" style="7351" customWidth="1"/>
    <col min="9469" max="9469" width="16.44140625" style="7351" customWidth="1"/>
    <col min="9470" max="9470" width="15.109375" style="7351" customWidth="1"/>
    <col min="9471" max="9720" width="9.109375" style="7351"/>
    <col min="9721" max="9721" width="3.88671875" style="7351" customWidth="1"/>
    <col min="9722" max="9722" width="38.88671875" style="7351" customWidth="1"/>
    <col min="9723" max="9723" width="11.88671875" style="7351" customWidth="1"/>
    <col min="9724" max="9724" width="15" style="7351" customWidth="1"/>
    <col min="9725" max="9725" width="16.44140625" style="7351" customWidth="1"/>
    <col min="9726" max="9726" width="15.109375" style="7351" customWidth="1"/>
    <col min="9727" max="9976" width="9.109375" style="7351"/>
    <col min="9977" max="9977" width="3.88671875" style="7351" customWidth="1"/>
    <col min="9978" max="9978" width="38.88671875" style="7351" customWidth="1"/>
    <col min="9979" max="9979" width="11.88671875" style="7351" customWidth="1"/>
    <col min="9980" max="9980" width="15" style="7351" customWidth="1"/>
    <col min="9981" max="9981" width="16.44140625" style="7351" customWidth="1"/>
    <col min="9982" max="9982" width="15.109375" style="7351" customWidth="1"/>
    <col min="9983" max="10232" width="9.109375" style="7351"/>
    <col min="10233" max="10233" width="3.88671875" style="7351" customWidth="1"/>
    <col min="10234" max="10234" width="38.88671875" style="7351" customWidth="1"/>
    <col min="10235" max="10235" width="11.88671875" style="7351" customWidth="1"/>
    <col min="10236" max="10236" width="15" style="7351" customWidth="1"/>
    <col min="10237" max="10237" width="16.44140625" style="7351" customWidth="1"/>
    <col min="10238" max="10238" width="15.109375" style="7351" customWidth="1"/>
    <col min="10239" max="10488" width="9.109375" style="7351"/>
    <col min="10489" max="10489" width="3.88671875" style="7351" customWidth="1"/>
    <col min="10490" max="10490" width="38.88671875" style="7351" customWidth="1"/>
    <col min="10491" max="10491" width="11.88671875" style="7351" customWidth="1"/>
    <col min="10492" max="10492" width="15" style="7351" customWidth="1"/>
    <col min="10493" max="10493" width="16.44140625" style="7351" customWidth="1"/>
    <col min="10494" max="10494" width="15.109375" style="7351" customWidth="1"/>
    <col min="10495" max="10744" width="9.109375" style="7351"/>
    <col min="10745" max="10745" width="3.88671875" style="7351" customWidth="1"/>
    <col min="10746" max="10746" width="38.88671875" style="7351" customWidth="1"/>
    <col min="10747" max="10747" width="11.88671875" style="7351" customWidth="1"/>
    <col min="10748" max="10748" width="15" style="7351" customWidth="1"/>
    <col min="10749" max="10749" width="16.44140625" style="7351" customWidth="1"/>
    <col min="10750" max="10750" width="15.109375" style="7351" customWidth="1"/>
    <col min="10751" max="11000" width="9.109375" style="7351"/>
    <col min="11001" max="11001" width="3.88671875" style="7351" customWidth="1"/>
    <col min="11002" max="11002" width="38.88671875" style="7351" customWidth="1"/>
    <col min="11003" max="11003" width="11.88671875" style="7351" customWidth="1"/>
    <col min="11004" max="11004" width="15" style="7351" customWidth="1"/>
    <col min="11005" max="11005" width="16.44140625" style="7351" customWidth="1"/>
    <col min="11006" max="11006" width="15.109375" style="7351" customWidth="1"/>
    <col min="11007" max="11256" width="9.109375" style="7351"/>
    <col min="11257" max="11257" width="3.88671875" style="7351" customWidth="1"/>
    <col min="11258" max="11258" width="38.88671875" style="7351" customWidth="1"/>
    <col min="11259" max="11259" width="11.88671875" style="7351" customWidth="1"/>
    <col min="11260" max="11260" width="15" style="7351" customWidth="1"/>
    <col min="11261" max="11261" width="16.44140625" style="7351" customWidth="1"/>
    <col min="11262" max="11262" width="15.109375" style="7351" customWidth="1"/>
    <col min="11263" max="11512" width="9.109375" style="7351"/>
    <col min="11513" max="11513" width="3.88671875" style="7351" customWidth="1"/>
    <col min="11514" max="11514" width="38.88671875" style="7351" customWidth="1"/>
    <col min="11515" max="11515" width="11.88671875" style="7351" customWidth="1"/>
    <col min="11516" max="11516" width="15" style="7351" customWidth="1"/>
    <col min="11517" max="11517" width="16.44140625" style="7351" customWidth="1"/>
    <col min="11518" max="11518" width="15.109375" style="7351" customWidth="1"/>
    <col min="11519" max="11768" width="9.109375" style="7351"/>
    <col min="11769" max="11769" width="3.88671875" style="7351" customWidth="1"/>
    <col min="11770" max="11770" width="38.88671875" style="7351" customWidth="1"/>
    <col min="11771" max="11771" width="11.88671875" style="7351" customWidth="1"/>
    <col min="11772" max="11772" width="15" style="7351" customWidth="1"/>
    <col min="11773" max="11773" width="16.44140625" style="7351" customWidth="1"/>
    <col min="11774" max="11774" width="15.109375" style="7351" customWidth="1"/>
    <col min="11775" max="12024" width="9.109375" style="7351"/>
    <col min="12025" max="12025" width="3.88671875" style="7351" customWidth="1"/>
    <col min="12026" max="12026" width="38.88671875" style="7351" customWidth="1"/>
    <col min="12027" max="12027" width="11.88671875" style="7351" customWidth="1"/>
    <col min="12028" max="12028" width="15" style="7351" customWidth="1"/>
    <col min="12029" max="12029" width="16.44140625" style="7351" customWidth="1"/>
    <col min="12030" max="12030" width="15.109375" style="7351" customWidth="1"/>
    <col min="12031" max="12280" width="9.109375" style="7351"/>
    <col min="12281" max="12281" width="3.88671875" style="7351" customWidth="1"/>
    <col min="12282" max="12282" width="38.88671875" style="7351" customWidth="1"/>
    <col min="12283" max="12283" width="11.88671875" style="7351" customWidth="1"/>
    <col min="12284" max="12284" width="15" style="7351" customWidth="1"/>
    <col min="12285" max="12285" width="16.44140625" style="7351" customWidth="1"/>
    <col min="12286" max="12286" width="15.109375" style="7351" customWidth="1"/>
    <col min="12287" max="12536" width="9.109375" style="7351"/>
    <col min="12537" max="12537" width="3.88671875" style="7351" customWidth="1"/>
    <col min="12538" max="12538" width="38.88671875" style="7351" customWidth="1"/>
    <col min="12539" max="12539" width="11.88671875" style="7351" customWidth="1"/>
    <col min="12540" max="12540" width="15" style="7351" customWidth="1"/>
    <col min="12541" max="12541" width="16.44140625" style="7351" customWidth="1"/>
    <col min="12542" max="12542" width="15.109375" style="7351" customWidth="1"/>
    <col min="12543" max="12792" width="9.109375" style="7351"/>
    <col min="12793" max="12793" width="3.88671875" style="7351" customWidth="1"/>
    <col min="12794" max="12794" width="38.88671875" style="7351" customWidth="1"/>
    <col min="12795" max="12795" width="11.88671875" style="7351" customWidth="1"/>
    <col min="12796" max="12796" width="15" style="7351" customWidth="1"/>
    <col min="12797" max="12797" width="16.44140625" style="7351" customWidth="1"/>
    <col min="12798" max="12798" width="15.109375" style="7351" customWidth="1"/>
    <col min="12799" max="13048" width="9.109375" style="7351"/>
    <col min="13049" max="13049" width="3.88671875" style="7351" customWidth="1"/>
    <col min="13050" max="13050" width="38.88671875" style="7351" customWidth="1"/>
    <col min="13051" max="13051" width="11.88671875" style="7351" customWidth="1"/>
    <col min="13052" max="13052" width="15" style="7351" customWidth="1"/>
    <col min="13053" max="13053" width="16.44140625" style="7351" customWidth="1"/>
    <col min="13054" max="13054" width="15.109375" style="7351" customWidth="1"/>
    <col min="13055" max="13304" width="9.109375" style="7351"/>
    <col min="13305" max="13305" width="3.88671875" style="7351" customWidth="1"/>
    <col min="13306" max="13306" width="38.88671875" style="7351" customWidth="1"/>
    <col min="13307" max="13307" width="11.88671875" style="7351" customWidth="1"/>
    <col min="13308" max="13308" width="15" style="7351" customWidth="1"/>
    <col min="13309" max="13309" width="16.44140625" style="7351" customWidth="1"/>
    <col min="13310" max="13310" width="15.109375" style="7351" customWidth="1"/>
    <col min="13311" max="13560" width="9.109375" style="7351"/>
    <col min="13561" max="13561" width="3.88671875" style="7351" customWidth="1"/>
    <col min="13562" max="13562" width="38.88671875" style="7351" customWidth="1"/>
    <col min="13563" max="13563" width="11.88671875" style="7351" customWidth="1"/>
    <col min="13564" max="13564" width="15" style="7351" customWidth="1"/>
    <col min="13565" max="13565" width="16.44140625" style="7351" customWidth="1"/>
    <col min="13566" max="13566" width="15.109375" style="7351" customWidth="1"/>
    <col min="13567" max="13816" width="9.109375" style="7351"/>
    <col min="13817" max="13817" width="3.88671875" style="7351" customWidth="1"/>
    <col min="13818" max="13818" width="38.88671875" style="7351" customWidth="1"/>
    <col min="13819" max="13819" width="11.88671875" style="7351" customWidth="1"/>
    <col min="13820" max="13820" width="15" style="7351" customWidth="1"/>
    <col min="13821" max="13821" width="16.44140625" style="7351" customWidth="1"/>
    <col min="13822" max="13822" width="15.109375" style="7351" customWidth="1"/>
    <col min="13823" max="14072" width="9.109375" style="7351"/>
    <col min="14073" max="14073" width="3.88671875" style="7351" customWidth="1"/>
    <col min="14074" max="14074" width="38.88671875" style="7351" customWidth="1"/>
    <col min="14075" max="14075" width="11.88671875" style="7351" customWidth="1"/>
    <col min="14076" max="14076" width="15" style="7351" customWidth="1"/>
    <col min="14077" max="14077" width="16.44140625" style="7351" customWidth="1"/>
    <col min="14078" max="14078" width="15.109375" style="7351" customWidth="1"/>
    <col min="14079" max="14328" width="9.109375" style="7351"/>
    <col min="14329" max="14329" width="3.88671875" style="7351" customWidth="1"/>
    <col min="14330" max="14330" width="38.88671875" style="7351" customWidth="1"/>
    <col min="14331" max="14331" width="11.88671875" style="7351" customWidth="1"/>
    <col min="14332" max="14332" width="15" style="7351" customWidth="1"/>
    <col min="14333" max="14333" width="16.44140625" style="7351" customWidth="1"/>
    <col min="14334" max="14334" width="15.109375" style="7351" customWidth="1"/>
    <col min="14335" max="14584" width="9.109375" style="7351"/>
    <col min="14585" max="14585" width="3.88671875" style="7351" customWidth="1"/>
    <col min="14586" max="14586" width="38.88671875" style="7351" customWidth="1"/>
    <col min="14587" max="14587" width="11.88671875" style="7351" customWidth="1"/>
    <col min="14588" max="14588" width="15" style="7351" customWidth="1"/>
    <col min="14589" max="14589" width="16.44140625" style="7351" customWidth="1"/>
    <col min="14590" max="14590" width="15.109375" style="7351" customWidth="1"/>
    <col min="14591" max="14840" width="9.109375" style="7351"/>
    <col min="14841" max="14841" width="3.88671875" style="7351" customWidth="1"/>
    <col min="14842" max="14842" width="38.88671875" style="7351" customWidth="1"/>
    <col min="14843" max="14843" width="11.88671875" style="7351" customWidth="1"/>
    <col min="14844" max="14844" width="15" style="7351" customWidth="1"/>
    <col min="14845" max="14845" width="16.44140625" style="7351" customWidth="1"/>
    <col min="14846" max="14846" width="15.109375" style="7351" customWidth="1"/>
    <col min="14847" max="15096" width="9.109375" style="7351"/>
    <col min="15097" max="15097" width="3.88671875" style="7351" customWidth="1"/>
    <col min="15098" max="15098" width="38.88671875" style="7351" customWidth="1"/>
    <col min="15099" max="15099" width="11.88671875" style="7351" customWidth="1"/>
    <col min="15100" max="15100" width="15" style="7351" customWidth="1"/>
    <col min="15101" max="15101" width="16.44140625" style="7351" customWidth="1"/>
    <col min="15102" max="15102" width="15.109375" style="7351" customWidth="1"/>
    <col min="15103" max="15352" width="9.109375" style="7351"/>
    <col min="15353" max="15353" width="3.88671875" style="7351" customWidth="1"/>
    <col min="15354" max="15354" width="38.88671875" style="7351" customWidth="1"/>
    <col min="15355" max="15355" width="11.88671875" style="7351" customWidth="1"/>
    <col min="15356" max="15356" width="15" style="7351" customWidth="1"/>
    <col min="15357" max="15357" width="16.44140625" style="7351" customWidth="1"/>
    <col min="15358" max="15358" width="15.109375" style="7351" customWidth="1"/>
    <col min="15359" max="15608" width="9.109375" style="7351"/>
    <col min="15609" max="15609" width="3.88671875" style="7351" customWidth="1"/>
    <col min="15610" max="15610" width="38.88671875" style="7351" customWidth="1"/>
    <col min="15611" max="15611" width="11.88671875" style="7351" customWidth="1"/>
    <col min="15612" max="15612" width="15" style="7351" customWidth="1"/>
    <col min="15613" max="15613" width="16.44140625" style="7351" customWidth="1"/>
    <col min="15614" max="15614" width="15.109375" style="7351" customWidth="1"/>
    <col min="15615" max="15864" width="9.109375" style="7351"/>
    <col min="15865" max="15865" width="3.88671875" style="7351" customWidth="1"/>
    <col min="15866" max="15866" width="38.88671875" style="7351" customWidth="1"/>
    <col min="15867" max="15867" width="11.88671875" style="7351" customWidth="1"/>
    <col min="15868" max="15868" width="15" style="7351" customWidth="1"/>
    <col min="15869" max="15869" width="16.44140625" style="7351" customWidth="1"/>
    <col min="15870" max="15870" width="15.109375" style="7351" customWidth="1"/>
    <col min="15871" max="16120" width="9.109375" style="7351"/>
    <col min="16121" max="16121" width="3.88671875" style="7351" customWidth="1"/>
    <col min="16122" max="16122" width="38.88671875" style="7351" customWidth="1"/>
    <col min="16123" max="16123" width="11.88671875" style="7351" customWidth="1"/>
    <col min="16124" max="16124" width="15" style="7351" customWidth="1"/>
    <col min="16125" max="16125" width="16.44140625" style="7351" customWidth="1"/>
    <col min="16126" max="16126" width="15.109375" style="7351" customWidth="1"/>
    <col min="16127" max="16384" width="9.109375" style="7351"/>
  </cols>
  <sheetData>
    <row r="1" spans="1:13" ht="15" customHeight="1">
      <c r="A1" s="14432" t="s">
        <v>1</v>
      </c>
      <c r="B1" s="14432"/>
      <c r="C1" s="14432"/>
      <c r="D1" s="14432"/>
      <c r="E1" s="14432"/>
      <c r="F1" s="14432"/>
      <c r="G1" s="14432"/>
      <c r="H1" s="14432"/>
      <c r="I1" s="14432"/>
      <c r="J1" s="14432"/>
      <c r="K1" s="14432"/>
    </row>
    <row r="2" spans="1:13" ht="15" customHeight="1">
      <c r="A2" s="7335"/>
      <c r="B2" s="7335"/>
      <c r="C2" s="7989"/>
      <c r="D2" s="10884"/>
      <c r="E2" s="7336"/>
      <c r="F2" s="7336"/>
      <c r="G2" s="7336"/>
      <c r="H2" s="7336"/>
      <c r="I2" s="7336"/>
      <c r="J2" s="7286"/>
      <c r="K2" s="7336"/>
    </row>
    <row r="3" spans="1:13" ht="15" customHeight="1">
      <c r="A3" s="7335" t="s">
        <v>10715</v>
      </c>
      <c r="B3" s="7341"/>
      <c r="C3" s="12531"/>
      <c r="D3" s="10885" t="s">
        <v>10075</v>
      </c>
      <c r="E3" s="9431"/>
      <c r="F3" s="9431"/>
      <c r="G3" s="9431"/>
      <c r="H3" s="9431"/>
      <c r="I3" s="9431"/>
      <c r="J3" s="7284"/>
      <c r="K3" s="15357"/>
    </row>
    <row r="4" spans="1:13" ht="15" customHeight="1">
      <c r="A4" s="7335" t="s">
        <v>10713</v>
      </c>
      <c r="B4" s="7335"/>
      <c r="C4" s="7989"/>
      <c r="D4" s="10884" t="s">
        <v>163</v>
      </c>
      <c r="E4" s="7336"/>
      <c r="F4" s="7336"/>
      <c r="G4" s="7336"/>
      <c r="H4" s="9431"/>
      <c r="I4" s="7336"/>
      <c r="J4" s="7286"/>
      <c r="K4" s="15357"/>
    </row>
    <row r="5" spans="1:13" ht="15" customHeight="1">
      <c r="A5" s="7352" t="s">
        <v>10714</v>
      </c>
      <c r="B5" s="7352"/>
      <c r="C5" s="11422"/>
      <c r="D5" s="7353" t="s">
        <v>8</v>
      </c>
      <c r="E5" s="7354"/>
      <c r="F5" s="7354"/>
      <c r="G5" s="7354"/>
      <c r="H5" s="7354"/>
      <c r="I5" s="7354"/>
      <c r="J5" s="7290"/>
      <c r="K5" s="7354"/>
    </row>
    <row r="6" spans="1:13" s="7355" customFormat="1" ht="15" customHeight="1" thickBot="1">
      <c r="A6" s="7352"/>
      <c r="B6" s="7352"/>
      <c r="C6" s="11422"/>
      <c r="D6" s="7353"/>
      <c r="E6" s="7354"/>
      <c r="F6" s="7354"/>
      <c r="G6" s="7354"/>
      <c r="H6" s="7354"/>
      <c r="I6" s="7354"/>
      <c r="J6" s="7290"/>
      <c r="K6" s="7354"/>
      <c r="L6" s="7504"/>
      <c r="M6" s="8069"/>
    </row>
    <row r="7" spans="1:13" ht="15" customHeight="1">
      <c r="A7" s="11433"/>
      <c r="B7" s="11434"/>
      <c r="C7" s="12532"/>
      <c r="D7" s="11436" t="s">
        <v>103</v>
      </c>
      <c r="E7" s="9461" t="s">
        <v>10</v>
      </c>
      <c r="F7" s="14188" t="s">
        <v>10711</v>
      </c>
      <c r="G7" s="14189"/>
      <c r="H7" s="14190"/>
      <c r="I7" s="8205" t="s">
        <v>9985</v>
      </c>
      <c r="J7" s="8206"/>
      <c r="K7" s="11437" t="s">
        <v>12</v>
      </c>
    </row>
    <row r="8" spans="1:13" ht="15" customHeight="1">
      <c r="A8" s="11237"/>
      <c r="B8" s="7356" t="s">
        <v>13</v>
      </c>
      <c r="C8" s="10619"/>
      <c r="D8" s="10111" t="s">
        <v>94</v>
      </c>
      <c r="E8" s="11438" t="s">
        <v>15</v>
      </c>
      <c r="F8" s="9502" t="s">
        <v>10709</v>
      </c>
      <c r="G8" s="9503" t="s">
        <v>10710</v>
      </c>
      <c r="H8" s="14191" t="s">
        <v>458</v>
      </c>
      <c r="I8" s="11190" t="s">
        <v>11822</v>
      </c>
      <c r="J8" s="11085"/>
      <c r="K8" s="11439" t="s">
        <v>16</v>
      </c>
    </row>
    <row r="9" spans="1:13" ht="15" customHeight="1" thickBot="1">
      <c r="A9" s="11235"/>
      <c r="B9" s="7752"/>
      <c r="C9" s="12533"/>
      <c r="D9" s="7735"/>
      <c r="E9" s="7302">
        <v>2017</v>
      </c>
      <c r="F9" s="9467" t="s">
        <v>457</v>
      </c>
      <c r="G9" s="11661" t="s">
        <v>456</v>
      </c>
      <c r="H9" s="14192"/>
      <c r="I9" s="7302">
        <v>2018</v>
      </c>
      <c r="J9" s="7322"/>
      <c r="K9" s="11442">
        <v>2019</v>
      </c>
    </row>
    <row r="10" spans="1:13" ht="15" customHeight="1">
      <c r="A10" s="11241" t="s">
        <v>17</v>
      </c>
      <c r="B10" s="7352" t="s">
        <v>18</v>
      </c>
      <c r="C10" s="11422"/>
      <c r="D10" s="10387"/>
      <c r="E10" s="12556"/>
      <c r="F10" s="12556"/>
      <c r="G10" s="12556"/>
      <c r="H10" s="12556"/>
      <c r="I10" s="12556"/>
      <c r="J10" s="11163"/>
      <c r="K10" s="12557"/>
    </row>
    <row r="11" spans="1:13" ht="15" customHeight="1">
      <c r="A11" s="11237"/>
      <c r="B11" s="7352" t="s">
        <v>19</v>
      </c>
      <c r="C11" s="11422"/>
      <c r="D11" s="12525"/>
      <c r="E11" s="8869"/>
      <c r="F11" s="8869"/>
      <c r="G11" s="8869"/>
      <c r="H11" s="8869"/>
      <c r="I11" s="8869"/>
      <c r="J11" s="8799"/>
      <c r="K11" s="11463"/>
    </row>
    <row r="12" spans="1:13" ht="15" customHeight="1">
      <c r="A12" s="11237"/>
      <c r="B12" s="8805" t="s">
        <v>20</v>
      </c>
      <c r="C12" s="11422"/>
      <c r="D12" s="8802">
        <v>50101010</v>
      </c>
      <c r="E12" s="11255">
        <f>'WS-PS 2017'!B48</f>
        <v>8761725.5600000005</v>
      </c>
      <c r="F12" s="11255">
        <f>'WS-PS ACTUAL JUNE 2018'!B48</f>
        <v>4568491.45</v>
      </c>
      <c r="G12" s="8869">
        <f t="shared" ref="G12:G32" si="0">H12-F12</f>
        <v>7773100.5499999998</v>
      </c>
      <c r="H12" s="11255">
        <v>12341592</v>
      </c>
      <c r="I12" s="11255"/>
      <c r="J12" s="11445"/>
      <c r="K12" s="12558">
        <f>L12</f>
        <v>14098272</v>
      </c>
      <c r="L12" s="10573">
        <f>'staffing-vet'!F52</f>
        <v>14098272</v>
      </c>
      <c r="M12" s="7383">
        <f>'staffing-vet'!B52</f>
        <v>54</v>
      </c>
    </row>
    <row r="13" spans="1:13" ht="15" customHeight="1">
      <c r="A13" s="11237"/>
      <c r="B13" s="8805" t="s">
        <v>21</v>
      </c>
      <c r="C13" s="11422"/>
      <c r="D13" s="8802">
        <v>50102010</v>
      </c>
      <c r="E13" s="8869">
        <f>'WS-PS 2017'!F48</f>
        <v>827338.18</v>
      </c>
      <c r="F13" s="8869">
        <f>'WS-PS ACTUAL JUNE 2018'!D48</f>
        <v>387278.56</v>
      </c>
      <c r="G13" s="8869">
        <f t="shared" si="0"/>
        <v>716721.44</v>
      </c>
      <c r="H13" s="8869">
        <v>1104000</v>
      </c>
      <c r="I13" s="8869"/>
      <c r="J13" s="8799"/>
      <c r="K13" s="12558">
        <f t="shared" ref="K13:K30" si="1">L13</f>
        <v>1296000</v>
      </c>
      <c r="L13" s="7502">
        <f>24000*M12</f>
        <v>1296000</v>
      </c>
    </row>
    <row r="14" spans="1:13" ht="15" customHeight="1">
      <c r="A14" s="11237"/>
      <c r="B14" s="8805" t="s">
        <v>104</v>
      </c>
      <c r="C14" s="11422"/>
      <c r="D14" s="8802">
        <v>50102020</v>
      </c>
      <c r="E14" s="8869">
        <f>'WS-PS 2017'!G48</f>
        <v>102000</v>
      </c>
      <c r="F14" s="8869">
        <f>'WS-PS ACTUAL JUNE 2018'!E48</f>
        <v>42500</v>
      </c>
      <c r="G14" s="8869">
        <f t="shared" si="0"/>
        <v>59500</v>
      </c>
      <c r="H14" s="8869">
        <v>102000</v>
      </c>
      <c r="I14" s="8869"/>
      <c r="J14" s="8799"/>
      <c r="K14" s="12558">
        <f t="shared" si="1"/>
        <v>102000</v>
      </c>
      <c r="L14" s="7502">
        <v>102000</v>
      </c>
    </row>
    <row r="15" spans="1:13" ht="15" customHeight="1">
      <c r="A15" s="11237"/>
      <c r="B15" s="8805" t="s">
        <v>105</v>
      </c>
      <c r="C15" s="11422"/>
      <c r="D15" s="8802">
        <v>50102030</v>
      </c>
      <c r="E15" s="8869">
        <f>'WS-PS 2017'!H48</f>
        <v>102000</v>
      </c>
      <c r="F15" s="8869">
        <f>'WS-PS ACTUAL JUNE 2018'!F48</f>
        <v>42500</v>
      </c>
      <c r="G15" s="8869">
        <f t="shared" si="0"/>
        <v>59500</v>
      </c>
      <c r="H15" s="8869">
        <v>102000</v>
      </c>
      <c r="I15" s="8869"/>
      <c r="J15" s="8799"/>
      <c r="K15" s="12558">
        <f t="shared" si="1"/>
        <v>102000</v>
      </c>
      <c r="L15" s="7502">
        <v>102000</v>
      </c>
    </row>
    <row r="16" spans="1:13" ht="15" customHeight="1">
      <c r="A16" s="11237"/>
      <c r="B16" s="8805" t="s">
        <v>22</v>
      </c>
      <c r="C16" s="11422"/>
      <c r="D16" s="8802">
        <v>50102040</v>
      </c>
      <c r="E16" s="8869">
        <f>'WS-PS 2017'!I48</f>
        <v>175000</v>
      </c>
      <c r="F16" s="8869">
        <f>'WS-PS ACTUAL JUNE 2018'!G48</f>
        <v>186000</v>
      </c>
      <c r="G16" s="8869">
        <f t="shared" si="0"/>
        <v>44000</v>
      </c>
      <c r="H16" s="8869">
        <v>230000</v>
      </c>
      <c r="I16" s="8869"/>
      <c r="J16" s="8799"/>
      <c r="K16" s="12558">
        <f t="shared" si="1"/>
        <v>324000</v>
      </c>
      <c r="L16" s="7502">
        <f>6000*M12</f>
        <v>324000</v>
      </c>
    </row>
    <row r="17" spans="1:12" ht="15" customHeight="1">
      <c r="A17" s="11237"/>
      <c r="B17" s="11242" t="s">
        <v>106</v>
      </c>
      <c r="C17" s="12559"/>
      <c r="D17" s="8872">
        <v>50102050</v>
      </c>
      <c r="E17" s="8869">
        <f>'WS-PS 2017'!J48</f>
        <v>9525</v>
      </c>
      <c r="F17" s="8869">
        <f>'WS-PS ACTUAL JUNE 2018'!H48</f>
        <v>3800</v>
      </c>
      <c r="G17" s="8869">
        <f t="shared" si="0"/>
        <v>14200</v>
      </c>
      <c r="H17" s="8869">
        <v>18000</v>
      </c>
      <c r="I17" s="8869"/>
      <c r="J17" s="8799"/>
      <c r="K17" s="12558">
        <f t="shared" si="1"/>
        <v>475200</v>
      </c>
      <c r="L17" s="7502">
        <f>10800*(M12-10)</f>
        <v>475200</v>
      </c>
    </row>
    <row r="18" spans="1:12" ht="15" customHeight="1">
      <c r="A18" s="11237"/>
      <c r="B18" s="7352" t="s">
        <v>10970</v>
      </c>
      <c r="C18" s="11422"/>
      <c r="D18" s="8802">
        <v>50102060</v>
      </c>
      <c r="E18" s="8869">
        <f>'WS-PS 2017'!K48</f>
        <v>1759.09</v>
      </c>
      <c r="F18" s="8869">
        <f>'WS-PS ACTUAL JUNE 2018'!I48</f>
        <v>743.18</v>
      </c>
      <c r="G18" s="8869">
        <f t="shared" si="0"/>
        <v>1056.8200000000002</v>
      </c>
      <c r="H18" s="8869">
        <v>1800</v>
      </c>
      <c r="I18" s="8869"/>
      <c r="J18" s="8799"/>
      <c r="K18" s="12558">
        <f t="shared" si="1"/>
        <v>79200</v>
      </c>
      <c r="L18" s="7502">
        <f>1800*(M12-10)</f>
        <v>79200</v>
      </c>
    </row>
    <row r="19" spans="1:12" ht="15" customHeight="1">
      <c r="A19" s="11237"/>
      <c r="B19" s="7488" t="s">
        <v>10932</v>
      </c>
      <c r="C19" s="10617"/>
      <c r="D19" s="10368">
        <v>50102080</v>
      </c>
      <c r="E19" s="8869">
        <f>'WS-PS 2017'!L48</f>
        <v>170000</v>
      </c>
      <c r="F19" s="8869">
        <f>'WS-PS ACTUAL JUNE 2018'!J48</f>
        <v>0</v>
      </c>
      <c r="G19" s="8869">
        <f t="shared" si="0"/>
        <v>230000</v>
      </c>
      <c r="H19" s="8869">
        <v>230000</v>
      </c>
      <c r="I19" s="8869"/>
      <c r="J19" s="8799"/>
      <c r="K19" s="12558">
        <f t="shared" si="1"/>
        <v>270000</v>
      </c>
      <c r="L19" s="7502">
        <f>5000*M12</f>
        <v>270000</v>
      </c>
    </row>
    <row r="20" spans="1:12" ht="15" customHeight="1">
      <c r="A20" s="11237"/>
      <c r="B20" s="7287" t="s">
        <v>95</v>
      </c>
      <c r="C20" s="11422"/>
      <c r="D20" s="11729">
        <v>50102110</v>
      </c>
      <c r="E20" s="8869">
        <f>'WS-PS 2017'!N48</f>
        <v>59874</v>
      </c>
      <c r="F20" s="8869">
        <f>'WS-PS ACTUAL JUNE 2018'!L48</f>
        <v>24947.5</v>
      </c>
      <c r="G20" s="8869">
        <f t="shared" si="0"/>
        <v>35052.5</v>
      </c>
      <c r="H20" s="8869">
        <v>60000</v>
      </c>
      <c r="I20" s="8869"/>
      <c r="J20" s="8799"/>
      <c r="K20" s="12558">
        <v>60000</v>
      </c>
      <c r="L20" s="11654">
        <f>25%*(L12-1328160)</f>
        <v>3192528</v>
      </c>
    </row>
    <row r="21" spans="1:12" ht="15" customHeight="1">
      <c r="A21" s="11237"/>
      <c r="B21" s="7488" t="s">
        <v>10934</v>
      </c>
      <c r="C21" s="10617"/>
      <c r="D21" s="8872">
        <v>50102120</v>
      </c>
      <c r="E21" s="8869">
        <f>'WS-PS 2017'!O48</f>
        <v>25000</v>
      </c>
      <c r="F21" s="8869">
        <f>'WS-PS ACTUAL JUNE 2018'!M48</f>
        <v>5000</v>
      </c>
      <c r="G21" s="8869">
        <f>H21-F21</f>
        <v>45000</v>
      </c>
      <c r="H21" s="8869">
        <v>50000</v>
      </c>
      <c r="I21" s="8869"/>
      <c r="J21" s="8799"/>
      <c r="K21" s="12558">
        <f t="shared" si="1"/>
        <v>10000</v>
      </c>
      <c r="L21" s="7502">
        <v>10000</v>
      </c>
    </row>
    <row r="22" spans="1:12" ht="15" customHeight="1">
      <c r="A22" s="11237"/>
      <c r="B22" s="7488" t="s">
        <v>10933</v>
      </c>
      <c r="C22" s="10617"/>
      <c r="D22" s="8872">
        <v>50102140</v>
      </c>
      <c r="E22" s="8869">
        <f>'WS-PS 2017'!U48+'WS-PS 2017'!S48</f>
        <v>1442258</v>
      </c>
      <c r="F22" s="8869">
        <f>'WS-PS ACTUAL JUNE 2018'!O48</f>
        <v>727428</v>
      </c>
      <c r="G22" s="8869">
        <f t="shared" si="0"/>
        <v>1329504</v>
      </c>
      <c r="H22" s="12560">
        <v>2056932</v>
      </c>
      <c r="I22" s="12560"/>
      <c r="J22" s="11845"/>
      <c r="K22" s="12558">
        <f t="shared" si="1"/>
        <v>2349712</v>
      </c>
      <c r="L22" s="7502">
        <f>SUM(L11:L12)/12*2</f>
        <v>2349712</v>
      </c>
    </row>
    <row r="23" spans="1:12" ht="15" customHeight="1">
      <c r="A23" s="11237"/>
      <c r="B23" s="7287" t="s">
        <v>26</v>
      </c>
      <c r="C23" s="11422"/>
      <c r="D23" s="11729">
        <v>50102150</v>
      </c>
      <c r="E23" s="12560">
        <f>'WS-PS 2017'!T48</f>
        <v>170000</v>
      </c>
      <c r="F23" s="12560">
        <f>'WS-PS ACTUAL JUNE 2018'!Q48</f>
        <v>0</v>
      </c>
      <c r="G23" s="8869">
        <f>H23-F23</f>
        <v>230000</v>
      </c>
      <c r="H23" s="8869">
        <v>230000</v>
      </c>
      <c r="I23" s="8869"/>
      <c r="J23" s="8799"/>
      <c r="K23" s="12558">
        <f t="shared" si="1"/>
        <v>270000</v>
      </c>
      <c r="L23" s="10573">
        <f>L19</f>
        <v>270000</v>
      </c>
    </row>
    <row r="24" spans="1:12" ht="15" customHeight="1">
      <c r="A24" s="11237"/>
      <c r="B24" s="7488" t="s">
        <v>11497</v>
      </c>
      <c r="C24" s="10617"/>
      <c r="D24" s="11257">
        <v>50102990</v>
      </c>
      <c r="E24" s="8869"/>
      <c r="F24" s="8869">
        <f>'WS-PS ACTUAL JUNE 2018'!R48</f>
        <v>0</v>
      </c>
      <c r="G24" s="8869">
        <f>H24-F24</f>
        <v>591368</v>
      </c>
      <c r="H24" s="8869">
        <v>591368</v>
      </c>
      <c r="I24" s="8869"/>
      <c r="J24" s="8799"/>
      <c r="K24" s="12558">
        <v>0</v>
      </c>
      <c r="L24" s="7502">
        <f>L12/12*0.575</f>
        <v>675542.2</v>
      </c>
    </row>
    <row r="25" spans="1:12" ht="15" customHeight="1">
      <c r="A25" s="11237"/>
      <c r="B25" s="7803" t="s">
        <v>11499</v>
      </c>
      <c r="C25" s="11422"/>
      <c r="D25" s="11059" t="s">
        <v>11495</v>
      </c>
      <c r="E25" s="8869">
        <f>'WS-PS 2017'!Q48</f>
        <v>0</v>
      </c>
      <c r="F25" s="8869">
        <f>'WS-PS ACTUAL JUNE 2018'!S48</f>
        <v>0</v>
      </c>
      <c r="G25" s="8869">
        <f>H25-F25</f>
        <v>0</v>
      </c>
      <c r="H25" s="8869">
        <v>0</v>
      </c>
      <c r="I25" s="8869"/>
      <c r="J25" s="8799"/>
      <c r="K25" s="12558">
        <f t="shared" si="1"/>
        <v>162000</v>
      </c>
      <c r="L25" s="7502">
        <f>3000*M12</f>
        <v>162000</v>
      </c>
    </row>
    <row r="26" spans="1:12" ht="15" customHeight="1">
      <c r="A26" s="11237"/>
      <c r="B26" s="11518" t="s">
        <v>59</v>
      </c>
      <c r="C26" s="12559"/>
      <c r="D26" s="8872">
        <v>50103010</v>
      </c>
      <c r="E26" s="8869">
        <f>'WS-PS 2017'!V48</f>
        <v>1049174.1100000001</v>
      </c>
      <c r="F26" s="8869">
        <f>'WS-PS ACTUAL JUNE 2018'!T48</f>
        <v>547862.94999999995</v>
      </c>
      <c r="G26" s="8869">
        <f t="shared" si="0"/>
        <v>933128.05</v>
      </c>
      <c r="H26" s="8869">
        <v>1480991</v>
      </c>
      <c r="I26" s="8869"/>
      <c r="J26" s="8799"/>
      <c r="K26" s="12558">
        <f t="shared" si="1"/>
        <v>1691792.64</v>
      </c>
      <c r="L26" s="11655">
        <f>SUM(L11:L12)*12%</f>
        <v>1691792.64</v>
      </c>
    </row>
    <row r="27" spans="1:12" ht="15" customHeight="1">
      <c r="A27" s="11237"/>
      <c r="B27" s="7803" t="s">
        <v>28</v>
      </c>
      <c r="C27" s="11422"/>
      <c r="D27" s="8872">
        <v>50103020</v>
      </c>
      <c r="E27" s="8869">
        <f>'WS-PS 2017'!W48</f>
        <v>41200</v>
      </c>
      <c r="F27" s="8869">
        <f>'WS-PS ACTUAL JUNE 2018'!U48</f>
        <v>19400</v>
      </c>
      <c r="G27" s="8869">
        <f t="shared" si="0"/>
        <v>35800</v>
      </c>
      <c r="H27" s="8869">
        <v>55200</v>
      </c>
      <c r="I27" s="8869"/>
      <c r="J27" s="8799"/>
      <c r="K27" s="12558">
        <f t="shared" si="1"/>
        <v>64800</v>
      </c>
      <c r="L27" s="7502">
        <f>1200*M12</f>
        <v>64800</v>
      </c>
    </row>
    <row r="28" spans="1:12" ht="15" customHeight="1">
      <c r="A28" s="11237"/>
      <c r="B28" s="7803" t="s">
        <v>29</v>
      </c>
      <c r="C28" s="11422"/>
      <c r="D28" s="8872">
        <v>50103030</v>
      </c>
      <c r="E28" s="8869">
        <f>'WS-PS 2017'!X48</f>
        <v>91125</v>
      </c>
      <c r="F28" s="8869">
        <f>'WS-PS ACTUAL JUNE 2018'!V48</f>
        <v>54809.04</v>
      </c>
      <c r="G28" s="8869">
        <f t="shared" si="0"/>
        <v>56190.96</v>
      </c>
      <c r="H28" s="8869">
        <v>111000</v>
      </c>
      <c r="I28" s="8869"/>
      <c r="J28" s="8799"/>
      <c r="K28" s="12558">
        <v>179246.26499999996</v>
      </c>
      <c r="L28" s="7502">
        <f>3600*M12</f>
        <v>194400</v>
      </c>
    </row>
    <row r="29" spans="1:12" ht="15" customHeight="1">
      <c r="A29" s="11237"/>
      <c r="B29" s="7803" t="s">
        <v>30</v>
      </c>
      <c r="C29" s="11422"/>
      <c r="D29" s="8872">
        <v>50103040</v>
      </c>
      <c r="E29" s="8869">
        <f>'WS-PS 2017'!Y48</f>
        <v>41300</v>
      </c>
      <c r="F29" s="8869">
        <f>'WS-PS ACTUAL JUNE 2018'!W48</f>
        <v>19400</v>
      </c>
      <c r="G29" s="8869">
        <f t="shared" si="0"/>
        <v>35800</v>
      </c>
      <c r="H29" s="8869">
        <v>55200</v>
      </c>
      <c r="I29" s="8869"/>
      <c r="J29" s="8799"/>
      <c r="K29" s="12558">
        <f t="shared" si="1"/>
        <v>64800</v>
      </c>
      <c r="L29" s="7502">
        <f>L27</f>
        <v>64800</v>
      </c>
    </row>
    <row r="30" spans="1:12" ht="15" customHeight="1">
      <c r="A30" s="11237"/>
      <c r="B30" s="7488" t="s">
        <v>5025</v>
      </c>
      <c r="C30" s="10617"/>
      <c r="D30" s="11258">
        <v>50104990</v>
      </c>
      <c r="E30" s="8869">
        <f>'WS-PS 2017'!Z48</f>
        <v>850000</v>
      </c>
      <c r="F30" s="8869"/>
      <c r="G30" s="8869">
        <f t="shared" si="0"/>
        <v>0</v>
      </c>
      <c r="H30" s="8869">
        <v>0</v>
      </c>
      <c r="I30" s="8869"/>
      <c r="J30" s="8799"/>
      <c r="K30" s="12558">
        <f t="shared" si="1"/>
        <v>0</v>
      </c>
    </row>
    <row r="31" spans="1:12" ht="15" customHeight="1">
      <c r="A31" s="11237"/>
      <c r="B31" s="7355"/>
      <c r="C31" s="12561"/>
      <c r="D31" s="12525"/>
      <c r="E31" s="8871"/>
      <c r="F31" s="8871"/>
      <c r="G31" s="8871"/>
      <c r="H31" s="8869"/>
      <c r="I31" s="8869"/>
      <c r="J31" s="8799"/>
      <c r="K31" s="11463"/>
    </row>
    <row r="32" spans="1:12" ht="15" customHeight="1" thickBot="1">
      <c r="A32" s="11235"/>
      <c r="B32" s="7391" t="s">
        <v>37</v>
      </c>
      <c r="C32" s="12536"/>
      <c r="D32" s="12562"/>
      <c r="E32" s="9428">
        <f>SUM(E11:E30)</f>
        <v>13919278.939999999</v>
      </c>
      <c r="F32" s="9428">
        <f>SUM(F11:F30)</f>
        <v>6630160.6799999997</v>
      </c>
      <c r="G32" s="9428">
        <f t="shared" si="0"/>
        <v>12189922.32</v>
      </c>
      <c r="H32" s="9428">
        <f>SUM(H11:H30)</f>
        <v>18820083</v>
      </c>
      <c r="I32" s="9428"/>
      <c r="J32" s="11449"/>
      <c r="K32" s="11450">
        <f>SUM(K11:K30)</f>
        <v>21599022.905000001</v>
      </c>
      <c r="L32" s="11748">
        <f>SUM(L12:L31)</f>
        <v>25422246.84</v>
      </c>
    </row>
    <row r="33" spans="1:12" ht="15" customHeight="1">
      <c r="A33" s="7385"/>
      <c r="B33" s="7386"/>
      <c r="C33" s="12535"/>
      <c r="D33" s="7387"/>
      <c r="E33" s="7388"/>
      <c r="F33" s="7388"/>
      <c r="G33" s="7388"/>
      <c r="H33" s="7388"/>
      <c r="I33" s="7388"/>
      <c r="J33" s="7389"/>
      <c r="K33" s="7388"/>
    </row>
    <row r="34" spans="1:12" ht="15" customHeight="1">
      <c r="A34" s="7352"/>
      <c r="B34" s="7361"/>
      <c r="C34" s="12534"/>
      <c r="D34" s="7353"/>
      <c r="E34" s="7364"/>
      <c r="F34" s="7364"/>
      <c r="G34" s="7364"/>
      <c r="H34" s="7364"/>
      <c r="I34" s="7364"/>
      <c r="J34" s="7350"/>
      <c r="K34" s="7364"/>
      <c r="L34" s="7343">
        <f>K32-H32</f>
        <v>2778939.9050000012</v>
      </c>
    </row>
    <row r="35" spans="1:12" ht="15" customHeight="1">
      <c r="A35" s="7352"/>
      <c r="B35" s="7361"/>
      <c r="C35" s="12534"/>
      <c r="D35" s="7353"/>
      <c r="E35" s="7364"/>
      <c r="F35" s="7364"/>
      <c r="G35" s="7364"/>
      <c r="H35" s="7364"/>
      <c r="I35" s="7364"/>
      <c r="J35" s="7350"/>
      <c r="K35" s="7364"/>
      <c r="L35" s="8875">
        <f>L34/H32</f>
        <v>0.14765821728841477</v>
      </c>
    </row>
    <row r="36" spans="1:12" ht="15" customHeight="1">
      <c r="A36" s="7352"/>
      <c r="B36" s="7361"/>
      <c r="C36" s="12534"/>
      <c r="D36" s="7353"/>
      <c r="E36" s="7364"/>
      <c r="F36" s="7364"/>
      <c r="G36" s="7364"/>
      <c r="H36" s="7364"/>
      <c r="I36" s="7364"/>
      <c r="J36" s="7350"/>
      <c r="K36" s="7364"/>
    </row>
    <row r="37" spans="1:12" ht="15" customHeight="1">
      <c r="A37" s="7352"/>
      <c r="B37" s="7361"/>
      <c r="C37" s="12534"/>
      <c r="D37" s="7353"/>
      <c r="E37" s="7364"/>
      <c r="F37" s="7364"/>
      <c r="G37" s="7364"/>
      <c r="H37" s="7364"/>
      <c r="I37" s="7364"/>
      <c r="J37" s="7350"/>
      <c r="K37" s="7364"/>
    </row>
    <row r="38" spans="1:12" ht="15" customHeight="1">
      <c r="A38" s="7352"/>
      <c r="B38" s="7361"/>
      <c r="C38" s="12534"/>
      <c r="D38" s="7353"/>
      <c r="E38" s="7364"/>
      <c r="F38" s="7364"/>
      <c r="G38" s="7364"/>
      <c r="H38" s="7364"/>
      <c r="I38" s="7364"/>
      <c r="J38" s="7350"/>
      <c r="K38" s="7364"/>
    </row>
    <row r="39" spans="1:12" ht="15" customHeight="1" thickBot="1">
      <c r="A39" s="7390" t="s">
        <v>4811</v>
      </c>
      <c r="B39" s="7391"/>
      <c r="C39" s="12536"/>
      <c r="D39" s="7392"/>
      <c r="E39" s="7393"/>
      <c r="F39" s="7393"/>
      <c r="G39" s="7393"/>
      <c r="H39" s="7393"/>
      <c r="I39" s="7393"/>
      <c r="J39" s="7394"/>
      <c r="K39" s="7393"/>
    </row>
    <row r="40" spans="1:12" ht="15" customHeight="1">
      <c r="A40" s="11433"/>
      <c r="B40" s="11434"/>
      <c r="C40" s="12532"/>
      <c r="D40" s="11436" t="s">
        <v>103</v>
      </c>
      <c r="E40" s="9461" t="s">
        <v>10</v>
      </c>
      <c r="F40" s="14188" t="s">
        <v>10711</v>
      </c>
      <c r="G40" s="14189"/>
      <c r="H40" s="14190"/>
      <c r="I40" s="9461"/>
      <c r="J40" s="9462"/>
      <c r="K40" s="11437" t="s">
        <v>12</v>
      </c>
    </row>
    <row r="41" spans="1:12" ht="15" customHeight="1">
      <c r="A41" s="11237"/>
      <c r="B41" s="7356" t="s">
        <v>13</v>
      </c>
      <c r="C41" s="10619"/>
      <c r="D41" s="10111" t="s">
        <v>94</v>
      </c>
      <c r="E41" s="11438" t="s">
        <v>15</v>
      </c>
      <c r="F41" s="9502" t="s">
        <v>10709</v>
      </c>
      <c r="G41" s="9503" t="s">
        <v>10710</v>
      </c>
      <c r="H41" s="14191" t="s">
        <v>458</v>
      </c>
      <c r="I41" s="11438"/>
      <c r="J41" s="11108"/>
      <c r="K41" s="11439" t="s">
        <v>16</v>
      </c>
    </row>
    <row r="42" spans="1:12" ht="15" customHeight="1" thickBot="1">
      <c r="A42" s="11235"/>
      <c r="B42" s="7752"/>
      <c r="C42" s="12533"/>
      <c r="D42" s="7735"/>
      <c r="E42" s="7302">
        <v>2017</v>
      </c>
      <c r="F42" s="9467" t="s">
        <v>457</v>
      </c>
      <c r="G42" s="11661" t="s">
        <v>456</v>
      </c>
      <c r="H42" s="14192"/>
      <c r="I42" s="7302"/>
      <c r="J42" s="7322"/>
      <c r="K42" s="11442">
        <v>2019</v>
      </c>
    </row>
    <row r="43" spans="1:12" ht="15" customHeight="1">
      <c r="A43" s="11237"/>
      <c r="B43" s="7356"/>
      <c r="C43" s="10619"/>
      <c r="D43" s="11436"/>
      <c r="E43" s="11181"/>
      <c r="F43" s="10030"/>
      <c r="G43" s="11123"/>
      <c r="H43" s="10030"/>
      <c r="I43" s="11181"/>
      <c r="J43" s="11108"/>
      <c r="K43" s="11453"/>
    </row>
    <row r="44" spans="1:12" ht="15" customHeight="1">
      <c r="A44" s="11241"/>
      <c r="B44" s="7352" t="s">
        <v>38</v>
      </c>
      <c r="C44" s="11422"/>
      <c r="D44" s="12525"/>
      <c r="E44" s="8869" t="s">
        <v>9</v>
      </c>
      <c r="F44" s="8869"/>
      <c r="G44" s="8869"/>
      <c r="H44" s="8869"/>
      <c r="I44" s="8869"/>
      <c r="J44" s="8799"/>
      <c r="K44" s="11463"/>
    </row>
    <row r="45" spans="1:12" ht="15" customHeight="1">
      <c r="A45" s="11237"/>
      <c r="B45" s="8805" t="s">
        <v>39</v>
      </c>
      <c r="C45" s="11422"/>
      <c r="D45" s="8802">
        <v>50201010</v>
      </c>
      <c r="E45" s="8869">
        <f>'WS-MOOE 2017'!B48</f>
        <v>681139.55</v>
      </c>
      <c r="F45" s="8869">
        <f>'WS-MOOE ACTUAL JUNE 2018'!B49</f>
        <v>283986.19</v>
      </c>
      <c r="G45" s="8869">
        <f>H45-F45</f>
        <v>333013.81</v>
      </c>
      <c r="H45" s="8869">
        <v>617000</v>
      </c>
      <c r="I45" s="8869">
        <v>532718.18999999994</v>
      </c>
      <c r="J45" s="8799">
        <f>I45/H45</f>
        <v>0.86340063209076168</v>
      </c>
      <c r="K45" s="11463">
        <v>700000</v>
      </c>
    </row>
    <row r="46" spans="1:12" ht="15" customHeight="1">
      <c r="A46" s="11237"/>
      <c r="B46" s="8805" t="s">
        <v>41</v>
      </c>
      <c r="C46" s="11422"/>
      <c r="D46" s="8802">
        <v>50202010</v>
      </c>
      <c r="E46" s="8869">
        <f>'WS-MOOE 2017'!H48</f>
        <v>60700</v>
      </c>
      <c r="F46" s="8869">
        <f>'WS-MOOE ACTUAL JUNE 2018'!G49</f>
        <v>21500</v>
      </c>
      <c r="G46" s="8869">
        <f t="shared" ref="G46:G64" si="2">H46-F46</f>
        <v>178500</v>
      </c>
      <c r="H46" s="8869">
        <v>200000</v>
      </c>
      <c r="I46" s="8869">
        <v>110600</v>
      </c>
      <c r="J46" s="8799">
        <f t="shared" ref="J46:J63" si="3">I46/H46</f>
        <v>0.55300000000000005</v>
      </c>
      <c r="K46" s="11463">
        <v>200000</v>
      </c>
    </row>
    <row r="47" spans="1:12" ht="15" customHeight="1">
      <c r="A47" s="11237"/>
      <c r="B47" s="8805" t="s">
        <v>42</v>
      </c>
      <c r="C47" s="11422"/>
      <c r="D47" s="8802">
        <v>50203010</v>
      </c>
      <c r="E47" s="8869">
        <f>'WS-MOOE 2017'!J48</f>
        <v>225416</v>
      </c>
      <c r="F47" s="8869">
        <f>'WS-MOOE ACTUAL JUNE 2018'!H49</f>
        <v>15000</v>
      </c>
      <c r="G47" s="8869">
        <f t="shared" si="2"/>
        <v>385000</v>
      </c>
      <c r="H47" s="8869">
        <v>400000</v>
      </c>
      <c r="I47" s="8869">
        <v>293065.65000000002</v>
      </c>
      <c r="J47" s="8799">
        <f t="shared" si="3"/>
        <v>0.73266412500000011</v>
      </c>
      <c r="K47" s="11463">
        <v>400000</v>
      </c>
    </row>
    <row r="48" spans="1:12" ht="15" customHeight="1">
      <c r="A48" s="11237"/>
      <c r="B48" s="7352" t="s">
        <v>164</v>
      </c>
      <c r="C48" s="11422"/>
      <c r="D48" s="12563">
        <v>50203040</v>
      </c>
      <c r="E48" s="8869">
        <f>'WS-MOOE 2017'!N48</f>
        <v>256847</v>
      </c>
      <c r="F48" s="8869">
        <f>'WS-MOOE ACTUAL JUNE 2018'!K49</f>
        <v>270000</v>
      </c>
      <c r="G48" s="8869">
        <f t="shared" si="2"/>
        <v>330000</v>
      </c>
      <c r="H48" s="8869">
        <v>600000</v>
      </c>
      <c r="I48" s="8869">
        <v>514000</v>
      </c>
      <c r="J48" s="8799">
        <f t="shared" si="3"/>
        <v>0.85666666666666669</v>
      </c>
      <c r="K48" s="11463">
        <v>600000</v>
      </c>
    </row>
    <row r="49" spans="1:12" ht="15" customHeight="1">
      <c r="A49" s="11237"/>
      <c r="B49" s="8805" t="s">
        <v>44</v>
      </c>
      <c r="C49" s="11422"/>
      <c r="D49" s="8802">
        <v>50203090</v>
      </c>
      <c r="E49" s="8869">
        <f>'WS-MOOE 2017'!R48</f>
        <v>383951.09</v>
      </c>
      <c r="F49" s="8869">
        <f>'WS-MOOE ACTUAL JUNE 2018'!O49</f>
        <v>50000</v>
      </c>
      <c r="G49" s="8869">
        <f t="shared" si="2"/>
        <v>550000</v>
      </c>
      <c r="H49" s="8869">
        <v>600000</v>
      </c>
      <c r="I49" s="8869">
        <v>268600.90000000002</v>
      </c>
      <c r="J49" s="8799">
        <f t="shared" si="3"/>
        <v>0.4476681666666667</v>
      </c>
      <c r="K49" s="11463">
        <v>600000</v>
      </c>
    </row>
    <row r="50" spans="1:12" ht="15" customHeight="1">
      <c r="A50" s="11237"/>
      <c r="B50" s="7287" t="s">
        <v>10980</v>
      </c>
      <c r="C50" s="11422"/>
      <c r="D50" s="8802">
        <v>50203100</v>
      </c>
      <c r="E50" s="8869">
        <f>'WS-MOOE 2017'!T48</f>
        <v>44985</v>
      </c>
      <c r="F50" s="8869">
        <f>'WS-MOOE ACTUAL JUNE 2018'!P49</f>
        <v>0</v>
      </c>
      <c r="G50" s="8869">
        <f t="shared" si="2"/>
        <v>50000</v>
      </c>
      <c r="H50" s="8869">
        <v>50000</v>
      </c>
      <c r="I50" s="8869">
        <v>40575</v>
      </c>
      <c r="J50" s="8799">
        <f t="shared" si="3"/>
        <v>0.8115</v>
      </c>
      <c r="K50" s="11463">
        <v>50000</v>
      </c>
    </row>
    <row r="51" spans="1:12" ht="15" customHeight="1">
      <c r="A51" s="11237"/>
      <c r="B51" s="8805" t="s">
        <v>45</v>
      </c>
      <c r="C51" s="11422"/>
      <c r="D51" s="8802">
        <v>50204010</v>
      </c>
      <c r="E51" s="8869">
        <f>'WS-MOOE 2017'!W48</f>
        <v>25000</v>
      </c>
      <c r="F51" s="8869">
        <f>'WS-MOOE ACTUAL JUNE 2018'!R49</f>
        <v>15506.94</v>
      </c>
      <c r="G51" s="8869">
        <f t="shared" si="2"/>
        <v>26493.059999999998</v>
      </c>
      <c r="H51" s="8869">
        <v>42000</v>
      </c>
      <c r="I51" s="8869">
        <v>18184.64</v>
      </c>
      <c r="J51" s="8799">
        <f t="shared" si="3"/>
        <v>0.43296761904761905</v>
      </c>
      <c r="K51" s="11268">
        <v>0</v>
      </c>
      <c r="L51" s="11252">
        <v>42000</v>
      </c>
    </row>
    <row r="52" spans="1:12" ht="15" customHeight="1">
      <c r="A52" s="11237"/>
      <c r="B52" s="8805" t="s">
        <v>46</v>
      </c>
      <c r="C52" s="11422"/>
      <c r="D52" s="8802">
        <v>50204020</v>
      </c>
      <c r="E52" s="8869">
        <f>'WS-MOOE 2017'!X48</f>
        <v>190900</v>
      </c>
      <c r="F52" s="8869">
        <f>'WS-MOOE ACTUAL JUNE 2018'!S49</f>
        <v>97769.18</v>
      </c>
      <c r="G52" s="8869">
        <f t="shared" si="2"/>
        <v>102230.82</v>
      </c>
      <c r="H52" s="8869">
        <v>200000</v>
      </c>
      <c r="I52" s="8869">
        <v>170533.78</v>
      </c>
      <c r="J52" s="8799">
        <f t="shared" si="3"/>
        <v>0.85266889999999995</v>
      </c>
      <c r="K52" s="11268">
        <v>0</v>
      </c>
      <c r="L52" s="11252">
        <v>240000</v>
      </c>
    </row>
    <row r="53" spans="1:12" ht="15" customHeight="1">
      <c r="A53" s="11237"/>
      <c r="B53" s="8805" t="s">
        <v>62</v>
      </c>
      <c r="C53" s="11422"/>
      <c r="D53" s="8802">
        <v>50205010</v>
      </c>
      <c r="E53" s="8869">
        <f>'WS-MOOE 2017'!Z48</f>
        <v>14000</v>
      </c>
      <c r="F53" s="8869">
        <f>'WS-MOOE ACTUAL JUNE 2018'!U49</f>
        <v>6218.24</v>
      </c>
      <c r="G53" s="8869">
        <f t="shared" si="2"/>
        <v>8781.76</v>
      </c>
      <c r="H53" s="8869">
        <v>15000</v>
      </c>
      <c r="I53" s="8869">
        <v>9322.64</v>
      </c>
      <c r="J53" s="8799">
        <f t="shared" si="3"/>
        <v>0.62150933333333325</v>
      </c>
      <c r="K53" s="11463">
        <v>15000</v>
      </c>
    </row>
    <row r="54" spans="1:12" ht="15" customHeight="1">
      <c r="A54" s="11237"/>
      <c r="B54" s="8808" t="s">
        <v>155</v>
      </c>
      <c r="C54" s="11422"/>
      <c r="D54" s="8802">
        <v>50205020</v>
      </c>
      <c r="E54" s="8869">
        <f>'WS-MOOE 2017'!AA48+'WS-MOOE 2017'!AC48</f>
        <v>126499</v>
      </c>
      <c r="F54" s="8869">
        <f>'WS-MOOE ACTUAL JUNE 2018'!V49</f>
        <v>58078.84</v>
      </c>
      <c r="G54" s="8869">
        <f t="shared" si="2"/>
        <v>151921.16</v>
      </c>
      <c r="H54" s="8869">
        <v>210000</v>
      </c>
      <c r="I54" s="8869">
        <v>83396.160000000003</v>
      </c>
      <c r="J54" s="8799">
        <f t="shared" si="3"/>
        <v>0.39712457142857144</v>
      </c>
      <c r="K54" s="11463">
        <f>168000+42000</f>
        <v>210000</v>
      </c>
    </row>
    <row r="55" spans="1:12" ht="15" hidden="1" customHeight="1">
      <c r="A55" s="11237"/>
      <c r="B55" s="8805" t="s">
        <v>89</v>
      </c>
      <c r="C55" s="11422"/>
      <c r="D55" s="8802"/>
      <c r="E55" s="8869"/>
      <c r="F55" s="8869"/>
      <c r="G55" s="8869">
        <f t="shared" si="2"/>
        <v>0</v>
      </c>
      <c r="H55" s="8869"/>
      <c r="I55" s="8869">
        <v>0</v>
      </c>
      <c r="J55" s="8799" t="e">
        <f t="shared" si="3"/>
        <v>#DIV/0!</v>
      </c>
      <c r="K55" s="11463"/>
    </row>
    <row r="56" spans="1:12" ht="15" customHeight="1">
      <c r="A56" s="11237"/>
      <c r="B56" s="7352" t="s">
        <v>128</v>
      </c>
      <c r="C56" s="11422"/>
      <c r="D56" s="12563">
        <v>50299070</v>
      </c>
      <c r="E56" s="8869">
        <f>'WS-MOOE 2017'!BL48</f>
        <v>15000</v>
      </c>
      <c r="F56" s="8869">
        <f>'WS-MOOE ACTUAL JUNE 2018'!BF49</f>
        <v>7035</v>
      </c>
      <c r="G56" s="8869">
        <f t="shared" si="2"/>
        <v>7965</v>
      </c>
      <c r="H56" s="8869">
        <v>15000</v>
      </c>
      <c r="I56" s="8869">
        <v>9905</v>
      </c>
      <c r="J56" s="8799">
        <f t="shared" si="3"/>
        <v>0.66033333333333333</v>
      </c>
      <c r="K56" s="11463">
        <v>15000</v>
      </c>
    </row>
    <row r="57" spans="1:12" ht="15" customHeight="1">
      <c r="A57" s="11237"/>
      <c r="B57" s="7352" t="s">
        <v>10940</v>
      </c>
      <c r="C57" s="11422"/>
      <c r="D57" s="8872">
        <v>50212990</v>
      </c>
      <c r="E57" s="8869">
        <f>'WS-MOOE 2017'!AO48</f>
        <v>588000</v>
      </c>
      <c r="F57" s="8869">
        <f>'WS-MOOE ACTUAL JUNE 2018'!AJ49</f>
        <v>272314.12</v>
      </c>
      <c r="G57" s="8869">
        <f t="shared" si="2"/>
        <v>393685.88</v>
      </c>
      <c r="H57" s="8869">
        <v>666000</v>
      </c>
      <c r="I57" s="8869">
        <v>469888.71</v>
      </c>
      <c r="J57" s="8799">
        <f t="shared" si="3"/>
        <v>0.70553860360360365</v>
      </c>
      <c r="K57" s="11463">
        <v>700000</v>
      </c>
    </row>
    <row r="58" spans="1:12" ht="15" customHeight="1">
      <c r="A58" s="11237"/>
      <c r="B58" s="7488" t="s">
        <v>10959</v>
      </c>
      <c r="C58" s="10617"/>
      <c r="D58" s="10377">
        <v>50213040</v>
      </c>
      <c r="E58" s="8869">
        <f>'WS-MOOE 2017'!AS48</f>
        <v>0</v>
      </c>
      <c r="F58" s="8869">
        <f>'WS-MOOE ACTUAL JUNE 2018'!AN49</f>
        <v>0</v>
      </c>
      <c r="G58" s="8869">
        <f t="shared" si="2"/>
        <v>3000</v>
      </c>
      <c r="H58" s="8869">
        <v>3000</v>
      </c>
      <c r="I58" s="8869">
        <v>0</v>
      </c>
      <c r="J58" s="8799">
        <f t="shared" si="3"/>
        <v>0</v>
      </c>
      <c r="K58" s="11463">
        <v>3000</v>
      </c>
    </row>
    <row r="59" spans="1:12" ht="15" hidden="1" customHeight="1">
      <c r="A59" s="11237"/>
      <c r="B59" s="7352" t="s">
        <v>115</v>
      </c>
      <c r="C59" s="11422"/>
      <c r="D59" s="10387"/>
      <c r="E59" s="8869"/>
      <c r="F59" s="8869"/>
      <c r="G59" s="8869">
        <f t="shared" si="2"/>
        <v>0</v>
      </c>
      <c r="H59" s="8869"/>
      <c r="I59" s="8869">
        <v>0</v>
      </c>
      <c r="J59" s="8799" t="e">
        <f t="shared" si="3"/>
        <v>#DIV/0!</v>
      </c>
      <c r="K59" s="11463"/>
    </row>
    <row r="60" spans="1:12" ht="15" customHeight="1">
      <c r="A60" s="11237"/>
      <c r="B60" s="7488" t="s">
        <v>10938</v>
      </c>
      <c r="C60" s="10617"/>
      <c r="D60" s="8872">
        <v>50213050</v>
      </c>
      <c r="E60" s="8869">
        <f>'WS-MOOE 2017'!AW48</f>
        <v>5000</v>
      </c>
      <c r="F60" s="8869">
        <f>'WS-MOOE ACTUAL JUNE 2018'!AS49</f>
        <v>0</v>
      </c>
      <c r="G60" s="8869">
        <f t="shared" si="2"/>
        <v>6000</v>
      </c>
      <c r="H60" s="8869">
        <v>6000</v>
      </c>
      <c r="I60" s="8869">
        <v>0</v>
      </c>
      <c r="J60" s="8799">
        <f t="shared" si="3"/>
        <v>0</v>
      </c>
      <c r="K60" s="11463">
        <f>3000+3000</f>
        <v>6000</v>
      </c>
    </row>
    <row r="61" spans="1:12" ht="15" customHeight="1">
      <c r="A61" s="11237"/>
      <c r="B61" s="7488" t="s">
        <v>10937</v>
      </c>
      <c r="C61" s="10617"/>
      <c r="D61" s="11258">
        <v>50213060</v>
      </c>
      <c r="E61" s="8869">
        <f>'WS-MOOE 2017'!BB48</f>
        <v>465589.85</v>
      </c>
      <c r="F61" s="8869">
        <f>'WS-MOOE ACTUAL JUNE 2018'!AT49</f>
        <v>143028.54999999999</v>
      </c>
      <c r="G61" s="8869">
        <f t="shared" si="2"/>
        <v>383971.45</v>
      </c>
      <c r="H61" s="8869">
        <v>527000</v>
      </c>
      <c r="I61" s="8869">
        <v>397464.55</v>
      </c>
      <c r="J61" s="8799">
        <f t="shared" si="3"/>
        <v>0.7542021821631878</v>
      </c>
      <c r="K61" s="11463">
        <v>527000</v>
      </c>
    </row>
    <row r="62" spans="1:12" ht="15" customHeight="1">
      <c r="A62" s="11237"/>
      <c r="B62" s="7352" t="s">
        <v>166</v>
      </c>
      <c r="C62" s="11422"/>
      <c r="D62" s="12563">
        <v>50213990</v>
      </c>
      <c r="E62" s="8869">
        <f>'WS-MOOE 2017'!BC48</f>
        <v>0</v>
      </c>
      <c r="F62" s="8869">
        <f>'WS-MOOE ACTUAL JUNE 2018'!AV49</f>
        <v>0</v>
      </c>
      <c r="G62" s="8869">
        <f t="shared" si="2"/>
        <v>3000</v>
      </c>
      <c r="H62" s="8869">
        <v>3000</v>
      </c>
      <c r="I62" s="8869">
        <v>0</v>
      </c>
      <c r="J62" s="8799">
        <f t="shared" si="3"/>
        <v>0</v>
      </c>
      <c r="K62" s="11463">
        <v>3000</v>
      </c>
    </row>
    <row r="63" spans="1:12" ht="15" customHeight="1">
      <c r="A63" s="11237"/>
      <c r="B63" s="8806" t="s">
        <v>49</v>
      </c>
      <c r="C63" s="11422"/>
      <c r="D63" s="8872">
        <v>50215020</v>
      </c>
      <c r="E63" s="8869">
        <f>'WS-MOOE 2017'!BH48</f>
        <v>3375</v>
      </c>
      <c r="F63" s="8869">
        <f>'WS-MOOE ACTUAL JUNE 2018'!AZ49</f>
        <v>1125</v>
      </c>
      <c r="G63" s="8869">
        <f t="shared" si="2"/>
        <v>8875</v>
      </c>
      <c r="H63" s="8869">
        <v>10000</v>
      </c>
      <c r="I63" s="8869">
        <v>3375</v>
      </c>
      <c r="J63" s="8799">
        <f t="shared" si="3"/>
        <v>0.33750000000000002</v>
      </c>
      <c r="K63" s="11463">
        <v>10000</v>
      </c>
    </row>
    <row r="64" spans="1:12" ht="15" customHeight="1">
      <c r="A64" s="11237"/>
      <c r="B64" s="8808" t="s">
        <v>50</v>
      </c>
      <c r="C64" s="11422"/>
      <c r="D64" s="10149">
        <v>50299990</v>
      </c>
      <c r="E64" s="8869">
        <f>'WS-MOOE 2017'!BO48</f>
        <v>395335.74</v>
      </c>
      <c r="F64" s="8869">
        <f>'WS-MOOE ACTUAL JUNE 2018'!BI49</f>
        <v>25259.200000000001</v>
      </c>
      <c r="G64" s="8869">
        <f t="shared" si="2"/>
        <v>574740.80000000005</v>
      </c>
      <c r="H64" s="8869">
        <v>600000</v>
      </c>
      <c r="I64" s="8869">
        <v>300874.71999999997</v>
      </c>
      <c r="J64" s="8799">
        <f>I64/H64</f>
        <v>0.50145786666666659</v>
      </c>
      <c r="K64" s="11463">
        <v>670000</v>
      </c>
    </row>
    <row r="65" spans="1:13" s="7355" customFormat="1" ht="15" customHeight="1">
      <c r="A65" s="11237"/>
      <c r="B65" s="7352"/>
      <c r="C65" s="11422"/>
      <c r="D65" s="12525"/>
      <c r="E65" s="10486"/>
      <c r="F65" s="10486"/>
      <c r="G65" s="8869"/>
      <c r="H65" s="10486"/>
      <c r="I65" s="10486"/>
      <c r="J65" s="8799"/>
      <c r="K65" s="11448"/>
      <c r="L65" s="7504"/>
      <c r="M65" s="8069"/>
    </row>
    <row r="66" spans="1:13" ht="15" customHeight="1">
      <c r="A66" s="11237"/>
      <c r="B66" s="7361" t="s">
        <v>37</v>
      </c>
      <c r="C66" s="12534"/>
      <c r="D66" s="12525"/>
      <c r="E66" s="9538">
        <f>SUM(E45:E64)</f>
        <v>3481738.2300000004</v>
      </c>
      <c r="F66" s="9538">
        <f>SUM(F45:F64)</f>
        <v>1266821.2599999998</v>
      </c>
      <c r="G66" s="9538">
        <f>H66-F66</f>
        <v>3497178.74</v>
      </c>
      <c r="H66" s="9538">
        <f>SUM(H45:H64)</f>
        <v>4764000</v>
      </c>
      <c r="I66" s="9538">
        <f>SUM(I45:I64)</f>
        <v>3222504.9399999995</v>
      </c>
      <c r="J66" s="9466"/>
      <c r="K66" s="11761">
        <f>SUM(K45:K65)</f>
        <v>4709000</v>
      </c>
      <c r="L66" s="10391">
        <f>(K66-H66)/H66</f>
        <v>-1.1544920235096557E-2</v>
      </c>
    </row>
    <row r="67" spans="1:13" ht="15" customHeight="1" thickBot="1">
      <c r="A67" s="11235"/>
      <c r="B67" s="7391"/>
      <c r="C67" s="12536"/>
      <c r="D67" s="12562"/>
      <c r="E67" s="7736"/>
      <c r="F67" s="7736"/>
      <c r="G67" s="7736"/>
      <c r="H67" s="7736"/>
      <c r="I67" s="7736"/>
      <c r="J67" s="7737"/>
      <c r="K67" s="11759"/>
    </row>
    <row r="68" spans="1:13" ht="15" customHeight="1">
      <c r="A68" s="7352"/>
      <c r="B68" s="7361"/>
      <c r="C68" s="12534"/>
      <c r="D68" s="7353"/>
      <c r="E68" s="7364"/>
      <c r="F68" s="7364"/>
      <c r="G68" s="7364"/>
      <c r="H68" s="7364"/>
      <c r="I68" s="7364"/>
      <c r="J68" s="7350"/>
      <c r="K68" s="7364"/>
    </row>
    <row r="69" spans="1:13" ht="15" customHeight="1">
      <c r="A69" s="7352"/>
      <c r="B69" s="7361"/>
      <c r="C69" s="12534"/>
      <c r="D69" s="7353"/>
      <c r="E69" s="7364"/>
      <c r="F69" s="7364"/>
      <c r="G69" s="7364"/>
      <c r="H69" s="7364"/>
      <c r="I69" s="7364"/>
      <c r="J69" s="7350"/>
      <c r="K69" s="7364"/>
    </row>
    <row r="70" spans="1:13" ht="15" customHeight="1">
      <c r="A70" s="7352"/>
      <c r="B70" s="7361"/>
      <c r="C70" s="12534"/>
      <c r="D70" s="7353"/>
      <c r="E70" s="7364"/>
      <c r="F70" s="7364"/>
      <c r="G70" s="7364"/>
      <c r="H70" s="7364"/>
      <c r="I70" s="7364"/>
      <c r="J70" s="7350"/>
      <c r="K70" s="7364"/>
    </row>
    <row r="71" spans="1:13" ht="15" customHeight="1">
      <c r="A71" s="7352"/>
      <c r="B71" s="7361"/>
      <c r="C71" s="12534"/>
      <c r="D71" s="7353"/>
      <c r="E71" s="7364"/>
      <c r="F71" s="7364"/>
      <c r="G71" s="7364"/>
      <c r="H71" s="7364"/>
      <c r="I71" s="7364"/>
      <c r="J71" s="7350"/>
      <c r="K71" s="7364"/>
    </row>
    <row r="72" spans="1:13" ht="15" customHeight="1">
      <c r="A72" s="7352"/>
      <c r="B72" s="7361"/>
      <c r="C72" s="12534"/>
      <c r="D72" s="7353"/>
      <c r="E72" s="7364"/>
      <c r="F72" s="7364"/>
      <c r="G72" s="7364"/>
      <c r="H72" s="7364"/>
      <c r="I72" s="7364"/>
      <c r="J72" s="7350"/>
      <c r="K72" s="7364"/>
    </row>
    <row r="73" spans="1:13" ht="15" customHeight="1">
      <c r="A73" s="7352"/>
      <c r="B73" s="7361"/>
      <c r="C73" s="12534"/>
      <c r="D73" s="7353"/>
      <c r="E73" s="7364"/>
      <c r="F73" s="7364"/>
      <c r="G73" s="7364"/>
      <c r="H73" s="7364"/>
      <c r="I73" s="7364"/>
      <c r="J73" s="7350"/>
      <c r="K73" s="7364"/>
    </row>
    <row r="74" spans="1:13" ht="15" customHeight="1">
      <c r="A74" s="7352"/>
      <c r="B74" s="7361"/>
      <c r="C74" s="12534"/>
      <c r="D74" s="7353"/>
      <c r="E74" s="7364"/>
      <c r="F74" s="7364"/>
      <c r="G74" s="7364"/>
      <c r="H74" s="7364"/>
      <c r="I74" s="7364"/>
      <c r="J74" s="7350"/>
      <c r="K74" s="7364"/>
    </row>
    <row r="75" spans="1:13" ht="15" customHeight="1">
      <c r="A75" s="7352"/>
      <c r="B75" s="7361"/>
      <c r="C75" s="12534"/>
      <c r="D75" s="7353"/>
      <c r="E75" s="7364"/>
      <c r="F75" s="7364"/>
      <c r="G75" s="7364"/>
      <c r="H75" s="7364"/>
      <c r="I75" s="7364"/>
      <c r="J75" s="7350"/>
      <c r="K75" s="7364"/>
    </row>
    <row r="76" spans="1:13" ht="15" customHeight="1">
      <c r="A76" s="7352"/>
      <c r="B76" s="7361"/>
      <c r="C76" s="12534"/>
      <c r="D76" s="7353"/>
      <c r="E76" s="7364"/>
      <c r="F76" s="7364"/>
      <c r="G76" s="7364"/>
      <c r="H76" s="7364"/>
      <c r="I76" s="7364"/>
      <c r="J76" s="7350"/>
      <c r="K76" s="7364"/>
    </row>
    <row r="77" spans="1:13" ht="15" customHeight="1">
      <c r="A77" s="7352"/>
      <c r="B77" s="7361"/>
      <c r="C77" s="12534"/>
      <c r="D77" s="7353"/>
      <c r="E77" s="7364"/>
      <c r="F77" s="7364"/>
      <c r="G77" s="7364"/>
      <c r="H77" s="7364"/>
      <c r="I77" s="7364"/>
      <c r="J77" s="7350"/>
      <c r="K77" s="7364"/>
    </row>
    <row r="78" spans="1:13" ht="15" customHeight="1">
      <c r="A78" s="7352"/>
      <c r="B78" s="7361"/>
      <c r="C78" s="12534"/>
      <c r="D78" s="7353"/>
      <c r="E78" s="7364"/>
      <c r="F78" s="7364"/>
      <c r="G78" s="7364"/>
      <c r="H78" s="7364"/>
      <c r="I78" s="7364"/>
      <c r="J78" s="7350"/>
      <c r="K78" s="7364"/>
    </row>
    <row r="79" spans="1:13" ht="15" customHeight="1" thickBot="1">
      <c r="A79" s="7352" t="s">
        <v>10712</v>
      </c>
      <c r="B79" s="7361"/>
      <c r="C79" s="12534"/>
      <c r="D79" s="7353"/>
      <c r="E79" s="7364"/>
      <c r="F79" s="7364"/>
      <c r="G79" s="7364"/>
      <c r="H79" s="7364"/>
      <c r="I79" s="7364"/>
      <c r="J79" s="7350"/>
      <c r="K79" s="7364"/>
    </row>
    <row r="80" spans="1:13" ht="15" customHeight="1">
      <c r="A80" s="11433"/>
      <c r="B80" s="11434"/>
      <c r="C80" s="12532"/>
      <c r="D80" s="11436" t="s">
        <v>103</v>
      </c>
      <c r="E80" s="9461" t="s">
        <v>10</v>
      </c>
      <c r="F80" s="14188" t="s">
        <v>10711</v>
      </c>
      <c r="G80" s="14189"/>
      <c r="H80" s="14190"/>
      <c r="I80" s="9461"/>
      <c r="J80" s="9462"/>
      <c r="K80" s="11437" t="s">
        <v>12</v>
      </c>
    </row>
    <row r="81" spans="1:13" ht="15" customHeight="1">
      <c r="A81" s="11237"/>
      <c r="B81" s="7356" t="s">
        <v>13</v>
      </c>
      <c r="C81" s="10619"/>
      <c r="D81" s="10111" t="s">
        <v>94</v>
      </c>
      <c r="E81" s="11438" t="s">
        <v>15</v>
      </c>
      <c r="F81" s="9502" t="s">
        <v>10709</v>
      </c>
      <c r="G81" s="9503" t="s">
        <v>10710</v>
      </c>
      <c r="H81" s="14191" t="s">
        <v>458</v>
      </c>
      <c r="I81" s="11438"/>
      <c r="J81" s="11108"/>
      <c r="K81" s="11439" t="s">
        <v>16</v>
      </c>
    </row>
    <row r="82" spans="1:13" ht="15" customHeight="1" thickBot="1">
      <c r="A82" s="11235"/>
      <c r="B82" s="7752"/>
      <c r="C82" s="12533"/>
      <c r="D82" s="7735"/>
      <c r="E82" s="7302">
        <v>2017</v>
      </c>
      <c r="F82" s="9467" t="s">
        <v>457</v>
      </c>
      <c r="G82" s="11661" t="s">
        <v>456</v>
      </c>
      <c r="H82" s="14192"/>
      <c r="I82" s="7302"/>
      <c r="J82" s="7322"/>
      <c r="K82" s="11442">
        <v>2019</v>
      </c>
    </row>
    <row r="83" spans="1:13" ht="15" customHeight="1">
      <c r="A83" s="11241" t="s">
        <v>51</v>
      </c>
      <c r="B83" s="10528" t="s">
        <v>52</v>
      </c>
      <c r="C83" s="11426"/>
      <c r="D83" s="12564"/>
      <c r="E83" s="12565"/>
      <c r="F83" s="12565"/>
      <c r="G83" s="12565"/>
      <c r="H83" s="12565"/>
      <c r="I83" s="12565"/>
      <c r="J83" s="9464"/>
      <c r="K83" s="12566"/>
    </row>
    <row r="84" spans="1:13" ht="15" customHeight="1">
      <c r="A84" s="11241"/>
      <c r="B84" s="7615" t="s">
        <v>122</v>
      </c>
      <c r="C84" s="11144"/>
      <c r="D84" s="12528">
        <v>50705020</v>
      </c>
      <c r="E84" s="8869"/>
      <c r="F84" s="8869"/>
      <c r="G84" s="8869">
        <f>H84-F84</f>
        <v>400000</v>
      </c>
      <c r="H84" s="8869">
        <v>400000</v>
      </c>
      <c r="I84" s="8869">
        <v>227700</v>
      </c>
      <c r="J84" s="8799">
        <f>I84/H84</f>
        <v>0.56925000000000003</v>
      </c>
      <c r="K84" s="11463">
        <v>0</v>
      </c>
    </row>
    <row r="85" spans="1:13" ht="15" hidden="1" customHeight="1">
      <c r="A85" s="11241"/>
      <c r="B85" s="7287" t="s">
        <v>5023</v>
      </c>
      <c r="C85" s="11144"/>
      <c r="D85" s="8802">
        <v>50707010</v>
      </c>
      <c r="E85" s="8869">
        <f>'WS-CO 2017'!K47</f>
        <v>0</v>
      </c>
      <c r="F85" s="8869"/>
      <c r="G85" s="8869">
        <f>H85-F85</f>
        <v>0</v>
      </c>
      <c r="H85" s="8869">
        <v>0</v>
      </c>
      <c r="I85" s="8869"/>
      <c r="J85" s="8799"/>
      <c r="K85" s="11463">
        <v>0</v>
      </c>
    </row>
    <row r="86" spans="1:13" ht="15" customHeight="1">
      <c r="A86" s="11241"/>
      <c r="B86" s="7488" t="s">
        <v>10976</v>
      </c>
      <c r="C86" s="10621"/>
      <c r="D86" s="10144">
        <v>50705030</v>
      </c>
      <c r="E86" s="8869">
        <f>'WS-CO 2017'!H47</f>
        <v>65650</v>
      </c>
      <c r="F86" s="8869"/>
      <c r="G86" s="8869">
        <f>H86-F86</f>
        <v>200000</v>
      </c>
      <c r="H86" s="8869">
        <v>200000</v>
      </c>
      <c r="I86" s="8869">
        <v>176500</v>
      </c>
      <c r="J86" s="8799">
        <f>I86/H86</f>
        <v>0.88249999999999995</v>
      </c>
      <c r="K86" s="11463">
        <v>100000</v>
      </c>
    </row>
    <row r="87" spans="1:13" ht="15" hidden="1" customHeight="1">
      <c r="A87" s="11241"/>
      <c r="B87" s="7287" t="s">
        <v>9128</v>
      </c>
      <c r="C87" s="11144"/>
      <c r="D87" s="8802">
        <v>50706010</v>
      </c>
      <c r="E87" s="8869">
        <f>'WS-CO 2017'!E47</f>
        <v>0</v>
      </c>
      <c r="F87" s="8869">
        <v>0</v>
      </c>
      <c r="G87" s="8869">
        <f>H87-F87</f>
        <v>0</v>
      </c>
      <c r="H87" s="8869"/>
      <c r="I87" s="8869">
        <v>0</v>
      </c>
      <c r="J87" s="8799" t="e">
        <f>I87/H87</f>
        <v>#DIV/0!</v>
      </c>
      <c r="K87" s="11463"/>
    </row>
    <row r="88" spans="1:13" ht="15" customHeight="1">
      <c r="A88" s="11241"/>
      <c r="B88" s="7361" t="s">
        <v>37</v>
      </c>
      <c r="C88" s="12537"/>
      <c r="D88" s="10387"/>
      <c r="E88" s="9538">
        <f>SUM(E83:E87)</f>
        <v>65650</v>
      </c>
      <c r="F88" s="9538">
        <f>SUM(F83:F87)</f>
        <v>0</v>
      </c>
      <c r="G88" s="9538">
        <f>H88-F88</f>
        <v>600000</v>
      </c>
      <c r="H88" s="9538">
        <f>SUM(H83:H87)</f>
        <v>600000</v>
      </c>
      <c r="I88" s="9538">
        <f>SUM(I84:I86)</f>
        <v>404200</v>
      </c>
      <c r="J88" s="9466"/>
      <c r="K88" s="11761">
        <f>SUM(K83:K87)</f>
        <v>100000</v>
      </c>
      <c r="L88" s="10391">
        <f>(K88-H88)/H88</f>
        <v>-0.83333333333333337</v>
      </c>
    </row>
    <row r="89" spans="1:13" ht="15" customHeight="1">
      <c r="A89" s="11241"/>
      <c r="B89" s="7361"/>
      <c r="C89" s="12537"/>
      <c r="D89" s="10387"/>
      <c r="E89" s="8873"/>
      <c r="F89" s="8873"/>
      <c r="G89" s="8873"/>
      <c r="H89" s="8873"/>
      <c r="I89" s="8873"/>
      <c r="J89" s="8874"/>
      <c r="K89" s="11460"/>
    </row>
    <row r="90" spans="1:13" ht="15" customHeight="1">
      <c r="A90" s="11241" t="s">
        <v>53</v>
      </c>
      <c r="B90" s="7352" t="s">
        <v>54</v>
      </c>
      <c r="C90" s="11144"/>
      <c r="D90" s="10387"/>
      <c r="E90" s="8869"/>
      <c r="F90" s="8869"/>
      <c r="G90" s="8869"/>
      <c r="H90" s="8869"/>
      <c r="I90" s="8869"/>
      <c r="J90" s="8799"/>
      <c r="K90" s="11463"/>
    </row>
    <row r="91" spans="1:13" s="7355" customFormat="1" ht="15" hidden="1" customHeight="1">
      <c r="A91" s="11241"/>
      <c r="B91" s="10532" t="s">
        <v>3308</v>
      </c>
      <c r="C91" s="11144"/>
      <c r="D91" s="10387">
        <v>899920</v>
      </c>
      <c r="E91" s="8869">
        <v>0</v>
      </c>
      <c r="F91" s="8869"/>
      <c r="G91" s="8869"/>
      <c r="H91" s="8869"/>
      <c r="I91" s="8869"/>
      <c r="J91" s="8799"/>
      <c r="K91" s="11463"/>
      <c r="L91" s="7504"/>
      <c r="M91" s="8069"/>
    </row>
    <row r="92" spans="1:13" s="7355" customFormat="1" ht="15" customHeight="1">
      <c r="A92" s="11241"/>
      <c r="B92" s="10533" t="s">
        <v>3309</v>
      </c>
      <c r="C92" s="11144"/>
      <c r="D92" s="10387">
        <v>899921</v>
      </c>
      <c r="E92" s="8869">
        <v>1606934.82</v>
      </c>
      <c r="F92" s="8869">
        <v>64056</v>
      </c>
      <c r="G92" s="8869">
        <f>H92-F92</f>
        <v>1935944</v>
      </c>
      <c r="H92" s="8869">
        <v>2000000</v>
      </c>
      <c r="I92" s="8869">
        <v>1408346</v>
      </c>
      <c r="J92" s="8799">
        <f>I92/H92</f>
        <v>0.70417300000000005</v>
      </c>
      <c r="K92" s="11463">
        <v>2500000</v>
      </c>
      <c r="L92" s="7504"/>
      <c r="M92" s="8069"/>
    </row>
    <row r="93" spans="1:13" s="7355" customFormat="1" ht="15" hidden="1" customHeight="1">
      <c r="A93" s="11241"/>
      <c r="B93" s="12538" t="s">
        <v>1973</v>
      </c>
      <c r="C93" s="11144"/>
      <c r="D93" s="10387"/>
      <c r="E93" s="8869"/>
      <c r="F93" s="8869"/>
      <c r="G93" s="8869"/>
      <c r="H93" s="8869"/>
      <c r="I93" s="8869"/>
      <c r="J93" s="8799"/>
      <c r="K93" s="11463"/>
      <c r="L93" s="10572"/>
      <c r="M93" s="8069"/>
    </row>
    <row r="94" spans="1:13" s="7355" customFormat="1" ht="15" hidden="1" customHeight="1">
      <c r="A94" s="11241"/>
      <c r="B94" s="12539" t="s">
        <v>531</v>
      </c>
      <c r="C94" s="11144">
        <v>234500</v>
      </c>
      <c r="D94" s="10387"/>
      <c r="E94" s="8869"/>
      <c r="F94" s="8869"/>
      <c r="G94" s="8869"/>
      <c r="H94" s="8869"/>
      <c r="I94" s="8869"/>
      <c r="J94" s="8799"/>
      <c r="K94" s="11463"/>
      <c r="L94" s="7504"/>
      <c r="M94" s="8069"/>
    </row>
    <row r="95" spans="1:13" s="7355" customFormat="1" ht="15" hidden="1" customHeight="1">
      <c r="A95" s="11241"/>
      <c r="B95" s="12540" t="s">
        <v>11779</v>
      </c>
      <c r="C95" s="11144">
        <v>231160</v>
      </c>
      <c r="D95" s="10387"/>
      <c r="E95" s="8869"/>
      <c r="F95" s="8869"/>
      <c r="G95" s="8869"/>
      <c r="H95" s="8869"/>
      <c r="I95" s="8869"/>
      <c r="J95" s="8799"/>
      <c r="K95" s="11463"/>
      <c r="L95" s="7504"/>
      <c r="M95" s="8069"/>
    </row>
    <row r="96" spans="1:13" s="7355" customFormat="1" ht="15" hidden="1" customHeight="1">
      <c r="A96" s="11241"/>
      <c r="B96" s="12539" t="s">
        <v>11776</v>
      </c>
      <c r="C96" s="11144">
        <v>335000</v>
      </c>
      <c r="D96" s="10387"/>
      <c r="E96" s="8869"/>
      <c r="F96" s="8869"/>
      <c r="G96" s="8869"/>
      <c r="H96" s="8869"/>
      <c r="I96" s="8869"/>
      <c r="J96" s="8799"/>
      <c r="K96" s="11463"/>
      <c r="L96" s="7504"/>
      <c r="M96" s="8069"/>
    </row>
    <row r="97" spans="1:13" s="7355" customFormat="1" ht="15" hidden="1" customHeight="1">
      <c r="A97" s="11241"/>
      <c r="B97" s="12540" t="s">
        <v>11777</v>
      </c>
      <c r="C97" s="11144">
        <v>75000</v>
      </c>
      <c r="D97" s="10387"/>
      <c r="E97" s="8869"/>
      <c r="F97" s="8869"/>
      <c r="G97" s="8869"/>
      <c r="H97" s="8869"/>
      <c r="I97" s="8869"/>
      <c r="J97" s="8799"/>
      <c r="K97" s="11463"/>
      <c r="L97" s="7504"/>
      <c r="M97" s="8069"/>
    </row>
    <row r="98" spans="1:13" s="7355" customFormat="1" ht="15" hidden="1" customHeight="1">
      <c r="A98" s="11241"/>
      <c r="B98" s="12539" t="s">
        <v>3349</v>
      </c>
      <c r="C98" s="11144">
        <v>276480</v>
      </c>
      <c r="D98" s="10387"/>
      <c r="E98" s="8869"/>
      <c r="F98" s="8869"/>
      <c r="G98" s="8869"/>
      <c r="H98" s="8869"/>
      <c r="I98" s="8869"/>
      <c r="J98" s="8799"/>
      <c r="K98" s="11463"/>
      <c r="L98" s="7504"/>
      <c r="M98" s="8069"/>
    </row>
    <row r="99" spans="1:13" s="7355" customFormat="1" ht="15" hidden="1" customHeight="1">
      <c r="A99" s="11241"/>
      <c r="B99" s="11507" t="s">
        <v>11778</v>
      </c>
      <c r="C99" s="11144">
        <v>75000</v>
      </c>
      <c r="D99" s="10387"/>
      <c r="E99" s="8869"/>
      <c r="F99" s="8869"/>
      <c r="G99" s="8869"/>
      <c r="H99" s="8869"/>
      <c r="I99" s="8869"/>
      <c r="J99" s="8799"/>
      <c r="K99" s="11463"/>
      <c r="L99" s="7504"/>
      <c r="M99" s="8069"/>
    </row>
    <row r="100" spans="1:13" s="7355" customFormat="1" ht="15" hidden="1" customHeight="1">
      <c r="A100" s="11241"/>
      <c r="B100" s="12541" t="s">
        <v>11775</v>
      </c>
      <c r="C100" s="11144">
        <f>100000+102000+300000+100000+312000+240000+50000+68860</f>
        <v>1272860</v>
      </c>
      <c r="D100" s="10387"/>
      <c r="E100" s="8869"/>
      <c r="F100" s="8869"/>
      <c r="G100" s="8869"/>
      <c r="H100" s="8869"/>
      <c r="I100" s="8869"/>
      <c r="J100" s="8799"/>
      <c r="K100" s="11463"/>
      <c r="L100" s="7504"/>
      <c r="M100" s="8069"/>
    </row>
    <row r="101" spans="1:13" s="7355" customFormat="1" ht="15" customHeight="1">
      <c r="A101" s="11241"/>
      <c r="B101" s="10534" t="s">
        <v>5194</v>
      </c>
      <c r="C101" s="12542"/>
      <c r="D101" s="10387">
        <v>899926</v>
      </c>
      <c r="E101" s="8869">
        <v>1638095</v>
      </c>
      <c r="F101" s="8869">
        <v>279441.36</v>
      </c>
      <c r="G101" s="8869">
        <f>H101-F101</f>
        <v>1220558.6400000001</v>
      </c>
      <c r="H101" s="8869">
        <v>1500000</v>
      </c>
      <c r="I101" s="8869">
        <v>700390.61</v>
      </c>
      <c r="J101" s="8799">
        <f>I101/H101</f>
        <v>0.46692707333333333</v>
      </c>
      <c r="K101" s="11463">
        <v>1500000</v>
      </c>
      <c r="L101" s="7504"/>
      <c r="M101" s="8069"/>
    </row>
    <row r="102" spans="1:13" s="7355" customFormat="1" ht="15" hidden="1" customHeight="1">
      <c r="A102" s="11241"/>
      <c r="B102" s="12543" t="s">
        <v>1973</v>
      </c>
      <c r="C102" s="12542"/>
      <c r="D102" s="10387"/>
      <c r="E102" s="8869"/>
      <c r="F102" s="8869"/>
      <c r="G102" s="8869"/>
      <c r="H102" s="8869"/>
      <c r="I102" s="8869"/>
      <c r="J102" s="8799"/>
      <c r="K102" s="11463"/>
      <c r="L102" s="10572"/>
      <c r="M102" s="8069"/>
    </row>
    <row r="103" spans="1:13" s="7355" customFormat="1" ht="15" hidden="1" customHeight="1">
      <c r="A103" s="11241"/>
      <c r="B103" s="12544" t="s">
        <v>531</v>
      </c>
      <c r="C103" s="12542">
        <f>42000+42000+84000+84000+35000</f>
        <v>287000</v>
      </c>
      <c r="D103" s="10387"/>
      <c r="E103" s="8869"/>
      <c r="F103" s="8869"/>
      <c r="G103" s="8869"/>
      <c r="H103" s="8869"/>
      <c r="I103" s="8869"/>
      <c r="J103" s="8799"/>
      <c r="K103" s="11463"/>
      <c r="L103" s="7504"/>
      <c r="M103" s="8069"/>
    </row>
    <row r="104" spans="1:13" s="7355" customFormat="1" ht="15" hidden="1" customHeight="1">
      <c r="A104" s="11241"/>
      <c r="B104" s="12545" t="s">
        <v>11779</v>
      </c>
      <c r="C104" s="12542">
        <v>50000</v>
      </c>
      <c r="D104" s="10387"/>
      <c r="E104" s="8869"/>
      <c r="F104" s="8869"/>
      <c r="G104" s="8869"/>
      <c r="H104" s="8869"/>
      <c r="I104" s="8869"/>
      <c r="J104" s="8799"/>
      <c r="K104" s="11463"/>
      <c r="L104" s="7504"/>
      <c r="M104" s="8069"/>
    </row>
    <row r="105" spans="1:13" s="7355" customFormat="1" ht="15" hidden="1" customHeight="1">
      <c r="A105" s="11241"/>
      <c r="B105" s="12544" t="s">
        <v>11776</v>
      </c>
      <c r="C105" s="12542">
        <v>112000</v>
      </c>
      <c r="D105" s="10387"/>
      <c r="E105" s="8869"/>
      <c r="F105" s="8869"/>
      <c r="G105" s="8869"/>
      <c r="H105" s="8869"/>
      <c r="I105" s="8869"/>
      <c r="J105" s="8799"/>
      <c r="K105" s="11463"/>
      <c r="L105" s="7504"/>
      <c r="M105" s="8069"/>
    </row>
    <row r="106" spans="1:13" s="7355" customFormat="1" ht="15" hidden="1" customHeight="1">
      <c r="A106" s="11241"/>
      <c r="B106" s="12545" t="s">
        <v>11777</v>
      </c>
      <c r="C106" s="12542">
        <v>75000</v>
      </c>
      <c r="D106" s="10387"/>
      <c r="E106" s="8869"/>
      <c r="F106" s="8869"/>
      <c r="G106" s="8869"/>
      <c r="H106" s="8869"/>
      <c r="I106" s="8869"/>
      <c r="J106" s="8799"/>
      <c r="K106" s="11463"/>
      <c r="L106" s="7504"/>
      <c r="M106" s="8069"/>
    </row>
    <row r="107" spans="1:13" s="7355" customFormat="1" ht="15" hidden="1" customHeight="1">
      <c r="A107" s="11241"/>
      <c r="B107" s="12544" t="s">
        <v>3349</v>
      </c>
      <c r="C107" s="12542">
        <v>159240</v>
      </c>
      <c r="D107" s="10387"/>
      <c r="E107" s="8869"/>
      <c r="F107" s="8869"/>
      <c r="G107" s="8869"/>
      <c r="H107" s="8869"/>
      <c r="I107" s="8869"/>
      <c r="J107" s="8799"/>
      <c r="K107" s="11463"/>
      <c r="L107" s="7504"/>
      <c r="M107" s="8069"/>
    </row>
    <row r="108" spans="1:13" s="7355" customFormat="1" ht="15" hidden="1" customHeight="1">
      <c r="A108" s="11241"/>
      <c r="B108" s="10628" t="s">
        <v>11778</v>
      </c>
      <c r="C108" s="12542">
        <v>75000</v>
      </c>
      <c r="D108" s="10387"/>
      <c r="E108" s="8869"/>
      <c r="F108" s="8869"/>
      <c r="G108" s="8869"/>
      <c r="H108" s="8869"/>
      <c r="I108" s="8869"/>
      <c r="J108" s="8799"/>
      <c r="K108" s="11463"/>
      <c r="L108" s="7504"/>
      <c r="M108" s="8069"/>
    </row>
    <row r="109" spans="1:13" s="7355" customFormat="1" ht="15" hidden="1" customHeight="1">
      <c r="A109" s="11241"/>
      <c r="B109" s="12546" t="s">
        <v>11775</v>
      </c>
      <c r="C109" s="12542">
        <f>100000+104300+76800+50660+370000</f>
        <v>701760</v>
      </c>
      <c r="D109" s="10387"/>
      <c r="E109" s="8869"/>
      <c r="F109" s="8869"/>
      <c r="G109" s="8869"/>
      <c r="H109" s="8869"/>
      <c r="I109" s="8869"/>
      <c r="J109" s="8799"/>
      <c r="K109" s="11463"/>
      <c r="L109" s="7504"/>
      <c r="M109" s="8069"/>
    </row>
    <row r="110" spans="1:13" s="7355" customFormat="1" ht="15" hidden="1" customHeight="1">
      <c r="A110" s="11241"/>
      <c r="B110" s="12547" t="s">
        <v>6518</v>
      </c>
      <c r="C110" s="12542"/>
      <c r="D110" s="10387"/>
      <c r="E110" s="8869"/>
      <c r="F110" s="8869"/>
      <c r="G110" s="8869"/>
      <c r="H110" s="8869"/>
      <c r="I110" s="8869"/>
      <c r="J110" s="8799"/>
      <c r="K110" s="11463"/>
      <c r="L110" s="7504"/>
      <c r="M110" s="8069"/>
    </row>
    <row r="111" spans="1:13" s="7355" customFormat="1" ht="15" hidden="1" customHeight="1">
      <c r="A111" s="11241"/>
      <c r="B111" s="10632" t="s">
        <v>11772</v>
      </c>
      <c r="C111" s="12542">
        <v>20000</v>
      </c>
      <c r="D111" s="10387"/>
      <c r="E111" s="8869"/>
      <c r="F111" s="8869"/>
      <c r="G111" s="8869"/>
      <c r="H111" s="8869"/>
      <c r="I111" s="8869"/>
      <c r="J111" s="8799"/>
      <c r="K111" s="11463"/>
      <c r="L111" s="7504"/>
      <c r="M111" s="8069"/>
    </row>
    <row r="112" spans="1:13" s="7355" customFormat="1" ht="15" hidden="1" customHeight="1">
      <c r="A112" s="11241"/>
      <c r="B112" s="10628" t="s">
        <v>10947</v>
      </c>
      <c r="C112" s="12542">
        <v>20000</v>
      </c>
      <c r="D112" s="10387"/>
      <c r="E112" s="8869"/>
      <c r="F112" s="8869"/>
      <c r="G112" s="8869"/>
      <c r="H112" s="8869"/>
      <c r="I112" s="8869"/>
      <c r="J112" s="8799"/>
      <c r="K112" s="11463"/>
      <c r="L112" s="7504"/>
      <c r="M112" s="8069"/>
    </row>
    <row r="113" spans="1:13" s="7355" customFormat="1" ht="15" customHeight="1">
      <c r="A113" s="11241"/>
      <c r="B113" s="7361" t="s">
        <v>11828</v>
      </c>
      <c r="C113" s="11144"/>
      <c r="D113" s="10387">
        <v>799926</v>
      </c>
      <c r="E113" s="8869">
        <v>823209.83</v>
      </c>
      <c r="F113" s="8869">
        <v>19940.62</v>
      </c>
      <c r="G113" s="8869">
        <f>H113-F113</f>
        <v>980059.38</v>
      </c>
      <c r="H113" s="8869">
        <v>1000000</v>
      </c>
      <c r="I113" s="8869">
        <v>493274.62</v>
      </c>
      <c r="J113" s="8799">
        <f>I113/H113</f>
        <v>0.49327462</v>
      </c>
      <c r="K113" s="11463">
        <v>1000000</v>
      </c>
      <c r="L113" s="7504"/>
      <c r="M113" s="8069"/>
    </row>
    <row r="114" spans="1:13" s="7355" customFormat="1" ht="15" customHeight="1">
      <c r="A114" s="11241"/>
      <c r="B114" s="7352"/>
      <c r="C114" s="11144"/>
      <c r="D114" s="10387"/>
      <c r="E114" s="8869"/>
      <c r="F114" s="8869"/>
      <c r="G114" s="8869"/>
      <c r="H114" s="8869"/>
      <c r="I114" s="8869"/>
      <c r="J114" s="8799"/>
      <c r="K114" s="11463"/>
      <c r="L114" s="7504"/>
      <c r="M114" s="8069"/>
    </row>
    <row r="115" spans="1:13" s="7355" customFormat="1" ht="15" customHeight="1">
      <c r="A115" s="11232"/>
      <c r="B115" s="10535" t="s">
        <v>4752</v>
      </c>
      <c r="C115" s="12548"/>
      <c r="D115" s="10387"/>
      <c r="E115" s="8869"/>
      <c r="F115" s="8869"/>
      <c r="G115" s="8869"/>
      <c r="H115" s="8869"/>
      <c r="I115" s="8869"/>
      <c r="J115" s="8799"/>
      <c r="K115" s="11463"/>
      <c r="L115" s="7504"/>
      <c r="M115" s="8069"/>
    </row>
    <row r="116" spans="1:13" ht="15" hidden="1" customHeight="1">
      <c r="A116" s="11237"/>
      <c r="B116" s="10536" t="s">
        <v>4981</v>
      </c>
      <c r="C116" s="12542"/>
      <c r="D116" s="10384">
        <v>899922</v>
      </c>
      <c r="E116" s="10138"/>
      <c r="F116" s="10138"/>
      <c r="G116" s="8869"/>
      <c r="H116" s="10138"/>
      <c r="I116" s="10138"/>
      <c r="J116" s="8799" t="e">
        <f>I116/H116</f>
        <v>#DIV/0!</v>
      </c>
      <c r="K116" s="11133"/>
    </row>
    <row r="117" spans="1:13" ht="15" customHeight="1">
      <c r="A117" s="11237"/>
      <c r="B117" s="10533" t="s">
        <v>3307</v>
      </c>
      <c r="C117" s="11144"/>
      <c r="D117" s="10384">
        <v>899919</v>
      </c>
      <c r="E117" s="10138">
        <v>1505555.49</v>
      </c>
      <c r="F117" s="10138">
        <v>240317.42</v>
      </c>
      <c r="G117" s="8869">
        <f>H117-F117</f>
        <v>1759682.58</v>
      </c>
      <c r="H117" s="10138">
        <v>2000000</v>
      </c>
      <c r="I117" s="10138">
        <v>810981.76</v>
      </c>
      <c r="J117" s="8799">
        <f>I117/H117</f>
        <v>0.40549088</v>
      </c>
      <c r="K117" s="11133">
        <v>2000000</v>
      </c>
    </row>
    <row r="118" spans="1:13" ht="15" customHeight="1">
      <c r="A118" s="11237"/>
      <c r="B118" s="10533" t="s">
        <v>10297</v>
      </c>
      <c r="C118" s="11144"/>
      <c r="D118" s="10384"/>
      <c r="E118" s="10138"/>
      <c r="F118" s="10138"/>
      <c r="G118" s="8869"/>
      <c r="H118" s="10138"/>
      <c r="I118" s="10138"/>
      <c r="J118" s="8799"/>
      <c r="K118" s="11133"/>
    </row>
    <row r="119" spans="1:13" ht="15" customHeight="1">
      <c r="A119" s="11237"/>
      <c r="B119" s="12549" t="s">
        <v>10298</v>
      </c>
      <c r="C119" s="11144"/>
      <c r="D119" s="10384">
        <v>899928</v>
      </c>
      <c r="E119" s="10138">
        <v>1525888.47</v>
      </c>
      <c r="F119" s="10138">
        <v>225487.79</v>
      </c>
      <c r="G119" s="8869">
        <f>H119-F119</f>
        <v>1274512.21</v>
      </c>
      <c r="H119" s="10138">
        <v>1500000</v>
      </c>
      <c r="I119" s="10138">
        <v>498586.54</v>
      </c>
      <c r="J119" s="8799">
        <f>I119/H119</f>
        <v>0.33239102666666664</v>
      </c>
      <c r="K119" s="11133">
        <v>3000000</v>
      </c>
      <c r="L119" s="12550">
        <v>-300000</v>
      </c>
    </row>
    <row r="120" spans="1:13" ht="15" hidden="1" customHeight="1">
      <c r="A120" s="11237"/>
      <c r="B120" s="12543" t="s">
        <v>1973</v>
      </c>
      <c r="C120" s="11144"/>
      <c r="D120" s="10384"/>
      <c r="E120" s="10138"/>
      <c r="F120" s="10138"/>
      <c r="G120" s="8869"/>
      <c r="H120" s="10138"/>
      <c r="I120" s="10138"/>
      <c r="J120" s="8799"/>
      <c r="K120" s="11133"/>
      <c r="L120" s="10573"/>
    </row>
    <row r="121" spans="1:13" ht="15" hidden="1" customHeight="1">
      <c r="A121" s="11237"/>
      <c r="B121" s="12544" t="s">
        <v>531</v>
      </c>
      <c r="C121" s="11144">
        <f>78750+42000</f>
        <v>120750</v>
      </c>
      <c r="D121" s="10384"/>
      <c r="E121" s="10138"/>
      <c r="F121" s="10138"/>
      <c r="G121" s="8869"/>
      <c r="H121" s="10138"/>
      <c r="I121" s="10138"/>
      <c r="J121" s="8799"/>
      <c r="K121" s="11133"/>
    </row>
    <row r="122" spans="1:13" ht="15" hidden="1" customHeight="1">
      <c r="A122" s="11237"/>
      <c r="B122" s="12545" t="s">
        <v>11780</v>
      </c>
      <c r="C122" s="11144">
        <v>70000</v>
      </c>
      <c r="D122" s="10384"/>
      <c r="E122" s="10138"/>
      <c r="F122" s="10138"/>
      <c r="G122" s="8869"/>
      <c r="H122" s="10138"/>
      <c r="I122" s="10138"/>
      <c r="J122" s="8799"/>
      <c r="K122" s="11133"/>
    </row>
    <row r="123" spans="1:13" ht="15" hidden="1" customHeight="1">
      <c r="A123" s="11237"/>
      <c r="B123" s="12545" t="s">
        <v>11777</v>
      </c>
      <c r="C123" s="11144">
        <v>75000</v>
      </c>
      <c r="D123" s="10384"/>
      <c r="E123" s="10138"/>
      <c r="F123" s="10138"/>
      <c r="G123" s="8869"/>
      <c r="H123" s="10138"/>
      <c r="I123" s="10138"/>
      <c r="J123" s="8799"/>
      <c r="K123" s="11133"/>
    </row>
    <row r="124" spans="1:13" ht="15" hidden="1" customHeight="1">
      <c r="A124" s="11237"/>
      <c r="B124" s="12544" t="s">
        <v>3349</v>
      </c>
      <c r="C124" s="11144">
        <v>338450</v>
      </c>
      <c r="D124" s="10384"/>
      <c r="E124" s="10138"/>
      <c r="F124" s="10138"/>
      <c r="G124" s="8869"/>
      <c r="H124" s="10138"/>
      <c r="I124" s="10138"/>
      <c r="J124" s="8799"/>
      <c r="K124" s="11133"/>
    </row>
    <row r="125" spans="1:13" ht="15" hidden="1" customHeight="1">
      <c r="A125" s="11237"/>
      <c r="B125" s="10628" t="s">
        <v>11778</v>
      </c>
      <c r="C125" s="11144">
        <v>75000</v>
      </c>
      <c r="D125" s="10384"/>
      <c r="E125" s="10138"/>
      <c r="F125" s="10138"/>
      <c r="G125" s="8869"/>
      <c r="H125" s="10138"/>
      <c r="I125" s="10138"/>
      <c r="J125" s="8799"/>
      <c r="K125" s="11133"/>
    </row>
    <row r="126" spans="1:13" ht="15" hidden="1" customHeight="1">
      <c r="A126" s="11237"/>
      <c r="B126" s="12546" t="s">
        <v>11775</v>
      </c>
      <c r="C126" s="11144">
        <f>1602800+150000</f>
        <v>1752800</v>
      </c>
      <c r="D126" s="10384"/>
      <c r="E126" s="10138"/>
      <c r="F126" s="10138"/>
      <c r="G126" s="8869"/>
      <c r="H126" s="10138"/>
      <c r="I126" s="10138"/>
      <c r="J126" s="8799"/>
      <c r="K126" s="11133"/>
    </row>
    <row r="127" spans="1:13" ht="15" hidden="1" customHeight="1">
      <c r="A127" s="11237"/>
      <c r="B127" s="12547" t="s">
        <v>6518</v>
      </c>
      <c r="C127" s="11144"/>
      <c r="D127" s="10384"/>
      <c r="E127" s="10138"/>
      <c r="F127" s="10138"/>
      <c r="G127" s="8869"/>
      <c r="H127" s="10138"/>
      <c r="I127" s="10138"/>
      <c r="J127" s="8799"/>
      <c r="K127" s="11133"/>
    </row>
    <row r="128" spans="1:13" ht="15" hidden="1" customHeight="1">
      <c r="A128" s="11237"/>
      <c r="B128" s="10632" t="s">
        <v>11772</v>
      </c>
      <c r="C128" s="11144">
        <f>298000+270000</f>
        <v>568000</v>
      </c>
      <c r="D128" s="10384"/>
      <c r="E128" s="10138"/>
      <c r="F128" s="10138"/>
      <c r="G128" s="8869"/>
      <c r="H128" s="10138"/>
      <c r="I128" s="10138"/>
      <c r="J128" s="8799"/>
      <c r="K128" s="11133"/>
    </row>
    <row r="129" spans="1:13" ht="15" customHeight="1">
      <c r="A129" s="11237"/>
      <c r="B129" s="10533" t="s">
        <v>5177</v>
      </c>
      <c r="C129" s="11144"/>
      <c r="D129" s="10384">
        <v>899929</v>
      </c>
      <c r="E129" s="10138">
        <v>603442.19999999995</v>
      </c>
      <c r="F129" s="10138">
        <v>212969</v>
      </c>
      <c r="G129" s="8869">
        <f>H129-F129</f>
        <v>1287031</v>
      </c>
      <c r="H129" s="10138">
        <v>1500000</v>
      </c>
      <c r="I129" s="10138">
        <v>979554.18</v>
      </c>
      <c r="J129" s="8799">
        <f>I129/H129</f>
        <v>0.65303612</v>
      </c>
      <c r="K129" s="11133">
        <v>1500000</v>
      </c>
    </row>
    <row r="130" spans="1:13" ht="15" hidden="1" customHeight="1">
      <c r="A130" s="11237"/>
      <c r="B130" s="12543" t="s">
        <v>1973</v>
      </c>
      <c r="C130" s="11144"/>
      <c r="D130" s="10384"/>
      <c r="E130" s="10138"/>
      <c r="F130" s="10138"/>
      <c r="G130" s="8869"/>
      <c r="H130" s="10138"/>
      <c r="I130" s="10138"/>
      <c r="J130" s="8799"/>
      <c r="K130" s="11133"/>
      <c r="L130" s="10573"/>
    </row>
    <row r="131" spans="1:13" s="7355" customFormat="1" ht="15" hidden="1" customHeight="1">
      <c r="A131" s="11241"/>
      <c r="B131" s="12545" t="s">
        <v>11779</v>
      </c>
      <c r="C131" s="12542">
        <v>20000</v>
      </c>
      <c r="D131" s="10387"/>
      <c r="E131" s="8869"/>
      <c r="F131" s="8869"/>
      <c r="G131" s="8869"/>
      <c r="H131" s="8869"/>
      <c r="I131" s="8869"/>
      <c r="J131" s="8799"/>
      <c r="K131" s="11463"/>
      <c r="L131" s="7504"/>
      <c r="M131" s="8069"/>
    </row>
    <row r="132" spans="1:13" ht="15" hidden="1" customHeight="1">
      <c r="A132" s="11237"/>
      <c r="B132" s="12544" t="s">
        <v>11776</v>
      </c>
      <c r="C132" s="11144">
        <v>496170</v>
      </c>
      <c r="D132" s="10384"/>
      <c r="E132" s="10138"/>
      <c r="F132" s="10138"/>
      <c r="G132" s="8869"/>
      <c r="H132" s="10138"/>
      <c r="I132" s="10138"/>
      <c r="J132" s="8799"/>
      <c r="K132" s="11133"/>
    </row>
    <row r="133" spans="1:13" ht="15" hidden="1" customHeight="1">
      <c r="A133" s="11237"/>
      <c r="B133" s="12545" t="s">
        <v>11777</v>
      </c>
      <c r="C133" s="11144">
        <v>75000</v>
      </c>
      <c r="D133" s="10384"/>
      <c r="E133" s="10138"/>
      <c r="F133" s="10138"/>
      <c r="G133" s="8869"/>
      <c r="H133" s="10138"/>
      <c r="I133" s="10138"/>
      <c r="J133" s="8799"/>
      <c r="K133" s="11133"/>
    </row>
    <row r="134" spans="1:13" ht="15" hidden="1" customHeight="1">
      <c r="A134" s="11237"/>
      <c r="B134" s="12544" t="s">
        <v>3349</v>
      </c>
      <c r="C134" s="11144">
        <v>199680</v>
      </c>
      <c r="D134" s="10384"/>
      <c r="E134" s="10138"/>
      <c r="F134" s="10138"/>
      <c r="G134" s="8869"/>
      <c r="H134" s="10138"/>
      <c r="I134" s="10138"/>
      <c r="J134" s="8799"/>
      <c r="K134" s="11133"/>
    </row>
    <row r="135" spans="1:13" ht="15" hidden="1" customHeight="1">
      <c r="A135" s="11237"/>
      <c r="B135" s="10628" t="s">
        <v>11778</v>
      </c>
      <c r="C135" s="11144">
        <v>75000</v>
      </c>
      <c r="D135" s="10384"/>
      <c r="E135" s="10138"/>
      <c r="F135" s="10138"/>
      <c r="G135" s="8869"/>
      <c r="H135" s="10138"/>
      <c r="I135" s="10138"/>
      <c r="J135" s="8799"/>
      <c r="K135" s="11133"/>
    </row>
    <row r="136" spans="1:13" ht="15" hidden="1" customHeight="1">
      <c r="A136" s="11237"/>
      <c r="B136" s="12546" t="s">
        <v>11775</v>
      </c>
      <c r="C136" s="11144">
        <v>521150</v>
      </c>
      <c r="D136" s="10384"/>
      <c r="E136" s="10138"/>
      <c r="F136" s="10138"/>
      <c r="G136" s="8869"/>
      <c r="H136" s="10138"/>
      <c r="I136" s="10138"/>
      <c r="J136" s="8799"/>
      <c r="K136" s="11133"/>
    </row>
    <row r="137" spans="1:13" ht="15" hidden="1" customHeight="1">
      <c r="A137" s="11237"/>
      <c r="B137" s="12547" t="s">
        <v>6518</v>
      </c>
      <c r="C137" s="11144"/>
      <c r="D137" s="10384"/>
      <c r="E137" s="10138"/>
      <c r="F137" s="10138"/>
      <c r="G137" s="8869"/>
      <c r="H137" s="10138"/>
      <c r="I137" s="10138"/>
      <c r="J137" s="8799"/>
      <c r="K137" s="11133"/>
    </row>
    <row r="138" spans="1:13" ht="15" hidden="1" customHeight="1">
      <c r="A138" s="11237"/>
      <c r="B138" s="10632" t="s">
        <v>11772</v>
      </c>
      <c r="C138" s="11144">
        <v>113000</v>
      </c>
      <c r="D138" s="10384"/>
      <c r="E138" s="10138"/>
      <c r="F138" s="10138"/>
      <c r="G138" s="8869"/>
      <c r="H138" s="10138"/>
      <c r="I138" s="10138"/>
      <c r="J138" s="8799"/>
      <c r="K138" s="11133"/>
    </row>
    <row r="139" spans="1:13" ht="15" customHeight="1">
      <c r="A139" s="11237"/>
      <c r="B139" s="10533" t="s">
        <v>5180</v>
      </c>
      <c r="C139" s="11144"/>
      <c r="D139" s="10384">
        <v>899930</v>
      </c>
      <c r="E139" s="10138">
        <v>2511703.67</v>
      </c>
      <c r="F139" s="10138">
        <v>605043.46</v>
      </c>
      <c r="G139" s="8869">
        <f>H139-F139</f>
        <v>2894956.54</v>
      </c>
      <c r="H139" s="10138">
        <v>3500000</v>
      </c>
      <c r="I139" s="10138">
        <v>1957345</v>
      </c>
      <c r="J139" s="8799">
        <f>I139/H139</f>
        <v>0.55924142857142856</v>
      </c>
      <c r="K139" s="11133">
        <v>2500000</v>
      </c>
    </row>
    <row r="140" spans="1:13" ht="15" hidden="1" customHeight="1">
      <c r="A140" s="11237"/>
      <c r="B140" s="12543" t="s">
        <v>1973</v>
      </c>
      <c r="C140" s="11144"/>
      <c r="D140" s="10384"/>
      <c r="E140" s="10138"/>
      <c r="F140" s="10138"/>
      <c r="G140" s="8869"/>
      <c r="H140" s="10138"/>
      <c r="I140" s="10138"/>
      <c r="J140" s="8799"/>
      <c r="K140" s="11133"/>
    </row>
    <row r="141" spans="1:13" ht="15" hidden="1" customHeight="1">
      <c r="A141" s="11237"/>
      <c r="B141" s="12544" t="s">
        <v>531</v>
      </c>
      <c r="C141" s="11144">
        <v>129500</v>
      </c>
      <c r="D141" s="10384"/>
      <c r="E141" s="10138"/>
      <c r="F141" s="10138"/>
      <c r="G141" s="8869"/>
      <c r="H141" s="10138"/>
      <c r="I141" s="10138"/>
      <c r="J141" s="8799"/>
      <c r="K141" s="11133"/>
      <c r="L141" s="10573"/>
    </row>
    <row r="142" spans="1:13" ht="15" hidden="1" customHeight="1">
      <c r="A142" s="11237"/>
      <c r="B142" s="12544" t="s">
        <v>11776</v>
      </c>
      <c r="C142" s="11147">
        <v>840000</v>
      </c>
      <c r="D142" s="10384"/>
      <c r="E142" s="10138"/>
      <c r="F142" s="10138"/>
      <c r="G142" s="8869"/>
      <c r="H142" s="10138"/>
      <c r="I142" s="10138"/>
      <c r="J142" s="8799"/>
      <c r="K142" s="11133"/>
    </row>
    <row r="143" spans="1:13" ht="15" hidden="1" customHeight="1">
      <c r="A143" s="11237"/>
      <c r="B143" s="12545" t="s">
        <v>11777</v>
      </c>
      <c r="C143" s="11147">
        <v>100000</v>
      </c>
      <c r="D143" s="10384"/>
      <c r="E143" s="10138"/>
      <c r="F143" s="10138"/>
      <c r="G143" s="8869"/>
      <c r="H143" s="10138"/>
      <c r="I143" s="10138"/>
      <c r="J143" s="8799"/>
      <c r="K143" s="11133"/>
    </row>
    <row r="144" spans="1:13" ht="15" hidden="1" customHeight="1">
      <c r="A144" s="11237"/>
      <c r="B144" s="12544" t="s">
        <v>3349</v>
      </c>
      <c r="C144" s="11147">
        <v>820800</v>
      </c>
      <c r="D144" s="10384"/>
      <c r="E144" s="10138"/>
      <c r="F144" s="10138"/>
      <c r="G144" s="8869"/>
      <c r="H144" s="10138"/>
      <c r="I144" s="10138"/>
      <c r="J144" s="8799"/>
      <c r="K144" s="11133"/>
    </row>
    <row r="145" spans="1:13" ht="15" hidden="1" customHeight="1">
      <c r="A145" s="11237"/>
      <c r="B145" s="10628" t="s">
        <v>11778</v>
      </c>
      <c r="C145" s="11147">
        <v>75000</v>
      </c>
      <c r="D145" s="10384"/>
      <c r="E145" s="10138"/>
      <c r="F145" s="10138"/>
      <c r="G145" s="8869"/>
      <c r="H145" s="10138"/>
      <c r="I145" s="10138"/>
      <c r="J145" s="8799"/>
      <c r="K145" s="11133"/>
    </row>
    <row r="146" spans="1:13" ht="15" hidden="1" customHeight="1">
      <c r="A146" s="11237"/>
      <c r="B146" s="12546" t="s">
        <v>11775</v>
      </c>
      <c r="C146" s="11147">
        <v>534700</v>
      </c>
      <c r="D146" s="10384"/>
      <c r="E146" s="10138"/>
      <c r="F146" s="10138"/>
      <c r="G146" s="8869"/>
      <c r="H146" s="10138"/>
      <c r="I146" s="10138"/>
      <c r="J146" s="8799"/>
      <c r="K146" s="11133"/>
    </row>
    <row r="147" spans="1:13" ht="15" customHeight="1">
      <c r="A147" s="11237"/>
      <c r="B147" s="10533" t="s">
        <v>5179</v>
      </c>
      <c r="C147" s="11144"/>
      <c r="D147" s="10384">
        <v>899931</v>
      </c>
      <c r="E147" s="10138">
        <v>106551.6</v>
      </c>
      <c r="F147" s="10138">
        <v>21900</v>
      </c>
      <c r="G147" s="8869">
        <f>H147-F147</f>
        <v>478100</v>
      </c>
      <c r="H147" s="10138">
        <v>500000</v>
      </c>
      <c r="I147" s="10138">
        <v>247700</v>
      </c>
      <c r="J147" s="8799">
        <f>I147/H147</f>
        <v>0.49540000000000001</v>
      </c>
      <c r="K147" s="11133">
        <v>500000</v>
      </c>
    </row>
    <row r="148" spans="1:13" ht="15" hidden="1" customHeight="1">
      <c r="A148" s="11237"/>
      <c r="B148" s="12544" t="s">
        <v>11773</v>
      </c>
      <c r="C148" s="11144">
        <v>63000</v>
      </c>
      <c r="D148" s="10384"/>
      <c r="E148" s="10138"/>
      <c r="F148" s="10138"/>
      <c r="G148" s="8869"/>
      <c r="H148" s="10138"/>
      <c r="I148" s="10138"/>
      <c r="J148" s="8799"/>
      <c r="K148" s="11133"/>
    </row>
    <row r="149" spans="1:13" ht="15" hidden="1" customHeight="1">
      <c r="A149" s="11237"/>
      <c r="B149" s="10632" t="s">
        <v>11774</v>
      </c>
      <c r="C149" s="11144">
        <v>437000</v>
      </c>
      <c r="D149" s="10384"/>
      <c r="E149" s="10138"/>
      <c r="F149" s="10138"/>
      <c r="G149" s="8869"/>
      <c r="H149" s="10138"/>
      <c r="I149" s="10138"/>
      <c r="J149" s="8799"/>
      <c r="K149" s="11133"/>
    </row>
    <row r="150" spans="1:13" ht="15" customHeight="1">
      <c r="A150" s="11237"/>
      <c r="B150" s="10536" t="s">
        <v>5181</v>
      </c>
      <c r="C150" s="12542"/>
      <c r="D150" s="10384">
        <v>899932</v>
      </c>
      <c r="E150" s="10138">
        <v>812393</v>
      </c>
      <c r="F150" s="10138">
        <v>212100</v>
      </c>
      <c r="G150" s="8869">
        <f>H150-F150</f>
        <v>787900</v>
      </c>
      <c r="H150" s="10138">
        <v>1000000</v>
      </c>
      <c r="I150" s="10138">
        <v>582500</v>
      </c>
      <c r="J150" s="8799">
        <f>I150/H150</f>
        <v>0.58250000000000002</v>
      </c>
      <c r="K150" s="11133">
        <v>0</v>
      </c>
    </row>
    <row r="151" spans="1:13" ht="15" customHeight="1">
      <c r="A151" s="11237"/>
      <c r="B151" s="10534" t="s">
        <v>7439</v>
      </c>
      <c r="C151" s="12542"/>
      <c r="D151" s="10384"/>
      <c r="E151" s="10138"/>
      <c r="F151" s="10138"/>
      <c r="G151" s="8869"/>
      <c r="H151" s="10138"/>
      <c r="I151" s="10138"/>
      <c r="J151" s="8799"/>
      <c r="K151" s="11133">
        <v>1000000</v>
      </c>
    </row>
    <row r="152" spans="1:13" ht="15" hidden="1" customHeight="1">
      <c r="A152" s="11237"/>
      <c r="B152" s="12543" t="s">
        <v>1973</v>
      </c>
      <c r="C152" s="12542"/>
      <c r="D152" s="10384"/>
      <c r="E152" s="10138"/>
      <c r="F152" s="10138"/>
      <c r="G152" s="8869"/>
      <c r="H152" s="10138"/>
      <c r="I152" s="10138"/>
      <c r="J152" s="8799"/>
      <c r="K152" s="11133"/>
      <c r="L152" s="10573">
        <f>SUM(C153:C156)</f>
        <v>1000000</v>
      </c>
    </row>
    <row r="153" spans="1:13" ht="15" hidden="1" customHeight="1">
      <c r="A153" s="11237"/>
      <c r="B153" s="12544" t="s">
        <v>531</v>
      </c>
      <c r="C153" s="12542">
        <f>35000+35000+28000+101500</f>
        <v>199500</v>
      </c>
      <c r="D153" s="10384"/>
      <c r="E153" s="10138"/>
      <c r="F153" s="10138"/>
      <c r="G153" s="8869"/>
      <c r="H153" s="10138"/>
      <c r="I153" s="10138"/>
      <c r="J153" s="8799"/>
      <c r="K153" s="11133"/>
    </row>
    <row r="154" spans="1:13" ht="15" hidden="1" customHeight="1">
      <c r="A154" s="11237"/>
      <c r="B154" s="12545" t="s">
        <v>11780</v>
      </c>
      <c r="C154" s="12542">
        <v>86500</v>
      </c>
      <c r="D154" s="10384"/>
      <c r="E154" s="10138"/>
      <c r="F154" s="10138"/>
      <c r="G154" s="8869"/>
      <c r="H154" s="10138"/>
      <c r="I154" s="10138"/>
      <c r="J154" s="8799"/>
      <c r="K154" s="11133"/>
    </row>
    <row r="155" spans="1:13" ht="15" hidden="1" customHeight="1">
      <c r="A155" s="11237"/>
      <c r="B155" s="12544" t="s">
        <v>3349</v>
      </c>
      <c r="C155" s="12542">
        <v>574000</v>
      </c>
      <c r="D155" s="10384"/>
      <c r="E155" s="10138"/>
      <c r="F155" s="10138"/>
      <c r="G155" s="8869"/>
      <c r="H155" s="10138"/>
      <c r="I155" s="10138"/>
      <c r="J155" s="8799"/>
      <c r="K155" s="11133"/>
    </row>
    <row r="156" spans="1:13" ht="15" hidden="1" customHeight="1">
      <c r="A156" s="11237"/>
      <c r="B156" s="12546" t="s">
        <v>11775</v>
      </c>
      <c r="C156" s="12542">
        <f>140000</f>
        <v>140000</v>
      </c>
      <c r="D156" s="10384"/>
      <c r="E156" s="10138"/>
      <c r="F156" s="10138"/>
      <c r="G156" s="8869"/>
      <c r="H156" s="10138"/>
      <c r="I156" s="10138"/>
      <c r="J156" s="8799"/>
      <c r="K156" s="11133"/>
    </row>
    <row r="157" spans="1:13" s="7374" customFormat="1" ht="15" customHeight="1">
      <c r="A157" s="11288"/>
      <c r="B157" s="10534" t="s">
        <v>12198</v>
      </c>
      <c r="C157" s="12551"/>
      <c r="D157" s="12552"/>
      <c r="E157" s="12553"/>
      <c r="F157" s="12553"/>
      <c r="G157" s="8873"/>
      <c r="H157" s="12553"/>
      <c r="I157" s="12553"/>
      <c r="J157" s="8874"/>
      <c r="K157" s="11133">
        <v>300000</v>
      </c>
      <c r="L157" s="7374" t="s">
        <v>11829</v>
      </c>
      <c r="M157" s="7839"/>
    </row>
    <row r="158" spans="1:13" ht="15" customHeight="1">
      <c r="A158" s="11237"/>
      <c r="B158" s="10532"/>
      <c r="C158" s="11144"/>
      <c r="D158" s="10384"/>
      <c r="E158" s="10138"/>
      <c r="F158" s="10138"/>
      <c r="G158" s="8869"/>
      <c r="H158" s="7372"/>
      <c r="I158" s="7372"/>
      <c r="J158" s="7373"/>
      <c r="K158" s="12567"/>
    </row>
    <row r="159" spans="1:13" s="7374" customFormat="1" ht="15" customHeight="1">
      <c r="A159" s="12568"/>
      <c r="B159" s="10537" t="s">
        <v>37</v>
      </c>
      <c r="C159" s="12554"/>
      <c r="D159" s="10111"/>
      <c r="E159" s="9538">
        <f>SUM(E91:E150)</f>
        <v>11133774.08</v>
      </c>
      <c r="F159" s="9538">
        <f>SUM(F91:F150)</f>
        <v>1881255.65</v>
      </c>
      <c r="G159" s="9538">
        <f>H159-F159</f>
        <v>12618744.35</v>
      </c>
      <c r="H159" s="9538">
        <f>SUM(H91:H158)</f>
        <v>14500000</v>
      </c>
      <c r="I159" s="9538"/>
      <c r="J159" s="9466"/>
      <c r="K159" s="11761">
        <f>SUM(K91:K158)</f>
        <v>15800000</v>
      </c>
      <c r="L159" s="10391">
        <f>(K159-H159)/H159</f>
        <v>8.9655172413793102E-2</v>
      </c>
      <c r="M159" s="7839"/>
    </row>
    <row r="160" spans="1:13" s="7374" customFormat="1" ht="15" customHeight="1">
      <c r="A160" s="12569"/>
      <c r="B160" s="12570"/>
      <c r="C160" s="12555"/>
      <c r="D160" s="11294"/>
      <c r="E160" s="9538"/>
      <c r="F160" s="9538"/>
      <c r="G160" s="8869"/>
      <c r="H160" s="9538"/>
      <c r="I160" s="9538"/>
      <c r="J160" s="9466"/>
      <c r="K160" s="11761"/>
      <c r="M160" s="7839"/>
    </row>
    <row r="161" spans="1:13" ht="15" customHeight="1" thickBot="1">
      <c r="A161" s="11297"/>
      <c r="B161" s="11298" t="s">
        <v>55</v>
      </c>
      <c r="C161" s="12571"/>
      <c r="D161" s="11299"/>
      <c r="E161" s="9428">
        <f>(E32+E66+E88+E159)</f>
        <v>28600441.25</v>
      </c>
      <c r="F161" s="9428">
        <f>(F32+F66+F88+F159)</f>
        <v>9778237.5899999999</v>
      </c>
      <c r="G161" s="9428">
        <f>H161-F161</f>
        <v>28905845.41</v>
      </c>
      <c r="H161" s="9428">
        <f>(H32+H66+H88+H159)</f>
        <v>38684083</v>
      </c>
      <c r="I161" s="9428"/>
      <c r="J161" s="11449"/>
      <c r="K161" s="11450">
        <f>(K32+K66+K88+K159)</f>
        <v>42208022.905000001</v>
      </c>
      <c r="L161" s="10391">
        <f>(K161-H161)/H161</f>
        <v>9.1095345468057268E-2</v>
      </c>
    </row>
    <row r="162" spans="1:13" s="7333" customFormat="1" ht="15" customHeight="1">
      <c r="A162" s="7738" t="s">
        <v>4763</v>
      </c>
      <c r="B162" s="7738"/>
      <c r="C162" s="11422"/>
      <c r="D162" s="7739"/>
      <c r="E162" s="7740"/>
      <c r="F162" s="7740"/>
      <c r="G162" s="7740"/>
      <c r="H162" s="7741"/>
      <c r="I162" s="7740"/>
      <c r="J162" s="7742"/>
      <c r="K162" s="7741"/>
      <c r="L162" s="7748"/>
      <c r="M162" s="7842"/>
    </row>
    <row r="163" spans="1:13" s="7275" customFormat="1" ht="15" customHeight="1">
      <c r="A163" s="7276"/>
      <c r="B163" s="7276"/>
      <c r="C163" s="7989"/>
      <c r="D163" s="7278"/>
      <c r="E163" s="7285"/>
      <c r="F163" s="7285"/>
      <c r="G163" s="7285"/>
      <c r="H163" s="7347"/>
      <c r="I163" s="7285"/>
      <c r="J163" s="7286"/>
      <c r="K163" s="7347"/>
      <c r="L163" s="7340"/>
      <c r="M163" s="7346"/>
    </row>
    <row r="164" spans="1:13" s="7275" customFormat="1" ht="15" hidden="1" customHeight="1">
      <c r="A164" s="7376" t="s">
        <v>10983</v>
      </c>
      <c r="C164" s="7505"/>
      <c r="D164" s="7377" t="s">
        <v>3484</v>
      </c>
      <c r="E164" s="7378"/>
      <c r="F164" s="7378"/>
      <c r="G164" s="7378"/>
      <c r="H164" s="7337" t="s">
        <v>10666</v>
      </c>
      <c r="I164" s="7378"/>
      <c r="J164" s="7348"/>
      <c r="K164" s="7378"/>
      <c r="L164" s="7340"/>
      <c r="M164" s="7346"/>
    </row>
    <row r="165" spans="1:13" s="7275" customFormat="1" ht="15" hidden="1" customHeight="1">
      <c r="A165" s="7376"/>
      <c r="C165" s="7505"/>
      <c r="E165" s="7378"/>
      <c r="F165" s="7378"/>
      <c r="G165" s="7378"/>
      <c r="H165" s="7339"/>
      <c r="I165" s="7378"/>
      <c r="J165" s="7348"/>
      <c r="K165" s="7378"/>
      <c r="L165" s="7340"/>
      <c r="M165" s="7346"/>
    </row>
    <row r="166" spans="1:13" ht="15" hidden="1" customHeight="1">
      <c r="A166" s="7376"/>
      <c r="B166" s="7376"/>
      <c r="D166" s="7377"/>
      <c r="E166" s="7378"/>
      <c r="F166" s="7378"/>
      <c r="G166" s="7378"/>
      <c r="H166" s="7339"/>
      <c r="I166" s="7378"/>
      <c r="K166" s="7378"/>
    </row>
    <row r="167" spans="1:13" ht="15" hidden="1" customHeight="1">
      <c r="A167" s="7379" t="s">
        <v>10115</v>
      </c>
      <c r="E167" s="10874" t="s">
        <v>12059</v>
      </c>
      <c r="F167" s="7378"/>
      <c r="G167" s="7378"/>
      <c r="H167" s="7342" t="s">
        <v>10667</v>
      </c>
      <c r="I167" s="7380"/>
      <c r="J167" s="7381"/>
      <c r="K167" s="7378"/>
    </row>
    <row r="168" spans="1:13" ht="15" hidden="1" customHeight="1">
      <c r="A168" s="7382" t="s">
        <v>10116</v>
      </c>
      <c r="B168" s="7376"/>
      <c r="E168" s="10878" t="s">
        <v>3486</v>
      </c>
      <c r="F168" s="7378"/>
      <c r="G168" s="7378"/>
      <c r="H168" s="7344" t="s">
        <v>10668</v>
      </c>
      <c r="I168" s="7378"/>
      <c r="K168" s="7378"/>
    </row>
    <row r="169" spans="1:13" ht="15" customHeight="1">
      <c r="A169" s="7335"/>
      <c r="B169" s="7335"/>
      <c r="C169" s="7989"/>
      <c r="D169" s="10884"/>
      <c r="E169" s="7336"/>
      <c r="F169" s="7336"/>
      <c r="G169" s="7336"/>
      <c r="H169" s="7336"/>
      <c r="I169" s="9431">
        <f>K161-H161</f>
        <v>3523939.9050000012</v>
      </c>
      <c r="J169" s="7284">
        <f>I169/H161</f>
        <v>9.1095345468057268E-2</v>
      </c>
      <c r="K169" s="7336"/>
    </row>
    <row r="170" spans="1:13" ht="15" customHeight="1">
      <c r="A170" s="7335"/>
      <c r="B170" s="7335"/>
      <c r="C170" s="7989"/>
      <c r="D170" s="10884"/>
      <c r="E170" s="7336"/>
      <c r="F170" s="7336"/>
      <c r="G170" s="7336"/>
      <c r="H170" s="7345"/>
      <c r="I170" s="7336"/>
      <c r="J170" s="7286"/>
      <c r="K170" s="7345"/>
    </row>
    <row r="171" spans="1:13" ht="15" customHeight="1">
      <c r="A171" s="7335"/>
      <c r="B171" s="7335"/>
      <c r="C171" s="7989"/>
      <c r="D171" s="10884"/>
      <c r="H171" s="7345"/>
      <c r="I171" s="7336"/>
      <c r="J171" s="7286"/>
      <c r="K171" s="7345"/>
    </row>
  </sheetData>
  <mergeCells count="8">
    <mergeCell ref="H41:H42"/>
    <mergeCell ref="A1:K1"/>
    <mergeCell ref="F80:H80"/>
    <mergeCell ref="H81:H82"/>
    <mergeCell ref="K3:K4"/>
    <mergeCell ref="F7:H7"/>
    <mergeCell ref="H8:H9"/>
    <mergeCell ref="F40:H40"/>
  </mergeCells>
  <printOptions horizontalCentered="1" gridLinesSet="0"/>
  <pageMargins left="0.25" right="0.25" top="0.5" bottom="0.25" header="0.25" footer="0.25"/>
  <pageSetup paperSize="136" firstPageNumber="358" orientation="landscape" useFirstPageNumber="1" r:id="rId1"/>
  <headerFooter alignWithMargins="0"/>
  <ignoredErrors>
    <ignoredError sqref="K32" unlockedFormula="1"/>
  </ignoredErrors>
</worksheet>
</file>

<file path=xl/worksheets/sheet174.xml><?xml version="1.0" encoding="utf-8"?>
<worksheet xmlns="http://schemas.openxmlformats.org/spreadsheetml/2006/main" xmlns:r="http://schemas.openxmlformats.org/officeDocument/2006/relationships">
  <sheetPr codeName="Sheet190">
    <tabColor rgb="FFFFFF00"/>
  </sheetPr>
  <dimension ref="A1:E36"/>
  <sheetViews>
    <sheetView topLeftCell="A7" workbookViewId="0">
      <selection activeCell="G30" sqref="G30"/>
    </sheetView>
  </sheetViews>
  <sheetFormatPr defaultRowHeight="13.2"/>
  <cols>
    <col min="1" max="1" width="30.44140625" style="284" customWidth="1"/>
    <col min="2" max="2" width="16.88671875" style="284" customWidth="1"/>
    <col min="3" max="3" width="16" style="284" customWidth="1"/>
    <col min="4" max="4" width="15" style="284" customWidth="1"/>
    <col min="5" max="5" width="14.109375" style="346" customWidth="1"/>
    <col min="6" max="256" width="9.109375" style="284"/>
    <col min="257" max="257" width="28.109375" style="284" customWidth="1"/>
    <col min="258" max="258" width="16.88671875" style="284" customWidth="1"/>
    <col min="259" max="259" width="12.88671875" style="284" customWidth="1"/>
    <col min="260" max="260" width="15" style="284" customWidth="1"/>
    <col min="261" max="261" width="14.109375" style="284" customWidth="1"/>
    <col min="262" max="512" width="9.109375" style="284"/>
    <col min="513" max="513" width="28.109375" style="284" customWidth="1"/>
    <col min="514" max="514" width="16.88671875" style="284" customWidth="1"/>
    <col min="515" max="515" width="12.88671875" style="284" customWidth="1"/>
    <col min="516" max="516" width="15" style="284" customWidth="1"/>
    <col min="517" max="517" width="14.109375" style="284" customWidth="1"/>
    <col min="518" max="768" width="9.109375" style="284"/>
    <col min="769" max="769" width="28.109375" style="284" customWidth="1"/>
    <col min="770" max="770" width="16.88671875" style="284" customWidth="1"/>
    <col min="771" max="771" width="12.88671875" style="284" customWidth="1"/>
    <col min="772" max="772" width="15" style="284" customWidth="1"/>
    <col min="773" max="773" width="14.109375" style="284" customWidth="1"/>
    <col min="774" max="1024" width="9.109375" style="284"/>
    <col min="1025" max="1025" width="28.109375" style="284" customWidth="1"/>
    <col min="1026" max="1026" width="16.88671875" style="284" customWidth="1"/>
    <col min="1027" max="1027" width="12.88671875" style="284" customWidth="1"/>
    <col min="1028" max="1028" width="15" style="284" customWidth="1"/>
    <col min="1029" max="1029" width="14.109375" style="284" customWidth="1"/>
    <col min="1030" max="1280" width="9.109375" style="284"/>
    <col min="1281" max="1281" width="28.109375" style="284" customWidth="1"/>
    <col min="1282" max="1282" width="16.88671875" style="284" customWidth="1"/>
    <col min="1283" max="1283" width="12.88671875" style="284" customWidth="1"/>
    <col min="1284" max="1284" width="15" style="284" customWidth="1"/>
    <col min="1285" max="1285" width="14.109375" style="284" customWidth="1"/>
    <col min="1286" max="1536" width="9.109375" style="284"/>
    <col min="1537" max="1537" width="28.109375" style="284" customWidth="1"/>
    <col min="1538" max="1538" width="16.88671875" style="284" customWidth="1"/>
    <col min="1539" max="1539" width="12.88671875" style="284" customWidth="1"/>
    <col min="1540" max="1540" width="15" style="284" customWidth="1"/>
    <col min="1541" max="1541" width="14.109375" style="284" customWidth="1"/>
    <col min="1542" max="1792" width="9.109375" style="284"/>
    <col min="1793" max="1793" width="28.109375" style="284" customWidth="1"/>
    <col min="1794" max="1794" width="16.88671875" style="284" customWidth="1"/>
    <col min="1795" max="1795" width="12.88671875" style="284" customWidth="1"/>
    <col min="1796" max="1796" width="15" style="284" customWidth="1"/>
    <col min="1797" max="1797" width="14.109375" style="284" customWidth="1"/>
    <col min="1798" max="2048" width="9.109375" style="284"/>
    <col min="2049" max="2049" width="28.109375" style="284" customWidth="1"/>
    <col min="2050" max="2050" width="16.88671875" style="284" customWidth="1"/>
    <col min="2051" max="2051" width="12.88671875" style="284" customWidth="1"/>
    <col min="2052" max="2052" width="15" style="284" customWidth="1"/>
    <col min="2053" max="2053" width="14.109375" style="284" customWidth="1"/>
    <col min="2054" max="2304" width="9.109375" style="284"/>
    <col min="2305" max="2305" width="28.109375" style="284" customWidth="1"/>
    <col min="2306" max="2306" width="16.88671875" style="284" customWidth="1"/>
    <col min="2307" max="2307" width="12.88671875" style="284" customWidth="1"/>
    <col min="2308" max="2308" width="15" style="284" customWidth="1"/>
    <col min="2309" max="2309" width="14.109375" style="284" customWidth="1"/>
    <col min="2310" max="2560" width="9.109375" style="284"/>
    <col min="2561" max="2561" width="28.109375" style="284" customWidth="1"/>
    <col min="2562" max="2562" width="16.88671875" style="284" customWidth="1"/>
    <col min="2563" max="2563" width="12.88671875" style="284" customWidth="1"/>
    <col min="2564" max="2564" width="15" style="284" customWidth="1"/>
    <col min="2565" max="2565" width="14.109375" style="284" customWidth="1"/>
    <col min="2566" max="2816" width="9.109375" style="284"/>
    <col min="2817" max="2817" width="28.109375" style="284" customWidth="1"/>
    <col min="2818" max="2818" width="16.88671875" style="284" customWidth="1"/>
    <col min="2819" max="2819" width="12.88671875" style="284" customWidth="1"/>
    <col min="2820" max="2820" width="15" style="284" customWidth="1"/>
    <col min="2821" max="2821" width="14.109375" style="284" customWidth="1"/>
    <col min="2822" max="3072" width="9.109375" style="284"/>
    <col min="3073" max="3073" width="28.109375" style="284" customWidth="1"/>
    <col min="3074" max="3074" width="16.88671875" style="284" customWidth="1"/>
    <col min="3075" max="3075" width="12.88671875" style="284" customWidth="1"/>
    <col min="3076" max="3076" width="15" style="284" customWidth="1"/>
    <col min="3077" max="3077" width="14.109375" style="284" customWidth="1"/>
    <col min="3078" max="3328" width="9.109375" style="284"/>
    <col min="3329" max="3329" width="28.109375" style="284" customWidth="1"/>
    <col min="3330" max="3330" width="16.88671875" style="284" customWidth="1"/>
    <col min="3331" max="3331" width="12.88671875" style="284" customWidth="1"/>
    <col min="3332" max="3332" width="15" style="284" customWidth="1"/>
    <col min="3333" max="3333" width="14.109375" style="284" customWidth="1"/>
    <col min="3334" max="3584" width="9.109375" style="284"/>
    <col min="3585" max="3585" width="28.109375" style="284" customWidth="1"/>
    <col min="3586" max="3586" width="16.88671875" style="284" customWidth="1"/>
    <col min="3587" max="3587" width="12.88671875" style="284" customWidth="1"/>
    <col min="3588" max="3588" width="15" style="284" customWidth="1"/>
    <col min="3589" max="3589" width="14.109375" style="284" customWidth="1"/>
    <col min="3590" max="3840" width="9.109375" style="284"/>
    <col min="3841" max="3841" width="28.109375" style="284" customWidth="1"/>
    <col min="3842" max="3842" width="16.88671875" style="284" customWidth="1"/>
    <col min="3843" max="3843" width="12.88671875" style="284" customWidth="1"/>
    <col min="3844" max="3844" width="15" style="284" customWidth="1"/>
    <col min="3845" max="3845" width="14.109375" style="284" customWidth="1"/>
    <col min="3846" max="4096" width="9.109375" style="284"/>
    <col min="4097" max="4097" width="28.109375" style="284" customWidth="1"/>
    <col min="4098" max="4098" width="16.88671875" style="284" customWidth="1"/>
    <col min="4099" max="4099" width="12.88671875" style="284" customWidth="1"/>
    <col min="4100" max="4100" width="15" style="284" customWidth="1"/>
    <col min="4101" max="4101" width="14.109375" style="284" customWidth="1"/>
    <col min="4102" max="4352" width="9.109375" style="284"/>
    <col min="4353" max="4353" width="28.109375" style="284" customWidth="1"/>
    <col min="4354" max="4354" width="16.88671875" style="284" customWidth="1"/>
    <col min="4355" max="4355" width="12.88671875" style="284" customWidth="1"/>
    <col min="4356" max="4356" width="15" style="284" customWidth="1"/>
    <col min="4357" max="4357" width="14.109375" style="284" customWidth="1"/>
    <col min="4358" max="4608" width="9.109375" style="284"/>
    <col min="4609" max="4609" width="28.109375" style="284" customWidth="1"/>
    <col min="4610" max="4610" width="16.88671875" style="284" customWidth="1"/>
    <col min="4611" max="4611" width="12.88671875" style="284" customWidth="1"/>
    <col min="4612" max="4612" width="15" style="284" customWidth="1"/>
    <col min="4613" max="4613" width="14.109375" style="284" customWidth="1"/>
    <col min="4614" max="4864" width="9.109375" style="284"/>
    <col min="4865" max="4865" width="28.109375" style="284" customWidth="1"/>
    <col min="4866" max="4866" width="16.88671875" style="284" customWidth="1"/>
    <col min="4867" max="4867" width="12.88671875" style="284" customWidth="1"/>
    <col min="4868" max="4868" width="15" style="284" customWidth="1"/>
    <col min="4869" max="4869" width="14.109375" style="284" customWidth="1"/>
    <col min="4870" max="5120" width="9.109375" style="284"/>
    <col min="5121" max="5121" width="28.109375" style="284" customWidth="1"/>
    <col min="5122" max="5122" width="16.88671875" style="284" customWidth="1"/>
    <col min="5123" max="5123" width="12.88671875" style="284" customWidth="1"/>
    <col min="5124" max="5124" width="15" style="284" customWidth="1"/>
    <col min="5125" max="5125" width="14.109375" style="284" customWidth="1"/>
    <col min="5126" max="5376" width="9.109375" style="284"/>
    <col min="5377" max="5377" width="28.109375" style="284" customWidth="1"/>
    <col min="5378" max="5378" width="16.88671875" style="284" customWidth="1"/>
    <col min="5379" max="5379" width="12.88671875" style="284" customWidth="1"/>
    <col min="5380" max="5380" width="15" style="284" customWidth="1"/>
    <col min="5381" max="5381" width="14.109375" style="284" customWidth="1"/>
    <col min="5382" max="5632" width="9.109375" style="284"/>
    <col min="5633" max="5633" width="28.109375" style="284" customWidth="1"/>
    <col min="5634" max="5634" width="16.88671875" style="284" customWidth="1"/>
    <col min="5635" max="5635" width="12.88671875" style="284" customWidth="1"/>
    <col min="5636" max="5636" width="15" style="284" customWidth="1"/>
    <col min="5637" max="5637" width="14.109375" style="284" customWidth="1"/>
    <col min="5638" max="5888" width="9.109375" style="284"/>
    <col min="5889" max="5889" width="28.109375" style="284" customWidth="1"/>
    <col min="5890" max="5890" width="16.88671875" style="284" customWidth="1"/>
    <col min="5891" max="5891" width="12.88671875" style="284" customWidth="1"/>
    <col min="5892" max="5892" width="15" style="284" customWidth="1"/>
    <col min="5893" max="5893" width="14.109375" style="284" customWidth="1"/>
    <col min="5894" max="6144" width="9.109375" style="284"/>
    <col min="6145" max="6145" width="28.109375" style="284" customWidth="1"/>
    <col min="6146" max="6146" width="16.88671875" style="284" customWidth="1"/>
    <col min="6147" max="6147" width="12.88671875" style="284" customWidth="1"/>
    <col min="6148" max="6148" width="15" style="284" customWidth="1"/>
    <col min="6149" max="6149" width="14.109375" style="284" customWidth="1"/>
    <col min="6150" max="6400" width="9.109375" style="284"/>
    <col min="6401" max="6401" width="28.109375" style="284" customWidth="1"/>
    <col min="6402" max="6402" width="16.88671875" style="284" customWidth="1"/>
    <col min="6403" max="6403" width="12.88671875" style="284" customWidth="1"/>
    <col min="6404" max="6404" width="15" style="284" customWidth="1"/>
    <col min="6405" max="6405" width="14.109375" style="284" customWidth="1"/>
    <col min="6406" max="6656" width="9.109375" style="284"/>
    <col min="6657" max="6657" width="28.109375" style="284" customWidth="1"/>
    <col min="6658" max="6658" width="16.88671875" style="284" customWidth="1"/>
    <col min="6659" max="6659" width="12.88671875" style="284" customWidth="1"/>
    <col min="6660" max="6660" width="15" style="284" customWidth="1"/>
    <col min="6661" max="6661" width="14.109375" style="284" customWidth="1"/>
    <col min="6662" max="6912" width="9.109375" style="284"/>
    <col min="6913" max="6913" width="28.109375" style="284" customWidth="1"/>
    <col min="6914" max="6914" width="16.88671875" style="284" customWidth="1"/>
    <col min="6915" max="6915" width="12.88671875" style="284" customWidth="1"/>
    <col min="6916" max="6916" width="15" style="284" customWidth="1"/>
    <col min="6917" max="6917" width="14.109375" style="284" customWidth="1"/>
    <col min="6918" max="7168" width="9.109375" style="284"/>
    <col min="7169" max="7169" width="28.109375" style="284" customWidth="1"/>
    <col min="7170" max="7170" width="16.88671875" style="284" customWidth="1"/>
    <col min="7171" max="7171" width="12.88671875" style="284" customWidth="1"/>
    <col min="7172" max="7172" width="15" style="284" customWidth="1"/>
    <col min="7173" max="7173" width="14.109375" style="284" customWidth="1"/>
    <col min="7174" max="7424" width="9.109375" style="284"/>
    <col min="7425" max="7425" width="28.109375" style="284" customWidth="1"/>
    <col min="7426" max="7426" width="16.88671875" style="284" customWidth="1"/>
    <col min="7427" max="7427" width="12.88671875" style="284" customWidth="1"/>
    <col min="7428" max="7428" width="15" style="284" customWidth="1"/>
    <col min="7429" max="7429" width="14.109375" style="284" customWidth="1"/>
    <col min="7430" max="7680" width="9.109375" style="284"/>
    <col min="7681" max="7681" width="28.109375" style="284" customWidth="1"/>
    <col min="7682" max="7682" width="16.88671875" style="284" customWidth="1"/>
    <col min="7683" max="7683" width="12.88671875" style="284" customWidth="1"/>
    <col min="7684" max="7684" width="15" style="284" customWidth="1"/>
    <col min="7685" max="7685" width="14.109375" style="284" customWidth="1"/>
    <col min="7686" max="7936" width="9.109375" style="284"/>
    <col min="7937" max="7937" width="28.109375" style="284" customWidth="1"/>
    <col min="7938" max="7938" width="16.88671875" style="284" customWidth="1"/>
    <col min="7939" max="7939" width="12.88671875" style="284" customWidth="1"/>
    <col min="7940" max="7940" width="15" style="284" customWidth="1"/>
    <col min="7941" max="7941" width="14.109375" style="284" customWidth="1"/>
    <col min="7942" max="8192" width="9.109375" style="284"/>
    <col min="8193" max="8193" width="28.109375" style="284" customWidth="1"/>
    <col min="8194" max="8194" width="16.88671875" style="284" customWidth="1"/>
    <col min="8195" max="8195" width="12.88671875" style="284" customWidth="1"/>
    <col min="8196" max="8196" width="15" style="284" customWidth="1"/>
    <col min="8197" max="8197" width="14.109375" style="284" customWidth="1"/>
    <col min="8198" max="8448" width="9.109375" style="284"/>
    <col min="8449" max="8449" width="28.109375" style="284" customWidth="1"/>
    <col min="8450" max="8450" width="16.88671875" style="284" customWidth="1"/>
    <col min="8451" max="8451" width="12.88671875" style="284" customWidth="1"/>
    <col min="8452" max="8452" width="15" style="284" customWidth="1"/>
    <col min="8453" max="8453" width="14.109375" style="284" customWidth="1"/>
    <col min="8454" max="8704" width="9.109375" style="284"/>
    <col min="8705" max="8705" width="28.109375" style="284" customWidth="1"/>
    <col min="8706" max="8706" width="16.88671875" style="284" customWidth="1"/>
    <col min="8707" max="8707" width="12.88671875" style="284" customWidth="1"/>
    <col min="8708" max="8708" width="15" style="284" customWidth="1"/>
    <col min="8709" max="8709" width="14.109375" style="284" customWidth="1"/>
    <col min="8710" max="8960" width="9.109375" style="284"/>
    <col min="8961" max="8961" width="28.109375" style="284" customWidth="1"/>
    <col min="8962" max="8962" width="16.88671875" style="284" customWidth="1"/>
    <col min="8963" max="8963" width="12.88671875" style="284" customWidth="1"/>
    <col min="8964" max="8964" width="15" style="284" customWidth="1"/>
    <col min="8965" max="8965" width="14.109375" style="284" customWidth="1"/>
    <col min="8966" max="9216" width="9.109375" style="284"/>
    <col min="9217" max="9217" width="28.109375" style="284" customWidth="1"/>
    <col min="9218" max="9218" width="16.88671875" style="284" customWidth="1"/>
    <col min="9219" max="9219" width="12.88671875" style="284" customWidth="1"/>
    <col min="9220" max="9220" width="15" style="284" customWidth="1"/>
    <col min="9221" max="9221" width="14.109375" style="284" customWidth="1"/>
    <col min="9222" max="9472" width="9.109375" style="284"/>
    <col min="9473" max="9473" width="28.109375" style="284" customWidth="1"/>
    <col min="9474" max="9474" width="16.88671875" style="284" customWidth="1"/>
    <col min="9475" max="9475" width="12.88671875" style="284" customWidth="1"/>
    <col min="9476" max="9476" width="15" style="284" customWidth="1"/>
    <col min="9477" max="9477" width="14.109375" style="284" customWidth="1"/>
    <col min="9478" max="9728" width="9.109375" style="284"/>
    <col min="9729" max="9729" width="28.109375" style="284" customWidth="1"/>
    <col min="9730" max="9730" width="16.88671875" style="284" customWidth="1"/>
    <col min="9731" max="9731" width="12.88671875" style="284" customWidth="1"/>
    <col min="9732" max="9732" width="15" style="284" customWidth="1"/>
    <col min="9733" max="9733" width="14.109375" style="284" customWidth="1"/>
    <col min="9734" max="9984" width="9.109375" style="284"/>
    <col min="9985" max="9985" width="28.109375" style="284" customWidth="1"/>
    <col min="9986" max="9986" width="16.88671875" style="284" customWidth="1"/>
    <col min="9987" max="9987" width="12.88671875" style="284" customWidth="1"/>
    <col min="9988" max="9988" width="15" style="284" customWidth="1"/>
    <col min="9989" max="9989" width="14.109375" style="284" customWidth="1"/>
    <col min="9990" max="10240" width="9.109375" style="284"/>
    <col min="10241" max="10241" width="28.109375" style="284" customWidth="1"/>
    <col min="10242" max="10242" width="16.88671875" style="284" customWidth="1"/>
    <col min="10243" max="10243" width="12.88671875" style="284" customWidth="1"/>
    <col min="10244" max="10244" width="15" style="284" customWidth="1"/>
    <col min="10245" max="10245" width="14.109375" style="284" customWidth="1"/>
    <col min="10246" max="10496" width="9.109375" style="284"/>
    <col min="10497" max="10497" width="28.109375" style="284" customWidth="1"/>
    <col min="10498" max="10498" width="16.88671875" style="284" customWidth="1"/>
    <col min="10499" max="10499" width="12.88671875" style="284" customWidth="1"/>
    <col min="10500" max="10500" width="15" style="284" customWidth="1"/>
    <col min="10501" max="10501" width="14.109375" style="284" customWidth="1"/>
    <col min="10502" max="10752" width="9.109375" style="284"/>
    <col min="10753" max="10753" width="28.109375" style="284" customWidth="1"/>
    <col min="10754" max="10754" width="16.88671875" style="284" customWidth="1"/>
    <col min="10755" max="10755" width="12.88671875" style="284" customWidth="1"/>
    <col min="10756" max="10756" width="15" style="284" customWidth="1"/>
    <col min="10757" max="10757" width="14.109375" style="284" customWidth="1"/>
    <col min="10758" max="11008" width="9.109375" style="284"/>
    <col min="11009" max="11009" width="28.109375" style="284" customWidth="1"/>
    <col min="11010" max="11010" width="16.88671875" style="284" customWidth="1"/>
    <col min="11011" max="11011" width="12.88671875" style="284" customWidth="1"/>
    <col min="11012" max="11012" width="15" style="284" customWidth="1"/>
    <col min="11013" max="11013" width="14.109375" style="284" customWidth="1"/>
    <col min="11014" max="11264" width="9.109375" style="284"/>
    <col min="11265" max="11265" width="28.109375" style="284" customWidth="1"/>
    <col min="11266" max="11266" width="16.88671875" style="284" customWidth="1"/>
    <col min="11267" max="11267" width="12.88671875" style="284" customWidth="1"/>
    <col min="11268" max="11268" width="15" style="284" customWidth="1"/>
    <col min="11269" max="11269" width="14.109375" style="284" customWidth="1"/>
    <col min="11270" max="11520" width="9.109375" style="284"/>
    <col min="11521" max="11521" width="28.109375" style="284" customWidth="1"/>
    <col min="11522" max="11522" width="16.88671875" style="284" customWidth="1"/>
    <col min="11523" max="11523" width="12.88671875" style="284" customWidth="1"/>
    <col min="11524" max="11524" width="15" style="284" customWidth="1"/>
    <col min="11525" max="11525" width="14.109375" style="284" customWidth="1"/>
    <col min="11526" max="11776" width="9.109375" style="284"/>
    <col min="11777" max="11777" width="28.109375" style="284" customWidth="1"/>
    <col min="11778" max="11778" width="16.88671875" style="284" customWidth="1"/>
    <col min="11779" max="11779" width="12.88671875" style="284" customWidth="1"/>
    <col min="11780" max="11780" width="15" style="284" customWidth="1"/>
    <col min="11781" max="11781" width="14.109375" style="284" customWidth="1"/>
    <col min="11782" max="12032" width="9.109375" style="284"/>
    <col min="12033" max="12033" width="28.109375" style="284" customWidth="1"/>
    <col min="12034" max="12034" width="16.88671875" style="284" customWidth="1"/>
    <col min="12035" max="12035" width="12.88671875" style="284" customWidth="1"/>
    <col min="12036" max="12036" width="15" style="284" customWidth="1"/>
    <col min="12037" max="12037" width="14.109375" style="284" customWidth="1"/>
    <col min="12038" max="12288" width="9.109375" style="284"/>
    <col min="12289" max="12289" width="28.109375" style="284" customWidth="1"/>
    <col min="12290" max="12290" width="16.88671875" style="284" customWidth="1"/>
    <col min="12291" max="12291" width="12.88671875" style="284" customWidth="1"/>
    <col min="12292" max="12292" width="15" style="284" customWidth="1"/>
    <col min="12293" max="12293" width="14.109375" style="284" customWidth="1"/>
    <col min="12294" max="12544" width="9.109375" style="284"/>
    <col min="12545" max="12545" width="28.109375" style="284" customWidth="1"/>
    <col min="12546" max="12546" width="16.88671875" style="284" customWidth="1"/>
    <col min="12547" max="12547" width="12.88671875" style="284" customWidth="1"/>
    <col min="12548" max="12548" width="15" style="284" customWidth="1"/>
    <col min="12549" max="12549" width="14.109375" style="284" customWidth="1"/>
    <col min="12550" max="12800" width="9.109375" style="284"/>
    <col min="12801" max="12801" width="28.109375" style="284" customWidth="1"/>
    <col min="12802" max="12802" width="16.88671875" style="284" customWidth="1"/>
    <col min="12803" max="12803" width="12.88671875" style="284" customWidth="1"/>
    <col min="12804" max="12804" width="15" style="284" customWidth="1"/>
    <col min="12805" max="12805" width="14.109375" style="284" customWidth="1"/>
    <col min="12806" max="13056" width="9.109375" style="284"/>
    <col min="13057" max="13057" width="28.109375" style="284" customWidth="1"/>
    <col min="13058" max="13058" width="16.88671875" style="284" customWidth="1"/>
    <col min="13059" max="13059" width="12.88671875" style="284" customWidth="1"/>
    <col min="13060" max="13060" width="15" style="284" customWidth="1"/>
    <col min="13061" max="13061" width="14.109375" style="284" customWidth="1"/>
    <col min="13062" max="13312" width="9.109375" style="284"/>
    <col min="13313" max="13313" width="28.109375" style="284" customWidth="1"/>
    <col min="13314" max="13314" width="16.88671875" style="284" customWidth="1"/>
    <col min="13315" max="13315" width="12.88671875" style="284" customWidth="1"/>
    <col min="13316" max="13316" width="15" style="284" customWidth="1"/>
    <col min="13317" max="13317" width="14.109375" style="284" customWidth="1"/>
    <col min="13318" max="13568" width="9.109375" style="284"/>
    <col min="13569" max="13569" width="28.109375" style="284" customWidth="1"/>
    <col min="13570" max="13570" width="16.88671875" style="284" customWidth="1"/>
    <col min="13571" max="13571" width="12.88671875" style="284" customWidth="1"/>
    <col min="13572" max="13572" width="15" style="284" customWidth="1"/>
    <col min="13573" max="13573" width="14.109375" style="284" customWidth="1"/>
    <col min="13574" max="13824" width="9.109375" style="284"/>
    <col min="13825" max="13825" width="28.109375" style="284" customWidth="1"/>
    <col min="13826" max="13826" width="16.88671875" style="284" customWidth="1"/>
    <col min="13827" max="13827" width="12.88671875" style="284" customWidth="1"/>
    <col min="13828" max="13828" width="15" style="284" customWidth="1"/>
    <col min="13829" max="13829" width="14.109375" style="284" customWidth="1"/>
    <col min="13830" max="14080" width="9.109375" style="284"/>
    <col min="14081" max="14081" width="28.109375" style="284" customWidth="1"/>
    <col min="14082" max="14082" width="16.88671875" style="284" customWidth="1"/>
    <col min="14083" max="14083" width="12.88671875" style="284" customWidth="1"/>
    <col min="14084" max="14084" width="15" style="284" customWidth="1"/>
    <col min="14085" max="14085" width="14.109375" style="284" customWidth="1"/>
    <col min="14086" max="14336" width="9.109375" style="284"/>
    <col min="14337" max="14337" width="28.109375" style="284" customWidth="1"/>
    <col min="14338" max="14338" width="16.88671875" style="284" customWidth="1"/>
    <col min="14339" max="14339" width="12.88671875" style="284" customWidth="1"/>
    <col min="14340" max="14340" width="15" style="284" customWidth="1"/>
    <col min="14341" max="14341" width="14.109375" style="284" customWidth="1"/>
    <col min="14342" max="14592" width="9.109375" style="284"/>
    <col min="14593" max="14593" width="28.109375" style="284" customWidth="1"/>
    <col min="14594" max="14594" width="16.88671875" style="284" customWidth="1"/>
    <col min="14595" max="14595" width="12.88671875" style="284" customWidth="1"/>
    <col min="14596" max="14596" width="15" style="284" customWidth="1"/>
    <col min="14597" max="14597" width="14.109375" style="284" customWidth="1"/>
    <col min="14598" max="14848" width="9.109375" style="284"/>
    <col min="14849" max="14849" width="28.109375" style="284" customWidth="1"/>
    <col min="14850" max="14850" width="16.88671875" style="284" customWidth="1"/>
    <col min="14851" max="14851" width="12.88671875" style="284" customWidth="1"/>
    <col min="14852" max="14852" width="15" style="284" customWidth="1"/>
    <col min="14853" max="14853" width="14.109375" style="284" customWidth="1"/>
    <col min="14854" max="15104" width="9.109375" style="284"/>
    <col min="15105" max="15105" width="28.109375" style="284" customWidth="1"/>
    <col min="15106" max="15106" width="16.88671875" style="284" customWidth="1"/>
    <col min="15107" max="15107" width="12.88671875" style="284" customWidth="1"/>
    <col min="15108" max="15108" width="15" style="284" customWidth="1"/>
    <col min="15109" max="15109" width="14.109375" style="284" customWidth="1"/>
    <col min="15110" max="15360" width="9.109375" style="284"/>
    <col min="15361" max="15361" width="28.109375" style="284" customWidth="1"/>
    <col min="15362" max="15362" width="16.88671875" style="284" customWidth="1"/>
    <col min="15363" max="15363" width="12.88671875" style="284" customWidth="1"/>
    <col min="15364" max="15364" width="15" style="284" customWidth="1"/>
    <col min="15365" max="15365" width="14.109375" style="284" customWidth="1"/>
    <col min="15366" max="15616" width="9.109375" style="284"/>
    <col min="15617" max="15617" width="28.109375" style="284" customWidth="1"/>
    <col min="15618" max="15618" width="16.88671875" style="284" customWidth="1"/>
    <col min="15619" max="15619" width="12.88671875" style="284" customWidth="1"/>
    <col min="15620" max="15620" width="15" style="284" customWidth="1"/>
    <col min="15621" max="15621" width="14.109375" style="284" customWidth="1"/>
    <col min="15622" max="15872" width="9.109375" style="284"/>
    <col min="15873" max="15873" width="28.109375" style="284" customWidth="1"/>
    <col min="15874" max="15874" width="16.88671875" style="284" customWidth="1"/>
    <col min="15875" max="15875" width="12.88671875" style="284" customWidth="1"/>
    <col min="15876" max="15876" width="15" style="284" customWidth="1"/>
    <col min="15877" max="15877" width="14.109375" style="284" customWidth="1"/>
    <col min="15878" max="16128" width="9.109375" style="284"/>
    <col min="16129" max="16129" width="28.109375" style="284" customWidth="1"/>
    <col min="16130" max="16130" width="16.88671875" style="284" customWidth="1"/>
    <col min="16131" max="16131" width="12.88671875" style="284" customWidth="1"/>
    <col min="16132" max="16132" width="15" style="284" customWidth="1"/>
    <col min="16133" max="16133" width="14.109375" style="284" customWidth="1"/>
    <col min="16134" max="16384" width="9.109375" style="284"/>
  </cols>
  <sheetData>
    <row r="1" spans="1:5" s="1544" customFormat="1" ht="13.8">
      <c r="A1" s="15358" t="s">
        <v>3426</v>
      </c>
      <c r="B1" s="15358"/>
      <c r="C1" s="15358"/>
      <c r="D1" s="15358"/>
      <c r="E1" s="15358"/>
    </row>
    <row r="2" spans="1:5" s="1544" customFormat="1" ht="13.8">
      <c r="A2" s="5082"/>
      <c r="B2" s="5082"/>
      <c r="C2" s="5082"/>
      <c r="D2" s="5082"/>
      <c r="E2" s="5087"/>
    </row>
    <row r="3" spans="1:5" s="1544" customFormat="1" ht="13.8">
      <c r="A3" s="2655" t="s">
        <v>4810</v>
      </c>
      <c r="E3" s="4130"/>
    </row>
    <row r="4" spans="1:5" ht="13.8" thickBot="1"/>
    <row r="5" spans="1:5" ht="13.8" thickBot="1">
      <c r="A5" s="15359" t="s">
        <v>3241</v>
      </c>
      <c r="B5" s="15361" t="s">
        <v>18</v>
      </c>
      <c r="C5" s="15361"/>
      <c r="D5" s="15362"/>
      <c r="E5" s="5088"/>
    </row>
    <row r="6" spans="1:5">
      <c r="A6" s="15360"/>
      <c r="B6" s="1972" t="s">
        <v>2151</v>
      </c>
      <c r="C6" s="1935" t="s">
        <v>1973</v>
      </c>
      <c r="D6" s="1935" t="s">
        <v>52</v>
      </c>
      <c r="E6" s="5089" t="s">
        <v>458</v>
      </c>
    </row>
    <row r="7" spans="1:5">
      <c r="A7" s="286"/>
      <c r="B7" s="285"/>
      <c r="C7" s="286"/>
      <c r="D7" s="286"/>
      <c r="E7" s="2536"/>
    </row>
    <row r="8" spans="1:5" ht="26.4">
      <c r="A8" s="5084" t="s">
        <v>2970</v>
      </c>
      <c r="B8" s="5085">
        <f>'lbpf 3-VET'!K32</f>
        <v>21599022.905000001</v>
      </c>
      <c r="C8" s="5086">
        <f>'lbpf 3-VET'!K66</f>
        <v>4709000</v>
      </c>
      <c r="D8" s="5086">
        <f>'lbpf 3-VET'!K88</f>
        <v>100000</v>
      </c>
      <c r="E8" s="2647">
        <f>SUM(B8:D8)</f>
        <v>26408022.905000001</v>
      </c>
    </row>
    <row r="9" spans="1:5">
      <c r="A9" s="2535"/>
      <c r="B9" s="285"/>
      <c r="C9" s="2535"/>
      <c r="D9" s="2535"/>
      <c r="E9" s="2647"/>
    </row>
    <row r="10" spans="1:5" ht="13.8">
      <c r="A10" s="5083" t="s">
        <v>5184</v>
      </c>
      <c r="B10" s="285"/>
      <c r="C10" s="286"/>
      <c r="D10" s="286"/>
      <c r="E10" s="2536"/>
    </row>
    <row r="11" spans="1:5" ht="13.8">
      <c r="A11" s="5083" t="s">
        <v>5185</v>
      </c>
      <c r="B11" s="285"/>
      <c r="C11" s="286"/>
      <c r="D11" s="286"/>
      <c r="E11" s="2536"/>
    </row>
    <row r="12" spans="1:5" ht="13.8">
      <c r="A12" s="1973" t="s">
        <v>5186</v>
      </c>
      <c r="B12" s="285"/>
      <c r="C12" s="286"/>
      <c r="D12" s="286"/>
      <c r="E12" s="2536">
        <v>1000000</v>
      </c>
    </row>
    <row r="13" spans="1:5" ht="13.8">
      <c r="A13" s="1973"/>
      <c r="B13" s="285"/>
      <c r="C13" s="286"/>
      <c r="D13" s="286"/>
      <c r="E13" s="2536"/>
    </row>
    <row r="14" spans="1:5" ht="13.8">
      <c r="A14" s="1973" t="s">
        <v>5187</v>
      </c>
      <c r="B14" s="285"/>
      <c r="C14" s="286"/>
      <c r="D14" s="286"/>
      <c r="E14" s="2536">
        <v>1200000</v>
      </c>
    </row>
    <row r="15" spans="1:5" ht="13.8">
      <c r="A15" s="1973"/>
      <c r="B15" s="285"/>
      <c r="C15" s="286"/>
      <c r="D15" s="286"/>
      <c r="E15" s="2536"/>
    </row>
    <row r="16" spans="1:5" ht="13.8">
      <c r="A16" s="1973" t="s">
        <v>4985</v>
      </c>
      <c r="B16" s="285"/>
      <c r="C16" s="286"/>
      <c r="D16" s="286"/>
      <c r="E16" s="2536">
        <v>800000</v>
      </c>
    </row>
    <row r="17" spans="1:5" ht="13.8">
      <c r="A17" s="1973"/>
      <c r="B17" s="285"/>
      <c r="C17" s="286"/>
      <c r="D17" s="286"/>
      <c r="E17" s="2536"/>
    </row>
    <row r="18" spans="1:5" ht="13.8">
      <c r="A18" s="1973" t="s">
        <v>5188</v>
      </c>
      <c r="B18" s="285"/>
      <c r="C18" s="286"/>
      <c r="D18" s="286"/>
      <c r="E18" s="2536">
        <v>2000000</v>
      </c>
    </row>
    <row r="19" spans="1:5" ht="13.8">
      <c r="A19" s="1973"/>
      <c r="B19" s="285"/>
      <c r="C19" s="286"/>
      <c r="D19" s="286"/>
      <c r="E19" s="2536"/>
    </row>
    <row r="20" spans="1:5" ht="13.8">
      <c r="A20" s="1973" t="s">
        <v>5178</v>
      </c>
      <c r="B20" s="285"/>
      <c r="C20" s="286"/>
      <c r="D20" s="286"/>
      <c r="E20" s="2536">
        <v>700000</v>
      </c>
    </row>
    <row r="21" spans="1:5" ht="13.8">
      <c r="A21" s="1973"/>
      <c r="B21" s="285"/>
      <c r="C21" s="286"/>
      <c r="D21" s="286"/>
      <c r="E21" s="2536"/>
    </row>
    <row r="22" spans="1:5" ht="13.8">
      <c r="A22" s="1973" t="s">
        <v>5189</v>
      </c>
      <c r="B22" s="285"/>
      <c r="C22" s="286"/>
      <c r="D22" s="286"/>
      <c r="E22" s="2536">
        <v>500000</v>
      </c>
    </row>
    <row r="23" spans="1:5" ht="13.8">
      <c r="A23" s="1973"/>
      <c r="B23" s="285"/>
      <c r="C23" s="286"/>
      <c r="D23" s="286"/>
      <c r="E23" s="2536"/>
    </row>
    <row r="24" spans="1:5" ht="13.8">
      <c r="A24" s="1973"/>
      <c r="B24" s="285"/>
      <c r="C24" s="286"/>
      <c r="D24" s="286"/>
      <c r="E24" s="2536"/>
    </row>
    <row r="25" spans="1:5" ht="13.8">
      <c r="A25" s="1973" t="s">
        <v>5190</v>
      </c>
      <c r="B25" s="285"/>
      <c r="C25" s="286"/>
      <c r="D25" s="286"/>
      <c r="E25" s="2536"/>
    </row>
    <row r="26" spans="1:5" ht="13.8">
      <c r="A26" s="1973" t="s">
        <v>5191</v>
      </c>
      <c r="B26" s="285"/>
      <c r="C26" s="286"/>
      <c r="D26" s="286"/>
      <c r="E26" s="2536"/>
    </row>
    <row r="27" spans="1:5" ht="13.8">
      <c r="A27" s="1973" t="s">
        <v>5192</v>
      </c>
      <c r="B27" s="285"/>
      <c r="C27" s="286"/>
      <c r="D27" s="286"/>
      <c r="E27" s="2536">
        <v>500000</v>
      </c>
    </row>
    <row r="28" spans="1:5" ht="13.8">
      <c r="A28" s="1973" t="s">
        <v>5193</v>
      </c>
      <c r="B28" s="285"/>
      <c r="C28" s="286"/>
      <c r="D28" s="286"/>
      <c r="E28" s="2536">
        <v>1500000</v>
      </c>
    </row>
    <row r="29" spans="1:5" ht="13.8">
      <c r="A29" s="1973"/>
      <c r="B29" s="285"/>
      <c r="C29" s="286"/>
      <c r="D29" s="286"/>
      <c r="E29" s="2536"/>
    </row>
    <row r="30" spans="1:5" ht="13.8">
      <c r="A30" s="1974" t="s">
        <v>5194</v>
      </c>
      <c r="B30" s="285"/>
      <c r="C30" s="286"/>
      <c r="D30" s="286"/>
      <c r="E30" s="2536">
        <v>1150000</v>
      </c>
    </row>
    <row r="31" spans="1:5">
      <c r="A31" s="286"/>
      <c r="B31" s="285"/>
      <c r="C31" s="286"/>
      <c r="D31" s="286"/>
      <c r="E31" s="2536"/>
    </row>
    <row r="32" spans="1:5" ht="13.8" thickBot="1">
      <c r="A32" s="286"/>
      <c r="B32" s="285"/>
      <c r="C32" s="286"/>
      <c r="D32" s="1809"/>
      <c r="E32" s="2536"/>
    </row>
    <row r="33" spans="1:5" ht="27" customHeight="1" thickBot="1">
      <c r="A33" s="1613" t="s">
        <v>2850</v>
      </c>
      <c r="B33" s="5365">
        <f>SUM(B8:B32)</f>
        <v>21599022.905000001</v>
      </c>
      <c r="C33" s="5365">
        <f>SUM(C8:C32)</f>
        <v>4709000</v>
      </c>
      <c r="D33" s="5365">
        <f>SUM(D8:D32)</f>
        <v>100000</v>
      </c>
      <c r="E33" s="5090">
        <f>SUM(E8:E32)</f>
        <v>35758022.905000001</v>
      </c>
    </row>
    <row r="36" spans="1:5">
      <c r="D36" s="287"/>
    </row>
  </sheetData>
  <mergeCells count="3">
    <mergeCell ref="A1:E1"/>
    <mergeCell ref="A5:A6"/>
    <mergeCell ref="B5:D5"/>
  </mergeCells>
  <printOptions horizontalCentered="1"/>
  <pageMargins left="0.5" right="0.25" top="0.75" bottom="0.5" header="0.3" footer="0.25"/>
  <pageSetup paperSize="119" orientation="portrait" r:id="rId1"/>
</worksheet>
</file>

<file path=xl/worksheets/sheet175.xml><?xml version="1.0" encoding="utf-8"?>
<worksheet xmlns="http://schemas.openxmlformats.org/spreadsheetml/2006/main" xmlns:r="http://schemas.openxmlformats.org/officeDocument/2006/relationships">
  <sheetPr codeName="Sheet134">
    <tabColor rgb="FFFFFF00"/>
  </sheetPr>
  <dimension ref="A1:H70"/>
  <sheetViews>
    <sheetView showGridLines="0" workbookViewId="0">
      <selection activeCell="H18" sqref="H18"/>
    </sheetView>
  </sheetViews>
  <sheetFormatPr defaultRowHeight="12.9" customHeight="1"/>
  <cols>
    <col min="1" max="1" width="40.5546875" style="7001" customWidth="1"/>
    <col min="2" max="3" width="8.5546875" style="7001" customWidth="1"/>
    <col min="4" max="6" width="14.5546875" style="7001" customWidth="1"/>
    <col min="7" max="7" width="12.88671875" style="7001" customWidth="1"/>
    <col min="8" max="8" width="16.109375" style="7001" customWidth="1"/>
    <col min="9" max="13" width="8.88671875" style="7001" customWidth="1"/>
    <col min="14" max="239" width="9.109375" style="7001"/>
    <col min="240" max="240" width="35" style="7001" customWidth="1"/>
    <col min="241" max="242" width="9.109375" style="7001"/>
    <col min="243" max="243" width="12" style="7001" customWidth="1"/>
    <col min="244" max="244" width="13.44140625" style="7001" customWidth="1"/>
    <col min="245" max="245" width="14.44140625" style="7001" customWidth="1"/>
    <col min="246" max="246" width="11.109375" style="7001" bestFit="1" customWidth="1"/>
    <col min="247" max="247" width="12.109375" style="7001" customWidth="1"/>
    <col min="248" max="248" width="11.109375" style="7001" customWidth="1"/>
    <col min="249" max="495" width="9.109375" style="7001"/>
    <col min="496" max="496" width="35" style="7001" customWidth="1"/>
    <col min="497" max="498" width="9.109375" style="7001"/>
    <col min="499" max="499" width="12" style="7001" customWidth="1"/>
    <col min="500" max="500" width="13.44140625" style="7001" customWidth="1"/>
    <col min="501" max="501" width="14.44140625" style="7001" customWidth="1"/>
    <col min="502" max="502" width="11.109375" style="7001" bestFit="1" customWidth="1"/>
    <col min="503" max="503" width="12.109375" style="7001" customWidth="1"/>
    <col min="504" max="504" width="11.109375" style="7001" customWidth="1"/>
    <col min="505" max="751" width="9.109375" style="7001"/>
    <col min="752" max="752" width="35" style="7001" customWidth="1"/>
    <col min="753" max="754" width="9.109375" style="7001"/>
    <col min="755" max="755" width="12" style="7001" customWidth="1"/>
    <col min="756" max="756" width="13.44140625" style="7001" customWidth="1"/>
    <col min="757" max="757" width="14.44140625" style="7001" customWidth="1"/>
    <col min="758" max="758" width="11.109375" style="7001" bestFit="1" customWidth="1"/>
    <col min="759" max="759" width="12.109375" style="7001" customWidth="1"/>
    <col min="760" max="760" width="11.109375" style="7001" customWidth="1"/>
    <col min="761" max="1007" width="9.109375" style="7001"/>
    <col min="1008" max="1008" width="35" style="7001" customWidth="1"/>
    <col min="1009" max="1010" width="9.109375" style="7001"/>
    <col min="1011" max="1011" width="12" style="7001" customWidth="1"/>
    <col min="1012" max="1012" width="13.44140625" style="7001" customWidth="1"/>
    <col min="1013" max="1013" width="14.44140625" style="7001" customWidth="1"/>
    <col min="1014" max="1014" width="11.109375" style="7001" bestFit="1" customWidth="1"/>
    <col min="1015" max="1015" width="12.109375" style="7001" customWidth="1"/>
    <col min="1016" max="1016" width="11.109375" style="7001" customWidth="1"/>
    <col min="1017" max="1263" width="9.109375" style="7001"/>
    <col min="1264" max="1264" width="35" style="7001" customWidth="1"/>
    <col min="1265" max="1266" width="9.109375" style="7001"/>
    <col min="1267" max="1267" width="12" style="7001" customWidth="1"/>
    <col min="1268" max="1268" width="13.44140625" style="7001" customWidth="1"/>
    <col min="1269" max="1269" width="14.44140625" style="7001" customWidth="1"/>
    <col min="1270" max="1270" width="11.109375" style="7001" bestFit="1" customWidth="1"/>
    <col min="1271" max="1271" width="12.109375" style="7001" customWidth="1"/>
    <col min="1272" max="1272" width="11.109375" style="7001" customWidth="1"/>
    <col min="1273" max="1519" width="9.109375" style="7001"/>
    <col min="1520" max="1520" width="35" style="7001" customWidth="1"/>
    <col min="1521" max="1522" width="9.109375" style="7001"/>
    <col min="1523" max="1523" width="12" style="7001" customWidth="1"/>
    <col min="1524" max="1524" width="13.44140625" style="7001" customWidth="1"/>
    <col min="1525" max="1525" width="14.44140625" style="7001" customWidth="1"/>
    <col min="1526" max="1526" width="11.109375" style="7001" bestFit="1" customWidth="1"/>
    <col min="1527" max="1527" width="12.109375" style="7001" customWidth="1"/>
    <col min="1528" max="1528" width="11.109375" style="7001" customWidth="1"/>
    <col min="1529" max="1775" width="9.109375" style="7001"/>
    <col min="1776" max="1776" width="35" style="7001" customWidth="1"/>
    <col min="1777" max="1778" width="9.109375" style="7001"/>
    <col min="1779" max="1779" width="12" style="7001" customWidth="1"/>
    <col min="1780" max="1780" width="13.44140625" style="7001" customWidth="1"/>
    <col min="1781" max="1781" width="14.44140625" style="7001" customWidth="1"/>
    <col min="1782" max="1782" width="11.109375" style="7001" bestFit="1" customWidth="1"/>
    <col min="1783" max="1783" width="12.109375" style="7001" customWidth="1"/>
    <col min="1784" max="1784" width="11.109375" style="7001" customWidth="1"/>
    <col min="1785" max="2031" width="9.109375" style="7001"/>
    <col min="2032" max="2032" width="35" style="7001" customWidth="1"/>
    <col min="2033" max="2034" width="9.109375" style="7001"/>
    <col min="2035" max="2035" width="12" style="7001" customWidth="1"/>
    <col min="2036" max="2036" width="13.44140625" style="7001" customWidth="1"/>
    <col min="2037" max="2037" width="14.44140625" style="7001" customWidth="1"/>
    <col min="2038" max="2038" width="11.109375" style="7001" bestFit="1" customWidth="1"/>
    <col min="2039" max="2039" width="12.109375" style="7001" customWidth="1"/>
    <col min="2040" max="2040" width="11.109375" style="7001" customWidth="1"/>
    <col min="2041" max="2287" width="9.109375" style="7001"/>
    <col min="2288" max="2288" width="35" style="7001" customWidth="1"/>
    <col min="2289" max="2290" width="9.109375" style="7001"/>
    <col min="2291" max="2291" width="12" style="7001" customWidth="1"/>
    <col min="2292" max="2292" width="13.44140625" style="7001" customWidth="1"/>
    <col min="2293" max="2293" width="14.44140625" style="7001" customWidth="1"/>
    <col min="2294" max="2294" width="11.109375" style="7001" bestFit="1" customWidth="1"/>
    <col min="2295" max="2295" width="12.109375" style="7001" customWidth="1"/>
    <col min="2296" max="2296" width="11.109375" style="7001" customWidth="1"/>
    <col min="2297" max="2543" width="9.109375" style="7001"/>
    <col min="2544" max="2544" width="35" style="7001" customWidth="1"/>
    <col min="2545" max="2546" width="9.109375" style="7001"/>
    <col min="2547" max="2547" width="12" style="7001" customWidth="1"/>
    <col min="2548" max="2548" width="13.44140625" style="7001" customWidth="1"/>
    <col min="2549" max="2549" width="14.44140625" style="7001" customWidth="1"/>
    <col min="2550" max="2550" width="11.109375" style="7001" bestFit="1" customWidth="1"/>
    <col min="2551" max="2551" width="12.109375" style="7001" customWidth="1"/>
    <col min="2552" max="2552" width="11.109375" style="7001" customWidth="1"/>
    <col min="2553" max="2799" width="9.109375" style="7001"/>
    <col min="2800" max="2800" width="35" style="7001" customWidth="1"/>
    <col min="2801" max="2802" width="9.109375" style="7001"/>
    <col min="2803" max="2803" width="12" style="7001" customWidth="1"/>
    <col min="2804" max="2804" width="13.44140625" style="7001" customWidth="1"/>
    <col min="2805" max="2805" width="14.44140625" style="7001" customWidth="1"/>
    <col min="2806" max="2806" width="11.109375" style="7001" bestFit="1" customWidth="1"/>
    <col min="2807" max="2807" width="12.109375" style="7001" customWidth="1"/>
    <col min="2808" max="2808" width="11.109375" style="7001" customWidth="1"/>
    <col min="2809" max="3055" width="9.109375" style="7001"/>
    <col min="3056" max="3056" width="35" style="7001" customWidth="1"/>
    <col min="3057" max="3058" width="9.109375" style="7001"/>
    <col min="3059" max="3059" width="12" style="7001" customWidth="1"/>
    <col min="3060" max="3060" width="13.44140625" style="7001" customWidth="1"/>
    <col min="3061" max="3061" width="14.44140625" style="7001" customWidth="1"/>
    <col min="3062" max="3062" width="11.109375" style="7001" bestFit="1" customWidth="1"/>
    <col min="3063" max="3063" width="12.109375" style="7001" customWidth="1"/>
    <col min="3064" max="3064" width="11.109375" style="7001" customWidth="1"/>
    <col min="3065" max="3311" width="9.109375" style="7001"/>
    <col min="3312" max="3312" width="35" style="7001" customWidth="1"/>
    <col min="3313" max="3314" width="9.109375" style="7001"/>
    <col min="3315" max="3315" width="12" style="7001" customWidth="1"/>
    <col min="3316" max="3316" width="13.44140625" style="7001" customWidth="1"/>
    <col min="3317" max="3317" width="14.44140625" style="7001" customWidth="1"/>
    <col min="3318" max="3318" width="11.109375" style="7001" bestFit="1" customWidth="1"/>
    <col min="3319" max="3319" width="12.109375" style="7001" customWidth="1"/>
    <col min="3320" max="3320" width="11.109375" style="7001" customWidth="1"/>
    <col min="3321" max="3567" width="9.109375" style="7001"/>
    <col min="3568" max="3568" width="35" style="7001" customWidth="1"/>
    <col min="3569" max="3570" width="9.109375" style="7001"/>
    <col min="3571" max="3571" width="12" style="7001" customWidth="1"/>
    <col min="3572" max="3572" width="13.44140625" style="7001" customWidth="1"/>
    <col min="3573" max="3573" width="14.44140625" style="7001" customWidth="1"/>
    <col min="3574" max="3574" width="11.109375" style="7001" bestFit="1" customWidth="1"/>
    <col min="3575" max="3575" width="12.109375" style="7001" customWidth="1"/>
    <col min="3576" max="3576" width="11.109375" style="7001" customWidth="1"/>
    <col min="3577" max="3823" width="9.109375" style="7001"/>
    <col min="3824" max="3824" width="35" style="7001" customWidth="1"/>
    <col min="3825" max="3826" width="9.109375" style="7001"/>
    <col min="3827" max="3827" width="12" style="7001" customWidth="1"/>
    <col min="3828" max="3828" width="13.44140625" style="7001" customWidth="1"/>
    <col min="3829" max="3829" width="14.44140625" style="7001" customWidth="1"/>
    <col min="3830" max="3830" width="11.109375" style="7001" bestFit="1" customWidth="1"/>
    <col min="3831" max="3831" width="12.109375" style="7001" customWidth="1"/>
    <col min="3832" max="3832" width="11.109375" style="7001" customWidth="1"/>
    <col min="3833" max="4079" width="9.109375" style="7001"/>
    <col min="4080" max="4080" width="35" style="7001" customWidth="1"/>
    <col min="4081" max="4082" width="9.109375" style="7001"/>
    <col min="4083" max="4083" width="12" style="7001" customWidth="1"/>
    <col min="4084" max="4084" width="13.44140625" style="7001" customWidth="1"/>
    <col min="4085" max="4085" width="14.44140625" style="7001" customWidth="1"/>
    <col min="4086" max="4086" width="11.109375" style="7001" bestFit="1" customWidth="1"/>
    <col min="4087" max="4087" width="12.109375" style="7001" customWidth="1"/>
    <col min="4088" max="4088" width="11.109375" style="7001" customWidth="1"/>
    <col min="4089" max="4335" width="9.109375" style="7001"/>
    <col min="4336" max="4336" width="35" style="7001" customWidth="1"/>
    <col min="4337" max="4338" width="9.109375" style="7001"/>
    <col min="4339" max="4339" width="12" style="7001" customWidth="1"/>
    <col min="4340" max="4340" width="13.44140625" style="7001" customWidth="1"/>
    <col min="4341" max="4341" width="14.44140625" style="7001" customWidth="1"/>
    <col min="4342" max="4342" width="11.109375" style="7001" bestFit="1" customWidth="1"/>
    <col min="4343" max="4343" width="12.109375" style="7001" customWidth="1"/>
    <col min="4344" max="4344" width="11.109375" style="7001" customWidth="1"/>
    <col min="4345" max="4591" width="9.109375" style="7001"/>
    <col min="4592" max="4592" width="35" style="7001" customWidth="1"/>
    <col min="4593" max="4594" width="9.109375" style="7001"/>
    <col min="4595" max="4595" width="12" style="7001" customWidth="1"/>
    <col min="4596" max="4596" width="13.44140625" style="7001" customWidth="1"/>
    <col min="4597" max="4597" width="14.44140625" style="7001" customWidth="1"/>
    <col min="4598" max="4598" width="11.109375" style="7001" bestFit="1" customWidth="1"/>
    <col min="4599" max="4599" width="12.109375" style="7001" customWidth="1"/>
    <col min="4600" max="4600" width="11.109375" style="7001" customWidth="1"/>
    <col min="4601" max="4847" width="9.109375" style="7001"/>
    <col min="4848" max="4848" width="35" style="7001" customWidth="1"/>
    <col min="4849" max="4850" width="9.109375" style="7001"/>
    <col min="4851" max="4851" width="12" style="7001" customWidth="1"/>
    <col min="4852" max="4852" width="13.44140625" style="7001" customWidth="1"/>
    <col min="4853" max="4853" width="14.44140625" style="7001" customWidth="1"/>
    <col min="4854" max="4854" width="11.109375" style="7001" bestFit="1" customWidth="1"/>
    <col min="4855" max="4855" width="12.109375" style="7001" customWidth="1"/>
    <col min="4856" max="4856" width="11.109375" style="7001" customWidth="1"/>
    <col min="4857" max="5103" width="9.109375" style="7001"/>
    <col min="5104" max="5104" width="35" style="7001" customWidth="1"/>
    <col min="5105" max="5106" width="9.109375" style="7001"/>
    <col min="5107" max="5107" width="12" style="7001" customWidth="1"/>
    <col min="5108" max="5108" width="13.44140625" style="7001" customWidth="1"/>
    <col min="5109" max="5109" width="14.44140625" style="7001" customWidth="1"/>
    <col min="5110" max="5110" width="11.109375" style="7001" bestFit="1" customWidth="1"/>
    <col min="5111" max="5111" width="12.109375" style="7001" customWidth="1"/>
    <col min="5112" max="5112" width="11.109375" style="7001" customWidth="1"/>
    <col min="5113" max="5359" width="9.109375" style="7001"/>
    <col min="5360" max="5360" width="35" style="7001" customWidth="1"/>
    <col min="5361" max="5362" width="9.109375" style="7001"/>
    <col min="5363" max="5363" width="12" style="7001" customWidth="1"/>
    <col min="5364" max="5364" width="13.44140625" style="7001" customWidth="1"/>
    <col min="5365" max="5365" width="14.44140625" style="7001" customWidth="1"/>
    <col min="5366" max="5366" width="11.109375" style="7001" bestFit="1" customWidth="1"/>
    <col min="5367" max="5367" width="12.109375" style="7001" customWidth="1"/>
    <col min="5368" max="5368" width="11.109375" style="7001" customWidth="1"/>
    <col min="5369" max="5615" width="9.109375" style="7001"/>
    <col min="5616" max="5616" width="35" style="7001" customWidth="1"/>
    <col min="5617" max="5618" width="9.109375" style="7001"/>
    <col min="5619" max="5619" width="12" style="7001" customWidth="1"/>
    <col min="5620" max="5620" width="13.44140625" style="7001" customWidth="1"/>
    <col min="5621" max="5621" width="14.44140625" style="7001" customWidth="1"/>
    <col min="5622" max="5622" width="11.109375" style="7001" bestFit="1" customWidth="1"/>
    <col min="5623" max="5623" width="12.109375" style="7001" customWidth="1"/>
    <col min="5624" max="5624" width="11.109375" style="7001" customWidth="1"/>
    <col min="5625" max="5871" width="9.109375" style="7001"/>
    <col min="5872" max="5872" width="35" style="7001" customWidth="1"/>
    <col min="5873" max="5874" width="9.109375" style="7001"/>
    <col min="5875" max="5875" width="12" style="7001" customWidth="1"/>
    <col min="5876" max="5876" width="13.44140625" style="7001" customWidth="1"/>
    <col min="5877" max="5877" width="14.44140625" style="7001" customWidth="1"/>
    <col min="5878" max="5878" width="11.109375" style="7001" bestFit="1" customWidth="1"/>
    <col min="5879" max="5879" width="12.109375" style="7001" customWidth="1"/>
    <col min="5880" max="5880" width="11.109375" style="7001" customWidth="1"/>
    <col min="5881" max="6127" width="9.109375" style="7001"/>
    <col min="6128" max="6128" width="35" style="7001" customWidth="1"/>
    <col min="6129" max="6130" width="9.109375" style="7001"/>
    <col min="6131" max="6131" width="12" style="7001" customWidth="1"/>
    <col min="6132" max="6132" width="13.44140625" style="7001" customWidth="1"/>
    <col min="6133" max="6133" width="14.44140625" style="7001" customWidth="1"/>
    <col min="6134" max="6134" width="11.109375" style="7001" bestFit="1" customWidth="1"/>
    <col min="6135" max="6135" width="12.109375" style="7001" customWidth="1"/>
    <col min="6136" max="6136" width="11.109375" style="7001" customWidth="1"/>
    <col min="6137" max="6383" width="9.109375" style="7001"/>
    <col min="6384" max="6384" width="35" style="7001" customWidth="1"/>
    <col min="6385" max="6386" width="9.109375" style="7001"/>
    <col min="6387" max="6387" width="12" style="7001" customWidth="1"/>
    <col min="6388" max="6388" width="13.44140625" style="7001" customWidth="1"/>
    <col min="6389" max="6389" width="14.44140625" style="7001" customWidth="1"/>
    <col min="6390" max="6390" width="11.109375" style="7001" bestFit="1" customWidth="1"/>
    <col min="6391" max="6391" width="12.109375" style="7001" customWidth="1"/>
    <col min="6392" max="6392" width="11.109375" style="7001" customWidth="1"/>
    <col min="6393" max="6639" width="9.109375" style="7001"/>
    <col min="6640" max="6640" width="35" style="7001" customWidth="1"/>
    <col min="6641" max="6642" width="9.109375" style="7001"/>
    <col min="6643" max="6643" width="12" style="7001" customWidth="1"/>
    <col min="6644" max="6644" width="13.44140625" style="7001" customWidth="1"/>
    <col min="6645" max="6645" width="14.44140625" style="7001" customWidth="1"/>
    <col min="6646" max="6646" width="11.109375" style="7001" bestFit="1" customWidth="1"/>
    <col min="6647" max="6647" width="12.109375" style="7001" customWidth="1"/>
    <col min="6648" max="6648" width="11.109375" style="7001" customWidth="1"/>
    <col min="6649" max="6895" width="9.109375" style="7001"/>
    <col min="6896" max="6896" width="35" style="7001" customWidth="1"/>
    <col min="6897" max="6898" width="9.109375" style="7001"/>
    <col min="6899" max="6899" width="12" style="7001" customWidth="1"/>
    <col min="6900" max="6900" width="13.44140625" style="7001" customWidth="1"/>
    <col min="6901" max="6901" width="14.44140625" style="7001" customWidth="1"/>
    <col min="6902" max="6902" width="11.109375" style="7001" bestFit="1" customWidth="1"/>
    <col min="6903" max="6903" width="12.109375" style="7001" customWidth="1"/>
    <col min="6904" max="6904" width="11.109375" style="7001" customWidth="1"/>
    <col min="6905" max="7151" width="9.109375" style="7001"/>
    <col min="7152" max="7152" width="35" style="7001" customWidth="1"/>
    <col min="7153" max="7154" width="9.109375" style="7001"/>
    <col min="7155" max="7155" width="12" style="7001" customWidth="1"/>
    <col min="7156" max="7156" width="13.44140625" style="7001" customWidth="1"/>
    <col min="7157" max="7157" width="14.44140625" style="7001" customWidth="1"/>
    <col min="7158" max="7158" width="11.109375" style="7001" bestFit="1" customWidth="1"/>
    <col min="7159" max="7159" width="12.109375" style="7001" customWidth="1"/>
    <col min="7160" max="7160" width="11.109375" style="7001" customWidth="1"/>
    <col min="7161" max="7407" width="9.109375" style="7001"/>
    <col min="7408" max="7408" width="35" style="7001" customWidth="1"/>
    <col min="7409" max="7410" width="9.109375" style="7001"/>
    <col min="7411" max="7411" width="12" style="7001" customWidth="1"/>
    <col min="7412" max="7412" width="13.44140625" style="7001" customWidth="1"/>
    <col min="7413" max="7413" width="14.44140625" style="7001" customWidth="1"/>
    <col min="7414" max="7414" width="11.109375" style="7001" bestFit="1" customWidth="1"/>
    <col min="7415" max="7415" width="12.109375" style="7001" customWidth="1"/>
    <col min="7416" max="7416" width="11.109375" style="7001" customWidth="1"/>
    <col min="7417" max="7663" width="9.109375" style="7001"/>
    <col min="7664" max="7664" width="35" style="7001" customWidth="1"/>
    <col min="7665" max="7666" width="9.109375" style="7001"/>
    <col min="7667" max="7667" width="12" style="7001" customWidth="1"/>
    <col min="7668" max="7668" width="13.44140625" style="7001" customWidth="1"/>
    <col min="7669" max="7669" width="14.44140625" style="7001" customWidth="1"/>
    <col min="7670" max="7670" width="11.109375" style="7001" bestFit="1" customWidth="1"/>
    <col min="7671" max="7671" width="12.109375" style="7001" customWidth="1"/>
    <col min="7672" max="7672" width="11.109375" style="7001" customWidth="1"/>
    <col min="7673" max="7919" width="9.109375" style="7001"/>
    <col min="7920" max="7920" width="35" style="7001" customWidth="1"/>
    <col min="7921" max="7922" width="9.109375" style="7001"/>
    <col min="7923" max="7923" width="12" style="7001" customWidth="1"/>
    <col min="7924" max="7924" width="13.44140625" style="7001" customWidth="1"/>
    <col min="7925" max="7925" width="14.44140625" style="7001" customWidth="1"/>
    <col min="7926" max="7926" width="11.109375" style="7001" bestFit="1" customWidth="1"/>
    <col min="7927" max="7927" width="12.109375" style="7001" customWidth="1"/>
    <col min="7928" max="7928" width="11.109375" style="7001" customWidth="1"/>
    <col min="7929" max="8175" width="9.109375" style="7001"/>
    <col min="8176" max="8176" width="35" style="7001" customWidth="1"/>
    <col min="8177" max="8178" width="9.109375" style="7001"/>
    <col min="8179" max="8179" width="12" style="7001" customWidth="1"/>
    <col min="8180" max="8180" width="13.44140625" style="7001" customWidth="1"/>
    <col min="8181" max="8181" width="14.44140625" style="7001" customWidth="1"/>
    <col min="8182" max="8182" width="11.109375" style="7001" bestFit="1" customWidth="1"/>
    <col min="8183" max="8183" width="12.109375" style="7001" customWidth="1"/>
    <col min="8184" max="8184" width="11.109375" style="7001" customWidth="1"/>
    <col min="8185" max="8431" width="9.109375" style="7001"/>
    <col min="8432" max="8432" width="35" style="7001" customWidth="1"/>
    <col min="8433" max="8434" width="9.109375" style="7001"/>
    <col min="8435" max="8435" width="12" style="7001" customWidth="1"/>
    <col min="8436" max="8436" width="13.44140625" style="7001" customWidth="1"/>
    <col min="8437" max="8437" width="14.44140625" style="7001" customWidth="1"/>
    <col min="8438" max="8438" width="11.109375" style="7001" bestFit="1" customWidth="1"/>
    <col min="8439" max="8439" width="12.109375" style="7001" customWidth="1"/>
    <col min="8440" max="8440" width="11.109375" style="7001" customWidth="1"/>
    <col min="8441" max="8687" width="9.109375" style="7001"/>
    <col min="8688" max="8688" width="35" style="7001" customWidth="1"/>
    <col min="8689" max="8690" width="9.109375" style="7001"/>
    <col min="8691" max="8691" width="12" style="7001" customWidth="1"/>
    <col min="8692" max="8692" width="13.44140625" style="7001" customWidth="1"/>
    <col min="8693" max="8693" width="14.44140625" style="7001" customWidth="1"/>
    <col min="8694" max="8694" width="11.109375" style="7001" bestFit="1" customWidth="1"/>
    <col min="8695" max="8695" width="12.109375" style="7001" customWidth="1"/>
    <col min="8696" max="8696" width="11.109375" style="7001" customWidth="1"/>
    <col min="8697" max="8943" width="9.109375" style="7001"/>
    <col min="8944" max="8944" width="35" style="7001" customWidth="1"/>
    <col min="8945" max="8946" width="9.109375" style="7001"/>
    <col min="8947" max="8947" width="12" style="7001" customWidth="1"/>
    <col min="8948" max="8948" width="13.44140625" style="7001" customWidth="1"/>
    <col min="8949" max="8949" width="14.44140625" style="7001" customWidth="1"/>
    <col min="8950" max="8950" width="11.109375" style="7001" bestFit="1" customWidth="1"/>
    <col min="8951" max="8951" width="12.109375" style="7001" customWidth="1"/>
    <col min="8952" max="8952" width="11.109375" style="7001" customWidth="1"/>
    <col min="8953" max="9199" width="9.109375" style="7001"/>
    <col min="9200" max="9200" width="35" style="7001" customWidth="1"/>
    <col min="9201" max="9202" width="9.109375" style="7001"/>
    <col min="9203" max="9203" width="12" style="7001" customWidth="1"/>
    <col min="9204" max="9204" width="13.44140625" style="7001" customWidth="1"/>
    <col min="9205" max="9205" width="14.44140625" style="7001" customWidth="1"/>
    <col min="9206" max="9206" width="11.109375" style="7001" bestFit="1" customWidth="1"/>
    <col min="9207" max="9207" width="12.109375" style="7001" customWidth="1"/>
    <col min="9208" max="9208" width="11.109375" style="7001" customWidth="1"/>
    <col min="9209" max="9455" width="9.109375" style="7001"/>
    <col min="9456" max="9456" width="35" style="7001" customWidth="1"/>
    <col min="9457" max="9458" width="9.109375" style="7001"/>
    <col min="9459" max="9459" width="12" style="7001" customWidth="1"/>
    <col min="9460" max="9460" width="13.44140625" style="7001" customWidth="1"/>
    <col min="9461" max="9461" width="14.44140625" style="7001" customWidth="1"/>
    <col min="9462" max="9462" width="11.109375" style="7001" bestFit="1" customWidth="1"/>
    <col min="9463" max="9463" width="12.109375" style="7001" customWidth="1"/>
    <col min="9464" max="9464" width="11.109375" style="7001" customWidth="1"/>
    <col min="9465" max="9711" width="9.109375" style="7001"/>
    <col min="9712" max="9712" width="35" style="7001" customWidth="1"/>
    <col min="9713" max="9714" width="9.109375" style="7001"/>
    <col min="9715" max="9715" width="12" style="7001" customWidth="1"/>
    <col min="9716" max="9716" width="13.44140625" style="7001" customWidth="1"/>
    <col min="9717" max="9717" width="14.44140625" style="7001" customWidth="1"/>
    <col min="9718" max="9718" width="11.109375" style="7001" bestFit="1" customWidth="1"/>
    <col min="9719" max="9719" width="12.109375" style="7001" customWidth="1"/>
    <col min="9720" max="9720" width="11.109375" style="7001" customWidth="1"/>
    <col min="9721" max="9967" width="9.109375" style="7001"/>
    <col min="9968" max="9968" width="35" style="7001" customWidth="1"/>
    <col min="9969" max="9970" width="9.109375" style="7001"/>
    <col min="9971" max="9971" width="12" style="7001" customWidth="1"/>
    <col min="9972" max="9972" width="13.44140625" style="7001" customWidth="1"/>
    <col min="9973" max="9973" width="14.44140625" style="7001" customWidth="1"/>
    <col min="9974" max="9974" width="11.109375" style="7001" bestFit="1" customWidth="1"/>
    <col min="9975" max="9975" width="12.109375" style="7001" customWidth="1"/>
    <col min="9976" max="9976" width="11.109375" style="7001" customWidth="1"/>
    <col min="9977" max="10223" width="9.109375" style="7001"/>
    <col min="10224" max="10224" width="35" style="7001" customWidth="1"/>
    <col min="10225" max="10226" width="9.109375" style="7001"/>
    <col min="10227" max="10227" width="12" style="7001" customWidth="1"/>
    <col min="10228" max="10228" width="13.44140625" style="7001" customWidth="1"/>
    <col min="10229" max="10229" width="14.44140625" style="7001" customWidth="1"/>
    <col min="10230" max="10230" width="11.109375" style="7001" bestFit="1" customWidth="1"/>
    <col min="10231" max="10231" width="12.109375" style="7001" customWidth="1"/>
    <col min="10232" max="10232" width="11.109375" style="7001" customWidth="1"/>
    <col min="10233" max="10479" width="9.109375" style="7001"/>
    <col min="10480" max="10480" width="35" style="7001" customWidth="1"/>
    <col min="10481" max="10482" width="9.109375" style="7001"/>
    <col min="10483" max="10483" width="12" style="7001" customWidth="1"/>
    <col min="10484" max="10484" width="13.44140625" style="7001" customWidth="1"/>
    <col min="10485" max="10485" width="14.44140625" style="7001" customWidth="1"/>
    <col min="10486" max="10486" width="11.109375" style="7001" bestFit="1" customWidth="1"/>
    <col min="10487" max="10487" width="12.109375" style="7001" customWidth="1"/>
    <col min="10488" max="10488" width="11.109375" style="7001" customWidth="1"/>
    <col min="10489" max="10735" width="9.109375" style="7001"/>
    <col min="10736" max="10736" width="35" style="7001" customWidth="1"/>
    <col min="10737" max="10738" width="9.109375" style="7001"/>
    <col min="10739" max="10739" width="12" style="7001" customWidth="1"/>
    <col min="10740" max="10740" width="13.44140625" style="7001" customWidth="1"/>
    <col min="10741" max="10741" width="14.44140625" style="7001" customWidth="1"/>
    <col min="10742" max="10742" width="11.109375" style="7001" bestFit="1" customWidth="1"/>
    <col min="10743" max="10743" width="12.109375" style="7001" customWidth="1"/>
    <col min="10744" max="10744" width="11.109375" style="7001" customWidth="1"/>
    <col min="10745" max="10991" width="9.109375" style="7001"/>
    <col min="10992" max="10992" width="35" style="7001" customWidth="1"/>
    <col min="10993" max="10994" width="9.109375" style="7001"/>
    <col min="10995" max="10995" width="12" style="7001" customWidth="1"/>
    <col min="10996" max="10996" width="13.44140625" style="7001" customWidth="1"/>
    <col min="10997" max="10997" width="14.44140625" style="7001" customWidth="1"/>
    <col min="10998" max="10998" width="11.109375" style="7001" bestFit="1" customWidth="1"/>
    <col min="10999" max="10999" width="12.109375" style="7001" customWidth="1"/>
    <col min="11000" max="11000" width="11.109375" style="7001" customWidth="1"/>
    <col min="11001" max="11247" width="9.109375" style="7001"/>
    <col min="11248" max="11248" width="35" style="7001" customWidth="1"/>
    <col min="11249" max="11250" width="9.109375" style="7001"/>
    <col min="11251" max="11251" width="12" style="7001" customWidth="1"/>
    <col min="11252" max="11252" width="13.44140625" style="7001" customWidth="1"/>
    <col min="11253" max="11253" width="14.44140625" style="7001" customWidth="1"/>
    <col min="11254" max="11254" width="11.109375" style="7001" bestFit="1" customWidth="1"/>
    <col min="11255" max="11255" width="12.109375" style="7001" customWidth="1"/>
    <col min="11256" max="11256" width="11.109375" style="7001" customWidth="1"/>
    <col min="11257" max="11503" width="9.109375" style="7001"/>
    <col min="11504" max="11504" width="35" style="7001" customWidth="1"/>
    <col min="11505" max="11506" width="9.109375" style="7001"/>
    <col min="11507" max="11507" width="12" style="7001" customWidth="1"/>
    <col min="11508" max="11508" width="13.44140625" style="7001" customWidth="1"/>
    <col min="11509" max="11509" width="14.44140625" style="7001" customWidth="1"/>
    <col min="11510" max="11510" width="11.109375" style="7001" bestFit="1" customWidth="1"/>
    <col min="11511" max="11511" width="12.109375" style="7001" customWidth="1"/>
    <col min="11512" max="11512" width="11.109375" style="7001" customWidth="1"/>
    <col min="11513" max="11759" width="9.109375" style="7001"/>
    <col min="11760" max="11760" width="35" style="7001" customWidth="1"/>
    <col min="11761" max="11762" width="9.109375" style="7001"/>
    <col min="11763" max="11763" width="12" style="7001" customWidth="1"/>
    <col min="11764" max="11764" width="13.44140625" style="7001" customWidth="1"/>
    <col min="11765" max="11765" width="14.44140625" style="7001" customWidth="1"/>
    <col min="11766" max="11766" width="11.109375" style="7001" bestFit="1" customWidth="1"/>
    <col min="11767" max="11767" width="12.109375" style="7001" customWidth="1"/>
    <col min="11768" max="11768" width="11.109375" style="7001" customWidth="1"/>
    <col min="11769" max="12015" width="9.109375" style="7001"/>
    <col min="12016" max="12016" width="35" style="7001" customWidth="1"/>
    <col min="12017" max="12018" width="9.109375" style="7001"/>
    <col min="12019" max="12019" width="12" style="7001" customWidth="1"/>
    <col min="12020" max="12020" width="13.44140625" style="7001" customWidth="1"/>
    <col min="12021" max="12021" width="14.44140625" style="7001" customWidth="1"/>
    <col min="12022" max="12022" width="11.109375" style="7001" bestFit="1" customWidth="1"/>
    <col min="12023" max="12023" width="12.109375" style="7001" customWidth="1"/>
    <col min="12024" max="12024" width="11.109375" style="7001" customWidth="1"/>
    <col min="12025" max="12271" width="9.109375" style="7001"/>
    <col min="12272" max="12272" width="35" style="7001" customWidth="1"/>
    <col min="12273" max="12274" width="9.109375" style="7001"/>
    <col min="12275" max="12275" width="12" style="7001" customWidth="1"/>
    <col min="12276" max="12276" width="13.44140625" style="7001" customWidth="1"/>
    <col min="12277" max="12277" width="14.44140625" style="7001" customWidth="1"/>
    <col min="12278" max="12278" width="11.109375" style="7001" bestFit="1" customWidth="1"/>
    <col min="12279" max="12279" width="12.109375" style="7001" customWidth="1"/>
    <col min="12280" max="12280" width="11.109375" style="7001" customWidth="1"/>
    <col min="12281" max="12527" width="9.109375" style="7001"/>
    <col min="12528" max="12528" width="35" style="7001" customWidth="1"/>
    <col min="12529" max="12530" width="9.109375" style="7001"/>
    <col min="12531" max="12531" width="12" style="7001" customWidth="1"/>
    <col min="12532" max="12532" width="13.44140625" style="7001" customWidth="1"/>
    <col min="12533" max="12533" width="14.44140625" style="7001" customWidth="1"/>
    <col min="12534" max="12534" width="11.109375" style="7001" bestFit="1" customWidth="1"/>
    <col min="12535" max="12535" width="12.109375" style="7001" customWidth="1"/>
    <col min="12536" max="12536" width="11.109375" style="7001" customWidth="1"/>
    <col min="12537" max="12783" width="9.109375" style="7001"/>
    <col min="12784" max="12784" width="35" style="7001" customWidth="1"/>
    <col min="12785" max="12786" width="9.109375" style="7001"/>
    <col min="12787" max="12787" width="12" style="7001" customWidth="1"/>
    <col min="12788" max="12788" width="13.44140625" style="7001" customWidth="1"/>
    <col min="12789" max="12789" width="14.44140625" style="7001" customWidth="1"/>
    <col min="12790" max="12790" width="11.109375" style="7001" bestFit="1" customWidth="1"/>
    <col min="12791" max="12791" width="12.109375" style="7001" customWidth="1"/>
    <col min="12792" max="12792" width="11.109375" style="7001" customWidth="1"/>
    <col min="12793" max="13039" width="9.109375" style="7001"/>
    <col min="13040" max="13040" width="35" style="7001" customWidth="1"/>
    <col min="13041" max="13042" width="9.109375" style="7001"/>
    <col min="13043" max="13043" width="12" style="7001" customWidth="1"/>
    <col min="13044" max="13044" width="13.44140625" style="7001" customWidth="1"/>
    <col min="13045" max="13045" width="14.44140625" style="7001" customWidth="1"/>
    <col min="13046" max="13046" width="11.109375" style="7001" bestFit="1" customWidth="1"/>
    <col min="13047" max="13047" width="12.109375" style="7001" customWidth="1"/>
    <col min="13048" max="13048" width="11.109375" style="7001" customWidth="1"/>
    <col min="13049" max="13295" width="9.109375" style="7001"/>
    <col min="13296" max="13296" width="35" style="7001" customWidth="1"/>
    <col min="13297" max="13298" width="9.109375" style="7001"/>
    <col min="13299" max="13299" width="12" style="7001" customWidth="1"/>
    <col min="13300" max="13300" width="13.44140625" style="7001" customWidth="1"/>
    <col min="13301" max="13301" width="14.44140625" style="7001" customWidth="1"/>
    <col min="13302" max="13302" width="11.109375" style="7001" bestFit="1" customWidth="1"/>
    <col min="13303" max="13303" width="12.109375" style="7001" customWidth="1"/>
    <col min="13304" max="13304" width="11.109375" style="7001" customWidth="1"/>
    <col min="13305" max="13551" width="9.109375" style="7001"/>
    <col min="13552" max="13552" width="35" style="7001" customWidth="1"/>
    <col min="13553" max="13554" width="9.109375" style="7001"/>
    <col min="13555" max="13555" width="12" style="7001" customWidth="1"/>
    <col min="13556" max="13556" width="13.44140625" style="7001" customWidth="1"/>
    <col min="13557" max="13557" width="14.44140625" style="7001" customWidth="1"/>
    <col min="13558" max="13558" width="11.109375" style="7001" bestFit="1" customWidth="1"/>
    <col min="13559" max="13559" width="12.109375" style="7001" customWidth="1"/>
    <col min="13560" max="13560" width="11.109375" style="7001" customWidth="1"/>
    <col min="13561" max="13807" width="9.109375" style="7001"/>
    <col min="13808" max="13808" width="35" style="7001" customWidth="1"/>
    <col min="13809" max="13810" width="9.109375" style="7001"/>
    <col min="13811" max="13811" width="12" style="7001" customWidth="1"/>
    <col min="13812" max="13812" width="13.44140625" style="7001" customWidth="1"/>
    <col min="13813" max="13813" width="14.44140625" style="7001" customWidth="1"/>
    <col min="13814" max="13814" width="11.109375" style="7001" bestFit="1" customWidth="1"/>
    <col min="13815" max="13815" width="12.109375" style="7001" customWidth="1"/>
    <col min="13816" max="13816" width="11.109375" style="7001" customWidth="1"/>
    <col min="13817" max="14063" width="9.109375" style="7001"/>
    <col min="14064" max="14064" width="35" style="7001" customWidth="1"/>
    <col min="14065" max="14066" width="9.109375" style="7001"/>
    <col min="14067" max="14067" width="12" style="7001" customWidth="1"/>
    <col min="14068" max="14068" width="13.44140625" style="7001" customWidth="1"/>
    <col min="14069" max="14069" width="14.44140625" style="7001" customWidth="1"/>
    <col min="14070" max="14070" width="11.109375" style="7001" bestFit="1" customWidth="1"/>
    <col min="14071" max="14071" width="12.109375" style="7001" customWidth="1"/>
    <col min="14072" max="14072" width="11.109375" style="7001" customWidth="1"/>
    <col min="14073" max="14319" width="9.109375" style="7001"/>
    <col min="14320" max="14320" width="35" style="7001" customWidth="1"/>
    <col min="14321" max="14322" width="9.109375" style="7001"/>
    <col min="14323" max="14323" width="12" style="7001" customWidth="1"/>
    <col min="14324" max="14324" width="13.44140625" style="7001" customWidth="1"/>
    <col min="14325" max="14325" width="14.44140625" style="7001" customWidth="1"/>
    <col min="14326" max="14326" width="11.109375" style="7001" bestFit="1" customWidth="1"/>
    <col min="14327" max="14327" width="12.109375" style="7001" customWidth="1"/>
    <col min="14328" max="14328" width="11.109375" style="7001" customWidth="1"/>
    <col min="14329" max="14575" width="9.109375" style="7001"/>
    <col min="14576" max="14576" width="35" style="7001" customWidth="1"/>
    <col min="14577" max="14578" width="9.109375" style="7001"/>
    <col min="14579" max="14579" width="12" style="7001" customWidth="1"/>
    <col min="14580" max="14580" width="13.44140625" style="7001" customWidth="1"/>
    <col min="14581" max="14581" width="14.44140625" style="7001" customWidth="1"/>
    <col min="14582" max="14582" width="11.109375" style="7001" bestFit="1" customWidth="1"/>
    <col min="14583" max="14583" width="12.109375" style="7001" customWidth="1"/>
    <col min="14584" max="14584" width="11.109375" style="7001" customWidth="1"/>
    <col min="14585" max="14831" width="9.109375" style="7001"/>
    <col min="14832" max="14832" width="35" style="7001" customWidth="1"/>
    <col min="14833" max="14834" width="9.109375" style="7001"/>
    <col min="14835" max="14835" width="12" style="7001" customWidth="1"/>
    <col min="14836" max="14836" width="13.44140625" style="7001" customWidth="1"/>
    <col min="14837" max="14837" width="14.44140625" style="7001" customWidth="1"/>
    <col min="14838" max="14838" width="11.109375" style="7001" bestFit="1" customWidth="1"/>
    <col min="14839" max="14839" width="12.109375" style="7001" customWidth="1"/>
    <col min="14840" max="14840" width="11.109375" style="7001" customWidth="1"/>
    <col min="14841" max="15087" width="9.109375" style="7001"/>
    <col min="15088" max="15088" width="35" style="7001" customWidth="1"/>
    <col min="15089" max="15090" width="9.109375" style="7001"/>
    <col min="15091" max="15091" width="12" style="7001" customWidth="1"/>
    <col min="15092" max="15092" width="13.44140625" style="7001" customWidth="1"/>
    <col min="15093" max="15093" width="14.44140625" style="7001" customWidth="1"/>
    <col min="15094" max="15094" width="11.109375" style="7001" bestFit="1" customWidth="1"/>
    <col min="15095" max="15095" width="12.109375" style="7001" customWidth="1"/>
    <col min="15096" max="15096" width="11.109375" style="7001" customWidth="1"/>
    <col min="15097" max="15343" width="9.109375" style="7001"/>
    <col min="15344" max="15344" width="35" style="7001" customWidth="1"/>
    <col min="15345" max="15346" width="9.109375" style="7001"/>
    <col min="15347" max="15347" width="12" style="7001" customWidth="1"/>
    <col min="15348" max="15348" width="13.44140625" style="7001" customWidth="1"/>
    <col min="15349" max="15349" width="14.44140625" style="7001" customWidth="1"/>
    <col min="15350" max="15350" width="11.109375" style="7001" bestFit="1" customWidth="1"/>
    <col min="15351" max="15351" width="12.109375" style="7001" customWidth="1"/>
    <col min="15352" max="15352" width="11.109375" style="7001" customWidth="1"/>
    <col min="15353" max="15599" width="9.109375" style="7001"/>
    <col min="15600" max="15600" width="35" style="7001" customWidth="1"/>
    <col min="15601" max="15602" width="9.109375" style="7001"/>
    <col min="15603" max="15603" width="12" style="7001" customWidth="1"/>
    <col min="15604" max="15604" width="13.44140625" style="7001" customWidth="1"/>
    <col min="15605" max="15605" width="14.44140625" style="7001" customWidth="1"/>
    <col min="15606" max="15606" width="11.109375" style="7001" bestFit="1" customWidth="1"/>
    <col min="15607" max="15607" width="12.109375" style="7001" customWidth="1"/>
    <col min="15608" max="15608" width="11.109375" style="7001" customWidth="1"/>
    <col min="15609" max="15855" width="9.109375" style="7001"/>
    <col min="15856" max="15856" width="35" style="7001" customWidth="1"/>
    <col min="15857" max="15858" width="9.109375" style="7001"/>
    <col min="15859" max="15859" width="12" style="7001" customWidth="1"/>
    <col min="15860" max="15860" width="13.44140625" style="7001" customWidth="1"/>
    <col min="15861" max="15861" width="14.44140625" style="7001" customWidth="1"/>
    <col min="15862" max="15862" width="11.109375" style="7001" bestFit="1" customWidth="1"/>
    <col min="15863" max="15863" width="12.109375" style="7001" customWidth="1"/>
    <col min="15864" max="15864" width="11.109375" style="7001" customWidth="1"/>
    <col min="15865" max="16111" width="9.109375" style="7001"/>
    <col min="16112" max="16112" width="35" style="7001" customWidth="1"/>
    <col min="16113" max="16114" width="9.109375" style="7001"/>
    <col min="16115" max="16115" width="12" style="7001" customWidth="1"/>
    <col min="16116" max="16116" width="13.44140625" style="7001" customWidth="1"/>
    <col min="16117" max="16117" width="14.44140625" style="7001" customWidth="1"/>
    <col min="16118" max="16118" width="11.109375" style="7001" bestFit="1" customWidth="1"/>
    <col min="16119" max="16119" width="12.109375" style="7001" customWidth="1"/>
    <col min="16120" max="16120" width="11.109375" style="7001" customWidth="1"/>
    <col min="16121" max="16384" width="9.109375" style="7001"/>
  </cols>
  <sheetData>
    <row r="1" spans="1:8" ht="12.9" customHeight="1">
      <c r="A1" s="14395" t="s">
        <v>1087</v>
      </c>
      <c r="B1" s="14395"/>
      <c r="C1" s="14395"/>
      <c r="D1" s="14395"/>
      <c r="E1" s="14395"/>
      <c r="F1" s="14395"/>
    </row>
    <row r="3" spans="1:8" ht="12.9" customHeight="1">
      <c r="A3" s="6233" t="s">
        <v>10075</v>
      </c>
    </row>
    <row r="4" spans="1:8" ht="12.9" customHeight="1" thickBot="1"/>
    <row r="5" spans="1:8" ht="12.9" customHeight="1">
      <c r="A5" s="9675" t="s">
        <v>842</v>
      </c>
      <c r="B5" s="10713" t="s">
        <v>1035</v>
      </c>
      <c r="C5" s="10713" t="s">
        <v>1036</v>
      </c>
      <c r="D5" s="14393" t="s">
        <v>10555</v>
      </c>
      <c r="E5" s="14393"/>
      <c r="F5" s="14394"/>
    </row>
    <row r="6" spans="1:8" ht="12.9" customHeight="1" thickBot="1">
      <c r="A6" s="9679" t="s">
        <v>1088</v>
      </c>
      <c r="B6" s="9755" t="s">
        <v>9</v>
      </c>
      <c r="C6" s="9755" t="s">
        <v>1039</v>
      </c>
      <c r="D6" s="9755" t="s">
        <v>10</v>
      </c>
      <c r="E6" s="9755" t="s">
        <v>11</v>
      </c>
      <c r="F6" s="9756" t="s">
        <v>11621</v>
      </c>
    </row>
    <row r="7" spans="1:8" ht="12.9" customHeight="1">
      <c r="A7" s="6230" t="s">
        <v>1139</v>
      </c>
      <c r="B7" s="10751"/>
      <c r="C7" s="10751"/>
      <c r="D7" s="9665"/>
      <c r="E7" s="10751"/>
      <c r="F7" s="7242"/>
    </row>
    <row r="8" spans="1:8" ht="12.9" customHeight="1">
      <c r="A8" s="6230" t="s">
        <v>1149</v>
      </c>
      <c r="B8" s="10751"/>
      <c r="C8" s="10751"/>
      <c r="D8" s="10751"/>
      <c r="E8" s="10751"/>
      <c r="F8" s="7242"/>
    </row>
    <row r="9" spans="1:8" ht="12.9" customHeight="1">
      <c r="A9" s="7231" t="s">
        <v>1402</v>
      </c>
      <c r="B9" s="8414">
        <v>1</v>
      </c>
      <c r="C9" s="8414">
        <v>26</v>
      </c>
      <c r="D9" s="10860">
        <v>1041900</v>
      </c>
      <c r="E9" s="10860">
        <v>1226604</v>
      </c>
      <c r="F9" s="9731">
        <v>1444044</v>
      </c>
      <c r="G9" s="7001">
        <f>SUM(B9)</f>
        <v>1</v>
      </c>
      <c r="H9" s="7164">
        <f>SUM(F9)</f>
        <v>1444044</v>
      </c>
    </row>
    <row r="10" spans="1:8" ht="8.1" customHeight="1">
      <c r="A10" s="7231"/>
      <c r="B10" s="10751"/>
      <c r="C10" s="10751"/>
      <c r="D10" s="10751"/>
      <c r="E10" s="10751"/>
      <c r="F10" s="7242"/>
    </row>
    <row r="11" spans="1:8" ht="12.9" customHeight="1">
      <c r="A11" s="6230" t="s">
        <v>1151</v>
      </c>
      <c r="B11" s="10751"/>
      <c r="C11" s="10751"/>
      <c r="D11" s="10751"/>
      <c r="E11" s="10751"/>
      <c r="F11" s="7242"/>
    </row>
    <row r="12" spans="1:8" ht="12.9" customHeight="1">
      <c r="A12" s="6230" t="s">
        <v>1109</v>
      </c>
      <c r="B12" s="10751"/>
      <c r="C12" s="10751"/>
      <c r="D12" s="10751"/>
      <c r="E12" s="10751"/>
      <c r="F12" s="7242"/>
    </row>
    <row r="13" spans="1:8" ht="12.9" customHeight="1">
      <c r="A13" s="7231" t="s">
        <v>1423</v>
      </c>
      <c r="B13" s="8414">
        <v>1</v>
      </c>
      <c r="C13" s="8414">
        <v>22</v>
      </c>
      <c r="D13" s="8415">
        <v>668712</v>
      </c>
      <c r="E13" s="8415">
        <v>747816</v>
      </c>
      <c r="F13" s="7245">
        <v>849924</v>
      </c>
    </row>
    <row r="14" spans="1:8" ht="12.9" customHeight="1">
      <c r="A14" s="7231" t="s">
        <v>1424</v>
      </c>
      <c r="B14" s="8414">
        <v>2</v>
      </c>
      <c r="C14" s="8414">
        <v>18</v>
      </c>
      <c r="D14" s="8415">
        <v>1388520</v>
      </c>
      <c r="E14" s="8415">
        <v>1445016</v>
      </c>
      <c r="F14" s="7245">
        <v>1019172</v>
      </c>
    </row>
    <row r="15" spans="1:8" ht="12.9" customHeight="1">
      <c r="A15" s="7231" t="s">
        <v>10708</v>
      </c>
      <c r="B15" s="8414">
        <v>1</v>
      </c>
      <c r="C15" s="8414">
        <v>19</v>
      </c>
      <c r="D15" s="8415">
        <v>0</v>
      </c>
      <c r="E15" s="8415">
        <v>0</v>
      </c>
      <c r="F15" s="7245">
        <v>783828</v>
      </c>
    </row>
    <row r="16" spans="1:8" ht="12.9" customHeight="1">
      <c r="A16" s="7231" t="s">
        <v>9149</v>
      </c>
      <c r="B16" s="8414">
        <v>0</v>
      </c>
      <c r="C16" s="8414">
        <v>19</v>
      </c>
      <c r="D16" s="8415">
        <v>476220</v>
      </c>
      <c r="E16" s="8415">
        <v>512760</v>
      </c>
      <c r="F16" s="7245">
        <v>0</v>
      </c>
    </row>
    <row r="17" spans="1:8" ht="12.9" customHeight="1">
      <c r="A17" s="7231" t="s">
        <v>1425</v>
      </c>
      <c r="B17" s="8414">
        <v>3</v>
      </c>
      <c r="C17" s="8414">
        <v>16</v>
      </c>
      <c r="D17" s="8415">
        <v>725280</v>
      </c>
      <c r="E17" s="8415">
        <v>771528</v>
      </c>
      <c r="F17" s="7245">
        <v>1219008</v>
      </c>
    </row>
    <row r="18" spans="1:8" ht="12.9" customHeight="1">
      <c r="A18" s="7231" t="s">
        <v>1410</v>
      </c>
      <c r="B18" s="8414">
        <v>1</v>
      </c>
      <c r="C18" s="8414">
        <v>15</v>
      </c>
      <c r="D18" s="8415">
        <v>342528</v>
      </c>
      <c r="E18" s="8415">
        <v>360852</v>
      </c>
      <c r="F18" s="7245">
        <v>366372</v>
      </c>
    </row>
    <row r="19" spans="1:8" ht="12.9" customHeight="1">
      <c r="A19" s="7231" t="s">
        <v>1426</v>
      </c>
      <c r="B19" s="8414">
        <v>1</v>
      </c>
      <c r="C19" s="8414">
        <v>15</v>
      </c>
      <c r="D19" s="8415">
        <v>346524</v>
      </c>
      <c r="E19" s="8415">
        <v>365184</v>
      </c>
      <c r="F19" s="7245">
        <v>384864</v>
      </c>
    </row>
    <row r="20" spans="1:8" ht="12.9" customHeight="1">
      <c r="A20" s="7231" t="s">
        <v>1413</v>
      </c>
      <c r="B20" s="8414">
        <v>4</v>
      </c>
      <c r="C20" s="8414">
        <v>10</v>
      </c>
      <c r="D20" s="8415">
        <v>905076</v>
      </c>
      <c r="E20" s="8415">
        <v>928536</v>
      </c>
      <c r="F20" s="7245">
        <v>956532</v>
      </c>
    </row>
    <row r="21" spans="1:8" ht="9.9" customHeight="1">
      <c r="A21" s="7231"/>
      <c r="B21" s="8414"/>
      <c r="C21" s="8414"/>
      <c r="D21" s="8415"/>
      <c r="E21" s="8415"/>
      <c r="F21" s="7245"/>
      <c r="G21" s="7001">
        <f>SUM(B13:B21)</f>
        <v>13</v>
      </c>
      <c r="H21" s="7164">
        <f>SUM(F13:F20)</f>
        <v>5579700</v>
      </c>
    </row>
    <row r="22" spans="1:8" ht="12.9" customHeight="1">
      <c r="A22" s="6230" t="s">
        <v>1152</v>
      </c>
      <c r="B22" s="8414"/>
      <c r="C22" s="8414"/>
      <c r="D22" s="8415"/>
      <c r="E22" s="8415"/>
      <c r="F22" s="7245"/>
    </row>
    <row r="23" spans="1:8" ht="12.9" customHeight="1">
      <c r="A23" s="7231" t="s">
        <v>1422</v>
      </c>
      <c r="B23" s="8414">
        <v>4</v>
      </c>
      <c r="C23" s="8414">
        <v>6</v>
      </c>
      <c r="D23" s="8415">
        <v>1392780</v>
      </c>
      <c r="E23" s="8415">
        <v>1073064</v>
      </c>
      <c r="F23" s="7245">
        <v>740520</v>
      </c>
    </row>
    <row r="24" spans="1:8" ht="12.9" customHeight="1">
      <c r="A24" s="7231" t="s">
        <v>1427</v>
      </c>
      <c r="B24" s="8414">
        <v>1</v>
      </c>
      <c r="C24" s="8414">
        <v>6</v>
      </c>
      <c r="D24" s="8415">
        <v>176772</v>
      </c>
      <c r="E24" s="8415">
        <v>182280</v>
      </c>
      <c r="F24" s="7245">
        <v>187968</v>
      </c>
    </row>
    <row r="25" spans="1:8" ht="12.9" customHeight="1">
      <c r="A25" s="7231" t="s">
        <v>1230</v>
      </c>
      <c r="B25" s="8414">
        <v>1</v>
      </c>
      <c r="C25" s="8414">
        <v>5</v>
      </c>
      <c r="D25" s="8415">
        <v>165588</v>
      </c>
      <c r="E25" s="8415">
        <v>171360</v>
      </c>
      <c r="F25" s="7245">
        <v>177324</v>
      </c>
    </row>
    <row r="26" spans="1:8" ht="12.9" customHeight="1">
      <c r="A26" s="7231" t="s">
        <v>1428</v>
      </c>
      <c r="B26" s="8414">
        <v>10</v>
      </c>
      <c r="C26" s="8414">
        <v>2</v>
      </c>
      <c r="D26" s="8415">
        <v>1334412</v>
      </c>
      <c r="E26" s="8415">
        <v>1257204</v>
      </c>
      <c r="F26" s="7245">
        <v>1453200</v>
      </c>
      <c r="G26" s="7001">
        <f>SUM(B23:B26)</f>
        <v>16</v>
      </c>
      <c r="H26" s="7164">
        <f>SUM(F23:F26)</f>
        <v>2559012</v>
      </c>
    </row>
    <row r="27" spans="1:8" ht="9.6" customHeight="1">
      <c r="A27" s="7231"/>
      <c r="B27" s="8414"/>
      <c r="C27" s="8414"/>
      <c r="D27" s="8415"/>
      <c r="E27" s="8415"/>
      <c r="F27" s="7245"/>
    </row>
    <row r="28" spans="1:8" ht="12.9" customHeight="1">
      <c r="A28" s="6230" t="s">
        <v>1094</v>
      </c>
      <c r="B28" s="8414"/>
      <c r="C28" s="8414"/>
      <c r="D28" s="8415"/>
      <c r="E28" s="8415"/>
      <c r="F28" s="7245"/>
    </row>
    <row r="29" spans="1:8" ht="12.9" customHeight="1">
      <c r="A29" s="7231" t="s">
        <v>1395</v>
      </c>
      <c r="B29" s="8414">
        <v>1</v>
      </c>
      <c r="C29" s="8414">
        <v>11</v>
      </c>
      <c r="D29" s="8415">
        <v>238236</v>
      </c>
      <c r="E29" s="8415">
        <v>245244</v>
      </c>
      <c r="F29" s="7245">
        <v>252456</v>
      </c>
    </row>
    <row r="30" spans="1:8" ht="12.9" customHeight="1">
      <c r="A30" s="7231" t="s">
        <v>1172</v>
      </c>
      <c r="B30" s="8414">
        <v>1</v>
      </c>
      <c r="C30" s="8414">
        <v>10</v>
      </c>
      <c r="D30" s="8415">
        <v>233052</v>
      </c>
      <c r="E30" s="8415">
        <v>0</v>
      </c>
      <c r="F30" s="7245">
        <v>230796</v>
      </c>
    </row>
    <row r="31" spans="1:8" ht="12.9" customHeight="1">
      <c r="A31" s="7231" t="s">
        <v>1156</v>
      </c>
      <c r="B31" s="8414">
        <v>2</v>
      </c>
      <c r="C31" s="8414">
        <v>3</v>
      </c>
      <c r="D31" s="8415">
        <v>284388</v>
      </c>
      <c r="E31" s="8415">
        <v>296784</v>
      </c>
      <c r="F31" s="7245">
        <v>310896</v>
      </c>
    </row>
    <row r="32" spans="1:8" ht="12.9" customHeight="1">
      <c r="A32" s="7231" t="s">
        <v>1157</v>
      </c>
      <c r="B32" s="8414">
        <v>1</v>
      </c>
      <c r="C32" s="8414">
        <v>2</v>
      </c>
      <c r="D32" s="8415">
        <v>136140</v>
      </c>
      <c r="E32" s="8415">
        <v>142368</v>
      </c>
      <c r="F32" s="7245">
        <v>148884</v>
      </c>
      <c r="G32" s="7001">
        <f>SUM(B29:B32)</f>
        <v>5</v>
      </c>
      <c r="H32" s="7164">
        <f>SUM(F29:F32)</f>
        <v>943032</v>
      </c>
    </row>
    <row r="33" spans="1:8" ht="9" customHeight="1">
      <c r="A33" s="7231"/>
      <c r="B33" s="10402"/>
      <c r="C33" s="10402"/>
      <c r="D33" s="10403"/>
      <c r="E33" s="10403"/>
      <c r="F33" s="9746"/>
    </row>
    <row r="34" spans="1:8" ht="12.9" customHeight="1">
      <c r="A34" s="6230" t="s">
        <v>1159</v>
      </c>
      <c r="B34" s="9652">
        <f>SUM(B9:B32)</f>
        <v>35</v>
      </c>
      <c r="C34" s="9676"/>
      <c r="D34" s="9643">
        <f>SUM(D9:D33)</f>
        <v>9856128</v>
      </c>
      <c r="E34" s="9643">
        <f>SUM(E9:E33)</f>
        <v>9726600</v>
      </c>
      <c r="F34" s="9656">
        <f>SUM(F9:F33)</f>
        <v>10525788</v>
      </c>
      <c r="H34" s="7164">
        <f>SUM(F9:F33)</f>
        <v>10525788</v>
      </c>
    </row>
    <row r="35" spans="1:8" ht="9.6" customHeight="1">
      <c r="A35" s="7231"/>
      <c r="B35" s="10861"/>
      <c r="C35" s="10424"/>
      <c r="D35" s="10430"/>
      <c r="E35" s="10430"/>
      <c r="F35" s="10431"/>
    </row>
    <row r="36" spans="1:8" ht="12.9" customHeight="1">
      <c r="A36" s="7231" t="s">
        <v>1113</v>
      </c>
      <c r="B36" s="10750" t="s">
        <v>9</v>
      </c>
      <c r="C36" s="10751"/>
      <c r="D36" s="8415"/>
      <c r="E36" s="8415"/>
      <c r="F36" s="7245"/>
    </row>
    <row r="37" spans="1:8" ht="12.9" customHeight="1">
      <c r="A37" s="7231" t="s">
        <v>1424</v>
      </c>
      <c r="B37" s="8414">
        <v>1</v>
      </c>
      <c r="C37" s="10753">
        <v>18</v>
      </c>
      <c r="D37" s="10752">
        <v>0</v>
      </c>
      <c r="E37" s="10752">
        <v>0</v>
      </c>
      <c r="F37" s="7245">
        <v>487644</v>
      </c>
    </row>
    <row r="38" spans="1:8" ht="12.9" customHeight="1">
      <c r="A38" s="7231" t="s">
        <v>10708</v>
      </c>
      <c r="B38" s="8414">
        <v>0</v>
      </c>
      <c r="C38" s="8414">
        <v>22</v>
      </c>
      <c r="D38" s="10752">
        <v>633396</v>
      </c>
      <c r="E38" s="10752">
        <v>704604</v>
      </c>
      <c r="F38" s="7246">
        <v>0</v>
      </c>
    </row>
    <row r="39" spans="1:8" ht="12.9" customHeight="1">
      <c r="A39" s="7231" t="s">
        <v>11623</v>
      </c>
      <c r="B39" s="8414">
        <v>1</v>
      </c>
      <c r="C39" s="8414">
        <v>19</v>
      </c>
      <c r="D39" s="10752">
        <v>0</v>
      </c>
      <c r="E39" s="10752">
        <v>0</v>
      </c>
      <c r="F39" s="7246">
        <v>543228</v>
      </c>
    </row>
    <row r="40" spans="1:8" ht="12.9" customHeight="1">
      <c r="A40" s="7231" t="s">
        <v>1425</v>
      </c>
      <c r="B40" s="8414">
        <v>0</v>
      </c>
      <c r="C40" s="8414">
        <v>16</v>
      </c>
      <c r="D40" s="8415">
        <v>360528</v>
      </c>
      <c r="E40" s="8415">
        <v>381180</v>
      </c>
      <c r="F40" s="7245">
        <v>0</v>
      </c>
    </row>
    <row r="41" spans="1:8" ht="12.9" hidden="1" customHeight="1">
      <c r="A41" s="7231" t="s">
        <v>11624</v>
      </c>
      <c r="B41" s="8414">
        <v>0</v>
      </c>
      <c r="C41" s="8414">
        <v>15</v>
      </c>
      <c r="D41" s="8415">
        <v>0</v>
      </c>
      <c r="E41" s="8415">
        <v>0</v>
      </c>
      <c r="F41" s="7245">
        <v>0</v>
      </c>
    </row>
    <row r="42" spans="1:8" ht="12.9" customHeight="1">
      <c r="A42" s="7231" t="s">
        <v>9124</v>
      </c>
      <c r="B42" s="8414">
        <v>0</v>
      </c>
      <c r="C42" s="8414">
        <v>10</v>
      </c>
      <c r="D42" s="10752">
        <v>0</v>
      </c>
      <c r="E42" s="10752">
        <v>224616</v>
      </c>
      <c r="F42" s="7246">
        <v>0</v>
      </c>
    </row>
    <row r="43" spans="1:8" ht="12.9" hidden="1" customHeight="1">
      <c r="A43" s="7231" t="s">
        <v>1413</v>
      </c>
      <c r="B43" s="8414">
        <v>0</v>
      </c>
      <c r="C43" s="8414">
        <v>10</v>
      </c>
      <c r="D43" s="8415">
        <v>0</v>
      </c>
      <c r="E43" s="8415">
        <v>0</v>
      </c>
      <c r="F43" s="7245">
        <v>0</v>
      </c>
    </row>
    <row r="44" spans="1:8" ht="12.9" customHeight="1">
      <c r="A44" s="7231" t="s">
        <v>10413</v>
      </c>
      <c r="B44" s="8414">
        <v>1</v>
      </c>
      <c r="C44" s="8414">
        <v>8</v>
      </c>
      <c r="D44" s="8415">
        <v>189816</v>
      </c>
      <c r="E44" s="8415">
        <v>195384</v>
      </c>
      <c r="F44" s="7245">
        <v>201096</v>
      </c>
    </row>
    <row r="45" spans="1:8" ht="12.9" customHeight="1">
      <c r="A45" s="7231" t="s">
        <v>10414</v>
      </c>
      <c r="B45" s="8414">
        <v>1</v>
      </c>
      <c r="C45" s="8414">
        <v>6</v>
      </c>
      <c r="D45" s="8415">
        <v>166212</v>
      </c>
      <c r="E45" s="8415">
        <v>172080</v>
      </c>
      <c r="F45" s="7245">
        <v>178164</v>
      </c>
    </row>
    <row r="46" spans="1:8" ht="12.9" customHeight="1">
      <c r="A46" s="7231" t="s">
        <v>1422</v>
      </c>
      <c r="B46" s="8414">
        <v>3</v>
      </c>
      <c r="C46" s="8414">
        <v>6</v>
      </c>
      <c r="D46" s="8415">
        <v>166212</v>
      </c>
      <c r="E46" s="8415">
        <v>516240</v>
      </c>
      <c r="F46" s="7245">
        <f>178164*B46</f>
        <v>534492</v>
      </c>
      <c r="G46" s="7001" t="s">
        <v>12029</v>
      </c>
    </row>
    <row r="47" spans="1:8" ht="12.9" customHeight="1">
      <c r="A47" s="7231" t="s">
        <v>11306</v>
      </c>
      <c r="B47" s="8414">
        <v>1</v>
      </c>
      <c r="C47" s="8414">
        <v>4</v>
      </c>
      <c r="D47" s="8415"/>
      <c r="E47" s="8415">
        <v>152088</v>
      </c>
      <c r="F47" s="7245">
        <v>158568</v>
      </c>
    </row>
    <row r="48" spans="1:8" ht="12.9" customHeight="1">
      <c r="A48" s="7231" t="s">
        <v>1428</v>
      </c>
      <c r="B48" s="8414">
        <v>1</v>
      </c>
      <c r="C48" s="8414">
        <v>2</v>
      </c>
      <c r="D48" s="8415">
        <v>129132</v>
      </c>
      <c r="E48" s="8415">
        <v>268800</v>
      </c>
      <c r="F48" s="7245">
        <f>141132*B48</f>
        <v>141132</v>
      </c>
      <c r="G48" s="7001" t="s">
        <v>11830</v>
      </c>
    </row>
    <row r="49" spans="1:8" ht="12.9" customHeight="1">
      <c r="A49" s="7231" t="s">
        <v>1158</v>
      </c>
      <c r="B49" s="8414">
        <v>10</v>
      </c>
      <c r="C49" s="8414">
        <v>1</v>
      </c>
      <c r="D49" s="8415"/>
      <c r="E49" s="8415"/>
      <c r="F49" s="7245">
        <f>132816*B49</f>
        <v>1328160</v>
      </c>
    </row>
    <row r="50" spans="1:8" ht="12.9" customHeight="1">
      <c r="A50" s="7231" t="s">
        <v>1429</v>
      </c>
      <c r="B50" s="9652">
        <f>SUM(B37:B49)</f>
        <v>19</v>
      </c>
      <c r="C50" s="9653"/>
      <c r="D50" s="9642">
        <f t="shared" ref="D50:F50" si="0">SUM(D37:D49)</f>
        <v>1645296</v>
      </c>
      <c r="E50" s="9642">
        <f t="shared" si="0"/>
        <v>2614992</v>
      </c>
      <c r="F50" s="9667">
        <f t="shared" si="0"/>
        <v>3572484</v>
      </c>
      <c r="H50" s="7164">
        <f>SUM(F40:F48)</f>
        <v>1213452</v>
      </c>
    </row>
    <row r="51" spans="1:8" s="6330" customFormat="1" ht="9" customHeight="1" thickBot="1">
      <c r="A51" s="7231"/>
      <c r="B51" s="8414"/>
      <c r="C51" s="8414"/>
      <c r="D51" s="8415"/>
      <c r="E51" s="8415"/>
      <c r="F51" s="7245"/>
    </row>
    <row r="52" spans="1:8" ht="12.9" customHeight="1" thickBot="1">
      <c r="A52" s="9838" t="s">
        <v>1101</v>
      </c>
      <c r="B52" s="10845">
        <f>SUM(B34+B50)</f>
        <v>54</v>
      </c>
      <c r="C52" s="9839"/>
      <c r="D52" s="10816">
        <f>SUM(D34+D50)</f>
        <v>11501424</v>
      </c>
      <c r="E52" s="10816">
        <f>SUM(E34+E50)</f>
        <v>12341592</v>
      </c>
      <c r="F52" s="10817">
        <f>SUM(F34+F50)</f>
        <v>14098272</v>
      </c>
      <c r="H52" s="7164">
        <f>F52-'lbpf 3-VET'!K12</f>
        <v>0</v>
      </c>
    </row>
    <row r="53" spans="1:8" ht="10.5" customHeight="1">
      <c r="A53" s="7248"/>
      <c r="B53" s="9666"/>
      <c r="C53" s="9666"/>
      <c r="D53" s="9720"/>
      <c r="E53" s="9720"/>
      <c r="F53" s="9721"/>
    </row>
    <row r="54" spans="1:8" ht="12.9" customHeight="1">
      <c r="A54" s="7231" t="s">
        <v>1075</v>
      </c>
      <c r="B54" s="8414"/>
      <c r="C54" s="8414"/>
      <c r="D54" s="10751"/>
      <c r="E54" s="10751"/>
      <c r="F54" s="7242"/>
      <c r="H54" s="7164">
        <f>H52/4</f>
        <v>0</v>
      </c>
    </row>
    <row r="55" spans="1:8" ht="12.9" customHeight="1">
      <c r="A55" s="7231" t="s">
        <v>1102</v>
      </c>
      <c r="B55" s="10751"/>
      <c r="C55" s="10751"/>
      <c r="D55" s="10751"/>
      <c r="E55" s="10751"/>
      <c r="F55" s="7242"/>
    </row>
    <row r="56" spans="1:8" ht="12.9" customHeight="1">
      <c r="A56" s="7231" t="s">
        <v>1077</v>
      </c>
      <c r="B56" s="8414">
        <v>15</v>
      </c>
      <c r="C56" s="10751"/>
      <c r="D56" s="10751"/>
      <c r="E56" s="10751"/>
      <c r="F56" s="7242"/>
    </row>
    <row r="57" spans="1:8" ht="12.9" customHeight="1">
      <c r="A57" s="7231" t="s">
        <v>1078</v>
      </c>
      <c r="B57" s="8414">
        <v>2</v>
      </c>
      <c r="C57" s="10751"/>
      <c r="D57" s="10751"/>
      <c r="E57" s="10751"/>
      <c r="F57" s="7242"/>
    </row>
    <row r="58" spans="1:8" ht="12.9" customHeight="1">
      <c r="A58" s="7231" t="s">
        <v>1079</v>
      </c>
      <c r="B58" s="10751"/>
      <c r="C58" s="10751"/>
      <c r="D58" s="10751"/>
      <c r="E58" s="10751"/>
      <c r="F58" s="7242"/>
    </row>
    <row r="59" spans="1:8" ht="8.4" customHeight="1">
      <c r="A59" s="7231" t="s">
        <v>168</v>
      </c>
      <c r="B59" s="10751"/>
      <c r="C59" s="10751"/>
      <c r="D59" s="10751"/>
      <c r="E59" s="10751"/>
      <c r="F59" s="7242"/>
    </row>
    <row r="60" spans="1:8" ht="12.9" customHeight="1">
      <c r="A60" s="7231" t="s">
        <v>1080</v>
      </c>
      <c r="B60" s="10751"/>
      <c r="C60" s="10751"/>
      <c r="D60" s="10751"/>
      <c r="E60" s="10751"/>
      <c r="F60" s="7242"/>
    </row>
    <row r="61" spans="1:8" ht="12.9" customHeight="1">
      <c r="A61" s="7231" t="s">
        <v>1104</v>
      </c>
      <c r="B61" s="10751"/>
      <c r="C61" s="10751"/>
      <c r="D61" s="10751"/>
      <c r="E61" s="10751"/>
      <c r="F61" s="7242"/>
    </row>
    <row r="62" spans="1:8" ht="12.9" customHeight="1">
      <c r="A62" s="7231" t="s">
        <v>1105</v>
      </c>
      <c r="B62" s="10751"/>
      <c r="C62" s="10751"/>
      <c r="D62" s="10751"/>
      <c r="E62" s="10751"/>
      <c r="F62" s="7242"/>
    </row>
    <row r="63" spans="1:8" ht="8.4" customHeight="1">
      <c r="A63" s="7231"/>
      <c r="B63" s="10426"/>
      <c r="C63" s="10426"/>
      <c r="D63" s="10426"/>
      <c r="E63" s="10426"/>
      <c r="F63" s="9778"/>
    </row>
    <row r="64" spans="1:8" ht="12.9" customHeight="1">
      <c r="A64" s="6230" t="s">
        <v>1083</v>
      </c>
      <c r="B64" s="9676"/>
      <c r="C64" s="9676"/>
      <c r="D64" s="9676"/>
      <c r="E64" s="9676"/>
      <c r="F64" s="9744"/>
    </row>
    <row r="65" spans="1:6" ht="8.4" customHeight="1">
      <c r="A65" s="7231"/>
      <c r="B65" s="10424"/>
      <c r="C65" s="10424"/>
      <c r="D65" s="10424"/>
      <c r="E65" s="10424"/>
      <c r="F65" s="10425"/>
    </row>
    <row r="66" spans="1:6" ht="12.9" customHeight="1">
      <c r="A66" s="7231" t="s">
        <v>1106</v>
      </c>
      <c r="B66" s="10751"/>
      <c r="C66" s="10751"/>
      <c r="D66" s="10751"/>
      <c r="E66" s="10751"/>
      <c r="F66" s="7242"/>
    </row>
    <row r="67" spans="1:6" ht="8.4" customHeight="1" thickBot="1">
      <c r="A67" s="7235"/>
      <c r="B67" s="9758"/>
      <c r="C67" s="9758"/>
      <c r="D67" s="9758"/>
      <c r="E67" s="9758"/>
      <c r="F67" s="9759"/>
    </row>
    <row r="68" spans="1:6" ht="8.4" customHeight="1">
      <c r="A68" s="7231"/>
      <c r="B68" s="10751"/>
      <c r="C68" s="10751"/>
      <c r="D68" s="10751"/>
      <c r="E68" s="10751"/>
      <c r="F68" s="7242"/>
    </row>
    <row r="69" spans="1:6" ht="12.9" customHeight="1">
      <c r="A69" s="6230" t="s">
        <v>1086</v>
      </c>
      <c r="B69" s="10751"/>
      <c r="C69" s="10751"/>
      <c r="D69" s="10751"/>
      <c r="E69" s="10751"/>
      <c r="F69" s="7242"/>
    </row>
    <row r="70" spans="1:6" ht="8.4" customHeight="1" thickBot="1">
      <c r="A70" s="7235"/>
      <c r="B70" s="9758"/>
      <c r="C70" s="9758"/>
      <c r="D70" s="9758"/>
      <c r="E70" s="9758"/>
      <c r="F70" s="9759"/>
    </row>
  </sheetData>
  <mergeCells count="2">
    <mergeCell ref="D5:F5"/>
    <mergeCell ref="A1:F1"/>
  </mergeCells>
  <pageMargins left="0.25" right="0.25" top="0.5" bottom="0.5" header="0.3" footer="0.3"/>
  <pageSetup paperSize="136" firstPageNumber="414" orientation="portrait" useFirstPageNumber="1" r:id="rId1"/>
  <headerFooter alignWithMargins="0"/>
</worksheet>
</file>

<file path=xl/worksheets/sheet176.xml><?xml version="1.0" encoding="utf-8"?>
<worksheet xmlns="http://schemas.openxmlformats.org/spreadsheetml/2006/main" xmlns:r="http://schemas.openxmlformats.org/officeDocument/2006/relationships">
  <sheetPr codeName="Sheet191">
    <tabColor rgb="FFFFFF00"/>
  </sheetPr>
  <dimension ref="A1:I90"/>
  <sheetViews>
    <sheetView showGridLines="0" workbookViewId="0">
      <selection activeCell="D123" activeCellId="1" sqref="B115 D123"/>
    </sheetView>
  </sheetViews>
  <sheetFormatPr defaultColWidth="10.109375" defaultRowHeight="14.4"/>
  <cols>
    <col min="1" max="1" width="2.44140625" style="6238" customWidth="1"/>
    <col min="2" max="2" width="1.88671875" style="6238" customWidth="1"/>
    <col min="3" max="3" width="21.109375" style="6238" customWidth="1"/>
    <col min="4" max="4" width="4.88671875" style="6238" customWidth="1"/>
    <col min="5" max="5" width="15.109375" style="6239" customWidth="1"/>
    <col min="6" max="6" width="23.44140625" style="6240" customWidth="1"/>
    <col min="7" max="7" width="14" style="6240" customWidth="1"/>
    <col min="8" max="9" width="7.44140625" style="6241" customWidth="1"/>
    <col min="10" max="227" width="10.109375" style="6238"/>
    <col min="228" max="228" width="2.44140625" style="6238" customWidth="1"/>
    <col min="229" max="229" width="1.88671875" style="6238" customWidth="1"/>
    <col min="230" max="230" width="21.109375" style="6238" customWidth="1"/>
    <col min="231" max="231" width="4.88671875" style="6238" customWidth="1"/>
    <col min="232" max="232" width="15.88671875" style="6238" customWidth="1"/>
    <col min="233" max="233" width="21.44140625" style="6238" customWidth="1"/>
    <col min="234" max="234" width="15.88671875" style="6238" customWidth="1"/>
    <col min="235" max="235" width="7.109375" style="6238" customWidth="1"/>
    <col min="236" max="236" width="7.88671875" style="6238" customWidth="1"/>
    <col min="237" max="237" width="8.44140625" style="6238" customWidth="1"/>
    <col min="238" max="238" width="16.44140625" style="6238" bestFit="1" customWidth="1"/>
    <col min="239" max="483" width="10.109375" style="6238"/>
    <col min="484" max="484" width="2.44140625" style="6238" customWidth="1"/>
    <col min="485" max="485" width="1.88671875" style="6238" customWidth="1"/>
    <col min="486" max="486" width="21.109375" style="6238" customWidth="1"/>
    <col min="487" max="487" width="4.88671875" style="6238" customWidth="1"/>
    <col min="488" max="488" width="15.88671875" style="6238" customWidth="1"/>
    <col min="489" max="489" width="21.44140625" style="6238" customWidth="1"/>
    <col min="490" max="490" width="15.88671875" style="6238" customWidth="1"/>
    <col min="491" max="491" width="7.109375" style="6238" customWidth="1"/>
    <col min="492" max="492" width="7.88671875" style="6238" customWidth="1"/>
    <col min="493" max="493" width="8.44140625" style="6238" customWidth="1"/>
    <col min="494" max="494" width="16.44140625" style="6238" bestFit="1" customWidth="1"/>
    <col min="495" max="739" width="10.109375" style="6238"/>
    <col min="740" max="740" width="2.44140625" style="6238" customWidth="1"/>
    <col min="741" max="741" width="1.88671875" style="6238" customWidth="1"/>
    <col min="742" max="742" width="21.109375" style="6238" customWidth="1"/>
    <col min="743" max="743" width="4.88671875" style="6238" customWidth="1"/>
    <col min="744" max="744" width="15.88671875" style="6238" customWidth="1"/>
    <col min="745" max="745" width="21.44140625" style="6238" customWidth="1"/>
    <col min="746" max="746" width="15.88671875" style="6238" customWidth="1"/>
    <col min="747" max="747" width="7.109375" style="6238" customWidth="1"/>
    <col min="748" max="748" width="7.88671875" style="6238" customWidth="1"/>
    <col min="749" max="749" width="8.44140625" style="6238" customWidth="1"/>
    <col min="750" max="750" width="16.44140625" style="6238" bestFit="1" customWidth="1"/>
    <col min="751" max="995" width="10.109375" style="6238"/>
    <col min="996" max="996" width="2.44140625" style="6238" customWidth="1"/>
    <col min="997" max="997" width="1.88671875" style="6238" customWidth="1"/>
    <col min="998" max="998" width="21.109375" style="6238" customWidth="1"/>
    <col min="999" max="999" width="4.88671875" style="6238" customWidth="1"/>
    <col min="1000" max="1000" width="15.88671875" style="6238" customWidth="1"/>
    <col min="1001" max="1001" width="21.44140625" style="6238" customWidth="1"/>
    <col min="1002" max="1002" width="15.88671875" style="6238" customWidth="1"/>
    <col min="1003" max="1003" width="7.109375" style="6238" customWidth="1"/>
    <col min="1004" max="1004" width="7.88671875" style="6238" customWidth="1"/>
    <col min="1005" max="1005" width="8.44140625" style="6238" customWidth="1"/>
    <col min="1006" max="1006" width="16.44140625" style="6238" bestFit="1" customWidth="1"/>
    <col min="1007" max="1251" width="10.109375" style="6238"/>
    <col min="1252" max="1252" width="2.44140625" style="6238" customWidth="1"/>
    <col min="1253" max="1253" width="1.88671875" style="6238" customWidth="1"/>
    <col min="1254" max="1254" width="21.109375" style="6238" customWidth="1"/>
    <col min="1255" max="1255" width="4.88671875" style="6238" customWidth="1"/>
    <col min="1256" max="1256" width="15.88671875" style="6238" customWidth="1"/>
    <col min="1257" max="1257" width="21.44140625" style="6238" customWidth="1"/>
    <col min="1258" max="1258" width="15.88671875" style="6238" customWidth="1"/>
    <col min="1259" max="1259" width="7.109375" style="6238" customWidth="1"/>
    <col min="1260" max="1260" width="7.88671875" style="6238" customWidth="1"/>
    <col min="1261" max="1261" width="8.44140625" style="6238" customWidth="1"/>
    <col min="1262" max="1262" width="16.44140625" style="6238" bestFit="1" customWidth="1"/>
    <col min="1263" max="1507" width="10.109375" style="6238"/>
    <col min="1508" max="1508" width="2.44140625" style="6238" customWidth="1"/>
    <col min="1509" max="1509" width="1.88671875" style="6238" customWidth="1"/>
    <col min="1510" max="1510" width="21.109375" style="6238" customWidth="1"/>
    <col min="1511" max="1511" width="4.88671875" style="6238" customWidth="1"/>
    <col min="1512" max="1512" width="15.88671875" style="6238" customWidth="1"/>
    <col min="1513" max="1513" width="21.44140625" style="6238" customWidth="1"/>
    <col min="1514" max="1514" width="15.88671875" style="6238" customWidth="1"/>
    <col min="1515" max="1515" width="7.109375" style="6238" customWidth="1"/>
    <col min="1516" max="1516" width="7.88671875" style="6238" customWidth="1"/>
    <col min="1517" max="1517" width="8.44140625" style="6238" customWidth="1"/>
    <col min="1518" max="1518" width="16.44140625" style="6238" bestFit="1" customWidth="1"/>
    <col min="1519" max="1763" width="10.109375" style="6238"/>
    <col min="1764" max="1764" width="2.44140625" style="6238" customWidth="1"/>
    <col min="1765" max="1765" width="1.88671875" style="6238" customWidth="1"/>
    <col min="1766" max="1766" width="21.109375" style="6238" customWidth="1"/>
    <col min="1767" max="1767" width="4.88671875" style="6238" customWidth="1"/>
    <col min="1768" max="1768" width="15.88671875" style="6238" customWidth="1"/>
    <col min="1769" max="1769" width="21.44140625" style="6238" customWidth="1"/>
    <col min="1770" max="1770" width="15.88671875" style="6238" customWidth="1"/>
    <col min="1771" max="1771" width="7.109375" style="6238" customWidth="1"/>
    <col min="1772" max="1772" width="7.88671875" style="6238" customWidth="1"/>
    <col min="1773" max="1773" width="8.44140625" style="6238" customWidth="1"/>
    <col min="1774" max="1774" width="16.44140625" style="6238" bestFit="1" customWidth="1"/>
    <col min="1775" max="2019" width="10.109375" style="6238"/>
    <col min="2020" max="2020" width="2.44140625" style="6238" customWidth="1"/>
    <col min="2021" max="2021" width="1.88671875" style="6238" customWidth="1"/>
    <col min="2022" max="2022" width="21.109375" style="6238" customWidth="1"/>
    <col min="2023" max="2023" width="4.88671875" style="6238" customWidth="1"/>
    <col min="2024" max="2024" width="15.88671875" style="6238" customWidth="1"/>
    <col min="2025" max="2025" width="21.44140625" style="6238" customWidth="1"/>
    <col min="2026" max="2026" width="15.88671875" style="6238" customWidth="1"/>
    <col min="2027" max="2027" width="7.109375" style="6238" customWidth="1"/>
    <col min="2028" max="2028" width="7.88671875" style="6238" customWidth="1"/>
    <col min="2029" max="2029" width="8.44140625" style="6238" customWidth="1"/>
    <col min="2030" max="2030" width="16.44140625" style="6238" bestFit="1" customWidth="1"/>
    <col min="2031" max="2275" width="10.109375" style="6238"/>
    <col min="2276" max="2276" width="2.44140625" style="6238" customWidth="1"/>
    <col min="2277" max="2277" width="1.88671875" style="6238" customWidth="1"/>
    <col min="2278" max="2278" width="21.109375" style="6238" customWidth="1"/>
    <col min="2279" max="2279" width="4.88671875" style="6238" customWidth="1"/>
    <col min="2280" max="2280" width="15.88671875" style="6238" customWidth="1"/>
    <col min="2281" max="2281" width="21.44140625" style="6238" customWidth="1"/>
    <col min="2282" max="2282" width="15.88671875" style="6238" customWidth="1"/>
    <col min="2283" max="2283" width="7.109375" style="6238" customWidth="1"/>
    <col min="2284" max="2284" width="7.88671875" style="6238" customWidth="1"/>
    <col min="2285" max="2285" width="8.44140625" style="6238" customWidth="1"/>
    <col min="2286" max="2286" width="16.44140625" style="6238" bestFit="1" customWidth="1"/>
    <col min="2287" max="2531" width="10.109375" style="6238"/>
    <col min="2532" max="2532" width="2.44140625" style="6238" customWidth="1"/>
    <col min="2533" max="2533" width="1.88671875" style="6238" customWidth="1"/>
    <col min="2534" max="2534" width="21.109375" style="6238" customWidth="1"/>
    <col min="2535" max="2535" width="4.88671875" style="6238" customWidth="1"/>
    <col min="2536" max="2536" width="15.88671875" style="6238" customWidth="1"/>
    <col min="2537" max="2537" width="21.44140625" style="6238" customWidth="1"/>
    <col min="2538" max="2538" width="15.88671875" style="6238" customWidth="1"/>
    <col min="2539" max="2539" width="7.109375" style="6238" customWidth="1"/>
    <col min="2540" max="2540" width="7.88671875" style="6238" customWidth="1"/>
    <col min="2541" max="2541" width="8.44140625" style="6238" customWidth="1"/>
    <col min="2542" max="2542" width="16.44140625" style="6238" bestFit="1" customWidth="1"/>
    <col min="2543" max="2787" width="10.109375" style="6238"/>
    <col min="2788" max="2788" width="2.44140625" style="6238" customWidth="1"/>
    <col min="2789" max="2789" width="1.88671875" style="6238" customWidth="1"/>
    <col min="2790" max="2790" width="21.109375" style="6238" customWidth="1"/>
    <col min="2791" max="2791" width="4.88671875" style="6238" customWidth="1"/>
    <col min="2792" max="2792" width="15.88671875" style="6238" customWidth="1"/>
    <col min="2793" max="2793" width="21.44140625" style="6238" customWidth="1"/>
    <col min="2794" max="2794" width="15.88671875" style="6238" customWidth="1"/>
    <col min="2795" max="2795" width="7.109375" style="6238" customWidth="1"/>
    <col min="2796" max="2796" width="7.88671875" style="6238" customWidth="1"/>
    <col min="2797" max="2797" width="8.44140625" style="6238" customWidth="1"/>
    <col min="2798" max="2798" width="16.44140625" style="6238" bestFit="1" customWidth="1"/>
    <col min="2799" max="3043" width="10.109375" style="6238"/>
    <col min="3044" max="3044" width="2.44140625" style="6238" customWidth="1"/>
    <col min="3045" max="3045" width="1.88671875" style="6238" customWidth="1"/>
    <col min="3046" max="3046" width="21.109375" style="6238" customWidth="1"/>
    <col min="3047" max="3047" width="4.88671875" style="6238" customWidth="1"/>
    <col min="3048" max="3048" width="15.88671875" style="6238" customWidth="1"/>
    <col min="3049" max="3049" width="21.44140625" style="6238" customWidth="1"/>
    <col min="3050" max="3050" width="15.88671875" style="6238" customWidth="1"/>
    <col min="3051" max="3051" width="7.109375" style="6238" customWidth="1"/>
    <col min="3052" max="3052" width="7.88671875" style="6238" customWidth="1"/>
    <col min="3053" max="3053" width="8.44140625" style="6238" customWidth="1"/>
    <col min="3054" max="3054" width="16.44140625" style="6238" bestFit="1" customWidth="1"/>
    <col min="3055" max="3299" width="10.109375" style="6238"/>
    <col min="3300" max="3300" width="2.44140625" style="6238" customWidth="1"/>
    <col min="3301" max="3301" width="1.88671875" style="6238" customWidth="1"/>
    <col min="3302" max="3302" width="21.109375" style="6238" customWidth="1"/>
    <col min="3303" max="3303" width="4.88671875" style="6238" customWidth="1"/>
    <col min="3304" max="3304" width="15.88671875" style="6238" customWidth="1"/>
    <col min="3305" max="3305" width="21.44140625" style="6238" customWidth="1"/>
    <col min="3306" max="3306" width="15.88671875" style="6238" customWidth="1"/>
    <col min="3307" max="3307" width="7.109375" style="6238" customWidth="1"/>
    <col min="3308" max="3308" width="7.88671875" style="6238" customWidth="1"/>
    <col min="3309" max="3309" width="8.44140625" style="6238" customWidth="1"/>
    <col min="3310" max="3310" width="16.44140625" style="6238" bestFit="1" customWidth="1"/>
    <col min="3311" max="3555" width="10.109375" style="6238"/>
    <col min="3556" max="3556" width="2.44140625" style="6238" customWidth="1"/>
    <col min="3557" max="3557" width="1.88671875" style="6238" customWidth="1"/>
    <col min="3558" max="3558" width="21.109375" style="6238" customWidth="1"/>
    <col min="3559" max="3559" width="4.88671875" style="6238" customWidth="1"/>
    <col min="3560" max="3560" width="15.88671875" style="6238" customWidth="1"/>
    <col min="3561" max="3561" width="21.44140625" style="6238" customWidth="1"/>
    <col min="3562" max="3562" width="15.88671875" style="6238" customWidth="1"/>
    <col min="3563" max="3563" width="7.109375" style="6238" customWidth="1"/>
    <col min="3564" max="3564" width="7.88671875" style="6238" customWidth="1"/>
    <col min="3565" max="3565" width="8.44140625" style="6238" customWidth="1"/>
    <col min="3566" max="3566" width="16.44140625" style="6238" bestFit="1" customWidth="1"/>
    <col min="3567" max="3811" width="10.109375" style="6238"/>
    <col min="3812" max="3812" width="2.44140625" style="6238" customWidth="1"/>
    <col min="3813" max="3813" width="1.88671875" style="6238" customWidth="1"/>
    <col min="3814" max="3814" width="21.109375" style="6238" customWidth="1"/>
    <col min="3815" max="3815" width="4.88671875" style="6238" customWidth="1"/>
    <col min="3816" max="3816" width="15.88671875" style="6238" customWidth="1"/>
    <col min="3817" max="3817" width="21.44140625" style="6238" customWidth="1"/>
    <col min="3818" max="3818" width="15.88671875" style="6238" customWidth="1"/>
    <col min="3819" max="3819" width="7.109375" style="6238" customWidth="1"/>
    <col min="3820" max="3820" width="7.88671875" style="6238" customWidth="1"/>
    <col min="3821" max="3821" width="8.44140625" style="6238" customWidth="1"/>
    <col min="3822" max="3822" width="16.44140625" style="6238" bestFit="1" customWidth="1"/>
    <col min="3823" max="4067" width="10.109375" style="6238"/>
    <col min="4068" max="4068" width="2.44140625" style="6238" customWidth="1"/>
    <col min="4069" max="4069" width="1.88671875" style="6238" customWidth="1"/>
    <col min="4070" max="4070" width="21.109375" style="6238" customWidth="1"/>
    <col min="4071" max="4071" width="4.88671875" style="6238" customWidth="1"/>
    <col min="4072" max="4072" width="15.88671875" style="6238" customWidth="1"/>
    <col min="4073" max="4073" width="21.44140625" style="6238" customWidth="1"/>
    <col min="4074" max="4074" width="15.88671875" style="6238" customWidth="1"/>
    <col min="4075" max="4075" width="7.109375" style="6238" customWidth="1"/>
    <col min="4076" max="4076" width="7.88671875" style="6238" customWidth="1"/>
    <col min="4077" max="4077" width="8.44140625" style="6238" customWidth="1"/>
    <col min="4078" max="4078" width="16.44140625" style="6238" bestFit="1" customWidth="1"/>
    <col min="4079" max="4323" width="10.109375" style="6238"/>
    <col min="4324" max="4324" width="2.44140625" style="6238" customWidth="1"/>
    <col min="4325" max="4325" width="1.88671875" style="6238" customWidth="1"/>
    <col min="4326" max="4326" width="21.109375" style="6238" customWidth="1"/>
    <col min="4327" max="4327" width="4.88671875" style="6238" customWidth="1"/>
    <col min="4328" max="4328" width="15.88671875" style="6238" customWidth="1"/>
    <col min="4329" max="4329" width="21.44140625" style="6238" customWidth="1"/>
    <col min="4330" max="4330" width="15.88671875" style="6238" customWidth="1"/>
    <col min="4331" max="4331" width="7.109375" style="6238" customWidth="1"/>
    <col min="4332" max="4332" width="7.88671875" style="6238" customWidth="1"/>
    <col min="4333" max="4333" width="8.44140625" style="6238" customWidth="1"/>
    <col min="4334" max="4334" width="16.44140625" style="6238" bestFit="1" customWidth="1"/>
    <col min="4335" max="4579" width="10.109375" style="6238"/>
    <col min="4580" max="4580" width="2.44140625" style="6238" customWidth="1"/>
    <col min="4581" max="4581" width="1.88671875" style="6238" customWidth="1"/>
    <col min="4582" max="4582" width="21.109375" style="6238" customWidth="1"/>
    <col min="4583" max="4583" width="4.88671875" style="6238" customWidth="1"/>
    <col min="4584" max="4584" width="15.88671875" style="6238" customWidth="1"/>
    <col min="4585" max="4585" width="21.44140625" style="6238" customWidth="1"/>
    <col min="4586" max="4586" width="15.88671875" style="6238" customWidth="1"/>
    <col min="4587" max="4587" width="7.109375" style="6238" customWidth="1"/>
    <col min="4588" max="4588" width="7.88671875" style="6238" customWidth="1"/>
    <col min="4589" max="4589" width="8.44140625" style="6238" customWidth="1"/>
    <col min="4590" max="4590" width="16.44140625" style="6238" bestFit="1" customWidth="1"/>
    <col min="4591" max="4835" width="10.109375" style="6238"/>
    <col min="4836" max="4836" width="2.44140625" style="6238" customWidth="1"/>
    <col min="4837" max="4837" width="1.88671875" style="6238" customWidth="1"/>
    <col min="4838" max="4838" width="21.109375" style="6238" customWidth="1"/>
    <col min="4839" max="4839" width="4.88671875" style="6238" customWidth="1"/>
    <col min="4840" max="4840" width="15.88671875" style="6238" customWidth="1"/>
    <col min="4841" max="4841" width="21.44140625" style="6238" customWidth="1"/>
    <col min="4842" max="4842" width="15.88671875" style="6238" customWidth="1"/>
    <col min="4843" max="4843" width="7.109375" style="6238" customWidth="1"/>
    <col min="4844" max="4844" width="7.88671875" style="6238" customWidth="1"/>
    <col min="4845" max="4845" width="8.44140625" style="6238" customWidth="1"/>
    <col min="4846" max="4846" width="16.44140625" style="6238" bestFit="1" customWidth="1"/>
    <col min="4847" max="5091" width="10.109375" style="6238"/>
    <col min="5092" max="5092" width="2.44140625" style="6238" customWidth="1"/>
    <col min="5093" max="5093" width="1.88671875" style="6238" customWidth="1"/>
    <col min="5094" max="5094" width="21.109375" style="6238" customWidth="1"/>
    <col min="5095" max="5095" width="4.88671875" style="6238" customWidth="1"/>
    <col min="5096" max="5096" width="15.88671875" style="6238" customWidth="1"/>
    <col min="5097" max="5097" width="21.44140625" style="6238" customWidth="1"/>
    <col min="5098" max="5098" width="15.88671875" style="6238" customWidth="1"/>
    <col min="5099" max="5099" width="7.109375" style="6238" customWidth="1"/>
    <col min="5100" max="5100" width="7.88671875" style="6238" customWidth="1"/>
    <col min="5101" max="5101" width="8.44140625" style="6238" customWidth="1"/>
    <col min="5102" max="5102" width="16.44140625" style="6238" bestFit="1" customWidth="1"/>
    <col min="5103" max="5347" width="10.109375" style="6238"/>
    <col min="5348" max="5348" width="2.44140625" style="6238" customWidth="1"/>
    <col min="5349" max="5349" width="1.88671875" style="6238" customWidth="1"/>
    <col min="5350" max="5350" width="21.109375" style="6238" customWidth="1"/>
    <col min="5351" max="5351" width="4.88671875" style="6238" customWidth="1"/>
    <col min="5352" max="5352" width="15.88671875" style="6238" customWidth="1"/>
    <col min="5353" max="5353" width="21.44140625" style="6238" customWidth="1"/>
    <col min="5354" max="5354" width="15.88671875" style="6238" customWidth="1"/>
    <col min="5355" max="5355" width="7.109375" style="6238" customWidth="1"/>
    <col min="5356" max="5356" width="7.88671875" style="6238" customWidth="1"/>
    <col min="5357" max="5357" width="8.44140625" style="6238" customWidth="1"/>
    <col min="5358" max="5358" width="16.44140625" style="6238" bestFit="1" customWidth="1"/>
    <col min="5359" max="5603" width="10.109375" style="6238"/>
    <col min="5604" max="5604" width="2.44140625" style="6238" customWidth="1"/>
    <col min="5605" max="5605" width="1.88671875" style="6238" customWidth="1"/>
    <col min="5606" max="5606" width="21.109375" style="6238" customWidth="1"/>
    <col min="5607" max="5607" width="4.88671875" style="6238" customWidth="1"/>
    <col min="5608" max="5608" width="15.88671875" style="6238" customWidth="1"/>
    <col min="5609" max="5609" width="21.44140625" style="6238" customWidth="1"/>
    <col min="5610" max="5610" width="15.88671875" style="6238" customWidth="1"/>
    <col min="5611" max="5611" width="7.109375" style="6238" customWidth="1"/>
    <col min="5612" max="5612" width="7.88671875" style="6238" customWidth="1"/>
    <col min="5613" max="5613" width="8.44140625" style="6238" customWidth="1"/>
    <col min="5614" max="5614" width="16.44140625" style="6238" bestFit="1" customWidth="1"/>
    <col min="5615" max="5859" width="10.109375" style="6238"/>
    <col min="5860" max="5860" width="2.44140625" style="6238" customWidth="1"/>
    <col min="5861" max="5861" width="1.88671875" style="6238" customWidth="1"/>
    <col min="5862" max="5862" width="21.109375" style="6238" customWidth="1"/>
    <col min="5863" max="5863" width="4.88671875" style="6238" customWidth="1"/>
    <col min="5864" max="5864" width="15.88671875" style="6238" customWidth="1"/>
    <col min="5865" max="5865" width="21.44140625" style="6238" customWidth="1"/>
    <col min="5866" max="5866" width="15.88671875" style="6238" customWidth="1"/>
    <col min="5867" max="5867" width="7.109375" style="6238" customWidth="1"/>
    <col min="5868" max="5868" width="7.88671875" style="6238" customWidth="1"/>
    <col min="5869" max="5869" width="8.44140625" style="6238" customWidth="1"/>
    <col min="5870" max="5870" width="16.44140625" style="6238" bestFit="1" customWidth="1"/>
    <col min="5871" max="6115" width="10.109375" style="6238"/>
    <col min="6116" max="6116" width="2.44140625" style="6238" customWidth="1"/>
    <col min="6117" max="6117" width="1.88671875" style="6238" customWidth="1"/>
    <col min="6118" max="6118" width="21.109375" style="6238" customWidth="1"/>
    <col min="6119" max="6119" width="4.88671875" style="6238" customWidth="1"/>
    <col min="6120" max="6120" width="15.88671875" style="6238" customWidth="1"/>
    <col min="6121" max="6121" width="21.44140625" style="6238" customWidth="1"/>
    <col min="6122" max="6122" width="15.88671875" style="6238" customWidth="1"/>
    <col min="6123" max="6123" width="7.109375" style="6238" customWidth="1"/>
    <col min="6124" max="6124" width="7.88671875" style="6238" customWidth="1"/>
    <col min="6125" max="6125" width="8.44140625" style="6238" customWidth="1"/>
    <col min="6126" max="6126" width="16.44140625" style="6238" bestFit="1" customWidth="1"/>
    <col min="6127" max="6371" width="10.109375" style="6238"/>
    <col min="6372" max="6372" width="2.44140625" style="6238" customWidth="1"/>
    <col min="6373" max="6373" width="1.88671875" style="6238" customWidth="1"/>
    <col min="6374" max="6374" width="21.109375" style="6238" customWidth="1"/>
    <col min="6375" max="6375" width="4.88671875" style="6238" customWidth="1"/>
    <col min="6376" max="6376" width="15.88671875" style="6238" customWidth="1"/>
    <col min="6377" max="6377" width="21.44140625" style="6238" customWidth="1"/>
    <col min="6378" max="6378" width="15.88671875" style="6238" customWidth="1"/>
    <col min="6379" max="6379" width="7.109375" style="6238" customWidth="1"/>
    <col min="6380" max="6380" width="7.88671875" style="6238" customWidth="1"/>
    <col min="6381" max="6381" width="8.44140625" style="6238" customWidth="1"/>
    <col min="6382" max="6382" width="16.44140625" style="6238" bestFit="1" customWidth="1"/>
    <col min="6383" max="6627" width="10.109375" style="6238"/>
    <col min="6628" max="6628" width="2.44140625" style="6238" customWidth="1"/>
    <col min="6629" max="6629" width="1.88671875" style="6238" customWidth="1"/>
    <col min="6630" max="6630" width="21.109375" style="6238" customWidth="1"/>
    <col min="6631" max="6631" width="4.88671875" style="6238" customWidth="1"/>
    <col min="6632" max="6632" width="15.88671875" style="6238" customWidth="1"/>
    <col min="6633" max="6633" width="21.44140625" style="6238" customWidth="1"/>
    <col min="6634" max="6634" width="15.88671875" style="6238" customWidth="1"/>
    <col min="6635" max="6635" width="7.109375" style="6238" customWidth="1"/>
    <col min="6636" max="6636" width="7.88671875" style="6238" customWidth="1"/>
    <col min="6637" max="6637" width="8.44140625" style="6238" customWidth="1"/>
    <col min="6638" max="6638" width="16.44140625" style="6238" bestFit="1" customWidth="1"/>
    <col min="6639" max="6883" width="10.109375" style="6238"/>
    <col min="6884" max="6884" width="2.44140625" style="6238" customWidth="1"/>
    <col min="6885" max="6885" width="1.88671875" style="6238" customWidth="1"/>
    <col min="6886" max="6886" width="21.109375" style="6238" customWidth="1"/>
    <col min="6887" max="6887" width="4.88671875" style="6238" customWidth="1"/>
    <col min="6888" max="6888" width="15.88671875" style="6238" customWidth="1"/>
    <col min="6889" max="6889" width="21.44140625" style="6238" customWidth="1"/>
    <col min="6890" max="6890" width="15.88671875" style="6238" customWidth="1"/>
    <col min="6891" max="6891" width="7.109375" style="6238" customWidth="1"/>
    <col min="6892" max="6892" width="7.88671875" style="6238" customWidth="1"/>
    <col min="6893" max="6893" width="8.44140625" style="6238" customWidth="1"/>
    <col min="6894" max="6894" width="16.44140625" style="6238" bestFit="1" customWidth="1"/>
    <col min="6895" max="7139" width="10.109375" style="6238"/>
    <col min="7140" max="7140" width="2.44140625" style="6238" customWidth="1"/>
    <col min="7141" max="7141" width="1.88671875" style="6238" customWidth="1"/>
    <col min="7142" max="7142" width="21.109375" style="6238" customWidth="1"/>
    <col min="7143" max="7143" width="4.88671875" style="6238" customWidth="1"/>
    <col min="7144" max="7144" width="15.88671875" style="6238" customWidth="1"/>
    <col min="7145" max="7145" width="21.44140625" style="6238" customWidth="1"/>
    <col min="7146" max="7146" width="15.88671875" style="6238" customWidth="1"/>
    <col min="7147" max="7147" width="7.109375" style="6238" customWidth="1"/>
    <col min="7148" max="7148" width="7.88671875" style="6238" customWidth="1"/>
    <col min="7149" max="7149" width="8.44140625" style="6238" customWidth="1"/>
    <col min="7150" max="7150" width="16.44140625" style="6238" bestFit="1" customWidth="1"/>
    <col min="7151" max="7395" width="10.109375" style="6238"/>
    <col min="7396" max="7396" width="2.44140625" style="6238" customWidth="1"/>
    <col min="7397" max="7397" width="1.88671875" style="6238" customWidth="1"/>
    <col min="7398" max="7398" width="21.109375" style="6238" customWidth="1"/>
    <col min="7399" max="7399" width="4.88671875" style="6238" customWidth="1"/>
    <col min="7400" max="7400" width="15.88671875" style="6238" customWidth="1"/>
    <col min="7401" max="7401" width="21.44140625" style="6238" customWidth="1"/>
    <col min="7402" max="7402" width="15.88671875" style="6238" customWidth="1"/>
    <col min="7403" max="7403" width="7.109375" style="6238" customWidth="1"/>
    <col min="7404" max="7404" width="7.88671875" style="6238" customWidth="1"/>
    <col min="7405" max="7405" width="8.44140625" style="6238" customWidth="1"/>
    <col min="7406" max="7406" width="16.44140625" style="6238" bestFit="1" customWidth="1"/>
    <col min="7407" max="7651" width="10.109375" style="6238"/>
    <col min="7652" max="7652" width="2.44140625" style="6238" customWidth="1"/>
    <col min="7653" max="7653" width="1.88671875" style="6238" customWidth="1"/>
    <col min="7654" max="7654" width="21.109375" style="6238" customWidth="1"/>
    <col min="7655" max="7655" width="4.88671875" style="6238" customWidth="1"/>
    <col min="7656" max="7656" width="15.88671875" style="6238" customWidth="1"/>
    <col min="7657" max="7657" width="21.44140625" style="6238" customWidth="1"/>
    <col min="7658" max="7658" width="15.88671875" style="6238" customWidth="1"/>
    <col min="7659" max="7659" width="7.109375" style="6238" customWidth="1"/>
    <col min="7660" max="7660" width="7.88671875" style="6238" customWidth="1"/>
    <col min="7661" max="7661" width="8.44140625" style="6238" customWidth="1"/>
    <col min="7662" max="7662" width="16.44140625" style="6238" bestFit="1" customWidth="1"/>
    <col min="7663" max="7907" width="10.109375" style="6238"/>
    <col min="7908" max="7908" width="2.44140625" style="6238" customWidth="1"/>
    <col min="7909" max="7909" width="1.88671875" style="6238" customWidth="1"/>
    <col min="7910" max="7910" width="21.109375" style="6238" customWidth="1"/>
    <col min="7911" max="7911" width="4.88671875" style="6238" customWidth="1"/>
    <col min="7912" max="7912" width="15.88671875" style="6238" customWidth="1"/>
    <col min="7913" max="7913" width="21.44140625" style="6238" customWidth="1"/>
    <col min="7914" max="7914" width="15.88671875" style="6238" customWidth="1"/>
    <col min="7915" max="7915" width="7.109375" style="6238" customWidth="1"/>
    <col min="7916" max="7916" width="7.88671875" style="6238" customWidth="1"/>
    <col min="7917" max="7917" width="8.44140625" style="6238" customWidth="1"/>
    <col min="7918" max="7918" width="16.44140625" style="6238" bestFit="1" customWidth="1"/>
    <col min="7919" max="8163" width="10.109375" style="6238"/>
    <col min="8164" max="8164" width="2.44140625" style="6238" customWidth="1"/>
    <col min="8165" max="8165" width="1.88671875" style="6238" customWidth="1"/>
    <col min="8166" max="8166" width="21.109375" style="6238" customWidth="1"/>
    <col min="8167" max="8167" width="4.88671875" style="6238" customWidth="1"/>
    <col min="8168" max="8168" width="15.88671875" style="6238" customWidth="1"/>
    <col min="8169" max="8169" width="21.44140625" style="6238" customWidth="1"/>
    <col min="8170" max="8170" width="15.88671875" style="6238" customWidth="1"/>
    <col min="8171" max="8171" width="7.109375" style="6238" customWidth="1"/>
    <col min="8172" max="8172" width="7.88671875" style="6238" customWidth="1"/>
    <col min="8173" max="8173" width="8.44140625" style="6238" customWidth="1"/>
    <col min="8174" max="8174" width="16.44140625" style="6238" bestFit="1" customWidth="1"/>
    <col min="8175" max="8419" width="10.109375" style="6238"/>
    <col min="8420" max="8420" width="2.44140625" style="6238" customWidth="1"/>
    <col min="8421" max="8421" width="1.88671875" style="6238" customWidth="1"/>
    <col min="8422" max="8422" width="21.109375" style="6238" customWidth="1"/>
    <col min="8423" max="8423" width="4.88671875" style="6238" customWidth="1"/>
    <col min="8424" max="8424" width="15.88671875" style="6238" customWidth="1"/>
    <col min="8425" max="8425" width="21.44140625" style="6238" customWidth="1"/>
    <col min="8426" max="8426" width="15.88671875" style="6238" customWidth="1"/>
    <col min="8427" max="8427" width="7.109375" style="6238" customWidth="1"/>
    <col min="8428" max="8428" width="7.88671875" style="6238" customWidth="1"/>
    <col min="8429" max="8429" width="8.44140625" style="6238" customWidth="1"/>
    <col min="8430" max="8430" width="16.44140625" style="6238" bestFit="1" customWidth="1"/>
    <col min="8431" max="8675" width="10.109375" style="6238"/>
    <col min="8676" max="8676" width="2.44140625" style="6238" customWidth="1"/>
    <col min="8677" max="8677" width="1.88671875" style="6238" customWidth="1"/>
    <col min="8678" max="8678" width="21.109375" style="6238" customWidth="1"/>
    <col min="8679" max="8679" width="4.88671875" style="6238" customWidth="1"/>
    <col min="8680" max="8680" width="15.88671875" style="6238" customWidth="1"/>
    <col min="8681" max="8681" width="21.44140625" style="6238" customWidth="1"/>
    <col min="8682" max="8682" width="15.88671875" style="6238" customWidth="1"/>
    <col min="8683" max="8683" width="7.109375" style="6238" customWidth="1"/>
    <col min="8684" max="8684" width="7.88671875" style="6238" customWidth="1"/>
    <col min="8685" max="8685" width="8.44140625" style="6238" customWidth="1"/>
    <col min="8686" max="8686" width="16.44140625" style="6238" bestFit="1" customWidth="1"/>
    <col min="8687" max="8931" width="10.109375" style="6238"/>
    <col min="8932" max="8932" width="2.44140625" style="6238" customWidth="1"/>
    <col min="8933" max="8933" width="1.88671875" style="6238" customWidth="1"/>
    <col min="8934" max="8934" width="21.109375" style="6238" customWidth="1"/>
    <col min="8935" max="8935" width="4.88671875" style="6238" customWidth="1"/>
    <col min="8936" max="8936" width="15.88671875" style="6238" customWidth="1"/>
    <col min="8937" max="8937" width="21.44140625" style="6238" customWidth="1"/>
    <col min="8938" max="8938" width="15.88671875" style="6238" customWidth="1"/>
    <col min="8939" max="8939" width="7.109375" style="6238" customWidth="1"/>
    <col min="8940" max="8940" width="7.88671875" style="6238" customWidth="1"/>
    <col min="8941" max="8941" width="8.44140625" style="6238" customWidth="1"/>
    <col min="8942" max="8942" width="16.44140625" style="6238" bestFit="1" customWidth="1"/>
    <col min="8943" max="9187" width="10.109375" style="6238"/>
    <col min="9188" max="9188" width="2.44140625" style="6238" customWidth="1"/>
    <col min="9189" max="9189" width="1.88671875" style="6238" customWidth="1"/>
    <col min="9190" max="9190" width="21.109375" style="6238" customWidth="1"/>
    <col min="9191" max="9191" width="4.88671875" style="6238" customWidth="1"/>
    <col min="9192" max="9192" width="15.88671875" style="6238" customWidth="1"/>
    <col min="9193" max="9193" width="21.44140625" style="6238" customWidth="1"/>
    <col min="9194" max="9194" width="15.88671875" style="6238" customWidth="1"/>
    <col min="9195" max="9195" width="7.109375" style="6238" customWidth="1"/>
    <col min="9196" max="9196" width="7.88671875" style="6238" customWidth="1"/>
    <col min="9197" max="9197" width="8.44140625" style="6238" customWidth="1"/>
    <col min="9198" max="9198" width="16.44140625" style="6238" bestFit="1" customWidth="1"/>
    <col min="9199" max="9443" width="10.109375" style="6238"/>
    <col min="9444" max="9444" width="2.44140625" style="6238" customWidth="1"/>
    <col min="9445" max="9445" width="1.88671875" style="6238" customWidth="1"/>
    <col min="9446" max="9446" width="21.109375" style="6238" customWidth="1"/>
    <col min="9447" max="9447" width="4.88671875" style="6238" customWidth="1"/>
    <col min="9448" max="9448" width="15.88671875" style="6238" customWidth="1"/>
    <col min="9449" max="9449" width="21.44140625" style="6238" customWidth="1"/>
    <col min="9450" max="9450" width="15.88671875" style="6238" customWidth="1"/>
    <col min="9451" max="9451" width="7.109375" style="6238" customWidth="1"/>
    <col min="9452" max="9452" width="7.88671875" style="6238" customWidth="1"/>
    <col min="9453" max="9453" width="8.44140625" style="6238" customWidth="1"/>
    <col min="9454" max="9454" width="16.44140625" style="6238" bestFit="1" customWidth="1"/>
    <col min="9455" max="9699" width="10.109375" style="6238"/>
    <col min="9700" max="9700" width="2.44140625" style="6238" customWidth="1"/>
    <col min="9701" max="9701" width="1.88671875" style="6238" customWidth="1"/>
    <col min="9702" max="9702" width="21.109375" style="6238" customWidth="1"/>
    <col min="9703" max="9703" width="4.88671875" style="6238" customWidth="1"/>
    <col min="9704" max="9704" width="15.88671875" style="6238" customWidth="1"/>
    <col min="9705" max="9705" width="21.44140625" style="6238" customWidth="1"/>
    <col min="9706" max="9706" width="15.88671875" style="6238" customWidth="1"/>
    <col min="9707" max="9707" width="7.109375" style="6238" customWidth="1"/>
    <col min="9708" max="9708" width="7.88671875" style="6238" customWidth="1"/>
    <col min="9709" max="9709" width="8.44140625" style="6238" customWidth="1"/>
    <col min="9710" max="9710" width="16.44140625" style="6238" bestFit="1" customWidth="1"/>
    <col min="9711" max="9955" width="10.109375" style="6238"/>
    <col min="9956" max="9956" width="2.44140625" style="6238" customWidth="1"/>
    <col min="9957" max="9957" width="1.88671875" style="6238" customWidth="1"/>
    <col min="9958" max="9958" width="21.109375" style="6238" customWidth="1"/>
    <col min="9959" max="9959" width="4.88671875" style="6238" customWidth="1"/>
    <col min="9960" max="9960" width="15.88671875" style="6238" customWidth="1"/>
    <col min="9961" max="9961" width="21.44140625" style="6238" customWidth="1"/>
    <col min="9962" max="9962" width="15.88671875" style="6238" customWidth="1"/>
    <col min="9963" max="9963" width="7.109375" style="6238" customWidth="1"/>
    <col min="9964" max="9964" width="7.88671875" style="6238" customWidth="1"/>
    <col min="9965" max="9965" width="8.44140625" style="6238" customWidth="1"/>
    <col min="9966" max="9966" width="16.44140625" style="6238" bestFit="1" customWidth="1"/>
    <col min="9967" max="10211" width="10.109375" style="6238"/>
    <col min="10212" max="10212" width="2.44140625" style="6238" customWidth="1"/>
    <col min="10213" max="10213" width="1.88671875" style="6238" customWidth="1"/>
    <col min="10214" max="10214" width="21.109375" style="6238" customWidth="1"/>
    <col min="10215" max="10215" width="4.88671875" style="6238" customWidth="1"/>
    <col min="10216" max="10216" width="15.88671875" style="6238" customWidth="1"/>
    <col min="10217" max="10217" width="21.44140625" style="6238" customWidth="1"/>
    <col min="10218" max="10218" width="15.88671875" style="6238" customWidth="1"/>
    <col min="10219" max="10219" width="7.109375" style="6238" customWidth="1"/>
    <col min="10220" max="10220" width="7.88671875" style="6238" customWidth="1"/>
    <col min="10221" max="10221" width="8.44140625" style="6238" customWidth="1"/>
    <col min="10222" max="10222" width="16.44140625" style="6238" bestFit="1" customWidth="1"/>
    <col min="10223" max="10467" width="10.109375" style="6238"/>
    <col min="10468" max="10468" width="2.44140625" style="6238" customWidth="1"/>
    <col min="10469" max="10469" width="1.88671875" style="6238" customWidth="1"/>
    <col min="10470" max="10470" width="21.109375" style="6238" customWidth="1"/>
    <col min="10471" max="10471" width="4.88671875" style="6238" customWidth="1"/>
    <col min="10472" max="10472" width="15.88671875" style="6238" customWidth="1"/>
    <col min="10473" max="10473" width="21.44140625" style="6238" customWidth="1"/>
    <col min="10474" max="10474" width="15.88671875" style="6238" customWidth="1"/>
    <col min="10475" max="10475" width="7.109375" style="6238" customWidth="1"/>
    <col min="10476" max="10476" width="7.88671875" style="6238" customWidth="1"/>
    <col min="10477" max="10477" width="8.44140625" style="6238" customWidth="1"/>
    <col min="10478" max="10478" width="16.44140625" style="6238" bestFit="1" customWidth="1"/>
    <col min="10479" max="10723" width="10.109375" style="6238"/>
    <col min="10724" max="10724" width="2.44140625" style="6238" customWidth="1"/>
    <col min="10725" max="10725" width="1.88671875" style="6238" customWidth="1"/>
    <col min="10726" max="10726" width="21.109375" style="6238" customWidth="1"/>
    <col min="10727" max="10727" width="4.88671875" style="6238" customWidth="1"/>
    <col min="10728" max="10728" width="15.88671875" style="6238" customWidth="1"/>
    <col min="10729" max="10729" width="21.44140625" style="6238" customWidth="1"/>
    <col min="10730" max="10730" width="15.88671875" style="6238" customWidth="1"/>
    <col min="10731" max="10731" width="7.109375" style="6238" customWidth="1"/>
    <col min="10732" max="10732" width="7.88671875" style="6238" customWidth="1"/>
    <col min="10733" max="10733" width="8.44140625" style="6238" customWidth="1"/>
    <col min="10734" max="10734" width="16.44140625" style="6238" bestFit="1" customWidth="1"/>
    <col min="10735" max="10979" width="10.109375" style="6238"/>
    <col min="10980" max="10980" width="2.44140625" style="6238" customWidth="1"/>
    <col min="10981" max="10981" width="1.88671875" style="6238" customWidth="1"/>
    <col min="10982" max="10982" width="21.109375" style="6238" customWidth="1"/>
    <col min="10983" max="10983" width="4.88671875" style="6238" customWidth="1"/>
    <col min="10984" max="10984" width="15.88671875" style="6238" customWidth="1"/>
    <col min="10985" max="10985" width="21.44140625" style="6238" customWidth="1"/>
    <col min="10986" max="10986" width="15.88671875" style="6238" customWidth="1"/>
    <col min="10987" max="10987" width="7.109375" style="6238" customWidth="1"/>
    <col min="10988" max="10988" width="7.88671875" style="6238" customWidth="1"/>
    <col min="10989" max="10989" width="8.44140625" style="6238" customWidth="1"/>
    <col min="10990" max="10990" width="16.44140625" style="6238" bestFit="1" customWidth="1"/>
    <col min="10991" max="11235" width="10.109375" style="6238"/>
    <col min="11236" max="11236" width="2.44140625" style="6238" customWidth="1"/>
    <col min="11237" max="11237" width="1.88671875" style="6238" customWidth="1"/>
    <col min="11238" max="11238" width="21.109375" style="6238" customWidth="1"/>
    <col min="11239" max="11239" width="4.88671875" style="6238" customWidth="1"/>
    <col min="11240" max="11240" width="15.88671875" style="6238" customWidth="1"/>
    <col min="11241" max="11241" width="21.44140625" style="6238" customWidth="1"/>
    <col min="11242" max="11242" width="15.88671875" style="6238" customWidth="1"/>
    <col min="11243" max="11243" width="7.109375" style="6238" customWidth="1"/>
    <col min="11244" max="11244" width="7.88671875" style="6238" customWidth="1"/>
    <col min="11245" max="11245" width="8.44140625" style="6238" customWidth="1"/>
    <col min="11246" max="11246" width="16.44140625" style="6238" bestFit="1" customWidth="1"/>
    <col min="11247" max="11491" width="10.109375" style="6238"/>
    <col min="11492" max="11492" width="2.44140625" style="6238" customWidth="1"/>
    <col min="11493" max="11493" width="1.88671875" style="6238" customWidth="1"/>
    <col min="11494" max="11494" width="21.109375" style="6238" customWidth="1"/>
    <col min="11495" max="11495" width="4.88671875" style="6238" customWidth="1"/>
    <col min="11496" max="11496" width="15.88671875" style="6238" customWidth="1"/>
    <col min="11497" max="11497" width="21.44140625" style="6238" customWidth="1"/>
    <col min="11498" max="11498" width="15.88671875" style="6238" customWidth="1"/>
    <col min="11499" max="11499" width="7.109375" style="6238" customWidth="1"/>
    <col min="11500" max="11500" width="7.88671875" style="6238" customWidth="1"/>
    <col min="11501" max="11501" width="8.44140625" style="6238" customWidth="1"/>
    <col min="11502" max="11502" width="16.44140625" style="6238" bestFit="1" customWidth="1"/>
    <col min="11503" max="11747" width="10.109375" style="6238"/>
    <col min="11748" max="11748" width="2.44140625" style="6238" customWidth="1"/>
    <col min="11749" max="11749" width="1.88671875" style="6238" customWidth="1"/>
    <col min="11750" max="11750" width="21.109375" style="6238" customWidth="1"/>
    <col min="11751" max="11751" width="4.88671875" style="6238" customWidth="1"/>
    <col min="11752" max="11752" width="15.88671875" style="6238" customWidth="1"/>
    <col min="11753" max="11753" width="21.44140625" style="6238" customWidth="1"/>
    <col min="11754" max="11754" width="15.88671875" style="6238" customWidth="1"/>
    <col min="11755" max="11755" width="7.109375" style="6238" customWidth="1"/>
    <col min="11756" max="11756" width="7.88671875" style="6238" customWidth="1"/>
    <col min="11757" max="11757" width="8.44140625" style="6238" customWidth="1"/>
    <col min="11758" max="11758" width="16.44140625" style="6238" bestFit="1" customWidth="1"/>
    <col min="11759" max="12003" width="10.109375" style="6238"/>
    <col min="12004" max="12004" width="2.44140625" style="6238" customWidth="1"/>
    <col min="12005" max="12005" width="1.88671875" style="6238" customWidth="1"/>
    <col min="12006" max="12006" width="21.109375" style="6238" customWidth="1"/>
    <col min="12007" max="12007" width="4.88671875" style="6238" customWidth="1"/>
    <col min="12008" max="12008" width="15.88671875" style="6238" customWidth="1"/>
    <col min="12009" max="12009" width="21.44140625" style="6238" customWidth="1"/>
    <col min="12010" max="12010" width="15.88671875" style="6238" customWidth="1"/>
    <col min="12011" max="12011" width="7.109375" style="6238" customWidth="1"/>
    <col min="12012" max="12012" width="7.88671875" style="6238" customWidth="1"/>
    <col min="12013" max="12013" width="8.44140625" style="6238" customWidth="1"/>
    <col min="12014" max="12014" width="16.44140625" style="6238" bestFit="1" customWidth="1"/>
    <col min="12015" max="12259" width="10.109375" style="6238"/>
    <col min="12260" max="12260" width="2.44140625" style="6238" customWidth="1"/>
    <col min="12261" max="12261" width="1.88671875" style="6238" customWidth="1"/>
    <col min="12262" max="12262" width="21.109375" style="6238" customWidth="1"/>
    <col min="12263" max="12263" width="4.88671875" style="6238" customWidth="1"/>
    <col min="12264" max="12264" width="15.88671875" style="6238" customWidth="1"/>
    <col min="12265" max="12265" width="21.44140625" style="6238" customWidth="1"/>
    <col min="12266" max="12266" width="15.88671875" style="6238" customWidth="1"/>
    <col min="12267" max="12267" width="7.109375" style="6238" customWidth="1"/>
    <col min="12268" max="12268" width="7.88671875" style="6238" customWidth="1"/>
    <col min="12269" max="12269" width="8.44140625" style="6238" customWidth="1"/>
    <col min="12270" max="12270" width="16.44140625" style="6238" bestFit="1" customWidth="1"/>
    <col min="12271" max="12515" width="10.109375" style="6238"/>
    <col min="12516" max="12516" width="2.44140625" style="6238" customWidth="1"/>
    <col min="12517" max="12517" width="1.88671875" style="6238" customWidth="1"/>
    <col min="12518" max="12518" width="21.109375" style="6238" customWidth="1"/>
    <col min="12519" max="12519" width="4.88671875" style="6238" customWidth="1"/>
    <col min="12520" max="12520" width="15.88671875" style="6238" customWidth="1"/>
    <col min="12521" max="12521" width="21.44140625" style="6238" customWidth="1"/>
    <col min="12522" max="12522" width="15.88671875" style="6238" customWidth="1"/>
    <col min="12523" max="12523" width="7.109375" style="6238" customWidth="1"/>
    <col min="12524" max="12524" width="7.88671875" style="6238" customWidth="1"/>
    <col min="12525" max="12525" width="8.44140625" style="6238" customWidth="1"/>
    <col min="12526" max="12526" width="16.44140625" style="6238" bestFit="1" customWidth="1"/>
    <col min="12527" max="12771" width="10.109375" style="6238"/>
    <col min="12772" max="12772" width="2.44140625" style="6238" customWidth="1"/>
    <col min="12773" max="12773" width="1.88671875" style="6238" customWidth="1"/>
    <col min="12774" max="12774" width="21.109375" style="6238" customWidth="1"/>
    <col min="12775" max="12775" width="4.88671875" style="6238" customWidth="1"/>
    <col min="12776" max="12776" width="15.88671875" style="6238" customWidth="1"/>
    <col min="12777" max="12777" width="21.44140625" style="6238" customWidth="1"/>
    <col min="12778" max="12778" width="15.88671875" style="6238" customWidth="1"/>
    <col min="12779" max="12779" width="7.109375" style="6238" customWidth="1"/>
    <col min="12780" max="12780" width="7.88671875" style="6238" customWidth="1"/>
    <col min="12781" max="12781" width="8.44140625" style="6238" customWidth="1"/>
    <col min="12782" max="12782" width="16.44140625" style="6238" bestFit="1" customWidth="1"/>
    <col min="12783" max="13027" width="10.109375" style="6238"/>
    <col min="13028" max="13028" width="2.44140625" style="6238" customWidth="1"/>
    <col min="13029" max="13029" width="1.88671875" style="6238" customWidth="1"/>
    <col min="13030" max="13030" width="21.109375" style="6238" customWidth="1"/>
    <col min="13031" max="13031" width="4.88671875" style="6238" customWidth="1"/>
    <col min="13032" max="13032" width="15.88671875" style="6238" customWidth="1"/>
    <col min="13033" max="13033" width="21.44140625" style="6238" customWidth="1"/>
    <col min="13034" max="13034" width="15.88671875" style="6238" customWidth="1"/>
    <col min="13035" max="13035" width="7.109375" style="6238" customWidth="1"/>
    <col min="13036" max="13036" width="7.88671875" style="6238" customWidth="1"/>
    <col min="13037" max="13037" width="8.44140625" style="6238" customWidth="1"/>
    <col min="13038" max="13038" width="16.44140625" style="6238" bestFit="1" customWidth="1"/>
    <col min="13039" max="13283" width="10.109375" style="6238"/>
    <col min="13284" max="13284" width="2.44140625" style="6238" customWidth="1"/>
    <col min="13285" max="13285" width="1.88671875" style="6238" customWidth="1"/>
    <col min="13286" max="13286" width="21.109375" style="6238" customWidth="1"/>
    <col min="13287" max="13287" width="4.88671875" style="6238" customWidth="1"/>
    <col min="13288" max="13288" width="15.88671875" style="6238" customWidth="1"/>
    <col min="13289" max="13289" width="21.44140625" style="6238" customWidth="1"/>
    <col min="13290" max="13290" width="15.88671875" style="6238" customWidth="1"/>
    <col min="13291" max="13291" width="7.109375" style="6238" customWidth="1"/>
    <col min="13292" max="13292" width="7.88671875" style="6238" customWidth="1"/>
    <col min="13293" max="13293" width="8.44140625" style="6238" customWidth="1"/>
    <col min="13294" max="13294" width="16.44140625" style="6238" bestFit="1" customWidth="1"/>
    <col min="13295" max="13539" width="10.109375" style="6238"/>
    <col min="13540" max="13540" width="2.44140625" style="6238" customWidth="1"/>
    <col min="13541" max="13541" width="1.88671875" style="6238" customWidth="1"/>
    <col min="13542" max="13542" width="21.109375" style="6238" customWidth="1"/>
    <col min="13543" max="13543" width="4.88671875" style="6238" customWidth="1"/>
    <col min="13544" max="13544" width="15.88671875" style="6238" customWidth="1"/>
    <col min="13545" max="13545" width="21.44140625" style="6238" customWidth="1"/>
    <col min="13546" max="13546" width="15.88671875" style="6238" customWidth="1"/>
    <col min="13547" max="13547" width="7.109375" style="6238" customWidth="1"/>
    <col min="13548" max="13548" width="7.88671875" style="6238" customWidth="1"/>
    <col min="13549" max="13549" width="8.44140625" style="6238" customWidth="1"/>
    <col min="13550" max="13550" width="16.44140625" style="6238" bestFit="1" customWidth="1"/>
    <col min="13551" max="13795" width="10.109375" style="6238"/>
    <col min="13796" max="13796" width="2.44140625" style="6238" customWidth="1"/>
    <col min="13797" max="13797" width="1.88671875" style="6238" customWidth="1"/>
    <col min="13798" max="13798" width="21.109375" style="6238" customWidth="1"/>
    <col min="13799" max="13799" width="4.88671875" style="6238" customWidth="1"/>
    <col min="13800" max="13800" width="15.88671875" style="6238" customWidth="1"/>
    <col min="13801" max="13801" width="21.44140625" style="6238" customWidth="1"/>
    <col min="13802" max="13802" width="15.88671875" style="6238" customWidth="1"/>
    <col min="13803" max="13803" width="7.109375" style="6238" customWidth="1"/>
    <col min="13804" max="13804" width="7.88671875" style="6238" customWidth="1"/>
    <col min="13805" max="13805" width="8.44140625" style="6238" customWidth="1"/>
    <col min="13806" max="13806" width="16.44140625" style="6238" bestFit="1" customWidth="1"/>
    <col min="13807" max="14051" width="10.109375" style="6238"/>
    <col min="14052" max="14052" width="2.44140625" style="6238" customWidth="1"/>
    <col min="14053" max="14053" width="1.88671875" style="6238" customWidth="1"/>
    <col min="14054" max="14054" width="21.109375" style="6238" customWidth="1"/>
    <col min="14055" max="14055" width="4.88671875" style="6238" customWidth="1"/>
    <col min="14056" max="14056" width="15.88671875" style="6238" customWidth="1"/>
    <col min="14057" max="14057" width="21.44140625" style="6238" customWidth="1"/>
    <col min="14058" max="14058" width="15.88671875" style="6238" customWidth="1"/>
    <col min="14059" max="14059" width="7.109375" style="6238" customWidth="1"/>
    <col min="14060" max="14060" width="7.88671875" style="6238" customWidth="1"/>
    <col min="14061" max="14061" width="8.44140625" style="6238" customWidth="1"/>
    <col min="14062" max="14062" width="16.44140625" style="6238" bestFit="1" customWidth="1"/>
    <col min="14063" max="14307" width="10.109375" style="6238"/>
    <col min="14308" max="14308" width="2.44140625" style="6238" customWidth="1"/>
    <col min="14309" max="14309" width="1.88671875" style="6238" customWidth="1"/>
    <col min="14310" max="14310" width="21.109375" style="6238" customWidth="1"/>
    <col min="14311" max="14311" width="4.88671875" style="6238" customWidth="1"/>
    <col min="14312" max="14312" width="15.88671875" style="6238" customWidth="1"/>
    <col min="14313" max="14313" width="21.44140625" style="6238" customWidth="1"/>
    <col min="14314" max="14314" width="15.88671875" style="6238" customWidth="1"/>
    <col min="14315" max="14315" width="7.109375" style="6238" customWidth="1"/>
    <col min="14316" max="14316" width="7.88671875" style="6238" customWidth="1"/>
    <col min="14317" max="14317" width="8.44140625" style="6238" customWidth="1"/>
    <col min="14318" max="14318" width="16.44140625" style="6238" bestFit="1" customWidth="1"/>
    <col min="14319" max="14563" width="10.109375" style="6238"/>
    <col min="14564" max="14564" width="2.44140625" style="6238" customWidth="1"/>
    <col min="14565" max="14565" width="1.88671875" style="6238" customWidth="1"/>
    <col min="14566" max="14566" width="21.109375" style="6238" customWidth="1"/>
    <col min="14567" max="14567" width="4.88671875" style="6238" customWidth="1"/>
    <col min="14568" max="14568" width="15.88671875" style="6238" customWidth="1"/>
    <col min="14569" max="14569" width="21.44140625" style="6238" customWidth="1"/>
    <col min="14570" max="14570" width="15.88671875" style="6238" customWidth="1"/>
    <col min="14571" max="14571" width="7.109375" style="6238" customWidth="1"/>
    <col min="14572" max="14572" width="7.88671875" style="6238" customWidth="1"/>
    <col min="14573" max="14573" width="8.44140625" style="6238" customWidth="1"/>
    <col min="14574" max="14574" width="16.44140625" style="6238" bestFit="1" customWidth="1"/>
    <col min="14575" max="14819" width="10.109375" style="6238"/>
    <col min="14820" max="14820" width="2.44140625" style="6238" customWidth="1"/>
    <col min="14821" max="14821" width="1.88671875" style="6238" customWidth="1"/>
    <col min="14822" max="14822" width="21.109375" style="6238" customWidth="1"/>
    <col min="14823" max="14823" width="4.88671875" style="6238" customWidth="1"/>
    <col min="14824" max="14824" width="15.88671875" style="6238" customWidth="1"/>
    <col min="14825" max="14825" width="21.44140625" style="6238" customWidth="1"/>
    <col min="14826" max="14826" width="15.88671875" style="6238" customWidth="1"/>
    <col min="14827" max="14827" width="7.109375" style="6238" customWidth="1"/>
    <col min="14828" max="14828" width="7.88671875" style="6238" customWidth="1"/>
    <col min="14829" max="14829" width="8.44140625" style="6238" customWidth="1"/>
    <col min="14830" max="14830" width="16.44140625" style="6238" bestFit="1" customWidth="1"/>
    <col min="14831" max="15075" width="10.109375" style="6238"/>
    <col min="15076" max="15076" width="2.44140625" style="6238" customWidth="1"/>
    <col min="15077" max="15077" width="1.88671875" style="6238" customWidth="1"/>
    <col min="15078" max="15078" width="21.109375" style="6238" customWidth="1"/>
    <col min="15079" max="15079" width="4.88671875" style="6238" customWidth="1"/>
    <col min="15080" max="15080" width="15.88671875" style="6238" customWidth="1"/>
    <col min="15081" max="15081" width="21.44140625" style="6238" customWidth="1"/>
    <col min="15082" max="15082" width="15.88671875" style="6238" customWidth="1"/>
    <col min="15083" max="15083" width="7.109375" style="6238" customWidth="1"/>
    <col min="15084" max="15084" width="7.88671875" style="6238" customWidth="1"/>
    <col min="15085" max="15085" width="8.44140625" style="6238" customWidth="1"/>
    <col min="15086" max="15086" width="16.44140625" style="6238" bestFit="1" customWidth="1"/>
    <col min="15087" max="15331" width="10.109375" style="6238"/>
    <col min="15332" max="15332" width="2.44140625" style="6238" customWidth="1"/>
    <col min="15333" max="15333" width="1.88671875" style="6238" customWidth="1"/>
    <col min="15334" max="15334" width="21.109375" style="6238" customWidth="1"/>
    <col min="15335" max="15335" width="4.88671875" style="6238" customWidth="1"/>
    <col min="15336" max="15336" width="15.88671875" style="6238" customWidth="1"/>
    <col min="15337" max="15337" width="21.44140625" style="6238" customWidth="1"/>
    <col min="15338" max="15338" width="15.88671875" style="6238" customWidth="1"/>
    <col min="15339" max="15339" width="7.109375" style="6238" customWidth="1"/>
    <col min="15340" max="15340" width="7.88671875" style="6238" customWidth="1"/>
    <col min="15341" max="15341" width="8.44140625" style="6238" customWidth="1"/>
    <col min="15342" max="15342" width="16.44140625" style="6238" bestFit="1" customWidth="1"/>
    <col min="15343" max="15587" width="10.109375" style="6238"/>
    <col min="15588" max="15588" width="2.44140625" style="6238" customWidth="1"/>
    <col min="15589" max="15589" width="1.88671875" style="6238" customWidth="1"/>
    <col min="15590" max="15590" width="21.109375" style="6238" customWidth="1"/>
    <col min="15591" max="15591" width="4.88671875" style="6238" customWidth="1"/>
    <col min="15592" max="15592" width="15.88671875" style="6238" customWidth="1"/>
    <col min="15593" max="15593" width="21.44140625" style="6238" customWidth="1"/>
    <col min="15594" max="15594" width="15.88671875" style="6238" customWidth="1"/>
    <col min="15595" max="15595" width="7.109375" style="6238" customWidth="1"/>
    <col min="15596" max="15596" width="7.88671875" style="6238" customWidth="1"/>
    <col min="15597" max="15597" width="8.44140625" style="6238" customWidth="1"/>
    <col min="15598" max="15598" width="16.44140625" style="6238" bestFit="1" customWidth="1"/>
    <col min="15599" max="15843" width="10.109375" style="6238"/>
    <col min="15844" max="15844" width="2.44140625" style="6238" customWidth="1"/>
    <col min="15845" max="15845" width="1.88671875" style="6238" customWidth="1"/>
    <col min="15846" max="15846" width="21.109375" style="6238" customWidth="1"/>
    <col min="15847" max="15847" width="4.88671875" style="6238" customWidth="1"/>
    <col min="15848" max="15848" width="15.88671875" style="6238" customWidth="1"/>
    <col min="15849" max="15849" width="21.44140625" style="6238" customWidth="1"/>
    <col min="15850" max="15850" width="15.88671875" style="6238" customWidth="1"/>
    <col min="15851" max="15851" width="7.109375" style="6238" customWidth="1"/>
    <col min="15852" max="15852" width="7.88671875" style="6238" customWidth="1"/>
    <col min="15853" max="15853" width="8.44140625" style="6238" customWidth="1"/>
    <col min="15854" max="15854" width="16.44140625" style="6238" bestFit="1" customWidth="1"/>
    <col min="15855" max="16099" width="10.109375" style="6238"/>
    <col min="16100" max="16100" width="2.44140625" style="6238" customWidth="1"/>
    <col min="16101" max="16101" width="1.88671875" style="6238" customWidth="1"/>
    <col min="16102" max="16102" width="21.109375" style="6238" customWidth="1"/>
    <col min="16103" max="16103" width="4.88671875" style="6238" customWidth="1"/>
    <col min="16104" max="16104" width="15.88671875" style="6238" customWidth="1"/>
    <col min="16105" max="16105" width="21.44140625" style="6238" customWidth="1"/>
    <col min="16106" max="16106" width="15.88671875" style="6238" customWidth="1"/>
    <col min="16107" max="16107" width="7.109375" style="6238" customWidth="1"/>
    <col min="16108" max="16108" width="7.88671875" style="6238" customWidth="1"/>
    <col min="16109" max="16109" width="8.44140625" style="6238" customWidth="1"/>
    <col min="16110" max="16110" width="16.44140625" style="6238" bestFit="1" customWidth="1"/>
    <col min="16111" max="16384" width="10.109375" style="6238"/>
  </cols>
  <sheetData>
    <row r="1" spans="1:9" ht="13.5" customHeight="1"/>
    <row r="2" spans="1:9" ht="13.5" customHeight="1">
      <c r="A2" s="6242" t="s">
        <v>2138</v>
      </c>
      <c r="B2" s="6242"/>
      <c r="C2" s="6242"/>
      <c r="D2" s="6242"/>
      <c r="E2" s="6242"/>
      <c r="F2" s="6243"/>
      <c r="G2" s="6243"/>
      <c r="H2" s="6244"/>
      <c r="I2" s="6244"/>
    </row>
    <row r="3" spans="1:9" ht="13.5" customHeight="1">
      <c r="A3" s="6242"/>
      <c r="B3" s="6242"/>
      <c r="C3" s="6242"/>
      <c r="D3" s="6242"/>
      <c r="E3" s="6242"/>
      <c r="F3" s="6243"/>
      <c r="G3" s="6243"/>
      <c r="H3" s="6244"/>
      <c r="I3" s="6244"/>
    </row>
    <row r="4" spans="1:9" ht="18" customHeight="1">
      <c r="A4" s="6238" t="s">
        <v>2945</v>
      </c>
      <c r="D4" s="6238" t="s">
        <v>840</v>
      </c>
      <c r="E4" s="6239" t="s">
        <v>10436</v>
      </c>
    </row>
    <row r="5" spans="1:9" ht="15" customHeight="1">
      <c r="A5" s="6238" t="s">
        <v>2946</v>
      </c>
      <c r="D5" s="6238" t="s">
        <v>840</v>
      </c>
      <c r="E5" s="6245">
        <v>2016</v>
      </c>
      <c r="F5" s="6246"/>
      <c r="G5" s="6246"/>
    </row>
    <row r="6" spans="1:9" ht="17.25" customHeight="1">
      <c r="A6" s="6238" t="s">
        <v>2947</v>
      </c>
      <c r="D6" s="6238" t="s">
        <v>840</v>
      </c>
      <c r="E6" s="6239" t="s">
        <v>2038</v>
      </c>
      <c r="I6" s="6247"/>
    </row>
    <row r="7" spans="1:9" ht="13.5" customHeight="1">
      <c r="A7" s="6248"/>
      <c r="B7" s="6248"/>
      <c r="C7" s="6248"/>
      <c r="D7" s="6248"/>
      <c r="E7" s="6249"/>
      <c r="F7" s="6250"/>
      <c r="G7" s="6250"/>
      <c r="H7" s="6251"/>
      <c r="I7" s="6251"/>
    </row>
    <row r="8" spans="1:9" s="6248" customFormat="1" ht="13.5" customHeight="1">
      <c r="E8" s="6249"/>
      <c r="F8" s="6250"/>
      <c r="G8" s="6250"/>
      <c r="H8" s="6251"/>
      <c r="I8" s="6251"/>
    </row>
    <row r="9" spans="1:9" ht="13.5" customHeight="1">
      <c r="A9" s="6239" t="s">
        <v>2948</v>
      </c>
      <c r="B9" s="6239"/>
      <c r="C9" s="6239" t="s">
        <v>2851</v>
      </c>
      <c r="D9" s="6239"/>
    </row>
    <row r="10" spans="1:9" ht="13.5" customHeight="1"/>
    <row r="11" spans="1:9" ht="15" customHeight="1">
      <c r="C11" s="6238" t="s">
        <v>2949</v>
      </c>
    </row>
    <row r="12" spans="1:9" ht="15" customHeight="1">
      <c r="C12" s="6238" t="s">
        <v>2950</v>
      </c>
    </row>
    <row r="13" spans="1:9" ht="15" customHeight="1">
      <c r="C13" s="6238" t="s">
        <v>2951</v>
      </c>
    </row>
    <row r="14" spans="1:9" ht="15" customHeight="1">
      <c r="C14" s="6238" t="s">
        <v>2952</v>
      </c>
    </row>
    <row r="15" spans="1:9" ht="15" customHeight="1">
      <c r="C15" s="6238" t="s">
        <v>2953</v>
      </c>
    </row>
    <row r="16" spans="1:9" ht="15" customHeight="1">
      <c r="C16" s="6238" t="s">
        <v>2954</v>
      </c>
    </row>
    <row r="17" spans="1:4" ht="13.5" customHeight="1"/>
    <row r="18" spans="1:4" ht="15" customHeight="1">
      <c r="A18" s="6239" t="s">
        <v>2955</v>
      </c>
      <c r="B18" s="6239"/>
      <c r="C18" s="6239" t="s">
        <v>2852</v>
      </c>
      <c r="D18" s="6239"/>
    </row>
    <row r="19" spans="1:4" ht="13.5" customHeight="1"/>
    <row r="20" spans="1:4" ht="15.75" customHeight="1">
      <c r="C20" s="6238" t="s">
        <v>2956</v>
      </c>
    </row>
    <row r="21" spans="1:4" ht="15.75" customHeight="1">
      <c r="C21" s="6238" t="s">
        <v>2957</v>
      </c>
    </row>
    <row r="22" spans="1:4" ht="15.75" customHeight="1">
      <c r="C22" s="6238" t="s">
        <v>2958</v>
      </c>
    </row>
    <row r="23" spans="1:4" ht="15.75" customHeight="1">
      <c r="C23" s="6238" t="s">
        <v>2959</v>
      </c>
    </row>
    <row r="24" spans="1:4" ht="15.75" customHeight="1">
      <c r="C24" s="6238" t="s">
        <v>2960</v>
      </c>
    </row>
    <row r="25" spans="1:4" ht="15.75" customHeight="1">
      <c r="C25" s="6238" t="s">
        <v>2961</v>
      </c>
    </row>
    <row r="26" spans="1:4" ht="15.75" customHeight="1">
      <c r="C26" s="6238" t="s">
        <v>2962</v>
      </c>
    </row>
    <row r="27" spans="1:4" ht="15.75" customHeight="1">
      <c r="C27" s="6238" t="s">
        <v>2963</v>
      </c>
    </row>
    <row r="28" spans="1:4" ht="15.75" customHeight="1">
      <c r="C28" s="6238" t="s">
        <v>2964</v>
      </c>
    </row>
    <row r="29" spans="1:4" ht="15.75" customHeight="1">
      <c r="C29" s="6238" t="s">
        <v>2965</v>
      </c>
    </row>
    <row r="30" spans="1:4" ht="13.5" customHeight="1"/>
    <row r="31" spans="1:4" ht="13.5" customHeight="1">
      <c r="A31" s="6239" t="s">
        <v>2966</v>
      </c>
      <c r="B31" s="6239"/>
      <c r="C31" s="6239" t="s">
        <v>2967</v>
      </c>
      <c r="D31" s="6239"/>
    </row>
    <row r="32" spans="1:4" ht="5.25" customHeight="1" thickBot="1">
      <c r="A32" s="6239"/>
      <c r="B32" s="6239"/>
      <c r="C32" s="6239"/>
      <c r="D32" s="6239"/>
    </row>
    <row r="33" spans="1:9" s="6239" customFormat="1" ht="13.5" customHeight="1" thickTop="1">
      <c r="A33" s="15363" t="s">
        <v>2056</v>
      </c>
      <c r="B33" s="15364"/>
      <c r="C33" s="15367" t="s">
        <v>2968</v>
      </c>
      <c r="D33" s="15367"/>
      <c r="E33" s="6252" t="s">
        <v>1736</v>
      </c>
      <c r="F33" s="15367" t="s">
        <v>2969</v>
      </c>
      <c r="G33" s="6253" t="s">
        <v>1764</v>
      </c>
      <c r="H33" s="15370" t="s">
        <v>1761</v>
      </c>
      <c r="I33" s="15370"/>
    </row>
    <row r="34" spans="1:9" s="6239" customFormat="1" ht="27" customHeight="1">
      <c r="A34" s="15365"/>
      <c r="B34" s="15366"/>
      <c r="C34" s="15368"/>
      <c r="D34" s="15368"/>
      <c r="E34" s="6254"/>
      <c r="F34" s="15369"/>
      <c r="G34" s="6255"/>
      <c r="H34" s="15371"/>
      <c r="I34" s="15371"/>
    </row>
    <row r="35" spans="1:9" ht="13.5" customHeight="1">
      <c r="A35" s="15372" t="s">
        <v>472</v>
      </c>
      <c r="B35" s="15373"/>
      <c r="C35" s="15374" t="s">
        <v>473</v>
      </c>
      <c r="D35" s="15375"/>
      <c r="E35" s="6256" t="s">
        <v>474</v>
      </c>
      <c r="F35" s="6257" t="s">
        <v>475</v>
      </c>
      <c r="G35" s="6257" t="s">
        <v>476</v>
      </c>
      <c r="H35" s="6258" t="s">
        <v>1789</v>
      </c>
      <c r="I35" s="6258" t="s">
        <v>1790</v>
      </c>
    </row>
    <row r="36" spans="1:9" ht="33" customHeight="1">
      <c r="A36" s="15389"/>
      <c r="B36" s="15390"/>
      <c r="C36" s="15391" t="s">
        <v>2970</v>
      </c>
      <c r="D36" s="15392"/>
      <c r="E36" s="6259">
        <v>27596115.010000002</v>
      </c>
      <c r="F36" s="6260"/>
      <c r="G36" s="6260"/>
      <c r="H36" s="6261" t="s">
        <v>5125</v>
      </c>
      <c r="I36" s="6261" t="s">
        <v>5113</v>
      </c>
    </row>
    <row r="37" spans="1:9" ht="12" customHeight="1">
      <c r="A37" s="6262"/>
      <c r="B37" s="6263"/>
      <c r="C37" s="15365"/>
      <c r="D37" s="15366"/>
      <c r="E37" s="6259"/>
      <c r="F37" s="6264"/>
      <c r="G37" s="6260"/>
      <c r="H37" s="6261" t="s">
        <v>5125</v>
      </c>
      <c r="I37" s="6261" t="s">
        <v>5113</v>
      </c>
    </row>
    <row r="38" spans="1:9" ht="106.5" customHeight="1">
      <c r="A38" s="6265"/>
      <c r="B38" s="6266"/>
      <c r="C38" s="15396" t="s">
        <v>2971</v>
      </c>
      <c r="D38" s="15397"/>
      <c r="E38" s="6259"/>
      <c r="F38" s="6267" t="s">
        <v>2972</v>
      </c>
      <c r="G38" s="6268" t="s">
        <v>2973</v>
      </c>
      <c r="H38" s="6261" t="s">
        <v>5125</v>
      </c>
      <c r="I38" s="6261" t="s">
        <v>5113</v>
      </c>
    </row>
    <row r="39" spans="1:9" ht="121.5" customHeight="1">
      <c r="A39" s="6265"/>
      <c r="B39" s="6266"/>
      <c r="C39" s="15396" t="s">
        <v>2974</v>
      </c>
      <c r="D39" s="15397"/>
      <c r="E39" s="6259"/>
      <c r="F39" s="6267" t="s">
        <v>2975</v>
      </c>
      <c r="G39" s="6268" t="s">
        <v>2976</v>
      </c>
      <c r="H39" s="6261" t="s">
        <v>5125</v>
      </c>
      <c r="I39" s="6261" t="s">
        <v>5113</v>
      </c>
    </row>
    <row r="40" spans="1:9" ht="76.5" customHeight="1">
      <c r="A40" s="6318"/>
      <c r="B40" s="6319"/>
      <c r="C40" s="6320"/>
      <c r="D40" s="6321"/>
      <c r="E40" s="6322"/>
      <c r="F40" s="6323"/>
      <c r="G40" s="6324" t="s">
        <v>3030</v>
      </c>
      <c r="H40" s="6325" t="s">
        <v>5125</v>
      </c>
      <c r="I40" s="6325" t="s">
        <v>5113</v>
      </c>
    </row>
    <row r="41" spans="1:9" ht="15" customHeight="1">
      <c r="A41" s="6250"/>
      <c r="B41" s="6269"/>
      <c r="C41" s="6269"/>
      <c r="D41" s="6270"/>
      <c r="E41" s="6271"/>
      <c r="F41" s="6272"/>
      <c r="G41" s="6273"/>
      <c r="H41" s="6274"/>
      <c r="I41" s="6274"/>
    </row>
    <row r="42" spans="1:9" ht="13.5" customHeight="1" thickBot="1">
      <c r="A42" s="6275"/>
      <c r="B42" s="6276"/>
      <c r="C42" s="6276"/>
      <c r="D42" s="6277"/>
      <c r="E42" s="6278"/>
      <c r="F42" s="6279"/>
      <c r="G42" s="6280"/>
      <c r="H42" s="6281"/>
      <c r="I42" s="6281"/>
    </row>
    <row r="43" spans="1:9" s="6239" customFormat="1" ht="13.5" customHeight="1" thickTop="1">
      <c r="A43" s="15363" t="s">
        <v>2056</v>
      </c>
      <c r="B43" s="15364"/>
      <c r="C43" s="15367" t="s">
        <v>2968</v>
      </c>
      <c r="D43" s="15367"/>
      <c r="E43" s="6252" t="s">
        <v>1736</v>
      </c>
      <c r="F43" s="15367" t="s">
        <v>2969</v>
      </c>
      <c r="G43" s="6253" t="s">
        <v>1764</v>
      </c>
      <c r="H43" s="15370" t="s">
        <v>1761</v>
      </c>
      <c r="I43" s="15370"/>
    </row>
    <row r="44" spans="1:9" s="6239" customFormat="1" ht="27" customHeight="1">
      <c r="A44" s="15365"/>
      <c r="B44" s="15366"/>
      <c r="C44" s="15368"/>
      <c r="D44" s="15368"/>
      <c r="E44" s="6254"/>
      <c r="F44" s="15369"/>
      <c r="G44" s="6255"/>
      <c r="H44" s="15371"/>
      <c r="I44" s="15371"/>
    </row>
    <row r="45" spans="1:9" ht="13.5" customHeight="1">
      <c r="A45" s="15372" t="s">
        <v>472</v>
      </c>
      <c r="B45" s="15373"/>
      <c r="C45" s="15374" t="s">
        <v>473</v>
      </c>
      <c r="D45" s="15375"/>
      <c r="E45" s="6256" t="s">
        <v>474</v>
      </c>
      <c r="F45" s="6257" t="s">
        <v>475</v>
      </c>
      <c r="G45" s="6257" t="s">
        <v>476</v>
      </c>
      <c r="H45" s="6258" t="s">
        <v>1789</v>
      </c>
      <c r="I45" s="6258" t="s">
        <v>1790</v>
      </c>
    </row>
    <row r="46" spans="1:9" ht="156" customHeight="1">
      <c r="A46" s="6265"/>
      <c r="B46" s="6266"/>
      <c r="C46" s="15396" t="s">
        <v>2977</v>
      </c>
      <c r="D46" s="15397"/>
      <c r="E46" s="6259"/>
      <c r="F46" s="6267" t="s">
        <v>2978</v>
      </c>
      <c r="G46" s="6268" t="s">
        <v>2979</v>
      </c>
      <c r="H46" s="6261" t="s">
        <v>5125</v>
      </c>
      <c r="I46" s="6261" t="s">
        <v>5113</v>
      </c>
    </row>
    <row r="47" spans="1:9" ht="93" customHeight="1">
      <c r="A47" s="6265"/>
      <c r="B47" s="6266"/>
      <c r="C47" s="6282"/>
      <c r="D47" s="6283"/>
      <c r="E47" s="6259"/>
      <c r="F47" s="6268" t="s">
        <v>2980</v>
      </c>
      <c r="G47" s="6268" t="s">
        <v>2981</v>
      </c>
      <c r="H47" s="6261" t="s">
        <v>5125</v>
      </c>
      <c r="I47" s="6261" t="s">
        <v>5113</v>
      </c>
    </row>
    <row r="48" spans="1:9" ht="33.75" customHeight="1">
      <c r="A48" s="6265"/>
      <c r="B48" s="6266"/>
      <c r="C48" s="15396" t="s">
        <v>2982</v>
      </c>
      <c r="D48" s="15397"/>
      <c r="E48" s="6259"/>
      <c r="F48" s="6267" t="s">
        <v>2983</v>
      </c>
      <c r="G48" s="6268" t="s">
        <v>2984</v>
      </c>
      <c r="H48" s="6261" t="s">
        <v>5125</v>
      </c>
      <c r="I48" s="6261" t="s">
        <v>5113</v>
      </c>
    </row>
    <row r="49" spans="1:9" ht="60.75" customHeight="1">
      <c r="A49" s="15398"/>
      <c r="B49" s="15399"/>
      <c r="C49" s="15396"/>
      <c r="D49" s="15397"/>
      <c r="E49" s="6259"/>
      <c r="F49" s="6260" t="s">
        <v>2985</v>
      </c>
      <c r="G49" s="6260" t="s">
        <v>2986</v>
      </c>
      <c r="H49" s="6261" t="s">
        <v>5125</v>
      </c>
      <c r="I49" s="6261" t="s">
        <v>5113</v>
      </c>
    </row>
    <row r="50" spans="1:9" ht="43.5" customHeight="1">
      <c r="A50" s="6265"/>
      <c r="B50" s="6266"/>
      <c r="C50" s="6284"/>
      <c r="D50" s="6285"/>
      <c r="E50" s="6259"/>
      <c r="F50" s="6260" t="s">
        <v>2987</v>
      </c>
      <c r="G50" s="6286" t="s">
        <v>2988</v>
      </c>
      <c r="H50" s="6261" t="s">
        <v>5125</v>
      </c>
      <c r="I50" s="6261" t="s">
        <v>5113</v>
      </c>
    </row>
    <row r="51" spans="1:9" ht="165" customHeight="1">
      <c r="A51" s="6265"/>
      <c r="B51" s="6266"/>
      <c r="C51" s="6284"/>
      <c r="D51" s="6285"/>
      <c r="E51" s="6259"/>
      <c r="F51" s="6260" t="s">
        <v>3766</v>
      </c>
      <c r="G51" s="6260" t="s">
        <v>2989</v>
      </c>
      <c r="H51" s="6261" t="s">
        <v>5125</v>
      </c>
      <c r="I51" s="6261" t="s">
        <v>5113</v>
      </c>
    </row>
    <row r="52" spans="1:9" ht="152.25" customHeight="1">
      <c r="A52" s="15398"/>
      <c r="B52" s="15399"/>
      <c r="C52" s="15376"/>
      <c r="D52" s="15377"/>
      <c r="E52" s="6259"/>
      <c r="F52" s="6260" t="s">
        <v>2990</v>
      </c>
      <c r="G52" s="6260" t="s">
        <v>2991</v>
      </c>
      <c r="H52" s="6261" t="s">
        <v>5125</v>
      </c>
      <c r="I52" s="6261" t="s">
        <v>5113</v>
      </c>
    </row>
    <row r="53" spans="1:9" ht="42.75" customHeight="1">
      <c r="A53" s="6297"/>
      <c r="B53" s="6326"/>
      <c r="C53" s="15378" t="s">
        <v>2992</v>
      </c>
      <c r="D53" s="15385"/>
      <c r="E53" s="6299">
        <v>392801.64</v>
      </c>
      <c r="F53" s="15383" t="s">
        <v>2993</v>
      </c>
      <c r="G53" s="6300" t="s">
        <v>2994</v>
      </c>
      <c r="H53" s="6327" t="s">
        <v>5125</v>
      </c>
      <c r="I53" s="6327" t="s">
        <v>5113</v>
      </c>
    </row>
    <row r="54" spans="1:9" ht="47.25" customHeight="1">
      <c r="A54" s="6318"/>
      <c r="B54" s="6319"/>
      <c r="C54" s="15386" t="s">
        <v>2995</v>
      </c>
      <c r="D54" s="15387"/>
      <c r="E54" s="6322"/>
      <c r="F54" s="15384"/>
      <c r="G54" s="6328"/>
      <c r="H54" s="6325" t="s">
        <v>5125</v>
      </c>
      <c r="I54" s="6325" t="s">
        <v>5113</v>
      </c>
    </row>
    <row r="55" spans="1:9" ht="16.5" customHeight="1">
      <c r="A55" s="6250"/>
      <c r="B55" s="6269"/>
      <c r="C55" s="6293"/>
      <c r="D55" s="6293"/>
      <c r="E55" s="6271"/>
      <c r="F55" s="6294"/>
      <c r="G55" s="6294"/>
      <c r="H55" s="6274"/>
      <c r="I55" s="6274"/>
    </row>
    <row r="56" spans="1:9" ht="15.75" customHeight="1" thickBot="1">
      <c r="A56" s="6275"/>
      <c r="B56" s="6276"/>
      <c r="C56" s="6295"/>
      <c r="D56" s="6295"/>
      <c r="E56" s="6278"/>
      <c r="F56" s="6296"/>
      <c r="G56" s="6296"/>
      <c r="H56" s="6281"/>
      <c r="I56" s="6281"/>
    </row>
    <row r="57" spans="1:9" s="6239" customFormat="1" ht="13.5" customHeight="1" thickTop="1">
      <c r="A57" s="15363" t="s">
        <v>2056</v>
      </c>
      <c r="B57" s="15364"/>
      <c r="C57" s="15367" t="s">
        <v>2968</v>
      </c>
      <c r="D57" s="15367"/>
      <c r="E57" s="6252" t="s">
        <v>1736</v>
      </c>
      <c r="F57" s="15367" t="s">
        <v>2969</v>
      </c>
      <c r="G57" s="6253" t="s">
        <v>1764</v>
      </c>
      <c r="H57" s="15370" t="s">
        <v>1761</v>
      </c>
      <c r="I57" s="15370"/>
    </row>
    <row r="58" spans="1:9" s="6239" customFormat="1" ht="27" customHeight="1">
      <c r="A58" s="15365"/>
      <c r="B58" s="15366"/>
      <c r="C58" s="15368"/>
      <c r="D58" s="15368"/>
      <c r="E58" s="6254"/>
      <c r="F58" s="15369"/>
      <c r="G58" s="6255"/>
      <c r="H58" s="15371"/>
      <c r="I58" s="15371"/>
    </row>
    <row r="59" spans="1:9" ht="13.5" customHeight="1">
      <c r="A59" s="15372" t="s">
        <v>472</v>
      </c>
      <c r="B59" s="15373"/>
      <c r="C59" s="15374" t="s">
        <v>473</v>
      </c>
      <c r="D59" s="15375"/>
      <c r="E59" s="6256" t="s">
        <v>474</v>
      </c>
      <c r="F59" s="6257" t="s">
        <v>475</v>
      </c>
      <c r="G59" s="6257" t="s">
        <v>476</v>
      </c>
      <c r="H59" s="6258" t="s">
        <v>1789</v>
      </c>
      <c r="I59" s="6258" t="s">
        <v>1790</v>
      </c>
    </row>
    <row r="60" spans="1:9" ht="117.75" customHeight="1">
      <c r="A60" s="6297"/>
      <c r="B60" s="6298"/>
      <c r="C60" s="15378" t="s">
        <v>2996</v>
      </c>
      <c r="D60" s="15388"/>
      <c r="E60" s="6299">
        <v>196400.82</v>
      </c>
      <c r="F60" s="6300" t="s">
        <v>3767</v>
      </c>
      <c r="G60" s="6300" t="s">
        <v>2997</v>
      </c>
      <c r="H60" s="6261" t="s">
        <v>5125</v>
      </c>
      <c r="I60" s="6261" t="s">
        <v>5113</v>
      </c>
    </row>
    <row r="61" spans="1:9" ht="78" customHeight="1">
      <c r="A61" s="6297"/>
      <c r="B61" s="6298"/>
      <c r="C61" s="15378" t="s">
        <v>2998</v>
      </c>
      <c r="D61" s="15388"/>
      <c r="E61" s="6299">
        <v>117840.49</v>
      </c>
      <c r="F61" s="15383" t="s">
        <v>2999</v>
      </c>
      <c r="G61" s="6300" t="s">
        <v>3000</v>
      </c>
      <c r="H61" s="6261" t="s">
        <v>5125</v>
      </c>
      <c r="I61" s="6261" t="s">
        <v>5113</v>
      </c>
    </row>
    <row r="62" spans="1:9" ht="57.75" customHeight="1">
      <c r="A62" s="6297"/>
      <c r="B62" s="6298"/>
      <c r="C62" s="6301"/>
      <c r="D62" s="6302"/>
      <c r="E62" s="6299"/>
      <c r="F62" s="15383"/>
      <c r="G62" s="6300" t="s">
        <v>3001</v>
      </c>
      <c r="H62" s="6261" t="s">
        <v>5125</v>
      </c>
      <c r="I62" s="6261" t="s">
        <v>5113</v>
      </c>
    </row>
    <row r="63" spans="1:9" ht="109.5" customHeight="1">
      <c r="A63" s="6265"/>
      <c r="B63" s="6266"/>
      <c r="C63" s="15381" t="s">
        <v>3002</v>
      </c>
      <c r="D63" s="15382"/>
      <c r="E63" s="6259">
        <v>200960.33</v>
      </c>
      <c r="F63" s="6260" t="s">
        <v>3003</v>
      </c>
      <c r="G63" s="6260" t="s">
        <v>3004</v>
      </c>
      <c r="H63" s="6261" t="s">
        <v>5125</v>
      </c>
      <c r="I63" s="6261" t="s">
        <v>5113</v>
      </c>
    </row>
    <row r="64" spans="1:9" ht="57" customHeight="1">
      <c r="A64" s="6265"/>
      <c r="B64" s="6266"/>
      <c r="C64" s="15381" t="s">
        <v>3005</v>
      </c>
      <c r="D64" s="15382"/>
      <c r="E64" s="6259">
        <v>61200</v>
      </c>
      <c r="F64" s="6260" t="s">
        <v>2702</v>
      </c>
      <c r="G64" s="6260" t="s">
        <v>3006</v>
      </c>
      <c r="H64" s="6261" t="s">
        <v>5125</v>
      </c>
      <c r="I64" s="6261" t="s">
        <v>5113</v>
      </c>
    </row>
    <row r="65" spans="1:9" ht="32.25" customHeight="1">
      <c r="A65" s="6265"/>
      <c r="B65" s="6266"/>
      <c r="C65" s="15381" t="s">
        <v>3007</v>
      </c>
      <c r="D65" s="15382"/>
      <c r="E65" s="6259">
        <v>4047400</v>
      </c>
      <c r="F65" s="6260" t="s">
        <v>3008</v>
      </c>
      <c r="G65" s="6260" t="s">
        <v>3009</v>
      </c>
      <c r="H65" s="6261" t="s">
        <v>5125</v>
      </c>
      <c r="I65" s="6261" t="s">
        <v>5113</v>
      </c>
    </row>
    <row r="66" spans="1:9" ht="79.5" customHeight="1">
      <c r="A66" s="6265"/>
      <c r="B66" s="6266"/>
      <c r="C66" s="15381" t="s">
        <v>3010</v>
      </c>
      <c r="D66" s="15382"/>
      <c r="E66" s="6259">
        <v>122400</v>
      </c>
      <c r="F66" s="6260" t="s">
        <v>3768</v>
      </c>
      <c r="G66" s="6260" t="s">
        <v>3011</v>
      </c>
      <c r="H66" s="6261" t="s">
        <v>5125</v>
      </c>
      <c r="I66" s="6261" t="s">
        <v>5113</v>
      </c>
    </row>
    <row r="67" spans="1:9" ht="44.25" customHeight="1">
      <c r="A67" s="6265"/>
      <c r="B67" s="6266"/>
      <c r="C67" s="15381" t="s">
        <v>3012</v>
      </c>
      <c r="D67" s="15382"/>
      <c r="E67" s="6259">
        <v>602106</v>
      </c>
      <c r="F67" s="6260" t="s">
        <v>3013</v>
      </c>
      <c r="G67" s="6260" t="s">
        <v>3014</v>
      </c>
      <c r="H67" s="6261" t="s">
        <v>5125</v>
      </c>
      <c r="I67" s="6261" t="s">
        <v>5113</v>
      </c>
    </row>
    <row r="68" spans="1:9" ht="58.5" customHeight="1">
      <c r="A68" s="6265"/>
      <c r="B68" s="6266"/>
      <c r="C68" s="15381" t="s">
        <v>3769</v>
      </c>
      <c r="D68" s="15382"/>
      <c r="E68" s="6259"/>
      <c r="F68" s="6260" t="s">
        <v>3015</v>
      </c>
      <c r="G68" s="6260" t="s">
        <v>3016</v>
      </c>
      <c r="H68" s="6261" t="s">
        <v>5125</v>
      </c>
      <c r="I68" s="6261" t="s">
        <v>5113</v>
      </c>
    </row>
    <row r="69" spans="1:9" ht="126" customHeight="1" thickBot="1">
      <c r="A69" s="6265"/>
      <c r="B69" s="6266"/>
      <c r="C69" s="15381" t="s">
        <v>3017</v>
      </c>
      <c r="D69" s="15382"/>
      <c r="E69" s="6259"/>
      <c r="F69" s="6260" t="s">
        <v>3018</v>
      </c>
      <c r="G69" s="6260" t="s">
        <v>3019</v>
      </c>
      <c r="H69" s="6261" t="s">
        <v>5125</v>
      </c>
      <c r="I69" s="6261" t="s">
        <v>5113</v>
      </c>
    </row>
    <row r="70" spans="1:9" ht="13.5" customHeight="1">
      <c r="A70" s="6287"/>
      <c r="B70" s="6288"/>
      <c r="C70" s="6289"/>
      <c r="D70" s="6289"/>
      <c r="E70" s="6290"/>
      <c r="F70" s="6291"/>
      <c r="G70" s="6291"/>
      <c r="H70" s="6292"/>
      <c r="I70" s="6292"/>
    </row>
    <row r="71" spans="1:9" ht="15.75" customHeight="1">
      <c r="A71" s="6250"/>
      <c r="B71" s="6269"/>
      <c r="C71" s="6293"/>
      <c r="D71" s="6293"/>
      <c r="E71" s="6271"/>
      <c r="F71" s="6294"/>
      <c r="G71" s="6294"/>
      <c r="H71" s="6274"/>
      <c r="I71" s="6274"/>
    </row>
    <row r="72" spans="1:9" ht="15.75" customHeight="1">
      <c r="A72" s="6250"/>
      <c r="B72" s="6269"/>
      <c r="C72" s="6293"/>
      <c r="D72" s="6293"/>
      <c r="E72" s="6271"/>
      <c r="F72" s="6294"/>
      <c r="G72" s="6294"/>
      <c r="H72" s="6274"/>
      <c r="I72" s="6274"/>
    </row>
    <row r="73" spans="1:9" ht="15.75" customHeight="1">
      <c r="A73" s="6250"/>
      <c r="B73" s="6269"/>
      <c r="C73" s="6293"/>
      <c r="D73" s="6293"/>
      <c r="E73" s="6271"/>
      <c r="F73" s="6294"/>
      <c r="G73" s="6294"/>
      <c r="H73" s="6274"/>
      <c r="I73" s="6274"/>
    </row>
    <row r="74" spans="1:9" ht="13.5" customHeight="1" thickBot="1">
      <c r="A74" s="6275"/>
      <c r="B74" s="6276"/>
      <c r="C74" s="6295"/>
      <c r="D74" s="6295"/>
      <c r="E74" s="6278"/>
      <c r="F74" s="6296"/>
      <c r="G74" s="6296"/>
      <c r="H74" s="6281"/>
      <c r="I74" s="6281"/>
    </row>
    <row r="75" spans="1:9" s="6239" customFormat="1" ht="13.5" customHeight="1" thickTop="1">
      <c r="A75" s="15363" t="s">
        <v>2056</v>
      </c>
      <c r="B75" s="15364"/>
      <c r="C75" s="15367" t="s">
        <v>2968</v>
      </c>
      <c r="D75" s="15367"/>
      <c r="E75" s="6252" t="s">
        <v>1736</v>
      </c>
      <c r="F75" s="15367" t="s">
        <v>2969</v>
      </c>
      <c r="G75" s="6253" t="s">
        <v>1764</v>
      </c>
      <c r="H75" s="15370" t="s">
        <v>1761</v>
      </c>
      <c r="I75" s="15370"/>
    </row>
    <row r="76" spans="1:9" s="6239" customFormat="1" ht="27" customHeight="1">
      <c r="A76" s="15365"/>
      <c r="B76" s="15366"/>
      <c r="C76" s="15368"/>
      <c r="D76" s="15368"/>
      <c r="E76" s="6254"/>
      <c r="F76" s="15369"/>
      <c r="G76" s="6255"/>
      <c r="H76" s="15371"/>
      <c r="I76" s="15371"/>
    </row>
    <row r="77" spans="1:9" ht="13.5" customHeight="1">
      <c r="A77" s="15372" t="s">
        <v>472</v>
      </c>
      <c r="B77" s="15373"/>
      <c r="C77" s="15374" t="s">
        <v>473</v>
      </c>
      <c r="D77" s="15375"/>
      <c r="E77" s="6256" t="s">
        <v>474</v>
      </c>
      <c r="F77" s="6257" t="s">
        <v>475</v>
      </c>
      <c r="G77" s="6257" t="s">
        <v>476</v>
      </c>
      <c r="H77" s="6258" t="s">
        <v>1789</v>
      </c>
      <c r="I77" s="6258" t="s">
        <v>1790</v>
      </c>
    </row>
    <row r="78" spans="1:9" ht="64.5" customHeight="1">
      <c r="A78" s="6297"/>
      <c r="B78" s="6303"/>
      <c r="C78" s="15378" t="s">
        <v>3020</v>
      </c>
      <c r="D78" s="15379"/>
      <c r="E78" s="6299">
        <v>1463001.64</v>
      </c>
      <c r="F78" s="6300" t="s">
        <v>3021</v>
      </c>
      <c r="G78" s="6300" t="s">
        <v>3022</v>
      </c>
      <c r="H78" s="6261" t="s">
        <v>5125</v>
      </c>
      <c r="I78" s="6261" t="s">
        <v>5113</v>
      </c>
    </row>
    <row r="79" spans="1:9" s="6248" customFormat="1" ht="84" customHeight="1">
      <c r="A79" s="6297"/>
      <c r="B79" s="6303"/>
      <c r="C79" s="15378" t="s">
        <v>3023</v>
      </c>
      <c r="D79" s="15379"/>
      <c r="E79" s="6299">
        <v>392801.64</v>
      </c>
      <c r="F79" s="6300" t="s">
        <v>3024</v>
      </c>
      <c r="G79" s="6300" t="s">
        <v>3022</v>
      </c>
      <c r="H79" s="6261" t="s">
        <v>5125</v>
      </c>
      <c r="I79" s="6261" t="s">
        <v>5113</v>
      </c>
    </row>
    <row r="80" spans="1:9" ht="42.75" customHeight="1">
      <c r="A80" s="6265"/>
      <c r="B80" s="6266"/>
      <c r="C80" s="15378" t="s">
        <v>3765</v>
      </c>
      <c r="D80" s="15388"/>
      <c r="E80" s="6259">
        <v>5024838.97</v>
      </c>
      <c r="F80" s="15380" t="s">
        <v>3025</v>
      </c>
      <c r="G80" s="6260" t="s">
        <v>8828</v>
      </c>
      <c r="H80" s="6261" t="s">
        <v>5125</v>
      </c>
      <c r="I80" s="6261" t="s">
        <v>5113</v>
      </c>
    </row>
    <row r="81" spans="1:9" ht="81" customHeight="1">
      <c r="A81" s="6265"/>
      <c r="B81" s="6266"/>
      <c r="C81" s="15378"/>
      <c r="D81" s="15388"/>
      <c r="E81" s="6259"/>
      <c r="F81" s="15380"/>
      <c r="G81" s="6260" t="s">
        <v>3026</v>
      </c>
      <c r="H81" s="6304"/>
      <c r="I81" s="6304"/>
    </row>
    <row r="82" spans="1:9" ht="60" customHeight="1">
      <c r="A82" s="6265"/>
      <c r="B82" s="6266"/>
      <c r="C82" s="15378"/>
      <c r="D82" s="15388"/>
      <c r="E82" s="6259"/>
      <c r="F82" s="6260"/>
      <c r="G82" s="6260" t="s">
        <v>3027</v>
      </c>
      <c r="H82" s="6304"/>
      <c r="I82" s="6304"/>
    </row>
    <row r="83" spans="1:9" ht="53.25" customHeight="1">
      <c r="A83" s="6265"/>
      <c r="B83" s="6266"/>
      <c r="C83" s="15376" t="s">
        <v>3028</v>
      </c>
      <c r="D83" s="15377"/>
      <c r="E83" s="6259">
        <v>26310710.449999999</v>
      </c>
      <c r="F83" s="6260" t="s">
        <v>3029</v>
      </c>
      <c r="G83" s="6260" t="s">
        <v>3770</v>
      </c>
      <c r="H83" s="6261" t="s">
        <v>5125</v>
      </c>
      <c r="I83" s="6261" t="s">
        <v>5113</v>
      </c>
    </row>
    <row r="84" spans="1:9" ht="53.25" customHeight="1">
      <c r="A84" s="6297"/>
      <c r="B84" s="6298"/>
      <c r="C84" s="15393" t="s">
        <v>8829</v>
      </c>
      <c r="D84" s="6305"/>
      <c r="E84" s="6299">
        <v>1275000</v>
      </c>
      <c r="F84" s="15383" t="s">
        <v>8830</v>
      </c>
      <c r="G84" s="6260" t="s">
        <v>3770</v>
      </c>
      <c r="H84" s="6261" t="s">
        <v>8835</v>
      </c>
      <c r="I84" s="6261" t="s">
        <v>8836</v>
      </c>
    </row>
    <row r="85" spans="1:9" ht="27" customHeight="1">
      <c r="A85" s="6297"/>
      <c r="B85" s="6298"/>
      <c r="C85" s="15393"/>
      <c r="D85" s="6305"/>
      <c r="E85" s="6299"/>
      <c r="F85" s="15383"/>
      <c r="G85" s="6300" t="s">
        <v>8831</v>
      </c>
      <c r="H85" s="6261" t="s">
        <v>8837</v>
      </c>
      <c r="I85" s="6261" t="s">
        <v>8838</v>
      </c>
    </row>
    <row r="86" spans="1:9" ht="54.75" customHeight="1" thickBot="1">
      <c r="A86" s="6297"/>
      <c r="B86" s="6298"/>
      <c r="C86" s="15394" t="s">
        <v>8832</v>
      </c>
      <c r="D86" s="15395"/>
      <c r="E86" s="6299">
        <v>650000</v>
      </c>
      <c r="F86" s="6300" t="s">
        <v>8833</v>
      </c>
      <c r="G86" s="6300" t="s">
        <v>8834</v>
      </c>
      <c r="H86" s="6261" t="s">
        <v>8839</v>
      </c>
      <c r="I86" s="6261" t="s">
        <v>8840</v>
      </c>
    </row>
    <row r="87" spans="1:9" s="6314" customFormat="1" ht="16.5" customHeight="1" thickTop="1" thickBot="1">
      <c r="A87" s="6306"/>
      <c r="B87" s="6307"/>
      <c r="C87" s="6308" t="s">
        <v>458</v>
      </c>
      <c r="D87" s="6309"/>
      <c r="E87" s="6310">
        <f>SUM(E36:E86)</f>
        <v>68453576.989999995</v>
      </c>
      <c r="F87" s="6311"/>
      <c r="G87" s="6312"/>
      <c r="H87" s="6313"/>
      <c r="I87" s="6313"/>
    </row>
    <row r="88" spans="1:9" ht="13.5" customHeight="1" thickTop="1">
      <c r="E88" s="6315"/>
      <c r="F88" s="6316"/>
      <c r="G88" s="6316"/>
      <c r="H88" s="6317"/>
      <c r="I88" s="6317"/>
    </row>
    <row r="90" spans="1:9">
      <c r="E90" s="6058"/>
    </row>
  </sheetData>
  <mergeCells count="54">
    <mergeCell ref="F84:F85"/>
    <mergeCell ref="C84:C85"/>
    <mergeCell ref="C86:D86"/>
    <mergeCell ref="C80:D82"/>
    <mergeCell ref="A33:B34"/>
    <mergeCell ref="C33:D34"/>
    <mergeCell ref="F33:F34"/>
    <mergeCell ref="C38:D38"/>
    <mergeCell ref="C39:D39"/>
    <mergeCell ref="C46:D46"/>
    <mergeCell ref="A43:B44"/>
    <mergeCell ref="C43:D44"/>
    <mergeCell ref="C64:D64"/>
    <mergeCell ref="C48:D49"/>
    <mergeCell ref="A49:B49"/>
    <mergeCell ref="A52:B52"/>
    <mergeCell ref="H33:I34"/>
    <mergeCell ref="A35:B35"/>
    <mergeCell ref="C35:D35"/>
    <mergeCell ref="A36:B36"/>
    <mergeCell ref="C36:D37"/>
    <mergeCell ref="F61:F62"/>
    <mergeCell ref="C63:D63"/>
    <mergeCell ref="F53:F54"/>
    <mergeCell ref="A59:B59"/>
    <mergeCell ref="C59:D59"/>
    <mergeCell ref="C53:D53"/>
    <mergeCell ref="C54:D54"/>
    <mergeCell ref="C60:D60"/>
    <mergeCell ref="C61:D61"/>
    <mergeCell ref="C79:D79"/>
    <mergeCell ref="F80:F81"/>
    <mergeCell ref="C83:D83"/>
    <mergeCell ref="C65:D65"/>
    <mergeCell ref="C66:D66"/>
    <mergeCell ref="C67:D67"/>
    <mergeCell ref="C68:D68"/>
    <mergeCell ref="C69:D69"/>
    <mergeCell ref="C78:D78"/>
    <mergeCell ref="F43:F44"/>
    <mergeCell ref="H43:I44"/>
    <mergeCell ref="A45:B45"/>
    <mergeCell ref="C45:D45"/>
    <mergeCell ref="A57:B58"/>
    <mergeCell ref="C57:D58"/>
    <mergeCell ref="F57:F58"/>
    <mergeCell ref="H57:I58"/>
    <mergeCell ref="C52:D52"/>
    <mergeCell ref="A75:B76"/>
    <mergeCell ref="C75:D76"/>
    <mergeCell ref="F75:F76"/>
    <mergeCell ref="H75:I76"/>
    <mergeCell ref="A77:B77"/>
    <mergeCell ref="C77:D77"/>
  </mergeCells>
  <printOptions gridLinesSet="0"/>
  <pageMargins left="0.5" right="0.25" top="0.5" bottom="1.5" header="0.5" footer="0.25"/>
  <pageSetup paperSize="5" firstPageNumber="365" orientation="portrait" useFirstPageNumber="1" r:id="rId1"/>
  <headerFooter alignWithMargins="0"/>
</worksheet>
</file>

<file path=xl/worksheets/sheet177.xml><?xml version="1.0" encoding="utf-8"?>
<worksheet xmlns="http://schemas.openxmlformats.org/spreadsheetml/2006/main" xmlns:r="http://schemas.openxmlformats.org/officeDocument/2006/relationships">
  <sheetPr codeName="Sheet136">
    <tabColor theme="8" tint="-0.249977111117893"/>
  </sheetPr>
  <dimension ref="A1:L113"/>
  <sheetViews>
    <sheetView showGridLines="0" topLeftCell="B3" workbookViewId="0">
      <selection activeCell="J3" sqref="J1:P1048576"/>
    </sheetView>
  </sheetViews>
  <sheetFormatPr defaultRowHeight="15" customHeight="1"/>
  <cols>
    <col min="1" max="1" width="3.88671875" style="7275" customWidth="1"/>
    <col min="2" max="2" width="55.5546875" style="7275" customWidth="1"/>
    <col min="3" max="3" width="12.5546875" style="7346" customWidth="1"/>
    <col min="4" max="6" width="15.5546875" style="7347" customWidth="1"/>
    <col min="7" max="7" width="16.88671875" style="7347" customWidth="1"/>
    <col min="8" max="8" width="15.109375" style="7347" hidden="1" customWidth="1"/>
    <col min="9" max="9" width="7.88671875" style="7348" hidden="1" customWidth="1"/>
    <col min="10" max="10" width="15.5546875" style="7347" customWidth="1"/>
    <col min="11" max="11" width="17.44140625" style="7275" customWidth="1"/>
    <col min="12" max="12" width="6.44140625" style="7346" customWidth="1"/>
    <col min="13" max="15" width="8.88671875" style="7275" customWidth="1"/>
    <col min="16" max="225" width="9.109375" style="7275"/>
    <col min="226" max="226" width="3.88671875" style="7275" customWidth="1"/>
    <col min="227" max="227" width="38.88671875" style="7275" customWidth="1"/>
    <col min="228" max="228" width="11" style="7275" customWidth="1"/>
    <col min="229" max="229" width="14.88671875" style="7275" customWidth="1"/>
    <col min="230" max="230" width="14" style="7275" customWidth="1"/>
    <col min="231" max="231" width="13.88671875" style="7275" customWidth="1"/>
    <col min="232" max="481" width="9.109375" style="7275"/>
    <col min="482" max="482" width="3.88671875" style="7275" customWidth="1"/>
    <col min="483" max="483" width="38.88671875" style="7275" customWidth="1"/>
    <col min="484" max="484" width="11" style="7275" customWidth="1"/>
    <col min="485" max="485" width="14.88671875" style="7275" customWidth="1"/>
    <col min="486" max="486" width="14" style="7275" customWidth="1"/>
    <col min="487" max="487" width="13.88671875" style="7275" customWidth="1"/>
    <col min="488" max="737" width="9.109375" style="7275"/>
    <col min="738" max="738" width="3.88671875" style="7275" customWidth="1"/>
    <col min="739" max="739" width="38.88671875" style="7275" customWidth="1"/>
    <col min="740" max="740" width="11" style="7275" customWidth="1"/>
    <col min="741" max="741" width="14.88671875" style="7275" customWidth="1"/>
    <col min="742" max="742" width="14" style="7275" customWidth="1"/>
    <col min="743" max="743" width="13.88671875" style="7275" customWidth="1"/>
    <col min="744" max="993" width="9.109375" style="7275"/>
    <col min="994" max="994" width="3.88671875" style="7275" customWidth="1"/>
    <col min="995" max="995" width="38.88671875" style="7275" customWidth="1"/>
    <col min="996" max="996" width="11" style="7275" customWidth="1"/>
    <col min="997" max="997" width="14.88671875" style="7275" customWidth="1"/>
    <col min="998" max="998" width="14" style="7275" customWidth="1"/>
    <col min="999" max="999" width="13.88671875" style="7275" customWidth="1"/>
    <col min="1000" max="1249" width="9.109375" style="7275"/>
    <col min="1250" max="1250" width="3.88671875" style="7275" customWidth="1"/>
    <col min="1251" max="1251" width="38.88671875" style="7275" customWidth="1"/>
    <col min="1252" max="1252" width="11" style="7275" customWidth="1"/>
    <col min="1253" max="1253" width="14.88671875" style="7275" customWidth="1"/>
    <col min="1254" max="1254" width="14" style="7275" customWidth="1"/>
    <col min="1255" max="1255" width="13.88671875" style="7275" customWidth="1"/>
    <col min="1256" max="1505" width="9.109375" style="7275"/>
    <col min="1506" max="1506" width="3.88671875" style="7275" customWidth="1"/>
    <col min="1507" max="1507" width="38.88671875" style="7275" customWidth="1"/>
    <col min="1508" max="1508" width="11" style="7275" customWidth="1"/>
    <col min="1509" max="1509" width="14.88671875" style="7275" customWidth="1"/>
    <col min="1510" max="1510" width="14" style="7275" customWidth="1"/>
    <col min="1511" max="1511" width="13.88671875" style="7275" customWidth="1"/>
    <col min="1512" max="1761" width="9.109375" style="7275"/>
    <col min="1762" max="1762" width="3.88671875" style="7275" customWidth="1"/>
    <col min="1763" max="1763" width="38.88671875" style="7275" customWidth="1"/>
    <col min="1764" max="1764" width="11" style="7275" customWidth="1"/>
    <col min="1765" max="1765" width="14.88671875" style="7275" customWidth="1"/>
    <col min="1766" max="1766" width="14" style="7275" customWidth="1"/>
    <col min="1767" max="1767" width="13.88671875" style="7275" customWidth="1"/>
    <col min="1768" max="2017" width="9.109375" style="7275"/>
    <col min="2018" max="2018" width="3.88671875" style="7275" customWidth="1"/>
    <col min="2019" max="2019" width="38.88671875" style="7275" customWidth="1"/>
    <col min="2020" max="2020" width="11" style="7275" customWidth="1"/>
    <col min="2021" max="2021" width="14.88671875" style="7275" customWidth="1"/>
    <col min="2022" max="2022" width="14" style="7275" customWidth="1"/>
    <col min="2023" max="2023" width="13.88671875" style="7275" customWidth="1"/>
    <col min="2024" max="2273" width="9.109375" style="7275"/>
    <col min="2274" max="2274" width="3.88671875" style="7275" customWidth="1"/>
    <col min="2275" max="2275" width="38.88671875" style="7275" customWidth="1"/>
    <col min="2276" max="2276" width="11" style="7275" customWidth="1"/>
    <col min="2277" max="2277" width="14.88671875" style="7275" customWidth="1"/>
    <col min="2278" max="2278" width="14" style="7275" customWidth="1"/>
    <col min="2279" max="2279" width="13.88671875" style="7275" customWidth="1"/>
    <col min="2280" max="2529" width="9.109375" style="7275"/>
    <col min="2530" max="2530" width="3.88671875" style="7275" customWidth="1"/>
    <col min="2531" max="2531" width="38.88671875" style="7275" customWidth="1"/>
    <col min="2532" max="2532" width="11" style="7275" customWidth="1"/>
    <col min="2533" max="2533" width="14.88671875" style="7275" customWidth="1"/>
    <col min="2534" max="2534" width="14" style="7275" customWidth="1"/>
    <col min="2535" max="2535" width="13.88671875" style="7275" customWidth="1"/>
    <col min="2536" max="2785" width="9.109375" style="7275"/>
    <col min="2786" max="2786" width="3.88671875" style="7275" customWidth="1"/>
    <col min="2787" max="2787" width="38.88671875" style="7275" customWidth="1"/>
    <col min="2788" max="2788" width="11" style="7275" customWidth="1"/>
    <col min="2789" max="2789" width="14.88671875" style="7275" customWidth="1"/>
    <col min="2790" max="2790" width="14" style="7275" customWidth="1"/>
    <col min="2791" max="2791" width="13.88671875" style="7275" customWidth="1"/>
    <col min="2792" max="3041" width="9.109375" style="7275"/>
    <col min="3042" max="3042" width="3.88671875" style="7275" customWidth="1"/>
    <col min="3043" max="3043" width="38.88671875" style="7275" customWidth="1"/>
    <col min="3044" max="3044" width="11" style="7275" customWidth="1"/>
    <col min="3045" max="3045" width="14.88671875" style="7275" customWidth="1"/>
    <col min="3046" max="3046" width="14" style="7275" customWidth="1"/>
    <col min="3047" max="3047" width="13.88671875" style="7275" customWidth="1"/>
    <col min="3048" max="3297" width="9.109375" style="7275"/>
    <col min="3298" max="3298" width="3.88671875" style="7275" customWidth="1"/>
    <col min="3299" max="3299" width="38.88671875" style="7275" customWidth="1"/>
    <col min="3300" max="3300" width="11" style="7275" customWidth="1"/>
    <col min="3301" max="3301" width="14.88671875" style="7275" customWidth="1"/>
    <col min="3302" max="3302" width="14" style="7275" customWidth="1"/>
    <col min="3303" max="3303" width="13.88671875" style="7275" customWidth="1"/>
    <col min="3304" max="3553" width="9.109375" style="7275"/>
    <col min="3554" max="3554" width="3.88671875" style="7275" customWidth="1"/>
    <col min="3555" max="3555" width="38.88671875" style="7275" customWidth="1"/>
    <col min="3556" max="3556" width="11" style="7275" customWidth="1"/>
    <col min="3557" max="3557" width="14.88671875" style="7275" customWidth="1"/>
    <col min="3558" max="3558" width="14" style="7275" customWidth="1"/>
    <col min="3559" max="3559" width="13.88671875" style="7275" customWidth="1"/>
    <col min="3560" max="3809" width="9.109375" style="7275"/>
    <col min="3810" max="3810" width="3.88671875" style="7275" customWidth="1"/>
    <col min="3811" max="3811" width="38.88671875" style="7275" customWidth="1"/>
    <col min="3812" max="3812" width="11" style="7275" customWidth="1"/>
    <col min="3813" max="3813" width="14.88671875" style="7275" customWidth="1"/>
    <col min="3814" max="3814" width="14" style="7275" customWidth="1"/>
    <col min="3815" max="3815" width="13.88671875" style="7275" customWidth="1"/>
    <col min="3816" max="4065" width="9.109375" style="7275"/>
    <col min="4066" max="4066" width="3.88671875" style="7275" customWidth="1"/>
    <col min="4067" max="4067" width="38.88671875" style="7275" customWidth="1"/>
    <col min="4068" max="4068" width="11" style="7275" customWidth="1"/>
    <col min="4069" max="4069" width="14.88671875" style="7275" customWidth="1"/>
    <col min="4070" max="4070" width="14" style="7275" customWidth="1"/>
    <col min="4071" max="4071" width="13.88671875" style="7275" customWidth="1"/>
    <col min="4072" max="4321" width="9.109375" style="7275"/>
    <col min="4322" max="4322" width="3.88671875" style="7275" customWidth="1"/>
    <col min="4323" max="4323" width="38.88671875" style="7275" customWidth="1"/>
    <col min="4324" max="4324" width="11" style="7275" customWidth="1"/>
    <col min="4325" max="4325" width="14.88671875" style="7275" customWidth="1"/>
    <col min="4326" max="4326" width="14" style="7275" customWidth="1"/>
    <col min="4327" max="4327" width="13.88671875" style="7275" customWidth="1"/>
    <col min="4328" max="4577" width="9.109375" style="7275"/>
    <col min="4578" max="4578" width="3.88671875" style="7275" customWidth="1"/>
    <col min="4579" max="4579" width="38.88671875" style="7275" customWidth="1"/>
    <col min="4580" max="4580" width="11" style="7275" customWidth="1"/>
    <col min="4581" max="4581" width="14.88671875" style="7275" customWidth="1"/>
    <col min="4582" max="4582" width="14" style="7275" customWidth="1"/>
    <col min="4583" max="4583" width="13.88671875" style="7275" customWidth="1"/>
    <col min="4584" max="4833" width="9.109375" style="7275"/>
    <col min="4834" max="4834" width="3.88671875" style="7275" customWidth="1"/>
    <col min="4835" max="4835" width="38.88671875" style="7275" customWidth="1"/>
    <col min="4836" max="4836" width="11" style="7275" customWidth="1"/>
    <col min="4837" max="4837" width="14.88671875" style="7275" customWidth="1"/>
    <col min="4838" max="4838" width="14" style="7275" customWidth="1"/>
    <col min="4839" max="4839" width="13.88671875" style="7275" customWidth="1"/>
    <col min="4840" max="5089" width="9.109375" style="7275"/>
    <col min="5090" max="5090" width="3.88671875" style="7275" customWidth="1"/>
    <col min="5091" max="5091" width="38.88671875" style="7275" customWidth="1"/>
    <col min="5092" max="5092" width="11" style="7275" customWidth="1"/>
    <col min="5093" max="5093" width="14.88671875" style="7275" customWidth="1"/>
    <col min="5094" max="5094" width="14" style="7275" customWidth="1"/>
    <col min="5095" max="5095" width="13.88671875" style="7275" customWidth="1"/>
    <col min="5096" max="5345" width="9.109375" style="7275"/>
    <col min="5346" max="5346" width="3.88671875" style="7275" customWidth="1"/>
    <col min="5347" max="5347" width="38.88671875" style="7275" customWidth="1"/>
    <col min="5348" max="5348" width="11" style="7275" customWidth="1"/>
    <col min="5349" max="5349" width="14.88671875" style="7275" customWidth="1"/>
    <col min="5350" max="5350" width="14" style="7275" customWidth="1"/>
    <col min="5351" max="5351" width="13.88671875" style="7275" customWidth="1"/>
    <col min="5352" max="5601" width="9.109375" style="7275"/>
    <col min="5602" max="5602" width="3.88671875" style="7275" customWidth="1"/>
    <col min="5603" max="5603" width="38.88671875" style="7275" customWidth="1"/>
    <col min="5604" max="5604" width="11" style="7275" customWidth="1"/>
    <col min="5605" max="5605" width="14.88671875" style="7275" customWidth="1"/>
    <col min="5606" max="5606" width="14" style="7275" customWidth="1"/>
    <col min="5607" max="5607" width="13.88671875" style="7275" customWidth="1"/>
    <col min="5608" max="5857" width="9.109375" style="7275"/>
    <col min="5858" max="5858" width="3.88671875" style="7275" customWidth="1"/>
    <col min="5859" max="5859" width="38.88671875" style="7275" customWidth="1"/>
    <col min="5860" max="5860" width="11" style="7275" customWidth="1"/>
    <col min="5861" max="5861" width="14.88671875" style="7275" customWidth="1"/>
    <col min="5862" max="5862" width="14" style="7275" customWidth="1"/>
    <col min="5863" max="5863" width="13.88671875" style="7275" customWidth="1"/>
    <col min="5864" max="6113" width="9.109375" style="7275"/>
    <col min="6114" max="6114" width="3.88671875" style="7275" customWidth="1"/>
    <col min="6115" max="6115" width="38.88671875" style="7275" customWidth="1"/>
    <col min="6116" max="6116" width="11" style="7275" customWidth="1"/>
    <col min="6117" max="6117" width="14.88671875" style="7275" customWidth="1"/>
    <col min="6118" max="6118" width="14" style="7275" customWidth="1"/>
    <col min="6119" max="6119" width="13.88671875" style="7275" customWidth="1"/>
    <col min="6120" max="6369" width="9.109375" style="7275"/>
    <col min="6370" max="6370" width="3.88671875" style="7275" customWidth="1"/>
    <col min="6371" max="6371" width="38.88671875" style="7275" customWidth="1"/>
    <col min="6372" max="6372" width="11" style="7275" customWidth="1"/>
    <col min="6373" max="6373" width="14.88671875" style="7275" customWidth="1"/>
    <col min="6374" max="6374" width="14" style="7275" customWidth="1"/>
    <col min="6375" max="6375" width="13.88671875" style="7275" customWidth="1"/>
    <col min="6376" max="6625" width="9.109375" style="7275"/>
    <col min="6626" max="6626" width="3.88671875" style="7275" customWidth="1"/>
    <col min="6627" max="6627" width="38.88671875" style="7275" customWidth="1"/>
    <col min="6628" max="6628" width="11" style="7275" customWidth="1"/>
    <col min="6629" max="6629" width="14.88671875" style="7275" customWidth="1"/>
    <col min="6630" max="6630" width="14" style="7275" customWidth="1"/>
    <col min="6631" max="6631" width="13.88671875" style="7275" customWidth="1"/>
    <col min="6632" max="6881" width="9.109375" style="7275"/>
    <col min="6882" max="6882" width="3.88671875" style="7275" customWidth="1"/>
    <col min="6883" max="6883" width="38.88671875" style="7275" customWidth="1"/>
    <col min="6884" max="6884" width="11" style="7275" customWidth="1"/>
    <col min="6885" max="6885" width="14.88671875" style="7275" customWidth="1"/>
    <col min="6886" max="6886" width="14" style="7275" customWidth="1"/>
    <col min="6887" max="6887" width="13.88671875" style="7275" customWidth="1"/>
    <col min="6888" max="7137" width="9.109375" style="7275"/>
    <col min="7138" max="7138" width="3.88671875" style="7275" customWidth="1"/>
    <col min="7139" max="7139" width="38.88671875" style="7275" customWidth="1"/>
    <col min="7140" max="7140" width="11" style="7275" customWidth="1"/>
    <col min="7141" max="7141" width="14.88671875" style="7275" customWidth="1"/>
    <col min="7142" max="7142" width="14" style="7275" customWidth="1"/>
    <col min="7143" max="7143" width="13.88671875" style="7275" customWidth="1"/>
    <col min="7144" max="7393" width="9.109375" style="7275"/>
    <col min="7394" max="7394" width="3.88671875" style="7275" customWidth="1"/>
    <col min="7395" max="7395" width="38.88671875" style="7275" customWidth="1"/>
    <col min="7396" max="7396" width="11" style="7275" customWidth="1"/>
    <col min="7397" max="7397" width="14.88671875" style="7275" customWidth="1"/>
    <col min="7398" max="7398" width="14" style="7275" customWidth="1"/>
    <col min="7399" max="7399" width="13.88671875" style="7275" customWidth="1"/>
    <col min="7400" max="7649" width="9.109375" style="7275"/>
    <col min="7650" max="7650" width="3.88671875" style="7275" customWidth="1"/>
    <col min="7651" max="7651" width="38.88671875" style="7275" customWidth="1"/>
    <col min="7652" max="7652" width="11" style="7275" customWidth="1"/>
    <col min="7653" max="7653" width="14.88671875" style="7275" customWidth="1"/>
    <col min="7654" max="7654" width="14" style="7275" customWidth="1"/>
    <col min="7655" max="7655" width="13.88671875" style="7275" customWidth="1"/>
    <col min="7656" max="7905" width="9.109375" style="7275"/>
    <col min="7906" max="7906" width="3.88671875" style="7275" customWidth="1"/>
    <col min="7907" max="7907" width="38.88671875" style="7275" customWidth="1"/>
    <col min="7908" max="7908" width="11" style="7275" customWidth="1"/>
    <col min="7909" max="7909" width="14.88671875" style="7275" customWidth="1"/>
    <col min="7910" max="7910" width="14" style="7275" customWidth="1"/>
    <col min="7911" max="7911" width="13.88671875" style="7275" customWidth="1"/>
    <col min="7912" max="8161" width="9.109375" style="7275"/>
    <col min="8162" max="8162" width="3.88671875" style="7275" customWidth="1"/>
    <col min="8163" max="8163" width="38.88671875" style="7275" customWidth="1"/>
    <col min="8164" max="8164" width="11" style="7275" customWidth="1"/>
    <col min="8165" max="8165" width="14.88671875" style="7275" customWidth="1"/>
    <col min="8166" max="8166" width="14" style="7275" customWidth="1"/>
    <col min="8167" max="8167" width="13.88671875" style="7275" customWidth="1"/>
    <col min="8168" max="8417" width="9.109375" style="7275"/>
    <col min="8418" max="8418" width="3.88671875" style="7275" customWidth="1"/>
    <col min="8419" max="8419" width="38.88671875" style="7275" customWidth="1"/>
    <col min="8420" max="8420" width="11" style="7275" customWidth="1"/>
    <col min="8421" max="8421" width="14.88671875" style="7275" customWidth="1"/>
    <col min="8422" max="8422" width="14" style="7275" customWidth="1"/>
    <col min="8423" max="8423" width="13.88671875" style="7275" customWidth="1"/>
    <col min="8424" max="8673" width="9.109375" style="7275"/>
    <col min="8674" max="8674" width="3.88671875" style="7275" customWidth="1"/>
    <col min="8675" max="8675" width="38.88671875" style="7275" customWidth="1"/>
    <col min="8676" max="8676" width="11" style="7275" customWidth="1"/>
    <col min="8677" max="8677" width="14.88671875" style="7275" customWidth="1"/>
    <col min="8678" max="8678" width="14" style="7275" customWidth="1"/>
    <col min="8679" max="8679" width="13.88671875" style="7275" customWidth="1"/>
    <col min="8680" max="8929" width="9.109375" style="7275"/>
    <col min="8930" max="8930" width="3.88671875" style="7275" customWidth="1"/>
    <col min="8931" max="8931" width="38.88671875" style="7275" customWidth="1"/>
    <col min="8932" max="8932" width="11" style="7275" customWidth="1"/>
    <col min="8933" max="8933" width="14.88671875" style="7275" customWidth="1"/>
    <col min="8934" max="8934" width="14" style="7275" customWidth="1"/>
    <col min="8935" max="8935" width="13.88671875" style="7275" customWidth="1"/>
    <col min="8936" max="9185" width="9.109375" style="7275"/>
    <col min="9186" max="9186" width="3.88671875" style="7275" customWidth="1"/>
    <col min="9187" max="9187" width="38.88671875" style="7275" customWidth="1"/>
    <col min="9188" max="9188" width="11" style="7275" customWidth="1"/>
    <col min="9189" max="9189" width="14.88671875" style="7275" customWidth="1"/>
    <col min="9190" max="9190" width="14" style="7275" customWidth="1"/>
    <col min="9191" max="9191" width="13.88671875" style="7275" customWidth="1"/>
    <col min="9192" max="9441" width="9.109375" style="7275"/>
    <col min="9442" max="9442" width="3.88671875" style="7275" customWidth="1"/>
    <col min="9443" max="9443" width="38.88671875" style="7275" customWidth="1"/>
    <col min="9444" max="9444" width="11" style="7275" customWidth="1"/>
    <col min="9445" max="9445" width="14.88671875" style="7275" customWidth="1"/>
    <col min="9446" max="9446" width="14" style="7275" customWidth="1"/>
    <col min="9447" max="9447" width="13.88671875" style="7275" customWidth="1"/>
    <col min="9448" max="9697" width="9.109375" style="7275"/>
    <col min="9698" max="9698" width="3.88671875" style="7275" customWidth="1"/>
    <col min="9699" max="9699" width="38.88671875" style="7275" customWidth="1"/>
    <col min="9700" max="9700" width="11" style="7275" customWidth="1"/>
    <col min="9701" max="9701" width="14.88671875" style="7275" customWidth="1"/>
    <col min="9702" max="9702" width="14" style="7275" customWidth="1"/>
    <col min="9703" max="9703" width="13.88671875" style="7275" customWidth="1"/>
    <col min="9704" max="9953" width="9.109375" style="7275"/>
    <col min="9954" max="9954" width="3.88671875" style="7275" customWidth="1"/>
    <col min="9955" max="9955" width="38.88671875" style="7275" customWidth="1"/>
    <col min="9956" max="9956" width="11" style="7275" customWidth="1"/>
    <col min="9957" max="9957" width="14.88671875" style="7275" customWidth="1"/>
    <col min="9958" max="9958" width="14" style="7275" customWidth="1"/>
    <col min="9959" max="9959" width="13.88671875" style="7275" customWidth="1"/>
    <col min="9960" max="10209" width="9.109375" style="7275"/>
    <col min="10210" max="10210" width="3.88671875" style="7275" customWidth="1"/>
    <col min="10211" max="10211" width="38.88671875" style="7275" customWidth="1"/>
    <col min="10212" max="10212" width="11" style="7275" customWidth="1"/>
    <col min="10213" max="10213" width="14.88671875" style="7275" customWidth="1"/>
    <col min="10214" max="10214" width="14" style="7275" customWidth="1"/>
    <col min="10215" max="10215" width="13.88671875" style="7275" customWidth="1"/>
    <col min="10216" max="10465" width="9.109375" style="7275"/>
    <col min="10466" max="10466" width="3.88671875" style="7275" customWidth="1"/>
    <col min="10467" max="10467" width="38.88671875" style="7275" customWidth="1"/>
    <col min="10468" max="10468" width="11" style="7275" customWidth="1"/>
    <col min="10469" max="10469" width="14.88671875" style="7275" customWidth="1"/>
    <col min="10470" max="10470" width="14" style="7275" customWidth="1"/>
    <col min="10471" max="10471" width="13.88671875" style="7275" customWidth="1"/>
    <col min="10472" max="10721" width="9.109375" style="7275"/>
    <col min="10722" max="10722" width="3.88671875" style="7275" customWidth="1"/>
    <col min="10723" max="10723" width="38.88671875" style="7275" customWidth="1"/>
    <col min="10724" max="10724" width="11" style="7275" customWidth="1"/>
    <col min="10725" max="10725" width="14.88671875" style="7275" customWidth="1"/>
    <col min="10726" max="10726" width="14" style="7275" customWidth="1"/>
    <col min="10727" max="10727" width="13.88671875" style="7275" customWidth="1"/>
    <col min="10728" max="10977" width="9.109375" style="7275"/>
    <col min="10978" max="10978" width="3.88671875" style="7275" customWidth="1"/>
    <col min="10979" max="10979" width="38.88671875" style="7275" customWidth="1"/>
    <col min="10980" max="10980" width="11" style="7275" customWidth="1"/>
    <col min="10981" max="10981" width="14.88671875" style="7275" customWidth="1"/>
    <col min="10982" max="10982" width="14" style="7275" customWidth="1"/>
    <col min="10983" max="10983" width="13.88671875" style="7275" customWidth="1"/>
    <col min="10984" max="11233" width="9.109375" style="7275"/>
    <col min="11234" max="11234" width="3.88671875" style="7275" customWidth="1"/>
    <col min="11235" max="11235" width="38.88671875" style="7275" customWidth="1"/>
    <col min="11236" max="11236" width="11" style="7275" customWidth="1"/>
    <col min="11237" max="11237" width="14.88671875" style="7275" customWidth="1"/>
    <col min="11238" max="11238" width="14" style="7275" customWidth="1"/>
    <col min="11239" max="11239" width="13.88671875" style="7275" customWidth="1"/>
    <col min="11240" max="11489" width="9.109375" style="7275"/>
    <col min="11490" max="11490" width="3.88671875" style="7275" customWidth="1"/>
    <col min="11491" max="11491" width="38.88671875" style="7275" customWidth="1"/>
    <col min="11492" max="11492" width="11" style="7275" customWidth="1"/>
    <col min="11493" max="11493" width="14.88671875" style="7275" customWidth="1"/>
    <col min="11494" max="11494" width="14" style="7275" customWidth="1"/>
    <col min="11495" max="11495" width="13.88671875" style="7275" customWidth="1"/>
    <col min="11496" max="11745" width="9.109375" style="7275"/>
    <col min="11746" max="11746" width="3.88671875" style="7275" customWidth="1"/>
    <col min="11747" max="11747" width="38.88671875" style="7275" customWidth="1"/>
    <col min="11748" max="11748" width="11" style="7275" customWidth="1"/>
    <col min="11749" max="11749" width="14.88671875" style="7275" customWidth="1"/>
    <col min="11750" max="11750" width="14" style="7275" customWidth="1"/>
    <col min="11751" max="11751" width="13.88671875" style="7275" customWidth="1"/>
    <col min="11752" max="12001" width="9.109375" style="7275"/>
    <col min="12002" max="12002" width="3.88671875" style="7275" customWidth="1"/>
    <col min="12003" max="12003" width="38.88671875" style="7275" customWidth="1"/>
    <col min="12004" max="12004" width="11" style="7275" customWidth="1"/>
    <col min="12005" max="12005" width="14.88671875" style="7275" customWidth="1"/>
    <col min="12006" max="12006" width="14" style="7275" customWidth="1"/>
    <col min="12007" max="12007" width="13.88671875" style="7275" customWidth="1"/>
    <col min="12008" max="12257" width="9.109375" style="7275"/>
    <col min="12258" max="12258" width="3.88671875" style="7275" customWidth="1"/>
    <col min="12259" max="12259" width="38.88671875" style="7275" customWidth="1"/>
    <col min="12260" max="12260" width="11" style="7275" customWidth="1"/>
    <col min="12261" max="12261" width="14.88671875" style="7275" customWidth="1"/>
    <col min="12262" max="12262" width="14" style="7275" customWidth="1"/>
    <col min="12263" max="12263" width="13.88671875" style="7275" customWidth="1"/>
    <col min="12264" max="12513" width="9.109375" style="7275"/>
    <col min="12514" max="12514" width="3.88671875" style="7275" customWidth="1"/>
    <col min="12515" max="12515" width="38.88671875" style="7275" customWidth="1"/>
    <col min="12516" max="12516" width="11" style="7275" customWidth="1"/>
    <col min="12517" max="12517" width="14.88671875" style="7275" customWidth="1"/>
    <col min="12518" max="12518" width="14" style="7275" customWidth="1"/>
    <col min="12519" max="12519" width="13.88671875" style="7275" customWidth="1"/>
    <col min="12520" max="12769" width="9.109375" style="7275"/>
    <col min="12770" max="12770" width="3.88671875" style="7275" customWidth="1"/>
    <col min="12771" max="12771" width="38.88671875" style="7275" customWidth="1"/>
    <col min="12772" max="12772" width="11" style="7275" customWidth="1"/>
    <col min="12773" max="12773" width="14.88671875" style="7275" customWidth="1"/>
    <col min="12774" max="12774" width="14" style="7275" customWidth="1"/>
    <col min="12775" max="12775" width="13.88671875" style="7275" customWidth="1"/>
    <col min="12776" max="13025" width="9.109375" style="7275"/>
    <col min="13026" max="13026" width="3.88671875" style="7275" customWidth="1"/>
    <col min="13027" max="13027" width="38.88671875" style="7275" customWidth="1"/>
    <col min="13028" max="13028" width="11" style="7275" customWidth="1"/>
    <col min="13029" max="13029" width="14.88671875" style="7275" customWidth="1"/>
    <col min="13030" max="13030" width="14" style="7275" customWidth="1"/>
    <col min="13031" max="13031" width="13.88671875" style="7275" customWidth="1"/>
    <col min="13032" max="13281" width="9.109375" style="7275"/>
    <col min="13282" max="13282" width="3.88671875" style="7275" customWidth="1"/>
    <col min="13283" max="13283" width="38.88671875" style="7275" customWidth="1"/>
    <col min="13284" max="13284" width="11" style="7275" customWidth="1"/>
    <col min="13285" max="13285" width="14.88671875" style="7275" customWidth="1"/>
    <col min="13286" max="13286" width="14" style="7275" customWidth="1"/>
    <col min="13287" max="13287" width="13.88671875" style="7275" customWidth="1"/>
    <col min="13288" max="13537" width="9.109375" style="7275"/>
    <col min="13538" max="13538" width="3.88671875" style="7275" customWidth="1"/>
    <col min="13539" max="13539" width="38.88671875" style="7275" customWidth="1"/>
    <col min="13540" max="13540" width="11" style="7275" customWidth="1"/>
    <col min="13541" max="13541" width="14.88671875" style="7275" customWidth="1"/>
    <col min="13542" max="13542" width="14" style="7275" customWidth="1"/>
    <col min="13543" max="13543" width="13.88671875" style="7275" customWidth="1"/>
    <col min="13544" max="13793" width="9.109375" style="7275"/>
    <col min="13794" max="13794" width="3.88671875" style="7275" customWidth="1"/>
    <col min="13795" max="13795" width="38.88671875" style="7275" customWidth="1"/>
    <col min="13796" max="13796" width="11" style="7275" customWidth="1"/>
    <col min="13797" max="13797" width="14.88671875" style="7275" customWidth="1"/>
    <col min="13798" max="13798" width="14" style="7275" customWidth="1"/>
    <col min="13799" max="13799" width="13.88671875" style="7275" customWidth="1"/>
    <col min="13800" max="14049" width="9.109375" style="7275"/>
    <col min="14050" max="14050" width="3.88671875" style="7275" customWidth="1"/>
    <col min="14051" max="14051" width="38.88671875" style="7275" customWidth="1"/>
    <col min="14052" max="14052" width="11" style="7275" customWidth="1"/>
    <col min="14053" max="14053" width="14.88671875" style="7275" customWidth="1"/>
    <col min="14054" max="14054" width="14" style="7275" customWidth="1"/>
    <col min="14055" max="14055" width="13.88671875" style="7275" customWidth="1"/>
    <col min="14056" max="14305" width="9.109375" style="7275"/>
    <col min="14306" max="14306" width="3.88671875" style="7275" customWidth="1"/>
    <col min="14307" max="14307" width="38.88671875" style="7275" customWidth="1"/>
    <col min="14308" max="14308" width="11" style="7275" customWidth="1"/>
    <col min="14309" max="14309" width="14.88671875" style="7275" customWidth="1"/>
    <col min="14310" max="14310" width="14" style="7275" customWidth="1"/>
    <col min="14311" max="14311" width="13.88671875" style="7275" customWidth="1"/>
    <col min="14312" max="14561" width="9.109375" style="7275"/>
    <col min="14562" max="14562" width="3.88671875" style="7275" customWidth="1"/>
    <col min="14563" max="14563" width="38.88671875" style="7275" customWidth="1"/>
    <col min="14564" max="14564" width="11" style="7275" customWidth="1"/>
    <col min="14565" max="14565" width="14.88671875" style="7275" customWidth="1"/>
    <col min="14566" max="14566" width="14" style="7275" customWidth="1"/>
    <col min="14567" max="14567" width="13.88671875" style="7275" customWidth="1"/>
    <col min="14568" max="14817" width="9.109375" style="7275"/>
    <col min="14818" max="14818" width="3.88671875" style="7275" customWidth="1"/>
    <col min="14819" max="14819" width="38.88671875" style="7275" customWidth="1"/>
    <col min="14820" max="14820" width="11" style="7275" customWidth="1"/>
    <col min="14821" max="14821" width="14.88671875" style="7275" customWidth="1"/>
    <col min="14822" max="14822" width="14" style="7275" customWidth="1"/>
    <col min="14823" max="14823" width="13.88671875" style="7275" customWidth="1"/>
    <col min="14824" max="15073" width="9.109375" style="7275"/>
    <col min="15074" max="15074" width="3.88671875" style="7275" customWidth="1"/>
    <col min="15075" max="15075" width="38.88671875" style="7275" customWidth="1"/>
    <col min="15076" max="15076" width="11" style="7275" customWidth="1"/>
    <col min="15077" max="15077" width="14.88671875" style="7275" customWidth="1"/>
    <col min="15078" max="15078" width="14" style="7275" customWidth="1"/>
    <col min="15079" max="15079" width="13.88671875" style="7275" customWidth="1"/>
    <col min="15080" max="15329" width="9.109375" style="7275"/>
    <col min="15330" max="15330" width="3.88671875" style="7275" customWidth="1"/>
    <col min="15331" max="15331" width="38.88671875" style="7275" customWidth="1"/>
    <col min="15332" max="15332" width="11" style="7275" customWidth="1"/>
    <col min="15333" max="15333" width="14.88671875" style="7275" customWidth="1"/>
    <col min="15334" max="15334" width="14" style="7275" customWidth="1"/>
    <col min="15335" max="15335" width="13.88671875" style="7275" customWidth="1"/>
    <col min="15336" max="15585" width="9.109375" style="7275"/>
    <col min="15586" max="15586" width="3.88671875" style="7275" customWidth="1"/>
    <col min="15587" max="15587" width="38.88671875" style="7275" customWidth="1"/>
    <col min="15588" max="15588" width="11" style="7275" customWidth="1"/>
    <col min="15589" max="15589" width="14.88671875" style="7275" customWidth="1"/>
    <col min="15590" max="15590" width="14" style="7275" customWidth="1"/>
    <col min="15591" max="15591" width="13.88671875" style="7275" customWidth="1"/>
    <col min="15592" max="15841" width="9.109375" style="7275"/>
    <col min="15842" max="15842" width="3.88671875" style="7275" customWidth="1"/>
    <col min="15843" max="15843" width="38.88671875" style="7275" customWidth="1"/>
    <col min="15844" max="15844" width="11" style="7275" customWidth="1"/>
    <col min="15845" max="15845" width="14.88671875" style="7275" customWidth="1"/>
    <col min="15846" max="15846" width="14" style="7275" customWidth="1"/>
    <col min="15847" max="15847" width="13.88671875" style="7275" customWidth="1"/>
    <col min="15848" max="16097" width="9.109375" style="7275"/>
    <col min="16098" max="16098" width="3.88671875" style="7275" customWidth="1"/>
    <col min="16099" max="16099" width="38.88671875" style="7275" customWidth="1"/>
    <col min="16100" max="16100" width="11" style="7275" customWidth="1"/>
    <col min="16101" max="16101" width="14.88671875" style="7275" customWidth="1"/>
    <col min="16102" max="16102" width="14" style="7275" customWidth="1"/>
    <col min="16103" max="16103" width="13.88671875" style="7275" customWidth="1"/>
    <col min="16104" max="16384" width="9.109375" style="7275"/>
  </cols>
  <sheetData>
    <row r="1" spans="1:12" ht="15" customHeight="1">
      <c r="A1" s="14807" t="s">
        <v>1</v>
      </c>
      <c r="B1" s="14807"/>
      <c r="C1" s="14807"/>
      <c r="D1" s="14807"/>
      <c r="E1" s="14807"/>
      <c r="F1" s="14807"/>
      <c r="G1" s="14807"/>
      <c r="H1" s="14807"/>
      <c r="I1" s="14807"/>
      <c r="J1" s="14807"/>
    </row>
    <row r="2" spans="1:12" ht="15" customHeight="1">
      <c r="A2" s="7276"/>
      <c r="B2" s="7276"/>
      <c r="C2" s="7278"/>
      <c r="D2" s="7285"/>
      <c r="E2" s="7285"/>
      <c r="F2" s="7285"/>
      <c r="G2" s="7285"/>
      <c r="H2" s="7285"/>
      <c r="I2" s="7286"/>
      <c r="J2" s="7285"/>
    </row>
    <row r="3" spans="1:12" ht="15" customHeight="1">
      <c r="A3" s="7276" t="s">
        <v>2</v>
      </c>
      <c r="B3" s="7281"/>
      <c r="C3" s="7282" t="s">
        <v>10074</v>
      </c>
      <c r="D3" s="7283"/>
      <c r="E3" s="7283"/>
      <c r="F3" s="7283"/>
      <c r="G3" s="14809"/>
      <c r="H3" s="7283"/>
      <c r="I3" s="7284"/>
      <c r="J3" s="14952"/>
    </row>
    <row r="4" spans="1:12" ht="15" customHeight="1">
      <c r="A4" s="7276" t="s">
        <v>10713</v>
      </c>
      <c r="B4" s="7276"/>
      <c r="C4" s="7278" t="s">
        <v>318</v>
      </c>
      <c r="D4" s="7285"/>
      <c r="E4" s="7285"/>
      <c r="F4" s="7285"/>
      <c r="G4" s="14809"/>
      <c r="H4" s="7285"/>
      <c r="I4" s="7286"/>
      <c r="J4" s="14952"/>
    </row>
    <row r="5" spans="1:12" ht="15" customHeight="1">
      <c r="A5" s="7287" t="s">
        <v>7</v>
      </c>
      <c r="B5" s="7287"/>
      <c r="C5" s="7288" t="s">
        <v>8</v>
      </c>
      <c r="D5" s="7289"/>
      <c r="E5" s="7289"/>
      <c r="F5" s="7289"/>
      <c r="G5" s="7289"/>
      <c r="H5" s="7289"/>
      <c r="I5" s="7290"/>
      <c r="J5" s="7289"/>
    </row>
    <row r="6" spans="1:12" ht="15" customHeight="1" thickBot="1">
      <c r="A6" s="7397"/>
      <c r="B6" s="7397"/>
      <c r="C6" s="7398"/>
      <c r="D6" s="7399"/>
      <c r="E6" s="7293"/>
      <c r="F6" s="7293"/>
      <c r="G6" s="7399"/>
      <c r="H6" s="7293"/>
      <c r="I6" s="7294"/>
      <c r="J6" s="7399"/>
    </row>
    <row r="7" spans="1:12" ht="15" customHeight="1">
      <c r="A7" s="7694"/>
      <c r="B7" s="11658"/>
      <c r="C7" s="9460" t="s">
        <v>9</v>
      </c>
      <c r="D7" s="10868" t="s">
        <v>10</v>
      </c>
      <c r="E7" s="14188" t="s">
        <v>10711</v>
      </c>
      <c r="F7" s="14189"/>
      <c r="G7" s="14190"/>
      <c r="H7" s="8205" t="s">
        <v>9985</v>
      </c>
      <c r="I7" s="8206"/>
      <c r="J7" s="11659" t="s">
        <v>12</v>
      </c>
    </row>
    <row r="8" spans="1:12" ht="15" customHeight="1">
      <c r="A8" s="7657"/>
      <c r="B8" s="7295" t="s">
        <v>13</v>
      </c>
      <c r="C8" s="15145" t="s">
        <v>14</v>
      </c>
      <c r="D8" s="11123" t="s">
        <v>15</v>
      </c>
      <c r="E8" s="9502" t="s">
        <v>10709</v>
      </c>
      <c r="F8" s="9503" t="s">
        <v>10710</v>
      </c>
      <c r="G8" s="14191" t="s">
        <v>458</v>
      </c>
      <c r="H8" s="11190" t="s">
        <v>11839</v>
      </c>
      <c r="I8" s="11085"/>
      <c r="J8" s="11660" t="s">
        <v>16</v>
      </c>
    </row>
    <row r="9" spans="1:12" ht="15" customHeight="1" thickBot="1">
      <c r="A9" s="7699"/>
      <c r="B9" s="7897"/>
      <c r="C9" s="15146"/>
      <c r="D9" s="9455">
        <v>2017</v>
      </c>
      <c r="E9" s="9467" t="s">
        <v>457</v>
      </c>
      <c r="F9" s="11661" t="s">
        <v>456</v>
      </c>
      <c r="G9" s="14192"/>
      <c r="H9" s="7302">
        <v>2018</v>
      </c>
      <c r="I9" s="7322"/>
      <c r="J9" s="11662">
        <v>2019</v>
      </c>
    </row>
    <row r="10" spans="1:12" ht="15" customHeight="1">
      <c r="A10" s="12574" t="s">
        <v>17</v>
      </c>
      <c r="B10" s="7401" t="s">
        <v>18</v>
      </c>
      <c r="C10" s="10582"/>
      <c r="D10" s="12575"/>
      <c r="E10" s="12575"/>
      <c r="F10" s="12575"/>
      <c r="G10" s="12575"/>
      <c r="H10" s="12575"/>
      <c r="I10" s="11163"/>
      <c r="J10" s="12576"/>
    </row>
    <row r="11" spans="1:12" ht="15" customHeight="1">
      <c r="A11" s="12577"/>
      <c r="B11" s="7401" t="s">
        <v>19</v>
      </c>
      <c r="C11" s="10582"/>
      <c r="D11" s="12575"/>
      <c r="E11" s="12575"/>
      <c r="F11" s="12575"/>
      <c r="G11" s="12575"/>
      <c r="H11" s="12575"/>
      <c r="I11" s="11163"/>
      <c r="J11" s="12576"/>
    </row>
    <row r="12" spans="1:12" ht="15" customHeight="1">
      <c r="A12" s="12577"/>
      <c r="B12" s="8805" t="s">
        <v>20</v>
      </c>
      <c r="C12" s="8802">
        <v>50101010</v>
      </c>
      <c r="D12" s="12578">
        <f>'WS-PS 2017'!B49</f>
        <v>25113291.449999999</v>
      </c>
      <c r="E12" s="12578">
        <f>'WS-PS ACTUAL JUNE 2018'!B49</f>
        <v>13612779.550000001</v>
      </c>
      <c r="F12" s="12578">
        <f>G12-E12</f>
        <v>17645036.449999999</v>
      </c>
      <c r="G12" s="12578">
        <v>31257816</v>
      </c>
      <c r="H12" s="12578"/>
      <c r="I12" s="11165"/>
      <c r="J12" s="12579">
        <f>K12</f>
        <v>34882044</v>
      </c>
      <c r="K12" s="11719">
        <f>'staffing-PEO'!F68</f>
        <v>34882044</v>
      </c>
      <c r="L12" s="7346">
        <f>'staffing-PEO'!B68</f>
        <v>148</v>
      </c>
    </row>
    <row r="13" spans="1:12" ht="15" customHeight="1">
      <c r="A13" s="12577"/>
      <c r="B13" s="8805" t="s">
        <v>21</v>
      </c>
      <c r="C13" s="8802">
        <v>50102010</v>
      </c>
      <c r="D13" s="12575">
        <f>'WS-PS 2017'!F49</f>
        <v>2936151.95</v>
      </c>
      <c r="E13" s="12575">
        <f>'WS-PS ACTUAL JUNE 2018'!D49</f>
        <v>1460577.87</v>
      </c>
      <c r="F13" s="12578">
        <f t="shared" ref="F13:F28" si="0">G13-E13</f>
        <v>1947422.13</v>
      </c>
      <c r="G13" s="12575">
        <v>3408000</v>
      </c>
      <c r="H13" s="12575"/>
      <c r="I13" s="11163"/>
      <c r="J13" s="12579">
        <f t="shared" ref="J13:J28" si="1">K13</f>
        <v>3552000</v>
      </c>
      <c r="K13" s="7310">
        <f>24000*L12</f>
        <v>3552000</v>
      </c>
    </row>
    <row r="14" spans="1:12" ht="15" customHeight="1">
      <c r="A14" s="12577"/>
      <c r="B14" s="8805" t="s">
        <v>104</v>
      </c>
      <c r="C14" s="8802">
        <v>50102020</v>
      </c>
      <c r="D14" s="12575">
        <f>'WS-PS 2017'!G49</f>
        <v>189875</v>
      </c>
      <c r="E14" s="12575">
        <f>'WS-PS ACTUAL JUNE 2018'!E49</f>
        <v>77875</v>
      </c>
      <c r="F14" s="12578">
        <f t="shared" si="0"/>
        <v>114125</v>
      </c>
      <c r="G14" s="12575">
        <v>192000</v>
      </c>
      <c r="H14" s="12575"/>
      <c r="I14" s="11163"/>
      <c r="J14" s="12579">
        <f t="shared" si="1"/>
        <v>192000</v>
      </c>
      <c r="K14" s="7310">
        <v>192000</v>
      </c>
    </row>
    <row r="15" spans="1:12" ht="15" customHeight="1">
      <c r="A15" s="12577"/>
      <c r="B15" s="8805" t="s">
        <v>105</v>
      </c>
      <c r="C15" s="8802">
        <v>50102030</v>
      </c>
      <c r="D15" s="12575">
        <f>'WS-PS 2017'!H49</f>
        <v>0</v>
      </c>
      <c r="E15" s="12575">
        <f>'WS-PS ACTUAL JUNE 2018'!F49</f>
        <v>0</v>
      </c>
      <c r="F15" s="12578">
        <f t="shared" si="0"/>
        <v>90000</v>
      </c>
      <c r="G15" s="12575">
        <v>90000</v>
      </c>
      <c r="H15" s="12575"/>
      <c r="I15" s="11163"/>
      <c r="J15" s="12579">
        <f t="shared" si="1"/>
        <v>90000</v>
      </c>
      <c r="K15" s="7310">
        <v>90000</v>
      </c>
    </row>
    <row r="16" spans="1:12" ht="15" customHeight="1">
      <c r="A16" s="12577"/>
      <c r="B16" s="8805" t="s">
        <v>22</v>
      </c>
      <c r="C16" s="8802">
        <v>50102040</v>
      </c>
      <c r="D16" s="12575">
        <f>'WS-PS 2017'!I49</f>
        <v>635000</v>
      </c>
      <c r="E16" s="12575">
        <f>'WS-PS ACTUAL JUNE 2018'!G49</f>
        <v>707000</v>
      </c>
      <c r="F16" s="12578">
        <f t="shared" si="0"/>
        <v>3000</v>
      </c>
      <c r="G16" s="12575">
        <v>710000</v>
      </c>
      <c r="H16" s="12575"/>
      <c r="I16" s="11163"/>
      <c r="J16" s="12579">
        <f t="shared" si="1"/>
        <v>888000</v>
      </c>
      <c r="K16" s="7310">
        <f>6000*L12</f>
        <v>888000</v>
      </c>
    </row>
    <row r="17" spans="1:11" ht="15" customHeight="1">
      <c r="A17" s="12577"/>
      <c r="B17" s="7488" t="s">
        <v>10932</v>
      </c>
      <c r="C17" s="10368">
        <v>50102080</v>
      </c>
      <c r="D17" s="12575">
        <f>'WS-PS 2017'!L49</f>
        <v>601500</v>
      </c>
      <c r="E17" s="12575">
        <f>'WS-PS ACTUAL JUNE 2018'!J49</f>
        <v>0</v>
      </c>
      <c r="F17" s="12578">
        <f t="shared" si="0"/>
        <v>710000</v>
      </c>
      <c r="G17" s="12575">
        <v>710000</v>
      </c>
      <c r="H17" s="12575"/>
      <c r="I17" s="11163"/>
      <c r="J17" s="12579">
        <f t="shared" si="1"/>
        <v>740000</v>
      </c>
      <c r="K17" s="7310">
        <f>5000*L12</f>
        <v>740000</v>
      </c>
    </row>
    <row r="18" spans="1:11" ht="15" customHeight="1">
      <c r="A18" s="12577"/>
      <c r="B18" s="7488" t="s">
        <v>10934</v>
      </c>
      <c r="C18" s="8872">
        <v>50102120</v>
      </c>
      <c r="D18" s="12575">
        <f>'WS-PS 2017'!O49</f>
        <v>75000</v>
      </c>
      <c r="E18" s="12575">
        <f>'WS-PS ACTUAL JUNE 2018'!M49</f>
        <v>60000</v>
      </c>
      <c r="F18" s="12578">
        <f>G18-E18</f>
        <v>0</v>
      </c>
      <c r="G18" s="12575">
        <v>60000</v>
      </c>
      <c r="H18" s="12575"/>
      <c r="I18" s="11163"/>
      <c r="J18" s="12579">
        <f t="shared" si="1"/>
        <v>85000</v>
      </c>
      <c r="K18" s="7310">
        <v>85000</v>
      </c>
    </row>
    <row r="19" spans="1:11" ht="15" customHeight="1">
      <c r="A19" s="12577"/>
      <c r="B19" s="7287" t="s">
        <v>141</v>
      </c>
      <c r="C19" s="10136">
        <v>50102130</v>
      </c>
      <c r="D19" s="12575">
        <f>'WS-PS 2017'!R49</f>
        <v>375841.58</v>
      </c>
      <c r="E19" s="12575">
        <f>'WS-PS ACTUAL JUNE 2018'!N49</f>
        <v>28030.14</v>
      </c>
      <c r="F19" s="12578">
        <f t="shared" si="0"/>
        <v>471969.86</v>
      </c>
      <c r="G19" s="12575">
        <v>500000</v>
      </c>
      <c r="H19" s="12575"/>
      <c r="I19" s="11163"/>
      <c r="J19" s="12579">
        <v>500000</v>
      </c>
      <c r="K19" s="7310">
        <v>525000</v>
      </c>
    </row>
    <row r="20" spans="1:11" ht="15" customHeight="1">
      <c r="A20" s="12577"/>
      <c r="B20" s="7488" t="s">
        <v>10933</v>
      </c>
      <c r="C20" s="8872">
        <v>50102140</v>
      </c>
      <c r="D20" s="12580">
        <f>'WS-PS 2017'!U49+'WS-PS 2017'!S49</f>
        <v>4147757.1</v>
      </c>
      <c r="E20" s="12580">
        <f>'WS-PS ACTUAL JUNE 2018'!O49</f>
        <v>1982030</v>
      </c>
      <c r="F20" s="12578">
        <f>G20-E20</f>
        <v>3227606</v>
      </c>
      <c r="G20" s="12580">
        <v>5209636</v>
      </c>
      <c r="H20" s="12580"/>
      <c r="I20" s="11731"/>
      <c r="J20" s="12579">
        <f t="shared" si="1"/>
        <v>5813674</v>
      </c>
      <c r="K20" s="7310">
        <f>SUM(K11:K12)/12*2</f>
        <v>5813674</v>
      </c>
    </row>
    <row r="21" spans="1:11" ht="15" customHeight="1">
      <c r="A21" s="12577"/>
      <c r="B21" s="7287" t="s">
        <v>26</v>
      </c>
      <c r="C21" s="10136">
        <v>50102150</v>
      </c>
      <c r="D21" s="12575">
        <f>'WS-PS 2017'!T49</f>
        <v>621500</v>
      </c>
      <c r="E21" s="12575">
        <f>'WS-PS ACTUAL JUNE 2018'!Q49</f>
        <v>0</v>
      </c>
      <c r="F21" s="12578">
        <f t="shared" si="0"/>
        <v>710000</v>
      </c>
      <c r="G21" s="12575">
        <v>710000</v>
      </c>
      <c r="H21" s="12575"/>
      <c r="I21" s="11163"/>
      <c r="J21" s="12579">
        <f t="shared" si="1"/>
        <v>740000</v>
      </c>
      <c r="K21" s="7371">
        <f>K17</f>
        <v>740000</v>
      </c>
    </row>
    <row r="22" spans="1:11" ht="15" customHeight="1">
      <c r="A22" s="12577"/>
      <c r="B22" s="7488" t="s">
        <v>11497</v>
      </c>
      <c r="C22" s="11257">
        <v>50102990</v>
      </c>
      <c r="D22" s="12575">
        <v>0</v>
      </c>
      <c r="E22" s="12575">
        <f>'WS-PS ACTUAL JUNE 2018'!R49</f>
        <v>0</v>
      </c>
      <c r="F22" s="12578">
        <f>G22-E22</f>
        <v>1497770</v>
      </c>
      <c r="G22" s="12575">
        <v>1497770</v>
      </c>
      <c r="H22" s="12575"/>
      <c r="I22" s="11163"/>
      <c r="J22" s="12579">
        <v>0</v>
      </c>
      <c r="K22" s="7310">
        <f>K12/12*0.575</f>
        <v>1671431.2749999999</v>
      </c>
    </row>
    <row r="23" spans="1:11" ht="15" customHeight="1">
      <c r="A23" s="12577"/>
      <c r="B23" s="7803" t="s">
        <v>11499</v>
      </c>
      <c r="C23" s="11059" t="s">
        <v>11495</v>
      </c>
      <c r="D23" s="12575">
        <f>'WS-PS 2017'!Q49</f>
        <v>0</v>
      </c>
      <c r="E23" s="12575">
        <f>'WS-PS ACTUAL JUNE 2018'!S49</f>
        <v>0</v>
      </c>
      <c r="F23" s="12578">
        <f>G23-E23</f>
        <v>0</v>
      </c>
      <c r="G23" s="12575">
        <v>0</v>
      </c>
      <c r="H23" s="12575"/>
      <c r="I23" s="11163"/>
      <c r="J23" s="12579">
        <f t="shared" si="1"/>
        <v>444000</v>
      </c>
      <c r="K23" s="7310">
        <f>3000*L12</f>
        <v>444000</v>
      </c>
    </row>
    <row r="24" spans="1:11" ht="15" customHeight="1">
      <c r="A24" s="12577"/>
      <c r="B24" s="11518" t="s">
        <v>59</v>
      </c>
      <c r="C24" s="8872">
        <v>50103010</v>
      </c>
      <c r="D24" s="12575">
        <f>'WS-PS 2017'!V49</f>
        <v>3013601.93</v>
      </c>
      <c r="E24" s="12575">
        <f>'WS-PS ACTUAL JUNE 2018'!T49</f>
        <v>1633533.56</v>
      </c>
      <c r="F24" s="12578">
        <f t="shared" si="0"/>
        <v>2117404.44</v>
      </c>
      <c r="G24" s="12575">
        <v>3750938</v>
      </c>
      <c r="H24" s="12575"/>
      <c r="I24" s="11163"/>
      <c r="J24" s="12579">
        <f t="shared" si="1"/>
        <v>4185845.28</v>
      </c>
      <c r="K24" s="11720">
        <f>SUM(K11:K12)*12%</f>
        <v>4185845.28</v>
      </c>
    </row>
    <row r="25" spans="1:11" ht="15" customHeight="1">
      <c r="A25" s="12577"/>
      <c r="B25" s="7803" t="s">
        <v>28</v>
      </c>
      <c r="C25" s="8872">
        <v>50103020</v>
      </c>
      <c r="D25" s="12575">
        <f>'WS-PS 2017'!W49</f>
        <v>147200</v>
      </c>
      <c r="E25" s="12575">
        <f>'WS-PS ACTUAL JUNE 2018'!U49</f>
        <v>73300</v>
      </c>
      <c r="F25" s="12578">
        <f t="shared" si="0"/>
        <v>97100</v>
      </c>
      <c r="G25" s="12575">
        <v>170400</v>
      </c>
      <c r="H25" s="12575"/>
      <c r="I25" s="11163"/>
      <c r="J25" s="12579">
        <f t="shared" si="1"/>
        <v>177600</v>
      </c>
      <c r="K25" s="7310">
        <f>1200*L12</f>
        <v>177600</v>
      </c>
    </row>
    <row r="26" spans="1:11" ht="15" customHeight="1">
      <c r="A26" s="12577"/>
      <c r="B26" s="7803" t="s">
        <v>29</v>
      </c>
      <c r="C26" s="8872">
        <v>50103030</v>
      </c>
      <c r="D26" s="12575">
        <f>'WS-PS 2017'!X49</f>
        <v>267837.5</v>
      </c>
      <c r="E26" s="12575">
        <f>'WS-PS ACTUAL JUNE 2018'!V49</f>
        <v>169601.62</v>
      </c>
      <c r="F26" s="12578">
        <f t="shared" si="0"/>
        <v>176998.38</v>
      </c>
      <c r="G26" s="12575">
        <v>346600</v>
      </c>
      <c r="H26" s="12575"/>
      <c r="I26" s="11163"/>
      <c r="J26" s="12579">
        <v>415734.82500000007</v>
      </c>
      <c r="K26" s="7310">
        <f>3600*L12</f>
        <v>532800</v>
      </c>
    </row>
    <row r="27" spans="1:11" ht="15" customHeight="1">
      <c r="A27" s="12577"/>
      <c r="B27" s="7803" t="s">
        <v>30</v>
      </c>
      <c r="C27" s="8872">
        <v>50103040</v>
      </c>
      <c r="D27" s="12575">
        <f>'WS-PS 2017'!Y49</f>
        <v>147041.1</v>
      </c>
      <c r="E27" s="12575">
        <f>'WS-PS ACTUAL JUNE 2018'!W49</f>
        <v>73290.77</v>
      </c>
      <c r="F27" s="12578">
        <f t="shared" si="0"/>
        <v>97109.23</v>
      </c>
      <c r="G27" s="12575">
        <v>170400</v>
      </c>
      <c r="H27" s="12575"/>
      <c r="I27" s="11163"/>
      <c r="J27" s="12579">
        <f t="shared" si="1"/>
        <v>177600</v>
      </c>
      <c r="K27" s="7310">
        <f>K25</f>
        <v>177600</v>
      </c>
    </row>
    <row r="28" spans="1:11" ht="15" customHeight="1">
      <c r="A28" s="12577"/>
      <c r="B28" s="7488" t="s">
        <v>5025</v>
      </c>
      <c r="C28" s="11258">
        <v>50104990</v>
      </c>
      <c r="D28" s="12575">
        <f>'WS-PS 2017'!Z49</f>
        <v>3072500</v>
      </c>
      <c r="E28" s="12575"/>
      <c r="F28" s="12578">
        <f t="shared" si="0"/>
        <v>0</v>
      </c>
      <c r="G28" s="12575">
        <v>0</v>
      </c>
      <c r="H28" s="12575"/>
      <c r="I28" s="11163"/>
      <c r="J28" s="12579">
        <f t="shared" si="1"/>
        <v>0</v>
      </c>
    </row>
    <row r="29" spans="1:11" ht="15" customHeight="1">
      <c r="A29" s="12577"/>
      <c r="B29" s="7401"/>
      <c r="C29" s="10582"/>
      <c r="D29" s="12581"/>
      <c r="E29" s="12582"/>
      <c r="F29" s="12582"/>
      <c r="G29" s="7477"/>
      <c r="H29" s="7477"/>
      <c r="I29" s="7478"/>
      <c r="J29" s="12583"/>
    </row>
    <row r="30" spans="1:11" ht="15" customHeight="1" thickBot="1">
      <c r="A30" s="12584"/>
      <c r="B30" s="7481" t="s">
        <v>37</v>
      </c>
      <c r="C30" s="12585"/>
      <c r="D30" s="12586">
        <f>SUM(D11:D29)</f>
        <v>41344097.609999999</v>
      </c>
      <c r="E30" s="12586">
        <f>SUM(E11:E29)</f>
        <v>19878018.510000002</v>
      </c>
      <c r="F30" s="12587">
        <f>G30-E30</f>
        <v>28905541.489999998</v>
      </c>
      <c r="G30" s="12587">
        <f>SUM(G11:G29)</f>
        <v>48783560</v>
      </c>
      <c r="H30" s="12587"/>
      <c r="I30" s="7327"/>
      <c r="J30" s="12588">
        <f>SUM(J11:J29)</f>
        <v>52883498.105000004</v>
      </c>
      <c r="K30" s="11657">
        <f>SUM(K12:K29)</f>
        <v>54696994.555</v>
      </c>
    </row>
    <row r="31" spans="1:11" ht="15" customHeight="1">
      <c r="A31" s="7455"/>
      <c r="B31" s="7456"/>
      <c r="C31" s="7457"/>
      <c r="D31" s="9417"/>
      <c r="E31" s="9417"/>
      <c r="F31" s="9417"/>
      <c r="G31" s="7458"/>
      <c r="H31" s="7458"/>
      <c r="I31" s="7389"/>
      <c r="J31" s="7458"/>
    </row>
    <row r="32" spans="1:11" ht="15" customHeight="1">
      <c r="A32" s="7401"/>
      <c r="B32" s="7406"/>
      <c r="C32" s="7407"/>
      <c r="D32" s="9418"/>
      <c r="E32" s="9418"/>
      <c r="F32" s="9418"/>
      <c r="G32" s="7408"/>
      <c r="H32" s="7408"/>
      <c r="I32" s="7350"/>
      <c r="J32" s="7408"/>
    </row>
    <row r="33" spans="1:10" ht="15" customHeight="1">
      <c r="A33" s="7401"/>
      <c r="B33" s="7406"/>
      <c r="C33" s="7407"/>
      <c r="D33" s="9418"/>
      <c r="E33" s="9418"/>
      <c r="F33" s="9418"/>
      <c r="G33" s="7408"/>
      <c r="H33" s="7408"/>
      <c r="I33" s="7350"/>
      <c r="J33" s="7408"/>
    </row>
    <row r="34" spans="1:10" ht="15" customHeight="1">
      <c r="A34" s="7401"/>
      <c r="B34" s="7406"/>
      <c r="C34" s="7407"/>
      <c r="D34" s="9418"/>
      <c r="E34" s="9418"/>
      <c r="F34" s="9418"/>
      <c r="G34" s="7408"/>
      <c r="H34" s="7408"/>
      <c r="I34" s="7350"/>
      <c r="J34" s="7408"/>
    </row>
    <row r="35" spans="1:10" ht="15" customHeight="1">
      <c r="A35" s="7401"/>
      <c r="B35" s="7406"/>
      <c r="C35" s="7407"/>
      <c r="D35" s="9418"/>
      <c r="E35" s="9418"/>
      <c r="F35" s="9418"/>
      <c r="G35" s="7408"/>
      <c r="H35" s="7408"/>
      <c r="I35" s="7350"/>
      <c r="J35" s="7408"/>
    </row>
    <row r="36" spans="1:10" ht="15" customHeight="1">
      <c r="A36" s="7401"/>
      <c r="B36" s="7406"/>
      <c r="C36" s="7407"/>
      <c r="D36" s="9418"/>
      <c r="E36" s="9418"/>
      <c r="F36" s="9418"/>
      <c r="G36" s="7408"/>
      <c r="H36" s="7408"/>
      <c r="I36" s="7350"/>
      <c r="J36" s="7408"/>
    </row>
    <row r="37" spans="1:10" ht="15" customHeight="1">
      <c r="A37" s="7401"/>
      <c r="B37" s="7406"/>
      <c r="C37" s="7407"/>
      <c r="D37" s="9418"/>
      <c r="E37" s="9418"/>
      <c r="F37" s="9418"/>
      <c r="G37" s="7408"/>
      <c r="H37" s="7408"/>
      <c r="I37" s="7350"/>
      <c r="J37" s="7408"/>
    </row>
    <row r="38" spans="1:10" ht="15" customHeight="1">
      <c r="A38" s="7401"/>
      <c r="B38" s="7406"/>
      <c r="C38" s="7407"/>
      <c r="D38" s="9418"/>
      <c r="E38" s="9418"/>
      <c r="F38" s="9418"/>
      <c r="G38" s="7408"/>
      <c r="H38" s="7408"/>
      <c r="I38" s="7350"/>
      <c r="J38" s="7408"/>
    </row>
    <row r="39" spans="1:10" ht="15" customHeight="1" thickBot="1">
      <c r="A39" s="7459" t="s">
        <v>3031</v>
      </c>
      <c r="B39" s="7460"/>
      <c r="C39" s="7461"/>
      <c r="D39" s="7462"/>
      <c r="E39" s="7462"/>
      <c r="F39" s="7462"/>
      <c r="G39" s="7462"/>
      <c r="H39" s="7462"/>
      <c r="I39" s="7394"/>
      <c r="J39" s="7462"/>
    </row>
    <row r="40" spans="1:10" ht="15" customHeight="1">
      <c r="A40" s="7694"/>
      <c r="B40" s="11658"/>
      <c r="C40" s="9460" t="s">
        <v>9</v>
      </c>
      <c r="D40" s="10868" t="s">
        <v>10</v>
      </c>
      <c r="E40" s="14188" t="s">
        <v>10711</v>
      </c>
      <c r="F40" s="14189"/>
      <c r="G40" s="14190"/>
      <c r="H40" s="11080"/>
      <c r="I40" s="8206"/>
      <c r="J40" s="11659" t="s">
        <v>12</v>
      </c>
    </row>
    <row r="41" spans="1:10" ht="15" customHeight="1">
      <c r="A41" s="7657"/>
      <c r="B41" s="7295" t="s">
        <v>13</v>
      </c>
      <c r="C41" s="15145" t="s">
        <v>14</v>
      </c>
      <c r="D41" s="11123" t="s">
        <v>15</v>
      </c>
      <c r="E41" s="9502" t="s">
        <v>10709</v>
      </c>
      <c r="F41" s="9503" t="s">
        <v>10710</v>
      </c>
      <c r="G41" s="14191" t="s">
        <v>458</v>
      </c>
      <c r="H41" s="11084"/>
      <c r="I41" s="11085"/>
      <c r="J41" s="11660" t="s">
        <v>16</v>
      </c>
    </row>
    <row r="42" spans="1:10" ht="15" customHeight="1" thickBot="1">
      <c r="A42" s="7699"/>
      <c r="B42" s="7897"/>
      <c r="C42" s="15146"/>
      <c r="D42" s="9455">
        <v>2017</v>
      </c>
      <c r="E42" s="9467" t="s">
        <v>457</v>
      </c>
      <c r="F42" s="11661" t="s">
        <v>456</v>
      </c>
      <c r="G42" s="14192"/>
      <c r="H42" s="7302"/>
      <c r="I42" s="7322"/>
      <c r="J42" s="11662">
        <v>2019</v>
      </c>
    </row>
    <row r="43" spans="1:10" ht="15" customHeight="1">
      <c r="A43" s="7657"/>
      <c r="B43" s="7295"/>
      <c r="C43" s="12589"/>
      <c r="D43" s="11676"/>
      <c r="E43" s="11123"/>
      <c r="F43" s="11123"/>
      <c r="G43" s="11123"/>
      <c r="H43" s="11181"/>
      <c r="I43" s="11108"/>
      <c r="J43" s="11677"/>
    </row>
    <row r="44" spans="1:10" ht="15" customHeight="1">
      <c r="A44" s="12574"/>
      <c r="B44" s="7401" t="s">
        <v>38</v>
      </c>
      <c r="C44" s="10582"/>
      <c r="D44" s="12590"/>
      <c r="E44" s="12590"/>
      <c r="F44" s="12590"/>
      <c r="G44" s="12575"/>
      <c r="H44" s="12575"/>
      <c r="I44" s="11163"/>
      <c r="J44" s="12576"/>
    </row>
    <row r="45" spans="1:10" ht="15" customHeight="1">
      <c r="A45" s="12577"/>
      <c r="B45" s="8805" t="s">
        <v>39</v>
      </c>
      <c r="C45" s="8802">
        <v>50201010</v>
      </c>
      <c r="D45" s="12575">
        <f>'WS-MOOE 2017'!B49</f>
        <v>1340322.5900000001</v>
      </c>
      <c r="E45" s="12575">
        <f>'WS-MOOE ACTUAL JUNE 2018'!B50</f>
        <v>287603.92</v>
      </c>
      <c r="F45" s="12578">
        <f t="shared" ref="F45:F64" si="2">G45-E45</f>
        <v>2601996.08</v>
      </c>
      <c r="G45" s="12575">
        <v>2889600</v>
      </c>
      <c r="H45" s="12575">
        <v>679693.6</v>
      </c>
      <c r="I45" s="11163">
        <f>H45/G45</f>
        <v>0.23522065337763012</v>
      </c>
      <c r="J45" s="12576">
        <v>3000000</v>
      </c>
    </row>
    <row r="46" spans="1:10" ht="15" customHeight="1">
      <c r="A46" s="12577"/>
      <c r="B46" s="8805" t="s">
        <v>41</v>
      </c>
      <c r="C46" s="8802">
        <v>50202010</v>
      </c>
      <c r="D46" s="12575">
        <f>'WS-MOOE 2017'!H49</f>
        <v>262953.5</v>
      </c>
      <c r="E46" s="12575">
        <f>'WS-MOOE ACTUAL JUNE 2018'!G50</f>
        <v>0</v>
      </c>
      <c r="F46" s="12578">
        <f t="shared" si="2"/>
        <v>410000</v>
      </c>
      <c r="G46" s="12575">
        <v>410000</v>
      </c>
      <c r="H46" s="12575">
        <v>188500</v>
      </c>
      <c r="I46" s="11163">
        <f t="shared" ref="I46:I64" si="3">H46/G46</f>
        <v>0.45975609756097563</v>
      </c>
      <c r="J46" s="12576">
        <v>500000</v>
      </c>
    </row>
    <row r="47" spans="1:10" ht="15" customHeight="1">
      <c r="A47" s="12577"/>
      <c r="B47" s="8805" t="s">
        <v>42</v>
      </c>
      <c r="C47" s="8802">
        <v>50203010</v>
      </c>
      <c r="D47" s="12575">
        <f>'WS-MOOE 2017'!J49</f>
        <v>443729.6</v>
      </c>
      <c r="E47" s="12575">
        <f>'WS-MOOE ACTUAL JUNE 2018'!H50</f>
        <v>70142.399999999994</v>
      </c>
      <c r="F47" s="12578">
        <f t="shared" si="2"/>
        <v>629857.6</v>
      </c>
      <c r="G47" s="12575">
        <v>700000</v>
      </c>
      <c r="H47" s="12575">
        <v>465728.8</v>
      </c>
      <c r="I47" s="11163">
        <f t="shared" si="3"/>
        <v>0.66532685714285711</v>
      </c>
      <c r="J47" s="12576">
        <v>770000</v>
      </c>
    </row>
    <row r="48" spans="1:10" ht="15" customHeight="1">
      <c r="A48" s="12577"/>
      <c r="B48" s="8805" t="s">
        <v>44</v>
      </c>
      <c r="C48" s="8802">
        <v>50203090</v>
      </c>
      <c r="D48" s="12575">
        <f>'WS-MOOE 2017'!R49</f>
        <v>6970624.3399999999</v>
      </c>
      <c r="E48" s="12575">
        <f>'WS-MOOE ACTUAL JUNE 2018'!O50</f>
        <v>6618626.8099999996</v>
      </c>
      <c r="F48" s="12578">
        <f t="shared" si="2"/>
        <v>11381373.190000001</v>
      </c>
      <c r="G48" s="12575">
        <v>18000000</v>
      </c>
      <c r="H48" s="12575">
        <v>17789034.859999999</v>
      </c>
      <c r="I48" s="11163">
        <f t="shared" si="3"/>
        <v>0.9882797144444444</v>
      </c>
      <c r="J48" s="12576">
        <v>23000000</v>
      </c>
    </row>
    <row r="49" spans="1:11" ht="15" customHeight="1">
      <c r="A49" s="12577"/>
      <c r="B49" s="8805" t="s">
        <v>45</v>
      </c>
      <c r="C49" s="8802">
        <v>50204010</v>
      </c>
      <c r="D49" s="12575">
        <f>'WS-MOOE 2017'!W49</f>
        <v>34341.1</v>
      </c>
      <c r="E49" s="12575">
        <f>'WS-MOOE ACTUAL JUNE 2018'!R50</f>
        <v>17428.8</v>
      </c>
      <c r="F49" s="12578">
        <f t="shared" si="2"/>
        <v>66571.199999999997</v>
      </c>
      <c r="G49" s="12575">
        <v>84000</v>
      </c>
      <c r="H49" s="12575">
        <v>23041.200000000001</v>
      </c>
      <c r="I49" s="11163">
        <f t="shared" si="3"/>
        <v>0.27429999999999999</v>
      </c>
      <c r="J49" s="11678">
        <v>0</v>
      </c>
      <c r="K49" s="7403">
        <v>72000</v>
      </c>
    </row>
    <row r="50" spans="1:11" ht="15" customHeight="1">
      <c r="A50" s="12577"/>
      <c r="B50" s="8805" t="s">
        <v>46</v>
      </c>
      <c r="C50" s="8802">
        <v>50204020</v>
      </c>
      <c r="D50" s="12575">
        <f>'WS-MOOE 2017'!X49</f>
        <v>567181.38</v>
      </c>
      <c r="E50" s="12575">
        <f>'WS-MOOE ACTUAL JUNE 2018'!S50</f>
        <v>250328.12</v>
      </c>
      <c r="F50" s="12578">
        <f t="shared" si="2"/>
        <v>399671.88</v>
      </c>
      <c r="G50" s="12575">
        <v>650000</v>
      </c>
      <c r="H50" s="12575">
        <v>368548.95</v>
      </c>
      <c r="I50" s="11163">
        <f t="shared" si="3"/>
        <v>0.56699838461538465</v>
      </c>
      <c r="J50" s="11678">
        <v>0</v>
      </c>
      <c r="K50" s="7403">
        <v>720000</v>
      </c>
    </row>
    <row r="51" spans="1:11" ht="15" customHeight="1">
      <c r="A51" s="12577"/>
      <c r="B51" s="8805" t="s">
        <v>62</v>
      </c>
      <c r="C51" s="8802">
        <v>50205010</v>
      </c>
      <c r="D51" s="12575">
        <f>'WS-MOOE 2017'!Z49</f>
        <v>1235</v>
      </c>
      <c r="E51" s="12575">
        <f>'WS-MOOE ACTUAL JUNE 2018'!U50</f>
        <v>730</v>
      </c>
      <c r="F51" s="12578">
        <f t="shared" si="2"/>
        <v>2270</v>
      </c>
      <c r="G51" s="12575">
        <v>3000</v>
      </c>
      <c r="H51" s="12575">
        <v>730</v>
      </c>
      <c r="I51" s="11163">
        <f t="shared" si="3"/>
        <v>0.24333333333333335</v>
      </c>
      <c r="J51" s="12576">
        <v>3000</v>
      </c>
    </row>
    <row r="52" spans="1:11" ht="15" customHeight="1">
      <c r="A52" s="12577"/>
      <c r="B52" s="8808" t="s">
        <v>155</v>
      </c>
      <c r="C52" s="8802">
        <v>50205020</v>
      </c>
      <c r="D52" s="12575">
        <f>'WS-MOOE 2017'!AA49+'WS-MOOE 2017'!AC49</f>
        <v>145144.79999999999</v>
      </c>
      <c r="E52" s="12575">
        <f>'WS-MOOE ACTUAL JUNE 2018'!V50</f>
        <v>69637</v>
      </c>
      <c r="F52" s="12578">
        <f t="shared" si="2"/>
        <v>130363</v>
      </c>
      <c r="G52" s="12575">
        <v>200000</v>
      </c>
      <c r="H52" s="12575">
        <v>110564.4</v>
      </c>
      <c r="I52" s="11163">
        <f t="shared" si="3"/>
        <v>0.55282199999999992</v>
      </c>
      <c r="J52" s="12576">
        <f>125000+75000</f>
        <v>200000</v>
      </c>
    </row>
    <row r="53" spans="1:11" ht="15" hidden="1" customHeight="1">
      <c r="A53" s="12577"/>
      <c r="B53" s="8805" t="s">
        <v>89</v>
      </c>
      <c r="C53" s="8802"/>
      <c r="D53" s="12575"/>
      <c r="E53" s="12575"/>
      <c r="F53" s="12578">
        <f t="shared" si="2"/>
        <v>0</v>
      </c>
      <c r="G53" s="12575"/>
      <c r="H53" s="12575"/>
      <c r="I53" s="11163">
        <v>0</v>
      </c>
      <c r="J53" s="12576"/>
    </row>
    <row r="54" spans="1:11" ht="15" hidden="1" customHeight="1">
      <c r="A54" s="12577"/>
      <c r="B54" s="7401" t="s">
        <v>136</v>
      </c>
      <c r="C54" s="10582">
        <v>774</v>
      </c>
      <c r="D54" s="12575">
        <f>'WS-MOOE 2017'!AE49</f>
        <v>0</v>
      </c>
      <c r="E54" s="12575"/>
      <c r="F54" s="12578">
        <f t="shared" si="2"/>
        <v>0</v>
      </c>
      <c r="G54" s="12575">
        <v>0</v>
      </c>
      <c r="H54" s="12575"/>
      <c r="I54" s="11163"/>
      <c r="J54" s="12576">
        <v>0</v>
      </c>
    </row>
    <row r="55" spans="1:11" ht="15" customHeight="1">
      <c r="A55" s="12577"/>
      <c r="B55" s="7352" t="s">
        <v>10940</v>
      </c>
      <c r="C55" s="8872">
        <v>50212990</v>
      </c>
      <c r="D55" s="12575">
        <f>'WS-MOOE 2017'!AO49+'WS-MOOE 2017'!AQ49</f>
        <v>15575561.859999999</v>
      </c>
      <c r="E55" s="12575">
        <f>'WS-MOOE ACTUAL JUNE 2018'!AJ50</f>
        <v>6274051</v>
      </c>
      <c r="F55" s="12578">
        <f>SUM(G55:G56)-E55</f>
        <v>9525949</v>
      </c>
      <c r="G55" s="12575">
        <v>15800000</v>
      </c>
      <c r="H55" s="12575">
        <v>10270690.92</v>
      </c>
      <c r="I55" s="11163">
        <f t="shared" si="3"/>
        <v>0.65004372911392405</v>
      </c>
      <c r="J55" s="12576">
        <v>2500000</v>
      </c>
    </row>
    <row r="56" spans="1:11" ht="15" customHeight="1">
      <c r="A56" s="12577"/>
      <c r="B56" s="7401" t="s">
        <v>11843</v>
      </c>
      <c r="C56" s="10582"/>
      <c r="D56" s="12575"/>
      <c r="E56" s="12575"/>
      <c r="F56" s="12578"/>
      <c r="G56" s="12575"/>
      <c r="H56" s="12575"/>
      <c r="I56" s="11163">
        <v>0</v>
      </c>
      <c r="J56" s="12576">
        <v>16000000</v>
      </c>
      <c r="K56" s="7310">
        <v>17500000</v>
      </c>
    </row>
    <row r="57" spans="1:11" ht="15" customHeight="1">
      <c r="A57" s="12577"/>
      <c r="B57" s="7488" t="s">
        <v>10944</v>
      </c>
      <c r="C57" s="11258">
        <v>50211990</v>
      </c>
      <c r="D57" s="12575">
        <f>'WS-MOOE 2017'!AL49</f>
        <v>1822782.58</v>
      </c>
      <c r="E57" s="12575">
        <f>'WS-MOOE ACTUAL JUNE 2018'!AF50</f>
        <v>1768028.29</v>
      </c>
      <c r="F57" s="12578">
        <f t="shared" si="2"/>
        <v>2231971.71</v>
      </c>
      <c r="G57" s="12575">
        <v>4000000</v>
      </c>
      <c r="H57" s="12575">
        <v>3559128.64</v>
      </c>
      <c r="I57" s="11163">
        <f>H57/G57</f>
        <v>0.88978215999999999</v>
      </c>
      <c r="J57" s="12576">
        <v>5520000</v>
      </c>
    </row>
    <row r="58" spans="1:11" ht="15" customHeight="1">
      <c r="A58" s="12577"/>
      <c r="B58" s="7488" t="s">
        <v>10959</v>
      </c>
      <c r="C58" s="10377">
        <v>50213040</v>
      </c>
      <c r="D58" s="12575">
        <f>'WS-MOOE 2017'!AS49</f>
        <v>122181.5</v>
      </c>
      <c r="E58" s="12575">
        <f>'WS-MOOE ACTUAL JUNE 2018'!AN50</f>
        <v>2550.5</v>
      </c>
      <c r="F58" s="12578">
        <f t="shared" si="2"/>
        <v>497449.5</v>
      </c>
      <c r="G58" s="12575">
        <v>500000</v>
      </c>
      <c r="H58" s="12575">
        <v>135118.97</v>
      </c>
      <c r="I58" s="11163">
        <f t="shared" si="3"/>
        <v>0.27023794000000001</v>
      </c>
      <c r="J58" s="12576">
        <v>400000</v>
      </c>
    </row>
    <row r="59" spans="1:11" ht="15" hidden="1" customHeight="1">
      <c r="A59" s="12577"/>
      <c r="B59" s="7352" t="s">
        <v>115</v>
      </c>
      <c r="C59" s="10387"/>
      <c r="D59" s="12575"/>
      <c r="E59" s="12575"/>
      <c r="F59" s="12578">
        <f t="shared" si="2"/>
        <v>0</v>
      </c>
      <c r="G59" s="12575"/>
      <c r="H59" s="12575"/>
      <c r="I59" s="11163"/>
      <c r="J59" s="12576"/>
    </row>
    <row r="60" spans="1:11" ht="15" customHeight="1">
      <c r="A60" s="12577"/>
      <c r="B60" s="7488" t="s">
        <v>10938</v>
      </c>
      <c r="C60" s="8872">
        <v>50213050</v>
      </c>
      <c r="D60" s="12575">
        <f>'WS-MOOE 2017'!AW49</f>
        <v>111480.33</v>
      </c>
      <c r="E60" s="12575">
        <f>'WS-MOOE ACTUAL JUNE 2018'!AS50</f>
        <v>27380</v>
      </c>
      <c r="F60" s="12578">
        <f t="shared" si="2"/>
        <v>242620</v>
      </c>
      <c r="G60" s="12575">
        <v>270000</v>
      </c>
      <c r="H60" s="12575">
        <v>238232.35</v>
      </c>
      <c r="I60" s="11163">
        <f t="shared" si="3"/>
        <v>0.88234203703703706</v>
      </c>
      <c r="J60" s="12576">
        <v>300000</v>
      </c>
    </row>
    <row r="61" spans="1:11" ht="15" customHeight="1">
      <c r="A61" s="12577"/>
      <c r="B61" s="7488" t="s">
        <v>10937</v>
      </c>
      <c r="C61" s="11258">
        <v>50213060</v>
      </c>
      <c r="D61" s="12575">
        <f>'WS-MOOE 2017'!BB49</f>
        <v>794378.89</v>
      </c>
      <c r="E61" s="12575">
        <f>'WS-MOOE ACTUAL JUNE 2018'!AT50</f>
        <v>484328.25</v>
      </c>
      <c r="F61" s="12578">
        <f t="shared" si="2"/>
        <v>1015671.75</v>
      </c>
      <c r="G61" s="12575">
        <v>1500000</v>
      </c>
      <c r="H61" s="12575">
        <v>1334957.25</v>
      </c>
      <c r="I61" s="11163">
        <f t="shared" si="3"/>
        <v>0.88997150000000003</v>
      </c>
      <c r="J61" s="12576">
        <v>1300000</v>
      </c>
    </row>
    <row r="62" spans="1:11" ht="15" customHeight="1">
      <c r="A62" s="12577"/>
      <c r="B62" s="7401" t="s">
        <v>319</v>
      </c>
      <c r="C62" s="10582"/>
      <c r="D62" s="12575">
        <f>'WS-MOOE 2017'!BD49</f>
        <v>0</v>
      </c>
      <c r="E62" s="12575">
        <f>'WS-MOOE ACTUAL JUNE 2018'!AM50</f>
        <v>35200</v>
      </c>
      <c r="F62" s="12578">
        <f t="shared" si="2"/>
        <v>19964800</v>
      </c>
      <c r="G62" s="12575">
        <v>20000000</v>
      </c>
      <c r="H62" s="12575">
        <v>17689616.289999999</v>
      </c>
      <c r="I62" s="11163">
        <f t="shared" si="3"/>
        <v>0.88448081449999993</v>
      </c>
      <c r="J62" s="12576">
        <v>22000000</v>
      </c>
      <c r="K62" s="7310">
        <v>28000000</v>
      </c>
    </row>
    <row r="63" spans="1:11" ht="15" customHeight="1">
      <c r="A63" s="12577"/>
      <c r="B63" s="8806" t="s">
        <v>49</v>
      </c>
      <c r="C63" s="8872">
        <v>50215020</v>
      </c>
      <c r="D63" s="12575">
        <f>'WS-MOOE 2017'!BH49</f>
        <v>1012.5</v>
      </c>
      <c r="E63" s="12575">
        <f>'WS-MOOE ACTUAL JUNE 2018'!AZ50</f>
        <v>0</v>
      </c>
      <c r="F63" s="12578">
        <f t="shared" si="2"/>
        <v>3000</v>
      </c>
      <c r="G63" s="12575">
        <v>3000</v>
      </c>
      <c r="H63" s="12575">
        <v>0</v>
      </c>
      <c r="I63" s="11163">
        <f t="shared" si="3"/>
        <v>0</v>
      </c>
      <c r="J63" s="12576">
        <v>4000</v>
      </c>
    </row>
    <row r="64" spans="1:11" ht="15" customHeight="1">
      <c r="A64" s="12577"/>
      <c r="B64" s="8808" t="s">
        <v>50</v>
      </c>
      <c r="C64" s="10149">
        <v>50299990</v>
      </c>
      <c r="D64" s="12575">
        <f>'WS-MOOE 2017'!BO49</f>
        <v>207848.69</v>
      </c>
      <c r="E64" s="12575">
        <f>'WS-MOOE ACTUAL JUNE 2018'!BI50</f>
        <v>71211.45</v>
      </c>
      <c r="F64" s="12578">
        <f t="shared" si="2"/>
        <v>328788.55</v>
      </c>
      <c r="G64" s="12575">
        <v>400000</v>
      </c>
      <c r="H64" s="12575">
        <v>186550.35</v>
      </c>
      <c r="I64" s="11163">
        <f t="shared" si="3"/>
        <v>0.466375875</v>
      </c>
      <c r="J64" s="12576">
        <v>400000</v>
      </c>
    </row>
    <row r="65" spans="1:11" ht="15" customHeight="1">
      <c r="A65" s="12577"/>
      <c r="B65" s="8808" t="s">
        <v>11547</v>
      </c>
      <c r="C65" s="10149"/>
      <c r="D65" s="12575"/>
      <c r="E65" s="12575"/>
      <c r="F65" s="12578"/>
      <c r="G65" s="12575"/>
      <c r="H65" s="12575"/>
      <c r="I65" s="11163"/>
      <c r="J65" s="12576">
        <v>100000</v>
      </c>
    </row>
    <row r="66" spans="1:11" ht="15" customHeight="1">
      <c r="A66" s="12577"/>
      <c r="B66" s="7401"/>
      <c r="C66" s="10582"/>
      <c r="D66" s="12575"/>
      <c r="E66" s="12575"/>
      <c r="F66" s="12575"/>
      <c r="G66" s="12575"/>
      <c r="H66" s="12575"/>
      <c r="I66" s="11163"/>
      <c r="J66" s="12576"/>
    </row>
    <row r="67" spans="1:11" ht="15" customHeight="1" thickBot="1">
      <c r="A67" s="12584"/>
      <c r="B67" s="7481" t="s">
        <v>37</v>
      </c>
      <c r="C67" s="12585"/>
      <c r="D67" s="12586">
        <f>SUM(D45:D66)</f>
        <v>28400778.66</v>
      </c>
      <c r="E67" s="12586">
        <f>SUM(E45:E66)</f>
        <v>15977246.539999999</v>
      </c>
      <c r="F67" s="12586">
        <f>SUM(F45:F66)</f>
        <v>49432353.460000001</v>
      </c>
      <c r="G67" s="12586">
        <f>SUM(G45:G66)</f>
        <v>65409600</v>
      </c>
      <c r="H67" s="12587">
        <f>SUM(H44:H64)</f>
        <v>53040136.579999998</v>
      </c>
      <c r="I67" s="7327">
        <f>H67/G67</f>
        <v>0.81089223263863408</v>
      </c>
      <c r="J67" s="12588">
        <f>SUM(J45:J66)</f>
        <v>75997000</v>
      </c>
      <c r="K67" s="10372">
        <f>(J67-G67)/G67</f>
        <v>0.16186309043320857</v>
      </c>
    </row>
    <row r="68" spans="1:11" ht="15" customHeight="1">
      <c r="A68" s="7401"/>
      <c r="B68" s="7406"/>
      <c r="C68" s="7407"/>
      <c r="D68" s="7408"/>
      <c r="E68" s="7408"/>
      <c r="F68" s="7408"/>
      <c r="G68" s="7408"/>
      <c r="H68" s="7408"/>
      <c r="I68" s="7350"/>
      <c r="J68" s="7408"/>
    </row>
    <row r="69" spans="1:11" ht="15" customHeight="1">
      <c r="A69" s="7401"/>
      <c r="B69" s="7406"/>
      <c r="C69" s="7407"/>
      <c r="D69" s="7408"/>
      <c r="E69" s="7408"/>
      <c r="F69" s="7408"/>
      <c r="H69" s="7408"/>
      <c r="I69" s="7350"/>
    </row>
    <row r="70" spans="1:11" ht="15" customHeight="1">
      <c r="A70" s="7401"/>
      <c r="B70" s="7406"/>
      <c r="C70" s="7407"/>
      <c r="D70" s="7408"/>
      <c r="E70" s="7408"/>
      <c r="F70" s="7408"/>
      <c r="G70" s="7408"/>
      <c r="H70" s="8862">
        <f>J67-G67</f>
        <v>10587400</v>
      </c>
      <c r="I70" s="7350">
        <f>H70/G67</f>
        <v>0.16186309043320857</v>
      </c>
      <c r="J70" s="7408"/>
    </row>
    <row r="71" spans="1:11" ht="15" customHeight="1">
      <c r="A71" s="7401"/>
      <c r="B71" s="7406"/>
      <c r="C71" s="7407"/>
      <c r="D71" s="7408"/>
      <c r="E71" s="7408"/>
      <c r="F71" s="7408"/>
      <c r="G71" s="7408"/>
      <c r="H71" s="7408"/>
      <c r="I71" s="7350"/>
      <c r="J71" s="7408"/>
    </row>
    <row r="72" spans="1:11" ht="15" customHeight="1">
      <c r="A72" s="7401"/>
      <c r="B72" s="7406"/>
      <c r="C72" s="7407"/>
      <c r="D72" s="7408"/>
      <c r="E72" s="7408"/>
      <c r="F72" s="7408"/>
      <c r="G72" s="7408"/>
      <c r="H72" s="7408"/>
      <c r="I72" s="7350"/>
      <c r="J72" s="7408"/>
    </row>
    <row r="73" spans="1:11" ht="15" customHeight="1">
      <c r="A73" s="7401"/>
      <c r="B73" s="7406"/>
      <c r="C73" s="7407"/>
      <c r="D73" s="7408"/>
      <c r="E73" s="7408"/>
      <c r="F73" s="7408"/>
      <c r="G73" s="7408"/>
      <c r="H73" s="7408"/>
      <c r="I73" s="7350"/>
      <c r="J73" s="7408"/>
    </row>
    <row r="74" spans="1:11" ht="15" customHeight="1">
      <c r="A74" s="7401"/>
      <c r="B74" s="7406"/>
      <c r="C74" s="7407"/>
      <c r="D74" s="7408"/>
      <c r="E74" s="7408"/>
      <c r="F74" s="7408"/>
      <c r="G74" s="7408"/>
      <c r="H74" s="7408"/>
      <c r="I74" s="7350"/>
      <c r="J74" s="7408"/>
    </row>
    <row r="75" spans="1:11" ht="15" customHeight="1">
      <c r="A75" s="7401"/>
      <c r="B75" s="7406"/>
      <c r="C75" s="7407"/>
      <c r="D75" s="7408"/>
      <c r="E75" s="7408"/>
      <c r="F75" s="7408"/>
      <c r="G75" s="7408"/>
      <c r="H75" s="7408"/>
      <c r="I75" s="7350"/>
      <c r="J75" s="7408"/>
    </row>
    <row r="76" spans="1:11" ht="15" customHeight="1">
      <c r="A76" s="7401"/>
      <c r="B76" s="7406"/>
      <c r="C76" s="7407"/>
      <c r="D76" s="7408"/>
      <c r="E76" s="7408"/>
      <c r="F76" s="7408"/>
      <c r="G76" s="7408"/>
      <c r="H76" s="7408"/>
      <c r="I76" s="7350"/>
      <c r="J76" s="7408"/>
    </row>
    <row r="77" spans="1:11" ht="15" customHeight="1">
      <c r="A77" s="7401"/>
      <c r="B77" s="7406"/>
      <c r="C77" s="7407"/>
      <c r="D77" s="7408"/>
      <c r="E77" s="7408"/>
      <c r="F77" s="7408"/>
      <c r="G77" s="7408"/>
      <c r="H77" s="7408"/>
      <c r="I77" s="7350"/>
      <c r="J77" s="7408"/>
    </row>
    <row r="78" spans="1:11" ht="15" customHeight="1">
      <c r="A78" s="7401"/>
      <c r="B78" s="7406"/>
      <c r="C78" s="7407"/>
      <c r="D78" s="7408"/>
      <c r="E78" s="7408"/>
      <c r="F78" s="7408"/>
      <c r="G78" s="7408"/>
      <c r="H78" s="7408"/>
      <c r="I78" s="7350"/>
      <c r="J78" s="7408"/>
    </row>
    <row r="79" spans="1:11" ht="15" customHeight="1">
      <c r="A79" s="7401"/>
      <c r="B79" s="7406"/>
      <c r="C79" s="7407"/>
      <c r="D79" s="7408"/>
      <c r="E79" s="7408"/>
      <c r="F79" s="7408"/>
      <c r="G79" s="7408"/>
      <c r="H79" s="7408"/>
      <c r="I79" s="7350"/>
      <c r="J79" s="7408"/>
    </row>
    <row r="80" spans="1:11" ht="15" customHeight="1" thickBot="1">
      <c r="A80" s="7401" t="s">
        <v>10845</v>
      </c>
      <c r="C80" s="7407"/>
      <c r="D80" s="7408"/>
      <c r="E80" s="7408"/>
      <c r="F80" s="7408"/>
      <c r="G80" s="7408"/>
      <c r="H80" s="7408"/>
      <c r="I80" s="7350"/>
      <c r="J80" s="7408"/>
    </row>
    <row r="81" spans="1:12" ht="15" customHeight="1">
      <c r="A81" s="7409"/>
      <c r="B81" s="7410"/>
      <c r="C81" s="7411" t="s">
        <v>9</v>
      </c>
      <c r="D81" s="7412" t="s">
        <v>10</v>
      </c>
      <c r="E81" s="15231" t="s">
        <v>10711</v>
      </c>
      <c r="F81" s="15232"/>
      <c r="G81" s="15233"/>
      <c r="H81" s="8852"/>
      <c r="I81" s="8853"/>
      <c r="J81" s="7412" t="s">
        <v>12</v>
      </c>
    </row>
    <row r="82" spans="1:12" ht="15" customHeight="1">
      <c r="A82" s="7308"/>
      <c r="B82" s="7295" t="s">
        <v>13</v>
      </c>
      <c r="C82" s="15194" t="s">
        <v>14</v>
      </c>
      <c r="D82" s="7413" t="s">
        <v>15</v>
      </c>
      <c r="E82" s="11050" t="s">
        <v>10709</v>
      </c>
      <c r="F82" s="7299" t="s">
        <v>10710</v>
      </c>
      <c r="G82" s="15189" t="s">
        <v>458</v>
      </c>
      <c r="H82" s="8854"/>
      <c r="I82" s="8855"/>
      <c r="J82" s="7413" t="s">
        <v>16</v>
      </c>
    </row>
    <row r="83" spans="1:12" ht="15" customHeight="1" thickBot="1">
      <c r="A83" s="7414"/>
      <c r="B83" s="7415"/>
      <c r="C83" s="15146"/>
      <c r="D83" s="7301">
        <v>2017</v>
      </c>
      <c r="E83" s="10887" t="s">
        <v>457</v>
      </c>
      <c r="F83" s="9404" t="s">
        <v>456</v>
      </c>
      <c r="G83" s="15190"/>
      <c r="H83" s="8856"/>
      <c r="I83" s="8857"/>
      <c r="J83" s="7301">
        <v>2019</v>
      </c>
    </row>
    <row r="84" spans="1:12" ht="15" customHeight="1">
      <c r="A84" s="7308"/>
      <c r="B84" s="7295"/>
      <c r="C84" s="10886"/>
      <c r="D84" s="7416"/>
      <c r="E84" s="9419"/>
      <c r="F84" s="7417"/>
      <c r="G84" s="7416"/>
      <c r="H84" s="12572"/>
      <c r="I84" s="7365"/>
      <c r="J84" s="7416"/>
    </row>
    <row r="85" spans="1:12" ht="15" customHeight="1">
      <c r="A85" s="7400" t="s">
        <v>51</v>
      </c>
      <c r="B85" s="7401" t="s">
        <v>52</v>
      </c>
      <c r="C85" s="7402"/>
      <c r="D85" s="9406"/>
      <c r="E85" s="9407"/>
      <c r="F85" s="9408"/>
      <c r="G85" s="7403" t="s">
        <v>9</v>
      </c>
      <c r="H85" s="7404"/>
      <c r="I85" s="7307"/>
      <c r="J85" s="7403"/>
    </row>
    <row r="86" spans="1:12" ht="15" customHeight="1">
      <c r="A86" s="9409"/>
      <c r="B86" s="7401" t="s">
        <v>11851</v>
      </c>
      <c r="C86" s="10582"/>
      <c r="D86" s="10583"/>
      <c r="E86" s="10583"/>
      <c r="F86" s="10583"/>
      <c r="G86" s="12573"/>
      <c r="H86" s="12573"/>
      <c r="I86" s="10584"/>
      <c r="J86" s="12573">
        <v>1500000</v>
      </c>
    </row>
    <row r="87" spans="1:12" ht="15" customHeight="1">
      <c r="A87" s="7400"/>
      <c r="B87" s="7615" t="s">
        <v>122</v>
      </c>
      <c r="C87" s="8810">
        <v>50705020</v>
      </c>
      <c r="D87" s="7418">
        <f>'WS-CO 2017'!F48</f>
        <v>437970</v>
      </c>
      <c r="E87" s="9420"/>
      <c r="F87" s="9405">
        <f>G87-E87</f>
        <v>2000000</v>
      </c>
      <c r="G87" s="7420">
        <v>2000000</v>
      </c>
      <c r="H87" s="7418">
        <v>1955034</v>
      </c>
      <c r="I87" s="7358">
        <f>H87/G87</f>
        <v>0.97751699999999997</v>
      </c>
      <c r="J87" s="7420">
        <f>3831250-3671250</f>
        <v>160000</v>
      </c>
      <c r="K87" s="7275" t="s">
        <v>11852</v>
      </c>
    </row>
    <row r="88" spans="1:12" ht="15" customHeight="1">
      <c r="A88" s="7463"/>
      <c r="B88" s="7287" t="s">
        <v>5023</v>
      </c>
      <c r="C88" s="8781">
        <v>50707010</v>
      </c>
      <c r="D88" s="7419">
        <f>'WS-CO 2017'!K48</f>
        <v>39360</v>
      </c>
      <c r="E88" s="7419"/>
      <c r="F88" s="9405">
        <f>G88-E88</f>
        <v>0</v>
      </c>
      <c r="G88" s="7500"/>
      <c r="H88" s="7419"/>
      <c r="I88" s="7396"/>
      <c r="J88" s="7500">
        <v>320000</v>
      </c>
    </row>
    <row r="89" spans="1:12" ht="15" customHeight="1">
      <c r="A89" s="7400"/>
      <c r="B89" s="7287" t="s">
        <v>10975</v>
      </c>
      <c r="C89" s="8784">
        <v>50704990</v>
      </c>
      <c r="D89" s="7368">
        <f>'WS-CO 2017'!H48</f>
        <v>0</v>
      </c>
      <c r="E89" s="7369"/>
      <c r="F89" s="9405">
        <f>G89-E89</f>
        <v>1500000</v>
      </c>
      <c r="G89" s="7368">
        <v>1500000</v>
      </c>
      <c r="H89" s="7368">
        <v>382882.5</v>
      </c>
      <c r="I89" s="7358">
        <f>H89/G89</f>
        <v>0.25525500000000001</v>
      </c>
      <c r="J89" s="7368"/>
    </row>
    <row r="90" spans="1:12" ht="15" customHeight="1">
      <c r="A90" s="7421"/>
      <c r="B90" s="7401" t="s">
        <v>11850</v>
      </c>
      <c r="C90" s="7405">
        <v>240</v>
      </c>
      <c r="D90" s="7368">
        <f>'WS-CO 2017'!I48</f>
        <v>0</v>
      </c>
      <c r="E90" s="7369"/>
      <c r="F90" s="7370"/>
      <c r="G90" s="7368"/>
      <c r="H90" s="7368"/>
      <c r="I90" s="7358"/>
      <c r="J90" s="7368">
        <v>105000</v>
      </c>
    </row>
    <row r="91" spans="1:12" ht="15" hidden="1" customHeight="1">
      <c r="A91" s="9409"/>
      <c r="B91" s="7401" t="s">
        <v>11908</v>
      </c>
      <c r="C91" s="10582"/>
      <c r="D91" s="10138"/>
      <c r="E91" s="10138"/>
      <c r="F91" s="10138"/>
      <c r="G91" s="10138"/>
      <c r="H91" s="10138"/>
      <c r="I91" s="8799"/>
      <c r="J91" s="10138"/>
    </row>
    <row r="92" spans="1:12" ht="15" hidden="1" customHeight="1">
      <c r="A92" s="9409"/>
      <c r="B92" s="7401" t="s">
        <v>11909</v>
      </c>
      <c r="C92" s="10582"/>
      <c r="D92" s="10138"/>
      <c r="E92" s="10138"/>
      <c r="F92" s="10138"/>
      <c r="G92" s="10138"/>
      <c r="H92" s="10138"/>
      <c r="I92" s="8799"/>
      <c r="J92" s="10138"/>
    </row>
    <row r="93" spans="1:12" ht="15" customHeight="1">
      <c r="A93" s="7463"/>
      <c r="B93" s="7401" t="s">
        <v>11849</v>
      </c>
      <c r="C93" s="7452"/>
      <c r="D93" s="7370"/>
      <c r="E93" s="7370"/>
      <c r="F93" s="7370"/>
      <c r="G93" s="7370"/>
      <c r="H93" s="7370"/>
      <c r="I93" s="7358"/>
      <c r="J93" s="7370">
        <v>280000</v>
      </c>
    </row>
    <row r="94" spans="1:12" ht="15" customHeight="1">
      <c r="A94" s="7400"/>
      <c r="B94" s="7406" t="s">
        <v>37</v>
      </c>
      <c r="C94" s="7422"/>
      <c r="D94" s="7423">
        <f>SUM(D87:D90)</f>
        <v>477330</v>
      </c>
      <c r="E94" s="7423">
        <f>SUM(E87:E90)</f>
        <v>0</v>
      </c>
      <c r="F94" s="7423">
        <f>SUM(F87:F90)</f>
        <v>3500000</v>
      </c>
      <c r="G94" s="7423">
        <f>SUM(G85:G90)</f>
        <v>3500000</v>
      </c>
      <c r="H94" s="7423">
        <f>SUM(H85:H90)</f>
        <v>2337916.5</v>
      </c>
      <c r="I94" s="8883">
        <f>H94/G94</f>
        <v>0.66797614285714291</v>
      </c>
      <c r="J94" s="7423">
        <f>SUM(J85:J93)</f>
        <v>2365000</v>
      </c>
      <c r="K94" s="10372">
        <f>(J94-G94)/G94</f>
        <v>-0.32428571428571429</v>
      </c>
    </row>
    <row r="95" spans="1:12" ht="15" customHeight="1">
      <c r="A95" s="7421"/>
      <c r="B95" s="7406"/>
      <c r="C95" s="7424"/>
      <c r="D95" s="7425"/>
      <c r="E95" s="9421"/>
      <c r="F95" s="9422"/>
      <c r="G95" s="7425"/>
      <c r="H95" s="7426"/>
      <c r="I95" s="7427"/>
      <c r="J95" s="7425"/>
    </row>
    <row r="96" spans="1:12" s="7436" customFormat="1" ht="15" customHeight="1">
      <c r="A96" s="7428" t="s">
        <v>53</v>
      </c>
      <c r="B96" s="7429" t="s">
        <v>54</v>
      </c>
      <c r="C96" s="7430"/>
      <c r="D96" s="7431"/>
      <c r="E96" s="7432"/>
      <c r="F96" s="7433"/>
      <c r="G96" s="7431"/>
      <c r="H96" s="7434"/>
      <c r="I96" s="7435"/>
      <c r="J96" s="7431"/>
      <c r="L96" s="10263"/>
    </row>
    <row r="97" spans="1:12" s="7436" customFormat="1" ht="15" customHeight="1">
      <c r="A97" s="10132"/>
      <c r="B97" s="7429"/>
      <c r="C97" s="10133"/>
      <c r="D97" s="10134"/>
      <c r="E97" s="10134"/>
      <c r="F97" s="10134"/>
      <c r="G97" s="10134"/>
      <c r="H97" s="10134"/>
      <c r="I97" s="10135"/>
      <c r="J97" s="10134"/>
      <c r="L97" s="10263"/>
    </row>
    <row r="98" spans="1:12" s="7436" customFormat="1" ht="15" customHeight="1">
      <c r="A98" s="10132"/>
      <c r="B98" s="7429"/>
      <c r="C98" s="10133"/>
      <c r="D98" s="10134"/>
      <c r="E98" s="10134"/>
      <c r="F98" s="10134"/>
      <c r="G98" s="10134"/>
      <c r="H98" s="10134"/>
      <c r="I98" s="10135"/>
      <c r="J98" s="10134"/>
      <c r="L98" s="10263"/>
    </row>
    <row r="99" spans="1:12" s="7436" customFormat="1" ht="15" customHeight="1">
      <c r="A99" s="7464"/>
      <c r="B99" s="7429"/>
      <c r="C99" s="7465"/>
      <c r="D99" s="7433"/>
      <c r="E99" s="7433"/>
      <c r="F99" s="7433"/>
      <c r="G99" s="7433"/>
      <c r="H99" s="7433"/>
      <c r="I99" s="7466"/>
      <c r="J99" s="7433"/>
      <c r="L99" s="10263"/>
    </row>
    <row r="100" spans="1:12" s="7340" customFormat="1" ht="15" customHeight="1">
      <c r="A100" s="7437"/>
      <c r="B100" s="7406" t="s">
        <v>37</v>
      </c>
      <c r="C100" s="7438"/>
      <c r="D100" s="9423">
        <v>0</v>
      </c>
      <c r="E100" s="9423">
        <v>0</v>
      </c>
      <c r="F100" s="9423">
        <v>0</v>
      </c>
      <c r="G100" s="7439">
        <v>0</v>
      </c>
      <c r="H100" s="7440"/>
      <c r="I100" s="7323"/>
      <c r="J100" s="7439">
        <v>0</v>
      </c>
      <c r="L100" s="10258"/>
    </row>
    <row r="101" spans="1:12" s="7340" customFormat="1" ht="15" customHeight="1">
      <c r="A101" s="7441"/>
      <c r="B101" s="7406"/>
      <c r="C101" s="7442"/>
      <c r="D101" s="9424"/>
      <c r="E101" s="9425"/>
      <c r="F101" s="9425"/>
      <c r="G101" s="7443"/>
      <c r="H101" s="7444"/>
      <c r="I101" s="7325"/>
      <c r="J101" s="7443"/>
      <c r="L101" s="10258"/>
    </row>
    <row r="102" spans="1:12" s="7447" customFormat="1" ht="15" customHeight="1">
      <c r="A102" s="7441"/>
      <c r="B102" s="7406"/>
      <c r="C102" s="7442"/>
      <c r="D102" s="9426"/>
      <c r="E102" s="9427"/>
      <c r="F102" s="9427"/>
      <c r="G102" s="7445"/>
      <c r="H102" s="7445"/>
      <c r="I102" s="7446"/>
      <c r="J102" s="7445"/>
      <c r="L102" s="10264"/>
    </row>
    <row r="103" spans="1:12" s="7340" customFormat="1" ht="15" customHeight="1" thickBot="1">
      <c r="A103" s="7448"/>
      <c r="B103" s="7449" t="s">
        <v>55</v>
      </c>
      <c r="C103" s="7450"/>
      <c r="D103" s="7451">
        <f>(D30+D67+D94+D100)</f>
        <v>70222206.269999996</v>
      </c>
      <c r="E103" s="7451">
        <f>(E30+E67+E94+E100)</f>
        <v>35855265.049999997</v>
      </c>
      <c r="F103" s="7451">
        <f>(F30+F67+F94+F100)</f>
        <v>81837894.950000003</v>
      </c>
      <c r="G103" s="7451">
        <f>(G30+G67+G94+G100)</f>
        <v>117693160</v>
      </c>
      <c r="H103" s="8858" t="s">
        <v>9</v>
      </c>
      <c r="I103" s="8858" t="s">
        <v>9</v>
      </c>
      <c r="J103" s="7451">
        <f>(J30+J67+J94+J100)</f>
        <v>131245498.105</v>
      </c>
      <c r="K103" s="10372">
        <f>(J103-G103)/G103</f>
        <v>0.11514975131095133</v>
      </c>
      <c r="L103" s="10258"/>
    </row>
    <row r="104" spans="1:12" s="7333" customFormat="1" ht="15" customHeight="1" thickTop="1">
      <c r="A104" s="7328" t="s">
        <v>4763</v>
      </c>
      <c r="B104" s="7328"/>
      <c r="C104" s="7329"/>
      <c r="D104" s="7330"/>
      <c r="E104" s="7330"/>
      <c r="F104" s="7330"/>
      <c r="G104" s="7331"/>
      <c r="H104" s="7330"/>
      <c r="I104" s="7332"/>
      <c r="J104" s="7331"/>
      <c r="L104" s="7842"/>
    </row>
    <row r="105" spans="1:12" ht="15" customHeight="1">
      <c r="A105" s="7276"/>
      <c r="B105" s="7276"/>
      <c r="C105" s="7278"/>
      <c r="D105" s="7285"/>
      <c r="E105" s="7285"/>
      <c r="F105" s="7285"/>
      <c r="G105" s="7334"/>
      <c r="H105" s="7285"/>
      <c r="I105" s="7286"/>
      <c r="J105" s="7334"/>
    </row>
    <row r="106" spans="1:12" ht="15" hidden="1" customHeight="1">
      <c r="A106" s="7376" t="s">
        <v>11223</v>
      </c>
      <c r="C106" s="7377" t="s">
        <v>3484</v>
      </c>
      <c r="D106" s="7378"/>
      <c r="E106" s="7378"/>
      <c r="F106" s="7378"/>
      <c r="G106" s="7337" t="s">
        <v>10666</v>
      </c>
      <c r="H106" s="7378"/>
      <c r="J106" s="7378"/>
    </row>
    <row r="107" spans="1:12" s="7351" customFormat="1" ht="15" hidden="1" customHeight="1">
      <c r="A107" s="7376"/>
      <c r="B107" s="7275"/>
      <c r="C107" s="7377"/>
      <c r="D107" s="7378"/>
      <c r="E107" s="7378"/>
      <c r="F107" s="7378"/>
      <c r="G107" s="7339"/>
      <c r="H107" s="7378"/>
      <c r="I107" s="7348"/>
      <c r="J107" s="7378"/>
      <c r="L107" s="7383"/>
    </row>
    <row r="108" spans="1:12" s="7351" customFormat="1" ht="15" hidden="1" customHeight="1">
      <c r="A108" s="7376"/>
      <c r="B108" s="7275"/>
      <c r="C108" s="7377"/>
      <c r="D108" s="7378"/>
      <c r="E108" s="7378"/>
      <c r="F108" s="7378"/>
      <c r="G108" s="7339"/>
      <c r="H108" s="7378"/>
      <c r="I108" s="7348"/>
      <c r="J108" s="7378"/>
      <c r="L108" s="7383"/>
    </row>
    <row r="109" spans="1:12" s="7351" customFormat="1" ht="15" hidden="1" customHeight="1">
      <c r="A109" s="7376"/>
      <c r="B109" s="7376"/>
      <c r="C109" s="7377"/>
      <c r="D109" s="7378"/>
      <c r="E109" s="7378"/>
      <c r="F109" s="7378"/>
      <c r="G109" s="7339"/>
      <c r="H109" s="7378"/>
      <c r="I109" s="7348"/>
      <c r="J109" s="7378"/>
      <c r="L109" s="7383"/>
    </row>
    <row r="110" spans="1:12" ht="15" hidden="1" customHeight="1">
      <c r="A110" s="7379"/>
      <c r="B110" s="7374" t="s">
        <v>12072</v>
      </c>
      <c r="C110" s="7275"/>
      <c r="D110" s="10874" t="s">
        <v>12059</v>
      </c>
      <c r="E110" s="7378"/>
      <c r="F110" s="7378"/>
      <c r="G110" s="7342" t="s">
        <v>10667</v>
      </c>
      <c r="H110" s="7380"/>
      <c r="I110" s="7381"/>
      <c r="J110" s="7378"/>
    </row>
    <row r="111" spans="1:12" ht="15" hidden="1" customHeight="1">
      <c r="A111" s="7382" t="s">
        <v>12073</v>
      </c>
      <c r="B111" s="7376"/>
      <c r="C111" s="7275"/>
      <c r="D111" s="10878" t="s">
        <v>3486</v>
      </c>
      <c r="E111" s="7378"/>
      <c r="F111" s="7378"/>
      <c r="G111" s="7344" t="s">
        <v>10668</v>
      </c>
      <c r="H111" s="7378"/>
      <c r="J111" s="7378"/>
    </row>
    <row r="113" spans="8:9" ht="15" customHeight="1">
      <c r="H113" s="8863">
        <f>J103-G103</f>
        <v>13552338.105000004</v>
      </c>
      <c r="I113" s="8864">
        <f>H113/G103</f>
        <v>0.11514975131095133</v>
      </c>
    </row>
  </sheetData>
  <mergeCells count="12">
    <mergeCell ref="C8:C9"/>
    <mergeCell ref="C82:C83"/>
    <mergeCell ref="J3:J4"/>
    <mergeCell ref="G3:G4"/>
    <mergeCell ref="A1:J1"/>
    <mergeCell ref="C41:C42"/>
    <mergeCell ref="E7:G7"/>
    <mergeCell ref="G8:G9"/>
    <mergeCell ref="E40:G40"/>
    <mergeCell ref="G41:G42"/>
    <mergeCell ref="E81:G81"/>
    <mergeCell ref="G82:G83"/>
  </mergeCells>
  <printOptions horizontalCentered="1" gridLinesSet="0"/>
  <pageMargins left="0.25" right="0.25" top="0.5" bottom="0.25" header="0.25" footer="0.25"/>
  <pageSetup paperSize="136" firstPageNumber="369" orientation="landscape" useFirstPageNumber="1" r:id="rId1"/>
  <headerFooter alignWithMargins="0"/>
</worksheet>
</file>

<file path=xl/worksheets/sheet178.xml><?xml version="1.0" encoding="utf-8"?>
<worksheet xmlns="http://schemas.openxmlformats.org/spreadsheetml/2006/main" xmlns:r="http://schemas.openxmlformats.org/officeDocument/2006/relationships">
  <sheetPr codeName="Sheet222">
    <tabColor theme="8" tint="-0.249977111117893"/>
  </sheetPr>
  <dimension ref="A1"/>
  <sheetViews>
    <sheetView workbookViewId="0"/>
  </sheetViews>
  <sheetFormatPr defaultRowHeight="14.4"/>
  <sheetData/>
  <pageMargins left="0.7" right="0.7" top="0.75" bottom="0.75" header="0.3" footer="0.3"/>
</worksheet>
</file>

<file path=xl/worksheets/sheet179.xml><?xml version="1.0" encoding="utf-8"?>
<worksheet xmlns="http://schemas.openxmlformats.org/spreadsheetml/2006/main" xmlns:r="http://schemas.openxmlformats.org/officeDocument/2006/relationships">
  <sheetPr codeName="Sheet192">
    <tabColor rgb="FFFFFF00"/>
  </sheetPr>
  <dimension ref="A1:F25"/>
  <sheetViews>
    <sheetView workbookViewId="0">
      <selection activeCell="B7" sqref="B7"/>
    </sheetView>
  </sheetViews>
  <sheetFormatPr defaultColWidth="9.109375" defaultRowHeight="14.4"/>
  <cols>
    <col min="1" max="1" width="3.88671875" style="951" customWidth="1"/>
    <col min="2" max="2" width="31.109375" style="951" customWidth="1"/>
    <col min="3" max="3" width="16.44140625" style="959" customWidth="1"/>
    <col min="4" max="4" width="14.88671875" style="959" customWidth="1"/>
    <col min="5" max="5" width="15.109375" style="959" customWidth="1"/>
    <col min="6" max="6" width="13.88671875" style="959" customWidth="1"/>
    <col min="7" max="16384" width="9.109375" style="951"/>
  </cols>
  <sheetData>
    <row r="1" spans="1:6" s="946" customFormat="1" ht="20.25" customHeight="1">
      <c r="B1" s="946" t="s">
        <v>3426</v>
      </c>
      <c r="C1" s="952"/>
      <c r="D1" s="952"/>
      <c r="E1" s="952"/>
      <c r="F1" s="952"/>
    </row>
    <row r="2" spans="1:6" s="881" customFormat="1" ht="28.5" customHeight="1">
      <c r="B2" s="1388" t="s">
        <v>4969</v>
      </c>
      <c r="C2" s="884"/>
      <c r="D2" s="884"/>
      <c r="E2" s="884"/>
      <c r="F2" s="884"/>
    </row>
    <row r="3" spans="1:6" s="946" customFormat="1">
      <c r="A3" s="1341"/>
      <c r="B3" s="14985" t="s">
        <v>3427</v>
      </c>
      <c r="C3" s="15261" t="s">
        <v>18</v>
      </c>
      <c r="D3" s="15261"/>
      <c r="E3" s="15261"/>
      <c r="F3" s="14987" t="s">
        <v>220</v>
      </c>
    </row>
    <row r="4" spans="1:6" s="1548" customFormat="1">
      <c r="A4" s="1342"/>
      <c r="B4" s="14986"/>
      <c r="C4" s="1549" t="s">
        <v>2151</v>
      </c>
      <c r="D4" s="1549" t="s">
        <v>1973</v>
      </c>
      <c r="E4" s="1549" t="s">
        <v>52</v>
      </c>
      <c r="F4" s="14988"/>
    </row>
    <row r="5" spans="1:6" s="946" customFormat="1">
      <c r="A5" s="1601" t="s">
        <v>2048</v>
      </c>
      <c r="B5" s="1604"/>
      <c r="C5" s="1605"/>
      <c r="D5" s="953"/>
      <c r="E5" s="953"/>
      <c r="F5" s="953"/>
    </row>
    <row r="6" spans="1:6" s="946" customFormat="1">
      <c r="A6" s="1601"/>
      <c r="B6" s="972"/>
      <c r="C6" s="1799"/>
      <c r="D6" s="1799"/>
      <c r="E6" s="1799"/>
      <c r="F6" s="1799"/>
    </row>
    <row r="7" spans="1:6" s="1130" customFormat="1" ht="36" customHeight="1">
      <c r="A7" s="4777"/>
      <c r="B7" s="4778" t="s">
        <v>2970</v>
      </c>
      <c r="C7" s="4779">
        <f>'lbpf 3-PEO'!J30</f>
        <v>52883498.105000004</v>
      </c>
      <c r="D7" s="4780">
        <f>'lbpf 3-PEO'!J67</f>
        <v>75997000</v>
      </c>
      <c r="E7" s="4780">
        <f>'lbpf 3-PEO'!J94</f>
        <v>2365000</v>
      </c>
      <c r="F7" s="4780">
        <f>SUM(C7:E7)</f>
        <v>131245498.105</v>
      </c>
    </row>
    <row r="8" spans="1:6" s="1029" customFormat="1" ht="15" customHeight="1">
      <c r="A8" s="1602"/>
      <c r="B8" s="1603"/>
      <c r="C8" s="1606"/>
      <c r="D8" s="1587"/>
      <c r="E8" s="1587"/>
      <c r="F8" s="1587"/>
    </row>
    <row r="9" spans="1:6" s="1029" customFormat="1" ht="15" customHeight="1">
      <c r="A9" s="1602"/>
      <c r="B9" s="1603"/>
      <c r="C9" s="1606"/>
      <c r="D9" s="1587"/>
      <c r="E9" s="1587"/>
      <c r="F9" s="1587"/>
    </row>
    <row r="10" spans="1:6" s="1029" customFormat="1" ht="15" customHeight="1">
      <c r="A10" s="4774"/>
      <c r="B10" s="4775"/>
      <c r="C10" s="4776"/>
      <c r="D10" s="2528"/>
      <c r="E10" s="2528"/>
      <c r="F10" s="2528"/>
    </row>
    <row r="11" spans="1:6" s="1029" customFormat="1" ht="15" customHeight="1">
      <c r="A11" s="4774"/>
      <c r="B11" s="4775"/>
      <c r="C11" s="4776"/>
      <c r="D11" s="2528"/>
      <c r="E11" s="2528"/>
      <c r="F11" s="2528"/>
    </row>
    <row r="12" spans="1:6" s="1029" customFormat="1" ht="15" customHeight="1">
      <c r="A12" s="4774"/>
      <c r="B12" s="4775"/>
      <c r="C12" s="4776"/>
      <c r="D12" s="2528"/>
      <c r="E12" s="2528"/>
      <c r="F12" s="2528"/>
    </row>
    <row r="13" spans="1:6" s="1029" customFormat="1" ht="15" customHeight="1">
      <c r="A13" s="4774"/>
      <c r="B13" s="4775"/>
      <c r="C13" s="4776"/>
      <c r="D13" s="2528"/>
      <c r="E13" s="2528"/>
      <c r="F13" s="2528"/>
    </row>
    <row r="14" spans="1:6" s="1029" customFormat="1" ht="15" customHeight="1">
      <c r="A14" s="1602"/>
      <c r="B14" s="1603"/>
      <c r="C14" s="1606"/>
      <c r="D14" s="1587"/>
      <c r="E14" s="1587"/>
      <c r="F14" s="1587"/>
    </row>
    <row r="15" spans="1:6">
      <c r="A15" s="1345"/>
      <c r="B15" s="1356"/>
      <c r="C15" s="955"/>
      <c r="D15" s="955"/>
      <c r="E15" s="955"/>
      <c r="F15" s="954">
        <f>SUM(C15:E15)</f>
        <v>0</v>
      </c>
    </row>
    <row r="16" spans="1:6">
      <c r="A16" s="1340" t="s">
        <v>3429</v>
      </c>
      <c r="B16" s="960"/>
      <c r="C16" s="954"/>
      <c r="D16" s="954"/>
      <c r="E16" s="954"/>
      <c r="F16" s="956">
        <f>SUM(C16:E16)</f>
        <v>0</v>
      </c>
    </row>
    <row r="17" spans="1:6">
      <c r="A17" s="1343"/>
      <c r="B17" s="960"/>
      <c r="C17" s="1329"/>
      <c r="D17" s="1329"/>
      <c r="E17" s="1329"/>
      <c r="F17" s="1329"/>
    </row>
    <row r="18" spans="1:6">
      <c r="A18" s="4772"/>
      <c r="B18" s="4773"/>
      <c r="C18" s="2139"/>
      <c r="D18" s="2139"/>
      <c r="E18" s="2139"/>
      <c r="F18" s="2139"/>
    </row>
    <row r="19" spans="1:6">
      <c r="A19" s="4772"/>
      <c r="B19" s="4773"/>
      <c r="C19" s="2139"/>
      <c r="D19" s="2139"/>
      <c r="E19" s="2139"/>
      <c r="F19" s="2139"/>
    </row>
    <row r="20" spans="1:6">
      <c r="A20" s="4772"/>
      <c r="B20" s="4773"/>
      <c r="C20" s="2139"/>
      <c r="D20" s="2139"/>
      <c r="E20" s="2139"/>
      <c r="F20" s="2139"/>
    </row>
    <row r="21" spans="1:6">
      <c r="A21" s="4772"/>
      <c r="B21" s="4773"/>
      <c r="C21" s="2139"/>
      <c r="D21" s="2139"/>
      <c r="E21" s="2139"/>
      <c r="F21" s="2139"/>
    </row>
    <row r="22" spans="1:6">
      <c r="A22" s="4772"/>
      <c r="B22" s="4773"/>
      <c r="C22" s="2139"/>
      <c r="D22" s="2139"/>
      <c r="E22" s="2139"/>
      <c r="F22" s="2139"/>
    </row>
    <row r="23" spans="1:6">
      <c r="A23" s="1343"/>
      <c r="B23" s="960"/>
      <c r="C23" s="1329"/>
      <c r="D23" s="1329"/>
      <c r="E23" s="1329"/>
      <c r="F23" s="1329"/>
    </row>
    <row r="24" spans="1:6">
      <c r="A24" s="1345"/>
      <c r="B24" s="962"/>
      <c r="C24" s="954"/>
      <c r="D24" s="954"/>
      <c r="E24" s="954"/>
      <c r="F24" s="954"/>
    </row>
    <row r="25" spans="1:6" s="946" customFormat="1">
      <c r="A25" s="1346"/>
      <c r="B25" s="1379" t="s">
        <v>2850</v>
      </c>
      <c r="C25" s="958">
        <f>SUM(C5:C24)</f>
        <v>52883498.105000004</v>
      </c>
      <c r="D25" s="958">
        <f>SUM(D5:D24)</f>
        <v>75997000</v>
      </c>
      <c r="E25" s="958">
        <f>SUM(E5:E24)</f>
        <v>2365000</v>
      </c>
      <c r="F25" s="958">
        <f>SUM(F5:F24)</f>
        <v>131245498.105</v>
      </c>
    </row>
  </sheetData>
  <mergeCells count="3">
    <mergeCell ref="B3:B4"/>
    <mergeCell ref="C3:E3"/>
    <mergeCell ref="F3:F4"/>
  </mergeCells>
  <printOptions horizontalCentered="1"/>
  <pageMargins left="0.5" right="0.25" top="0.75" bottom="0.5" header="0.3" footer="0.25"/>
  <pageSetup paperSize="119" firstPageNumber="371" orientation="portrait" useFirstPageNumber="1" verticalDpi="300" r:id="rId1"/>
</worksheet>
</file>

<file path=xl/worksheets/sheet18.xml><?xml version="1.0" encoding="utf-8"?>
<worksheet xmlns="http://schemas.openxmlformats.org/spreadsheetml/2006/main" xmlns:r="http://schemas.openxmlformats.org/officeDocument/2006/relationships">
  <sheetPr codeName="Sheet35">
    <tabColor rgb="FF7030A0"/>
  </sheetPr>
  <dimension ref="A4:K34"/>
  <sheetViews>
    <sheetView workbookViewId="0">
      <selection activeCell="A27" sqref="A27:XFD31"/>
    </sheetView>
  </sheetViews>
  <sheetFormatPr defaultColWidth="9.109375" defaultRowHeight="13.8"/>
  <cols>
    <col min="1" max="1" width="23.88671875" style="376" customWidth="1"/>
    <col min="2" max="2" width="2" style="376" customWidth="1"/>
    <col min="3" max="3" width="17" style="376" customWidth="1"/>
    <col min="4" max="4" width="2.109375" style="812" customWidth="1"/>
    <col min="5" max="5" width="15.44140625" style="376" customWidth="1"/>
    <col min="6" max="6" width="2.44140625" style="812" customWidth="1"/>
    <col min="7" max="7" width="15.88671875" style="376" customWidth="1"/>
    <col min="8" max="8" width="2.44140625" style="812" customWidth="1"/>
    <col min="9" max="9" width="17" style="796" customWidth="1"/>
    <col min="10" max="16384" width="9.109375" style="376"/>
  </cols>
  <sheetData>
    <row r="4" spans="1:9">
      <c r="A4" s="14097" t="s">
        <v>3082</v>
      </c>
      <c r="B4" s="14097"/>
      <c r="C4" s="14097"/>
      <c r="D4" s="14097"/>
      <c r="E4" s="14097"/>
      <c r="F4" s="14097"/>
      <c r="G4" s="14097"/>
      <c r="H4" s="14097"/>
      <c r="I4" s="14097"/>
    </row>
    <row r="8" spans="1:9">
      <c r="A8" s="796" t="s">
        <v>463</v>
      </c>
      <c r="B8" s="796"/>
    </row>
    <row r="9" spans="1:9">
      <c r="A9" s="796" t="s">
        <v>8</v>
      </c>
      <c r="B9" s="796"/>
    </row>
    <row r="10" spans="1:9">
      <c r="A10" s="796"/>
      <c r="B10" s="796"/>
    </row>
    <row r="11" spans="1:9" ht="14.4" thickBot="1"/>
    <row r="12" spans="1:9" s="797" customFormat="1" ht="50.25" customHeight="1" thickBot="1">
      <c r="A12" s="799" t="s">
        <v>3083</v>
      </c>
      <c r="B12" s="14098" t="s">
        <v>3084</v>
      </c>
      <c r="C12" s="14099"/>
      <c r="D12" s="813"/>
      <c r="E12" s="1616" t="s">
        <v>10477</v>
      </c>
      <c r="F12" s="813"/>
      <c r="G12" s="3747" t="s">
        <v>10478</v>
      </c>
      <c r="H12" s="813"/>
      <c r="I12" s="3747" t="s">
        <v>9489</v>
      </c>
    </row>
    <row r="13" spans="1:9" s="797" customFormat="1">
      <c r="A13" s="799"/>
      <c r="B13" s="805"/>
      <c r="C13" s="802"/>
      <c r="D13" s="813"/>
      <c r="E13" s="802"/>
      <c r="F13" s="813"/>
      <c r="G13" s="802"/>
      <c r="H13" s="813"/>
      <c r="I13" s="802"/>
    </row>
    <row r="14" spans="1:9" s="797" customFormat="1" ht="21" customHeight="1">
      <c r="A14" s="800" t="s">
        <v>3085</v>
      </c>
      <c r="B14" s="806"/>
      <c r="C14" s="803"/>
      <c r="D14" s="814"/>
      <c r="E14" s="803"/>
      <c r="F14" s="814"/>
      <c r="G14" s="803"/>
      <c r="H14" s="814"/>
      <c r="I14" s="803"/>
    </row>
    <row r="15" spans="1:9">
      <c r="A15" s="801" t="s">
        <v>3087</v>
      </c>
      <c r="B15" s="808" t="s">
        <v>405</v>
      </c>
      <c r="C15" s="816">
        <v>147460000</v>
      </c>
      <c r="D15" s="808" t="s">
        <v>405</v>
      </c>
      <c r="E15" s="804">
        <f>'LBPF No. 5'!H11</f>
        <v>0</v>
      </c>
      <c r="F15" s="808" t="s">
        <v>405</v>
      </c>
      <c r="G15" s="6610">
        <f>'LBPF No. 5'!K11</f>
        <v>0</v>
      </c>
      <c r="H15" s="6611" t="s">
        <v>405</v>
      </c>
      <c r="I15" s="6610">
        <f>'LBPF No. 5'!N11</f>
        <v>0</v>
      </c>
    </row>
    <row r="16" spans="1:9">
      <c r="A16" s="801"/>
      <c r="B16" s="807"/>
      <c r="C16" s="816"/>
      <c r="D16" s="815"/>
      <c r="E16" s="804"/>
      <c r="F16" s="815"/>
      <c r="G16" s="6610"/>
      <c r="H16" s="6612"/>
      <c r="I16" s="6610"/>
    </row>
    <row r="17" spans="1:11">
      <c r="A17" s="801" t="s">
        <v>3086</v>
      </c>
      <c r="B17" s="808" t="s">
        <v>405</v>
      </c>
      <c r="C17" s="816">
        <v>46878467</v>
      </c>
      <c r="D17" s="808" t="s">
        <v>405</v>
      </c>
      <c r="E17" s="804">
        <f>'LBPF No. 5'!H14</f>
        <v>13053868.559999999</v>
      </c>
      <c r="F17" s="808" t="s">
        <v>405</v>
      </c>
      <c r="G17" s="6610">
        <f>'LBPF No. 5'!K14</f>
        <v>13104152.789999999</v>
      </c>
      <c r="H17" s="6611" t="s">
        <v>405</v>
      </c>
      <c r="I17" s="6610">
        <f>'LBPF No. 5'!N14</f>
        <v>0</v>
      </c>
    </row>
    <row r="18" spans="1:11">
      <c r="A18" s="801"/>
      <c r="B18" s="807"/>
      <c r="C18" s="816"/>
      <c r="D18" s="815"/>
      <c r="E18" s="804"/>
      <c r="F18" s="815"/>
      <c r="G18" s="6610"/>
      <c r="H18" s="6612"/>
      <c r="I18" s="6613"/>
    </row>
    <row r="19" spans="1:11">
      <c r="A19" s="801" t="s">
        <v>3087</v>
      </c>
      <c r="B19" s="808" t="s">
        <v>405</v>
      </c>
      <c r="C19" s="816">
        <v>150000000</v>
      </c>
      <c r="D19" s="808" t="s">
        <v>405</v>
      </c>
      <c r="E19" s="804">
        <f>'LBPF No. 5'!H17</f>
        <v>7641953.9000000004</v>
      </c>
      <c r="F19" s="808" t="s">
        <v>405</v>
      </c>
      <c r="G19" s="804">
        <f>'LBPF No. 5'!K17</f>
        <v>7432169.6500000004</v>
      </c>
      <c r="H19" s="808" t="s">
        <v>405</v>
      </c>
      <c r="I19" s="3748">
        <f>'LBPF No. 5'!N17</f>
        <v>11677898.109999999</v>
      </c>
    </row>
    <row r="20" spans="1:11">
      <c r="A20" s="801" t="s">
        <v>4817</v>
      </c>
      <c r="B20" s="5072"/>
      <c r="C20" s="804"/>
      <c r="D20" s="815"/>
      <c r="E20" s="804"/>
      <c r="F20" s="815"/>
      <c r="G20" s="804"/>
      <c r="H20" s="815"/>
      <c r="I20" s="816"/>
    </row>
    <row r="21" spans="1:11" s="812" customFormat="1">
      <c r="A21" s="801"/>
      <c r="B21" s="5072"/>
      <c r="C21" s="804"/>
      <c r="D21" s="815"/>
      <c r="E21" s="804"/>
      <c r="F21" s="815"/>
      <c r="G21" s="804"/>
      <c r="H21" s="815"/>
      <c r="I21" s="816"/>
    </row>
    <row r="22" spans="1:11" s="812" customFormat="1">
      <c r="A22" s="801"/>
      <c r="B22" s="5072"/>
      <c r="C22" s="804"/>
      <c r="D22" s="815"/>
      <c r="E22" s="804"/>
      <c r="F22" s="815"/>
      <c r="G22" s="804"/>
      <c r="H22" s="815"/>
      <c r="I22" s="816"/>
    </row>
    <row r="23" spans="1:11" s="812" customFormat="1">
      <c r="A23" s="801"/>
      <c r="B23" s="5072"/>
      <c r="C23" s="804"/>
      <c r="D23" s="815"/>
      <c r="E23" s="804"/>
      <c r="F23" s="815"/>
      <c r="G23" s="804"/>
      <c r="H23" s="815"/>
      <c r="I23" s="816"/>
    </row>
    <row r="24" spans="1:11" s="812" customFormat="1" ht="14.4" thickBot="1">
      <c r="A24" s="5067"/>
      <c r="B24" s="5068"/>
      <c r="C24" s="5069"/>
      <c r="D24" s="5070"/>
      <c r="E24" s="5069"/>
      <c r="F24" s="5070"/>
      <c r="G24" s="5069"/>
      <c r="H24" s="5070"/>
      <c r="I24" s="5071"/>
    </row>
    <row r="25" spans="1:11" s="796" customFormat="1" ht="14.4" thickBot="1">
      <c r="A25" s="809" t="s">
        <v>220</v>
      </c>
      <c r="B25" s="810" t="s">
        <v>405</v>
      </c>
      <c r="C25" s="811">
        <f>SUM(C15:C19)</f>
        <v>344338467</v>
      </c>
      <c r="D25" s="810" t="s">
        <v>405</v>
      </c>
      <c r="E25" s="811">
        <f>SUM(E15:E19)</f>
        <v>20695822.460000001</v>
      </c>
      <c r="F25" s="810" t="s">
        <v>405</v>
      </c>
      <c r="G25" s="811">
        <f>SUM(G15:G19)</f>
        <v>20536322.439999998</v>
      </c>
      <c r="H25" s="810" t="s">
        <v>405</v>
      </c>
      <c r="I25" s="811">
        <f>SUM(I15:I19)</f>
        <v>11677898.109999999</v>
      </c>
    </row>
    <row r="26" spans="1:11" ht="15.75" customHeight="1">
      <c r="C26" s="377"/>
      <c r="D26" s="815"/>
      <c r="E26" s="377"/>
      <c r="F26" s="815"/>
      <c r="G26" s="377"/>
      <c r="H26" s="815"/>
      <c r="I26" s="798"/>
    </row>
    <row r="27" spans="1:11" ht="15.75" hidden="1" customHeight="1">
      <c r="A27" s="5000" t="s">
        <v>9177</v>
      </c>
      <c r="C27" s="812"/>
      <c r="D27" s="376"/>
      <c r="E27" s="812"/>
      <c r="F27" s="376"/>
      <c r="G27" s="812"/>
      <c r="H27" s="796"/>
      <c r="I27" s="376"/>
    </row>
    <row r="28" spans="1:11" ht="15.75" hidden="1" customHeight="1">
      <c r="C28" s="812"/>
      <c r="D28" s="376"/>
      <c r="E28" s="812"/>
      <c r="F28" s="376"/>
      <c r="G28" s="812"/>
      <c r="H28" s="796"/>
      <c r="I28" s="376"/>
    </row>
    <row r="29" spans="1:11" s="796" customFormat="1" ht="15.75" hidden="1" customHeight="1">
      <c r="A29" s="376"/>
      <c r="B29" s="376"/>
      <c r="C29" s="812"/>
      <c r="D29" s="376"/>
      <c r="E29" s="812"/>
      <c r="F29" s="376"/>
      <c r="G29" s="812"/>
      <c r="I29" s="376"/>
      <c r="J29" s="376"/>
      <c r="K29" s="376"/>
    </row>
    <row r="30" spans="1:11" ht="15.75" hidden="1" customHeight="1">
      <c r="A30" s="14097" t="s">
        <v>9488</v>
      </c>
      <c r="B30" s="14097"/>
      <c r="C30" s="14097"/>
      <c r="D30" s="1525"/>
      <c r="E30" s="14097" t="s">
        <v>5182</v>
      </c>
      <c r="F30" s="14097"/>
      <c r="G30" s="14097"/>
      <c r="H30" s="14097"/>
      <c r="I30" s="14097"/>
      <c r="J30" s="1525"/>
      <c r="K30" s="796"/>
    </row>
    <row r="31" spans="1:11" ht="15.75" hidden="1" customHeight="1">
      <c r="A31" s="14100" t="s">
        <v>9492</v>
      </c>
      <c r="B31" s="14100"/>
      <c r="C31" s="14100"/>
      <c r="D31" s="1526"/>
      <c r="E31" s="14100" t="s">
        <v>737</v>
      </c>
      <c r="F31" s="14100"/>
      <c r="G31" s="14100"/>
      <c r="H31" s="14100"/>
      <c r="I31" s="14100"/>
      <c r="J31" s="1526"/>
    </row>
    <row r="32" spans="1:11" ht="15.75" customHeight="1"/>
    <row r="33" spans="1:8" s="796" customFormat="1" ht="14.25" customHeight="1">
      <c r="A33" s="14097"/>
      <c r="B33" s="14097"/>
      <c r="C33" s="14097"/>
      <c r="D33" s="817"/>
      <c r="E33" s="14097"/>
      <c r="F33" s="14097"/>
      <c r="G33" s="14097"/>
      <c r="H33" s="14097"/>
    </row>
    <row r="34" spans="1:8">
      <c r="A34" s="14100"/>
      <c r="B34" s="14100"/>
      <c r="C34" s="14100"/>
      <c r="E34" s="14100"/>
      <c r="F34" s="14100"/>
      <c r="G34" s="14100"/>
      <c r="H34" s="14100"/>
    </row>
  </sheetData>
  <mergeCells count="10">
    <mergeCell ref="A4:I4"/>
    <mergeCell ref="B12:C12"/>
    <mergeCell ref="A33:C33"/>
    <mergeCell ref="E33:H33"/>
    <mergeCell ref="A34:C34"/>
    <mergeCell ref="E34:H34"/>
    <mergeCell ref="A30:C30"/>
    <mergeCell ref="A31:C31"/>
    <mergeCell ref="E30:I30"/>
    <mergeCell ref="E31:I31"/>
  </mergeCells>
  <pageMargins left="0.5" right="0.25" top="0.75" bottom="0.5" header="0.75" footer="0.25"/>
  <pageSetup paperSize="5" firstPageNumber="7" orientation="portrait" useFirstPageNumber="1" verticalDpi="300" r:id="rId1"/>
</worksheet>
</file>

<file path=xl/worksheets/sheet180.xml><?xml version="1.0" encoding="utf-8"?>
<worksheet xmlns="http://schemas.openxmlformats.org/spreadsheetml/2006/main" xmlns:r="http://schemas.openxmlformats.org/officeDocument/2006/relationships">
  <sheetPr codeName="Sheet137">
    <tabColor rgb="FFFFFF00"/>
  </sheetPr>
  <dimension ref="A1:I93"/>
  <sheetViews>
    <sheetView showGridLines="0" workbookViewId="0">
      <selection activeCell="H17" sqref="H17"/>
    </sheetView>
  </sheetViews>
  <sheetFormatPr defaultRowHeight="12.9" customHeight="1"/>
  <cols>
    <col min="1" max="1" width="40.5546875" style="7165" customWidth="1"/>
    <col min="2" max="3" width="8.5546875" style="7165" customWidth="1"/>
    <col min="4" max="6" width="14.5546875" style="7165" customWidth="1"/>
    <col min="7" max="7" width="14" style="7165" customWidth="1"/>
    <col min="8" max="8" width="15.109375" style="7165" customWidth="1"/>
    <col min="9" max="9" width="12.88671875" style="7165" customWidth="1"/>
    <col min="10" max="12" width="8.88671875" style="7165" customWidth="1"/>
    <col min="13" max="256" width="9.109375" style="7165"/>
    <col min="257" max="257" width="33.109375" style="7165" customWidth="1"/>
    <col min="258" max="258" width="8.44140625" style="7165" customWidth="1"/>
    <col min="259" max="259" width="9.109375" style="7165"/>
    <col min="260" max="260" width="11.44140625" style="7165" customWidth="1"/>
    <col min="261" max="261" width="13.88671875" style="7165" customWidth="1"/>
    <col min="262" max="262" width="14.88671875" style="7165" customWidth="1"/>
    <col min="263" max="263" width="11.109375" style="7165" bestFit="1" customWidth="1"/>
    <col min="264" max="264" width="12.44140625" style="7165" customWidth="1"/>
    <col min="265" max="265" width="12.88671875" style="7165" customWidth="1"/>
    <col min="266" max="512" width="9.109375" style="7165"/>
    <col min="513" max="513" width="33.109375" style="7165" customWidth="1"/>
    <col min="514" max="514" width="8.44140625" style="7165" customWidth="1"/>
    <col min="515" max="515" width="9.109375" style="7165"/>
    <col min="516" max="516" width="11.44140625" style="7165" customWidth="1"/>
    <col min="517" max="517" width="13.88671875" style="7165" customWidth="1"/>
    <col min="518" max="518" width="14.88671875" style="7165" customWidth="1"/>
    <col min="519" max="519" width="11.109375" style="7165" bestFit="1" customWidth="1"/>
    <col min="520" max="520" width="12.44140625" style="7165" customWidth="1"/>
    <col min="521" max="521" width="12.88671875" style="7165" customWidth="1"/>
    <col min="522" max="768" width="9.109375" style="7165"/>
    <col min="769" max="769" width="33.109375" style="7165" customWidth="1"/>
    <col min="770" max="770" width="8.44140625" style="7165" customWidth="1"/>
    <col min="771" max="771" width="9.109375" style="7165"/>
    <col min="772" max="772" width="11.44140625" style="7165" customWidth="1"/>
    <col min="773" max="773" width="13.88671875" style="7165" customWidth="1"/>
    <col min="774" max="774" width="14.88671875" style="7165" customWidth="1"/>
    <col min="775" max="775" width="11.109375" style="7165" bestFit="1" customWidth="1"/>
    <col min="776" max="776" width="12.44140625" style="7165" customWidth="1"/>
    <col min="777" max="777" width="12.88671875" style="7165" customWidth="1"/>
    <col min="778" max="1024" width="9.109375" style="7165"/>
    <col min="1025" max="1025" width="33.109375" style="7165" customWidth="1"/>
    <col min="1026" max="1026" width="8.44140625" style="7165" customWidth="1"/>
    <col min="1027" max="1027" width="9.109375" style="7165"/>
    <col min="1028" max="1028" width="11.44140625" style="7165" customWidth="1"/>
    <col min="1029" max="1029" width="13.88671875" style="7165" customWidth="1"/>
    <col min="1030" max="1030" width="14.88671875" style="7165" customWidth="1"/>
    <col min="1031" max="1031" width="11.109375" style="7165" bestFit="1" customWidth="1"/>
    <col min="1032" max="1032" width="12.44140625" style="7165" customWidth="1"/>
    <col min="1033" max="1033" width="12.88671875" style="7165" customWidth="1"/>
    <col min="1034" max="1280" width="9.109375" style="7165"/>
    <col min="1281" max="1281" width="33.109375" style="7165" customWidth="1"/>
    <col min="1282" max="1282" width="8.44140625" style="7165" customWidth="1"/>
    <col min="1283" max="1283" width="9.109375" style="7165"/>
    <col min="1284" max="1284" width="11.44140625" style="7165" customWidth="1"/>
    <col min="1285" max="1285" width="13.88671875" style="7165" customWidth="1"/>
    <col min="1286" max="1286" width="14.88671875" style="7165" customWidth="1"/>
    <col min="1287" max="1287" width="11.109375" style="7165" bestFit="1" customWidth="1"/>
    <col min="1288" max="1288" width="12.44140625" style="7165" customWidth="1"/>
    <col min="1289" max="1289" width="12.88671875" style="7165" customWidth="1"/>
    <col min="1290" max="1536" width="9.109375" style="7165"/>
    <col min="1537" max="1537" width="33.109375" style="7165" customWidth="1"/>
    <col min="1538" max="1538" width="8.44140625" style="7165" customWidth="1"/>
    <col min="1539" max="1539" width="9.109375" style="7165"/>
    <col min="1540" max="1540" width="11.44140625" style="7165" customWidth="1"/>
    <col min="1541" max="1541" width="13.88671875" style="7165" customWidth="1"/>
    <col min="1542" max="1542" width="14.88671875" style="7165" customWidth="1"/>
    <col min="1543" max="1543" width="11.109375" style="7165" bestFit="1" customWidth="1"/>
    <col min="1544" max="1544" width="12.44140625" style="7165" customWidth="1"/>
    <col min="1545" max="1545" width="12.88671875" style="7165" customWidth="1"/>
    <col min="1546" max="1792" width="9.109375" style="7165"/>
    <col min="1793" max="1793" width="33.109375" style="7165" customWidth="1"/>
    <col min="1794" max="1794" width="8.44140625" style="7165" customWidth="1"/>
    <col min="1795" max="1795" width="9.109375" style="7165"/>
    <col min="1796" max="1796" width="11.44140625" style="7165" customWidth="1"/>
    <col min="1797" max="1797" width="13.88671875" style="7165" customWidth="1"/>
    <col min="1798" max="1798" width="14.88671875" style="7165" customWidth="1"/>
    <col min="1799" max="1799" width="11.109375" style="7165" bestFit="1" customWidth="1"/>
    <col min="1800" max="1800" width="12.44140625" style="7165" customWidth="1"/>
    <col min="1801" max="1801" width="12.88671875" style="7165" customWidth="1"/>
    <col min="1802" max="2048" width="9.109375" style="7165"/>
    <col min="2049" max="2049" width="33.109375" style="7165" customWidth="1"/>
    <col min="2050" max="2050" width="8.44140625" style="7165" customWidth="1"/>
    <col min="2051" max="2051" width="9.109375" style="7165"/>
    <col min="2052" max="2052" width="11.44140625" style="7165" customWidth="1"/>
    <col min="2053" max="2053" width="13.88671875" style="7165" customWidth="1"/>
    <col min="2054" max="2054" width="14.88671875" style="7165" customWidth="1"/>
    <col min="2055" max="2055" width="11.109375" style="7165" bestFit="1" customWidth="1"/>
    <col min="2056" max="2056" width="12.44140625" style="7165" customWidth="1"/>
    <col min="2057" max="2057" width="12.88671875" style="7165" customWidth="1"/>
    <col min="2058" max="2304" width="9.109375" style="7165"/>
    <col min="2305" max="2305" width="33.109375" style="7165" customWidth="1"/>
    <col min="2306" max="2306" width="8.44140625" style="7165" customWidth="1"/>
    <col min="2307" max="2307" width="9.109375" style="7165"/>
    <col min="2308" max="2308" width="11.44140625" style="7165" customWidth="1"/>
    <col min="2309" max="2309" width="13.88671875" style="7165" customWidth="1"/>
    <col min="2310" max="2310" width="14.88671875" style="7165" customWidth="1"/>
    <col min="2311" max="2311" width="11.109375" style="7165" bestFit="1" customWidth="1"/>
    <col min="2312" max="2312" width="12.44140625" style="7165" customWidth="1"/>
    <col min="2313" max="2313" width="12.88671875" style="7165" customWidth="1"/>
    <col min="2314" max="2560" width="9.109375" style="7165"/>
    <col min="2561" max="2561" width="33.109375" style="7165" customWidth="1"/>
    <col min="2562" max="2562" width="8.44140625" style="7165" customWidth="1"/>
    <col min="2563" max="2563" width="9.109375" style="7165"/>
    <col min="2564" max="2564" width="11.44140625" style="7165" customWidth="1"/>
    <col min="2565" max="2565" width="13.88671875" style="7165" customWidth="1"/>
    <col min="2566" max="2566" width="14.88671875" style="7165" customWidth="1"/>
    <col min="2567" max="2567" width="11.109375" style="7165" bestFit="1" customWidth="1"/>
    <col min="2568" max="2568" width="12.44140625" style="7165" customWidth="1"/>
    <col min="2569" max="2569" width="12.88671875" style="7165" customWidth="1"/>
    <col min="2570" max="2816" width="9.109375" style="7165"/>
    <col min="2817" max="2817" width="33.109375" style="7165" customWidth="1"/>
    <col min="2818" max="2818" width="8.44140625" style="7165" customWidth="1"/>
    <col min="2819" max="2819" width="9.109375" style="7165"/>
    <col min="2820" max="2820" width="11.44140625" style="7165" customWidth="1"/>
    <col min="2821" max="2821" width="13.88671875" style="7165" customWidth="1"/>
    <col min="2822" max="2822" width="14.88671875" style="7165" customWidth="1"/>
    <col min="2823" max="2823" width="11.109375" style="7165" bestFit="1" customWidth="1"/>
    <col min="2824" max="2824" width="12.44140625" style="7165" customWidth="1"/>
    <col min="2825" max="2825" width="12.88671875" style="7165" customWidth="1"/>
    <col min="2826" max="3072" width="9.109375" style="7165"/>
    <col min="3073" max="3073" width="33.109375" style="7165" customWidth="1"/>
    <col min="3074" max="3074" width="8.44140625" style="7165" customWidth="1"/>
    <col min="3075" max="3075" width="9.109375" style="7165"/>
    <col min="3076" max="3076" width="11.44140625" style="7165" customWidth="1"/>
    <col min="3077" max="3077" width="13.88671875" style="7165" customWidth="1"/>
    <col min="3078" max="3078" width="14.88671875" style="7165" customWidth="1"/>
    <col min="3079" max="3079" width="11.109375" style="7165" bestFit="1" customWidth="1"/>
    <col min="3080" max="3080" width="12.44140625" style="7165" customWidth="1"/>
    <col min="3081" max="3081" width="12.88671875" style="7165" customWidth="1"/>
    <col min="3082" max="3328" width="9.109375" style="7165"/>
    <col min="3329" max="3329" width="33.109375" style="7165" customWidth="1"/>
    <col min="3330" max="3330" width="8.44140625" style="7165" customWidth="1"/>
    <col min="3331" max="3331" width="9.109375" style="7165"/>
    <col min="3332" max="3332" width="11.44140625" style="7165" customWidth="1"/>
    <col min="3333" max="3333" width="13.88671875" style="7165" customWidth="1"/>
    <col min="3334" max="3334" width="14.88671875" style="7165" customWidth="1"/>
    <col min="3335" max="3335" width="11.109375" style="7165" bestFit="1" customWidth="1"/>
    <col min="3336" max="3336" width="12.44140625" style="7165" customWidth="1"/>
    <col min="3337" max="3337" width="12.88671875" style="7165" customWidth="1"/>
    <col min="3338" max="3584" width="9.109375" style="7165"/>
    <col min="3585" max="3585" width="33.109375" style="7165" customWidth="1"/>
    <col min="3586" max="3586" width="8.44140625" style="7165" customWidth="1"/>
    <col min="3587" max="3587" width="9.109375" style="7165"/>
    <col min="3588" max="3588" width="11.44140625" style="7165" customWidth="1"/>
    <col min="3589" max="3589" width="13.88671875" style="7165" customWidth="1"/>
    <col min="3590" max="3590" width="14.88671875" style="7165" customWidth="1"/>
    <col min="3591" max="3591" width="11.109375" style="7165" bestFit="1" customWidth="1"/>
    <col min="3592" max="3592" width="12.44140625" style="7165" customWidth="1"/>
    <col min="3593" max="3593" width="12.88671875" style="7165" customWidth="1"/>
    <col min="3594" max="3840" width="9.109375" style="7165"/>
    <col min="3841" max="3841" width="33.109375" style="7165" customWidth="1"/>
    <col min="3842" max="3842" width="8.44140625" style="7165" customWidth="1"/>
    <col min="3843" max="3843" width="9.109375" style="7165"/>
    <col min="3844" max="3844" width="11.44140625" style="7165" customWidth="1"/>
    <col min="3845" max="3845" width="13.88671875" style="7165" customWidth="1"/>
    <col min="3846" max="3846" width="14.88671875" style="7165" customWidth="1"/>
    <col min="3847" max="3847" width="11.109375" style="7165" bestFit="1" customWidth="1"/>
    <col min="3848" max="3848" width="12.44140625" style="7165" customWidth="1"/>
    <col min="3849" max="3849" width="12.88671875" style="7165" customWidth="1"/>
    <col min="3850" max="4096" width="9.109375" style="7165"/>
    <col min="4097" max="4097" width="33.109375" style="7165" customWidth="1"/>
    <col min="4098" max="4098" width="8.44140625" style="7165" customWidth="1"/>
    <col min="4099" max="4099" width="9.109375" style="7165"/>
    <col min="4100" max="4100" width="11.44140625" style="7165" customWidth="1"/>
    <col min="4101" max="4101" width="13.88671875" style="7165" customWidth="1"/>
    <col min="4102" max="4102" width="14.88671875" style="7165" customWidth="1"/>
    <col min="4103" max="4103" width="11.109375" style="7165" bestFit="1" customWidth="1"/>
    <col min="4104" max="4104" width="12.44140625" style="7165" customWidth="1"/>
    <col min="4105" max="4105" width="12.88671875" style="7165" customWidth="1"/>
    <col min="4106" max="4352" width="9.109375" style="7165"/>
    <col min="4353" max="4353" width="33.109375" style="7165" customWidth="1"/>
    <col min="4354" max="4354" width="8.44140625" style="7165" customWidth="1"/>
    <col min="4355" max="4355" width="9.109375" style="7165"/>
    <col min="4356" max="4356" width="11.44140625" style="7165" customWidth="1"/>
    <col min="4357" max="4357" width="13.88671875" style="7165" customWidth="1"/>
    <col min="4358" max="4358" width="14.88671875" style="7165" customWidth="1"/>
    <col min="4359" max="4359" width="11.109375" style="7165" bestFit="1" customWidth="1"/>
    <col min="4360" max="4360" width="12.44140625" style="7165" customWidth="1"/>
    <col min="4361" max="4361" width="12.88671875" style="7165" customWidth="1"/>
    <col min="4362" max="4608" width="9.109375" style="7165"/>
    <col min="4609" max="4609" width="33.109375" style="7165" customWidth="1"/>
    <col min="4610" max="4610" width="8.44140625" style="7165" customWidth="1"/>
    <col min="4611" max="4611" width="9.109375" style="7165"/>
    <col min="4612" max="4612" width="11.44140625" style="7165" customWidth="1"/>
    <col min="4613" max="4613" width="13.88671875" style="7165" customWidth="1"/>
    <col min="4614" max="4614" width="14.88671875" style="7165" customWidth="1"/>
    <col min="4615" max="4615" width="11.109375" style="7165" bestFit="1" customWidth="1"/>
    <col min="4616" max="4616" width="12.44140625" style="7165" customWidth="1"/>
    <col min="4617" max="4617" width="12.88671875" style="7165" customWidth="1"/>
    <col min="4618" max="4864" width="9.109375" style="7165"/>
    <col min="4865" max="4865" width="33.109375" style="7165" customWidth="1"/>
    <col min="4866" max="4866" width="8.44140625" style="7165" customWidth="1"/>
    <col min="4867" max="4867" width="9.109375" style="7165"/>
    <col min="4868" max="4868" width="11.44140625" style="7165" customWidth="1"/>
    <col min="4869" max="4869" width="13.88671875" style="7165" customWidth="1"/>
    <col min="4870" max="4870" width="14.88671875" style="7165" customWidth="1"/>
    <col min="4871" max="4871" width="11.109375" style="7165" bestFit="1" customWidth="1"/>
    <col min="4872" max="4872" width="12.44140625" style="7165" customWidth="1"/>
    <col min="4873" max="4873" width="12.88671875" style="7165" customWidth="1"/>
    <col min="4874" max="5120" width="9.109375" style="7165"/>
    <col min="5121" max="5121" width="33.109375" style="7165" customWidth="1"/>
    <col min="5122" max="5122" width="8.44140625" style="7165" customWidth="1"/>
    <col min="5123" max="5123" width="9.109375" style="7165"/>
    <col min="5124" max="5124" width="11.44140625" style="7165" customWidth="1"/>
    <col min="5125" max="5125" width="13.88671875" style="7165" customWidth="1"/>
    <col min="5126" max="5126" width="14.88671875" style="7165" customWidth="1"/>
    <col min="5127" max="5127" width="11.109375" style="7165" bestFit="1" customWidth="1"/>
    <col min="5128" max="5128" width="12.44140625" style="7165" customWidth="1"/>
    <col min="5129" max="5129" width="12.88671875" style="7165" customWidth="1"/>
    <col min="5130" max="5376" width="9.109375" style="7165"/>
    <col min="5377" max="5377" width="33.109375" style="7165" customWidth="1"/>
    <col min="5378" max="5378" width="8.44140625" style="7165" customWidth="1"/>
    <col min="5379" max="5379" width="9.109375" style="7165"/>
    <col min="5380" max="5380" width="11.44140625" style="7165" customWidth="1"/>
    <col min="5381" max="5381" width="13.88671875" style="7165" customWidth="1"/>
    <col min="5382" max="5382" width="14.88671875" style="7165" customWidth="1"/>
    <col min="5383" max="5383" width="11.109375" style="7165" bestFit="1" customWidth="1"/>
    <col min="5384" max="5384" width="12.44140625" style="7165" customWidth="1"/>
    <col min="5385" max="5385" width="12.88671875" style="7165" customWidth="1"/>
    <col min="5386" max="5632" width="9.109375" style="7165"/>
    <col min="5633" max="5633" width="33.109375" style="7165" customWidth="1"/>
    <col min="5634" max="5634" width="8.44140625" style="7165" customWidth="1"/>
    <col min="5635" max="5635" width="9.109375" style="7165"/>
    <col min="5636" max="5636" width="11.44140625" style="7165" customWidth="1"/>
    <col min="5637" max="5637" width="13.88671875" style="7165" customWidth="1"/>
    <col min="5638" max="5638" width="14.88671875" style="7165" customWidth="1"/>
    <col min="5639" max="5639" width="11.109375" style="7165" bestFit="1" customWidth="1"/>
    <col min="5640" max="5640" width="12.44140625" style="7165" customWidth="1"/>
    <col min="5641" max="5641" width="12.88671875" style="7165" customWidth="1"/>
    <col min="5642" max="5888" width="9.109375" style="7165"/>
    <col min="5889" max="5889" width="33.109375" style="7165" customWidth="1"/>
    <col min="5890" max="5890" width="8.44140625" style="7165" customWidth="1"/>
    <col min="5891" max="5891" width="9.109375" style="7165"/>
    <col min="5892" max="5892" width="11.44140625" style="7165" customWidth="1"/>
    <col min="5893" max="5893" width="13.88671875" style="7165" customWidth="1"/>
    <col min="5894" max="5894" width="14.88671875" style="7165" customWidth="1"/>
    <col min="5895" max="5895" width="11.109375" style="7165" bestFit="1" customWidth="1"/>
    <col min="5896" max="5896" width="12.44140625" style="7165" customWidth="1"/>
    <col min="5897" max="5897" width="12.88671875" style="7165" customWidth="1"/>
    <col min="5898" max="6144" width="9.109375" style="7165"/>
    <col min="6145" max="6145" width="33.109375" style="7165" customWidth="1"/>
    <col min="6146" max="6146" width="8.44140625" style="7165" customWidth="1"/>
    <col min="6147" max="6147" width="9.109375" style="7165"/>
    <col min="6148" max="6148" width="11.44140625" style="7165" customWidth="1"/>
    <col min="6149" max="6149" width="13.88671875" style="7165" customWidth="1"/>
    <col min="6150" max="6150" width="14.88671875" style="7165" customWidth="1"/>
    <col min="6151" max="6151" width="11.109375" style="7165" bestFit="1" customWidth="1"/>
    <col min="6152" max="6152" width="12.44140625" style="7165" customWidth="1"/>
    <col min="6153" max="6153" width="12.88671875" style="7165" customWidth="1"/>
    <col min="6154" max="6400" width="9.109375" style="7165"/>
    <col min="6401" max="6401" width="33.109375" style="7165" customWidth="1"/>
    <col min="6402" max="6402" width="8.44140625" style="7165" customWidth="1"/>
    <col min="6403" max="6403" width="9.109375" style="7165"/>
    <col min="6404" max="6404" width="11.44140625" style="7165" customWidth="1"/>
    <col min="6405" max="6405" width="13.88671875" style="7165" customWidth="1"/>
    <col min="6406" max="6406" width="14.88671875" style="7165" customWidth="1"/>
    <col min="6407" max="6407" width="11.109375" style="7165" bestFit="1" customWidth="1"/>
    <col min="6408" max="6408" width="12.44140625" style="7165" customWidth="1"/>
    <col min="6409" max="6409" width="12.88671875" style="7165" customWidth="1"/>
    <col min="6410" max="6656" width="9.109375" style="7165"/>
    <col min="6657" max="6657" width="33.109375" style="7165" customWidth="1"/>
    <col min="6658" max="6658" width="8.44140625" style="7165" customWidth="1"/>
    <col min="6659" max="6659" width="9.109375" style="7165"/>
    <col min="6660" max="6660" width="11.44140625" style="7165" customWidth="1"/>
    <col min="6661" max="6661" width="13.88671875" style="7165" customWidth="1"/>
    <col min="6662" max="6662" width="14.88671875" style="7165" customWidth="1"/>
    <col min="6663" max="6663" width="11.109375" style="7165" bestFit="1" customWidth="1"/>
    <col min="6664" max="6664" width="12.44140625" style="7165" customWidth="1"/>
    <col min="6665" max="6665" width="12.88671875" style="7165" customWidth="1"/>
    <col min="6666" max="6912" width="9.109375" style="7165"/>
    <col min="6913" max="6913" width="33.109375" style="7165" customWidth="1"/>
    <col min="6914" max="6914" width="8.44140625" style="7165" customWidth="1"/>
    <col min="6915" max="6915" width="9.109375" style="7165"/>
    <col min="6916" max="6916" width="11.44140625" style="7165" customWidth="1"/>
    <col min="6917" max="6917" width="13.88671875" style="7165" customWidth="1"/>
    <col min="6918" max="6918" width="14.88671875" style="7165" customWidth="1"/>
    <col min="6919" max="6919" width="11.109375" style="7165" bestFit="1" customWidth="1"/>
    <col min="6920" max="6920" width="12.44140625" style="7165" customWidth="1"/>
    <col min="6921" max="6921" width="12.88671875" style="7165" customWidth="1"/>
    <col min="6922" max="7168" width="9.109375" style="7165"/>
    <col min="7169" max="7169" width="33.109375" style="7165" customWidth="1"/>
    <col min="7170" max="7170" width="8.44140625" style="7165" customWidth="1"/>
    <col min="7171" max="7171" width="9.109375" style="7165"/>
    <col min="7172" max="7172" width="11.44140625" style="7165" customWidth="1"/>
    <col min="7173" max="7173" width="13.88671875" style="7165" customWidth="1"/>
    <col min="7174" max="7174" width="14.88671875" style="7165" customWidth="1"/>
    <col min="7175" max="7175" width="11.109375" style="7165" bestFit="1" customWidth="1"/>
    <col min="7176" max="7176" width="12.44140625" style="7165" customWidth="1"/>
    <col min="7177" max="7177" width="12.88671875" style="7165" customWidth="1"/>
    <col min="7178" max="7424" width="9.109375" style="7165"/>
    <col min="7425" max="7425" width="33.109375" style="7165" customWidth="1"/>
    <col min="7426" max="7426" width="8.44140625" style="7165" customWidth="1"/>
    <col min="7427" max="7427" width="9.109375" style="7165"/>
    <col min="7428" max="7428" width="11.44140625" style="7165" customWidth="1"/>
    <col min="7429" max="7429" width="13.88671875" style="7165" customWidth="1"/>
    <col min="7430" max="7430" width="14.88671875" style="7165" customWidth="1"/>
    <col min="7431" max="7431" width="11.109375" style="7165" bestFit="1" customWidth="1"/>
    <col min="7432" max="7432" width="12.44140625" style="7165" customWidth="1"/>
    <col min="7433" max="7433" width="12.88671875" style="7165" customWidth="1"/>
    <col min="7434" max="7680" width="9.109375" style="7165"/>
    <col min="7681" max="7681" width="33.109375" style="7165" customWidth="1"/>
    <col min="7682" max="7682" width="8.44140625" style="7165" customWidth="1"/>
    <col min="7683" max="7683" width="9.109375" style="7165"/>
    <col min="7684" max="7684" width="11.44140625" style="7165" customWidth="1"/>
    <col min="7685" max="7685" width="13.88671875" style="7165" customWidth="1"/>
    <col min="7686" max="7686" width="14.88671875" style="7165" customWidth="1"/>
    <col min="7687" max="7687" width="11.109375" style="7165" bestFit="1" customWidth="1"/>
    <col min="7688" max="7688" width="12.44140625" style="7165" customWidth="1"/>
    <col min="7689" max="7689" width="12.88671875" style="7165" customWidth="1"/>
    <col min="7690" max="7936" width="9.109375" style="7165"/>
    <col min="7937" max="7937" width="33.109375" style="7165" customWidth="1"/>
    <col min="7938" max="7938" width="8.44140625" style="7165" customWidth="1"/>
    <col min="7939" max="7939" width="9.109375" style="7165"/>
    <col min="7940" max="7940" width="11.44140625" style="7165" customWidth="1"/>
    <col min="7941" max="7941" width="13.88671875" style="7165" customWidth="1"/>
    <col min="7942" max="7942" width="14.88671875" style="7165" customWidth="1"/>
    <col min="7943" max="7943" width="11.109375" style="7165" bestFit="1" customWidth="1"/>
    <col min="7944" max="7944" width="12.44140625" style="7165" customWidth="1"/>
    <col min="7945" max="7945" width="12.88671875" style="7165" customWidth="1"/>
    <col min="7946" max="8192" width="9.109375" style="7165"/>
    <col min="8193" max="8193" width="33.109375" style="7165" customWidth="1"/>
    <col min="8194" max="8194" width="8.44140625" style="7165" customWidth="1"/>
    <col min="8195" max="8195" width="9.109375" style="7165"/>
    <col min="8196" max="8196" width="11.44140625" style="7165" customWidth="1"/>
    <col min="8197" max="8197" width="13.88671875" style="7165" customWidth="1"/>
    <col min="8198" max="8198" width="14.88671875" style="7165" customWidth="1"/>
    <col min="8199" max="8199" width="11.109375" style="7165" bestFit="1" customWidth="1"/>
    <col min="8200" max="8200" width="12.44140625" style="7165" customWidth="1"/>
    <col min="8201" max="8201" width="12.88671875" style="7165" customWidth="1"/>
    <col min="8202" max="8448" width="9.109375" style="7165"/>
    <col min="8449" max="8449" width="33.109375" style="7165" customWidth="1"/>
    <col min="8450" max="8450" width="8.44140625" style="7165" customWidth="1"/>
    <col min="8451" max="8451" width="9.109375" style="7165"/>
    <col min="8452" max="8452" width="11.44140625" style="7165" customWidth="1"/>
    <col min="8453" max="8453" width="13.88671875" style="7165" customWidth="1"/>
    <col min="8454" max="8454" width="14.88671875" style="7165" customWidth="1"/>
    <col min="8455" max="8455" width="11.109375" style="7165" bestFit="1" customWidth="1"/>
    <col min="8456" max="8456" width="12.44140625" style="7165" customWidth="1"/>
    <col min="8457" max="8457" width="12.88671875" style="7165" customWidth="1"/>
    <col min="8458" max="8704" width="9.109375" style="7165"/>
    <col min="8705" max="8705" width="33.109375" style="7165" customWidth="1"/>
    <col min="8706" max="8706" width="8.44140625" style="7165" customWidth="1"/>
    <col min="8707" max="8707" width="9.109375" style="7165"/>
    <col min="8708" max="8708" width="11.44140625" style="7165" customWidth="1"/>
    <col min="8709" max="8709" width="13.88671875" style="7165" customWidth="1"/>
    <col min="8710" max="8710" width="14.88671875" style="7165" customWidth="1"/>
    <col min="8711" max="8711" width="11.109375" style="7165" bestFit="1" customWidth="1"/>
    <col min="8712" max="8712" width="12.44140625" style="7165" customWidth="1"/>
    <col min="8713" max="8713" width="12.88671875" style="7165" customWidth="1"/>
    <col min="8714" max="8960" width="9.109375" style="7165"/>
    <col min="8961" max="8961" width="33.109375" style="7165" customWidth="1"/>
    <col min="8962" max="8962" width="8.44140625" style="7165" customWidth="1"/>
    <col min="8963" max="8963" width="9.109375" style="7165"/>
    <col min="8964" max="8964" width="11.44140625" style="7165" customWidth="1"/>
    <col min="8965" max="8965" width="13.88671875" style="7165" customWidth="1"/>
    <col min="8966" max="8966" width="14.88671875" style="7165" customWidth="1"/>
    <col min="8967" max="8967" width="11.109375" style="7165" bestFit="1" customWidth="1"/>
    <col min="8968" max="8968" width="12.44140625" style="7165" customWidth="1"/>
    <col min="8969" max="8969" width="12.88671875" style="7165" customWidth="1"/>
    <col min="8970" max="9216" width="9.109375" style="7165"/>
    <col min="9217" max="9217" width="33.109375" style="7165" customWidth="1"/>
    <col min="9218" max="9218" width="8.44140625" style="7165" customWidth="1"/>
    <col min="9219" max="9219" width="9.109375" style="7165"/>
    <col min="9220" max="9220" width="11.44140625" style="7165" customWidth="1"/>
    <col min="9221" max="9221" width="13.88671875" style="7165" customWidth="1"/>
    <col min="9222" max="9222" width="14.88671875" style="7165" customWidth="1"/>
    <col min="9223" max="9223" width="11.109375" style="7165" bestFit="1" customWidth="1"/>
    <col min="9224" max="9224" width="12.44140625" style="7165" customWidth="1"/>
    <col min="9225" max="9225" width="12.88671875" style="7165" customWidth="1"/>
    <col min="9226" max="9472" width="9.109375" style="7165"/>
    <col min="9473" max="9473" width="33.109375" style="7165" customWidth="1"/>
    <col min="9474" max="9474" width="8.44140625" style="7165" customWidth="1"/>
    <col min="9475" max="9475" width="9.109375" style="7165"/>
    <col min="9476" max="9476" width="11.44140625" style="7165" customWidth="1"/>
    <col min="9477" max="9477" width="13.88671875" style="7165" customWidth="1"/>
    <col min="9478" max="9478" width="14.88671875" style="7165" customWidth="1"/>
    <col min="9479" max="9479" width="11.109375" style="7165" bestFit="1" customWidth="1"/>
    <col min="9480" max="9480" width="12.44140625" style="7165" customWidth="1"/>
    <col min="9481" max="9481" width="12.88671875" style="7165" customWidth="1"/>
    <col min="9482" max="9728" width="9.109375" style="7165"/>
    <col min="9729" max="9729" width="33.109375" style="7165" customWidth="1"/>
    <col min="9730" max="9730" width="8.44140625" style="7165" customWidth="1"/>
    <col min="9731" max="9731" width="9.109375" style="7165"/>
    <col min="9732" max="9732" width="11.44140625" style="7165" customWidth="1"/>
    <col min="9733" max="9733" width="13.88671875" style="7165" customWidth="1"/>
    <col min="9734" max="9734" width="14.88671875" style="7165" customWidth="1"/>
    <col min="9735" max="9735" width="11.109375" style="7165" bestFit="1" customWidth="1"/>
    <col min="9736" max="9736" width="12.44140625" style="7165" customWidth="1"/>
    <col min="9737" max="9737" width="12.88671875" style="7165" customWidth="1"/>
    <col min="9738" max="9984" width="9.109375" style="7165"/>
    <col min="9985" max="9985" width="33.109375" style="7165" customWidth="1"/>
    <col min="9986" max="9986" width="8.44140625" style="7165" customWidth="1"/>
    <col min="9987" max="9987" width="9.109375" style="7165"/>
    <col min="9988" max="9988" width="11.44140625" style="7165" customWidth="1"/>
    <col min="9989" max="9989" width="13.88671875" style="7165" customWidth="1"/>
    <col min="9990" max="9990" width="14.88671875" style="7165" customWidth="1"/>
    <col min="9991" max="9991" width="11.109375" style="7165" bestFit="1" customWidth="1"/>
    <col min="9992" max="9992" width="12.44140625" style="7165" customWidth="1"/>
    <col min="9993" max="9993" width="12.88671875" style="7165" customWidth="1"/>
    <col min="9994" max="10240" width="9.109375" style="7165"/>
    <col min="10241" max="10241" width="33.109375" style="7165" customWidth="1"/>
    <col min="10242" max="10242" width="8.44140625" style="7165" customWidth="1"/>
    <col min="10243" max="10243" width="9.109375" style="7165"/>
    <col min="10244" max="10244" width="11.44140625" style="7165" customWidth="1"/>
    <col min="10245" max="10245" width="13.88671875" style="7165" customWidth="1"/>
    <col min="10246" max="10246" width="14.88671875" style="7165" customWidth="1"/>
    <col min="10247" max="10247" width="11.109375" style="7165" bestFit="1" customWidth="1"/>
    <col min="10248" max="10248" width="12.44140625" style="7165" customWidth="1"/>
    <col min="10249" max="10249" width="12.88671875" style="7165" customWidth="1"/>
    <col min="10250" max="10496" width="9.109375" style="7165"/>
    <col min="10497" max="10497" width="33.109375" style="7165" customWidth="1"/>
    <col min="10498" max="10498" width="8.44140625" style="7165" customWidth="1"/>
    <col min="10499" max="10499" width="9.109375" style="7165"/>
    <col min="10500" max="10500" width="11.44140625" style="7165" customWidth="1"/>
    <col min="10501" max="10501" width="13.88671875" style="7165" customWidth="1"/>
    <col min="10502" max="10502" width="14.88671875" style="7165" customWidth="1"/>
    <col min="10503" max="10503" width="11.109375" style="7165" bestFit="1" customWidth="1"/>
    <col min="10504" max="10504" width="12.44140625" style="7165" customWidth="1"/>
    <col min="10505" max="10505" width="12.88671875" style="7165" customWidth="1"/>
    <col min="10506" max="10752" width="9.109375" style="7165"/>
    <col min="10753" max="10753" width="33.109375" style="7165" customWidth="1"/>
    <col min="10754" max="10754" width="8.44140625" style="7165" customWidth="1"/>
    <col min="10755" max="10755" width="9.109375" style="7165"/>
    <col min="10756" max="10756" width="11.44140625" style="7165" customWidth="1"/>
    <col min="10757" max="10757" width="13.88671875" style="7165" customWidth="1"/>
    <col min="10758" max="10758" width="14.88671875" style="7165" customWidth="1"/>
    <col min="10759" max="10759" width="11.109375" style="7165" bestFit="1" customWidth="1"/>
    <col min="10760" max="10760" width="12.44140625" style="7165" customWidth="1"/>
    <col min="10761" max="10761" width="12.88671875" style="7165" customWidth="1"/>
    <col min="10762" max="11008" width="9.109375" style="7165"/>
    <col min="11009" max="11009" width="33.109375" style="7165" customWidth="1"/>
    <col min="11010" max="11010" width="8.44140625" style="7165" customWidth="1"/>
    <col min="11011" max="11011" width="9.109375" style="7165"/>
    <col min="11012" max="11012" width="11.44140625" style="7165" customWidth="1"/>
    <col min="11013" max="11013" width="13.88671875" style="7165" customWidth="1"/>
    <col min="11014" max="11014" width="14.88671875" style="7165" customWidth="1"/>
    <col min="11015" max="11015" width="11.109375" style="7165" bestFit="1" customWidth="1"/>
    <col min="11016" max="11016" width="12.44140625" style="7165" customWidth="1"/>
    <col min="11017" max="11017" width="12.88671875" style="7165" customWidth="1"/>
    <col min="11018" max="11264" width="9.109375" style="7165"/>
    <col min="11265" max="11265" width="33.109375" style="7165" customWidth="1"/>
    <col min="11266" max="11266" width="8.44140625" style="7165" customWidth="1"/>
    <col min="11267" max="11267" width="9.109375" style="7165"/>
    <col min="11268" max="11268" width="11.44140625" style="7165" customWidth="1"/>
    <col min="11269" max="11269" width="13.88671875" style="7165" customWidth="1"/>
    <col min="11270" max="11270" width="14.88671875" style="7165" customWidth="1"/>
    <col min="11271" max="11271" width="11.109375" style="7165" bestFit="1" customWidth="1"/>
    <col min="11272" max="11272" width="12.44140625" style="7165" customWidth="1"/>
    <col min="11273" max="11273" width="12.88671875" style="7165" customWidth="1"/>
    <col min="11274" max="11520" width="9.109375" style="7165"/>
    <col min="11521" max="11521" width="33.109375" style="7165" customWidth="1"/>
    <col min="11522" max="11522" width="8.44140625" style="7165" customWidth="1"/>
    <col min="11523" max="11523" width="9.109375" style="7165"/>
    <col min="11524" max="11524" width="11.44140625" style="7165" customWidth="1"/>
    <col min="11525" max="11525" width="13.88671875" style="7165" customWidth="1"/>
    <col min="11526" max="11526" width="14.88671875" style="7165" customWidth="1"/>
    <col min="11527" max="11527" width="11.109375" style="7165" bestFit="1" customWidth="1"/>
    <col min="11528" max="11528" width="12.44140625" style="7165" customWidth="1"/>
    <col min="11529" max="11529" width="12.88671875" style="7165" customWidth="1"/>
    <col min="11530" max="11776" width="9.109375" style="7165"/>
    <col min="11777" max="11777" width="33.109375" style="7165" customWidth="1"/>
    <col min="11778" max="11778" width="8.44140625" style="7165" customWidth="1"/>
    <col min="11779" max="11779" width="9.109375" style="7165"/>
    <col min="11780" max="11780" width="11.44140625" style="7165" customWidth="1"/>
    <col min="11781" max="11781" width="13.88671875" style="7165" customWidth="1"/>
    <col min="11782" max="11782" width="14.88671875" style="7165" customWidth="1"/>
    <col min="11783" max="11783" width="11.109375" style="7165" bestFit="1" customWidth="1"/>
    <col min="11784" max="11784" width="12.44140625" style="7165" customWidth="1"/>
    <col min="11785" max="11785" width="12.88671875" style="7165" customWidth="1"/>
    <col min="11786" max="12032" width="9.109375" style="7165"/>
    <col min="12033" max="12033" width="33.109375" style="7165" customWidth="1"/>
    <col min="12034" max="12034" width="8.44140625" style="7165" customWidth="1"/>
    <col min="12035" max="12035" width="9.109375" style="7165"/>
    <col min="12036" max="12036" width="11.44140625" style="7165" customWidth="1"/>
    <col min="12037" max="12037" width="13.88671875" style="7165" customWidth="1"/>
    <col min="12038" max="12038" width="14.88671875" style="7165" customWidth="1"/>
    <col min="12039" max="12039" width="11.109375" style="7165" bestFit="1" customWidth="1"/>
    <col min="12040" max="12040" width="12.44140625" style="7165" customWidth="1"/>
    <col min="12041" max="12041" width="12.88671875" style="7165" customWidth="1"/>
    <col min="12042" max="12288" width="9.109375" style="7165"/>
    <col min="12289" max="12289" width="33.109375" style="7165" customWidth="1"/>
    <col min="12290" max="12290" width="8.44140625" style="7165" customWidth="1"/>
    <col min="12291" max="12291" width="9.109375" style="7165"/>
    <col min="12292" max="12292" width="11.44140625" style="7165" customWidth="1"/>
    <col min="12293" max="12293" width="13.88671875" style="7165" customWidth="1"/>
    <col min="12294" max="12294" width="14.88671875" style="7165" customWidth="1"/>
    <col min="12295" max="12295" width="11.109375" style="7165" bestFit="1" customWidth="1"/>
    <col min="12296" max="12296" width="12.44140625" style="7165" customWidth="1"/>
    <col min="12297" max="12297" width="12.88671875" style="7165" customWidth="1"/>
    <col min="12298" max="12544" width="9.109375" style="7165"/>
    <col min="12545" max="12545" width="33.109375" style="7165" customWidth="1"/>
    <col min="12546" max="12546" width="8.44140625" style="7165" customWidth="1"/>
    <col min="12547" max="12547" width="9.109375" style="7165"/>
    <col min="12548" max="12548" width="11.44140625" style="7165" customWidth="1"/>
    <col min="12549" max="12549" width="13.88671875" style="7165" customWidth="1"/>
    <col min="12550" max="12550" width="14.88671875" style="7165" customWidth="1"/>
    <col min="12551" max="12551" width="11.109375" style="7165" bestFit="1" customWidth="1"/>
    <col min="12552" max="12552" width="12.44140625" style="7165" customWidth="1"/>
    <col min="12553" max="12553" width="12.88671875" style="7165" customWidth="1"/>
    <col min="12554" max="12800" width="9.109375" style="7165"/>
    <col min="12801" max="12801" width="33.109375" style="7165" customWidth="1"/>
    <col min="12802" max="12802" width="8.44140625" style="7165" customWidth="1"/>
    <col min="12803" max="12803" width="9.109375" style="7165"/>
    <col min="12804" max="12804" width="11.44140625" style="7165" customWidth="1"/>
    <col min="12805" max="12805" width="13.88671875" style="7165" customWidth="1"/>
    <col min="12806" max="12806" width="14.88671875" style="7165" customWidth="1"/>
    <col min="12807" max="12807" width="11.109375" style="7165" bestFit="1" customWidth="1"/>
    <col min="12808" max="12808" width="12.44140625" style="7165" customWidth="1"/>
    <col min="12809" max="12809" width="12.88671875" style="7165" customWidth="1"/>
    <col min="12810" max="13056" width="9.109375" style="7165"/>
    <col min="13057" max="13057" width="33.109375" style="7165" customWidth="1"/>
    <col min="13058" max="13058" width="8.44140625" style="7165" customWidth="1"/>
    <col min="13059" max="13059" width="9.109375" style="7165"/>
    <col min="13060" max="13060" width="11.44140625" style="7165" customWidth="1"/>
    <col min="13061" max="13061" width="13.88671875" style="7165" customWidth="1"/>
    <col min="13062" max="13062" width="14.88671875" style="7165" customWidth="1"/>
    <col min="13063" max="13063" width="11.109375" style="7165" bestFit="1" customWidth="1"/>
    <col min="13064" max="13064" width="12.44140625" style="7165" customWidth="1"/>
    <col min="13065" max="13065" width="12.88671875" style="7165" customWidth="1"/>
    <col min="13066" max="13312" width="9.109375" style="7165"/>
    <col min="13313" max="13313" width="33.109375" style="7165" customWidth="1"/>
    <col min="13314" max="13314" width="8.44140625" style="7165" customWidth="1"/>
    <col min="13315" max="13315" width="9.109375" style="7165"/>
    <col min="13316" max="13316" width="11.44140625" style="7165" customWidth="1"/>
    <col min="13317" max="13317" width="13.88671875" style="7165" customWidth="1"/>
    <col min="13318" max="13318" width="14.88671875" style="7165" customWidth="1"/>
    <col min="13319" max="13319" width="11.109375" style="7165" bestFit="1" customWidth="1"/>
    <col min="13320" max="13320" width="12.44140625" style="7165" customWidth="1"/>
    <col min="13321" max="13321" width="12.88671875" style="7165" customWidth="1"/>
    <col min="13322" max="13568" width="9.109375" style="7165"/>
    <col min="13569" max="13569" width="33.109375" style="7165" customWidth="1"/>
    <col min="13570" max="13570" width="8.44140625" style="7165" customWidth="1"/>
    <col min="13571" max="13571" width="9.109375" style="7165"/>
    <col min="13572" max="13572" width="11.44140625" style="7165" customWidth="1"/>
    <col min="13573" max="13573" width="13.88671875" style="7165" customWidth="1"/>
    <col min="13574" max="13574" width="14.88671875" style="7165" customWidth="1"/>
    <col min="13575" max="13575" width="11.109375" style="7165" bestFit="1" customWidth="1"/>
    <col min="13576" max="13576" width="12.44140625" style="7165" customWidth="1"/>
    <col min="13577" max="13577" width="12.88671875" style="7165" customWidth="1"/>
    <col min="13578" max="13824" width="9.109375" style="7165"/>
    <col min="13825" max="13825" width="33.109375" style="7165" customWidth="1"/>
    <col min="13826" max="13826" width="8.44140625" style="7165" customWidth="1"/>
    <col min="13827" max="13827" width="9.109375" style="7165"/>
    <col min="13828" max="13828" width="11.44140625" style="7165" customWidth="1"/>
    <col min="13829" max="13829" width="13.88671875" style="7165" customWidth="1"/>
    <col min="13830" max="13830" width="14.88671875" style="7165" customWidth="1"/>
    <col min="13831" max="13831" width="11.109375" style="7165" bestFit="1" customWidth="1"/>
    <col min="13832" max="13832" width="12.44140625" style="7165" customWidth="1"/>
    <col min="13833" max="13833" width="12.88671875" style="7165" customWidth="1"/>
    <col min="13834" max="14080" width="9.109375" style="7165"/>
    <col min="14081" max="14081" width="33.109375" style="7165" customWidth="1"/>
    <col min="14082" max="14082" width="8.44140625" style="7165" customWidth="1"/>
    <col min="14083" max="14083" width="9.109375" style="7165"/>
    <col min="14084" max="14084" width="11.44140625" style="7165" customWidth="1"/>
    <col min="14085" max="14085" width="13.88671875" style="7165" customWidth="1"/>
    <col min="14086" max="14086" width="14.88671875" style="7165" customWidth="1"/>
    <col min="14087" max="14087" width="11.109375" style="7165" bestFit="1" customWidth="1"/>
    <col min="14088" max="14088" width="12.44140625" style="7165" customWidth="1"/>
    <col min="14089" max="14089" width="12.88671875" style="7165" customWidth="1"/>
    <col min="14090" max="14336" width="9.109375" style="7165"/>
    <col min="14337" max="14337" width="33.109375" style="7165" customWidth="1"/>
    <col min="14338" max="14338" width="8.44140625" style="7165" customWidth="1"/>
    <col min="14339" max="14339" width="9.109375" style="7165"/>
    <col min="14340" max="14340" width="11.44140625" style="7165" customWidth="1"/>
    <col min="14341" max="14341" width="13.88671875" style="7165" customWidth="1"/>
    <col min="14342" max="14342" width="14.88671875" style="7165" customWidth="1"/>
    <col min="14343" max="14343" width="11.109375" style="7165" bestFit="1" customWidth="1"/>
    <col min="14344" max="14344" width="12.44140625" style="7165" customWidth="1"/>
    <col min="14345" max="14345" width="12.88671875" style="7165" customWidth="1"/>
    <col min="14346" max="14592" width="9.109375" style="7165"/>
    <col min="14593" max="14593" width="33.109375" style="7165" customWidth="1"/>
    <col min="14594" max="14594" width="8.44140625" style="7165" customWidth="1"/>
    <col min="14595" max="14595" width="9.109375" style="7165"/>
    <col min="14596" max="14596" width="11.44140625" style="7165" customWidth="1"/>
    <col min="14597" max="14597" width="13.88671875" style="7165" customWidth="1"/>
    <col min="14598" max="14598" width="14.88671875" style="7165" customWidth="1"/>
    <col min="14599" max="14599" width="11.109375" style="7165" bestFit="1" customWidth="1"/>
    <col min="14600" max="14600" width="12.44140625" style="7165" customWidth="1"/>
    <col min="14601" max="14601" width="12.88671875" style="7165" customWidth="1"/>
    <col min="14602" max="14848" width="9.109375" style="7165"/>
    <col min="14849" max="14849" width="33.109375" style="7165" customWidth="1"/>
    <col min="14850" max="14850" width="8.44140625" style="7165" customWidth="1"/>
    <col min="14851" max="14851" width="9.109375" style="7165"/>
    <col min="14852" max="14852" width="11.44140625" style="7165" customWidth="1"/>
    <col min="14853" max="14853" width="13.88671875" style="7165" customWidth="1"/>
    <col min="14854" max="14854" width="14.88671875" style="7165" customWidth="1"/>
    <col min="14855" max="14855" width="11.109375" style="7165" bestFit="1" customWidth="1"/>
    <col min="14856" max="14856" width="12.44140625" style="7165" customWidth="1"/>
    <col min="14857" max="14857" width="12.88671875" style="7165" customWidth="1"/>
    <col min="14858" max="15104" width="9.109375" style="7165"/>
    <col min="15105" max="15105" width="33.109375" style="7165" customWidth="1"/>
    <col min="15106" max="15106" width="8.44140625" style="7165" customWidth="1"/>
    <col min="15107" max="15107" width="9.109375" style="7165"/>
    <col min="15108" max="15108" width="11.44140625" style="7165" customWidth="1"/>
    <col min="15109" max="15109" width="13.88671875" style="7165" customWidth="1"/>
    <col min="15110" max="15110" width="14.88671875" style="7165" customWidth="1"/>
    <col min="15111" max="15111" width="11.109375" style="7165" bestFit="1" customWidth="1"/>
    <col min="15112" max="15112" width="12.44140625" style="7165" customWidth="1"/>
    <col min="15113" max="15113" width="12.88671875" style="7165" customWidth="1"/>
    <col min="15114" max="15360" width="9.109375" style="7165"/>
    <col min="15361" max="15361" width="33.109375" style="7165" customWidth="1"/>
    <col min="15362" max="15362" width="8.44140625" style="7165" customWidth="1"/>
    <col min="15363" max="15363" width="9.109375" style="7165"/>
    <col min="15364" max="15364" width="11.44140625" style="7165" customWidth="1"/>
    <col min="15365" max="15365" width="13.88671875" style="7165" customWidth="1"/>
    <col min="15366" max="15366" width="14.88671875" style="7165" customWidth="1"/>
    <col min="15367" max="15367" width="11.109375" style="7165" bestFit="1" customWidth="1"/>
    <col min="15368" max="15368" width="12.44140625" style="7165" customWidth="1"/>
    <col min="15369" max="15369" width="12.88671875" style="7165" customWidth="1"/>
    <col min="15370" max="15616" width="9.109375" style="7165"/>
    <col min="15617" max="15617" width="33.109375" style="7165" customWidth="1"/>
    <col min="15618" max="15618" width="8.44140625" style="7165" customWidth="1"/>
    <col min="15619" max="15619" width="9.109375" style="7165"/>
    <col min="15620" max="15620" width="11.44140625" style="7165" customWidth="1"/>
    <col min="15621" max="15621" width="13.88671875" style="7165" customWidth="1"/>
    <col min="15622" max="15622" width="14.88671875" style="7165" customWidth="1"/>
    <col min="15623" max="15623" width="11.109375" style="7165" bestFit="1" customWidth="1"/>
    <col min="15624" max="15624" width="12.44140625" style="7165" customWidth="1"/>
    <col min="15625" max="15625" width="12.88671875" style="7165" customWidth="1"/>
    <col min="15626" max="15872" width="9.109375" style="7165"/>
    <col min="15873" max="15873" width="33.109375" style="7165" customWidth="1"/>
    <col min="15874" max="15874" width="8.44140625" style="7165" customWidth="1"/>
    <col min="15875" max="15875" width="9.109375" style="7165"/>
    <col min="15876" max="15876" width="11.44140625" style="7165" customWidth="1"/>
    <col min="15877" max="15877" width="13.88671875" style="7165" customWidth="1"/>
    <col min="15878" max="15878" width="14.88671875" style="7165" customWidth="1"/>
    <col min="15879" max="15879" width="11.109375" style="7165" bestFit="1" customWidth="1"/>
    <col min="15880" max="15880" width="12.44140625" style="7165" customWidth="1"/>
    <col min="15881" max="15881" width="12.88671875" style="7165" customWidth="1"/>
    <col min="15882" max="16128" width="9.109375" style="7165"/>
    <col min="16129" max="16129" width="33.109375" style="7165" customWidth="1"/>
    <col min="16130" max="16130" width="8.44140625" style="7165" customWidth="1"/>
    <col min="16131" max="16131" width="9.109375" style="7165"/>
    <col min="16132" max="16132" width="11.44140625" style="7165" customWidth="1"/>
    <col min="16133" max="16133" width="13.88671875" style="7165" customWidth="1"/>
    <col min="16134" max="16134" width="14.88671875" style="7165" customWidth="1"/>
    <col min="16135" max="16135" width="11.109375" style="7165" bestFit="1" customWidth="1"/>
    <col min="16136" max="16136" width="12.44140625" style="7165" customWidth="1"/>
    <col min="16137" max="16137" width="12.88671875" style="7165" customWidth="1"/>
    <col min="16138" max="16384" width="9.109375" style="7165"/>
  </cols>
  <sheetData>
    <row r="1" spans="1:9" ht="12.9" customHeight="1">
      <c r="A1" s="14215" t="s">
        <v>1087</v>
      </c>
      <c r="B1" s="14215"/>
      <c r="C1" s="14215"/>
      <c r="D1" s="14215"/>
      <c r="E1" s="14215"/>
      <c r="F1" s="14215"/>
    </row>
    <row r="2" spans="1:9" ht="12.9" customHeight="1">
      <c r="A2" s="7163"/>
    </row>
    <row r="3" spans="1:9" ht="12.9" customHeight="1">
      <c r="A3" s="5860" t="s">
        <v>10074</v>
      </c>
    </row>
    <row r="4" spans="1:9" ht="12.9" customHeight="1" thickBot="1">
      <c r="A4" s="5860"/>
    </row>
    <row r="5" spans="1:9" ht="12.9" customHeight="1" thickBot="1">
      <c r="A5" s="9697" t="s">
        <v>842</v>
      </c>
      <c r="B5" s="10711" t="s">
        <v>1035</v>
      </c>
      <c r="C5" s="10711" t="s">
        <v>1036</v>
      </c>
      <c r="D5" s="15400" t="s">
        <v>1037</v>
      </c>
      <c r="E5" s="15400"/>
      <c r="F5" s="15401"/>
    </row>
    <row r="6" spans="1:9" ht="12.9" customHeight="1" thickBot="1">
      <c r="A6" s="9698" t="s">
        <v>1088</v>
      </c>
      <c r="B6" s="9772" t="s">
        <v>9</v>
      </c>
      <c r="C6" s="9772" t="s">
        <v>1039</v>
      </c>
      <c r="D6" s="10710" t="s">
        <v>10</v>
      </c>
      <c r="E6" s="9772" t="s">
        <v>11</v>
      </c>
      <c r="F6" s="9773" t="s">
        <v>11621</v>
      </c>
    </row>
    <row r="7" spans="1:9" ht="12.9" customHeight="1">
      <c r="A7" s="7207" t="s">
        <v>1139</v>
      </c>
      <c r="B7" s="7205"/>
      <c r="C7" s="7205"/>
      <c r="D7" s="9624"/>
      <c r="E7" s="7205"/>
      <c r="F7" s="7215"/>
    </row>
    <row r="8" spans="1:9" ht="12.9" customHeight="1">
      <c r="A8" s="7209" t="s">
        <v>1149</v>
      </c>
      <c r="B8" s="7205"/>
      <c r="C8" s="7205"/>
      <c r="D8" s="7205"/>
      <c r="E8" s="7205"/>
      <c r="F8" s="7215"/>
    </row>
    <row r="9" spans="1:9" ht="12.9" customHeight="1">
      <c r="A9" s="7207" t="s">
        <v>10434</v>
      </c>
      <c r="B9" s="7206">
        <v>0</v>
      </c>
      <c r="C9" s="7206">
        <v>26</v>
      </c>
      <c r="D9" s="9671">
        <v>960468</v>
      </c>
      <c r="E9" s="9671">
        <v>1121856</v>
      </c>
      <c r="F9" s="7216">
        <v>0</v>
      </c>
    </row>
    <row r="10" spans="1:9" ht="12.9" customHeight="1">
      <c r="A10" s="7207" t="s">
        <v>10435</v>
      </c>
      <c r="B10" s="7206">
        <v>0</v>
      </c>
      <c r="C10" s="7206">
        <v>24</v>
      </c>
      <c r="D10" s="9671">
        <v>783552</v>
      </c>
      <c r="E10" s="9671">
        <v>892764</v>
      </c>
      <c r="F10" s="7216">
        <v>0</v>
      </c>
      <c r="G10" s="7165">
        <f>SUM(B9:B10)</f>
        <v>0</v>
      </c>
      <c r="H10" s="7198">
        <f>SUM(F9:F10)</f>
        <v>0</v>
      </c>
    </row>
    <row r="11" spans="1:9" ht="8.1" customHeight="1">
      <c r="A11" s="7207"/>
      <c r="B11" s="10753"/>
      <c r="C11" s="10753"/>
      <c r="D11" s="10767"/>
      <c r="E11" s="10767"/>
      <c r="F11" s="7216"/>
      <c r="H11" s="7198"/>
    </row>
    <row r="12" spans="1:9" ht="12.9" customHeight="1">
      <c r="A12" s="7209" t="s">
        <v>4979</v>
      </c>
      <c r="B12" s="7206"/>
      <c r="C12" s="7206"/>
      <c r="D12" s="7205"/>
      <c r="E12" s="7205"/>
      <c r="F12" s="7215"/>
      <c r="I12" s="7270"/>
    </row>
    <row r="13" spans="1:9" ht="12.9" customHeight="1">
      <c r="A13" s="7207" t="s">
        <v>1430</v>
      </c>
      <c r="B13" s="7206">
        <v>6</v>
      </c>
      <c r="C13" s="7206">
        <v>22</v>
      </c>
      <c r="D13" s="7208">
        <v>3298860</v>
      </c>
      <c r="E13" s="7208">
        <v>4388928</v>
      </c>
      <c r="F13" s="7216">
        <v>4898664</v>
      </c>
      <c r="G13" s="7165">
        <f>SUM(B13)</f>
        <v>6</v>
      </c>
      <c r="H13" s="7198">
        <f>SUM(F13)</f>
        <v>4898664</v>
      </c>
      <c r="I13" s="7270"/>
    </row>
    <row r="14" spans="1:9" ht="8.1" customHeight="1">
      <c r="A14" s="7207"/>
      <c r="B14" s="10753"/>
      <c r="C14" s="10753"/>
      <c r="D14" s="10754"/>
      <c r="E14" s="10754"/>
      <c r="F14" s="7216"/>
      <c r="H14" s="7198"/>
      <c r="I14" s="7270"/>
    </row>
    <row r="15" spans="1:9" ht="12.9" customHeight="1">
      <c r="A15" s="7209" t="s">
        <v>1152</v>
      </c>
      <c r="B15" s="7206"/>
      <c r="C15" s="7206"/>
      <c r="D15" s="7208"/>
      <c r="E15" s="7208"/>
      <c r="F15" s="7216"/>
      <c r="I15" s="7270"/>
    </row>
    <row r="16" spans="1:9" ht="12.9" customHeight="1">
      <c r="A16" s="7207" t="s">
        <v>1431</v>
      </c>
      <c r="B16" s="7206">
        <v>6</v>
      </c>
      <c r="C16" s="7206">
        <v>19</v>
      </c>
      <c r="D16" s="7208">
        <v>2426976</v>
      </c>
      <c r="E16" s="7208">
        <v>2595012</v>
      </c>
      <c r="F16" s="7216">
        <v>3368112</v>
      </c>
      <c r="I16" s="7270"/>
    </row>
    <row r="17" spans="1:9" ht="12.9" customHeight="1">
      <c r="A17" s="7207" t="s">
        <v>1200</v>
      </c>
      <c r="B17" s="7206">
        <v>4</v>
      </c>
      <c r="C17" s="7206">
        <v>16</v>
      </c>
      <c r="D17" s="7208">
        <v>1098516</v>
      </c>
      <c r="E17" s="7208">
        <v>776184</v>
      </c>
      <c r="F17" s="7216">
        <v>1632120</v>
      </c>
      <c r="I17" s="7270"/>
    </row>
    <row r="18" spans="1:9" ht="12.9" customHeight="1">
      <c r="A18" s="7207" t="s">
        <v>1203</v>
      </c>
      <c r="B18" s="7206">
        <v>3</v>
      </c>
      <c r="C18" s="7206">
        <v>12</v>
      </c>
      <c r="D18" s="7208">
        <v>1038048</v>
      </c>
      <c r="E18" s="7208">
        <v>806760</v>
      </c>
      <c r="F18" s="7216">
        <v>839496</v>
      </c>
      <c r="I18" s="7270"/>
    </row>
    <row r="19" spans="1:9" ht="12.9" customHeight="1">
      <c r="A19" s="7207" t="s">
        <v>1432</v>
      </c>
      <c r="B19" s="7206">
        <v>0</v>
      </c>
      <c r="C19" s="7206">
        <v>11</v>
      </c>
      <c r="D19" s="7208">
        <v>241056</v>
      </c>
      <c r="E19" s="7208">
        <v>248376</v>
      </c>
      <c r="F19" s="7216">
        <v>0</v>
      </c>
      <c r="I19" s="7270"/>
    </row>
    <row r="20" spans="1:9" ht="12.9" customHeight="1">
      <c r="A20" s="7207" t="s">
        <v>1433</v>
      </c>
      <c r="B20" s="7206">
        <v>1</v>
      </c>
      <c r="C20" s="7206">
        <v>14</v>
      </c>
      <c r="D20" s="7208">
        <v>310308</v>
      </c>
      <c r="E20" s="7208">
        <v>325464</v>
      </c>
      <c r="F20" s="7216">
        <v>345600</v>
      </c>
      <c r="I20" s="7270"/>
    </row>
    <row r="21" spans="1:9" ht="12.9" customHeight="1">
      <c r="A21" s="7207" t="s">
        <v>1434</v>
      </c>
      <c r="B21" s="7206">
        <v>1</v>
      </c>
      <c r="C21" s="7206">
        <v>8</v>
      </c>
      <c r="D21" s="7208">
        <v>193452</v>
      </c>
      <c r="E21" s="7208">
        <v>199020</v>
      </c>
      <c r="F21" s="7216">
        <v>206604</v>
      </c>
      <c r="I21" s="7270"/>
    </row>
    <row r="22" spans="1:9" ht="12.9" customHeight="1">
      <c r="A22" s="7207" t="s">
        <v>1435</v>
      </c>
      <c r="B22" s="7206">
        <v>2</v>
      </c>
      <c r="C22" s="7206">
        <v>6</v>
      </c>
      <c r="D22" s="7208">
        <v>345924</v>
      </c>
      <c r="E22" s="7208">
        <v>357216</v>
      </c>
      <c r="F22" s="7216">
        <v>370272</v>
      </c>
      <c r="I22" s="7270"/>
    </row>
    <row r="23" spans="1:9" ht="12.9" customHeight="1">
      <c r="A23" s="7207" t="s">
        <v>1436</v>
      </c>
      <c r="B23" s="7206">
        <v>3</v>
      </c>
      <c r="C23" s="7206">
        <v>2</v>
      </c>
      <c r="D23" s="7208">
        <v>389676</v>
      </c>
      <c r="E23" s="7208">
        <v>409896</v>
      </c>
      <c r="F23" s="7216">
        <v>432120</v>
      </c>
      <c r="I23" s="7270"/>
    </row>
    <row r="24" spans="1:9" ht="12.9" customHeight="1">
      <c r="A24" s="7207" t="s">
        <v>1437</v>
      </c>
      <c r="B24" s="7206">
        <v>5</v>
      </c>
      <c r="C24" s="7206">
        <v>8</v>
      </c>
      <c r="D24" s="7208">
        <v>986052</v>
      </c>
      <c r="E24" s="7208">
        <v>1017588</v>
      </c>
      <c r="F24" s="7216">
        <v>1046292</v>
      </c>
      <c r="I24" s="7270"/>
    </row>
    <row r="25" spans="1:9" ht="12.9" customHeight="1">
      <c r="A25" s="7207" t="s">
        <v>1438</v>
      </c>
      <c r="B25" s="7206">
        <v>18</v>
      </c>
      <c r="C25" s="7206">
        <v>5</v>
      </c>
      <c r="D25" s="7208">
        <v>2540928</v>
      </c>
      <c r="E25" s="7208">
        <v>2478576</v>
      </c>
      <c r="F25" s="7216">
        <v>3080412</v>
      </c>
      <c r="I25" s="7270"/>
    </row>
    <row r="26" spans="1:9" ht="12.9" customHeight="1">
      <c r="A26" s="7207" t="s">
        <v>1241</v>
      </c>
      <c r="B26" s="7206">
        <v>34</v>
      </c>
      <c r="C26" s="7206">
        <v>2</v>
      </c>
      <c r="D26" s="7208">
        <v>4647780</v>
      </c>
      <c r="E26" s="7208">
        <v>5273700</v>
      </c>
      <c r="F26" s="7216">
        <v>4964952</v>
      </c>
      <c r="I26" s="7270"/>
    </row>
    <row r="27" spans="1:9" ht="12.9" customHeight="1">
      <c r="A27" s="7207" t="s">
        <v>1439</v>
      </c>
      <c r="B27" s="7206">
        <v>3</v>
      </c>
      <c r="C27" s="7206">
        <v>8</v>
      </c>
      <c r="D27" s="7208">
        <v>587916</v>
      </c>
      <c r="E27" s="7208">
        <v>800028</v>
      </c>
      <c r="F27" s="7216">
        <v>612456</v>
      </c>
      <c r="I27" s="7270"/>
    </row>
    <row r="28" spans="1:9" ht="12.9" customHeight="1">
      <c r="A28" s="7207" t="s">
        <v>1231</v>
      </c>
      <c r="B28" s="7206">
        <v>1</v>
      </c>
      <c r="C28" s="7206">
        <v>8</v>
      </c>
      <c r="D28" s="7208">
        <v>193452</v>
      </c>
      <c r="E28" s="7208">
        <v>0</v>
      </c>
      <c r="F28" s="7216">
        <v>201096</v>
      </c>
      <c r="I28" s="7270"/>
    </row>
    <row r="29" spans="1:9" ht="12.9" customHeight="1">
      <c r="A29" s="7207" t="s">
        <v>1207</v>
      </c>
      <c r="B29" s="7206">
        <v>3</v>
      </c>
      <c r="C29" s="7206">
        <v>6</v>
      </c>
      <c r="D29" s="7208">
        <v>509196</v>
      </c>
      <c r="E29" s="7208">
        <v>526440</v>
      </c>
      <c r="F29" s="7216">
        <v>544296</v>
      </c>
      <c r="H29" s="6234"/>
      <c r="I29" s="7270"/>
    </row>
    <row r="30" spans="1:9" ht="12.9" customHeight="1">
      <c r="A30" s="7207" t="s">
        <v>1440</v>
      </c>
      <c r="B30" s="7206">
        <v>3</v>
      </c>
      <c r="C30" s="7206">
        <v>4</v>
      </c>
      <c r="D30" s="7208">
        <v>449436</v>
      </c>
      <c r="E30" s="7208">
        <v>469032</v>
      </c>
      <c r="F30" s="7216">
        <v>488112</v>
      </c>
      <c r="I30" s="7270"/>
    </row>
    <row r="31" spans="1:9" ht="12.9" customHeight="1">
      <c r="A31" s="7207" t="s">
        <v>1209</v>
      </c>
      <c r="B31" s="7206">
        <v>2</v>
      </c>
      <c r="C31" s="7206">
        <v>3</v>
      </c>
      <c r="D31" s="7208">
        <v>142788</v>
      </c>
      <c r="E31" s="7208">
        <v>150204</v>
      </c>
      <c r="F31" s="7216">
        <v>309696</v>
      </c>
      <c r="I31" s="7270"/>
    </row>
    <row r="32" spans="1:9" ht="12.9" customHeight="1">
      <c r="A32" s="7207" t="s">
        <v>1238</v>
      </c>
      <c r="B32" s="7206">
        <v>0</v>
      </c>
      <c r="C32" s="7206">
        <v>5</v>
      </c>
      <c r="D32" s="7208">
        <v>158472</v>
      </c>
      <c r="E32" s="7208">
        <v>164460</v>
      </c>
      <c r="F32" s="7216">
        <v>0</v>
      </c>
      <c r="I32" s="7270"/>
    </row>
    <row r="33" spans="1:9" ht="12.9" customHeight="1">
      <c r="A33" s="7207" t="s">
        <v>1441</v>
      </c>
      <c r="B33" s="7206">
        <v>2</v>
      </c>
      <c r="C33" s="7206">
        <v>5</v>
      </c>
      <c r="D33" s="7208">
        <v>316944</v>
      </c>
      <c r="E33" s="7208">
        <v>328920</v>
      </c>
      <c r="F33" s="7216">
        <v>343968</v>
      </c>
      <c r="I33" s="7270"/>
    </row>
    <row r="34" spans="1:9" ht="12.9" customHeight="1">
      <c r="A34" s="7207" t="s">
        <v>1442</v>
      </c>
      <c r="B34" s="7206">
        <v>6</v>
      </c>
      <c r="C34" s="7206">
        <v>3</v>
      </c>
      <c r="D34" s="7208">
        <v>984792</v>
      </c>
      <c r="E34" s="7208">
        <v>881880</v>
      </c>
      <c r="F34" s="7216">
        <v>907944</v>
      </c>
      <c r="G34" s="7165">
        <f>SUM(B16:B34)</f>
        <v>97</v>
      </c>
      <c r="H34" s="7198">
        <f>SUM(F16:F34)</f>
        <v>19693548</v>
      </c>
      <c r="I34" s="7270"/>
    </row>
    <row r="35" spans="1:9" ht="7.5" customHeight="1">
      <c r="A35" s="7207"/>
      <c r="B35" s="10753"/>
      <c r="C35" s="10753"/>
      <c r="D35" s="10754"/>
      <c r="E35" s="10754"/>
      <c r="F35" s="7216"/>
      <c r="H35" s="7198"/>
      <c r="I35" s="7270"/>
    </row>
    <row r="36" spans="1:9" ht="12.9" customHeight="1">
      <c r="A36" s="7209" t="s">
        <v>1094</v>
      </c>
      <c r="B36" s="7206"/>
      <c r="C36" s="7206"/>
      <c r="D36" s="7208"/>
      <c r="E36" s="7208"/>
      <c r="F36" s="7216"/>
      <c r="I36" s="7270"/>
    </row>
    <row r="37" spans="1:9" ht="12.9" customHeight="1">
      <c r="A37" s="7207" t="s">
        <v>12030</v>
      </c>
      <c r="B37" s="9614">
        <v>1</v>
      </c>
      <c r="C37" s="9614">
        <v>22</v>
      </c>
      <c r="D37" s="9617"/>
      <c r="E37" s="9617"/>
      <c r="F37" s="9951">
        <v>783828</v>
      </c>
      <c r="I37" s="7270"/>
    </row>
    <row r="38" spans="1:9" ht="12.9" customHeight="1">
      <c r="A38" s="7207" t="s">
        <v>1095</v>
      </c>
      <c r="B38" s="7206">
        <v>1</v>
      </c>
      <c r="C38" s="7206">
        <v>18</v>
      </c>
      <c r="D38" s="7208">
        <v>438384</v>
      </c>
      <c r="E38" s="7208">
        <v>468084</v>
      </c>
      <c r="F38" s="7216">
        <v>505980</v>
      </c>
      <c r="I38" s="7270"/>
    </row>
    <row r="39" spans="1:9" ht="12.9" customHeight="1">
      <c r="A39" s="7207" t="s">
        <v>1443</v>
      </c>
      <c r="B39" s="7206">
        <v>1</v>
      </c>
      <c r="C39" s="7206">
        <v>10</v>
      </c>
      <c r="D39" s="7208">
        <v>222636</v>
      </c>
      <c r="E39" s="7208">
        <v>0</v>
      </c>
      <c r="F39" s="7216">
        <v>230796</v>
      </c>
      <c r="I39" s="7270"/>
    </row>
    <row r="40" spans="1:9" ht="12.9" customHeight="1">
      <c r="A40" s="7207" t="s">
        <v>1097</v>
      </c>
      <c r="B40" s="7206">
        <v>0</v>
      </c>
      <c r="C40" s="7206">
        <v>6</v>
      </c>
      <c r="D40" s="7208">
        <v>169152</v>
      </c>
      <c r="E40" s="7208">
        <v>174936</v>
      </c>
      <c r="F40" s="7216">
        <v>0</v>
      </c>
      <c r="I40" s="7270"/>
    </row>
    <row r="41" spans="1:9" ht="12.9" customHeight="1">
      <c r="A41" s="7207" t="s">
        <v>1302</v>
      </c>
      <c r="B41" s="7206">
        <v>8</v>
      </c>
      <c r="C41" s="7206">
        <v>4</v>
      </c>
      <c r="D41" s="7208">
        <v>1651776</v>
      </c>
      <c r="E41" s="7208">
        <v>1720248</v>
      </c>
      <c r="F41" s="7216">
        <v>1296900</v>
      </c>
      <c r="I41" s="6234"/>
    </row>
    <row r="42" spans="1:9" ht="12.9" customHeight="1">
      <c r="A42" s="7207" t="s">
        <v>1444</v>
      </c>
      <c r="B42" s="7206">
        <v>1</v>
      </c>
      <c r="C42" s="7206">
        <v>3</v>
      </c>
      <c r="D42" s="7208">
        <v>145320</v>
      </c>
      <c r="E42" s="7208">
        <v>151440</v>
      </c>
      <c r="F42" s="7216">
        <v>157824</v>
      </c>
      <c r="I42" s="6234"/>
    </row>
    <row r="43" spans="1:9" ht="12.9" customHeight="1">
      <c r="A43" s="7207" t="s">
        <v>1175</v>
      </c>
      <c r="B43" s="7206">
        <v>6</v>
      </c>
      <c r="C43" s="7206">
        <v>1</v>
      </c>
      <c r="D43" s="7208">
        <v>748980</v>
      </c>
      <c r="E43" s="7208">
        <v>653172</v>
      </c>
      <c r="F43" s="7216">
        <v>822912</v>
      </c>
      <c r="G43" s="7165">
        <f>SUM(B37:B43)</f>
        <v>18</v>
      </c>
      <c r="H43" s="7198">
        <f>SUM(F37:F43)</f>
        <v>3798240</v>
      </c>
      <c r="I43" s="6234"/>
    </row>
    <row r="44" spans="1:9" ht="12.9" customHeight="1">
      <c r="A44" s="7209" t="s">
        <v>1159</v>
      </c>
      <c r="B44" s="9613">
        <f>SUM(B9:B43)</f>
        <v>121</v>
      </c>
      <c r="C44" s="9613"/>
      <c r="D44" s="9668">
        <f>SUM(D9:D43)</f>
        <v>25980840</v>
      </c>
      <c r="E44" s="9668">
        <f>SUM(E9:E43)</f>
        <v>27380184</v>
      </c>
      <c r="F44" s="9669">
        <f>SUM(F9:F43)</f>
        <v>28390452</v>
      </c>
      <c r="H44" s="7270"/>
      <c r="I44" s="7270"/>
    </row>
    <row r="45" spans="1:9" ht="8.1" customHeight="1">
      <c r="A45" s="7209"/>
      <c r="B45" s="10760"/>
      <c r="C45" s="10760"/>
      <c r="D45" s="10776"/>
      <c r="E45" s="10776"/>
      <c r="F45" s="9718"/>
      <c r="H45" s="7270"/>
      <c r="I45" s="7270"/>
    </row>
    <row r="46" spans="1:9" ht="12.9" customHeight="1">
      <c r="A46" s="9794" t="s">
        <v>1113</v>
      </c>
      <c r="B46" s="9750" t="s">
        <v>9</v>
      </c>
      <c r="C46" s="7206"/>
      <c r="D46" s="7205"/>
      <c r="E46" s="7205"/>
      <c r="F46" s="7215"/>
      <c r="H46" s="7270"/>
      <c r="I46" s="7270"/>
    </row>
    <row r="47" spans="1:9" ht="12.9" customHeight="1">
      <c r="A47" s="9751" t="s">
        <v>11622</v>
      </c>
      <c r="B47" s="7206">
        <v>1</v>
      </c>
      <c r="C47" s="9614">
        <v>26</v>
      </c>
      <c r="D47" s="7208">
        <v>0</v>
      </c>
      <c r="E47" s="7208">
        <v>0</v>
      </c>
      <c r="F47" s="10400">
        <v>1289328</v>
      </c>
      <c r="H47" s="7270"/>
      <c r="I47" s="7270"/>
    </row>
    <row r="48" spans="1:9" ht="12.9" customHeight="1">
      <c r="A48" s="7207" t="s">
        <v>1466</v>
      </c>
      <c r="B48" s="7206">
        <v>1</v>
      </c>
      <c r="C48" s="7206">
        <v>24</v>
      </c>
      <c r="D48" s="7208">
        <v>0</v>
      </c>
      <c r="E48" s="9617">
        <v>0</v>
      </c>
      <c r="F48" s="9951">
        <v>1000872</v>
      </c>
      <c r="H48" s="7270"/>
      <c r="I48" s="7270"/>
    </row>
    <row r="49" spans="1:9" ht="12.9" customHeight="1">
      <c r="A49" s="7207" t="s">
        <v>1221</v>
      </c>
      <c r="B49" s="7206">
        <v>0</v>
      </c>
      <c r="C49" s="7206">
        <v>22</v>
      </c>
      <c r="D49" s="9703">
        <v>633396</v>
      </c>
      <c r="E49" s="10417">
        <v>0</v>
      </c>
      <c r="F49" s="10404">
        <v>0</v>
      </c>
      <c r="H49" s="7270"/>
      <c r="I49" s="7270"/>
    </row>
    <row r="50" spans="1:9" ht="12.9" customHeight="1">
      <c r="A50" s="7207" t="s">
        <v>1431</v>
      </c>
      <c r="B50" s="7206">
        <v>0</v>
      </c>
      <c r="C50" s="7206">
        <v>19</v>
      </c>
      <c r="D50" s="7208">
        <v>469812</v>
      </c>
      <c r="E50" s="9617">
        <v>528240</v>
      </c>
      <c r="F50" s="10404">
        <v>0</v>
      </c>
      <c r="H50" s="7270"/>
      <c r="I50" s="7270"/>
    </row>
    <row r="51" spans="1:9" ht="12.9" customHeight="1">
      <c r="A51" s="7207" t="s">
        <v>1200</v>
      </c>
      <c r="B51" s="7206">
        <v>1</v>
      </c>
      <c r="C51" s="7206">
        <v>16</v>
      </c>
      <c r="D51" s="7212">
        <v>360528</v>
      </c>
      <c r="E51" s="9621">
        <v>771600</v>
      </c>
      <c r="F51" s="10400">
        <v>403008</v>
      </c>
      <c r="H51" s="7270"/>
      <c r="I51" s="7270"/>
    </row>
    <row r="52" spans="1:9" ht="12.9" customHeight="1">
      <c r="A52" s="7207" t="s">
        <v>1203</v>
      </c>
      <c r="B52" s="7206">
        <v>1</v>
      </c>
      <c r="C52" s="7206">
        <v>12</v>
      </c>
      <c r="D52" s="7212">
        <v>0</v>
      </c>
      <c r="E52" s="9621">
        <v>265788</v>
      </c>
      <c r="F52" s="10400">
        <v>275256</v>
      </c>
      <c r="H52" s="7270"/>
      <c r="I52" s="7270"/>
    </row>
    <row r="53" spans="1:9" ht="12.9" customHeight="1">
      <c r="A53" s="7207" t="s">
        <v>1432</v>
      </c>
      <c r="B53" s="9614">
        <v>1</v>
      </c>
      <c r="C53" s="9614">
        <v>11</v>
      </c>
      <c r="D53" s="9703">
        <v>0</v>
      </c>
      <c r="E53" s="10417">
        <v>0</v>
      </c>
      <c r="F53" s="9951">
        <v>249048</v>
      </c>
      <c r="H53" s="7270"/>
      <c r="I53" s="7270"/>
    </row>
    <row r="54" spans="1:9" ht="12.9" customHeight="1">
      <c r="A54" s="7207" t="s">
        <v>1443</v>
      </c>
      <c r="B54" s="7206">
        <v>0</v>
      </c>
      <c r="C54" s="7206">
        <v>10</v>
      </c>
      <c r="D54" s="7212"/>
      <c r="E54" s="9621">
        <v>224616</v>
      </c>
      <c r="F54" s="10404">
        <v>0</v>
      </c>
      <c r="H54" s="7270"/>
      <c r="I54" s="7270"/>
    </row>
    <row r="55" spans="1:9" ht="12.9" customHeight="1">
      <c r="A55" s="7207" t="s">
        <v>1445</v>
      </c>
      <c r="B55" s="7206">
        <v>1</v>
      </c>
      <c r="C55" s="7206">
        <v>8</v>
      </c>
      <c r="D55" s="7208">
        <v>189816</v>
      </c>
      <c r="E55" s="9617">
        <v>195384</v>
      </c>
      <c r="F55" s="9951">
        <v>201096</v>
      </c>
      <c r="H55" s="7270"/>
      <c r="I55" s="7270"/>
    </row>
    <row r="56" spans="1:9" ht="12.9" customHeight="1">
      <c r="A56" s="7207" t="s">
        <v>1439</v>
      </c>
      <c r="B56" s="7206">
        <v>1</v>
      </c>
      <c r="C56" s="7206">
        <v>8</v>
      </c>
      <c r="D56" s="7208">
        <v>189816</v>
      </c>
      <c r="E56" s="9617">
        <v>0</v>
      </c>
      <c r="F56" s="9951">
        <v>201096</v>
      </c>
      <c r="H56" s="7270"/>
      <c r="I56" s="7270"/>
    </row>
    <row r="57" spans="1:9" ht="12.9" customHeight="1">
      <c r="A57" s="7207" t="s">
        <v>1231</v>
      </c>
      <c r="B57" s="7206">
        <v>0</v>
      </c>
      <c r="C57" s="7206">
        <v>8</v>
      </c>
      <c r="D57" s="7208">
        <v>0</v>
      </c>
      <c r="E57" s="9617">
        <v>195384</v>
      </c>
      <c r="F57" s="9951">
        <v>0</v>
      </c>
      <c r="H57" s="7270"/>
      <c r="I57" s="7270"/>
    </row>
    <row r="58" spans="1:9" ht="12.9" hidden="1" customHeight="1">
      <c r="A58" s="7207" t="s">
        <v>1207</v>
      </c>
      <c r="B58" s="7206">
        <v>0</v>
      </c>
      <c r="C58" s="7206">
        <v>6</v>
      </c>
      <c r="D58" s="7208">
        <v>0</v>
      </c>
      <c r="E58" s="9617">
        <v>0</v>
      </c>
      <c r="F58" s="9951">
        <v>0</v>
      </c>
      <c r="G58" s="6234"/>
      <c r="H58" s="7270"/>
      <c r="I58" s="7270"/>
    </row>
    <row r="59" spans="1:9" ht="12.9" customHeight="1">
      <c r="A59" s="7207" t="s">
        <v>1097</v>
      </c>
      <c r="B59" s="7206">
        <v>1</v>
      </c>
      <c r="C59" s="7206">
        <v>6</v>
      </c>
      <c r="D59" s="7208">
        <v>166212</v>
      </c>
      <c r="E59" s="9617">
        <v>0</v>
      </c>
      <c r="F59" s="9951">
        <v>178164</v>
      </c>
      <c r="H59" s="7270"/>
      <c r="I59" s="7270"/>
    </row>
    <row r="60" spans="1:9" ht="12.9" customHeight="1">
      <c r="A60" s="7207" t="s">
        <v>1238</v>
      </c>
      <c r="B60" s="9614">
        <v>1</v>
      </c>
      <c r="C60" s="9614">
        <v>5</v>
      </c>
      <c r="D60" s="7208">
        <v>0</v>
      </c>
      <c r="E60" s="9617">
        <v>0</v>
      </c>
      <c r="F60" s="9951">
        <v>168084</v>
      </c>
      <c r="H60" s="7270"/>
      <c r="I60" s="7270"/>
    </row>
    <row r="61" spans="1:9" ht="12.9" customHeight="1">
      <c r="A61" s="7207" t="s">
        <v>1438</v>
      </c>
      <c r="B61" s="7206">
        <v>0</v>
      </c>
      <c r="C61" s="7206">
        <v>5</v>
      </c>
      <c r="D61" s="7208">
        <v>311400</v>
      </c>
      <c r="E61" s="9617">
        <v>485316</v>
      </c>
      <c r="F61" s="9951">
        <v>0</v>
      </c>
      <c r="H61" s="7270"/>
      <c r="I61" s="7270"/>
    </row>
    <row r="62" spans="1:9" ht="12.9" hidden="1" customHeight="1">
      <c r="A62" s="7207" t="s">
        <v>1440</v>
      </c>
      <c r="B62" s="7206">
        <v>0</v>
      </c>
      <c r="C62" s="7206">
        <v>4</v>
      </c>
      <c r="D62" s="7208">
        <v>0</v>
      </c>
      <c r="E62" s="9617">
        <v>0</v>
      </c>
      <c r="F62" s="9951">
        <v>0</v>
      </c>
      <c r="H62" s="7270"/>
      <c r="I62" s="7270"/>
    </row>
    <row r="63" spans="1:9" ht="12.9" customHeight="1">
      <c r="A63" s="7207" t="s">
        <v>1302</v>
      </c>
      <c r="B63" s="7206">
        <v>2</v>
      </c>
      <c r="C63" s="7206">
        <v>4</v>
      </c>
      <c r="D63" s="7208">
        <v>291720</v>
      </c>
      <c r="E63" s="9617">
        <v>152088</v>
      </c>
      <c r="F63" s="9951">
        <f>158568*B63</f>
        <v>317136</v>
      </c>
      <c r="G63" s="7165" t="s">
        <v>12023</v>
      </c>
      <c r="H63" s="7270"/>
      <c r="I63" s="7270"/>
    </row>
    <row r="64" spans="1:9" ht="12.9" customHeight="1">
      <c r="A64" s="7207" t="s">
        <v>1442</v>
      </c>
      <c r="B64" s="7206">
        <v>2</v>
      </c>
      <c r="C64" s="7206">
        <v>3</v>
      </c>
      <c r="D64" s="9703">
        <v>136644</v>
      </c>
      <c r="E64" s="10417">
        <v>285936</v>
      </c>
      <c r="F64" s="10404">
        <v>299184</v>
      </c>
      <c r="H64" s="7270"/>
      <c r="I64" s="7270"/>
    </row>
    <row r="65" spans="1:9" ht="12.9" customHeight="1">
      <c r="A65" s="7207" t="s">
        <v>1241</v>
      </c>
      <c r="B65" s="7206">
        <v>6</v>
      </c>
      <c r="C65" s="7206">
        <v>2</v>
      </c>
      <c r="D65" s="7208">
        <v>640020</v>
      </c>
      <c r="E65" s="9617">
        <v>268800</v>
      </c>
      <c r="F65" s="9951">
        <v>846792</v>
      </c>
      <c r="H65" s="7270"/>
      <c r="I65" s="7270"/>
    </row>
    <row r="66" spans="1:9" ht="12.9" customHeight="1">
      <c r="A66" s="7207" t="s">
        <v>1175</v>
      </c>
      <c r="B66" s="7206">
        <v>8</v>
      </c>
      <c r="C66" s="7206">
        <v>1</v>
      </c>
      <c r="D66" s="7208"/>
      <c r="E66" s="7208">
        <v>504480</v>
      </c>
      <c r="F66" s="7216">
        <f>132816*B66</f>
        <v>1062528</v>
      </c>
      <c r="H66" s="7270"/>
      <c r="I66" s="7270"/>
    </row>
    <row r="67" spans="1:9" ht="12.9" customHeight="1" thickBot="1">
      <c r="A67" s="9717" t="s">
        <v>4774</v>
      </c>
      <c r="B67" s="9719">
        <f>SUM(B47:B66)</f>
        <v>27</v>
      </c>
      <c r="C67" s="9719"/>
      <c r="D67" s="7224">
        <f>SUM(D47:D66)</f>
        <v>3389364</v>
      </c>
      <c r="E67" s="7224">
        <f>SUM(E47:E66)</f>
        <v>3877632</v>
      </c>
      <c r="F67" s="7225">
        <f>SUM(F47:F66)</f>
        <v>6491592</v>
      </c>
      <c r="H67" s="7270"/>
      <c r="I67" s="7270"/>
    </row>
    <row r="68" spans="1:9" ht="12.9" customHeight="1" thickBot="1">
      <c r="A68" s="9712" t="s">
        <v>1101</v>
      </c>
      <c r="B68" s="10710">
        <f>SUM(B44+B67)</f>
        <v>148</v>
      </c>
      <c r="C68" s="9661"/>
      <c r="D68" s="7226">
        <f>SUM(D44+D67)</f>
        <v>29370204</v>
      </c>
      <c r="E68" s="7226">
        <f>SUM(E44+E67)</f>
        <v>31257816</v>
      </c>
      <c r="F68" s="9713">
        <f>SUM(F44+F67)</f>
        <v>34882044</v>
      </c>
      <c r="H68" s="7270">
        <f>F68-25115556</f>
        <v>9766488</v>
      </c>
      <c r="I68" s="7270"/>
    </row>
    <row r="69" spans="1:9" ht="12.9" customHeight="1">
      <c r="A69" s="10821"/>
      <c r="B69" s="10822"/>
      <c r="C69" s="10728"/>
      <c r="D69" s="10823"/>
      <c r="E69" s="10823"/>
      <c r="F69" s="10823"/>
      <c r="H69" s="7270"/>
      <c r="I69" s="7270"/>
    </row>
    <row r="70" spans="1:9" ht="12.9" customHeight="1">
      <c r="A70" s="7201"/>
      <c r="B70" s="10824"/>
      <c r="C70" s="7200"/>
      <c r="D70" s="10825"/>
      <c r="E70" s="10825"/>
      <c r="F70" s="10825"/>
      <c r="H70" s="7270"/>
      <c r="I70" s="7270"/>
    </row>
    <row r="71" spans="1:9" ht="12.9" customHeight="1">
      <c r="A71" s="7201"/>
      <c r="B71" s="10824"/>
      <c r="C71" s="7200"/>
      <c r="D71" s="10825"/>
      <c r="E71" s="10825"/>
      <c r="F71" s="10825"/>
      <c r="H71" s="7270"/>
      <c r="I71" s="7270"/>
    </row>
    <row r="72" spans="1:9" ht="12.9" customHeight="1">
      <c r="A72" s="7201"/>
      <c r="B72" s="10824"/>
      <c r="C72" s="7200"/>
      <c r="D72" s="10825"/>
      <c r="E72" s="10825"/>
      <c r="F72" s="10825"/>
      <c r="H72" s="7270"/>
      <c r="I72" s="7270"/>
    </row>
    <row r="73" spans="1:9" ht="12.9" customHeight="1">
      <c r="A73" s="7201"/>
      <c r="B73" s="10824"/>
      <c r="C73" s="7200"/>
      <c r="D73" s="10825"/>
      <c r="E73" s="10825"/>
      <c r="F73" s="10825"/>
      <c r="H73" s="7270"/>
      <c r="I73" s="7270"/>
    </row>
    <row r="74" spans="1:9" ht="12.9" customHeight="1" thickBot="1">
      <c r="A74" s="10730" t="s">
        <v>12057</v>
      </c>
      <c r="B74" s="10826"/>
      <c r="C74" s="10729"/>
      <c r="D74" s="10827"/>
      <c r="E74" s="10827"/>
      <c r="F74" s="10827"/>
      <c r="H74" s="7270"/>
      <c r="I74" s="7270"/>
    </row>
    <row r="75" spans="1:9" ht="12.9" customHeight="1">
      <c r="A75" s="7209" t="s">
        <v>1075</v>
      </c>
      <c r="B75" s="7206"/>
      <c r="C75" s="7206"/>
      <c r="D75" s="7205"/>
      <c r="E75" s="7205"/>
      <c r="F75" s="7215"/>
    </row>
    <row r="76" spans="1:9" ht="12.9" customHeight="1">
      <c r="A76" s="7209" t="s">
        <v>1102</v>
      </c>
      <c r="B76" s="7205"/>
      <c r="C76" s="7205"/>
      <c r="D76" s="7205"/>
      <c r="E76" s="7205"/>
      <c r="F76" s="7215"/>
      <c r="H76" s="7270"/>
      <c r="I76" s="7270">
        <f>SUM(I27:I75)</f>
        <v>0</v>
      </c>
    </row>
    <row r="77" spans="1:9" ht="12.9" customHeight="1">
      <c r="A77" s="7209"/>
      <c r="B77" s="10765"/>
      <c r="C77" s="10765"/>
      <c r="D77" s="10765"/>
      <c r="E77" s="10765"/>
      <c r="F77" s="7215"/>
      <c r="H77" s="7270"/>
      <c r="I77" s="7270"/>
    </row>
    <row r="78" spans="1:9" ht="12.9" customHeight="1">
      <c r="A78" s="7207" t="s">
        <v>1077</v>
      </c>
      <c r="B78" s="7206">
        <v>5</v>
      </c>
      <c r="C78" s="7205"/>
      <c r="D78" s="7205"/>
      <c r="E78" s="7205"/>
      <c r="F78" s="7215"/>
    </row>
    <row r="79" spans="1:9" ht="12.9" customHeight="1">
      <c r="A79" s="7207" t="s">
        <v>1078</v>
      </c>
      <c r="B79" s="7206">
        <v>1</v>
      </c>
      <c r="C79" s="7205"/>
      <c r="D79" s="7205"/>
      <c r="E79" s="7205"/>
      <c r="F79" s="7215"/>
      <c r="H79" s="7198"/>
    </row>
    <row r="80" spans="1:9" ht="12.9" customHeight="1">
      <c r="A80" s="7231" t="s">
        <v>10707</v>
      </c>
      <c r="B80" s="7206">
        <v>3</v>
      </c>
      <c r="C80" s="7205"/>
      <c r="D80" s="7205"/>
      <c r="E80" s="7205"/>
      <c r="F80" s="7215"/>
    </row>
    <row r="81" spans="1:6" ht="12.9" customHeight="1">
      <c r="A81" s="7231" t="s">
        <v>10697</v>
      </c>
      <c r="B81" s="9614">
        <v>1</v>
      </c>
      <c r="C81" s="9615"/>
      <c r="D81" s="9615"/>
      <c r="E81" s="9615"/>
      <c r="F81" s="10406"/>
    </row>
    <row r="82" spans="1:6" ht="12.9" customHeight="1">
      <c r="A82" s="7207"/>
      <c r="B82" s="7205"/>
      <c r="C82" s="7205"/>
      <c r="D82" s="7205"/>
      <c r="E82" s="7205"/>
      <c r="F82" s="7215"/>
    </row>
    <row r="83" spans="1:6" ht="12.9" customHeight="1">
      <c r="A83" s="7207" t="s">
        <v>1080</v>
      </c>
      <c r="B83" s="7205"/>
      <c r="C83" s="7205"/>
      <c r="D83" s="7205"/>
      <c r="E83" s="7205"/>
      <c r="F83" s="7215"/>
    </row>
    <row r="84" spans="1:6" ht="12.9" customHeight="1">
      <c r="A84" s="7207" t="s">
        <v>1104</v>
      </c>
      <c r="B84" s="7205"/>
      <c r="C84" s="7205"/>
      <c r="D84" s="7205"/>
      <c r="E84" s="7205"/>
      <c r="F84" s="7215"/>
    </row>
    <row r="85" spans="1:6" ht="12.9" customHeight="1">
      <c r="A85" s="7207" t="s">
        <v>1105</v>
      </c>
      <c r="B85" s="7205"/>
      <c r="C85" s="7205"/>
      <c r="D85" s="7205"/>
      <c r="E85" s="7205"/>
      <c r="F85" s="7215"/>
    </row>
    <row r="86" spans="1:6" ht="12.9" customHeight="1">
      <c r="A86" s="7207"/>
      <c r="B86" s="10765"/>
      <c r="C86" s="10765"/>
      <c r="D86" s="10765"/>
      <c r="E86" s="10765"/>
      <c r="F86" s="7215"/>
    </row>
    <row r="87" spans="1:6" ht="12.9" customHeight="1">
      <c r="A87" s="7209" t="s">
        <v>1083</v>
      </c>
      <c r="B87" s="9631"/>
      <c r="C87" s="9631"/>
      <c r="D87" s="9631"/>
      <c r="E87" s="9631"/>
      <c r="F87" s="9741"/>
    </row>
    <row r="88" spans="1:6" ht="12.9" customHeight="1">
      <c r="A88" s="7209"/>
      <c r="B88" s="10765"/>
      <c r="C88" s="10765"/>
      <c r="D88" s="10765"/>
      <c r="E88" s="10765"/>
      <c r="F88" s="7215"/>
    </row>
    <row r="89" spans="1:6" ht="12.9" customHeight="1">
      <c r="A89" s="7207" t="s">
        <v>1106</v>
      </c>
      <c r="B89" s="10765"/>
      <c r="C89" s="10765"/>
      <c r="D89" s="10765"/>
      <c r="E89" s="10765"/>
      <c r="F89" s="7215"/>
    </row>
    <row r="90" spans="1:6" ht="12.9" customHeight="1" thickBot="1">
      <c r="A90" s="9709"/>
      <c r="B90" s="9634"/>
      <c r="C90" s="9634"/>
      <c r="D90" s="9634"/>
      <c r="E90" s="9634"/>
      <c r="F90" s="9753"/>
    </row>
    <row r="91" spans="1:6" ht="12.9" customHeight="1">
      <c r="A91" s="9715"/>
      <c r="B91" s="9624"/>
      <c r="C91" s="9624"/>
      <c r="D91" s="9624"/>
      <c r="E91" s="9624"/>
      <c r="F91" s="9716"/>
    </row>
    <row r="92" spans="1:6" ht="12.9" customHeight="1">
      <c r="A92" s="7209" t="s">
        <v>1086</v>
      </c>
      <c r="B92" s="10765"/>
      <c r="C92" s="10765"/>
      <c r="D92" s="10765"/>
      <c r="E92" s="10765"/>
      <c r="F92" s="7215"/>
    </row>
    <row r="93" spans="1:6" ht="12.9" customHeight="1" thickBot="1">
      <c r="A93" s="9709"/>
      <c r="B93" s="9634"/>
      <c r="C93" s="9634"/>
      <c r="D93" s="9634"/>
      <c r="E93" s="9634"/>
      <c r="F93" s="9753"/>
    </row>
  </sheetData>
  <mergeCells count="2">
    <mergeCell ref="D5:F5"/>
    <mergeCell ref="A1:F1"/>
  </mergeCells>
  <pageMargins left="0.25" right="0.25" top="0.5" bottom="0.5" header="0.3" footer="0.3"/>
  <pageSetup paperSize="136" firstPageNumber="424" orientation="portrait" useFirstPageNumber="1" r:id="rId1"/>
  <headerFooter alignWithMargins="0"/>
</worksheet>
</file>

<file path=xl/worksheets/sheet181.xml><?xml version="1.0" encoding="utf-8"?>
<worksheet xmlns="http://schemas.openxmlformats.org/spreadsheetml/2006/main" xmlns:r="http://schemas.openxmlformats.org/officeDocument/2006/relationships">
  <sheetPr codeName="Sheet193">
    <tabColor rgb="FFFFFF00"/>
  </sheetPr>
  <dimension ref="A1:G78"/>
  <sheetViews>
    <sheetView showGridLines="0" topLeftCell="C57" workbookViewId="0">
      <selection activeCell="H57" sqref="H1:AF1048576"/>
    </sheetView>
  </sheetViews>
  <sheetFormatPr defaultRowHeight="13.2"/>
  <cols>
    <col min="1" max="1" width="6.44140625" style="2372" customWidth="1"/>
    <col min="2" max="2" width="28" style="2372" customWidth="1"/>
    <col min="3" max="3" width="12.88671875" style="2372" customWidth="1"/>
    <col min="4" max="4" width="20.44140625" style="2372" customWidth="1"/>
    <col min="5" max="5" width="12.88671875" style="2372" customWidth="1"/>
    <col min="6" max="6" width="7.88671875" style="2372" customWidth="1"/>
    <col min="7" max="7" width="10" style="2372" customWidth="1"/>
    <col min="8" max="231" width="9.109375" style="2372"/>
    <col min="232" max="232" width="7.44140625" style="2372" customWidth="1"/>
    <col min="233" max="233" width="30.44140625" style="2372" customWidth="1"/>
    <col min="234" max="234" width="12.88671875" style="2372" customWidth="1"/>
    <col min="235" max="235" width="20.44140625" style="2372" customWidth="1"/>
    <col min="236" max="236" width="12.88671875" style="2372" customWidth="1"/>
    <col min="237" max="237" width="7.88671875" style="2372" customWidth="1"/>
    <col min="238" max="238" width="10" style="2372" customWidth="1"/>
    <col min="239" max="487" width="9.109375" style="2372"/>
    <col min="488" max="488" width="7.44140625" style="2372" customWidth="1"/>
    <col min="489" max="489" width="30.44140625" style="2372" customWidth="1"/>
    <col min="490" max="490" width="12.88671875" style="2372" customWidth="1"/>
    <col min="491" max="491" width="20.44140625" style="2372" customWidth="1"/>
    <col min="492" max="492" width="12.88671875" style="2372" customWidth="1"/>
    <col min="493" max="493" width="7.88671875" style="2372" customWidth="1"/>
    <col min="494" max="494" width="10" style="2372" customWidth="1"/>
    <col min="495" max="743" width="9.109375" style="2372"/>
    <col min="744" max="744" width="7.44140625" style="2372" customWidth="1"/>
    <col min="745" max="745" width="30.44140625" style="2372" customWidth="1"/>
    <col min="746" max="746" width="12.88671875" style="2372" customWidth="1"/>
    <col min="747" max="747" width="20.44140625" style="2372" customWidth="1"/>
    <col min="748" max="748" width="12.88671875" style="2372" customWidth="1"/>
    <col min="749" max="749" width="7.88671875" style="2372" customWidth="1"/>
    <col min="750" max="750" width="10" style="2372" customWidth="1"/>
    <col min="751" max="999" width="9.109375" style="2372"/>
    <col min="1000" max="1000" width="7.44140625" style="2372" customWidth="1"/>
    <col min="1001" max="1001" width="30.44140625" style="2372" customWidth="1"/>
    <col min="1002" max="1002" width="12.88671875" style="2372" customWidth="1"/>
    <col min="1003" max="1003" width="20.44140625" style="2372" customWidth="1"/>
    <col min="1004" max="1004" width="12.88671875" style="2372" customWidth="1"/>
    <col min="1005" max="1005" width="7.88671875" style="2372" customWidth="1"/>
    <col min="1006" max="1006" width="10" style="2372" customWidth="1"/>
    <col min="1007" max="1255" width="9.109375" style="2372"/>
    <col min="1256" max="1256" width="7.44140625" style="2372" customWidth="1"/>
    <col min="1257" max="1257" width="30.44140625" style="2372" customWidth="1"/>
    <col min="1258" max="1258" width="12.88671875" style="2372" customWidth="1"/>
    <col min="1259" max="1259" width="20.44140625" style="2372" customWidth="1"/>
    <col min="1260" max="1260" width="12.88671875" style="2372" customWidth="1"/>
    <col min="1261" max="1261" width="7.88671875" style="2372" customWidth="1"/>
    <col min="1262" max="1262" width="10" style="2372" customWidth="1"/>
    <col min="1263" max="1511" width="9.109375" style="2372"/>
    <col min="1512" max="1512" width="7.44140625" style="2372" customWidth="1"/>
    <col min="1513" max="1513" width="30.44140625" style="2372" customWidth="1"/>
    <col min="1514" max="1514" width="12.88671875" style="2372" customWidth="1"/>
    <col min="1515" max="1515" width="20.44140625" style="2372" customWidth="1"/>
    <col min="1516" max="1516" width="12.88671875" style="2372" customWidth="1"/>
    <col min="1517" max="1517" width="7.88671875" style="2372" customWidth="1"/>
    <col min="1518" max="1518" width="10" style="2372" customWidth="1"/>
    <col min="1519" max="1767" width="9.109375" style="2372"/>
    <col min="1768" max="1768" width="7.44140625" style="2372" customWidth="1"/>
    <col min="1769" max="1769" width="30.44140625" style="2372" customWidth="1"/>
    <col min="1770" max="1770" width="12.88671875" style="2372" customWidth="1"/>
    <col min="1771" max="1771" width="20.44140625" style="2372" customWidth="1"/>
    <col min="1772" max="1772" width="12.88671875" style="2372" customWidth="1"/>
    <col min="1773" max="1773" width="7.88671875" style="2372" customWidth="1"/>
    <col min="1774" max="1774" width="10" style="2372" customWidth="1"/>
    <col min="1775" max="2023" width="9.109375" style="2372"/>
    <col min="2024" max="2024" width="7.44140625" style="2372" customWidth="1"/>
    <col min="2025" max="2025" width="30.44140625" style="2372" customWidth="1"/>
    <col min="2026" max="2026" width="12.88671875" style="2372" customWidth="1"/>
    <col min="2027" max="2027" width="20.44140625" style="2372" customWidth="1"/>
    <col min="2028" max="2028" width="12.88671875" style="2372" customWidth="1"/>
    <col min="2029" max="2029" width="7.88671875" style="2372" customWidth="1"/>
    <col min="2030" max="2030" width="10" style="2372" customWidth="1"/>
    <col min="2031" max="2279" width="9.109375" style="2372"/>
    <col min="2280" max="2280" width="7.44140625" style="2372" customWidth="1"/>
    <col min="2281" max="2281" width="30.44140625" style="2372" customWidth="1"/>
    <col min="2282" max="2282" width="12.88671875" style="2372" customWidth="1"/>
    <col min="2283" max="2283" width="20.44140625" style="2372" customWidth="1"/>
    <col min="2284" max="2284" width="12.88671875" style="2372" customWidth="1"/>
    <col min="2285" max="2285" width="7.88671875" style="2372" customWidth="1"/>
    <col min="2286" max="2286" width="10" style="2372" customWidth="1"/>
    <col min="2287" max="2535" width="9.109375" style="2372"/>
    <col min="2536" max="2536" width="7.44140625" style="2372" customWidth="1"/>
    <col min="2537" max="2537" width="30.44140625" style="2372" customWidth="1"/>
    <col min="2538" max="2538" width="12.88671875" style="2372" customWidth="1"/>
    <col min="2539" max="2539" width="20.44140625" style="2372" customWidth="1"/>
    <col min="2540" max="2540" width="12.88671875" style="2372" customWidth="1"/>
    <col min="2541" max="2541" width="7.88671875" style="2372" customWidth="1"/>
    <col min="2542" max="2542" width="10" style="2372" customWidth="1"/>
    <col min="2543" max="2791" width="9.109375" style="2372"/>
    <col min="2792" max="2792" width="7.44140625" style="2372" customWidth="1"/>
    <col min="2793" max="2793" width="30.44140625" style="2372" customWidth="1"/>
    <col min="2794" max="2794" width="12.88671875" style="2372" customWidth="1"/>
    <col min="2795" max="2795" width="20.44140625" style="2372" customWidth="1"/>
    <col min="2796" max="2796" width="12.88671875" style="2372" customWidth="1"/>
    <col min="2797" max="2797" width="7.88671875" style="2372" customWidth="1"/>
    <col min="2798" max="2798" width="10" style="2372" customWidth="1"/>
    <col min="2799" max="3047" width="9.109375" style="2372"/>
    <col min="3048" max="3048" width="7.44140625" style="2372" customWidth="1"/>
    <col min="3049" max="3049" width="30.44140625" style="2372" customWidth="1"/>
    <col min="3050" max="3050" width="12.88671875" style="2372" customWidth="1"/>
    <col min="3051" max="3051" width="20.44140625" style="2372" customWidth="1"/>
    <col min="3052" max="3052" width="12.88671875" style="2372" customWidth="1"/>
    <col min="3053" max="3053" width="7.88671875" style="2372" customWidth="1"/>
    <col min="3054" max="3054" width="10" style="2372" customWidth="1"/>
    <col min="3055" max="3303" width="9.109375" style="2372"/>
    <col min="3304" max="3304" width="7.44140625" style="2372" customWidth="1"/>
    <col min="3305" max="3305" width="30.44140625" style="2372" customWidth="1"/>
    <col min="3306" max="3306" width="12.88671875" style="2372" customWidth="1"/>
    <col min="3307" max="3307" width="20.44140625" style="2372" customWidth="1"/>
    <col min="3308" max="3308" width="12.88671875" style="2372" customWidth="1"/>
    <col min="3309" max="3309" width="7.88671875" style="2372" customWidth="1"/>
    <col min="3310" max="3310" width="10" style="2372" customWidth="1"/>
    <col min="3311" max="3559" width="9.109375" style="2372"/>
    <col min="3560" max="3560" width="7.44140625" style="2372" customWidth="1"/>
    <col min="3561" max="3561" width="30.44140625" style="2372" customWidth="1"/>
    <col min="3562" max="3562" width="12.88671875" style="2372" customWidth="1"/>
    <col min="3563" max="3563" width="20.44140625" style="2372" customWidth="1"/>
    <col min="3564" max="3564" width="12.88671875" style="2372" customWidth="1"/>
    <col min="3565" max="3565" width="7.88671875" style="2372" customWidth="1"/>
    <col min="3566" max="3566" width="10" style="2372" customWidth="1"/>
    <col min="3567" max="3815" width="9.109375" style="2372"/>
    <col min="3816" max="3816" width="7.44140625" style="2372" customWidth="1"/>
    <col min="3817" max="3817" width="30.44140625" style="2372" customWidth="1"/>
    <col min="3818" max="3818" width="12.88671875" style="2372" customWidth="1"/>
    <col min="3819" max="3819" width="20.44140625" style="2372" customWidth="1"/>
    <col min="3820" max="3820" width="12.88671875" style="2372" customWidth="1"/>
    <col min="3821" max="3821" width="7.88671875" style="2372" customWidth="1"/>
    <col min="3822" max="3822" width="10" style="2372" customWidth="1"/>
    <col min="3823" max="4071" width="9.109375" style="2372"/>
    <col min="4072" max="4072" width="7.44140625" style="2372" customWidth="1"/>
    <col min="4073" max="4073" width="30.44140625" style="2372" customWidth="1"/>
    <col min="4074" max="4074" width="12.88671875" style="2372" customWidth="1"/>
    <col min="4075" max="4075" width="20.44140625" style="2372" customWidth="1"/>
    <col min="4076" max="4076" width="12.88671875" style="2372" customWidth="1"/>
    <col min="4077" max="4077" width="7.88671875" style="2372" customWidth="1"/>
    <col min="4078" max="4078" width="10" style="2372" customWidth="1"/>
    <col min="4079" max="4327" width="9.109375" style="2372"/>
    <col min="4328" max="4328" width="7.44140625" style="2372" customWidth="1"/>
    <col min="4329" max="4329" width="30.44140625" style="2372" customWidth="1"/>
    <col min="4330" max="4330" width="12.88671875" style="2372" customWidth="1"/>
    <col min="4331" max="4331" width="20.44140625" style="2372" customWidth="1"/>
    <col min="4332" max="4332" width="12.88671875" style="2372" customWidth="1"/>
    <col min="4333" max="4333" width="7.88671875" style="2372" customWidth="1"/>
    <col min="4334" max="4334" width="10" style="2372" customWidth="1"/>
    <col min="4335" max="4583" width="9.109375" style="2372"/>
    <col min="4584" max="4584" width="7.44140625" style="2372" customWidth="1"/>
    <col min="4585" max="4585" width="30.44140625" style="2372" customWidth="1"/>
    <col min="4586" max="4586" width="12.88671875" style="2372" customWidth="1"/>
    <col min="4587" max="4587" width="20.44140625" style="2372" customWidth="1"/>
    <col min="4588" max="4588" width="12.88671875" style="2372" customWidth="1"/>
    <col min="4589" max="4589" width="7.88671875" style="2372" customWidth="1"/>
    <col min="4590" max="4590" width="10" style="2372" customWidth="1"/>
    <col min="4591" max="4839" width="9.109375" style="2372"/>
    <col min="4840" max="4840" width="7.44140625" style="2372" customWidth="1"/>
    <col min="4841" max="4841" width="30.44140625" style="2372" customWidth="1"/>
    <col min="4842" max="4842" width="12.88671875" style="2372" customWidth="1"/>
    <col min="4843" max="4843" width="20.44140625" style="2372" customWidth="1"/>
    <col min="4844" max="4844" width="12.88671875" style="2372" customWidth="1"/>
    <col min="4845" max="4845" width="7.88671875" style="2372" customWidth="1"/>
    <col min="4846" max="4846" width="10" style="2372" customWidth="1"/>
    <col min="4847" max="5095" width="9.109375" style="2372"/>
    <col min="5096" max="5096" width="7.44140625" style="2372" customWidth="1"/>
    <col min="5097" max="5097" width="30.44140625" style="2372" customWidth="1"/>
    <col min="5098" max="5098" width="12.88671875" style="2372" customWidth="1"/>
    <col min="5099" max="5099" width="20.44140625" style="2372" customWidth="1"/>
    <col min="5100" max="5100" width="12.88671875" style="2372" customWidth="1"/>
    <col min="5101" max="5101" width="7.88671875" style="2372" customWidth="1"/>
    <col min="5102" max="5102" width="10" style="2372" customWidth="1"/>
    <col min="5103" max="5351" width="9.109375" style="2372"/>
    <col min="5352" max="5352" width="7.44140625" style="2372" customWidth="1"/>
    <col min="5353" max="5353" width="30.44140625" style="2372" customWidth="1"/>
    <col min="5354" max="5354" width="12.88671875" style="2372" customWidth="1"/>
    <col min="5355" max="5355" width="20.44140625" style="2372" customWidth="1"/>
    <col min="5356" max="5356" width="12.88671875" style="2372" customWidth="1"/>
    <col min="5357" max="5357" width="7.88671875" style="2372" customWidth="1"/>
    <col min="5358" max="5358" width="10" style="2372" customWidth="1"/>
    <col min="5359" max="5607" width="9.109375" style="2372"/>
    <col min="5608" max="5608" width="7.44140625" style="2372" customWidth="1"/>
    <col min="5609" max="5609" width="30.44140625" style="2372" customWidth="1"/>
    <col min="5610" max="5610" width="12.88671875" style="2372" customWidth="1"/>
    <col min="5611" max="5611" width="20.44140625" style="2372" customWidth="1"/>
    <col min="5612" max="5612" width="12.88671875" style="2372" customWidth="1"/>
    <col min="5613" max="5613" width="7.88671875" style="2372" customWidth="1"/>
    <col min="5614" max="5614" width="10" style="2372" customWidth="1"/>
    <col min="5615" max="5863" width="9.109375" style="2372"/>
    <col min="5864" max="5864" width="7.44140625" style="2372" customWidth="1"/>
    <col min="5865" max="5865" width="30.44140625" style="2372" customWidth="1"/>
    <col min="5866" max="5866" width="12.88671875" style="2372" customWidth="1"/>
    <col min="5867" max="5867" width="20.44140625" style="2372" customWidth="1"/>
    <col min="5868" max="5868" width="12.88671875" style="2372" customWidth="1"/>
    <col min="5869" max="5869" width="7.88671875" style="2372" customWidth="1"/>
    <col min="5870" max="5870" width="10" style="2372" customWidth="1"/>
    <col min="5871" max="6119" width="9.109375" style="2372"/>
    <col min="6120" max="6120" width="7.44140625" style="2372" customWidth="1"/>
    <col min="6121" max="6121" width="30.44140625" style="2372" customWidth="1"/>
    <col min="6122" max="6122" width="12.88671875" style="2372" customWidth="1"/>
    <col min="6123" max="6123" width="20.44140625" style="2372" customWidth="1"/>
    <col min="6124" max="6124" width="12.88671875" style="2372" customWidth="1"/>
    <col min="6125" max="6125" width="7.88671875" style="2372" customWidth="1"/>
    <col min="6126" max="6126" width="10" style="2372" customWidth="1"/>
    <col min="6127" max="6375" width="9.109375" style="2372"/>
    <col min="6376" max="6376" width="7.44140625" style="2372" customWidth="1"/>
    <col min="6377" max="6377" width="30.44140625" style="2372" customWidth="1"/>
    <col min="6378" max="6378" width="12.88671875" style="2372" customWidth="1"/>
    <col min="6379" max="6379" width="20.44140625" style="2372" customWidth="1"/>
    <col min="6380" max="6380" width="12.88671875" style="2372" customWidth="1"/>
    <col min="6381" max="6381" width="7.88671875" style="2372" customWidth="1"/>
    <col min="6382" max="6382" width="10" style="2372" customWidth="1"/>
    <col min="6383" max="6631" width="9.109375" style="2372"/>
    <col min="6632" max="6632" width="7.44140625" style="2372" customWidth="1"/>
    <col min="6633" max="6633" width="30.44140625" style="2372" customWidth="1"/>
    <col min="6634" max="6634" width="12.88671875" style="2372" customWidth="1"/>
    <col min="6635" max="6635" width="20.44140625" style="2372" customWidth="1"/>
    <col min="6636" max="6636" width="12.88671875" style="2372" customWidth="1"/>
    <col min="6637" max="6637" width="7.88671875" style="2372" customWidth="1"/>
    <col min="6638" max="6638" width="10" style="2372" customWidth="1"/>
    <col min="6639" max="6887" width="9.109375" style="2372"/>
    <col min="6888" max="6888" width="7.44140625" style="2372" customWidth="1"/>
    <col min="6889" max="6889" width="30.44140625" style="2372" customWidth="1"/>
    <col min="6890" max="6890" width="12.88671875" style="2372" customWidth="1"/>
    <col min="6891" max="6891" width="20.44140625" style="2372" customWidth="1"/>
    <col min="6892" max="6892" width="12.88671875" style="2372" customWidth="1"/>
    <col min="6893" max="6893" width="7.88671875" style="2372" customWidth="1"/>
    <col min="6894" max="6894" width="10" style="2372" customWidth="1"/>
    <col min="6895" max="7143" width="9.109375" style="2372"/>
    <col min="7144" max="7144" width="7.44140625" style="2372" customWidth="1"/>
    <col min="7145" max="7145" width="30.44140625" style="2372" customWidth="1"/>
    <col min="7146" max="7146" width="12.88671875" style="2372" customWidth="1"/>
    <col min="7147" max="7147" width="20.44140625" style="2372" customWidth="1"/>
    <col min="7148" max="7148" width="12.88671875" style="2372" customWidth="1"/>
    <col min="7149" max="7149" width="7.88671875" style="2372" customWidth="1"/>
    <col min="7150" max="7150" width="10" style="2372" customWidth="1"/>
    <col min="7151" max="7399" width="9.109375" style="2372"/>
    <col min="7400" max="7400" width="7.44140625" style="2372" customWidth="1"/>
    <col min="7401" max="7401" width="30.44140625" style="2372" customWidth="1"/>
    <col min="7402" max="7402" width="12.88671875" style="2372" customWidth="1"/>
    <col min="7403" max="7403" width="20.44140625" style="2372" customWidth="1"/>
    <col min="7404" max="7404" width="12.88671875" style="2372" customWidth="1"/>
    <col min="7405" max="7405" width="7.88671875" style="2372" customWidth="1"/>
    <col min="7406" max="7406" width="10" style="2372" customWidth="1"/>
    <col min="7407" max="7655" width="9.109375" style="2372"/>
    <col min="7656" max="7656" width="7.44140625" style="2372" customWidth="1"/>
    <col min="7657" max="7657" width="30.44140625" style="2372" customWidth="1"/>
    <col min="7658" max="7658" width="12.88671875" style="2372" customWidth="1"/>
    <col min="7659" max="7659" width="20.44140625" style="2372" customWidth="1"/>
    <col min="7660" max="7660" width="12.88671875" style="2372" customWidth="1"/>
    <col min="7661" max="7661" width="7.88671875" style="2372" customWidth="1"/>
    <col min="7662" max="7662" width="10" style="2372" customWidth="1"/>
    <col min="7663" max="7911" width="9.109375" style="2372"/>
    <col min="7912" max="7912" width="7.44140625" style="2372" customWidth="1"/>
    <col min="7913" max="7913" width="30.44140625" style="2372" customWidth="1"/>
    <col min="7914" max="7914" width="12.88671875" style="2372" customWidth="1"/>
    <col min="7915" max="7915" width="20.44140625" style="2372" customWidth="1"/>
    <col min="7916" max="7916" width="12.88671875" style="2372" customWidth="1"/>
    <col min="7917" max="7917" width="7.88671875" style="2372" customWidth="1"/>
    <col min="7918" max="7918" width="10" style="2372" customWidth="1"/>
    <col min="7919" max="8167" width="9.109375" style="2372"/>
    <col min="8168" max="8168" width="7.44140625" style="2372" customWidth="1"/>
    <col min="8169" max="8169" width="30.44140625" style="2372" customWidth="1"/>
    <col min="8170" max="8170" width="12.88671875" style="2372" customWidth="1"/>
    <col min="8171" max="8171" width="20.44140625" style="2372" customWidth="1"/>
    <col min="8172" max="8172" width="12.88671875" style="2372" customWidth="1"/>
    <col min="8173" max="8173" width="7.88671875" style="2372" customWidth="1"/>
    <col min="8174" max="8174" width="10" style="2372" customWidth="1"/>
    <col min="8175" max="8423" width="9.109375" style="2372"/>
    <col min="8424" max="8424" width="7.44140625" style="2372" customWidth="1"/>
    <col min="8425" max="8425" width="30.44140625" style="2372" customWidth="1"/>
    <col min="8426" max="8426" width="12.88671875" style="2372" customWidth="1"/>
    <col min="8427" max="8427" width="20.44140625" style="2372" customWidth="1"/>
    <col min="8428" max="8428" width="12.88671875" style="2372" customWidth="1"/>
    <col min="8429" max="8429" width="7.88671875" style="2372" customWidth="1"/>
    <col min="8430" max="8430" width="10" style="2372" customWidth="1"/>
    <col min="8431" max="8679" width="9.109375" style="2372"/>
    <col min="8680" max="8680" width="7.44140625" style="2372" customWidth="1"/>
    <col min="8681" max="8681" width="30.44140625" style="2372" customWidth="1"/>
    <col min="8682" max="8682" width="12.88671875" style="2372" customWidth="1"/>
    <col min="8683" max="8683" width="20.44140625" style="2372" customWidth="1"/>
    <col min="8684" max="8684" width="12.88671875" style="2372" customWidth="1"/>
    <col min="8685" max="8685" width="7.88671875" style="2372" customWidth="1"/>
    <col min="8686" max="8686" width="10" style="2372" customWidth="1"/>
    <col min="8687" max="8935" width="9.109375" style="2372"/>
    <col min="8936" max="8936" width="7.44140625" style="2372" customWidth="1"/>
    <col min="8937" max="8937" width="30.44140625" style="2372" customWidth="1"/>
    <col min="8938" max="8938" width="12.88671875" style="2372" customWidth="1"/>
    <col min="8939" max="8939" width="20.44140625" style="2372" customWidth="1"/>
    <col min="8940" max="8940" width="12.88671875" style="2372" customWidth="1"/>
    <col min="8941" max="8941" width="7.88671875" style="2372" customWidth="1"/>
    <col min="8942" max="8942" width="10" style="2372" customWidth="1"/>
    <col min="8943" max="9191" width="9.109375" style="2372"/>
    <col min="9192" max="9192" width="7.44140625" style="2372" customWidth="1"/>
    <col min="9193" max="9193" width="30.44140625" style="2372" customWidth="1"/>
    <col min="9194" max="9194" width="12.88671875" style="2372" customWidth="1"/>
    <col min="9195" max="9195" width="20.44140625" style="2372" customWidth="1"/>
    <col min="9196" max="9196" width="12.88671875" style="2372" customWidth="1"/>
    <col min="9197" max="9197" width="7.88671875" style="2372" customWidth="1"/>
    <col min="9198" max="9198" width="10" style="2372" customWidth="1"/>
    <col min="9199" max="9447" width="9.109375" style="2372"/>
    <col min="9448" max="9448" width="7.44140625" style="2372" customWidth="1"/>
    <col min="9449" max="9449" width="30.44140625" style="2372" customWidth="1"/>
    <col min="9450" max="9450" width="12.88671875" style="2372" customWidth="1"/>
    <col min="9451" max="9451" width="20.44140625" style="2372" customWidth="1"/>
    <col min="9452" max="9452" width="12.88671875" style="2372" customWidth="1"/>
    <col min="9453" max="9453" width="7.88671875" style="2372" customWidth="1"/>
    <col min="9454" max="9454" width="10" style="2372" customWidth="1"/>
    <col min="9455" max="9703" width="9.109375" style="2372"/>
    <col min="9704" max="9704" width="7.44140625" style="2372" customWidth="1"/>
    <col min="9705" max="9705" width="30.44140625" style="2372" customWidth="1"/>
    <col min="9706" max="9706" width="12.88671875" style="2372" customWidth="1"/>
    <col min="9707" max="9707" width="20.44140625" style="2372" customWidth="1"/>
    <col min="9708" max="9708" width="12.88671875" style="2372" customWidth="1"/>
    <col min="9709" max="9709" width="7.88671875" style="2372" customWidth="1"/>
    <col min="9710" max="9710" width="10" style="2372" customWidth="1"/>
    <col min="9711" max="9959" width="9.109375" style="2372"/>
    <col min="9960" max="9960" width="7.44140625" style="2372" customWidth="1"/>
    <col min="9961" max="9961" width="30.44140625" style="2372" customWidth="1"/>
    <col min="9962" max="9962" width="12.88671875" style="2372" customWidth="1"/>
    <col min="9963" max="9963" width="20.44140625" style="2372" customWidth="1"/>
    <col min="9964" max="9964" width="12.88671875" style="2372" customWidth="1"/>
    <col min="9965" max="9965" width="7.88671875" style="2372" customWidth="1"/>
    <col min="9966" max="9966" width="10" style="2372" customWidth="1"/>
    <col min="9967" max="10215" width="9.109375" style="2372"/>
    <col min="10216" max="10216" width="7.44140625" style="2372" customWidth="1"/>
    <col min="10217" max="10217" width="30.44140625" style="2372" customWidth="1"/>
    <col min="10218" max="10218" width="12.88671875" style="2372" customWidth="1"/>
    <col min="10219" max="10219" width="20.44140625" style="2372" customWidth="1"/>
    <col min="10220" max="10220" width="12.88671875" style="2372" customWidth="1"/>
    <col min="10221" max="10221" width="7.88671875" style="2372" customWidth="1"/>
    <col min="10222" max="10222" width="10" style="2372" customWidth="1"/>
    <col min="10223" max="10471" width="9.109375" style="2372"/>
    <col min="10472" max="10472" width="7.44140625" style="2372" customWidth="1"/>
    <col min="10473" max="10473" width="30.44140625" style="2372" customWidth="1"/>
    <col min="10474" max="10474" width="12.88671875" style="2372" customWidth="1"/>
    <col min="10475" max="10475" width="20.44140625" style="2372" customWidth="1"/>
    <col min="10476" max="10476" width="12.88671875" style="2372" customWidth="1"/>
    <col min="10477" max="10477" width="7.88671875" style="2372" customWidth="1"/>
    <col min="10478" max="10478" width="10" style="2372" customWidth="1"/>
    <col min="10479" max="10727" width="9.109375" style="2372"/>
    <col min="10728" max="10728" width="7.44140625" style="2372" customWidth="1"/>
    <col min="10729" max="10729" width="30.44140625" style="2372" customWidth="1"/>
    <col min="10730" max="10730" width="12.88671875" style="2372" customWidth="1"/>
    <col min="10731" max="10731" width="20.44140625" style="2372" customWidth="1"/>
    <col min="10732" max="10732" width="12.88671875" style="2372" customWidth="1"/>
    <col min="10733" max="10733" width="7.88671875" style="2372" customWidth="1"/>
    <col min="10734" max="10734" width="10" style="2372" customWidth="1"/>
    <col min="10735" max="10983" width="9.109375" style="2372"/>
    <col min="10984" max="10984" width="7.44140625" style="2372" customWidth="1"/>
    <col min="10985" max="10985" width="30.44140625" style="2372" customWidth="1"/>
    <col min="10986" max="10986" width="12.88671875" style="2372" customWidth="1"/>
    <col min="10987" max="10987" width="20.44140625" style="2372" customWidth="1"/>
    <col min="10988" max="10988" width="12.88671875" style="2372" customWidth="1"/>
    <col min="10989" max="10989" width="7.88671875" style="2372" customWidth="1"/>
    <col min="10990" max="10990" width="10" style="2372" customWidth="1"/>
    <col min="10991" max="11239" width="9.109375" style="2372"/>
    <col min="11240" max="11240" width="7.44140625" style="2372" customWidth="1"/>
    <col min="11241" max="11241" width="30.44140625" style="2372" customWidth="1"/>
    <col min="11242" max="11242" width="12.88671875" style="2372" customWidth="1"/>
    <col min="11243" max="11243" width="20.44140625" style="2372" customWidth="1"/>
    <col min="11244" max="11244" width="12.88671875" style="2372" customWidth="1"/>
    <col min="11245" max="11245" width="7.88671875" style="2372" customWidth="1"/>
    <col min="11246" max="11246" width="10" style="2372" customWidth="1"/>
    <col min="11247" max="11495" width="9.109375" style="2372"/>
    <col min="11496" max="11496" width="7.44140625" style="2372" customWidth="1"/>
    <col min="11497" max="11497" width="30.44140625" style="2372" customWidth="1"/>
    <col min="11498" max="11498" width="12.88671875" style="2372" customWidth="1"/>
    <col min="11499" max="11499" width="20.44140625" style="2372" customWidth="1"/>
    <col min="11500" max="11500" width="12.88671875" style="2372" customWidth="1"/>
    <col min="11501" max="11501" width="7.88671875" style="2372" customWidth="1"/>
    <col min="11502" max="11502" width="10" style="2372" customWidth="1"/>
    <col min="11503" max="11751" width="9.109375" style="2372"/>
    <col min="11752" max="11752" width="7.44140625" style="2372" customWidth="1"/>
    <col min="11753" max="11753" width="30.44140625" style="2372" customWidth="1"/>
    <col min="11754" max="11754" width="12.88671875" style="2372" customWidth="1"/>
    <col min="11755" max="11755" width="20.44140625" style="2372" customWidth="1"/>
    <col min="11756" max="11756" width="12.88671875" style="2372" customWidth="1"/>
    <col min="11757" max="11757" width="7.88671875" style="2372" customWidth="1"/>
    <col min="11758" max="11758" width="10" style="2372" customWidth="1"/>
    <col min="11759" max="12007" width="9.109375" style="2372"/>
    <col min="12008" max="12008" width="7.44140625" style="2372" customWidth="1"/>
    <col min="12009" max="12009" width="30.44140625" style="2372" customWidth="1"/>
    <col min="12010" max="12010" width="12.88671875" style="2372" customWidth="1"/>
    <col min="12011" max="12011" width="20.44140625" style="2372" customWidth="1"/>
    <col min="12012" max="12012" width="12.88671875" style="2372" customWidth="1"/>
    <col min="12013" max="12013" width="7.88671875" style="2372" customWidth="1"/>
    <col min="12014" max="12014" width="10" style="2372" customWidth="1"/>
    <col min="12015" max="12263" width="9.109375" style="2372"/>
    <col min="12264" max="12264" width="7.44140625" style="2372" customWidth="1"/>
    <col min="12265" max="12265" width="30.44140625" style="2372" customWidth="1"/>
    <col min="12266" max="12266" width="12.88671875" style="2372" customWidth="1"/>
    <col min="12267" max="12267" width="20.44140625" style="2372" customWidth="1"/>
    <col min="12268" max="12268" width="12.88671875" style="2372" customWidth="1"/>
    <col min="12269" max="12269" width="7.88671875" style="2372" customWidth="1"/>
    <col min="12270" max="12270" width="10" style="2372" customWidth="1"/>
    <col min="12271" max="12519" width="9.109375" style="2372"/>
    <col min="12520" max="12520" width="7.44140625" style="2372" customWidth="1"/>
    <col min="12521" max="12521" width="30.44140625" style="2372" customWidth="1"/>
    <col min="12522" max="12522" width="12.88671875" style="2372" customWidth="1"/>
    <col min="12523" max="12523" width="20.44140625" style="2372" customWidth="1"/>
    <col min="12524" max="12524" width="12.88671875" style="2372" customWidth="1"/>
    <col min="12525" max="12525" width="7.88671875" style="2372" customWidth="1"/>
    <col min="12526" max="12526" width="10" style="2372" customWidth="1"/>
    <col min="12527" max="12775" width="9.109375" style="2372"/>
    <col min="12776" max="12776" width="7.44140625" style="2372" customWidth="1"/>
    <col min="12777" max="12777" width="30.44140625" style="2372" customWidth="1"/>
    <col min="12778" max="12778" width="12.88671875" style="2372" customWidth="1"/>
    <col min="12779" max="12779" width="20.44140625" style="2372" customWidth="1"/>
    <col min="12780" max="12780" width="12.88671875" style="2372" customWidth="1"/>
    <col min="12781" max="12781" width="7.88671875" style="2372" customWidth="1"/>
    <col min="12782" max="12782" width="10" style="2372" customWidth="1"/>
    <col min="12783" max="13031" width="9.109375" style="2372"/>
    <col min="13032" max="13032" width="7.44140625" style="2372" customWidth="1"/>
    <col min="13033" max="13033" width="30.44140625" style="2372" customWidth="1"/>
    <col min="13034" max="13034" width="12.88671875" style="2372" customWidth="1"/>
    <col min="13035" max="13035" width="20.44140625" style="2372" customWidth="1"/>
    <col min="13036" max="13036" width="12.88671875" style="2372" customWidth="1"/>
    <col min="13037" max="13037" width="7.88671875" style="2372" customWidth="1"/>
    <col min="13038" max="13038" width="10" style="2372" customWidth="1"/>
    <col min="13039" max="13287" width="9.109375" style="2372"/>
    <col min="13288" max="13288" width="7.44140625" style="2372" customWidth="1"/>
    <col min="13289" max="13289" width="30.44140625" style="2372" customWidth="1"/>
    <col min="13290" max="13290" width="12.88671875" style="2372" customWidth="1"/>
    <col min="13291" max="13291" width="20.44140625" style="2372" customWidth="1"/>
    <col min="13292" max="13292" width="12.88671875" style="2372" customWidth="1"/>
    <col min="13293" max="13293" width="7.88671875" style="2372" customWidth="1"/>
    <col min="13294" max="13294" width="10" style="2372" customWidth="1"/>
    <col min="13295" max="13543" width="9.109375" style="2372"/>
    <col min="13544" max="13544" width="7.44140625" style="2372" customWidth="1"/>
    <col min="13545" max="13545" width="30.44140625" style="2372" customWidth="1"/>
    <col min="13546" max="13546" width="12.88671875" style="2372" customWidth="1"/>
    <col min="13547" max="13547" width="20.44140625" style="2372" customWidth="1"/>
    <col min="13548" max="13548" width="12.88671875" style="2372" customWidth="1"/>
    <col min="13549" max="13549" width="7.88671875" style="2372" customWidth="1"/>
    <col min="13550" max="13550" width="10" style="2372" customWidth="1"/>
    <col min="13551" max="13799" width="9.109375" style="2372"/>
    <col min="13800" max="13800" width="7.44140625" style="2372" customWidth="1"/>
    <col min="13801" max="13801" width="30.44140625" style="2372" customWidth="1"/>
    <col min="13802" max="13802" width="12.88671875" style="2372" customWidth="1"/>
    <col min="13803" max="13803" width="20.44140625" style="2372" customWidth="1"/>
    <col min="13804" max="13804" width="12.88671875" style="2372" customWidth="1"/>
    <col min="13805" max="13805" width="7.88671875" style="2372" customWidth="1"/>
    <col min="13806" max="13806" width="10" style="2372" customWidth="1"/>
    <col min="13807" max="14055" width="9.109375" style="2372"/>
    <col min="14056" max="14056" width="7.44140625" style="2372" customWidth="1"/>
    <col min="14057" max="14057" width="30.44140625" style="2372" customWidth="1"/>
    <col min="14058" max="14058" width="12.88671875" style="2372" customWidth="1"/>
    <col min="14059" max="14059" width="20.44140625" style="2372" customWidth="1"/>
    <col min="14060" max="14060" width="12.88671875" style="2372" customWidth="1"/>
    <col min="14061" max="14061" width="7.88671875" style="2372" customWidth="1"/>
    <col min="14062" max="14062" width="10" style="2372" customWidth="1"/>
    <col min="14063" max="14311" width="9.109375" style="2372"/>
    <col min="14312" max="14312" width="7.44140625" style="2372" customWidth="1"/>
    <col min="14313" max="14313" width="30.44140625" style="2372" customWidth="1"/>
    <col min="14314" max="14314" width="12.88671875" style="2372" customWidth="1"/>
    <col min="14315" max="14315" width="20.44140625" style="2372" customWidth="1"/>
    <col min="14316" max="14316" width="12.88671875" style="2372" customWidth="1"/>
    <col min="14317" max="14317" width="7.88671875" style="2372" customWidth="1"/>
    <col min="14318" max="14318" width="10" style="2372" customWidth="1"/>
    <col min="14319" max="14567" width="9.109375" style="2372"/>
    <col min="14568" max="14568" width="7.44140625" style="2372" customWidth="1"/>
    <col min="14569" max="14569" width="30.44140625" style="2372" customWidth="1"/>
    <col min="14570" max="14570" width="12.88671875" style="2372" customWidth="1"/>
    <col min="14571" max="14571" width="20.44140625" style="2372" customWidth="1"/>
    <col min="14572" max="14572" width="12.88671875" style="2372" customWidth="1"/>
    <col min="14573" max="14573" width="7.88671875" style="2372" customWidth="1"/>
    <col min="14574" max="14574" width="10" style="2372" customWidth="1"/>
    <col min="14575" max="14823" width="9.109375" style="2372"/>
    <col min="14824" max="14824" width="7.44140625" style="2372" customWidth="1"/>
    <col min="14825" max="14825" width="30.44140625" style="2372" customWidth="1"/>
    <col min="14826" max="14826" width="12.88671875" style="2372" customWidth="1"/>
    <col min="14827" max="14827" width="20.44140625" style="2372" customWidth="1"/>
    <col min="14828" max="14828" width="12.88671875" style="2372" customWidth="1"/>
    <col min="14829" max="14829" width="7.88671875" style="2372" customWidth="1"/>
    <col min="14830" max="14830" width="10" style="2372" customWidth="1"/>
    <col min="14831" max="15079" width="9.109375" style="2372"/>
    <col min="15080" max="15080" width="7.44140625" style="2372" customWidth="1"/>
    <col min="15081" max="15081" width="30.44140625" style="2372" customWidth="1"/>
    <col min="15082" max="15082" width="12.88671875" style="2372" customWidth="1"/>
    <col min="15083" max="15083" width="20.44140625" style="2372" customWidth="1"/>
    <col min="15084" max="15084" width="12.88671875" style="2372" customWidth="1"/>
    <col min="15085" max="15085" width="7.88671875" style="2372" customWidth="1"/>
    <col min="15086" max="15086" width="10" style="2372" customWidth="1"/>
    <col min="15087" max="15335" width="9.109375" style="2372"/>
    <col min="15336" max="15336" width="7.44140625" style="2372" customWidth="1"/>
    <col min="15337" max="15337" width="30.44140625" style="2372" customWidth="1"/>
    <col min="15338" max="15338" width="12.88671875" style="2372" customWidth="1"/>
    <col min="15339" max="15339" width="20.44140625" style="2372" customWidth="1"/>
    <col min="15340" max="15340" width="12.88671875" style="2372" customWidth="1"/>
    <col min="15341" max="15341" width="7.88671875" style="2372" customWidth="1"/>
    <col min="15342" max="15342" width="10" style="2372" customWidth="1"/>
    <col min="15343" max="15591" width="9.109375" style="2372"/>
    <col min="15592" max="15592" width="7.44140625" style="2372" customWidth="1"/>
    <col min="15593" max="15593" width="30.44140625" style="2372" customWidth="1"/>
    <col min="15594" max="15594" width="12.88671875" style="2372" customWidth="1"/>
    <col min="15595" max="15595" width="20.44140625" style="2372" customWidth="1"/>
    <col min="15596" max="15596" width="12.88671875" style="2372" customWidth="1"/>
    <col min="15597" max="15597" width="7.88671875" style="2372" customWidth="1"/>
    <col min="15598" max="15598" width="10" style="2372" customWidth="1"/>
    <col min="15599" max="15847" width="9.109375" style="2372"/>
    <col min="15848" max="15848" width="7.44140625" style="2372" customWidth="1"/>
    <col min="15849" max="15849" width="30.44140625" style="2372" customWidth="1"/>
    <col min="15850" max="15850" width="12.88671875" style="2372" customWidth="1"/>
    <col min="15851" max="15851" width="20.44140625" style="2372" customWidth="1"/>
    <col min="15852" max="15852" width="12.88671875" style="2372" customWidth="1"/>
    <col min="15853" max="15853" width="7.88671875" style="2372" customWidth="1"/>
    <col min="15854" max="15854" width="10" style="2372" customWidth="1"/>
    <col min="15855" max="16103" width="9.109375" style="2372"/>
    <col min="16104" max="16104" width="7.44140625" style="2372" customWidth="1"/>
    <col min="16105" max="16105" width="30.44140625" style="2372" customWidth="1"/>
    <col min="16106" max="16106" width="12.88671875" style="2372" customWidth="1"/>
    <col min="16107" max="16107" width="20.44140625" style="2372" customWidth="1"/>
    <col min="16108" max="16108" width="12.88671875" style="2372" customWidth="1"/>
    <col min="16109" max="16109" width="7.88671875" style="2372" customWidth="1"/>
    <col min="16110" max="16110" width="10" style="2372" customWidth="1"/>
    <col min="16111" max="16384" width="9.109375" style="2372"/>
  </cols>
  <sheetData>
    <row r="1" spans="1:7" ht="15.6">
      <c r="A1" s="15402" t="s">
        <v>1801</v>
      </c>
      <c r="B1" s="15402"/>
      <c r="C1" s="15402"/>
      <c r="D1" s="15402"/>
      <c r="E1" s="15402"/>
      <c r="F1" s="15402"/>
      <c r="G1" s="15402"/>
    </row>
    <row r="3" spans="1:7" ht="17.399999999999999">
      <c r="A3" s="631" t="s">
        <v>9633</v>
      </c>
    </row>
    <row r="4" spans="1:7" ht="16.8">
      <c r="A4" s="633" t="s">
        <v>9634</v>
      </c>
    </row>
    <row r="7" spans="1:7" ht="15.6">
      <c r="A7" s="632" t="s">
        <v>6935</v>
      </c>
    </row>
    <row r="8" spans="1:7">
      <c r="A8" s="632"/>
    </row>
    <row r="9" spans="1:7" s="4832" customFormat="1" ht="13.8">
      <c r="A9" s="4832" t="s">
        <v>2354</v>
      </c>
    </row>
    <row r="10" spans="1:7" s="4832" customFormat="1" ht="13.8">
      <c r="A10" s="4832" t="s">
        <v>6936</v>
      </c>
    </row>
    <row r="11" spans="1:7" s="4832" customFormat="1" ht="13.8">
      <c r="A11" s="4832" t="s">
        <v>6937</v>
      </c>
    </row>
    <row r="12" spans="1:7">
      <c r="A12" s="632"/>
    </row>
    <row r="13" spans="1:7">
      <c r="A13" s="632"/>
    </row>
    <row r="14" spans="1:7" ht="15.6">
      <c r="A14" s="632" t="s">
        <v>6938</v>
      </c>
    </row>
    <row r="15" spans="1:7">
      <c r="A15" s="632"/>
    </row>
    <row r="16" spans="1:7" s="4832" customFormat="1" ht="13.8">
      <c r="A16" s="4832" t="s">
        <v>2355</v>
      </c>
    </row>
    <row r="17" spans="1:7" s="4832" customFormat="1" ht="13.8">
      <c r="A17" s="4832" t="s">
        <v>6939</v>
      </c>
    </row>
    <row r="18" spans="1:7" s="4832" customFormat="1" ht="13.8">
      <c r="A18" s="4832" t="s">
        <v>6940</v>
      </c>
    </row>
    <row r="19" spans="1:7" s="4832" customFormat="1" ht="5.25" customHeight="1">
      <c r="A19" s="4832" t="s">
        <v>2169</v>
      </c>
    </row>
    <row r="20" spans="1:7" s="4832" customFormat="1" ht="13.8">
      <c r="A20" s="4832" t="s">
        <v>2356</v>
      </c>
    </row>
    <row r="21" spans="1:7" s="4832" customFormat="1" ht="5.25" customHeight="1">
      <c r="A21" s="4832" t="s">
        <v>6941</v>
      </c>
    </row>
    <row r="22" spans="1:7" s="4832" customFormat="1" ht="13.8">
      <c r="A22" s="4832" t="s">
        <v>6942</v>
      </c>
    </row>
    <row r="23" spans="1:7" s="4832" customFormat="1" ht="5.25" customHeight="1"/>
    <row r="24" spans="1:7" s="4832" customFormat="1" ht="13.8">
      <c r="A24" s="4832" t="s">
        <v>2357</v>
      </c>
    </row>
    <row r="25" spans="1:7">
      <c r="A25" s="632"/>
    </row>
    <row r="26" spans="1:7">
      <c r="A26" s="632"/>
    </row>
    <row r="27" spans="1:7" ht="17.399999999999999" thickBot="1">
      <c r="A27" s="1804" t="s">
        <v>6943</v>
      </c>
      <c r="B27" s="2373"/>
      <c r="C27" s="2373"/>
      <c r="D27" s="2373"/>
      <c r="E27" s="2373"/>
      <c r="F27" s="2373"/>
      <c r="G27" s="2373"/>
    </row>
    <row r="28" spans="1:7">
      <c r="A28" s="4781" t="s">
        <v>2045</v>
      </c>
      <c r="B28" s="4782"/>
      <c r="C28" s="4783"/>
      <c r="D28" s="4784"/>
      <c r="E28" s="4784"/>
      <c r="F28" s="4785"/>
      <c r="G28" s="4786"/>
    </row>
    <row r="29" spans="1:7">
      <c r="A29" s="4787" t="s">
        <v>468</v>
      </c>
      <c r="B29" s="4788" t="s">
        <v>2358</v>
      </c>
      <c r="C29" s="4789" t="s">
        <v>1736</v>
      </c>
      <c r="D29" s="4789" t="s">
        <v>1787</v>
      </c>
      <c r="E29" s="4789" t="s">
        <v>1764</v>
      </c>
      <c r="F29" s="15403" t="s">
        <v>2359</v>
      </c>
      <c r="G29" s="15404"/>
    </row>
    <row r="30" spans="1:7" ht="13.8" thickBot="1">
      <c r="A30" s="4787" t="s">
        <v>2047</v>
      </c>
      <c r="B30" s="4788" t="s">
        <v>1762</v>
      </c>
      <c r="C30" s="4789"/>
      <c r="D30" s="4789" t="s">
        <v>1804</v>
      </c>
      <c r="E30" s="4789"/>
      <c r="F30" s="15405" t="s">
        <v>1993</v>
      </c>
      <c r="G30" s="15406"/>
    </row>
    <row r="31" spans="1:7">
      <c r="A31" s="634">
        <v>1</v>
      </c>
      <c r="B31" s="635">
        <v>2</v>
      </c>
      <c r="C31" s="636">
        <v>3</v>
      </c>
      <c r="D31" s="636">
        <v>4</v>
      </c>
      <c r="E31" s="636">
        <v>5</v>
      </c>
      <c r="F31" s="634"/>
      <c r="G31" s="2374">
        <v>6</v>
      </c>
    </row>
    <row r="32" spans="1:7" ht="13.8" thickBot="1">
      <c r="A32" s="2375"/>
      <c r="B32" s="2375"/>
      <c r="C32" s="2375"/>
      <c r="D32" s="2375"/>
      <c r="E32" s="2375"/>
      <c r="F32" s="2376" t="s">
        <v>1789</v>
      </c>
      <c r="G32" s="2376" t="s">
        <v>1790</v>
      </c>
    </row>
    <row r="33" spans="1:7">
      <c r="A33" s="4790"/>
      <c r="B33" s="4791" t="s">
        <v>2360</v>
      </c>
      <c r="C33" s="4792"/>
      <c r="D33" s="4790"/>
      <c r="E33" s="4790"/>
      <c r="F33" s="2377"/>
      <c r="G33" s="4790"/>
    </row>
    <row r="34" spans="1:7">
      <c r="A34" s="4790"/>
      <c r="B34" s="4793" t="s">
        <v>2361</v>
      </c>
      <c r="C34" s="4794"/>
      <c r="D34" s="2377"/>
      <c r="E34" s="4790"/>
      <c r="F34" s="2377"/>
      <c r="G34" s="4790"/>
    </row>
    <row r="35" spans="1:7">
      <c r="A35" s="4790"/>
      <c r="B35" s="4795"/>
      <c r="C35" s="4794"/>
      <c r="D35" s="2377"/>
      <c r="E35" s="4796"/>
      <c r="F35" s="2378"/>
      <c r="G35" s="4797"/>
    </row>
    <row r="36" spans="1:7" ht="79.2">
      <c r="A36" s="4798" t="s">
        <v>6944</v>
      </c>
      <c r="B36" s="4799" t="s">
        <v>6945</v>
      </c>
      <c r="C36" s="4800">
        <v>26056075</v>
      </c>
      <c r="D36" s="4801" t="s">
        <v>6946</v>
      </c>
      <c r="E36" s="4802" t="s">
        <v>6947</v>
      </c>
      <c r="F36" s="2379" t="s">
        <v>1816</v>
      </c>
      <c r="G36" s="4803" t="s">
        <v>6948</v>
      </c>
    </row>
    <row r="37" spans="1:7">
      <c r="A37" s="4790"/>
      <c r="B37" s="4790"/>
      <c r="C37" s="4794"/>
      <c r="D37" s="2380"/>
      <c r="E37" s="4804"/>
      <c r="F37" s="2380"/>
      <c r="G37" s="4796"/>
    </row>
    <row r="38" spans="1:7" ht="92.4">
      <c r="A38" s="4798" t="s">
        <v>6949</v>
      </c>
      <c r="B38" s="4799" t="s">
        <v>6950</v>
      </c>
      <c r="C38" s="4800">
        <v>24253990</v>
      </c>
      <c r="D38" s="4801" t="s">
        <v>6951</v>
      </c>
      <c r="E38" s="4798" t="s">
        <v>6952</v>
      </c>
      <c r="F38" s="2381" t="s">
        <v>1816</v>
      </c>
      <c r="G38" s="4805" t="s">
        <v>2546</v>
      </c>
    </row>
    <row r="39" spans="1:7">
      <c r="A39" s="4798"/>
      <c r="B39" s="4799"/>
      <c r="C39" s="4800"/>
      <c r="D39" s="4801"/>
      <c r="E39" s="4798"/>
      <c r="F39" s="2381"/>
      <c r="G39" s="4805"/>
    </row>
    <row r="40" spans="1:7" ht="66">
      <c r="A40" s="4806" t="s">
        <v>3478</v>
      </c>
      <c r="B40" s="4799" t="s">
        <v>6953</v>
      </c>
      <c r="C40" s="4800">
        <v>78000</v>
      </c>
      <c r="D40" s="4807" t="s">
        <v>6954</v>
      </c>
      <c r="E40" s="4798" t="s">
        <v>6955</v>
      </c>
      <c r="F40" s="2381" t="s">
        <v>1816</v>
      </c>
      <c r="G40" s="4805" t="s">
        <v>2546</v>
      </c>
    </row>
    <row r="41" spans="1:7">
      <c r="A41" s="4806"/>
      <c r="B41" s="4799"/>
      <c r="C41" s="4800"/>
      <c r="D41" s="4807"/>
      <c r="E41" s="4798"/>
      <c r="F41" s="2381"/>
      <c r="G41" s="4805"/>
    </row>
    <row r="42" spans="1:7" ht="79.8" thickBot="1">
      <c r="A42" s="4808" t="s">
        <v>3478</v>
      </c>
      <c r="B42" s="4809" t="s">
        <v>6956</v>
      </c>
      <c r="C42" s="4810">
        <v>870892</v>
      </c>
      <c r="D42" s="4811" t="s">
        <v>6957</v>
      </c>
      <c r="E42" s="4812" t="s">
        <v>6958</v>
      </c>
      <c r="F42" s="4813" t="s">
        <v>1816</v>
      </c>
      <c r="G42" s="4814" t="s">
        <v>2546</v>
      </c>
    </row>
    <row r="43" spans="1:7">
      <c r="A43" s="4834"/>
      <c r="B43" s="4835"/>
      <c r="C43" s="4836"/>
      <c r="D43" s="4837"/>
      <c r="E43" s="4838"/>
      <c r="F43" s="4839"/>
      <c r="G43" s="4839"/>
    </row>
    <row r="44" spans="1:7">
      <c r="A44" s="4840"/>
      <c r="B44" s="4841"/>
      <c r="C44" s="4842"/>
      <c r="D44" s="4807"/>
      <c r="E44" s="4843"/>
      <c r="F44" s="2381"/>
      <c r="G44" s="2381"/>
    </row>
    <row r="45" spans="1:7">
      <c r="A45" s="4840"/>
      <c r="B45" s="4841"/>
      <c r="C45" s="4842"/>
      <c r="D45" s="4807"/>
      <c r="E45" s="4843"/>
      <c r="F45" s="2381"/>
      <c r="G45" s="2381"/>
    </row>
    <row r="46" spans="1:7" ht="13.8" thickBot="1">
      <c r="A46" s="4844"/>
      <c r="B46" s="4845"/>
      <c r="C46" s="4846"/>
      <c r="D46" s="4811"/>
      <c r="E46" s="4847"/>
      <c r="F46" s="4813"/>
      <c r="G46" s="4813"/>
    </row>
    <row r="47" spans="1:7">
      <c r="A47" s="4781" t="s">
        <v>2045</v>
      </c>
      <c r="B47" s="4782"/>
      <c r="C47" s="4783"/>
      <c r="D47" s="4784"/>
      <c r="E47" s="4784"/>
      <c r="F47" s="4785"/>
      <c r="G47" s="4786"/>
    </row>
    <row r="48" spans="1:7">
      <c r="A48" s="4787" t="s">
        <v>468</v>
      </c>
      <c r="B48" s="4788" t="s">
        <v>2358</v>
      </c>
      <c r="C48" s="4789" t="s">
        <v>1736</v>
      </c>
      <c r="D48" s="4789" t="s">
        <v>1787</v>
      </c>
      <c r="E48" s="4789" t="s">
        <v>1764</v>
      </c>
      <c r="F48" s="15403" t="s">
        <v>2359</v>
      </c>
      <c r="G48" s="15404"/>
    </row>
    <row r="49" spans="1:7" ht="13.8" thickBot="1">
      <c r="A49" s="4787" t="s">
        <v>2047</v>
      </c>
      <c r="B49" s="4788" t="s">
        <v>1762</v>
      </c>
      <c r="C49" s="4789"/>
      <c r="D49" s="4789" t="s">
        <v>1804</v>
      </c>
      <c r="E49" s="4789"/>
      <c r="F49" s="15405" t="s">
        <v>1993</v>
      </c>
      <c r="G49" s="15406"/>
    </row>
    <row r="50" spans="1:7">
      <c r="A50" s="634">
        <v>1</v>
      </c>
      <c r="B50" s="635">
        <v>2</v>
      </c>
      <c r="C50" s="636">
        <v>3</v>
      </c>
      <c r="D50" s="636">
        <v>4</v>
      </c>
      <c r="E50" s="636">
        <v>5</v>
      </c>
      <c r="F50" s="634"/>
      <c r="G50" s="2374">
        <v>6</v>
      </c>
    </row>
    <row r="51" spans="1:7" ht="13.8" thickBot="1">
      <c r="A51" s="2375"/>
      <c r="B51" s="2375"/>
      <c r="C51" s="2375"/>
      <c r="D51" s="2375"/>
      <c r="E51" s="2375"/>
      <c r="F51" s="2376" t="s">
        <v>1789</v>
      </c>
      <c r="G51" s="2376" t="s">
        <v>1790</v>
      </c>
    </row>
    <row r="52" spans="1:7" ht="119.1" customHeight="1">
      <c r="A52" s="4806" t="s">
        <v>3478</v>
      </c>
      <c r="B52" s="4799" t="s">
        <v>6959</v>
      </c>
      <c r="C52" s="4800">
        <v>1150000</v>
      </c>
      <c r="D52" s="4802" t="s">
        <v>6960</v>
      </c>
      <c r="E52" s="4815" t="s">
        <v>6961</v>
      </c>
      <c r="F52" s="2381" t="s">
        <v>1810</v>
      </c>
      <c r="G52" s="4805" t="s">
        <v>2546</v>
      </c>
    </row>
    <row r="53" spans="1:7" ht="39.6">
      <c r="A53" s="4806" t="s">
        <v>3478</v>
      </c>
      <c r="B53" s="4799" t="s">
        <v>6962</v>
      </c>
      <c r="C53" s="4800">
        <v>370000</v>
      </c>
      <c r="D53" s="4807" t="s">
        <v>6963</v>
      </c>
      <c r="E53" s="4816" t="s">
        <v>6964</v>
      </c>
      <c r="F53" s="2381" t="s">
        <v>1816</v>
      </c>
      <c r="G53" s="4805" t="s">
        <v>2546</v>
      </c>
    </row>
    <row r="54" spans="1:7">
      <c r="A54" s="4790"/>
      <c r="B54" s="4790"/>
      <c r="C54" s="4794"/>
      <c r="D54" s="2380"/>
      <c r="E54" s="4795"/>
      <c r="F54" s="2380"/>
      <c r="G54" s="4796"/>
    </row>
    <row r="55" spans="1:7" ht="39.6">
      <c r="A55" s="4806" t="s">
        <v>3478</v>
      </c>
      <c r="B55" s="4817" t="s">
        <v>6965</v>
      </c>
      <c r="C55" s="4800">
        <v>485400</v>
      </c>
      <c r="D55" s="4801" t="s">
        <v>6966</v>
      </c>
      <c r="E55" s="4815" t="s">
        <v>6967</v>
      </c>
      <c r="F55" s="2381" t="s">
        <v>1816</v>
      </c>
      <c r="G55" s="4805" t="s">
        <v>2546</v>
      </c>
    </row>
    <row r="56" spans="1:7">
      <c r="A56" s="4790"/>
      <c r="B56" s="4790"/>
      <c r="C56" s="4794"/>
      <c r="D56" s="2380"/>
      <c r="E56" s="4795"/>
      <c r="F56" s="2380"/>
      <c r="G56" s="4796"/>
    </row>
    <row r="57" spans="1:7" ht="39.6">
      <c r="A57" s="4818" t="s">
        <v>3478</v>
      </c>
      <c r="B57" s="4799" t="s">
        <v>6968</v>
      </c>
      <c r="C57" s="4800">
        <v>200000</v>
      </c>
      <c r="D57" s="4801" t="s">
        <v>6969</v>
      </c>
      <c r="E57" s="4805" t="s">
        <v>6970</v>
      </c>
      <c r="F57" s="2381" t="s">
        <v>1810</v>
      </c>
      <c r="G57" s="4805" t="s">
        <v>6971</v>
      </c>
    </row>
    <row r="58" spans="1:7" ht="78.599999999999994" customHeight="1">
      <c r="A58" s="4799" t="s">
        <v>6944</v>
      </c>
      <c r="B58" s="4799" t="s">
        <v>6972</v>
      </c>
      <c r="C58" s="4800">
        <v>240000</v>
      </c>
      <c r="D58" s="4819" t="s">
        <v>6973</v>
      </c>
      <c r="E58" s="4815" t="s">
        <v>6974</v>
      </c>
      <c r="F58" s="2382"/>
      <c r="G58" s="4796"/>
    </row>
    <row r="59" spans="1:7">
      <c r="A59" s="4790"/>
      <c r="B59" s="4790"/>
      <c r="C59" s="4800"/>
      <c r="D59" s="4820"/>
      <c r="E59" s="4816"/>
      <c r="F59" s="2383"/>
      <c r="G59" s="4805"/>
    </row>
    <row r="60" spans="1:7">
      <c r="A60" s="4790"/>
      <c r="B60" s="4790"/>
      <c r="C60" s="4794"/>
      <c r="D60" s="2380"/>
      <c r="E60" s="4795"/>
      <c r="F60" s="2382"/>
      <c r="G60" s="4796"/>
    </row>
    <row r="61" spans="1:7">
      <c r="A61" s="4790"/>
      <c r="B61" s="4821" t="s">
        <v>9635</v>
      </c>
      <c r="C61" s="4794"/>
      <c r="D61" s="2380"/>
      <c r="E61" s="4795"/>
      <c r="F61" s="2380"/>
      <c r="G61" s="4796"/>
    </row>
    <row r="62" spans="1:7">
      <c r="A62" s="4822"/>
      <c r="B62" s="4823" t="s">
        <v>6975</v>
      </c>
      <c r="C62" s="4794"/>
      <c r="D62" s="2380"/>
      <c r="E62" s="4824"/>
      <c r="F62" s="2382"/>
      <c r="G62" s="4796"/>
    </row>
    <row r="63" spans="1:7">
      <c r="A63" s="4790"/>
      <c r="B63" s="4790"/>
      <c r="C63" s="4794"/>
      <c r="D63" s="2380"/>
      <c r="E63" s="4795"/>
      <c r="F63" s="2382"/>
      <c r="G63" s="4796"/>
    </row>
    <row r="64" spans="1:7">
      <c r="A64" s="4790"/>
      <c r="B64" s="4790"/>
      <c r="C64" s="4794"/>
      <c r="D64" s="2380"/>
      <c r="E64" s="4795"/>
      <c r="F64" s="2380"/>
      <c r="G64" s="4796"/>
    </row>
    <row r="65" spans="1:7">
      <c r="A65" s="4790"/>
      <c r="B65" s="4825" t="s">
        <v>220</v>
      </c>
      <c r="C65" s="4826">
        <f>C36+C38+C40+C42+C52+C53+C55+C57+C58+C59</f>
        <v>53704357</v>
      </c>
      <c r="D65" s="2380"/>
      <c r="E65" s="4795"/>
      <c r="F65" s="2382"/>
      <c r="G65" s="4796"/>
    </row>
    <row r="66" spans="1:7" ht="5.0999999999999996" customHeight="1">
      <c r="A66" s="4822"/>
      <c r="B66" s="4790"/>
      <c r="C66" s="4827"/>
      <c r="D66" s="2380"/>
      <c r="E66" s="4796"/>
      <c r="F66" s="2380"/>
      <c r="G66" s="4796"/>
    </row>
    <row r="67" spans="1:7" ht="13.8" thickBot="1">
      <c r="A67" s="4828"/>
      <c r="B67" s="4828"/>
      <c r="C67" s="2375"/>
      <c r="D67" s="4829"/>
      <c r="E67" s="4830"/>
      <c r="F67" s="4829"/>
      <c r="G67" s="4831"/>
    </row>
    <row r="68" spans="1:7">
      <c r="A68" s="2377"/>
      <c r="B68" s="2377"/>
      <c r="C68" s="2377"/>
      <c r="D68" s="2380"/>
      <c r="E68" s="2380"/>
      <c r="F68" s="2380"/>
      <c r="G68" s="2380"/>
    </row>
    <row r="69" spans="1:7">
      <c r="A69" s="2377"/>
      <c r="B69" s="4833"/>
      <c r="C69" s="2377"/>
      <c r="D69" s="2377"/>
      <c r="E69" s="2380"/>
      <c r="F69" s="2380"/>
      <c r="G69" s="2380"/>
    </row>
    <row r="70" spans="1:7" hidden="1">
      <c r="A70" s="2377"/>
      <c r="B70" s="2377"/>
      <c r="C70" s="2377"/>
      <c r="D70" s="2377"/>
      <c r="E70" s="2380"/>
      <c r="F70" s="2380"/>
      <c r="G70" s="2380"/>
    </row>
    <row r="71" spans="1:7" hidden="1">
      <c r="A71" s="2377"/>
      <c r="B71" s="637" t="s">
        <v>6976</v>
      </c>
      <c r="C71" s="2377"/>
      <c r="D71" s="637" t="s">
        <v>6977</v>
      </c>
      <c r="E71" s="2380"/>
      <c r="F71" s="2380"/>
      <c r="G71" s="2380"/>
    </row>
    <row r="72" spans="1:7" hidden="1">
      <c r="A72" s="2377"/>
      <c r="B72" s="2377"/>
      <c r="C72" s="2377"/>
      <c r="D72" s="2377"/>
      <c r="E72" s="2380"/>
      <c r="F72" s="2380"/>
      <c r="G72" s="2380"/>
    </row>
    <row r="73" spans="1:7" hidden="1">
      <c r="A73" s="2377"/>
      <c r="B73" s="2377"/>
      <c r="C73" s="2377"/>
      <c r="D73" s="2377"/>
      <c r="E73" s="2380"/>
      <c r="F73" s="2380"/>
      <c r="G73" s="2380"/>
    </row>
    <row r="74" spans="1:7" hidden="1">
      <c r="A74" s="2377"/>
      <c r="B74" s="2377"/>
      <c r="C74" s="2384"/>
      <c r="D74" s="2377"/>
      <c r="E74" s="2380"/>
      <c r="F74" s="2380"/>
      <c r="G74" s="2380"/>
    </row>
    <row r="75" spans="1:7" hidden="1">
      <c r="A75" s="2377"/>
      <c r="B75" s="2385" t="s">
        <v>6978</v>
      </c>
      <c r="C75" s="2377"/>
      <c r="D75" s="2385" t="s">
        <v>6979</v>
      </c>
      <c r="E75" s="2377"/>
      <c r="F75" s="2377"/>
      <c r="G75" s="2377"/>
    </row>
    <row r="76" spans="1:7" hidden="1">
      <c r="A76" s="2377"/>
      <c r="B76" s="637" t="s">
        <v>5183</v>
      </c>
      <c r="C76" s="2384"/>
      <c r="D76" s="637" t="s">
        <v>6980</v>
      </c>
      <c r="E76" s="2377"/>
      <c r="F76" s="2377"/>
      <c r="G76" s="2377"/>
    </row>
    <row r="77" spans="1:7" hidden="1">
      <c r="C77" s="2377"/>
    </row>
    <row r="78" spans="1:7" hidden="1"/>
  </sheetData>
  <mergeCells count="5">
    <mergeCell ref="A1:G1"/>
    <mergeCell ref="F29:G29"/>
    <mergeCell ref="F30:G30"/>
    <mergeCell ref="F48:G48"/>
    <mergeCell ref="F49:G49"/>
  </mergeCells>
  <pageMargins left="0.5" right="0.25" top="0.75" bottom="0.5" header="0.5" footer="0.25"/>
  <pageSetup paperSize="119" orientation="portrait" verticalDpi="300" r:id="rId1"/>
  <headerFooter alignWithMargins="0"/>
</worksheet>
</file>

<file path=xl/worksheets/sheet182.xml><?xml version="1.0" encoding="utf-8"?>
<worksheet xmlns="http://schemas.openxmlformats.org/spreadsheetml/2006/main" xmlns:r="http://schemas.openxmlformats.org/officeDocument/2006/relationships">
  <sheetPr codeName="Sheet140">
    <tabColor theme="8" tint="-0.249977111117893"/>
  </sheetPr>
  <dimension ref="A1:L116"/>
  <sheetViews>
    <sheetView showGridLines="0" topLeftCell="B3" zoomScale="110" zoomScaleNormal="110" workbookViewId="0">
      <selection activeCell="J3" sqref="J1:P1048576"/>
    </sheetView>
  </sheetViews>
  <sheetFormatPr defaultRowHeight="15" customHeight="1"/>
  <cols>
    <col min="1" max="1" width="3.88671875" style="7467" customWidth="1"/>
    <col min="2" max="2" width="55.5546875" style="7467" customWidth="1"/>
    <col min="3" max="3" width="12.5546875" style="9361" customWidth="1"/>
    <col min="4" max="6" width="15.5546875" style="7479" customWidth="1"/>
    <col min="7" max="7" width="16.109375" style="7479" customWidth="1"/>
    <col min="8" max="8" width="14" style="7479" hidden="1" customWidth="1"/>
    <col min="9" max="9" width="8.44140625" style="7348" hidden="1" customWidth="1"/>
    <col min="10" max="10" width="15.5546875" style="7479" customWidth="1"/>
    <col min="11" max="11" width="17" style="7467" customWidth="1"/>
    <col min="12" max="12" width="6.44140625" style="10265" customWidth="1"/>
    <col min="13" max="15" width="8.88671875" style="7467" customWidth="1"/>
    <col min="16" max="214" width="9.109375" style="7467"/>
    <col min="215" max="215" width="3.88671875" style="7467" customWidth="1"/>
    <col min="216" max="216" width="36" style="7467" customWidth="1"/>
    <col min="217" max="217" width="12.88671875" style="7467" customWidth="1"/>
    <col min="218" max="220" width="16.109375" style="7467" customWidth="1"/>
    <col min="221" max="470" width="9.109375" style="7467"/>
    <col min="471" max="471" width="3.88671875" style="7467" customWidth="1"/>
    <col min="472" max="472" width="36" style="7467" customWidth="1"/>
    <col min="473" max="473" width="12.88671875" style="7467" customWidth="1"/>
    <col min="474" max="476" width="16.109375" style="7467" customWidth="1"/>
    <col min="477" max="726" width="9.109375" style="7467"/>
    <col min="727" max="727" width="3.88671875" style="7467" customWidth="1"/>
    <col min="728" max="728" width="36" style="7467" customWidth="1"/>
    <col min="729" max="729" width="12.88671875" style="7467" customWidth="1"/>
    <col min="730" max="732" width="16.109375" style="7467" customWidth="1"/>
    <col min="733" max="982" width="9.109375" style="7467"/>
    <col min="983" max="983" width="3.88671875" style="7467" customWidth="1"/>
    <col min="984" max="984" width="36" style="7467" customWidth="1"/>
    <col min="985" max="985" width="12.88671875" style="7467" customWidth="1"/>
    <col min="986" max="988" width="16.109375" style="7467" customWidth="1"/>
    <col min="989" max="1238" width="9.109375" style="7467"/>
    <col min="1239" max="1239" width="3.88671875" style="7467" customWidth="1"/>
    <col min="1240" max="1240" width="36" style="7467" customWidth="1"/>
    <col min="1241" max="1241" width="12.88671875" style="7467" customWidth="1"/>
    <col min="1242" max="1244" width="16.109375" style="7467" customWidth="1"/>
    <col min="1245" max="1494" width="9.109375" style="7467"/>
    <col min="1495" max="1495" width="3.88671875" style="7467" customWidth="1"/>
    <col min="1496" max="1496" width="36" style="7467" customWidth="1"/>
    <col min="1497" max="1497" width="12.88671875" style="7467" customWidth="1"/>
    <col min="1498" max="1500" width="16.109375" style="7467" customWidth="1"/>
    <col min="1501" max="1750" width="9.109375" style="7467"/>
    <col min="1751" max="1751" width="3.88671875" style="7467" customWidth="1"/>
    <col min="1752" max="1752" width="36" style="7467" customWidth="1"/>
    <col min="1753" max="1753" width="12.88671875" style="7467" customWidth="1"/>
    <col min="1754" max="1756" width="16.109375" style="7467" customWidth="1"/>
    <col min="1757" max="2006" width="9.109375" style="7467"/>
    <col min="2007" max="2007" width="3.88671875" style="7467" customWidth="1"/>
    <col min="2008" max="2008" width="36" style="7467" customWidth="1"/>
    <col min="2009" max="2009" width="12.88671875" style="7467" customWidth="1"/>
    <col min="2010" max="2012" width="16.109375" style="7467" customWidth="1"/>
    <col min="2013" max="2262" width="9.109375" style="7467"/>
    <col min="2263" max="2263" width="3.88671875" style="7467" customWidth="1"/>
    <col min="2264" max="2264" width="36" style="7467" customWidth="1"/>
    <col min="2265" max="2265" width="12.88671875" style="7467" customWidth="1"/>
    <col min="2266" max="2268" width="16.109375" style="7467" customWidth="1"/>
    <col min="2269" max="2518" width="9.109375" style="7467"/>
    <col min="2519" max="2519" width="3.88671875" style="7467" customWidth="1"/>
    <col min="2520" max="2520" width="36" style="7467" customWidth="1"/>
    <col min="2521" max="2521" width="12.88671875" style="7467" customWidth="1"/>
    <col min="2522" max="2524" width="16.109375" style="7467" customWidth="1"/>
    <col min="2525" max="2774" width="9.109375" style="7467"/>
    <col min="2775" max="2775" width="3.88671875" style="7467" customWidth="1"/>
    <col min="2776" max="2776" width="36" style="7467" customWidth="1"/>
    <col min="2777" max="2777" width="12.88671875" style="7467" customWidth="1"/>
    <col min="2778" max="2780" width="16.109375" style="7467" customWidth="1"/>
    <col min="2781" max="3030" width="9.109375" style="7467"/>
    <col min="3031" max="3031" width="3.88671875" style="7467" customWidth="1"/>
    <col min="3032" max="3032" width="36" style="7467" customWidth="1"/>
    <col min="3033" max="3033" width="12.88671875" style="7467" customWidth="1"/>
    <col min="3034" max="3036" width="16.109375" style="7467" customWidth="1"/>
    <col min="3037" max="3286" width="9.109375" style="7467"/>
    <col min="3287" max="3287" width="3.88671875" style="7467" customWidth="1"/>
    <col min="3288" max="3288" width="36" style="7467" customWidth="1"/>
    <col min="3289" max="3289" width="12.88671875" style="7467" customWidth="1"/>
    <col min="3290" max="3292" width="16.109375" style="7467" customWidth="1"/>
    <col min="3293" max="3542" width="9.109375" style="7467"/>
    <col min="3543" max="3543" width="3.88671875" style="7467" customWidth="1"/>
    <col min="3544" max="3544" width="36" style="7467" customWidth="1"/>
    <col min="3545" max="3545" width="12.88671875" style="7467" customWidth="1"/>
    <col min="3546" max="3548" width="16.109375" style="7467" customWidth="1"/>
    <col min="3549" max="3798" width="9.109375" style="7467"/>
    <col min="3799" max="3799" width="3.88671875" style="7467" customWidth="1"/>
    <col min="3800" max="3800" width="36" style="7467" customWidth="1"/>
    <col min="3801" max="3801" width="12.88671875" style="7467" customWidth="1"/>
    <col min="3802" max="3804" width="16.109375" style="7467" customWidth="1"/>
    <col min="3805" max="4054" width="9.109375" style="7467"/>
    <col min="4055" max="4055" width="3.88671875" style="7467" customWidth="1"/>
    <col min="4056" max="4056" width="36" style="7467" customWidth="1"/>
    <col min="4057" max="4057" width="12.88671875" style="7467" customWidth="1"/>
    <col min="4058" max="4060" width="16.109375" style="7467" customWidth="1"/>
    <col min="4061" max="4310" width="9.109375" style="7467"/>
    <col min="4311" max="4311" width="3.88671875" style="7467" customWidth="1"/>
    <col min="4312" max="4312" width="36" style="7467" customWidth="1"/>
    <col min="4313" max="4313" width="12.88671875" style="7467" customWidth="1"/>
    <col min="4314" max="4316" width="16.109375" style="7467" customWidth="1"/>
    <col min="4317" max="4566" width="9.109375" style="7467"/>
    <col min="4567" max="4567" width="3.88671875" style="7467" customWidth="1"/>
    <col min="4568" max="4568" width="36" style="7467" customWidth="1"/>
    <col min="4569" max="4569" width="12.88671875" style="7467" customWidth="1"/>
    <col min="4570" max="4572" width="16.109375" style="7467" customWidth="1"/>
    <col min="4573" max="4822" width="9.109375" style="7467"/>
    <col min="4823" max="4823" width="3.88671875" style="7467" customWidth="1"/>
    <col min="4824" max="4824" width="36" style="7467" customWidth="1"/>
    <col min="4825" max="4825" width="12.88671875" style="7467" customWidth="1"/>
    <col min="4826" max="4828" width="16.109375" style="7467" customWidth="1"/>
    <col min="4829" max="5078" width="9.109375" style="7467"/>
    <col min="5079" max="5079" width="3.88671875" style="7467" customWidth="1"/>
    <col min="5080" max="5080" width="36" style="7467" customWidth="1"/>
    <col min="5081" max="5081" width="12.88671875" style="7467" customWidth="1"/>
    <col min="5082" max="5084" width="16.109375" style="7467" customWidth="1"/>
    <col min="5085" max="5334" width="9.109375" style="7467"/>
    <col min="5335" max="5335" width="3.88671875" style="7467" customWidth="1"/>
    <col min="5336" max="5336" width="36" style="7467" customWidth="1"/>
    <col min="5337" max="5337" width="12.88671875" style="7467" customWidth="1"/>
    <col min="5338" max="5340" width="16.109375" style="7467" customWidth="1"/>
    <col min="5341" max="5590" width="9.109375" style="7467"/>
    <col min="5591" max="5591" width="3.88671875" style="7467" customWidth="1"/>
    <col min="5592" max="5592" width="36" style="7467" customWidth="1"/>
    <col min="5593" max="5593" width="12.88671875" style="7467" customWidth="1"/>
    <col min="5594" max="5596" width="16.109375" style="7467" customWidth="1"/>
    <col min="5597" max="5846" width="9.109375" style="7467"/>
    <col min="5847" max="5847" width="3.88671875" style="7467" customWidth="1"/>
    <col min="5848" max="5848" width="36" style="7467" customWidth="1"/>
    <col min="5849" max="5849" width="12.88671875" style="7467" customWidth="1"/>
    <col min="5850" max="5852" width="16.109375" style="7467" customWidth="1"/>
    <col min="5853" max="6102" width="9.109375" style="7467"/>
    <col min="6103" max="6103" width="3.88671875" style="7467" customWidth="1"/>
    <col min="6104" max="6104" width="36" style="7467" customWidth="1"/>
    <col min="6105" max="6105" width="12.88671875" style="7467" customWidth="1"/>
    <col min="6106" max="6108" width="16.109375" style="7467" customWidth="1"/>
    <col min="6109" max="6358" width="9.109375" style="7467"/>
    <col min="6359" max="6359" width="3.88671875" style="7467" customWidth="1"/>
    <col min="6360" max="6360" width="36" style="7467" customWidth="1"/>
    <col min="6361" max="6361" width="12.88671875" style="7467" customWidth="1"/>
    <col min="6362" max="6364" width="16.109375" style="7467" customWidth="1"/>
    <col min="6365" max="6614" width="9.109375" style="7467"/>
    <col min="6615" max="6615" width="3.88671875" style="7467" customWidth="1"/>
    <col min="6616" max="6616" width="36" style="7467" customWidth="1"/>
    <col min="6617" max="6617" width="12.88671875" style="7467" customWidth="1"/>
    <col min="6618" max="6620" width="16.109375" style="7467" customWidth="1"/>
    <col min="6621" max="6870" width="9.109375" style="7467"/>
    <col min="6871" max="6871" width="3.88671875" style="7467" customWidth="1"/>
    <col min="6872" max="6872" width="36" style="7467" customWidth="1"/>
    <col min="6873" max="6873" width="12.88671875" style="7467" customWidth="1"/>
    <col min="6874" max="6876" width="16.109375" style="7467" customWidth="1"/>
    <col min="6877" max="7126" width="9.109375" style="7467"/>
    <col min="7127" max="7127" width="3.88671875" style="7467" customWidth="1"/>
    <col min="7128" max="7128" width="36" style="7467" customWidth="1"/>
    <col min="7129" max="7129" width="12.88671875" style="7467" customWidth="1"/>
    <col min="7130" max="7132" width="16.109375" style="7467" customWidth="1"/>
    <col min="7133" max="7382" width="9.109375" style="7467"/>
    <col min="7383" max="7383" width="3.88671875" style="7467" customWidth="1"/>
    <col min="7384" max="7384" width="36" style="7467" customWidth="1"/>
    <col min="7385" max="7385" width="12.88671875" style="7467" customWidth="1"/>
    <col min="7386" max="7388" width="16.109375" style="7467" customWidth="1"/>
    <col min="7389" max="7638" width="9.109375" style="7467"/>
    <col min="7639" max="7639" width="3.88671875" style="7467" customWidth="1"/>
    <col min="7640" max="7640" width="36" style="7467" customWidth="1"/>
    <col min="7641" max="7641" width="12.88671875" style="7467" customWidth="1"/>
    <col min="7642" max="7644" width="16.109375" style="7467" customWidth="1"/>
    <col min="7645" max="7894" width="9.109375" style="7467"/>
    <col min="7895" max="7895" width="3.88671875" style="7467" customWidth="1"/>
    <col min="7896" max="7896" width="36" style="7467" customWidth="1"/>
    <col min="7897" max="7897" width="12.88671875" style="7467" customWidth="1"/>
    <col min="7898" max="7900" width="16.109375" style="7467" customWidth="1"/>
    <col min="7901" max="8150" width="9.109375" style="7467"/>
    <col min="8151" max="8151" width="3.88671875" style="7467" customWidth="1"/>
    <col min="8152" max="8152" width="36" style="7467" customWidth="1"/>
    <col min="8153" max="8153" width="12.88671875" style="7467" customWidth="1"/>
    <col min="8154" max="8156" width="16.109375" style="7467" customWidth="1"/>
    <col min="8157" max="8406" width="9.109375" style="7467"/>
    <col min="8407" max="8407" width="3.88671875" style="7467" customWidth="1"/>
    <col min="8408" max="8408" width="36" style="7467" customWidth="1"/>
    <col min="8409" max="8409" width="12.88671875" style="7467" customWidth="1"/>
    <col min="8410" max="8412" width="16.109375" style="7467" customWidth="1"/>
    <col min="8413" max="8662" width="9.109375" style="7467"/>
    <col min="8663" max="8663" width="3.88671875" style="7467" customWidth="1"/>
    <col min="8664" max="8664" width="36" style="7467" customWidth="1"/>
    <col min="8665" max="8665" width="12.88671875" style="7467" customWidth="1"/>
    <col min="8666" max="8668" width="16.109375" style="7467" customWidth="1"/>
    <col min="8669" max="8918" width="9.109375" style="7467"/>
    <col min="8919" max="8919" width="3.88671875" style="7467" customWidth="1"/>
    <col min="8920" max="8920" width="36" style="7467" customWidth="1"/>
    <col min="8921" max="8921" width="12.88671875" style="7467" customWidth="1"/>
    <col min="8922" max="8924" width="16.109375" style="7467" customWidth="1"/>
    <col min="8925" max="9174" width="9.109375" style="7467"/>
    <col min="9175" max="9175" width="3.88671875" style="7467" customWidth="1"/>
    <col min="9176" max="9176" width="36" style="7467" customWidth="1"/>
    <col min="9177" max="9177" width="12.88671875" style="7467" customWidth="1"/>
    <col min="9178" max="9180" width="16.109375" style="7467" customWidth="1"/>
    <col min="9181" max="9430" width="9.109375" style="7467"/>
    <col min="9431" max="9431" width="3.88671875" style="7467" customWidth="1"/>
    <col min="9432" max="9432" width="36" style="7467" customWidth="1"/>
    <col min="9433" max="9433" width="12.88671875" style="7467" customWidth="1"/>
    <col min="9434" max="9436" width="16.109375" style="7467" customWidth="1"/>
    <col min="9437" max="9686" width="9.109375" style="7467"/>
    <col min="9687" max="9687" width="3.88671875" style="7467" customWidth="1"/>
    <col min="9688" max="9688" width="36" style="7467" customWidth="1"/>
    <col min="9689" max="9689" width="12.88671875" style="7467" customWidth="1"/>
    <col min="9690" max="9692" width="16.109375" style="7467" customWidth="1"/>
    <col min="9693" max="9942" width="9.109375" style="7467"/>
    <col min="9943" max="9943" width="3.88671875" style="7467" customWidth="1"/>
    <col min="9944" max="9944" width="36" style="7467" customWidth="1"/>
    <col min="9945" max="9945" width="12.88671875" style="7467" customWidth="1"/>
    <col min="9946" max="9948" width="16.109375" style="7467" customWidth="1"/>
    <col min="9949" max="10198" width="9.109375" style="7467"/>
    <col min="10199" max="10199" width="3.88671875" style="7467" customWidth="1"/>
    <col min="10200" max="10200" width="36" style="7467" customWidth="1"/>
    <col min="10201" max="10201" width="12.88671875" style="7467" customWidth="1"/>
    <col min="10202" max="10204" width="16.109375" style="7467" customWidth="1"/>
    <col min="10205" max="10454" width="9.109375" style="7467"/>
    <col min="10455" max="10455" width="3.88671875" style="7467" customWidth="1"/>
    <col min="10456" max="10456" width="36" style="7467" customWidth="1"/>
    <col min="10457" max="10457" width="12.88671875" style="7467" customWidth="1"/>
    <col min="10458" max="10460" width="16.109375" style="7467" customWidth="1"/>
    <col min="10461" max="10710" width="9.109375" style="7467"/>
    <col min="10711" max="10711" width="3.88671875" style="7467" customWidth="1"/>
    <col min="10712" max="10712" width="36" style="7467" customWidth="1"/>
    <col min="10713" max="10713" width="12.88671875" style="7467" customWidth="1"/>
    <col min="10714" max="10716" width="16.109375" style="7467" customWidth="1"/>
    <col min="10717" max="10966" width="9.109375" style="7467"/>
    <col min="10967" max="10967" width="3.88671875" style="7467" customWidth="1"/>
    <col min="10968" max="10968" width="36" style="7467" customWidth="1"/>
    <col min="10969" max="10969" width="12.88671875" style="7467" customWidth="1"/>
    <col min="10970" max="10972" width="16.109375" style="7467" customWidth="1"/>
    <col min="10973" max="11222" width="9.109375" style="7467"/>
    <col min="11223" max="11223" width="3.88671875" style="7467" customWidth="1"/>
    <col min="11224" max="11224" width="36" style="7467" customWidth="1"/>
    <col min="11225" max="11225" width="12.88671875" style="7467" customWidth="1"/>
    <col min="11226" max="11228" width="16.109375" style="7467" customWidth="1"/>
    <col min="11229" max="11478" width="9.109375" style="7467"/>
    <col min="11479" max="11479" width="3.88671875" style="7467" customWidth="1"/>
    <col min="11480" max="11480" width="36" style="7467" customWidth="1"/>
    <col min="11481" max="11481" width="12.88671875" style="7467" customWidth="1"/>
    <col min="11482" max="11484" width="16.109375" style="7467" customWidth="1"/>
    <col min="11485" max="11734" width="9.109375" style="7467"/>
    <col min="11735" max="11735" width="3.88671875" style="7467" customWidth="1"/>
    <col min="11736" max="11736" width="36" style="7467" customWidth="1"/>
    <col min="11737" max="11737" width="12.88671875" style="7467" customWidth="1"/>
    <col min="11738" max="11740" width="16.109375" style="7467" customWidth="1"/>
    <col min="11741" max="11990" width="9.109375" style="7467"/>
    <col min="11991" max="11991" width="3.88671875" style="7467" customWidth="1"/>
    <col min="11992" max="11992" width="36" style="7467" customWidth="1"/>
    <col min="11993" max="11993" width="12.88671875" style="7467" customWidth="1"/>
    <col min="11994" max="11996" width="16.109375" style="7467" customWidth="1"/>
    <col min="11997" max="12246" width="9.109375" style="7467"/>
    <col min="12247" max="12247" width="3.88671875" style="7467" customWidth="1"/>
    <col min="12248" max="12248" width="36" style="7467" customWidth="1"/>
    <col min="12249" max="12249" width="12.88671875" style="7467" customWidth="1"/>
    <col min="12250" max="12252" width="16.109375" style="7467" customWidth="1"/>
    <col min="12253" max="12502" width="9.109375" style="7467"/>
    <col min="12503" max="12503" width="3.88671875" style="7467" customWidth="1"/>
    <col min="12504" max="12504" width="36" style="7467" customWidth="1"/>
    <col min="12505" max="12505" width="12.88671875" style="7467" customWidth="1"/>
    <col min="12506" max="12508" width="16.109375" style="7467" customWidth="1"/>
    <col min="12509" max="12758" width="9.109375" style="7467"/>
    <col min="12759" max="12759" width="3.88671875" style="7467" customWidth="1"/>
    <col min="12760" max="12760" width="36" style="7467" customWidth="1"/>
    <col min="12761" max="12761" width="12.88671875" style="7467" customWidth="1"/>
    <col min="12762" max="12764" width="16.109375" style="7467" customWidth="1"/>
    <col min="12765" max="13014" width="9.109375" style="7467"/>
    <col min="13015" max="13015" width="3.88671875" style="7467" customWidth="1"/>
    <col min="13016" max="13016" width="36" style="7467" customWidth="1"/>
    <col min="13017" max="13017" width="12.88671875" style="7467" customWidth="1"/>
    <col min="13018" max="13020" width="16.109375" style="7467" customWidth="1"/>
    <col min="13021" max="13270" width="9.109375" style="7467"/>
    <col min="13271" max="13271" width="3.88671875" style="7467" customWidth="1"/>
    <col min="13272" max="13272" width="36" style="7467" customWidth="1"/>
    <col min="13273" max="13273" width="12.88671875" style="7467" customWidth="1"/>
    <col min="13274" max="13276" width="16.109375" style="7467" customWidth="1"/>
    <col min="13277" max="13526" width="9.109375" style="7467"/>
    <col min="13527" max="13527" width="3.88671875" style="7467" customWidth="1"/>
    <col min="13528" max="13528" width="36" style="7467" customWidth="1"/>
    <col min="13529" max="13529" width="12.88671875" style="7467" customWidth="1"/>
    <col min="13530" max="13532" width="16.109375" style="7467" customWidth="1"/>
    <col min="13533" max="13782" width="9.109375" style="7467"/>
    <col min="13783" max="13783" width="3.88671875" style="7467" customWidth="1"/>
    <col min="13784" max="13784" width="36" style="7467" customWidth="1"/>
    <col min="13785" max="13785" width="12.88671875" style="7467" customWidth="1"/>
    <col min="13786" max="13788" width="16.109375" style="7467" customWidth="1"/>
    <col min="13789" max="14038" width="9.109375" style="7467"/>
    <col min="14039" max="14039" width="3.88671875" style="7467" customWidth="1"/>
    <col min="14040" max="14040" width="36" style="7467" customWidth="1"/>
    <col min="14041" max="14041" width="12.88671875" style="7467" customWidth="1"/>
    <col min="14042" max="14044" width="16.109375" style="7467" customWidth="1"/>
    <col min="14045" max="14294" width="9.109375" style="7467"/>
    <col min="14295" max="14295" width="3.88671875" style="7467" customWidth="1"/>
    <col min="14296" max="14296" width="36" style="7467" customWidth="1"/>
    <col min="14297" max="14297" width="12.88671875" style="7467" customWidth="1"/>
    <col min="14298" max="14300" width="16.109375" style="7467" customWidth="1"/>
    <col min="14301" max="14550" width="9.109375" style="7467"/>
    <col min="14551" max="14551" width="3.88671875" style="7467" customWidth="1"/>
    <col min="14552" max="14552" width="36" style="7467" customWidth="1"/>
    <col min="14553" max="14553" width="12.88671875" style="7467" customWidth="1"/>
    <col min="14554" max="14556" width="16.109375" style="7467" customWidth="1"/>
    <col min="14557" max="14806" width="9.109375" style="7467"/>
    <col min="14807" max="14807" width="3.88671875" style="7467" customWidth="1"/>
    <col min="14808" max="14808" width="36" style="7467" customWidth="1"/>
    <col min="14809" max="14809" width="12.88671875" style="7467" customWidth="1"/>
    <col min="14810" max="14812" width="16.109375" style="7467" customWidth="1"/>
    <col min="14813" max="15062" width="9.109375" style="7467"/>
    <col min="15063" max="15063" width="3.88671875" style="7467" customWidth="1"/>
    <col min="15064" max="15064" width="36" style="7467" customWidth="1"/>
    <col min="15065" max="15065" width="12.88671875" style="7467" customWidth="1"/>
    <col min="15066" max="15068" width="16.109375" style="7467" customWidth="1"/>
    <col min="15069" max="15318" width="9.109375" style="7467"/>
    <col min="15319" max="15319" width="3.88671875" style="7467" customWidth="1"/>
    <col min="15320" max="15320" width="36" style="7467" customWidth="1"/>
    <col min="15321" max="15321" width="12.88671875" style="7467" customWidth="1"/>
    <col min="15322" max="15324" width="16.109375" style="7467" customWidth="1"/>
    <col min="15325" max="15574" width="9.109375" style="7467"/>
    <col min="15575" max="15575" width="3.88671875" style="7467" customWidth="1"/>
    <col min="15576" max="15576" width="36" style="7467" customWidth="1"/>
    <col min="15577" max="15577" width="12.88671875" style="7467" customWidth="1"/>
    <col min="15578" max="15580" width="16.109375" style="7467" customWidth="1"/>
    <col min="15581" max="15830" width="9.109375" style="7467"/>
    <col min="15831" max="15831" width="3.88671875" style="7467" customWidth="1"/>
    <col min="15832" max="15832" width="36" style="7467" customWidth="1"/>
    <col min="15833" max="15833" width="12.88671875" style="7467" customWidth="1"/>
    <col min="15834" max="15836" width="16.109375" style="7467" customWidth="1"/>
    <col min="15837" max="16086" width="9.109375" style="7467"/>
    <col min="16087" max="16087" width="3.88671875" style="7467" customWidth="1"/>
    <col min="16088" max="16088" width="36" style="7467" customWidth="1"/>
    <col min="16089" max="16089" width="12.88671875" style="7467" customWidth="1"/>
    <col min="16090" max="16092" width="16.109375" style="7467" customWidth="1"/>
    <col min="16093" max="16384" width="9.109375" style="7467"/>
  </cols>
  <sheetData>
    <row r="1" spans="1:12" ht="15" customHeight="1">
      <c r="A1" s="15410" t="s">
        <v>1</v>
      </c>
      <c r="B1" s="15410"/>
      <c r="C1" s="15410"/>
      <c r="D1" s="15410"/>
      <c r="E1" s="15410"/>
      <c r="F1" s="15410"/>
      <c r="G1" s="15410"/>
      <c r="H1" s="15410"/>
      <c r="I1" s="15410"/>
      <c r="J1" s="15410"/>
    </row>
    <row r="2" spans="1:12" ht="15" customHeight="1">
      <c r="A2" s="7468"/>
      <c r="B2" s="7468"/>
      <c r="C2" s="9354"/>
      <c r="D2" s="7469"/>
      <c r="E2" s="7469"/>
      <c r="F2" s="7469"/>
      <c r="G2" s="7469"/>
      <c r="H2" s="7469"/>
      <c r="I2" s="7286"/>
      <c r="J2" s="7469"/>
    </row>
    <row r="3" spans="1:12" ht="15" customHeight="1">
      <c r="A3" s="7468" t="s">
        <v>2</v>
      </c>
      <c r="B3" s="7470"/>
      <c r="C3" s="9355" t="s">
        <v>4812</v>
      </c>
      <c r="D3" s="7471"/>
      <c r="E3" s="7471"/>
      <c r="F3" s="7471"/>
      <c r="G3" s="15411"/>
      <c r="H3" s="7471"/>
      <c r="I3" s="7284"/>
      <c r="J3" s="15409"/>
    </row>
    <row r="4" spans="1:12" ht="15" customHeight="1">
      <c r="A4" s="7468" t="s">
        <v>10716</v>
      </c>
      <c r="B4" s="7468"/>
      <c r="C4" s="9354" t="s">
        <v>157</v>
      </c>
      <c r="D4" s="7469"/>
      <c r="E4" s="7469"/>
      <c r="F4" s="7469"/>
      <c r="G4" s="15411"/>
      <c r="H4" s="7469"/>
      <c r="I4" s="7286"/>
      <c r="J4" s="15409"/>
    </row>
    <row r="5" spans="1:12" ht="15" customHeight="1" thickBot="1">
      <c r="A5" s="7472" t="s">
        <v>7</v>
      </c>
      <c r="B5" s="7472"/>
      <c r="C5" s="9356" t="s">
        <v>8</v>
      </c>
      <c r="D5" s="7473"/>
      <c r="E5" s="7474"/>
      <c r="F5" s="7474"/>
      <c r="G5" s="7473"/>
      <c r="H5" s="7474"/>
      <c r="I5" s="7294"/>
      <c r="J5" s="7473"/>
    </row>
    <row r="6" spans="1:12" ht="15" customHeight="1">
      <c r="A6" s="12593"/>
      <c r="B6" s="12594"/>
      <c r="C6" s="12595"/>
      <c r="D6" s="12596" t="s">
        <v>10</v>
      </c>
      <c r="E6" s="14188" t="s">
        <v>10711</v>
      </c>
      <c r="F6" s="14189"/>
      <c r="G6" s="14190"/>
      <c r="H6" s="8205" t="s">
        <v>9985</v>
      </c>
      <c r="I6" s="8206"/>
      <c r="J6" s="12597" t="s">
        <v>12</v>
      </c>
    </row>
    <row r="7" spans="1:12" ht="15" customHeight="1">
      <c r="A7" s="12577"/>
      <c r="B7" s="7475" t="s">
        <v>13</v>
      </c>
      <c r="C7" s="15407" t="s">
        <v>14</v>
      </c>
      <c r="D7" s="12598" t="s">
        <v>15</v>
      </c>
      <c r="E7" s="9502" t="s">
        <v>10709</v>
      </c>
      <c r="F7" s="9503" t="s">
        <v>10710</v>
      </c>
      <c r="G7" s="14191" t="s">
        <v>458</v>
      </c>
      <c r="H7" s="11190" t="s">
        <v>11839</v>
      </c>
      <c r="I7" s="11085"/>
      <c r="J7" s="12599" t="s">
        <v>16</v>
      </c>
    </row>
    <row r="8" spans="1:12" ht="15" customHeight="1" thickBot="1">
      <c r="A8" s="12584"/>
      <c r="B8" s="12600"/>
      <c r="C8" s="15408"/>
      <c r="D8" s="12601">
        <v>2017</v>
      </c>
      <c r="E8" s="9467" t="s">
        <v>457</v>
      </c>
      <c r="F8" s="11661" t="s">
        <v>456</v>
      </c>
      <c r="G8" s="14192"/>
      <c r="H8" s="7302">
        <v>2018</v>
      </c>
      <c r="I8" s="7322"/>
      <c r="J8" s="12602">
        <v>2019</v>
      </c>
    </row>
    <row r="9" spans="1:12" ht="15" customHeight="1">
      <c r="A9" s="12574" t="s">
        <v>17</v>
      </c>
      <c r="B9" s="7401" t="s">
        <v>18</v>
      </c>
      <c r="C9" s="9410"/>
      <c r="D9" s="12603"/>
      <c r="E9" s="12603"/>
      <c r="F9" s="12603"/>
      <c r="G9" s="12603"/>
      <c r="H9" s="12603"/>
      <c r="I9" s="11163"/>
      <c r="J9" s="12604"/>
    </row>
    <row r="10" spans="1:12" ht="15" customHeight="1">
      <c r="A10" s="12577"/>
      <c r="B10" s="7401" t="s">
        <v>19</v>
      </c>
      <c r="C10" s="9410"/>
      <c r="D10" s="12575"/>
      <c r="E10" s="12575"/>
      <c r="F10" s="12575"/>
      <c r="G10" s="12575"/>
      <c r="H10" s="12575"/>
      <c r="I10" s="11163"/>
      <c r="J10" s="12576"/>
    </row>
    <row r="11" spans="1:12" ht="15" customHeight="1">
      <c r="A11" s="12577"/>
      <c r="B11" s="8805" t="s">
        <v>20</v>
      </c>
      <c r="C11" s="8802">
        <v>50101010</v>
      </c>
      <c r="D11" s="12578">
        <f>'WS-PS 2017'!B50</f>
        <v>13127852.199999999</v>
      </c>
      <c r="E11" s="12578">
        <f>'WS-PS ACTUAL JUNE 2018'!B50</f>
        <v>7739013.0999999996</v>
      </c>
      <c r="F11" s="12578">
        <f>G11-E11</f>
        <v>8021534.9000000004</v>
      </c>
      <c r="G11" s="12578">
        <v>15760548</v>
      </c>
      <c r="H11" s="12578"/>
      <c r="I11" s="11165"/>
      <c r="J11" s="12579">
        <f>K11</f>
        <v>17750448</v>
      </c>
      <c r="K11" s="12591">
        <f>'staffing-mpool'!F58</f>
        <v>17750448</v>
      </c>
      <c r="L11" s="10265">
        <f>'staffing-mpool'!B58</f>
        <v>83</v>
      </c>
    </row>
    <row r="12" spans="1:12" ht="15" customHeight="1">
      <c r="A12" s="12577"/>
      <c r="B12" s="8805" t="s">
        <v>21</v>
      </c>
      <c r="C12" s="8802">
        <v>50102010</v>
      </c>
      <c r="D12" s="12575">
        <f>'WS-PS 2017'!F50</f>
        <v>1706739.01</v>
      </c>
      <c r="E12" s="12575">
        <f>'WS-PS ACTUAL JUNE 2018'!D50</f>
        <v>908545.5</v>
      </c>
      <c r="F12" s="12578">
        <f t="shared" ref="F12:F27" si="0">G12-E12</f>
        <v>939454.5</v>
      </c>
      <c r="G12" s="12575">
        <v>1848000</v>
      </c>
      <c r="H12" s="12575"/>
      <c r="I12" s="11163"/>
      <c r="J12" s="12579">
        <f t="shared" ref="J12:J27" si="1">K12</f>
        <v>1992000</v>
      </c>
      <c r="K12" s="7310">
        <f>24000*L11</f>
        <v>1992000</v>
      </c>
    </row>
    <row r="13" spans="1:12" ht="15" customHeight="1">
      <c r="A13" s="12577"/>
      <c r="B13" s="8805" t="s">
        <v>104</v>
      </c>
      <c r="C13" s="8802">
        <v>50102020</v>
      </c>
      <c r="D13" s="12575">
        <f>'WS-PS 2017'!G50</f>
        <v>100000.94</v>
      </c>
      <c r="E13" s="12575">
        <f>'WS-PS ACTUAL JUNE 2018'!E50</f>
        <v>42500</v>
      </c>
      <c r="F13" s="12578">
        <f t="shared" si="0"/>
        <v>59500</v>
      </c>
      <c r="G13" s="12575">
        <v>102000</v>
      </c>
      <c r="H13" s="12575"/>
      <c r="I13" s="11163"/>
      <c r="J13" s="12579">
        <f t="shared" si="1"/>
        <v>102000</v>
      </c>
      <c r="K13" s="7310">
        <v>102000</v>
      </c>
    </row>
    <row r="14" spans="1:12" ht="15" customHeight="1">
      <c r="A14" s="12577"/>
      <c r="B14" s="8805" t="s">
        <v>105</v>
      </c>
      <c r="C14" s="8802">
        <v>50102030</v>
      </c>
      <c r="D14" s="12575">
        <f>'WS-PS 2017'!H50</f>
        <v>100419.07</v>
      </c>
      <c r="E14" s="12575">
        <f>'WS-PS ACTUAL JUNE 2018'!F50</f>
        <v>42500</v>
      </c>
      <c r="F14" s="12578">
        <f t="shared" si="0"/>
        <v>59500</v>
      </c>
      <c r="G14" s="12575">
        <v>102000</v>
      </c>
      <c r="H14" s="12575"/>
      <c r="I14" s="11163"/>
      <c r="J14" s="12579">
        <f t="shared" si="1"/>
        <v>102000</v>
      </c>
      <c r="K14" s="7310">
        <v>102000</v>
      </c>
    </row>
    <row r="15" spans="1:12" ht="15" customHeight="1">
      <c r="A15" s="12577"/>
      <c r="B15" s="8805" t="s">
        <v>22</v>
      </c>
      <c r="C15" s="8802">
        <v>50102040</v>
      </c>
      <c r="D15" s="12575">
        <f>'WS-PS 2017'!I50</f>
        <v>355000</v>
      </c>
      <c r="E15" s="12575">
        <f>'WS-PS ACTUAL JUNE 2018'!G50</f>
        <v>438000</v>
      </c>
      <c r="F15" s="12578">
        <f t="shared" si="0"/>
        <v>-53000</v>
      </c>
      <c r="G15" s="12575">
        <v>385000</v>
      </c>
      <c r="H15" s="12575"/>
      <c r="I15" s="11163"/>
      <c r="J15" s="12579">
        <f t="shared" si="1"/>
        <v>498000</v>
      </c>
      <c r="K15" s="7310">
        <f>6000*L11</f>
        <v>498000</v>
      </c>
    </row>
    <row r="16" spans="1:12" ht="15" customHeight="1">
      <c r="A16" s="12577"/>
      <c r="B16" s="7488" t="s">
        <v>10932</v>
      </c>
      <c r="C16" s="10368">
        <v>50102080</v>
      </c>
      <c r="D16" s="12575">
        <f>'WS-PS 2017'!L50</f>
        <v>339500</v>
      </c>
      <c r="E16" s="12575">
        <f>'WS-PS ACTUAL JUNE 2018'!J50</f>
        <v>0</v>
      </c>
      <c r="F16" s="12578">
        <f t="shared" si="0"/>
        <v>385000</v>
      </c>
      <c r="G16" s="12575">
        <v>385000</v>
      </c>
      <c r="H16" s="12575"/>
      <c r="I16" s="11163"/>
      <c r="J16" s="12579">
        <f t="shared" si="1"/>
        <v>415000</v>
      </c>
      <c r="K16" s="7310">
        <f>5000*L11</f>
        <v>415000</v>
      </c>
    </row>
    <row r="17" spans="1:11" ht="15" customHeight="1">
      <c r="A17" s="12577"/>
      <c r="B17" s="7488" t="s">
        <v>10934</v>
      </c>
      <c r="C17" s="8872">
        <v>50102120</v>
      </c>
      <c r="D17" s="12575">
        <f>'WS-PS 2017'!O50</f>
        <v>35000</v>
      </c>
      <c r="E17" s="12575">
        <f>'WS-PS ACTUAL JUNE 2018'!M50</f>
        <v>10000</v>
      </c>
      <c r="F17" s="12578">
        <f>G17-E17</f>
        <v>10000</v>
      </c>
      <c r="G17" s="12575">
        <v>20000</v>
      </c>
      <c r="H17" s="12575"/>
      <c r="I17" s="11163"/>
      <c r="J17" s="12579">
        <f t="shared" si="1"/>
        <v>50000</v>
      </c>
      <c r="K17" s="7310">
        <v>50000</v>
      </c>
    </row>
    <row r="18" spans="1:11" ht="15" customHeight="1">
      <c r="A18" s="12577"/>
      <c r="B18" s="7287" t="s">
        <v>141</v>
      </c>
      <c r="C18" s="8802">
        <v>50102130</v>
      </c>
      <c r="D18" s="12575">
        <v>0</v>
      </c>
      <c r="E18" s="12575">
        <f>'WS-PS ACTUAL JUNE 2018'!N50</f>
        <v>0</v>
      </c>
      <c r="F18" s="12578">
        <f t="shared" si="0"/>
        <v>150000</v>
      </c>
      <c r="G18" s="12575">
        <v>150000</v>
      </c>
      <c r="H18" s="12575"/>
      <c r="I18" s="11163"/>
      <c r="J18" s="12579">
        <v>150000</v>
      </c>
      <c r="K18" s="7310">
        <v>150000</v>
      </c>
    </row>
    <row r="19" spans="1:11" ht="15" customHeight="1">
      <c r="A19" s="12577"/>
      <c r="B19" s="7488" t="s">
        <v>10933</v>
      </c>
      <c r="C19" s="8872">
        <v>50102140</v>
      </c>
      <c r="D19" s="12580">
        <f>'WS-PS 2017'!U50+'WS-PS 2017'!S50</f>
        <v>2126391.4</v>
      </c>
      <c r="E19" s="12580">
        <f>'WS-PS ACTUAL JUNE 2018'!O50</f>
        <v>1156175</v>
      </c>
      <c r="F19" s="12578">
        <f t="shared" si="0"/>
        <v>1470583</v>
      </c>
      <c r="G19" s="12580">
        <v>2626758</v>
      </c>
      <c r="H19" s="12580"/>
      <c r="I19" s="11731"/>
      <c r="J19" s="12579">
        <f t="shared" si="1"/>
        <v>2958408</v>
      </c>
      <c r="K19" s="7310">
        <f>SUM(K10:K11)/12*2</f>
        <v>2958408</v>
      </c>
    </row>
    <row r="20" spans="1:11" ht="15" customHeight="1">
      <c r="A20" s="12577"/>
      <c r="B20" s="7287" t="s">
        <v>26</v>
      </c>
      <c r="C20" s="8802">
        <v>50102150</v>
      </c>
      <c r="D20" s="12575">
        <f>'WS-PS 2017'!T50</f>
        <v>354000</v>
      </c>
      <c r="E20" s="12575">
        <f>'WS-PS ACTUAL JUNE 2018'!Q50</f>
        <v>0</v>
      </c>
      <c r="F20" s="12578">
        <f>G20-E20</f>
        <v>385000</v>
      </c>
      <c r="G20" s="12575">
        <v>385000</v>
      </c>
      <c r="H20" s="12575"/>
      <c r="I20" s="11163"/>
      <c r="J20" s="12579">
        <f t="shared" si="1"/>
        <v>415000</v>
      </c>
      <c r="K20" s="7371">
        <f>K16</f>
        <v>415000</v>
      </c>
    </row>
    <row r="21" spans="1:11" ht="15" customHeight="1">
      <c r="A21" s="12577"/>
      <c r="B21" s="7488" t="s">
        <v>11497</v>
      </c>
      <c r="C21" s="11257">
        <v>50102990</v>
      </c>
      <c r="D21" s="12575">
        <v>0</v>
      </c>
      <c r="E21" s="12575">
        <f>'WS-PS ACTUAL JUNE 2018'!R50</f>
        <v>0</v>
      </c>
      <c r="F21" s="12578">
        <f>G21-E21</f>
        <v>755193</v>
      </c>
      <c r="G21" s="12575">
        <v>755193</v>
      </c>
      <c r="H21" s="12575"/>
      <c r="I21" s="11163"/>
      <c r="J21" s="12579">
        <v>0</v>
      </c>
      <c r="K21" s="7310">
        <f>K11/12*0.575</f>
        <v>850542.29999999993</v>
      </c>
    </row>
    <row r="22" spans="1:11" ht="15" customHeight="1">
      <c r="A22" s="12577"/>
      <c r="B22" s="7803" t="s">
        <v>11499</v>
      </c>
      <c r="C22" s="11059" t="s">
        <v>11495</v>
      </c>
      <c r="D22" s="12575">
        <f>'WS-PS 2017'!Q50</f>
        <v>0</v>
      </c>
      <c r="E22" s="12575">
        <f>'WS-PS ACTUAL JUNE 2018'!S50</f>
        <v>0</v>
      </c>
      <c r="F22" s="12578">
        <f>G22-E22</f>
        <v>0</v>
      </c>
      <c r="G22" s="12575">
        <v>0</v>
      </c>
      <c r="H22" s="12575"/>
      <c r="I22" s="11163"/>
      <c r="J22" s="12579">
        <f t="shared" si="1"/>
        <v>249000</v>
      </c>
      <c r="K22" s="7310">
        <f>3000*L11</f>
        <v>249000</v>
      </c>
    </row>
    <row r="23" spans="1:11" ht="15" customHeight="1">
      <c r="A23" s="12577"/>
      <c r="B23" s="11518" t="s">
        <v>59</v>
      </c>
      <c r="C23" s="8872">
        <v>50103010</v>
      </c>
      <c r="D23" s="12575">
        <f>'WS-PS 2017'!V50</f>
        <v>1574497.8</v>
      </c>
      <c r="E23" s="12575">
        <f>'WS-PS ACTUAL JUNE 2018'!T50</f>
        <v>928681.57</v>
      </c>
      <c r="F23" s="12578">
        <f t="shared" si="0"/>
        <v>962584.43</v>
      </c>
      <c r="G23" s="12575">
        <v>1891266</v>
      </c>
      <c r="H23" s="12575"/>
      <c r="I23" s="11163"/>
      <c r="J23" s="12579">
        <f t="shared" si="1"/>
        <v>2130053.7599999998</v>
      </c>
      <c r="K23" s="11720">
        <f>SUM(K10:K11)*12%</f>
        <v>2130053.7599999998</v>
      </c>
    </row>
    <row r="24" spans="1:11" ht="15" customHeight="1">
      <c r="A24" s="12577"/>
      <c r="B24" s="7803" t="s">
        <v>28</v>
      </c>
      <c r="C24" s="8872">
        <v>50103020</v>
      </c>
      <c r="D24" s="12575">
        <f>'WS-PS 2017'!W50</f>
        <v>85400</v>
      </c>
      <c r="E24" s="12575">
        <f>'WS-PS ACTUAL JUNE 2018'!U50</f>
        <v>45500</v>
      </c>
      <c r="F24" s="12578">
        <f t="shared" si="0"/>
        <v>46900</v>
      </c>
      <c r="G24" s="12575">
        <v>92400</v>
      </c>
      <c r="H24" s="12575"/>
      <c r="I24" s="11163"/>
      <c r="J24" s="12579">
        <f t="shared" si="1"/>
        <v>99600</v>
      </c>
      <c r="K24" s="7310">
        <f>1200*L11</f>
        <v>99600</v>
      </c>
    </row>
    <row r="25" spans="1:11" ht="15" customHeight="1">
      <c r="A25" s="12577"/>
      <c r="B25" s="7803" t="s">
        <v>29</v>
      </c>
      <c r="C25" s="8872">
        <v>50103030</v>
      </c>
      <c r="D25" s="12575">
        <f>'WS-PS 2017'!X50</f>
        <v>150162.5</v>
      </c>
      <c r="E25" s="12575">
        <f>'WS-PS ACTUAL JUNE 2018'!V50</f>
        <v>98300.54</v>
      </c>
      <c r="F25" s="12578">
        <f t="shared" si="0"/>
        <v>88899.46</v>
      </c>
      <c r="G25" s="12575">
        <v>187200</v>
      </c>
      <c r="H25" s="12575"/>
      <c r="I25" s="11163"/>
      <c r="J25" s="12605">
        <v>222105.84000000008</v>
      </c>
      <c r="K25" s="7310">
        <f>3600*L11</f>
        <v>298800</v>
      </c>
    </row>
    <row r="26" spans="1:11" ht="15" customHeight="1">
      <c r="A26" s="12577"/>
      <c r="B26" s="7803" t="s">
        <v>30</v>
      </c>
      <c r="C26" s="8872">
        <v>50103040</v>
      </c>
      <c r="D26" s="12575">
        <f>'WS-PS 2017'!Y50</f>
        <v>85372.58</v>
      </c>
      <c r="E26" s="12575">
        <f>'WS-PS ACTUAL JUNE 2018'!W50</f>
        <v>45462.21</v>
      </c>
      <c r="F26" s="12578">
        <f t="shared" si="0"/>
        <v>46937.79</v>
      </c>
      <c r="G26" s="12575">
        <v>92400</v>
      </c>
      <c r="H26" s="12575"/>
      <c r="I26" s="11163"/>
      <c r="J26" s="12579">
        <f t="shared" si="1"/>
        <v>99600</v>
      </c>
      <c r="K26" s="7310">
        <f>K24</f>
        <v>99600</v>
      </c>
    </row>
    <row r="27" spans="1:11" ht="15" customHeight="1">
      <c r="A27" s="12577"/>
      <c r="B27" s="7488" t="s">
        <v>5025</v>
      </c>
      <c r="C27" s="11258">
        <v>50104990</v>
      </c>
      <c r="D27" s="12575">
        <f>'WS-PS 2017'!Z50</f>
        <v>1752500</v>
      </c>
      <c r="E27" s="12575"/>
      <c r="F27" s="12578">
        <f t="shared" si="0"/>
        <v>0</v>
      </c>
      <c r="G27" s="12575">
        <v>0</v>
      </c>
      <c r="H27" s="12575"/>
      <c r="I27" s="11163"/>
      <c r="J27" s="12579">
        <f t="shared" si="1"/>
        <v>0</v>
      </c>
    </row>
    <row r="28" spans="1:11" ht="15" customHeight="1">
      <c r="A28" s="12577"/>
      <c r="B28" s="7401"/>
      <c r="C28" s="9410"/>
      <c r="D28" s="12581"/>
      <c r="E28" s="12582"/>
      <c r="F28" s="12582"/>
      <c r="G28" s="7477"/>
      <c r="H28" s="7477"/>
      <c r="I28" s="7478"/>
      <c r="J28" s="12583"/>
    </row>
    <row r="29" spans="1:11" ht="15" customHeight="1" thickBot="1">
      <c r="A29" s="12584"/>
      <c r="B29" s="7481" t="s">
        <v>37</v>
      </c>
      <c r="C29" s="12606"/>
      <c r="D29" s="12586">
        <f>SUM(D10:D28)</f>
        <v>21892835.499999996</v>
      </c>
      <c r="E29" s="12586">
        <f>SUM(E10:E28)</f>
        <v>11454677.92</v>
      </c>
      <c r="F29" s="12586">
        <f>SUM(F10:F28)</f>
        <v>13328087.08</v>
      </c>
      <c r="G29" s="12587">
        <f>SUM(G10:G28)</f>
        <v>24782765</v>
      </c>
      <c r="H29" s="12587"/>
      <c r="I29" s="7327"/>
      <c r="J29" s="12588">
        <f>SUM(J10:J28)</f>
        <v>27233215.599999998</v>
      </c>
      <c r="K29" s="12592">
        <f>SUM(K11:K28)</f>
        <v>28160452.060000002</v>
      </c>
    </row>
    <row r="30" spans="1:11" ht="15" customHeight="1">
      <c r="A30" s="7455"/>
      <c r="B30" s="7456"/>
      <c r="C30" s="9357"/>
      <c r="D30" s="7458"/>
      <c r="E30" s="7458"/>
      <c r="F30" s="7458"/>
      <c r="G30" s="7458"/>
      <c r="H30" s="7458"/>
      <c r="I30" s="7389"/>
      <c r="J30" s="7458"/>
    </row>
    <row r="31" spans="1:11" ht="15" customHeight="1">
      <c r="A31" s="7401"/>
      <c r="B31" s="7406"/>
      <c r="C31" s="9358"/>
      <c r="D31" s="7408"/>
      <c r="E31" s="7408"/>
      <c r="F31" s="7408"/>
      <c r="G31" s="7408"/>
      <c r="H31" s="7408"/>
      <c r="I31" s="7350"/>
      <c r="J31" s="7408"/>
    </row>
    <row r="32" spans="1:11" ht="15" customHeight="1">
      <c r="A32" s="7401"/>
      <c r="B32" s="7406"/>
      <c r="C32" s="9358"/>
      <c r="D32" s="7408"/>
      <c r="E32" s="7408"/>
      <c r="F32" s="7408"/>
      <c r="G32" s="7408"/>
      <c r="H32" s="7408"/>
      <c r="I32" s="7350"/>
      <c r="J32" s="7408"/>
    </row>
    <row r="33" spans="1:10" ht="15" customHeight="1">
      <c r="A33" s="7401"/>
      <c r="B33" s="7406"/>
      <c r="C33" s="9358"/>
      <c r="D33" s="7408"/>
      <c r="E33" s="7408"/>
      <c r="F33" s="7408"/>
      <c r="G33" s="7408"/>
      <c r="H33" s="7408"/>
      <c r="I33" s="7350"/>
      <c r="J33" s="7408"/>
    </row>
    <row r="34" spans="1:10" ht="15" customHeight="1">
      <c r="A34" s="7401"/>
      <c r="B34" s="7406"/>
      <c r="C34" s="9358"/>
      <c r="D34" s="7408"/>
      <c r="E34" s="7408"/>
      <c r="F34" s="7408"/>
      <c r="G34" s="7408"/>
      <c r="H34" s="7408"/>
      <c r="I34" s="7350"/>
      <c r="J34" s="7408"/>
    </row>
    <row r="35" spans="1:10" ht="15" customHeight="1">
      <c r="A35" s="7401"/>
      <c r="B35" s="7406"/>
      <c r="C35" s="9358"/>
      <c r="D35" s="7408"/>
      <c r="E35" s="7408"/>
      <c r="F35" s="7408"/>
      <c r="G35" s="7408"/>
      <c r="H35" s="7408"/>
      <c r="I35" s="7350"/>
      <c r="J35" s="7408"/>
    </row>
    <row r="36" spans="1:10" ht="15" customHeight="1">
      <c r="A36" s="7401"/>
      <c r="B36" s="7406"/>
      <c r="C36" s="9358"/>
      <c r="D36" s="7408"/>
      <c r="E36" s="7408"/>
      <c r="F36" s="7408"/>
      <c r="G36" s="7408"/>
      <c r="H36" s="7408"/>
      <c r="I36" s="7350"/>
      <c r="J36" s="7408"/>
    </row>
    <row r="37" spans="1:10" ht="15" customHeight="1">
      <c r="A37" s="7401"/>
      <c r="B37" s="7406"/>
      <c r="C37" s="9358"/>
      <c r="D37" s="7408"/>
      <c r="E37" s="7408"/>
      <c r="F37" s="7408"/>
      <c r="G37" s="7408"/>
      <c r="H37" s="7408"/>
      <c r="I37" s="7350"/>
      <c r="J37" s="7408"/>
    </row>
    <row r="38" spans="1:10" ht="15" customHeight="1">
      <c r="A38" s="7401"/>
      <c r="B38" s="7406"/>
      <c r="C38" s="9358"/>
      <c r="D38" s="7408"/>
      <c r="E38" s="7408"/>
      <c r="F38" s="7408"/>
      <c r="G38" s="7408"/>
      <c r="H38" s="7408"/>
      <c r="I38" s="7350"/>
      <c r="J38" s="7408"/>
    </row>
    <row r="39" spans="1:10" ht="15" customHeight="1" thickBot="1">
      <c r="A39" s="7459" t="s">
        <v>10671</v>
      </c>
      <c r="B39" s="7481"/>
      <c r="C39" s="9359"/>
      <c r="D39" s="7462"/>
      <c r="E39" s="7462"/>
      <c r="F39" s="7462"/>
      <c r="G39" s="7462"/>
      <c r="H39" s="7462"/>
      <c r="I39" s="7394"/>
      <c r="J39" s="7462"/>
    </row>
    <row r="40" spans="1:10" ht="15" customHeight="1">
      <c r="A40" s="12593"/>
      <c r="B40" s="12594"/>
      <c r="C40" s="12595"/>
      <c r="D40" s="12596" t="s">
        <v>10</v>
      </c>
      <c r="E40" s="14188" t="s">
        <v>10711</v>
      </c>
      <c r="F40" s="14189"/>
      <c r="G40" s="14190"/>
      <c r="H40" s="11080"/>
      <c r="I40" s="8206"/>
      <c r="J40" s="12597" t="s">
        <v>12</v>
      </c>
    </row>
    <row r="41" spans="1:10" ht="15" customHeight="1">
      <c r="A41" s="12577"/>
      <c r="B41" s="7475" t="s">
        <v>13</v>
      </c>
      <c r="C41" s="15407" t="s">
        <v>14</v>
      </c>
      <c r="D41" s="12598" t="s">
        <v>15</v>
      </c>
      <c r="E41" s="9502" t="s">
        <v>10709</v>
      </c>
      <c r="F41" s="9503" t="s">
        <v>10710</v>
      </c>
      <c r="G41" s="14191" t="s">
        <v>458</v>
      </c>
      <c r="H41" s="11084"/>
      <c r="I41" s="11085"/>
      <c r="J41" s="12599" t="s">
        <v>16</v>
      </c>
    </row>
    <row r="42" spans="1:10" ht="15" customHeight="1" thickBot="1">
      <c r="A42" s="12584"/>
      <c r="B42" s="12600"/>
      <c r="C42" s="15408"/>
      <c r="D42" s="12601">
        <v>2017</v>
      </c>
      <c r="E42" s="9467" t="s">
        <v>457</v>
      </c>
      <c r="F42" s="11661" t="s">
        <v>456</v>
      </c>
      <c r="G42" s="14192"/>
      <c r="H42" s="7302"/>
      <c r="I42" s="7322"/>
      <c r="J42" s="12602">
        <v>2019</v>
      </c>
    </row>
    <row r="43" spans="1:10" ht="17.100000000000001" customHeight="1">
      <c r="A43" s="12577"/>
      <c r="B43" s="7475"/>
      <c r="C43" s="12607"/>
      <c r="D43" s="12608"/>
      <c r="E43" s="11123"/>
      <c r="F43" s="11123"/>
      <c r="G43" s="11123"/>
      <c r="H43" s="11181"/>
      <c r="I43" s="11108"/>
      <c r="J43" s="12609"/>
    </row>
    <row r="44" spans="1:10" ht="17.100000000000001" customHeight="1">
      <c r="A44" s="12574"/>
      <c r="B44" s="7401" t="s">
        <v>38</v>
      </c>
      <c r="C44" s="9410"/>
      <c r="D44" s="12590"/>
      <c r="E44" s="12590"/>
      <c r="F44" s="12590"/>
      <c r="G44" s="12575"/>
      <c r="H44" s="12575"/>
      <c r="I44" s="11163"/>
      <c r="J44" s="12576"/>
    </row>
    <row r="45" spans="1:10" ht="17.100000000000001" customHeight="1">
      <c r="A45" s="12577"/>
      <c r="B45" s="7401" t="s">
        <v>39</v>
      </c>
      <c r="C45" s="9410">
        <v>50201010</v>
      </c>
      <c r="D45" s="12575">
        <f>'WS-MOOE 2017'!B50</f>
        <v>725057.27</v>
      </c>
      <c r="E45" s="12575">
        <f>'WS-MOOE ACTUAL JUNE 2018'!B51</f>
        <v>241103.5</v>
      </c>
      <c r="F45" s="12578">
        <f t="shared" ref="F45:F61" si="2">G45-E45</f>
        <v>1158896.5</v>
      </c>
      <c r="G45" s="12575">
        <v>1400000</v>
      </c>
      <c r="H45" s="12575">
        <v>507178.5</v>
      </c>
      <c r="I45" s="11163">
        <f>H45/G45</f>
        <v>0.36227035714285716</v>
      </c>
      <c r="J45" s="12576">
        <v>1500000</v>
      </c>
    </row>
    <row r="46" spans="1:10" ht="17.100000000000001" customHeight="1">
      <c r="A46" s="12577"/>
      <c r="B46" s="7401" t="s">
        <v>41</v>
      </c>
      <c r="C46" s="9410">
        <v>50202010</v>
      </c>
      <c r="D46" s="12575">
        <f>'WS-MOOE 2017'!H50</f>
        <v>245300</v>
      </c>
      <c r="E46" s="12575">
        <f>'WS-MOOE ACTUAL JUNE 2018'!G51</f>
        <v>16000</v>
      </c>
      <c r="F46" s="12578">
        <f t="shared" si="2"/>
        <v>304000</v>
      </c>
      <c r="G46" s="12575">
        <v>320000</v>
      </c>
      <c r="H46" s="12575">
        <v>27700</v>
      </c>
      <c r="I46" s="11163">
        <f t="shared" ref="I46:I61" si="3">H46/G46</f>
        <v>8.6562500000000001E-2</v>
      </c>
      <c r="J46" s="12576">
        <v>500000</v>
      </c>
    </row>
    <row r="47" spans="1:10" ht="17.100000000000001" customHeight="1">
      <c r="A47" s="12577"/>
      <c r="B47" s="7401" t="s">
        <v>42</v>
      </c>
      <c r="C47" s="9410">
        <v>50203010</v>
      </c>
      <c r="D47" s="12575">
        <f>'WS-MOOE 2017'!J50</f>
        <v>133544.57</v>
      </c>
      <c r="E47" s="12575">
        <f>'WS-MOOE ACTUAL JUNE 2018'!H51</f>
        <v>3120.35</v>
      </c>
      <c r="F47" s="12578">
        <f t="shared" si="2"/>
        <v>176879.65</v>
      </c>
      <c r="G47" s="12575">
        <v>180000</v>
      </c>
      <c r="H47" s="12575">
        <v>96789.05</v>
      </c>
      <c r="I47" s="11163">
        <f t="shared" si="3"/>
        <v>0.53771694444444451</v>
      </c>
      <c r="J47" s="12576">
        <v>200000</v>
      </c>
    </row>
    <row r="48" spans="1:10" ht="17.100000000000001" customHeight="1">
      <c r="A48" s="12577"/>
      <c r="B48" s="7401" t="s">
        <v>44</v>
      </c>
      <c r="C48" s="8802">
        <v>50203090</v>
      </c>
      <c r="D48" s="12575">
        <f>'WS-MOOE 2017'!R50</f>
        <v>0</v>
      </c>
      <c r="E48" s="12575">
        <f>'WS-MOOE ACTUAL JUNE 2018'!O51</f>
        <v>0</v>
      </c>
      <c r="F48" s="12578">
        <f t="shared" si="2"/>
        <v>800000</v>
      </c>
      <c r="G48" s="12575">
        <v>800000</v>
      </c>
      <c r="H48" s="12575">
        <v>646600</v>
      </c>
      <c r="I48" s="11163">
        <f t="shared" si="3"/>
        <v>0.80825000000000002</v>
      </c>
      <c r="J48" s="12576">
        <v>800000</v>
      </c>
    </row>
    <row r="49" spans="1:11" ht="17.100000000000001" customHeight="1">
      <c r="A49" s="12577"/>
      <c r="B49" s="7401" t="s">
        <v>45</v>
      </c>
      <c r="C49" s="9410">
        <v>50204010</v>
      </c>
      <c r="D49" s="12575">
        <f>'WS-MOOE 2017'!W50</f>
        <v>33829.85</v>
      </c>
      <c r="E49" s="12575">
        <f>'WS-MOOE ACTUAL JUNE 2018'!R51</f>
        <v>10885</v>
      </c>
      <c r="F49" s="12578">
        <f t="shared" si="2"/>
        <v>19115</v>
      </c>
      <c r="G49" s="12575">
        <v>30000</v>
      </c>
      <c r="H49" s="12575">
        <v>14689.8</v>
      </c>
      <c r="I49" s="11163">
        <f t="shared" si="3"/>
        <v>0.48965999999999998</v>
      </c>
      <c r="J49" s="12610">
        <v>0</v>
      </c>
      <c r="K49" s="7403">
        <v>30000</v>
      </c>
    </row>
    <row r="50" spans="1:11" ht="17.100000000000001" customHeight="1">
      <c r="A50" s="12577"/>
      <c r="B50" s="7401" t="s">
        <v>46</v>
      </c>
      <c r="C50" s="9410">
        <v>50204020</v>
      </c>
      <c r="D50" s="12575">
        <f>'WS-MOOE 2017'!X50</f>
        <v>192009.27</v>
      </c>
      <c r="E50" s="12575">
        <f>'WS-MOOE ACTUAL JUNE 2018'!S51</f>
        <v>60563.1</v>
      </c>
      <c r="F50" s="12578">
        <f t="shared" si="2"/>
        <v>63436.9</v>
      </c>
      <c r="G50" s="12575">
        <v>124000</v>
      </c>
      <c r="H50" s="12575">
        <v>105636.03</v>
      </c>
      <c r="I50" s="11163">
        <f t="shared" si="3"/>
        <v>0.85190346774193548</v>
      </c>
      <c r="J50" s="12610">
        <v>0</v>
      </c>
      <c r="K50" s="7403">
        <v>300000</v>
      </c>
    </row>
    <row r="51" spans="1:11" ht="17.100000000000001" customHeight="1">
      <c r="A51" s="12577"/>
      <c r="B51" s="7401" t="s">
        <v>158</v>
      </c>
      <c r="C51" s="9410">
        <v>50205020</v>
      </c>
      <c r="D51" s="12575">
        <f>'WS-MOOE 2017'!AA50+'WS-MOOE 2017'!AC50</f>
        <v>59658.51</v>
      </c>
      <c r="E51" s="12575">
        <f>'WS-MOOE ACTUAL JUNE 2018'!V51</f>
        <v>30109.85</v>
      </c>
      <c r="F51" s="12578">
        <f t="shared" si="2"/>
        <v>53290.15</v>
      </c>
      <c r="G51" s="12575">
        <v>83400</v>
      </c>
      <c r="H51" s="12575">
        <v>43295.91</v>
      </c>
      <c r="I51" s="11163">
        <f t="shared" si="3"/>
        <v>0.51913561151079146</v>
      </c>
      <c r="J51" s="12576">
        <f>53400+30000</f>
        <v>83400</v>
      </c>
    </row>
    <row r="52" spans="1:11" ht="17.100000000000001" hidden="1" customHeight="1">
      <c r="A52" s="12577"/>
      <c r="B52" s="7401" t="s">
        <v>159</v>
      </c>
      <c r="C52" s="9410"/>
      <c r="D52" s="12575"/>
      <c r="E52" s="12575"/>
      <c r="F52" s="12578">
        <f t="shared" si="2"/>
        <v>0</v>
      </c>
      <c r="G52" s="12575"/>
      <c r="H52" s="12575"/>
      <c r="I52" s="11163">
        <v>0</v>
      </c>
      <c r="J52" s="12576"/>
    </row>
    <row r="53" spans="1:11" ht="17.100000000000001" hidden="1" customHeight="1">
      <c r="A53" s="12577"/>
      <c r="B53" s="7401" t="s">
        <v>114</v>
      </c>
      <c r="C53" s="9410">
        <v>781</v>
      </c>
      <c r="D53" s="12575">
        <f>'WS-MOOE 2017'!BJ50</f>
        <v>0</v>
      </c>
      <c r="E53" s="12575"/>
      <c r="F53" s="12578">
        <f t="shared" si="2"/>
        <v>0</v>
      </c>
      <c r="G53" s="12575"/>
      <c r="H53" s="12575"/>
      <c r="I53" s="11163"/>
      <c r="J53" s="12576"/>
    </row>
    <row r="54" spans="1:11" ht="17.100000000000001" customHeight="1">
      <c r="A54" s="12577"/>
      <c r="B54" s="7352" t="s">
        <v>10956</v>
      </c>
      <c r="C54" s="8872">
        <v>50212990</v>
      </c>
      <c r="D54" s="12575">
        <f>'WS-MOOE 2017'!AO50+'WS-MOOE 2017'!AQ50</f>
        <v>3981050.24</v>
      </c>
      <c r="E54" s="12575">
        <f>'WS-MOOE ACTUAL JUNE 2018'!AJ51</f>
        <v>1374747</v>
      </c>
      <c r="F54" s="12578">
        <f t="shared" si="2"/>
        <v>3245253</v>
      </c>
      <c r="G54" s="12575">
        <v>4620000</v>
      </c>
      <c r="H54" s="12575">
        <v>2790455.73</v>
      </c>
      <c r="I54" s="11163">
        <f t="shared" si="3"/>
        <v>0.60399474675324671</v>
      </c>
      <c r="J54" s="12576">
        <f>1420000+3200000</f>
        <v>4620000</v>
      </c>
    </row>
    <row r="55" spans="1:11" ht="17.100000000000001" hidden="1" customHeight="1">
      <c r="A55" s="12577"/>
      <c r="B55" s="7401" t="s">
        <v>9126</v>
      </c>
      <c r="C55" s="9410"/>
      <c r="D55" s="12575"/>
      <c r="E55" s="12575"/>
      <c r="F55" s="12578"/>
      <c r="G55" s="12575"/>
      <c r="H55" s="12575"/>
      <c r="I55" s="11163"/>
      <c r="J55" s="12576"/>
    </row>
    <row r="56" spans="1:11" ht="17.100000000000001" customHeight="1">
      <c r="A56" s="12577"/>
      <c r="B56" s="7488" t="s">
        <v>10959</v>
      </c>
      <c r="C56" s="10377">
        <v>50213040</v>
      </c>
      <c r="D56" s="12575">
        <f>'WS-MOOE 2017'!AS50</f>
        <v>0</v>
      </c>
      <c r="E56" s="12575">
        <f>'WS-MOOE ACTUAL JUNE 2018'!AN51</f>
        <v>0</v>
      </c>
      <c r="F56" s="12578">
        <f t="shared" si="2"/>
        <v>10000</v>
      </c>
      <c r="G56" s="12575">
        <v>10000</v>
      </c>
      <c r="H56" s="12575">
        <v>8130.5</v>
      </c>
      <c r="I56" s="11163">
        <f t="shared" si="3"/>
        <v>0.81305000000000005</v>
      </c>
      <c r="J56" s="12576">
        <v>10000</v>
      </c>
    </row>
    <row r="57" spans="1:11" ht="17.100000000000001" hidden="1" customHeight="1">
      <c r="A57" s="12577"/>
      <c r="B57" s="7401" t="s">
        <v>160</v>
      </c>
      <c r="C57" s="9410"/>
      <c r="D57" s="12575"/>
      <c r="E57" s="12575"/>
      <c r="F57" s="12578">
        <f t="shared" si="2"/>
        <v>0</v>
      </c>
      <c r="G57" s="12575"/>
      <c r="H57" s="12575"/>
      <c r="I57" s="11163" t="e">
        <f t="shared" si="3"/>
        <v>#DIV/0!</v>
      </c>
      <c r="J57" s="12576"/>
    </row>
    <row r="58" spans="1:11" ht="17.100000000000001" customHeight="1">
      <c r="A58" s="12577"/>
      <c r="B58" s="7488" t="s">
        <v>10938</v>
      </c>
      <c r="C58" s="8872">
        <v>50213050</v>
      </c>
      <c r="D58" s="12575">
        <f>'WS-MOOE 2017'!AW50</f>
        <v>21198</v>
      </c>
      <c r="E58" s="12575">
        <f>'WS-MOOE ACTUAL JUNE 2018'!AS51</f>
        <v>500</v>
      </c>
      <c r="F58" s="12578">
        <f t="shared" si="2"/>
        <v>169500</v>
      </c>
      <c r="G58" s="12575">
        <v>170000</v>
      </c>
      <c r="H58" s="12575">
        <v>39241</v>
      </c>
      <c r="I58" s="11163">
        <f t="shared" si="3"/>
        <v>0.23082941176470589</v>
      </c>
      <c r="J58" s="12576">
        <f>170000</f>
        <v>170000</v>
      </c>
    </row>
    <row r="59" spans="1:11" ht="17.100000000000001" customHeight="1">
      <c r="A59" s="12577"/>
      <c r="B59" s="7488" t="s">
        <v>10937</v>
      </c>
      <c r="C59" s="11258">
        <v>50213060</v>
      </c>
      <c r="D59" s="12575">
        <f>'WS-MOOE 2017'!BA50</f>
        <v>0</v>
      </c>
      <c r="E59" s="12575">
        <f>'WS-MOOE ACTUAL JUNE 2018'!AT51</f>
        <v>67273</v>
      </c>
      <c r="F59" s="12578">
        <f t="shared" si="2"/>
        <v>12932727</v>
      </c>
      <c r="G59" s="12575">
        <v>13000000</v>
      </c>
      <c r="H59" s="12575">
        <v>11093248.76</v>
      </c>
      <c r="I59" s="11163">
        <f t="shared" si="3"/>
        <v>0.85332682769230772</v>
      </c>
      <c r="J59" s="12576">
        <v>13000000</v>
      </c>
    </row>
    <row r="60" spans="1:11" ht="17.100000000000001" customHeight="1">
      <c r="A60" s="12577"/>
      <c r="B60" s="7401" t="s">
        <v>72</v>
      </c>
      <c r="C60" s="9410">
        <v>50215020</v>
      </c>
      <c r="D60" s="12575">
        <f>'WS-MOOE 2017'!BH50</f>
        <v>0</v>
      </c>
      <c r="E60" s="12575">
        <f>'WS-MOOE ACTUAL JUNE 2018'!AZ51</f>
        <v>0</v>
      </c>
      <c r="F60" s="12578">
        <f t="shared" si="2"/>
        <v>2000</v>
      </c>
      <c r="G60" s="12575">
        <v>2000</v>
      </c>
      <c r="H60" s="12575">
        <v>0</v>
      </c>
      <c r="I60" s="11163">
        <f t="shared" si="3"/>
        <v>0</v>
      </c>
      <c r="J60" s="12576">
        <v>2000</v>
      </c>
    </row>
    <row r="61" spans="1:11" ht="17.100000000000001" customHeight="1">
      <c r="A61" s="12577"/>
      <c r="B61" s="7401" t="s">
        <v>73</v>
      </c>
      <c r="C61" s="9410">
        <v>50299990</v>
      </c>
      <c r="D61" s="12575">
        <f>'WS-MOOE 2017'!BO50+'WS-MOOE 2017'!BV50</f>
        <v>56600</v>
      </c>
      <c r="E61" s="12575">
        <f>'WS-MOOE ACTUAL JUNE 2018'!BI51</f>
        <v>78400</v>
      </c>
      <c r="F61" s="12578">
        <f t="shared" si="2"/>
        <v>71600</v>
      </c>
      <c r="G61" s="12575">
        <v>150000</v>
      </c>
      <c r="H61" s="12575">
        <v>109333.6</v>
      </c>
      <c r="I61" s="11163">
        <f t="shared" si="3"/>
        <v>0.72889066666666669</v>
      </c>
      <c r="J61" s="12576">
        <v>200000</v>
      </c>
    </row>
    <row r="62" spans="1:11" ht="17.100000000000001" customHeight="1">
      <c r="A62" s="12577"/>
      <c r="B62" s="7401"/>
      <c r="C62" s="9410"/>
      <c r="D62" s="12575"/>
      <c r="E62" s="12575"/>
      <c r="F62" s="12578"/>
      <c r="G62" s="12575"/>
      <c r="H62" s="12575"/>
      <c r="I62" s="11163"/>
      <c r="J62" s="12576"/>
    </row>
    <row r="63" spans="1:11" ht="17.100000000000001" customHeight="1" thickBot="1">
      <c r="A63" s="12584"/>
      <c r="B63" s="7481" t="s">
        <v>37</v>
      </c>
      <c r="C63" s="12606"/>
      <c r="D63" s="12586">
        <f>SUM(D45:D61)</f>
        <v>5448247.7100000009</v>
      </c>
      <c r="E63" s="12586">
        <f>SUM(E45:E61)</f>
        <v>1882701.7999999998</v>
      </c>
      <c r="F63" s="12586">
        <f>SUM(F45:F61)</f>
        <v>19006698.199999999</v>
      </c>
      <c r="G63" s="12587">
        <f>SUM(G45:G61)</f>
        <v>20889400</v>
      </c>
      <c r="H63" s="12587">
        <f>SUM(H45:H61)</f>
        <v>15482298.879999999</v>
      </c>
      <c r="I63" s="7327">
        <f>H63/G63</f>
        <v>0.74115574789127492</v>
      </c>
      <c r="J63" s="12588">
        <f>SUM(J45:J61)</f>
        <v>21085400</v>
      </c>
      <c r="K63" s="10391">
        <f>(J63-G63)/G63</f>
        <v>9.3827491454996307E-3</v>
      </c>
    </row>
    <row r="64" spans="1:11" ht="15" customHeight="1">
      <c r="A64" s="7455"/>
      <c r="B64" s="7456"/>
      <c r="C64" s="9357"/>
      <c r="D64" s="7458"/>
      <c r="E64" s="7458"/>
      <c r="F64" s="7458"/>
      <c r="G64" s="7458"/>
      <c r="H64" s="7458"/>
      <c r="I64" s="7389"/>
      <c r="J64" s="7458"/>
    </row>
    <row r="65" spans="1:10" ht="15" customHeight="1">
      <c r="A65" s="7401"/>
      <c r="B65" s="7406"/>
      <c r="C65" s="9358"/>
      <c r="D65" s="7408"/>
      <c r="E65" s="7408"/>
      <c r="F65" s="7408"/>
      <c r="G65" s="7408"/>
      <c r="H65" s="7408">
        <f>J63-G63</f>
        <v>196000</v>
      </c>
      <c r="I65" s="7350">
        <f>H65/G63</f>
        <v>9.3827491454996307E-3</v>
      </c>
      <c r="J65" s="7408"/>
    </row>
    <row r="66" spans="1:10" ht="15" customHeight="1">
      <c r="A66" s="7401"/>
      <c r="B66" s="7406"/>
      <c r="C66" s="9358"/>
      <c r="D66" s="7408"/>
      <c r="E66" s="7408"/>
      <c r="F66" s="7408"/>
      <c r="G66" s="7408"/>
      <c r="H66" s="7408"/>
      <c r="I66" s="7350"/>
      <c r="J66" s="7408"/>
    </row>
    <row r="67" spans="1:10" ht="15" customHeight="1">
      <c r="A67" s="7401"/>
      <c r="B67" s="7406"/>
      <c r="C67" s="9358"/>
      <c r="D67" s="7408"/>
      <c r="E67" s="7408"/>
      <c r="F67" s="7408"/>
      <c r="G67" s="7408"/>
      <c r="H67" s="7408"/>
      <c r="I67" s="7350"/>
      <c r="J67" s="7408"/>
    </row>
    <row r="68" spans="1:10" ht="15" customHeight="1">
      <c r="A68" s="7401"/>
      <c r="B68" s="7406"/>
      <c r="C68" s="9358"/>
      <c r="D68" s="7408"/>
      <c r="E68" s="7408"/>
      <c r="F68" s="7408"/>
      <c r="G68" s="7408"/>
      <c r="H68" s="7408"/>
      <c r="I68" s="7350"/>
      <c r="J68" s="7408"/>
    </row>
    <row r="69" spans="1:10" ht="15" customHeight="1">
      <c r="A69" s="7401"/>
      <c r="B69" s="7406"/>
      <c r="C69" s="9358"/>
      <c r="D69" s="7408"/>
      <c r="E69" s="7408"/>
      <c r="F69" s="7408"/>
      <c r="G69" s="7408"/>
      <c r="H69" s="7408"/>
      <c r="I69" s="7350"/>
      <c r="J69" s="7408"/>
    </row>
    <row r="70" spans="1:10" ht="15" customHeight="1">
      <c r="A70" s="7401"/>
      <c r="B70" s="7406"/>
      <c r="C70" s="9358"/>
      <c r="D70" s="7408"/>
      <c r="E70" s="7408"/>
      <c r="F70" s="7408"/>
      <c r="G70" s="7408"/>
      <c r="H70" s="7408"/>
      <c r="I70" s="7350"/>
      <c r="J70" s="7408"/>
    </row>
    <row r="71" spans="1:10" ht="15" customHeight="1">
      <c r="A71" s="7401"/>
      <c r="B71" s="7406"/>
      <c r="C71" s="9358"/>
      <c r="D71" s="7408"/>
      <c r="E71" s="7408"/>
      <c r="F71" s="7408"/>
      <c r="G71" s="7408"/>
      <c r="H71" s="7408"/>
      <c r="I71" s="7350"/>
      <c r="J71" s="7408"/>
    </row>
    <row r="72" spans="1:10" ht="15" customHeight="1">
      <c r="A72" s="7401"/>
      <c r="B72" s="7406"/>
      <c r="C72" s="9358"/>
      <c r="D72" s="7408"/>
      <c r="E72" s="7408"/>
      <c r="F72" s="7408"/>
      <c r="G72" s="7408"/>
      <c r="H72" s="7408"/>
      <c r="I72" s="7350"/>
      <c r="J72" s="7408"/>
    </row>
    <row r="73" spans="1:10" ht="15" customHeight="1">
      <c r="A73" s="7401"/>
      <c r="B73" s="7406"/>
      <c r="C73" s="9358"/>
      <c r="D73" s="7408"/>
      <c r="E73" s="7408"/>
      <c r="F73" s="7408"/>
      <c r="G73" s="7408"/>
      <c r="H73" s="7408"/>
      <c r="I73" s="7350"/>
      <c r="J73" s="7408"/>
    </row>
    <row r="74" spans="1:10" ht="15" customHeight="1">
      <c r="A74" s="7401"/>
      <c r="B74" s="7406"/>
      <c r="C74" s="9358"/>
      <c r="D74" s="7408"/>
      <c r="E74" s="7408"/>
      <c r="F74" s="7408"/>
      <c r="G74" s="7408"/>
      <c r="H74" s="7408"/>
      <c r="I74" s="7350"/>
      <c r="J74" s="7408"/>
    </row>
    <row r="75" spans="1:10" ht="15" customHeight="1">
      <c r="A75" s="7401"/>
      <c r="B75" s="7406"/>
      <c r="C75" s="9358"/>
      <c r="D75" s="7408"/>
      <c r="E75" s="7408"/>
      <c r="F75" s="7408"/>
      <c r="G75" s="7408"/>
      <c r="H75" s="7408"/>
      <c r="I75" s="7350"/>
      <c r="J75" s="7408"/>
    </row>
    <row r="76" spans="1:10" ht="15" customHeight="1">
      <c r="A76" s="7401"/>
      <c r="B76" s="7406"/>
      <c r="C76" s="9358"/>
      <c r="D76" s="7408"/>
      <c r="E76" s="7408"/>
      <c r="F76" s="7408"/>
      <c r="G76" s="7408"/>
      <c r="H76" s="7408"/>
      <c r="I76" s="7350"/>
      <c r="J76" s="7408"/>
    </row>
    <row r="77" spans="1:10" ht="15" customHeight="1">
      <c r="A77" s="7401"/>
      <c r="B77" s="7406"/>
      <c r="C77" s="9358"/>
      <c r="D77" s="7408"/>
      <c r="E77" s="7408"/>
      <c r="F77" s="7408"/>
      <c r="G77" s="7408"/>
      <c r="H77" s="7408"/>
      <c r="I77" s="7350"/>
      <c r="J77" s="7408"/>
    </row>
    <row r="78" spans="1:10" ht="15" customHeight="1">
      <c r="A78" s="7401"/>
      <c r="B78" s="7406"/>
      <c r="C78" s="9358"/>
      <c r="D78" s="7408"/>
      <c r="E78" s="7408"/>
      <c r="F78" s="7408"/>
      <c r="G78" s="7408"/>
      <c r="H78" s="7408"/>
      <c r="I78" s="7350"/>
      <c r="J78" s="7408"/>
    </row>
    <row r="79" spans="1:10" ht="15" customHeight="1" thickBot="1">
      <c r="A79" s="7459" t="s">
        <v>10717</v>
      </c>
      <c r="B79" s="7481"/>
      <c r="C79" s="9359"/>
      <c r="D79" s="7462"/>
      <c r="E79" s="7462"/>
      <c r="F79" s="7462"/>
      <c r="G79" s="7462"/>
      <c r="H79" s="7462"/>
      <c r="I79" s="7394"/>
      <c r="J79" s="7462"/>
    </row>
    <row r="80" spans="1:10" ht="15" customHeight="1">
      <c r="A80" s="12593"/>
      <c r="B80" s="12594"/>
      <c r="C80" s="12595"/>
      <c r="D80" s="12596" t="s">
        <v>10</v>
      </c>
      <c r="E80" s="14188" t="s">
        <v>10711</v>
      </c>
      <c r="F80" s="14189"/>
      <c r="G80" s="14190"/>
      <c r="H80" s="11080"/>
      <c r="I80" s="8206"/>
      <c r="J80" s="12597" t="s">
        <v>12</v>
      </c>
    </row>
    <row r="81" spans="1:12" ht="15" customHeight="1">
      <c r="A81" s="12577"/>
      <c r="B81" s="7475" t="s">
        <v>13</v>
      </c>
      <c r="C81" s="15407" t="s">
        <v>14</v>
      </c>
      <c r="D81" s="12598" t="s">
        <v>15</v>
      </c>
      <c r="E81" s="9502" t="s">
        <v>10709</v>
      </c>
      <c r="F81" s="9503" t="s">
        <v>10710</v>
      </c>
      <c r="G81" s="14191" t="s">
        <v>458</v>
      </c>
      <c r="H81" s="11084"/>
      <c r="I81" s="11085"/>
      <c r="J81" s="12599" t="s">
        <v>16</v>
      </c>
    </row>
    <row r="82" spans="1:12" ht="15" customHeight="1" thickBot="1">
      <c r="A82" s="12584"/>
      <c r="B82" s="12600"/>
      <c r="C82" s="15408"/>
      <c r="D82" s="12601">
        <v>2017</v>
      </c>
      <c r="E82" s="9467" t="s">
        <v>457</v>
      </c>
      <c r="F82" s="11661" t="s">
        <v>456</v>
      </c>
      <c r="G82" s="14192"/>
      <c r="H82" s="7302"/>
      <c r="I82" s="7322"/>
      <c r="J82" s="12602">
        <v>2019</v>
      </c>
    </row>
    <row r="83" spans="1:12" ht="15" customHeight="1">
      <c r="A83" s="12577"/>
      <c r="B83" s="7406"/>
      <c r="C83" s="9410"/>
      <c r="D83" s="12611"/>
      <c r="E83" s="12612"/>
      <c r="F83" s="12612"/>
      <c r="G83" s="12612"/>
      <c r="H83" s="12612"/>
      <c r="I83" s="11220"/>
      <c r="J83" s="12613"/>
    </row>
    <row r="84" spans="1:12" ht="15" customHeight="1">
      <c r="A84" s="12574" t="s">
        <v>51</v>
      </c>
      <c r="B84" s="7401" t="s">
        <v>52</v>
      </c>
      <c r="C84" s="9410"/>
      <c r="D84" s="10388"/>
      <c r="E84" s="12590"/>
      <c r="F84" s="12590"/>
      <c r="G84" s="12575"/>
      <c r="H84" s="12575"/>
      <c r="I84" s="11163"/>
      <c r="J84" s="12576"/>
    </row>
    <row r="85" spans="1:12" ht="15.6">
      <c r="A85" s="12574"/>
      <c r="B85" s="7401" t="s">
        <v>6982</v>
      </c>
      <c r="C85" s="9410">
        <v>211</v>
      </c>
      <c r="D85" s="10388"/>
      <c r="E85" s="12590"/>
      <c r="F85" s="12590"/>
      <c r="G85" s="12614"/>
      <c r="H85" s="12575"/>
      <c r="I85" s="11163"/>
      <c r="J85" s="12610"/>
    </row>
    <row r="86" spans="1:12" ht="15" customHeight="1">
      <c r="A86" s="12574"/>
      <c r="B86" s="7401" t="s">
        <v>10981</v>
      </c>
      <c r="C86" s="9410">
        <v>50704010</v>
      </c>
      <c r="D86" s="10388">
        <f>'WS-CO 2017'!B49</f>
        <v>0</v>
      </c>
      <c r="E86" s="12590"/>
      <c r="F86" s="12578">
        <f>G86-E86</f>
        <v>0</v>
      </c>
      <c r="G86" s="12575">
        <v>0</v>
      </c>
      <c r="H86" s="12575"/>
      <c r="I86" s="9413"/>
      <c r="J86" s="12576">
        <v>710000</v>
      </c>
      <c r="K86" s="7476" t="s">
        <v>12212</v>
      </c>
    </row>
    <row r="87" spans="1:12" ht="15.6" hidden="1" customHeight="1">
      <c r="A87" s="12574"/>
      <c r="B87" s="7287" t="s">
        <v>10975</v>
      </c>
      <c r="C87" s="8802">
        <v>50704990</v>
      </c>
      <c r="D87" s="10388"/>
      <c r="E87" s="12590"/>
      <c r="F87" s="12578"/>
      <c r="G87" s="12575"/>
      <c r="H87" s="12575"/>
      <c r="I87" s="9413"/>
      <c r="J87" s="12576"/>
    </row>
    <row r="88" spans="1:12" ht="15.6" hidden="1" customHeight="1">
      <c r="A88" s="12574"/>
      <c r="B88" s="7718" t="s">
        <v>11599</v>
      </c>
      <c r="C88" s="8802"/>
      <c r="D88" s="10388"/>
      <c r="E88" s="12590"/>
      <c r="F88" s="12578"/>
      <c r="G88" s="12575"/>
      <c r="H88" s="12575"/>
      <c r="I88" s="9413"/>
      <c r="J88" s="12576">
        <v>0</v>
      </c>
    </row>
    <row r="89" spans="1:12" ht="15.6" hidden="1" customHeight="1">
      <c r="A89" s="12574"/>
      <c r="B89" s="7718" t="s">
        <v>11600</v>
      </c>
      <c r="C89" s="8802"/>
      <c r="D89" s="10388"/>
      <c r="E89" s="12590"/>
      <c r="F89" s="12578"/>
      <c r="G89" s="12575"/>
      <c r="H89" s="12575"/>
      <c r="I89" s="9413"/>
      <c r="J89" s="12576"/>
      <c r="K89" s="7467" t="s">
        <v>11840</v>
      </c>
    </row>
    <row r="90" spans="1:12" s="7476" customFormat="1" ht="15" customHeight="1">
      <c r="A90" s="12574"/>
      <c r="B90" s="7615" t="s">
        <v>122</v>
      </c>
      <c r="C90" s="12528">
        <v>50705020</v>
      </c>
      <c r="D90" s="10388">
        <f>'WS-CO 2017'!F49</f>
        <v>7579</v>
      </c>
      <c r="E90" s="10388"/>
      <c r="F90" s="12578">
        <f>G90-E90</f>
        <v>40000</v>
      </c>
      <c r="G90" s="8882">
        <v>40000</v>
      </c>
      <c r="H90" s="8882">
        <v>33250</v>
      </c>
      <c r="I90" s="9413">
        <f>H90/G90</f>
        <v>0.83125000000000004</v>
      </c>
      <c r="J90" s="11251">
        <f>40000+140000</f>
        <v>180000</v>
      </c>
      <c r="K90" s="7476" t="s">
        <v>12211</v>
      </c>
      <c r="L90" s="10266"/>
    </row>
    <row r="91" spans="1:12" s="7476" customFormat="1" ht="15" customHeight="1">
      <c r="A91" s="12574"/>
      <c r="B91" s="7488" t="s">
        <v>10946</v>
      </c>
      <c r="C91" s="10144">
        <v>50705030</v>
      </c>
      <c r="D91" s="9411">
        <f>'WS-CO 2017'!H49</f>
        <v>0</v>
      </c>
      <c r="E91" s="9411"/>
      <c r="F91" s="12578">
        <f>G91-E91</f>
        <v>40000</v>
      </c>
      <c r="G91" s="9412">
        <v>40000</v>
      </c>
      <c r="H91" s="9412">
        <v>38920</v>
      </c>
      <c r="I91" s="9413">
        <f>H91/G91</f>
        <v>0.97299999999999998</v>
      </c>
      <c r="J91" s="12406">
        <v>40000</v>
      </c>
      <c r="L91" s="10266"/>
    </row>
    <row r="92" spans="1:12" s="7476" customFormat="1" ht="15.6" hidden="1" customHeight="1">
      <c r="A92" s="12574"/>
      <c r="B92" s="7488" t="s">
        <v>11841</v>
      </c>
      <c r="C92" s="10144">
        <v>50705080</v>
      </c>
      <c r="D92" s="9411"/>
      <c r="E92" s="9411"/>
      <c r="F92" s="12578"/>
      <c r="G92" s="9412"/>
      <c r="H92" s="9412"/>
      <c r="I92" s="9413"/>
      <c r="J92" s="12406"/>
      <c r="K92" s="7476" t="s">
        <v>11842</v>
      </c>
      <c r="L92" s="10266"/>
    </row>
    <row r="93" spans="1:12" s="7476" customFormat="1" ht="15" customHeight="1">
      <c r="A93" s="12574"/>
      <c r="B93" s="7401" t="s">
        <v>11598</v>
      </c>
      <c r="C93" s="9410">
        <v>50706010</v>
      </c>
      <c r="D93" s="9411"/>
      <c r="E93" s="9411"/>
      <c r="F93" s="12578">
        <f>G93-E93</f>
        <v>900000</v>
      </c>
      <c r="G93" s="9412">
        <v>900000</v>
      </c>
      <c r="H93" s="9412">
        <v>0</v>
      </c>
      <c r="I93" s="9413">
        <f>H93/G93</f>
        <v>0</v>
      </c>
      <c r="J93" s="12406">
        <v>500000</v>
      </c>
      <c r="L93" s="10266"/>
    </row>
    <row r="94" spans="1:12" ht="15.6">
      <c r="A94" s="12574"/>
      <c r="B94" s="7287" t="s">
        <v>5023</v>
      </c>
      <c r="C94" s="8802">
        <v>50707010</v>
      </c>
      <c r="D94" s="10388">
        <f>'WS-CO 2017'!K49</f>
        <v>62895</v>
      </c>
      <c r="E94" s="10388"/>
      <c r="F94" s="12578">
        <f>G94-E94</f>
        <v>60000</v>
      </c>
      <c r="G94" s="8882">
        <v>60000</v>
      </c>
      <c r="H94" s="8882">
        <v>0</v>
      </c>
      <c r="I94" s="9413">
        <f>H94/G94</f>
        <v>0</v>
      </c>
      <c r="J94" s="11251">
        <v>110000</v>
      </c>
    </row>
    <row r="95" spans="1:12" s="7476" customFormat="1" ht="15.6">
      <c r="A95" s="12574"/>
      <c r="B95" s="7401" t="s">
        <v>11601</v>
      </c>
      <c r="C95" s="9410">
        <v>50799990</v>
      </c>
      <c r="D95" s="9411"/>
      <c r="E95" s="9411"/>
      <c r="F95" s="12578"/>
      <c r="G95" s="9412"/>
      <c r="H95" s="9412"/>
      <c r="I95" s="9413"/>
      <c r="J95" s="12406"/>
      <c r="L95" s="10266"/>
    </row>
    <row r="96" spans="1:12" s="7476" customFormat="1" ht="15.6">
      <c r="A96" s="12574"/>
      <c r="B96" s="10389" t="s">
        <v>11602</v>
      </c>
      <c r="C96" s="9410"/>
      <c r="D96" s="9411"/>
      <c r="E96" s="9411"/>
      <c r="F96" s="12578"/>
      <c r="G96" s="9412"/>
      <c r="H96" s="9412"/>
      <c r="I96" s="9413"/>
      <c r="J96" s="12406">
        <v>100000</v>
      </c>
      <c r="L96" s="10266"/>
    </row>
    <row r="97" spans="1:12" s="7476" customFormat="1" ht="15.6" hidden="1">
      <c r="A97" s="12574"/>
      <c r="B97" s="10389" t="s">
        <v>11603</v>
      </c>
      <c r="C97" s="9410"/>
      <c r="D97" s="9411"/>
      <c r="E97" s="9411"/>
      <c r="F97" s="12578"/>
      <c r="G97" s="9412"/>
      <c r="H97" s="9412"/>
      <c r="I97" s="9413"/>
      <c r="J97" s="12406">
        <v>0</v>
      </c>
      <c r="L97" s="10266"/>
    </row>
    <row r="98" spans="1:12" s="7476" customFormat="1" ht="15.6">
      <c r="A98" s="12574"/>
      <c r="B98" s="7401"/>
      <c r="C98" s="9410"/>
      <c r="D98" s="9411"/>
      <c r="E98" s="9411"/>
      <c r="F98" s="12578"/>
      <c r="G98" s="9412"/>
      <c r="H98" s="9412"/>
      <c r="I98" s="9413"/>
      <c r="J98" s="12406"/>
      <c r="L98" s="10266"/>
    </row>
    <row r="99" spans="1:12" ht="15" customHeight="1">
      <c r="A99" s="12615"/>
      <c r="B99" s="7406" t="s">
        <v>37</v>
      </c>
      <c r="C99" s="9414"/>
      <c r="D99" s="12616">
        <f>SUM(D86:D98)</f>
        <v>70474</v>
      </c>
      <c r="E99" s="12616">
        <f>SUM(E84:E98)</f>
        <v>0</v>
      </c>
      <c r="F99" s="12616">
        <f>SUM(F86:F98)</f>
        <v>1040000</v>
      </c>
      <c r="G99" s="12616">
        <f>SUM(G85:G98)</f>
        <v>1040000</v>
      </c>
      <c r="H99" s="12616">
        <f>SUM(H86:H91)</f>
        <v>72170</v>
      </c>
      <c r="I99" s="9466"/>
      <c r="J99" s="12617">
        <f>SUM(J85:J98)</f>
        <v>1640000</v>
      </c>
      <c r="K99" s="10391">
        <f>(J99-G99)/G99</f>
        <v>0.57692307692307687</v>
      </c>
    </row>
    <row r="100" spans="1:12" ht="15" customHeight="1">
      <c r="A100" s="12615"/>
      <c r="B100" s="7406"/>
      <c r="C100" s="9414"/>
      <c r="D100" s="12618"/>
      <c r="E100" s="12619"/>
      <c r="F100" s="12619"/>
      <c r="G100" s="12619"/>
      <c r="H100" s="12619"/>
      <c r="I100" s="11210"/>
      <c r="J100" s="12620"/>
      <c r="K100" s="7476"/>
    </row>
    <row r="101" spans="1:12" s="7333" customFormat="1" ht="15" customHeight="1">
      <c r="A101" s="12574" t="s">
        <v>53</v>
      </c>
      <c r="B101" s="7401" t="s">
        <v>54</v>
      </c>
      <c r="C101" s="9410"/>
      <c r="D101" s="9411"/>
      <c r="E101" s="12575"/>
      <c r="F101" s="12575"/>
      <c r="G101" s="12575"/>
      <c r="H101" s="12575"/>
      <c r="I101" s="11163"/>
      <c r="J101" s="12576"/>
      <c r="K101" s="7748"/>
      <c r="L101" s="7842"/>
    </row>
    <row r="102" spans="1:12" s="7333" customFormat="1" ht="15" customHeight="1">
      <c r="A102" s="12574"/>
      <c r="B102" s="7401"/>
      <c r="C102" s="9410"/>
      <c r="D102" s="9411"/>
      <c r="E102" s="12575"/>
      <c r="F102" s="12575"/>
      <c r="G102" s="12575"/>
      <c r="H102" s="12575"/>
      <c r="I102" s="11163"/>
      <c r="J102" s="12576"/>
      <c r="K102" s="7748"/>
      <c r="L102" s="7842"/>
    </row>
    <row r="103" spans="1:12" s="7333" customFormat="1" ht="15" customHeight="1">
      <c r="A103" s="12574"/>
      <c r="B103" s="12621"/>
      <c r="C103" s="9410"/>
      <c r="D103" s="12622"/>
      <c r="E103" s="7477"/>
      <c r="F103" s="7477"/>
      <c r="G103" s="7477"/>
      <c r="H103" s="7477"/>
      <c r="I103" s="7478"/>
      <c r="J103" s="12583"/>
      <c r="K103" s="7748"/>
      <c r="L103" s="7842"/>
    </row>
    <row r="104" spans="1:12" s="7275" customFormat="1" ht="15" customHeight="1">
      <c r="A104" s="12615"/>
      <c r="B104" s="12623" t="s">
        <v>37</v>
      </c>
      <c r="C104" s="9414"/>
      <c r="D104" s="12624">
        <v>0</v>
      </c>
      <c r="E104" s="12624">
        <v>0</v>
      </c>
      <c r="F104" s="12624">
        <v>0</v>
      </c>
      <c r="G104" s="12624">
        <v>0</v>
      </c>
      <c r="H104" s="12624"/>
      <c r="I104" s="11206"/>
      <c r="J104" s="12625">
        <v>0</v>
      </c>
      <c r="K104" s="7340"/>
      <c r="L104" s="7346"/>
    </row>
    <row r="105" spans="1:12" s="7275" customFormat="1" ht="15" customHeight="1">
      <c r="A105" s="12626"/>
      <c r="B105" s="12627"/>
      <c r="C105" s="12628"/>
      <c r="D105" s="12624"/>
      <c r="E105" s="12624"/>
      <c r="F105" s="12624"/>
      <c r="G105" s="12624"/>
      <c r="H105" s="12624"/>
      <c r="I105" s="11206"/>
      <c r="J105" s="12625"/>
      <c r="K105" s="7340"/>
      <c r="L105" s="7346"/>
    </row>
    <row r="106" spans="1:12" s="7275" customFormat="1" ht="15" customHeight="1" thickBot="1">
      <c r="A106" s="12584"/>
      <c r="B106" s="7481" t="s">
        <v>55</v>
      </c>
      <c r="C106" s="12606"/>
      <c r="D106" s="12629">
        <f>(D29+D63+D99+D104)</f>
        <v>27411557.209999997</v>
      </c>
      <c r="E106" s="12629">
        <f>(E29+E63+E99+E104)</f>
        <v>13337379.719999999</v>
      </c>
      <c r="F106" s="12629">
        <f>(F29+F63+F99+F104)</f>
        <v>33374785.280000001</v>
      </c>
      <c r="G106" s="12629">
        <f>(G29+G63+G99+G104)</f>
        <v>46712165</v>
      </c>
      <c r="H106" s="12629"/>
      <c r="I106" s="11176"/>
      <c r="J106" s="12630">
        <f>(J29+J63+J99+J104)</f>
        <v>49958615.599999994</v>
      </c>
      <c r="K106" s="10391">
        <f>(J106-G106)/G106</f>
        <v>6.949903949003422E-2</v>
      </c>
      <c r="L106" s="7346"/>
    </row>
    <row r="107" spans="1:12" s="7351" customFormat="1" ht="15" customHeight="1">
      <c r="A107" s="7738" t="s">
        <v>4763</v>
      </c>
      <c r="B107" s="7738"/>
      <c r="C107" s="9346"/>
      <c r="D107" s="7740"/>
      <c r="E107" s="7740"/>
      <c r="F107" s="7740"/>
      <c r="G107" s="7741"/>
      <c r="H107" s="7740"/>
      <c r="I107" s="7742"/>
      <c r="J107" s="7741"/>
      <c r="L107" s="7383"/>
    </row>
    <row r="108" spans="1:12" s="7351" customFormat="1" ht="15" customHeight="1">
      <c r="A108" s="7276"/>
      <c r="B108" s="7276"/>
      <c r="C108" s="9337"/>
      <c r="D108" s="7285"/>
      <c r="E108" s="7285"/>
      <c r="F108" s="7285"/>
      <c r="G108" s="7334"/>
      <c r="H108" s="7285"/>
      <c r="I108" s="7286"/>
      <c r="J108" s="7334"/>
      <c r="L108" s="7383"/>
    </row>
    <row r="109" spans="1:12" ht="15" hidden="1" customHeight="1">
      <c r="A109" s="7376" t="s">
        <v>11222</v>
      </c>
      <c r="B109" s="7275"/>
      <c r="C109" s="9360" t="s">
        <v>3484</v>
      </c>
      <c r="D109" s="7899"/>
      <c r="E109" s="7378"/>
      <c r="F109" s="9459" t="s">
        <v>10666</v>
      </c>
      <c r="G109" s="7467"/>
      <c r="H109" s="7378"/>
      <c r="J109" s="7378"/>
    </row>
    <row r="110" spans="1:12" ht="15" hidden="1" customHeight="1">
      <c r="A110" s="7376"/>
      <c r="B110" s="7275"/>
      <c r="C110" s="9360"/>
      <c r="D110" s="7378"/>
      <c r="E110" s="7378"/>
      <c r="F110" s="7378"/>
      <c r="G110" s="7339"/>
      <c r="H110" s="7378"/>
      <c r="J110" s="7378"/>
    </row>
    <row r="111" spans="1:12" ht="15" hidden="1" customHeight="1">
      <c r="A111" s="7376"/>
      <c r="B111" s="7275"/>
      <c r="C111" s="9360"/>
      <c r="D111" s="7378"/>
      <c r="E111" s="7378"/>
      <c r="F111" s="7378"/>
      <c r="G111" s="7339"/>
      <c r="H111" s="7378"/>
      <c r="J111" s="7378"/>
    </row>
    <row r="112" spans="1:12" ht="15" hidden="1" customHeight="1">
      <c r="A112" s="7379" t="s">
        <v>10117</v>
      </c>
      <c r="B112" s="7351"/>
      <c r="C112" s="7467"/>
      <c r="D112" s="10874" t="s">
        <v>12059</v>
      </c>
      <c r="E112" s="7378"/>
      <c r="F112" s="7378"/>
      <c r="G112" s="7342" t="s">
        <v>10667</v>
      </c>
      <c r="H112" s="7380"/>
      <c r="I112" s="7381"/>
      <c r="J112" s="7378"/>
    </row>
    <row r="113" spans="1:10" ht="15" hidden="1" customHeight="1">
      <c r="A113" s="7382" t="s">
        <v>10116</v>
      </c>
      <c r="B113" s="7376"/>
      <c r="C113" s="7467"/>
      <c r="D113" s="9320" t="s">
        <v>3486</v>
      </c>
      <c r="E113" s="7378"/>
      <c r="F113" s="7378"/>
      <c r="G113" s="7344" t="s">
        <v>10668</v>
      </c>
      <c r="H113" s="7378"/>
      <c r="J113" s="7378"/>
    </row>
    <row r="114" spans="1:10" ht="15" customHeight="1">
      <c r="A114" s="7468"/>
      <c r="B114" s="7468"/>
      <c r="C114" s="9354"/>
      <c r="D114" s="7469"/>
      <c r="E114" s="7469"/>
      <c r="F114" s="7469"/>
      <c r="G114" s="7469"/>
      <c r="H114" s="7471">
        <f>J106-G106</f>
        <v>3246450.599999994</v>
      </c>
      <c r="I114" s="7284">
        <f>H114/G106</f>
        <v>6.949903949003422E-2</v>
      </c>
      <c r="J114" s="7469"/>
    </row>
    <row r="115" spans="1:10" ht="15" customHeight="1">
      <c r="A115" s="7468"/>
      <c r="B115" s="7468"/>
      <c r="C115" s="9354"/>
      <c r="D115" s="7469"/>
      <c r="E115" s="7469"/>
      <c r="F115" s="7469"/>
      <c r="G115" s="7469"/>
      <c r="H115" s="7469"/>
      <c r="I115" s="7286"/>
      <c r="J115" s="7469"/>
    </row>
    <row r="116" spans="1:10" ht="15" customHeight="1">
      <c r="A116" s="7468"/>
      <c r="B116" s="7468"/>
      <c r="C116" s="9354"/>
      <c r="D116" s="7469"/>
      <c r="E116" s="7469"/>
      <c r="F116" s="7469"/>
      <c r="G116" s="7469"/>
      <c r="H116" s="7469"/>
      <c r="I116" s="7286"/>
      <c r="J116" s="7469"/>
    </row>
  </sheetData>
  <mergeCells count="12">
    <mergeCell ref="C7:C8"/>
    <mergeCell ref="J3:J4"/>
    <mergeCell ref="C81:C82"/>
    <mergeCell ref="A1:J1"/>
    <mergeCell ref="G3:G4"/>
    <mergeCell ref="C41:C42"/>
    <mergeCell ref="E6:G6"/>
    <mergeCell ref="G7:G8"/>
    <mergeCell ref="E40:G40"/>
    <mergeCell ref="G41:G42"/>
    <mergeCell ref="E80:G80"/>
    <mergeCell ref="G81:G82"/>
  </mergeCells>
  <printOptions horizontalCentered="1" gridLinesSet="0"/>
  <pageMargins left="0.25" right="0.25" top="0.5" bottom="0.25" header="0.25" footer="0.25"/>
  <pageSetup paperSize="119" firstPageNumber="384" orientation="landscape" useFirstPageNumber="1" r:id="rId1"/>
  <headerFooter alignWithMargins="0"/>
</worksheet>
</file>

<file path=xl/worksheets/sheet183.xml><?xml version="1.0" encoding="utf-8"?>
<worksheet xmlns="http://schemas.openxmlformats.org/spreadsheetml/2006/main" xmlns:r="http://schemas.openxmlformats.org/officeDocument/2006/relationships">
  <sheetPr codeName="Sheet223"/>
  <dimension ref="A1"/>
  <sheetViews>
    <sheetView workbookViewId="0"/>
  </sheetViews>
  <sheetFormatPr defaultRowHeight="14.4"/>
  <sheetData/>
  <pageMargins left="0.7" right="0.7" top="0.75" bottom="0.75" header="0.3" footer="0.3"/>
</worksheet>
</file>

<file path=xl/worksheets/sheet184.xml><?xml version="1.0" encoding="utf-8"?>
<worksheet xmlns="http://schemas.openxmlformats.org/spreadsheetml/2006/main" xmlns:r="http://schemas.openxmlformats.org/officeDocument/2006/relationships">
  <sheetPr codeName="Sheet194">
    <tabColor rgb="FFFFFF00"/>
  </sheetPr>
  <dimension ref="A1:E25"/>
  <sheetViews>
    <sheetView topLeftCell="A10" workbookViewId="0">
      <selection activeCell="H19" sqref="H19"/>
    </sheetView>
  </sheetViews>
  <sheetFormatPr defaultColWidth="9.109375" defaultRowHeight="14.4"/>
  <cols>
    <col min="1" max="1" width="27" style="818" customWidth="1"/>
    <col min="2" max="2" width="17.109375" style="818" customWidth="1"/>
    <col min="3" max="3" width="18.88671875" style="818" customWidth="1"/>
    <col min="4" max="4" width="16.109375" style="818" customWidth="1"/>
    <col min="5" max="5" width="14.88671875" style="818" customWidth="1"/>
    <col min="6" max="16384" width="9.109375" style="818"/>
  </cols>
  <sheetData>
    <row r="1" spans="1:5">
      <c r="A1" s="4850" t="s">
        <v>4673</v>
      </c>
      <c r="B1" s="4851"/>
      <c r="C1" s="4851"/>
      <c r="D1" s="4851"/>
      <c r="E1" s="4851"/>
    </row>
    <row r="2" spans="1:5">
      <c r="A2" s="4850"/>
      <c r="B2" s="4851"/>
      <c r="C2" s="4851"/>
      <c r="D2" s="4851"/>
      <c r="E2" s="4851"/>
    </row>
    <row r="3" spans="1:5">
      <c r="A3" s="881" t="s">
        <v>4812</v>
      </c>
      <c r="B3" s="4851"/>
      <c r="C3" s="4851"/>
      <c r="D3" s="4851"/>
      <c r="E3" s="4851"/>
    </row>
    <row r="4" spans="1:5" ht="15" thickBot="1"/>
    <row r="5" spans="1:5">
      <c r="A5" s="15412" t="s">
        <v>3241</v>
      </c>
      <c r="B5" s="15415" t="s">
        <v>18</v>
      </c>
      <c r="C5" s="15416"/>
      <c r="D5" s="15417" t="s">
        <v>52</v>
      </c>
      <c r="E5" s="15420" t="s">
        <v>458</v>
      </c>
    </row>
    <row r="6" spans="1:5">
      <c r="A6" s="15413"/>
      <c r="B6" s="15423" t="s">
        <v>2151</v>
      </c>
      <c r="C6" s="15234" t="s">
        <v>1973</v>
      </c>
      <c r="D6" s="15418"/>
      <c r="E6" s="15421"/>
    </row>
    <row r="7" spans="1:5">
      <c r="A7" s="15414"/>
      <c r="B7" s="15419"/>
      <c r="C7" s="15235"/>
      <c r="D7" s="15419"/>
      <c r="E7" s="15422"/>
    </row>
    <row r="8" spans="1:5" s="4852" customFormat="1">
      <c r="A8" s="4848"/>
      <c r="B8" s="4374"/>
      <c r="C8" s="4849"/>
      <c r="D8" s="4374"/>
      <c r="E8" s="4375"/>
    </row>
    <row r="9" spans="1:5">
      <c r="A9" s="4853" t="s">
        <v>5131</v>
      </c>
      <c r="B9" s="2387"/>
      <c r="C9" s="2387"/>
      <c r="D9" s="2387"/>
      <c r="E9" s="2388"/>
    </row>
    <row r="10" spans="1:5">
      <c r="A10" s="4854"/>
      <c r="B10" s="2387"/>
      <c r="C10" s="2387"/>
      <c r="D10" s="2387"/>
      <c r="E10" s="2388"/>
    </row>
    <row r="11" spans="1:5">
      <c r="A11" s="4855" t="s">
        <v>6981</v>
      </c>
      <c r="B11" s="2387">
        <f>'lbpf 3-MOTORPOOL'!J29</f>
        <v>27233215.599999998</v>
      </c>
      <c r="C11" s="2387">
        <f>'lbpf 3-MOTORPOOL'!J63</f>
        <v>21085400</v>
      </c>
      <c r="D11" s="2387">
        <f>'lbpf 3-MOTORPOOL'!J99</f>
        <v>1640000</v>
      </c>
      <c r="E11" s="2388">
        <f>B11+C11+D11</f>
        <v>49958615.599999994</v>
      </c>
    </row>
    <row r="12" spans="1:5">
      <c r="A12" s="4855"/>
      <c r="B12" s="2387"/>
      <c r="C12" s="2387"/>
      <c r="D12" s="2387"/>
      <c r="E12" s="2388"/>
    </row>
    <row r="13" spans="1:5">
      <c r="A13" s="4854"/>
      <c r="B13" s="2387"/>
      <c r="C13" s="2387"/>
      <c r="D13" s="2387"/>
      <c r="E13" s="2388"/>
    </row>
    <row r="14" spans="1:5">
      <c r="A14" s="4854"/>
      <c r="B14" s="2387"/>
      <c r="C14" s="2387"/>
      <c r="D14" s="2387"/>
      <c r="E14" s="2388"/>
    </row>
    <row r="15" spans="1:5">
      <c r="A15" s="4854"/>
      <c r="B15" s="2387"/>
      <c r="C15" s="2387"/>
      <c r="D15" s="2387"/>
      <c r="E15" s="2388"/>
    </row>
    <row r="16" spans="1:5">
      <c r="A16" s="4855"/>
      <c r="B16" s="2387"/>
      <c r="C16" s="2387"/>
      <c r="D16" s="2387"/>
      <c r="E16" s="2388"/>
    </row>
    <row r="17" spans="1:5">
      <c r="A17" s="4862" t="s">
        <v>3429</v>
      </c>
      <c r="B17" s="4863"/>
      <c r="C17" s="4863"/>
      <c r="D17" s="4863"/>
      <c r="E17" s="4864"/>
    </row>
    <row r="18" spans="1:5">
      <c r="A18" s="4865" t="s">
        <v>6982</v>
      </c>
      <c r="B18" s="2387"/>
      <c r="C18" s="2387"/>
      <c r="D18" s="2387">
        <v>1000000</v>
      </c>
      <c r="E18" s="2388"/>
    </row>
    <row r="19" spans="1:5">
      <c r="A19" s="4854"/>
      <c r="B19" s="2387"/>
      <c r="C19" s="2387"/>
      <c r="D19" s="2387"/>
      <c r="E19" s="2388"/>
    </row>
    <row r="20" spans="1:5">
      <c r="A20" s="4854"/>
      <c r="B20" s="2387"/>
      <c r="C20" s="2387"/>
      <c r="D20" s="2387"/>
      <c r="E20" s="2388"/>
    </row>
    <row r="21" spans="1:5">
      <c r="A21" s="4854"/>
      <c r="B21" s="2387"/>
      <c r="C21" s="2387"/>
      <c r="D21" s="2387"/>
      <c r="E21" s="2388"/>
    </row>
    <row r="22" spans="1:5">
      <c r="A22" s="4854"/>
      <c r="B22" s="2387"/>
      <c r="C22" s="2387"/>
      <c r="D22" s="2387"/>
      <c r="E22" s="2388"/>
    </row>
    <row r="23" spans="1:5">
      <c r="A23" s="4854"/>
      <c r="B23" s="2387"/>
      <c r="C23" s="2387"/>
      <c r="D23" s="2387"/>
      <c r="E23" s="2388"/>
    </row>
    <row r="24" spans="1:5">
      <c r="A24" s="4856"/>
      <c r="B24" s="4861"/>
      <c r="C24" s="4861"/>
      <c r="D24" s="4861"/>
      <c r="E24" s="4857"/>
    </row>
    <row r="25" spans="1:5" ht="18.75" customHeight="1" thickBot="1">
      <c r="A25" s="4858" t="s">
        <v>6983</v>
      </c>
      <c r="B25" s="4859"/>
      <c r="C25" s="4859"/>
      <c r="D25" s="4859"/>
      <c r="E25" s="4860">
        <f>E11+E18</f>
        <v>49958615.599999994</v>
      </c>
    </row>
  </sheetData>
  <mergeCells count="6">
    <mergeCell ref="A5:A7"/>
    <mergeCell ref="B5:C5"/>
    <mergeCell ref="D5:D7"/>
    <mergeCell ref="E5:E7"/>
    <mergeCell ref="B6:B7"/>
    <mergeCell ref="C6:C7"/>
  </mergeCells>
  <printOptions horizontalCentered="1"/>
  <pageMargins left="0.5" right="0.25" top="0.75" bottom="0.5" header="0.3" footer="0.25"/>
  <pageSetup paperSize="119" orientation="portrait" verticalDpi="300" r:id="rId1"/>
</worksheet>
</file>

<file path=xl/worksheets/sheet185.xml><?xml version="1.0" encoding="utf-8"?>
<worksheet xmlns="http://schemas.openxmlformats.org/spreadsheetml/2006/main" xmlns:r="http://schemas.openxmlformats.org/officeDocument/2006/relationships">
  <sheetPr codeName="Sheet141">
    <tabColor rgb="FFFFFF00"/>
  </sheetPr>
  <dimension ref="A1:J78"/>
  <sheetViews>
    <sheetView showGridLines="0" workbookViewId="0">
      <selection activeCell="F2" sqref="F1:M1048576"/>
    </sheetView>
  </sheetViews>
  <sheetFormatPr defaultRowHeight="12.9" customHeight="1"/>
  <cols>
    <col min="1" max="1" width="40.5546875" style="7001" customWidth="1"/>
    <col min="2" max="3" width="8.5546875" style="7001" customWidth="1"/>
    <col min="4" max="6" width="14.5546875" style="7271" customWidth="1"/>
    <col min="7" max="7" width="8.88671875" style="7001" customWidth="1"/>
    <col min="8" max="8" width="15" style="7001" customWidth="1"/>
    <col min="9" max="10" width="11.44140625" style="7001" customWidth="1"/>
    <col min="11" max="12" width="8.88671875" style="7001" customWidth="1"/>
    <col min="13" max="256" width="9.109375" style="7001"/>
    <col min="257" max="257" width="33" style="7001" customWidth="1"/>
    <col min="258" max="259" width="9.109375" style="7001"/>
    <col min="260" max="260" width="13" style="7001" customWidth="1"/>
    <col min="261" max="261" width="14.44140625" style="7001" customWidth="1"/>
    <col min="262" max="262" width="15.88671875" style="7001" customWidth="1"/>
    <col min="263" max="263" width="9.109375" style="7001"/>
    <col min="264" max="264" width="13.109375" style="7001" customWidth="1"/>
    <col min="265" max="266" width="11.44140625" style="7001" customWidth="1"/>
    <col min="267" max="512" width="9.109375" style="7001"/>
    <col min="513" max="513" width="33" style="7001" customWidth="1"/>
    <col min="514" max="515" width="9.109375" style="7001"/>
    <col min="516" max="516" width="13" style="7001" customWidth="1"/>
    <col min="517" max="517" width="14.44140625" style="7001" customWidth="1"/>
    <col min="518" max="518" width="15.88671875" style="7001" customWidth="1"/>
    <col min="519" max="519" width="9.109375" style="7001"/>
    <col min="520" max="520" width="13.109375" style="7001" customWidth="1"/>
    <col min="521" max="522" width="11.44140625" style="7001" customWidth="1"/>
    <col min="523" max="768" width="9.109375" style="7001"/>
    <col min="769" max="769" width="33" style="7001" customWidth="1"/>
    <col min="770" max="771" width="9.109375" style="7001"/>
    <col min="772" max="772" width="13" style="7001" customWidth="1"/>
    <col min="773" max="773" width="14.44140625" style="7001" customWidth="1"/>
    <col min="774" max="774" width="15.88671875" style="7001" customWidth="1"/>
    <col min="775" max="775" width="9.109375" style="7001"/>
    <col min="776" max="776" width="13.109375" style="7001" customWidth="1"/>
    <col min="777" max="778" width="11.44140625" style="7001" customWidth="1"/>
    <col min="779" max="1024" width="9.109375" style="7001"/>
    <col min="1025" max="1025" width="33" style="7001" customWidth="1"/>
    <col min="1026" max="1027" width="9.109375" style="7001"/>
    <col min="1028" max="1028" width="13" style="7001" customWidth="1"/>
    <col min="1029" max="1029" width="14.44140625" style="7001" customWidth="1"/>
    <col min="1030" max="1030" width="15.88671875" style="7001" customWidth="1"/>
    <col min="1031" max="1031" width="9.109375" style="7001"/>
    <col min="1032" max="1032" width="13.109375" style="7001" customWidth="1"/>
    <col min="1033" max="1034" width="11.44140625" style="7001" customWidth="1"/>
    <col min="1035" max="1280" width="9.109375" style="7001"/>
    <col min="1281" max="1281" width="33" style="7001" customWidth="1"/>
    <col min="1282" max="1283" width="9.109375" style="7001"/>
    <col min="1284" max="1284" width="13" style="7001" customWidth="1"/>
    <col min="1285" max="1285" width="14.44140625" style="7001" customWidth="1"/>
    <col min="1286" max="1286" width="15.88671875" style="7001" customWidth="1"/>
    <col min="1287" max="1287" width="9.109375" style="7001"/>
    <col min="1288" max="1288" width="13.109375" style="7001" customWidth="1"/>
    <col min="1289" max="1290" width="11.44140625" style="7001" customWidth="1"/>
    <col min="1291" max="1536" width="9.109375" style="7001"/>
    <col min="1537" max="1537" width="33" style="7001" customWidth="1"/>
    <col min="1538" max="1539" width="9.109375" style="7001"/>
    <col min="1540" max="1540" width="13" style="7001" customWidth="1"/>
    <col min="1541" max="1541" width="14.44140625" style="7001" customWidth="1"/>
    <col min="1542" max="1542" width="15.88671875" style="7001" customWidth="1"/>
    <col min="1543" max="1543" width="9.109375" style="7001"/>
    <col min="1544" max="1544" width="13.109375" style="7001" customWidth="1"/>
    <col min="1545" max="1546" width="11.44140625" style="7001" customWidth="1"/>
    <col min="1547" max="1792" width="9.109375" style="7001"/>
    <col min="1793" max="1793" width="33" style="7001" customWidth="1"/>
    <col min="1794" max="1795" width="9.109375" style="7001"/>
    <col min="1796" max="1796" width="13" style="7001" customWidth="1"/>
    <col min="1797" max="1797" width="14.44140625" style="7001" customWidth="1"/>
    <col min="1798" max="1798" width="15.88671875" style="7001" customWidth="1"/>
    <col min="1799" max="1799" width="9.109375" style="7001"/>
    <col min="1800" max="1800" width="13.109375" style="7001" customWidth="1"/>
    <col min="1801" max="1802" width="11.44140625" style="7001" customWidth="1"/>
    <col min="1803" max="2048" width="9.109375" style="7001"/>
    <col min="2049" max="2049" width="33" style="7001" customWidth="1"/>
    <col min="2050" max="2051" width="9.109375" style="7001"/>
    <col min="2052" max="2052" width="13" style="7001" customWidth="1"/>
    <col min="2053" max="2053" width="14.44140625" style="7001" customWidth="1"/>
    <col min="2054" max="2054" width="15.88671875" style="7001" customWidth="1"/>
    <col min="2055" max="2055" width="9.109375" style="7001"/>
    <col min="2056" max="2056" width="13.109375" style="7001" customWidth="1"/>
    <col min="2057" max="2058" width="11.44140625" style="7001" customWidth="1"/>
    <col min="2059" max="2304" width="9.109375" style="7001"/>
    <col min="2305" max="2305" width="33" style="7001" customWidth="1"/>
    <col min="2306" max="2307" width="9.109375" style="7001"/>
    <col min="2308" max="2308" width="13" style="7001" customWidth="1"/>
    <col min="2309" max="2309" width="14.44140625" style="7001" customWidth="1"/>
    <col min="2310" max="2310" width="15.88671875" style="7001" customWidth="1"/>
    <col min="2311" max="2311" width="9.109375" style="7001"/>
    <col min="2312" max="2312" width="13.109375" style="7001" customWidth="1"/>
    <col min="2313" max="2314" width="11.44140625" style="7001" customWidth="1"/>
    <col min="2315" max="2560" width="9.109375" style="7001"/>
    <col min="2561" max="2561" width="33" style="7001" customWidth="1"/>
    <col min="2562" max="2563" width="9.109375" style="7001"/>
    <col min="2564" max="2564" width="13" style="7001" customWidth="1"/>
    <col min="2565" max="2565" width="14.44140625" style="7001" customWidth="1"/>
    <col min="2566" max="2566" width="15.88671875" style="7001" customWidth="1"/>
    <col min="2567" max="2567" width="9.109375" style="7001"/>
    <col min="2568" max="2568" width="13.109375" style="7001" customWidth="1"/>
    <col min="2569" max="2570" width="11.44140625" style="7001" customWidth="1"/>
    <col min="2571" max="2816" width="9.109375" style="7001"/>
    <col min="2817" max="2817" width="33" style="7001" customWidth="1"/>
    <col min="2818" max="2819" width="9.109375" style="7001"/>
    <col min="2820" max="2820" width="13" style="7001" customWidth="1"/>
    <col min="2821" max="2821" width="14.44140625" style="7001" customWidth="1"/>
    <col min="2822" max="2822" width="15.88671875" style="7001" customWidth="1"/>
    <col min="2823" max="2823" width="9.109375" style="7001"/>
    <col min="2824" max="2824" width="13.109375" style="7001" customWidth="1"/>
    <col min="2825" max="2826" width="11.44140625" style="7001" customWidth="1"/>
    <col min="2827" max="3072" width="9.109375" style="7001"/>
    <col min="3073" max="3073" width="33" style="7001" customWidth="1"/>
    <col min="3074" max="3075" width="9.109375" style="7001"/>
    <col min="3076" max="3076" width="13" style="7001" customWidth="1"/>
    <col min="3077" max="3077" width="14.44140625" style="7001" customWidth="1"/>
    <col min="3078" max="3078" width="15.88671875" style="7001" customWidth="1"/>
    <col min="3079" max="3079" width="9.109375" style="7001"/>
    <col min="3080" max="3080" width="13.109375" style="7001" customWidth="1"/>
    <col min="3081" max="3082" width="11.44140625" style="7001" customWidth="1"/>
    <col min="3083" max="3328" width="9.109375" style="7001"/>
    <col min="3329" max="3329" width="33" style="7001" customWidth="1"/>
    <col min="3330" max="3331" width="9.109375" style="7001"/>
    <col min="3332" max="3332" width="13" style="7001" customWidth="1"/>
    <col min="3333" max="3333" width="14.44140625" style="7001" customWidth="1"/>
    <col min="3334" max="3334" width="15.88671875" style="7001" customWidth="1"/>
    <col min="3335" max="3335" width="9.109375" style="7001"/>
    <col min="3336" max="3336" width="13.109375" style="7001" customWidth="1"/>
    <col min="3337" max="3338" width="11.44140625" style="7001" customWidth="1"/>
    <col min="3339" max="3584" width="9.109375" style="7001"/>
    <col min="3585" max="3585" width="33" style="7001" customWidth="1"/>
    <col min="3586" max="3587" width="9.109375" style="7001"/>
    <col min="3588" max="3588" width="13" style="7001" customWidth="1"/>
    <col min="3589" max="3589" width="14.44140625" style="7001" customWidth="1"/>
    <col min="3590" max="3590" width="15.88671875" style="7001" customWidth="1"/>
    <col min="3591" max="3591" width="9.109375" style="7001"/>
    <col min="3592" max="3592" width="13.109375" style="7001" customWidth="1"/>
    <col min="3593" max="3594" width="11.44140625" style="7001" customWidth="1"/>
    <col min="3595" max="3840" width="9.109375" style="7001"/>
    <col min="3841" max="3841" width="33" style="7001" customWidth="1"/>
    <col min="3842" max="3843" width="9.109375" style="7001"/>
    <col min="3844" max="3844" width="13" style="7001" customWidth="1"/>
    <col min="3845" max="3845" width="14.44140625" style="7001" customWidth="1"/>
    <col min="3846" max="3846" width="15.88671875" style="7001" customWidth="1"/>
    <col min="3847" max="3847" width="9.109375" style="7001"/>
    <col min="3848" max="3848" width="13.109375" style="7001" customWidth="1"/>
    <col min="3849" max="3850" width="11.44140625" style="7001" customWidth="1"/>
    <col min="3851" max="4096" width="9.109375" style="7001"/>
    <col min="4097" max="4097" width="33" style="7001" customWidth="1"/>
    <col min="4098" max="4099" width="9.109375" style="7001"/>
    <col min="4100" max="4100" width="13" style="7001" customWidth="1"/>
    <col min="4101" max="4101" width="14.44140625" style="7001" customWidth="1"/>
    <col min="4102" max="4102" width="15.88671875" style="7001" customWidth="1"/>
    <col min="4103" max="4103" width="9.109375" style="7001"/>
    <col min="4104" max="4104" width="13.109375" style="7001" customWidth="1"/>
    <col min="4105" max="4106" width="11.44140625" style="7001" customWidth="1"/>
    <col min="4107" max="4352" width="9.109375" style="7001"/>
    <col min="4353" max="4353" width="33" style="7001" customWidth="1"/>
    <col min="4354" max="4355" width="9.109375" style="7001"/>
    <col min="4356" max="4356" width="13" style="7001" customWidth="1"/>
    <col min="4357" max="4357" width="14.44140625" style="7001" customWidth="1"/>
    <col min="4358" max="4358" width="15.88671875" style="7001" customWidth="1"/>
    <col min="4359" max="4359" width="9.109375" style="7001"/>
    <col min="4360" max="4360" width="13.109375" style="7001" customWidth="1"/>
    <col min="4361" max="4362" width="11.44140625" style="7001" customWidth="1"/>
    <col min="4363" max="4608" width="9.109375" style="7001"/>
    <col min="4609" max="4609" width="33" style="7001" customWidth="1"/>
    <col min="4610" max="4611" width="9.109375" style="7001"/>
    <col min="4612" max="4612" width="13" style="7001" customWidth="1"/>
    <col min="4613" max="4613" width="14.44140625" style="7001" customWidth="1"/>
    <col min="4614" max="4614" width="15.88671875" style="7001" customWidth="1"/>
    <col min="4615" max="4615" width="9.109375" style="7001"/>
    <col min="4616" max="4616" width="13.109375" style="7001" customWidth="1"/>
    <col min="4617" max="4618" width="11.44140625" style="7001" customWidth="1"/>
    <col min="4619" max="4864" width="9.109375" style="7001"/>
    <col min="4865" max="4865" width="33" style="7001" customWidth="1"/>
    <col min="4866" max="4867" width="9.109375" style="7001"/>
    <col min="4868" max="4868" width="13" style="7001" customWidth="1"/>
    <col min="4869" max="4869" width="14.44140625" style="7001" customWidth="1"/>
    <col min="4870" max="4870" width="15.88671875" style="7001" customWidth="1"/>
    <col min="4871" max="4871" width="9.109375" style="7001"/>
    <col min="4872" max="4872" width="13.109375" style="7001" customWidth="1"/>
    <col min="4873" max="4874" width="11.44140625" style="7001" customWidth="1"/>
    <col min="4875" max="5120" width="9.109375" style="7001"/>
    <col min="5121" max="5121" width="33" style="7001" customWidth="1"/>
    <col min="5122" max="5123" width="9.109375" style="7001"/>
    <col min="5124" max="5124" width="13" style="7001" customWidth="1"/>
    <col min="5125" max="5125" width="14.44140625" style="7001" customWidth="1"/>
    <col min="5126" max="5126" width="15.88671875" style="7001" customWidth="1"/>
    <col min="5127" max="5127" width="9.109375" style="7001"/>
    <col min="5128" max="5128" width="13.109375" style="7001" customWidth="1"/>
    <col min="5129" max="5130" width="11.44140625" style="7001" customWidth="1"/>
    <col min="5131" max="5376" width="9.109375" style="7001"/>
    <col min="5377" max="5377" width="33" style="7001" customWidth="1"/>
    <col min="5378" max="5379" width="9.109375" style="7001"/>
    <col min="5380" max="5380" width="13" style="7001" customWidth="1"/>
    <col min="5381" max="5381" width="14.44140625" style="7001" customWidth="1"/>
    <col min="5382" max="5382" width="15.88671875" style="7001" customWidth="1"/>
    <col min="5383" max="5383" width="9.109375" style="7001"/>
    <col min="5384" max="5384" width="13.109375" style="7001" customWidth="1"/>
    <col min="5385" max="5386" width="11.44140625" style="7001" customWidth="1"/>
    <col min="5387" max="5632" width="9.109375" style="7001"/>
    <col min="5633" max="5633" width="33" style="7001" customWidth="1"/>
    <col min="5634" max="5635" width="9.109375" style="7001"/>
    <col min="5636" max="5636" width="13" style="7001" customWidth="1"/>
    <col min="5637" max="5637" width="14.44140625" style="7001" customWidth="1"/>
    <col min="5638" max="5638" width="15.88671875" style="7001" customWidth="1"/>
    <col min="5639" max="5639" width="9.109375" style="7001"/>
    <col min="5640" max="5640" width="13.109375" style="7001" customWidth="1"/>
    <col min="5641" max="5642" width="11.44140625" style="7001" customWidth="1"/>
    <col min="5643" max="5888" width="9.109375" style="7001"/>
    <col min="5889" max="5889" width="33" style="7001" customWidth="1"/>
    <col min="5890" max="5891" width="9.109375" style="7001"/>
    <col min="5892" max="5892" width="13" style="7001" customWidth="1"/>
    <col min="5893" max="5893" width="14.44140625" style="7001" customWidth="1"/>
    <col min="5894" max="5894" width="15.88671875" style="7001" customWidth="1"/>
    <col min="5895" max="5895" width="9.109375" style="7001"/>
    <col min="5896" max="5896" width="13.109375" style="7001" customWidth="1"/>
    <col min="5897" max="5898" width="11.44140625" style="7001" customWidth="1"/>
    <col min="5899" max="6144" width="9.109375" style="7001"/>
    <col min="6145" max="6145" width="33" style="7001" customWidth="1"/>
    <col min="6146" max="6147" width="9.109375" style="7001"/>
    <col min="6148" max="6148" width="13" style="7001" customWidth="1"/>
    <col min="6149" max="6149" width="14.44140625" style="7001" customWidth="1"/>
    <col min="6150" max="6150" width="15.88671875" style="7001" customWidth="1"/>
    <col min="6151" max="6151" width="9.109375" style="7001"/>
    <col min="6152" max="6152" width="13.109375" style="7001" customWidth="1"/>
    <col min="6153" max="6154" width="11.44140625" style="7001" customWidth="1"/>
    <col min="6155" max="6400" width="9.109375" style="7001"/>
    <col min="6401" max="6401" width="33" style="7001" customWidth="1"/>
    <col min="6402" max="6403" width="9.109375" style="7001"/>
    <col min="6404" max="6404" width="13" style="7001" customWidth="1"/>
    <col min="6405" max="6405" width="14.44140625" style="7001" customWidth="1"/>
    <col min="6406" max="6406" width="15.88671875" style="7001" customWidth="1"/>
    <col min="6407" max="6407" width="9.109375" style="7001"/>
    <col min="6408" max="6408" width="13.109375" style="7001" customWidth="1"/>
    <col min="6409" max="6410" width="11.44140625" style="7001" customWidth="1"/>
    <col min="6411" max="6656" width="9.109375" style="7001"/>
    <col min="6657" max="6657" width="33" style="7001" customWidth="1"/>
    <col min="6658" max="6659" width="9.109375" style="7001"/>
    <col min="6660" max="6660" width="13" style="7001" customWidth="1"/>
    <col min="6661" max="6661" width="14.44140625" style="7001" customWidth="1"/>
    <col min="6662" max="6662" width="15.88671875" style="7001" customWidth="1"/>
    <col min="6663" max="6663" width="9.109375" style="7001"/>
    <col min="6664" max="6664" width="13.109375" style="7001" customWidth="1"/>
    <col min="6665" max="6666" width="11.44140625" style="7001" customWidth="1"/>
    <col min="6667" max="6912" width="9.109375" style="7001"/>
    <col min="6913" max="6913" width="33" style="7001" customWidth="1"/>
    <col min="6914" max="6915" width="9.109375" style="7001"/>
    <col min="6916" max="6916" width="13" style="7001" customWidth="1"/>
    <col min="6917" max="6917" width="14.44140625" style="7001" customWidth="1"/>
    <col min="6918" max="6918" width="15.88671875" style="7001" customWidth="1"/>
    <col min="6919" max="6919" width="9.109375" style="7001"/>
    <col min="6920" max="6920" width="13.109375" style="7001" customWidth="1"/>
    <col min="6921" max="6922" width="11.44140625" style="7001" customWidth="1"/>
    <col min="6923" max="7168" width="9.109375" style="7001"/>
    <col min="7169" max="7169" width="33" style="7001" customWidth="1"/>
    <col min="7170" max="7171" width="9.109375" style="7001"/>
    <col min="7172" max="7172" width="13" style="7001" customWidth="1"/>
    <col min="7173" max="7173" width="14.44140625" style="7001" customWidth="1"/>
    <col min="7174" max="7174" width="15.88671875" style="7001" customWidth="1"/>
    <col min="7175" max="7175" width="9.109375" style="7001"/>
    <col min="7176" max="7176" width="13.109375" style="7001" customWidth="1"/>
    <col min="7177" max="7178" width="11.44140625" style="7001" customWidth="1"/>
    <col min="7179" max="7424" width="9.109375" style="7001"/>
    <col min="7425" max="7425" width="33" style="7001" customWidth="1"/>
    <col min="7426" max="7427" width="9.109375" style="7001"/>
    <col min="7428" max="7428" width="13" style="7001" customWidth="1"/>
    <col min="7429" max="7429" width="14.44140625" style="7001" customWidth="1"/>
    <col min="7430" max="7430" width="15.88671875" style="7001" customWidth="1"/>
    <col min="7431" max="7431" width="9.109375" style="7001"/>
    <col min="7432" max="7432" width="13.109375" style="7001" customWidth="1"/>
    <col min="7433" max="7434" width="11.44140625" style="7001" customWidth="1"/>
    <col min="7435" max="7680" width="9.109375" style="7001"/>
    <col min="7681" max="7681" width="33" style="7001" customWidth="1"/>
    <col min="7682" max="7683" width="9.109375" style="7001"/>
    <col min="7684" max="7684" width="13" style="7001" customWidth="1"/>
    <col min="7685" max="7685" width="14.44140625" style="7001" customWidth="1"/>
    <col min="7686" max="7686" width="15.88671875" style="7001" customWidth="1"/>
    <col min="7687" max="7687" width="9.109375" style="7001"/>
    <col min="7688" max="7688" width="13.109375" style="7001" customWidth="1"/>
    <col min="7689" max="7690" width="11.44140625" style="7001" customWidth="1"/>
    <col min="7691" max="7936" width="9.109375" style="7001"/>
    <col min="7937" max="7937" width="33" style="7001" customWidth="1"/>
    <col min="7938" max="7939" width="9.109375" style="7001"/>
    <col min="7940" max="7940" width="13" style="7001" customWidth="1"/>
    <col min="7941" max="7941" width="14.44140625" style="7001" customWidth="1"/>
    <col min="7942" max="7942" width="15.88671875" style="7001" customWidth="1"/>
    <col min="7943" max="7943" width="9.109375" style="7001"/>
    <col min="7944" max="7944" width="13.109375" style="7001" customWidth="1"/>
    <col min="7945" max="7946" width="11.44140625" style="7001" customWidth="1"/>
    <col min="7947" max="8192" width="9.109375" style="7001"/>
    <col min="8193" max="8193" width="33" style="7001" customWidth="1"/>
    <col min="8194" max="8195" width="9.109375" style="7001"/>
    <col min="8196" max="8196" width="13" style="7001" customWidth="1"/>
    <col min="8197" max="8197" width="14.44140625" style="7001" customWidth="1"/>
    <col min="8198" max="8198" width="15.88671875" style="7001" customWidth="1"/>
    <col min="8199" max="8199" width="9.109375" style="7001"/>
    <col min="8200" max="8200" width="13.109375" style="7001" customWidth="1"/>
    <col min="8201" max="8202" width="11.44140625" style="7001" customWidth="1"/>
    <col min="8203" max="8448" width="9.109375" style="7001"/>
    <col min="8449" max="8449" width="33" style="7001" customWidth="1"/>
    <col min="8450" max="8451" width="9.109375" style="7001"/>
    <col min="8452" max="8452" width="13" style="7001" customWidth="1"/>
    <col min="8453" max="8453" width="14.44140625" style="7001" customWidth="1"/>
    <col min="8454" max="8454" width="15.88671875" style="7001" customWidth="1"/>
    <col min="8455" max="8455" width="9.109375" style="7001"/>
    <col min="8456" max="8456" width="13.109375" style="7001" customWidth="1"/>
    <col min="8457" max="8458" width="11.44140625" style="7001" customWidth="1"/>
    <col min="8459" max="8704" width="9.109375" style="7001"/>
    <col min="8705" max="8705" width="33" style="7001" customWidth="1"/>
    <col min="8706" max="8707" width="9.109375" style="7001"/>
    <col min="8708" max="8708" width="13" style="7001" customWidth="1"/>
    <col min="8709" max="8709" width="14.44140625" style="7001" customWidth="1"/>
    <col min="8710" max="8710" width="15.88671875" style="7001" customWidth="1"/>
    <col min="8711" max="8711" width="9.109375" style="7001"/>
    <col min="8712" max="8712" width="13.109375" style="7001" customWidth="1"/>
    <col min="8713" max="8714" width="11.44140625" style="7001" customWidth="1"/>
    <col min="8715" max="8960" width="9.109375" style="7001"/>
    <col min="8961" max="8961" width="33" style="7001" customWidth="1"/>
    <col min="8962" max="8963" width="9.109375" style="7001"/>
    <col min="8964" max="8964" width="13" style="7001" customWidth="1"/>
    <col min="8965" max="8965" width="14.44140625" style="7001" customWidth="1"/>
    <col min="8966" max="8966" width="15.88671875" style="7001" customWidth="1"/>
    <col min="8967" max="8967" width="9.109375" style="7001"/>
    <col min="8968" max="8968" width="13.109375" style="7001" customWidth="1"/>
    <col min="8969" max="8970" width="11.44140625" style="7001" customWidth="1"/>
    <col min="8971" max="9216" width="9.109375" style="7001"/>
    <col min="9217" max="9217" width="33" style="7001" customWidth="1"/>
    <col min="9218" max="9219" width="9.109375" style="7001"/>
    <col min="9220" max="9220" width="13" style="7001" customWidth="1"/>
    <col min="9221" max="9221" width="14.44140625" style="7001" customWidth="1"/>
    <col min="9222" max="9222" width="15.88671875" style="7001" customWidth="1"/>
    <col min="9223" max="9223" width="9.109375" style="7001"/>
    <col min="9224" max="9224" width="13.109375" style="7001" customWidth="1"/>
    <col min="9225" max="9226" width="11.44140625" style="7001" customWidth="1"/>
    <col min="9227" max="9472" width="9.109375" style="7001"/>
    <col min="9473" max="9473" width="33" style="7001" customWidth="1"/>
    <col min="9474" max="9475" width="9.109375" style="7001"/>
    <col min="9476" max="9476" width="13" style="7001" customWidth="1"/>
    <col min="9477" max="9477" width="14.44140625" style="7001" customWidth="1"/>
    <col min="9478" max="9478" width="15.88671875" style="7001" customWidth="1"/>
    <col min="9479" max="9479" width="9.109375" style="7001"/>
    <col min="9480" max="9480" width="13.109375" style="7001" customWidth="1"/>
    <col min="9481" max="9482" width="11.44140625" style="7001" customWidth="1"/>
    <col min="9483" max="9728" width="9.109375" style="7001"/>
    <col min="9729" max="9729" width="33" style="7001" customWidth="1"/>
    <col min="9730" max="9731" width="9.109375" style="7001"/>
    <col min="9732" max="9732" width="13" style="7001" customWidth="1"/>
    <col min="9733" max="9733" width="14.44140625" style="7001" customWidth="1"/>
    <col min="9734" max="9734" width="15.88671875" style="7001" customWidth="1"/>
    <col min="9735" max="9735" width="9.109375" style="7001"/>
    <col min="9736" max="9736" width="13.109375" style="7001" customWidth="1"/>
    <col min="9737" max="9738" width="11.44140625" style="7001" customWidth="1"/>
    <col min="9739" max="9984" width="9.109375" style="7001"/>
    <col min="9985" max="9985" width="33" style="7001" customWidth="1"/>
    <col min="9986" max="9987" width="9.109375" style="7001"/>
    <col min="9988" max="9988" width="13" style="7001" customWidth="1"/>
    <col min="9989" max="9989" width="14.44140625" style="7001" customWidth="1"/>
    <col min="9990" max="9990" width="15.88671875" style="7001" customWidth="1"/>
    <col min="9991" max="9991" width="9.109375" style="7001"/>
    <col min="9992" max="9992" width="13.109375" style="7001" customWidth="1"/>
    <col min="9993" max="9994" width="11.44140625" style="7001" customWidth="1"/>
    <col min="9995" max="10240" width="9.109375" style="7001"/>
    <col min="10241" max="10241" width="33" style="7001" customWidth="1"/>
    <col min="10242" max="10243" width="9.109375" style="7001"/>
    <col min="10244" max="10244" width="13" style="7001" customWidth="1"/>
    <col min="10245" max="10245" width="14.44140625" style="7001" customWidth="1"/>
    <col min="10246" max="10246" width="15.88671875" style="7001" customWidth="1"/>
    <col min="10247" max="10247" width="9.109375" style="7001"/>
    <col min="10248" max="10248" width="13.109375" style="7001" customWidth="1"/>
    <col min="10249" max="10250" width="11.44140625" style="7001" customWidth="1"/>
    <col min="10251" max="10496" width="9.109375" style="7001"/>
    <col min="10497" max="10497" width="33" style="7001" customWidth="1"/>
    <col min="10498" max="10499" width="9.109375" style="7001"/>
    <col min="10500" max="10500" width="13" style="7001" customWidth="1"/>
    <col min="10501" max="10501" width="14.44140625" style="7001" customWidth="1"/>
    <col min="10502" max="10502" width="15.88671875" style="7001" customWidth="1"/>
    <col min="10503" max="10503" width="9.109375" style="7001"/>
    <col min="10504" max="10504" width="13.109375" style="7001" customWidth="1"/>
    <col min="10505" max="10506" width="11.44140625" style="7001" customWidth="1"/>
    <col min="10507" max="10752" width="9.109375" style="7001"/>
    <col min="10753" max="10753" width="33" style="7001" customWidth="1"/>
    <col min="10754" max="10755" width="9.109375" style="7001"/>
    <col min="10756" max="10756" width="13" style="7001" customWidth="1"/>
    <col min="10757" max="10757" width="14.44140625" style="7001" customWidth="1"/>
    <col min="10758" max="10758" width="15.88671875" style="7001" customWidth="1"/>
    <col min="10759" max="10759" width="9.109375" style="7001"/>
    <col min="10760" max="10760" width="13.109375" style="7001" customWidth="1"/>
    <col min="10761" max="10762" width="11.44140625" style="7001" customWidth="1"/>
    <col min="10763" max="11008" width="9.109375" style="7001"/>
    <col min="11009" max="11009" width="33" style="7001" customWidth="1"/>
    <col min="11010" max="11011" width="9.109375" style="7001"/>
    <col min="11012" max="11012" width="13" style="7001" customWidth="1"/>
    <col min="11013" max="11013" width="14.44140625" style="7001" customWidth="1"/>
    <col min="11014" max="11014" width="15.88671875" style="7001" customWidth="1"/>
    <col min="11015" max="11015" width="9.109375" style="7001"/>
    <col min="11016" max="11016" width="13.109375" style="7001" customWidth="1"/>
    <col min="11017" max="11018" width="11.44140625" style="7001" customWidth="1"/>
    <col min="11019" max="11264" width="9.109375" style="7001"/>
    <col min="11265" max="11265" width="33" style="7001" customWidth="1"/>
    <col min="11266" max="11267" width="9.109375" style="7001"/>
    <col min="11268" max="11268" width="13" style="7001" customWidth="1"/>
    <col min="11269" max="11269" width="14.44140625" style="7001" customWidth="1"/>
    <col min="11270" max="11270" width="15.88671875" style="7001" customWidth="1"/>
    <col min="11271" max="11271" width="9.109375" style="7001"/>
    <col min="11272" max="11272" width="13.109375" style="7001" customWidth="1"/>
    <col min="11273" max="11274" width="11.44140625" style="7001" customWidth="1"/>
    <col min="11275" max="11520" width="9.109375" style="7001"/>
    <col min="11521" max="11521" width="33" style="7001" customWidth="1"/>
    <col min="11522" max="11523" width="9.109375" style="7001"/>
    <col min="11524" max="11524" width="13" style="7001" customWidth="1"/>
    <col min="11525" max="11525" width="14.44140625" style="7001" customWidth="1"/>
    <col min="11526" max="11526" width="15.88671875" style="7001" customWidth="1"/>
    <col min="11527" max="11527" width="9.109375" style="7001"/>
    <col min="11528" max="11528" width="13.109375" style="7001" customWidth="1"/>
    <col min="11529" max="11530" width="11.44140625" style="7001" customWidth="1"/>
    <col min="11531" max="11776" width="9.109375" style="7001"/>
    <col min="11777" max="11777" width="33" style="7001" customWidth="1"/>
    <col min="11778" max="11779" width="9.109375" style="7001"/>
    <col min="11780" max="11780" width="13" style="7001" customWidth="1"/>
    <col min="11781" max="11781" width="14.44140625" style="7001" customWidth="1"/>
    <col min="11782" max="11782" width="15.88671875" style="7001" customWidth="1"/>
    <col min="11783" max="11783" width="9.109375" style="7001"/>
    <col min="11784" max="11784" width="13.109375" style="7001" customWidth="1"/>
    <col min="11785" max="11786" width="11.44140625" style="7001" customWidth="1"/>
    <col min="11787" max="12032" width="9.109375" style="7001"/>
    <col min="12033" max="12033" width="33" style="7001" customWidth="1"/>
    <col min="12034" max="12035" width="9.109375" style="7001"/>
    <col min="12036" max="12036" width="13" style="7001" customWidth="1"/>
    <col min="12037" max="12037" width="14.44140625" style="7001" customWidth="1"/>
    <col min="12038" max="12038" width="15.88671875" style="7001" customWidth="1"/>
    <col min="12039" max="12039" width="9.109375" style="7001"/>
    <col min="12040" max="12040" width="13.109375" style="7001" customWidth="1"/>
    <col min="12041" max="12042" width="11.44140625" style="7001" customWidth="1"/>
    <col min="12043" max="12288" width="9.109375" style="7001"/>
    <col min="12289" max="12289" width="33" style="7001" customWidth="1"/>
    <col min="12290" max="12291" width="9.109375" style="7001"/>
    <col min="12292" max="12292" width="13" style="7001" customWidth="1"/>
    <col min="12293" max="12293" width="14.44140625" style="7001" customWidth="1"/>
    <col min="12294" max="12294" width="15.88671875" style="7001" customWidth="1"/>
    <col min="12295" max="12295" width="9.109375" style="7001"/>
    <col min="12296" max="12296" width="13.109375" style="7001" customWidth="1"/>
    <col min="12297" max="12298" width="11.44140625" style="7001" customWidth="1"/>
    <col min="12299" max="12544" width="9.109375" style="7001"/>
    <col min="12545" max="12545" width="33" style="7001" customWidth="1"/>
    <col min="12546" max="12547" width="9.109375" style="7001"/>
    <col min="12548" max="12548" width="13" style="7001" customWidth="1"/>
    <col min="12549" max="12549" width="14.44140625" style="7001" customWidth="1"/>
    <col min="12550" max="12550" width="15.88671875" style="7001" customWidth="1"/>
    <col min="12551" max="12551" width="9.109375" style="7001"/>
    <col min="12552" max="12552" width="13.109375" style="7001" customWidth="1"/>
    <col min="12553" max="12554" width="11.44140625" style="7001" customWidth="1"/>
    <col min="12555" max="12800" width="9.109375" style="7001"/>
    <col min="12801" max="12801" width="33" style="7001" customWidth="1"/>
    <col min="12802" max="12803" width="9.109375" style="7001"/>
    <col min="12804" max="12804" width="13" style="7001" customWidth="1"/>
    <col min="12805" max="12805" width="14.44140625" style="7001" customWidth="1"/>
    <col min="12806" max="12806" width="15.88671875" style="7001" customWidth="1"/>
    <col min="12807" max="12807" width="9.109375" style="7001"/>
    <col min="12808" max="12808" width="13.109375" style="7001" customWidth="1"/>
    <col min="12809" max="12810" width="11.44140625" style="7001" customWidth="1"/>
    <col min="12811" max="13056" width="9.109375" style="7001"/>
    <col min="13057" max="13057" width="33" style="7001" customWidth="1"/>
    <col min="13058" max="13059" width="9.109375" style="7001"/>
    <col min="13060" max="13060" width="13" style="7001" customWidth="1"/>
    <col min="13061" max="13061" width="14.44140625" style="7001" customWidth="1"/>
    <col min="13062" max="13062" width="15.88671875" style="7001" customWidth="1"/>
    <col min="13063" max="13063" width="9.109375" style="7001"/>
    <col min="13064" max="13064" width="13.109375" style="7001" customWidth="1"/>
    <col min="13065" max="13066" width="11.44140625" style="7001" customWidth="1"/>
    <col min="13067" max="13312" width="9.109375" style="7001"/>
    <col min="13313" max="13313" width="33" style="7001" customWidth="1"/>
    <col min="13314" max="13315" width="9.109375" style="7001"/>
    <col min="13316" max="13316" width="13" style="7001" customWidth="1"/>
    <col min="13317" max="13317" width="14.44140625" style="7001" customWidth="1"/>
    <col min="13318" max="13318" width="15.88671875" style="7001" customWidth="1"/>
    <col min="13319" max="13319" width="9.109375" style="7001"/>
    <col min="13320" max="13320" width="13.109375" style="7001" customWidth="1"/>
    <col min="13321" max="13322" width="11.44140625" style="7001" customWidth="1"/>
    <col min="13323" max="13568" width="9.109375" style="7001"/>
    <col min="13569" max="13569" width="33" style="7001" customWidth="1"/>
    <col min="13570" max="13571" width="9.109375" style="7001"/>
    <col min="13572" max="13572" width="13" style="7001" customWidth="1"/>
    <col min="13573" max="13573" width="14.44140625" style="7001" customWidth="1"/>
    <col min="13574" max="13574" width="15.88671875" style="7001" customWidth="1"/>
    <col min="13575" max="13575" width="9.109375" style="7001"/>
    <col min="13576" max="13576" width="13.109375" style="7001" customWidth="1"/>
    <col min="13577" max="13578" width="11.44140625" style="7001" customWidth="1"/>
    <col min="13579" max="13824" width="9.109375" style="7001"/>
    <col min="13825" max="13825" width="33" style="7001" customWidth="1"/>
    <col min="13826" max="13827" width="9.109375" style="7001"/>
    <col min="13828" max="13828" width="13" style="7001" customWidth="1"/>
    <col min="13829" max="13829" width="14.44140625" style="7001" customWidth="1"/>
    <col min="13830" max="13830" width="15.88671875" style="7001" customWidth="1"/>
    <col min="13831" max="13831" width="9.109375" style="7001"/>
    <col min="13832" max="13832" width="13.109375" style="7001" customWidth="1"/>
    <col min="13833" max="13834" width="11.44140625" style="7001" customWidth="1"/>
    <col min="13835" max="14080" width="9.109375" style="7001"/>
    <col min="14081" max="14081" width="33" style="7001" customWidth="1"/>
    <col min="14082" max="14083" width="9.109375" style="7001"/>
    <col min="14084" max="14084" width="13" style="7001" customWidth="1"/>
    <col min="14085" max="14085" width="14.44140625" style="7001" customWidth="1"/>
    <col min="14086" max="14086" width="15.88671875" style="7001" customWidth="1"/>
    <col min="14087" max="14087" width="9.109375" style="7001"/>
    <col min="14088" max="14088" width="13.109375" style="7001" customWidth="1"/>
    <col min="14089" max="14090" width="11.44140625" style="7001" customWidth="1"/>
    <col min="14091" max="14336" width="9.109375" style="7001"/>
    <col min="14337" max="14337" width="33" style="7001" customWidth="1"/>
    <col min="14338" max="14339" width="9.109375" style="7001"/>
    <col min="14340" max="14340" width="13" style="7001" customWidth="1"/>
    <col min="14341" max="14341" width="14.44140625" style="7001" customWidth="1"/>
    <col min="14342" max="14342" width="15.88671875" style="7001" customWidth="1"/>
    <col min="14343" max="14343" width="9.109375" style="7001"/>
    <col min="14344" max="14344" width="13.109375" style="7001" customWidth="1"/>
    <col min="14345" max="14346" width="11.44140625" style="7001" customWidth="1"/>
    <col min="14347" max="14592" width="9.109375" style="7001"/>
    <col min="14593" max="14593" width="33" style="7001" customWidth="1"/>
    <col min="14594" max="14595" width="9.109375" style="7001"/>
    <col min="14596" max="14596" width="13" style="7001" customWidth="1"/>
    <col min="14597" max="14597" width="14.44140625" style="7001" customWidth="1"/>
    <col min="14598" max="14598" width="15.88671875" style="7001" customWidth="1"/>
    <col min="14599" max="14599" width="9.109375" style="7001"/>
    <col min="14600" max="14600" width="13.109375" style="7001" customWidth="1"/>
    <col min="14601" max="14602" width="11.44140625" style="7001" customWidth="1"/>
    <col min="14603" max="14848" width="9.109375" style="7001"/>
    <col min="14849" max="14849" width="33" style="7001" customWidth="1"/>
    <col min="14850" max="14851" width="9.109375" style="7001"/>
    <col min="14852" max="14852" width="13" style="7001" customWidth="1"/>
    <col min="14853" max="14853" width="14.44140625" style="7001" customWidth="1"/>
    <col min="14854" max="14854" width="15.88671875" style="7001" customWidth="1"/>
    <col min="14855" max="14855" width="9.109375" style="7001"/>
    <col min="14856" max="14856" width="13.109375" style="7001" customWidth="1"/>
    <col min="14857" max="14858" width="11.44140625" style="7001" customWidth="1"/>
    <col min="14859" max="15104" width="9.109375" style="7001"/>
    <col min="15105" max="15105" width="33" style="7001" customWidth="1"/>
    <col min="15106" max="15107" width="9.109375" style="7001"/>
    <col min="15108" max="15108" width="13" style="7001" customWidth="1"/>
    <col min="15109" max="15109" width="14.44140625" style="7001" customWidth="1"/>
    <col min="15110" max="15110" width="15.88671875" style="7001" customWidth="1"/>
    <col min="15111" max="15111" width="9.109375" style="7001"/>
    <col min="15112" max="15112" width="13.109375" style="7001" customWidth="1"/>
    <col min="15113" max="15114" width="11.44140625" style="7001" customWidth="1"/>
    <col min="15115" max="15360" width="9.109375" style="7001"/>
    <col min="15361" max="15361" width="33" style="7001" customWidth="1"/>
    <col min="15362" max="15363" width="9.109375" style="7001"/>
    <col min="15364" max="15364" width="13" style="7001" customWidth="1"/>
    <col min="15365" max="15365" width="14.44140625" style="7001" customWidth="1"/>
    <col min="15366" max="15366" width="15.88671875" style="7001" customWidth="1"/>
    <col min="15367" max="15367" width="9.109375" style="7001"/>
    <col min="15368" max="15368" width="13.109375" style="7001" customWidth="1"/>
    <col min="15369" max="15370" width="11.44140625" style="7001" customWidth="1"/>
    <col min="15371" max="15616" width="9.109375" style="7001"/>
    <col min="15617" max="15617" width="33" style="7001" customWidth="1"/>
    <col min="15618" max="15619" width="9.109375" style="7001"/>
    <col min="15620" max="15620" width="13" style="7001" customWidth="1"/>
    <col min="15621" max="15621" width="14.44140625" style="7001" customWidth="1"/>
    <col min="15622" max="15622" width="15.88671875" style="7001" customWidth="1"/>
    <col min="15623" max="15623" width="9.109375" style="7001"/>
    <col min="15624" max="15624" width="13.109375" style="7001" customWidth="1"/>
    <col min="15625" max="15626" width="11.44140625" style="7001" customWidth="1"/>
    <col min="15627" max="15872" width="9.109375" style="7001"/>
    <col min="15873" max="15873" width="33" style="7001" customWidth="1"/>
    <col min="15874" max="15875" width="9.109375" style="7001"/>
    <col min="15876" max="15876" width="13" style="7001" customWidth="1"/>
    <col min="15877" max="15877" width="14.44140625" style="7001" customWidth="1"/>
    <col min="15878" max="15878" width="15.88671875" style="7001" customWidth="1"/>
    <col min="15879" max="15879" width="9.109375" style="7001"/>
    <col min="15880" max="15880" width="13.109375" style="7001" customWidth="1"/>
    <col min="15881" max="15882" width="11.44140625" style="7001" customWidth="1"/>
    <col min="15883" max="16128" width="9.109375" style="7001"/>
    <col min="16129" max="16129" width="33" style="7001" customWidth="1"/>
    <col min="16130" max="16131" width="9.109375" style="7001"/>
    <col min="16132" max="16132" width="13" style="7001" customWidth="1"/>
    <col min="16133" max="16133" width="14.44140625" style="7001" customWidth="1"/>
    <col min="16134" max="16134" width="15.88671875" style="7001" customWidth="1"/>
    <col min="16135" max="16135" width="9.109375" style="7001"/>
    <col min="16136" max="16136" width="13.109375" style="7001" customWidth="1"/>
    <col min="16137" max="16138" width="11.44140625" style="7001" customWidth="1"/>
    <col min="16139" max="16384" width="9.109375" style="7001"/>
  </cols>
  <sheetData>
    <row r="1" spans="1:8" ht="12.9" customHeight="1">
      <c r="A1" s="14395" t="s">
        <v>1087</v>
      </c>
      <c r="B1" s="14395"/>
      <c r="C1" s="14395"/>
      <c r="D1" s="14395"/>
      <c r="E1" s="14395"/>
      <c r="F1" s="14395"/>
    </row>
    <row r="3" spans="1:8" ht="12.9" customHeight="1">
      <c r="A3" s="7162" t="s">
        <v>1446</v>
      </c>
    </row>
    <row r="4" spans="1:8" ht="9.9" customHeight="1" thickBot="1"/>
    <row r="5" spans="1:8" ht="12.9" customHeight="1">
      <c r="A5" s="9675" t="s">
        <v>842</v>
      </c>
      <c r="B5" s="10713" t="s">
        <v>1035</v>
      </c>
      <c r="C5" s="10713" t="s">
        <v>1036</v>
      </c>
      <c r="D5" s="14393" t="s">
        <v>10555</v>
      </c>
      <c r="E5" s="14393"/>
      <c r="F5" s="14394"/>
    </row>
    <row r="6" spans="1:8" ht="12.9" customHeight="1" thickBot="1">
      <c r="A6" s="9679" t="s">
        <v>1088</v>
      </c>
      <c r="B6" s="9755" t="s">
        <v>9</v>
      </c>
      <c r="C6" s="9755" t="s">
        <v>1039</v>
      </c>
      <c r="D6" s="9680" t="s">
        <v>10</v>
      </c>
      <c r="E6" s="9755" t="s">
        <v>11</v>
      </c>
      <c r="F6" s="9756" t="s">
        <v>11621</v>
      </c>
    </row>
    <row r="7" spans="1:8" ht="12.9" customHeight="1">
      <c r="A7" s="7248" t="s">
        <v>1139</v>
      </c>
      <c r="B7" s="9665"/>
      <c r="C7" s="9665"/>
      <c r="D7" s="9795"/>
      <c r="E7" s="9795"/>
      <c r="F7" s="9796"/>
    </row>
    <row r="8" spans="1:8" ht="12.9" customHeight="1">
      <c r="A8" s="6230" t="s">
        <v>1149</v>
      </c>
      <c r="B8" s="7174"/>
      <c r="C8" s="7174"/>
      <c r="D8" s="9797"/>
      <c r="E8" s="9797"/>
      <c r="F8" s="9798"/>
    </row>
    <row r="9" spans="1:8" ht="12.9" customHeight="1">
      <c r="A9" s="7231" t="s">
        <v>1402</v>
      </c>
      <c r="B9" s="7172">
        <v>1</v>
      </c>
      <c r="C9" s="7172">
        <v>26</v>
      </c>
      <c r="D9" s="7178">
        <v>1000356</v>
      </c>
      <c r="E9" s="7178">
        <v>1173060</v>
      </c>
      <c r="F9" s="7246">
        <v>1375584</v>
      </c>
      <c r="G9" s="7001">
        <f>SUM(B9)</f>
        <v>1</v>
      </c>
      <c r="H9" s="7164">
        <f>SUM(F9)</f>
        <v>1375584</v>
      </c>
    </row>
    <row r="10" spans="1:8" ht="4.5" customHeight="1">
      <c r="A10" s="7231"/>
      <c r="B10" s="7174"/>
      <c r="C10" s="7174"/>
      <c r="D10" s="9797"/>
      <c r="E10" s="9797"/>
      <c r="F10" s="9798"/>
    </row>
    <row r="11" spans="1:8" ht="12.9" customHeight="1">
      <c r="A11" s="6230" t="s">
        <v>1151</v>
      </c>
      <c r="B11" s="7174"/>
      <c r="C11" s="7174"/>
      <c r="D11" s="9797"/>
      <c r="E11" s="9797"/>
      <c r="F11" s="9798"/>
    </row>
    <row r="12" spans="1:8" ht="12.9" customHeight="1">
      <c r="A12" s="6230" t="s">
        <v>1109</v>
      </c>
      <c r="B12" s="7174"/>
      <c r="C12" s="7174"/>
      <c r="D12" s="9797"/>
      <c r="E12" s="9797"/>
      <c r="F12" s="9798"/>
    </row>
    <row r="13" spans="1:8" ht="12.9" customHeight="1">
      <c r="A13" s="7231" t="s">
        <v>1430</v>
      </c>
      <c r="B13" s="7172">
        <v>2</v>
      </c>
      <c r="C13" s="7172">
        <v>22</v>
      </c>
      <c r="D13" s="7178">
        <v>1374324</v>
      </c>
      <c r="E13" s="7178">
        <v>781944</v>
      </c>
      <c r="F13" s="7246">
        <v>1661712</v>
      </c>
    </row>
    <row r="14" spans="1:8" ht="12.9" hidden="1" customHeight="1">
      <c r="A14" s="7231" t="s">
        <v>1447</v>
      </c>
      <c r="B14" s="7172">
        <v>0</v>
      </c>
      <c r="C14" s="7172">
        <v>19</v>
      </c>
      <c r="D14" s="7178">
        <v>0</v>
      </c>
      <c r="E14" s="7178">
        <v>0</v>
      </c>
      <c r="F14" s="7246">
        <v>0</v>
      </c>
    </row>
    <row r="15" spans="1:8" ht="12.9" customHeight="1">
      <c r="A15" s="7231" t="s">
        <v>1448</v>
      </c>
      <c r="B15" s="7172">
        <v>3</v>
      </c>
      <c r="C15" s="7172">
        <v>16</v>
      </c>
      <c r="D15" s="7178">
        <v>1094292</v>
      </c>
      <c r="E15" s="7178">
        <v>1157364</v>
      </c>
      <c r="F15" s="7246">
        <v>1229172</v>
      </c>
    </row>
    <row r="16" spans="1:8" ht="12.9" customHeight="1">
      <c r="A16" s="7231" t="s">
        <v>1449</v>
      </c>
      <c r="B16" s="7172">
        <v>2</v>
      </c>
      <c r="C16" s="7172">
        <v>12</v>
      </c>
      <c r="D16" s="7178">
        <v>534084</v>
      </c>
      <c r="E16" s="7178">
        <v>554304</v>
      </c>
      <c r="F16" s="7246">
        <v>575292</v>
      </c>
      <c r="G16" s="7001">
        <f>SUM(B13:B16)</f>
        <v>7</v>
      </c>
      <c r="H16" s="7164">
        <f>SUM(F13:F16)</f>
        <v>3466176</v>
      </c>
    </row>
    <row r="17" spans="1:10" ht="3.9" customHeight="1">
      <c r="A17" s="7231"/>
      <c r="B17" s="7172"/>
      <c r="C17" s="7172"/>
      <c r="D17" s="7178"/>
      <c r="E17" s="7178"/>
      <c r="F17" s="7246"/>
    </row>
    <row r="18" spans="1:10" ht="12.9" customHeight="1">
      <c r="A18" s="6230" t="s">
        <v>1152</v>
      </c>
      <c r="B18" s="7172"/>
      <c r="C18" s="7172"/>
      <c r="D18" s="7178"/>
      <c r="E18" s="7178"/>
      <c r="F18" s="7246"/>
    </row>
    <row r="19" spans="1:10" ht="12.9" customHeight="1">
      <c r="A19" s="7231" t="s">
        <v>1450</v>
      </c>
      <c r="B19" s="7172">
        <v>1</v>
      </c>
      <c r="C19" s="7172">
        <v>9</v>
      </c>
      <c r="D19" s="7178">
        <v>0</v>
      </c>
      <c r="E19" s="7178">
        <v>0</v>
      </c>
      <c r="F19" s="7246">
        <v>215700</v>
      </c>
      <c r="H19" s="6235"/>
      <c r="I19" s="6235"/>
      <c r="J19" s="6235"/>
    </row>
    <row r="20" spans="1:10" ht="12.9" customHeight="1">
      <c r="A20" s="7231" t="s">
        <v>1451</v>
      </c>
      <c r="B20" s="7172">
        <v>1</v>
      </c>
      <c r="C20" s="7172">
        <v>9</v>
      </c>
      <c r="D20" s="7178">
        <v>215316</v>
      </c>
      <c r="E20" s="7178">
        <v>220956</v>
      </c>
      <c r="F20" s="7246">
        <v>226752</v>
      </c>
      <c r="H20" s="7267"/>
      <c r="I20" s="7267"/>
      <c r="J20" s="7267"/>
    </row>
    <row r="21" spans="1:10" ht="12.9" customHeight="1">
      <c r="A21" s="7231" t="s">
        <v>1452</v>
      </c>
      <c r="B21" s="7172">
        <v>15</v>
      </c>
      <c r="C21" s="7172">
        <v>6</v>
      </c>
      <c r="D21" s="7178">
        <v>2234232</v>
      </c>
      <c r="E21" s="7178">
        <v>2315544</v>
      </c>
      <c r="F21" s="7246">
        <v>2751876</v>
      </c>
      <c r="H21" s="7267"/>
      <c r="I21" s="7267"/>
      <c r="J21" s="7267"/>
    </row>
    <row r="22" spans="1:10" ht="12.9" customHeight="1">
      <c r="A22" s="7231" t="s">
        <v>1235</v>
      </c>
      <c r="B22" s="7172">
        <v>9</v>
      </c>
      <c r="C22" s="7172">
        <v>6</v>
      </c>
      <c r="D22" s="7178">
        <v>1391376</v>
      </c>
      <c r="E22" s="7178">
        <v>1609764</v>
      </c>
      <c r="F22" s="7246">
        <v>1663524</v>
      </c>
      <c r="H22" s="7267"/>
      <c r="I22" s="7267"/>
      <c r="J22" s="7267"/>
    </row>
    <row r="23" spans="1:10" ht="12.9" customHeight="1">
      <c r="A23" s="7231" t="s">
        <v>1453</v>
      </c>
      <c r="B23" s="7172">
        <v>1</v>
      </c>
      <c r="C23" s="7172">
        <v>6</v>
      </c>
      <c r="D23" s="7178">
        <v>173688</v>
      </c>
      <c r="E23" s="7178">
        <v>179304</v>
      </c>
      <c r="F23" s="7246">
        <v>185112</v>
      </c>
      <c r="H23" s="7267"/>
      <c r="I23" s="7267"/>
      <c r="J23" s="7267"/>
    </row>
    <row r="24" spans="1:10" ht="12.9" customHeight="1">
      <c r="A24" s="7231" t="s">
        <v>1454</v>
      </c>
      <c r="B24" s="7172">
        <v>6</v>
      </c>
      <c r="C24" s="7172">
        <v>4</v>
      </c>
      <c r="D24" s="7178">
        <v>750396</v>
      </c>
      <c r="E24" s="7178">
        <v>934296</v>
      </c>
      <c r="F24" s="7246">
        <v>974976</v>
      </c>
      <c r="H24" s="7267"/>
      <c r="I24" s="7267"/>
      <c r="J24" s="7267"/>
    </row>
    <row r="25" spans="1:10" ht="12.9" customHeight="1">
      <c r="A25" s="7231" t="s">
        <v>1455</v>
      </c>
      <c r="B25" s="7172">
        <v>1</v>
      </c>
      <c r="C25" s="7172">
        <v>4</v>
      </c>
      <c r="D25" s="7178">
        <v>147144</v>
      </c>
      <c r="E25" s="7178">
        <v>153336</v>
      </c>
      <c r="F25" s="7246">
        <v>159792</v>
      </c>
      <c r="H25" s="7267"/>
      <c r="I25" s="7267"/>
      <c r="J25" s="7267"/>
    </row>
    <row r="26" spans="1:10" ht="12.9" customHeight="1">
      <c r="A26" s="7231" t="s">
        <v>1456</v>
      </c>
      <c r="B26" s="7172">
        <v>2</v>
      </c>
      <c r="C26" s="7172">
        <v>4</v>
      </c>
      <c r="D26" s="7178">
        <v>155124</v>
      </c>
      <c r="E26" s="7178">
        <v>313176</v>
      </c>
      <c r="F26" s="7246">
        <v>327084</v>
      </c>
      <c r="H26" s="7267"/>
      <c r="I26" s="7267"/>
      <c r="J26" s="7267"/>
    </row>
    <row r="27" spans="1:10" ht="12.9" customHeight="1">
      <c r="A27" s="7231" t="s">
        <v>1380</v>
      </c>
      <c r="B27" s="7172">
        <v>1</v>
      </c>
      <c r="C27" s="7172">
        <v>4</v>
      </c>
      <c r="D27" s="7178">
        <v>145860</v>
      </c>
      <c r="E27" s="7178">
        <v>152088</v>
      </c>
      <c r="F27" s="7246">
        <v>159792</v>
      </c>
      <c r="H27" s="7267"/>
      <c r="I27" s="7267"/>
      <c r="J27" s="7267"/>
    </row>
    <row r="28" spans="1:10" ht="12.9" customHeight="1">
      <c r="A28" s="7231" t="s">
        <v>1457</v>
      </c>
      <c r="B28" s="7172">
        <v>1</v>
      </c>
      <c r="C28" s="7172">
        <v>4</v>
      </c>
      <c r="D28" s="7178">
        <v>155124</v>
      </c>
      <c r="E28" s="7178">
        <v>152088</v>
      </c>
      <c r="F28" s="7246">
        <v>158568</v>
      </c>
      <c r="H28" s="7267"/>
      <c r="I28" s="7267"/>
      <c r="J28" s="7267"/>
    </row>
    <row r="29" spans="1:10" ht="12.9" customHeight="1">
      <c r="A29" s="7231" t="s">
        <v>1209</v>
      </c>
      <c r="B29" s="7172">
        <v>19</v>
      </c>
      <c r="C29" s="7172">
        <v>3</v>
      </c>
      <c r="D29" s="7178">
        <v>2550696</v>
      </c>
      <c r="E29" s="7178">
        <v>2500128</v>
      </c>
      <c r="F29" s="7246">
        <v>2922864</v>
      </c>
      <c r="G29" s="7001">
        <f>SUM(B19:B29)</f>
        <v>57</v>
      </c>
      <c r="H29" s="7267">
        <f>SUM(F19:F29)</f>
        <v>9746040</v>
      </c>
      <c r="I29" s="7267"/>
      <c r="J29" s="7267"/>
    </row>
    <row r="30" spans="1:10" ht="5.0999999999999996" customHeight="1">
      <c r="A30" s="7231"/>
      <c r="B30" s="7172"/>
      <c r="C30" s="7172"/>
      <c r="D30" s="7178"/>
      <c r="E30" s="7178"/>
      <c r="F30" s="7246"/>
      <c r="H30" s="7267"/>
      <c r="I30" s="7267"/>
    </row>
    <row r="31" spans="1:10" ht="12.9" customHeight="1">
      <c r="A31" s="6230" t="s">
        <v>1094</v>
      </c>
      <c r="B31" s="7172"/>
      <c r="C31" s="7172"/>
      <c r="D31" s="7178"/>
      <c r="E31" s="7178"/>
      <c r="F31" s="7246"/>
      <c r="H31" s="7267"/>
      <c r="I31" s="7267"/>
      <c r="J31" s="7267"/>
    </row>
    <row r="32" spans="1:10" ht="12.9" customHeight="1">
      <c r="A32" s="7231" t="s">
        <v>7231</v>
      </c>
      <c r="B32" s="7172">
        <v>1</v>
      </c>
      <c r="C32" s="7172">
        <v>14</v>
      </c>
      <c r="D32" s="7178">
        <v>306876</v>
      </c>
      <c r="E32" s="7178">
        <v>321672</v>
      </c>
      <c r="F32" s="7246">
        <v>341364</v>
      </c>
      <c r="H32" s="7267"/>
      <c r="I32" s="7267"/>
      <c r="J32" s="7267"/>
    </row>
    <row r="33" spans="1:10" ht="12.9" customHeight="1">
      <c r="A33" s="7231" t="s">
        <v>10162</v>
      </c>
      <c r="B33" s="7172">
        <v>1</v>
      </c>
      <c r="C33" s="7172">
        <v>11</v>
      </c>
      <c r="D33" s="7178"/>
      <c r="E33" s="7178">
        <v>242148</v>
      </c>
      <c r="F33" s="7246">
        <v>249048</v>
      </c>
      <c r="H33" s="7267"/>
      <c r="I33" s="7267"/>
      <c r="J33" s="7267"/>
    </row>
    <row r="34" spans="1:10" ht="12.9" customHeight="1">
      <c r="A34" s="7231" t="s">
        <v>1458</v>
      </c>
      <c r="B34" s="7172">
        <v>0</v>
      </c>
      <c r="C34" s="7172">
        <v>8</v>
      </c>
      <c r="D34" s="7178">
        <v>202836</v>
      </c>
      <c r="E34" s="7178">
        <v>0</v>
      </c>
      <c r="F34" s="7246">
        <v>0</v>
      </c>
      <c r="H34" s="7267"/>
      <c r="I34" s="7267"/>
      <c r="J34" s="7267"/>
    </row>
    <row r="35" spans="1:10" ht="12.9" customHeight="1">
      <c r="A35" s="7231" t="s">
        <v>1097</v>
      </c>
      <c r="B35" s="7172">
        <v>2</v>
      </c>
      <c r="C35" s="7172">
        <v>6</v>
      </c>
      <c r="D35" s="7178">
        <v>335364</v>
      </c>
      <c r="E35" s="7178">
        <v>347016</v>
      </c>
      <c r="F35" s="7246">
        <v>360468</v>
      </c>
      <c r="H35" s="7267"/>
      <c r="I35" s="7267"/>
      <c r="J35" s="7267"/>
    </row>
    <row r="36" spans="1:10" ht="12.9" customHeight="1">
      <c r="A36" s="7231" t="s">
        <v>1158</v>
      </c>
      <c r="B36" s="7172">
        <v>6</v>
      </c>
      <c r="C36" s="7172">
        <v>1</v>
      </c>
      <c r="D36" s="7178">
        <v>857352</v>
      </c>
      <c r="E36" s="7178">
        <v>904128</v>
      </c>
      <c r="F36" s="7246">
        <v>821652</v>
      </c>
      <c r="G36" s="7001">
        <f>SUM(B32:B36)</f>
        <v>10</v>
      </c>
      <c r="H36" s="7267">
        <f>SUM(F32:F36)</f>
        <v>1772532</v>
      </c>
      <c r="I36" s="7267"/>
      <c r="J36" s="7267"/>
    </row>
    <row r="37" spans="1:10" ht="12.9" customHeight="1">
      <c r="A37" s="6230" t="s">
        <v>1159</v>
      </c>
      <c r="B37" s="9652">
        <f>SUM(B9:B36)</f>
        <v>75</v>
      </c>
      <c r="C37" s="9686"/>
      <c r="D37" s="9799">
        <f>SUM(D9:D36)</f>
        <v>13624440</v>
      </c>
      <c r="E37" s="9799">
        <f>SUM(E9:E36)</f>
        <v>14012316</v>
      </c>
      <c r="F37" s="9800">
        <f>SUM(F9:F36)</f>
        <v>16360332</v>
      </c>
      <c r="H37" s="7267"/>
      <c r="I37" s="7267"/>
      <c r="J37" s="7267"/>
    </row>
    <row r="38" spans="1:10" ht="5.0999999999999996" customHeight="1">
      <c r="A38" s="6230"/>
      <c r="B38" s="10750"/>
      <c r="C38" s="10835"/>
      <c r="D38" s="10865"/>
      <c r="E38" s="10865"/>
      <c r="F38" s="10862"/>
      <c r="H38" s="7267"/>
      <c r="I38" s="7267"/>
      <c r="J38" s="7267"/>
    </row>
    <row r="39" spans="1:10" ht="12.9" customHeight="1">
      <c r="A39" s="7231" t="s">
        <v>1113</v>
      </c>
      <c r="B39" s="7168" t="s">
        <v>9</v>
      </c>
      <c r="C39" s="7174"/>
      <c r="D39" s="9797"/>
      <c r="E39" s="9797"/>
      <c r="F39" s="9798"/>
    </row>
    <row r="40" spans="1:10" ht="12.9" customHeight="1">
      <c r="A40" s="7231" t="s">
        <v>1430</v>
      </c>
      <c r="B40" s="7172">
        <v>0</v>
      </c>
      <c r="C40" s="7172">
        <v>22</v>
      </c>
      <c r="D40" s="7178">
        <v>0</v>
      </c>
      <c r="E40" s="7178">
        <v>704604</v>
      </c>
      <c r="F40" s="7246">
        <f>-B396</f>
        <v>0</v>
      </c>
    </row>
    <row r="41" spans="1:10" ht="12.9" hidden="1" customHeight="1">
      <c r="A41" s="7231" t="s">
        <v>1448</v>
      </c>
      <c r="B41" s="7172">
        <v>0</v>
      </c>
      <c r="C41" s="7172">
        <v>16</v>
      </c>
      <c r="D41" s="7178">
        <v>0</v>
      </c>
      <c r="E41" s="7178">
        <v>0</v>
      </c>
      <c r="F41" s="7246">
        <v>0</v>
      </c>
    </row>
    <row r="42" spans="1:10" ht="12.9" hidden="1" customHeight="1">
      <c r="A42" s="7231" t="s">
        <v>7231</v>
      </c>
      <c r="B42" s="7172">
        <v>0</v>
      </c>
      <c r="C42" s="7172">
        <v>14</v>
      </c>
      <c r="D42" s="7178">
        <v>0</v>
      </c>
      <c r="E42" s="7178">
        <v>0</v>
      </c>
      <c r="F42" s="7246">
        <v>0</v>
      </c>
    </row>
    <row r="43" spans="1:10" ht="12.9" hidden="1" customHeight="1">
      <c r="A43" s="7231" t="s">
        <v>1203</v>
      </c>
      <c r="B43" s="7172">
        <v>0</v>
      </c>
      <c r="C43" s="7172">
        <v>12</v>
      </c>
      <c r="D43" s="7178">
        <v>0</v>
      </c>
      <c r="E43" s="7178">
        <v>0</v>
      </c>
      <c r="F43" s="7246">
        <v>0</v>
      </c>
    </row>
    <row r="44" spans="1:10" ht="12.9" customHeight="1">
      <c r="A44" s="7231" t="s">
        <v>1134</v>
      </c>
      <c r="B44" s="9403">
        <v>1</v>
      </c>
      <c r="C44" s="9403">
        <v>15</v>
      </c>
      <c r="D44" s="9609"/>
      <c r="E44" s="9609"/>
      <c r="F44" s="10401">
        <v>366372</v>
      </c>
    </row>
    <row r="45" spans="1:10" ht="12.9" customHeight="1">
      <c r="A45" s="7231" t="s">
        <v>10162</v>
      </c>
      <c r="B45" s="7172">
        <v>0</v>
      </c>
      <c r="C45" s="7172">
        <v>11</v>
      </c>
      <c r="D45" s="7178">
        <v>235440</v>
      </c>
      <c r="E45" s="7178">
        <v>0</v>
      </c>
      <c r="F45" s="7246">
        <v>0</v>
      </c>
    </row>
    <row r="46" spans="1:10" ht="12.9" customHeight="1">
      <c r="A46" s="7231" t="s">
        <v>1450</v>
      </c>
      <c r="B46" s="7172">
        <v>0</v>
      </c>
      <c r="C46" s="7172">
        <v>9</v>
      </c>
      <c r="D46" s="7178">
        <v>203832</v>
      </c>
      <c r="E46" s="7178">
        <v>209676</v>
      </c>
      <c r="F46" s="7246">
        <v>0</v>
      </c>
    </row>
    <row r="47" spans="1:10" ht="12.9" customHeight="1">
      <c r="A47" s="7231" t="s">
        <v>1458</v>
      </c>
      <c r="B47" s="7172">
        <v>1</v>
      </c>
      <c r="C47" s="7172">
        <v>8</v>
      </c>
      <c r="D47" s="7178">
        <v>0</v>
      </c>
      <c r="E47" s="7178">
        <v>195384</v>
      </c>
      <c r="F47" s="7246">
        <v>201096</v>
      </c>
      <c r="H47" s="7267"/>
      <c r="I47" s="7267"/>
      <c r="J47" s="7267"/>
    </row>
    <row r="48" spans="1:10" ht="12.9" customHeight="1">
      <c r="A48" s="7231" t="s">
        <v>1235</v>
      </c>
      <c r="B48" s="7172">
        <v>0</v>
      </c>
      <c r="C48" s="7172">
        <v>6</v>
      </c>
      <c r="D48" s="7178">
        <v>166212</v>
      </c>
      <c r="E48" s="7178">
        <v>0</v>
      </c>
      <c r="F48" s="7246">
        <v>0</v>
      </c>
    </row>
    <row r="49" spans="1:10" ht="12.9" customHeight="1">
      <c r="A49" s="7231" t="s">
        <v>1452</v>
      </c>
      <c r="B49" s="7172">
        <v>0</v>
      </c>
      <c r="C49" s="7172">
        <v>6</v>
      </c>
      <c r="D49" s="7178">
        <v>332424</v>
      </c>
      <c r="E49" s="7178">
        <v>344160</v>
      </c>
      <c r="F49" s="7246">
        <v>0</v>
      </c>
    </row>
    <row r="50" spans="1:10" ht="12.9" hidden="1" customHeight="1">
      <c r="A50" s="7231" t="s">
        <v>1097</v>
      </c>
      <c r="B50" s="7172">
        <v>0</v>
      </c>
      <c r="C50" s="7172">
        <v>6</v>
      </c>
      <c r="D50" s="7178">
        <v>0</v>
      </c>
      <c r="E50" s="7178">
        <v>0</v>
      </c>
      <c r="F50" s="7246">
        <v>0</v>
      </c>
    </row>
    <row r="51" spans="1:10" ht="12.9" customHeight="1">
      <c r="A51" s="7231" t="s">
        <v>10409</v>
      </c>
      <c r="B51" s="9403">
        <v>1</v>
      </c>
      <c r="C51" s="9403">
        <v>4</v>
      </c>
      <c r="D51" s="9609"/>
      <c r="E51" s="9609"/>
      <c r="F51" s="10401">
        <v>158568</v>
      </c>
    </row>
    <row r="52" spans="1:10" ht="12.9" customHeight="1">
      <c r="A52" s="7231" t="s">
        <v>1454</v>
      </c>
      <c r="B52" s="7172">
        <v>0</v>
      </c>
      <c r="C52" s="7172">
        <v>4</v>
      </c>
      <c r="D52" s="7178">
        <v>145860</v>
      </c>
      <c r="E52" s="7178">
        <v>0</v>
      </c>
      <c r="F52" s="7246">
        <v>0</v>
      </c>
    </row>
    <row r="53" spans="1:10" ht="12.9" hidden="1" customHeight="1">
      <c r="A53" s="7231" t="s">
        <v>1380</v>
      </c>
      <c r="B53" s="7172">
        <v>0</v>
      </c>
      <c r="C53" s="7172">
        <v>4</v>
      </c>
      <c r="D53" s="7178">
        <v>0</v>
      </c>
      <c r="E53" s="7178">
        <v>0</v>
      </c>
      <c r="F53" s="7246">
        <v>0</v>
      </c>
      <c r="H53" s="7267"/>
      <c r="I53" s="7267"/>
      <c r="J53" s="7267"/>
    </row>
    <row r="54" spans="1:10" ht="12.9" customHeight="1">
      <c r="A54" s="7231" t="s">
        <v>1456</v>
      </c>
      <c r="B54" s="7172">
        <v>0</v>
      </c>
      <c r="C54" s="7172">
        <v>4</v>
      </c>
      <c r="D54" s="7178">
        <v>145860</v>
      </c>
      <c r="E54" s="7178">
        <v>0</v>
      </c>
      <c r="F54" s="7246">
        <v>0</v>
      </c>
    </row>
    <row r="55" spans="1:10" ht="12.9" customHeight="1">
      <c r="A55" s="7231" t="s">
        <v>1209</v>
      </c>
      <c r="B55" s="7172">
        <v>0</v>
      </c>
      <c r="C55" s="7172">
        <v>3</v>
      </c>
      <c r="D55" s="7178">
        <v>136644</v>
      </c>
      <c r="E55" s="7178">
        <v>294408</v>
      </c>
      <c r="F55" s="7246">
        <v>0</v>
      </c>
    </row>
    <row r="56" spans="1:10" ht="12.9" customHeight="1">
      <c r="A56" s="7231" t="s">
        <v>1175</v>
      </c>
      <c r="B56" s="7172">
        <v>5</v>
      </c>
      <c r="C56" s="7172">
        <v>1</v>
      </c>
      <c r="D56" s="7178">
        <v>0</v>
      </c>
      <c r="E56" s="7178">
        <v>0</v>
      </c>
      <c r="F56" s="7246">
        <f>132816*B56</f>
        <v>664080</v>
      </c>
    </row>
    <row r="57" spans="1:10" ht="12.9" customHeight="1" thickBot="1">
      <c r="A57" s="9690" t="s">
        <v>1459</v>
      </c>
      <c r="B57" s="9747">
        <f>SUM(B40:B56)</f>
        <v>8</v>
      </c>
      <c r="C57" s="9748"/>
      <c r="D57" s="9801">
        <f>SUM(D40:D56)</f>
        <v>1366272</v>
      </c>
      <c r="E57" s="9801">
        <f>SUM(E40:E56)</f>
        <v>1748232</v>
      </c>
      <c r="F57" s="9802">
        <f>SUM(F40:F56)</f>
        <v>1390116</v>
      </c>
    </row>
    <row r="58" spans="1:10" ht="12.9" customHeight="1" thickBot="1">
      <c r="A58" s="9838" t="s">
        <v>1101</v>
      </c>
      <c r="B58" s="10845">
        <f>SUM(B37+B57)</f>
        <v>83</v>
      </c>
      <c r="C58" s="10421"/>
      <c r="D58" s="10863">
        <f>D57+D37</f>
        <v>14990712</v>
      </c>
      <c r="E58" s="10863">
        <f>E57+E37</f>
        <v>15760548</v>
      </c>
      <c r="F58" s="10864">
        <f>F57+F37</f>
        <v>17750448</v>
      </c>
      <c r="H58" s="7164">
        <f>F58-15760548</f>
        <v>1989900</v>
      </c>
    </row>
    <row r="59" spans="1:10" ht="5.4" customHeight="1">
      <c r="A59" s="7248"/>
      <c r="B59" s="9665"/>
      <c r="C59" s="9665"/>
      <c r="D59" s="9795"/>
      <c r="E59" s="9795"/>
      <c r="F59" s="9796"/>
    </row>
    <row r="60" spans="1:10" ht="12.9" customHeight="1">
      <c r="A60" s="6230" t="s">
        <v>1075</v>
      </c>
      <c r="B60" s="7172"/>
      <c r="C60" s="7172"/>
      <c r="D60" s="9797"/>
      <c r="E60" s="9797"/>
      <c r="F60" s="9798"/>
    </row>
    <row r="61" spans="1:10" ht="12.9" customHeight="1">
      <c r="A61" s="6230" t="s">
        <v>1102</v>
      </c>
      <c r="B61" s="7174"/>
      <c r="C61" s="7174"/>
      <c r="D61" s="9797"/>
      <c r="E61" s="9797"/>
      <c r="F61" s="9798"/>
      <c r="H61" s="7164">
        <f>F58-14990712</f>
        <v>2759736</v>
      </c>
    </row>
    <row r="62" spans="1:10" ht="12.9" customHeight="1">
      <c r="A62" s="7231" t="s">
        <v>1103</v>
      </c>
      <c r="B62" s="7172">
        <v>6</v>
      </c>
      <c r="C62" s="7174"/>
      <c r="D62" s="9797"/>
      <c r="E62" s="9797"/>
      <c r="F62" s="9798"/>
    </row>
    <row r="63" spans="1:10" ht="12.9" customHeight="1">
      <c r="A63" s="7231" t="s">
        <v>1078</v>
      </c>
      <c r="B63" s="7172"/>
      <c r="C63" s="7174"/>
      <c r="D63" s="9797"/>
      <c r="E63" s="9797"/>
      <c r="F63" s="9798"/>
    </row>
    <row r="64" spans="1:10" ht="12.9" customHeight="1">
      <c r="A64" s="7231" t="s">
        <v>1079</v>
      </c>
      <c r="B64" s="7174"/>
      <c r="C64" s="7174"/>
      <c r="D64" s="9797"/>
      <c r="E64" s="9797"/>
      <c r="F64" s="9798"/>
    </row>
    <row r="65" spans="1:6" s="7165" customFormat="1" ht="12.9" customHeight="1">
      <c r="A65" s="7231" t="s">
        <v>10707</v>
      </c>
      <c r="B65" s="7206">
        <v>1</v>
      </c>
      <c r="C65" s="7205"/>
      <c r="D65" s="7205"/>
      <c r="E65" s="7205"/>
      <c r="F65" s="7215"/>
    </row>
    <row r="66" spans="1:6" s="7165" customFormat="1" ht="12.9" customHeight="1">
      <c r="A66" s="7231" t="s">
        <v>10697</v>
      </c>
      <c r="B66" s="9614">
        <v>1</v>
      </c>
      <c r="C66" s="9615"/>
      <c r="D66" s="9615"/>
      <c r="E66" s="9615"/>
      <c r="F66" s="10406"/>
    </row>
    <row r="67" spans="1:6" ht="6.6" customHeight="1">
      <c r="A67" s="7231" t="s">
        <v>168</v>
      </c>
      <c r="B67" s="7174"/>
      <c r="C67" s="7174"/>
      <c r="D67" s="9797"/>
      <c r="E67" s="9797"/>
      <c r="F67" s="9798"/>
    </row>
    <row r="68" spans="1:6" ht="12.9" customHeight="1">
      <c r="A68" s="7231" t="s">
        <v>1080</v>
      </c>
      <c r="B68" s="7174"/>
      <c r="C68" s="7174"/>
      <c r="D68" s="9797"/>
      <c r="E68" s="9797"/>
      <c r="F68" s="9798"/>
    </row>
    <row r="69" spans="1:6" ht="12.9" customHeight="1">
      <c r="A69" s="7231" t="s">
        <v>1104</v>
      </c>
      <c r="B69" s="7174"/>
      <c r="C69" s="7174"/>
      <c r="D69" s="9797"/>
      <c r="E69" s="9797"/>
      <c r="F69" s="9798"/>
    </row>
    <row r="70" spans="1:6" ht="12.9" customHeight="1">
      <c r="A70" s="7231" t="s">
        <v>1105</v>
      </c>
      <c r="B70" s="7174"/>
      <c r="C70" s="7174"/>
      <c r="D70" s="9797"/>
      <c r="E70" s="9797"/>
      <c r="F70" s="9798"/>
    </row>
    <row r="71" spans="1:6" ht="5.4" customHeight="1">
      <c r="A71" s="7231"/>
      <c r="B71" s="10751"/>
      <c r="C71" s="10751"/>
      <c r="D71" s="10866"/>
      <c r="E71" s="10866"/>
      <c r="F71" s="9798"/>
    </row>
    <row r="72" spans="1:6" ht="12.9" customHeight="1">
      <c r="A72" s="6230" t="s">
        <v>1083</v>
      </c>
      <c r="B72" s="9676"/>
      <c r="C72" s="9676"/>
      <c r="D72" s="9805"/>
      <c r="E72" s="9805"/>
      <c r="F72" s="9806"/>
    </row>
    <row r="73" spans="1:6" ht="6" customHeight="1">
      <c r="A73" s="6230"/>
      <c r="B73" s="10751"/>
      <c r="C73" s="10751"/>
      <c r="D73" s="10866"/>
      <c r="E73" s="10866"/>
      <c r="F73" s="9798"/>
    </row>
    <row r="74" spans="1:6" ht="12.9" customHeight="1">
      <c r="A74" s="7231" t="s">
        <v>1106</v>
      </c>
      <c r="B74" s="7174"/>
      <c r="C74" s="7174"/>
      <c r="D74" s="9797"/>
      <c r="E74" s="9797"/>
      <c r="F74" s="9798"/>
    </row>
    <row r="75" spans="1:6" ht="9" customHeight="1" thickBot="1">
      <c r="A75" s="7235"/>
      <c r="B75" s="9758"/>
      <c r="C75" s="9758"/>
      <c r="D75" s="9803"/>
      <c r="E75" s="9803"/>
      <c r="F75" s="9804"/>
    </row>
    <row r="76" spans="1:6" ht="2.1" customHeight="1">
      <c r="A76" s="7248"/>
      <c r="B76" s="9665"/>
      <c r="C76" s="9665"/>
      <c r="D76" s="9795"/>
      <c r="E76" s="9795"/>
      <c r="F76" s="9796"/>
    </row>
    <row r="77" spans="1:6" ht="12.9" customHeight="1">
      <c r="A77" s="7231" t="s">
        <v>1086</v>
      </c>
      <c r="B77" s="10751"/>
      <c r="C77" s="10751"/>
      <c r="D77" s="10866"/>
      <c r="E77" s="10866"/>
      <c r="F77" s="9798"/>
    </row>
    <row r="78" spans="1:6" ht="5.4" customHeight="1" thickBot="1">
      <c r="A78" s="7235"/>
      <c r="B78" s="9758"/>
      <c r="C78" s="9758"/>
      <c r="D78" s="9803"/>
      <c r="E78" s="9803"/>
      <c r="F78" s="9804"/>
    </row>
  </sheetData>
  <mergeCells count="2">
    <mergeCell ref="D5:F5"/>
    <mergeCell ref="A1:F1"/>
  </mergeCells>
  <pageMargins left="0.25" right="0.25" top="0.5" bottom="0.5" header="0.3" footer="0.3"/>
  <pageSetup paperSize="119" firstPageNumber="438" orientation="portrait" useFirstPageNumber="1" r:id="rId1"/>
  <headerFooter alignWithMargins="0"/>
</worksheet>
</file>

<file path=xl/worksheets/sheet186.xml><?xml version="1.0" encoding="utf-8"?>
<worksheet xmlns="http://schemas.openxmlformats.org/spreadsheetml/2006/main" xmlns:r="http://schemas.openxmlformats.org/officeDocument/2006/relationships">
  <sheetPr codeName="Sheet210">
    <tabColor rgb="FF00FF00"/>
  </sheetPr>
  <dimension ref="A1:AA57"/>
  <sheetViews>
    <sheetView workbookViewId="0">
      <pane xSplit="1" ySplit="4" topLeftCell="B14" activePane="bottomRight" state="frozen"/>
      <selection activeCell="A2" sqref="A2"/>
      <selection pane="topRight" activeCell="A2" sqref="A2"/>
      <selection pane="bottomLeft" activeCell="A2" sqref="A2"/>
      <selection pane="bottomRight" activeCell="B30" sqref="B30"/>
    </sheetView>
  </sheetViews>
  <sheetFormatPr defaultColWidth="16.44140625" defaultRowHeight="17.100000000000001" customHeight="1"/>
  <cols>
    <col min="1" max="1" width="11" style="6897" customWidth="1"/>
    <col min="2" max="2" width="15.88671875" style="6834" customWidth="1"/>
    <col min="3" max="3" width="11.33203125" style="6834" customWidth="1"/>
    <col min="4" max="4" width="13.109375" style="6834" customWidth="1"/>
    <col min="5" max="5" width="11.5546875" style="6834" customWidth="1"/>
    <col min="6" max="6" width="11.6640625" style="6834" customWidth="1"/>
    <col min="7" max="7" width="11.88671875" style="6834" customWidth="1"/>
    <col min="8" max="8" width="11.44140625" style="6834" customWidth="1"/>
    <col min="9" max="9" width="11.5546875" style="6834" customWidth="1"/>
    <col min="10" max="11" width="12.88671875" style="6834" customWidth="1"/>
    <col min="12" max="12" width="13" style="6834" customWidth="1"/>
    <col min="13" max="13" width="11.5546875" style="6834" customWidth="1"/>
    <col min="14" max="14" width="10.44140625" style="6834" customWidth="1"/>
    <col min="15" max="15" width="12.44140625" style="6834" customWidth="1"/>
    <col min="16" max="16" width="14.88671875" style="6834" hidden="1" customWidth="1"/>
    <col min="17" max="18" width="10.33203125" style="6834" customWidth="1"/>
    <col min="19" max="19" width="13.109375" style="6834" customWidth="1"/>
    <col min="20" max="20" width="13.33203125" style="6834" customWidth="1"/>
    <col min="21" max="21" width="11.5546875" style="6834" customWidth="1"/>
    <col min="22" max="22" width="11.88671875" style="6834" customWidth="1"/>
    <col min="23" max="23" width="11.6640625" style="6834" customWidth="1"/>
    <col min="24" max="24" width="11.88671875" style="6834" hidden="1" customWidth="1"/>
    <col min="25" max="25" width="12.109375" style="6834" hidden="1" customWidth="1"/>
    <col min="26" max="26" width="14.109375" style="6878" customWidth="1"/>
    <col min="27" max="27" width="11" style="6897" customWidth="1"/>
    <col min="28" max="16384" width="16.44140625" style="6834"/>
  </cols>
  <sheetData>
    <row r="1" spans="1:27" s="6829" customFormat="1" ht="14.25" customHeight="1">
      <c r="A1" s="6879"/>
      <c r="B1" s="6828" t="s">
        <v>11478</v>
      </c>
      <c r="Z1" s="6830"/>
      <c r="AA1" s="6879"/>
    </row>
    <row r="2" spans="1:27" ht="14.25" customHeight="1" thickBot="1">
      <c r="A2" s="6880" t="s">
        <v>638</v>
      </c>
      <c r="B2" s="6831" t="s">
        <v>639</v>
      </c>
      <c r="C2" s="6831" t="s">
        <v>640</v>
      </c>
      <c r="D2" s="6831" t="s">
        <v>641</v>
      </c>
      <c r="E2" s="6831" t="s">
        <v>643</v>
      </c>
      <c r="F2" s="6831" t="s">
        <v>644</v>
      </c>
      <c r="G2" s="6831" t="s">
        <v>645</v>
      </c>
      <c r="H2" s="6831" t="s">
        <v>648</v>
      </c>
      <c r="I2" s="6831" t="s">
        <v>11465</v>
      </c>
      <c r="J2" s="6831" t="s">
        <v>646</v>
      </c>
      <c r="K2" s="6831" t="s">
        <v>11457</v>
      </c>
      <c r="L2" s="6831" t="s">
        <v>649</v>
      </c>
      <c r="M2" s="6831" t="s">
        <v>11458</v>
      </c>
      <c r="N2" s="6831" t="s">
        <v>650</v>
      </c>
      <c r="O2" s="6831" t="s">
        <v>11513</v>
      </c>
      <c r="P2" s="6831" t="s">
        <v>11511</v>
      </c>
      <c r="Q2" s="6831" t="s">
        <v>651</v>
      </c>
      <c r="R2" s="6831" t="s">
        <v>10268</v>
      </c>
      <c r="S2" s="6831" t="s">
        <v>673</v>
      </c>
      <c r="T2" s="6831" t="s">
        <v>653</v>
      </c>
      <c r="U2" s="6831" t="s">
        <v>654</v>
      </c>
      <c r="V2" s="6831" t="s">
        <v>655</v>
      </c>
      <c r="W2" s="6831" t="s">
        <v>656</v>
      </c>
      <c r="X2" s="6831" t="s">
        <v>658</v>
      </c>
      <c r="Y2" s="6831" t="s">
        <v>674</v>
      </c>
      <c r="Z2" s="6832" t="s">
        <v>661</v>
      </c>
      <c r="AA2" s="6880" t="s">
        <v>638</v>
      </c>
    </row>
    <row r="3" spans="1:27" ht="13.5" customHeight="1" thickTop="1" thickBot="1">
      <c r="A3" s="6881"/>
      <c r="B3" s="6835"/>
      <c r="C3" s="6835"/>
      <c r="D3" s="6835"/>
      <c r="E3" s="6835"/>
      <c r="F3" s="6835"/>
      <c r="G3" s="6835"/>
      <c r="H3" s="6835"/>
      <c r="I3" s="6835"/>
      <c r="J3" s="6835"/>
      <c r="K3" s="6835"/>
      <c r="L3" s="6835"/>
      <c r="M3" s="6835"/>
      <c r="N3" s="6835"/>
      <c r="O3" s="6835"/>
      <c r="P3" s="6835"/>
      <c r="Q3" s="6835"/>
      <c r="R3" s="6835"/>
      <c r="S3" s="6835"/>
      <c r="T3" s="6835"/>
      <c r="U3" s="6835"/>
      <c r="V3" s="6835"/>
      <c r="W3" s="6835"/>
      <c r="X3" s="6835"/>
      <c r="Y3" s="6835"/>
      <c r="Z3" s="6836"/>
      <c r="AA3" s="6881"/>
    </row>
    <row r="4" spans="1:27" ht="1.5" customHeight="1">
      <c r="A4" s="6882" t="s">
        <v>3100</v>
      </c>
      <c r="B4" s="6837"/>
      <c r="C4" s="6837"/>
      <c r="D4" s="6837"/>
      <c r="E4" s="6837"/>
      <c r="F4" s="6837"/>
      <c r="G4" s="6837"/>
      <c r="H4" s="6837"/>
      <c r="I4" s="10227"/>
      <c r="J4" s="6837"/>
      <c r="K4" s="10227"/>
      <c r="L4" s="6837"/>
      <c r="M4" s="6837"/>
      <c r="N4" s="6837"/>
      <c r="O4" s="6838"/>
      <c r="P4" s="6837"/>
      <c r="Q4" s="6837"/>
      <c r="R4" s="10227"/>
      <c r="S4" s="6837"/>
      <c r="T4" s="6837"/>
      <c r="U4" s="6837"/>
      <c r="V4" s="6837"/>
      <c r="W4" s="6837"/>
      <c r="X4" s="6837"/>
      <c r="Y4" s="6837"/>
      <c r="Z4" s="6839"/>
      <c r="AA4" s="6882" t="s">
        <v>3100</v>
      </c>
    </row>
    <row r="5" spans="1:27" ht="15.75" customHeight="1">
      <c r="A5" s="6883" t="s">
        <v>568</v>
      </c>
      <c r="B5" s="6841">
        <v>3814733.58</v>
      </c>
      <c r="C5" s="6841">
        <v>3653847.5</v>
      </c>
      <c r="D5" s="6841">
        <v>1345000.38</v>
      </c>
      <c r="E5" s="6841">
        <v>44000</v>
      </c>
      <c r="F5" s="6841"/>
      <c r="G5" s="6841">
        <v>550000</v>
      </c>
      <c r="H5" s="6841"/>
      <c r="I5" s="10228"/>
      <c r="J5" s="6841">
        <v>0</v>
      </c>
      <c r="K5" s="10228"/>
      <c r="L5" s="6841">
        <v>0</v>
      </c>
      <c r="M5" s="6841">
        <v>5000</v>
      </c>
      <c r="N5" s="6841">
        <v>110701.98</v>
      </c>
      <c r="O5" s="6842">
        <v>1079752.3999999999</v>
      </c>
      <c r="P5" s="6843"/>
      <c r="Q5" s="6841">
        <v>0</v>
      </c>
      <c r="R5" s="10228">
        <v>0</v>
      </c>
      <c r="S5" s="6841">
        <v>0</v>
      </c>
      <c r="T5" s="6841">
        <v>960480.95</v>
      </c>
      <c r="U5" s="6841">
        <v>73638.16</v>
      </c>
      <c r="V5" s="6841">
        <v>118996.68</v>
      </c>
      <c r="W5" s="6841">
        <v>56801.440000000002</v>
      </c>
      <c r="X5" s="6841"/>
      <c r="Y5" s="6841"/>
      <c r="Z5" s="6844">
        <f t="shared" ref="Z5:Z20" si="0">SUM(B5:Y5)</f>
        <v>11812953.07</v>
      </c>
      <c r="AA5" s="6883" t="s">
        <v>568</v>
      </c>
    </row>
    <row r="6" spans="1:27" ht="15.75" customHeight="1">
      <c r="A6" s="6884" t="s">
        <v>1724</v>
      </c>
      <c r="B6" s="6846">
        <v>964325.93</v>
      </c>
      <c r="C6" s="6846"/>
      <c r="D6" s="6846">
        <v>94810.98</v>
      </c>
      <c r="E6" s="6846"/>
      <c r="F6" s="6846"/>
      <c r="G6" s="6846">
        <v>47000</v>
      </c>
      <c r="H6" s="6846"/>
      <c r="I6" s="10228"/>
      <c r="J6" s="6846">
        <v>0</v>
      </c>
      <c r="K6" s="10228"/>
      <c r="L6" s="6846"/>
      <c r="M6" s="6846">
        <v>0</v>
      </c>
      <c r="N6" s="6846">
        <v>0</v>
      </c>
      <c r="O6" s="6842">
        <v>162395</v>
      </c>
      <c r="P6" s="6847"/>
      <c r="Q6" s="6846">
        <v>0</v>
      </c>
      <c r="R6" s="10228">
        <v>0</v>
      </c>
      <c r="S6" s="6846"/>
      <c r="T6" s="6846">
        <v>115719.12</v>
      </c>
      <c r="U6" s="6846">
        <v>4800</v>
      </c>
      <c r="V6" s="6846">
        <v>13397.65</v>
      </c>
      <c r="W6" s="6846">
        <v>4800</v>
      </c>
      <c r="X6" s="6846"/>
      <c r="Y6" s="6846"/>
      <c r="Z6" s="6848">
        <f t="shared" si="0"/>
        <v>1407248.6800000002</v>
      </c>
      <c r="AA6" s="6884" t="s">
        <v>1724</v>
      </c>
    </row>
    <row r="7" spans="1:27" ht="15.75" customHeight="1">
      <c r="A7" s="6884" t="s">
        <v>10317</v>
      </c>
      <c r="B7" s="6846">
        <v>485148</v>
      </c>
      <c r="C7" s="6846"/>
      <c r="D7" s="6846">
        <v>40000</v>
      </c>
      <c r="E7" s="6846"/>
      <c r="F7" s="6846"/>
      <c r="G7" s="6846">
        <v>24000</v>
      </c>
      <c r="H7" s="6846"/>
      <c r="I7" s="10228"/>
      <c r="J7" s="6846">
        <v>0</v>
      </c>
      <c r="K7" s="10228"/>
      <c r="L7" s="6846"/>
      <c r="M7" s="6846"/>
      <c r="N7" s="6846"/>
      <c r="O7" s="6846">
        <v>97987</v>
      </c>
      <c r="P7" s="6847"/>
      <c r="Q7" s="6846">
        <v>0</v>
      </c>
      <c r="R7" s="10228">
        <v>0</v>
      </c>
      <c r="S7" s="6846"/>
      <c r="T7" s="6846">
        <v>58217.760000000002</v>
      </c>
      <c r="U7" s="6846">
        <v>2000</v>
      </c>
      <c r="V7" s="6846">
        <v>6670.78</v>
      </c>
      <c r="W7" s="6846">
        <v>2000</v>
      </c>
      <c r="X7" s="6846"/>
      <c r="Y7" s="6846"/>
      <c r="Z7" s="6848">
        <f t="shared" si="0"/>
        <v>716023.54</v>
      </c>
      <c r="AA7" s="6884" t="s">
        <v>10317</v>
      </c>
    </row>
    <row r="8" spans="1:27" ht="15.75" customHeight="1">
      <c r="A8" s="6884" t="s">
        <v>10318</v>
      </c>
      <c r="B8" s="6846">
        <v>410699</v>
      </c>
      <c r="C8" s="6846">
        <v>0</v>
      </c>
      <c r="D8" s="6846">
        <v>48000</v>
      </c>
      <c r="E8" s="6846"/>
      <c r="F8" s="6846"/>
      <c r="G8" s="6846">
        <v>18000</v>
      </c>
      <c r="H8" s="6846"/>
      <c r="I8" s="10228"/>
      <c r="J8" s="6846">
        <v>0</v>
      </c>
      <c r="K8" s="10228"/>
      <c r="L8" s="6846"/>
      <c r="M8" s="6846"/>
      <c r="N8" s="6846"/>
      <c r="O8" s="6846">
        <v>54978</v>
      </c>
      <c r="P8" s="6847"/>
      <c r="Q8" s="6846">
        <v>0</v>
      </c>
      <c r="R8" s="10228">
        <v>0</v>
      </c>
      <c r="S8" s="6846"/>
      <c r="T8" s="6846">
        <v>49283.88</v>
      </c>
      <c r="U8" s="6846">
        <v>2400</v>
      </c>
      <c r="V8" s="6846">
        <v>5647.11</v>
      </c>
      <c r="W8" s="6846">
        <v>2400</v>
      </c>
      <c r="X8" s="6846"/>
      <c r="Y8" s="6846"/>
      <c r="Z8" s="6848">
        <f t="shared" si="0"/>
        <v>591407.99</v>
      </c>
      <c r="AA8" s="6884" t="s">
        <v>10318</v>
      </c>
    </row>
    <row r="9" spans="1:27" ht="15.75" customHeight="1">
      <c r="A9" s="10363" t="s">
        <v>11193</v>
      </c>
      <c r="B9" s="10228">
        <v>276308</v>
      </c>
      <c r="C9" s="10228"/>
      <c r="D9" s="10228">
        <v>34000</v>
      </c>
      <c r="E9" s="10228"/>
      <c r="F9" s="10228"/>
      <c r="G9" s="10228">
        <v>0</v>
      </c>
      <c r="H9" s="10228"/>
      <c r="I9" s="10228"/>
      <c r="J9" s="10228">
        <v>0</v>
      </c>
      <c r="K9" s="10228"/>
      <c r="L9" s="10228"/>
      <c r="M9" s="10228"/>
      <c r="N9" s="10228"/>
      <c r="O9" s="10228">
        <v>52629</v>
      </c>
      <c r="P9" s="10230"/>
      <c r="Q9" s="10228">
        <v>0</v>
      </c>
      <c r="R9" s="10228">
        <v>0</v>
      </c>
      <c r="S9" s="10228"/>
      <c r="T9" s="10228">
        <v>33156.959999999999</v>
      </c>
      <c r="U9" s="10228">
        <v>1700</v>
      </c>
      <c r="V9" s="10228">
        <v>3799.25</v>
      </c>
      <c r="W9" s="10228">
        <v>1700</v>
      </c>
      <c r="X9" s="10228"/>
      <c r="Y9" s="10228"/>
      <c r="Z9" s="6848">
        <f t="shared" si="0"/>
        <v>403293.21</v>
      </c>
      <c r="AA9" s="10363" t="s">
        <v>11193</v>
      </c>
    </row>
    <row r="10" spans="1:27" s="6853" customFormat="1" ht="15.75" customHeight="1">
      <c r="A10" s="6885" t="s">
        <v>678</v>
      </c>
      <c r="B10" s="6849">
        <v>1155247.8400000001</v>
      </c>
      <c r="C10" s="6849"/>
      <c r="D10" s="6849">
        <v>60909.09</v>
      </c>
      <c r="E10" s="6849">
        <v>42500</v>
      </c>
      <c r="F10" s="6849">
        <v>42500</v>
      </c>
      <c r="G10" s="6849">
        <v>30000</v>
      </c>
      <c r="H10" s="6849"/>
      <c r="I10" s="10229"/>
      <c r="J10" s="6849">
        <v>0</v>
      </c>
      <c r="K10" s="10229"/>
      <c r="L10" s="6849"/>
      <c r="M10" s="6849"/>
      <c r="N10" s="6849"/>
      <c r="O10" s="6850">
        <v>191623</v>
      </c>
      <c r="P10" s="6851"/>
      <c r="Q10" s="6849">
        <v>0</v>
      </c>
      <c r="R10" s="10229">
        <v>0</v>
      </c>
      <c r="S10" s="6849"/>
      <c r="T10" s="6849">
        <v>138629.74</v>
      </c>
      <c r="U10" s="6849">
        <v>3100</v>
      </c>
      <c r="V10" s="6849">
        <v>11552.73</v>
      </c>
      <c r="W10" s="6849">
        <v>3000</v>
      </c>
      <c r="X10" s="6849"/>
      <c r="Y10" s="6849"/>
      <c r="Z10" s="6852">
        <f t="shared" si="0"/>
        <v>1679062.4000000001</v>
      </c>
      <c r="AA10" s="6885" t="s">
        <v>678</v>
      </c>
    </row>
    <row r="11" spans="1:27" s="6853" customFormat="1" ht="15.75" customHeight="1">
      <c r="A11" s="6885" t="s">
        <v>569</v>
      </c>
      <c r="B11" s="6849">
        <v>13847374.17</v>
      </c>
      <c r="C11" s="6849">
        <v>1735249.55</v>
      </c>
      <c r="D11" s="6849">
        <v>1145067.1399999999</v>
      </c>
      <c r="E11" s="6849">
        <v>597150</v>
      </c>
      <c r="F11" s="6849">
        <v>42500</v>
      </c>
      <c r="G11" s="6849">
        <v>496000</v>
      </c>
      <c r="H11" s="6849"/>
      <c r="I11" s="10229"/>
      <c r="J11" s="6849">
        <v>0</v>
      </c>
      <c r="K11" s="10229"/>
      <c r="L11" s="6849"/>
      <c r="M11" s="6849">
        <v>25000</v>
      </c>
      <c r="N11" s="6849">
        <v>39707.93</v>
      </c>
      <c r="O11" s="6850">
        <v>2373999.34</v>
      </c>
      <c r="P11" s="6851"/>
      <c r="Q11" s="6849">
        <v>0</v>
      </c>
      <c r="R11" s="10229">
        <v>0</v>
      </c>
      <c r="S11" s="6849"/>
      <c r="T11" s="6849">
        <v>1732131.33</v>
      </c>
      <c r="U11" s="6849">
        <v>57300</v>
      </c>
      <c r="V11" s="6849">
        <v>150755.24</v>
      </c>
      <c r="W11" s="6849">
        <v>58610.43</v>
      </c>
      <c r="X11" s="6849"/>
      <c r="Y11" s="6849"/>
      <c r="Z11" s="6852">
        <f t="shared" si="0"/>
        <v>22300845.129999999</v>
      </c>
      <c r="AA11" s="6885" t="s">
        <v>569</v>
      </c>
    </row>
    <row r="12" spans="1:27" s="6853" customFormat="1" ht="15.75" customHeight="1">
      <c r="A12" s="6886" t="s">
        <v>9134</v>
      </c>
      <c r="B12" s="6854">
        <v>4559959.63</v>
      </c>
      <c r="C12" s="6854">
        <v>138317</v>
      </c>
      <c r="D12" s="6854">
        <v>646247.01</v>
      </c>
      <c r="E12" s="6854">
        <v>0</v>
      </c>
      <c r="F12" s="6854"/>
      <c r="G12" s="6854">
        <v>347000</v>
      </c>
      <c r="H12" s="6854"/>
      <c r="I12" s="10229"/>
      <c r="J12" s="6854">
        <v>0</v>
      </c>
      <c r="K12" s="10229">
        <v>0</v>
      </c>
      <c r="L12" s="6854"/>
      <c r="M12" s="6854">
        <v>0</v>
      </c>
      <c r="N12" s="6854">
        <v>32631.4</v>
      </c>
      <c r="O12" s="6850">
        <v>694138</v>
      </c>
      <c r="P12" s="6855"/>
      <c r="Q12" s="6854">
        <v>0</v>
      </c>
      <c r="R12" s="10229">
        <v>0</v>
      </c>
      <c r="S12" s="6854"/>
      <c r="T12" s="6854">
        <v>565262.71</v>
      </c>
      <c r="U12" s="6854">
        <v>32669.08</v>
      </c>
      <c r="V12" s="6854">
        <v>62733.26</v>
      </c>
      <c r="W12" s="6854">
        <v>31984.12</v>
      </c>
      <c r="X12" s="6854"/>
      <c r="Y12" s="6854"/>
      <c r="Z12" s="6852">
        <f t="shared" si="0"/>
        <v>7110942.21</v>
      </c>
      <c r="AA12" s="6886" t="s">
        <v>9134</v>
      </c>
    </row>
    <row r="13" spans="1:27" s="6853" customFormat="1" ht="15.75" customHeight="1">
      <c r="A13" s="6885" t="s">
        <v>570</v>
      </c>
      <c r="B13" s="6849">
        <v>3085379.39</v>
      </c>
      <c r="C13" s="6849"/>
      <c r="D13" s="6849">
        <v>278278.99</v>
      </c>
      <c r="E13" s="6849">
        <v>42500</v>
      </c>
      <c r="F13" s="6849">
        <v>42500</v>
      </c>
      <c r="G13" s="6849">
        <v>121000</v>
      </c>
      <c r="H13" s="6849"/>
      <c r="I13" s="10229"/>
      <c r="J13" s="6849">
        <v>0</v>
      </c>
      <c r="K13" s="10229"/>
      <c r="L13" s="6849"/>
      <c r="M13" s="6849">
        <v>15000</v>
      </c>
      <c r="N13" s="6849"/>
      <c r="O13" s="6850">
        <v>490025</v>
      </c>
      <c r="P13" s="6851"/>
      <c r="Q13" s="6849">
        <v>0</v>
      </c>
      <c r="R13" s="10229">
        <v>0</v>
      </c>
      <c r="S13" s="6849"/>
      <c r="T13" s="6849">
        <v>370245.53</v>
      </c>
      <c r="U13" s="6849">
        <v>14100</v>
      </c>
      <c r="V13" s="6849">
        <v>38888.379999999997</v>
      </c>
      <c r="W13" s="6849">
        <v>14158.44</v>
      </c>
      <c r="X13" s="6849"/>
      <c r="Y13" s="6849"/>
      <c r="Z13" s="6852">
        <f t="shared" si="0"/>
        <v>4512075.7300000004</v>
      </c>
      <c r="AA13" s="6885" t="s">
        <v>570</v>
      </c>
    </row>
    <row r="14" spans="1:27" s="6853" customFormat="1" ht="15.75" customHeight="1">
      <c r="A14" s="6885" t="s">
        <v>571</v>
      </c>
      <c r="B14" s="6849">
        <v>5209073.0599999996</v>
      </c>
      <c r="C14" s="6849"/>
      <c r="D14" s="6849">
        <v>374613.66</v>
      </c>
      <c r="E14" s="6849">
        <v>42500</v>
      </c>
      <c r="F14" s="6849">
        <v>42500</v>
      </c>
      <c r="G14" s="6849">
        <v>182000</v>
      </c>
      <c r="H14" s="6849"/>
      <c r="I14" s="10229"/>
      <c r="J14" s="6849">
        <v>0</v>
      </c>
      <c r="K14" s="10229"/>
      <c r="L14" s="6849"/>
      <c r="M14" s="6849">
        <v>5000</v>
      </c>
      <c r="N14" s="6849"/>
      <c r="O14" s="6850">
        <v>845101</v>
      </c>
      <c r="P14" s="6851"/>
      <c r="Q14" s="6849">
        <v>0</v>
      </c>
      <c r="R14" s="10229">
        <v>0</v>
      </c>
      <c r="S14" s="6849"/>
      <c r="T14" s="6849">
        <v>625088.77</v>
      </c>
      <c r="U14" s="6849">
        <v>18769.77</v>
      </c>
      <c r="V14" s="6849">
        <v>61923.93</v>
      </c>
      <c r="W14" s="6849">
        <v>18800</v>
      </c>
      <c r="X14" s="6849"/>
      <c r="Y14" s="6849"/>
      <c r="Z14" s="6852">
        <f t="shared" si="0"/>
        <v>7425370.1899999995</v>
      </c>
      <c r="AA14" s="6885" t="s">
        <v>571</v>
      </c>
    </row>
    <row r="15" spans="1:27" s="6853" customFormat="1" ht="15.75" customHeight="1">
      <c r="A15" s="6885" t="s">
        <v>572</v>
      </c>
      <c r="B15" s="6849">
        <v>7262658.0199999996</v>
      </c>
      <c r="C15" s="6849"/>
      <c r="D15" s="6849">
        <v>819310.02</v>
      </c>
      <c r="E15" s="6849">
        <v>51625</v>
      </c>
      <c r="F15" s="6849">
        <v>51625</v>
      </c>
      <c r="G15" s="6849">
        <v>398000</v>
      </c>
      <c r="H15" s="6849"/>
      <c r="I15" s="10229"/>
      <c r="J15" s="6849">
        <v>0</v>
      </c>
      <c r="K15" s="10229"/>
      <c r="L15" s="6849"/>
      <c r="M15" s="6849">
        <v>20000</v>
      </c>
      <c r="N15" s="6849">
        <v>47967.88</v>
      </c>
      <c r="O15" s="6850">
        <v>1077674.22</v>
      </c>
      <c r="P15" s="6851"/>
      <c r="Q15" s="6849">
        <v>0</v>
      </c>
      <c r="R15" s="10229">
        <v>0</v>
      </c>
      <c r="S15" s="6849"/>
      <c r="T15" s="6849">
        <v>871631.63</v>
      </c>
      <c r="U15" s="6849">
        <v>41300</v>
      </c>
      <c r="V15" s="6849">
        <v>92627.58</v>
      </c>
      <c r="W15" s="6849">
        <v>41218.42</v>
      </c>
      <c r="X15" s="6849"/>
      <c r="Y15" s="6849"/>
      <c r="Z15" s="6852">
        <f t="shared" si="0"/>
        <v>10775637.770000001</v>
      </c>
      <c r="AA15" s="6885" t="s">
        <v>572</v>
      </c>
    </row>
    <row r="16" spans="1:27" s="6853" customFormat="1" ht="15.75" customHeight="1">
      <c r="A16" s="6885" t="s">
        <v>573</v>
      </c>
      <c r="B16" s="6849">
        <v>2355845.92</v>
      </c>
      <c r="C16" s="6849"/>
      <c r="D16" s="6849">
        <v>186481.26</v>
      </c>
      <c r="E16" s="6849">
        <v>39680.199999999997</v>
      </c>
      <c r="F16" s="6849">
        <v>42500</v>
      </c>
      <c r="G16" s="6849">
        <v>95000</v>
      </c>
      <c r="H16" s="6849"/>
      <c r="I16" s="10229"/>
      <c r="J16" s="6849"/>
      <c r="K16" s="10229"/>
      <c r="L16" s="6849"/>
      <c r="M16" s="6849">
        <v>10000</v>
      </c>
      <c r="N16" s="6849">
        <v>46756.11</v>
      </c>
      <c r="O16" s="6850">
        <v>335833</v>
      </c>
      <c r="P16" s="6851"/>
      <c r="Q16" s="6849">
        <v>0</v>
      </c>
      <c r="R16" s="10229">
        <v>0</v>
      </c>
      <c r="S16" s="6849"/>
      <c r="T16" s="6849">
        <v>282689.31</v>
      </c>
      <c r="U16" s="6849">
        <v>9400</v>
      </c>
      <c r="V16" s="6849">
        <v>28204.46</v>
      </c>
      <c r="W16" s="6849">
        <v>9399.81</v>
      </c>
      <c r="X16" s="6849"/>
      <c r="Y16" s="6849"/>
      <c r="Z16" s="6852">
        <f t="shared" si="0"/>
        <v>3441790.07</v>
      </c>
      <c r="AA16" s="6885" t="s">
        <v>573</v>
      </c>
    </row>
    <row r="17" spans="1:27" s="6853" customFormat="1" ht="15.75" customHeight="1">
      <c r="A17" s="6885" t="s">
        <v>574</v>
      </c>
      <c r="B17" s="6849">
        <v>5582006.1299999999</v>
      </c>
      <c r="C17" s="6849"/>
      <c r="D17" s="6849">
        <v>479101.37</v>
      </c>
      <c r="E17" s="6849">
        <v>80000</v>
      </c>
      <c r="F17" s="6849">
        <v>80000</v>
      </c>
      <c r="G17" s="6849">
        <v>270000</v>
      </c>
      <c r="H17" s="6849"/>
      <c r="I17" s="10229"/>
      <c r="J17" s="6849">
        <v>0</v>
      </c>
      <c r="K17" s="10229"/>
      <c r="L17" s="6849"/>
      <c r="M17" s="6849">
        <v>10000</v>
      </c>
      <c r="N17" s="6849">
        <v>561410.04</v>
      </c>
      <c r="O17" s="6850">
        <v>920351</v>
      </c>
      <c r="P17" s="6851"/>
      <c r="Q17" s="6849">
        <v>0</v>
      </c>
      <c r="R17" s="10229">
        <v>0</v>
      </c>
      <c r="S17" s="6849"/>
      <c r="T17" s="6849">
        <v>662899.59</v>
      </c>
      <c r="U17" s="6849">
        <v>23600</v>
      </c>
      <c r="V17" s="6849">
        <v>66632.960000000006</v>
      </c>
      <c r="W17" s="6849">
        <v>23630.92</v>
      </c>
      <c r="X17" s="6849"/>
      <c r="Y17" s="6849"/>
      <c r="Z17" s="6852">
        <f t="shared" si="0"/>
        <v>8759632.0100000016</v>
      </c>
      <c r="AA17" s="6885" t="s">
        <v>574</v>
      </c>
    </row>
    <row r="18" spans="1:27" s="6853" customFormat="1" ht="15.75" customHeight="1">
      <c r="A18" s="6885" t="s">
        <v>575</v>
      </c>
      <c r="B18" s="6849">
        <v>6100673.0999999996</v>
      </c>
      <c r="C18" s="6849"/>
      <c r="D18" s="6849">
        <v>556515.76</v>
      </c>
      <c r="E18" s="6849">
        <v>80000</v>
      </c>
      <c r="F18" s="6849">
        <v>80000</v>
      </c>
      <c r="G18" s="6849">
        <v>282000</v>
      </c>
      <c r="H18" s="6849"/>
      <c r="I18" s="10229"/>
      <c r="J18" s="6849">
        <v>0</v>
      </c>
      <c r="K18" s="10229"/>
      <c r="L18" s="6849"/>
      <c r="M18" s="6849">
        <v>25000</v>
      </c>
      <c r="N18" s="6849">
        <v>0</v>
      </c>
      <c r="O18" s="6850">
        <v>998147</v>
      </c>
      <c r="P18" s="6851"/>
      <c r="Q18" s="6849">
        <v>0</v>
      </c>
      <c r="R18" s="10229">
        <v>0</v>
      </c>
      <c r="S18" s="6849"/>
      <c r="T18" s="6849">
        <v>732080.76</v>
      </c>
      <c r="U18" s="6849">
        <v>28351.96</v>
      </c>
      <c r="V18" s="6849">
        <v>71544.639999999999</v>
      </c>
      <c r="W18" s="6849">
        <v>27931.87</v>
      </c>
      <c r="X18" s="6849"/>
      <c r="Y18" s="6849"/>
      <c r="Z18" s="6852">
        <f t="shared" si="0"/>
        <v>8982245.0899999999</v>
      </c>
      <c r="AA18" s="6885" t="s">
        <v>575</v>
      </c>
    </row>
    <row r="19" spans="1:27" s="6853" customFormat="1" ht="15.75" customHeight="1">
      <c r="A19" s="6885" t="s">
        <v>576</v>
      </c>
      <c r="B19" s="6849">
        <v>4335526.45</v>
      </c>
      <c r="C19" s="6849"/>
      <c r="D19" s="6849">
        <v>300581.42</v>
      </c>
      <c r="E19" s="6849">
        <v>80000</v>
      </c>
      <c r="F19" s="6849">
        <v>80000</v>
      </c>
      <c r="G19" s="6849">
        <v>150000</v>
      </c>
      <c r="H19" s="6849"/>
      <c r="I19" s="10229"/>
      <c r="J19" s="6849">
        <v>0</v>
      </c>
      <c r="K19" s="10229"/>
      <c r="L19" s="6849"/>
      <c r="M19" s="6849">
        <v>15000</v>
      </c>
      <c r="N19" s="6849">
        <v>0</v>
      </c>
      <c r="O19" s="6850">
        <v>738264</v>
      </c>
      <c r="P19" s="6851"/>
      <c r="Q19" s="6849">
        <v>0</v>
      </c>
      <c r="R19" s="10229">
        <v>0</v>
      </c>
      <c r="S19" s="6849"/>
      <c r="T19" s="6849">
        <v>520263.17</v>
      </c>
      <c r="U19" s="6849">
        <v>15200</v>
      </c>
      <c r="V19" s="6849">
        <v>47483.86</v>
      </c>
      <c r="W19" s="6849">
        <v>15146.06</v>
      </c>
      <c r="X19" s="6849"/>
      <c r="Y19" s="6849"/>
      <c r="Z19" s="6852">
        <f t="shared" si="0"/>
        <v>6297464.96</v>
      </c>
      <c r="AA19" s="6885" t="s">
        <v>576</v>
      </c>
    </row>
    <row r="20" spans="1:27" s="6853" customFormat="1" ht="15.75" customHeight="1">
      <c r="A20" s="6885" t="s">
        <v>577</v>
      </c>
      <c r="B20" s="6849">
        <v>2009986</v>
      </c>
      <c r="C20" s="6849"/>
      <c r="D20" s="6849">
        <v>152000</v>
      </c>
      <c r="E20" s="6849">
        <v>77875</v>
      </c>
      <c r="F20" s="6849">
        <v>77875</v>
      </c>
      <c r="G20" s="6849">
        <v>78000</v>
      </c>
      <c r="H20" s="6849"/>
      <c r="I20" s="10229"/>
      <c r="J20" s="6849">
        <v>0</v>
      </c>
      <c r="K20" s="10229"/>
      <c r="L20" s="6849"/>
      <c r="M20" s="6849">
        <v>0</v>
      </c>
      <c r="N20" s="6849"/>
      <c r="O20" s="6850">
        <v>308501</v>
      </c>
      <c r="P20" s="6851"/>
      <c r="Q20" s="6849">
        <v>0</v>
      </c>
      <c r="R20" s="10229">
        <v>0</v>
      </c>
      <c r="S20" s="6849"/>
      <c r="T20" s="6849">
        <v>241198.32</v>
      </c>
      <c r="U20" s="6849">
        <v>7600</v>
      </c>
      <c r="V20" s="6849">
        <v>19837.25</v>
      </c>
      <c r="W20" s="6849">
        <v>7600</v>
      </c>
      <c r="X20" s="6849"/>
      <c r="Y20" s="6849"/>
      <c r="Z20" s="6852">
        <f t="shared" si="0"/>
        <v>2980472.57</v>
      </c>
      <c r="AA20" s="6885" t="s">
        <v>577</v>
      </c>
    </row>
    <row r="21" spans="1:27" s="6853" customFormat="1" ht="15.75" customHeight="1">
      <c r="A21" s="6886" t="s">
        <v>10327</v>
      </c>
      <c r="B21" s="6854">
        <v>2019041.96</v>
      </c>
      <c r="C21" s="6854">
        <v>1134748.6299999999</v>
      </c>
      <c r="D21" s="6854">
        <v>420434.88</v>
      </c>
      <c r="E21" s="6854">
        <v>42500</v>
      </c>
      <c r="F21" s="6854">
        <v>42500</v>
      </c>
      <c r="G21" s="6854">
        <v>212000</v>
      </c>
      <c r="H21" s="6854"/>
      <c r="I21" s="10229"/>
      <c r="J21" s="6854">
        <v>0</v>
      </c>
      <c r="K21" s="10229"/>
      <c r="L21" s="6854"/>
      <c r="M21" s="6854"/>
      <c r="N21" s="6854"/>
      <c r="O21" s="6854">
        <v>491888</v>
      </c>
      <c r="P21" s="6855"/>
      <c r="Q21" s="6854">
        <v>0</v>
      </c>
      <c r="R21" s="10229">
        <v>0</v>
      </c>
      <c r="S21" s="6854"/>
      <c r="T21" s="6854">
        <v>376654.25</v>
      </c>
      <c r="U21" s="6854">
        <v>22700</v>
      </c>
      <c r="V21" s="6854">
        <v>44617.66</v>
      </c>
      <c r="W21" s="6854">
        <v>18682.349999999999</v>
      </c>
      <c r="X21" s="6854"/>
      <c r="Y21" s="6854"/>
      <c r="Z21" s="6852">
        <f>SUM(B21:Y21)</f>
        <v>4825767.7299999995</v>
      </c>
      <c r="AA21" s="6886" t="s">
        <v>10327</v>
      </c>
    </row>
    <row r="22" spans="1:27" ht="15" customHeight="1">
      <c r="A22" s="6888" t="s">
        <v>485</v>
      </c>
      <c r="B22" s="6857">
        <f>SUM(B5:B21)</f>
        <v>63473986.180000015</v>
      </c>
      <c r="C22" s="6857">
        <f>SUM(C5:C20)</f>
        <v>5527414.0499999998</v>
      </c>
      <c r="D22" s="6857">
        <f>SUM(D5:D21)</f>
        <v>6981351.959999999</v>
      </c>
      <c r="E22" s="6857">
        <f>SUM(E5:E21)</f>
        <v>1220330.2</v>
      </c>
      <c r="F22" s="6857">
        <f>SUM(F5:F21)</f>
        <v>624500</v>
      </c>
      <c r="G22" s="6857">
        <f>SUM(G5:G21)</f>
        <v>3300000</v>
      </c>
      <c r="H22" s="6857">
        <f>SUM(H5:H20)</f>
        <v>0</v>
      </c>
      <c r="I22" s="6857">
        <f>SUM(I5:I20)</f>
        <v>0</v>
      </c>
      <c r="J22" s="6857">
        <f>SUM(J5:J21)</f>
        <v>0</v>
      </c>
      <c r="K22" s="6857">
        <f>SUM(K5:K21)</f>
        <v>0</v>
      </c>
      <c r="L22" s="6857">
        <f>SUM(L5:L20)</f>
        <v>0</v>
      </c>
      <c r="M22" s="6857">
        <f>SUM(M5:M20)</f>
        <v>130000</v>
      </c>
      <c r="N22" s="6857">
        <f>SUM(N5:N20)</f>
        <v>839175.34000000008</v>
      </c>
      <c r="O22" s="6857">
        <f>SUM(O5:O21)</f>
        <v>10913285.960000001</v>
      </c>
      <c r="P22" s="6857">
        <f>SUM(P5:P20)</f>
        <v>0</v>
      </c>
      <c r="Q22" s="6857">
        <f>SUM(Q5:Q21)</f>
        <v>0</v>
      </c>
      <c r="R22" s="6857">
        <f>SUM(R5:R21)</f>
        <v>0</v>
      </c>
      <c r="S22" s="6857">
        <f>SUM(S5:S20)</f>
        <v>0</v>
      </c>
      <c r="T22" s="6857">
        <f>SUM(T5:T21)</f>
        <v>8335633.7799999993</v>
      </c>
      <c r="U22" s="6857">
        <f>SUM(U5:U21)</f>
        <v>358628.97000000003</v>
      </c>
      <c r="V22" s="6857">
        <f>SUM(V5:V21)</f>
        <v>845313.41999999993</v>
      </c>
      <c r="W22" s="6857">
        <f>SUM(W5:W21)</f>
        <v>337863.85999999993</v>
      </c>
      <c r="X22" s="6857">
        <f>SUM(X5:X20)</f>
        <v>0</v>
      </c>
      <c r="Y22" s="6857">
        <f>SUM(Y5:Y20)</f>
        <v>0</v>
      </c>
      <c r="Z22" s="6858">
        <f>SUM(Z5:Z21)</f>
        <v>104022232.34999998</v>
      </c>
      <c r="AA22" s="6888" t="s">
        <v>485</v>
      </c>
    </row>
    <row r="23" spans="1:27" ht="3" hidden="1" customHeight="1">
      <c r="A23" s="6887" t="s">
        <v>3098</v>
      </c>
      <c r="B23" s="6859"/>
      <c r="C23" s="6859"/>
      <c r="D23" s="6859"/>
      <c r="E23" s="6859"/>
      <c r="F23" s="6859"/>
      <c r="G23" s="6859"/>
      <c r="H23" s="6859"/>
      <c r="I23" s="10231"/>
      <c r="J23" s="6859"/>
      <c r="K23" s="10231"/>
      <c r="L23" s="6859"/>
      <c r="M23" s="6859"/>
      <c r="N23" s="6859"/>
      <c r="O23" s="6860"/>
      <c r="P23" s="6859"/>
      <c r="Q23" s="6859"/>
      <c r="R23" s="10231"/>
      <c r="S23" s="6859"/>
      <c r="T23" s="6859"/>
      <c r="U23" s="6859"/>
      <c r="V23" s="6859"/>
      <c r="W23" s="6859"/>
      <c r="X23" s="6859"/>
      <c r="Y23" s="6859"/>
      <c r="Z23" s="6856" t="s">
        <v>9</v>
      </c>
      <c r="AA23" s="6887" t="s">
        <v>3098</v>
      </c>
    </row>
    <row r="24" spans="1:27" s="6853" customFormat="1" ht="17.25" customHeight="1">
      <c r="A24" s="6889" t="s">
        <v>578</v>
      </c>
      <c r="B24" s="6861">
        <v>1858537.28</v>
      </c>
      <c r="C24" s="6861"/>
      <c r="D24" s="6861">
        <v>175818.2</v>
      </c>
      <c r="E24" s="6861"/>
      <c r="F24" s="6861"/>
      <c r="G24" s="6861">
        <v>68000</v>
      </c>
      <c r="H24" s="6861"/>
      <c r="I24" s="10232"/>
      <c r="J24" s="6861"/>
      <c r="K24" s="10232"/>
      <c r="L24" s="6861"/>
      <c r="M24" s="6861">
        <v>10000</v>
      </c>
      <c r="N24" s="6861"/>
      <c r="O24" s="6862">
        <v>269829</v>
      </c>
      <c r="P24" s="6851"/>
      <c r="Q24" s="6861">
        <v>0</v>
      </c>
      <c r="R24" s="10232">
        <v>0</v>
      </c>
      <c r="S24" s="6861"/>
      <c r="T24" s="6861">
        <v>189073.23</v>
      </c>
      <c r="U24" s="6861">
        <v>8800</v>
      </c>
      <c r="V24" s="6861">
        <v>21087.79</v>
      </c>
      <c r="W24" s="6861">
        <v>8200</v>
      </c>
      <c r="X24" s="6861"/>
      <c r="Y24" s="6861"/>
      <c r="Z24" s="6852">
        <f t="shared" ref="Z24:Z38" si="1">SUM(B24:Y24)</f>
        <v>2609345.5</v>
      </c>
      <c r="AA24" s="6889" t="s">
        <v>578</v>
      </c>
    </row>
    <row r="25" spans="1:27" s="6853" customFormat="1" ht="17.25" customHeight="1">
      <c r="A25" s="6889" t="s">
        <v>1727</v>
      </c>
      <c r="B25" s="6861">
        <v>2190797.48</v>
      </c>
      <c r="C25" s="6849"/>
      <c r="D25" s="6861">
        <v>279826.27</v>
      </c>
      <c r="E25" s="6861"/>
      <c r="F25" s="6861"/>
      <c r="G25" s="6861">
        <v>138000</v>
      </c>
      <c r="H25" s="6861"/>
      <c r="I25" s="10232"/>
      <c r="J25" s="6861">
        <v>0</v>
      </c>
      <c r="K25" s="10232"/>
      <c r="L25" s="6861"/>
      <c r="M25" s="6861">
        <v>5000</v>
      </c>
      <c r="N25" s="6861">
        <v>0</v>
      </c>
      <c r="O25" s="6862">
        <v>299378</v>
      </c>
      <c r="P25" s="6851"/>
      <c r="Q25" s="6861">
        <v>0</v>
      </c>
      <c r="R25" s="10232">
        <v>0</v>
      </c>
      <c r="S25" s="6861"/>
      <c r="T25" s="6861">
        <v>262895.7</v>
      </c>
      <c r="U25" s="6861">
        <v>14000</v>
      </c>
      <c r="V25" s="6861">
        <v>28353.42</v>
      </c>
      <c r="W25" s="6861">
        <v>14004.8</v>
      </c>
      <c r="X25" s="6861"/>
      <c r="Y25" s="6861"/>
      <c r="Z25" s="6852">
        <f t="shared" si="1"/>
        <v>3232255.67</v>
      </c>
      <c r="AA25" s="6889" t="s">
        <v>1727</v>
      </c>
    </row>
    <row r="26" spans="1:27" s="6853" customFormat="1" ht="17.25" hidden="1" customHeight="1">
      <c r="A26" s="6889" t="s">
        <v>580</v>
      </c>
      <c r="B26" s="6861"/>
      <c r="C26" s="6861"/>
      <c r="D26" s="6861"/>
      <c r="E26" s="6861"/>
      <c r="F26" s="6861"/>
      <c r="G26" s="6861"/>
      <c r="H26" s="6861"/>
      <c r="I26" s="10232"/>
      <c r="J26" s="6861"/>
      <c r="K26" s="10232"/>
      <c r="L26" s="6861"/>
      <c r="M26" s="6861"/>
      <c r="N26" s="6861"/>
      <c r="O26" s="6862"/>
      <c r="P26" s="6851"/>
      <c r="Q26" s="6861"/>
      <c r="R26" s="10232"/>
      <c r="S26" s="6861"/>
      <c r="T26" s="6861"/>
      <c r="U26" s="6861"/>
      <c r="V26" s="6861"/>
      <c r="W26" s="6861"/>
      <c r="X26" s="6861"/>
      <c r="Y26" s="6861"/>
      <c r="Z26" s="6863">
        <f t="shared" si="1"/>
        <v>0</v>
      </c>
      <c r="AA26" s="6889" t="s">
        <v>580</v>
      </c>
    </row>
    <row r="27" spans="1:27" s="6853" customFormat="1" ht="17.25" customHeight="1">
      <c r="A27" s="6889" t="s">
        <v>581</v>
      </c>
      <c r="B27" s="6861">
        <v>17313363.960000001</v>
      </c>
      <c r="C27" s="6849"/>
      <c r="D27" s="6861">
        <v>1445914.64</v>
      </c>
      <c r="E27" s="6861">
        <v>153125</v>
      </c>
      <c r="F27" s="6861">
        <v>153125</v>
      </c>
      <c r="G27" s="6861">
        <v>707000</v>
      </c>
      <c r="H27" s="6861">
        <v>490241.32</v>
      </c>
      <c r="I27" s="10232">
        <v>98899.8</v>
      </c>
      <c r="J27" s="6861">
        <v>0</v>
      </c>
      <c r="K27" s="10232"/>
      <c r="L27" s="6861">
        <v>3968333.85</v>
      </c>
      <c r="M27" s="6861">
        <v>15000</v>
      </c>
      <c r="N27" s="6861">
        <v>0</v>
      </c>
      <c r="O27" s="6862">
        <v>2688999</v>
      </c>
      <c r="P27" s="6851"/>
      <c r="Q27" s="6861">
        <v>0</v>
      </c>
      <c r="R27" s="10232">
        <v>0</v>
      </c>
      <c r="S27" s="6861">
        <v>0</v>
      </c>
      <c r="T27" s="6861">
        <v>2077603.67</v>
      </c>
      <c r="U27" s="6861">
        <v>72600</v>
      </c>
      <c r="V27" s="6861">
        <v>221406.04</v>
      </c>
      <c r="W27" s="6861">
        <v>72502.429999999993</v>
      </c>
      <c r="X27" s="6861"/>
      <c r="Y27" s="6861"/>
      <c r="Z27" s="6852">
        <f t="shared" si="1"/>
        <v>29478114.710000001</v>
      </c>
      <c r="AA27" s="6889" t="s">
        <v>581</v>
      </c>
    </row>
    <row r="28" spans="1:27" s="6853" customFormat="1" ht="17.25" customHeight="1">
      <c r="A28" s="6889" t="s">
        <v>582</v>
      </c>
      <c r="B28" s="6861">
        <v>11285130.140000001</v>
      </c>
      <c r="C28" s="6861"/>
      <c r="D28" s="6861">
        <v>888961.45</v>
      </c>
      <c r="E28" s="6861">
        <v>15000</v>
      </c>
      <c r="F28" s="6861">
        <v>15000</v>
      </c>
      <c r="G28" s="6861">
        <v>420000</v>
      </c>
      <c r="H28" s="6861">
        <v>406750</v>
      </c>
      <c r="I28" s="10232">
        <v>61413.98</v>
      </c>
      <c r="J28" s="6861">
        <v>0</v>
      </c>
      <c r="K28" s="10232"/>
      <c r="L28" s="6861">
        <v>2283891.96</v>
      </c>
      <c r="M28" s="6861">
        <v>25000</v>
      </c>
      <c r="N28" s="6861"/>
      <c r="O28" s="6862">
        <v>1758589</v>
      </c>
      <c r="P28" s="6851"/>
      <c r="Q28" s="6861">
        <v>0</v>
      </c>
      <c r="R28" s="10232">
        <v>0</v>
      </c>
      <c r="S28" s="6861"/>
      <c r="T28" s="6861">
        <v>1353429.96</v>
      </c>
      <c r="U28" s="6861">
        <v>44800</v>
      </c>
      <c r="V28" s="6861">
        <v>139255.07</v>
      </c>
      <c r="W28" s="6861">
        <v>44908.959999999999</v>
      </c>
      <c r="X28" s="6861"/>
      <c r="Y28" s="6861"/>
      <c r="Z28" s="6852">
        <f t="shared" si="1"/>
        <v>18742130.520000003</v>
      </c>
      <c r="AA28" s="6889" t="s">
        <v>582</v>
      </c>
    </row>
    <row r="29" spans="1:27" s="6853" customFormat="1" ht="17.25" customHeight="1">
      <c r="A29" s="6889" t="s">
        <v>583</v>
      </c>
      <c r="B29" s="6861">
        <v>7263724.6399999997</v>
      </c>
      <c r="C29" s="6861"/>
      <c r="D29" s="6861">
        <v>695064.26</v>
      </c>
      <c r="E29" s="6861">
        <v>25000</v>
      </c>
      <c r="F29" s="6861">
        <v>25000</v>
      </c>
      <c r="G29" s="6861">
        <v>342000</v>
      </c>
      <c r="H29" s="6861">
        <v>323000</v>
      </c>
      <c r="I29" s="10232">
        <v>48582.81</v>
      </c>
      <c r="J29" s="6861">
        <v>0</v>
      </c>
      <c r="K29" s="10232"/>
      <c r="L29" s="6861">
        <v>1562504.97</v>
      </c>
      <c r="M29" s="6861">
        <v>5000</v>
      </c>
      <c r="N29" s="6861"/>
      <c r="O29" s="6862">
        <v>1228398</v>
      </c>
      <c r="P29" s="6851"/>
      <c r="Q29" s="6861">
        <v>0</v>
      </c>
      <c r="R29" s="10232">
        <v>0</v>
      </c>
      <c r="S29" s="6861"/>
      <c r="T29" s="6861">
        <v>870989.38</v>
      </c>
      <c r="U29" s="6861">
        <v>34700</v>
      </c>
      <c r="V29" s="6861">
        <v>93087.54</v>
      </c>
      <c r="W29" s="6861">
        <v>34627.760000000002</v>
      </c>
      <c r="X29" s="6861"/>
      <c r="Y29" s="6861"/>
      <c r="Z29" s="6852">
        <f t="shared" si="1"/>
        <v>12551679.359999999</v>
      </c>
      <c r="AA29" s="6889" t="s">
        <v>583</v>
      </c>
    </row>
    <row r="30" spans="1:27" s="6853" customFormat="1" ht="17.25" customHeight="1">
      <c r="A30" s="6889" t="s">
        <v>584</v>
      </c>
      <c r="B30" s="6861">
        <v>5177040.82</v>
      </c>
      <c r="C30" s="6861"/>
      <c r="D30" s="6861">
        <v>454286.43</v>
      </c>
      <c r="E30" s="6861">
        <v>0</v>
      </c>
      <c r="F30" s="6861">
        <v>0</v>
      </c>
      <c r="G30" s="6861">
        <v>228000</v>
      </c>
      <c r="H30" s="6861">
        <v>190550</v>
      </c>
      <c r="I30" s="10232">
        <v>29372.79</v>
      </c>
      <c r="J30" s="6861">
        <v>0</v>
      </c>
      <c r="K30" s="10232">
        <v>0</v>
      </c>
      <c r="L30" s="6861">
        <v>1034208.64</v>
      </c>
      <c r="M30" s="6861">
        <v>0</v>
      </c>
      <c r="N30" s="6861"/>
      <c r="O30" s="6862">
        <v>292910</v>
      </c>
      <c r="P30" s="6851"/>
      <c r="Q30" s="6861">
        <v>0</v>
      </c>
      <c r="R30" s="10232">
        <v>0</v>
      </c>
      <c r="S30" s="6861"/>
      <c r="T30" s="6861">
        <v>621204.39</v>
      </c>
      <c r="U30" s="6861">
        <v>22800</v>
      </c>
      <c r="V30" s="6861">
        <v>64348.41</v>
      </c>
      <c r="W30" s="6861">
        <v>22751.13</v>
      </c>
      <c r="X30" s="6861"/>
      <c r="Y30" s="6861"/>
      <c r="Z30" s="6852">
        <f t="shared" si="1"/>
        <v>8137472.6099999994</v>
      </c>
      <c r="AA30" s="6889" t="s">
        <v>584</v>
      </c>
    </row>
    <row r="31" spans="1:27" s="6853" customFormat="1" ht="17.25" customHeight="1">
      <c r="A31" s="6889" t="s">
        <v>585</v>
      </c>
      <c r="B31" s="6861">
        <v>5148342.9400000004</v>
      </c>
      <c r="C31" s="6861"/>
      <c r="D31" s="6861">
        <v>476454.57</v>
      </c>
      <c r="E31" s="6861">
        <v>18750</v>
      </c>
      <c r="F31" s="6861">
        <v>18750</v>
      </c>
      <c r="G31" s="6861">
        <v>223000</v>
      </c>
      <c r="H31" s="6861">
        <v>216925</v>
      </c>
      <c r="I31" s="10232">
        <v>33293.480000000003</v>
      </c>
      <c r="J31" s="6861">
        <v>0</v>
      </c>
      <c r="K31" s="10232"/>
      <c r="L31" s="6861">
        <v>1181585.23</v>
      </c>
      <c r="M31" s="6861">
        <v>0</v>
      </c>
      <c r="N31" s="6861"/>
      <c r="O31" s="6862">
        <v>731319</v>
      </c>
      <c r="P31" s="6851"/>
      <c r="Q31" s="6861">
        <v>0</v>
      </c>
      <c r="R31" s="10232">
        <v>0</v>
      </c>
      <c r="S31" s="6861"/>
      <c r="T31" s="6861">
        <v>617801.16</v>
      </c>
      <c r="U31" s="6861">
        <v>23900</v>
      </c>
      <c r="V31" s="6861">
        <v>66881.19</v>
      </c>
      <c r="W31" s="6861">
        <v>23899.43</v>
      </c>
      <c r="X31" s="6861"/>
      <c r="Y31" s="6861"/>
      <c r="Z31" s="6852">
        <f t="shared" si="1"/>
        <v>8780902</v>
      </c>
      <c r="AA31" s="6889" t="s">
        <v>585</v>
      </c>
    </row>
    <row r="32" spans="1:27" s="6853" customFormat="1" ht="17.25" customHeight="1">
      <c r="A32" s="6889" t="s">
        <v>664</v>
      </c>
      <c r="B32" s="6861">
        <v>4627525.7300000004</v>
      </c>
      <c r="C32" s="6861"/>
      <c r="D32" s="6861">
        <v>346727.28</v>
      </c>
      <c r="E32" s="6861">
        <v>20000</v>
      </c>
      <c r="F32" s="6861">
        <v>20000</v>
      </c>
      <c r="G32" s="6861">
        <v>168000</v>
      </c>
      <c r="H32" s="6861">
        <v>155425</v>
      </c>
      <c r="I32" s="10232">
        <v>23935.19</v>
      </c>
      <c r="J32" s="6861">
        <v>0</v>
      </c>
      <c r="K32" s="10232"/>
      <c r="L32" s="6861">
        <v>964839.3</v>
      </c>
      <c r="M32" s="6861">
        <v>15000</v>
      </c>
      <c r="N32" s="6861">
        <v>0</v>
      </c>
      <c r="O32" s="6862">
        <v>764992</v>
      </c>
      <c r="P32" s="6851"/>
      <c r="Q32" s="6861">
        <v>0</v>
      </c>
      <c r="R32" s="10232">
        <v>0</v>
      </c>
      <c r="S32" s="6861"/>
      <c r="T32" s="6861">
        <v>555302.72</v>
      </c>
      <c r="U32" s="6861">
        <v>17400</v>
      </c>
      <c r="V32" s="6861">
        <v>57538.74</v>
      </c>
      <c r="W32" s="6861">
        <v>17400</v>
      </c>
      <c r="X32" s="6861"/>
      <c r="Y32" s="6861"/>
      <c r="Z32" s="6852">
        <f t="shared" si="1"/>
        <v>7754085.9600000009</v>
      </c>
      <c r="AA32" s="6889" t="s">
        <v>664</v>
      </c>
    </row>
    <row r="33" spans="1:27" s="6853" customFormat="1" ht="17.25" customHeight="1">
      <c r="A33" s="6889" t="s">
        <v>587</v>
      </c>
      <c r="B33" s="6861">
        <v>2060467.8</v>
      </c>
      <c r="C33" s="6861"/>
      <c r="D33" s="6861">
        <v>174922.45</v>
      </c>
      <c r="E33" s="6861">
        <v>0</v>
      </c>
      <c r="F33" s="6861">
        <v>0</v>
      </c>
      <c r="G33" s="6861">
        <v>84000</v>
      </c>
      <c r="H33" s="6861">
        <v>79800</v>
      </c>
      <c r="I33" s="10232">
        <v>12146.55</v>
      </c>
      <c r="J33" s="6861">
        <v>0</v>
      </c>
      <c r="K33" s="10232">
        <v>0</v>
      </c>
      <c r="L33" s="6861">
        <v>421485.69</v>
      </c>
      <c r="M33" s="6861">
        <v>5000</v>
      </c>
      <c r="N33" s="6861">
        <v>0</v>
      </c>
      <c r="O33" s="6862">
        <v>0</v>
      </c>
      <c r="P33" s="6851"/>
      <c r="Q33" s="6861">
        <v>0</v>
      </c>
      <c r="R33" s="10232">
        <v>0</v>
      </c>
      <c r="S33" s="6861"/>
      <c r="T33" s="6861">
        <v>245183.74</v>
      </c>
      <c r="U33" s="6861">
        <v>8700</v>
      </c>
      <c r="V33" s="6861">
        <v>24929.81</v>
      </c>
      <c r="W33" s="6861">
        <v>8700</v>
      </c>
      <c r="X33" s="6861"/>
      <c r="Y33" s="6861"/>
      <c r="Z33" s="6852">
        <f t="shared" si="1"/>
        <v>3125336.0399999996</v>
      </c>
      <c r="AA33" s="6889" t="s">
        <v>587</v>
      </c>
    </row>
    <row r="34" spans="1:27" s="6853" customFormat="1" ht="17.25" customHeight="1">
      <c r="A34" s="6889" t="s">
        <v>665</v>
      </c>
      <c r="B34" s="6861">
        <v>2141237.56</v>
      </c>
      <c r="C34" s="6861"/>
      <c r="D34" s="6861">
        <v>176363.56</v>
      </c>
      <c r="E34" s="6861"/>
      <c r="F34" s="6861"/>
      <c r="G34" s="6861">
        <v>78000</v>
      </c>
      <c r="H34" s="6861">
        <v>78100</v>
      </c>
      <c r="I34" s="10232">
        <v>12596.62</v>
      </c>
      <c r="J34" s="6861">
        <v>0</v>
      </c>
      <c r="K34" s="10232"/>
      <c r="L34" s="6861">
        <v>439776.68</v>
      </c>
      <c r="M34" s="6861">
        <v>5000</v>
      </c>
      <c r="N34" s="6861"/>
      <c r="O34" s="6862">
        <v>343924</v>
      </c>
      <c r="P34" s="6851"/>
      <c r="Q34" s="6861">
        <v>0</v>
      </c>
      <c r="R34" s="10232">
        <v>0</v>
      </c>
      <c r="S34" s="6861"/>
      <c r="T34" s="6861">
        <v>256905.54</v>
      </c>
      <c r="U34" s="6861">
        <v>8900</v>
      </c>
      <c r="V34" s="6861">
        <v>26406.880000000001</v>
      </c>
      <c r="W34" s="6861">
        <v>8866.85</v>
      </c>
      <c r="X34" s="6861"/>
      <c r="Y34" s="6861"/>
      <c r="Z34" s="6852">
        <f t="shared" si="1"/>
        <v>3576077.6900000004</v>
      </c>
      <c r="AA34" s="6889" t="s">
        <v>665</v>
      </c>
    </row>
    <row r="35" spans="1:27" s="6853" customFormat="1" ht="17.25" customHeight="1">
      <c r="A35" s="6889" t="s">
        <v>666</v>
      </c>
      <c r="B35" s="6861">
        <v>1970708.6</v>
      </c>
      <c r="C35" s="6861"/>
      <c r="D35" s="6861">
        <v>180000</v>
      </c>
      <c r="E35" s="6861"/>
      <c r="F35" s="6861"/>
      <c r="G35" s="6861">
        <v>90000</v>
      </c>
      <c r="H35" s="6861">
        <v>81131.75</v>
      </c>
      <c r="I35" s="10232">
        <v>12586.52</v>
      </c>
      <c r="J35" s="6861">
        <v>0</v>
      </c>
      <c r="K35" s="10232"/>
      <c r="L35" s="6861">
        <v>401480.97</v>
      </c>
      <c r="M35" s="6861">
        <v>15000</v>
      </c>
      <c r="N35" s="6861"/>
      <c r="O35" s="6862">
        <v>329958</v>
      </c>
      <c r="P35" s="6851"/>
      <c r="Q35" s="6861">
        <v>0</v>
      </c>
      <c r="R35" s="10232">
        <v>0</v>
      </c>
      <c r="S35" s="6861"/>
      <c r="T35" s="6861">
        <v>236485.03</v>
      </c>
      <c r="U35" s="6861">
        <v>9000</v>
      </c>
      <c r="V35" s="6861">
        <v>24067.55</v>
      </c>
      <c r="W35" s="6861">
        <v>8999.6200000000008</v>
      </c>
      <c r="X35" s="6861"/>
      <c r="Y35" s="6861"/>
      <c r="Z35" s="6852">
        <f t="shared" si="1"/>
        <v>3359418.0399999996</v>
      </c>
      <c r="AA35" s="6889" t="s">
        <v>666</v>
      </c>
    </row>
    <row r="36" spans="1:27" s="6853" customFormat="1" ht="17.25" customHeight="1">
      <c r="A36" s="6889" t="s">
        <v>667</v>
      </c>
      <c r="B36" s="6861">
        <v>2523538.83</v>
      </c>
      <c r="C36" s="6861"/>
      <c r="D36" s="6861">
        <v>236046.93</v>
      </c>
      <c r="E36" s="6861"/>
      <c r="F36" s="6861"/>
      <c r="G36" s="6861">
        <v>108000</v>
      </c>
      <c r="H36" s="6861">
        <v>104375</v>
      </c>
      <c r="I36" s="10232">
        <v>16595.849999999999</v>
      </c>
      <c r="J36" s="6861">
        <v>0</v>
      </c>
      <c r="K36" s="10232"/>
      <c r="L36" s="6861">
        <v>577354.63</v>
      </c>
      <c r="M36" s="6861">
        <v>5000</v>
      </c>
      <c r="N36" s="6861"/>
      <c r="O36" s="6862">
        <v>397946</v>
      </c>
      <c r="P36" s="6851"/>
      <c r="Q36" s="6861">
        <v>0</v>
      </c>
      <c r="R36" s="10232">
        <v>0</v>
      </c>
      <c r="S36" s="6861"/>
      <c r="T36" s="6861">
        <v>302869.32</v>
      </c>
      <c r="U36" s="6861">
        <v>11600.01</v>
      </c>
      <c r="V36" s="6861">
        <v>32915.1</v>
      </c>
      <c r="W36" s="6861">
        <v>11837.54</v>
      </c>
      <c r="X36" s="6861"/>
      <c r="Y36" s="6861"/>
      <c r="Z36" s="6852">
        <f t="shared" si="1"/>
        <v>4328079.21</v>
      </c>
      <c r="AA36" s="6889" t="s">
        <v>667</v>
      </c>
    </row>
    <row r="37" spans="1:27" s="6853" customFormat="1" ht="17.25" customHeight="1">
      <c r="A37" s="6889" t="s">
        <v>591</v>
      </c>
      <c r="B37" s="6861">
        <v>2647098.56</v>
      </c>
      <c r="C37" s="6861"/>
      <c r="D37" s="6861">
        <v>221490.54</v>
      </c>
      <c r="E37" s="6861"/>
      <c r="F37" s="6861"/>
      <c r="G37" s="6861">
        <v>96000</v>
      </c>
      <c r="H37" s="6861">
        <v>104250</v>
      </c>
      <c r="I37" s="10232">
        <v>15538.62</v>
      </c>
      <c r="J37" s="6861">
        <v>0</v>
      </c>
      <c r="K37" s="10232"/>
      <c r="L37" s="6861">
        <v>517882.54</v>
      </c>
      <c r="M37" s="6861">
        <v>30000</v>
      </c>
      <c r="N37" s="6861"/>
      <c r="O37" s="6862">
        <v>422825</v>
      </c>
      <c r="P37" s="6851"/>
      <c r="Q37" s="6861">
        <v>0</v>
      </c>
      <c r="R37" s="10232">
        <v>0</v>
      </c>
      <c r="S37" s="6861"/>
      <c r="T37" s="6861">
        <v>317584.44</v>
      </c>
      <c r="U37" s="6861">
        <v>11100</v>
      </c>
      <c r="V37" s="6861">
        <v>32643.45</v>
      </c>
      <c r="W37" s="6861">
        <v>11200</v>
      </c>
      <c r="X37" s="6861"/>
      <c r="Y37" s="6861"/>
      <c r="Z37" s="6852">
        <f t="shared" si="1"/>
        <v>4427613.1500000004</v>
      </c>
      <c r="AA37" s="6889" t="s">
        <v>591</v>
      </c>
    </row>
    <row r="38" spans="1:27" s="6853" customFormat="1" ht="17.25" customHeight="1">
      <c r="A38" s="6889" t="s">
        <v>592</v>
      </c>
      <c r="B38" s="6861">
        <v>3048735.06</v>
      </c>
      <c r="C38" s="6861"/>
      <c r="D38" s="6861">
        <v>311409.14</v>
      </c>
      <c r="E38" s="6861">
        <v>40375</v>
      </c>
      <c r="F38" s="6861">
        <v>40375</v>
      </c>
      <c r="G38" s="6861">
        <v>138000</v>
      </c>
      <c r="H38" s="6861">
        <v>0</v>
      </c>
      <c r="I38" s="10232">
        <v>0</v>
      </c>
      <c r="J38" s="6861">
        <v>0</v>
      </c>
      <c r="K38" s="10232"/>
      <c r="L38" s="6861">
        <v>331407.83</v>
      </c>
      <c r="M38" s="6861">
        <v>5000</v>
      </c>
      <c r="N38" s="6861">
        <v>2194.91</v>
      </c>
      <c r="O38" s="6862">
        <v>443901</v>
      </c>
      <c r="P38" s="6851"/>
      <c r="Q38" s="6861">
        <v>0</v>
      </c>
      <c r="R38" s="10232">
        <v>0</v>
      </c>
      <c r="S38" s="6861"/>
      <c r="T38" s="6861">
        <v>365848.18</v>
      </c>
      <c r="U38" s="6861">
        <v>15600</v>
      </c>
      <c r="V38" s="6861">
        <v>37574.93</v>
      </c>
      <c r="W38" s="6861">
        <v>15600</v>
      </c>
      <c r="X38" s="6861"/>
      <c r="Y38" s="6861"/>
      <c r="Z38" s="6852">
        <f t="shared" si="1"/>
        <v>4796021.05</v>
      </c>
      <c r="AA38" s="6889" t="s">
        <v>592</v>
      </c>
    </row>
    <row r="39" spans="1:27" ht="0.75" customHeight="1">
      <c r="A39" s="6890" t="s">
        <v>9</v>
      </c>
      <c r="B39" s="6859"/>
      <c r="C39" s="6859"/>
      <c r="D39" s="6859"/>
      <c r="E39" s="6859"/>
      <c r="F39" s="6859"/>
      <c r="G39" s="6859"/>
      <c r="H39" s="6859"/>
      <c r="I39" s="10231"/>
      <c r="J39" s="6859"/>
      <c r="K39" s="10231"/>
      <c r="L39" s="6859"/>
      <c r="M39" s="6859"/>
      <c r="N39" s="6859"/>
      <c r="O39" s="6860"/>
      <c r="P39" s="6859"/>
      <c r="Q39" s="6859"/>
      <c r="R39" s="10231"/>
      <c r="S39" s="6859"/>
      <c r="T39" s="6859"/>
      <c r="U39" s="6859"/>
      <c r="V39" s="6859"/>
      <c r="W39" s="6859"/>
      <c r="X39" s="6859"/>
      <c r="Y39" s="6859"/>
      <c r="Z39" s="6856" t="s">
        <v>9</v>
      </c>
      <c r="AA39" s="6890" t="s">
        <v>9</v>
      </c>
    </row>
    <row r="40" spans="1:27" ht="17.100000000000001" customHeight="1">
      <c r="A40" s="6888" t="s">
        <v>485</v>
      </c>
      <c r="B40" s="6857">
        <f t="shared" ref="B40:Y40" si="2">SUM(B24:B38)</f>
        <v>69256249.399999991</v>
      </c>
      <c r="C40" s="6857">
        <f t="shared" si="2"/>
        <v>0</v>
      </c>
      <c r="D40" s="6857">
        <f t="shared" si="2"/>
        <v>6063285.7199999988</v>
      </c>
      <c r="E40" s="6857">
        <f t="shared" si="2"/>
        <v>272250</v>
      </c>
      <c r="F40" s="6857">
        <f t="shared" si="2"/>
        <v>272250</v>
      </c>
      <c r="G40" s="6857">
        <f t="shared" si="2"/>
        <v>2888000</v>
      </c>
      <c r="H40" s="6857">
        <f>SUM(H24:H38)</f>
        <v>2230548.0700000003</v>
      </c>
      <c r="I40" s="6857">
        <f>SUM(I24:I38)</f>
        <v>364962.20999999996</v>
      </c>
      <c r="J40" s="6857">
        <f t="shared" si="2"/>
        <v>0</v>
      </c>
      <c r="K40" s="6857">
        <f t="shared" si="2"/>
        <v>0</v>
      </c>
      <c r="L40" s="6857">
        <f t="shared" ref="L40:Q40" si="3">SUM(L24:L38)</f>
        <v>13684752.290000001</v>
      </c>
      <c r="M40" s="6857">
        <f t="shared" si="3"/>
        <v>140000</v>
      </c>
      <c r="N40" s="6857">
        <f t="shared" si="3"/>
        <v>2194.91</v>
      </c>
      <c r="O40" s="6857">
        <f t="shared" si="3"/>
        <v>9972968</v>
      </c>
      <c r="P40" s="6857">
        <f t="shared" si="3"/>
        <v>0</v>
      </c>
      <c r="Q40" s="6857">
        <f t="shared" si="3"/>
        <v>0</v>
      </c>
      <c r="R40" s="6857">
        <f t="shared" si="2"/>
        <v>0</v>
      </c>
      <c r="S40" s="6857">
        <f t="shared" si="2"/>
        <v>0</v>
      </c>
      <c r="T40" s="6857">
        <f t="shared" si="2"/>
        <v>8273176.4600000009</v>
      </c>
      <c r="U40" s="6857">
        <f t="shared" si="2"/>
        <v>303900.01</v>
      </c>
      <c r="V40" s="6857">
        <f t="shared" si="2"/>
        <v>870495.92</v>
      </c>
      <c r="W40" s="6857">
        <f t="shared" si="2"/>
        <v>303498.52</v>
      </c>
      <c r="X40" s="6857">
        <f t="shared" si="2"/>
        <v>0</v>
      </c>
      <c r="Y40" s="6857">
        <f t="shared" si="2"/>
        <v>0</v>
      </c>
      <c r="Z40" s="6858">
        <f>SUM(Z24:Z39)</f>
        <v>114898531.51000002</v>
      </c>
      <c r="AA40" s="6888" t="s">
        <v>485</v>
      </c>
    </row>
    <row r="41" spans="1:27" ht="0.75" customHeight="1">
      <c r="A41" s="6887" t="s">
        <v>3099</v>
      </c>
      <c r="B41" s="6859"/>
      <c r="C41" s="6859"/>
      <c r="D41" s="6859"/>
      <c r="E41" s="6859"/>
      <c r="F41" s="6859"/>
      <c r="G41" s="6859"/>
      <c r="H41" s="6859"/>
      <c r="I41" s="10231"/>
      <c r="J41" s="6859"/>
      <c r="K41" s="10231"/>
      <c r="L41" s="6859"/>
      <c r="M41" s="6859"/>
      <c r="N41" s="6859"/>
      <c r="O41" s="6860"/>
      <c r="P41" s="6859"/>
      <c r="Q41" s="6859"/>
      <c r="R41" s="10231"/>
      <c r="S41" s="6859"/>
      <c r="T41" s="6859"/>
      <c r="U41" s="6859"/>
      <c r="V41" s="6859"/>
      <c r="W41" s="6859"/>
      <c r="X41" s="6859"/>
      <c r="Y41" s="6859"/>
      <c r="Z41" s="6856" t="s">
        <v>9</v>
      </c>
      <c r="AA41" s="6887" t="s">
        <v>3099</v>
      </c>
    </row>
    <row r="42" spans="1:27" s="6853" customFormat="1" ht="17.100000000000001" customHeight="1">
      <c r="A42" s="6889" t="s">
        <v>593</v>
      </c>
      <c r="B42" s="6851">
        <v>410059.8</v>
      </c>
      <c r="C42" s="6851"/>
      <c r="D42" s="6851">
        <v>59971.27</v>
      </c>
      <c r="E42" s="6851"/>
      <c r="F42" s="6851"/>
      <c r="G42" s="6851">
        <v>29000</v>
      </c>
      <c r="H42" s="6851"/>
      <c r="I42" s="10233"/>
      <c r="J42" s="6851">
        <v>0</v>
      </c>
      <c r="K42" s="10233"/>
      <c r="L42" s="6851"/>
      <c r="M42" s="6851">
        <v>0</v>
      </c>
      <c r="N42" s="6851">
        <v>0</v>
      </c>
      <c r="O42" s="6864">
        <v>68377</v>
      </c>
      <c r="P42" s="6851"/>
      <c r="Q42" s="6851">
        <v>0</v>
      </c>
      <c r="R42" s="10233">
        <v>0</v>
      </c>
      <c r="S42" s="6851"/>
      <c r="T42" s="6851">
        <v>49207.18</v>
      </c>
      <c r="U42" s="6851">
        <v>3000</v>
      </c>
      <c r="V42" s="6851">
        <v>5641.11</v>
      </c>
      <c r="W42" s="6851">
        <v>3000</v>
      </c>
      <c r="X42" s="6851"/>
      <c r="Y42" s="6851"/>
      <c r="Z42" s="6865">
        <f t="shared" ref="Z42:Z50" si="4">SUM(B42:Y42)</f>
        <v>628256.3600000001</v>
      </c>
      <c r="AA42" s="6889" t="s">
        <v>593</v>
      </c>
    </row>
    <row r="43" spans="1:27" s="6853" customFormat="1" ht="17.100000000000001" customHeight="1">
      <c r="A43" s="10307" t="s">
        <v>10813</v>
      </c>
      <c r="B43" s="10233">
        <v>406410</v>
      </c>
      <c r="C43" s="10233"/>
      <c r="D43" s="10233">
        <v>24000</v>
      </c>
      <c r="E43" s="10233"/>
      <c r="F43" s="10233"/>
      <c r="G43" s="10233">
        <v>10000</v>
      </c>
      <c r="H43" s="10233"/>
      <c r="I43" s="10233"/>
      <c r="J43" s="10233">
        <v>0</v>
      </c>
      <c r="K43" s="10233"/>
      <c r="L43" s="10233"/>
      <c r="M43" s="10233">
        <v>0</v>
      </c>
      <c r="N43" s="10233">
        <v>0</v>
      </c>
      <c r="O43" s="10233">
        <v>67735</v>
      </c>
      <c r="P43" s="10233"/>
      <c r="Q43" s="10233">
        <v>0</v>
      </c>
      <c r="R43" s="10233">
        <v>0</v>
      </c>
      <c r="S43" s="10233"/>
      <c r="T43" s="10233">
        <v>48769.2</v>
      </c>
      <c r="U43" s="10233">
        <v>1200</v>
      </c>
      <c r="V43" s="10233">
        <v>5007.6000000000004</v>
      </c>
      <c r="W43" s="10233">
        <v>1200</v>
      </c>
      <c r="X43" s="10233"/>
      <c r="Y43" s="10233"/>
      <c r="Z43" s="6865">
        <f>SUM(B43:Y43)</f>
        <v>564321.79999999993</v>
      </c>
      <c r="AA43" s="10307" t="s">
        <v>10813</v>
      </c>
    </row>
    <row r="44" spans="1:27" s="6853" customFormat="1" ht="17.100000000000001" customHeight="1">
      <c r="A44" s="6889" t="s">
        <v>594</v>
      </c>
      <c r="B44" s="6851">
        <v>682407.4</v>
      </c>
      <c r="C44" s="6851"/>
      <c r="D44" s="6851">
        <v>58895.360000000001</v>
      </c>
      <c r="E44" s="6851"/>
      <c r="F44" s="6851"/>
      <c r="G44" s="6851">
        <v>31000</v>
      </c>
      <c r="H44" s="6851"/>
      <c r="I44" s="10233"/>
      <c r="J44" s="6851">
        <v>0</v>
      </c>
      <c r="K44" s="10233"/>
      <c r="L44" s="6851"/>
      <c r="M44" s="6851">
        <v>0</v>
      </c>
      <c r="N44" s="6851">
        <v>0</v>
      </c>
      <c r="O44" s="6864">
        <v>114746</v>
      </c>
      <c r="P44" s="6851"/>
      <c r="Q44" s="6851">
        <v>0</v>
      </c>
      <c r="R44" s="10233">
        <v>0</v>
      </c>
      <c r="S44" s="6851"/>
      <c r="T44" s="6851">
        <v>81888.89</v>
      </c>
      <c r="U44" s="6851">
        <v>3000</v>
      </c>
      <c r="V44" s="6851">
        <v>7849.86</v>
      </c>
      <c r="W44" s="6851">
        <v>2994.84</v>
      </c>
      <c r="X44" s="6851"/>
      <c r="Y44" s="6851"/>
      <c r="Z44" s="6852">
        <f t="shared" si="4"/>
        <v>982782.35</v>
      </c>
      <c r="AA44" s="6889" t="s">
        <v>594</v>
      </c>
    </row>
    <row r="45" spans="1:27" s="6853" customFormat="1" ht="17.100000000000001" customHeight="1">
      <c r="A45" s="6889" t="s">
        <v>595</v>
      </c>
      <c r="B45" s="6851">
        <v>365443.03</v>
      </c>
      <c r="C45" s="6851"/>
      <c r="D45" s="6851">
        <v>35301.18</v>
      </c>
      <c r="E45" s="6851"/>
      <c r="F45" s="6851"/>
      <c r="G45" s="6851">
        <v>25000</v>
      </c>
      <c r="H45" s="6851"/>
      <c r="I45" s="10233"/>
      <c r="J45" s="6851">
        <v>0</v>
      </c>
      <c r="K45" s="10233"/>
      <c r="L45" s="6851"/>
      <c r="M45" s="6851">
        <v>0</v>
      </c>
      <c r="N45" s="6851">
        <v>0</v>
      </c>
      <c r="O45" s="6864">
        <v>48426</v>
      </c>
      <c r="P45" s="6851"/>
      <c r="Q45" s="6851">
        <v>0</v>
      </c>
      <c r="R45" s="10233">
        <v>0</v>
      </c>
      <c r="S45" s="6851">
        <v>0</v>
      </c>
      <c r="T45" s="6851">
        <v>43853.17</v>
      </c>
      <c r="U45" s="6851">
        <v>1800</v>
      </c>
      <c r="V45" s="6851">
        <v>5109.29</v>
      </c>
      <c r="W45" s="6851">
        <v>1800</v>
      </c>
      <c r="X45" s="6851"/>
      <c r="Y45" s="6851"/>
      <c r="Z45" s="6852">
        <f t="shared" si="4"/>
        <v>526732.67000000004</v>
      </c>
      <c r="AA45" s="6889" t="s">
        <v>595</v>
      </c>
    </row>
    <row r="46" spans="1:27" s="6853" customFormat="1" ht="17.100000000000001" customHeight="1">
      <c r="A46" s="6891" t="s">
        <v>596</v>
      </c>
      <c r="B46" s="6855">
        <v>459472</v>
      </c>
      <c r="C46" s="6855"/>
      <c r="D46" s="6855">
        <v>24000</v>
      </c>
      <c r="E46" s="6855"/>
      <c r="F46" s="6855"/>
      <c r="G46" s="6855">
        <v>6000</v>
      </c>
      <c r="H46" s="6855"/>
      <c r="I46" s="10233"/>
      <c r="J46" s="6855">
        <v>0</v>
      </c>
      <c r="K46" s="10233"/>
      <c r="L46" s="6855"/>
      <c r="M46" s="6855">
        <v>0</v>
      </c>
      <c r="N46" s="6855">
        <v>0</v>
      </c>
      <c r="O46" s="6864">
        <v>77469</v>
      </c>
      <c r="P46" s="6855"/>
      <c r="Q46" s="6855">
        <v>0</v>
      </c>
      <c r="R46" s="10233">
        <v>0</v>
      </c>
      <c r="S46" s="6855"/>
      <c r="T46" s="6855">
        <v>55136.639999999999</v>
      </c>
      <c r="U46" s="6855">
        <v>1200</v>
      </c>
      <c r="V46" s="6855">
        <v>5789.26</v>
      </c>
      <c r="W46" s="6855">
        <v>1200</v>
      </c>
      <c r="X46" s="6855"/>
      <c r="Y46" s="6855"/>
      <c r="Z46" s="6852">
        <f t="shared" si="4"/>
        <v>630266.9</v>
      </c>
      <c r="AA46" s="6891" t="s">
        <v>596</v>
      </c>
    </row>
    <row r="47" spans="1:27" s="6853" customFormat="1" ht="17.100000000000001" customHeight="1">
      <c r="A47" s="6889" t="s">
        <v>598</v>
      </c>
      <c r="B47" s="6849">
        <v>7604374.21</v>
      </c>
      <c r="C47" s="6849"/>
      <c r="D47" s="6849">
        <v>778181.86</v>
      </c>
      <c r="E47" s="6849">
        <v>80000</v>
      </c>
      <c r="F47" s="6849">
        <v>80000</v>
      </c>
      <c r="G47" s="6849">
        <v>383000</v>
      </c>
      <c r="H47" s="6849"/>
      <c r="I47" s="10229"/>
      <c r="J47" s="6849">
        <v>0</v>
      </c>
      <c r="K47" s="10229"/>
      <c r="L47" s="6849"/>
      <c r="M47" s="6849">
        <v>0</v>
      </c>
      <c r="N47" s="6849"/>
      <c r="O47" s="6850">
        <v>1228237</v>
      </c>
      <c r="P47" s="6851"/>
      <c r="Q47" s="6849">
        <v>0</v>
      </c>
      <c r="R47" s="10229">
        <v>0</v>
      </c>
      <c r="S47" s="6849"/>
      <c r="T47" s="6849">
        <v>912524.91</v>
      </c>
      <c r="U47" s="6849">
        <v>39000</v>
      </c>
      <c r="V47" s="6849">
        <v>97027.87</v>
      </c>
      <c r="W47" s="6849">
        <v>38789.96</v>
      </c>
      <c r="X47" s="6849"/>
      <c r="Y47" s="6849"/>
      <c r="Z47" s="6852">
        <f t="shared" si="4"/>
        <v>11241135.810000001</v>
      </c>
      <c r="AA47" s="6889" t="s">
        <v>598</v>
      </c>
    </row>
    <row r="48" spans="1:27" s="6853" customFormat="1" ht="17.100000000000001" customHeight="1">
      <c r="A48" s="6889" t="s">
        <v>599</v>
      </c>
      <c r="B48" s="6849">
        <v>4568491.45</v>
      </c>
      <c r="C48" s="6849"/>
      <c r="D48" s="6849">
        <v>387278.56</v>
      </c>
      <c r="E48" s="6849">
        <v>42500</v>
      </c>
      <c r="F48" s="6849">
        <v>42500</v>
      </c>
      <c r="G48" s="6849">
        <v>186000</v>
      </c>
      <c r="H48" s="6849">
        <v>3800</v>
      </c>
      <c r="I48" s="10229">
        <v>743.18</v>
      </c>
      <c r="J48" s="6849">
        <v>0</v>
      </c>
      <c r="K48" s="10229"/>
      <c r="L48" s="6849">
        <v>24947.5</v>
      </c>
      <c r="M48" s="6849">
        <v>5000</v>
      </c>
      <c r="N48" s="6849"/>
      <c r="O48" s="6850">
        <v>727428</v>
      </c>
      <c r="P48" s="6851"/>
      <c r="Q48" s="6849">
        <v>0</v>
      </c>
      <c r="R48" s="10229">
        <v>0</v>
      </c>
      <c r="S48" s="6849"/>
      <c r="T48" s="6849">
        <v>547862.94999999995</v>
      </c>
      <c r="U48" s="6849">
        <v>19400</v>
      </c>
      <c r="V48" s="6849">
        <v>54809.04</v>
      </c>
      <c r="W48" s="6849">
        <v>19400</v>
      </c>
      <c r="X48" s="6849"/>
      <c r="Y48" s="6849"/>
      <c r="Z48" s="6852">
        <f t="shared" si="4"/>
        <v>6630160.6799999997</v>
      </c>
      <c r="AA48" s="6889" t="s">
        <v>599</v>
      </c>
    </row>
    <row r="49" spans="1:27" s="6853" customFormat="1" ht="17.100000000000001" customHeight="1">
      <c r="A49" s="6889" t="s">
        <v>600</v>
      </c>
      <c r="B49" s="6849">
        <v>13612779.550000001</v>
      </c>
      <c r="C49" s="6849"/>
      <c r="D49" s="6849">
        <v>1460577.87</v>
      </c>
      <c r="E49" s="6849">
        <v>77875</v>
      </c>
      <c r="F49" s="6849">
        <v>0</v>
      </c>
      <c r="G49" s="6849">
        <v>707000</v>
      </c>
      <c r="H49" s="6849"/>
      <c r="I49" s="10229"/>
      <c r="J49" s="6849">
        <v>0</v>
      </c>
      <c r="K49" s="10229"/>
      <c r="L49" s="6849"/>
      <c r="M49" s="6849">
        <v>60000</v>
      </c>
      <c r="N49" s="6849">
        <v>28030.14</v>
      </c>
      <c r="O49" s="6850">
        <v>1982030</v>
      </c>
      <c r="P49" s="6851"/>
      <c r="Q49" s="6849">
        <v>0</v>
      </c>
      <c r="R49" s="10229">
        <v>0</v>
      </c>
      <c r="S49" s="6849"/>
      <c r="T49" s="6849">
        <v>1633533.56</v>
      </c>
      <c r="U49" s="6849">
        <v>73300</v>
      </c>
      <c r="V49" s="6849">
        <v>169601.62</v>
      </c>
      <c r="W49" s="6849">
        <v>73290.77</v>
      </c>
      <c r="X49" s="6849"/>
      <c r="Y49" s="6849"/>
      <c r="Z49" s="6852">
        <f t="shared" si="4"/>
        <v>19878018.510000002</v>
      </c>
      <c r="AA49" s="6889" t="s">
        <v>600</v>
      </c>
    </row>
    <row r="50" spans="1:27" s="6853" customFormat="1" ht="17.100000000000001" customHeight="1">
      <c r="A50" s="6889" t="s">
        <v>668</v>
      </c>
      <c r="B50" s="6849">
        <v>7739013.0999999996</v>
      </c>
      <c r="C50" s="6849"/>
      <c r="D50" s="6849">
        <v>908545.5</v>
      </c>
      <c r="E50" s="6849">
        <v>42500</v>
      </c>
      <c r="F50" s="6849">
        <v>42500</v>
      </c>
      <c r="G50" s="6849">
        <v>438000</v>
      </c>
      <c r="H50" s="6849"/>
      <c r="I50" s="10229"/>
      <c r="J50" s="6849">
        <v>0</v>
      </c>
      <c r="K50" s="10229"/>
      <c r="L50" s="6849"/>
      <c r="M50" s="6849">
        <v>10000</v>
      </c>
      <c r="N50" s="6849">
        <v>0</v>
      </c>
      <c r="O50" s="6850">
        <v>1156175</v>
      </c>
      <c r="P50" s="6851"/>
      <c r="Q50" s="6849">
        <v>0</v>
      </c>
      <c r="R50" s="10229">
        <v>0</v>
      </c>
      <c r="S50" s="6849"/>
      <c r="T50" s="6849">
        <v>928681.57</v>
      </c>
      <c r="U50" s="6849">
        <v>45500</v>
      </c>
      <c r="V50" s="6849">
        <v>98300.54</v>
      </c>
      <c r="W50" s="6849">
        <v>45462.21</v>
      </c>
      <c r="X50" s="6849"/>
      <c r="Y50" s="6849"/>
      <c r="Z50" s="6852">
        <f t="shared" si="4"/>
        <v>11454677.92</v>
      </c>
      <c r="AA50" s="6889" t="s">
        <v>668</v>
      </c>
    </row>
    <row r="51" spans="1:27" ht="0.75" customHeight="1">
      <c r="A51" s="6887"/>
      <c r="B51" s="6859"/>
      <c r="C51" s="6859"/>
      <c r="D51" s="6859"/>
      <c r="E51" s="6859"/>
      <c r="F51" s="6859"/>
      <c r="G51" s="6859"/>
      <c r="H51" s="6859"/>
      <c r="I51" s="10231"/>
      <c r="J51" s="6859">
        <v>0</v>
      </c>
      <c r="K51" s="10231"/>
      <c r="L51" s="6859"/>
      <c r="M51" s="6859"/>
      <c r="N51" s="6859"/>
      <c r="O51" s="6860"/>
      <c r="P51" s="6843"/>
      <c r="Q51" s="6859"/>
      <c r="R51" s="10231"/>
      <c r="S51" s="6859"/>
      <c r="T51" s="6859"/>
      <c r="U51" s="6859"/>
      <c r="V51" s="6859"/>
      <c r="W51" s="6859"/>
      <c r="X51" s="6859"/>
      <c r="Y51" s="6859"/>
      <c r="Z51" s="6856" t="s">
        <v>9</v>
      </c>
      <c r="AA51" s="6887"/>
    </row>
    <row r="52" spans="1:27" ht="13.5" customHeight="1">
      <c r="A52" s="6892" t="s">
        <v>485</v>
      </c>
      <c r="B52" s="6866">
        <f t="shared" ref="B52:Z52" si="5">SUM(B42:B50)</f>
        <v>35848450.539999999</v>
      </c>
      <c r="C52" s="6866">
        <f t="shared" si="5"/>
        <v>0</v>
      </c>
      <c r="D52" s="6866">
        <f t="shared" si="5"/>
        <v>3736751.6</v>
      </c>
      <c r="E52" s="6866">
        <f t="shared" si="5"/>
        <v>242875</v>
      </c>
      <c r="F52" s="6866">
        <f t="shared" si="5"/>
        <v>165000</v>
      </c>
      <c r="G52" s="6866">
        <f t="shared" si="5"/>
        <v>1815000</v>
      </c>
      <c r="H52" s="6866">
        <f>SUM(H42:H50)</f>
        <v>3800</v>
      </c>
      <c r="I52" s="6866">
        <f>SUM(I42:I50)</f>
        <v>743.18</v>
      </c>
      <c r="J52" s="6866">
        <f>SUM(J42:J51)</f>
        <v>0</v>
      </c>
      <c r="K52" s="6866">
        <f>SUM(K42:K51)</f>
        <v>0</v>
      </c>
      <c r="L52" s="6866">
        <f t="shared" ref="L52:Q52" si="6">SUM(L42:L50)</f>
        <v>24947.5</v>
      </c>
      <c r="M52" s="6866">
        <f t="shared" si="6"/>
        <v>75000</v>
      </c>
      <c r="N52" s="6866">
        <f t="shared" si="6"/>
        <v>28030.14</v>
      </c>
      <c r="O52" s="6866">
        <f t="shared" si="6"/>
        <v>5470623</v>
      </c>
      <c r="P52" s="6866">
        <f t="shared" si="6"/>
        <v>0</v>
      </c>
      <c r="Q52" s="6866">
        <f t="shared" si="6"/>
        <v>0</v>
      </c>
      <c r="R52" s="6866">
        <f>SUM(R42:R51)</f>
        <v>0</v>
      </c>
      <c r="S52" s="6866">
        <f t="shared" si="5"/>
        <v>0</v>
      </c>
      <c r="T52" s="6866">
        <f t="shared" si="5"/>
        <v>4301458.07</v>
      </c>
      <c r="U52" s="6866">
        <f t="shared" si="5"/>
        <v>187400</v>
      </c>
      <c r="V52" s="6866">
        <f t="shared" si="5"/>
        <v>449136.19</v>
      </c>
      <c r="W52" s="6866">
        <f t="shared" si="5"/>
        <v>187137.78</v>
      </c>
      <c r="X52" s="6866">
        <f t="shared" si="5"/>
        <v>0</v>
      </c>
      <c r="Y52" s="6866">
        <f t="shared" si="5"/>
        <v>0</v>
      </c>
      <c r="Z52" s="6867">
        <f t="shared" si="5"/>
        <v>52536353</v>
      </c>
      <c r="AA52" s="6892" t="s">
        <v>485</v>
      </c>
    </row>
    <row r="53" spans="1:27" ht="17.100000000000001" hidden="1" customHeight="1">
      <c r="A53" s="6893"/>
      <c r="B53" s="6868"/>
      <c r="C53" s="6868"/>
      <c r="D53" s="6868"/>
      <c r="E53" s="6868"/>
      <c r="F53" s="6868"/>
      <c r="G53" s="6868"/>
      <c r="H53" s="6868"/>
      <c r="I53" s="6868"/>
      <c r="J53" s="6868"/>
      <c r="K53" s="6868"/>
      <c r="L53" s="6868"/>
      <c r="M53" s="6868"/>
      <c r="N53" s="6868"/>
      <c r="O53" s="6868"/>
      <c r="P53" s="6868"/>
      <c r="Q53" s="6868"/>
      <c r="R53" s="6868"/>
      <c r="S53" s="6868"/>
      <c r="T53" s="6868"/>
      <c r="U53" s="6868"/>
      <c r="V53" s="6868"/>
      <c r="W53" s="6868"/>
      <c r="X53" s="6868"/>
      <c r="Y53" s="6868"/>
      <c r="Z53" s="6869" t="s">
        <v>9</v>
      </c>
      <c r="AA53" s="6893"/>
    </row>
    <row r="54" spans="1:27" s="6872" customFormat="1" ht="17.100000000000001" hidden="1" customHeight="1">
      <c r="A54" s="6894" t="s">
        <v>3270</v>
      </c>
      <c r="B54" s="6840"/>
      <c r="C54" s="6840"/>
      <c r="D54" s="6840"/>
      <c r="E54" s="6840"/>
      <c r="F54" s="6840"/>
      <c r="G54" s="6840"/>
      <c r="H54" s="6840"/>
      <c r="I54" s="6840"/>
      <c r="J54" s="6840"/>
      <c r="K54" s="6840"/>
      <c r="L54" s="6840"/>
      <c r="M54" s="6840"/>
      <c r="N54" s="6840"/>
      <c r="O54" s="6840"/>
      <c r="P54" s="6840"/>
      <c r="Q54" s="6840"/>
      <c r="R54" s="6840"/>
      <c r="S54" s="6840"/>
      <c r="T54" s="6840"/>
      <c r="U54" s="6840"/>
      <c r="V54" s="6840"/>
      <c r="W54" s="6840"/>
      <c r="X54" s="6870">
        <v>0</v>
      </c>
      <c r="Y54" s="6870">
        <v>0</v>
      </c>
      <c r="Z54" s="6871" t="s">
        <v>9</v>
      </c>
      <c r="AA54" s="6894" t="s">
        <v>3270</v>
      </c>
    </row>
    <row r="55" spans="1:27" s="6872" customFormat="1" ht="4.5" hidden="1" customHeight="1">
      <c r="A55" s="6895"/>
      <c r="B55" s="6845"/>
      <c r="C55" s="6845"/>
      <c r="D55" s="6845"/>
      <c r="E55" s="6845"/>
      <c r="F55" s="6845"/>
      <c r="G55" s="6845"/>
      <c r="H55" s="6845"/>
      <c r="I55" s="6845"/>
      <c r="J55" s="6845"/>
      <c r="K55" s="6845"/>
      <c r="L55" s="6845"/>
      <c r="M55" s="6845"/>
      <c r="N55" s="6845"/>
      <c r="O55" s="6845"/>
      <c r="P55" s="6845"/>
      <c r="Q55" s="6845"/>
      <c r="R55" s="6845"/>
      <c r="S55" s="6845"/>
      <c r="T55" s="6845"/>
      <c r="U55" s="6845"/>
      <c r="V55" s="6845"/>
      <c r="W55" s="6845"/>
      <c r="X55" s="6873"/>
      <c r="Y55" s="6873"/>
      <c r="Z55" s="6874"/>
      <c r="AA55" s="6895"/>
    </row>
    <row r="56" spans="1:27" ht="17.100000000000001" customHeight="1" thickBot="1">
      <c r="A56" s="6896" t="s">
        <v>669</v>
      </c>
      <c r="B56" s="6875">
        <f t="shared" ref="B56:W56" si="7">SUM(B22+B40+B52)</f>
        <v>168578686.12</v>
      </c>
      <c r="C56" s="6875">
        <f t="shared" si="7"/>
        <v>5527414.0499999998</v>
      </c>
      <c r="D56" s="6875">
        <f t="shared" si="7"/>
        <v>16781389.279999997</v>
      </c>
      <c r="E56" s="6875">
        <f t="shared" si="7"/>
        <v>1735455.2</v>
      </c>
      <c r="F56" s="6875">
        <f t="shared" si="7"/>
        <v>1061750</v>
      </c>
      <c r="G56" s="6875">
        <f t="shared" si="7"/>
        <v>8003000</v>
      </c>
      <c r="H56" s="6875">
        <f t="shared" si="7"/>
        <v>2234348.0700000003</v>
      </c>
      <c r="I56" s="6875">
        <f>SUM(I22+I40+I52)</f>
        <v>365705.38999999996</v>
      </c>
      <c r="J56" s="6875">
        <f t="shared" si="7"/>
        <v>0</v>
      </c>
      <c r="K56" s="6875">
        <f>SUM(K22+K40+K52)</f>
        <v>0</v>
      </c>
      <c r="L56" s="6875">
        <f>SUM(L22+L40+L52)</f>
        <v>13709699.790000001</v>
      </c>
      <c r="M56" s="6875">
        <f t="shared" si="7"/>
        <v>345000</v>
      </c>
      <c r="N56" s="6875">
        <f t="shared" si="7"/>
        <v>869400.39000000013</v>
      </c>
      <c r="O56" s="6875">
        <f t="shared" si="7"/>
        <v>26356876.960000001</v>
      </c>
      <c r="P56" s="6875">
        <f t="shared" si="7"/>
        <v>0</v>
      </c>
      <c r="Q56" s="6875">
        <f t="shared" si="7"/>
        <v>0</v>
      </c>
      <c r="R56" s="6875">
        <f t="shared" si="7"/>
        <v>0</v>
      </c>
      <c r="S56" s="6875">
        <f t="shared" si="7"/>
        <v>0</v>
      </c>
      <c r="T56" s="6875">
        <f t="shared" si="7"/>
        <v>20910268.310000002</v>
      </c>
      <c r="U56" s="6875">
        <f t="shared" si="7"/>
        <v>849928.98</v>
      </c>
      <c r="V56" s="6875">
        <f t="shared" si="7"/>
        <v>2164945.5299999998</v>
      </c>
      <c r="W56" s="6875">
        <f t="shared" si="7"/>
        <v>828500.15999999992</v>
      </c>
      <c r="X56" s="6875">
        <f>X52+X40+X22</f>
        <v>0</v>
      </c>
      <c r="Y56" s="6875">
        <f>Y52+Y40+Y22</f>
        <v>0</v>
      </c>
      <c r="Z56" s="6876">
        <f>SUM(B56:Y56)</f>
        <v>270322368.22999996</v>
      </c>
      <c r="AA56" s="6896" t="s">
        <v>669</v>
      </c>
    </row>
    <row r="57" spans="1:27" ht="17.100000000000001" customHeight="1" thickTop="1">
      <c r="B57" s="6833"/>
      <c r="C57" s="6833"/>
      <c r="D57" s="6833"/>
      <c r="E57" s="6833"/>
      <c r="F57" s="6833"/>
      <c r="G57" s="6833"/>
      <c r="H57" s="6833"/>
      <c r="I57" s="6833"/>
      <c r="J57" s="6833"/>
      <c r="K57" s="6833"/>
      <c r="L57" s="6833"/>
      <c r="M57" s="6833"/>
      <c r="N57" s="6833"/>
      <c r="O57" s="6833"/>
      <c r="P57" s="6833"/>
      <c r="Q57" s="6833"/>
      <c r="R57" s="6833"/>
      <c r="S57" s="6833"/>
      <c r="T57" s="6833"/>
      <c r="U57" s="6833"/>
      <c r="V57" s="6833"/>
      <c r="W57" s="6833"/>
      <c r="X57" s="6833"/>
      <c r="Y57" s="6833"/>
      <c r="Z57" s="6877"/>
    </row>
  </sheetData>
  <pageMargins left="0.25" right="0.25" top="0" bottom="0" header="0" footer="0"/>
  <pageSetup paperSize="136" scale="80" orientation="landscape" verticalDpi="300" r:id="rId1"/>
</worksheet>
</file>

<file path=xl/worksheets/sheet187.xml><?xml version="1.0" encoding="utf-8"?>
<worksheet xmlns="http://schemas.openxmlformats.org/spreadsheetml/2006/main" xmlns:r="http://schemas.openxmlformats.org/officeDocument/2006/relationships">
  <sheetPr codeName="Sheet211">
    <tabColor rgb="FF00FF00"/>
  </sheetPr>
  <dimension ref="A1:CB87"/>
  <sheetViews>
    <sheetView workbookViewId="0">
      <pane xSplit="1" ySplit="5" topLeftCell="AV6" activePane="bottomRight" state="frozen"/>
      <selection activeCell="J38" sqref="J38"/>
      <selection pane="topRight" activeCell="J38" sqref="J38"/>
      <selection pane="bottomLeft" activeCell="J38" sqref="J38"/>
      <selection pane="bottomRight" activeCell="AZ7" sqref="AZ7"/>
    </sheetView>
  </sheetViews>
  <sheetFormatPr defaultColWidth="13.44140625" defaultRowHeight="13.2"/>
  <cols>
    <col min="1" max="2" width="13.44140625" style="1162"/>
    <col min="3" max="6" width="0" style="1162" hidden="1" customWidth="1"/>
    <col min="7" max="8" width="13.44140625" style="1162"/>
    <col min="9" max="9" width="0" style="1162" hidden="1" customWidth="1"/>
    <col min="10" max="19" width="13.44140625" style="1162"/>
    <col min="20" max="20" width="13.44140625" style="1222"/>
    <col min="21" max="22" width="13.44140625" style="1162"/>
    <col min="23" max="25" width="0" style="1162" hidden="1" customWidth="1"/>
    <col min="26" max="36" width="13.44140625" style="1162"/>
    <col min="37" max="37" width="13.5546875" style="1162" hidden="1" customWidth="1"/>
    <col min="38" max="38" width="13.44140625" style="1162" hidden="1" customWidth="1"/>
    <col min="39" max="39" width="13.44140625" style="1162" customWidth="1"/>
    <col min="40" max="40" width="13.44140625" style="1162"/>
    <col min="41" max="42" width="13.44140625" style="1222" hidden="1" customWidth="1"/>
    <col min="43" max="43" width="13.33203125" style="1222" hidden="1" customWidth="1"/>
    <col min="44" max="44" width="13.44140625" style="1222"/>
    <col min="45" max="46" width="13.44140625" style="1162"/>
    <col min="47" max="47" width="13.44140625" style="1222"/>
    <col min="48" max="49" width="13.44140625" style="1162"/>
    <col min="50" max="50" width="0" style="1162" hidden="1" customWidth="1"/>
    <col min="51" max="55" width="13.44140625" style="1162"/>
    <col min="56" max="56" width="13.44140625" style="1222"/>
    <col min="57" max="58" width="13.44140625" style="1162"/>
    <col min="59" max="59" width="14" style="1162" bestFit="1" customWidth="1"/>
    <col min="60" max="60" width="0" style="1162" hidden="1" customWidth="1"/>
    <col min="61" max="61" width="13.44140625" style="1162"/>
    <col min="62" max="65" width="0" style="1162" hidden="1" customWidth="1"/>
    <col min="66" max="66" width="0" style="1222" hidden="1" customWidth="1"/>
    <col min="67" max="67" width="13.44140625" style="1222"/>
    <col min="68" max="71" width="0" style="1222" hidden="1" customWidth="1"/>
    <col min="72" max="73" width="0" style="1162" hidden="1" customWidth="1"/>
    <col min="74" max="76" width="0" style="1222" hidden="1" customWidth="1"/>
    <col min="77" max="77" width="14.88671875" style="1162" customWidth="1"/>
    <col min="78" max="16384" width="13.44140625" style="1162"/>
  </cols>
  <sheetData>
    <row r="1" spans="1:80" ht="21.75" customHeight="1">
      <c r="A1" s="8843" t="s">
        <v>11507</v>
      </c>
      <c r="C1" s="1163"/>
      <c r="D1" s="1163" t="s">
        <v>10502</v>
      </c>
      <c r="E1" s="1163"/>
      <c r="F1" s="1163"/>
      <c r="G1" s="1163"/>
      <c r="H1" s="1163"/>
      <c r="I1" s="1163"/>
      <c r="J1" s="1163"/>
      <c r="K1" s="1163"/>
      <c r="L1" s="1163"/>
      <c r="M1" s="1163"/>
      <c r="N1" s="1163"/>
      <c r="O1" s="1163"/>
      <c r="P1" s="1163"/>
      <c r="Q1" s="1163"/>
      <c r="R1" s="15424" t="s">
        <v>9</v>
      </c>
      <c r="S1" s="15424"/>
    </row>
    <row r="2" spans="1:80" ht="6.75" customHeight="1"/>
    <row r="3" spans="1:80" s="1166" customFormat="1" ht="10.199999999999999">
      <c r="A3" s="1164" t="s">
        <v>216</v>
      </c>
      <c r="B3" s="1164" t="s">
        <v>530</v>
      </c>
      <c r="C3" s="1164" t="s">
        <v>530</v>
      </c>
      <c r="D3" s="1218" t="s">
        <v>530</v>
      </c>
      <c r="E3" s="1218" t="s">
        <v>530</v>
      </c>
      <c r="F3" s="6783" t="s">
        <v>530</v>
      </c>
      <c r="G3" s="1164" t="s">
        <v>531</v>
      </c>
      <c r="H3" s="1164" t="s">
        <v>532</v>
      </c>
      <c r="I3" s="1164" t="s">
        <v>532</v>
      </c>
      <c r="J3" s="1164" t="s">
        <v>533</v>
      </c>
      <c r="K3" s="1164" t="s">
        <v>538</v>
      </c>
      <c r="L3" s="1164" t="s">
        <v>534</v>
      </c>
      <c r="M3" s="1164" t="s">
        <v>611</v>
      </c>
      <c r="N3" s="1164" t="s">
        <v>535</v>
      </c>
      <c r="O3" s="1164" t="s">
        <v>11459</v>
      </c>
      <c r="P3" s="1164" t="s">
        <v>539</v>
      </c>
      <c r="Q3" s="1164" t="s">
        <v>537</v>
      </c>
      <c r="R3" s="1164" t="s">
        <v>540</v>
      </c>
      <c r="S3" s="1164" t="s">
        <v>677</v>
      </c>
      <c r="T3" s="1223" t="s">
        <v>11001</v>
      </c>
      <c r="U3" s="1164" t="s">
        <v>542</v>
      </c>
      <c r="V3" s="1164" t="s">
        <v>3340</v>
      </c>
      <c r="W3" s="1164" t="s">
        <v>3340</v>
      </c>
      <c r="X3" s="1164" t="s">
        <v>3340</v>
      </c>
      <c r="Y3" s="1165" t="s">
        <v>3340</v>
      </c>
      <c r="Z3" s="1165" t="s">
        <v>560</v>
      </c>
      <c r="AA3" s="1164" t="s">
        <v>545</v>
      </c>
      <c r="AB3" s="1164" t="s">
        <v>1726</v>
      </c>
      <c r="AC3" s="6783" t="s">
        <v>11519</v>
      </c>
      <c r="AD3" s="1164" t="s">
        <v>606</v>
      </c>
      <c r="AE3" s="1164" t="s">
        <v>607</v>
      </c>
      <c r="AF3" s="1165" t="s">
        <v>11000</v>
      </c>
      <c r="AG3" s="1164" t="s">
        <v>3346</v>
      </c>
      <c r="AH3" s="1165" t="s">
        <v>3347</v>
      </c>
      <c r="AI3" s="1218"/>
      <c r="AJ3" s="1164" t="s">
        <v>2363</v>
      </c>
      <c r="AK3" s="1165" t="s">
        <v>3349</v>
      </c>
      <c r="AL3" s="1165" t="s">
        <v>3349</v>
      </c>
      <c r="AM3" s="1164" t="s">
        <v>612</v>
      </c>
      <c r="AN3" s="1164" t="s">
        <v>612</v>
      </c>
      <c r="AO3" s="1223" t="s">
        <v>612</v>
      </c>
      <c r="AP3" s="1223" t="s">
        <v>612</v>
      </c>
      <c r="AQ3" s="1223" t="s">
        <v>550</v>
      </c>
      <c r="AR3" s="1223" t="s">
        <v>612</v>
      </c>
      <c r="AS3" s="1164" t="s">
        <v>551</v>
      </c>
      <c r="AT3" s="1164" t="s">
        <v>3324</v>
      </c>
      <c r="AU3" s="15425" t="s">
        <v>618</v>
      </c>
      <c r="AV3" s="1164" t="s">
        <v>3324</v>
      </c>
      <c r="AW3" s="1164" t="s">
        <v>610</v>
      </c>
      <c r="AX3" s="1218" t="s">
        <v>4694</v>
      </c>
      <c r="AY3" s="1164" t="s">
        <v>620</v>
      </c>
      <c r="AZ3" s="1164" t="s">
        <v>608</v>
      </c>
      <c r="BA3" s="1164" t="s">
        <v>617</v>
      </c>
      <c r="BB3" s="1164" t="s">
        <v>544</v>
      </c>
      <c r="BC3" s="1164" t="s">
        <v>546</v>
      </c>
      <c r="BD3" s="1223" t="s">
        <v>615</v>
      </c>
      <c r="BE3" s="1164" t="s">
        <v>547</v>
      </c>
      <c r="BF3" s="1164" t="s">
        <v>616</v>
      </c>
      <c r="BG3" s="1164" t="s">
        <v>605</v>
      </c>
      <c r="BH3" s="1164" t="s">
        <v>3101</v>
      </c>
      <c r="BI3" s="1164" t="s">
        <v>609</v>
      </c>
      <c r="BJ3" s="1164" t="s">
        <v>609</v>
      </c>
      <c r="BK3" s="1164" t="s">
        <v>609</v>
      </c>
      <c r="BL3" s="1164" t="s">
        <v>609</v>
      </c>
      <c r="BM3" s="1164" t="s">
        <v>609</v>
      </c>
      <c r="BN3" s="1230" t="s">
        <v>3323</v>
      </c>
      <c r="BO3" s="1230" t="s">
        <v>3323</v>
      </c>
      <c r="BP3" s="1507" t="s">
        <v>3323</v>
      </c>
      <c r="BQ3" s="1501" t="s">
        <v>3323</v>
      </c>
      <c r="BR3" s="1230" t="s">
        <v>3323</v>
      </c>
      <c r="BS3" s="1230" t="s">
        <v>3323</v>
      </c>
      <c r="BT3" s="1164" t="s">
        <v>609</v>
      </c>
      <c r="BU3" s="1164" t="s">
        <v>609</v>
      </c>
      <c r="BV3" s="1231" t="s">
        <v>3323</v>
      </c>
      <c r="BW3" s="1231" t="s">
        <v>3323</v>
      </c>
      <c r="BX3" s="1231" t="s">
        <v>3323</v>
      </c>
      <c r="BY3" s="1164" t="s">
        <v>220</v>
      </c>
    </row>
    <row r="4" spans="1:80" s="1170" customFormat="1" ht="19.5" customHeight="1">
      <c r="A4" s="1167" t="s">
        <v>9</v>
      </c>
      <c r="B4" s="1168" t="s">
        <v>553</v>
      </c>
      <c r="C4" s="1168" t="s">
        <v>10229</v>
      </c>
      <c r="D4" s="1169" t="s">
        <v>4692</v>
      </c>
      <c r="E4" s="1168" t="s">
        <v>9962</v>
      </c>
      <c r="F4" s="6784" t="s">
        <v>10504</v>
      </c>
      <c r="G4" s="1168" t="s">
        <v>553</v>
      </c>
      <c r="H4" s="1168" t="s">
        <v>554</v>
      </c>
      <c r="I4" s="1168" t="s">
        <v>9966</v>
      </c>
      <c r="J4" s="1168" t="s">
        <v>555</v>
      </c>
      <c r="K4" s="1168" t="s">
        <v>558</v>
      </c>
      <c r="L4" s="1168" t="s">
        <v>553</v>
      </c>
      <c r="M4" s="1168" t="s">
        <v>9</v>
      </c>
      <c r="N4" s="1168" t="s">
        <v>556</v>
      </c>
      <c r="O4" s="1168" t="s">
        <v>557</v>
      </c>
      <c r="P4" s="1168" t="s">
        <v>554</v>
      </c>
      <c r="Q4" s="1168"/>
      <c r="R4" s="1168" t="s">
        <v>553</v>
      </c>
      <c r="S4" s="1168" t="s">
        <v>553</v>
      </c>
      <c r="T4" s="1224" t="s">
        <v>11002</v>
      </c>
      <c r="U4" s="1168" t="s">
        <v>559</v>
      </c>
      <c r="V4" s="1168"/>
      <c r="W4" s="1168" t="s">
        <v>3342</v>
      </c>
      <c r="X4" s="1168" t="s">
        <v>3342</v>
      </c>
      <c r="Y4" s="1168" t="s">
        <v>3341</v>
      </c>
      <c r="Z4" s="1168"/>
      <c r="AA4" s="1168" t="s">
        <v>561</v>
      </c>
      <c r="AB4" s="1168"/>
      <c r="AC4" s="10352" t="s">
        <v>11520</v>
      </c>
      <c r="AD4" s="1168" t="s">
        <v>9</v>
      </c>
      <c r="AE4" s="1168" t="s">
        <v>553</v>
      </c>
      <c r="AF4" s="1169" t="s">
        <v>3350</v>
      </c>
      <c r="AG4" s="1168" t="s">
        <v>563</v>
      </c>
      <c r="AH4" s="1169" t="s">
        <v>563</v>
      </c>
      <c r="AI4" s="1169" t="s">
        <v>10987</v>
      </c>
      <c r="AJ4" s="1168" t="s">
        <v>563</v>
      </c>
      <c r="AK4" s="1886" t="s">
        <v>9972</v>
      </c>
      <c r="AL4" s="1168" t="s">
        <v>1723</v>
      </c>
      <c r="AM4" s="1168" t="s">
        <v>11068</v>
      </c>
      <c r="AN4" s="1168" t="s">
        <v>627</v>
      </c>
      <c r="AO4" s="1224" t="s">
        <v>634</v>
      </c>
      <c r="AP4" s="1224" t="s">
        <v>3325</v>
      </c>
      <c r="AQ4" s="1224" t="s">
        <v>565</v>
      </c>
      <c r="AR4" s="1224" t="s">
        <v>631</v>
      </c>
      <c r="AS4" s="1168" t="s">
        <v>3326</v>
      </c>
      <c r="AT4" s="1168" t="s">
        <v>11512</v>
      </c>
      <c r="AU4" s="15426"/>
      <c r="AV4" s="1168" t="s">
        <v>628</v>
      </c>
      <c r="AW4" s="1168" t="s">
        <v>624</v>
      </c>
      <c r="AX4" s="1169" t="s">
        <v>3068</v>
      </c>
      <c r="AY4" s="1168" t="s">
        <v>635</v>
      </c>
      <c r="AZ4" s="1168" t="s">
        <v>622</v>
      </c>
      <c r="BA4" s="1168" t="s">
        <v>630</v>
      </c>
      <c r="BB4" s="1168" t="s">
        <v>553</v>
      </c>
      <c r="BC4" s="1168" t="s">
        <v>562</v>
      </c>
      <c r="BD4" s="1236" t="s">
        <v>629</v>
      </c>
      <c r="BE4" s="1168" t="s">
        <v>553</v>
      </c>
      <c r="BF4" s="1168" t="s">
        <v>630</v>
      </c>
      <c r="BG4" s="1168" t="s">
        <v>9</v>
      </c>
      <c r="BH4" s="1886"/>
      <c r="BI4" s="1168" t="s">
        <v>623</v>
      </c>
      <c r="BJ4" s="1168" t="s">
        <v>4688</v>
      </c>
      <c r="BK4" s="1168" t="s">
        <v>4689</v>
      </c>
      <c r="BL4" s="1168" t="s">
        <v>10228</v>
      </c>
      <c r="BM4" s="1168" t="s">
        <v>4687</v>
      </c>
      <c r="BN4" s="1239" t="s">
        <v>4691</v>
      </c>
      <c r="BO4" s="1239" t="s">
        <v>10920</v>
      </c>
      <c r="BP4" s="1508" t="s">
        <v>4696</v>
      </c>
      <c r="BQ4" s="1502" t="s">
        <v>4697</v>
      </c>
      <c r="BR4" s="1253" t="s">
        <v>4699</v>
      </c>
      <c r="BS4" s="1239" t="s">
        <v>3327</v>
      </c>
      <c r="BT4" s="1168" t="s">
        <v>4690</v>
      </c>
      <c r="BU4" s="1169" t="s">
        <v>4698</v>
      </c>
      <c r="BV4" s="1240" t="s">
        <v>3328</v>
      </c>
      <c r="BW4" s="1240" t="s">
        <v>9960</v>
      </c>
      <c r="BX4" s="1240" t="s">
        <v>9961</v>
      </c>
      <c r="BY4" s="1168" t="s">
        <v>9</v>
      </c>
    </row>
    <row r="5" spans="1:80" ht="13.8" thickBot="1">
      <c r="A5" s="1171"/>
      <c r="B5" s="1172"/>
      <c r="C5" s="5455"/>
      <c r="D5" s="1172"/>
      <c r="E5" s="1172"/>
      <c r="F5" s="5455"/>
      <c r="G5" s="1172"/>
      <c r="H5" s="1172"/>
      <c r="I5" s="5455"/>
      <c r="J5" s="1172"/>
      <c r="K5" s="1172"/>
      <c r="L5" s="1172"/>
      <c r="M5" s="1172"/>
      <c r="N5" s="1172"/>
      <c r="O5" s="1172"/>
      <c r="P5" s="1172"/>
      <c r="Q5" s="1172"/>
      <c r="R5" s="1172"/>
      <c r="S5" s="8842"/>
      <c r="T5" s="1229"/>
      <c r="U5" s="1172"/>
      <c r="V5" s="1173"/>
      <c r="W5" s="1173"/>
      <c r="X5" s="1173"/>
      <c r="Y5" s="1173"/>
      <c r="Z5" s="1173"/>
      <c r="AA5" s="1172"/>
      <c r="AB5" s="1172"/>
      <c r="AC5" s="10353"/>
      <c r="AD5" s="1172"/>
      <c r="AE5" s="1172"/>
      <c r="AF5" s="1172"/>
      <c r="AG5" s="1172"/>
      <c r="AH5" s="1172"/>
      <c r="AI5" s="1172"/>
      <c r="AJ5" s="1172"/>
      <c r="AK5" s="5455"/>
      <c r="AL5" s="5455"/>
      <c r="AM5" s="1172"/>
      <c r="AN5" s="1172"/>
      <c r="AO5" s="1229"/>
      <c r="AP5" s="1229"/>
      <c r="AQ5" s="1229"/>
      <c r="AR5" s="1229"/>
      <c r="AS5" s="1172"/>
      <c r="AT5" s="1172"/>
      <c r="AU5" s="1229"/>
      <c r="AV5" s="1172"/>
      <c r="AW5" s="1172"/>
      <c r="AX5" s="1172"/>
      <c r="AY5" s="1172"/>
      <c r="AZ5" s="1172"/>
      <c r="BA5" s="1172"/>
      <c r="BB5" s="1172"/>
      <c r="BC5" s="1172"/>
      <c r="BD5" s="1225"/>
      <c r="BE5" s="1172"/>
      <c r="BF5" s="1172"/>
      <c r="BG5" s="1172"/>
      <c r="BH5" s="1172"/>
      <c r="BI5" s="1172"/>
      <c r="BJ5" s="1172"/>
      <c r="BK5" s="1172"/>
      <c r="BL5" s="5455"/>
      <c r="BM5" s="1172"/>
      <c r="BN5" s="1232"/>
      <c r="BO5" s="5686"/>
      <c r="BP5" s="1509"/>
      <c r="BQ5" s="1503"/>
      <c r="BR5" s="1232"/>
      <c r="BS5" s="1232"/>
      <c r="BT5" s="1172"/>
      <c r="BU5" s="1172"/>
      <c r="BV5" s="1233"/>
      <c r="BW5" s="1233"/>
      <c r="BX5" s="1233"/>
      <c r="BY5" s="1172"/>
    </row>
    <row r="6" spans="1:80" s="1222" customFormat="1">
      <c r="A6" s="1241" t="s">
        <v>568</v>
      </c>
      <c r="B6" s="1175">
        <v>540665.84</v>
      </c>
      <c r="C6" s="1175"/>
      <c r="D6" s="1221"/>
      <c r="E6" s="1175"/>
      <c r="F6" s="6785"/>
      <c r="G6" s="1175">
        <v>4000</v>
      </c>
      <c r="H6" s="1175">
        <v>796876.7</v>
      </c>
      <c r="I6" s="1175"/>
      <c r="J6" s="1175"/>
      <c r="K6" s="1175"/>
      <c r="L6" s="1175"/>
      <c r="M6" s="1219"/>
      <c r="N6" s="1175"/>
      <c r="O6" s="1175">
        <v>1147851.17</v>
      </c>
      <c r="P6" s="1175"/>
      <c r="Q6" s="1175"/>
      <c r="R6" s="1219">
        <v>272578.42</v>
      </c>
      <c r="S6" s="1175">
        <v>2296109.94</v>
      </c>
      <c r="T6" s="1219"/>
      <c r="U6" s="1175">
        <v>18216.75</v>
      </c>
      <c r="V6" s="1219">
        <v>245824.9</v>
      </c>
      <c r="W6" s="1219"/>
      <c r="X6" s="1219"/>
      <c r="Y6" s="1219"/>
      <c r="Z6" s="1219">
        <v>3996</v>
      </c>
      <c r="AA6" s="1175"/>
      <c r="AB6" s="1219">
        <v>0</v>
      </c>
      <c r="AC6" s="10354"/>
      <c r="AD6" s="1219">
        <v>6000000</v>
      </c>
      <c r="AE6" s="1219">
        <v>0</v>
      </c>
      <c r="AF6" s="1220">
        <v>3276009.92</v>
      </c>
      <c r="AG6" s="1219"/>
      <c r="AH6" s="1220"/>
      <c r="AI6" s="1220"/>
      <c r="AJ6" s="1219">
        <v>9227302.7200000007</v>
      </c>
      <c r="AK6" s="1850"/>
      <c r="AL6" s="1219"/>
      <c r="AM6" s="1175"/>
      <c r="AN6" s="1219">
        <v>160163.35999999999</v>
      </c>
      <c r="AO6" s="1219"/>
      <c r="AP6" s="1219"/>
      <c r="AQ6" s="1219"/>
      <c r="AR6" s="1219"/>
      <c r="AS6" s="1219">
        <v>35742</v>
      </c>
      <c r="AT6" s="1175">
        <v>2010188.75</v>
      </c>
      <c r="AU6" s="1219"/>
      <c r="AV6" s="1219"/>
      <c r="AW6" s="1219"/>
      <c r="AX6" s="1220"/>
      <c r="AY6" s="1219"/>
      <c r="AZ6" s="1219">
        <v>54000</v>
      </c>
      <c r="BA6" s="1219"/>
      <c r="BB6" s="1175">
        <v>69500</v>
      </c>
      <c r="BC6" s="1175"/>
      <c r="BD6" s="1219"/>
      <c r="BE6" s="1219">
        <v>505340</v>
      </c>
      <c r="BF6" s="1219"/>
      <c r="BG6" s="1219">
        <v>17216764.75</v>
      </c>
      <c r="BH6" s="1850"/>
      <c r="BI6" s="1219">
        <v>1065347.77</v>
      </c>
      <c r="BJ6" s="1219"/>
      <c r="BK6" s="1219"/>
      <c r="BL6" s="1219"/>
      <c r="BM6" s="1219"/>
      <c r="BN6" s="1234"/>
      <c r="BO6" s="1234"/>
      <c r="BP6" s="1510"/>
      <c r="BQ6" s="1504"/>
      <c r="BR6" s="1238"/>
      <c r="BS6" s="1234"/>
      <c r="BT6" s="1219"/>
      <c r="BU6" s="1220"/>
      <c r="BV6" s="1235"/>
      <c r="BW6" s="1235"/>
      <c r="BX6" s="1235"/>
      <c r="BY6" s="6800">
        <f>SUM(B6:BX6)-AX6</f>
        <v>44946478.990000002</v>
      </c>
    </row>
    <row r="7" spans="1:80" s="1222" customFormat="1">
      <c r="A7" s="1242" t="s">
        <v>1724</v>
      </c>
      <c r="B7" s="1221">
        <v>9542</v>
      </c>
      <c r="C7" s="1175"/>
      <c r="D7" s="1221"/>
      <c r="E7" s="1175"/>
      <c r="F7" s="6785"/>
      <c r="G7" s="1221">
        <v>0</v>
      </c>
      <c r="H7" s="1221">
        <v>0</v>
      </c>
      <c r="I7" s="1175"/>
      <c r="J7" s="1221">
        <v>0</v>
      </c>
      <c r="K7" s="1221">
        <v>0</v>
      </c>
      <c r="L7" s="1221">
        <v>0</v>
      </c>
      <c r="M7" s="1220">
        <v>0</v>
      </c>
      <c r="N7" s="1221">
        <v>0</v>
      </c>
      <c r="O7" s="1221">
        <v>0</v>
      </c>
      <c r="P7" s="1221"/>
      <c r="Q7" s="1221"/>
      <c r="R7" s="1220"/>
      <c r="S7" s="1221">
        <v>278730.96999999997</v>
      </c>
      <c r="T7" s="1220"/>
      <c r="U7" s="1221"/>
      <c r="V7" s="1220"/>
      <c r="W7" s="1219"/>
      <c r="X7" s="1219"/>
      <c r="Y7" s="1220"/>
      <c r="Z7" s="1220">
        <v>209661.35</v>
      </c>
      <c r="AA7" s="1221"/>
      <c r="AB7" s="1220"/>
      <c r="AC7" s="10354"/>
      <c r="AD7" s="1220"/>
      <c r="AE7" s="1220"/>
      <c r="AF7" s="1220">
        <v>726107.21</v>
      </c>
      <c r="AG7" s="1220"/>
      <c r="AH7" s="1220"/>
      <c r="AI7" s="1220"/>
      <c r="AJ7" s="1220">
        <v>62431.95</v>
      </c>
      <c r="AK7" s="1850"/>
      <c r="AL7" s="1219"/>
      <c r="AM7" s="1221"/>
      <c r="AN7" s="1220"/>
      <c r="AO7" s="1220"/>
      <c r="AP7" s="1220"/>
      <c r="AQ7" s="1220"/>
      <c r="AR7" s="1220"/>
      <c r="AS7" s="1220">
        <v>0</v>
      </c>
      <c r="AT7" s="1221">
        <v>0</v>
      </c>
      <c r="AU7" s="1220"/>
      <c r="AV7" s="1220"/>
      <c r="AW7" s="1220"/>
      <c r="AX7" s="1220"/>
      <c r="AY7" s="1220"/>
      <c r="AZ7" s="1220">
        <v>0</v>
      </c>
      <c r="BA7" s="1220"/>
      <c r="BB7" s="1221"/>
      <c r="BC7" s="1221"/>
      <c r="BD7" s="1220"/>
      <c r="BE7" s="1220"/>
      <c r="BF7" s="1220"/>
      <c r="BG7" s="1220"/>
      <c r="BH7" s="1850"/>
      <c r="BI7" s="1220">
        <v>0</v>
      </c>
      <c r="BJ7" s="1220"/>
      <c r="BK7" s="1220"/>
      <c r="BL7" s="1219"/>
      <c r="BM7" s="1220"/>
      <c r="BN7" s="1238"/>
      <c r="BO7" s="1234"/>
      <c r="BP7" s="1510"/>
      <c r="BQ7" s="1504"/>
      <c r="BR7" s="1238"/>
      <c r="BS7" s="1238"/>
      <c r="BT7" s="1220"/>
      <c r="BU7" s="1220"/>
      <c r="BV7" s="1243"/>
      <c r="BW7" s="1235"/>
      <c r="BX7" s="1235"/>
      <c r="BY7" s="6801">
        <f t="shared" ref="BY7:BY22" si="0">SUM(B7:BX7)</f>
        <v>1286473.4799999997</v>
      </c>
    </row>
    <row r="8" spans="1:80" s="1222" customFormat="1">
      <c r="A8" s="1241" t="s">
        <v>10317</v>
      </c>
      <c r="B8" s="1175">
        <v>17490.32</v>
      </c>
      <c r="C8" s="1175"/>
      <c r="D8" s="1175"/>
      <c r="E8" s="1175"/>
      <c r="F8" s="1175"/>
      <c r="G8" s="1175">
        <v>0</v>
      </c>
      <c r="H8" s="1175">
        <v>0</v>
      </c>
      <c r="I8" s="1175"/>
      <c r="J8" s="1175"/>
      <c r="K8" s="1175"/>
      <c r="L8" s="1175"/>
      <c r="M8" s="1219"/>
      <c r="N8" s="1175"/>
      <c r="O8" s="1175"/>
      <c r="P8" s="1175"/>
      <c r="Q8" s="1175"/>
      <c r="R8" s="1219"/>
      <c r="S8" s="1175"/>
      <c r="T8" s="1219"/>
      <c r="U8" s="1175">
        <v>0</v>
      </c>
      <c r="V8" s="1219">
        <v>37339.19</v>
      </c>
      <c r="W8" s="1219"/>
      <c r="X8" s="1219"/>
      <c r="Y8" s="1219"/>
      <c r="Z8" s="1219"/>
      <c r="AA8" s="1175"/>
      <c r="AB8" s="1219"/>
      <c r="AC8" s="10354"/>
      <c r="AD8" s="1219"/>
      <c r="AE8" s="1219"/>
      <c r="AF8" s="1219">
        <v>314997</v>
      </c>
      <c r="AG8" s="1219"/>
      <c r="AH8" s="1219"/>
      <c r="AI8" s="1219"/>
      <c r="AJ8" s="1219">
        <v>247357.76</v>
      </c>
      <c r="AK8" s="1219"/>
      <c r="AL8" s="1219"/>
      <c r="AM8" s="1175"/>
      <c r="AN8" s="1219"/>
      <c r="AO8" s="1219"/>
      <c r="AP8" s="1219"/>
      <c r="AQ8" s="1219"/>
      <c r="AR8" s="1219"/>
      <c r="AS8" s="1219">
        <v>0</v>
      </c>
      <c r="AT8" s="1175"/>
      <c r="AU8" s="1219"/>
      <c r="AV8" s="1219"/>
      <c r="AW8" s="1219"/>
      <c r="AX8" s="1219"/>
      <c r="AY8" s="1219"/>
      <c r="AZ8" s="1219"/>
      <c r="BA8" s="1219"/>
      <c r="BB8" s="1175"/>
      <c r="BC8" s="1175"/>
      <c r="BD8" s="1219"/>
      <c r="BE8" s="1219">
        <v>0</v>
      </c>
      <c r="BF8" s="1219">
        <v>6820</v>
      </c>
      <c r="BG8" s="1219"/>
      <c r="BH8" s="1219"/>
      <c r="BI8" s="1219">
        <v>0</v>
      </c>
      <c r="BJ8" s="1219"/>
      <c r="BK8" s="1219"/>
      <c r="BL8" s="1219"/>
      <c r="BM8" s="1219"/>
      <c r="BN8" s="1234"/>
      <c r="BO8" s="1234"/>
      <c r="BP8" s="6802"/>
      <c r="BQ8" s="1504"/>
      <c r="BR8" s="1234"/>
      <c r="BS8" s="1234"/>
      <c r="BT8" s="1219"/>
      <c r="BU8" s="1219"/>
      <c r="BV8" s="1235"/>
      <c r="BW8" s="1235"/>
      <c r="BX8" s="1235"/>
      <c r="BY8" s="6801">
        <f t="shared" si="0"/>
        <v>624004.27</v>
      </c>
    </row>
    <row r="9" spans="1:80" s="1222" customFormat="1">
      <c r="A9" s="1241" t="s">
        <v>10318</v>
      </c>
      <c r="B9" s="1175">
        <v>5210</v>
      </c>
      <c r="C9" s="1175"/>
      <c r="D9" s="1175"/>
      <c r="E9" s="1175"/>
      <c r="F9" s="1175"/>
      <c r="G9" s="1175">
        <v>0</v>
      </c>
      <c r="H9" s="1175">
        <v>0</v>
      </c>
      <c r="I9" s="1175"/>
      <c r="J9" s="1175">
        <v>0</v>
      </c>
      <c r="K9" s="1175">
        <v>0</v>
      </c>
      <c r="L9" s="1175">
        <v>0</v>
      </c>
      <c r="M9" s="1219">
        <v>0</v>
      </c>
      <c r="N9" s="1175">
        <v>0</v>
      </c>
      <c r="O9" s="1175"/>
      <c r="P9" s="1175"/>
      <c r="Q9" s="1175"/>
      <c r="R9" s="1219"/>
      <c r="S9" s="1175"/>
      <c r="T9" s="1219"/>
      <c r="U9" s="1175"/>
      <c r="V9" s="1219">
        <v>8541.31</v>
      </c>
      <c r="W9" s="1219"/>
      <c r="X9" s="1219"/>
      <c r="Y9" s="1219"/>
      <c r="Z9" s="1219"/>
      <c r="AA9" s="1175"/>
      <c r="AB9" s="1219"/>
      <c r="AC9" s="10354"/>
      <c r="AD9" s="1219"/>
      <c r="AE9" s="1219"/>
      <c r="AF9" s="1219"/>
      <c r="AG9" s="1219"/>
      <c r="AH9" s="1219"/>
      <c r="AI9" s="1219"/>
      <c r="AJ9" s="1219"/>
      <c r="AK9" s="1219"/>
      <c r="AL9" s="1219"/>
      <c r="AM9" s="1175"/>
      <c r="AN9" s="1219"/>
      <c r="AO9" s="1219"/>
      <c r="AP9" s="1219"/>
      <c r="AQ9" s="1219"/>
      <c r="AR9" s="1219"/>
      <c r="AS9" s="1219"/>
      <c r="AT9" s="1175"/>
      <c r="AU9" s="1219"/>
      <c r="AV9" s="1219"/>
      <c r="AW9" s="1219"/>
      <c r="AX9" s="1219"/>
      <c r="AY9" s="1219"/>
      <c r="AZ9" s="1219"/>
      <c r="BA9" s="1219"/>
      <c r="BB9" s="1175"/>
      <c r="BC9" s="1175"/>
      <c r="BD9" s="1219"/>
      <c r="BE9" s="1219"/>
      <c r="BF9" s="1219"/>
      <c r="BG9" s="1219"/>
      <c r="BH9" s="1219"/>
      <c r="BI9" s="1219"/>
      <c r="BJ9" s="1219"/>
      <c r="BK9" s="1219"/>
      <c r="BL9" s="1219"/>
      <c r="BM9" s="1219"/>
      <c r="BN9" s="1234"/>
      <c r="BO9" s="1234"/>
      <c r="BP9" s="6802"/>
      <c r="BQ9" s="1504"/>
      <c r="BR9" s="1234"/>
      <c r="BS9" s="1234"/>
      <c r="BT9" s="1219"/>
      <c r="BU9" s="1219"/>
      <c r="BV9" s="1235"/>
      <c r="BW9" s="1235"/>
      <c r="BX9" s="1235"/>
      <c r="BY9" s="6801">
        <f t="shared" si="0"/>
        <v>13751.31</v>
      </c>
    </row>
    <row r="10" spans="1:80" s="1222" customFormat="1">
      <c r="A10" s="10364" t="s">
        <v>11193</v>
      </c>
      <c r="B10" s="10356">
        <v>13443</v>
      </c>
      <c r="C10" s="10356"/>
      <c r="D10" s="10356"/>
      <c r="E10" s="10356"/>
      <c r="F10" s="10356"/>
      <c r="G10" s="10356">
        <v>0</v>
      </c>
      <c r="H10" s="10356">
        <v>0</v>
      </c>
      <c r="I10" s="10356"/>
      <c r="J10" s="10356"/>
      <c r="K10" s="10356"/>
      <c r="L10" s="10356"/>
      <c r="M10" s="10354"/>
      <c r="N10" s="10356"/>
      <c r="O10" s="10356"/>
      <c r="P10" s="10356"/>
      <c r="Q10" s="10356"/>
      <c r="R10" s="10354"/>
      <c r="S10" s="10356"/>
      <c r="T10" s="10354"/>
      <c r="U10" s="10356"/>
      <c r="V10" s="10354">
        <v>0</v>
      </c>
      <c r="W10" s="10354"/>
      <c r="X10" s="10354"/>
      <c r="Y10" s="10354"/>
      <c r="Z10" s="10354"/>
      <c r="AA10" s="10356"/>
      <c r="AB10" s="10354"/>
      <c r="AC10" s="10354"/>
      <c r="AD10" s="10354"/>
      <c r="AE10" s="10354"/>
      <c r="AF10" s="10354"/>
      <c r="AG10" s="10354"/>
      <c r="AH10" s="10354"/>
      <c r="AI10" s="10354"/>
      <c r="AJ10" s="10354"/>
      <c r="AK10" s="10354"/>
      <c r="AL10" s="10354"/>
      <c r="AM10" s="10356"/>
      <c r="AN10" s="10354"/>
      <c r="AO10" s="10354"/>
      <c r="AP10" s="10354"/>
      <c r="AQ10" s="10354"/>
      <c r="AR10" s="10354"/>
      <c r="AS10" s="10354"/>
      <c r="AT10" s="10356"/>
      <c r="AU10" s="10354"/>
      <c r="AV10" s="10354"/>
      <c r="AW10" s="10354"/>
      <c r="AX10" s="10354"/>
      <c r="AY10" s="10354"/>
      <c r="AZ10" s="10354"/>
      <c r="BA10" s="10354"/>
      <c r="BB10" s="10356"/>
      <c r="BC10" s="10356"/>
      <c r="BD10" s="10354"/>
      <c r="BE10" s="10354"/>
      <c r="BF10" s="10354"/>
      <c r="BG10" s="10354"/>
      <c r="BH10" s="10354"/>
      <c r="BI10" s="10354">
        <v>0</v>
      </c>
      <c r="BJ10" s="10354"/>
      <c r="BK10" s="10354"/>
      <c r="BL10" s="10354"/>
      <c r="BM10" s="10354"/>
      <c r="BN10" s="10365"/>
      <c r="BO10" s="10365"/>
      <c r="BP10" s="10366"/>
      <c r="BQ10" s="1504"/>
      <c r="BR10" s="10365"/>
      <c r="BS10" s="10365"/>
      <c r="BT10" s="10354"/>
      <c r="BU10" s="10354"/>
      <c r="BV10" s="10367"/>
      <c r="BW10" s="10367"/>
      <c r="BX10" s="10367"/>
      <c r="BY10" s="6801">
        <f t="shared" si="0"/>
        <v>13443</v>
      </c>
    </row>
    <row r="11" spans="1:80" s="1222" customFormat="1">
      <c r="A11" s="1241" t="s">
        <v>678</v>
      </c>
      <c r="B11" s="1175">
        <v>4509</v>
      </c>
      <c r="C11" s="1175"/>
      <c r="D11" s="1221"/>
      <c r="E11" s="1175"/>
      <c r="F11" s="6785"/>
      <c r="G11" s="1175">
        <v>12000</v>
      </c>
      <c r="H11" s="1175">
        <v>1236</v>
      </c>
      <c r="I11" s="1175"/>
      <c r="J11" s="1175"/>
      <c r="K11" s="1175"/>
      <c r="L11" s="1175"/>
      <c r="M11" s="1219"/>
      <c r="N11" s="1175"/>
      <c r="O11" s="1175"/>
      <c r="P11" s="1175"/>
      <c r="Q11" s="1175"/>
      <c r="R11" s="1219"/>
      <c r="S11" s="1175">
        <v>15372.72</v>
      </c>
      <c r="T11" s="1219"/>
      <c r="U11" s="1175"/>
      <c r="V11" s="1219">
        <v>23457.86</v>
      </c>
      <c r="W11" s="1219"/>
      <c r="X11" s="1219"/>
      <c r="Y11" s="1219"/>
      <c r="Z11" s="1219"/>
      <c r="AA11" s="1175"/>
      <c r="AB11" s="1219"/>
      <c r="AC11" s="10354"/>
      <c r="AD11" s="1219"/>
      <c r="AE11" s="1219"/>
      <c r="AF11" s="1220">
        <v>157993.04</v>
      </c>
      <c r="AG11" s="1219"/>
      <c r="AH11" s="1220"/>
      <c r="AI11" s="1220"/>
      <c r="AJ11" s="1219">
        <v>68528.759999999995</v>
      </c>
      <c r="AK11" s="1850"/>
      <c r="AL11" s="1219"/>
      <c r="AM11" s="1175"/>
      <c r="AN11" s="1219">
        <v>0</v>
      </c>
      <c r="AO11" s="1219"/>
      <c r="AP11" s="1219"/>
      <c r="AQ11" s="1219"/>
      <c r="AR11" s="1219"/>
      <c r="AS11" s="1219">
        <v>2061.25</v>
      </c>
      <c r="AT11" s="1175"/>
      <c r="AU11" s="1219"/>
      <c r="AV11" s="1219"/>
      <c r="AW11" s="1219"/>
      <c r="AX11" s="1220"/>
      <c r="AY11" s="1219"/>
      <c r="AZ11" s="1219"/>
      <c r="BA11" s="1219"/>
      <c r="BB11" s="1175"/>
      <c r="BC11" s="1175"/>
      <c r="BD11" s="1219"/>
      <c r="BE11" s="1219"/>
      <c r="BF11" s="1219"/>
      <c r="BG11" s="1219"/>
      <c r="BH11" s="1850"/>
      <c r="BI11" s="1219">
        <v>1500</v>
      </c>
      <c r="BJ11" s="1219"/>
      <c r="BK11" s="1219"/>
      <c r="BL11" s="1219"/>
      <c r="BM11" s="1219"/>
      <c r="BN11" s="1234"/>
      <c r="BO11" s="1234"/>
      <c r="BP11" s="1510"/>
      <c r="BQ11" s="1504"/>
      <c r="BR11" s="1238"/>
      <c r="BS11" s="1234"/>
      <c r="BT11" s="1219"/>
      <c r="BU11" s="1220"/>
      <c r="BV11" s="1235"/>
      <c r="BW11" s="1235"/>
      <c r="BX11" s="1235"/>
      <c r="BY11" s="6801">
        <f t="shared" si="0"/>
        <v>286658.63</v>
      </c>
    </row>
    <row r="12" spans="1:80" s="1222" customFormat="1">
      <c r="A12" s="1884" t="s">
        <v>569</v>
      </c>
      <c r="B12" s="1883">
        <f>'ACTUAL KAGAWAD JUNE 2018'!B22</f>
        <v>266826.53999999998</v>
      </c>
      <c r="C12" s="1883"/>
      <c r="D12" s="1221">
        <v>0</v>
      </c>
      <c r="E12" s="1175"/>
      <c r="F12" s="6785"/>
      <c r="G12" s="6805">
        <f>'ACTUAL KAGAWAD JUNE 2018'!C22</f>
        <v>1000</v>
      </c>
      <c r="H12" s="1883">
        <f>'ACTUAL KAGAWAD JUNE 2018'!D22</f>
        <v>309458.90000000002</v>
      </c>
      <c r="I12" s="1883"/>
      <c r="J12" s="1175">
        <v>0</v>
      </c>
      <c r="K12" s="1175">
        <v>0</v>
      </c>
      <c r="L12" s="1175">
        <v>0</v>
      </c>
      <c r="M12" s="1219">
        <v>0</v>
      </c>
      <c r="N12" s="1175">
        <v>0</v>
      </c>
      <c r="O12" s="1175">
        <v>930</v>
      </c>
      <c r="P12" s="1175">
        <v>0</v>
      </c>
      <c r="Q12" s="6805">
        <f>'ACTUAL KAGAWAD JUNE 2018'!E22</f>
        <v>0</v>
      </c>
      <c r="R12" s="1175">
        <v>0</v>
      </c>
      <c r="S12" s="6805">
        <f>'ACTUAL KAGAWAD JUNE 2018'!F22</f>
        <v>523023.98</v>
      </c>
      <c r="T12" s="1219">
        <v>0</v>
      </c>
      <c r="U12" s="6805">
        <f>'ACTUAL KAGAWAD JUNE 2018'!G22</f>
        <v>4079</v>
      </c>
      <c r="V12" s="1885">
        <f>'ACTUAL KAGAWAD JUNE 2018'!H22</f>
        <v>402043.1</v>
      </c>
      <c r="W12" s="1885"/>
      <c r="X12" s="1885"/>
      <c r="Y12" s="6806">
        <f>'ACTUAL KAGAWAD JUNE 2018'!I22</f>
        <v>0</v>
      </c>
      <c r="Z12" s="1219">
        <v>0</v>
      </c>
      <c r="AA12" s="1175">
        <v>0</v>
      </c>
      <c r="AB12" s="6805">
        <f>'ACTUAL KAGAWAD JUNE 2018'!K22</f>
        <v>99500</v>
      </c>
      <c r="AC12" s="10355"/>
      <c r="AD12" s="1219">
        <v>0</v>
      </c>
      <c r="AE12" s="1219">
        <v>0</v>
      </c>
      <c r="AF12" s="1221">
        <v>0</v>
      </c>
      <c r="AG12" s="1219">
        <v>36215.629999999997</v>
      </c>
      <c r="AH12" s="1220">
        <v>0</v>
      </c>
      <c r="AI12" s="5417">
        <f>'ACTUAL KAGAWAD JUNE 2018'!O22</f>
        <v>0</v>
      </c>
      <c r="AJ12" s="1883">
        <f>'ACTUAL KAGAWAD JUNE 2018'!N22</f>
        <v>9444368.5899999999</v>
      </c>
      <c r="AK12" s="1851"/>
      <c r="AL12" s="1175"/>
      <c r="AM12" s="1175">
        <v>0</v>
      </c>
      <c r="AN12" s="1219">
        <v>2000</v>
      </c>
      <c r="AO12" s="1175">
        <v>0</v>
      </c>
      <c r="AP12" s="1219">
        <v>0</v>
      </c>
      <c r="AQ12" s="6805">
        <f>'ACTUAL KAGAWAD JUNE 2018'!P22</f>
        <v>0</v>
      </c>
      <c r="AR12" s="1175">
        <v>0</v>
      </c>
      <c r="AS12" s="6805">
        <f>'ACTUAL KAGAWAD JUNE 2018'!Q22</f>
        <v>9800</v>
      </c>
      <c r="AT12" s="1175">
        <v>481923.85</v>
      </c>
      <c r="AU12" s="1175">
        <v>0</v>
      </c>
      <c r="AV12" s="1219">
        <v>0</v>
      </c>
      <c r="AW12" s="1219">
        <v>0</v>
      </c>
      <c r="AX12" s="5688">
        <f>'ACTUAL KAGAWAD JUNE 2018'!R22</f>
        <v>0</v>
      </c>
      <c r="AY12" s="1219">
        <v>0</v>
      </c>
      <c r="AZ12" s="6806">
        <f>'ACTUAL KAGAWAD JUNE 2018'!T22</f>
        <v>1571.25</v>
      </c>
      <c r="BA12" s="1175">
        <v>0</v>
      </c>
      <c r="BB12" s="1175">
        <v>8000</v>
      </c>
      <c r="BC12" s="1175">
        <v>0</v>
      </c>
      <c r="BD12" s="1219">
        <v>0</v>
      </c>
      <c r="BE12" s="6805">
        <f>'ACTUAL KAGAWAD JUNE 2018'!L22</f>
        <v>72057.100000000006</v>
      </c>
      <c r="BF12" s="6805">
        <f>'ACTUAL KAGAWAD JUNE 2018'!M22</f>
        <v>48344</v>
      </c>
      <c r="BG12" s="1219">
        <v>0</v>
      </c>
      <c r="BH12" s="1850">
        <v>0</v>
      </c>
      <c r="BI12" s="1885">
        <f>'ACTUAL KAGAWAD JUNE 2018'!U22</f>
        <v>123641.02</v>
      </c>
      <c r="BJ12" s="1219">
        <v>0</v>
      </c>
      <c r="BK12" s="1219">
        <v>0</v>
      </c>
      <c r="BL12" s="1219"/>
      <c r="BM12" s="1219">
        <v>0</v>
      </c>
      <c r="BN12" s="1234">
        <v>0</v>
      </c>
      <c r="BO12" s="1234"/>
      <c r="BP12" s="1510">
        <v>0</v>
      </c>
      <c r="BQ12" s="1504">
        <v>0</v>
      </c>
      <c r="BR12" s="1238">
        <v>0</v>
      </c>
      <c r="BS12" s="1234">
        <v>0</v>
      </c>
      <c r="BT12" s="1219">
        <v>0</v>
      </c>
      <c r="BU12" s="1220">
        <v>0</v>
      </c>
      <c r="BV12" s="1235">
        <v>0</v>
      </c>
      <c r="BW12" s="1235">
        <v>0</v>
      </c>
      <c r="BX12" s="1235">
        <v>0</v>
      </c>
      <c r="BY12" s="6801">
        <f t="shared" si="0"/>
        <v>11834782.959999999</v>
      </c>
      <c r="BZ12" s="1222">
        <v>4012323.48</v>
      </c>
      <c r="CA12" s="1222">
        <v>10997540.779999999</v>
      </c>
      <c r="CB12" s="1222">
        <f>BY12-'ACTUAL KAGAWAD JUNE 2018'!V18-'ACTUAL KAGAWAD JUNE 2018'!V19-'ACTUAL KAGAWAD JUNE 2018'!V21</f>
        <v>6102102.7499999991</v>
      </c>
    </row>
    <row r="13" spans="1:80" s="1222" customFormat="1">
      <c r="A13" s="1241" t="s">
        <v>9134</v>
      </c>
      <c r="B13" s="1175">
        <v>0</v>
      </c>
      <c r="C13" s="1175"/>
      <c r="D13" s="1175"/>
      <c r="E13" s="1175"/>
      <c r="F13" s="6785"/>
      <c r="G13" s="1175">
        <v>8000</v>
      </c>
      <c r="H13" s="1175">
        <v>39581.4</v>
      </c>
      <c r="I13" s="1175"/>
      <c r="J13" s="1175"/>
      <c r="K13" s="1175"/>
      <c r="L13" s="1175"/>
      <c r="M13" s="1219"/>
      <c r="N13" s="1175"/>
      <c r="O13" s="1175">
        <v>0</v>
      </c>
      <c r="P13" s="1175"/>
      <c r="Q13" s="1175"/>
      <c r="R13" s="1175"/>
      <c r="S13" s="1175"/>
      <c r="T13" s="1219"/>
      <c r="U13" s="1175">
        <v>600</v>
      </c>
      <c r="V13" s="1219">
        <v>68959.899999999994</v>
      </c>
      <c r="W13" s="1219"/>
      <c r="X13" s="1219"/>
      <c r="Y13" s="1219"/>
      <c r="Z13" s="1219">
        <v>36400</v>
      </c>
      <c r="AA13" s="1175"/>
      <c r="AB13" s="1175"/>
      <c r="AC13" s="10356"/>
      <c r="AD13" s="1219"/>
      <c r="AE13" s="1219"/>
      <c r="AF13" s="1175">
        <f>'lbpf 3-PADMO'!E75</f>
        <v>0</v>
      </c>
      <c r="AG13" s="1219"/>
      <c r="AH13" s="1219">
        <v>3366608.82</v>
      </c>
      <c r="AI13" s="1175"/>
      <c r="AJ13" s="1175">
        <v>250438.44</v>
      </c>
      <c r="AK13" s="1851"/>
      <c r="AL13" s="1175"/>
      <c r="AM13" s="1175"/>
      <c r="AN13" s="1219">
        <v>6924.75</v>
      </c>
      <c r="AO13" s="1175"/>
      <c r="AP13" s="1219"/>
      <c r="AQ13" s="1175"/>
      <c r="AR13" s="1175"/>
      <c r="AS13" s="1175">
        <v>12743.75</v>
      </c>
      <c r="AT13" s="1175">
        <v>3000</v>
      </c>
      <c r="AU13" s="1175"/>
      <c r="AV13" s="1219"/>
      <c r="AW13" s="1219"/>
      <c r="AX13" s="1219"/>
      <c r="AY13" s="1219"/>
      <c r="AZ13" s="1219">
        <v>0</v>
      </c>
      <c r="BA13" s="1175"/>
      <c r="BB13" s="1175">
        <v>0</v>
      </c>
      <c r="BC13" s="1175"/>
      <c r="BD13" s="1219"/>
      <c r="BE13" s="1175"/>
      <c r="BF13" s="1175"/>
      <c r="BG13" s="1219"/>
      <c r="BH13" s="1219"/>
      <c r="BI13" s="1219">
        <v>13138.75</v>
      </c>
      <c r="BJ13" s="1219"/>
      <c r="BK13" s="1219"/>
      <c r="BL13" s="1219"/>
      <c r="BM13" s="1219"/>
      <c r="BN13" s="1234"/>
      <c r="BO13" s="1234"/>
      <c r="BP13" s="1510"/>
      <c r="BQ13" s="1504"/>
      <c r="BR13" s="1234"/>
      <c r="BS13" s="1234"/>
      <c r="BT13" s="1219"/>
      <c r="BU13" s="1219"/>
      <c r="BV13" s="1235"/>
      <c r="BW13" s="1235"/>
      <c r="BX13" s="1235"/>
      <c r="BY13" s="6801">
        <f t="shared" si="0"/>
        <v>3806395.8099999996</v>
      </c>
      <c r="CA13" s="1222">
        <f>BY12-CA12</f>
        <v>837242.1799999997</v>
      </c>
    </row>
    <row r="14" spans="1:80" s="1222" customFormat="1">
      <c r="A14" s="1241" t="s">
        <v>570</v>
      </c>
      <c r="B14" s="1175">
        <v>119949.5</v>
      </c>
      <c r="C14" s="1175"/>
      <c r="D14" s="1221"/>
      <c r="E14" s="1175"/>
      <c r="F14" s="6785"/>
      <c r="G14" s="1175">
        <v>50200</v>
      </c>
      <c r="H14" s="1175">
        <v>153543.4</v>
      </c>
      <c r="I14" s="1175"/>
      <c r="J14" s="1175"/>
      <c r="K14" s="1175"/>
      <c r="L14" s="1175"/>
      <c r="M14" s="1175"/>
      <c r="N14" s="1175"/>
      <c r="O14" s="1175">
        <v>0</v>
      </c>
      <c r="P14" s="1175"/>
      <c r="Q14" s="1175">
        <v>0</v>
      </c>
      <c r="R14" s="1175">
        <v>1120</v>
      </c>
      <c r="S14" s="1175">
        <v>49324.639999999999</v>
      </c>
      <c r="T14" s="1219"/>
      <c r="U14" s="1175">
        <v>1250</v>
      </c>
      <c r="V14" s="1219">
        <v>23089.95</v>
      </c>
      <c r="W14" s="1219"/>
      <c r="X14" s="1219"/>
      <c r="Y14" s="1219"/>
      <c r="Z14" s="1219">
        <v>0</v>
      </c>
      <c r="AA14" s="1175">
        <v>42400</v>
      </c>
      <c r="AB14" s="1175"/>
      <c r="AC14" s="10356"/>
      <c r="AD14" s="1175"/>
      <c r="AE14" s="1175"/>
      <c r="AF14" s="1221"/>
      <c r="AG14" s="1175"/>
      <c r="AH14" s="1221"/>
      <c r="AI14" s="1221"/>
      <c r="AJ14" s="1175">
        <v>379502.46</v>
      </c>
      <c r="AK14" s="1851"/>
      <c r="AL14" s="1175"/>
      <c r="AM14" s="1175"/>
      <c r="AN14" s="1175"/>
      <c r="AO14" s="1175"/>
      <c r="AP14" s="1175"/>
      <c r="AQ14" s="1175"/>
      <c r="AR14" s="1175"/>
      <c r="AS14" s="1175">
        <v>18700</v>
      </c>
      <c r="AT14" s="1175">
        <v>11290</v>
      </c>
      <c r="AU14" s="1175"/>
      <c r="AV14" s="1175"/>
      <c r="AW14" s="1175"/>
      <c r="AX14" s="1221"/>
      <c r="AY14" s="1219"/>
      <c r="AZ14" s="1175">
        <v>0</v>
      </c>
      <c r="BA14" s="1175"/>
      <c r="BB14" s="1175">
        <v>0</v>
      </c>
      <c r="BC14" s="1175">
        <v>0</v>
      </c>
      <c r="BD14" s="1219"/>
      <c r="BE14" s="1175"/>
      <c r="BF14" s="1175">
        <v>0</v>
      </c>
      <c r="BG14" s="1175"/>
      <c r="BH14" s="1851"/>
      <c r="BI14" s="1175">
        <v>1350</v>
      </c>
      <c r="BJ14" s="1175"/>
      <c r="BK14" s="1175"/>
      <c r="BL14" s="1175"/>
      <c r="BM14" s="1175"/>
      <c r="BN14" s="1234"/>
      <c r="BO14" s="1234"/>
      <c r="BP14" s="1510"/>
      <c r="BQ14" s="1504"/>
      <c r="BR14" s="1238"/>
      <c r="BS14" s="1234"/>
      <c r="BT14" s="1175"/>
      <c r="BU14" s="1221"/>
      <c r="BV14" s="1235"/>
      <c r="BW14" s="1235"/>
      <c r="BX14" s="1235"/>
      <c r="BY14" s="6801">
        <f t="shared" si="0"/>
        <v>851719.95000000007</v>
      </c>
    </row>
    <row r="15" spans="1:80" s="1222" customFormat="1">
      <c r="A15" s="1241" t="s">
        <v>571</v>
      </c>
      <c r="B15" s="1175">
        <v>137803.88</v>
      </c>
      <c r="C15" s="1175"/>
      <c r="D15" s="1221"/>
      <c r="E15" s="1175"/>
      <c r="F15" s="6785"/>
      <c r="G15" s="1175">
        <v>0</v>
      </c>
      <c r="H15" s="1175">
        <v>39684.800000000003</v>
      </c>
      <c r="I15" s="1175"/>
      <c r="J15" s="1175"/>
      <c r="K15" s="1175"/>
      <c r="L15" s="1175"/>
      <c r="M15" s="1175"/>
      <c r="N15" s="1175"/>
      <c r="O15" s="1175">
        <v>89713.81</v>
      </c>
      <c r="P15" s="1175"/>
      <c r="Q15" s="1175"/>
      <c r="R15" s="1175"/>
      <c r="S15" s="1175">
        <v>174351.06</v>
      </c>
      <c r="T15" s="1219"/>
      <c r="U15" s="1175">
        <v>3297</v>
      </c>
      <c r="V15" s="1219">
        <v>59079.05</v>
      </c>
      <c r="W15" s="1219"/>
      <c r="X15" s="1219"/>
      <c r="Y15" s="1219"/>
      <c r="Z15" s="1219">
        <v>61171.17</v>
      </c>
      <c r="AA15" s="1175"/>
      <c r="AB15" s="1175"/>
      <c r="AC15" s="10356"/>
      <c r="AD15" s="1175"/>
      <c r="AE15" s="1175"/>
      <c r="AF15" s="1221">
        <v>75000</v>
      </c>
      <c r="AG15" s="1175"/>
      <c r="AH15" s="1221"/>
      <c r="AI15" s="1221"/>
      <c r="AJ15" s="1175">
        <v>206633.54</v>
      </c>
      <c r="AK15" s="1851"/>
      <c r="AL15" s="1175"/>
      <c r="AM15" s="1175"/>
      <c r="AN15" s="1175">
        <v>4075</v>
      </c>
      <c r="AO15" s="1175"/>
      <c r="AP15" s="1175"/>
      <c r="AQ15" s="1175"/>
      <c r="AR15" s="1175"/>
      <c r="AS15" s="1175">
        <v>44937</v>
      </c>
      <c r="AT15" s="1175">
        <v>58690</v>
      </c>
      <c r="AU15" s="1175"/>
      <c r="AV15" s="1175"/>
      <c r="AW15" s="1175"/>
      <c r="AX15" s="1221"/>
      <c r="AY15" s="1219"/>
      <c r="AZ15" s="1175">
        <v>2550</v>
      </c>
      <c r="BA15" s="1175"/>
      <c r="BB15" s="1175"/>
      <c r="BC15" s="1175"/>
      <c r="BD15" s="1219"/>
      <c r="BE15" s="1175">
        <v>0</v>
      </c>
      <c r="BF15" s="1175">
        <v>3575</v>
      </c>
      <c r="BG15" s="1175"/>
      <c r="BH15" s="1851"/>
      <c r="BI15" s="1175">
        <v>32903.5</v>
      </c>
      <c r="BJ15" s="1175"/>
      <c r="BK15" s="1175"/>
      <c r="BL15" s="1175"/>
      <c r="BM15" s="1175"/>
      <c r="BN15" s="1234"/>
      <c r="BO15" s="1234"/>
      <c r="BP15" s="1510"/>
      <c r="BQ15" s="1504"/>
      <c r="BR15" s="1238"/>
      <c r="BS15" s="1234"/>
      <c r="BT15" s="1175"/>
      <c r="BU15" s="1221"/>
      <c r="BV15" s="1235"/>
      <c r="BW15" s="1235"/>
      <c r="BX15" s="1235"/>
      <c r="BY15" s="6801">
        <f t="shared" si="0"/>
        <v>993464.81</v>
      </c>
    </row>
    <row r="16" spans="1:80" s="1222" customFormat="1">
      <c r="A16" s="1241" t="s">
        <v>572</v>
      </c>
      <c r="B16" s="1175">
        <v>70374.320000000007</v>
      </c>
      <c r="C16" s="1175"/>
      <c r="D16" s="1221"/>
      <c r="E16" s="1175"/>
      <c r="F16" s="6785"/>
      <c r="G16" s="1175">
        <v>8500</v>
      </c>
      <c r="H16" s="1175">
        <v>135994.1</v>
      </c>
      <c r="I16" s="1175"/>
      <c r="J16" s="1175"/>
      <c r="K16" s="1175"/>
      <c r="L16" s="1175"/>
      <c r="M16" s="1175"/>
      <c r="N16" s="1175"/>
      <c r="O16" s="1175">
        <v>0</v>
      </c>
      <c r="P16" s="1175"/>
      <c r="Q16" s="1175"/>
      <c r="R16" s="1175">
        <v>58020.800000000003</v>
      </c>
      <c r="S16" s="1175">
        <v>169903.56</v>
      </c>
      <c r="T16" s="1219"/>
      <c r="U16" s="1175">
        <v>0</v>
      </c>
      <c r="V16" s="1219">
        <v>34337.589999999997</v>
      </c>
      <c r="W16" s="1219"/>
      <c r="X16" s="1219"/>
      <c r="Y16" s="1219"/>
      <c r="Z16" s="1219"/>
      <c r="AA16" s="1175"/>
      <c r="AB16" s="1175"/>
      <c r="AC16" s="10356"/>
      <c r="AD16" s="1175"/>
      <c r="AE16" s="1175"/>
      <c r="AF16" s="1221">
        <v>0</v>
      </c>
      <c r="AG16" s="1175">
        <v>2129797.2599999998</v>
      </c>
      <c r="AH16" s="1221"/>
      <c r="AI16" s="1221"/>
      <c r="AJ16" s="1175">
        <v>1448759.12</v>
      </c>
      <c r="AK16" s="1851"/>
      <c r="AL16" s="1175"/>
      <c r="AM16" s="1175"/>
      <c r="AN16" s="1175">
        <v>117287.35</v>
      </c>
      <c r="AO16" s="1175"/>
      <c r="AP16" s="1175"/>
      <c r="AQ16" s="1175"/>
      <c r="AR16" s="1175"/>
      <c r="AS16" s="1175">
        <v>45033.25</v>
      </c>
      <c r="AT16" s="1175">
        <v>62484.7</v>
      </c>
      <c r="AU16" s="1175"/>
      <c r="AV16" s="1175"/>
      <c r="AW16" s="1175"/>
      <c r="AX16" s="1221"/>
      <c r="AY16" s="1219"/>
      <c r="AZ16" s="1175">
        <v>562.5</v>
      </c>
      <c r="BA16" s="1175">
        <v>1413107.76</v>
      </c>
      <c r="BB16" s="1175"/>
      <c r="BC16" s="1175"/>
      <c r="BD16" s="1219"/>
      <c r="BE16" s="1175"/>
      <c r="BF16" s="1175"/>
      <c r="BG16" s="1175"/>
      <c r="BH16" s="1851"/>
      <c r="BI16" s="1175">
        <v>11960.95</v>
      </c>
      <c r="BJ16" s="1175"/>
      <c r="BK16" s="1175"/>
      <c r="BL16" s="1175"/>
      <c r="BM16" s="1175"/>
      <c r="BN16" s="1234"/>
      <c r="BO16" s="1234"/>
      <c r="BP16" s="1510"/>
      <c r="BQ16" s="1504"/>
      <c r="BR16" s="1238"/>
      <c r="BS16" s="1234"/>
      <c r="BT16" s="1175"/>
      <c r="BU16" s="1221"/>
      <c r="BV16" s="1235"/>
      <c r="BW16" s="1235"/>
      <c r="BX16" s="1235"/>
      <c r="BY16" s="6801">
        <f t="shared" si="0"/>
        <v>5706123.2599999998</v>
      </c>
    </row>
    <row r="17" spans="1:78" s="1222" customFormat="1">
      <c r="A17" s="1241" t="s">
        <v>573</v>
      </c>
      <c r="B17" s="1175">
        <v>36136</v>
      </c>
      <c r="C17" s="1175"/>
      <c r="D17" s="1221"/>
      <c r="E17" s="1175"/>
      <c r="F17" s="6785"/>
      <c r="G17" s="1175">
        <v>16000</v>
      </c>
      <c r="H17" s="1175">
        <v>28315.65</v>
      </c>
      <c r="I17" s="1175"/>
      <c r="J17" s="1175"/>
      <c r="K17" s="1175"/>
      <c r="L17" s="1175"/>
      <c r="M17" s="1175"/>
      <c r="N17" s="1175"/>
      <c r="O17" s="1175"/>
      <c r="P17" s="1175"/>
      <c r="Q17" s="1175"/>
      <c r="R17" s="1175"/>
      <c r="S17" s="1175">
        <v>96915.35</v>
      </c>
      <c r="T17" s="1219"/>
      <c r="U17" s="1175">
        <v>1131.5</v>
      </c>
      <c r="V17" s="1219">
        <v>24856.78</v>
      </c>
      <c r="W17" s="1219"/>
      <c r="X17" s="1219"/>
      <c r="Y17" s="1219"/>
      <c r="Z17" s="1219"/>
      <c r="AA17" s="1175"/>
      <c r="AB17" s="1175"/>
      <c r="AC17" s="10356"/>
      <c r="AD17" s="1175"/>
      <c r="AE17" s="1175"/>
      <c r="AF17" s="1221"/>
      <c r="AG17" s="1175"/>
      <c r="AH17" s="1221"/>
      <c r="AI17" s="1221"/>
      <c r="AJ17" s="1175">
        <v>76281.89</v>
      </c>
      <c r="AK17" s="1851"/>
      <c r="AL17" s="1175"/>
      <c r="AM17" s="1175"/>
      <c r="AN17" s="1175">
        <v>0</v>
      </c>
      <c r="AO17" s="1175"/>
      <c r="AP17" s="1175"/>
      <c r="AQ17" s="1175"/>
      <c r="AR17" s="1175"/>
      <c r="AS17" s="1175">
        <v>22250</v>
      </c>
      <c r="AT17" s="1175"/>
      <c r="AU17" s="1175"/>
      <c r="AV17" s="1175"/>
      <c r="AW17" s="1175"/>
      <c r="AX17" s="1221"/>
      <c r="AY17" s="1219"/>
      <c r="AZ17" s="1175">
        <v>502.5</v>
      </c>
      <c r="BA17" s="1175"/>
      <c r="BB17" s="1175"/>
      <c r="BC17" s="1175"/>
      <c r="BD17" s="1219"/>
      <c r="BE17" s="1175"/>
      <c r="BF17" s="1175"/>
      <c r="BG17" s="1175"/>
      <c r="BH17" s="1851"/>
      <c r="BI17" s="1175">
        <v>51635.31</v>
      </c>
      <c r="BJ17" s="1175"/>
      <c r="BK17" s="1175"/>
      <c r="BL17" s="1175"/>
      <c r="BM17" s="1175"/>
      <c r="BN17" s="1234"/>
      <c r="BO17" s="1234"/>
      <c r="BP17" s="1510"/>
      <c r="BQ17" s="1504"/>
      <c r="BR17" s="1238"/>
      <c r="BS17" s="1234"/>
      <c r="BT17" s="1175"/>
      <c r="BU17" s="1221"/>
      <c r="BV17" s="1235"/>
      <c r="BW17" s="1235"/>
      <c r="BX17" s="1235"/>
      <c r="BY17" s="6801">
        <f t="shared" si="0"/>
        <v>354024.98</v>
      </c>
    </row>
    <row r="18" spans="1:78" s="1222" customFormat="1">
      <c r="A18" s="1241" t="s">
        <v>574</v>
      </c>
      <c r="B18" s="1175">
        <v>92216.76</v>
      </c>
      <c r="C18" s="1175"/>
      <c r="D18" s="1221"/>
      <c r="E18" s="1175"/>
      <c r="F18" s="6785"/>
      <c r="G18" s="1175">
        <v>66340</v>
      </c>
      <c r="H18" s="1175">
        <v>126348.85</v>
      </c>
      <c r="I18" s="1175"/>
      <c r="J18" s="1175"/>
      <c r="K18" s="1175"/>
      <c r="L18" s="1175"/>
      <c r="M18" s="1175"/>
      <c r="N18" s="1175"/>
      <c r="O18" s="1175"/>
      <c r="P18" s="1175"/>
      <c r="Q18" s="1175"/>
      <c r="R18" s="1175"/>
      <c r="S18" s="1175">
        <v>156002.44</v>
      </c>
      <c r="T18" s="1219"/>
      <c r="U18" s="1175">
        <v>850</v>
      </c>
      <c r="V18" s="1219">
        <v>44679.57</v>
      </c>
      <c r="W18" s="1219"/>
      <c r="X18" s="1219"/>
      <c r="Y18" s="1219"/>
      <c r="Z18" s="1219"/>
      <c r="AA18" s="1175"/>
      <c r="AB18" s="1175"/>
      <c r="AC18" s="10356"/>
      <c r="AD18" s="1175"/>
      <c r="AE18" s="1175"/>
      <c r="AF18" s="1221">
        <v>65221.15</v>
      </c>
      <c r="AG18" s="1175"/>
      <c r="AH18" s="1221"/>
      <c r="AI18" s="1221"/>
      <c r="AJ18" s="1175">
        <v>216040.64</v>
      </c>
      <c r="AK18" s="1851"/>
      <c r="AL18" s="1175"/>
      <c r="AM18" s="1175"/>
      <c r="AN18" s="1175">
        <v>0</v>
      </c>
      <c r="AO18" s="1175"/>
      <c r="AP18" s="1175"/>
      <c r="AQ18" s="1175"/>
      <c r="AR18" s="1175"/>
      <c r="AS18" s="1175">
        <v>42789.5</v>
      </c>
      <c r="AT18" s="1175"/>
      <c r="AU18" s="1175"/>
      <c r="AV18" s="1175"/>
      <c r="AW18" s="1175"/>
      <c r="AX18" s="1221"/>
      <c r="AY18" s="1219"/>
      <c r="AZ18" s="1175">
        <v>0</v>
      </c>
      <c r="BA18" s="1175"/>
      <c r="BB18" s="1175"/>
      <c r="BC18" s="1175"/>
      <c r="BD18" s="1219"/>
      <c r="BE18" s="1175"/>
      <c r="BF18" s="1175"/>
      <c r="BG18" s="1175"/>
      <c r="BH18" s="1851"/>
      <c r="BI18" s="1175">
        <v>43077</v>
      </c>
      <c r="BJ18" s="1175"/>
      <c r="BK18" s="1175"/>
      <c r="BL18" s="1175"/>
      <c r="BM18" s="1175"/>
      <c r="BN18" s="1234"/>
      <c r="BO18" s="1234"/>
      <c r="BP18" s="1510"/>
      <c r="BQ18" s="1504"/>
      <c r="BR18" s="1238"/>
      <c r="BS18" s="1234"/>
      <c r="BT18" s="1175"/>
      <c r="BU18" s="1221"/>
      <c r="BV18" s="1235"/>
      <c r="BW18" s="1235"/>
      <c r="BX18" s="1235"/>
      <c r="BY18" s="6801">
        <f t="shared" si="0"/>
        <v>853565.91</v>
      </c>
    </row>
    <row r="19" spans="1:78" s="1222" customFormat="1">
      <c r="A19" s="1241" t="s">
        <v>575</v>
      </c>
      <c r="B19" s="1175">
        <v>141973</v>
      </c>
      <c r="C19" s="1175"/>
      <c r="D19" s="1221"/>
      <c r="E19" s="1175"/>
      <c r="F19" s="6785"/>
      <c r="G19" s="1175">
        <v>24217</v>
      </c>
      <c r="H19" s="1175">
        <v>64627.88</v>
      </c>
      <c r="I19" s="1175"/>
      <c r="J19" s="1175">
        <v>5356700</v>
      </c>
      <c r="K19" s="1175"/>
      <c r="L19" s="1175"/>
      <c r="M19" s="1175"/>
      <c r="N19" s="1175"/>
      <c r="O19" s="1175">
        <v>110751.03</v>
      </c>
      <c r="P19" s="1175"/>
      <c r="Q19" s="1175"/>
      <c r="R19" s="1175"/>
      <c r="S19" s="1175">
        <v>99135.72</v>
      </c>
      <c r="T19" s="1219"/>
      <c r="U19" s="1175">
        <v>13842.8</v>
      </c>
      <c r="V19" s="1175">
        <v>56772.72</v>
      </c>
      <c r="W19" s="1175"/>
      <c r="X19" s="1175"/>
      <c r="Y19" s="1175"/>
      <c r="Z19" s="1175"/>
      <c r="AA19" s="1175"/>
      <c r="AB19" s="1175">
        <v>0</v>
      </c>
      <c r="AC19" s="10356"/>
      <c r="AD19" s="1175"/>
      <c r="AE19" s="1175"/>
      <c r="AF19" s="1221"/>
      <c r="AG19" s="1175"/>
      <c r="AH19" s="1221"/>
      <c r="AI19" s="1221"/>
      <c r="AJ19" s="1175">
        <v>109167.2</v>
      </c>
      <c r="AK19" s="1851"/>
      <c r="AL19" s="1175"/>
      <c r="AM19" s="1175"/>
      <c r="AN19" s="1175">
        <v>0</v>
      </c>
      <c r="AO19" s="1219"/>
      <c r="AP19" s="1175"/>
      <c r="AQ19" s="1175"/>
      <c r="AR19" s="1219"/>
      <c r="AS19" s="1175">
        <v>6432</v>
      </c>
      <c r="AT19" s="1175">
        <v>9020</v>
      </c>
      <c r="AU19" s="1219"/>
      <c r="AV19" s="1175"/>
      <c r="AW19" s="1175"/>
      <c r="AX19" s="1221"/>
      <c r="AY19" s="1219"/>
      <c r="AZ19" s="1175">
        <v>62025</v>
      </c>
      <c r="BA19" s="1219"/>
      <c r="BB19" s="1175">
        <v>60500</v>
      </c>
      <c r="BC19" s="1175"/>
      <c r="BD19" s="1219"/>
      <c r="BE19" s="1175">
        <v>8010</v>
      </c>
      <c r="BF19" s="1219">
        <v>0</v>
      </c>
      <c r="BG19" s="1175"/>
      <c r="BH19" s="1851"/>
      <c r="BI19" s="1175">
        <v>794</v>
      </c>
      <c r="BJ19" s="1175"/>
      <c r="BK19" s="1175"/>
      <c r="BL19" s="1175"/>
      <c r="BM19" s="1175"/>
      <c r="BN19" s="1234"/>
      <c r="BO19" s="1234"/>
      <c r="BP19" s="1510"/>
      <c r="BQ19" s="1504"/>
      <c r="BR19" s="1238"/>
      <c r="BS19" s="1234"/>
      <c r="BT19" s="1175"/>
      <c r="BU19" s="1221"/>
      <c r="BV19" s="1235"/>
      <c r="BW19" s="1235"/>
      <c r="BX19" s="1235"/>
      <c r="BY19" s="6801">
        <f t="shared" si="0"/>
        <v>6123968.3499999996</v>
      </c>
    </row>
    <row r="20" spans="1:78" s="1222" customFormat="1">
      <c r="A20" s="1241" t="s">
        <v>576</v>
      </c>
      <c r="B20" s="1175">
        <v>78458.86</v>
      </c>
      <c r="C20" s="1175"/>
      <c r="D20" s="1221"/>
      <c r="E20" s="1175"/>
      <c r="F20" s="6785"/>
      <c r="G20" s="1175">
        <v>46332</v>
      </c>
      <c r="H20" s="1175">
        <v>50712.6</v>
      </c>
      <c r="I20" s="1175"/>
      <c r="J20" s="1175"/>
      <c r="K20" s="1175"/>
      <c r="L20" s="1175"/>
      <c r="M20" s="1175"/>
      <c r="N20" s="1175"/>
      <c r="O20" s="1175">
        <v>48000</v>
      </c>
      <c r="P20" s="1175"/>
      <c r="Q20" s="1175"/>
      <c r="R20" s="1175">
        <v>9950.3799999999992</v>
      </c>
      <c r="S20" s="1175">
        <v>146817.47</v>
      </c>
      <c r="T20" s="1219"/>
      <c r="U20" s="1175">
        <v>1245.5</v>
      </c>
      <c r="V20" s="1175">
        <v>31887</v>
      </c>
      <c r="W20" s="1175"/>
      <c r="X20" s="1175"/>
      <c r="Y20" s="1175"/>
      <c r="Z20" s="1175"/>
      <c r="AA20" s="1175"/>
      <c r="AB20" s="1175"/>
      <c r="AC20" s="10356"/>
      <c r="AD20" s="1175"/>
      <c r="AE20" s="1175"/>
      <c r="AF20" s="1221"/>
      <c r="AG20" s="1175"/>
      <c r="AH20" s="1221"/>
      <c r="AI20" s="1221"/>
      <c r="AJ20" s="1175">
        <v>260667.51</v>
      </c>
      <c r="AK20" s="1851"/>
      <c r="AL20" s="1175"/>
      <c r="AM20" s="1175"/>
      <c r="AN20" s="1175">
        <v>0</v>
      </c>
      <c r="AO20" s="1219"/>
      <c r="AP20" s="1175"/>
      <c r="AQ20" s="1175"/>
      <c r="AR20" s="1219"/>
      <c r="AS20" s="1175">
        <v>6520</v>
      </c>
      <c r="AT20" s="1175">
        <v>44500</v>
      </c>
      <c r="AU20" s="1219"/>
      <c r="AV20" s="1175"/>
      <c r="AW20" s="1175"/>
      <c r="AX20" s="1221"/>
      <c r="AY20" s="1219"/>
      <c r="AZ20" s="1175">
        <v>0</v>
      </c>
      <c r="BA20" s="1219"/>
      <c r="BB20" s="1175"/>
      <c r="BC20" s="1175">
        <v>0</v>
      </c>
      <c r="BD20" s="1219"/>
      <c r="BE20" s="1175"/>
      <c r="BF20" s="1219">
        <v>3460</v>
      </c>
      <c r="BG20" s="1175"/>
      <c r="BH20" s="1851"/>
      <c r="BI20" s="1175">
        <v>24828.85</v>
      </c>
      <c r="BJ20" s="1175"/>
      <c r="BK20" s="1175"/>
      <c r="BL20" s="1175"/>
      <c r="BM20" s="1175"/>
      <c r="BN20" s="1234"/>
      <c r="BO20" s="1234"/>
      <c r="BP20" s="1510"/>
      <c r="BQ20" s="1504"/>
      <c r="BR20" s="1238"/>
      <c r="BS20" s="1234"/>
      <c r="BT20" s="1175"/>
      <c r="BU20" s="1221"/>
      <c r="BV20" s="1235"/>
      <c r="BW20" s="1235"/>
      <c r="BX20" s="1235"/>
      <c r="BY20" s="6801">
        <f t="shared" si="0"/>
        <v>753380.17</v>
      </c>
    </row>
    <row r="21" spans="1:78" s="1222" customFormat="1">
      <c r="A21" s="1241" t="s">
        <v>577</v>
      </c>
      <c r="B21" s="1175">
        <v>75839.8</v>
      </c>
      <c r="C21" s="1175"/>
      <c r="D21" s="1221"/>
      <c r="E21" s="1175"/>
      <c r="F21" s="6785"/>
      <c r="G21" s="1175">
        <v>104000</v>
      </c>
      <c r="H21" s="1175">
        <v>63055.94</v>
      </c>
      <c r="I21" s="1175"/>
      <c r="J21" s="1175"/>
      <c r="K21" s="1175"/>
      <c r="L21" s="1175"/>
      <c r="M21" s="1175"/>
      <c r="N21" s="1175"/>
      <c r="O21" s="1175">
        <v>10628.74</v>
      </c>
      <c r="P21" s="1175"/>
      <c r="Q21" s="1175">
        <v>0</v>
      </c>
      <c r="R21" s="1175"/>
      <c r="S21" s="1175">
        <v>0</v>
      </c>
      <c r="T21" s="1219"/>
      <c r="U21" s="1175">
        <v>22250</v>
      </c>
      <c r="V21" s="1175">
        <v>31683.27</v>
      </c>
      <c r="W21" s="1175"/>
      <c r="X21" s="1175"/>
      <c r="Y21" s="1175"/>
      <c r="Z21" s="1175">
        <v>3334.06</v>
      </c>
      <c r="AA21" s="1175"/>
      <c r="AB21" s="1175"/>
      <c r="AC21" s="10356"/>
      <c r="AD21" s="1175"/>
      <c r="AE21" s="1175"/>
      <c r="AF21" s="1221"/>
      <c r="AG21" s="1175"/>
      <c r="AH21" s="1221"/>
      <c r="AI21" s="1221">
        <v>1100000</v>
      </c>
      <c r="AJ21" s="1175">
        <v>5396.88</v>
      </c>
      <c r="AK21" s="1851"/>
      <c r="AL21" s="1175"/>
      <c r="AM21" s="1175"/>
      <c r="AN21" s="1175"/>
      <c r="AO21" s="1219"/>
      <c r="AP21" s="1175"/>
      <c r="AQ21" s="1175"/>
      <c r="AR21" s="1219"/>
      <c r="AS21" s="1175">
        <v>0</v>
      </c>
      <c r="AT21" s="1175">
        <v>700</v>
      </c>
      <c r="AU21" s="1219"/>
      <c r="AV21" s="1175"/>
      <c r="AW21" s="1175"/>
      <c r="AX21" s="1221"/>
      <c r="AY21" s="1219"/>
      <c r="AZ21" s="1175">
        <v>0</v>
      </c>
      <c r="BA21" s="1219"/>
      <c r="BB21" s="1175"/>
      <c r="BC21" s="1175"/>
      <c r="BD21" s="1219"/>
      <c r="BE21" s="1175"/>
      <c r="BF21" s="1219"/>
      <c r="BG21" s="1175"/>
      <c r="BH21" s="1851"/>
      <c r="BI21" s="1175">
        <v>14524.75</v>
      </c>
      <c r="BJ21" s="1175"/>
      <c r="BK21" s="1175"/>
      <c r="BL21" s="1175"/>
      <c r="BM21" s="1175"/>
      <c r="BN21" s="1234"/>
      <c r="BO21" s="1234"/>
      <c r="BP21" s="1510"/>
      <c r="BQ21" s="1504"/>
      <c r="BR21" s="1238"/>
      <c r="BS21" s="1234"/>
      <c r="BT21" s="1175"/>
      <c r="BU21" s="1221"/>
      <c r="BV21" s="1235"/>
      <c r="BW21" s="1235"/>
      <c r="BX21" s="1235"/>
      <c r="BY21" s="6801">
        <f t="shared" si="0"/>
        <v>1431413.44</v>
      </c>
    </row>
    <row r="22" spans="1:78" s="1222" customFormat="1">
      <c r="A22" s="1241" t="s">
        <v>10327</v>
      </c>
      <c r="B22" s="1175">
        <v>33443.440000000002</v>
      </c>
      <c r="C22" s="1175"/>
      <c r="D22" s="1175"/>
      <c r="E22" s="1175"/>
      <c r="F22" s="1175"/>
      <c r="G22" s="1175">
        <v>0</v>
      </c>
      <c r="H22" s="1175">
        <v>74818.600000000006</v>
      </c>
      <c r="I22" s="1175"/>
      <c r="J22" s="1175"/>
      <c r="K22" s="1175"/>
      <c r="L22" s="1175"/>
      <c r="M22" s="1219"/>
      <c r="N22" s="1175"/>
      <c r="O22" s="1175">
        <v>0</v>
      </c>
      <c r="P22" s="1175"/>
      <c r="Q22" s="1175"/>
      <c r="R22" s="1175">
        <v>0</v>
      </c>
      <c r="S22" s="1175">
        <v>0</v>
      </c>
      <c r="T22" s="1219"/>
      <c r="U22" s="1175"/>
      <c r="V22" s="1219">
        <v>231139.13</v>
      </c>
      <c r="W22" s="1219"/>
      <c r="X22" s="1219"/>
      <c r="Y22" s="1219"/>
      <c r="Z22" s="1219">
        <v>0</v>
      </c>
      <c r="AA22" s="1175"/>
      <c r="AB22" s="1175"/>
      <c r="AC22" s="10356"/>
      <c r="AD22" s="1219"/>
      <c r="AE22" s="1219"/>
      <c r="AF22" s="1175"/>
      <c r="AG22" s="1219"/>
      <c r="AH22" s="1219"/>
      <c r="AI22" s="1175"/>
      <c r="AJ22" s="1175">
        <v>5071377.0599999996</v>
      </c>
      <c r="AK22" s="1175"/>
      <c r="AL22" s="1175"/>
      <c r="AM22" s="1175"/>
      <c r="AN22" s="1219"/>
      <c r="AO22" s="1175"/>
      <c r="AP22" s="1219"/>
      <c r="AQ22" s="1175"/>
      <c r="AR22" s="1175"/>
      <c r="AS22" s="1175">
        <v>4000</v>
      </c>
      <c r="AT22" s="1175">
        <v>28477.5</v>
      </c>
      <c r="AU22" s="1175"/>
      <c r="AV22" s="1219"/>
      <c r="AW22" s="1219"/>
      <c r="AX22" s="1219"/>
      <c r="AY22" s="1219"/>
      <c r="AZ22" s="1219"/>
      <c r="BA22" s="1175"/>
      <c r="BB22" s="1175"/>
      <c r="BC22" s="1175"/>
      <c r="BD22" s="1219"/>
      <c r="BE22" s="1175"/>
      <c r="BF22" s="1175"/>
      <c r="BG22" s="1219"/>
      <c r="BH22" s="1219"/>
      <c r="BI22" s="1219">
        <v>25944.5</v>
      </c>
      <c r="BJ22" s="1219"/>
      <c r="BK22" s="1219"/>
      <c r="BL22" s="1219"/>
      <c r="BM22" s="1219"/>
      <c r="BN22" s="1234"/>
      <c r="BO22" s="1234"/>
      <c r="BP22" s="6802"/>
      <c r="BQ22" s="1504"/>
      <c r="BR22" s="1234"/>
      <c r="BS22" s="1234"/>
      <c r="BT22" s="1219"/>
      <c r="BU22" s="1219"/>
      <c r="BV22" s="1235"/>
      <c r="BW22" s="1235"/>
      <c r="BX22" s="1235"/>
      <c r="BY22" s="6801">
        <f t="shared" si="0"/>
        <v>5469200.2299999995</v>
      </c>
    </row>
    <row r="23" spans="1:78" ht="13.8" thickBot="1">
      <c r="A23" s="1182" t="s">
        <v>485</v>
      </c>
      <c r="B23" s="1183">
        <f>SUM(B6:B21)</f>
        <v>1610438.8200000003</v>
      </c>
      <c r="C23" s="1183"/>
      <c r="D23" s="1183">
        <f t="shared" ref="D23:BX23" si="1">SUM(D6:D21)</f>
        <v>0</v>
      </c>
      <c r="E23" s="1183">
        <f t="shared" si="1"/>
        <v>0</v>
      </c>
      <c r="F23" s="1183">
        <f t="shared" si="1"/>
        <v>0</v>
      </c>
      <c r="G23" s="1183">
        <f>SUM(G6:G21)</f>
        <v>340589</v>
      </c>
      <c r="H23" s="1183">
        <f t="shared" si="1"/>
        <v>1809436.22</v>
      </c>
      <c r="I23" s="1183"/>
      <c r="J23" s="1183">
        <f t="shared" si="1"/>
        <v>5356700</v>
      </c>
      <c r="K23" s="1183">
        <f t="shared" si="1"/>
        <v>0</v>
      </c>
      <c r="L23" s="1183">
        <f t="shared" si="1"/>
        <v>0</v>
      </c>
      <c r="M23" s="1183">
        <f t="shared" si="1"/>
        <v>0</v>
      </c>
      <c r="N23" s="1183">
        <f t="shared" si="1"/>
        <v>0</v>
      </c>
      <c r="O23" s="1183">
        <f t="shared" si="1"/>
        <v>1407874.75</v>
      </c>
      <c r="P23" s="1183">
        <f t="shared" si="1"/>
        <v>0</v>
      </c>
      <c r="Q23" s="1183">
        <f>SUM(Q6:Q21)</f>
        <v>0</v>
      </c>
      <c r="R23" s="1183">
        <f t="shared" si="1"/>
        <v>341669.6</v>
      </c>
      <c r="S23" s="1183">
        <f>SUM(S6:S22)</f>
        <v>4005687.850000001</v>
      </c>
      <c r="T23" s="1847">
        <f t="shared" si="1"/>
        <v>0</v>
      </c>
      <c r="U23" s="1183">
        <f t="shared" si="1"/>
        <v>66762.55</v>
      </c>
      <c r="V23" s="1183">
        <f t="shared" si="1"/>
        <v>1092552.19</v>
      </c>
      <c r="W23" s="1183">
        <f t="shared" si="1"/>
        <v>0</v>
      </c>
      <c r="X23" s="1183">
        <f t="shared" si="1"/>
        <v>0</v>
      </c>
      <c r="Y23" s="1183">
        <f t="shared" si="1"/>
        <v>0</v>
      </c>
      <c r="Z23" s="1183">
        <f t="shared" si="1"/>
        <v>314562.58</v>
      </c>
      <c r="AA23" s="1183">
        <f>SUM(AA6:AA21)</f>
        <v>42400</v>
      </c>
      <c r="AB23" s="1183">
        <f t="shared" si="1"/>
        <v>99500</v>
      </c>
      <c r="AC23" s="1183"/>
      <c r="AD23" s="1183">
        <f t="shared" ref="AD23:AL23" si="2">SUM(AD6:AD21)</f>
        <v>6000000</v>
      </c>
      <c r="AE23" s="1183">
        <f t="shared" si="2"/>
        <v>0</v>
      </c>
      <c r="AF23" s="1183">
        <f t="shared" si="2"/>
        <v>4615328.32</v>
      </c>
      <c r="AG23" s="1183">
        <f>SUM(AG6:AG21)</f>
        <v>2166012.8899999997</v>
      </c>
      <c r="AH23" s="1183">
        <f>SUM(AH6:AH21)</f>
        <v>3366608.82</v>
      </c>
      <c r="AI23" s="1183">
        <f>SUM(AI6:AI21)</f>
        <v>1100000</v>
      </c>
      <c r="AJ23" s="1183">
        <f t="shared" si="2"/>
        <v>22002877.460000005</v>
      </c>
      <c r="AK23" s="1183">
        <f t="shared" si="2"/>
        <v>0</v>
      </c>
      <c r="AL23" s="1183">
        <f t="shared" si="2"/>
        <v>0</v>
      </c>
      <c r="AM23" s="1183">
        <f t="shared" si="1"/>
        <v>0</v>
      </c>
      <c r="AN23" s="1183">
        <f t="shared" si="1"/>
        <v>290450.45999999996</v>
      </c>
      <c r="AO23" s="1183">
        <f t="shared" si="1"/>
        <v>0</v>
      </c>
      <c r="AP23" s="1183">
        <f t="shared" si="1"/>
        <v>0</v>
      </c>
      <c r="AQ23" s="1183">
        <f t="shared" si="1"/>
        <v>0</v>
      </c>
      <c r="AR23" s="1183">
        <f t="shared" si="1"/>
        <v>0</v>
      </c>
      <c r="AS23" s="1183">
        <f t="shared" si="1"/>
        <v>247008.75</v>
      </c>
      <c r="AT23" s="1183">
        <f t="shared" si="1"/>
        <v>2681797.3000000003</v>
      </c>
      <c r="AU23" s="1183">
        <f>SUM(AU6:AU21)</f>
        <v>0</v>
      </c>
      <c r="AV23" s="1183">
        <f t="shared" si="1"/>
        <v>0</v>
      </c>
      <c r="AW23" s="1183">
        <f t="shared" si="1"/>
        <v>0</v>
      </c>
      <c r="AX23" s="1183">
        <f t="shared" si="1"/>
        <v>0</v>
      </c>
      <c r="AY23" s="1183">
        <f t="shared" ref="AY23:BF23" si="3">SUM(AY6:AY21)</f>
        <v>0</v>
      </c>
      <c r="AZ23" s="1183">
        <f t="shared" si="3"/>
        <v>121211.25</v>
      </c>
      <c r="BA23" s="1183">
        <f t="shared" si="3"/>
        <v>1413107.76</v>
      </c>
      <c r="BB23" s="1183">
        <f t="shared" si="3"/>
        <v>138000</v>
      </c>
      <c r="BC23" s="1183">
        <f t="shared" si="3"/>
        <v>0</v>
      </c>
      <c r="BD23" s="1183">
        <f t="shared" si="3"/>
        <v>0</v>
      </c>
      <c r="BE23" s="1183">
        <f t="shared" si="3"/>
        <v>585407.1</v>
      </c>
      <c r="BF23" s="1183">
        <f t="shared" si="3"/>
        <v>62199</v>
      </c>
      <c r="BG23" s="1183">
        <f t="shared" si="1"/>
        <v>17216764.75</v>
      </c>
      <c r="BH23" s="1183">
        <f t="shared" si="1"/>
        <v>0</v>
      </c>
      <c r="BI23" s="1183">
        <f t="shared" si="1"/>
        <v>1384701.9000000001</v>
      </c>
      <c r="BJ23" s="1183">
        <f t="shared" si="1"/>
        <v>0</v>
      </c>
      <c r="BK23" s="1183">
        <f t="shared" si="1"/>
        <v>0</v>
      </c>
      <c r="BL23" s="1183">
        <f t="shared" si="1"/>
        <v>0</v>
      </c>
      <c r="BM23" s="1183">
        <f t="shared" si="1"/>
        <v>0</v>
      </c>
      <c r="BN23" s="1183">
        <f t="shared" si="1"/>
        <v>0</v>
      </c>
      <c r="BO23" s="1183">
        <f>SUM(BO6:BO21)</f>
        <v>0</v>
      </c>
      <c r="BP23" s="1511">
        <f t="shared" si="1"/>
        <v>0</v>
      </c>
      <c r="BQ23" s="1511">
        <f t="shared" si="1"/>
        <v>0</v>
      </c>
      <c r="BR23" s="1511">
        <f t="shared" si="1"/>
        <v>0</v>
      </c>
      <c r="BS23" s="1511">
        <f t="shared" si="1"/>
        <v>0</v>
      </c>
      <c r="BT23" s="1511">
        <f t="shared" si="1"/>
        <v>0</v>
      </c>
      <c r="BU23" s="1511">
        <f t="shared" si="1"/>
        <v>0</v>
      </c>
      <c r="BV23" s="1511">
        <f t="shared" si="1"/>
        <v>0</v>
      </c>
      <c r="BW23" s="1511">
        <f>SUM(BW6:BW21)</f>
        <v>0</v>
      </c>
      <c r="BX23" s="1511">
        <f t="shared" si="1"/>
        <v>0</v>
      </c>
      <c r="BY23" s="1183">
        <f>SUM(BY6:BY21)</f>
        <v>79879649.320000008</v>
      </c>
    </row>
    <row r="24" spans="1:78" ht="13.8" thickTop="1">
      <c r="A24" s="1184"/>
      <c r="B24" s="1185"/>
      <c r="C24" s="1185"/>
      <c r="D24" s="1186"/>
      <c r="E24" s="1185"/>
      <c r="F24" s="6787"/>
      <c r="G24" s="1185"/>
      <c r="H24" s="1185"/>
      <c r="I24" s="1185"/>
      <c r="J24" s="1185"/>
      <c r="K24" s="1185"/>
      <c r="L24" s="1185"/>
      <c r="M24" s="1179"/>
      <c r="N24" s="1185"/>
      <c r="O24" s="1185"/>
      <c r="P24" s="1185"/>
      <c r="Q24" s="1185"/>
      <c r="R24" s="1185"/>
      <c r="S24" s="1185"/>
      <c r="T24" s="1226"/>
      <c r="U24" s="1185"/>
      <c r="V24" s="1185"/>
      <c r="W24" s="1185"/>
      <c r="X24" s="1185"/>
      <c r="Y24" s="1185"/>
      <c r="Z24" s="1185"/>
      <c r="AA24" s="1185"/>
      <c r="AB24" s="1185"/>
      <c r="AC24" s="10358"/>
      <c r="AD24" s="1179"/>
      <c r="AE24" s="1179"/>
      <c r="AF24" s="1186"/>
      <c r="AG24" s="1179"/>
      <c r="AH24" s="1180"/>
      <c r="AI24" s="1186"/>
      <c r="AJ24" s="1185"/>
      <c r="AK24" s="1889"/>
      <c r="AL24" s="1185"/>
      <c r="AM24" s="1185"/>
      <c r="AN24" s="1179"/>
      <c r="AO24" s="1226"/>
      <c r="AP24" s="1226"/>
      <c r="AQ24" s="1177"/>
      <c r="AR24" s="1226"/>
      <c r="AS24" s="1185"/>
      <c r="AT24" s="1185"/>
      <c r="AU24" s="1226"/>
      <c r="AV24" s="1179"/>
      <c r="AW24" s="1179"/>
      <c r="AX24" s="1180"/>
      <c r="AY24" s="1179"/>
      <c r="AZ24" s="1179"/>
      <c r="BA24" s="1179"/>
      <c r="BB24" s="1185"/>
      <c r="BC24" s="1185"/>
      <c r="BD24" s="1226"/>
      <c r="BE24" s="1185"/>
      <c r="BF24" s="1179"/>
      <c r="BG24" s="1179"/>
      <c r="BH24" s="1887"/>
      <c r="BI24" s="1179"/>
      <c r="BJ24" s="1179"/>
      <c r="BK24" s="1179"/>
      <c r="BL24" s="1179"/>
      <c r="BM24" s="1179"/>
      <c r="BN24" s="1234"/>
      <c r="BO24" s="1234"/>
      <c r="BP24" s="1510"/>
      <c r="BQ24" s="1504"/>
      <c r="BR24" s="1238"/>
      <c r="BS24" s="1234"/>
      <c r="BT24" s="1179"/>
      <c r="BU24" s="1180"/>
      <c r="BV24" s="1235"/>
      <c r="BW24" s="1235"/>
      <c r="BX24" s="1235"/>
      <c r="BY24" s="1181"/>
    </row>
    <row r="25" spans="1:78">
      <c r="A25" s="1174" t="s">
        <v>578</v>
      </c>
      <c r="B25" s="1187">
        <v>63188.18</v>
      </c>
      <c r="C25" s="1187"/>
      <c r="D25" s="1190"/>
      <c r="E25" s="1187"/>
      <c r="F25" s="6788"/>
      <c r="G25" s="1187">
        <v>27474</v>
      </c>
      <c r="H25" s="1187">
        <v>1712</v>
      </c>
      <c r="I25" s="1187"/>
      <c r="J25" s="1187"/>
      <c r="K25" s="1187"/>
      <c r="L25" s="1187"/>
      <c r="M25" s="1188"/>
      <c r="N25" s="1187"/>
      <c r="O25" s="1187">
        <v>1000</v>
      </c>
      <c r="P25" s="1187"/>
      <c r="Q25" s="1187"/>
      <c r="R25" s="1187">
        <v>552.5</v>
      </c>
      <c r="S25" s="1187">
        <v>50419.69</v>
      </c>
      <c r="T25" s="1227"/>
      <c r="U25" s="1187">
        <v>570</v>
      </c>
      <c r="V25" s="1187">
        <v>20596.41</v>
      </c>
      <c r="W25" s="1187"/>
      <c r="X25" s="1187"/>
      <c r="Y25" s="1187"/>
      <c r="Z25" s="1187"/>
      <c r="AA25" s="1189"/>
      <c r="AB25" s="1189"/>
      <c r="AC25" s="10359"/>
      <c r="AD25" s="1188"/>
      <c r="AE25" s="1188"/>
      <c r="AF25" s="1190">
        <v>42462.2</v>
      </c>
      <c r="AG25" s="1188"/>
      <c r="AH25" s="1191"/>
      <c r="AI25" s="1190"/>
      <c r="AJ25" s="1187">
        <v>162653.37</v>
      </c>
      <c r="AK25" s="5456"/>
      <c r="AL25" s="1187"/>
      <c r="AM25" s="1189"/>
      <c r="AN25" s="1188"/>
      <c r="AO25" s="1227"/>
      <c r="AP25" s="1227"/>
      <c r="AQ25" s="1228"/>
      <c r="AR25" s="1227"/>
      <c r="AS25" s="1187">
        <v>0</v>
      </c>
      <c r="AT25" s="1187">
        <v>75065</v>
      </c>
      <c r="AU25" s="1227">
        <v>0</v>
      </c>
      <c r="AV25" s="1188">
        <v>0</v>
      </c>
      <c r="AW25" s="1188"/>
      <c r="AX25" s="1191"/>
      <c r="AY25" s="1188"/>
      <c r="AZ25" s="1188">
        <v>0</v>
      </c>
      <c r="BA25" s="1188"/>
      <c r="BB25" s="1189"/>
      <c r="BC25" s="1189"/>
      <c r="BD25" s="1227"/>
      <c r="BE25" s="1189"/>
      <c r="BF25" s="1188"/>
      <c r="BG25" s="1188"/>
      <c r="BH25" s="1888"/>
      <c r="BI25" s="1188">
        <v>17088.650000000001</v>
      </c>
      <c r="BJ25" s="1188"/>
      <c r="BK25" s="1188"/>
      <c r="BL25" s="1188"/>
      <c r="BM25" s="1188"/>
      <c r="BN25" s="1234"/>
      <c r="BO25" s="1234"/>
      <c r="BP25" s="1510"/>
      <c r="BQ25" s="1504"/>
      <c r="BR25" s="1238"/>
      <c r="BS25" s="1234"/>
      <c r="BT25" s="1188"/>
      <c r="BU25" s="1191"/>
      <c r="BV25" s="1235"/>
      <c r="BW25" s="1235"/>
      <c r="BX25" s="1235"/>
      <c r="BY25" s="6801">
        <f t="shared" ref="BY25:BY39" si="4">SUM(B25:BX25)</f>
        <v>462782</v>
      </c>
    </row>
    <row r="26" spans="1:78">
      <c r="A26" s="1174" t="s">
        <v>1727</v>
      </c>
      <c r="B26" s="1187">
        <v>413672</v>
      </c>
      <c r="C26" s="1187"/>
      <c r="D26" s="1190"/>
      <c r="E26" s="1187"/>
      <c r="F26" s="6788"/>
      <c r="G26" s="1187">
        <v>0</v>
      </c>
      <c r="H26" s="1187">
        <v>0</v>
      </c>
      <c r="I26" s="1187"/>
      <c r="J26" s="1189"/>
      <c r="K26" s="1189"/>
      <c r="L26" s="1187">
        <v>5347519.9000000004</v>
      </c>
      <c r="M26" s="1188">
        <v>0</v>
      </c>
      <c r="N26" s="1187"/>
      <c r="O26" s="1187">
        <v>0</v>
      </c>
      <c r="P26" s="1189"/>
      <c r="Q26" s="1187"/>
      <c r="R26" s="1187">
        <v>438861.6</v>
      </c>
      <c r="S26" s="1187">
        <v>552002.34</v>
      </c>
      <c r="T26" s="1226"/>
      <c r="U26" s="1187"/>
      <c r="V26" s="1187">
        <v>12500</v>
      </c>
      <c r="W26" s="1187"/>
      <c r="X26" s="1187"/>
      <c r="Y26" s="1187"/>
      <c r="Z26" s="1187">
        <v>0</v>
      </c>
      <c r="AA26" s="1189"/>
      <c r="AB26" s="1189"/>
      <c r="AC26" s="10359"/>
      <c r="AD26" s="1226"/>
      <c r="AE26" s="1226"/>
      <c r="AF26" s="1192"/>
      <c r="AG26" s="1188"/>
      <c r="AH26" s="1191">
        <v>2266156.91</v>
      </c>
      <c r="AI26" s="1192"/>
      <c r="AJ26" s="1189"/>
      <c r="AK26" s="5457"/>
      <c r="AL26" s="1189"/>
      <c r="AM26" s="1189"/>
      <c r="AN26" s="1188">
        <v>0</v>
      </c>
      <c r="AO26" s="1226"/>
      <c r="AP26" s="1227"/>
      <c r="AQ26" s="1228"/>
      <c r="AR26" s="1226"/>
      <c r="AS26" s="1189">
        <v>0</v>
      </c>
      <c r="AT26" s="1187">
        <v>225000</v>
      </c>
      <c r="AU26" s="1226"/>
      <c r="AV26" s="1226"/>
      <c r="AW26" s="1226"/>
      <c r="AX26" s="1237"/>
      <c r="AY26" s="1226"/>
      <c r="AZ26" s="1188">
        <v>0</v>
      </c>
      <c r="BA26" s="1226"/>
      <c r="BB26" s="1189"/>
      <c r="BC26" s="1189"/>
      <c r="BD26" s="1226"/>
      <c r="BE26" s="1189"/>
      <c r="BF26" s="1226"/>
      <c r="BG26" s="1226"/>
      <c r="BH26" s="1876"/>
      <c r="BI26" s="1188">
        <v>90000</v>
      </c>
      <c r="BJ26" s="1226"/>
      <c r="BK26" s="1226"/>
      <c r="BL26" s="1226"/>
      <c r="BM26" s="1226"/>
      <c r="BN26" s="1234"/>
      <c r="BO26" s="1234"/>
      <c r="BP26" s="1510"/>
      <c r="BQ26" s="1504"/>
      <c r="BR26" s="1238"/>
      <c r="BS26" s="1234"/>
      <c r="BT26" s="1226"/>
      <c r="BU26" s="1237"/>
      <c r="BV26" s="1235"/>
      <c r="BW26" s="1235"/>
      <c r="BX26" s="1235"/>
      <c r="BY26" s="6801">
        <f t="shared" si="4"/>
        <v>9345712.75</v>
      </c>
    </row>
    <row r="27" spans="1:78" hidden="1">
      <c r="A27" s="1174" t="s">
        <v>580</v>
      </c>
      <c r="B27" s="1176"/>
      <c r="C27" s="1176"/>
      <c r="D27" s="1178"/>
      <c r="E27" s="1176"/>
      <c r="F27" s="6789"/>
      <c r="G27" s="1176"/>
      <c r="H27" s="1176"/>
      <c r="I27" s="1176"/>
      <c r="J27" s="1176"/>
      <c r="K27" s="1176"/>
      <c r="L27" s="1176"/>
      <c r="M27" s="1176"/>
      <c r="N27" s="1176"/>
      <c r="O27" s="1176"/>
      <c r="P27" s="1176"/>
      <c r="Q27" s="1176"/>
      <c r="R27" s="1176"/>
      <c r="S27" s="1176"/>
      <c r="T27" s="1219"/>
      <c r="U27" s="1176"/>
      <c r="V27" s="1176"/>
      <c r="W27" s="1176"/>
      <c r="X27" s="1176"/>
      <c r="Y27" s="1176"/>
      <c r="Z27" s="1176"/>
      <c r="AA27" s="1176"/>
      <c r="AB27" s="1176"/>
      <c r="AC27" s="10360"/>
      <c r="AD27" s="1175"/>
      <c r="AE27" s="1175"/>
      <c r="AF27" s="1178"/>
      <c r="AG27" s="1176"/>
      <c r="AH27" s="1178"/>
      <c r="AI27" s="1178"/>
      <c r="AJ27" s="1176"/>
      <c r="AK27" s="1890"/>
      <c r="AL27" s="1176"/>
      <c r="AM27" s="1176"/>
      <c r="AN27" s="1176"/>
      <c r="AO27" s="1219"/>
      <c r="AP27" s="1175"/>
      <c r="AQ27" s="1175"/>
      <c r="AR27" s="1175"/>
      <c r="AS27" s="1176"/>
      <c r="AT27" s="1176"/>
      <c r="AU27" s="1175"/>
      <c r="AV27" s="1175"/>
      <c r="AW27" s="1175"/>
      <c r="AX27" s="1221"/>
      <c r="AY27" s="1219"/>
      <c r="AZ27" s="1176"/>
      <c r="BA27" s="1175"/>
      <c r="BB27" s="1176"/>
      <c r="BC27" s="1176"/>
      <c r="BD27" s="1175"/>
      <c r="BE27" s="1176"/>
      <c r="BF27" s="1176"/>
      <c r="BG27" s="1175"/>
      <c r="BH27" s="1851"/>
      <c r="BI27" s="1176"/>
      <c r="BJ27" s="1175"/>
      <c r="BK27" s="1175"/>
      <c r="BL27" s="1175"/>
      <c r="BM27" s="1175"/>
      <c r="BN27" s="1234"/>
      <c r="BO27" s="1234"/>
      <c r="BP27" s="1510"/>
      <c r="BQ27" s="1504"/>
      <c r="BR27" s="1238"/>
      <c r="BS27" s="1234"/>
      <c r="BT27" s="1175"/>
      <c r="BU27" s="1221"/>
      <c r="BV27" s="1235"/>
      <c r="BW27" s="1235"/>
      <c r="BX27" s="1235"/>
      <c r="BY27" s="1177">
        <f t="shared" si="4"/>
        <v>0</v>
      </c>
    </row>
    <row r="28" spans="1:78">
      <c r="A28" s="1174" t="s">
        <v>581</v>
      </c>
      <c r="B28" s="1176">
        <v>426764.79999999999</v>
      </c>
      <c r="C28" s="1176"/>
      <c r="D28" s="1178"/>
      <c r="E28" s="1176"/>
      <c r="F28" s="6789"/>
      <c r="G28" s="1176">
        <v>15560</v>
      </c>
      <c r="H28" s="1176">
        <v>139462.79999999999</v>
      </c>
      <c r="I28" s="1176"/>
      <c r="J28" s="1176"/>
      <c r="K28" s="1176"/>
      <c r="L28" s="1176"/>
      <c r="M28" s="1176"/>
      <c r="N28" s="1176">
        <v>0</v>
      </c>
      <c r="O28" s="1176">
        <v>180000</v>
      </c>
      <c r="P28" s="1176"/>
      <c r="Q28" s="1176"/>
      <c r="R28" s="1176">
        <v>64839.6</v>
      </c>
      <c r="S28" s="1176">
        <v>364733.64</v>
      </c>
      <c r="T28" s="1219"/>
      <c r="U28" s="1176">
        <v>0</v>
      </c>
      <c r="V28" s="1176">
        <v>84750.080000000002</v>
      </c>
      <c r="W28" s="1176"/>
      <c r="X28" s="1176"/>
      <c r="Y28" s="1176"/>
      <c r="Z28" s="1176">
        <v>0</v>
      </c>
      <c r="AA28" s="1176"/>
      <c r="AB28" s="1176">
        <v>440</v>
      </c>
      <c r="AC28" s="10360"/>
      <c r="AD28" s="1175"/>
      <c r="AE28" s="1175"/>
      <c r="AF28" s="1178"/>
      <c r="AG28" s="1176"/>
      <c r="AH28" s="1178"/>
      <c r="AI28" s="1178"/>
      <c r="AJ28" s="1176">
        <v>1449839.49</v>
      </c>
      <c r="AK28" s="1890"/>
      <c r="AL28" s="1176"/>
      <c r="AM28" s="1176"/>
      <c r="AN28" s="1176">
        <v>0</v>
      </c>
      <c r="AO28" s="1219"/>
      <c r="AP28" s="1175"/>
      <c r="AQ28" s="1175"/>
      <c r="AR28" s="1175"/>
      <c r="AS28" s="1176">
        <v>0</v>
      </c>
      <c r="AT28" s="1176">
        <v>21317.85</v>
      </c>
      <c r="AU28" s="1175"/>
      <c r="AV28" s="1175"/>
      <c r="AW28" s="1175"/>
      <c r="AX28" s="1221"/>
      <c r="AY28" s="1219"/>
      <c r="AZ28" s="1176">
        <v>6150</v>
      </c>
      <c r="BA28" s="1175"/>
      <c r="BB28" s="1176"/>
      <c r="BC28" s="1176"/>
      <c r="BD28" s="1175"/>
      <c r="BE28" s="1176"/>
      <c r="BF28" s="1176">
        <v>3155</v>
      </c>
      <c r="BG28" s="1175"/>
      <c r="BH28" s="1851"/>
      <c r="BI28" s="1176">
        <v>109468.29</v>
      </c>
      <c r="BJ28" s="1175"/>
      <c r="BK28" s="1175"/>
      <c r="BL28" s="1175"/>
      <c r="BM28" s="1175"/>
      <c r="BN28" s="1234"/>
      <c r="BO28" s="1234"/>
      <c r="BP28" s="1510"/>
      <c r="BQ28" s="1504"/>
      <c r="BR28" s="1238"/>
      <c r="BS28" s="1234"/>
      <c r="BT28" s="1175"/>
      <c r="BU28" s="1221"/>
      <c r="BV28" s="1235"/>
      <c r="BW28" s="1235"/>
      <c r="BX28" s="1235"/>
      <c r="BY28" s="6801">
        <f t="shared" si="4"/>
        <v>2866481.5500000003</v>
      </c>
    </row>
    <row r="29" spans="1:78">
      <c r="A29" s="1174" t="s">
        <v>582</v>
      </c>
      <c r="B29" s="1176">
        <v>34324.76</v>
      </c>
      <c r="C29" s="1176"/>
      <c r="D29" s="1178"/>
      <c r="E29" s="1176"/>
      <c r="F29" s="6789"/>
      <c r="G29" s="1176">
        <v>0</v>
      </c>
      <c r="H29" s="1176">
        <v>20839.2</v>
      </c>
      <c r="I29" s="1176"/>
      <c r="J29" s="1176">
        <v>55000</v>
      </c>
      <c r="K29" s="1176"/>
      <c r="L29" s="1176">
        <v>1105317.8600000001</v>
      </c>
      <c r="M29" s="1176">
        <v>649655.44999999995</v>
      </c>
      <c r="N29" s="1176">
        <v>306023.5</v>
      </c>
      <c r="O29" s="1176">
        <v>101212.3</v>
      </c>
      <c r="P29" s="1176"/>
      <c r="Q29" s="1176"/>
      <c r="R29" s="1176">
        <v>449262.97</v>
      </c>
      <c r="S29" s="1176">
        <v>1331164</v>
      </c>
      <c r="T29" s="1176">
        <v>0</v>
      </c>
      <c r="U29" s="1176">
        <v>1000</v>
      </c>
      <c r="V29" s="1176">
        <v>8108</v>
      </c>
      <c r="W29" s="1176"/>
      <c r="X29" s="1176"/>
      <c r="Y29" s="1176"/>
      <c r="Z29" s="1176">
        <v>12953.91</v>
      </c>
      <c r="AA29" s="1176"/>
      <c r="AB29" s="1176"/>
      <c r="AC29" s="10360"/>
      <c r="AD29" s="1175"/>
      <c r="AE29" s="1175"/>
      <c r="AF29" s="1178">
        <v>4011242.49</v>
      </c>
      <c r="AG29" s="1176">
        <v>210750</v>
      </c>
      <c r="AH29" s="1178">
        <v>259900</v>
      </c>
      <c r="AI29" s="1178"/>
      <c r="AJ29" s="1176">
        <v>2274911.67</v>
      </c>
      <c r="AK29" s="1890"/>
      <c r="AL29" s="1176"/>
      <c r="AM29" s="1176"/>
      <c r="AN29" s="1176">
        <v>7045.25</v>
      </c>
      <c r="AO29" s="1219"/>
      <c r="AP29" s="1175"/>
      <c r="AQ29" s="1175"/>
      <c r="AR29" s="1175"/>
      <c r="AS29" s="1176">
        <v>94320</v>
      </c>
      <c r="AT29" s="1176">
        <v>5000</v>
      </c>
      <c r="AU29" s="1175"/>
      <c r="AV29" s="1175"/>
      <c r="AW29" s="1175"/>
      <c r="AX29" s="1221"/>
      <c r="AY29" s="1219">
        <v>31674</v>
      </c>
      <c r="AZ29" s="1176">
        <v>9750</v>
      </c>
      <c r="BA29" s="1175"/>
      <c r="BB29" s="1176"/>
      <c r="BC29" s="1176"/>
      <c r="BD29" s="1175"/>
      <c r="BE29" s="1176"/>
      <c r="BF29" s="1176"/>
      <c r="BG29" s="1175"/>
      <c r="BH29" s="1851"/>
      <c r="BI29" s="1176">
        <v>13139.15</v>
      </c>
      <c r="BJ29" s="1175"/>
      <c r="BK29" s="1175"/>
      <c r="BL29" s="1175"/>
      <c r="BM29" s="1175"/>
      <c r="BN29" s="1234"/>
      <c r="BO29" s="1234"/>
      <c r="BP29" s="1510"/>
      <c r="BQ29" s="1504"/>
      <c r="BR29" s="1238"/>
      <c r="BS29" s="1234"/>
      <c r="BT29" s="1175"/>
      <c r="BU29" s="1221"/>
      <c r="BV29" s="1235"/>
      <c r="BW29" s="1235"/>
      <c r="BX29" s="1235"/>
      <c r="BY29" s="6801">
        <f t="shared" si="4"/>
        <v>10992594.510000002</v>
      </c>
      <c r="BZ29" s="1222"/>
    </row>
    <row r="30" spans="1:78">
      <c r="A30" s="1174" t="s">
        <v>583</v>
      </c>
      <c r="B30" s="1176">
        <v>29036</v>
      </c>
      <c r="C30" s="1176"/>
      <c r="D30" s="1178"/>
      <c r="E30" s="1176"/>
      <c r="F30" s="6789"/>
      <c r="G30" s="1176">
        <v>4000</v>
      </c>
      <c r="H30" s="1176">
        <v>79185</v>
      </c>
      <c r="I30" s="1176"/>
      <c r="J30" s="1176">
        <v>17915</v>
      </c>
      <c r="K30" s="1176"/>
      <c r="L30" s="1176">
        <v>450791.7</v>
      </c>
      <c r="M30" s="1176">
        <v>285161.52</v>
      </c>
      <c r="N30" s="1176">
        <v>193891.9</v>
      </c>
      <c r="O30" s="1176">
        <v>79807.679999999993</v>
      </c>
      <c r="P30" s="1176"/>
      <c r="Q30" s="1176"/>
      <c r="R30" s="1176">
        <v>0</v>
      </c>
      <c r="S30" s="1176">
        <v>418680.85</v>
      </c>
      <c r="T30" s="1176">
        <v>0</v>
      </c>
      <c r="U30" s="1176">
        <v>3565</v>
      </c>
      <c r="V30" s="1176">
        <v>40839.040000000001</v>
      </c>
      <c r="W30" s="1176"/>
      <c r="X30" s="1176"/>
      <c r="Y30" s="1176"/>
      <c r="Z30" s="1176"/>
      <c r="AA30" s="1176"/>
      <c r="AB30" s="1176"/>
      <c r="AC30" s="10360"/>
      <c r="AD30" s="1175"/>
      <c r="AE30" s="1175"/>
      <c r="AF30" s="1178">
        <v>1204787.6599999999</v>
      </c>
      <c r="AG30" s="1176"/>
      <c r="AH30" s="1178"/>
      <c r="AI30" s="1178"/>
      <c r="AJ30" s="1176">
        <v>637726.91</v>
      </c>
      <c r="AK30" s="1890"/>
      <c r="AL30" s="1176"/>
      <c r="AM30" s="1176"/>
      <c r="AN30" s="1176">
        <v>23608.5</v>
      </c>
      <c r="AO30" s="1219"/>
      <c r="AP30" s="1175"/>
      <c r="AQ30" s="1175"/>
      <c r="AR30" s="1175"/>
      <c r="AS30" s="1176">
        <v>6589</v>
      </c>
      <c r="AT30" s="1176">
        <v>10000</v>
      </c>
      <c r="AU30" s="1175"/>
      <c r="AV30" s="1175"/>
      <c r="AW30" s="1175"/>
      <c r="AX30" s="1221"/>
      <c r="AY30" s="1219">
        <v>12600</v>
      </c>
      <c r="AZ30" s="1176">
        <v>9900</v>
      </c>
      <c r="BA30" s="1175"/>
      <c r="BB30" s="1176"/>
      <c r="BC30" s="1176"/>
      <c r="BD30" s="1175"/>
      <c r="BE30" s="1176"/>
      <c r="BF30" s="1176"/>
      <c r="BG30" s="1175"/>
      <c r="BH30" s="1851"/>
      <c r="BI30" s="1176">
        <v>91851.5</v>
      </c>
      <c r="BJ30" s="1175"/>
      <c r="BK30" s="1175"/>
      <c r="BL30" s="1175"/>
      <c r="BM30" s="1175"/>
      <c r="BN30" s="1234"/>
      <c r="BO30" s="1234"/>
      <c r="BP30" s="1510"/>
      <c r="BQ30" s="1504"/>
      <c r="BR30" s="1238"/>
      <c r="BS30" s="1234"/>
      <c r="BT30" s="1175"/>
      <c r="BU30" s="1221"/>
      <c r="BV30" s="1235"/>
      <c r="BW30" s="1235"/>
      <c r="BX30" s="1235"/>
      <c r="BY30" s="6801">
        <f t="shared" si="4"/>
        <v>3599937.26</v>
      </c>
    </row>
    <row r="31" spans="1:78">
      <c r="A31" s="1174" t="s">
        <v>584</v>
      </c>
      <c r="B31" s="1176">
        <v>38634</v>
      </c>
      <c r="C31" s="1176"/>
      <c r="D31" s="1178"/>
      <c r="E31" s="1176"/>
      <c r="F31" s="6789"/>
      <c r="G31" s="1176">
        <v>15400</v>
      </c>
      <c r="H31" s="1176">
        <v>54415.5</v>
      </c>
      <c r="I31" s="1176"/>
      <c r="J31" s="1176">
        <v>27540</v>
      </c>
      <c r="K31" s="1176"/>
      <c r="L31" s="1176">
        <v>917833.01</v>
      </c>
      <c r="M31" s="1176">
        <v>199977</v>
      </c>
      <c r="N31" s="1176">
        <v>561216.4</v>
      </c>
      <c r="O31" s="1176">
        <v>50000</v>
      </c>
      <c r="P31" s="1176"/>
      <c r="Q31" s="1176"/>
      <c r="R31" s="1176">
        <v>9014</v>
      </c>
      <c r="S31" s="1176">
        <v>879664.23</v>
      </c>
      <c r="T31" s="1176"/>
      <c r="U31" s="1176">
        <v>2821</v>
      </c>
      <c r="V31" s="1176">
        <v>11388.04</v>
      </c>
      <c r="W31" s="1176"/>
      <c r="X31" s="1176"/>
      <c r="Y31" s="1176"/>
      <c r="Z31" s="1176">
        <v>10248.9</v>
      </c>
      <c r="AA31" s="1176"/>
      <c r="AB31" s="1176">
        <v>5400</v>
      </c>
      <c r="AC31" s="10360"/>
      <c r="AD31" s="1175"/>
      <c r="AE31" s="1175"/>
      <c r="AF31" s="1178">
        <v>3839269.43</v>
      </c>
      <c r="AG31" s="1176">
        <v>350000</v>
      </c>
      <c r="AH31" s="1178">
        <v>355600</v>
      </c>
      <c r="AI31" s="1178"/>
      <c r="AJ31" s="1176">
        <v>990325.08</v>
      </c>
      <c r="AK31" s="1890"/>
      <c r="AL31" s="1176"/>
      <c r="AM31" s="1176"/>
      <c r="AN31" s="1176">
        <v>58299.37</v>
      </c>
      <c r="AO31" s="1219"/>
      <c r="AP31" s="1175"/>
      <c r="AQ31" s="1175"/>
      <c r="AR31" s="1175"/>
      <c r="AS31" s="1176">
        <v>12819</v>
      </c>
      <c r="AT31" s="1176">
        <v>70972.95</v>
      </c>
      <c r="AU31" s="1175"/>
      <c r="AV31" s="1175"/>
      <c r="AW31" s="1175"/>
      <c r="AX31" s="1221"/>
      <c r="AY31" s="1219">
        <v>25240</v>
      </c>
      <c r="AZ31" s="1176">
        <v>11403.75</v>
      </c>
      <c r="BA31" s="1175"/>
      <c r="BB31" s="1176"/>
      <c r="BC31" s="1176"/>
      <c r="BD31" s="1175"/>
      <c r="BE31" s="1176"/>
      <c r="BF31" s="1176"/>
      <c r="BG31" s="1175"/>
      <c r="BH31" s="1851"/>
      <c r="BI31" s="1176">
        <v>98729.35</v>
      </c>
      <c r="BJ31" s="1175"/>
      <c r="BK31" s="1175"/>
      <c r="BL31" s="1175"/>
      <c r="BM31" s="1175"/>
      <c r="BN31" s="1234"/>
      <c r="BO31" s="1234">
        <v>70716.800000000003</v>
      </c>
      <c r="BP31" s="1510"/>
      <c r="BQ31" s="1504"/>
      <c r="BR31" s="1238"/>
      <c r="BS31" s="1234"/>
      <c r="BT31" s="1175"/>
      <c r="BU31" s="1221"/>
      <c r="BV31" s="1235"/>
      <c r="BW31" s="1235"/>
      <c r="BX31" s="1235"/>
      <c r="BY31" s="6801">
        <f t="shared" si="4"/>
        <v>8666927.8100000005</v>
      </c>
    </row>
    <row r="32" spans="1:78">
      <c r="A32" s="1174" t="s">
        <v>585</v>
      </c>
      <c r="B32" s="1176">
        <v>25040</v>
      </c>
      <c r="C32" s="1176"/>
      <c r="D32" s="1178"/>
      <c r="E32" s="1176"/>
      <c r="F32" s="6789"/>
      <c r="G32" s="1176">
        <v>4000</v>
      </c>
      <c r="H32" s="1176">
        <v>17016.8</v>
      </c>
      <c r="I32" s="1176"/>
      <c r="J32" s="1176">
        <v>13750</v>
      </c>
      <c r="K32" s="1176"/>
      <c r="L32" s="1176">
        <v>265214.03000000003</v>
      </c>
      <c r="M32" s="1176">
        <v>160436.29999999999</v>
      </c>
      <c r="N32" s="1176">
        <v>106919.2</v>
      </c>
      <c r="O32" s="1176">
        <v>96521.52</v>
      </c>
      <c r="P32" s="1176"/>
      <c r="Q32" s="1176"/>
      <c r="R32" s="1176">
        <v>31313.25</v>
      </c>
      <c r="S32" s="1176">
        <v>258179.67</v>
      </c>
      <c r="T32" s="1176"/>
      <c r="U32" s="1176">
        <v>1250</v>
      </c>
      <c r="V32" s="1176">
        <v>16840.45</v>
      </c>
      <c r="W32" s="1176"/>
      <c r="X32" s="1176"/>
      <c r="Y32" s="1176"/>
      <c r="Z32" s="1176">
        <v>4614.1099999999997</v>
      </c>
      <c r="AA32" s="1176"/>
      <c r="AB32" s="1176"/>
      <c r="AC32" s="10360"/>
      <c r="AD32" s="1175"/>
      <c r="AE32" s="1175"/>
      <c r="AF32" s="1178">
        <v>1335469.7</v>
      </c>
      <c r="AG32" s="1176"/>
      <c r="AH32" s="1178"/>
      <c r="AI32" s="1178"/>
      <c r="AJ32" s="1176">
        <v>544651.24</v>
      </c>
      <c r="AK32" s="1890"/>
      <c r="AL32" s="1176"/>
      <c r="AM32" s="1176"/>
      <c r="AN32" s="1176">
        <v>11211</v>
      </c>
      <c r="AO32" s="1219"/>
      <c r="AP32" s="1175"/>
      <c r="AQ32" s="1175"/>
      <c r="AR32" s="1175"/>
      <c r="AS32" s="1176">
        <v>557</v>
      </c>
      <c r="AT32" s="1176">
        <v>7000</v>
      </c>
      <c r="AU32" s="1175"/>
      <c r="AV32" s="1175"/>
      <c r="AW32" s="1175"/>
      <c r="AX32" s="1221"/>
      <c r="AY32" s="1219">
        <v>19700</v>
      </c>
      <c r="AZ32" s="1176">
        <v>5850</v>
      </c>
      <c r="BA32" s="1175">
        <v>0</v>
      </c>
      <c r="BB32" s="1176"/>
      <c r="BC32" s="1176"/>
      <c r="BD32" s="1175"/>
      <c r="BE32" s="1176"/>
      <c r="BF32" s="1176"/>
      <c r="BG32" s="1175"/>
      <c r="BH32" s="1851"/>
      <c r="BI32" s="1176">
        <v>36233.870000000003</v>
      </c>
      <c r="BJ32" s="1175"/>
      <c r="BK32" s="1175"/>
      <c r="BL32" s="1175"/>
      <c r="BM32" s="1175"/>
      <c r="BN32" s="1234"/>
      <c r="BO32" s="1234"/>
      <c r="BP32" s="1510"/>
      <c r="BQ32" s="1504"/>
      <c r="BR32" s="1238"/>
      <c r="BS32" s="1234"/>
      <c r="BT32" s="1175"/>
      <c r="BU32" s="1221"/>
      <c r="BV32" s="1235"/>
      <c r="BW32" s="1235"/>
      <c r="BX32" s="1235"/>
      <c r="BY32" s="6801">
        <f t="shared" si="4"/>
        <v>2961768.1399999997</v>
      </c>
    </row>
    <row r="33" spans="1:78">
      <c r="A33" s="1174" t="s">
        <v>586</v>
      </c>
      <c r="B33" s="1176">
        <v>11793</v>
      </c>
      <c r="C33" s="1176"/>
      <c r="D33" s="1178"/>
      <c r="E33" s="1176"/>
      <c r="F33" s="6789"/>
      <c r="G33" s="1176">
        <v>3500</v>
      </c>
      <c r="H33" s="1176">
        <v>23978.1</v>
      </c>
      <c r="I33" s="1176"/>
      <c r="J33" s="1176">
        <v>13750</v>
      </c>
      <c r="K33" s="1176"/>
      <c r="L33" s="1176">
        <v>513283.25</v>
      </c>
      <c r="M33" s="1176">
        <v>92620.5</v>
      </c>
      <c r="N33" s="1176">
        <v>380352.65</v>
      </c>
      <c r="O33" s="1176">
        <v>40000</v>
      </c>
      <c r="P33" s="1176"/>
      <c r="Q33" s="1176"/>
      <c r="R33" s="1176">
        <v>81285</v>
      </c>
      <c r="S33" s="1176">
        <v>262973.40000000002</v>
      </c>
      <c r="T33" s="1176">
        <v>0</v>
      </c>
      <c r="U33" s="1176">
        <v>1477.75</v>
      </c>
      <c r="V33" s="1176">
        <v>13342.33</v>
      </c>
      <c r="W33" s="1176"/>
      <c r="X33" s="1176"/>
      <c r="Y33" s="1176"/>
      <c r="Z33" s="1176">
        <v>6604.49</v>
      </c>
      <c r="AA33" s="1176"/>
      <c r="AB33" s="1176"/>
      <c r="AC33" s="10360"/>
      <c r="AD33" s="1175"/>
      <c r="AE33" s="1175"/>
      <c r="AF33" s="1178">
        <v>1526015.47</v>
      </c>
      <c r="AG33" s="1176">
        <v>0</v>
      </c>
      <c r="AH33" s="1178">
        <v>254000</v>
      </c>
      <c r="AI33" s="1178"/>
      <c r="AJ33" s="1176">
        <v>865831.87</v>
      </c>
      <c r="AK33" s="1890"/>
      <c r="AL33" s="1176"/>
      <c r="AM33" s="1176"/>
      <c r="AN33" s="1176">
        <v>15500</v>
      </c>
      <c r="AO33" s="1219"/>
      <c r="AP33" s="1175"/>
      <c r="AQ33" s="1175"/>
      <c r="AR33" s="1175"/>
      <c r="AS33" s="1176">
        <v>15000</v>
      </c>
      <c r="AT33" s="1176">
        <v>87540</v>
      </c>
      <c r="AU33" s="1175"/>
      <c r="AV33" s="1175"/>
      <c r="AW33" s="1175"/>
      <c r="AX33" s="1221"/>
      <c r="AY33" s="1219">
        <v>20000</v>
      </c>
      <c r="AZ33" s="1176">
        <v>15300</v>
      </c>
      <c r="BA33" s="1175"/>
      <c r="BB33" s="1176"/>
      <c r="BC33" s="1176">
        <v>0</v>
      </c>
      <c r="BD33" s="1175"/>
      <c r="BE33" s="1176"/>
      <c r="BF33" s="1176"/>
      <c r="BG33" s="1175"/>
      <c r="BH33" s="1851"/>
      <c r="BI33" s="1176">
        <v>35487.35</v>
      </c>
      <c r="BJ33" s="1175"/>
      <c r="BK33" s="1175"/>
      <c r="BL33" s="1175"/>
      <c r="BM33" s="1175"/>
      <c r="BN33" s="1234"/>
      <c r="BO33" s="1234"/>
      <c r="BP33" s="1510"/>
      <c r="BQ33" s="1504"/>
      <c r="BR33" s="1238"/>
      <c r="BS33" s="1234"/>
      <c r="BT33" s="1175"/>
      <c r="BU33" s="1221"/>
      <c r="BV33" s="1235"/>
      <c r="BW33" s="1235"/>
      <c r="BX33" s="1235"/>
      <c r="BY33" s="6801">
        <f t="shared" si="4"/>
        <v>4279635.16</v>
      </c>
    </row>
    <row r="34" spans="1:78">
      <c r="A34" s="1174" t="s">
        <v>587</v>
      </c>
      <c r="B34" s="1176">
        <v>33679</v>
      </c>
      <c r="C34" s="1176"/>
      <c r="D34" s="1178"/>
      <c r="E34" s="1176"/>
      <c r="F34" s="6789"/>
      <c r="G34" s="1176">
        <v>0</v>
      </c>
      <c r="H34" s="1176">
        <v>55568.800000000003</v>
      </c>
      <c r="I34" s="1176"/>
      <c r="J34" s="1176">
        <v>13750</v>
      </c>
      <c r="K34" s="1176"/>
      <c r="L34" s="1176">
        <v>215397.9</v>
      </c>
      <c r="M34" s="1176">
        <v>20000</v>
      </c>
      <c r="N34" s="1176">
        <v>88356.25</v>
      </c>
      <c r="O34" s="1176">
        <v>75899.839999999997</v>
      </c>
      <c r="P34" s="1176"/>
      <c r="Q34" s="1176"/>
      <c r="R34" s="1176">
        <v>10422.15</v>
      </c>
      <c r="S34" s="1176">
        <v>157830.20000000001</v>
      </c>
      <c r="T34" s="1176">
        <v>11363</v>
      </c>
      <c r="U34" s="1176">
        <v>285</v>
      </c>
      <c r="V34" s="1176">
        <v>28246.39</v>
      </c>
      <c r="W34" s="1176"/>
      <c r="X34" s="1176"/>
      <c r="Y34" s="1176"/>
      <c r="Z34" s="1176"/>
      <c r="AA34" s="1176"/>
      <c r="AB34" s="1176"/>
      <c r="AC34" s="10360"/>
      <c r="AD34" s="1175"/>
      <c r="AE34" s="1175"/>
      <c r="AF34" s="1178">
        <v>997401.63</v>
      </c>
      <c r="AG34" s="1176"/>
      <c r="AH34" s="1178"/>
      <c r="AI34" s="1178"/>
      <c r="AJ34" s="1176">
        <v>835312.32</v>
      </c>
      <c r="AK34" s="1890"/>
      <c r="AL34" s="1176"/>
      <c r="AM34" s="1176"/>
      <c r="AN34" s="1176">
        <v>5755.15</v>
      </c>
      <c r="AO34" s="1219"/>
      <c r="AP34" s="1175"/>
      <c r="AQ34" s="1175"/>
      <c r="AR34" s="1175"/>
      <c r="AS34" s="1176">
        <v>37192</v>
      </c>
      <c r="AT34" s="1176">
        <v>28380.5</v>
      </c>
      <c r="AU34" s="1175"/>
      <c r="AV34" s="1175"/>
      <c r="AW34" s="1175"/>
      <c r="AX34" s="1221"/>
      <c r="AY34" s="1219">
        <v>10200</v>
      </c>
      <c r="AZ34" s="1176">
        <v>12375</v>
      </c>
      <c r="BA34" s="1175"/>
      <c r="BB34" s="1176"/>
      <c r="BC34" s="1176"/>
      <c r="BD34" s="1175"/>
      <c r="BE34" s="1176">
        <v>18659.71</v>
      </c>
      <c r="BF34" s="1176"/>
      <c r="BG34" s="1175"/>
      <c r="BH34" s="1851"/>
      <c r="BI34" s="1176">
        <v>1804</v>
      </c>
      <c r="BJ34" s="1175"/>
      <c r="BK34" s="1175"/>
      <c r="BL34" s="1175"/>
      <c r="BM34" s="1175"/>
      <c r="BN34" s="1234"/>
      <c r="BO34" s="1234"/>
      <c r="BP34" s="1510"/>
      <c r="BQ34" s="1504"/>
      <c r="BR34" s="1238"/>
      <c r="BS34" s="1234"/>
      <c r="BT34" s="1175"/>
      <c r="BU34" s="1221"/>
      <c r="BV34" s="1235"/>
      <c r="BW34" s="1235"/>
      <c r="BX34" s="1235"/>
      <c r="BY34" s="6801">
        <f t="shared" si="4"/>
        <v>2657878.84</v>
      </c>
    </row>
    <row r="35" spans="1:78">
      <c r="A35" s="1174" t="s">
        <v>588</v>
      </c>
      <c r="B35" s="1176">
        <v>40815</v>
      </c>
      <c r="C35" s="1176"/>
      <c r="D35" s="1178"/>
      <c r="E35" s="1176"/>
      <c r="F35" s="6789"/>
      <c r="G35" s="1176">
        <v>41600</v>
      </c>
      <c r="H35" s="1176">
        <v>180194.1</v>
      </c>
      <c r="I35" s="1176"/>
      <c r="J35" s="1176">
        <v>36250</v>
      </c>
      <c r="K35" s="1176"/>
      <c r="L35" s="1176">
        <v>436577</v>
      </c>
      <c r="M35" s="1176">
        <v>115898.15</v>
      </c>
      <c r="N35" s="1176">
        <v>108597.7</v>
      </c>
      <c r="O35" s="1176">
        <v>55000</v>
      </c>
      <c r="P35" s="1176"/>
      <c r="Q35" s="1176"/>
      <c r="R35" s="1176">
        <v>0</v>
      </c>
      <c r="S35" s="1176">
        <v>243154.63</v>
      </c>
      <c r="T35" s="1176">
        <v>15210</v>
      </c>
      <c r="U35" s="1176">
        <v>3150</v>
      </c>
      <c r="V35" s="1176">
        <v>12996.97</v>
      </c>
      <c r="W35" s="1176"/>
      <c r="X35" s="1176"/>
      <c r="Y35" s="1176"/>
      <c r="Z35" s="1176"/>
      <c r="AA35" s="1176"/>
      <c r="AB35" s="1176"/>
      <c r="AC35" s="10360"/>
      <c r="AD35" s="1175"/>
      <c r="AE35" s="1175"/>
      <c r="AF35" s="1178">
        <v>1795317.43</v>
      </c>
      <c r="AG35" s="1176"/>
      <c r="AH35" s="1178"/>
      <c r="AI35" s="1178"/>
      <c r="AJ35" s="1176">
        <v>1164358.26</v>
      </c>
      <c r="AK35" s="1890"/>
      <c r="AL35" s="1176"/>
      <c r="AM35" s="1176"/>
      <c r="AN35" s="1176">
        <v>20818</v>
      </c>
      <c r="AO35" s="1219"/>
      <c r="AP35" s="1175"/>
      <c r="AQ35" s="1175"/>
      <c r="AR35" s="1175"/>
      <c r="AS35" s="1176"/>
      <c r="AT35" s="1176">
        <v>2000</v>
      </c>
      <c r="AU35" s="1175"/>
      <c r="AV35" s="1175"/>
      <c r="AW35" s="1175"/>
      <c r="AX35" s="1221"/>
      <c r="AY35" s="1219">
        <v>20700</v>
      </c>
      <c r="AZ35" s="1176">
        <v>4087.5</v>
      </c>
      <c r="BA35" s="1175">
        <v>0</v>
      </c>
      <c r="BB35" s="1176"/>
      <c r="BC35" s="1176"/>
      <c r="BD35" s="1175"/>
      <c r="BE35" s="1176">
        <v>25000</v>
      </c>
      <c r="BF35" s="1176"/>
      <c r="BG35" s="1175"/>
      <c r="BH35" s="1851"/>
      <c r="BI35" s="1176">
        <v>27268</v>
      </c>
      <c r="BJ35" s="1175"/>
      <c r="BK35" s="1175"/>
      <c r="BL35" s="1175"/>
      <c r="BM35" s="1175"/>
      <c r="BN35" s="1234"/>
      <c r="BO35" s="1234"/>
      <c r="BP35" s="1510"/>
      <c r="BQ35" s="1504"/>
      <c r="BR35" s="1238"/>
      <c r="BS35" s="1234"/>
      <c r="BT35" s="1175"/>
      <c r="BU35" s="1221"/>
      <c r="BV35" s="1235"/>
      <c r="BW35" s="1235"/>
      <c r="BX35" s="1235"/>
      <c r="BY35" s="6801">
        <f t="shared" si="4"/>
        <v>4348992.74</v>
      </c>
    </row>
    <row r="36" spans="1:78">
      <c r="A36" s="1174" t="s">
        <v>589</v>
      </c>
      <c r="B36" s="1176">
        <v>9487</v>
      </c>
      <c r="C36" s="1176"/>
      <c r="D36" s="1178"/>
      <c r="E36" s="1176"/>
      <c r="F36" s="6789"/>
      <c r="G36" s="1176">
        <v>0</v>
      </c>
      <c r="H36" s="1176">
        <v>46503.05</v>
      </c>
      <c r="I36" s="1176"/>
      <c r="J36" s="1176">
        <v>8250</v>
      </c>
      <c r="K36" s="1176"/>
      <c r="L36" s="1176">
        <v>126429.15</v>
      </c>
      <c r="M36" s="1176">
        <v>95782.2</v>
      </c>
      <c r="N36" s="1176">
        <v>208697.25</v>
      </c>
      <c r="O36" s="1176">
        <v>55940</v>
      </c>
      <c r="P36" s="1176"/>
      <c r="Q36" s="1176"/>
      <c r="R36" s="1176">
        <v>7092</v>
      </c>
      <c r="S36" s="1176">
        <v>159328.95999999999</v>
      </c>
      <c r="T36" s="1176">
        <v>0</v>
      </c>
      <c r="U36" s="1176">
        <v>1125</v>
      </c>
      <c r="V36" s="1176">
        <v>12188.51</v>
      </c>
      <c r="W36" s="1176"/>
      <c r="X36" s="1176"/>
      <c r="Y36" s="1176"/>
      <c r="Z36" s="1176">
        <v>12500</v>
      </c>
      <c r="AA36" s="1176"/>
      <c r="AB36" s="1176"/>
      <c r="AC36" s="10360"/>
      <c r="AD36" s="1175"/>
      <c r="AE36" s="1175"/>
      <c r="AF36" s="1178">
        <v>1256635.93</v>
      </c>
      <c r="AG36" s="1176"/>
      <c r="AH36" s="1178"/>
      <c r="AI36" s="1178"/>
      <c r="AJ36" s="1176">
        <v>433694.45</v>
      </c>
      <c r="AK36" s="1890"/>
      <c r="AL36" s="1176"/>
      <c r="AM36" s="1176"/>
      <c r="AN36" s="1176">
        <v>4000</v>
      </c>
      <c r="AO36" s="1219"/>
      <c r="AP36" s="1175"/>
      <c r="AQ36" s="1175"/>
      <c r="AR36" s="1175"/>
      <c r="AS36" s="1176">
        <v>6800</v>
      </c>
      <c r="AT36" s="1176">
        <v>6570</v>
      </c>
      <c r="AU36" s="1175"/>
      <c r="AV36" s="1175"/>
      <c r="AW36" s="1175"/>
      <c r="AX36" s="1221"/>
      <c r="AY36" s="1219">
        <v>11700</v>
      </c>
      <c r="AZ36" s="1176">
        <v>6375</v>
      </c>
      <c r="BA36" s="1175">
        <v>0</v>
      </c>
      <c r="BB36" s="1176"/>
      <c r="BC36" s="1176">
        <v>2000</v>
      </c>
      <c r="BD36" s="1175"/>
      <c r="BE36" s="1176">
        <v>20000</v>
      </c>
      <c r="BF36" s="1176"/>
      <c r="BG36" s="1175"/>
      <c r="BH36" s="1851"/>
      <c r="BI36" s="1176">
        <v>60104.05</v>
      </c>
      <c r="BJ36" s="1175"/>
      <c r="BK36" s="1175"/>
      <c r="BL36" s="1175"/>
      <c r="BM36" s="1175"/>
      <c r="BN36" s="1234"/>
      <c r="BO36" s="1234"/>
      <c r="BP36" s="1510"/>
      <c r="BQ36" s="1504"/>
      <c r="BR36" s="1238"/>
      <c r="BS36" s="1234"/>
      <c r="BT36" s="1175"/>
      <c r="BU36" s="1221"/>
      <c r="BV36" s="1235"/>
      <c r="BW36" s="1235"/>
      <c r="BX36" s="1235"/>
      <c r="BY36" s="6801">
        <f t="shared" si="4"/>
        <v>2551202.5499999998</v>
      </c>
      <c r="BZ36" s="1222"/>
    </row>
    <row r="37" spans="1:78">
      <c r="A37" s="1174" t="s">
        <v>590</v>
      </c>
      <c r="B37" s="1176">
        <v>27516</v>
      </c>
      <c r="C37" s="1176"/>
      <c r="D37" s="1178"/>
      <c r="E37" s="1176"/>
      <c r="F37" s="6789"/>
      <c r="G37" s="1176">
        <v>10000</v>
      </c>
      <c r="H37" s="1176">
        <v>40963.25</v>
      </c>
      <c r="I37" s="1176"/>
      <c r="J37" s="1176">
        <v>0</v>
      </c>
      <c r="K37" s="1176"/>
      <c r="L37" s="1176">
        <v>348875.75</v>
      </c>
      <c r="M37" s="1176">
        <v>558072.5</v>
      </c>
      <c r="N37" s="1176">
        <v>175244.3</v>
      </c>
      <c r="O37" s="1176">
        <v>127551</v>
      </c>
      <c r="P37" s="1176"/>
      <c r="Q37" s="1176"/>
      <c r="R37" s="1176"/>
      <c r="S37" s="1176">
        <v>317266.15000000002</v>
      </c>
      <c r="T37" s="1176">
        <v>14930</v>
      </c>
      <c r="U37" s="1176">
        <v>0</v>
      </c>
      <c r="V37" s="1176">
        <v>16431.91</v>
      </c>
      <c r="W37" s="1176"/>
      <c r="X37" s="1176"/>
      <c r="Y37" s="1176"/>
      <c r="Z37" s="1176"/>
      <c r="AA37" s="1176"/>
      <c r="AB37" s="1176"/>
      <c r="AC37" s="10360"/>
      <c r="AD37" s="1175"/>
      <c r="AE37" s="1175"/>
      <c r="AF37" s="1178">
        <v>1255633.82</v>
      </c>
      <c r="AG37" s="1176"/>
      <c r="AH37" s="1178"/>
      <c r="AI37" s="1178"/>
      <c r="AJ37" s="1176">
        <v>641566.85</v>
      </c>
      <c r="AK37" s="1890"/>
      <c r="AL37" s="1176"/>
      <c r="AM37" s="1176"/>
      <c r="AN37" s="1176">
        <v>16447</v>
      </c>
      <c r="AO37" s="1219"/>
      <c r="AP37" s="1175"/>
      <c r="AQ37" s="1175"/>
      <c r="AR37" s="1175"/>
      <c r="AS37" s="1176">
        <v>1806</v>
      </c>
      <c r="AT37" s="1176">
        <v>40655</v>
      </c>
      <c r="AU37" s="1175"/>
      <c r="AV37" s="1175"/>
      <c r="AW37" s="1175"/>
      <c r="AX37" s="1221"/>
      <c r="AY37" s="1219">
        <v>19914</v>
      </c>
      <c r="AZ37" s="1176">
        <v>3000</v>
      </c>
      <c r="BA37" s="1175"/>
      <c r="BB37" s="1176"/>
      <c r="BC37" s="1176"/>
      <c r="BD37" s="1175"/>
      <c r="BE37" s="1176">
        <v>25000</v>
      </c>
      <c r="BF37" s="1176"/>
      <c r="BG37" s="1175"/>
      <c r="BH37" s="1851"/>
      <c r="BI37" s="1176">
        <v>41321.050000000003</v>
      </c>
      <c r="BJ37" s="1175"/>
      <c r="BK37" s="1175"/>
      <c r="BL37" s="1175"/>
      <c r="BM37" s="1175"/>
      <c r="BN37" s="1234"/>
      <c r="BO37" s="1234"/>
      <c r="BP37" s="1510"/>
      <c r="BQ37" s="1504"/>
      <c r="BR37" s="1238"/>
      <c r="BS37" s="1234"/>
      <c r="BT37" s="1175"/>
      <c r="BU37" s="1221"/>
      <c r="BV37" s="1235"/>
      <c r="BW37" s="1235"/>
      <c r="BX37" s="1235"/>
      <c r="BY37" s="6801">
        <f t="shared" si="4"/>
        <v>3682194.58</v>
      </c>
    </row>
    <row r="38" spans="1:78">
      <c r="A38" s="1174" t="s">
        <v>591</v>
      </c>
      <c r="B38" s="1176">
        <v>62460</v>
      </c>
      <c r="C38" s="1176"/>
      <c r="D38" s="1178"/>
      <c r="E38" s="1176"/>
      <c r="F38" s="6789"/>
      <c r="G38" s="1176">
        <v>4000</v>
      </c>
      <c r="H38" s="1176">
        <v>8842.25</v>
      </c>
      <c r="I38" s="1176"/>
      <c r="J38" s="1176">
        <v>20625</v>
      </c>
      <c r="K38" s="1176"/>
      <c r="L38" s="1176">
        <v>111227.24</v>
      </c>
      <c r="M38" s="1176">
        <v>88954.25</v>
      </c>
      <c r="N38" s="1176">
        <v>50121.8</v>
      </c>
      <c r="O38" s="1176">
        <v>38247.25</v>
      </c>
      <c r="P38" s="1176"/>
      <c r="Q38" s="1176"/>
      <c r="R38" s="1176">
        <v>0</v>
      </c>
      <c r="S38" s="1176">
        <v>121783.67</v>
      </c>
      <c r="T38" s="1176">
        <v>980</v>
      </c>
      <c r="U38" s="1176">
        <v>0</v>
      </c>
      <c r="V38" s="1176">
        <v>9000</v>
      </c>
      <c r="W38" s="1176"/>
      <c r="X38" s="1176"/>
      <c r="Y38" s="1176"/>
      <c r="Z38" s="1176">
        <v>2198.98</v>
      </c>
      <c r="AA38" s="1176"/>
      <c r="AB38" s="1176"/>
      <c r="AC38" s="10360"/>
      <c r="AD38" s="1175"/>
      <c r="AE38" s="1175"/>
      <c r="AF38" s="1178">
        <v>924095.04</v>
      </c>
      <c r="AG38" s="1176"/>
      <c r="AH38" s="1178"/>
      <c r="AI38" s="1178"/>
      <c r="AJ38" s="1176">
        <v>639622.59</v>
      </c>
      <c r="AK38" s="1890"/>
      <c r="AL38" s="1176"/>
      <c r="AM38" s="1176"/>
      <c r="AN38" s="1176">
        <v>8458</v>
      </c>
      <c r="AO38" s="1219"/>
      <c r="AP38" s="1175"/>
      <c r="AQ38" s="1175"/>
      <c r="AR38" s="1175"/>
      <c r="AS38" s="1176">
        <v>3090</v>
      </c>
      <c r="AT38" s="1176">
        <v>8425</v>
      </c>
      <c r="AU38" s="1175"/>
      <c r="AV38" s="1175"/>
      <c r="AW38" s="1175"/>
      <c r="AX38" s="1221"/>
      <c r="AY38" s="1219">
        <v>8500</v>
      </c>
      <c r="AZ38" s="1176">
        <v>2062.5</v>
      </c>
      <c r="BA38" s="1175"/>
      <c r="BB38" s="1176"/>
      <c r="BC38" s="1176">
        <v>0</v>
      </c>
      <c r="BD38" s="1175"/>
      <c r="BE38" s="1176">
        <v>23750</v>
      </c>
      <c r="BF38" s="1176"/>
      <c r="BG38" s="1175"/>
      <c r="BH38" s="1851"/>
      <c r="BI38" s="1176">
        <v>26687.25</v>
      </c>
      <c r="BJ38" s="1175"/>
      <c r="BK38" s="1175"/>
      <c r="BL38" s="1175"/>
      <c r="BM38" s="1175"/>
      <c r="BN38" s="1234"/>
      <c r="BO38" s="1234"/>
      <c r="BP38" s="1510"/>
      <c r="BQ38" s="1504"/>
      <c r="BR38" s="1238"/>
      <c r="BS38" s="1234"/>
      <c r="BT38" s="1175"/>
      <c r="BU38" s="1221"/>
      <c r="BV38" s="1235"/>
      <c r="BW38" s="1235"/>
      <c r="BX38" s="1235"/>
      <c r="BY38" s="6801">
        <f t="shared" si="4"/>
        <v>2163130.8199999998</v>
      </c>
    </row>
    <row r="39" spans="1:78">
      <c r="A39" s="1174" t="s">
        <v>592</v>
      </c>
      <c r="B39" s="1176">
        <v>55614</v>
      </c>
      <c r="C39" s="1176"/>
      <c r="D39" s="1178"/>
      <c r="E39" s="1176"/>
      <c r="F39" s="6789"/>
      <c r="G39" s="1176">
        <v>7500</v>
      </c>
      <c r="H39" s="1176">
        <v>18361.45</v>
      </c>
      <c r="I39" s="1176"/>
      <c r="J39" s="1176"/>
      <c r="K39" s="1176"/>
      <c r="L39" s="1176"/>
      <c r="M39" s="1176"/>
      <c r="N39" s="1176"/>
      <c r="O39" s="1176">
        <v>0</v>
      </c>
      <c r="P39" s="1176"/>
      <c r="Q39" s="1176"/>
      <c r="R39" s="1176">
        <v>28615.8</v>
      </c>
      <c r="S39" s="1176">
        <v>56562.31</v>
      </c>
      <c r="T39" s="1219"/>
      <c r="U39" s="1176">
        <v>1320</v>
      </c>
      <c r="V39" s="1176">
        <v>37588.53</v>
      </c>
      <c r="W39" s="1176"/>
      <c r="X39" s="1176"/>
      <c r="Y39" s="1176"/>
      <c r="Z39" s="1176">
        <v>8921.2000000000007</v>
      </c>
      <c r="AA39" s="1176"/>
      <c r="AB39" s="1176"/>
      <c r="AC39" s="10360"/>
      <c r="AD39" s="1175"/>
      <c r="AE39" s="1175"/>
      <c r="AF39" s="1178">
        <v>131277.45000000001</v>
      </c>
      <c r="AG39" s="1176"/>
      <c r="AH39" s="1178"/>
      <c r="AI39" s="1178"/>
      <c r="AJ39" s="1176">
        <v>294236.88</v>
      </c>
      <c r="AK39" s="1890"/>
      <c r="AL39" s="1176"/>
      <c r="AM39" s="1176"/>
      <c r="AN39" s="1176">
        <v>0</v>
      </c>
      <c r="AO39" s="1219"/>
      <c r="AP39" s="1175"/>
      <c r="AQ39" s="1175"/>
      <c r="AR39" s="1175"/>
      <c r="AS39" s="1176">
        <v>8661.85</v>
      </c>
      <c r="AT39" s="1176">
        <v>6544</v>
      </c>
      <c r="AU39" s="1175"/>
      <c r="AV39" s="1175"/>
      <c r="AW39" s="1175"/>
      <c r="AX39" s="1221"/>
      <c r="AY39" s="1219"/>
      <c r="AZ39" s="1176">
        <v>16886.25</v>
      </c>
      <c r="BA39" s="1175"/>
      <c r="BB39" s="1176"/>
      <c r="BC39" s="1176">
        <v>2500</v>
      </c>
      <c r="BD39" s="1175">
        <v>0</v>
      </c>
      <c r="BE39" s="1176"/>
      <c r="BF39" s="1176"/>
      <c r="BG39" s="1175">
        <v>9154050</v>
      </c>
      <c r="BH39" s="1851"/>
      <c r="BI39" s="1176">
        <v>12307</v>
      </c>
      <c r="BJ39" s="1175"/>
      <c r="BK39" s="1175"/>
      <c r="BL39" s="1175"/>
      <c r="BM39" s="1175"/>
      <c r="BN39" s="1234"/>
      <c r="BO39" s="1234"/>
      <c r="BP39" s="1510"/>
      <c r="BQ39" s="1504"/>
      <c r="BR39" s="1238"/>
      <c r="BS39" s="1234"/>
      <c r="BT39" s="1175"/>
      <c r="BU39" s="1221"/>
      <c r="BV39" s="1235"/>
      <c r="BW39" s="1235"/>
      <c r="BX39" s="1235"/>
      <c r="BY39" s="6801">
        <f t="shared" si="4"/>
        <v>9840946.7200000007</v>
      </c>
    </row>
    <row r="40" spans="1:78" ht="3.75" customHeight="1">
      <c r="A40" s="1174"/>
      <c r="B40" s="1179" t="s">
        <v>9</v>
      </c>
      <c r="C40" s="1179"/>
      <c r="D40" s="1180"/>
      <c r="E40" s="1179"/>
      <c r="F40" s="6786"/>
      <c r="G40" s="1179"/>
      <c r="H40" s="1179"/>
      <c r="I40" s="1179"/>
      <c r="J40" s="1179"/>
      <c r="K40" s="1179"/>
      <c r="L40" s="1179"/>
      <c r="M40" s="1188"/>
      <c r="N40" s="1179"/>
      <c r="O40" s="1179"/>
      <c r="P40" s="1179"/>
      <c r="Q40" s="1179"/>
      <c r="R40" s="1179"/>
      <c r="S40" s="1179"/>
      <c r="T40" s="1226"/>
      <c r="U40" s="1179"/>
      <c r="V40" s="1179"/>
      <c r="W40" s="1179"/>
      <c r="X40" s="1179"/>
      <c r="Y40" s="1179"/>
      <c r="Z40" s="1179"/>
      <c r="AA40" s="1179"/>
      <c r="AB40" s="1179"/>
      <c r="AC40" s="10357"/>
      <c r="AD40" s="1188"/>
      <c r="AE40" s="1188"/>
      <c r="AF40" s="1180"/>
      <c r="AG40" s="1188"/>
      <c r="AH40" s="1191"/>
      <c r="AI40" s="1180"/>
      <c r="AJ40" s="1179"/>
      <c r="AK40" s="1887"/>
      <c r="AL40" s="1179"/>
      <c r="AM40" s="1179"/>
      <c r="AN40" s="1188"/>
      <c r="AO40" s="1226"/>
      <c r="AP40" s="1227"/>
      <c r="AQ40" s="1226"/>
      <c r="AR40" s="1227"/>
      <c r="AS40" s="1179"/>
      <c r="AT40" s="1179"/>
      <c r="AU40" s="1227"/>
      <c r="AV40" s="1188"/>
      <c r="AW40" s="1188"/>
      <c r="AX40" s="1191"/>
      <c r="AY40" s="1179"/>
      <c r="AZ40" s="1188"/>
      <c r="BA40" s="1188"/>
      <c r="BB40" s="1179"/>
      <c r="BC40" s="1179"/>
      <c r="BD40" s="1227"/>
      <c r="BE40" s="1179"/>
      <c r="BF40" s="1188"/>
      <c r="BG40" s="1188"/>
      <c r="BH40" s="1888"/>
      <c r="BI40" s="1188"/>
      <c r="BJ40" s="1188"/>
      <c r="BK40" s="1188"/>
      <c r="BL40" s="1188"/>
      <c r="BM40" s="1188"/>
      <c r="BN40" s="1234"/>
      <c r="BO40" s="1234"/>
      <c r="BP40" s="1510"/>
      <c r="BQ40" s="1504"/>
      <c r="BR40" s="1238"/>
      <c r="BS40" s="1234"/>
      <c r="BT40" s="1188"/>
      <c r="BU40" s="1191"/>
      <c r="BV40" s="1235"/>
      <c r="BW40" s="1235"/>
      <c r="BX40" s="1235"/>
      <c r="BY40" s="1181"/>
    </row>
    <row r="41" spans="1:78" ht="13.8" thickBot="1">
      <c r="A41" s="1182" t="s">
        <v>485</v>
      </c>
      <c r="B41" s="1183">
        <f>SUM(B25:B40)</f>
        <v>1272023.74</v>
      </c>
      <c r="C41" s="1183"/>
      <c r="D41" s="1183">
        <f t="shared" ref="D41:BX41" si="5">SUM(D25:D40)</f>
        <v>0</v>
      </c>
      <c r="E41" s="1183">
        <f t="shared" si="5"/>
        <v>0</v>
      </c>
      <c r="F41" s="1183">
        <f t="shared" si="5"/>
        <v>0</v>
      </c>
      <c r="G41" s="1183">
        <f t="shared" si="5"/>
        <v>133034</v>
      </c>
      <c r="H41" s="1183">
        <f t="shared" si="5"/>
        <v>687042.29999999993</v>
      </c>
      <c r="I41" s="1183"/>
      <c r="J41" s="1183">
        <f t="shared" si="5"/>
        <v>206830</v>
      </c>
      <c r="K41" s="1183">
        <f t="shared" si="5"/>
        <v>0</v>
      </c>
      <c r="L41" s="1183">
        <f t="shared" si="5"/>
        <v>9838466.790000001</v>
      </c>
      <c r="M41" s="1183">
        <f t="shared" si="5"/>
        <v>2266557.87</v>
      </c>
      <c r="N41" s="1183">
        <f t="shared" si="5"/>
        <v>2179420.9499999997</v>
      </c>
      <c r="O41" s="1183">
        <f t="shared" si="5"/>
        <v>901179.59</v>
      </c>
      <c r="P41" s="1183">
        <f t="shared" si="5"/>
        <v>0</v>
      </c>
      <c r="Q41" s="1183">
        <f>SUM(Q25:Q40)</f>
        <v>0</v>
      </c>
      <c r="R41" s="1183">
        <f t="shared" si="5"/>
        <v>1121258.8699999999</v>
      </c>
      <c r="S41" s="1183">
        <f t="shared" si="5"/>
        <v>5173743.7399999993</v>
      </c>
      <c r="T41" s="1847">
        <f t="shared" si="5"/>
        <v>42483</v>
      </c>
      <c r="U41" s="1183">
        <f t="shared" si="5"/>
        <v>16563.75</v>
      </c>
      <c r="V41" s="1183">
        <f t="shared" si="5"/>
        <v>324816.66000000003</v>
      </c>
      <c r="W41" s="1183">
        <f t="shared" si="5"/>
        <v>0</v>
      </c>
      <c r="X41" s="1183">
        <f t="shared" si="5"/>
        <v>0</v>
      </c>
      <c r="Y41" s="1183">
        <f t="shared" si="5"/>
        <v>0</v>
      </c>
      <c r="Z41" s="1183">
        <f t="shared" si="5"/>
        <v>58041.59</v>
      </c>
      <c r="AA41" s="1183">
        <f>SUM(AA25:AA40)</f>
        <v>0</v>
      </c>
      <c r="AB41" s="1183">
        <f t="shared" si="5"/>
        <v>5840</v>
      </c>
      <c r="AC41" s="1183"/>
      <c r="AD41" s="1183">
        <f t="shared" ref="AD41:AL41" si="6">SUM(AD25:AD40)</f>
        <v>0</v>
      </c>
      <c r="AE41" s="1183">
        <f t="shared" si="6"/>
        <v>0</v>
      </c>
      <c r="AF41" s="1183">
        <f t="shared" si="6"/>
        <v>18319608.25</v>
      </c>
      <c r="AG41" s="1183">
        <f>SUM(AG25:AG40)</f>
        <v>560750</v>
      </c>
      <c r="AH41" s="1183">
        <f>SUM(AH25:AH40)</f>
        <v>3135656.91</v>
      </c>
      <c r="AI41" s="1183">
        <f>SUM(AI25:AI40)</f>
        <v>0</v>
      </c>
      <c r="AJ41" s="1183">
        <f t="shared" si="6"/>
        <v>10934730.98</v>
      </c>
      <c r="AK41" s="1183">
        <f t="shared" si="6"/>
        <v>0</v>
      </c>
      <c r="AL41" s="1183">
        <f t="shared" si="6"/>
        <v>0</v>
      </c>
      <c r="AM41" s="1183">
        <f t="shared" si="5"/>
        <v>0</v>
      </c>
      <c r="AN41" s="1183">
        <f t="shared" si="5"/>
        <v>171142.27</v>
      </c>
      <c r="AO41" s="1183">
        <f t="shared" si="5"/>
        <v>0</v>
      </c>
      <c r="AP41" s="1183">
        <f t="shared" si="5"/>
        <v>0</v>
      </c>
      <c r="AQ41" s="1183">
        <f t="shared" si="5"/>
        <v>0</v>
      </c>
      <c r="AR41" s="1183">
        <f t="shared" si="5"/>
        <v>0</v>
      </c>
      <c r="AS41" s="1183">
        <f t="shared" si="5"/>
        <v>186834.85</v>
      </c>
      <c r="AT41" s="1183">
        <f t="shared" si="5"/>
        <v>594470.30000000005</v>
      </c>
      <c r="AU41" s="1183">
        <f>SUM(AU25:AU40)</f>
        <v>0</v>
      </c>
      <c r="AV41" s="1183">
        <f t="shared" si="5"/>
        <v>0</v>
      </c>
      <c r="AW41" s="1183">
        <f t="shared" si="5"/>
        <v>0</v>
      </c>
      <c r="AX41" s="1183">
        <f t="shared" si="5"/>
        <v>0</v>
      </c>
      <c r="AY41" s="1183">
        <f t="shared" ref="AY41:BF41" si="7">SUM(AY25:AY40)</f>
        <v>180228</v>
      </c>
      <c r="AZ41" s="1183">
        <f t="shared" si="7"/>
        <v>103140</v>
      </c>
      <c r="BA41" s="1183">
        <f t="shared" si="7"/>
        <v>0</v>
      </c>
      <c r="BB41" s="1183">
        <f t="shared" si="7"/>
        <v>0</v>
      </c>
      <c r="BC41" s="1183">
        <f t="shared" si="7"/>
        <v>4500</v>
      </c>
      <c r="BD41" s="1183">
        <f t="shared" si="7"/>
        <v>0</v>
      </c>
      <c r="BE41" s="1183">
        <f t="shared" si="7"/>
        <v>112409.70999999999</v>
      </c>
      <c r="BF41" s="1183">
        <f t="shared" si="7"/>
        <v>3155</v>
      </c>
      <c r="BG41" s="1183">
        <f t="shared" si="5"/>
        <v>9154050</v>
      </c>
      <c r="BH41" s="1183">
        <f t="shared" si="5"/>
        <v>0</v>
      </c>
      <c r="BI41" s="1183">
        <f t="shared" si="5"/>
        <v>661489.51</v>
      </c>
      <c r="BJ41" s="1183">
        <f t="shared" si="5"/>
        <v>0</v>
      </c>
      <c r="BK41" s="1183">
        <f t="shared" si="5"/>
        <v>0</v>
      </c>
      <c r="BL41" s="1183">
        <f t="shared" si="5"/>
        <v>0</v>
      </c>
      <c r="BM41" s="1183">
        <f t="shared" si="5"/>
        <v>0</v>
      </c>
      <c r="BN41" s="1183">
        <f t="shared" si="5"/>
        <v>0</v>
      </c>
      <c r="BO41" s="1183">
        <f t="shared" si="5"/>
        <v>70716.800000000003</v>
      </c>
      <c r="BP41" s="1511">
        <f t="shared" si="5"/>
        <v>0</v>
      </c>
      <c r="BQ41" s="1511">
        <f t="shared" si="5"/>
        <v>0</v>
      </c>
      <c r="BR41" s="1511">
        <f t="shared" si="5"/>
        <v>0</v>
      </c>
      <c r="BS41" s="1511">
        <f t="shared" si="5"/>
        <v>0</v>
      </c>
      <c r="BT41" s="1511">
        <f t="shared" si="5"/>
        <v>0</v>
      </c>
      <c r="BU41" s="1511">
        <f t="shared" si="5"/>
        <v>0</v>
      </c>
      <c r="BV41" s="1511">
        <f t="shared" si="5"/>
        <v>0</v>
      </c>
      <c r="BW41" s="1511">
        <f t="shared" si="5"/>
        <v>0</v>
      </c>
      <c r="BX41" s="1511">
        <f t="shared" si="5"/>
        <v>0</v>
      </c>
      <c r="BY41" s="1183">
        <f>SUM(BY25:BY39)</f>
        <v>68420185.430000007</v>
      </c>
    </row>
    <row r="42" spans="1:78" ht="13.8" thickTop="1">
      <c r="A42" s="1174"/>
      <c r="B42" s="1179"/>
      <c r="C42" s="1179"/>
      <c r="D42" s="1180"/>
      <c r="E42" s="1179"/>
      <c r="F42" s="6786"/>
      <c r="G42" s="1179"/>
      <c r="H42" s="1179" t="s">
        <v>9</v>
      </c>
      <c r="I42" s="1179"/>
      <c r="J42" s="1179"/>
      <c r="K42" s="1179"/>
      <c r="L42" s="1179"/>
      <c r="M42" s="1185"/>
      <c r="N42" s="1179"/>
      <c r="O42" s="1179"/>
      <c r="P42" s="1179"/>
      <c r="Q42" s="1179"/>
      <c r="R42" s="1179"/>
      <c r="S42" s="1179"/>
      <c r="T42" s="1177"/>
      <c r="U42" s="1179"/>
      <c r="V42" s="1179"/>
      <c r="W42" s="1179"/>
      <c r="X42" s="1179"/>
      <c r="Y42" s="1179"/>
      <c r="Z42" s="1179"/>
      <c r="AA42" s="1179"/>
      <c r="AB42" s="1179"/>
      <c r="AC42" s="10357"/>
      <c r="AD42" s="1185"/>
      <c r="AE42" s="1185"/>
      <c r="AF42" s="1180"/>
      <c r="AG42" s="1185"/>
      <c r="AH42" s="1186"/>
      <c r="AI42" s="1180"/>
      <c r="AJ42" s="1179"/>
      <c r="AK42" s="1887"/>
      <c r="AL42" s="1179"/>
      <c r="AM42" s="1179"/>
      <c r="AN42" s="1185"/>
      <c r="AO42" s="1177"/>
      <c r="AP42" s="1177"/>
      <c r="AQ42" s="1226"/>
      <c r="AR42" s="1177"/>
      <c r="AS42" s="1179"/>
      <c r="AT42" s="1179"/>
      <c r="AU42" s="1177"/>
      <c r="AV42" s="1185"/>
      <c r="AW42" s="1185"/>
      <c r="AX42" s="1186"/>
      <c r="AY42" s="1185"/>
      <c r="AZ42" s="1185"/>
      <c r="BA42" s="1185"/>
      <c r="BB42" s="1179"/>
      <c r="BC42" s="1179"/>
      <c r="BD42" s="1177"/>
      <c r="BE42" s="1179"/>
      <c r="BF42" s="1185"/>
      <c r="BG42" s="1185"/>
      <c r="BH42" s="1889"/>
      <c r="BI42" s="1185"/>
      <c r="BJ42" s="1185"/>
      <c r="BK42" s="1185"/>
      <c r="BL42" s="1185"/>
      <c r="BM42" s="1185"/>
      <c r="BN42" s="1234"/>
      <c r="BO42" s="1234"/>
      <c r="BP42" s="1510"/>
      <c r="BQ42" s="1504"/>
      <c r="BR42" s="1238"/>
      <c r="BS42" s="1234"/>
      <c r="BT42" s="1185"/>
      <c r="BU42" s="1186"/>
      <c r="BV42" s="1235"/>
      <c r="BW42" s="1235"/>
      <c r="BX42" s="1235"/>
      <c r="BY42" s="1185"/>
    </row>
    <row r="43" spans="1:78">
      <c r="A43" s="1174" t="s">
        <v>593</v>
      </c>
      <c r="B43" s="1188">
        <v>19926</v>
      </c>
      <c r="C43" s="1188"/>
      <c r="D43" s="1191"/>
      <c r="E43" s="1188"/>
      <c r="F43" s="6790"/>
      <c r="G43" s="1188">
        <v>800</v>
      </c>
      <c r="H43" s="1188">
        <v>30330.1</v>
      </c>
      <c r="I43" s="1188"/>
      <c r="J43" s="1188"/>
      <c r="K43" s="1188"/>
      <c r="L43" s="1188"/>
      <c r="M43" s="1188"/>
      <c r="N43" s="1188"/>
      <c r="O43" s="1188"/>
      <c r="P43" s="1188"/>
      <c r="Q43" s="1188"/>
      <c r="R43" s="1188"/>
      <c r="S43" s="1188">
        <v>39523.49</v>
      </c>
      <c r="T43" s="1227"/>
      <c r="U43" s="1188">
        <v>0</v>
      </c>
      <c r="V43" s="1188">
        <v>29180.31</v>
      </c>
      <c r="W43" s="1188"/>
      <c r="X43" s="1188"/>
      <c r="Y43" s="1188"/>
      <c r="Z43" s="1188">
        <v>4347.99</v>
      </c>
      <c r="AA43" s="1188"/>
      <c r="AB43" s="1188"/>
      <c r="AC43" s="10361"/>
      <c r="AD43" s="1188"/>
      <c r="AE43" s="1188"/>
      <c r="AF43" s="1191"/>
      <c r="AG43" s="1188"/>
      <c r="AH43" s="1191"/>
      <c r="AI43" s="1191"/>
      <c r="AJ43" s="1188">
        <v>241177.4</v>
      </c>
      <c r="AK43" s="1888"/>
      <c r="AL43" s="1188"/>
      <c r="AM43" s="1188"/>
      <c r="AN43" s="1188"/>
      <c r="AO43" s="1227"/>
      <c r="AP43" s="1227"/>
      <c r="AQ43" s="1227"/>
      <c r="AR43" s="1227"/>
      <c r="AS43" s="1188">
        <v>71</v>
      </c>
      <c r="AT43" s="1188"/>
      <c r="AU43" s="1227"/>
      <c r="AV43" s="1188"/>
      <c r="AW43" s="1188"/>
      <c r="AX43" s="1191"/>
      <c r="AY43" s="1188"/>
      <c r="AZ43" s="1188">
        <v>0</v>
      </c>
      <c r="BA43" s="1188"/>
      <c r="BB43" s="1188"/>
      <c r="BC43" s="1188">
        <v>0</v>
      </c>
      <c r="BD43" s="1227"/>
      <c r="BE43" s="1188">
        <v>0</v>
      </c>
      <c r="BF43" s="1188">
        <v>0</v>
      </c>
      <c r="BG43" s="1188"/>
      <c r="BH43" s="1888"/>
      <c r="BI43" s="1188">
        <v>43104.08</v>
      </c>
      <c r="BJ43" s="1188"/>
      <c r="BK43" s="1188"/>
      <c r="BL43" s="1188"/>
      <c r="BM43" s="1188"/>
      <c r="BN43" s="1234"/>
      <c r="BO43" s="1234"/>
      <c r="BP43" s="1510"/>
      <c r="BQ43" s="1504"/>
      <c r="BR43" s="1238"/>
      <c r="BS43" s="1234"/>
      <c r="BT43" s="1188"/>
      <c r="BU43" s="1191"/>
      <c r="BV43" s="1235"/>
      <c r="BW43" s="1235"/>
      <c r="BX43" s="1235"/>
      <c r="BY43" s="6800">
        <f t="shared" ref="BY43:BY51" si="8">SUM(B43:BX43)</f>
        <v>408460.37</v>
      </c>
    </row>
    <row r="44" spans="1:78">
      <c r="A44" s="8837" t="s">
        <v>10813</v>
      </c>
      <c r="B44" s="8838">
        <v>39616.18</v>
      </c>
      <c r="C44" s="8838"/>
      <c r="D44" s="8838"/>
      <c r="E44" s="8838"/>
      <c r="F44" s="8838"/>
      <c r="G44" s="8838">
        <v>0</v>
      </c>
      <c r="H44" s="8838">
        <v>8851.25</v>
      </c>
      <c r="I44" s="8838"/>
      <c r="J44" s="8838"/>
      <c r="K44" s="8838"/>
      <c r="L44" s="8838"/>
      <c r="M44" s="8838"/>
      <c r="N44" s="8838"/>
      <c r="O44" s="8838">
        <v>0</v>
      </c>
      <c r="P44" s="8838"/>
      <c r="Q44" s="8838"/>
      <c r="R44" s="8838">
        <v>0</v>
      </c>
      <c r="S44" s="8838">
        <v>36444.720000000001</v>
      </c>
      <c r="T44" s="8839"/>
      <c r="U44" s="8838">
        <v>0</v>
      </c>
      <c r="V44" s="8838">
        <v>39597.449999999997</v>
      </c>
      <c r="W44" s="8838"/>
      <c r="X44" s="8838"/>
      <c r="Y44" s="8838"/>
      <c r="Z44" s="8838">
        <v>0</v>
      </c>
      <c r="AA44" s="8838"/>
      <c r="AB44" s="8838"/>
      <c r="AC44" s="10361">
        <v>0</v>
      </c>
      <c r="AD44" s="8838"/>
      <c r="AE44" s="8838"/>
      <c r="AF44" s="8838">
        <v>189319.15</v>
      </c>
      <c r="AG44" s="8838"/>
      <c r="AH44" s="8838"/>
      <c r="AI44" s="8838"/>
      <c r="AJ44" s="8838">
        <v>476951.88</v>
      </c>
      <c r="AK44" s="8838"/>
      <c r="AL44" s="8838"/>
      <c r="AM44" s="8838"/>
      <c r="AN44" s="8838">
        <v>0</v>
      </c>
      <c r="AO44" s="8839"/>
      <c r="AP44" s="8839"/>
      <c r="AQ44" s="8839"/>
      <c r="AR44" s="8839"/>
      <c r="AS44" s="8838">
        <v>0</v>
      </c>
      <c r="AT44" s="8838">
        <v>0</v>
      </c>
      <c r="AU44" s="8839"/>
      <c r="AV44" s="8838"/>
      <c r="AW44" s="8838"/>
      <c r="AX44" s="8838"/>
      <c r="AY44" s="8838"/>
      <c r="AZ44" s="8838">
        <v>3750</v>
      </c>
      <c r="BA44" s="8838"/>
      <c r="BB44" s="8838"/>
      <c r="BC44" s="8838"/>
      <c r="BD44" s="8839"/>
      <c r="BE44" s="8838">
        <v>2000</v>
      </c>
      <c r="BF44" s="8838">
        <v>0</v>
      </c>
      <c r="BG44" s="8838"/>
      <c r="BH44" s="8838"/>
      <c r="BI44" s="8838">
        <v>12595</v>
      </c>
      <c r="BJ44" s="8838"/>
      <c r="BK44" s="8838"/>
      <c r="BL44" s="8838"/>
      <c r="BM44" s="8838"/>
      <c r="BN44" s="8840"/>
      <c r="BO44" s="8840"/>
      <c r="BP44" s="1510"/>
      <c r="BQ44" s="1504"/>
      <c r="BR44" s="8840"/>
      <c r="BS44" s="8840"/>
      <c r="BT44" s="8838"/>
      <c r="BU44" s="8838"/>
      <c r="BV44" s="8841"/>
      <c r="BW44" s="8841"/>
      <c r="BX44" s="8841"/>
      <c r="BY44" s="6800">
        <f t="shared" si="8"/>
        <v>809125.63</v>
      </c>
    </row>
    <row r="45" spans="1:78">
      <c r="A45" s="1174" t="s">
        <v>594</v>
      </c>
      <c r="B45" s="1188">
        <v>12555</v>
      </c>
      <c r="C45" s="1188"/>
      <c r="D45" s="1191"/>
      <c r="E45" s="1188"/>
      <c r="F45" s="6790"/>
      <c r="G45" s="1188">
        <v>18739.669999999998</v>
      </c>
      <c r="H45" s="1188">
        <v>0</v>
      </c>
      <c r="I45" s="1188"/>
      <c r="J45" s="1188"/>
      <c r="K45" s="1188"/>
      <c r="L45" s="1188"/>
      <c r="M45" s="1188"/>
      <c r="N45" s="1188"/>
      <c r="O45" s="1188"/>
      <c r="P45" s="1188"/>
      <c r="Q45" s="1188"/>
      <c r="R45" s="1188">
        <v>625.5</v>
      </c>
      <c r="S45" s="1188">
        <v>49407.57</v>
      </c>
      <c r="T45" s="1227"/>
      <c r="U45" s="1188"/>
      <c r="V45" s="1188">
        <v>67100.08</v>
      </c>
      <c r="W45" s="1188"/>
      <c r="X45" s="1188"/>
      <c r="Y45" s="1188"/>
      <c r="Z45" s="1188"/>
      <c r="AA45" s="1188"/>
      <c r="AB45" s="1188">
        <v>0</v>
      </c>
      <c r="AC45" s="10361"/>
      <c r="AD45" s="1188"/>
      <c r="AE45" s="1188"/>
      <c r="AF45" s="1191">
        <v>35855.1</v>
      </c>
      <c r="AG45" s="1188"/>
      <c r="AH45" s="1191"/>
      <c r="AI45" s="1191"/>
      <c r="AJ45" s="1188">
        <v>98912.37</v>
      </c>
      <c r="AK45" s="1888"/>
      <c r="AL45" s="1188"/>
      <c r="AM45" s="1188"/>
      <c r="AN45" s="1188"/>
      <c r="AO45" s="1227"/>
      <c r="AP45" s="1227"/>
      <c r="AQ45" s="1227"/>
      <c r="AR45" s="1227"/>
      <c r="AS45" s="1188">
        <v>0</v>
      </c>
      <c r="AT45" s="1188"/>
      <c r="AU45" s="1227"/>
      <c r="AV45" s="1188"/>
      <c r="AW45" s="1188"/>
      <c r="AX45" s="1191"/>
      <c r="AY45" s="1188"/>
      <c r="AZ45" s="1188"/>
      <c r="BA45" s="1188"/>
      <c r="BB45" s="1188"/>
      <c r="BC45" s="1188"/>
      <c r="BD45" s="1227"/>
      <c r="BE45" s="1188"/>
      <c r="BF45" s="1188"/>
      <c r="BG45" s="1188"/>
      <c r="BH45" s="1888"/>
      <c r="BI45" s="1188">
        <v>17347.5</v>
      </c>
      <c r="BJ45" s="1188"/>
      <c r="BK45" s="1188"/>
      <c r="BL45" s="1188"/>
      <c r="BM45" s="1188"/>
      <c r="BN45" s="1234"/>
      <c r="BO45" s="1234"/>
      <c r="BP45" s="1510"/>
      <c r="BQ45" s="1504"/>
      <c r="BR45" s="1238"/>
      <c r="BS45" s="1234"/>
      <c r="BT45" s="1188"/>
      <c r="BU45" s="1191"/>
      <c r="BV45" s="1235"/>
      <c r="BW45" s="1235"/>
      <c r="BX45" s="1235"/>
      <c r="BY45" s="6801">
        <f t="shared" si="8"/>
        <v>300542.79000000004</v>
      </c>
    </row>
    <row r="46" spans="1:78">
      <c r="A46" s="1174" t="s">
        <v>595</v>
      </c>
      <c r="B46" s="1188">
        <v>32879.99</v>
      </c>
      <c r="C46" s="1188"/>
      <c r="D46" s="1191"/>
      <c r="E46" s="1188"/>
      <c r="F46" s="6790"/>
      <c r="G46" s="1188">
        <v>0</v>
      </c>
      <c r="H46" s="1188">
        <v>5000</v>
      </c>
      <c r="I46" s="1188"/>
      <c r="J46" s="1188"/>
      <c r="K46" s="1188"/>
      <c r="L46" s="1188"/>
      <c r="M46" s="1188"/>
      <c r="N46" s="1188"/>
      <c r="O46" s="1188">
        <v>0</v>
      </c>
      <c r="P46" s="1188"/>
      <c r="Q46" s="1188"/>
      <c r="R46" s="1188">
        <v>1027.0999999999999</v>
      </c>
      <c r="S46" s="1188">
        <v>0</v>
      </c>
      <c r="T46" s="1227"/>
      <c r="U46" s="1188">
        <v>0</v>
      </c>
      <c r="V46" s="1188">
        <v>25463.439999999999</v>
      </c>
      <c r="W46" s="1188"/>
      <c r="X46" s="1188"/>
      <c r="Y46" s="1188"/>
      <c r="Z46" s="1188">
        <v>11970</v>
      </c>
      <c r="AA46" s="1188"/>
      <c r="AB46" s="1188">
        <v>1320</v>
      </c>
      <c r="AC46" s="10361"/>
      <c r="AD46" s="1188"/>
      <c r="AE46" s="1188"/>
      <c r="AF46" s="1191">
        <v>54000</v>
      </c>
      <c r="AG46" s="1188"/>
      <c r="AH46" s="1191"/>
      <c r="AI46" s="1191"/>
      <c r="AJ46" s="1188">
        <v>219609.43</v>
      </c>
      <c r="AK46" s="1888"/>
      <c r="AL46" s="1188"/>
      <c r="AM46" s="1188"/>
      <c r="AN46" s="1188"/>
      <c r="AO46" s="1227"/>
      <c r="AP46" s="1227"/>
      <c r="AQ46" s="1227"/>
      <c r="AR46" s="1227"/>
      <c r="AS46" s="1188">
        <v>14095</v>
      </c>
      <c r="AT46" s="1188">
        <v>16809.2</v>
      </c>
      <c r="AU46" s="1227"/>
      <c r="AV46" s="1188"/>
      <c r="AW46" s="1188"/>
      <c r="AX46" s="1191"/>
      <c r="AY46" s="1188"/>
      <c r="AZ46" s="1188">
        <v>0</v>
      </c>
      <c r="BA46" s="1188"/>
      <c r="BB46" s="1188"/>
      <c r="BC46" s="1188"/>
      <c r="BD46" s="1227"/>
      <c r="BE46" s="1188"/>
      <c r="BF46" s="1188"/>
      <c r="BG46" s="1188"/>
      <c r="BH46" s="1888"/>
      <c r="BI46" s="1188">
        <v>5000</v>
      </c>
      <c r="BJ46" s="1188"/>
      <c r="BK46" s="1188"/>
      <c r="BL46" s="1188"/>
      <c r="BM46" s="1188"/>
      <c r="BN46" s="1234"/>
      <c r="BO46" s="1234"/>
      <c r="BP46" s="1510"/>
      <c r="BQ46" s="1504"/>
      <c r="BR46" s="1238"/>
      <c r="BS46" s="1234"/>
      <c r="BT46" s="1188"/>
      <c r="BU46" s="1191"/>
      <c r="BV46" s="1235"/>
      <c r="BW46" s="1235"/>
      <c r="BX46" s="1235"/>
      <c r="BY46" s="6801">
        <f t="shared" si="8"/>
        <v>387174.16</v>
      </c>
    </row>
    <row r="47" spans="1:78">
      <c r="A47" s="1174" t="s">
        <v>596</v>
      </c>
      <c r="B47" s="1188">
        <v>22381</v>
      </c>
      <c r="C47" s="1188"/>
      <c r="D47" s="1191"/>
      <c r="E47" s="1188"/>
      <c r="F47" s="6790"/>
      <c r="G47" s="1188">
        <v>0</v>
      </c>
      <c r="H47" s="1188">
        <v>0</v>
      </c>
      <c r="I47" s="1188"/>
      <c r="J47" s="1188"/>
      <c r="K47" s="1188"/>
      <c r="L47" s="1188"/>
      <c r="M47" s="1188"/>
      <c r="N47" s="1188"/>
      <c r="O47" s="1188">
        <v>0</v>
      </c>
      <c r="P47" s="1188"/>
      <c r="Q47" s="1188"/>
      <c r="R47" s="1188"/>
      <c r="S47" s="1188">
        <v>0</v>
      </c>
      <c r="T47" s="1227"/>
      <c r="U47" s="1188"/>
      <c r="V47" s="1188">
        <v>16322.18</v>
      </c>
      <c r="W47" s="1188"/>
      <c r="X47" s="1188"/>
      <c r="Y47" s="1188"/>
      <c r="Z47" s="1188"/>
      <c r="AA47" s="1188"/>
      <c r="AB47" s="1188">
        <v>0</v>
      </c>
      <c r="AC47" s="10361"/>
      <c r="AD47" s="1188"/>
      <c r="AE47" s="1188"/>
      <c r="AF47" s="1191">
        <v>0</v>
      </c>
      <c r="AG47" s="1188"/>
      <c r="AH47" s="1191"/>
      <c r="AI47" s="1191"/>
      <c r="AJ47" s="1188">
        <v>143082.5</v>
      </c>
      <c r="AK47" s="1888"/>
      <c r="AL47" s="1188"/>
      <c r="AM47" s="1188"/>
      <c r="AN47" s="1188">
        <v>0</v>
      </c>
      <c r="AO47" s="1227"/>
      <c r="AP47" s="1227"/>
      <c r="AQ47" s="1227"/>
      <c r="AR47" s="1227"/>
      <c r="AS47" s="1188">
        <v>0</v>
      </c>
      <c r="AT47" s="1188">
        <v>0</v>
      </c>
      <c r="AU47" s="1227"/>
      <c r="AV47" s="1188">
        <v>0</v>
      </c>
      <c r="AW47" s="1188"/>
      <c r="AX47" s="1191"/>
      <c r="AY47" s="1188"/>
      <c r="AZ47" s="1188">
        <v>0</v>
      </c>
      <c r="BA47" s="1188"/>
      <c r="BB47" s="1188"/>
      <c r="BC47" s="1188"/>
      <c r="BD47" s="1227"/>
      <c r="BE47" s="1188"/>
      <c r="BF47" s="1188"/>
      <c r="BG47" s="1188"/>
      <c r="BH47" s="1888"/>
      <c r="BI47" s="1188">
        <v>0</v>
      </c>
      <c r="BJ47" s="1188"/>
      <c r="BK47" s="1188"/>
      <c r="BL47" s="1188"/>
      <c r="BM47" s="1188"/>
      <c r="BN47" s="1234"/>
      <c r="BO47" s="1234"/>
      <c r="BP47" s="1510"/>
      <c r="BQ47" s="1504"/>
      <c r="BR47" s="1238"/>
      <c r="BS47" s="1234"/>
      <c r="BT47" s="1188"/>
      <c r="BU47" s="1191"/>
      <c r="BV47" s="1235"/>
      <c r="BW47" s="1235"/>
      <c r="BX47" s="1235"/>
      <c r="BY47" s="6801">
        <f t="shared" si="8"/>
        <v>181785.68</v>
      </c>
    </row>
    <row r="48" spans="1:78">
      <c r="A48" s="1174" t="s">
        <v>598</v>
      </c>
      <c r="B48" s="1176">
        <v>431101.69</v>
      </c>
      <c r="C48" s="1176"/>
      <c r="D48" s="1178"/>
      <c r="E48" s="1176"/>
      <c r="F48" s="6789"/>
      <c r="G48" s="1176">
        <v>29282</v>
      </c>
      <c r="H48" s="1176">
        <v>21630.1</v>
      </c>
      <c r="I48" s="1176"/>
      <c r="J48" s="1176"/>
      <c r="K48" s="1176"/>
      <c r="L48" s="1176"/>
      <c r="M48" s="1188"/>
      <c r="N48" s="1176"/>
      <c r="O48" s="1176">
        <v>0</v>
      </c>
      <c r="P48" s="1176">
        <v>7180</v>
      </c>
      <c r="Q48" s="1176"/>
      <c r="R48" s="1176">
        <v>16524.64</v>
      </c>
      <c r="S48" s="1176">
        <v>115116.25</v>
      </c>
      <c r="T48" s="1227"/>
      <c r="U48" s="1176">
        <v>2317.44</v>
      </c>
      <c r="V48" s="1176">
        <v>98031.83</v>
      </c>
      <c r="W48" s="1176"/>
      <c r="X48" s="1176"/>
      <c r="Y48" s="1176"/>
      <c r="Z48" s="1176">
        <f>'lbpf 3-OPA'!E54</f>
        <v>0</v>
      </c>
      <c r="AA48" s="1176"/>
      <c r="AB48" s="1176"/>
      <c r="AC48" s="10360"/>
      <c r="AD48" s="1188"/>
      <c r="AE48" s="1188"/>
      <c r="AF48" s="1178"/>
      <c r="AG48" s="1188"/>
      <c r="AH48" s="1191"/>
      <c r="AI48" s="1178"/>
      <c r="AJ48" s="1176">
        <v>149693.76000000001</v>
      </c>
      <c r="AK48" s="1890"/>
      <c r="AL48" s="1176"/>
      <c r="AM48" s="1176"/>
      <c r="AN48" s="1188">
        <v>0</v>
      </c>
      <c r="AO48" s="1227"/>
      <c r="AP48" s="1227"/>
      <c r="AQ48" s="1175"/>
      <c r="AR48" s="1227"/>
      <c r="AS48" s="1176">
        <v>0</v>
      </c>
      <c r="AT48" s="1176">
        <v>0</v>
      </c>
      <c r="AU48" s="1227"/>
      <c r="AV48" s="1188"/>
      <c r="AW48" s="1188"/>
      <c r="AX48" s="1191"/>
      <c r="AY48" s="1188"/>
      <c r="AZ48" s="1188">
        <v>12375</v>
      </c>
      <c r="BA48" s="1188"/>
      <c r="BB48" s="1176"/>
      <c r="BC48" s="1176"/>
      <c r="BD48" s="1227"/>
      <c r="BE48" s="1176"/>
      <c r="BF48" s="1188"/>
      <c r="BG48" s="1188"/>
      <c r="BH48" s="1888"/>
      <c r="BI48" s="1188">
        <v>6456.8</v>
      </c>
      <c r="BJ48" s="1188"/>
      <c r="BK48" s="1188"/>
      <c r="BL48" s="1188"/>
      <c r="BM48" s="1188"/>
      <c r="BN48" s="1234"/>
      <c r="BO48" s="1234"/>
      <c r="BP48" s="1510"/>
      <c r="BQ48" s="1504"/>
      <c r="BR48" s="1238"/>
      <c r="BS48" s="1234"/>
      <c r="BT48" s="1188"/>
      <c r="BU48" s="1191"/>
      <c r="BV48" s="1235"/>
      <c r="BW48" s="1235"/>
      <c r="BX48" s="1235"/>
      <c r="BY48" s="6801">
        <f t="shared" si="8"/>
        <v>889709.50999999989</v>
      </c>
    </row>
    <row r="49" spans="1:78">
      <c r="A49" s="1174" t="s">
        <v>599</v>
      </c>
      <c r="B49" s="1176">
        <v>283986.19</v>
      </c>
      <c r="C49" s="1176"/>
      <c r="D49" s="1178"/>
      <c r="E49" s="1176"/>
      <c r="F49" s="6789"/>
      <c r="G49" s="1176">
        <v>21500</v>
      </c>
      <c r="H49" s="1176">
        <v>15000</v>
      </c>
      <c r="I49" s="1176"/>
      <c r="J49" s="1176"/>
      <c r="K49" s="1176">
        <v>270000</v>
      </c>
      <c r="L49" s="1176"/>
      <c r="M49" s="1176"/>
      <c r="N49" s="1176"/>
      <c r="O49" s="1176">
        <v>50000</v>
      </c>
      <c r="P49" s="1176">
        <v>0</v>
      </c>
      <c r="Q49" s="1176"/>
      <c r="R49" s="1176">
        <v>15506.94</v>
      </c>
      <c r="S49" s="1176">
        <v>97769.18</v>
      </c>
      <c r="T49" s="1175"/>
      <c r="U49" s="1176">
        <v>6218.24</v>
      </c>
      <c r="V49" s="1176">
        <v>58078.84</v>
      </c>
      <c r="W49" s="1176"/>
      <c r="X49" s="1176"/>
      <c r="Y49" s="1176"/>
      <c r="Z49" s="1176"/>
      <c r="AA49" s="1176"/>
      <c r="AB49" s="1176"/>
      <c r="AC49" s="10360"/>
      <c r="AD49" s="1176"/>
      <c r="AE49" s="1176"/>
      <c r="AF49" s="1178"/>
      <c r="AG49" s="1176"/>
      <c r="AH49" s="1178"/>
      <c r="AI49" s="1178"/>
      <c r="AJ49" s="1176">
        <v>272314.12</v>
      </c>
      <c r="AK49" s="1890"/>
      <c r="AL49" s="1176"/>
      <c r="AM49" s="1176"/>
      <c r="AN49" s="1176">
        <v>0</v>
      </c>
      <c r="AO49" s="1175"/>
      <c r="AP49" s="1175"/>
      <c r="AQ49" s="1175"/>
      <c r="AR49" s="1175"/>
      <c r="AS49" s="1176">
        <v>0</v>
      </c>
      <c r="AT49" s="1176">
        <v>143028.54999999999</v>
      </c>
      <c r="AU49" s="1175"/>
      <c r="AV49" s="1176">
        <v>0</v>
      </c>
      <c r="AW49" s="1176"/>
      <c r="AX49" s="1178"/>
      <c r="AY49" s="1176"/>
      <c r="AZ49" s="1176">
        <v>1125</v>
      </c>
      <c r="BA49" s="1176"/>
      <c r="BB49" s="1176"/>
      <c r="BC49" s="1176"/>
      <c r="BD49" s="1175"/>
      <c r="BE49" s="1176"/>
      <c r="BF49" s="1176">
        <v>7035</v>
      </c>
      <c r="BG49" s="1176"/>
      <c r="BH49" s="1890"/>
      <c r="BI49" s="1176">
        <v>25259.200000000001</v>
      </c>
      <c r="BJ49" s="1176"/>
      <c r="BK49" s="1176"/>
      <c r="BL49" s="1176"/>
      <c r="BM49" s="1176"/>
      <c r="BN49" s="1234"/>
      <c r="BO49" s="1234"/>
      <c r="BP49" s="1510"/>
      <c r="BQ49" s="1504"/>
      <c r="BR49" s="1238"/>
      <c r="BS49" s="1234"/>
      <c r="BT49" s="1176"/>
      <c r="BU49" s="1178"/>
      <c r="BV49" s="1235"/>
      <c r="BW49" s="1235"/>
      <c r="BX49" s="1235"/>
      <c r="BY49" s="6801">
        <f t="shared" si="8"/>
        <v>1266821.2599999998</v>
      </c>
    </row>
    <row r="50" spans="1:78">
      <c r="A50" s="1174" t="s">
        <v>600</v>
      </c>
      <c r="B50" s="1176">
        <v>287603.92</v>
      </c>
      <c r="C50" s="1176"/>
      <c r="D50" s="1178"/>
      <c r="E50" s="1176"/>
      <c r="F50" s="6789"/>
      <c r="G50" s="1176">
        <v>0</v>
      </c>
      <c r="H50" s="1176">
        <v>70142.399999999994</v>
      </c>
      <c r="I50" s="1176"/>
      <c r="J50" s="1176"/>
      <c r="K50" s="1176"/>
      <c r="L50" s="1176"/>
      <c r="M50" s="1176"/>
      <c r="N50" s="1176"/>
      <c r="O50" s="1176">
        <v>6618626.8099999996</v>
      </c>
      <c r="P50" s="1176"/>
      <c r="Q50" s="1176"/>
      <c r="R50" s="1176">
        <v>17428.8</v>
      </c>
      <c r="S50" s="1176">
        <v>250328.12</v>
      </c>
      <c r="T50" s="1175"/>
      <c r="U50" s="1176">
        <v>730</v>
      </c>
      <c r="V50" s="1176">
        <v>69637</v>
      </c>
      <c r="W50" s="1176"/>
      <c r="X50" s="1176"/>
      <c r="Y50" s="1176"/>
      <c r="Z50" s="1176"/>
      <c r="AA50" s="1176"/>
      <c r="AB50" s="1176"/>
      <c r="AC50" s="10360"/>
      <c r="AD50" s="1176"/>
      <c r="AE50" s="1176"/>
      <c r="AF50" s="1178">
        <v>1768028.29</v>
      </c>
      <c r="AG50" s="1176"/>
      <c r="AH50" s="1178"/>
      <c r="AI50" s="1178"/>
      <c r="AJ50" s="1176">
        <v>6274051</v>
      </c>
      <c r="AK50" s="5458"/>
      <c r="AL50" s="5689"/>
      <c r="AM50" s="1176">
        <v>35200</v>
      </c>
      <c r="AN50" s="1176">
        <v>2550.5</v>
      </c>
      <c r="AO50" s="1175"/>
      <c r="AP50" s="1175"/>
      <c r="AQ50" s="1175"/>
      <c r="AR50" s="1175"/>
      <c r="AS50" s="1176">
        <v>27380</v>
      </c>
      <c r="AT50" s="1176">
        <v>484328.25</v>
      </c>
      <c r="AU50" s="1175"/>
      <c r="AV50" s="1176"/>
      <c r="AW50" s="1176"/>
      <c r="AX50" s="1178"/>
      <c r="AY50" s="1176"/>
      <c r="AZ50" s="1176">
        <v>0</v>
      </c>
      <c r="BA50" s="1176"/>
      <c r="BB50" s="1176"/>
      <c r="BC50" s="1176"/>
      <c r="BD50" s="1175"/>
      <c r="BE50" s="1176"/>
      <c r="BF50" s="1176"/>
      <c r="BG50" s="1176"/>
      <c r="BH50" s="1890"/>
      <c r="BI50" s="1176">
        <v>71211.45</v>
      </c>
      <c r="BJ50" s="1176"/>
      <c r="BK50" s="1176"/>
      <c r="BL50" s="1176"/>
      <c r="BM50" s="1176"/>
      <c r="BN50" s="1234"/>
      <c r="BO50" s="1234"/>
      <c r="BP50" s="1510"/>
      <c r="BQ50" s="1504"/>
      <c r="BR50" s="1238"/>
      <c r="BS50" s="1234"/>
      <c r="BT50" s="1176"/>
      <c r="BU50" s="1178"/>
      <c r="BV50" s="1235"/>
      <c r="BW50" s="1235"/>
      <c r="BX50" s="1235"/>
      <c r="BY50" s="6801">
        <f t="shared" si="8"/>
        <v>15977246.539999999</v>
      </c>
      <c r="BZ50" s="1222"/>
    </row>
    <row r="51" spans="1:78">
      <c r="A51" s="1174" t="s">
        <v>601</v>
      </c>
      <c r="B51" s="1176">
        <v>241103.5</v>
      </c>
      <c r="C51" s="1176"/>
      <c r="D51" s="1178"/>
      <c r="E51" s="1176"/>
      <c r="F51" s="6789"/>
      <c r="G51" s="1176">
        <v>16000</v>
      </c>
      <c r="H51" s="1176">
        <v>3120.35</v>
      </c>
      <c r="I51" s="1176"/>
      <c r="J51" s="1176"/>
      <c r="K51" s="1176"/>
      <c r="L51" s="1176"/>
      <c r="M51" s="1176"/>
      <c r="N51" s="1176"/>
      <c r="O51" s="1176">
        <v>0</v>
      </c>
      <c r="P51" s="1176"/>
      <c r="Q51" s="1176"/>
      <c r="R51" s="1176">
        <v>10885</v>
      </c>
      <c r="S51" s="1176">
        <v>60563.1</v>
      </c>
      <c r="T51" s="1175"/>
      <c r="U51" s="1176"/>
      <c r="V51" s="1176">
        <v>30109.85</v>
      </c>
      <c r="W51" s="1176"/>
      <c r="X51" s="1176"/>
      <c r="Y51" s="1176"/>
      <c r="Z51" s="1176"/>
      <c r="AA51" s="1176"/>
      <c r="AB51" s="1176"/>
      <c r="AC51" s="10360"/>
      <c r="AD51" s="1176"/>
      <c r="AE51" s="1176"/>
      <c r="AF51" s="1178"/>
      <c r="AG51" s="1176"/>
      <c r="AH51" s="1178"/>
      <c r="AI51" s="1178"/>
      <c r="AJ51" s="1176">
        <v>1374747</v>
      </c>
      <c r="AK51" s="5458"/>
      <c r="AL51" s="5689"/>
      <c r="AM51" s="1176"/>
      <c r="AN51" s="1176">
        <v>0</v>
      </c>
      <c r="AO51" s="1175"/>
      <c r="AP51" s="1175"/>
      <c r="AQ51" s="1175"/>
      <c r="AR51" s="1175"/>
      <c r="AS51" s="1176">
        <v>500</v>
      </c>
      <c r="AT51" s="1176">
        <v>67273</v>
      </c>
      <c r="AU51" s="1175"/>
      <c r="AV51" s="1176"/>
      <c r="AW51" s="1176"/>
      <c r="AX51" s="1178"/>
      <c r="AY51" s="1176"/>
      <c r="AZ51" s="1176">
        <v>0</v>
      </c>
      <c r="BA51" s="1176"/>
      <c r="BB51" s="1176"/>
      <c r="BC51" s="1176"/>
      <c r="BD51" s="1175"/>
      <c r="BE51" s="1176"/>
      <c r="BF51" s="1176"/>
      <c r="BG51" s="1176"/>
      <c r="BH51" s="1890"/>
      <c r="BI51" s="1176">
        <v>78400</v>
      </c>
      <c r="BJ51" s="1176"/>
      <c r="BK51" s="1176"/>
      <c r="BL51" s="1176"/>
      <c r="BM51" s="1176"/>
      <c r="BN51" s="1234"/>
      <c r="BO51" s="1234"/>
      <c r="BP51" s="1510"/>
      <c r="BQ51" s="1504"/>
      <c r="BR51" s="1238"/>
      <c r="BS51" s="1234"/>
      <c r="BT51" s="1176"/>
      <c r="BU51" s="1178"/>
      <c r="BV51" s="1235"/>
      <c r="BW51" s="1235"/>
      <c r="BX51" s="1235"/>
      <c r="BY51" s="6801">
        <f t="shared" si="8"/>
        <v>1882701.7999999998</v>
      </c>
      <c r="BZ51" s="1222"/>
    </row>
    <row r="52" spans="1:78" ht="3" customHeight="1">
      <c r="A52" s="1174"/>
      <c r="B52" s="1188"/>
      <c r="C52" s="1188"/>
      <c r="D52" s="1191"/>
      <c r="E52" s="1188"/>
      <c r="F52" s="6790"/>
      <c r="G52" s="1188"/>
      <c r="H52" s="1188"/>
      <c r="I52" s="1188"/>
      <c r="J52" s="1188"/>
      <c r="K52" s="1188"/>
      <c r="L52" s="1188"/>
      <c r="M52" s="1179"/>
      <c r="N52" s="1188"/>
      <c r="O52" s="1188"/>
      <c r="P52" s="1188"/>
      <c r="Q52" s="1188"/>
      <c r="R52" s="1188"/>
      <c r="S52" s="1188"/>
      <c r="T52" s="1226"/>
      <c r="U52" s="1188"/>
      <c r="V52" s="1188"/>
      <c r="W52" s="1188"/>
      <c r="X52" s="1188"/>
      <c r="Y52" s="1188"/>
      <c r="Z52" s="1188"/>
      <c r="AA52" s="1188"/>
      <c r="AB52" s="1188"/>
      <c r="AC52" s="10361"/>
      <c r="AD52" s="1179"/>
      <c r="AE52" s="1179"/>
      <c r="AF52" s="1191"/>
      <c r="AG52" s="1179"/>
      <c r="AH52" s="1180"/>
      <c r="AI52" s="1191"/>
      <c r="AJ52" s="1188"/>
      <c r="AK52" s="1888"/>
      <c r="AL52" s="1188"/>
      <c r="AM52" s="1188"/>
      <c r="AN52" s="1179"/>
      <c r="AO52" s="1226"/>
      <c r="AP52" s="1226"/>
      <c r="AQ52" s="1227"/>
      <c r="AR52" s="1226"/>
      <c r="AS52" s="1188"/>
      <c r="AT52" s="1188"/>
      <c r="AU52" s="1226"/>
      <c r="AV52" s="1179"/>
      <c r="AW52" s="1179"/>
      <c r="AX52" s="1180"/>
      <c r="AY52" s="1179"/>
      <c r="AZ52" s="1179"/>
      <c r="BA52" s="1179"/>
      <c r="BB52" s="1188"/>
      <c r="BC52" s="1188"/>
      <c r="BD52" s="1226"/>
      <c r="BE52" s="1188"/>
      <c r="BF52" s="1179"/>
      <c r="BG52" s="1179"/>
      <c r="BH52" s="1887"/>
      <c r="BI52" s="1179"/>
      <c r="BJ52" s="1179"/>
      <c r="BK52" s="1179"/>
      <c r="BL52" s="1179"/>
      <c r="BM52" s="1179"/>
      <c r="BN52" s="1234"/>
      <c r="BO52" s="1234"/>
      <c r="BP52" s="1510"/>
      <c r="BQ52" s="1504"/>
      <c r="BR52" s="1238"/>
      <c r="BS52" s="1234"/>
      <c r="BT52" s="1179"/>
      <c r="BU52" s="1180"/>
      <c r="BV52" s="1235"/>
      <c r="BW52" s="1235"/>
      <c r="BX52" s="1235"/>
      <c r="BY52" s="1177">
        <f>SUM(B52:AM52)+SUM(AQ52:BX52)</f>
        <v>0</v>
      </c>
    </row>
    <row r="53" spans="1:78" ht="13.8" thickBot="1">
      <c r="A53" s="1182" t="s">
        <v>485</v>
      </c>
      <c r="B53" s="1183">
        <f>SUM(B43:B51)</f>
        <v>1371153.47</v>
      </c>
      <c r="C53" s="1183"/>
      <c r="D53" s="1183">
        <f t="shared" ref="D53:BX53" si="9">SUM(D43:D51)</f>
        <v>0</v>
      </c>
      <c r="E53" s="1183">
        <f t="shared" si="9"/>
        <v>0</v>
      </c>
      <c r="F53" s="1183">
        <f>SUM(F43:F51)</f>
        <v>0</v>
      </c>
      <c r="G53" s="1183">
        <f t="shared" si="9"/>
        <v>86321.67</v>
      </c>
      <c r="H53" s="1183">
        <f t="shared" si="9"/>
        <v>154074.19999999998</v>
      </c>
      <c r="I53" s="1183"/>
      <c r="J53" s="1183">
        <f t="shared" si="9"/>
        <v>0</v>
      </c>
      <c r="K53" s="1183">
        <f t="shared" si="9"/>
        <v>270000</v>
      </c>
      <c r="L53" s="1183">
        <f t="shared" si="9"/>
        <v>0</v>
      </c>
      <c r="M53" s="1183">
        <f t="shared" si="9"/>
        <v>0</v>
      </c>
      <c r="N53" s="1183">
        <f t="shared" si="9"/>
        <v>0</v>
      </c>
      <c r="O53" s="1183">
        <f t="shared" si="9"/>
        <v>6668626.8099999996</v>
      </c>
      <c r="P53" s="1183">
        <f t="shared" si="9"/>
        <v>7180</v>
      </c>
      <c r="Q53" s="1183">
        <f>SUM(Q43:Q51)</f>
        <v>0</v>
      </c>
      <c r="R53" s="1183">
        <f t="shared" si="9"/>
        <v>61997.979999999996</v>
      </c>
      <c r="S53" s="1183">
        <f t="shared" si="9"/>
        <v>649152.42999999993</v>
      </c>
      <c r="T53" s="1847">
        <f t="shared" si="9"/>
        <v>0</v>
      </c>
      <c r="U53" s="1183">
        <f t="shared" si="9"/>
        <v>9265.68</v>
      </c>
      <c r="V53" s="1183">
        <f t="shared" si="9"/>
        <v>433520.98</v>
      </c>
      <c r="W53" s="1183">
        <f>SUM(W43:W51)</f>
        <v>0</v>
      </c>
      <c r="X53" s="1183">
        <f>SUM(X43:X51)</f>
        <v>0</v>
      </c>
      <c r="Y53" s="1183">
        <f t="shared" si="9"/>
        <v>0</v>
      </c>
      <c r="Z53" s="1183">
        <f t="shared" si="9"/>
        <v>16317.99</v>
      </c>
      <c r="AA53" s="1183">
        <f>SUM(AA43:AA51)</f>
        <v>0</v>
      </c>
      <c r="AB53" s="1183">
        <f t="shared" si="9"/>
        <v>1320</v>
      </c>
      <c r="AC53" s="1183"/>
      <c r="AD53" s="1183">
        <f t="shared" ref="AD53:AK53" si="10">SUM(AD43:AD51)</f>
        <v>0</v>
      </c>
      <c r="AE53" s="1183">
        <f t="shared" si="10"/>
        <v>0</v>
      </c>
      <c r="AF53" s="1183">
        <f t="shared" si="10"/>
        <v>2047202.54</v>
      </c>
      <c r="AG53" s="1183">
        <f>SUM(AG43:AG51)</f>
        <v>0</v>
      </c>
      <c r="AH53" s="1183">
        <f>SUM(AH43:AH51)</f>
        <v>0</v>
      </c>
      <c r="AI53" s="1183">
        <f>SUM(AI43:AI51)</f>
        <v>0</v>
      </c>
      <c r="AJ53" s="1183">
        <f t="shared" si="10"/>
        <v>9250539.4600000009</v>
      </c>
      <c r="AK53" s="1183">
        <f t="shared" si="10"/>
        <v>0</v>
      </c>
      <c r="AL53" s="1183">
        <f>SUM(AL43:AL51)</f>
        <v>0</v>
      </c>
      <c r="AM53" s="1183">
        <f t="shared" si="9"/>
        <v>35200</v>
      </c>
      <c r="AN53" s="1183">
        <f t="shared" si="9"/>
        <v>2550.5</v>
      </c>
      <c r="AO53" s="1183">
        <f t="shared" si="9"/>
        <v>0</v>
      </c>
      <c r="AP53" s="1183">
        <f t="shared" si="9"/>
        <v>0</v>
      </c>
      <c r="AQ53" s="1183">
        <f t="shared" si="9"/>
        <v>0</v>
      </c>
      <c r="AR53" s="1183">
        <f t="shared" si="9"/>
        <v>0</v>
      </c>
      <c r="AS53" s="1183">
        <f t="shared" si="9"/>
        <v>42046</v>
      </c>
      <c r="AT53" s="1183">
        <f t="shared" si="9"/>
        <v>711439</v>
      </c>
      <c r="AU53" s="1183">
        <f>SUM(AU43:AU51)</f>
        <v>0</v>
      </c>
      <c r="AV53" s="1183">
        <f t="shared" si="9"/>
        <v>0</v>
      </c>
      <c r="AW53" s="1183">
        <f t="shared" si="9"/>
        <v>0</v>
      </c>
      <c r="AX53" s="1183">
        <f t="shared" si="9"/>
        <v>0</v>
      </c>
      <c r="AY53" s="1183">
        <f t="shared" ref="AY53:BF53" si="11">SUM(AY43:AY51)</f>
        <v>0</v>
      </c>
      <c r="AZ53" s="1183">
        <f t="shared" si="11"/>
        <v>17250</v>
      </c>
      <c r="BA53" s="1183">
        <f t="shared" si="11"/>
        <v>0</v>
      </c>
      <c r="BB53" s="1183">
        <f t="shared" si="11"/>
        <v>0</v>
      </c>
      <c r="BC53" s="1183">
        <f t="shared" si="11"/>
        <v>0</v>
      </c>
      <c r="BD53" s="1183">
        <f t="shared" si="11"/>
        <v>0</v>
      </c>
      <c r="BE53" s="1183">
        <f t="shared" si="11"/>
        <v>2000</v>
      </c>
      <c r="BF53" s="1183">
        <f t="shared" si="11"/>
        <v>7035</v>
      </c>
      <c r="BG53" s="1183">
        <f t="shared" si="9"/>
        <v>0</v>
      </c>
      <c r="BH53" s="1183">
        <f>SUM(BH43:BH51)</f>
        <v>0</v>
      </c>
      <c r="BI53" s="1183">
        <f t="shared" si="9"/>
        <v>259374.03</v>
      </c>
      <c r="BJ53" s="1183">
        <f t="shared" ref="BJ53:BO53" si="12">SUM(BJ43:BJ51)</f>
        <v>0</v>
      </c>
      <c r="BK53" s="1183">
        <f t="shared" si="12"/>
        <v>0</v>
      </c>
      <c r="BL53" s="1183">
        <f t="shared" si="12"/>
        <v>0</v>
      </c>
      <c r="BM53" s="1183">
        <f t="shared" si="12"/>
        <v>0</v>
      </c>
      <c r="BN53" s="1183">
        <f t="shared" si="12"/>
        <v>0</v>
      </c>
      <c r="BO53" s="1183">
        <f t="shared" si="12"/>
        <v>0</v>
      </c>
      <c r="BP53" s="1511">
        <f t="shared" si="9"/>
        <v>0</v>
      </c>
      <c r="BQ53" s="1505">
        <f t="shared" si="9"/>
        <v>0</v>
      </c>
      <c r="BR53" s="1183">
        <f t="shared" si="9"/>
        <v>0</v>
      </c>
      <c r="BS53" s="1183">
        <f t="shared" si="9"/>
        <v>0</v>
      </c>
      <c r="BT53" s="1183">
        <f t="shared" si="9"/>
        <v>0</v>
      </c>
      <c r="BU53" s="1183">
        <f t="shared" si="9"/>
        <v>0</v>
      </c>
      <c r="BV53" s="1183">
        <f t="shared" si="9"/>
        <v>0</v>
      </c>
      <c r="BW53" s="1183">
        <f t="shared" si="9"/>
        <v>0</v>
      </c>
      <c r="BX53" s="1183">
        <f t="shared" si="9"/>
        <v>0</v>
      </c>
      <c r="BY53" s="1183">
        <f>SUM(BY43:BY51)</f>
        <v>22103567.739999998</v>
      </c>
    </row>
    <row r="54" spans="1:78" ht="2.25" customHeight="1" thickTop="1" thickBot="1">
      <c r="A54" s="1193"/>
      <c r="B54" s="1194"/>
      <c r="C54" s="1194"/>
      <c r="D54" s="1194"/>
      <c r="E54" s="1194"/>
      <c r="F54" s="1194"/>
      <c r="G54" s="1194"/>
      <c r="H54" s="1194"/>
      <c r="I54" s="1194"/>
      <c r="J54" s="1194"/>
      <c r="K54" s="1194"/>
      <c r="L54" s="1194"/>
      <c r="M54" s="1194"/>
      <c r="N54" s="1194"/>
      <c r="O54" s="1194"/>
      <c r="P54" s="1194"/>
      <c r="Q54" s="1194"/>
      <c r="R54" s="1194"/>
      <c r="S54" s="1194"/>
      <c r="T54" s="1848"/>
      <c r="U54" s="1194"/>
      <c r="V54" s="1194"/>
      <c r="W54" s="1194"/>
      <c r="X54" s="1194"/>
      <c r="Y54" s="1194"/>
      <c r="Z54" s="1194"/>
      <c r="AA54" s="1194"/>
      <c r="AB54" s="1194"/>
      <c r="AC54" s="1194"/>
      <c r="AD54" s="1194"/>
      <c r="AE54" s="1194"/>
      <c r="AF54" s="1194"/>
      <c r="AG54" s="1194"/>
      <c r="AH54" s="1194"/>
      <c r="AI54" s="1194"/>
      <c r="AJ54" s="1194"/>
      <c r="AK54" s="1194"/>
      <c r="AL54" s="1194"/>
      <c r="AM54" s="1194"/>
      <c r="AN54" s="1194"/>
      <c r="AO54" s="1194"/>
      <c r="AP54" s="1194"/>
      <c r="AQ54" s="1194"/>
      <c r="AR54" s="1194"/>
      <c r="AS54" s="1194"/>
      <c r="AT54" s="1194"/>
      <c r="AU54" s="1194"/>
      <c r="AV54" s="1194"/>
      <c r="AW54" s="1194"/>
      <c r="AX54" s="1194"/>
      <c r="AY54" s="1194"/>
      <c r="AZ54" s="1194"/>
      <c r="BA54" s="1194"/>
      <c r="BB54" s="1194"/>
      <c r="BC54" s="1194"/>
      <c r="BD54" s="1194"/>
      <c r="BE54" s="1194"/>
      <c r="BF54" s="1194"/>
      <c r="BG54" s="1194"/>
      <c r="BH54" s="1194"/>
      <c r="BI54" s="1194"/>
      <c r="BJ54" s="1194"/>
      <c r="BK54" s="1194"/>
      <c r="BL54" s="1194"/>
      <c r="BM54" s="1194"/>
      <c r="BN54" s="1194"/>
      <c r="BO54" s="1194"/>
      <c r="BP54" s="1512"/>
      <c r="BQ54" s="1506"/>
      <c r="BR54" s="1194"/>
      <c r="BS54" s="1194"/>
      <c r="BT54" s="1194"/>
      <c r="BU54" s="1194"/>
      <c r="BV54" s="1194"/>
      <c r="BW54" s="1194"/>
      <c r="BX54" s="1194"/>
      <c r="BY54" s="1179"/>
    </row>
    <row r="55" spans="1:78" ht="14.4" thickTop="1" thickBot="1">
      <c r="A55" s="1195" t="s">
        <v>602</v>
      </c>
      <c r="B55" s="1196">
        <f>SUM(B23+B41+B53)</f>
        <v>4253616.03</v>
      </c>
      <c r="C55" s="5685"/>
      <c r="D55" s="1196">
        <f t="shared" ref="D55:BX55" si="13">SUM(D23+D41+D53)</f>
        <v>0</v>
      </c>
      <c r="E55" s="1196">
        <f t="shared" si="13"/>
        <v>0</v>
      </c>
      <c r="F55" s="1196">
        <f>SUM(F23+F41+F53)</f>
        <v>0</v>
      </c>
      <c r="G55" s="1196">
        <f t="shared" si="13"/>
        <v>559944.67000000004</v>
      </c>
      <c r="H55" s="1196">
        <f t="shared" si="13"/>
        <v>2650552.7200000002</v>
      </c>
      <c r="I55" s="5685"/>
      <c r="J55" s="1196">
        <f t="shared" si="13"/>
        <v>5563530</v>
      </c>
      <c r="K55" s="1196">
        <f t="shared" si="13"/>
        <v>270000</v>
      </c>
      <c r="L55" s="1196">
        <f t="shared" si="13"/>
        <v>9838466.790000001</v>
      </c>
      <c r="M55" s="1196">
        <f t="shared" si="13"/>
        <v>2266557.87</v>
      </c>
      <c r="N55" s="1196">
        <f t="shared" si="13"/>
        <v>2179420.9499999997</v>
      </c>
      <c r="O55" s="1196">
        <f t="shared" si="13"/>
        <v>8977681.1499999985</v>
      </c>
      <c r="P55" s="1196">
        <f t="shared" si="13"/>
        <v>7180</v>
      </c>
      <c r="Q55" s="1196">
        <f>SUM(Q23+Q41+Q53)</f>
        <v>0</v>
      </c>
      <c r="R55" s="1196">
        <f t="shared" si="13"/>
        <v>1524926.4499999997</v>
      </c>
      <c r="S55" s="1196">
        <f t="shared" si="13"/>
        <v>9828584.0199999996</v>
      </c>
      <c r="T55" s="1849">
        <f t="shared" si="13"/>
        <v>42483</v>
      </c>
      <c r="U55" s="1196">
        <f t="shared" si="13"/>
        <v>92591.98000000001</v>
      </c>
      <c r="V55" s="1196">
        <f t="shared" si="13"/>
        <v>1850889.83</v>
      </c>
      <c r="W55" s="1196">
        <f>SUM(W23+W41+W53)</f>
        <v>0</v>
      </c>
      <c r="X55" s="1196">
        <f>SUM(X23+X41+X53)</f>
        <v>0</v>
      </c>
      <c r="Y55" s="1196">
        <f t="shared" si="13"/>
        <v>0</v>
      </c>
      <c r="Z55" s="1196">
        <f t="shared" si="13"/>
        <v>388922.16000000003</v>
      </c>
      <c r="AA55" s="1196">
        <f>SUM(AA23+AA41+AA53)</f>
        <v>42400</v>
      </c>
      <c r="AB55" s="1196">
        <f t="shared" si="13"/>
        <v>106660</v>
      </c>
      <c r="AC55" s="10362"/>
      <c r="AD55" s="1196">
        <f t="shared" ref="AD55:AK55" si="14">SUM(AD23+AD41+AD53)</f>
        <v>6000000</v>
      </c>
      <c r="AE55" s="1196">
        <f t="shared" si="14"/>
        <v>0</v>
      </c>
      <c r="AF55" s="1196">
        <f t="shared" si="14"/>
        <v>24982139.109999999</v>
      </c>
      <c r="AG55" s="1196">
        <f>SUM(AG23+AG41+AG53)</f>
        <v>2726762.8899999997</v>
      </c>
      <c r="AH55" s="1196">
        <f>SUM(AH23+AH41+AH53)</f>
        <v>6502265.7300000004</v>
      </c>
      <c r="AI55" s="1196">
        <f>SUM(AI23+AI41+AI53)</f>
        <v>1100000</v>
      </c>
      <c r="AJ55" s="1196">
        <f t="shared" si="14"/>
        <v>42188147.900000006</v>
      </c>
      <c r="AK55" s="1196">
        <f t="shared" si="14"/>
        <v>0</v>
      </c>
      <c r="AL55" s="1196">
        <f>SUM(AL23+AL41+AL53)</f>
        <v>0</v>
      </c>
      <c r="AM55" s="1196">
        <f t="shared" si="13"/>
        <v>35200</v>
      </c>
      <c r="AN55" s="1196">
        <f t="shared" si="13"/>
        <v>464143.23</v>
      </c>
      <c r="AO55" s="1196">
        <f t="shared" si="13"/>
        <v>0</v>
      </c>
      <c r="AP55" s="1196">
        <f t="shared" si="13"/>
        <v>0</v>
      </c>
      <c r="AQ55" s="1196">
        <f t="shared" si="13"/>
        <v>0</v>
      </c>
      <c r="AR55" s="1196">
        <f t="shared" si="13"/>
        <v>0</v>
      </c>
      <c r="AS55" s="1196">
        <f t="shared" si="13"/>
        <v>475889.6</v>
      </c>
      <c r="AT55" s="1196">
        <f t="shared" si="13"/>
        <v>3987706.6000000006</v>
      </c>
      <c r="AU55" s="1196">
        <f>SUM(AU23+AU41+AU53)</f>
        <v>0</v>
      </c>
      <c r="AV55" s="1196">
        <f t="shared" si="13"/>
        <v>0</v>
      </c>
      <c r="AW55" s="1196">
        <f t="shared" si="13"/>
        <v>0</v>
      </c>
      <c r="AX55" s="1196">
        <f t="shared" si="13"/>
        <v>0</v>
      </c>
      <c r="AY55" s="1196">
        <f t="shared" ref="AY55:BF55" si="15">SUM(AY23+AY41+AY53)</f>
        <v>180228</v>
      </c>
      <c r="AZ55" s="1196">
        <f t="shared" si="15"/>
        <v>241601.25</v>
      </c>
      <c r="BA55" s="1196">
        <f t="shared" si="15"/>
        <v>1413107.76</v>
      </c>
      <c r="BB55" s="1196">
        <f t="shared" si="15"/>
        <v>138000</v>
      </c>
      <c r="BC55" s="1196">
        <f t="shared" si="15"/>
        <v>4500</v>
      </c>
      <c r="BD55" s="1196">
        <f t="shared" si="15"/>
        <v>0</v>
      </c>
      <c r="BE55" s="1196">
        <f t="shared" si="15"/>
        <v>699816.80999999994</v>
      </c>
      <c r="BF55" s="1196">
        <f t="shared" si="15"/>
        <v>72389</v>
      </c>
      <c r="BG55" s="1196">
        <f t="shared" si="13"/>
        <v>26370814.75</v>
      </c>
      <c r="BH55" s="1196">
        <f>SUM(BH23+BH41+BH53)</f>
        <v>0</v>
      </c>
      <c r="BI55" s="1196">
        <f t="shared" si="13"/>
        <v>2305565.44</v>
      </c>
      <c r="BJ55" s="1196">
        <f t="shared" ref="BJ55:BO55" si="16">SUM(BJ23+BJ41+BJ53)</f>
        <v>0</v>
      </c>
      <c r="BK55" s="1196">
        <f t="shared" si="16"/>
        <v>0</v>
      </c>
      <c r="BL55" s="1196">
        <f t="shared" si="16"/>
        <v>0</v>
      </c>
      <c r="BM55" s="1196">
        <f t="shared" si="16"/>
        <v>0</v>
      </c>
      <c r="BN55" s="1196">
        <f t="shared" si="16"/>
        <v>0</v>
      </c>
      <c r="BO55" s="1196">
        <f t="shared" si="16"/>
        <v>70716.800000000003</v>
      </c>
      <c r="BP55" s="1513">
        <f t="shared" si="13"/>
        <v>0</v>
      </c>
      <c r="BQ55" s="1244">
        <f t="shared" si="13"/>
        <v>0</v>
      </c>
      <c r="BR55" s="1196">
        <f t="shared" si="13"/>
        <v>0</v>
      </c>
      <c r="BS55" s="1196">
        <f t="shared" si="13"/>
        <v>0</v>
      </c>
      <c r="BT55" s="1196">
        <f t="shared" si="13"/>
        <v>0</v>
      </c>
      <c r="BU55" s="1196">
        <f t="shared" si="13"/>
        <v>0</v>
      </c>
      <c r="BV55" s="1196">
        <f t="shared" si="13"/>
        <v>0</v>
      </c>
      <c r="BW55" s="1196">
        <f t="shared" si="13"/>
        <v>0</v>
      </c>
      <c r="BX55" s="1196">
        <f t="shared" si="13"/>
        <v>0</v>
      </c>
      <c r="BY55" s="1197">
        <f>SUM(BY23+BY41+BY53)</f>
        <v>170403402.49000001</v>
      </c>
    </row>
    <row r="57" spans="1:78">
      <c r="P57" s="1198"/>
      <c r="BY57" s="1500">
        <f>SUM(B55:BX55)-AX55</f>
        <v>170403402.48999998</v>
      </c>
    </row>
    <row r="58" spans="1:78">
      <c r="P58" s="1198"/>
      <c r="AJ58" s="1500">
        <f>SUM(AJ55:AK55)</f>
        <v>42188147.900000006</v>
      </c>
    </row>
    <row r="59" spans="1:78">
      <c r="P59" s="1198"/>
    </row>
    <row r="60" spans="1:78">
      <c r="P60" s="1198"/>
    </row>
    <row r="61" spans="1:78">
      <c r="P61" s="1198"/>
    </row>
    <row r="62" spans="1:78">
      <c r="P62" s="1198"/>
    </row>
    <row r="63" spans="1:78">
      <c r="P63" s="1198"/>
    </row>
    <row r="64" spans="1:78">
      <c r="P64" s="1198"/>
    </row>
    <row r="65" spans="16:16">
      <c r="P65" s="1198"/>
    </row>
    <row r="66" spans="16:16">
      <c r="P66" s="1198"/>
    </row>
    <row r="67" spans="16:16">
      <c r="P67" s="1198"/>
    </row>
    <row r="68" spans="16:16">
      <c r="P68" s="1198"/>
    </row>
    <row r="69" spans="16:16">
      <c r="P69" s="1198"/>
    </row>
    <row r="70" spans="16:16">
      <c r="P70" s="1198"/>
    </row>
    <row r="71" spans="16:16">
      <c r="P71" s="1198"/>
    </row>
    <row r="72" spans="16:16">
      <c r="P72" s="1198"/>
    </row>
    <row r="73" spans="16:16">
      <c r="P73" s="1198"/>
    </row>
    <row r="74" spans="16:16">
      <c r="P74" s="1198"/>
    </row>
    <row r="75" spans="16:16">
      <c r="P75" s="1198"/>
    </row>
    <row r="76" spans="16:16">
      <c r="P76" s="1198"/>
    </row>
    <row r="77" spans="16:16">
      <c r="P77" s="1198"/>
    </row>
    <row r="78" spans="16:16">
      <c r="P78" s="1198"/>
    </row>
    <row r="79" spans="16:16">
      <c r="P79" s="1198"/>
    </row>
    <row r="80" spans="16:16">
      <c r="P80" s="1198"/>
    </row>
    <row r="81" spans="16:16">
      <c r="P81" s="1198"/>
    </row>
    <row r="82" spans="16:16">
      <c r="P82" s="1198"/>
    </row>
    <row r="83" spans="16:16">
      <c r="P83" s="1198"/>
    </row>
    <row r="84" spans="16:16">
      <c r="P84" s="1198"/>
    </row>
    <row r="85" spans="16:16">
      <c r="P85" s="1198"/>
    </row>
    <row r="86" spans="16:16">
      <c r="P86" s="1198"/>
    </row>
    <row r="87" spans="16:16">
      <c r="P87" s="1199"/>
    </row>
  </sheetData>
  <mergeCells count="2">
    <mergeCell ref="R1:S1"/>
    <mergeCell ref="AU3:AU4"/>
  </mergeCells>
  <pageMargins left="0" right="0" top="0.25" bottom="0.25" header="0.25" footer="0.25"/>
  <pageSetup paperSize="136" scale="75" pageOrder="overThenDown" orientation="landscape" verticalDpi="300" r:id="rId1"/>
  <headerFooter alignWithMargins="0">
    <oddFooter>Page &amp;P of &amp;N</oddFooter>
  </headerFooter>
</worksheet>
</file>

<file path=xl/worksheets/sheet188.xml><?xml version="1.0" encoding="utf-8"?>
<worksheet xmlns="http://schemas.openxmlformats.org/spreadsheetml/2006/main" xmlns:r="http://schemas.openxmlformats.org/officeDocument/2006/relationships">
  <sheetPr codeName="Sheet212">
    <tabColor rgb="FF00FF00"/>
  </sheetPr>
  <dimension ref="A1:Y42"/>
  <sheetViews>
    <sheetView workbookViewId="0">
      <pane xSplit="1" ySplit="4" topLeftCell="G5" activePane="bottomRight" state="frozen"/>
      <selection pane="topRight" activeCell="B1" sqref="B1"/>
      <selection pane="bottomLeft" activeCell="A5" sqref="A5"/>
      <selection pane="bottomRight" activeCell="A40" sqref="A40"/>
    </sheetView>
  </sheetViews>
  <sheetFormatPr defaultColWidth="9.109375" defaultRowHeight="14.4"/>
  <cols>
    <col min="1" max="1" width="10.109375" style="1245" customWidth="1"/>
    <col min="2" max="2" width="12.109375" style="1245" customWidth="1"/>
    <col min="3" max="3" width="11.88671875" style="1245" customWidth="1"/>
    <col min="4" max="4" width="13.109375" style="1245" customWidth="1"/>
    <col min="5" max="5" width="10.44140625" style="1245" customWidth="1"/>
    <col min="6" max="6" width="11.88671875" style="1245" customWidth="1"/>
    <col min="7" max="7" width="9.44140625" style="1245" customWidth="1"/>
    <col min="8" max="8" width="11.44140625" style="1245" customWidth="1"/>
    <col min="9" max="10" width="9.109375" style="1245" hidden="1" customWidth="1"/>
    <col min="11" max="11" width="10.44140625" style="1245" customWidth="1"/>
    <col min="12" max="12" width="12.109375" style="1245" customWidth="1"/>
    <col min="13" max="13" width="11.109375" style="1245" customWidth="1"/>
    <col min="14" max="14" width="13.88671875" style="1245" customWidth="1"/>
    <col min="15" max="16" width="11.44140625" style="1245" hidden="1" customWidth="1"/>
    <col min="17" max="17" width="12.33203125" style="1245" customWidth="1"/>
    <col min="18" max="18" width="14.44140625" style="1245" hidden="1" customWidth="1"/>
    <col min="19" max="19" width="12" style="1245" hidden="1" customWidth="1"/>
    <col min="20" max="20" width="11.6640625" style="1245" customWidth="1"/>
    <col min="21" max="21" width="11.88671875" style="1245" customWidth="1"/>
    <col min="22" max="22" width="14.109375" style="1246" customWidth="1"/>
    <col min="23" max="23" width="14.33203125" style="1245" bestFit="1" customWidth="1"/>
    <col min="24" max="24" width="14.109375" style="1245" customWidth="1"/>
    <col min="25" max="16384" width="9.109375" style="1245"/>
  </cols>
  <sheetData>
    <row r="1" spans="1:22">
      <c r="A1" s="8813" t="s">
        <v>11523</v>
      </c>
    </row>
    <row r="3" spans="1:22" s="8828" customFormat="1" ht="31.5" customHeight="1">
      <c r="A3" s="8823" t="s">
        <v>9</v>
      </c>
      <c r="B3" s="8823" t="s">
        <v>2544</v>
      </c>
      <c r="C3" s="8824" t="s">
        <v>10505</v>
      </c>
      <c r="D3" s="8823" t="s">
        <v>3351</v>
      </c>
      <c r="E3" s="8824" t="s">
        <v>10506</v>
      </c>
      <c r="F3" s="8824" t="s">
        <v>10507</v>
      </c>
      <c r="G3" s="8824" t="s">
        <v>10508</v>
      </c>
      <c r="H3" s="8823" t="s">
        <v>3340</v>
      </c>
      <c r="I3" s="8823" t="s">
        <v>3353</v>
      </c>
      <c r="J3" s="8823" t="s">
        <v>3354</v>
      </c>
      <c r="K3" s="8823" t="s">
        <v>3355</v>
      </c>
      <c r="L3" s="8825" t="s">
        <v>10509</v>
      </c>
      <c r="M3" s="8825" t="s">
        <v>10510</v>
      </c>
      <c r="N3" s="8823" t="s">
        <v>3356</v>
      </c>
      <c r="O3" s="8826" t="s">
        <v>4693</v>
      </c>
      <c r="P3" s="8825" t="s">
        <v>10511</v>
      </c>
      <c r="Q3" s="8825" t="s">
        <v>10512</v>
      </c>
      <c r="R3" s="8826" t="s">
        <v>4695</v>
      </c>
      <c r="S3" s="8823" t="s">
        <v>3357</v>
      </c>
      <c r="T3" s="8824" t="s">
        <v>10513</v>
      </c>
      <c r="U3" s="8823" t="s">
        <v>5031</v>
      </c>
      <c r="V3" s="8827" t="s">
        <v>220</v>
      </c>
    </row>
    <row r="4" spans="1:22">
      <c r="A4" s="1247"/>
      <c r="B4" s="1247">
        <v>751</v>
      </c>
      <c r="C4" s="6803">
        <v>753</v>
      </c>
      <c r="D4" s="1247">
        <v>755</v>
      </c>
      <c r="E4" s="6803">
        <v>763</v>
      </c>
      <c r="F4" s="6803">
        <v>767</v>
      </c>
      <c r="G4" s="6803">
        <v>771</v>
      </c>
      <c r="H4" s="1248">
        <v>772</v>
      </c>
      <c r="I4" s="1248">
        <v>773</v>
      </c>
      <c r="J4" s="1248">
        <v>774</v>
      </c>
      <c r="K4" s="1248">
        <v>775</v>
      </c>
      <c r="L4" s="6804">
        <v>783</v>
      </c>
      <c r="M4" s="6804">
        <v>786</v>
      </c>
      <c r="N4" s="1247">
        <v>795</v>
      </c>
      <c r="O4" s="6807" t="s">
        <v>119</v>
      </c>
      <c r="P4" s="6803">
        <v>823</v>
      </c>
      <c r="Q4" s="6803">
        <v>840</v>
      </c>
      <c r="R4" s="6807">
        <v>874</v>
      </c>
      <c r="S4" s="1247">
        <v>878</v>
      </c>
      <c r="T4" s="6803">
        <v>892</v>
      </c>
      <c r="U4" s="1247">
        <v>969</v>
      </c>
      <c r="V4" s="1249"/>
    </row>
    <row r="5" spans="1:22">
      <c r="A5" s="6808" t="s">
        <v>3359</v>
      </c>
      <c r="B5" s="8814">
        <v>79973.539999999994</v>
      </c>
      <c r="C5" s="6809"/>
      <c r="D5" s="8814">
        <v>16876.599999999999</v>
      </c>
      <c r="E5" s="6809"/>
      <c r="F5" s="6809"/>
      <c r="G5" s="6809"/>
      <c r="H5" s="8814">
        <v>25004.29</v>
      </c>
      <c r="I5" s="6809"/>
      <c r="J5" s="6809"/>
      <c r="K5" s="6809"/>
      <c r="L5" s="6809"/>
      <c r="M5" s="6809"/>
      <c r="N5" s="8814">
        <v>294533.12</v>
      </c>
      <c r="O5" s="6809"/>
      <c r="P5" s="6809"/>
      <c r="Q5" s="6809"/>
      <c r="R5" s="6809"/>
      <c r="S5" s="6809"/>
      <c r="T5" s="6809"/>
      <c r="U5" s="8814">
        <v>4252</v>
      </c>
      <c r="V5" s="6810">
        <f>SUM(B5:U5)</f>
        <v>420639.55</v>
      </c>
    </row>
    <row r="6" spans="1:22">
      <c r="A6" s="6811" t="s">
        <v>3360</v>
      </c>
      <c r="B6" s="8815">
        <v>0</v>
      </c>
      <c r="C6" s="6812"/>
      <c r="D6" s="8815">
        <v>3000</v>
      </c>
      <c r="E6" s="6812"/>
      <c r="F6" s="6812"/>
      <c r="G6" s="6812"/>
      <c r="H6" s="8815">
        <v>27043.22</v>
      </c>
      <c r="I6" s="6812"/>
      <c r="J6" s="6812"/>
      <c r="K6" s="6812"/>
      <c r="L6" s="6812"/>
      <c r="M6" s="6812"/>
      <c r="N6" s="8815">
        <v>179068.75</v>
      </c>
      <c r="O6" s="6812"/>
      <c r="P6" s="6812"/>
      <c r="Q6" s="6812"/>
      <c r="R6" s="6812"/>
      <c r="S6" s="6812"/>
      <c r="T6" s="6812"/>
      <c r="U6" s="8815">
        <v>6000</v>
      </c>
      <c r="V6" s="6813">
        <f t="shared" ref="V6:V17" si="0">SUM(B6:U6)</f>
        <v>215111.97</v>
      </c>
    </row>
    <row r="7" spans="1:22">
      <c r="A7" s="6811" t="s">
        <v>3361</v>
      </c>
      <c r="B7" s="8815">
        <v>0</v>
      </c>
      <c r="C7" s="6812"/>
      <c r="D7" s="8815">
        <v>7000</v>
      </c>
      <c r="E7" s="6812"/>
      <c r="F7" s="6812"/>
      <c r="G7" s="6812"/>
      <c r="H7" s="8815">
        <v>27582.58</v>
      </c>
      <c r="I7" s="6812"/>
      <c r="J7" s="6812"/>
      <c r="K7" s="6812"/>
      <c r="L7" s="6812"/>
      <c r="M7" s="6812"/>
      <c r="N7" s="8815">
        <v>145234.25</v>
      </c>
      <c r="O7" s="6812"/>
      <c r="P7" s="6812"/>
      <c r="Q7" s="6812"/>
      <c r="R7" s="6812"/>
      <c r="S7" s="6812"/>
      <c r="T7" s="6812"/>
      <c r="U7" s="8815">
        <v>11880</v>
      </c>
      <c r="V7" s="6813">
        <f t="shared" si="0"/>
        <v>191696.83000000002</v>
      </c>
    </row>
    <row r="8" spans="1:22">
      <c r="A8" s="6811" t="s">
        <v>3362</v>
      </c>
      <c r="B8" s="8815">
        <v>0</v>
      </c>
      <c r="C8" s="6812"/>
      <c r="D8" s="8815">
        <v>0</v>
      </c>
      <c r="E8" s="6812"/>
      <c r="F8" s="6812"/>
      <c r="G8" s="6812"/>
      <c r="H8" s="8815">
        <v>34781.019999999997</v>
      </c>
      <c r="I8" s="6812"/>
      <c r="J8" s="6812"/>
      <c r="K8" s="6812"/>
      <c r="L8" s="6812"/>
      <c r="M8" s="6812"/>
      <c r="N8" s="8815">
        <v>322716.26</v>
      </c>
      <c r="O8" s="6812"/>
      <c r="P8" s="6812"/>
      <c r="Q8" s="6812"/>
      <c r="R8" s="6812"/>
      <c r="S8" s="6812"/>
      <c r="T8" s="6812"/>
      <c r="U8" s="8815">
        <v>23000</v>
      </c>
      <c r="V8" s="6813">
        <f t="shared" si="0"/>
        <v>380497.28</v>
      </c>
    </row>
    <row r="9" spans="1:22">
      <c r="A9" s="6811" t="s">
        <v>3363</v>
      </c>
      <c r="B9" s="8815">
        <v>0</v>
      </c>
      <c r="C9" s="6812"/>
      <c r="D9" s="8815">
        <v>83395</v>
      </c>
      <c r="E9" s="6812"/>
      <c r="F9" s="6812"/>
      <c r="G9" s="6812"/>
      <c r="H9" s="8815">
        <v>32512.81</v>
      </c>
      <c r="I9" s="6812"/>
      <c r="J9" s="6812"/>
      <c r="K9" s="6812"/>
      <c r="L9" s="6812"/>
      <c r="M9" s="6812"/>
      <c r="N9" s="8815">
        <v>424479.37</v>
      </c>
      <c r="O9" s="6812"/>
      <c r="P9" s="6812"/>
      <c r="Q9" s="6812"/>
      <c r="R9" s="6812"/>
      <c r="S9" s="6812"/>
      <c r="T9" s="6812"/>
      <c r="U9" s="8815">
        <v>5000</v>
      </c>
      <c r="V9" s="6813">
        <f t="shared" si="0"/>
        <v>545387.17999999993</v>
      </c>
    </row>
    <row r="10" spans="1:22">
      <c r="A10" s="6811" t="s">
        <v>3364</v>
      </c>
      <c r="B10" s="8815">
        <v>0</v>
      </c>
      <c r="C10" s="6812"/>
      <c r="D10" s="8815">
        <v>0</v>
      </c>
      <c r="E10" s="6812"/>
      <c r="F10" s="6812"/>
      <c r="G10" s="6812"/>
      <c r="H10" s="8815">
        <v>17772.14</v>
      </c>
      <c r="I10" s="6812"/>
      <c r="J10" s="6812"/>
      <c r="K10" s="6812"/>
      <c r="L10" s="6812"/>
      <c r="M10" s="6812"/>
      <c r="N10" s="8815">
        <v>64800</v>
      </c>
      <c r="O10" s="6812"/>
      <c r="P10" s="6812"/>
      <c r="Q10" s="6812"/>
      <c r="R10" s="6812"/>
      <c r="S10" s="6812"/>
      <c r="T10" s="6812"/>
      <c r="U10" s="8815">
        <v>0</v>
      </c>
      <c r="V10" s="6813">
        <f t="shared" si="0"/>
        <v>82572.14</v>
      </c>
    </row>
    <row r="11" spans="1:22">
      <c r="A11" s="6811" t="s">
        <v>3365</v>
      </c>
      <c r="B11" s="8815">
        <v>0</v>
      </c>
      <c r="C11" s="6812"/>
      <c r="D11" s="8815">
        <v>103110</v>
      </c>
      <c r="E11" s="6812"/>
      <c r="F11" s="6812"/>
      <c r="G11" s="6812"/>
      <c r="H11" s="8815">
        <v>18023.71</v>
      </c>
      <c r="I11" s="6812"/>
      <c r="J11" s="6812"/>
      <c r="K11" s="6812"/>
      <c r="L11" s="6812"/>
      <c r="M11" s="6812"/>
      <c r="N11" s="8815">
        <v>572383.63</v>
      </c>
      <c r="O11" s="6812"/>
      <c r="P11" s="6812"/>
      <c r="Q11" s="6812"/>
      <c r="R11" s="6812"/>
      <c r="S11" s="6812"/>
      <c r="T11" s="6812"/>
      <c r="U11" s="8815">
        <v>0</v>
      </c>
      <c r="V11" s="6813">
        <f t="shared" si="0"/>
        <v>693517.34</v>
      </c>
    </row>
    <row r="12" spans="1:22">
      <c r="A12" s="6811" t="s">
        <v>3366</v>
      </c>
      <c r="B12" s="8815">
        <v>10636</v>
      </c>
      <c r="C12" s="6812"/>
      <c r="D12" s="8815">
        <v>0</v>
      </c>
      <c r="E12" s="6812"/>
      <c r="F12" s="6812"/>
      <c r="G12" s="6812"/>
      <c r="H12" s="8815">
        <v>21192.65</v>
      </c>
      <c r="I12" s="6812"/>
      <c r="J12" s="6812"/>
      <c r="K12" s="6812"/>
      <c r="L12" s="6812"/>
      <c r="M12" s="6812"/>
      <c r="N12" s="8815">
        <v>445936</v>
      </c>
      <c r="O12" s="6812"/>
      <c r="P12" s="6812"/>
      <c r="Q12" s="6812"/>
      <c r="R12" s="6812"/>
      <c r="S12" s="6812"/>
      <c r="T12" s="6812"/>
      <c r="U12" s="8815">
        <v>17500</v>
      </c>
      <c r="V12" s="6813">
        <f t="shared" si="0"/>
        <v>495264.65</v>
      </c>
    </row>
    <row r="13" spans="1:22">
      <c r="A13" s="6811" t="s">
        <v>3367</v>
      </c>
      <c r="B13" s="8815">
        <v>0</v>
      </c>
      <c r="C13" s="6812"/>
      <c r="D13" s="8815">
        <v>8000</v>
      </c>
      <c r="E13" s="6812"/>
      <c r="F13" s="6812"/>
      <c r="G13" s="6812"/>
      <c r="H13" s="8815">
        <v>31064.45</v>
      </c>
      <c r="I13" s="6812"/>
      <c r="J13" s="6812"/>
      <c r="K13" s="6812"/>
      <c r="L13" s="6812"/>
      <c r="M13" s="6812"/>
      <c r="N13" s="8815">
        <v>577215.66</v>
      </c>
      <c r="O13" s="6812"/>
      <c r="P13" s="6812"/>
      <c r="Q13" s="6812"/>
      <c r="R13" s="6812"/>
      <c r="S13" s="6812"/>
      <c r="T13" s="6812"/>
      <c r="U13" s="8815">
        <v>2000</v>
      </c>
      <c r="V13" s="6813">
        <f t="shared" si="0"/>
        <v>618280.11</v>
      </c>
    </row>
    <row r="14" spans="1:22">
      <c r="A14" s="6811" t="s">
        <v>3368</v>
      </c>
      <c r="B14" s="8815">
        <v>0</v>
      </c>
      <c r="C14" s="6812"/>
      <c r="D14" s="8815">
        <v>21204.35</v>
      </c>
      <c r="E14" s="6812"/>
      <c r="F14" s="6812"/>
      <c r="G14" s="6812"/>
      <c r="H14" s="8815">
        <v>9041.84</v>
      </c>
      <c r="I14" s="6812"/>
      <c r="J14" s="6812"/>
      <c r="K14" s="6812"/>
      <c r="L14" s="6812"/>
      <c r="M14" s="6812"/>
      <c r="N14" s="8815">
        <v>712272.77</v>
      </c>
      <c r="O14" s="6812"/>
      <c r="P14" s="6812"/>
      <c r="Q14" s="6812"/>
      <c r="R14" s="6812"/>
      <c r="S14" s="6812"/>
      <c r="T14" s="6812"/>
      <c r="U14" s="8815">
        <v>0</v>
      </c>
      <c r="V14" s="6813">
        <f t="shared" si="0"/>
        <v>742518.96</v>
      </c>
    </row>
    <row r="15" spans="1:22">
      <c r="A15" s="6811" t="s">
        <v>3369</v>
      </c>
      <c r="B15" s="8815">
        <v>20035</v>
      </c>
      <c r="C15" s="6812"/>
      <c r="D15" s="8815">
        <v>0</v>
      </c>
      <c r="E15" s="6812"/>
      <c r="F15" s="6812"/>
      <c r="G15" s="6812"/>
      <c r="H15" s="8815">
        <v>14830.62</v>
      </c>
      <c r="I15" s="6812"/>
      <c r="J15" s="6812"/>
      <c r="K15" s="6812"/>
      <c r="L15" s="6812"/>
      <c r="M15" s="6812"/>
      <c r="N15" s="8815">
        <v>433037.62</v>
      </c>
      <c r="O15" s="6812"/>
      <c r="P15" s="6812"/>
      <c r="Q15" s="6812"/>
      <c r="R15" s="6812"/>
      <c r="S15" s="6812"/>
      <c r="T15" s="6812"/>
      <c r="U15" s="8815">
        <v>13500</v>
      </c>
      <c r="V15" s="6813">
        <f t="shared" si="0"/>
        <v>481403.24</v>
      </c>
    </row>
    <row r="16" spans="1:22">
      <c r="A16" s="6811" t="s">
        <v>3370</v>
      </c>
      <c r="B16" s="8815">
        <v>42601</v>
      </c>
      <c r="C16" s="6812"/>
      <c r="D16" s="8815">
        <v>0</v>
      </c>
      <c r="E16" s="6812"/>
      <c r="F16" s="6812"/>
      <c r="G16" s="6812"/>
      <c r="H16" s="8815">
        <v>38632.629999999997</v>
      </c>
      <c r="I16" s="6812"/>
      <c r="J16" s="6812"/>
      <c r="K16" s="6812"/>
      <c r="L16" s="6812"/>
      <c r="M16" s="6812"/>
      <c r="N16" s="8815">
        <v>276395.57</v>
      </c>
      <c r="O16" s="6812"/>
      <c r="P16" s="6812"/>
      <c r="Q16" s="6812"/>
      <c r="R16" s="6812"/>
      <c r="S16" s="6812"/>
      <c r="T16" s="6812"/>
      <c r="U16" s="8815">
        <v>11500</v>
      </c>
      <c r="V16" s="6813">
        <f t="shared" si="0"/>
        <v>369129.2</v>
      </c>
    </row>
    <row r="17" spans="1:25">
      <c r="A17" s="6814" t="s">
        <v>3371</v>
      </c>
      <c r="B17" s="8816"/>
      <c r="C17" s="6815"/>
      <c r="D17" s="8816"/>
      <c r="E17" s="6815"/>
      <c r="F17" s="6815"/>
      <c r="G17" s="6815"/>
      <c r="H17" s="8816"/>
      <c r="I17" s="6815"/>
      <c r="J17" s="6815"/>
      <c r="K17" s="6815"/>
      <c r="L17" s="6815"/>
      <c r="M17" s="6815"/>
      <c r="N17" s="8816"/>
      <c r="O17" s="6815"/>
      <c r="P17" s="6815"/>
      <c r="Q17" s="6815"/>
      <c r="R17" s="6815"/>
      <c r="S17" s="6815"/>
      <c r="T17" s="6815"/>
      <c r="U17" s="8816"/>
      <c r="V17" s="6816">
        <f t="shared" si="0"/>
        <v>0</v>
      </c>
    </row>
    <row r="18" spans="1:25" s="1246" customFormat="1">
      <c r="A18" s="8819" t="s">
        <v>10514</v>
      </c>
      <c r="B18" s="8820">
        <f>SUM(B5:B17)</f>
        <v>153245.53999999998</v>
      </c>
      <c r="C18" s="8820">
        <f t="shared" ref="C18:U18" si="1">SUM(C5:C17)</f>
        <v>0</v>
      </c>
      <c r="D18" s="8820">
        <f t="shared" si="1"/>
        <v>242585.95</v>
      </c>
      <c r="E18" s="8820">
        <f t="shared" si="1"/>
        <v>0</v>
      </c>
      <c r="F18" s="8820">
        <f t="shared" si="1"/>
        <v>0</v>
      </c>
      <c r="G18" s="8820">
        <f t="shared" si="1"/>
        <v>0</v>
      </c>
      <c r="H18" s="8820">
        <f t="shared" si="1"/>
        <v>297481.95999999996</v>
      </c>
      <c r="I18" s="8820">
        <f t="shared" si="1"/>
        <v>0</v>
      </c>
      <c r="J18" s="8820">
        <f t="shared" si="1"/>
        <v>0</v>
      </c>
      <c r="K18" s="8820">
        <f t="shared" si="1"/>
        <v>0</v>
      </c>
      <c r="L18" s="8820">
        <f t="shared" si="1"/>
        <v>0</v>
      </c>
      <c r="M18" s="8820">
        <f t="shared" si="1"/>
        <v>0</v>
      </c>
      <c r="N18" s="8820">
        <f t="shared" si="1"/>
        <v>4448073</v>
      </c>
      <c r="O18" s="8820">
        <f t="shared" si="1"/>
        <v>0</v>
      </c>
      <c r="P18" s="8820">
        <f t="shared" si="1"/>
        <v>0</v>
      </c>
      <c r="Q18" s="8820">
        <f t="shared" si="1"/>
        <v>0</v>
      </c>
      <c r="R18" s="8820">
        <f t="shared" si="1"/>
        <v>0</v>
      </c>
      <c r="S18" s="8820">
        <f t="shared" si="1"/>
        <v>0</v>
      </c>
      <c r="T18" s="8820">
        <f t="shared" si="1"/>
        <v>0</v>
      </c>
      <c r="U18" s="8820">
        <f t="shared" si="1"/>
        <v>94632</v>
      </c>
      <c r="V18" s="8820">
        <f>SUM(V5:V17)</f>
        <v>5236018.45</v>
      </c>
      <c r="W18" s="5687">
        <f>V18</f>
        <v>5236018.45</v>
      </c>
      <c r="X18" s="1252"/>
    </row>
    <row r="19" spans="1:25">
      <c r="A19" s="6817" t="s">
        <v>3372</v>
      </c>
      <c r="B19" s="6818">
        <v>0</v>
      </c>
      <c r="C19" s="6818"/>
      <c r="D19" s="6818">
        <v>20944.25</v>
      </c>
      <c r="E19" s="6818"/>
      <c r="F19" s="6818"/>
      <c r="G19" s="6818"/>
      <c r="H19" s="6818">
        <v>40018.39</v>
      </c>
      <c r="I19" s="6818"/>
      <c r="J19" s="6818"/>
      <c r="K19" s="6818"/>
      <c r="L19" s="6818"/>
      <c r="M19" s="6818"/>
      <c r="N19" s="6818"/>
      <c r="O19" s="6818"/>
      <c r="P19" s="6818"/>
      <c r="Q19" s="6818"/>
      <c r="R19" s="6818"/>
      <c r="S19" s="6819"/>
      <c r="T19" s="6819"/>
      <c r="U19" s="6819"/>
      <c r="V19" s="6820">
        <f>SUM(B19:U19)</f>
        <v>60962.64</v>
      </c>
      <c r="W19" s="8821">
        <f>V19</f>
        <v>60962.64</v>
      </c>
    </row>
    <row r="20" spans="1:25">
      <c r="A20" s="6821" t="s">
        <v>3373</v>
      </c>
      <c r="B20" s="6822">
        <v>93369</v>
      </c>
      <c r="C20" s="6822">
        <v>1000</v>
      </c>
      <c r="D20" s="6822">
        <v>15829.5</v>
      </c>
      <c r="E20" s="6822">
        <v>0</v>
      </c>
      <c r="F20" s="6822">
        <v>416794.47</v>
      </c>
      <c r="G20" s="6822">
        <v>3579</v>
      </c>
      <c r="H20" s="6822">
        <v>47528.7</v>
      </c>
      <c r="I20" s="6822"/>
      <c r="J20" s="6822"/>
      <c r="K20" s="6822">
        <v>99500</v>
      </c>
      <c r="L20" s="6822">
        <v>72057.100000000006</v>
      </c>
      <c r="M20" s="6822"/>
      <c r="N20" s="6822">
        <v>4792693.7300000004</v>
      </c>
      <c r="O20" s="6822"/>
      <c r="P20" s="6822"/>
      <c r="Q20" s="6822">
        <v>9800</v>
      </c>
      <c r="R20" s="6822"/>
      <c r="S20" s="6822"/>
      <c r="T20" s="6822">
        <v>1177.5</v>
      </c>
      <c r="U20" s="6822">
        <v>19704.27</v>
      </c>
      <c r="V20" s="6823">
        <f>SUM(B20:U20)</f>
        <v>5573033.2699999996</v>
      </c>
      <c r="W20" s="8817">
        <f>'WS-MOOE ACTUAL JUNE 2018'!O12+'WS-MOOE ACTUAL JUNE 2018'!AG12+'WS-MOOE ACTUAL JUNE 2018'!AN12+'WS-MOOE ACTUAL JUNE 2018'!AT12+'WS-MOOE ACTUAL JUNE 2018'!BB12+V20</f>
        <v>6102102.75</v>
      </c>
      <c r="X20" s="8818" t="s">
        <v>10988</v>
      </c>
    </row>
    <row r="21" spans="1:25">
      <c r="A21" s="6824" t="s">
        <v>3312</v>
      </c>
      <c r="B21" s="6825">
        <v>20212</v>
      </c>
      <c r="C21" s="6825">
        <v>0</v>
      </c>
      <c r="D21" s="6826">
        <v>30099.200000000001</v>
      </c>
      <c r="E21" s="6826"/>
      <c r="F21" s="6826">
        <v>106229.51</v>
      </c>
      <c r="G21" s="6826">
        <v>500</v>
      </c>
      <c r="H21" s="6826">
        <v>17014.05</v>
      </c>
      <c r="I21" s="6826"/>
      <c r="J21" s="6826"/>
      <c r="K21" s="6826"/>
      <c r="L21" s="6826">
        <v>0</v>
      </c>
      <c r="M21" s="6826">
        <v>48344</v>
      </c>
      <c r="N21" s="6826">
        <v>203601.86</v>
      </c>
      <c r="O21" s="6826"/>
      <c r="P21" s="6826"/>
      <c r="Q21" s="6826">
        <v>0</v>
      </c>
      <c r="R21" s="6826"/>
      <c r="S21" s="6826"/>
      <c r="T21" s="6826">
        <v>393.75</v>
      </c>
      <c r="U21" s="6826">
        <v>9304.75</v>
      </c>
      <c r="V21" s="6827">
        <f>SUM(B21:U21)</f>
        <v>435699.12</v>
      </c>
      <c r="W21" s="8821">
        <f>V21</f>
        <v>435699.12</v>
      </c>
    </row>
    <row r="22" spans="1:25" s="1246" customFormat="1">
      <c r="A22" s="1250" t="s">
        <v>220</v>
      </c>
      <c r="B22" s="1251">
        <f>SUM(B18:B21)</f>
        <v>266826.53999999998</v>
      </c>
      <c r="C22" s="1251">
        <f t="shared" ref="C22:T22" si="2">SUM(C18:C21)</f>
        <v>1000</v>
      </c>
      <c r="D22" s="1251">
        <f t="shared" si="2"/>
        <v>309458.90000000002</v>
      </c>
      <c r="E22" s="1251">
        <f t="shared" si="2"/>
        <v>0</v>
      </c>
      <c r="F22" s="1251">
        <f t="shared" si="2"/>
        <v>523023.98</v>
      </c>
      <c r="G22" s="1251">
        <f t="shared" si="2"/>
        <v>4079</v>
      </c>
      <c r="H22" s="1251">
        <f t="shared" si="2"/>
        <v>402043.1</v>
      </c>
      <c r="I22" s="1251">
        <f t="shared" si="2"/>
        <v>0</v>
      </c>
      <c r="J22" s="1251">
        <f t="shared" si="2"/>
        <v>0</v>
      </c>
      <c r="K22" s="1251">
        <f t="shared" si="2"/>
        <v>99500</v>
      </c>
      <c r="L22" s="1251">
        <f t="shared" si="2"/>
        <v>72057.100000000006</v>
      </c>
      <c r="M22" s="1251">
        <f t="shared" si="2"/>
        <v>48344</v>
      </c>
      <c r="N22" s="1251">
        <f t="shared" si="2"/>
        <v>9444368.5899999999</v>
      </c>
      <c r="O22" s="1251">
        <f t="shared" si="2"/>
        <v>0</v>
      </c>
      <c r="P22" s="1251">
        <f t="shared" si="2"/>
        <v>0</v>
      </c>
      <c r="Q22" s="1251">
        <f t="shared" si="2"/>
        <v>9800</v>
      </c>
      <c r="R22" s="1251">
        <f t="shared" si="2"/>
        <v>0</v>
      </c>
      <c r="S22" s="1251">
        <f t="shared" si="2"/>
        <v>0</v>
      </c>
      <c r="T22" s="1251">
        <f t="shared" si="2"/>
        <v>1571.25</v>
      </c>
      <c r="U22" s="1251">
        <f>SUM(U18:U21)</f>
        <v>123641.02</v>
      </c>
      <c r="V22" s="1251">
        <f>SUM(V18:V21)</f>
        <v>11305713.479999999</v>
      </c>
    </row>
    <row r="24" spans="1:25">
      <c r="V24" s="1252"/>
      <c r="W24" s="1252">
        <f>SUM(W18:W21)</f>
        <v>11834782.959999999</v>
      </c>
      <c r="X24" s="5687">
        <f>'WS-MOOE ACTUAL JUNE 2018'!BY12</f>
        <v>11834782.959999999</v>
      </c>
      <c r="Y24" s="8813" t="s">
        <v>10989</v>
      </c>
    </row>
    <row r="25" spans="1:25">
      <c r="R25" s="5687"/>
      <c r="X25" s="8822">
        <f>'lbpf 3-SP'!F152</f>
        <v>11834782.960000001</v>
      </c>
      <c r="Y25" s="8813" t="s">
        <v>10990</v>
      </c>
    </row>
    <row r="26" spans="1:25">
      <c r="R26" s="5687"/>
      <c r="X26" s="5687">
        <f>X24-X25</f>
        <v>0</v>
      </c>
    </row>
    <row r="27" spans="1:25" s="1246" customFormat="1" ht="41.4">
      <c r="A27" s="10596" t="s">
        <v>11872</v>
      </c>
      <c r="B27" s="10587" t="s">
        <v>2544</v>
      </c>
      <c r="C27" s="10587" t="s">
        <v>10505</v>
      </c>
      <c r="D27" s="10587" t="s">
        <v>3351</v>
      </c>
      <c r="E27" s="10587" t="s">
        <v>10506</v>
      </c>
      <c r="F27" s="10587" t="s">
        <v>10507</v>
      </c>
      <c r="G27" s="10587" t="s">
        <v>10508</v>
      </c>
      <c r="H27" s="10587" t="s">
        <v>3340</v>
      </c>
      <c r="I27" s="10587" t="s">
        <v>3353</v>
      </c>
      <c r="J27" s="10587" t="s">
        <v>3354</v>
      </c>
      <c r="K27" s="10587" t="s">
        <v>3355</v>
      </c>
      <c r="L27" s="10588" t="s">
        <v>10509</v>
      </c>
      <c r="M27" s="10588" t="s">
        <v>10510</v>
      </c>
      <c r="N27" s="10587" t="s">
        <v>3356</v>
      </c>
      <c r="O27" s="10588" t="s">
        <v>4693</v>
      </c>
      <c r="P27" s="10588" t="s">
        <v>10511</v>
      </c>
      <c r="Q27" s="10588" t="s">
        <v>10512</v>
      </c>
      <c r="R27" s="10588" t="s">
        <v>4695</v>
      </c>
      <c r="S27" s="10587" t="s">
        <v>3357</v>
      </c>
      <c r="T27" s="10587" t="s">
        <v>10513</v>
      </c>
      <c r="U27" s="10587" t="s">
        <v>5031</v>
      </c>
      <c r="V27" s="10587" t="s">
        <v>220</v>
      </c>
    </row>
    <row r="28" spans="1:25">
      <c r="A28" s="6821" t="s">
        <v>3359</v>
      </c>
      <c r="B28" s="10589">
        <v>83283.539999999994</v>
      </c>
      <c r="C28" s="10589"/>
      <c r="D28" s="10589">
        <v>170105</v>
      </c>
      <c r="E28" s="10589"/>
      <c r="F28" s="10589"/>
      <c r="G28" s="10589"/>
      <c r="H28" s="10589">
        <v>29844.25</v>
      </c>
      <c r="I28" s="10589"/>
      <c r="J28" s="10589"/>
      <c r="K28" s="10589"/>
      <c r="L28" s="10589"/>
      <c r="M28" s="10589"/>
      <c r="N28" s="10589">
        <v>827407.5</v>
      </c>
      <c r="O28" s="10589"/>
      <c r="P28" s="10589"/>
      <c r="Q28" s="10589"/>
      <c r="R28" s="10589"/>
      <c r="S28" s="10589"/>
      <c r="T28" s="10589"/>
      <c r="U28" s="10589">
        <v>4794</v>
      </c>
      <c r="V28" s="10590">
        <f>SUM(B28:U28)</f>
        <v>1115434.29</v>
      </c>
    </row>
    <row r="29" spans="1:25">
      <c r="A29" s="6821" t="s">
        <v>3360</v>
      </c>
      <c r="B29" s="10589">
        <v>0</v>
      </c>
      <c r="C29" s="10589"/>
      <c r="D29" s="10589">
        <v>126221.6</v>
      </c>
      <c r="E29" s="10589"/>
      <c r="F29" s="10589"/>
      <c r="G29" s="10589"/>
      <c r="H29" s="10589">
        <v>34777.919999999998</v>
      </c>
      <c r="I29" s="10589"/>
      <c r="J29" s="10589"/>
      <c r="K29" s="10589"/>
      <c r="L29" s="10589"/>
      <c r="M29" s="10589"/>
      <c r="N29" s="10589">
        <v>1028240</v>
      </c>
      <c r="O29" s="10589"/>
      <c r="P29" s="10589"/>
      <c r="Q29" s="10589"/>
      <c r="R29" s="10589"/>
      <c r="S29" s="10589"/>
      <c r="T29" s="10589"/>
      <c r="U29" s="10589">
        <v>6000</v>
      </c>
      <c r="V29" s="10590">
        <f t="shared" ref="V29:V40" si="3">SUM(B29:U29)</f>
        <v>1195239.52</v>
      </c>
    </row>
    <row r="30" spans="1:25">
      <c r="A30" s="6821" t="s">
        <v>3361</v>
      </c>
      <c r="B30" s="10589">
        <v>0</v>
      </c>
      <c r="C30" s="10589"/>
      <c r="D30" s="10589">
        <v>182464.83</v>
      </c>
      <c r="E30" s="10589"/>
      <c r="F30" s="10589"/>
      <c r="G30" s="10589"/>
      <c r="H30" s="10589">
        <v>39968.92</v>
      </c>
      <c r="I30" s="10589"/>
      <c r="J30" s="10589"/>
      <c r="K30" s="10589"/>
      <c r="L30" s="10589"/>
      <c r="M30" s="10589"/>
      <c r="N30" s="10589">
        <v>387539.25</v>
      </c>
      <c r="O30" s="10589"/>
      <c r="P30" s="10589"/>
      <c r="Q30" s="10589"/>
      <c r="R30" s="10589"/>
      <c r="S30" s="10589"/>
      <c r="T30" s="10589"/>
      <c r="U30" s="10589">
        <v>11880</v>
      </c>
      <c r="V30" s="10590">
        <f t="shared" si="3"/>
        <v>621853</v>
      </c>
    </row>
    <row r="31" spans="1:25">
      <c r="A31" s="6821" t="s">
        <v>3362</v>
      </c>
      <c r="B31" s="10589">
        <v>0</v>
      </c>
      <c r="C31" s="10589"/>
      <c r="D31" s="10589">
        <v>269865</v>
      </c>
      <c r="E31" s="10589"/>
      <c r="F31" s="10589"/>
      <c r="G31" s="10589"/>
      <c r="H31" s="10589">
        <v>48897.96</v>
      </c>
      <c r="I31" s="10589"/>
      <c r="J31" s="10589"/>
      <c r="K31" s="10589"/>
      <c r="L31" s="10589"/>
      <c r="M31" s="10589"/>
      <c r="N31" s="10589">
        <v>638517.5</v>
      </c>
      <c r="O31" s="10589"/>
      <c r="P31" s="10589"/>
      <c r="Q31" s="10589"/>
      <c r="R31" s="10589"/>
      <c r="S31" s="10589"/>
      <c r="T31" s="10589"/>
      <c r="U31" s="10589">
        <v>23000</v>
      </c>
      <c r="V31" s="10590">
        <f t="shared" si="3"/>
        <v>980280.46</v>
      </c>
    </row>
    <row r="32" spans="1:25">
      <c r="A32" s="6821" t="s">
        <v>3363</v>
      </c>
      <c r="B32" s="10589">
        <v>0</v>
      </c>
      <c r="C32" s="10589"/>
      <c r="D32" s="10589">
        <v>83395</v>
      </c>
      <c r="E32" s="10589"/>
      <c r="F32" s="10589"/>
      <c r="G32" s="10589"/>
      <c r="H32" s="10589">
        <v>50056.800000000003</v>
      </c>
      <c r="I32" s="10589"/>
      <c r="J32" s="10589"/>
      <c r="K32" s="10589"/>
      <c r="L32" s="10589"/>
      <c r="M32" s="10589"/>
      <c r="N32" s="10589">
        <v>761158.75</v>
      </c>
      <c r="O32" s="10589"/>
      <c r="P32" s="10589"/>
      <c r="Q32" s="10589"/>
      <c r="R32" s="10589"/>
      <c r="S32" s="10589"/>
      <c r="T32" s="10589"/>
      <c r="U32" s="10589">
        <v>5000</v>
      </c>
      <c r="V32" s="10590">
        <f t="shared" si="3"/>
        <v>899610.55</v>
      </c>
    </row>
    <row r="33" spans="1:22">
      <c r="A33" s="6821" t="s">
        <v>3364</v>
      </c>
      <c r="B33" s="10589">
        <v>0</v>
      </c>
      <c r="C33" s="10589"/>
      <c r="D33" s="10589">
        <v>0</v>
      </c>
      <c r="E33" s="10589"/>
      <c r="F33" s="10589"/>
      <c r="G33" s="10589"/>
      <c r="H33" s="10589">
        <v>21513.77</v>
      </c>
      <c r="I33" s="10589"/>
      <c r="J33" s="10589"/>
      <c r="K33" s="10589"/>
      <c r="L33" s="10589"/>
      <c r="M33" s="10589"/>
      <c r="N33" s="10589">
        <v>925200</v>
      </c>
      <c r="O33" s="10589"/>
      <c r="P33" s="10589"/>
      <c r="Q33" s="10589"/>
      <c r="R33" s="10589"/>
      <c r="S33" s="10589"/>
      <c r="T33" s="10589"/>
      <c r="U33" s="10589">
        <v>0</v>
      </c>
      <c r="V33" s="10590">
        <f t="shared" si="3"/>
        <v>946713.77</v>
      </c>
    </row>
    <row r="34" spans="1:22">
      <c r="A34" s="6821" t="s">
        <v>3365</v>
      </c>
      <c r="B34" s="10589">
        <v>0</v>
      </c>
      <c r="C34" s="10589"/>
      <c r="D34" s="10589">
        <v>286093.75</v>
      </c>
      <c r="E34" s="10589"/>
      <c r="F34" s="10589"/>
      <c r="G34" s="10589"/>
      <c r="H34" s="10589">
        <v>26830.46</v>
      </c>
      <c r="I34" s="10589"/>
      <c r="J34" s="10589"/>
      <c r="K34" s="10589"/>
      <c r="L34" s="10589"/>
      <c r="M34" s="10589"/>
      <c r="N34" s="10589">
        <v>1015363.25</v>
      </c>
      <c r="O34" s="10589"/>
      <c r="P34" s="10589"/>
      <c r="Q34" s="10589"/>
      <c r="R34" s="10589"/>
      <c r="S34" s="10589"/>
      <c r="T34" s="10589"/>
      <c r="U34" s="10589">
        <v>5000</v>
      </c>
      <c r="V34" s="10590">
        <f t="shared" si="3"/>
        <v>1333287.46</v>
      </c>
    </row>
    <row r="35" spans="1:22">
      <c r="A35" s="6821" t="s">
        <v>3366</v>
      </c>
      <c r="B35" s="10589">
        <v>10636</v>
      </c>
      <c r="C35" s="10589"/>
      <c r="D35" s="10589">
        <v>90769.82</v>
      </c>
      <c r="E35" s="10589"/>
      <c r="F35" s="10589"/>
      <c r="G35" s="10589"/>
      <c r="H35" s="10589">
        <v>26917.51</v>
      </c>
      <c r="I35" s="10589"/>
      <c r="J35" s="10589"/>
      <c r="K35" s="10589"/>
      <c r="L35" s="10589"/>
      <c r="M35" s="10589"/>
      <c r="N35" s="10589">
        <v>1070807.42</v>
      </c>
      <c r="O35" s="10589"/>
      <c r="P35" s="10589"/>
      <c r="Q35" s="10589"/>
      <c r="R35" s="10589"/>
      <c r="S35" s="10589"/>
      <c r="T35" s="10589"/>
      <c r="U35" s="10589">
        <v>41500</v>
      </c>
      <c r="V35" s="10590">
        <f t="shared" si="3"/>
        <v>1240630.75</v>
      </c>
    </row>
    <row r="36" spans="1:22">
      <c r="A36" s="6821" t="s">
        <v>3367</v>
      </c>
      <c r="B36" s="10589">
        <v>0</v>
      </c>
      <c r="C36" s="10589"/>
      <c r="D36" s="10589">
        <v>153247.5</v>
      </c>
      <c r="E36" s="10589"/>
      <c r="F36" s="10589"/>
      <c r="G36" s="10589"/>
      <c r="H36" s="10589">
        <v>43585.31</v>
      </c>
      <c r="I36" s="10589"/>
      <c r="J36" s="10589"/>
      <c r="K36" s="10589"/>
      <c r="L36" s="10589"/>
      <c r="M36" s="10589"/>
      <c r="N36" s="10589">
        <v>1289023.03</v>
      </c>
      <c r="O36" s="10589"/>
      <c r="P36" s="10589"/>
      <c r="Q36" s="10589"/>
      <c r="R36" s="10589"/>
      <c r="S36" s="10589"/>
      <c r="T36" s="10589"/>
      <c r="U36" s="10589">
        <v>2000</v>
      </c>
      <c r="V36" s="10590">
        <f t="shared" si="3"/>
        <v>1487855.84</v>
      </c>
    </row>
    <row r="37" spans="1:22">
      <c r="A37" s="6821" t="s">
        <v>3368</v>
      </c>
      <c r="B37" s="10589">
        <v>0</v>
      </c>
      <c r="C37" s="10589"/>
      <c r="D37" s="10589">
        <v>133463.25</v>
      </c>
      <c r="E37" s="10589"/>
      <c r="F37" s="10589"/>
      <c r="G37" s="10589"/>
      <c r="H37" s="10589">
        <v>12684.78</v>
      </c>
      <c r="I37" s="10589"/>
      <c r="J37" s="10589"/>
      <c r="K37" s="10589"/>
      <c r="L37" s="10589"/>
      <c r="M37" s="10589"/>
      <c r="N37" s="10589">
        <v>1091375.1100000001</v>
      </c>
      <c r="O37" s="10589"/>
      <c r="P37" s="10589"/>
      <c r="Q37" s="10589"/>
      <c r="R37" s="10589"/>
      <c r="S37" s="10589"/>
      <c r="T37" s="10589"/>
      <c r="U37" s="10589">
        <v>0</v>
      </c>
      <c r="V37" s="10590">
        <f t="shared" si="3"/>
        <v>1237523.1400000001</v>
      </c>
    </row>
    <row r="38" spans="1:22">
      <c r="A38" s="6821" t="s">
        <v>3369</v>
      </c>
      <c r="B38" s="10589">
        <v>103805</v>
      </c>
      <c r="C38" s="10589"/>
      <c r="D38" s="10589">
        <v>127052</v>
      </c>
      <c r="E38" s="10589"/>
      <c r="F38" s="10589"/>
      <c r="G38" s="10589"/>
      <c r="H38" s="10589">
        <v>22245.93</v>
      </c>
      <c r="I38" s="10589"/>
      <c r="J38" s="10589"/>
      <c r="K38" s="10589"/>
      <c r="L38" s="10589"/>
      <c r="M38" s="10589"/>
      <c r="N38" s="10589">
        <v>773324.13</v>
      </c>
      <c r="O38" s="10589"/>
      <c r="P38" s="10589"/>
      <c r="Q38" s="10589"/>
      <c r="R38" s="10589"/>
      <c r="S38" s="10589"/>
      <c r="T38" s="10589"/>
      <c r="U38" s="10589">
        <v>13500</v>
      </c>
      <c r="V38" s="10590">
        <f t="shared" si="3"/>
        <v>1039927.06</v>
      </c>
    </row>
    <row r="39" spans="1:22">
      <c r="A39" s="6821" t="s">
        <v>3370</v>
      </c>
      <c r="B39" s="10589">
        <v>66410</v>
      </c>
      <c r="C39" s="10589"/>
      <c r="D39" s="10589">
        <v>170895</v>
      </c>
      <c r="E39" s="10589"/>
      <c r="F39" s="10589"/>
      <c r="G39" s="10589"/>
      <c r="H39" s="10589">
        <v>65098.7</v>
      </c>
      <c r="I39" s="10589"/>
      <c r="J39" s="10589"/>
      <c r="K39" s="10589"/>
      <c r="L39" s="10589"/>
      <c r="M39" s="10589"/>
      <c r="N39" s="10589">
        <v>682727.5</v>
      </c>
      <c r="O39" s="10589"/>
      <c r="P39" s="10589"/>
      <c r="Q39" s="10589"/>
      <c r="R39" s="10589"/>
      <c r="S39" s="10589"/>
      <c r="T39" s="10589"/>
      <c r="U39" s="10589">
        <v>11500</v>
      </c>
      <c r="V39" s="10590">
        <f t="shared" si="3"/>
        <v>996631.2</v>
      </c>
    </row>
    <row r="40" spans="1:22">
      <c r="A40" s="10591" t="s">
        <v>3371</v>
      </c>
      <c r="B40" s="10592">
        <v>76000</v>
      </c>
      <c r="C40" s="10592"/>
      <c r="D40" s="10592">
        <v>223690</v>
      </c>
      <c r="E40" s="10592"/>
      <c r="F40" s="10592"/>
      <c r="G40" s="10592"/>
      <c r="H40" s="10592"/>
      <c r="I40" s="10592"/>
      <c r="J40" s="10592"/>
      <c r="K40" s="10592"/>
      <c r="L40" s="10592"/>
      <c r="M40" s="10592"/>
      <c r="N40" s="10592">
        <v>114720</v>
      </c>
      <c r="O40" s="10592"/>
      <c r="P40" s="10592"/>
      <c r="Q40" s="10592"/>
      <c r="R40" s="10592"/>
      <c r="S40" s="10592"/>
      <c r="T40" s="10592"/>
      <c r="U40" s="10592">
        <v>0</v>
      </c>
      <c r="V40" s="10593">
        <f t="shared" si="3"/>
        <v>414410</v>
      </c>
    </row>
    <row r="41" spans="1:22" s="1246" customFormat="1">
      <c r="A41" s="10594"/>
      <c r="B41" s="10595">
        <f>SUM(B28:B40)</f>
        <v>340134.54</v>
      </c>
      <c r="C41" s="10595">
        <f t="shared" ref="C41:V41" si="4">SUM(C28:C40)</f>
        <v>0</v>
      </c>
      <c r="D41" s="10595">
        <f t="shared" si="4"/>
        <v>2017262.75</v>
      </c>
      <c r="E41" s="10595">
        <f t="shared" si="4"/>
        <v>0</v>
      </c>
      <c r="F41" s="10595">
        <f t="shared" si="4"/>
        <v>0</v>
      </c>
      <c r="G41" s="10595">
        <f t="shared" si="4"/>
        <v>0</v>
      </c>
      <c r="H41" s="10595">
        <f t="shared" si="4"/>
        <v>422422.31</v>
      </c>
      <c r="I41" s="10595">
        <f t="shared" si="4"/>
        <v>0</v>
      </c>
      <c r="J41" s="10595">
        <f t="shared" si="4"/>
        <v>0</v>
      </c>
      <c r="K41" s="10595">
        <f t="shared" si="4"/>
        <v>0</v>
      </c>
      <c r="L41" s="10595">
        <f t="shared" si="4"/>
        <v>0</v>
      </c>
      <c r="M41" s="10595">
        <f t="shared" si="4"/>
        <v>0</v>
      </c>
      <c r="N41" s="10595">
        <f t="shared" si="4"/>
        <v>10605403.440000001</v>
      </c>
      <c r="O41" s="10595">
        <f t="shared" si="4"/>
        <v>0</v>
      </c>
      <c r="P41" s="10595">
        <f t="shared" si="4"/>
        <v>0</v>
      </c>
      <c r="Q41" s="10595">
        <f t="shared" si="4"/>
        <v>0</v>
      </c>
      <c r="R41" s="10595">
        <f t="shared" si="4"/>
        <v>0</v>
      </c>
      <c r="S41" s="10595">
        <f t="shared" si="4"/>
        <v>0</v>
      </c>
      <c r="T41" s="10595">
        <f t="shared" si="4"/>
        <v>0</v>
      </c>
      <c r="U41" s="10595">
        <f t="shared" si="4"/>
        <v>124174</v>
      </c>
      <c r="V41" s="10595">
        <f t="shared" si="4"/>
        <v>13509397.040000001</v>
      </c>
    </row>
    <row r="42" spans="1:22">
      <c r="B42" s="2144"/>
      <c r="C42" s="2144"/>
      <c r="D42" s="2144"/>
      <c r="E42" s="2144"/>
      <c r="F42" s="2144"/>
      <c r="G42" s="2144"/>
      <c r="H42" s="2144"/>
      <c r="I42" s="2144"/>
      <c r="J42" s="2144"/>
      <c r="K42" s="2144"/>
      <c r="L42" s="2144"/>
      <c r="M42" s="2144"/>
      <c r="N42" s="2144"/>
      <c r="O42" s="2144"/>
      <c r="P42" s="2144"/>
      <c r="Q42" s="2144"/>
      <c r="R42" s="2144"/>
      <c r="S42" s="2144"/>
      <c r="T42" s="2144"/>
      <c r="U42" s="2144"/>
      <c r="V42" s="952"/>
    </row>
  </sheetData>
  <pageMargins left="0" right="0" top="0.75" bottom="0.75" header="0.3" footer="0.3"/>
  <pageSetup paperSize="136" scale="75" orientation="landscape" verticalDpi="300" r:id="rId1"/>
</worksheet>
</file>

<file path=xl/worksheets/sheet189.xml><?xml version="1.0" encoding="utf-8"?>
<worksheet xmlns="http://schemas.openxmlformats.org/spreadsheetml/2006/main" xmlns:r="http://schemas.openxmlformats.org/officeDocument/2006/relationships">
  <sheetPr codeName="Sheet161">
    <tabColor rgb="FF00FF00"/>
  </sheetPr>
  <dimension ref="A1:AG127"/>
  <sheetViews>
    <sheetView workbookViewId="0">
      <pane xSplit="1" ySplit="3" topLeftCell="B4" activePane="bottomRight" state="frozen"/>
      <selection activeCell="J38" sqref="J38"/>
      <selection pane="topRight" activeCell="J38" sqref="J38"/>
      <selection pane="bottomLeft" activeCell="J38" sqref="J38"/>
      <selection pane="bottomRight" activeCell="J38" sqref="J38"/>
    </sheetView>
  </sheetViews>
  <sheetFormatPr defaultColWidth="9.109375" defaultRowHeight="14.1" customHeight="1"/>
  <cols>
    <col min="1" max="1" width="9.109375" style="6791" customWidth="1"/>
    <col min="2" max="3" width="8.44140625" style="7108" customWidth="1"/>
    <col min="4" max="4" width="13.88671875" style="7108" customWidth="1"/>
    <col min="5" max="5" width="12.44140625" style="6791" customWidth="1"/>
    <col min="6" max="6" width="13" style="6791" customWidth="1"/>
    <col min="7" max="7" width="12.109375" style="6791" customWidth="1"/>
    <col min="8" max="9" width="8.109375" style="6791" customWidth="1"/>
    <col min="10" max="10" width="15" style="6791" customWidth="1"/>
    <col min="11" max="11" width="8.109375" style="6791" customWidth="1"/>
    <col min="12" max="29" width="8.109375" style="6791" hidden="1" customWidth="1"/>
    <col min="30" max="30" width="12.88671875" style="6791" customWidth="1"/>
    <col min="31" max="31" width="9.6640625" style="6791" customWidth="1"/>
    <col min="32" max="32" width="5" style="6791" customWidth="1"/>
    <col min="33" max="33" width="15.88671875" style="6791" customWidth="1"/>
    <col min="34" max="16384" width="9.109375" style="6791"/>
  </cols>
  <sheetData>
    <row r="1" spans="1:33" ht="14.1" customHeight="1">
      <c r="A1" s="7107" t="s">
        <v>11521</v>
      </c>
      <c r="E1" s="7107"/>
      <c r="G1" s="7107"/>
      <c r="AE1" s="7107"/>
    </row>
    <row r="2" spans="1:33" s="7109" customFormat="1" ht="25.5" customHeight="1">
      <c r="A2" s="6792" t="s">
        <v>638</v>
      </c>
      <c r="B2" s="6792"/>
      <c r="C2" s="6792" t="s">
        <v>4822</v>
      </c>
      <c r="D2" s="6792" t="s">
        <v>11005</v>
      </c>
      <c r="E2" s="6792" t="s">
        <v>9957</v>
      </c>
      <c r="F2" s="6792" t="s">
        <v>11004</v>
      </c>
      <c r="G2" s="6792" t="s">
        <v>9958</v>
      </c>
      <c r="H2" s="6792"/>
      <c r="I2" s="6792"/>
      <c r="J2" s="6792" t="s">
        <v>9191</v>
      </c>
      <c r="K2" s="6792" t="s">
        <v>9959</v>
      </c>
      <c r="L2" s="6792"/>
      <c r="M2" s="6792"/>
      <c r="N2" s="6792"/>
      <c r="O2" s="6792"/>
      <c r="P2" s="6792"/>
      <c r="Q2" s="6792"/>
      <c r="R2" s="6792"/>
      <c r="S2" s="6792"/>
      <c r="T2" s="6792"/>
      <c r="U2" s="6792"/>
      <c r="V2" s="6792"/>
      <c r="W2" s="6792"/>
      <c r="X2" s="6792"/>
      <c r="Y2" s="6792"/>
      <c r="Z2" s="6792"/>
      <c r="AA2" s="6792"/>
      <c r="AB2" s="6792"/>
      <c r="AC2" s="6792"/>
      <c r="AD2" s="6792" t="s">
        <v>661</v>
      </c>
      <c r="AE2" s="6792" t="s">
        <v>638</v>
      </c>
    </row>
    <row r="3" spans="1:33" s="7107" customFormat="1" ht="14.1" customHeight="1" thickBot="1">
      <c r="A3" s="6793"/>
      <c r="B3" s="7110"/>
      <c r="C3" s="7110"/>
      <c r="D3" s="7110">
        <v>50703060</v>
      </c>
      <c r="E3" s="7110"/>
      <c r="F3" s="7110"/>
      <c r="G3" s="7110">
        <v>50707010</v>
      </c>
      <c r="H3" s="7110"/>
      <c r="I3" s="7110"/>
      <c r="J3" s="7111"/>
      <c r="K3" s="7110"/>
      <c r="L3" s="7110"/>
      <c r="M3" s="7110"/>
      <c r="N3" s="7110"/>
      <c r="O3" s="7110"/>
      <c r="P3" s="7110"/>
      <c r="Q3" s="7110"/>
      <c r="R3" s="7110"/>
      <c r="S3" s="7110"/>
      <c r="T3" s="7110"/>
      <c r="U3" s="7110"/>
      <c r="V3" s="7110"/>
      <c r="W3" s="7110"/>
      <c r="X3" s="7110"/>
      <c r="Y3" s="7110"/>
      <c r="Z3" s="7110"/>
      <c r="AA3" s="7110"/>
      <c r="AB3" s="7110"/>
      <c r="AC3" s="7110"/>
      <c r="AD3" s="6793"/>
      <c r="AE3" s="6793"/>
    </row>
    <row r="4" spans="1:33" ht="6.6" customHeight="1">
      <c r="A4" s="7112"/>
      <c r="B4" s="7113"/>
      <c r="C4" s="7113"/>
      <c r="D4" s="7113"/>
      <c r="E4" s="7113"/>
      <c r="F4" s="7113"/>
      <c r="G4" s="7113"/>
      <c r="H4" s="7113"/>
      <c r="I4" s="7113"/>
      <c r="J4" s="7113"/>
      <c r="K4" s="7113"/>
      <c r="L4" s="7113"/>
      <c r="M4" s="7113"/>
      <c r="N4" s="7113"/>
      <c r="O4" s="7113"/>
      <c r="P4" s="7113"/>
      <c r="Q4" s="7113"/>
      <c r="R4" s="7113"/>
      <c r="S4" s="7113"/>
      <c r="T4" s="7113"/>
      <c r="U4" s="7113"/>
      <c r="V4" s="7113"/>
      <c r="W4" s="7113"/>
      <c r="X4" s="7113"/>
      <c r="Y4" s="7113"/>
      <c r="Z4" s="7113"/>
      <c r="AA4" s="7113"/>
      <c r="AB4" s="7113"/>
      <c r="AC4" s="7113"/>
      <c r="AD4" s="6794"/>
      <c r="AE4" s="7112"/>
    </row>
    <row r="5" spans="1:33" ht="14.1" customHeight="1">
      <c r="A5" s="7120" t="s">
        <v>568</v>
      </c>
      <c r="B5" s="7121">
        <v>0</v>
      </c>
      <c r="C5" s="7121">
        <v>0</v>
      </c>
      <c r="D5" s="7121">
        <v>0</v>
      </c>
      <c r="E5" s="7122">
        <v>0</v>
      </c>
      <c r="F5" s="7122">
        <v>0</v>
      </c>
      <c r="G5" s="7122">
        <v>0</v>
      </c>
      <c r="H5" s="7122">
        <v>0</v>
      </c>
      <c r="I5" s="7122">
        <v>0</v>
      </c>
      <c r="J5" s="7122">
        <v>0</v>
      </c>
      <c r="K5" s="7122">
        <v>0</v>
      </c>
      <c r="L5" s="7122"/>
      <c r="M5" s="7122"/>
      <c r="N5" s="7122"/>
      <c r="O5" s="7122"/>
      <c r="P5" s="7122"/>
      <c r="Q5" s="7122"/>
      <c r="R5" s="7122"/>
      <c r="S5" s="7122"/>
      <c r="T5" s="7122"/>
      <c r="U5" s="7122"/>
      <c r="V5" s="7123"/>
      <c r="W5" s="7122"/>
      <c r="X5" s="7122"/>
      <c r="Y5" s="7122"/>
      <c r="Z5" s="7122"/>
      <c r="AA5" s="7122"/>
      <c r="AB5" s="7122"/>
      <c r="AC5" s="7122"/>
      <c r="AD5" s="7124">
        <f t="shared" ref="AD5:AD10" si="0">SUM(B5:AC5)</f>
        <v>0</v>
      </c>
      <c r="AE5" s="7120" t="s">
        <v>568</v>
      </c>
      <c r="AG5" s="10306">
        <f>'WS-PS ACTUAL JUNE 2018'!Z5+'WS-MOOE ACTUAL JUNE 2018'!BY6+'WS-CO ACTUAL JUNE 2018'!AD5</f>
        <v>56759432.060000002</v>
      </c>
    </row>
    <row r="6" spans="1:33" ht="14.1" customHeight="1">
      <c r="A6" s="7125" t="s">
        <v>1724</v>
      </c>
      <c r="B6" s="7126">
        <v>0</v>
      </c>
      <c r="C6" s="7126">
        <v>0</v>
      </c>
      <c r="D6" s="7126">
        <v>0</v>
      </c>
      <c r="E6" s="7127">
        <v>0</v>
      </c>
      <c r="F6" s="7127">
        <v>0</v>
      </c>
      <c r="G6" s="7127">
        <v>0</v>
      </c>
      <c r="H6" s="7127">
        <v>0</v>
      </c>
      <c r="I6" s="7127">
        <v>0</v>
      </c>
      <c r="J6" s="7127">
        <v>0</v>
      </c>
      <c r="K6" s="7127">
        <v>0</v>
      </c>
      <c r="L6" s="7127"/>
      <c r="M6" s="7127"/>
      <c r="N6" s="7127"/>
      <c r="O6" s="7127"/>
      <c r="P6" s="7127"/>
      <c r="Q6" s="7127"/>
      <c r="R6" s="7127"/>
      <c r="S6" s="7127"/>
      <c r="T6" s="7127"/>
      <c r="U6" s="7127"/>
      <c r="V6" s="7128"/>
      <c r="W6" s="7127"/>
      <c r="X6" s="7127"/>
      <c r="Y6" s="7127"/>
      <c r="Z6" s="7127"/>
      <c r="AA6" s="7127"/>
      <c r="AB6" s="7127"/>
      <c r="AC6" s="7127"/>
      <c r="AD6" s="7129">
        <f t="shared" si="0"/>
        <v>0</v>
      </c>
      <c r="AE6" s="7125" t="s">
        <v>1724</v>
      </c>
      <c r="AG6" s="10306">
        <f>'WS-PS ACTUAL JUNE 2018'!Z6+'WS-MOOE ACTUAL JUNE 2018'!BY7+'WS-CO ACTUAL JUNE 2018'!AD6</f>
        <v>2693722.16</v>
      </c>
    </row>
    <row r="7" spans="1:33" ht="14.1" customHeight="1">
      <c r="A7" s="7125" t="s">
        <v>10317</v>
      </c>
      <c r="B7" s="7126">
        <v>0</v>
      </c>
      <c r="C7" s="7126">
        <v>0</v>
      </c>
      <c r="D7" s="7126">
        <v>0</v>
      </c>
      <c r="E7" s="7127">
        <v>0</v>
      </c>
      <c r="F7" s="7127">
        <v>0</v>
      </c>
      <c r="G7" s="7127">
        <v>0</v>
      </c>
      <c r="H7" s="7127">
        <v>0</v>
      </c>
      <c r="I7" s="7127">
        <v>0</v>
      </c>
      <c r="J7" s="7127">
        <v>0</v>
      </c>
      <c r="K7" s="7127">
        <v>0</v>
      </c>
      <c r="L7" s="7127"/>
      <c r="M7" s="7127"/>
      <c r="N7" s="7127"/>
      <c r="O7" s="7127"/>
      <c r="P7" s="7127"/>
      <c r="Q7" s="7127"/>
      <c r="R7" s="7127"/>
      <c r="S7" s="7127"/>
      <c r="T7" s="7127"/>
      <c r="U7" s="7127"/>
      <c r="V7" s="7128"/>
      <c r="W7" s="7127"/>
      <c r="X7" s="7127"/>
      <c r="Y7" s="7127"/>
      <c r="Z7" s="7127"/>
      <c r="AA7" s="7127"/>
      <c r="AB7" s="7127"/>
      <c r="AC7" s="7127"/>
      <c r="AD7" s="7129">
        <f t="shared" si="0"/>
        <v>0</v>
      </c>
      <c r="AE7" s="7125" t="s">
        <v>10317</v>
      </c>
      <c r="AG7" s="10306">
        <f>'WS-PS ACTUAL JUNE 2018'!Z7+'WS-MOOE ACTUAL JUNE 2018'!BY8+'WS-CO ACTUAL JUNE 2018'!AD7</f>
        <v>1340027.81</v>
      </c>
    </row>
    <row r="8" spans="1:33" ht="14.1" customHeight="1">
      <c r="A8" s="7125" t="s">
        <v>10318</v>
      </c>
      <c r="B8" s="7126">
        <v>0</v>
      </c>
      <c r="C8" s="7126">
        <v>0</v>
      </c>
      <c r="D8" s="7126">
        <v>0</v>
      </c>
      <c r="E8" s="7127">
        <v>0</v>
      </c>
      <c r="F8" s="7127">
        <v>0</v>
      </c>
      <c r="G8" s="7127">
        <v>0</v>
      </c>
      <c r="H8" s="7127">
        <v>0</v>
      </c>
      <c r="I8" s="7127">
        <v>0</v>
      </c>
      <c r="J8" s="7127">
        <v>0</v>
      </c>
      <c r="K8" s="7127">
        <v>0</v>
      </c>
      <c r="L8" s="7127"/>
      <c r="M8" s="7127"/>
      <c r="N8" s="7127"/>
      <c r="O8" s="7127"/>
      <c r="P8" s="7127"/>
      <c r="Q8" s="7127"/>
      <c r="R8" s="7127"/>
      <c r="S8" s="7127"/>
      <c r="T8" s="7127"/>
      <c r="U8" s="7127"/>
      <c r="V8" s="7128"/>
      <c r="W8" s="7127"/>
      <c r="X8" s="7127"/>
      <c r="Y8" s="7127"/>
      <c r="Z8" s="7127"/>
      <c r="AA8" s="7127"/>
      <c r="AB8" s="7127"/>
      <c r="AC8" s="7127"/>
      <c r="AD8" s="7129">
        <f t="shared" si="0"/>
        <v>0</v>
      </c>
      <c r="AE8" s="7125" t="s">
        <v>10318</v>
      </c>
      <c r="AG8" s="10306">
        <f>'WS-PS ACTUAL JUNE 2018'!Z8+'WS-MOOE ACTUAL JUNE 2018'!BY9+'WS-CO ACTUAL JUNE 2018'!AD8</f>
        <v>605159.30000000005</v>
      </c>
    </row>
    <row r="9" spans="1:33" ht="14.1" customHeight="1">
      <c r="A9" s="7125" t="s">
        <v>11193</v>
      </c>
      <c r="B9" s="7126"/>
      <c r="C9" s="7126"/>
      <c r="D9" s="7126"/>
      <c r="E9" s="7127"/>
      <c r="F9" s="7127"/>
      <c r="G9" s="7127"/>
      <c r="H9" s="7127"/>
      <c r="I9" s="7127"/>
      <c r="J9" s="7127"/>
      <c r="K9" s="7127"/>
      <c r="L9" s="7127"/>
      <c r="M9" s="7127"/>
      <c r="N9" s="7127"/>
      <c r="O9" s="7127"/>
      <c r="P9" s="7127"/>
      <c r="Q9" s="7127"/>
      <c r="R9" s="7127"/>
      <c r="S9" s="7127"/>
      <c r="T9" s="7127"/>
      <c r="U9" s="7127"/>
      <c r="V9" s="7128"/>
      <c r="W9" s="7127"/>
      <c r="X9" s="7127"/>
      <c r="Y9" s="7127"/>
      <c r="Z9" s="7127"/>
      <c r="AA9" s="7127"/>
      <c r="AB9" s="7127"/>
      <c r="AC9" s="7127"/>
      <c r="AD9" s="7129">
        <f t="shared" si="0"/>
        <v>0</v>
      </c>
      <c r="AE9" s="7125" t="s">
        <v>11193</v>
      </c>
      <c r="AG9" s="10306">
        <f>'WS-PS ACTUAL JUNE 2018'!Z9+'WS-MOOE ACTUAL JUNE 2018'!BY10+'WS-CO ACTUAL JUNE 2018'!AD9</f>
        <v>416736.21</v>
      </c>
    </row>
    <row r="10" spans="1:33" ht="14.1" customHeight="1">
      <c r="A10" s="7125" t="s">
        <v>675</v>
      </c>
      <c r="B10" s="7126">
        <v>0</v>
      </c>
      <c r="C10" s="7126">
        <v>0</v>
      </c>
      <c r="D10" s="7126">
        <v>0</v>
      </c>
      <c r="E10" s="7127">
        <v>0</v>
      </c>
      <c r="F10" s="7127">
        <v>0</v>
      </c>
      <c r="G10" s="7127">
        <v>0</v>
      </c>
      <c r="H10" s="7127">
        <v>0</v>
      </c>
      <c r="I10" s="7127">
        <v>0</v>
      </c>
      <c r="J10" s="7127">
        <v>0</v>
      </c>
      <c r="K10" s="7127">
        <v>0</v>
      </c>
      <c r="L10" s="7127"/>
      <c r="M10" s="7127"/>
      <c r="N10" s="7127"/>
      <c r="O10" s="7127"/>
      <c r="P10" s="7127"/>
      <c r="Q10" s="7127"/>
      <c r="R10" s="7127"/>
      <c r="S10" s="7127"/>
      <c r="T10" s="7127"/>
      <c r="U10" s="7127"/>
      <c r="V10" s="7128"/>
      <c r="W10" s="7127"/>
      <c r="X10" s="7127"/>
      <c r="Y10" s="7127"/>
      <c r="Z10" s="7127"/>
      <c r="AA10" s="7127"/>
      <c r="AB10" s="7127"/>
      <c r="AC10" s="7127"/>
      <c r="AD10" s="7129">
        <f t="shared" si="0"/>
        <v>0</v>
      </c>
      <c r="AE10" s="7125" t="s">
        <v>675</v>
      </c>
      <c r="AG10" s="10306">
        <f>'WS-PS ACTUAL JUNE 2018'!Z10+'WS-MOOE ACTUAL JUNE 2018'!BY11+'WS-CO ACTUAL JUNE 2018'!AD10</f>
        <v>1965721.0300000003</v>
      </c>
    </row>
    <row r="11" spans="1:33" ht="14.1" customHeight="1">
      <c r="A11" s="7125" t="s">
        <v>569</v>
      </c>
      <c r="B11" s="7126">
        <v>0</v>
      </c>
      <c r="C11" s="7126">
        <v>0</v>
      </c>
      <c r="D11" s="7126">
        <v>0</v>
      </c>
      <c r="E11" s="7127">
        <v>0</v>
      </c>
      <c r="F11" s="7127">
        <v>0</v>
      </c>
      <c r="G11" s="7127">
        <f>'lbpf 3-SP'!F176</f>
        <v>0</v>
      </c>
      <c r="H11" s="7127">
        <v>0</v>
      </c>
      <c r="I11" s="7127">
        <v>0</v>
      </c>
      <c r="J11" s="7127">
        <v>0</v>
      </c>
      <c r="K11" s="7127">
        <v>0</v>
      </c>
      <c r="L11" s="7127"/>
      <c r="M11" s="7127"/>
      <c r="N11" s="7127"/>
      <c r="O11" s="7127"/>
      <c r="P11" s="7127"/>
      <c r="Q11" s="7127"/>
      <c r="R11" s="7127"/>
      <c r="S11" s="7127"/>
      <c r="T11" s="7127"/>
      <c r="U11" s="7127"/>
      <c r="V11" s="7128"/>
      <c r="W11" s="7127"/>
      <c r="X11" s="7127"/>
      <c r="Y11" s="7127"/>
      <c r="Z11" s="7127"/>
      <c r="AA11" s="7127"/>
      <c r="AB11" s="7127"/>
      <c r="AC11" s="7127"/>
      <c r="AD11" s="7129">
        <f t="shared" ref="AD11:AD20" si="1">SUM(B11:AC11)</f>
        <v>0</v>
      </c>
      <c r="AE11" s="7125" t="s">
        <v>569</v>
      </c>
      <c r="AG11" s="10306">
        <f>'WS-PS ACTUAL JUNE 2018'!Z11+'WS-MOOE ACTUAL JUNE 2018'!BY12+'WS-CO ACTUAL JUNE 2018'!AD11</f>
        <v>34135628.089999996</v>
      </c>
    </row>
    <row r="12" spans="1:33" ht="14.1" customHeight="1">
      <c r="A12" s="7125" t="s">
        <v>9134</v>
      </c>
      <c r="B12" s="7126">
        <v>0</v>
      </c>
      <c r="C12" s="7126">
        <v>0</v>
      </c>
      <c r="D12" s="7126">
        <v>0</v>
      </c>
      <c r="E12" s="7127">
        <v>0</v>
      </c>
      <c r="F12" s="7127">
        <v>0</v>
      </c>
      <c r="G12" s="7127">
        <f>'lbpf 3-PADMO'!E112</f>
        <v>0</v>
      </c>
      <c r="H12" s="7127">
        <v>0</v>
      </c>
      <c r="I12" s="7127">
        <v>0</v>
      </c>
      <c r="J12" s="7127">
        <v>0</v>
      </c>
      <c r="K12" s="7127">
        <v>0</v>
      </c>
      <c r="L12" s="7127"/>
      <c r="M12" s="7127"/>
      <c r="N12" s="7127"/>
      <c r="O12" s="7127"/>
      <c r="P12" s="7127"/>
      <c r="Q12" s="7127"/>
      <c r="R12" s="7127"/>
      <c r="S12" s="7127"/>
      <c r="T12" s="7127"/>
      <c r="U12" s="7127"/>
      <c r="V12" s="7128"/>
      <c r="W12" s="7127"/>
      <c r="X12" s="7127"/>
      <c r="Y12" s="7127"/>
      <c r="Z12" s="7127"/>
      <c r="AA12" s="7127"/>
      <c r="AB12" s="7127"/>
      <c r="AC12" s="7127"/>
      <c r="AD12" s="7129">
        <f t="shared" si="1"/>
        <v>0</v>
      </c>
      <c r="AE12" s="7125" t="s">
        <v>9134</v>
      </c>
      <c r="AG12" s="10306">
        <f>'WS-PS ACTUAL JUNE 2018'!Z12+'WS-MOOE ACTUAL JUNE 2018'!BY13+'WS-CO ACTUAL JUNE 2018'!AD12</f>
        <v>10917338.02</v>
      </c>
    </row>
    <row r="13" spans="1:33" ht="14.1" customHeight="1">
      <c r="A13" s="7125" t="s">
        <v>570</v>
      </c>
      <c r="B13" s="7126">
        <v>0</v>
      </c>
      <c r="C13" s="7126">
        <v>0</v>
      </c>
      <c r="D13" s="7126">
        <v>0</v>
      </c>
      <c r="E13" s="7127">
        <v>0</v>
      </c>
      <c r="F13" s="7127">
        <v>0</v>
      </c>
      <c r="G13" s="7127">
        <f>'lbpf 3-PHRMD'!E87</f>
        <v>0</v>
      </c>
      <c r="H13" s="7127">
        <v>0</v>
      </c>
      <c r="I13" s="7127">
        <v>0</v>
      </c>
      <c r="J13" s="7127">
        <v>0</v>
      </c>
      <c r="K13" s="7127">
        <v>0</v>
      </c>
      <c r="L13" s="7127"/>
      <c r="M13" s="7127"/>
      <c r="N13" s="7127"/>
      <c r="O13" s="7127"/>
      <c r="P13" s="7127"/>
      <c r="Q13" s="7127"/>
      <c r="R13" s="7127"/>
      <c r="S13" s="7127"/>
      <c r="T13" s="7127"/>
      <c r="U13" s="7127"/>
      <c r="V13" s="7128"/>
      <c r="W13" s="7127"/>
      <c r="X13" s="7127"/>
      <c r="Y13" s="7127"/>
      <c r="Z13" s="7127"/>
      <c r="AA13" s="7127"/>
      <c r="AB13" s="7127"/>
      <c r="AC13" s="7127"/>
      <c r="AD13" s="7129">
        <f t="shared" si="1"/>
        <v>0</v>
      </c>
      <c r="AE13" s="7125" t="s">
        <v>570</v>
      </c>
      <c r="AG13" s="10306">
        <f>'WS-PS ACTUAL JUNE 2018'!Z13+'WS-MOOE ACTUAL JUNE 2018'!BY14+'WS-CO ACTUAL JUNE 2018'!AD13</f>
        <v>5363795.6800000006</v>
      </c>
    </row>
    <row r="14" spans="1:33" ht="14.1" customHeight="1">
      <c r="A14" s="7125" t="s">
        <v>571</v>
      </c>
      <c r="B14" s="7126">
        <v>0</v>
      </c>
      <c r="C14" s="7126">
        <v>0</v>
      </c>
      <c r="D14" s="7126">
        <v>0</v>
      </c>
      <c r="E14" s="7127">
        <v>0</v>
      </c>
      <c r="F14" s="7127">
        <v>0</v>
      </c>
      <c r="G14" s="7127">
        <v>0</v>
      </c>
      <c r="H14" s="7127">
        <v>0</v>
      </c>
      <c r="I14" s="7127">
        <v>0</v>
      </c>
      <c r="J14" s="7127">
        <v>0</v>
      </c>
      <c r="K14" s="7127">
        <v>0</v>
      </c>
      <c r="L14" s="7127"/>
      <c r="M14" s="7127"/>
      <c r="N14" s="7127"/>
      <c r="O14" s="7127"/>
      <c r="P14" s="7127"/>
      <c r="Q14" s="7127"/>
      <c r="R14" s="7127"/>
      <c r="S14" s="7127"/>
      <c r="T14" s="7127"/>
      <c r="U14" s="7127"/>
      <c r="V14" s="7128"/>
      <c r="W14" s="7127"/>
      <c r="X14" s="7127"/>
      <c r="Y14" s="7127"/>
      <c r="Z14" s="7127"/>
      <c r="AA14" s="7127"/>
      <c r="AB14" s="7127"/>
      <c r="AC14" s="7127"/>
      <c r="AD14" s="7129">
        <f t="shared" si="1"/>
        <v>0</v>
      </c>
      <c r="AE14" s="7125" t="s">
        <v>571</v>
      </c>
      <c r="AG14" s="10306">
        <f>'WS-PS ACTUAL JUNE 2018'!Z14+'WS-MOOE ACTUAL JUNE 2018'!BY15+'WS-CO ACTUAL JUNE 2018'!AD14</f>
        <v>8418835</v>
      </c>
    </row>
    <row r="15" spans="1:33" ht="14.1" customHeight="1">
      <c r="A15" s="7125" t="s">
        <v>572</v>
      </c>
      <c r="B15" s="7126">
        <v>0</v>
      </c>
      <c r="C15" s="7126">
        <v>0</v>
      </c>
      <c r="D15" s="7126">
        <v>0</v>
      </c>
      <c r="E15" s="7127">
        <v>0</v>
      </c>
      <c r="F15" s="7127">
        <v>0</v>
      </c>
      <c r="G15" s="7127">
        <v>0</v>
      </c>
      <c r="H15" s="7127">
        <v>0</v>
      </c>
      <c r="I15" s="7127">
        <v>0</v>
      </c>
      <c r="J15" s="7127">
        <v>83285</v>
      </c>
      <c r="K15" s="7127">
        <v>0</v>
      </c>
      <c r="L15" s="7127"/>
      <c r="M15" s="7127"/>
      <c r="N15" s="7127"/>
      <c r="O15" s="7127"/>
      <c r="P15" s="7127"/>
      <c r="Q15" s="7127"/>
      <c r="R15" s="7127"/>
      <c r="S15" s="7127"/>
      <c r="T15" s="7127"/>
      <c r="U15" s="7127"/>
      <c r="V15" s="7128"/>
      <c r="W15" s="7127"/>
      <c r="X15" s="7127"/>
      <c r="Y15" s="7127"/>
      <c r="Z15" s="7127"/>
      <c r="AA15" s="7127"/>
      <c r="AB15" s="7127"/>
      <c r="AC15" s="7127"/>
      <c r="AD15" s="7129">
        <f t="shared" si="1"/>
        <v>83285</v>
      </c>
      <c r="AE15" s="7125" t="s">
        <v>572</v>
      </c>
      <c r="AG15" s="10306">
        <f>'WS-PS ACTUAL JUNE 2018'!Z15+'WS-MOOE ACTUAL JUNE 2018'!BY16+'WS-CO ACTUAL JUNE 2018'!AD15</f>
        <v>16565046.030000001</v>
      </c>
    </row>
    <row r="16" spans="1:33" ht="14.1" customHeight="1">
      <c r="A16" s="7125" t="s">
        <v>573</v>
      </c>
      <c r="B16" s="7126">
        <v>0</v>
      </c>
      <c r="C16" s="7126">
        <v>0</v>
      </c>
      <c r="D16" s="7126">
        <v>0</v>
      </c>
      <c r="E16" s="7127">
        <v>0</v>
      </c>
      <c r="F16" s="7127">
        <v>0</v>
      </c>
      <c r="G16" s="7127">
        <v>0</v>
      </c>
      <c r="H16" s="7127">
        <v>0</v>
      </c>
      <c r="I16" s="7127">
        <v>0</v>
      </c>
      <c r="J16" s="7127">
        <v>0</v>
      </c>
      <c r="K16" s="7127">
        <v>0</v>
      </c>
      <c r="L16" s="7127"/>
      <c r="M16" s="7127"/>
      <c r="N16" s="7127"/>
      <c r="O16" s="7127"/>
      <c r="P16" s="7127"/>
      <c r="Q16" s="7127"/>
      <c r="R16" s="7127"/>
      <c r="S16" s="7127"/>
      <c r="T16" s="7127"/>
      <c r="U16" s="7127"/>
      <c r="V16" s="7128"/>
      <c r="W16" s="7127"/>
      <c r="X16" s="7127"/>
      <c r="Y16" s="7127"/>
      <c r="Z16" s="7127"/>
      <c r="AA16" s="7127"/>
      <c r="AB16" s="7127"/>
      <c r="AC16" s="7127"/>
      <c r="AD16" s="7129">
        <f t="shared" si="1"/>
        <v>0</v>
      </c>
      <c r="AE16" s="7125" t="s">
        <v>573</v>
      </c>
      <c r="AG16" s="10306">
        <f>'WS-PS ACTUAL JUNE 2018'!Z16+'WS-MOOE ACTUAL JUNE 2018'!BY17+'WS-CO ACTUAL JUNE 2018'!AD16</f>
        <v>3795815.05</v>
      </c>
    </row>
    <row r="17" spans="1:33" ht="14.1" customHeight="1">
      <c r="A17" s="7125" t="s">
        <v>574</v>
      </c>
      <c r="B17" s="7126">
        <v>0</v>
      </c>
      <c r="C17" s="7126">
        <v>0</v>
      </c>
      <c r="D17" s="7126">
        <v>0</v>
      </c>
      <c r="E17" s="7127">
        <v>0</v>
      </c>
      <c r="F17" s="7127">
        <v>0</v>
      </c>
      <c r="G17" s="7127">
        <v>0</v>
      </c>
      <c r="H17" s="7127">
        <v>0</v>
      </c>
      <c r="I17" s="7127">
        <v>0</v>
      </c>
      <c r="J17" s="7127">
        <v>0</v>
      </c>
      <c r="K17" s="7127">
        <v>0</v>
      </c>
      <c r="L17" s="7127"/>
      <c r="M17" s="7127"/>
      <c r="N17" s="7127"/>
      <c r="O17" s="7127"/>
      <c r="P17" s="7127"/>
      <c r="Q17" s="7127"/>
      <c r="R17" s="7127"/>
      <c r="S17" s="7127"/>
      <c r="T17" s="7127"/>
      <c r="U17" s="7127"/>
      <c r="V17" s="7128"/>
      <c r="W17" s="7127"/>
      <c r="X17" s="7127"/>
      <c r="Y17" s="7127"/>
      <c r="Z17" s="7127"/>
      <c r="AA17" s="7127"/>
      <c r="AB17" s="7127"/>
      <c r="AC17" s="7127"/>
      <c r="AD17" s="7129">
        <f t="shared" si="1"/>
        <v>0</v>
      </c>
      <c r="AE17" s="7125" t="s">
        <v>574</v>
      </c>
      <c r="AG17" s="10306">
        <f>'WS-PS ACTUAL JUNE 2018'!Z17+'WS-MOOE ACTUAL JUNE 2018'!BY18+'WS-CO ACTUAL JUNE 2018'!AD17</f>
        <v>9613197.9200000018</v>
      </c>
    </row>
    <row r="18" spans="1:33" ht="14.1" customHeight="1">
      <c r="A18" s="7125" t="s">
        <v>575</v>
      </c>
      <c r="B18" s="7126">
        <v>0</v>
      </c>
      <c r="C18" s="7126">
        <v>0</v>
      </c>
      <c r="D18" s="7126">
        <v>0</v>
      </c>
      <c r="E18" s="7127">
        <v>0</v>
      </c>
      <c r="F18" s="7127">
        <v>0</v>
      </c>
      <c r="G18" s="7127">
        <v>0</v>
      </c>
      <c r="H18" s="7127">
        <v>0</v>
      </c>
      <c r="I18" s="7127">
        <v>0</v>
      </c>
      <c r="J18" s="7127">
        <v>0</v>
      </c>
      <c r="K18" s="7127">
        <v>0</v>
      </c>
      <c r="L18" s="7127"/>
      <c r="M18" s="7127"/>
      <c r="N18" s="7127"/>
      <c r="O18" s="7127"/>
      <c r="P18" s="7127"/>
      <c r="Q18" s="7127"/>
      <c r="R18" s="7127"/>
      <c r="S18" s="7127"/>
      <c r="T18" s="7127"/>
      <c r="U18" s="7127"/>
      <c r="V18" s="7128"/>
      <c r="W18" s="7127"/>
      <c r="X18" s="7127"/>
      <c r="Y18" s="7127"/>
      <c r="Z18" s="7127"/>
      <c r="AA18" s="7127"/>
      <c r="AB18" s="7127"/>
      <c r="AC18" s="7127"/>
      <c r="AD18" s="7129">
        <f t="shared" si="1"/>
        <v>0</v>
      </c>
      <c r="AE18" s="7125" t="s">
        <v>575</v>
      </c>
      <c r="AG18" s="10306">
        <f>'WS-PS ACTUAL JUNE 2018'!Z18+'WS-MOOE ACTUAL JUNE 2018'!BY19+'WS-CO ACTUAL JUNE 2018'!AD18</f>
        <v>15106213.439999999</v>
      </c>
    </row>
    <row r="19" spans="1:33" ht="14.1" customHeight="1">
      <c r="A19" s="7125" t="s">
        <v>576</v>
      </c>
      <c r="B19" s="7126">
        <v>0</v>
      </c>
      <c r="C19" s="7126">
        <v>0</v>
      </c>
      <c r="D19" s="7126">
        <v>0</v>
      </c>
      <c r="E19" s="7127">
        <v>0</v>
      </c>
      <c r="F19" s="7127">
        <v>0</v>
      </c>
      <c r="G19" s="7127">
        <v>0</v>
      </c>
      <c r="H19" s="7127">
        <v>0</v>
      </c>
      <c r="I19" s="7127">
        <v>0</v>
      </c>
      <c r="J19" s="7127">
        <v>0</v>
      </c>
      <c r="K19" s="7127">
        <v>0</v>
      </c>
      <c r="L19" s="7127"/>
      <c r="M19" s="7127"/>
      <c r="N19" s="7127"/>
      <c r="O19" s="7127"/>
      <c r="P19" s="7127"/>
      <c r="Q19" s="7127"/>
      <c r="R19" s="7127"/>
      <c r="S19" s="7127"/>
      <c r="T19" s="7127"/>
      <c r="U19" s="7127"/>
      <c r="V19" s="7128"/>
      <c r="W19" s="7127"/>
      <c r="X19" s="7127"/>
      <c r="Y19" s="7127"/>
      <c r="Z19" s="7127"/>
      <c r="AA19" s="7127"/>
      <c r="AB19" s="7127"/>
      <c r="AC19" s="7127"/>
      <c r="AD19" s="7129">
        <f t="shared" si="1"/>
        <v>0</v>
      </c>
      <c r="AE19" s="7125" t="s">
        <v>576</v>
      </c>
      <c r="AG19" s="10306">
        <f>'WS-PS ACTUAL JUNE 2018'!Z19+'WS-MOOE ACTUAL JUNE 2018'!BY20+'WS-CO ACTUAL JUNE 2018'!AD19</f>
        <v>7050845.1299999999</v>
      </c>
    </row>
    <row r="20" spans="1:33" ht="14.1" customHeight="1">
      <c r="A20" s="7130" t="s">
        <v>577</v>
      </c>
      <c r="B20" s="7131">
        <v>0</v>
      </c>
      <c r="C20" s="7131">
        <v>0</v>
      </c>
      <c r="D20" s="7131">
        <v>0</v>
      </c>
      <c r="E20" s="7132">
        <v>0</v>
      </c>
      <c r="F20" s="7132">
        <v>0</v>
      </c>
      <c r="G20" s="7132">
        <v>0</v>
      </c>
      <c r="H20" s="7132">
        <v>0</v>
      </c>
      <c r="I20" s="7132">
        <v>0</v>
      </c>
      <c r="J20" s="7132">
        <v>0</v>
      </c>
      <c r="K20" s="7132">
        <v>0</v>
      </c>
      <c r="L20" s="7132"/>
      <c r="M20" s="7132"/>
      <c r="N20" s="7132"/>
      <c r="O20" s="7132"/>
      <c r="P20" s="7132"/>
      <c r="Q20" s="7132"/>
      <c r="R20" s="7132"/>
      <c r="S20" s="7132"/>
      <c r="T20" s="7132"/>
      <c r="U20" s="7132"/>
      <c r="V20" s="7133"/>
      <c r="W20" s="7132"/>
      <c r="X20" s="7132"/>
      <c r="Y20" s="7132"/>
      <c r="Z20" s="7132"/>
      <c r="AA20" s="7132"/>
      <c r="AB20" s="7132"/>
      <c r="AC20" s="7132"/>
      <c r="AD20" s="7134">
        <f t="shared" si="1"/>
        <v>0</v>
      </c>
      <c r="AE20" s="7130" t="s">
        <v>577</v>
      </c>
      <c r="AG20" s="10306">
        <f>'WS-PS ACTUAL JUNE 2018'!Z20+'WS-MOOE ACTUAL JUNE 2018'!BY21+'WS-CO ACTUAL JUNE 2018'!AD20</f>
        <v>4411886.01</v>
      </c>
    </row>
    <row r="21" spans="1:33" ht="14.1" customHeight="1">
      <c r="A21" s="7125" t="s">
        <v>10327</v>
      </c>
      <c r="B21" s="7126">
        <v>0</v>
      </c>
      <c r="C21" s="7126">
        <v>0</v>
      </c>
      <c r="D21" s="7126">
        <v>0</v>
      </c>
      <c r="E21" s="7127">
        <v>0</v>
      </c>
      <c r="F21" s="7127">
        <v>0</v>
      </c>
      <c r="G21" s="7127">
        <v>0</v>
      </c>
      <c r="H21" s="7127">
        <v>0</v>
      </c>
      <c r="I21" s="7127">
        <v>0</v>
      </c>
      <c r="J21" s="7127">
        <v>0</v>
      </c>
      <c r="K21" s="7127">
        <v>0</v>
      </c>
      <c r="L21" s="7127"/>
      <c r="M21" s="7127"/>
      <c r="N21" s="7127"/>
      <c r="O21" s="7127"/>
      <c r="P21" s="7127"/>
      <c r="Q21" s="7127"/>
      <c r="R21" s="7127"/>
      <c r="S21" s="7127"/>
      <c r="T21" s="7127"/>
      <c r="U21" s="7127"/>
      <c r="V21" s="7128"/>
      <c r="W21" s="7127"/>
      <c r="X21" s="7127"/>
      <c r="Y21" s="7127"/>
      <c r="Z21" s="7127"/>
      <c r="AA21" s="7127"/>
      <c r="AB21" s="7127"/>
      <c r="AC21" s="7127"/>
      <c r="AD21" s="7129">
        <f>SUM(B21:AC21)</f>
        <v>0</v>
      </c>
      <c r="AE21" s="7125" t="s">
        <v>10327</v>
      </c>
      <c r="AG21" s="10306">
        <f>'WS-PS ACTUAL JUNE 2018'!Z21+'WS-MOOE ACTUAL JUNE 2018'!BY22+'WS-CO ACTUAL JUNE 2018'!AD21</f>
        <v>10294967.959999999</v>
      </c>
    </row>
    <row r="22" spans="1:33" ht="14.1" customHeight="1" thickBot="1">
      <c r="A22" s="7114" t="s">
        <v>485</v>
      </c>
      <c r="B22" s="6796">
        <f>SUM(B5:B21)</f>
        <v>0</v>
      </c>
      <c r="C22" s="6796">
        <f t="shared" ref="C22:K22" si="2">SUM(C5:C21)</f>
        <v>0</v>
      </c>
      <c r="D22" s="6796">
        <f t="shared" si="2"/>
        <v>0</v>
      </c>
      <c r="E22" s="6796">
        <f t="shared" si="2"/>
        <v>0</v>
      </c>
      <c r="F22" s="6796">
        <f t="shared" si="2"/>
        <v>0</v>
      </c>
      <c r="G22" s="6796">
        <f t="shared" si="2"/>
        <v>0</v>
      </c>
      <c r="H22" s="6796">
        <f t="shared" si="2"/>
        <v>0</v>
      </c>
      <c r="I22" s="6796">
        <f t="shared" si="2"/>
        <v>0</v>
      </c>
      <c r="J22" s="6796">
        <f t="shared" si="2"/>
        <v>83285</v>
      </c>
      <c r="K22" s="6796">
        <f t="shared" si="2"/>
        <v>0</v>
      </c>
      <c r="L22" s="6796">
        <f t="shared" ref="L22:AC22" si="3">SUM(L5:L20)</f>
        <v>0</v>
      </c>
      <c r="M22" s="6796">
        <f t="shared" si="3"/>
        <v>0</v>
      </c>
      <c r="N22" s="6796">
        <f t="shared" si="3"/>
        <v>0</v>
      </c>
      <c r="O22" s="6796">
        <f t="shared" si="3"/>
        <v>0</v>
      </c>
      <c r="P22" s="6796">
        <f t="shared" si="3"/>
        <v>0</v>
      </c>
      <c r="Q22" s="6796">
        <f t="shared" si="3"/>
        <v>0</v>
      </c>
      <c r="R22" s="6796">
        <f t="shared" si="3"/>
        <v>0</v>
      </c>
      <c r="S22" s="6796">
        <f t="shared" si="3"/>
        <v>0</v>
      </c>
      <c r="T22" s="6796">
        <f t="shared" si="3"/>
        <v>0</v>
      </c>
      <c r="U22" s="6796">
        <f t="shared" si="3"/>
        <v>0</v>
      </c>
      <c r="V22" s="6796">
        <f t="shared" si="3"/>
        <v>0</v>
      </c>
      <c r="W22" s="6796">
        <f t="shared" si="3"/>
        <v>0</v>
      </c>
      <c r="X22" s="6796">
        <f t="shared" si="3"/>
        <v>0</v>
      </c>
      <c r="Y22" s="6796">
        <f t="shared" si="3"/>
        <v>0</v>
      </c>
      <c r="Z22" s="6796">
        <f t="shared" si="3"/>
        <v>0</v>
      </c>
      <c r="AA22" s="6796">
        <f t="shared" si="3"/>
        <v>0</v>
      </c>
      <c r="AB22" s="6796">
        <f t="shared" si="3"/>
        <v>0</v>
      </c>
      <c r="AC22" s="6796">
        <f t="shared" si="3"/>
        <v>0</v>
      </c>
      <c r="AD22" s="6795">
        <f>SUM(AD5:AD21)</f>
        <v>83285</v>
      </c>
      <c r="AE22" s="7114" t="s">
        <v>485</v>
      </c>
    </row>
    <row r="23" spans="1:33" ht="14.1" customHeight="1" thickTop="1">
      <c r="A23" s="7120" t="s">
        <v>578</v>
      </c>
      <c r="B23" s="7135">
        <v>0</v>
      </c>
      <c r="C23" s="7135">
        <v>0</v>
      </c>
      <c r="D23" s="7135">
        <v>0</v>
      </c>
      <c r="E23" s="7136">
        <v>0</v>
      </c>
      <c r="F23" s="7136">
        <v>0</v>
      </c>
      <c r="G23" s="7136">
        <v>0</v>
      </c>
      <c r="H23" s="7136">
        <v>0</v>
      </c>
      <c r="I23" s="7136">
        <v>0</v>
      </c>
      <c r="J23" s="7136">
        <v>0</v>
      </c>
      <c r="K23" s="7136">
        <v>0</v>
      </c>
      <c r="L23" s="7136"/>
      <c r="M23" s="7136"/>
      <c r="N23" s="7136"/>
      <c r="O23" s="7136"/>
      <c r="P23" s="7136"/>
      <c r="Q23" s="7136"/>
      <c r="R23" s="7136"/>
      <c r="S23" s="7136"/>
      <c r="T23" s="7136"/>
      <c r="U23" s="7136"/>
      <c r="V23" s="7137"/>
      <c r="W23" s="7136"/>
      <c r="X23" s="7136"/>
      <c r="Y23" s="7136"/>
      <c r="Z23" s="7136"/>
      <c r="AA23" s="7136">
        <v>0</v>
      </c>
      <c r="AB23" s="7136">
        <v>0</v>
      </c>
      <c r="AC23" s="7136">
        <v>0</v>
      </c>
      <c r="AD23" s="7124">
        <f t="shared" ref="AD23:AD37" si="4">SUM(B23:AC23)</f>
        <v>0</v>
      </c>
      <c r="AE23" s="7120" t="s">
        <v>578</v>
      </c>
      <c r="AG23" s="10306">
        <f>'WS-PS ACTUAL JUNE 2018'!Z24+'WS-MOOE ACTUAL JUNE 2018'!BY25+'WS-CO ACTUAL JUNE 2018'!AD23</f>
        <v>3072127.5</v>
      </c>
    </row>
    <row r="24" spans="1:33" ht="14.1" customHeight="1">
      <c r="A24" s="7125" t="s">
        <v>579</v>
      </c>
      <c r="B24" s="7138">
        <v>0</v>
      </c>
      <c r="C24" s="7138">
        <v>0</v>
      </c>
      <c r="D24" s="7138">
        <f>'lbpf 3-BDJ'!E86</f>
        <v>0</v>
      </c>
      <c r="E24" s="7139">
        <v>0</v>
      </c>
      <c r="F24" s="7140">
        <v>0</v>
      </c>
      <c r="G24" s="7139">
        <v>0</v>
      </c>
      <c r="H24" s="7140">
        <v>0</v>
      </c>
      <c r="I24" s="7140">
        <v>0</v>
      </c>
      <c r="J24" s="7140">
        <v>0</v>
      </c>
      <c r="K24" s="7139">
        <v>0</v>
      </c>
      <c r="L24" s="7141"/>
      <c r="M24" s="7141"/>
      <c r="N24" s="7141"/>
      <c r="O24" s="7141"/>
      <c r="P24" s="7141"/>
      <c r="Q24" s="7141"/>
      <c r="R24" s="7141"/>
      <c r="S24" s="7141"/>
      <c r="T24" s="7141"/>
      <c r="U24" s="7141"/>
      <c r="V24" s="7142"/>
      <c r="W24" s="7141"/>
      <c r="X24" s="7141"/>
      <c r="Y24" s="7141"/>
      <c r="Z24" s="7141"/>
      <c r="AA24" s="7141"/>
      <c r="AB24" s="7141"/>
      <c r="AC24" s="7141"/>
      <c r="AD24" s="7129">
        <f t="shared" si="4"/>
        <v>0</v>
      </c>
      <c r="AE24" s="7125" t="s">
        <v>579</v>
      </c>
      <c r="AG24" s="10306">
        <f>'WS-PS ACTUAL JUNE 2018'!Z25+'WS-MOOE ACTUAL JUNE 2018'!BY26+'WS-CO ACTUAL JUNE 2018'!AD24</f>
        <v>12577968.42</v>
      </c>
    </row>
    <row r="25" spans="1:33" ht="14.1" customHeight="1">
      <c r="A25" s="7125" t="s">
        <v>580</v>
      </c>
      <c r="B25" s="7138">
        <v>0</v>
      </c>
      <c r="C25" s="7138">
        <v>0</v>
      </c>
      <c r="D25" s="7138">
        <v>0</v>
      </c>
      <c r="E25" s="7139">
        <v>0</v>
      </c>
      <c r="F25" s="7139">
        <v>0</v>
      </c>
      <c r="G25" s="7139">
        <v>0</v>
      </c>
      <c r="H25" s="7139">
        <v>0</v>
      </c>
      <c r="I25" s="7139">
        <v>0</v>
      </c>
      <c r="J25" s="7139">
        <v>0</v>
      </c>
      <c r="K25" s="7139">
        <v>0</v>
      </c>
      <c r="L25" s="7141"/>
      <c r="M25" s="7141"/>
      <c r="N25" s="7141"/>
      <c r="O25" s="7141"/>
      <c r="P25" s="7141"/>
      <c r="Q25" s="7141"/>
      <c r="R25" s="7141"/>
      <c r="S25" s="7141"/>
      <c r="T25" s="7141"/>
      <c r="U25" s="7141"/>
      <c r="V25" s="7142"/>
      <c r="W25" s="7141"/>
      <c r="X25" s="7141"/>
      <c r="Y25" s="7141"/>
      <c r="Z25" s="7141"/>
      <c r="AA25" s="7141"/>
      <c r="AB25" s="7141"/>
      <c r="AC25" s="7141"/>
      <c r="AD25" s="7129">
        <f t="shared" si="4"/>
        <v>0</v>
      </c>
      <c r="AE25" s="7125" t="s">
        <v>580</v>
      </c>
      <c r="AG25" s="10306">
        <f>'WS-PS ACTUAL JUNE 2018'!Z26+'WS-MOOE ACTUAL JUNE 2018'!BY27+'WS-CO ACTUAL JUNE 2018'!AD25</f>
        <v>0</v>
      </c>
    </row>
    <row r="26" spans="1:33" ht="14.1" customHeight="1">
      <c r="A26" s="7125" t="s">
        <v>581</v>
      </c>
      <c r="B26" s="7138">
        <v>0</v>
      </c>
      <c r="C26" s="7138">
        <v>0</v>
      </c>
      <c r="D26" s="7138">
        <v>0</v>
      </c>
      <c r="E26" s="7139">
        <v>0</v>
      </c>
      <c r="F26" s="7140">
        <v>0</v>
      </c>
      <c r="G26" s="7139">
        <v>0</v>
      </c>
      <c r="H26" s="7140">
        <v>0</v>
      </c>
      <c r="I26" s="7140">
        <v>0</v>
      </c>
      <c r="J26" s="7140">
        <v>0</v>
      </c>
      <c r="K26" s="7139">
        <v>0</v>
      </c>
      <c r="L26" s="7141"/>
      <c r="M26" s="7141"/>
      <c r="N26" s="7141"/>
      <c r="O26" s="7141"/>
      <c r="P26" s="7141"/>
      <c r="Q26" s="7141"/>
      <c r="R26" s="7141"/>
      <c r="S26" s="7141"/>
      <c r="T26" s="7141"/>
      <c r="U26" s="7141"/>
      <c r="V26" s="7142"/>
      <c r="W26" s="7141"/>
      <c r="X26" s="7141"/>
      <c r="Y26" s="7141"/>
      <c r="Z26" s="7141"/>
      <c r="AA26" s="7141"/>
      <c r="AB26" s="7141"/>
      <c r="AC26" s="7141"/>
      <c r="AD26" s="7129">
        <f t="shared" si="4"/>
        <v>0</v>
      </c>
      <c r="AE26" s="7125" t="s">
        <v>581</v>
      </c>
      <c r="AG26" s="10306">
        <f>'WS-PS ACTUAL JUNE 2018'!Z27+'WS-MOOE ACTUAL JUNE 2018'!BY28+'WS-CO ACTUAL JUNE 2018'!AD26</f>
        <v>32344596.260000002</v>
      </c>
    </row>
    <row r="27" spans="1:33" ht="14.1" customHeight="1">
      <c r="A27" s="7125" t="s">
        <v>582</v>
      </c>
      <c r="B27" s="7138">
        <v>0</v>
      </c>
      <c r="C27" s="7138">
        <v>0</v>
      </c>
      <c r="D27" s="7138">
        <v>0</v>
      </c>
      <c r="E27" s="7139">
        <v>0</v>
      </c>
      <c r="F27" s="7139">
        <v>0</v>
      </c>
      <c r="G27" s="7139">
        <v>0</v>
      </c>
      <c r="H27" s="7139">
        <v>0</v>
      </c>
      <c r="I27" s="7139">
        <v>0</v>
      </c>
      <c r="J27" s="7139">
        <v>0</v>
      </c>
      <c r="K27" s="7139">
        <v>0</v>
      </c>
      <c r="L27" s="7141"/>
      <c r="M27" s="7141"/>
      <c r="N27" s="7141"/>
      <c r="O27" s="7141"/>
      <c r="P27" s="7141"/>
      <c r="Q27" s="7141"/>
      <c r="R27" s="7141"/>
      <c r="S27" s="7141"/>
      <c r="T27" s="7141"/>
      <c r="U27" s="7141"/>
      <c r="V27" s="7142"/>
      <c r="W27" s="7141"/>
      <c r="X27" s="7141"/>
      <c r="Y27" s="7141"/>
      <c r="Z27" s="7141"/>
      <c r="AA27" s="7141"/>
      <c r="AB27" s="7141"/>
      <c r="AC27" s="7141"/>
      <c r="AD27" s="7129">
        <f t="shared" si="4"/>
        <v>0</v>
      </c>
      <c r="AE27" s="7125" t="s">
        <v>582</v>
      </c>
      <c r="AG27" s="10306">
        <f>'WS-PS ACTUAL JUNE 2018'!Z28+'WS-MOOE ACTUAL JUNE 2018'!BY29+'WS-CO ACTUAL JUNE 2018'!AD27</f>
        <v>29734725.030000005</v>
      </c>
    </row>
    <row r="28" spans="1:33" ht="14.1" customHeight="1">
      <c r="A28" s="7125" t="s">
        <v>583</v>
      </c>
      <c r="B28" s="7138">
        <v>0</v>
      </c>
      <c r="C28" s="7138">
        <v>0</v>
      </c>
      <c r="D28" s="7138">
        <v>0</v>
      </c>
      <c r="E28" s="7139">
        <v>0</v>
      </c>
      <c r="F28" s="7139">
        <v>0</v>
      </c>
      <c r="G28" s="7139">
        <v>0</v>
      </c>
      <c r="H28" s="7139">
        <v>0</v>
      </c>
      <c r="I28" s="7139">
        <v>0</v>
      </c>
      <c r="J28" s="7139">
        <v>0</v>
      </c>
      <c r="K28" s="7139">
        <v>0</v>
      </c>
      <c r="L28" s="7141"/>
      <c r="M28" s="7141"/>
      <c r="N28" s="7141"/>
      <c r="O28" s="7141"/>
      <c r="P28" s="7141"/>
      <c r="Q28" s="7141"/>
      <c r="R28" s="7141"/>
      <c r="S28" s="7141"/>
      <c r="T28" s="7141"/>
      <c r="U28" s="7141"/>
      <c r="V28" s="7142"/>
      <c r="W28" s="7141"/>
      <c r="X28" s="7141"/>
      <c r="Y28" s="7141"/>
      <c r="Z28" s="7141"/>
      <c r="AA28" s="7141"/>
      <c r="AB28" s="7141"/>
      <c r="AC28" s="7141"/>
      <c r="AD28" s="7129">
        <f t="shared" si="4"/>
        <v>0</v>
      </c>
      <c r="AE28" s="7125" t="s">
        <v>583</v>
      </c>
      <c r="AG28" s="10306">
        <f>'WS-PS ACTUAL JUNE 2018'!Z29+'WS-MOOE ACTUAL JUNE 2018'!BY30+'WS-CO ACTUAL JUNE 2018'!AD28</f>
        <v>16151616.619999999</v>
      </c>
    </row>
    <row r="29" spans="1:33" ht="14.1" customHeight="1">
      <c r="A29" s="7125" t="s">
        <v>584</v>
      </c>
      <c r="B29" s="7138">
        <v>0</v>
      </c>
      <c r="C29" s="7138">
        <v>0</v>
      </c>
      <c r="D29" s="7138">
        <v>0</v>
      </c>
      <c r="E29" s="7139">
        <v>0</v>
      </c>
      <c r="F29" s="7139">
        <v>0</v>
      </c>
      <c r="G29" s="7139">
        <v>0</v>
      </c>
      <c r="H29" s="7139">
        <v>0</v>
      </c>
      <c r="I29" s="7139">
        <v>0</v>
      </c>
      <c r="J29" s="7139">
        <v>0</v>
      </c>
      <c r="K29" s="7139">
        <v>0</v>
      </c>
      <c r="L29" s="7141"/>
      <c r="M29" s="7141"/>
      <c r="N29" s="7141"/>
      <c r="O29" s="7141"/>
      <c r="P29" s="7141"/>
      <c r="Q29" s="7141"/>
      <c r="R29" s="7141"/>
      <c r="S29" s="7141"/>
      <c r="T29" s="7141"/>
      <c r="U29" s="7141"/>
      <c r="V29" s="7142"/>
      <c r="W29" s="7141"/>
      <c r="X29" s="7141"/>
      <c r="Y29" s="7141"/>
      <c r="Z29" s="7141"/>
      <c r="AA29" s="7141"/>
      <c r="AB29" s="7141"/>
      <c r="AC29" s="7141"/>
      <c r="AD29" s="7129">
        <f t="shared" si="4"/>
        <v>0</v>
      </c>
      <c r="AE29" s="7125" t="s">
        <v>584</v>
      </c>
      <c r="AG29" s="10306">
        <f>'WS-PS ACTUAL JUNE 2018'!Z30+'WS-MOOE ACTUAL JUNE 2018'!BY31+'WS-CO ACTUAL JUNE 2018'!AD29</f>
        <v>16804400.420000002</v>
      </c>
    </row>
    <row r="30" spans="1:33" ht="14.1" customHeight="1">
      <c r="A30" s="7125" t="s">
        <v>585</v>
      </c>
      <c r="B30" s="7138">
        <v>0</v>
      </c>
      <c r="C30" s="7138">
        <v>0</v>
      </c>
      <c r="D30" s="7138">
        <v>0</v>
      </c>
      <c r="E30" s="7139">
        <v>0</v>
      </c>
      <c r="F30" s="7139">
        <v>0</v>
      </c>
      <c r="G30" s="7139">
        <v>0</v>
      </c>
      <c r="H30" s="7139">
        <v>0</v>
      </c>
      <c r="I30" s="7139">
        <v>0</v>
      </c>
      <c r="J30" s="7139">
        <v>0</v>
      </c>
      <c r="K30" s="7139">
        <v>0</v>
      </c>
      <c r="L30" s="7141"/>
      <c r="M30" s="7141"/>
      <c r="N30" s="7141"/>
      <c r="O30" s="7141"/>
      <c r="P30" s="7141"/>
      <c r="Q30" s="7141"/>
      <c r="R30" s="7141"/>
      <c r="S30" s="7141"/>
      <c r="T30" s="7141"/>
      <c r="U30" s="7141"/>
      <c r="V30" s="7142"/>
      <c r="W30" s="7141"/>
      <c r="X30" s="7141"/>
      <c r="Y30" s="7141"/>
      <c r="Z30" s="7141"/>
      <c r="AA30" s="7141"/>
      <c r="AB30" s="7141"/>
      <c r="AC30" s="7141"/>
      <c r="AD30" s="7129">
        <f t="shared" si="4"/>
        <v>0</v>
      </c>
      <c r="AE30" s="7125" t="s">
        <v>585</v>
      </c>
      <c r="AG30" s="10306">
        <f>'WS-PS ACTUAL JUNE 2018'!Z31+'WS-MOOE ACTUAL JUNE 2018'!BY32+'WS-CO ACTUAL JUNE 2018'!AD30</f>
        <v>11742670.140000001</v>
      </c>
    </row>
    <row r="31" spans="1:33" ht="14.1" customHeight="1">
      <c r="A31" s="7125" t="s">
        <v>664</v>
      </c>
      <c r="B31" s="7138">
        <v>0</v>
      </c>
      <c r="C31" s="7138">
        <v>0</v>
      </c>
      <c r="D31" s="7138">
        <v>0</v>
      </c>
      <c r="E31" s="7139">
        <v>0</v>
      </c>
      <c r="F31" s="7139">
        <v>0</v>
      </c>
      <c r="G31" s="7139">
        <v>0</v>
      </c>
      <c r="H31" s="7139">
        <v>0</v>
      </c>
      <c r="I31" s="7139">
        <v>0</v>
      </c>
      <c r="J31" s="7139">
        <v>0</v>
      </c>
      <c r="K31" s="7139">
        <v>0</v>
      </c>
      <c r="L31" s="7141"/>
      <c r="M31" s="7141"/>
      <c r="N31" s="7141"/>
      <c r="O31" s="7141"/>
      <c r="P31" s="7141"/>
      <c r="Q31" s="7141"/>
      <c r="R31" s="7141"/>
      <c r="S31" s="7141"/>
      <c r="T31" s="7141"/>
      <c r="U31" s="7141"/>
      <c r="V31" s="7142"/>
      <c r="W31" s="7141"/>
      <c r="X31" s="7141"/>
      <c r="Y31" s="7141"/>
      <c r="Z31" s="7141"/>
      <c r="AA31" s="7141"/>
      <c r="AB31" s="7141"/>
      <c r="AC31" s="7141"/>
      <c r="AD31" s="7129">
        <f t="shared" si="4"/>
        <v>0</v>
      </c>
      <c r="AE31" s="7125" t="s">
        <v>664</v>
      </c>
      <c r="AG31" s="10306">
        <f>'WS-PS ACTUAL JUNE 2018'!Z32+'WS-MOOE ACTUAL JUNE 2018'!BY33+'WS-CO ACTUAL JUNE 2018'!AD31</f>
        <v>12033721.120000001</v>
      </c>
    </row>
    <row r="32" spans="1:33" ht="14.1" customHeight="1">
      <c r="A32" s="7125" t="s">
        <v>587</v>
      </c>
      <c r="B32" s="7138">
        <v>0</v>
      </c>
      <c r="C32" s="7138">
        <v>0</v>
      </c>
      <c r="D32" s="7138">
        <v>0</v>
      </c>
      <c r="E32" s="7139">
        <v>0</v>
      </c>
      <c r="F32" s="7139">
        <v>0</v>
      </c>
      <c r="G32" s="7139">
        <v>0</v>
      </c>
      <c r="H32" s="7139">
        <v>0</v>
      </c>
      <c r="I32" s="7139">
        <v>0</v>
      </c>
      <c r="J32" s="7139">
        <v>0</v>
      </c>
      <c r="K32" s="7139">
        <v>0</v>
      </c>
      <c r="L32" s="7141"/>
      <c r="M32" s="7141"/>
      <c r="N32" s="7141"/>
      <c r="O32" s="7141"/>
      <c r="P32" s="7141"/>
      <c r="Q32" s="7141"/>
      <c r="R32" s="7141"/>
      <c r="S32" s="7141"/>
      <c r="T32" s="7141"/>
      <c r="U32" s="7141"/>
      <c r="V32" s="7142"/>
      <c r="W32" s="7141"/>
      <c r="X32" s="7141"/>
      <c r="Y32" s="7141"/>
      <c r="Z32" s="7141"/>
      <c r="AA32" s="7141"/>
      <c r="AB32" s="7141"/>
      <c r="AC32" s="7141"/>
      <c r="AD32" s="7129">
        <f t="shared" si="4"/>
        <v>0</v>
      </c>
      <c r="AE32" s="7125" t="s">
        <v>587</v>
      </c>
      <c r="AG32" s="10306">
        <f>'WS-PS ACTUAL JUNE 2018'!Z33+'WS-MOOE ACTUAL JUNE 2018'!BY34+'WS-CO ACTUAL JUNE 2018'!AD32</f>
        <v>5783214.879999999</v>
      </c>
    </row>
    <row r="33" spans="1:33" ht="14.1" customHeight="1">
      <c r="A33" s="7125" t="s">
        <v>665</v>
      </c>
      <c r="B33" s="7138">
        <v>0</v>
      </c>
      <c r="C33" s="7138">
        <v>0</v>
      </c>
      <c r="D33" s="7138">
        <v>0</v>
      </c>
      <c r="E33" s="7139">
        <v>0</v>
      </c>
      <c r="F33" s="7139">
        <v>0</v>
      </c>
      <c r="G33" s="7139">
        <v>0</v>
      </c>
      <c r="H33" s="7139">
        <v>0</v>
      </c>
      <c r="I33" s="7139">
        <v>0</v>
      </c>
      <c r="J33" s="7139">
        <v>0</v>
      </c>
      <c r="K33" s="7139">
        <v>0</v>
      </c>
      <c r="L33" s="7141"/>
      <c r="M33" s="7141"/>
      <c r="N33" s="7141"/>
      <c r="O33" s="7141"/>
      <c r="P33" s="7141"/>
      <c r="Q33" s="7141"/>
      <c r="R33" s="7141"/>
      <c r="S33" s="7141"/>
      <c r="T33" s="7141"/>
      <c r="U33" s="7141"/>
      <c r="V33" s="7142"/>
      <c r="W33" s="7141"/>
      <c r="X33" s="7141"/>
      <c r="Y33" s="7141"/>
      <c r="Z33" s="7141"/>
      <c r="AA33" s="7141"/>
      <c r="AB33" s="7141"/>
      <c r="AC33" s="7141"/>
      <c r="AD33" s="7129">
        <f t="shared" si="4"/>
        <v>0</v>
      </c>
      <c r="AE33" s="7125" t="s">
        <v>665</v>
      </c>
      <c r="AG33" s="10306">
        <f>'WS-PS ACTUAL JUNE 2018'!Z34+'WS-MOOE ACTUAL JUNE 2018'!BY35+'WS-CO ACTUAL JUNE 2018'!AD33</f>
        <v>7925070.4300000006</v>
      </c>
    </row>
    <row r="34" spans="1:33" ht="14.1" customHeight="1">
      <c r="A34" s="7125" t="s">
        <v>666</v>
      </c>
      <c r="B34" s="7138">
        <v>0</v>
      </c>
      <c r="C34" s="7138">
        <v>0</v>
      </c>
      <c r="D34" s="7138">
        <v>0</v>
      </c>
      <c r="E34" s="7139">
        <v>0</v>
      </c>
      <c r="F34" s="7139">
        <v>0</v>
      </c>
      <c r="G34" s="7139">
        <v>0</v>
      </c>
      <c r="H34" s="7139">
        <v>0</v>
      </c>
      <c r="I34" s="7139">
        <v>0</v>
      </c>
      <c r="J34" s="7139">
        <v>0</v>
      </c>
      <c r="K34" s="7139">
        <v>0</v>
      </c>
      <c r="L34" s="7141"/>
      <c r="M34" s="7141"/>
      <c r="N34" s="7141"/>
      <c r="O34" s="7141"/>
      <c r="P34" s="7141"/>
      <c r="Q34" s="7141"/>
      <c r="R34" s="7141"/>
      <c r="S34" s="7141"/>
      <c r="T34" s="7141"/>
      <c r="U34" s="7141"/>
      <c r="V34" s="7142"/>
      <c r="W34" s="7141"/>
      <c r="X34" s="7141"/>
      <c r="Y34" s="7141"/>
      <c r="Z34" s="7141"/>
      <c r="AA34" s="7141"/>
      <c r="AB34" s="7141"/>
      <c r="AC34" s="7141"/>
      <c r="AD34" s="7129">
        <f t="shared" si="4"/>
        <v>0</v>
      </c>
      <c r="AE34" s="7125" t="s">
        <v>666</v>
      </c>
      <c r="AG34" s="10306">
        <f>'WS-PS ACTUAL JUNE 2018'!Z35+'WS-MOOE ACTUAL JUNE 2018'!BY36+'WS-CO ACTUAL JUNE 2018'!AD34</f>
        <v>5910620.5899999999</v>
      </c>
    </row>
    <row r="35" spans="1:33" ht="14.1" customHeight="1">
      <c r="A35" s="7125" t="s">
        <v>667</v>
      </c>
      <c r="B35" s="7138">
        <v>0</v>
      </c>
      <c r="C35" s="7138">
        <v>0</v>
      </c>
      <c r="D35" s="7138">
        <v>0</v>
      </c>
      <c r="E35" s="7139">
        <v>0</v>
      </c>
      <c r="F35" s="7139">
        <v>0</v>
      </c>
      <c r="G35" s="7139">
        <v>0</v>
      </c>
      <c r="H35" s="7139">
        <v>0</v>
      </c>
      <c r="I35" s="7139">
        <v>0</v>
      </c>
      <c r="J35" s="7139">
        <v>0</v>
      </c>
      <c r="K35" s="7139">
        <v>0</v>
      </c>
      <c r="L35" s="7141"/>
      <c r="M35" s="7141"/>
      <c r="N35" s="7141"/>
      <c r="O35" s="7141"/>
      <c r="P35" s="7141"/>
      <c r="Q35" s="7141"/>
      <c r="R35" s="7141"/>
      <c r="S35" s="7141"/>
      <c r="T35" s="7141"/>
      <c r="U35" s="7141"/>
      <c r="V35" s="7142"/>
      <c r="W35" s="7141"/>
      <c r="X35" s="7141"/>
      <c r="Y35" s="7141"/>
      <c r="Z35" s="7141"/>
      <c r="AA35" s="7141"/>
      <c r="AB35" s="7141"/>
      <c r="AC35" s="7141"/>
      <c r="AD35" s="7129">
        <f t="shared" si="4"/>
        <v>0</v>
      </c>
      <c r="AE35" s="7125" t="s">
        <v>667</v>
      </c>
      <c r="AG35" s="10306">
        <f>'WS-PS ACTUAL JUNE 2018'!Z36+'WS-MOOE ACTUAL JUNE 2018'!BY37+'WS-CO ACTUAL JUNE 2018'!AD35</f>
        <v>8010273.79</v>
      </c>
    </row>
    <row r="36" spans="1:33" ht="14.1" customHeight="1">
      <c r="A36" s="7125" t="s">
        <v>591</v>
      </c>
      <c r="B36" s="7138">
        <v>0</v>
      </c>
      <c r="C36" s="7138">
        <v>0</v>
      </c>
      <c r="D36" s="7138"/>
      <c r="E36" s="7139">
        <v>0</v>
      </c>
      <c r="F36" s="7139">
        <v>0</v>
      </c>
      <c r="G36" s="7139">
        <v>0</v>
      </c>
      <c r="H36" s="7139">
        <v>0</v>
      </c>
      <c r="I36" s="7139">
        <v>0</v>
      </c>
      <c r="J36" s="7139">
        <v>0</v>
      </c>
      <c r="K36" s="7139">
        <v>0</v>
      </c>
      <c r="L36" s="7141"/>
      <c r="M36" s="7141"/>
      <c r="N36" s="7141"/>
      <c r="O36" s="7141"/>
      <c r="P36" s="7141"/>
      <c r="Q36" s="7141"/>
      <c r="R36" s="7141"/>
      <c r="S36" s="7141"/>
      <c r="T36" s="7141"/>
      <c r="U36" s="7141"/>
      <c r="V36" s="7142"/>
      <c r="W36" s="7141"/>
      <c r="X36" s="7141"/>
      <c r="Y36" s="7141"/>
      <c r="Z36" s="7141"/>
      <c r="AA36" s="7141"/>
      <c r="AB36" s="7141"/>
      <c r="AC36" s="7141"/>
      <c r="AD36" s="7129">
        <f t="shared" si="4"/>
        <v>0</v>
      </c>
      <c r="AE36" s="7125" t="s">
        <v>591</v>
      </c>
      <c r="AG36" s="10306">
        <f>'WS-PS ACTUAL JUNE 2018'!Z37+'WS-MOOE ACTUAL JUNE 2018'!BY38+'WS-CO ACTUAL JUNE 2018'!AD36</f>
        <v>6590743.9700000007</v>
      </c>
    </row>
    <row r="37" spans="1:33" ht="14.1" customHeight="1">
      <c r="A37" s="7130" t="s">
        <v>592</v>
      </c>
      <c r="B37" s="7143">
        <v>0</v>
      </c>
      <c r="C37" s="7143">
        <v>0</v>
      </c>
      <c r="D37" s="7143">
        <v>0</v>
      </c>
      <c r="E37" s="7144">
        <v>0</v>
      </c>
      <c r="F37" s="7144">
        <v>0</v>
      </c>
      <c r="G37" s="7144">
        <f>'lbpf 3-PSWD'!E90</f>
        <v>0</v>
      </c>
      <c r="H37" s="7144">
        <v>0</v>
      </c>
      <c r="I37" s="7144">
        <v>0</v>
      </c>
      <c r="J37" s="7144">
        <v>0</v>
      </c>
      <c r="K37" s="7144">
        <v>0</v>
      </c>
      <c r="L37" s="7145"/>
      <c r="M37" s="7145"/>
      <c r="N37" s="7145"/>
      <c r="O37" s="7145"/>
      <c r="P37" s="7145"/>
      <c r="Q37" s="7145"/>
      <c r="R37" s="7145"/>
      <c r="S37" s="7145"/>
      <c r="T37" s="7145"/>
      <c r="U37" s="7145"/>
      <c r="V37" s="7146"/>
      <c r="W37" s="7145"/>
      <c r="X37" s="7145"/>
      <c r="Y37" s="7145"/>
      <c r="Z37" s="7145"/>
      <c r="AA37" s="7145"/>
      <c r="AB37" s="7145"/>
      <c r="AC37" s="7145"/>
      <c r="AD37" s="7134">
        <f t="shared" si="4"/>
        <v>0</v>
      </c>
      <c r="AE37" s="7130" t="s">
        <v>592</v>
      </c>
      <c r="AG37" s="10306">
        <f>'WS-PS ACTUAL JUNE 2018'!Z38+'WS-MOOE ACTUAL JUNE 2018'!BY39+'WS-CO ACTUAL JUNE 2018'!AD37</f>
        <v>14636967.77</v>
      </c>
    </row>
    <row r="38" spans="1:33" ht="14.1" customHeight="1" thickBot="1">
      <c r="A38" s="7114" t="s">
        <v>485</v>
      </c>
      <c r="B38" s="7115">
        <f>SUM(B23:B37)</f>
        <v>0</v>
      </c>
      <c r="C38" s="7115">
        <f t="shared" ref="C38:AC38" si="5">SUM(C23:C37)</f>
        <v>0</v>
      </c>
      <c r="D38" s="7115">
        <f t="shared" si="5"/>
        <v>0</v>
      </c>
      <c r="E38" s="7115">
        <f t="shared" si="5"/>
        <v>0</v>
      </c>
      <c r="F38" s="7115">
        <f>SUM(F23:F37)</f>
        <v>0</v>
      </c>
      <c r="G38" s="7115">
        <f t="shared" si="5"/>
        <v>0</v>
      </c>
      <c r="H38" s="7115">
        <f t="shared" si="5"/>
        <v>0</v>
      </c>
      <c r="I38" s="7115">
        <f t="shared" si="5"/>
        <v>0</v>
      </c>
      <c r="J38" s="7115">
        <f t="shared" si="5"/>
        <v>0</v>
      </c>
      <c r="K38" s="7115">
        <f t="shared" si="5"/>
        <v>0</v>
      </c>
      <c r="L38" s="7115">
        <f t="shared" si="5"/>
        <v>0</v>
      </c>
      <c r="M38" s="7115">
        <f t="shared" si="5"/>
        <v>0</v>
      </c>
      <c r="N38" s="7115">
        <f t="shared" si="5"/>
        <v>0</v>
      </c>
      <c r="O38" s="7115">
        <f t="shared" si="5"/>
        <v>0</v>
      </c>
      <c r="P38" s="7115">
        <f t="shared" si="5"/>
        <v>0</v>
      </c>
      <c r="Q38" s="7115">
        <f t="shared" si="5"/>
        <v>0</v>
      </c>
      <c r="R38" s="7115">
        <f t="shared" si="5"/>
        <v>0</v>
      </c>
      <c r="S38" s="7115">
        <f t="shared" si="5"/>
        <v>0</v>
      </c>
      <c r="T38" s="7115">
        <f t="shared" si="5"/>
        <v>0</v>
      </c>
      <c r="U38" s="7115">
        <f t="shared" si="5"/>
        <v>0</v>
      </c>
      <c r="V38" s="7115">
        <f t="shared" si="5"/>
        <v>0</v>
      </c>
      <c r="W38" s="7115">
        <f t="shared" si="5"/>
        <v>0</v>
      </c>
      <c r="X38" s="7115">
        <f t="shared" si="5"/>
        <v>0</v>
      </c>
      <c r="Y38" s="7115">
        <f t="shared" si="5"/>
        <v>0</v>
      </c>
      <c r="Z38" s="7115">
        <f t="shared" si="5"/>
        <v>0</v>
      </c>
      <c r="AA38" s="7115">
        <f t="shared" si="5"/>
        <v>0</v>
      </c>
      <c r="AB38" s="7115">
        <f t="shared" si="5"/>
        <v>0</v>
      </c>
      <c r="AC38" s="7115">
        <f t="shared" si="5"/>
        <v>0</v>
      </c>
      <c r="AD38" s="6795">
        <f>SUM(AD23:AD37)</f>
        <v>0</v>
      </c>
      <c r="AE38" s="7114" t="s">
        <v>485</v>
      </c>
    </row>
    <row r="39" spans="1:33" ht="14.1" customHeight="1" thickTop="1">
      <c r="A39" s="7120" t="s">
        <v>593</v>
      </c>
      <c r="B39" s="7135">
        <v>0</v>
      </c>
      <c r="C39" s="7135">
        <v>0</v>
      </c>
      <c r="D39" s="7135">
        <v>0</v>
      </c>
      <c r="E39" s="7147">
        <v>21070</v>
      </c>
      <c r="F39" s="7147">
        <v>86000</v>
      </c>
      <c r="G39" s="7147">
        <v>0</v>
      </c>
      <c r="H39" s="7147">
        <v>0</v>
      </c>
      <c r="I39" s="7147">
        <v>0</v>
      </c>
      <c r="J39" s="7147">
        <v>0</v>
      </c>
      <c r="K39" s="7147">
        <v>0</v>
      </c>
      <c r="L39" s="7147"/>
      <c r="M39" s="7147"/>
      <c r="N39" s="7147"/>
      <c r="O39" s="7147"/>
      <c r="P39" s="7147"/>
      <c r="Q39" s="7147"/>
      <c r="R39" s="7147"/>
      <c r="S39" s="7147"/>
      <c r="T39" s="7147"/>
      <c r="U39" s="7147"/>
      <c r="V39" s="7147"/>
      <c r="W39" s="7147"/>
      <c r="X39" s="7147"/>
      <c r="Y39" s="7147"/>
      <c r="Z39" s="7147"/>
      <c r="AA39" s="7147">
        <v>0</v>
      </c>
      <c r="AB39" s="7147">
        <v>0</v>
      </c>
      <c r="AC39" s="7147">
        <v>0</v>
      </c>
      <c r="AD39" s="7124">
        <f t="shared" ref="AD39:AD47" si="6">SUM(B39:AC39)</f>
        <v>107070</v>
      </c>
      <c r="AE39" s="7120" t="s">
        <v>593</v>
      </c>
      <c r="AG39" s="10306">
        <f>'WS-PS ACTUAL JUNE 2018'!Z42+'WS-MOOE ACTUAL JUNE 2018'!BY43+'WS-CO ACTUAL JUNE 2018'!AD39</f>
        <v>1143786.73</v>
      </c>
    </row>
    <row r="40" spans="1:33" ht="14.1" customHeight="1">
      <c r="A40" s="8844" t="s">
        <v>10813</v>
      </c>
      <c r="B40" s="8845"/>
      <c r="C40" s="8845"/>
      <c r="D40" s="8845"/>
      <c r="E40" s="8846"/>
      <c r="F40" s="8846"/>
      <c r="G40" s="8846"/>
      <c r="H40" s="8846"/>
      <c r="I40" s="8846"/>
      <c r="J40" s="8846"/>
      <c r="K40" s="8846"/>
      <c r="L40" s="8846"/>
      <c r="M40" s="8846"/>
      <c r="N40" s="8846"/>
      <c r="O40" s="8846"/>
      <c r="P40" s="8846"/>
      <c r="Q40" s="8846"/>
      <c r="R40" s="8846"/>
      <c r="S40" s="8846"/>
      <c r="T40" s="8846"/>
      <c r="U40" s="8846"/>
      <c r="V40" s="8846"/>
      <c r="W40" s="8846"/>
      <c r="X40" s="8846"/>
      <c r="Y40" s="8846"/>
      <c r="Z40" s="8846"/>
      <c r="AA40" s="8846"/>
      <c r="AB40" s="8846"/>
      <c r="AC40" s="8846"/>
      <c r="AD40" s="7124">
        <f t="shared" si="6"/>
        <v>0</v>
      </c>
      <c r="AE40" s="8844" t="s">
        <v>10813</v>
      </c>
      <c r="AG40" s="10306">
        <f>'WS-PS ACTUAL JUNE 2018'!Z43+'WS-MOOE ACTUAL JUNE 2018'!BY44+'WS-CO ACTUAL JUNE 2018'!AD40</f>
        <v>1373447.43</v>
      </c>
    </row>
    <row r="41" spans="1:33" ht="14.1" customHeight="1">
      <c r="A41" s="7125" t="s">
        <v>594</v>
      </c>
      <c r="B41" s="7138">
        <v>0</v>
      </c>
      <c r="C41" s="7138">
        <v>0</v>
      </c>
      <c r="D41" s="7138">
        <v>0</v>
      </c>
      <c r="E41" s="7142">
        <v>0</v>
      </c>
      <c r="F41" s="7142">
        <v>0</v>
      </c>
      <c r="G41" s="7142">
        <v>0</v>
      </c>
      <c r="H41" s="7142">
        <v>0</v>
      </c>
      <c r="I41" s="7142">
        <v>0</v>
      </c>
      <c r="J41" s="7142">
        <v>0</v>
      </c>
      <c r="K41" s="7142">
        <v>0</v>
      </c>
      <c r="L41" s="7142"/>
      <c r="M41" s="7142"/>
      <c r="N41" s="7142"/>
      <c r="O41" s="7142"/>
      <c r="P41" s="7142"/>
      <c r="Q41" s="7142"/>
      <c r="R41" s="7142"/>
      <c r="S41" s="7142"/>
      <c r="T41" s="7142"/>
      <c r="U41" s="7142"/>
      <c r="V41" s="7142"/>
      <c r="W41" s="7142"/>
      <c r="X41" s="7142"/>
      <c r="Y41" s="7142"/>
      <c r="Z41" s="7142"/>
      <c r="AA41" s="7142">
        <v>0</v>
      </c>
      <c r="AB41" s="7142">
        <v>0</v>
      </c>
      <c r="AC41" s="7142">
        <v>0</v>
      </c>
      <c r="AD41" s="7129">
        <f t="shared" si="6"/>
        <v>0</v>
      </c>
      <c r="AE41" s="7125" t="s">
        <v>594</v>
      </c>
      <c r="AG41" s="10306">
        <f>'WS-PS ACTUAL JUNE 2018'!Z44+'WS-MOOE ACTUAL JUNE 2018'!BY45+'WS-CO ACTUAL JUNE 2018'!AD41</f>
        <v>1283325.1400000001</v>
      </c>
    </row>
    <row r="42" spans="1:33" ht="14.1" customHeight="1">
      <c r="A42" s="7125" t="s">
        <v>595</v>
      </c>
      <c r="B42" s="7138">
        <v>0</v>
      </c>
      <c r="C42" s="7138">
        <v>0</v>
      </c>
      <c r="D42" s="7138">
        <v>0</v>
      </c>
      <c r="E42" s="7142">
        <v>0</v>
      </c>
      <c r="F42" s="7142">
        <v>0</v>
      </c>
      <c r="G42" s="7142">
        <v>0</v>
      </c>
      <c r="H42" s="7142">
        <v>0</v>
      </c>
      <c r="I42" s="7142">
        <v>0</v>
      </c>
      <c r="J42" s="7142">
        <v>0</v>
      </c>
      <c r="K42" s="7142">
        <v>0</v>
      </c>
      <c r="L42" s="7142"/>
      <c r="M42" s="7142"/>
      <c r="N42" s="7142"/>
      <c r="O42" s="7142"/>
      <c r="P42" s="7142"/>
      <c r="Q42" s="7142"/>
      <c r="R42" s="7142"/>
      <c r="S42" s="7142"/>
      <c r="T42" s="7142"/>
      <c r="U42" s="7142"/>
      <c r="V42" s="7142"/>
      <c r="W42" s="7142"/>
      <c r="X42" s="7142"/>
      <c r="Y42" s="7142"/>
      <c r="Z42" s="7142"/>
      <c r="AA42" s="7142">
        <v>0</v>
      </c>
      <c r="AB42" s="7142">
        <v>0</v>
      </c>
      <c r="AC42" s="7142">
        <v>0</v>
      </c>
      <c r="AD42" s="7129">
        <f t="shared" si="6"/>
        <v>0</v>
      </c>
      <c r="AE42" s="7125" t="s">
        <v>595</v>
      </c>
      <c r="AG42" s="10306">
        <f>'WS-PS ACTUAL JUNE 2018'!Z45+'WS-MOOE ACTUAL JUNE 2018'!BY46+'WS-CO ACTUAL JUNE 2018'!AD42</f>
        <v>913906.83000000007</v>
      </c>
    </row>
    <row r="43" spans="1:33" ht="14.1" customHeight="1">
      <c r="A43" s="7125" t="s">
        <v>596</v>
      </c>
      <c r="B43" s="7138">
        <v>0</v>
      </c>
      <c r="C43" s="7138">
        <v>0</v>
      </c>
      <c r="D43" s="7138">
        <v>0</v>
      </c>
      <c r="E43" s="7142">
        <v>0</v>
      </c>
      <c r="F43" s="7142">
        <v>0</v>
      </c>
      <c r="G43" s="7142">
        <v>0</v>
      </c>
      <c r="H43" s="7142">
        <v>0</v>
      </c>
      <c r="I43" s="7142">
        <v>0</v>
      </c>
      <c r="J43" s="7142">
        <v>0</v>
      </c>
      <c r="K43" s="7142">
        <v>0</v>
      </c>
      <c r="L43" s="7142"/>
      <c r="M43" s="7142"/>
      <c r="N43" s="7142"/>
      <c r="O43" s="7142"/>
      <c r="P43" s="7142"/>
      <c r="Q43" s="7142"/>
      <c r="R43" s="7142"/>
      <c r="S43" s="7142"/>
      <c r="T43" s="7142"/>
      <c r="U43" s="7142"/>
      <c r="V43" s="7142"/>
      <c r="W43" s="7142"/>
      <c r="X43" s="7142"/>
      <c r="Y43" s="7142"/>
      <c r="Z43" s="7142"/>
      <c r="AA43" s="7142">
        <v>0</v>
      </c>
      <c r="AB43" s="7142">
        <v>0</v>
      </c>
      <c r="AC43" s="7142">
        <v>0</v>
      </c>
      <c r="AD43" s="7129">
        <f t="shared" si="6"/>
        <v>0</v>
      </c>
      <c r="AE43" s="7125" t="s">
        <v>596</v>
      </c>
      <c r="AG43" s="10306">
        <f>'WS-PS ACTUAL JUNE 2018'!Z46+'WS-MOOE ACTUAL JUNE 2018'!BY47+'WS-CO ACTUAL JUNE 2018'!AD43</f>
        <v>812052.58000000007</v>
      </c>
    </row>
    <row r="44" spans="1:33" ht="14.1" customHeight="1">
      <c r="A44" s="7125" t="s">
        <v>598</v>
      </c>
      <c r="B44" s="7138">
        <v>0</v>
      </c>
      <c r="C44" s="7138">
        <v>0</v>
      </c>
      <c r="D44" s="7138">
        <v>0</v>
      </c>
      <c r="E44" s="7142">
        <v>0</v>
      </c>
      <c r="F44" s="7142">
        <v>0</v>
      </c>
      <c r="G44" s="7142">
        <v>0</v>
      </c>
      <c r="H44" s="7142">
        <v>0</v>
      </c>
      <c r="I44" s="7142">
        <v>0</v>
      </c>
      <c r="J44" s="7142">
        <v>0</v>
      </c>
      <c r="K44" s="7142">
        <v>0</v>
      </c>
      <c r="L44" s="7142"/>
      <c r="M44" s="7142"/>
      <c r="N44" s="7142"/>
      <c r="O44" s="7142"/>
      <c r="P44" s="7142"/>
      <c r="Q44" s="7142"/>
      <c r="R44" s="7142"/>
      <c r="S44" s="7142"/>
      <c r="T44" s="7142"/>
      <c r="U44" s="7142"/>
      <c r="V44" s="7142"/>
      <c r="W44" s="7142"/>
      <c r="X44" s="7142"/>
      <c r="Y44" s="7142"/>
      <c r="Z44" s="7142"/>
      <c r="AA44" s="7142">
        <v>0</v>
      </c>
      <c r="AB44" s="7142">
        <v>0</v>
      </c>
      <c r="AC44" s="7142">
        <v>0</v>
      </c>
      <c r="AD44" s="7129">
        <f t="shared" si="6"/>
        <v>0</v>
      </c>
      <c r="AE44" s="7125" t="s">
        <v>598</v>
      </c>
      <c r="AG44" s="10306">
        <f>'WS-PS ACTUAL JUNE 2018'!Z47+'WS-MOOE ACTUAL JUNE 2018'!BY48+'WS-CO ACTUAL JUNE 2018'!AD44</f>
        <v>12130845.32</v>
      </c>
    </row>
    <row r="45" spans="1:33" ht="14.1" customHeight="1">
      <c r="A45" s="7125" t="s">
        <v>599</v>
      </c>
      <c r="B45" s="7138">
        <v>0</v>
      </c>
      <c r="C45" s="7138">
        <v>0</v>
      </c>
      <c r="D45" s="7138">
        <v>0</v>
      </c>
      <c r="E45" s="7142">
        <v>0</v>
      </c>
      <c r="F45" s="7142">
        <v>0</v>
      </c>
      <c r="G45" s="7142">
        <v>0</v>
      </c>
      <c r="H45" s="7142">
        <v>0</v>
      </c>
      <c r="I45" s="7142">
        <v>0</v>
      </c>
      <c r="J45" s="7142">
        <v>0</v>
      </c>
      <c r="K45" s="7142">
        <v>0</v>
      </c>
      <c r="L45" s="7142"/>
      <c r="M45" s="7142"/>
      <c r="N45" s="7142"/>
      <c r="O45" s="7142"/>
      <c r="P45" s="7142"/>
      <c r="Q45" s="7142"/>
      <c r="R45" s="7142"/>
      <c r="S45" s="7142"/>
      <c r="T45" s="7142"/>
      <c r="U45" s="7142"/>
      <c r="V45" s="7142"/>
      <c r="W45" s="7142"/>
      <c r="X45" s="7142"/>
      <c r="Y45" s="7142"/>
      <c r="Z45" s="7142"/>
      <c r="AA45" s="7142">
        <v>0</v>
      </c>
      <c r="AB45" s="7142">
        <v>0</v>
      </c>
      <c r="AC45" s="7142">
        <v>0</v>
      </c>
      <c r="AD45" s="7129">
        <f t="shared" si="6"/>
        <v>0</v>
      </c>
      <c r="AE45" s="7125" t="s">
        <v>599</v>
      </c>
      <c r="AG45" s="10306">
        <f>'WS-PS ACTUAL JUNE 2018'!Z48+'WS-MOOE ACTUAL JUNE 2018'!BY49+'WS-CO ACTUAL JUNE 2018'!AD45</f>
        <v>7896981.9399999995</v>
      </c>
    </row>
    <row r="46" spans="1:33" ht="14.1" customHeight="1">
      <c r="A46" s="7125" t="s">
        <v>600</v>
      </c>
      <c r="B46" s="7138">
        <v>0</v>
      </c>
      <c r="C46" s="7138">
        <v>0</v>
      </c>
      <c r="D46" s="7138">
        <v>0</v>
      </c>
      <c r="E46" s="7142">
        <v>0</v>
      </c>
      <c r="F46" s="7142">
        <v>0</v>
      </c>
      <c r="G46" s="7142">
        <v>0</v>
      </c>
      <c r="H46" s="7142">
        <v>0</v>
      </c>
      <c r="I46" s="7142">
        <v>0</v>
      </c>
      <c r="J46" s="7142">
        <v>0</v>
      </c>
      <c r="K46" s="7142">
        <v>0</v>
      </c>
      <c r="L46" s="7142"/>
      <c r="M46" s="7142"/>
      <c r="N46" s="7142"/>
      <c r="O46" s="7142"/>
      <c r="P46" s="7142"/>
      <c r="Q46" s="7142"/>
      <c r="R46" s="7142"/>
      <c r="S46" s="7142"/>
      <c r="T46" s="7142"/>
      <c r="U46" s="7142"/>
      <c r="V46" s="7142"/>
      <c r="W46" s="7142"/>
      <c r="X46" s="7142"/>
      <c r="Y46" s="7142"/>
      <c r="Z46" s="7142"/>
      <c r="AA46" s="7142">
        <v>0</v>
      </c>
      <c r="AB46" s="7142">
        <v>0</v>
      </c>
      <c r="AC46" s="7142">
        <v>0</v>
      </c>
      <c r="AD46" s="7129">
        <f t="shared" si="6"/>
        <v>0</v>
      </c>
      <c r="AE46" s="7125" t="s">
        <v>600</v>
      </c>
      <c r="AG46" s="10306">
        <f>'WS-PS ACTUAL JUNE 2018'!Z49+'WS-MOOE ACTUAL JUNE 2018'!BY50+'WS-CO ACTUAL JUNE 2018'!AD46</f>
        <v>35855265.049999997</v>
      </c>
    </row>
    <row r="47" spans="1:33" ht="14.1" customHeight="1">
      <c r="A47" s="7125" t="s">
        <v>668</v>
      </c>
      <c r="B47" s="7138">
        <v>0</v>
      </c>
      <c r="C47" s="7138">
        <v>0</v>
      </c>
      <c r="D47" s="7138">
        <v>0</v>
      </c>
      <c r="E47" s="7142">
        <v>0</v>
      </c>
      <c r="F47" s="7142">
        <v>0</v>
      </c>
      <c r="G47" s="7142">
        <v>0</v>
      </c>
      <c r="H47" s="7142">
        <v>0</v>
      </c>
      <c r="I47" s="7142">
        <v>0</v>
      </c>
      <c r="J47" s="7142">
        <v>0</v>
      </c>
      <c r="K47" s="7142">
        <v>0</v>
      </c>
      <c r="L47" s="7142"/>
      <c r="M47" s="7142"/>
      <c r="N47" s="7142"/>
      <c r="O47" s="7142"/>
      <c r="P47" s="7142"/>
      <c r="Q47" s="7142"/>
      <c r="R47" s="7142"/>
      <c r="S47" s="7142"/>
      <c r="T47" s="7142"/>
      <c r="U47" s="7142"/>
      <c r="V47" s="7142"/>
      <c r="W47" s="7142"/>
      <c r="X47" s="7142"/>
      <c r="Y47" s="7142"/>
      <c r="Z47" s="7142"/>
      <c r="AA47" s="7142">
        <v>0</v>
      </c>
      <c r="AB47" s="7142">
        <v>0</v>
      </c>
      <c r="AC47" s="7142">
        <v>0</v>
      </c>
      <c r="AD47" s="7129">
        <f t="shared" si="6"/>
        <v>0</v>
      </c>
      <c r="AE47" s="7125" t="s">
        <v>668</v>
      </c>
      <c r="AG47" s="10306">
        <f>'WS-PS ACTUAL JUNE 2018'!Z50+'WS-MOOE ACTUAL JUNE 2018'!BY51+'WS-CO ACTUAL JUNE 2018'!AD47</f>
        <v>13337379.719999999</v>
      </c>
    </row>
    <row r="48" spans="1:33" ht="6.6" customHeight="1">
      <c r="A48" s="7130"/>
      <c r="B48" s="7143">
        <v>0</v>
      </c>
      <c r="C48" s="7143">
        <v>0</v>
      </c>
      <c r="D48" s="7143">
        <v>0</v>
      </c>
      <c r="E48" s="7146">
        <v>0</v>
      </c>
      <c r="F48" s="7146">
        <v>0</v>
      </c>
      <c r="G48" s="7146">
        <v>0</v>
      </c>
      <c r="H48" s="7146">
        <v>0</v>
      </c>
      <c r="I48" s="7146">
        <v>0</v>
      </c>
      <c r="J48" s="7146">
        <v>0</v>
      </c>
      <c r="K48" s="7146">
        <v>0</v>
      </c>
      <c r="L48" s="7146"/>
      <c r="M48" s="7146"/>
      <c r="N48" s="7146"/>
      <c r="O48" s="7146"/>
      <c r="P48" s="7146"/>
      <c r="Q48" s="7146"/>
      <c r="R48" s="7146"/>
      <c r="S48" s="7146"/>
      <c r="T48" s="7146"/>
      <c r="U48" s="7146"/>
      <c r="V48" s="7146"/>
      <c r="W48" s="7146"/>
      <c r="X48" s="7146"/>
      <c r="Y48" s="7146"/>
      <c r="Z48" s="7146"/>
      <c r="AA48" s="7146">
        <v>0</v>
      </c>
      <c r="AB48" s="7146">
        <v>0</v>
      </c>
      <c r="AC48" s="7146">
        <v>0</v>
      </c>
      <c r="AD48" s="7134" t="s">
        <v>9</v>
      </c>
      <c r="AE48" s="7130"/>
    </row>
    <row r="49" spans="1:31" ht="14.1" customHeight="1" thickBot="1">
      <c r="A49" s="7114" t="s">
        <v>485</v>
      </c>
      <c r="B49" s="6796">
        <f>SUM(B39:B47)</f>
        <v>0</v>
      </c>
      <c r="C49" s="6796">
        <f t="shared" ref="C49:AC49" si="7">SUM(C39:C47)</f>
        <v>0</v>
      </c>
      <c r="D49" s="6796">
        <f t="shared" si="7"/>
        <v>0</v>
      </c>
      <c r="E49" s="6796">
        <f t="shared" si="7"/>
        <v>21070</v>
      </c>
      <c r="F49" s="6796">
        <f>SUM(F39:F47)</f>
        <v>86000</v>
      </c>
      <c r="G49" s="6796">
        <f t="shared" si="7"/>
        <v>0</v>
      </c>
      <c r="H49" s="6796">
        <f t="shared" si="7"/>
        <v>0</v>
      </c>
      <c r="I49" s="6796">
        <f t="shared" si="7"/>
        <v>0</v>
      </c>
      <c r="J49" s="6796">
        <f t="shared" si="7"/>
        <v>0</v>
      </c>
      <c r="K49" s="6796">
        <f t="shared" si="7"/>
        <v>0</v>
      </c>
      <c r="L49" s="6796">
        <f t="shared" si="7"/>
        <v>0</v>
      </c>
      <c r="M49" s="6796">
        <f t="shared" si="7"/>
        <v>0</v>
      </c>
      <c r="N49" s="6796">
        <f t="shared" si="7"/>
        <v>0</v>
      </c>
      <c r="O49" s="6796">
        <f t="shared" si="7"/>
        <v>0</v>
      </c>
      <c r="P49" s="6796">
        <f t="shared" si="7"/>
        <v>0</v>
      </c>
      <c r="Q49" s="6796">
        <f t="shared" si="7"/>
        <v>0</v>
      </c>
      <c r="R49" s="6796">
        <f t="shared" si="7"/>
        <v>0</v>
      </c>
      <c r="S49" s="6796">
        <f t="shared" si="7"/>
        <v>0</v>
      </c>
      <c r="T49" s="6796">
        <f t="shared" si="7"/>
        <v>0</v>
      </c>
      <c r="U49" s="6796">
        <f t="shared" si="7"/>
        <v>0</v>
      </c>
      <c r="V49" s="6796">
        <f t="shared" si="7"/>
        <v>0</v>
      </c>
      <c r="W49" s="6796">
        <f t="shared" si="7"/>
        <v>0</v>
      </c>
      <c r="X49" s="6796">
        <f t="shared" si="7"/>
        <v>0</v>
      </c>
      <c r="Y49" s="6796">
        <f t="shared" si="7"/>
        <v>0</v>
      </c>
      <c r="Z49" s="6796">
        <f t="shared" si="7"/>
        <v>0</v>
      </c>
      <c r="AA49" s="6796">
        <f t="shared" si="7"/>
        <v>0</v>
      </c>
      <c r="AB49" s="6796">
        <f t="shared" si="7"/>
        <v>0</v>
      </c>
      <c r="AC49" s="6796">
        <f t="shared" si="7"/>
        <v>0</v>
      </c>
      <c r="AD49" s="6796">
        <f>SUM(AD39:AD47)</f>
        <v>107070</v>
      </c>
      <c r="AE49" s="7114" t="s">
        <v>485</v>
      </c>
    </row>
    <row r="50" spans="1:31" ht="14.1" customHeight="1" thickTop="1" thickBot="1">
      <c r="A50" s="7116"/>
      <c r="B50" s="7117"/>
      <c r="C50" s="7117"/>
      <c r="D50" s="7117"/>
      <c r="E50" s="7118"/>
      <c r="F50" s="7118"/>
      <c r="G50" s="7118"/>
      <c r="H50" s="7118"/>
      <c r="I50" s="7118"/>
      <c r="J50" s="7118"/>
      <c r="K50" s="7118"/>
      <c r="L50" s="7118"/>
      <c r="M50" s="7118"/>
      <c r="N50" s="7118"/>
      <c r="O50" s="7118"/>
      <c r="P50" s="7118"/>
      <c r="Q50" s="7118"/>
      <c r="R50" s="7118"/>
      <c r="S50" s="7118"/>
      <c r="T50" s="7118"/>
      <c r="U50" s="7118"/>
      <c r="V50" s="7118"/>
      <c r="W50" s="7118"/>
      <c r="X50" s="7118"/>
      <c r="Y50" s="7118"/>
      <c r="Z50" s="7118"/>
      <c r="AA50" s="7118"/>
      <c r="AB50" s="7118"/>
      <c r="AC50" s="7118"/>
      <c r="AD50" s="6797" t="s">
        <v>9</v>
      </c>
      <c r="AE50" s="7116"/>
    </row>
    <row r="51" spans="1:31" ht="14.1" customHeight="1" thickTop="1" thickBot="1">
      <c r="A51" s="7119" t="s">
        <v>669</v>
      </c>
      <c r="B51" s="6798">
        <f t="shared" ref="B51:AC51" si="8">SUM(B22+B38+B49)</f>
        <v>0</v>
      </c>
      <c r="C51" s="6798">
        <f t="shared" si="8"/>
        <v>0</v>
      </c>
      <c r="D51" s="6798">
        <f t="shared" si="8"/>
        <v>0</v>
      </c>
      <c r="E51" s="6798">
        <f t="shared" si="8"/>
        <v>21070</v>
      </c>
      <c r="F51" s="6798">
        <f t="shared" si="8"/>
        <v>86000</v>
      </c>
      <c r="G51" s="6798">
        <f t="shared" si="8"/>
        <v>0</v>
      </c>
      <c r="H51" s="6798">
        <f t="shared" si="8"/>
        <v>0</v>
      </c>
      <c r="I51" s="6798">
        <f t="shared" si="8"/>
        <v>0</v>
      </c>
      <c r="J51" s="6798">
        <f t="shared" si="8"/>
        <v>83285</v>
      </c>
      <c r="K51" s="6798">
        <f t="shared" si="8"/>
        <v>0</v>
      </c>
      <c r="L51" s="6798">
        <f t="shared" si="8"/>
        <v>0</v>
      </c>
      <c r="M51" s="6798">
        <f t="shared" si="8"/>
        <v>0</v>
      </c>
      <c r="N51" s="6798">
        <f t="shared" si="8"/>
        <v>0</v>
      </c>
      <c r="O51" s="6798">
        <f t="shared" si="8"/>
        <v>0</v>
      </c>
      <c r="P51" s="6798">
        <f t="shared" si="8"/>
        <v>0</v>
      </c>
      <c r="Q51" s="6798">
        <f t="shared" si="8"/>
        <v>0</v>
      </c>
      <c r="R51" s="6798">
        <f t="shared" si="8"/>
        <v>0</v>
      </c>
      <c r="S51" s="6798">
        <f t="shared" si="8"/>
        <v>0</v>
      </c>
      <c r="T51" s="6798">
        <f t="shared" si="8"/>
        <v>0</v>
      </c>
      <c r="U51" s="6798">
        <f t="shared" si="8"/>
        <v>0</v>
      </c>
      <c r="V51" s="6798">
        <f t="shared" si="8"/>
        <v>0</v>
      </c>
      <c r="W51" s="6798">
        <f t="shared" si="8"/>
        <v>0</v>
      </c>
      <c r="X51" s="6798">
        <f t="shared" si="8"/>
        <v>0</v>
      </c>
      <c r="Y51" s="6798">
        <f t="shared" si="8"/>
        <v>0</v>
      </c>
      <c r="Z51" s="6798">
        <f t="shared" si="8"/>
        <v>0</v>
      </c>
      <c r="AA51" s="6798">
        <f t="shared" si="8"/>
        <v>0</v>
      </c>
      <c r="AB51" s="6798">
        <f t="shared" si="8"/>
        <v>0</v>
      </c>
      <c r="AC51" s="6798">
        <f t="shared" si="8"/>
        <v>0</v>
      </c>
      <c r="AD51" s="6798">
        <f>AD22+AD38+AD49</f>
        <v>190355</v>
      </c>
      <c r="AE51" s="7119" t="s">
        <v>669</v>
      </c>
    </row>
    <row r="52" spans="1:31" ht="14.1" customHeight="1" thickTop="1">
      <c r="AD52" s="5807"/>
    </row>
    <row r="53" spans="1:31" ht="14.1" customHeight="1">
      <c r="AD53" s="5807"/>
    </row>
    <row r="54" spans="1:31" ht="14.1" customHeight="1">
      <c r="AD54" s="5807"/>
    </row>
    <row r="55" spans="1:31" ht="14.1" customHeight="1">
      <c r="AD55" s="5807"/>
    </row>
    <row r="56" spans="1:31" ht="14.1" customHeight="1">
      <c r="AD56" s="5807"/>
    </row>
    <row r="57" spans="1:31" ht="14.1" customHeight="1">
      <c r="AD57" s="5807"/>
    </row>
    <row r="58" spans="1:31" ht="14.1" customHeight="1">
      <c r="AD58" s="6799"/>
    </row>
    <row r="127" spans="17:17" ht="14.1" customHeight="1">
      <c r="Q127" s="6791">
        <f>197382567.05-F127</f>
        <v>197382567.05000001</v>
      </c>
    </row>
  </sheetData>
  <pageMargins left="0.25" right="0.25" top="0" bottom="0" header="0" footer="0"/>
  <pageSetup paperSize="136" scale="85"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sheetPr codeName="Sheet43">
    <tabColor rgb="FFFFFF00"/>
  </sheetPr>
  <dimension ref="A1:J39"/>
  <sheetViews>
    <sheetView showGridLines="0" topLeftCell="A25" workbookViewId="0">
      <selection activeCell="E43" sqref="E43"/>
    </sheetView>
  </sheetViews>
  <sheetFormatPr defaultColWidth="9.109375" defaultRowHeight="15.6"/>
  <cols>
    <col min="1" max="1" width="19.88671875" style="835" customWidth="1"/>
    <col min="2" max="2" width="5.88671875" style="835" customWidth="1"/>
    <col min="3" max="9" width="9.109375" style="835"/>
    <col min="10" max="10" width="8.88671875" style="839" customWidth="1"/>
    <col min="11" max="16384" width="9.109375" style="835"/>
  </cols>
  <sheetData>
    <row r="1" spans="1:10">
      <c r="A1" s="834"/>
      <c r="I1" s="836"/>
      <c r="J1" s="837"/>
    </row>
    <row r="2" spans="1:10">
      <c r="A2" s="14103" t="s">
        <v>3238</v>
      </c>
      <c r="B2" s="14103"/>
      <c r="C2" s="14103"/>
      <c r="D2" s="14103"/>
      <c r="E2" s="14103"/>
      <c r="F2" s="14103"/>
      <c r="G2" s="14103"/>
      <c r="H2" s="14103"/>
      <c r="I2" s="14103"/>
      <c r="J2" s="14103"/>
    </row>
    <row r="3" spans="1:10">
      <c r="A3" s="838"/>
    </row>
    <row r="4" spans="1:10">
      <c r="A4" s="840"/>
    </row>
    <row r="5" spans="1:10">
      <c r="A5" s="840" t="s">
        <v>734</v>
      </c>
      <c r="B5" s="840" t="s">
        <v>840</v>
      </c>
      <c r="C5" s="841" t="s">
        <v>3239</v>
      </c>
    </row>
    <row r="6" spans="1:10">
      <c r="A6" s="840" t="s">
        <v>12</v>
      </c>
      <c r="B6" s="840" t="s">
        <v>840</v>
      </c>
      <c r="C6" s="840" t="s">
        <v>9493</v>
      </c>
    </row>
    <row r="7" spans="1:10">
      <c r="A7" s="840"/>
    </row>
    <row r="8" spans="1:10">
      <c r="A8" s="841" t="s">
        <v>3240</v>
      </c>
    </row>
    <row r="9" spans="1:10">
      <c r="A9" s="841"/>
    </row>
    <row r="10" spans="1:10">
      <c r="A10" s="841"/>
    </row>
    <row r="11" spans="1:10" s="1535" customFormat="1" ht="30.75" customHeight="1">
      <c r="A11" s="14104" t="s">
        <v>9659</v>
      </c>
      <c r="B11" s="14104"/>
      <c r="C11" s="14104"/>
      <c r="D11" s="14104"/>
      <c r="E11" s="14104"/>
      <c r="F11" s="14104"/>
      <c r="G11" s="14104"/>
      <c r="H11" s="14104"/>
      <c r="I11" s="14104"/>
      <c r="J11" s="14104"/>
    </row>
    <row r="12" spans="1:10" s="1535" customFormat="1" ht="18.75" customHeight="1">
      <c r="A12" s="14102" t="s">
        <v>9660</v>
      </c>
      <c r="B12" s="14102"/>
      <c r="C12" s="14102"/>
      <c r="D12" s="14102"/>
      <c r="E12" s="14102"/>
      <c r="F12" s="14102"/>
      <c r="G12" s="14102"/>
      <c r="H12" s="14102"/>
      <c r="I12" s="14102"/>
      <c r="J12" s="14102"/>
    </row>
    <row r="13" spans="1:10" s="1535" customFormat="1" ht="17.25" customHeight="1">
      <c r="A13" s="14102" t="s">
        <v>4840</v>
      </c>
      <c r="B13" s="14102"/>
      <c r="C13" s="14102"/>
      <c r="D13" s="14102"/>
      <c r="E13" s="14102"/>
      <c r="F13" s="14102"/>
      <c r="G13" s="14102"/>
      <c r="H13" s="14102"/>
      <c r="I13" s="14102"/>
      <c r="J13" s="14102"/>
    </row>
    <row r="14" spans="1:10" s="1535" customFormat="1" ht="16.5" customHeight="1">
      <c r="A14" s="14101" t="s">
        <v>4991</v>
      </c>
      <c r="B14" s="14101"/>
      <c r="C14" s="14101"/>
      <c r="D14" s="14101"/>
      <c r="E14" s="14101"/>
      <c r="F14" s="14101"/>
      <c r="G14" s="14101"/>
      <c r="H14" s="14101"/>
      <c r="I14" s="14101"/>
      <c r="J14" s="14101"/>
    </row>
    <row r="15" spans="1:10" s="1535" customFormat="1" ht="22.5" customHeight="1">
      <c r="A15" s="4933" t="s">
        <v>4992</v>
      </c>
      <c r="B15" s="4933"/>
      <c r="C15" s="4933"/>
      <c r="D15" s="4933"/>
      <c r="E15" s="4933"/>
      <c r="F15" s="4933"/>
      <c r="G15" s="4933"/>
      <c r="H15" s="4933"/>
      <c r="I15" s="4933"/>
      <c r="J15" s="4933"/>
    </row>
    <row r="16" spans="1:10" s="1535" customFormat="1" ht="19.5" customHeight="1">
      <c r="A16" s="14102" t="s">
        <v>4841</v>
      </c>
      <c r="B16" s="14102"/>
      <c r="C16" s="14102"/>
      <c r="D16" s="14102"/>
      <c r="E16" s="14102"/>
      <c r="F16" s="14102"/>
      <c r="G16" s="14102"/>
      <c r="H16" s="14102"/>
      <c r="I16" s="14102"/>
      <c r="J16" s="14102"/>
    </row>
    <row r="17" spans="1:10" s="1535" customFormat="1" ht="17.25" customHeight="1">
      <c r="A17" s="14101" t="s">
        <v>4842</v>
      </c>
      <c r="B17" s="14101"/>
      <c r="C17" s="14101"/>
      <c r="D17" s="14101"/>
      <c r="E17" s="14101"/>
      <c r="F17" s="14101"/>
      <c r="G17" s="14101"/>
      <c r="H17" s="14101"/>
      <c r="I17" s="14101"/>
      <c r="J17" s="14101"/>
    </row>
    <row r="18" spans="1:10" s="1535" customFormat="1" ht="22.5" customHeight="1">
      <c r="A18" s="14101" t="s">
        <v>9661</v>
      </c>
      <c r="B18" s="14101"/>
      <c r="C18" s="14101"/>
      <c r="D18" s="14101"/>
      <c r="E18" s="14101"/>
      <c r="F18" s="14101"/>
      <c r="G18" s="14101"/>
      <c r="H18" s="14101"/>
      <c r="I18" s="14101"/>
      <c r="J18" s="14101"/>
    </row>
    <row r="19" spans="1:10" s="1535" customFormat="1" ht="21" customHeight="1">
      <c r="A19" s="14102" t="s">
        <v>4839</v>
      </c>
      <c r="B19" s="14102"/>
      <c r="C19" s="14102"/>
      <c r="D19" s="14102"/>
      <c r="E19" s="14102"/>
      <c r="F19" s="14102"/>
      <c r="G19" s="14102"/>
      <c r="H19" s="14102"/>
      <c r="I19" s="14102"/>
      <c r="J19" s="14102"/>
    </row>
    <row r="20" spans="1:10">
      <c r="A20" s="840"/>
    </row>
    <row r="21" spans="1:10">
      <c r="A21" s="841"/>
    </row>
    <row r="22" spans="1:10">
      <c r="A22" s="841" t="s">
        <v>1730</v>
      </c>
    </row>
    <row r="23" spans="1:10">
      <c r="A23" s="841"/>
    </row>
    <row r="24" spans="1:10" ht="17.100000000000001" customHeight="1">
      <c r="A24" s="4934" t="s">
        <v>4843</v>
      </c>
    </row>
    <row r="25" spans="1:10" s="1537" customFormat="1" ht="17.100000000000001" customHeight="1">
      <c r="A25" s="4934" t="s">
        <v>4844</v>
      </c>
      <c r="B25" s="1536"/>
      <c r="C25" s="1536"/>
      <c r="D25" s="1536"/>
      <c r="E25" s="1536"/>
      <c r="F25" s="1536"/>
      <c r="G25" s="1536"/>
      <c r="H25" s="1536"/>
      <c r="I25" s="1536"/>
      <c r="J25" s="1536"/>
    </row>
    <row r="26" spans="1:10" s="1537" customFormat="1" ht="17.100000000000001" customHeight="1">
      <c r="A26" s="4934" t="s">
        <v>9662</v>
      </c>
      <c r="B26" s="1536"/>
      <c r="C26" s="1536"/>
      <c r="D26" s="1536"/>
      <c r="E26" s="1536"/>
      <c r="F26" s="1536"/>
      <c r="G26" s="1536"/>
      <c r="H26" s="1536"/>
      <c r="I26" s="1536"/>
      <c r="J26" s="1536"/>
    </row>
    <row r="27" spans="1:10" s="1537" customFormat="1" ht="17.100000000000001" customHeight="1">
      <c r="A27" s="4934" t="s">
        <v>9663</v>
      </c>
      <c r="B27" s="1536"/>
      <c r="C27" s="1536"/>
      <c r="D27" s="1536"/>
      <c r="E27" s="1536"/>
      <c r="F27" s="1536"/>
      <c r="G27" s="1536"/>
      <c r="H27" s="1536"/>
      <c r="I27" s="1536"/>
      <c r="J27" s="1536"/>
    </row>
    <row r="28" spans="1:10" s="1537" customFormat="1" ht="17.100000000000001" customHeight="1">
      <c r="A28" s="4934" t="s">
        <v>9664</v>
      </c>
      <c r="B28" s="1536"/>
      <c r="C28" s="1536"/>
      <c r="D28" s="1536"/>
      <c r="E28" s="1536"/>
      <c r="F28" s="1536"/>
      <c r="G28" s="1536"/>
      <c r="H28" s="1536"/>
      <c r="I28" s="1536"/>
      <c r="J28" s="1536"/>
    </row>
    <row r="29" spans="1:10" s="1537" customFormat="1" ht="17.100000000000001" customHeight="1">
      <c r="A29" s="4934" t="s">
        <v>9665</v>
      </c>
      <c r="B29" s="1536"/>
      <c r="C29" s="1536"/>
      <c r="D29" s="1536"/>
      <c r="E29" s="1536"/>
      <c r="F29" s="1536"/>
      <c r="G29" s="1536"/>
      <c r="H29" s="1536"/>
      <c r="I29" s="1536"/>
      <c r="J29" s="1536"/>
    </row>
    <row r="30" spans="1:10" s="1537" customFormat="1" ht="17.100000000000001" customHeight="1">
      <c r="A30" s="4934" t="s">
        <v>4845</v>
      </c>
      <c r="B30" s="1536"/>
      <c r="C30" s="1536"/>
      <c r="D30" s="1536"/>
      <c r="E30" s="1536"/>
      <c r="F30" s="1536"/>
      <c r="G30" s="1536"/>
      <c r="H30" s="1536"/>
      <c r="I30" s="1536"/>
      <c r="J30" s="1536"/>
    </row>
    <row r="31" spans="1:10" s="1537" customFormat="1" ht="17.100000000000001" customHeight="1">
      <c r="A31" s="4934" t="s">
        <v>9666</v>
      </c>
      <c r="B31" s="1536"/>
      <c r="C31" s="1536"/>
      <c r="D31" s="1536"/>
      <c r="E31" s="1536"/>
      <c r="F31" s="1536"/>
      <c r="G31" s="1536"/>
      <c r="H31" s="1536"/>
      <c r="I31" s="1536"/>
      <c r="J31" s="1536"/>
    </row>
    <row r="32" spans="1:10" s="1537" customFormat="1" ht="17.100000000000001" customHeight="1">
      <c r="A32" s="4934" t="s">
        <v>9667</v>
      </c>
      <c r="B32" s="1536"/>
      <c r="C32" s="1536"/>
      <c r="D32" s="1536"/>
      <c r="E32" s="1536"/>
      <c r="F32" s="1536"/>
      <c r="G32" s="1536"/>
      <c r="H32" s="1536"/>
      <c r="I32" s="1536"/>
      <c r="J32" s="1536"/>
    </row>
    <row r="33" spans="1:10" s="1537" customFormat="1" ht="17.100000000000001" customHeight="1">
      <c r="A33" s="4934" t="s">
        <v>9668</v>
      </c>
      <c r="B33" s="1536"/>
      <c r="C33" s="1536"/>
      <c r="D33" s="1536"/>
      <c r="E33" s="1536"/>
      <c r="F33" s="1536"/>
      <c r="G33" s="1536"/>
      <c r="H33" s="1536"/>
      <c r="I33" s="1536"/>
      <c r="J33" s="1536"/>
    </row>
    <row r="34" spans="1:10" s="1537" customFormat="1" ht="17.100000000000001" customHeight="1">
      <c r="A34" s="4934" t="s">
        <v>4847</v>
      </c>
      <c r="B34" s="1536"/>
      <c r="C34" s="1536"/>
      <c r="D34" s="1536"/>
      <c r="E34" s="1536"/>
      <c r="F34" s="1536"/>
      <c r="G34" s="1536"/>
      <c r="H34" s="1536"/>
      <c r="I34" s="1536"/>
      <c r="J34" s="1536"/>
    </row>
    <row r="35" spans="1:10" s="1537" customFormat="1" ht="17.100000000000001" customHeight="1">
      <c r="A35" s="4934" t="s">
        <v>4848</v>
      </c>
      <c r="B35" s="1536"/>
      <c r="C35" s="1536"/>
      <c r="D35" s="1536"/>
      <c r="E35" s="1536"/>
      <c r="F35" s="1536"/>
      <c r="G35" s="1536"/>
      <c r="H35" s="1536"/>
      <c r="I35" s="1536"/>
      <c r="J35" s="1536"/>
    </row>
    <row r="36" spans="1:10" s="1537" customFormat="1" ht="17.100000000000001" customHeight="1">
      <c r="A36" s="4934" t="s">
        <v>9669</v>
      </c>
      <c r="B36" s="1536"/>
      <c r="C36" s="1536"/>
      <c r="D36" s="1536"/>
      <c r="E36" s="1536"/>
      <c r="F36" s="1536"/>
      <c r="G36" s="1536"/>
      <c r="H36" s="1536"/>
      <c r="I36" s="1536"/>
      <c r="J36" s="1536"/>
    </row>
    <row r="37" spans="1:10" s="1537" customFormat="1" ht="17.100000000000001" customHeight="1">
      <c r="A37" s="4934" t="s">
        <v>4846</v>
      </c>
      <c r="B37" s="1536"/>
      <c r="C37" s="1536"/>
      <c r="D37" s="1536"/>
      <c r="E37" s="1536"/>
      <c r="F37" s="1536"/>
      <c r="G37" s="1536"/>
      <c r="H37" s="1536"/>
      <c r="I37" s="1536"/>
      <c r="J37" s="1536"/>
    </row>
    <row r="38" spans="1:10" s="1537" customFormat="1" ht="17.100000000000001" customHeight="1">
      <c r="A38" s="4934" t="s">
        <v>9670</v>
      </c>
      <c r="B38" s="1536"/>
      <c r="C38" s="1536"/>
      <c r="D38" s="1536"/>
      <c r="E38" s="1536"/>
      <c r="F38" s="1536"/>
      <c r="G38" s="1536"/>
      <c r="H38" s="1536"/>
      <c r="I38" s="1536"/>
      <c r="J38" s="1536"/>
    </row>
    <row r="39" spans="1:10" s="1537" customFormat="1" ht="16.5" customHeight="1">
      <c r="A39" s="1536"/>
      <c r="B39" s="1536"/>
      <c r="C39" s="1536"/>
      <c r="D39" s="1536"/>
      <c r="E39" s="1536"/>
      <c r="F39" s="1536"/>
      <c r="G39" s="1536"/>
      <c r="H39" s="1536"/>
      <c r="I39" s="1536"/>
      <c r="J39" s="1536"/>
    </row>
  </sheetData>
  <mergeCells count="9">
    <mergeCell ref="A17:J17"/>
    <mergeCell ref="A18:J18"/>
    <mergeCell ref="A19:J19"/>
    <mergeCell ref="A2:J2"/>
    <mergeCell ref="A11:J11"/>
    <mergeCell ref="A12:J12"/>
    <mergeCell ref="A13:J13"/>
    <mergeCell ref="A14:J14"/>
    <mergeCell ref="A16:J16"/>
  </mergeCells>
  <pageMargins left="0.5" right="0.25" top="0.75" bottom="0.5" header="0.5" footer="0.25"/>
  <pageSetup paperSize="119" firstPageNumber="11" orientation="portrait" useFirstPageNumber="1" r:id="rId1"/>
</worksheet>
</file>

<file path=xl/worksheets/sheet190.xml><?xml version="1.0" encoding="utf-8"?>
<worksheet xmlns="http://schemas.openxmlformats.org/spreadsheetml/2006/main" xmlns:r="http://schemas.openxmlformats.org/officeDocument/2006/relationships">
  <sheetPr codeName="Sheet195"/>
  <dimension ref="A1:I365"/>
  <sheetViews>
    <sheetView showGridLines="0" topLeftCell="A355" workbookViewId="0">
      <selection activeCell="B15" sqref="B15:I15"/>
    </sheetView>
  </sheetViews>
  <sheetFormatPr defaultColWidth="9.109375" defaultRowHeight="13.2"/>
  <cols>
    <col min="1" max="1" width="5.88671875" style="211" customWidth="1"/>
    <col min="2" max="2" width="5.88671875" style="278" customWidth="1"/>
    <col min="3" max="3" width="8.44140625" style="211" customWidth="1"/>
    <col min="4" max="4" width="24.109375" style="211" customWidth="1"/>
    <col min="5" max="5" width="8.44140625" style="211" customWidth="1"/>
    <col min="6" max="6" width="12.109375" style="211" customWidth="1"/>
    <col min="7" max="7" width="7.88671875" style="211" customWidth="1"/>
    <col min="8" max="9" width="12.44140625" style="211" customWidth="1"/>
    <col min="10" max="16384" width="9.109375" style="211"/>
  </cols>
  <sheetData>
    <row r="1" spans="1:9" ht="13.5" customHeight="1">
      <c r="A1" s="15432" t="s">
        <v>837</v>
      </c>
      <c r="B1" s="15432"/>
      <c r="C1" s="15432"/>
      <c r="D1" s="15432"/>
      <c r="E1" s="15432"/>
      <c r="F1" s="15432"/>
      <c r="G1" s="15432"/>
      <c r="H1" s="15432"/>
      <c r="I1" s="15432"/>
    </row>
    <row r="2" spans="1:9" ht="12" customHeight="1">
      <c r="A2" s="214"/>
      <c r="C2" s="214"/>
      <c r="D2" s="214"/>
      <c r="E2" s="214"/>
      <c r="F2" s="214"/>
      <c r="G2" s="214"/>
      <c r="H2" s="214"/>
      <c r="I2" s="214"/>
    </row>
    <row r="3" spans="1:9">
      <c r="A3" s="214" t="s">
        <v>894</v>
      </c>
      <c r="C3" s="214"/>
      <c r="D3" s="214" t="s">
        <v>942</v>
      </c>
      <c r="E3" s="214"/>
      <c r="F3" s="214"/>
      <c r="G3" s="214"/>
      <c r="H3" s="214"/>
      <c r="I3" s="214"/>
    </row>
    <row r="4" spans="1:9">
      <c r="A4" s="214" t="s">
        <v>838</v>
      </c>
      <c r="C4" s="214"/>
      <c r="D4" s="214" t="s">
        <v>943</v>
      </c>
      <c r="E4" s="214"/>
      <c r="F4" s="214"/>
      <c r="G4" s="214"/>
      <c r="H4" s="214"/>
      <c r="I4" s="214"/>
    </row>
    <row r="5" spans="1:9">
      <c r="A5" s="214" t="s">
        <v>839</v>
      </c>
      <c r="C5" s="214"/>
      <c r="D5" s="214" t="s">
        <v>840</v>
      </c>
      <c r="E5" s="214"/>
      <c r="F5" s="214"/>
      <c r="G5" s="214"/>
      <c r="H5" s="214"/>
      <c r="I5" s="214"/>
    </row>
    <row r="6" spans="1:9">
      <c r="A6" s="214" t="s">
        <v>896</v>
      </c>
      <c r="C6" s="214"/>
      <c r="D6" s="214" t="s">
        <v>841</v>
      </c>
      <c r="E6" s="214"/>
      <c r="F6" s="214"/>
      <c r="G6" s="214"/>
      <c r="H6" s="214"/>
      <c r="I6" s="278"/>
    </row>
    <row r="7" spans="1:9" ht="12" customHeight="1" thickBot="1">
      <c r="A7" s="269"/>
      <c r="B7" s="276"/>
      <c r="C7" s="269"/>
      <c r="D7" s="269"/>
      <c r="E7" s="269"/>
      <c r="F7" s="269"/>
      <c r="G7" s="269"/>
      <c r="H7" s="269"/>
      <c r="I7" s="269"/>
    </row>
    <row r="8" spans="1:9">
      <c r="A8" s="270"/>
      <c r="B8" s="742"/>
      <c r="C8" s="272"/>
      <c r="D8" s="271"/>
      <c r="E8" s="15429" t="s">
        <v>842</v>
      </c>
      <c r="F8" s="15429"/>
      <c r="G8" s="15429" t="s">
        <v>842</v>
      </c>
      <c r="H8" s="15429"/>
      <c r="I8" s="740"/>
    </row>
    <row r="9" spans="1:9">
      <c r="A9" s="273" t="s">
        <v>843</v>
      </c>
      <c r="B9" s="228"/>
      <c r="C9" s="252" t="s">
        <v>844</v>
      </c>
      <c r="D9" s="256"/>
      <c r="E9" s="15430" t="s">
        <v>845</v>
      </c>
      <c r="F9" s="15430"/>
      <c r="G9" s="15430" t="s">
        <v>845</v>
      </c>
      <c r="H9" s="15430"/>
      <c r="I9" s="741" t="s">
        <v>849</v>
      </c>
    </row>
    <row r="10" spans="1:9">
      <c r="A10" s="273" t="s">
        <v>846</v>
      </c>
      <c r="B10" s="228"/>
      <c r="C10" s="252" t="s">
        <v>847</v>
      </c>
      <c r="D10" s="256"/>
      <c r="E10" s="15431" t="s">
        <v>848</v>
      </c>
      <c r="F10" s="15431"/>
      <c r="G10" s="15431" t="s">
        <v>3310</v>
      </c>
      <c r="H10" s="15431"/>
      <c r="I10" s="758"/>
    </row>
    <row r="11" spans="1:9">
      <c r="A11" s="650"/>
      <c r="B11" s="656"/>
      <c r="C11" s="252" t="s">
        <v>850</v>
      </c>
      <c r="D11" s="256"/>
      <c r="E11" s="237" t="s">
        <v>851</v>
      </c>
      <c r="F11" s="223"/>
      <c r="G11" s="237" t="s">
        <v>851</v>
      </c>
      <c r="H11" s="223"/>
      <c r="I11" s="223"/>
    </row>
    <row r="12" spans="1:9" ht="13.8" thickBot="1">
      <c r="A12" s="274" t="s">
        <v>852</v>
      </c>
      <c r="B12" s="274" t="s">
        <v>853</v>
      </c>
      <c r="C12" s="275"/>
      <c r="D12" s="655"/>
      <c r="E12" s="276" t="s">
        <v>854</v>
      </c>
      <c r="F12" s="651" t="s">
        <v>855</v>
      </c>
      <c r="G12" s="276" t="s">
        <v>854</v>
      </c>
      <c r="H12" s="651" t="s">
        <v>855</v>
      </c>
      <c r="I12" s="651" t="s">
        <v>855</v>
      </c>
    </row>
    <row r="13" spans="1:9">
      <c r="A13" s="223"/>
      <c r="B13" s="223"/>
      <c r="C13" s="230"/>
      <c r="D13" s="256"/>
      <c r="E13" s="237"/>
      <c r="F13" s="223"/>
      <c r="G13" s="237"/>
      <c r="H13" s="223"/>
      <c r="I13" s="223"/>
    </row>
    <row r="14" spans="1:9">
      <c r="A14" s="875">
        <v>1465</v>
      </c>
      <c r="B14" s="223">
        <v>1445</v>
      </c>
      <c r="C14" s="236" t="s">
        <v>922</v>
      </c>
      <c r="D14" s="256"/>
      <c r="E14" s="280"/>
      <c r="F14" s="225"/>
      <c r="G14" s="280"/>
      <c r="H14" s="225"/>
      <c r="I14" s="225"/>
    </row>
    <row r="15" spans="1:9">
      <c r="A15" s="875"/>
      <c r="B15" s="223"/>
      <c r="C15" s="235" t="s">
        <v>944</v>
      </c>
      <c r="D15" s="277"/>
      <c r="E15" s="243" t="s">
        <v>937</v>
      </c>
      <c r="F15" s="245">
        <v>627720</v>
      </c>
      <c r="G15" s="243" t="s">
        <v>937</v>
      </c>
      <c r="H15" s="245">
        <v>719568</v>
      </c>
      <c r="I15" s="245">
        <f>H15-F15</f>
        <v>91848</v>
      </c>
    </row>
    <row r="16" spans="1:9" ht="9.75" customHeight="1">
      <c r="A16" s="875"/>
      <c r="B16" s="223"/>
      <c r="C16" s="235"/>
      <c r="D16" s="277"/>
      <c r="E16" s="240"/>
      <c r="F16" s="226"/>
      <c r="G16" s="240"/>
      <c r="H16" s="226"/>
      <c r="I16" s="245"/>
    </row>
    <row r="17" spans="1:9">
      <c r="A17" s="875"/>
      <c r="B17" s="223"/>
      <c r="C17" s="246" t="s">
        <v>945</v>
      </c>
      <c r="D17" s="247"/>
      <c r="E17" s="240"/>
      <c r="F17" s="226"/>
      <c r="G17" s="240"/>
      <c r="H17" s="226"/>
      <c r="I17" s="226"/>
    </row>
    <row r="18" spans="1:9" ht="18" customHeight="1">
      <c r="A18" s="875">
        <v>1466</v>
      </c>
      <c r="B18" s="1796">
        <v>1446</v>
      </c>
      <c r="C18" s="224" t="s">
        <v>881</v>
      </c>
      <c r="D18" s="244"/>
      <c r="E18" s="240"/>
      <c r="F18" s="226"/>
      <c r="G18" s="240"/>
      <c r="H18" s="226"/>
      <c r="I18" s="226"/>
    </row>
    <row r="19" spans="1:9">
      <c r="A19" s="875"/>
      <c r="B19" s="1796"/>
      <c r="C19" s="231" t="s">
        <v>924</v>
      </c>
      <c r="D19" s="244"/>
      <c r="E19" s="229"/>
      <c r="F19" s="245"/>
      <c r="G19" s="229"/>
      <c r="H19" s="245"/>
      <c r="I19" s="245"/>
    </row>
    <row r="20" spans="1:9">
      <c r="A20" s="875"/>
      <c r="B20" s="1796"/>
      <c r="C20" s="227" t="s">
        <v>875</v>
      </c>
      <c r="D20" s="244"/>
      <c r="E20" s="229" t="s">
        <v>935</v>
      </c>
      <c r="F20" s="245">
        <v>252936</v>
      </c>
      <c r="G20" s="229" t="s">
        <v>935</v>
      </c>
      <c r="H20" s="245">
        <v>276528</v>
      </c>
      <c r="I20" s="245">
        <f>H20-F20</f>
        <v>23592</v>
      </c>
    </row>
    <row r="21" spans="1:9" ht="5.25" customHeight="1">
      <c r="A21" s="875"/>
      <c r="B21" s="1796"/>
      <c r="C21" s="227"/>
      <c r="D21" s="244"/>
      <c r="E21" s="229"/>
      <c r="F21" s="245"/>
      <c r="G21" s="229"/>
      <c r="H21" s="245"/>
      <c r="I21" s="245"/>
    </row>
    <row r="22" spans="1:9">
      <c r="A22" s="875">
        <v>1467</v>
      </c>
      <c r="B22" s="1796">
        <v>1447</v>
      </c>
      <c r="C22" s="224" t="s">
        <v>914</v>
      </c>
      <c r="D22" s="244"/>
      <c r="E22" s="229"/>
      <c r="F22" s="245"/>
      <c r="G22" s="229"/>
      <c r="H22" s="245"/>
      <c r="I22" s="245"/>
    </row>
    <row r="23" spans="1:9">
      <c r="A23" s="875"/>
      <c r="B23" s="223"/>
      <c r="C23" s="231" t="s">
        <v>925</v>
      </c>
      <c r="D23" s="244"/>
      <c r="E23" s="229"/>
      <c r="F23" s="245"/>
      <c r="G23" s="229"/>
      <c r="H23" s="245"/>
      <c r="I23" s="245"/>
    </row>
    <row r="24" spans="1:9">
      <c r="A24" s="875"/>
      <c r="B24" s="223"/>
      <c r="C24" s="227" t="s">
        <v>875</v>
      </c>
      <c r="D24" s="244"/>
      <c r="E24" s="229" t="s">
        <v>933</v>
      </c>
      <c r="F24" s="245">
        <v>182904</v>
      </c>
      <c r="G24" s="229" t="s">
        <v>910</v>
      </c>
      <c r="H24" s="245">
        <v>192612</v>
      </c>
      <c r="I24" s="245">
        <f>H24-F24</f>
        <v>9708</v>
      </c>
    </row>
    <row r="25" spans="1:9" ht="9.75" customHeight="1">
      <c r="A25" s="875"/>
      <c r="B25" s="223"/>
      <c r="C25" s="227"/>
      <c r="D25" s="244"/>
      <c r="E25" s="229"/>
      <c r="F25" s="245"/>
      <c r="G25" s="229"/>
      <c r="H25" s="245"/>
      <c r="I25" s="245"/>
    </row>
    <row r="26" spans="1:9">
      <c r="A26" s="875">
        <v>1468</v>
      </c>
      <c r="B26" s="1796">
        <v>1448</v>
      </c>
      <c r="C26" s="224" t="s">
        <v>877</v>
      </c>
      <c r="D26" s="244"/>
      <c r="E26" s="229"/>
      <c r="F26" s="245"/>
      <c r="G26" s="229"/>
      <c r="H26" s="245"/>
      <c r="I26" s="245"/>
    </row>
    <row r="27" spans="1:9">
      <c r="A27" s="875"/>
      <c r="B27" s="1796"/>
      <c r="C27" s="231" t="s">
        <v>934</v>
      </c>
      <c r="D27" s="244"/>
      <c r="E27" s="229"/>
      <c r="F27" s="245"/>
      <c r="G27" s="229"/>
      <c r="H27" s="245"/>
      <c r="I27" s="245"/>
    </row>
    <row r="28" spans="1:9">
      <c r="A28" s="875"/>
      <c r="B28" s="1796"/>
      <c r="C28" s="227" t="s">
        <v>946</v>
      </c>
      <c r="D28" s="244"/>
      <c r="E28" s="229" t="s">
        <v>880</v>
      </c>
      <c r="F28" s="245">
        <v>177000</v>
      </c>
      <c r="G28" s="229" t="s">
        <v>899</v>
      </c>
      <c r="H28" s="245">
        <v>190200</v>
      </c>
      <c r="I28" s="245">
        <f>H28-F28</f>
        <v>13200</v>
      </c>
    </row>
    <row r="29" spans="1:9" ht="9" customHeight="1">
      <c r="A29" s="875"/>
      <c r="B29" s="1796"/>
      <c r="C29" s="227"/>
      <c r="D29" s="244"/>
      <c r="E29" s="229"/>
      <c r="F29" s="245"/>
      <c r="G29" s="229"/>
      <c r="H29" s="245"/>
      <c r="I29" s="245"/>
    </row>
    <row r="30" spans="1:9">
      <c r="A30" s="875">
        <v>1469</v>
      </c>
      <c r="B30" s="1796">
        <v>1449</v>
      </c>
      <c r="C30" s="224" t="s">
        <v>859</v>
      </c>
      <c r="D30" s="244"/>
      <c r="E30" s="229"/>
      <c r="F30" s="245"/>
      <c r="G30" s="229"/>
      <c r="H30" s="245"/>
      <c r="I30" s="245"/>
    </row>
    <row r="31" spans="1:9">
      <c r="A31" s="875"/>
      <c r="B31" s="1795"/>
      <c r="C31" s="231" t="s">
        <v>874</v>
      </c>
      <c r="D31" s="244"/>
      <c r="E31" s="229"/>
      <c r="F31" s="245"/>
      <c r="G31" s="229"/>
      <c r="H31" s="245"/>
      <c r="I31" s="245"/>
    </row>
    <row r="32" spans="1:9">
      <c r="A32" s="875"/>
      <c r="B32" s="1795"/>
      <c r="C32" s="227" t="s">
        <v>947</v>
      </c>
      <c r="D32" s="244"/>
      <c r="E32" s="229" t="s">
        <v>876</v>
      </c>
      <c r="F32" s="245">
        <v>143904</v>
      </c>
      <c r="G32" s="229" t="s">
        <v>886</v>
      </c>
      <c r="H32" s="245">
        <v>156600</v>
      </c>
      <c r="I32" s="245">
        <f>H32-F32</f>
        <v>12696</v>
      </c>
    </row>
    <row r="33" spans="1:9" ht="8.25" customHeight="1">
      <c r="A33" s="875"/>
      <c r="B33" s="1796" t="s">
        <v>9</v>
      </c>
      <c r="C33" s="227"/>
      <c r="D33" s="244"/>
      <c r="E33" s="229"/>
      <c r="F33" s="245"/>
      <c r="G33" s="229"/>
      <c r="H33" s="245"/>
      <c r="I33" s="245"/>
    </row>
    <row r="34" spans="1:9">
      <c r="A34" s="875">
        <v>1470</v>
      </c>
      <c r="B34" s="1796">
        <v>1450</v>
      </c>
      <c r="C34" s="232" t="s">
        <v>948</v>
      </c>
      <c r="D34" s="244"/>
      <c r="E34" s="240"/>
      <c r="F34" s="226"/>
      <c r="G34" s="240"/>
      <c r="H34" s="226"/>
      <c r="I34" s="226"/>
    </row>
    <row r="35" spans="1:9">
      <c r="A35" s="874"/>
      <c r="B35" s="1796"/>
      <c r="C35" s="227" t="s">
        <v>949</v>
      </c>
      <c r="D35" s="244"/>
      <c r="E35" s="243" t="s">
        <v>858</v>
      </c>
      <c r="F35" s="245">
        <v>136020</v>
      </c>
      <c r="G35" s="243" t="s">
        <v>858</v>
      </c>
      <c r="H35" s="245">
        <v>143844</v>
      </c>
      <c r="I35" s="245">
        <f>H35-F35</f>
        <v>7824</v>
      </c>
    </row>
    <row r="36" spans="1:9" ht="8.25" customHeight="1">
      <c r="A36" s="874"/>
      <c r="B36" s="1796"/>
      <c r="C36" s="227"/>
      <c r="D36" s="244"/>
      <c r="E36" s="243"/>
      <c r="F36" s="245"/>
      <c r="G36" s="243"/>
      <c r="H36" s="245"/>
      <c r="I36" s="245"/>
    </row>
    <row r="37" spans="1:9">
      <c r="A37" s="875">
        <v>1471</v>
      </c>
      <c r="B37" s="1796">
        <v>1451</v>
      </c>
      <c r="C37" s="232" t="s">
        <v>865</v>
      </c>
      <c r="D37" s="244"/>
      <c r="E37" s="240"/>
      <c r="F37" s="226"/>
      <c r="G37" s="240"/>
      <c r="H37" s="226"/>
      <c r="I37" s="226"/>
    </row>
    <row r="38" spans="1:9">
      <c r="A38" s="875"/>
      <c r="B38" s="1796"/>
      <c r="C38" s="265" t="s">
        <v>866</v>
      </c>
      <c r="D38" s="244"/>
      <c r="E38" s="229"/>
      <c r="F38" s="245"/>
      <c r="G38" s="229"/>
      <c r="H38" s="245"/>
      <c r="I38" s="245"/>
    </row>
    <row r="39" spans="1:9">
      <c r="A39" s="875"/>
      <c r="B39" s="1795"/>
      <c r="C39" s="227" t="s">
        <v>950</v>
      </c>
      <c r="D39" s="244"/>
      <c r="E39" s="243" t="s">
        <v>883</v>
      </c>
      <c r="F39" s="245">
        <v>108768</v>
      </c>
      <c r="G39" s="243" t="s">
        <v>883</v>
      </c>
      <c r="H39" s="245">
        <v>115788</v>
      </c>
      <c r="I39" s="245">
        <f>H39-F39</f>
        <v>7020</v>
      </c>
    </row>
    <row r="40" spans="1:9" ht="7.5" customHeight="1">
      <c r="A40" s="875"/>
      <c r="B40" s="1795"/>
      <c r="C40" s="227"/>
      <c r="D40" s="244"/>
      <c r="E40" s="243"/>
      <c r="F40" s="245"/>
      <c r="G40" s="243"/>
      <c r="H40" s="245"/>
      <c r="I40" s="245"/>
    </row>
    <row r="41" spans="1:9">
      <c r="A41" s="875">
        <v>1472</v>
      </c>
      <c r="B41" s="1796">
        <v>1452</v>
      </c>
      <c r="C41" s="224" t="s">
        <v>865</v>
      </c>
      <c r="D41" s="244"/>
      <c r="E41" s="229"/>
      <c r="F41" s="245"/>
      <c r="G41" s="229"/>
      <c r="H41" s="245"/>
      <c r="I41" s="245"/>
    </row>
    <row r="42" spans="1:9">
      <c r="A42" s="875"/>
      <c r="B42" s="1796"/>
      <c r="C42" s="231" t="s">
        <v>951</v>
      </c>
      <c r="D42" s="244"/>
      <c r="E42" s="229"/>
      <c r="F42" s="245"/>
      <c r="G42" s="229"/>
      <c r="H42" s="245"/>
      <c r="I42" s="245"/>
    </row>
    <row r="43" spans="1:9">
      <c r="A43" s="874"/>
      <c r="B43" s="1795"/>
      <c r="C43" s="227" t="s">
        <v>952</v>
      </c>
      <c r="D43" s="244"/>
      <c r="E43" s="229" t="s">
        <v>887</v>
      </c>
      <c r="F43" s="245">
        <v>104652</v>
      </c>
      <c r="G43" s="229" t="s">
        <v>887</v>
      </c>
      <c r="H43" s="245">
        <v>112380</v>
      </c>
      <c r="I43" s="245">
        <f>H43-F43</f>
        <v>7728</v>
      </c>
    </row>
    <row r="44" spans="1:9" ht="9" customHeight="1">
      <c r="A44" s="874"/>
      <c r="B44" s="1795"/>
      <c r="C44" s="227"/>
      <c r="D44" s="244"/>
      <c r="E44" s="229"/>
      <c r="F44" s="245"/>
      <c r="G44" s="229"/>
      <c r="H44" s="245"/>
      <c r="I44" s="245"/>
    </row>
    <row r="45" spans="1:9">
      <c r="A45" s="875">
        <v>1473</v>
      </c>
      <c r="B45" s="1796">
        <v>1453</v>
      </c>
      <c r="C45" s="232" t="s">
        <v>865</v>
      </c>
      <c r="D45" s="244"/>
      <c r="E45" s="861"/>
      <c r="F45" s="245"/>
      <c r="G45" s="223"/>
      <c r="H45" s="245"/>
      <c r="I45" s="245"/>
    </row>
    <row r="46" spans="1:9">
      <c r="A46" s="875"/>
      <c r="B46" s="1796"/>
      <c r="C46" s="265" t="s">
        <v>953</v>
      </c>
      <c r="D46" s="244"/>
      <c r="E46" s="861"/>
      <c r="F46" s="245"/>
      <c r="G46" s="223"/>
      <c r="H46" s="245"/>
      <c r="I46" s="245"/>
    </row>
    <row r="47" spans="1:9">
      <c r="A47" s="874"/>
      <c r="B47" s="1796"/>
      <c r="C47" s="227" t="s">
        <v>954</v>
      </c>
      <c r="D47" s="244"/>
      <c r="E47" s="229" t="s">
        <v>868</v>
      </c>
      <c r="F47" s="245">
        <v>102012</v>
      </c>
      <c r="G47" s="229" t="s">
        <v>869</v>
      </c>
      <c r="H47" s="245">
        <v>111276</v>
      </c>
      <c r="I47" s="245">
        <f>H47-F47</f>
        <v>9264</v>
      </c>
    </row>
    <row r="48" spans="1:9" ht="9" customHeight="1">
      <c r="A48" s="874"/>
      <c r="B48" s="1796"/>
      <c r="C48" s="227"/>
      <c r="D48" s="244"/>
      <c r="E48" s="229"/>
      <c r="F48" s="245"/>
      <c r="G48" s="229"/>
      <c r="H48" s="245"/>
      <c r="I48" s="245"/>
    </row>
    <row r="49" spans="1:9">
      <c r="A49" s="875">
        <v>1474</v>
      </c>
      <c r="B49" s="1796">
        <v>1454</v>
      </c>
      <c r="C49" s="232" t="s">
        <v>865</v>
      </c>
      <c r="D49" s="244"/>
      <c r="E49" s="229"/>
      <c r="F49" s="245"/>
      <c r="G49" s="229"/>
      <c r="H49" s="245"/>
      <c r="I49" s="245"/>
    </row>
    <row r="50" spans="1:9">
      <c r="A50" s="875"/>
      <c r="B50" s="1796"/>
      <c r="C50" s="265" t="s">
        <v>953</v>
      </c>
      <c r="D50" s="244"/>
      <c r="E50" s="229"/>
      <c r="F50" s="245"/>
      <c r="G50" s="229"/>
      <c r="H50" s="245"/>
      <c r="I50" s="245"/>
    </row>
    <row r="51" spans="1:9">
      <c r="A51" s="875"/>
      <c r="B51" s="1796"/>
      <c r="C51" s="227" t="s">
        <v>955</v>
      </c>
      <c r="D51" s="244"/>
      <c r="E51" s="229" t="s">
        <v>884</v>
      </c>
      <c r="F51" s="245">
        <v>99444</v>
      </c>
      <c r="G51" s="229" t="s">
        <v>871</v>
      </c>
      <c r="H51" s="245">
        <v>109080</v>
      </c>
      <c r="I51" s="245">
        <f>H51-F51</f>
        <v>9636</v>
      </c>
    </row>
    <row r="52" spans="1:9" ht="9.75" customHeight="1">
      <c r="A52" s="875"/>
      <c r="B52" s="1796"/>
      <c r="C52" s="227"/>
      <c r="D52" s="244"/>
      <c r="E52" s="229"/>
      <c r="F52" s="245"/>
      <c r="G52" s="229"/>
      <c r="H52" s="245"/>
      <c r="I52" s="245"/>
    </row>
    <row r="53" spans="1:9">
      <c r="A53" s="875">
        <v>1475</v>
      </c>
      <c r="B53" s="1796">
        <v>1455</v>
      </c>
      <c r="C53" s="236" t="s">
        <v>865</v>
      </c>
      <c r="D53" s="244"/>
      <c r="E53" s="229"/>
      <c r="F53" s="245"/>
      <c r="G53" s="229"/>
      <c r="H53" s="245"/>
      <c r="I53" s="245"/>
    </row>
    <row r="54" spans="1:9">
      <c r="A54" s="875"/>
      <c r="B54" s="1796"/>
      <c r="C54" s="266" t="s">
        <v>866</v>
      </c>
      <c r="D54" s="244"/>
      <c r="E54" s="229"/>
      <c r="F54" s="245"/>
      <c r="G54" s="229"/>
      <c r="H54" s="245"/>
      <c r="I54" s="245"/>
    </row>
    <row r="55" spans="1:9">
      <c r="A55" s="875"/>
      <c r="B55" s="1796"/>
      <c r="C55" s="227" t="s">
        <v>956</v>
      </c>
      <c r="D55" s="244"/>
      <c r="E55" s="229" t="s">
        <v>884</v>
      </c>
      <c r="F55" s="245">
        <v>99444</v>
      </c>
      <c r="G55" s="229" t="s">
        <v>871</v>
      </c>
      <c r="H55" s="245">
        <v>109080</v>
      </c>
      <c r="I55" s="245">
        <f>H55-F55</f>
        <v>9636</v>
      </c>
    </row>
    <row r="56" spans="1:9" ht="6" customHeight="1">
      <c r="A56" s="875"/>
      <c r="B56" s="1796"/>
      <c r="C56" s="227"/>
      <c r="D56" s="244"/>
      <c r="E56" s="229"/>
      <c r="F56" s="245"/>
      <c r="G56" s="229"/>
      <c r="H56" s="245"/>
      <c r="I56" s="245"/>
    </row>
    <row r="57" spans="1:9">
      <c r="A57" s="875">
        <v>1476</v>
      </c>
      <c r="B57" s="1796">
        <v>1456</v>
      </c>
      <c r="C57" s="224" t="s">
        <v>865</v>
      </c>
      <c r="D57" s="244"/>
      <c r="E57" s="229"/>
      <c r="F57" s="245"/>
      <c r="G57" s="229"/>
      <c r="H57" s="245"/>
      <c r="I57" s="245"/>
    </row>
    <row r="58" spans="1:9">
      <c r="A58" s="875"/>
      <c r="B58" s="223"/>
      <c r="C58" s="231" t="s">
        <v>951</v>
      </c>
      <c r="D58" s="244"/>
      <c r="E58" s="229"/>
      <c r="F58" s="245"/>
      <c r="G58" s="229"/>
      <c r="H58" s="245"/>
      <c r="I58" s="245"/>
    </row>
    <row r="59" spans="1:9">
      <c r="A59" s="875"/>
      <c r="B59" s="223"/>
      <c r="C59" s="227" t="s">
        <v>957</v>
      </c>
      <c r="D59" s="244"/>
      <c r="E59" s="229" t="s">
        <v>868</v>
      </c>
      <c r="F59" s="245">
        <v>102012</v>
      </c>
      <c r="G59" s="229" t="s">
        <v>868</v>
      </c>
      <c r="H59" s="245">
        <v>110172</v>
      </c>
      <c r="I59" s="245">
        <f>H59-F59</f>
        <v>8160</v>
      </c>
    </row>
    <row r="60" spans="1:9" ht="8.25" customHeight="1">
      <c r="A60" s="875"/>
      <c r="B60" s="223"/>
      <c r="C60" s="227"/>
      <c r="D60" s="244"/>
      <c r="E60" s="229"/>
      <c r="F60" s="245"/>
      <c r="G60" s="229"/>
      <c r="H60" s="245"/>
      <c r="I60" s="245"/>
    </row>
    <row r="61" spans="1:9">
      <c r="A61" s="875">
        <v>1477</v>
      </c>
      <c r="B61" s="223">
        <v>1457</v>
      </c>
      <c r="C61" s="224" t="s">
        <v>865</v>
      </c>
      <c r="D61" s="244"/>
      <c r="E61" s="229"/>
      <c r="F61" s="245"/>
      <c r="G61" s="229"/>
      <c r="H61" s="245"/>
      <c r="I61" s="245"/>
    </row>
    <row r="62" spans="1:9">
      <c r="A62" s="875"/>
      <c r="B62" s="223"/>
      <c r="C62" s="231" t="s">
        <v>951</v>
      </c>
      <c r="D62" s="244"/>
      <c r="E62" s="229"/>
      <c r="F62" s="245"/>
      <c r="G62" s="229"/>
      <c r="H62" s="245"/>
      <c r="I62" s="245"/>
    </row>
    <row r="63" spans="1:9">
      <c r="A63" s="223"/>
      <c r="B63" s="223"/>
      <c r="C63" s="227" t="s">
        <v>3377</v>
      </c>
      <c r="D63" s="244"/>
      <c r="E63" s="229" t="s">
        <v>884</v>
      </c>
      <c r="F63" s="245">
        <v>99444</v>
      </c>
      <c r="G63" s="229" t="s">
        <v>884</v>
      </c>
      <c r="H63" s="245">
        <v>108000</v>
      </c>
      <c r="I63" s="245">
        <f>H63-F63</f>
        <v>8556</v>
      </c>
    </row>
    <row r="64" spans="1:9" ht="2.25" customHeight="1">
      <c r="A64" s="223"/>
      <c r="B64" s="223"/>
      <c r="C64" s="227"/>
      <c r="D64" s="244"/>
      <c r="E64" s="229"/>
      <c r="F64" s="245"/>
      <c r="G64" s="229"/>
      <c r="H64" s="245"/>
      <c r="I64" s="245"/>
    </row>
    <row r="65" spans="1:9" ht="8.25" customHeight="1" thickBot="1">
      <c r="A65" s="1281"/>
      <c r="B65" s="651"/>
      <c r="C65" s="257"/>
      <c r="D65" s="653"/>
      <c r="E65" s="652"/>
      <c r="F65" s="654"/>
      <c r="G65" s="652"/>
      <c r="H65" s="654"/>
      <c r="I65" s="654"/>
    </row>
    <row r="66" spans="1:9">
      <c r="A66" s="214"/>
      <c r="C66" s="214"/>
      <c r="D66" s="214"/>
      <c r="E66" s="214"/>
      <c r="F66" s="214"/>
      <c r="G66" s="214"/>
      <c r="H66" s="214"/>
      <c r="I66" s="214"/>
    </row>
    <row r="67" spans="1:9" s="214" customFormat="1" ht="12" customHeight="1">
      <c r="A67" s="236"/>
      <c r="B67" s="237"/>
      <c r="C67" s="224"/>
      <c r="D67" s="224"/>
      <c r="E67" s="237"/>
      <c r="F67" s="238"/>
      <c r="G67" s="237"/>
      <c r="H67" s="238"/>
    </row>
    <row r="68" spans="1:9" s="214" customFormat="1" ht="12" customHeight="1">
      <c r="A68" s="236"/>
      <c r="B68" s="237"/>
      <c r="C68" s="224"/>
      <c r="D68" s="224"/>
      <c r="E68" s="237"/>
      <c r="F68" s="238"/>
      <c r="G68" s="237"/>
      <c r="H68" s="238"/>
    </row>
    <row r="69" spans="1:9" s="214" customFormat="1" ht="16.5" customHeight="1"/>
    <row r="70" spans="1:9" s="214" customFormat="1" ht="12" customHeight="1"/>
    <row r="71" spans="1:9" s="239" customFormat="1" ht="12" customHeight="1"/>
    <row r="72" spans="1:9" s="214" customFormat="1" ht="12" customHeight="1"/>
    <row r="73" spans="1:9">
      <c r="A73" s="214"/>
      <c r="B73" s="214"/>
      <c r="C73" s="214"/>
      <c r="D73" s="214"/>
      <c r="E73" s="214"/>
      <c r="F73" s="214"/>
      <c r="G73" s="214"/>
      <c r="H73" s="214"/>
      <c r="I73" s="214"/>
    </row>
    <row r="74" spans="1:9">
      <c r="A74" s="214"/>
      <c r="B74" s="214"/>
      <c r="C74" s="214"/>
      <c r="D74" s="214"/>
      <c r="E74" s="214"/>
      <c r="F74" s="214"/>
      <c r="G74" s="214"/>
      <c r="H74" s="214"/>
      <c r="I74" s="214"/>
    </row>
    <row r="75" spans="1:9">
      <c r="A75" s="214"/>
      <c r="C75" s="239"/>
      <c r="D75" s="214"/>
      <c r="E75" s="214"/>
      <c r="F75" s="214"/>
      <c r="G75" s="239"/>
      <c r="H75" s="214"/>
      <c r="I75" s="214"/>
    </row>
    <row r="76" spans="1:9" ht="13.8" thickBot="1">
      <c r="A76" s="269" t="s">
        <v>958</v>
      </c>
      <c r="B76" s="276"/>
      <c r="C76" s="269"/>
      <c r="D76" s="269"/>
      <c r="E76" s="269"/>
      <c r="F76" s="269"/>
      <c r="G76" s="269"/>
      <c r="H76" s="269"/>
      <c r="I76" s="278"/>
    </row>
    <row r="77" spans="1:9">
      <c r="A77" s="270"/>
      <c r="B77" s="742"/>
      <c r="C77" s="272"/>
      <c r="D77" s="271"/>
      <c r="E77" s="15429" t="s">
        <v>842</v>
      </c>
      <c r="F77" s="15429"/>
      <c r="G77" s="15429" t="s">
        <v>842</v>
      </c>
      <c r="H77" s="15429"/>
      <c r="I77" s="740"/>
    </row>
    <row r="78" spans="1:9">
      <c r="A78" s="273" t="s">
        <v>843</v>
      </c>
      <c r="B78" s="228"/>
      <c r="C78" s="252" t="s">
        <v>844</v>
      </c>
      <c r="D78" s="256"/>
      <c r="E78" s="15430" t="s">
        <v>845</v>
      </c>
      <c r="F78" s="15430"/>
      <c r="G78" s="15430" t="s">
        <v>845</v>
      </c>
      <c r="H78" s="15430"/>
      <c r="I78" s="741" t="s">
        <v>849</v>
      </c>
    </row>
    <row r="79" spans="1:9">
      <c r="A79" s="273" t="s">
        <v>846</v>
      </c>
      <c r="B79" s="228"/>
      <c r="C79" s="252" t="s">
        <v>847</v>
      </c>
      <c r="D79" s="256"/>
      <c r="E79" s="15431" t="s">
        <v>848</v>
      </c>
      <c r="F79" s="15431"/>
      <c r="G79" s="15431" t="s">
        <v>3310</v>
      </c>
      <c r="H79" s="15431"/>
      <c r="I79" s="758"/>
    </row>
    <row r="80" spans="1:9">
      <c r="A80" s="650"/>
      <c r="B80" s="656"/>
      <c r="C80" s="252" t="s">
        <v>850</v>
      </c>
      <c r="D80" s="256"/>
      <c r="E80" s="757" t="s">
        <v>851</v>
      </c>
      <c r="F80" s="228"/>
      <c r="G80" s="237" t="s">
        <v>851</v>
      </c>
      <c r="H80" s="223"/>
      <c r="I80" s="223"/>
    </row>
    <row r="81" spans="1:9" ht="13.8" thickBot="1">
      <c r="A81" s="274" t="s">
        <v>852</v>
      </c>
      <c r="B81" s="274" t="s">
        <v>853</v>
      </c>
      <c r="C81" s="275"/>
      <c r="D81" s="655"/>
      <c r="E81" s="651" t="s">
        <v>854</v>
      </c>
      <c r="F81" s="652" t="s">
        <v>855</v>
      </c>
      <c r="G81" s="276" t="s">
        <v>854</v>
      </c>
      <c r="H81" s="651" t="s">
        <v>855</v>
      </c>
      <c r="I81" s="651" t="s">
        <v>855</v>
      </c>
    </row>
    <row r="82" spans="1:9">
      <c r="A82" s="223"/>
      <c r="B82" s="223"/>
      <c r="C82" s="246" t="s">
        <v>941</v>
      </c>
      <c r="D82" s="264"/>
      <c r="E82" s="229"/>
      <c r="F82" s="245"/>
      <c r="G82" s="229"/>
      <c r="H82" s="245"/>
      <c r="I82" s="245"/>
    </row>
    <row r="83" spans="1:9" ht="8.25" customHeight="1">
      <c r="A83" s="223"/>
      <c r="B83" s="223"/>
      <c r="C83" s="246"/>
      <c r="D83" s="264"/>
      <c r="E83" s="229"/>
      <c r="F83" s="245"/>
      <c r="G83" s="229"/>
      <c r="H83" s="245"/>
      <c r="I83" s="245"/>
    </row>
    <row r="84" spans="1:9">
      <c r="A84" s="875">
        <v>1478</v>
      </c>
      <c r="B84" s="223">
        <v>1458</v>
      </c>
      <c r="C84" s="236" t="s">
        <v>931</v>
      </c>
      <c r="D84" s="244"/>
      <c r="E84" s="229"/>
      <c r="F84" s="245"/>
      <c r="G84" s="229"/>
      <c r="H84" s="245"/>
      <c r="I84" s="245"/>
    </row>
    <row r="85" spans="1:9">
      <c r="A85" s="875"/>
      <c r="B85" s="223"/>
      <c r="C85" s="227" t="s">
        <v>959</v>
      </c>
      <c r="D85" s="244"/>
      <c r="E85" s="229" t="s">
        <v>960</v>
      </c>
      <c r="F85" s="245">
        <v>497484</v>
      </c>
      <c r="G85" s="229" t="s">
        <v>960</v>
      </c>
      <c r="H85" s="245">
        <v>552564</v>
      </c>
      <c r="I85" s="245">
        <f>H85-F85</f>
        <v>55080</v>
      </c>
    </row>
    <row r="86" spans="1:9" ht="7.5" customHeight="1">
      <c r="A86" s="875"/>
      <c r="B86" s="223"/>
      <c r="C86" s="227"/>
      <c r="D86" s="244"/>
      <c r="E86" s="229"/>
      <c r="F86" s="245"/>
      <c r="G86" s="229"/>
      <c r="H86" s="245"/>
      <c r="I86" s="245"/>
    </row>
    <row r="87" spans="1:9">
      <c r="A87" s="875">
        <v>1479</v>
      </c>
      <c r="B87" s="223">
        <v>1459</v>
      </c>
      <c r="C87" s="224" t="s">
        <v>928</v>
      </c>
      <c r="D87" s="244"/>
      <c r="E87" s="240"/>
      <c r="F87" s="226"/>
      <c r="G87" s="240"/>
      <c r="H87" s="226"/>
      <c r="I87" s="226"/>
    </row>
    <row r="88" spans="1:9">
      <c r="A88" s="875"/>
      <c r="B88" s="223"/>
      <c r="C88" s="227" t="s">
        <v>961</v>
      </c>
      <c r="D88" s="244"/>
      <c r="E88" s="243" t="s">
        <v>940</v>
      </c>
      <c r="F88" s="245">
        <v>401436</v>
      </c>
      <c r="G88" s="243" t="s">
        <v>940</v>
      </c>
      <c r="H88" s="245">
        <v>438648</v>
      </c>
      <c r="I88" s="245">
        <f>H88-F88</f>
        <v>37212</v>
      </c>
    </row>
    <row r="89" spans="1:9">
      <c r="A89" s="875"/>
      <c r="B89" s="223"/>
      <c r="C89" s="227"/>
      <c r="D89" s="244"/>
      <c r="E89" s="243"/>
      <c r="F89" s="245"/>
      <c r="G89" s="243"/>
      <c r="H89" s="245"/>
      <c r="I89" s="245"/>
    </row>
    <row r="90" spans="1:9">
      <c r="A90" s="875"/>
      <c r="B90" s="223"/>
      <c r="C90" s="246" t="s">
        <v>962</v>
      </c>
      <c r="D90" s="264"/>
      <c r="E90" s="243"/>
      <c r="F90" s="245"/>
      <c r="G90" s="243"/>
      <c r="H90" s="245"/>
      <c r="I90" s="245"/>
    </row>
    <row r="91" spans="1:9" ht="8.25" customHeight="1">
      <c r="A91" s="875"/>
      <c r="B91" s="223"/>
      <c r="C91" s="224"/>
      <c r="D91" s="244"/>
      <c r="E91" s="243"/>
      <c r="F91" s="245"/>
      <c r="G91" s="243"/>
      <c r="H91" s="245"/>
      <c r="I91" s="245"/>
    </row>
    <row r="92" spans="1:9">
      <c r="A92" s="875">
        <v>1480</v>
      </c>
      <c r="B92" s="1796">
        <v>1460</v>
      </c>
      <c r="C92" s="224" t="s">
        <v>889</v>
      </c>
      <c r="D92" s="244"/>
      <c r="E92" s="240"/>
      <c r="F92" s="226"/>
      <c r="G92" s="240"/>
      <c r="H92" s="226"/>
      <c r="I92" s="226"/>
    </row>
    <row r="93" spans="1:9">
      <c r="A93" s="875"/>
      <c r="B93" s="1796"/>
      <c r="C93" s="227" t="s">
        <v>963</v>
      </c>
      <c r="D93" s="244"/>
      <c r="E93" s="243" t="s">
        <v>929</v>
      </c>
      <c r="F93" s="245">
        <v>293076</v>
      </c>
      <c r="G93" s="243" t="s">
        <v>3376</v>
      </c>
      <c r="H93" s="245">
        <v>326088</v>
      </c>
      <c r="I93" s="245">
        <f>H93-F93</f>
        <v>33012</v>
      </c>
    </row>
    <row r="94" spans="1:9" ht="8.25" customHeight="1">
      <c r="A94" s="875"/>
      <c r="B94" s="1796"/>
      <c r="C94" s="224"/>
      <c r="D94" s="244"/>
      <c r="E94" s="240"/>
      <c r="F94" s="226"/>
      <c r="G94" s="240"/>
      <c r="H94" s="226"/>
      <c r="I94" s="226"/>
    </row>
    <row r="95" spans="1:9">
      <c r="A95" s="875">
        <v>1481</v>
      </c>
      <c r="B95" s="1796">
        <v>1461</v>
      </c>
      <c r="C95" s="224" t="s">
        <v>889</v>
      </c>
      <c r="D95" s="244"/>
      <c r="E95" s="240"/>
      <c r="F95" s="226"/>
      <c r="G95" s="240"/>
      <c r="H95" s="226"/>
      <c r="I95" s="226"/>
    </row>
    <row r="96" spans="1:9">
      <c r="A96" s="875"/>
      <c r="B96" s="1796"/>
      <c r="C96" s="227" t="s">
        <v>964</v>
      </c>
      <c r="D96" s="244"/>
      <c r="E96" s="243" t="s">
        <v>929</v>
      </c>
      <c r="F96" s="245">
        <v>293076</v>
      </c>
      <c r="G96" s="243" t="s">
        <v>3376</v>
      </c>
      <c r="H96" s="245">
        <v>326088</v>
      </c>
      <c r="I96" s="245">
        <f>H96-F96</f>
        <v>33012</v>
      </c>
    </row>
    <row r="97" spans="1:9" ht="7.5" customHeight="1">
      <c r="A97" s="875"/>
      <c r="B97" s="1796"/>
      <c r="C97" s="224"/>
      <c r="D97" s="244"/>
      <c r="E97" s="243"/>
      <c r="F97" s="245"/>
      <c r="G97" s="243"/>
      <c r="H97" s="245"/>
      <c r="I97" s="245"/>
    </row>
    <row r="98" spans="1:9">
      <c r="A98" s="875">
        <v>1482</v>
      </c>
      <c r="B98" s="1796">
        <v>1462</v>
      </c>
      <c r="C98" s="224" t="s">
        <v>889</v>
      </c>
      <c r="D98" s="244"/>
      <c r="E98" s="240"/>
      <c r="F98" s="226"/>
      <c r="G98" s="240"/>
      <c r="H98" s="226"/>
      <c r="I98" s="226"/>
    </row>
    <row r="99" spans="1:9">
      <c r="A99" s="875"/>
      <c r="B99" s="1796"/>
      <c r="C99" s="227" t="s">
        <v>965</v>
      </c>
      <c r="D99" s="244"/>
      <c r="E99" s="228">
        <v>16</v>
      </c>
      <c r="F99" s="245">
        <v>293076</v>
      </c>
      <c r="G99" s="243" t="s">
        <v>3376</v>
      </c>
      <c r="H99" s="245">
        <v>326088</v>
      </c>
      <c r="I99" s="245">
        <f>H99-F99</f>
        <v>33012</v>
      </c>
    </row>
    <row r="100" spans="1:9" ht="8.25" customHeight="1">
      <c r="A100" s="875"/>
      <c r="B100" s="1796"/>
      <c r="C100" s="227"/>
      <c r="D100" s="244"/>
      <c r="E100" s="228"/>
      <c r="F100" s="245"/>
      <c r="G100" s="228"/>
      <c r="H100" s="245"/>
      <c r="I100" s="245"/>
    </row>
    <row r="101" spans="1:9">
      <c r="A101" s="875">
        <v>1483</v>
      </c>
      <c r="B101" s="1796">
        <v>1463</v>
      </c>
      <c r="C101" s="232" t="s">
        <v>900</v>
      </c>
      <c r="D101" s="244"/>
      <c r="E101" s="240"/>
      <c r="F101" s="226"/>
      <c r="G101" s="240"/>
      <c r="H101" s="226"/>
      <c r="I101" s="226"/>
    </row>
    <row r="102" spans="1:9">
      <c r="A102" s="875"/>
      <c r="B102" s="1796"/>
      <c r="C102" s="227" t="s">
        <v>966</v>
      </c>
      <c r="D102" s="244"/>
      <c r="E102" s="243" t="s">
        <v>967</v>
      </c>
      <c r="F102" s="245">
        <v>234492</v>
      </c>
      <c r="G102" s="243" t="s">
        <v>3378</v>
      </c>
      <c r="H102" s="245">
        <v>254004</v>
      </c>
      <c r="I102" s="245">
        <f>H102-F102</f>
        <v>19512</v>
      </c>
    </row>
    <row r="103" spans="1:9" ht="8.25" customHeight="1">
      <c r="A103" s="875"/>
      <c r="B103" s="1796"/>
      <c r="C103" s="265"/>
      <c r="D103" s="244"/>
      <c r="E103" s="229"/>
      <c r="F103" s="245"/>
      <c r="G103" s="229"/>
      <c r="H103" s="245"/>
      <c r="I103" s="245"/>
    </row>
    <row r="104" spans="1:9">
      <c r="A104" s="875">
        <v>1484</v>
      </c>
      <c r="B104" s="1796">
        <v>1464</v>
      </c>
      <c r="C104" s="224" t="s">
        <v>900</v>
      </c>
      <c r="D104" s="244"/>
      <c r="E104" s="229"/>
      <c r="F104" s="245"/>
      <c r="G104" s="229"/>
      <c r="H104" s="245"/>
      <c r="I104" s="226"/>
    </row>
    <row r="105" spans="1:9">
      <c r="A105" s="875"/>
      <c r="B105" s="1796"/>
      <c r="C105" s="227" t="s">
        <v>968</v>
      </c>
      <c r="D105" s="244"/>
      <c r="E105" s="229" t="s">
        <v>967</v>
      </c>
      <c r="F105" s="245">
        <v>234492</v>
      </c>
      <c r="G105" s="243" t="s">
        <v>3378</v>
      </c>
      <c r="H105" s="245">
        <v>254004</v>
      </c>
      <c r="I105" s="245">
        <f>H105-F105</f>
        <v>19512</v>
      </c>
    </row>
    <row r="106" spans="1:9" ht="8.25" customHeight="1">
      <c r="A106" s="875"/>
      <c r="B106" s="1796"/>
      <c r="C106" s="227"/>
      <c r="D106" s="244"/>
      <c r="E106" s="229"/>
      <c r="F106" s="245"/>
      <c r="G106" s="229"/>
      <c r="H106" s="245"/>
      <c r="I106" s="245"/>
    </row>
    <row r="107" spans="1:9">
      <c r="A107" s="875">
        <v>1485</v>
      </c>
      <c r="B107" s="1796">
        <v>1465</v>
      </c>
      <c r="C107" s="224" t="s">
        <v>900</v>
      </c>
      <c r="D107" s="244"/>
      <c r="E107" s="229"/>
      <c r="F107" s="245"/>
      <c r="G107" s="229"/>
      <c r="H107" s="245"/>
      <c r="I107" s="226"/>
    </row>
    <row r="108" spans="1:9">
      <c r="A108" s="875"/>
      <c r="B108" s="1796"/>
      <c r="C108" s="227" t="s">
        <v>872</v>
      </c>
      <c r="D108" s="244"/>
      <c r="E108" s="229" t="s">
        <v>932</v>
      </c>
      <c r="F108" s="245">
        <v>219996</v>
      </c>
      <c r="G108" s="229" t="s">
        <v>932</v>
      </c>
      <c r="H108" s="245">
        <v>239280</v>
      </c>
      <c r="I108" s="245">
        <f>H108-F108</f>
        <v>19284</v>
      </c>
    </row>
    <row r="109" spans="1:9" ht="9.75" customHeight="1">
      <c r="A109" s="875"/>
      <c r="B109" s="1796"/>
      <c r="C109" s="227"/>
      <c r="D109" s="244"/>
      <c r="E109" s="240"/>
      <c r="F109" s="226"/>
      <c r="G109" s="240"/>
      <c r="H109" s="226"/>
      <c r="I109" s="245"/>
    </row>
    <row r="110" spans="1:9">
      <c r="A110" s="875">
        <v>1486</v>
      </c>
      <c r="B110" s="1796">
        <v>1466</v>
      </c>
      <c r="C110" s="236" t="s">
        <v>969</v>
      </c>
      <c r="D110" s="244"/>
      <c r="E110" s="240"/>
      <c r="F110" s="226"/>
      <c r="G110" s="240"/>
      <c r="H110" s="226"/>
      <c r="I110" s="226"/>
    </row>
    <row r="111" spans="1:9">
      <c r="A111" s="875"/>
      <c r="B111" s="1796"/>
      <c r="C111" s="227" t="s">
        <v>970</v>
      </c>
      <c r="D111" s="244"/>
      <c r="E111" s="243" t="s">
        <v>878</v>
      </c>
      <c r="F111" s="245">
        <v>157500</v>
      </c>
      <c r="G111" s="243" t="s">
        <v>878</v>
      </c>
      <c r="H111" s="245">
        <v>166236</v>
      </c>
      <c r="I111" s="245">
        <f>H111-F111</f>
        <v>8736</v>
      </c>
    </row>
    <row r="112" spans="1:9" ht="9" customHeight="1">
      <c r="A112" s="875"/>
      <c r="B112" s="1796"/>
      <c r="C112" s="227"/>
      <c r="D112" s="244"/>
      <c r="E112" s="243"/>
      <c r="F112" s="245"/>
      <c r="G112" s="243"/>
      <c r="H112" s="245"/>
      <c r="I112" s="245"/>
    </row>
    <row r="113" spans="1:9">
      <c r="A113" s="875">
        <v>1487</v>
      </c>
      <c r="B113" s="1796">
        <v>1467</v>
      </c>
      <c r="C113" s="224" t="s">
        <v>969</v>
      </c>
      <c r="D113" s="244"/>
      <c r="E113" s="240"/>
      <c r="F113" s="226"/>
      <c r="G113" s="240"/>
      <c r="H113" s="226"/>
      <c r="I113" s="226"/>
    </row>
    <row r="114" spans="1:9">
      <c r="A114" s="875"/>
      <c r="B114" s="1796"/>
      <c r="C114" s="227" t="s">
        <v>971</v>
      </c>
      <c r="D114" s="244"/>
      <c r="E114" s="243" t="s">
        <v>916</v>
      </c>
      <c r="F114" s="245">
        <v>151488</v>
      </c>
      <c r="G114" s="243" t="s">
        <v>916</v>
      </c>
      <c r="H114" s="245">
        <v>161340</v>
      </c>
      <c r="I114" s="245">
        <f>H114-F114</f>
        <v>9852</v>
      </c>
    </row>
    <row r="115" spans="1:9" ht="9.75" customHeight="1">
      <c r="A115" s="875"/>
      <c r="B115" s="1796"/>
      <c r="C115" s="227"/>
      <c r="D115" s="244"/>
      <c r="E115" s="240"/>
      <c r="F115" s="226"/>
      <c r="G115" s="240"/>
      <c r="H115" s="226"/>
      <c r="I115" s="245"/>
    </row>
    <row r="116" spans="1:9">
      <c r="A116" s="875">
        <v>1488</v>
      </c>
      <c r="B116" s="1796">
        <v>1468</v>
      </c>
      <c r="C116" s="224" t="s">
        <v>969</v>
      </c>
      <c r="D116" s="244"/>
      <c r="E116" s="240"/>
      <c r="F116" s="226"/>
      <c r="G116" s="240"/>
      <c r="H116" s="226"/>
      <c r="I116" s="226"/>
    </row>
    <row r="117" spans="1:9">
      <c r="A117" s="875"/>
      <c r="B117" s="1796"/>
      <c r="C117" s="227" t="s">
        <v>972</v>
      </c>
      <c r="D117" s="244"/>
      <c r="E117" s="243" t="s">
        <v>856</v>
      </c>
      <c r="F117" s="245">
        <v>153456</v>
      </c>
      <c r="G117" s="243" t="s">
        <v>856</v>
      </c>
      <c r="H117" s="245">
        <v>162960</v>
      </c>
      <c r="I117" s="245">
        <f>H117-F117</f>
        <v>9504</v>
      </c>
    </row>
    <row r="118" spans="1:9" ht="9.75" customHeight="1">
      <c r="A118" s="875"/>
      <c r="B118" s="1796"/>
      <c r="C118" s="227"/>
      <c r="D118" s="244"/>
      <c r="E118" s="229"/>
      <c r="F118" s="245"/>
      <c r="G118" s="229"/>
      <c r="H118" s="245"/>
      <c r="I118" s="245"/>
    </row>
    <row r="119" spans="1:9">
      <c r="A119" s="875">
        <v>1489</v>
      </c>
      <c r="B119" s="1796">
        <v>1469</v>
      </c>
      <c r="C119" s="224" t="s">
        <v>969</v>
      </c>
      <c r="D119" s="244"/>
      <c r="E119" s="240"/>
      <c r="F119" s="226"/>
      <c r="G119" s="240"/>
      <c r="H119" s="226"/>
      <c r="I119" s="226"/>
    </row>
    <row r="120" spans="1:9">
      <c r="A120" s="875"/>
      <c r="B120" s="1796"/>
      <c r="C120" s="227" t="s">
        <v>973</v>
      </c>
      <c r="D120" s="244"/>
      <c r="E120" s="243" t="s">
        <v>856</v>
      </c>
      <c r="F120" s="245">
        <v>153456</v>
      </c>
      <c r="G120" s="243" t="s">
        <v>891</v>
      </c>
      <c r="H120" s="245">
        <v>164592</v>
      </c>
      <c r="I120" s="245">
        <f>H120-F120</f>
        <v>11136</v>
      </c>
    </row>
    <row r="121" spans="1:9" ht="9.75" customHeight="1">
      <c r="A121" s="875"/>
      <c r="B121" s="1796"/>
      <c r="C121" s="224"/>
      <c r="D121" s="244"/>
      <c r="E121" s="243"/>
      <c r="F121" s="245"/>
      <c r="G121" s="243"/>
      <c r="H121" s="245"/>
      <c r="I121" s="245"/>
    </row>
    <row r="122" spans="1:9">
      <c r="A122" s="875">
        <v>1490</v>
      </c>
      <c r="B122" s="1796">
        <v>1470</v>
      </c>
      <c r="C122" s="224" t="s">
        <v>969</v>
      </c>
      <c r="D122" s="244"/>
      <c r="E122" s="240"/>
      <c r="F122" s="226"/>
      <c r="G122" s="240"/>
      <c r="H122" s="226"/>
      <c r="I122" s="226"/>
    </row>
    <row r="123" spans="1:9">
      <c r="A123" s="875"/>
      <c r="B123" s="1796"/>
      <c r="C123" s="227" t="s">
        <v>909</v>
      </c>
      <c r="D123" s="244"/>
      <c r="E123" s="243">
        <v>6</v>
      </c>
      <c r="F123" s="245">
        <v>143904</v>
      </c>
      <c r="G123" s="243">
        <v>6</v>
      </c>
      <c r="H123" s="245">
        <v>155052</v>
      </c>
      <c r="I123" s="245">
        <f>H123-F123</f>
        <v>11148</v>
      </c>
    </row>
    <row r="124" spans="1:9" ht="8.25" customHeight="1">
      <c r="A124" s="875"/>
      <c r="B124" s="1796"/>
      <c r="C124" s="232"/>
      <c r="D124" s="244"/>
      <c r="E124" s="240"/>
      <c r="F124" s="226"/>
      <c r="G124" s="240"/>
      <c r="H124" s="226"/>
      <c r="I124" s="226"/>
    </row>
    <row r="125" spans="1:9">
      <c r="A125" s="875">
        <v>1491</v>
      </c>
      <c r="B125" s="1796">
        <v>1471</v>
      </c>
      <c r="C125" s="224" t="s">
        <v>969</v>
      </c>
      <c r="D125" s="244"/>
      <c r="E125" s="240"/>
      <c r="F125" s="226"/>
      <c r="G125" s="240"/>
      <c r="H125" s="226"/>
      <c r="I125" s="226"/>
    </row>
    <row r="126" spans="1:9">
      <c r="A126" s="875"/>
      <c r="B126" s="1796"/>
      <c r="C126" s="227" t="s">
        <v>909</v>
      </c>
      <c r="D126" s="244"/>
      <c r="E126" s="243">
        <v>6</v>
      </c>
      <c r="F126" s="245">
        <v>143904</v>
      </c>
      <c r="G126" s="243">
        <v>6</v>
      </c>
      <c r="H126" s="245">
        <v>155052</v>
      </c>
      <c r="I126" s="245">
        <f>H126-F126</f>
        <v>11148</v>
      </c>
    </row>
    <row r="127" spans="1:9" ht="9.75" customHeight="1">
      <c r="A127" s="875"/>
      <c r="B127" s="1796"/>
      <c r="C127" s="227"/>
      <c r="D127" s="244"/>
      <c r="E127" s="229"/>
      <c r="F127" s="245"/>
      <c r="G127" s="229"/>
      <c r="H127" s="245"/>
      <c r="I127" s="245"/>
    </row>
    <row r="128" spans="1:9">
      <c r="A128" s="875">
        <v>1492</v>
      </c>
      <c r="B128" s="1796">
        <v>1472</v>
      </c>
      <c r="C128" s="224" t="s">
        <v>969</v>
      </c>
      <c r="D128" s="244"/>
      <c r="E128" s="240"/>
      <c r="F128" s="226"/>
      <c r="G128" s="240"/>
      <c r="H128" s="226"/>
      <c r="I128" s="226"/>
    </row>
    <row r="129" spans="1:9">
      <c r="A129" s="875"/>
      <c r="B129" s="1796"/>
      <c r="C129" s="227" t="s">
        <v>909</v>
      </c>
      <c r="D129" s="244"/>
      <c r="E129" s="243" t="s">
        <v>878</v>
      </c>
      <c r="F129" s="245">
        <v>157500</v>
      </c>
      <c r="G129" s="243">
        <v>6</v>
      </c>
      <c r="H129" s="245">
        <v>155052</v>
      </c>
      <c r="I129" s="245">
        <f>H129-F129</f>
        <v>-2448</v>
      </c>
    </row>
    <row r="130" spans="1:9" ht="9" customHeight="1">
      <c r="A130" s="875"/>
      <c r="B130" s="1796"/>
      <c r="C130" s="227"/>
      <c r="D130" s="244"/>
      <c r="E130" s="243"/>
      <c r="F130" s="226"/>
      <c r="G130" s="243"/>
      <c r="H130" s="226"/>
      <c r="I130" s="226"/>
    </row>
    <row r="131" spans="1:9">
      <c r="A131" s="875">
        <v>1493</v>
      </c>
      <c r="B131" s="1796">
        <v>1473</v>
      </c>
      <c r="C131" s="224" t="s">
        <v>969</v>
      </c>
      <c r="D131" s="244"/>
      <c r="E131" s="240"/>
      <c r="F131" s="226"/>
      <c r="G131" s="240"/>
      <c r="H131" s="226"/>
      <c r="I131" s="226"/>
    </row>
    <row r="132" spans="1:9">
      <c r="A132" s="875"/>
      <c r="B132" s="1796"/>
      <c r="C132" s="227" t="s">
        <v>974</v>
      </c>
      <c r="D132" s="244"/>
      <c r="E132" s="243" t="s">
        <v>916</v>
      </c>
      <c r="F132" s="245">
        <v>151488</v>
      </c>
      <c r="G132" s="243" t="s">
        <v>916</v>
      </c>
      <c r="H132" s="245">
        <v>161340</v>
      </c>
      <c r="I132" s="245">
        <f>H132-F132</f>
        <v>9852</v>
      </c>
    </row>
    <row r="133" spans="1:9" ht="9" customHeight="1">
      <c r="A133" s="875"/>
      <c r="B133" s="1796"/>
      <c r="C133" s="227"/>
      <c r="D133" s="244"/>
      <c r="E133" s="229"/>
      <c r="F133" s="245"/>
      <c r="G133" s="229"/>
      <c r="H133" s="245"/>
      <c r="I133" s="245"/>
    </row>
    <row r="134" spans="1:9">
      <c r="A134" s="875">
        <v>1494</v>
      </c>
      <c r="B134" s="1796">
        <v>1474</v>
      </c>
      <c r="C134" s="236" t="s">
        <v>969</v>
      </c>
      <c r="D134" s="244"/>
      <c r="E134" s="240"/>
      <c r="F134" s="226"/>
      <c r="G134" s="240"/>
      <c r="H134" s="226"/>
      <c r="I134" s="226"/>
    </row>
    <row r="135" spans="1:9">
      <c r="A135" s="875"/>
      <c r="B135" s="223"/>
      <c r="C135" s="227" t="s">
        <v>975</v>
      </c>
      <c r="D135" s="244"/>
      <c r="E135" s="243" t="s">
        <v>878</v>
      </c>
      <c r="F135" s="245">
        <v>157500</v>
      </c>
      <c r="G135" s="243" t="s">
        <v>878</v>
      </c>
      <c r="H135" s="245">
        <v>166236</v>
      </c>
      <c r="I135" s="245">
        <f>H135-F135</f>
        <v>8736</v>
      </c>
    </row>
    <row r="136" spans="1:9" ht="8.25" customHeight="1">
      <c r="A136" s="875"/>
      <c r="B136" s="223"/>
      <c r="C136" s="236"/>
      <c r="D136" s="244"/>
      <c r="E136" s="229"/>
      <c r="F136" s="245"/>
      <c r="G136" s="229"/>
      <c r="H136" s="245"/>
      <c r="I136" s="245"/>
    </row>
    <row r="137" spans="1:9">
      <c r="A137" s="875">
        <v>1495</v>
      </c>
      <c r="B137" s="223">
        <v>1475</v>
      </c>
      <c r="C137" s="236" t="s">
        <v>969</v>
      </c>
      <c r="D137" s="244"/>
      <c r="E137" s="229"/>
      <c r="F137" s="245"/>
      <c r="G137" s="229"/>
      <c r="H137" s="245"/>
      <c r="I137" s="226"/>
    </row>
    <row r="138" spans="1:9">
      <c r="A138" s="875"/>
      <c r="B138" s="223"/>
      <c r="C138" s="227" t="s">
        <v>976</v>
      </c>
      <c r="D138" s="244"/>
      <c r="E138" s="229" t="s">
        <v>878</v>
      </c>
      <c r="F138" s="245">
        <v>157500</v>
      </c>
      <c r="G138" s="229" t="s">
        <v>878</v>
      </c>
      <c r="H138" s="245">
        <v>166236</v>
      </c>
      <c r="I138" s="245">
        <f>H138-F138</f>
        <v>8736</v>
      </c>
    </row>
    <row r="139" spans="1:9">
      <c r="A139" s="223"/>
      <c r="B139" s="223"/>
      <c r="C139" s="232"/>
      <c r="D139" s="244"/>
      <c r="E139" s="229"/>
      <c r="F139" s="245"/>
      <c r="G139" s="229"/>
      <c r="H139" s="245"/>
      <c r="I139" s="245"/>
    </row>
    <row r="140" spans="1:9" ht="8.25" customHeight="1" thickBot="1">
      <c r="A140" s="1281"/>
      <c r="B140" s="651"/>
      <c r="C140" s="257"/>
      <c r="D140" s="653"/>
      <c r="E140" s="652"/>
      <c r="F140" s="654"/>
      <c r="G140" s="652"/>
      <c r="H140" s="654"/>
      <c r="I140" s="654"/>
    </row>
    <row r="141" spans="1:9">
      <c r="A141" s="214"/>
      <c r="C141" s="214"/>
      <c r="D141" s="214"/>
      <c r="E141" s="214"/>
      <c r="F141" s="214"/>
      <c r="G141" s="214"/>
      <c r="H141" s="214"/>
      <c r="I141" s="214"/>
    </row>
    <row r="142" spans="1:9" s="214" customFormat="1" ht="12" customHeight="1">
      <c r="A142" s="236"/>
      <c r="B142" s="237"/>
      <c r="C142" s="224"/>
      <c r="D142" s="224"/>
      <c r="E142" s="237"/>
      <c r="F142" s="238"/>
      <c r="G142" s="237"/>
      <c r="H142" s="238"/>
    </row>
    <row r="143" spans="1:9" s="214" customFormat="1" ht="12" customHeight="1">
      <c r="A143" s="236"/>
      <c r="B143" s="237"/>
      <c r="C143" s="224"/>
      <c r="D143" s="224"/>
      <c r="E143" s="237"/>
      <c r="F143" s="238"/>
      <c r="G143" s="237"/>
      <c r="H143" s="238"/>
    </row>
    <row r="144" spans="1:9" s="214" customFormat="1" ht="18" customHeight="1"/>
    <row r="145" spans="1:9" s="214" customFormat="1" ht="12" customHeight="1"/>
    <row r="146" spans="1:9" s="239" customFormat="1" ht="12" customHeight="1"/>
    <row r="147" spans="1:9" s="214" customFormat="1" ht="12" customHeight="1"/>
    <row r="148" spans="1:9">
      <c r="A148" s="214"/>
      <c r="B148" s="214"/>
      <c r="C148" s="214"/>
      <c r="D148" s="214"/>
      <c r="E148" s="214"/>
      <c r="F148" s="214"/>
      <c r="G148" s="214"/>
      <c r="H148" s="214"/>
      <c r="I148" s="214"/>
    </row>
    <row r="149" spans="1:9">
      <c r="A149" s="214"/>
      <c r="B149" s="214"/>
      <c r="C149" s="214"/>
      <c r="D149" s="214"/>
      <c r="E149" s="214"/>
      <c r="F149" s="214"/>
      <c r="G149" s="214"/>
      <c r="H149" s="214"/>
      <c r="I149" s="214"/>
    </row>
    <row r="150" spans="1:9">
      <c r="A150" s="214"/>
      <c r="C150" s="239"/>
      <c r="D150" s="214"/>
      <c r="E150" s="214"/>
      <c r="F150" s="214"/>
      <c r="G150" s="239"/>
      <c r="H150" s="214"/>
      <c r="I150" s="214"/>
    </row>
    <row r="151" spans="1:9">
      <c r="A151" s="214"/>
      <c r="C151" s="214"/>
      <c r="D151" s="214"/>
      <c r="E151" s="214"/>
      <c r="F151" s="214"/>
      <c r="G151" s="214"/>
      <c r="H151" s="214"/>
      <c r="I151" s="214"/>
    </row>
    <row r="152" spans="1:9" ht="13.8" thickBot="1">
      <c r="A152" s="269" t="s">
        <v>977</v>
      </c>
      <c r="B152" s="276"/>
      <c r="C152" s="269"/>
      <c r="D152" s="269"/>
      <c r="E152" s="269"/>
      <c r="F152" s="269"/>
      <c r="G152" s="269"/>
      <c r="H152" s="269"/>
      <c r="I152" s="278"/>
    </row>
    <row r="153" spans="1:9">
      <c r="A153" s="270"/>
      <c r="B153" s="742"/>
      <c r="C153" s="272"/>
      <c r="D153" s="271"/>
      <c r="E153" s="15429" t="s">
        <v>842</v>
      </c>
      <c r="F153" s="15429"/>
      <c r="G153" s="15429" t="s">
        <v>842</v>
      </c>
      <c r="H153" s="15429"/>
      <c r="I153" s="740"/>
    </row>
    <row r="154" spans="1:9">
      <c r="A154" s="273" t="s">
        <v>843</v>
      </c>
      <c r="B154" s="228"/>
      <c r="C154" s="252" t="s">
        <v>844</v>
      </c>
      <c r="D154" s="256"/>
      <c r="E154" s="15430" t="s">
        <v>845</v>
      </c>
      <c r="F154" s="15430"/>
      <c r="G154" s="15430" t="s">
        <v>845</v>
      </c>
      <c r="H154" s="15430"/>
      <c r="I154" s="741" t="s">
        <v>849</v>
      </c>
    </row>
    <row r="155" spans="1:9">
      <c r="A155" s="273" t="s">
        <v>846</v>
      </c>
      <c r="B155" s="228"/>
      <c r="C155" s="252" t="s">
        <v>847</v>
      </c>
      <c r="D155" s="256"/>
      <c r="E155" s="15431" t="s">
        <v>848</v>
      </c>
      <c r="F155" s="15431"/>
      <c r="G155" s="15431" t="s">
        <v>3310</v>
      </c>
      <c r="H155" s="15431"/>
      <c r="I155" s="758"/>
    </row>
    <row r="156" spans="1:9">
      <c r="A156" s="650"/>
      <c r="B156" s="656"/>
      <c r="C156" s="252" t="s">
        <v>850</v>
      </c>
      <c r="D156" s="256"/>
      <c r="E156" s="237" t="s">
        <v>851</v>
      </c>
      <c r="F156" s="223"/>
      <c r="G156" s="237" t="s">
        <v>851</v>
      </c>
      <c r="H156" s="223"/>
      <c r="I156" s="223"/>
    </row>
    <row r="157" spans="1:9" ht="13.8" thickBot="1">
      <c r="A157" s="274" t="s">
        <v>852</v>
      </c>
      <c r="B157" s="274" t="s">
        <v>853</v>
      </c>
      <c r="C157" s="275"/>
      <c r="D157" s="655"/>
      <c r="E157" s="276" t="s">
        <v>854</v>
      </c>
      <c r="F157" s="651" t="s">
        <v>855</v>
      </c>
      <c r="G157" s="276" t="s">
        <v>854</v>
      </c>
      <c r="H157" s="651" t="s">
        <v>855</v>
      </c>
      <c r="I157" s="651" t="s">
        <v>855</v>
      </c>
    </row>
    <row r="158" spans="1:9">
      <c r="A158" s="255">
        <v>1496</v>
      </c>
      <c r="B158" s="1796">
        <v>1476</v>
      </c>
      <c r="C158" s="224" t="s">
        <v>969</v>
      </c>
      <c r="D158" s="244"/>
      <c r="E158" s="229"/>
      <c r="F158" s="245"/>
      <c r="G158" s="229"/>
      <c r="H158" s="245"/>
      <c r="I158" s="226"/>
    </row>
    <row r="159" spans="1:9">
      <c r="A159" s="875"/>
      <c r="B159" s="1796"/>
      <c r="C159" s="227" t="s">
        <v>909</v>
      </c>
      <c r="D159" s="244"/>
      <c r="E159" s="229" t="s">
        <v>876</v>
      </c>
      <c r="F159" s="245">
        <v>143904</v>
      </c>
      <c r="G159" s="229" t="s">
        <v>876</v>
      </c>
      <c r="H159" s="245">
        <v>155052</v>
      </c>
      <c r="I159" s="245">
        <f>H159-F159</f>
        <v>11148</v>
      </c>
    </row>
    <row r="160" spans="1:9" ht="9.75" customHeight="1">
      <c r="A160" s="875"/>
      <c r="B160" s="1796"/>
      <c r="C160" s="227"/>
      <c r="D160" s="244"/>
      <c r="E160" s="229"/>
      <c r="F160" s="245"/>
      <c r="G160" s="229"/>
      <c r="H160" s="245"/>
      <c r="I160" s="245"/>
    </row>
    <row r="161" spans="1:9">
      <c r="A161" s="875">
        <v>1497</v>
      </c>
      <c r="B161" s="1796">
        <v>1477</v>
      </c>
      <c r="C161" s="236" t="s">
        <v>969</v>
      </c>
      <c r="D161" s="244"/>
      <c r="E161" s="229"/>
      <c r="F161" s="245"/>
      <c r="G161" s="229"/>
      <c r="H161" s="245"/>
      <c r="I161" s="226"/>
    </row>
    <row r="162" spans="1:9">
      <c r="A162" s="875"/>
      <c r="B162" s="1796"/>
      <c r="C162" s="227" t="s">
        <v>978</v>
      </c>
      <c r="D162" s="244"/>
      <c r="E162" s="229" t="s">
        <v>878</v>
      </c>
      <c r="F162" s="245">
        <v>157500</v>
      </c>
      <c r="G162" s="229" t="s">
        <v>878</v>
      </c>
      <c r="H162" s="245">
        <v>166236</v>
      </c>
      <c r="I162" s="245">
        <f>H162-F162</f>
        <v>8736</v>
      </c>
    </row>
    <row r="163" spans="1:9" ht="9" customHeight="1">
      <c r="A163" s="875"/>
      <c r="B163" s="1796"/>
      <c r="C163" s="224"/>
      <c r="D163" s="244"/>
      <c r="E163" s="229"/>
      <c r="F163" s="245"/>
      <c r="G163" s="229"/>
      <c r="H163" s="245"/>
      <c r="I163" s="226"/>
    </row>
    <row r="164" spans="1:9">
      <c r="A164" s="875">
        <v>1498</v>
      </c>
      <c r="B164" s="1796">
        <v>1478</v>
      </c>
      <c r="C164" s="236" t="s">
        <v>969</v>
      </c>
      <c r="D164" s="244"/>
      <c r="E164" s="229"/>
      <c r="F164" s="245"/>
      <c r="G164" s="229"/>
      <c r="H164" s="245"/>
      <c r="I164" s="226"/>
    </row>
    <row r="165" spans="1:9">
      <c r="A165" s="875"/>
      <c r="B165" s="1796"/>
      <c r="C165" s="227" t="s">
        <v>979</v>
      </c>
      <c r="D165" s="244"/>
      <c r="E165" s="229" t="s">
        <v>878</v>
      </c>
      <c r="F165" s="245">
        <v>157500</v>
      </c>
      <c r="G165" s="229" t="s">
        <v>878</v>
      </c>
      <c r="H165" s="245">
        <v>166236</v>
      </c>
      <c r="I165" s="245">
        <f>H165-F165</f>
        <v>8736</v>
      </c>
    </row>
    <row r="166" spans="1:9" ht="9" customHeight="1">
      <c r="A166" s="875"/>
      <c r="B166" s="1796"/>
      <c r="C166" s="227"/>
      <c r="D166" s="244"/>
      <c r="E166" s="229"/>
      <c r="F166" s="245"/>
      <c r="G166" s="229"/>
      <c r="H166" s="245"/>
      <c r="I166" s="245"/>
    </row>
    <row r="167" spans="1:9">
      <c r="A167" s="875">
        <v>1499</v>
      </c>
      <c r="B167" s="1796">
        <v>1479</v>
      </c>
      <c r="C167" s="224" t="s">
        <v>969</v>
      </c>
      <c r="D167" s="244"/>
      <c r="E167" s="229"/>
      <c r="F167" s="245"/>
      <c r="G167" s="229"/>
      <c r="H167" s="245"/>
      <c r="I167" s="226"/>
    </row>
    <row r="168" spans="1:9">
      <c r="A168" s="875"/>
      <c r="B168" s="1796"/>
      <c r="C168" s="227" t="s">
        <v>909</v>
      </c>
      <c r="D168" s="244"/>
      <c r="E168" s="229" t="s">
        <v>876</v>
      </c>
      <c r="F168" s="245">
        <v>143904</v>
      </c>
      <c r="G168" s="229" t="s">
        <v>876</v>
      </c>
      <c r="H168" s="245">
        <v>155052</v>
      </c>
      <c r="I168" s="245">
        <f>H168-F168</f>
        <v>11148</v>
      </c>
    </row>
    <row r="169" spans="1:9" ht="10.5" customHeight="1">
      <c r="A169" s="875"/>
      <c r="B169" s="1796"/>
      <c r="C169" s="227"/>
      <c r="D169" s="244"/>
      <c r="E169" s="229"/>
      <c r="F169" s="245"/>
      <c r="G169" s="229"/>
      <c r="H169" s="245"/>
      <c r="I169" s="245"/>
    </row>
    <row r="170" spans="1:9">
      <c r="A170" s="875">
        <v>1500</v>
      </c>
      <c r="B170" s="1796">
        <v>1480</v>
      </c>
      <c r="C170" s="236" t="s">
        <v>969</v>
      </c>
      <c r="D170" s="244"/>
      <c r="E170" s="229"/>
      <c r="F170" s="245"/>
      <c r="G170" s="229"/>
      <c r="H170" s="245"/>
      <c r="I170" s="226"/>
    </row>
    <row r="171" spans="1:9">
      <c r="A171" s="875"/>
      <c r="B171" s="1796"/>
      <c r="C171" s="227" t="s">
        <v>980</v>
      </c>
      <c r="D171" s="244"/>
      <c r="E171" s="229" t="s">
        <v>878</v>
      </c>
      <c r="F171" s="245">
        <v>157500</v>
      </c>
      <c r="G171" s="229" t="s">
        <v>878</v>
      </c>
      <c r="H171" s="245">
        <v>166236</v>
      </c>
      <c r="I171" s="245">
        <f>H171-F171</f>
        <v>8736</v>
      </c>
    </row>
    <row r="172" spans="1:9" ht="9.75" customHeight="1">
      <c r="A172" s="875"/>
      <c r="B172" s="1796"/>
      <c r="C172" s="227"/>
      <c r="D172" s="244"/>
      <c r="E172" s="229"/>
      <c r="F172" s="245"/>
      <c r="G172" s="229"/>
      <c r="H172" s="245"/>
      <c r="I172" s="245"/>
    </row>
    <row r="173" spans="1:9">
      <c r="A173" s="875">
        <v>1501</v>
      </c>
      <c r="B173" s="1796">
        <v>1481</v>
      </c>
      <c r="C173" s="214" t="s">
        <v>861</v>
      </c>
      <c r="D173" s="244"/>
      <c r="E173" s="229"/>
      <c r="F173" s="245"/>
      <c r="G173" s="229"/>
      <c r="H173" s="245"/>
      <c r="I173" s="245"/>
    </row>
    <row r="174" spans="1:9">
      <c r="A174" s="875"/>
      <c r="B174" s="1796"/>
      <c r="C174" s="227" t="s">
        <v>981</v>
      </c>
      <c r="D174" s="244"/>
      <c r="E174" s="229" t="s">
        <v>912</v>
      </c>
      <c r="F174" s="245">
        <v>123180</v>
      </c>
      <c r="G174" s="229" t="s">
        <v>912</v>
      </c>
      <c r="H174" s="245">
        <v>131172</v>
      </c>
      <c r="I174" s="245">
        <f>H174-F174</f>
        <v>7992</v>
      </c>
    </row>
    <row r="175" spans="1:9" ht="9.75" customHeight="1">
      <c r="A175" s="875"/>
      <c r="B175" s="1796"/>
      <c r="C175" s="227"/>
      <c r="D175" s="244"/>
      <c r="E175" s="229"/>
      <c r="F175" s="245"/>
      <c r="G175" s="229"/>
      <c r="H175" s="245"/>
      <c r="I175" s="245"/>
    </row>
    <row r="176" spans="1:9">
      <c r="A176" s="875">
        <v>1502</v>
      </c>
      <c r="B176" s="1796">
        <v>1482</v>
      </c>
      <c r="C176" s="214" t="s">
        <v>861</v>
      </c>
      <c r="D176" s="244"/>
      <c r="E176" s="229"/>
      <c r="F176" s="245"/>
      <c r="G176" s="229"/>
      <c r="H176" s="245"/>
      <c r="I176" s="245"/>
    </row>
    <row r="177" spans="1:9">
      <c r="A177" s="875"/>
      <c r="B177" s="1796"/>
      <c r="C177" s="227" t="s">
        <v>982</v>
      </c>
      <c r="D177" s="244"/>
      <c r="E177" s="229" t="s">
        <v>882</v>
      </c>
      <c r="F177" s="245">
        <v>126408</v>
      </c>
      <c r="G177" s="229" t="s">
        <v>882</v>
      </c>
      <c r="H177" s="245">
        <v>133812</v>
      </c>
      <c r="I177" s="245">
        <f>H177-F177</f>
        <v>7404</v>
      </c>
    </row>
    <row r="178" spans="1:9" ht="9.75" customHeight="1">
      <c r="A178" s="875"/>
      <c r="B178" s="1796"/>
      <c r="C178" s="227"/>
      <c r="D178" s="244"/>
      <c r="E178" s="229"/>
      <c r="F178" s="245"/>
      <c r="G178" s="229"/>
      <c r="H178" s="245"/>
      <c r="I178" s="245"/>
    </row>
    <row r="179" spans="1:9">
      <c r="A179" s="875">
        <v>1503</v>
      </c>
      <c r="B179" s="1796">
        <v>1483</v>
      </c>
      <c r="C179" s="214" t="s">
        <v>861</v>
      </c>
      <c r="D179" s="244"/>
      <c r="E179" s="229"/>
      <c r="F179" s="245"/>
      <c r="G179" s="229"/>
      <c r="H179" s="245"/>
      <c r="I179" s="245"/>
    </row>
    <row r="180" spans="1:9">
      <c r="A180" s="875"/>
      <c r="B180" s="1796"/>
      <c r="C180" s="227" t="s">
        <v>983</v>
      </c>
      <c r="D180" s="244"/>
      <c r="E180" s="229" t="s">
        <v>912</v>
      </c>
      <c r="F180" s="245">
        <v>123180</v>
      </c>
      <c r="G180" s="229" t="s">
        <v>912</v>
      </c>
      <c r="H180" s="245">
        <v>131172</v>
      </c>
      <c r="I180" s="245">
        <f>H180-F180</f>
        <v>7992</v>
      </c>
    </row>
    <row r="181" spans="1:9" ht="9" customHeight="1">
      <c r="A181" s="875"/>
      <c r="B181" s="1796"/>
      <c r="C181" s="224"/>
      <c r="D181" s="244"/>
      <c r="E181" s="229"/>
      <c r="F181" s="245"/>
      <c r="G181" s="229"/>
      <c r="H181" s="245"/>
      <c r="I181" s="245"/>
    </row>
    <row r="182" spans="1:9">
      <c r="A182" s="875">
        <v>1504</v>
      </c>
      <c r="B182" s="1796">
        <v>1484</v>
      </c>
      <c r="C182" s="214" t="s">
        <v>861</v>
      </c>
      <c r="D182" s="244"/>
      <c r="E182" s="229"/>
      <c r="F182" s="245"/>
      <c r="G182" s="229"/>
      <c r="H182" s="245"/>
      <c r="I182" s="245"/>
    </row>
    <row r="183" spans="1:9">
      <c r="A183" s="875"/>
      <c r="B183" s="1796"/>
      <c r="C183" s="227" t="s">
        <v>984</v>
      </c>
      <c r="D183" s="244"/>
      <c r="E183" s="229" t="s">
        <v>860</v>
      </c>
      <c r="F183" s="245">
        <v>115536</v>
      </c>
      <c r="G183" s="229" t="s">
        <v>917</v>
      </c>
      <c r="H183" s="245">
        <v>126060</v>
      </c>
      <c r="I183" s="245">
        <f>H183-F183</f>
        <v>10524</v>
      </c>
    </row>
    <row r="184" spans="1:9" ht="9" customHeight="1">
      <c r="A184" s="875"/>
      <c r="B184" s="1796"/>
      <c r="C184" s="227"/>
      <c r="D184" s="244"/>
      <c r="E184" s="229"/>
      <c r="F184" s="245"/>
      <c r="G184" s="229"/>
      <c r="H184" s="245"/>
      <c r="I184" s="245"/>
    </row>
    <row r="185" spans="1:9">
      <c r="A185" s="875">
        <v>1505</v>
      </c>
      <c r="B185" s="1796">
        <v>1485</v>
      </c>
      <c r="C185" s="236" t="s">
        <v>861</v>
      </c>
      <c r="D185" s="244"/>
      <c r="E185" s="228"/>
      <c r="F185" s="226"/>
      <c r="G185" s="228"/>
      <c r="H185" s="226"/>
      <c r="I185" s="226"/>
    </row>
    <row r="186" spans="1:9">
      <c r="A186" s="875"/>
      <c r="B186" s="1796"/>
      <c r="C186" s="227" t="s">
        <v>985</v>
      </c>
      <c r="D186" s="244"/>
      <c r="E186" s="229" t="s">
        <v>860</v>
      </c>
      <c r="F186" s="245">
        <v>115536</v>
      </c>
      <c r="G186" s="229" t="s">
        <v>917</v>
      </c>
      <c r="H186" s="245">
        <v>126060</v>
      </c>
      <c r="I186" s="245">
        <f>H186-F186</f>
        <v>10524</v>
      </c>
    </row>
    <row r="187" spans="1:9" ht="9.75" customHeight="1">
      <c r="A187" s="875"/>
      <c r="B187" s="1796"/>
      <c r="C187" s="227"/>
      <c r="D187" s="244"/>
      <c r="E187" s="229"/>
      <c r="F187" s="226"/>
      <c r="G187" s="229"/>
      <c r="H187" s="226"/>
      <c r="I187" s="245"/>
    </row>
    <row r="188" spans="1:9">
      <c r="A188" s="875">
        <v>1506</v>
      </c>
      <c r="B188" s="1796">
        <v>1486</v>
      </c>
      <c r="C188" s="236" t="s">
        <v>861</v>
      </c>
      <c r="D188" s="244"/>
      <c r="E188" s="229"/>
      <c r="F188" s="226"/>
      <c r="G188" s="229"/>
      <c r="H188" s="226"/>
      <c r="I188" s="245"/>
    </row>
    <row r="189" spans="1:9">
      <c r="A189" s="875"/>
      <c r="B189" s="1796"/>
      <c r="C189" s="227" t="s">
        <v>986</v>
      </c>
      <c r="D189" s="244"/>
      <c r="E189" s="229" t="s">
        <v>862</v>
      </c>
      <c r="F189" s="245">
        <v>118512</v>
      </c>
      <c r="G189" s="229" t="s">
        <v>862</v>
      </c>
      <c r="H189" s="245">
        <v>127320</v>
      </c>
      <c r="I189" s="245">
        <f>H189-F189</f>
        <v>8808</v>
      </c>
    </row>
    <row r="190" spans="1:9" ht="9" customHeight="1">
      <c r="A190" s="875"/>
      <c r="B190" s="1796"/>
      <c r="C190" s="227"/>
      <c r="D190" s="244"/>
      <c r="E190" s="229"/>
      <c r="F190" s="245"/>
      <c r="G190" s="229"/>
      <c r="H190" s="245"/>
      <c r="I190" s="245"/>
    </row>
    <row r="191" spans="1:9">
      <c r="A191" s="875">
        <v>1507</v>
      </c>
      <c r="B191" s="1796">
        <v>1487</v>
      </c>
      <c r="C191" s="214" t="s">
        <v>861</v>
      </c>
      <c r="D191" s="244"/>
      <c r="E191" s="228"/>
      <c r="F191" s="245"/>
      <c r="G191" s="228"/>
      <c r="H191" s="245"/>
      <c r="I191" s="226"/>
    </row>
    <row r="192" spans="1:9">
      <c r="A192" s="875"/>
      <c r="B192" s="1796"/>
      <c r="C192" s="239" t="s">
        <v>987</v>
      </c>
      <c r="D192" s="244"/>
      <c r="E192" s="229" t="s">
        <v>860</v>
      </c>
      <c r="F192" s="245">
        <v>115536</v>
      </c>
      <c r="G192" s="229" t="s">
        <v>917</v>
      </c>
      <c r="H192" s="245">
        <v>126060</v>
      </c>
      <c r="I192" s="245">
        <f>H192-F192</f>
        <v>10524</v>
      </c>
    </row>
    <row r="193" spans="1:9" ht="8.25" customHeight="1">
      <c r="A193" s="875"/>
      <c r="B193" s="1796"/>
      <c r="C193" s="239"/>
      <c r="D193" s="244"/>
      <c r="E193" s="229"/>
      <c r="F193" s="245"/>
      <c r="G193" s="229"/>
      <c r="H193" s="245"/>
      <c r="I193" s="226"/>
    </row>
    <row r="194" spans="1:9">
      <c r="A194" s="875">
        <v>1508</v>
      </c>
      <c r="B194" s="1796">
        <v>1488</v>
      </c>
      <c r="C194" s="214" t="s">
        <v>861</v>
      </c>
      <c r="D194" s="244"/>
      <c r="E194" s="229"/>
      <c r="F194" s="226"/>
      <c r="G194" s="229"/>
      <c r="H194" s="226"/>
      <c r="I194" s="226"/>
    </row>
    <row r="195" spans="1:9">
      <c r="A195" s="875"/>
      <c r="B195" s="1796"/>
      <c r="C195" s="227" t="s">
        <v>988</v>
      </c>
      <c r="D195" s="244"/>
      <c r="E195" s="229" t="s">
        <v>860</v>
      </c>
      <c r="F195" s="245">
        <v>115536</v>
      </c>
      <c r="G195" s="229" t="s">
        <v>917</v>
      </c>
      <c r="H195" s="245">
        <v>126060</v>
      </c>
      <c r="I195" s="245">
        <f>H195-F195</f>
        <v>10524</v>
      </c>
    </row>
    <row r="196" spans="1:9" ht="9.75" customHeight="1">
      <c r="A196" s="875"/>
      <c r="B196" s="1796"/>
      <c r="C196" s="227"/>
      <c r="D196" s="244"/>
      <c r="E196" s="229"/>
      <c r="F196" s="245"/>
      <c r="G196" s="229"/>
      <c r="H196" s="245"/>
      <c r="I196" s="245"/>
    </row>
    <row r="197" spans="1:9">
      <c r="A197" s="875">
        <v>1509</v>
      </c>
      <c r="B197" s="1796">
        <v>1489</v>
      </c>
      <c r="C197" s="214" t="s">
        <v>861</v>
      </c>
      <c r="D197" s="244"/>
      <c r="E197" s="229"/>
      <c r="F197" s="245"/>
      <c r="G197" s="229"/>
      <c r="H197" s="245"/>
      <c r="I197" s="245"/>
    </row>
    <row r="198" spans="1:9">
      <c r="A198" s="875"/>
      <c r="B198" s="1796"/>
      <c r="C198" s="227" t="s">
        <v>989</v>
      </c>
      <c r="D198" s="244"/>
      <c r="E198" s="229" t="s">
        <v>862</v>
      </c>
      <c r="F198" s="245">
        <v>118512</v>
      </c>
      <c r="G198" s="229" t="s">
        <v>862</v>
      </c>
      <c r="H198" s="245">
        <v>127320</v>
      </c>
      <c r="I198" s="245">
        <f>H198-F198</f>
        <v>8808</v>
      </c>
    </row>
    <row r="199" spans="1:9" ht="9.75" customHeight="1">
      <c r="A199" s="875"/>
      <c r="B199" s="1796"/>
      <c r="C199" s="232"/>
      <c r="D199" s="256"/>
      <c r="E199" s="229"/>
      <c r="F199" s="245"/>
      <c r="G199" s="229"/>
      <c r="H199" s="245"/>
      <c r="I199" s="245"/>
    </row>
    <row r="200" spans="1:9">
      <c r="A200" s="875">
        <v>1510</v>
      </c>
      <c r="B200" s="1796">
        <v>1490</v>
      </c>
      <c r="C200" s="214" t="s">
        <v>861</v>
      </c>
      <c r="D200" s="244"/>
      <c r="E200" s="229"/>
      <c r="F200" s="245"/>
      <c r="G200" s="229"/>
      <c r="H200" s="245"/>
      <c r="I200" s="245"/>
    </row>
    <row r="201" spans="1:9">
      <c r="A201" s="875"/>
      <c r="B201" s="1796"/>
      <c r="C201" s="227" t="s">
        <v>990</v>
      </c>
      <c r="D201" s="244"/>
      <c r="E201" s="229" t="s">
        <v>862</v>
      </c>
      <c r="F201" s="245">
        <v>118512</v>
      </c>
      <c r="G201" s="229" t="s">
        <v>862</v>
      </c>
      <c r="H201" s="245">
        <v>127320</v>
      </c>
      <c r="I201" s="245">
        <f>H201-F201</f>
        <v>8808</v>
      </c>
    </row>
    <row r="202" spans="1:9" ht="9.75" customHeight="1">
      <c r="A202" s="875"/>
      <c r="B202" s="1796"/>
      <c r="C202" s="232"/>
      <c r="D202" s="244"/>
      <c r="E202" s="229"/>
      <c r="F202" s="245"/>
      <c r="G202" s="229"/>
      <c r="H202" s="245"/>
      <c r="I202" s="245"/>
    </row>
    <row r="203" spans="1:9">
      <c r="A203" s="875">
        <v>1511</v>
      </c>
      <c r="B203" s="1796">
        <v>1491</v>
      </c>
      <c r="C203" s="214" t="s">
        <v>861</v>
      </c>
      <c r="D203" s="244"/>
      <c r="E203" s="229"/>
      <c r="F203" s="245"/>
      <c r="G203" s="229"/>
      <c r="H203" s="245"/>
      <c r="I203" s="245"/>
    </row>
    <row r="204" spans="1:9">
      <c r="A204" s="875"/>
      <c r="B204" s="1796"/>
      <c r="C204" s="227" t="s">
        <v>991</v>
      </c>
      <c r="D204" s="244"/>
      <c r="E204" s="229" t="s">
        <v>879</v>
      </c>
      <c r="F204" s="245">
        <v>121596</v>
      </c>
      <c r="G204" s="229" t="s">
        <v>879</v>
      </c>
      <c r="H204" s="245">
        <v>129876</v>
      </c>
      <c r="I204" s="245">
        <f>H204-F204</f>
        <v>8280</v>
      </c>
    </row>
    <row r="205" spans="1:9" ht="8.25" customHeight="1">
      <c r="A205" s="875"/>
      <c r="B205" s="1796"/>
      <c r="C205" s="224"/>
      <c r="D205" s="244"/>
      <c r="E205" s="229"/>
      <c r="F205" s="245"/>
      <c r="G205" s="229"/>
      <c r="H205" s="245"/>
      <c r="I205" s="245"/>
    </row>
    <row r="206" spans="1:9">
      <c r="A206" s="875">
        <v>1512</v>
      </c>
      <c r="B206" s="1796">
        <v>1492</v>
      </c>
      <c r="C206" s="214" t="s">
        <v>861</v>
      </c>
      <c r="D206" s="244"/>
      <c r="E206" s="229"/>
      <c r="F206" s="245"/>
      <c r="G206" s="229"/>
      <c r="H206" s="245"/>
      <c r="I206" s="245"/>
    </row>
    <row r="207" spans="1:9">
      <c r="A207" s="875"/>
      <c r="B207" s="1796"/>
      <c r="C207" s="227" t="s">
        <v>992</v>
      </c>
      <c r="D207" s="244"/>
      <c r="E207" s="229" t="s">
        <v>927</v>
      </c>
      <c r="F207" s="245">
        <v>124776</v>
      </c>
      <c r="G207" s="229" t="s">
        <v>927</v>
      </c>
      <c r="H207" s="245">
        <v>132480</v>
      </c>
      <c r="I207" s="245">
        <f>H207-F207</f>
        <v>7704</v>
      </c>
    </row>
    <row r="208" spans="1:9" ht="9" customHeight="1">
      <c r="A208" s="875"/>
      <c r="B208" s="1796"/>
      <c r="C208" s="227"/>
      <c r="D208" s="244"/>
      <c r="E208" s="229"/>
      <c r="F208" s="245"/>
      <c r="G208" s="229"/>
      <c r="H208" s="245"/>
      <c r="I208" s="245"/>
    </row>
    <row r="209" spans="1:9">
      <c r="A209" s="875">
        <v>1513</v>
      </c>
      <c r="B209" s="1796">
        <v>1493</v>
      </c>
      <c r="C209" s="214" t="s">
        <v>861</v>
      </c>
      <c r="D209" s="244"/>
      <c r="E209" s="229"/>
      <c r="F209" s="245"/>
      <c r="G209" s="229"/>
      <c r="H209" s="245"/>
      <c r="I209" s="245"/>
    </row>
    <row r="210" spans="1:9">
      <c r="A210" s="875"/>
      <c r="B210" s="1796"/>
      <c r="C210" s="227" t="s">
        <v>993</v>
      </c>
      <c r="D210" s="244"/>
      <c r="E210" s="229" t="s">
        <v>882</v>
      </c>
      <c r="F210" s="245">
        <v>126408</v>
      </c>
      <c r="G210" s="229" t="s">
        <v>882</v>
      </c>
      <c r="H210" s="245">
        <v>133812</v>
      </c>
      <c r="I210" s="245">
        <f>H210-F210</f>
        <v>7404</v>
      </c>
    </row>
    <row r="211" spans="1:9" ht="9.75" customHeight="1">
      <c r="A211" s="875"/>
      <c r="B211" s="1796"/>
      <c r="C211" s="227"/>
      <c r="D211" s="244"/>
      <c r="E211" s="229"/>
      <c r="F211" s="245"/>
      <c r="G211" s="229"/>
      <c r="H211" s="245"/>
      <c r="I211" s="245"/>
    </row>
    <row r="212" spans="1:9">
      <c r="A212" s="875">
        <v>1514</v>
      </c>
      <c r="B212" s="1796">
        <v>1494</v>
      </c>
      <c r="C212" s="236" t="s">
        <v>861</v>
      </c>
      <c r="D212" s="244"/>
      <c r="E212" s="229"/>
      <c r="F212" s="245"/>
      <c r="G212" s="229"/>
      <c r="H212" s="245"/>
      <c r="I212" s="245"/>
    </row>
    <row r="213" spans="1:9">
      <c r="A213" s="875"/>
      <c r="B213" s="223"/>
      <c r="C213" s="227" t="s">
        <v>994</v>
      </c>
      <c r="D213" s="244"/>
      <c r="E213" s="229" t="s">
        <v>882</v>
      </c>
      <c r="F213" s="245">
        <v>126408</v>
      </c>
      <c r="G213" s="229" t="s">
        <v>882</v>
      </c>
      <c r="H213" s="245">
        <v>133812</v>
      </c>
      <c r="I213" s="245">
        <f>H213-F213</f>
        <v>7404</v>
      </c>
    </row>
    <row r="214" spans="1:9" ht="5.25" customHeight="1">
      <c r="A214" s="875"/>
      <c r="B214" s="223"/>
      <c r="C214" s="227"/>
      <c r="D214" s="244"/>
      <c r="E214" s="240"/>
      <c r="F214" s="226"/>
      <c r="G214" s="240"/>
      <c r="H214" s="226"/>
      <c r="I214" s="245"/>
    </row>
    <row r="215" spans="1:9">
      <c r="A215" s="875">
        <v>1515</v>
      </c>
      <c r="B215" s="223">
        <v>1495</v>
      </c>
      <c r="C215" s="224" t="s">
        <v>926</v>
      </c>
      <c r="D215" s="244"/>
      <c r="E215" s="240"/>
      <c r="F215" s="226"/>
      <c r="G215" s="240"/>
      <c r="H215" s="226"/>
      <c r="I215" s="226"/>
    </row>
    <row r="216" spans="1:9">
      <c r="A216" s="875"/>
      <c r="B216" s="223"/>
      <c r="C216" s="227" t="s">
        <v>995</v>
      </c>
      <c r="D216" s="244"/>
      <c r="E216" s="243" t="s">
        <v>858</v>
      </c>
      <c r="F216" s="245">
        <v>136020</v>
      </c>
      <c r="G216" s="243" t="s">
        <v>858</v>
      </c>
      <c r="H216" s="245">
        <v>143844</v>
      </c>
      <c r="I216" s="245">
        <f>H216-F216</f>
        <v>7824</v>
      </c>
    </row>
    <row r="217" spans="1:9" ht="6.75" customHeight="1">
      <c r="A217" s="223"/>
      <c r="B217" s="223"/>
      <c r="C217" s="227"/>
      <c r="D217" s="224"/>
      <c r="E217" s="248"/>
      <c r="F217" s="226"/>
      <c r="G217" s="248"/>
      <c r="H217" s="226"/>
      <c r="I217" s="245"/>
    </row>
    <row r="218" spans="1:9" ht="2.25" customHeight="1" thickBot="1">
      <c r="A218" s="646"/>
      <c r="B218" s="651"/>
      <c r="C218" s="257"/>
      <c r="D218" s="653"/>
      <c r="E218" s="652"/>
      <c r="F218" s="654"/>
      <c r="G218" s="652"/>
      <c r="H218" s="654"/>
      <c r="I218" s="654"/>
    </row>
    <row r="219" spans="1:9">
      <c r="A219" s="214"/>
      <c r="C219" s="214"/>
      <c r="D219" s="214"/>
      <c r="E219" s="214"/>
      <c r="F219" s="214"/>
      <c r="G219" s="214"/>
      <c r="H219" s="214"/>
      <c r="I219" s="214"/>
    </row>
    <row r="220" spans="1:9" s="214" customFormat="1" ht="12" customHeight="1">
      <c r="A220" s="236"/>
      <c r="B220" s="237"/>
      <c r="C220" s="224"/>
      <c r="D220" s="224"/>
      <c r="E220" s="237"/>
      <c r="F220" s="238"/>
      <c r="G220" s="237"/>
      <c r="H220" s="238"/>
    </row>
    <row r="221" spans="1:9" s="214" customFormat="1" ht="15" customHeight="1">
      <c r="A221" s="236"/>
      <c r="B221" s="237"/>
      <c r="C221" s="224"/>
      <c r="D221" s="224"/>
      <c r="E221" s="237"/>
      <c r="F221" s="238"/>
      <c r="G221" s="237"/>
      <c r="H221" s="238"/>
    </row>
    <row r="222" spans="1:9" s="214" customFormat="1" ht="16.5" customHeight="1"/>
    <row r="223" spans="1:9" s="214" customFormat="1" ht="12" customHeight="1"/>
    <row r="224" spans="1:9" s="239" customFormat="1" ht="12" customHeight="1"/>
    <row r="225" spans="1:9" s="214" customFormat="1" ht="12" customHeight="1"/>
    <row r="226" spans="1:9">
      <c r="A226" s="214"/>
      <c r="B226" s="214"/>
      <c r="C226" s="214"/>
      <c r="D226" s="214"/>
      <c r="E226" s="214"/>
      <c r="F226" s="214"/>
      <c r="G226" s="214"/>
      <c r="H226" s="214"/>
      <c r="I226" s="214"/>
    </row>
    <row r="227" spans="1:9">
      <c r="A227" s="214"/>
      <c r="B227" s="214"/>
      <c r="C227" s="214"/>
      <c r="D227" s="214"/>
      <c r="E227" s="214"/>
      <c r="F227" s="214"/>
      <c r="G227" s="214"/>
      <c r="H227" s="214"/>
      <c r="I227" s="214"/>
    </row>
    <row r="228" spans="1:9" ht="13.8" thickBot="1">
      <c r="A228" s="269" t="s">
        <v>996</v>
      </c>
      <c r="B228" s="276"/>
      <c r="C228" s="269"/>
      <c r="D228" s="269"/>
      <c r="E228" s="269"/>
      <c r="F228" s="269"/>
      <c r="G228" s="269"/>
      <c r="H228" s="269"/>
      <c r="I228" s="278"/>
    </row>
    <row r="229" spans="1:9">
      <c r="A229" s="270"/>
      <c r="B229" s="742"/>
      <c r="C229" s="272"/>
      <c r="D229" s="271"/>
      <c r="E229" s="15429" t="s">
        <v>842</v>
      </c>
      <c r="F229" s="15429"/>
      <c r="G229" s="15429" t="s">
        <v>842</v>
      </c>
      <c r="H229" s="15429"/>
      <c r="I229" s="740"/>
    </row>
    <row r="230" spans="1:9">
      <c r="A230" s="273" t="s">
        <v>843</v>
      </c>
      <c r="B230" s="228"/>
      <c r="C230" s="252" t="s">
        <v>844</v>
      </c>
      <c r="D230" s="256"/>
      <c r="E230" s="15430" t="s">
        <v>845</v>
      </c>
      <c r="F230" s="15430"/>
      <c r="G230" s="15430" t="s">
        <v>845</v>
      </c>
      <c r="H230" s="15430"/>
      <c r="I230" s="741" t="s">
        <v>849</v>
      </c>
    </row>
    <row r="231" spans="1:9">
      <c r="A231" s="273" t="s">
        <v>846</v>
      </c>
      <c r="B231" s="228"/>
      <c r="C231" s="252" t="s">
        <v>847</v>
      </c>
      <c r="D231" s="256"/>
      <c r="E231" s="15431" t="s">
        <v>848</v>
      </c>
      <c r="F231" s="15431"/>
      <c r="G231" s="15431" t="s">
        <v>3310</v>
      </c>
      <c r="H231" s="15431"/>
      <c r="I231" s="758"/>
    </row>
    <row r="232" spans="1:9">
      <c r="A232" s="650"/>
      <c r="B232" s="656"/>
      <c r="C232" s="252" t="s">
        <v>850</v>
      </c>
      <c r="D232" s="256"/>
      <c r="E232" s="237" t="s">
        <v>851</v>
      </c>
      <c r="F232" s="223"/>
      <c r="G232" s="237" t="s">
        <v>851</v>
      </c>
      <c r="H232" s="223"/>
      <c r="I232" s="223"/>
    </row>
    <row r="233" spans="1:9" ht="13.8" thickBot="1">
      <c r="A233" s="274" t="s">
        <v>852</v>
      </c>
      <c r="B233" s="274" t="s">
        <v>853</v>
      </c>
      <c r="C233" s="275"/>
      <c r="D233" s="655"/>
      <c r="E233" s="276" t="s">
        <v>854</v>
      </c>
      <c r="F233" s="651" t="s">
        <v>855</v>
      </c>
      <c r="G233" s="276" t="s">
        <v>854</v>
      </c>
      <c r="H233" s="651" t="s">
        <v>855</v>
      </c>
      <c r="I233" s="651" t="s">
        <v>855</v>
      </c>
    </row>
    <row r="234" spans="1:9" ht="6" customHeight="1">
      <c r="A234" s="223"/>
      <c r="B234" s="255"/>
      <c r="C234" s="227"/>
      <c r="D234" s="244"/>
      <c r="E234" s="229"/>
      <c r="F234" s="245"/>
      <c r="G234" s="243"/>
      <c r="H234" s="245"/>
      <c r="I234" s="245"/>
    </row>
    <row r="235" spans="1:9">
      <c r="A235" s="875">
        <v>1516</v>
      </c>
      <c r="B235" s="223">
        <v>1496</v>
      </c>
      <c r="C235" s="224" t="s">
        <v>930</v>
      </c>
      <c r="D235" s="244"/>
      <c r="E235" s="229"/>
      <c r="F235" s="245"/>
      <c r="G235" s="229"/>
      <c r="H235" s="245"/>
      <c r="I235" s="245"/>
    </row>
    <row r="236" spans="1:9">
      <c r="A236" s="875"/>
      <c r="B236" s="223"/>
      <c r="C236" s="227" t="s">
        <v>997</v>
      </c>
      <c r="D236" s="244"/>
      <c r="E236" s="229" t="s">
        <v>878</v>
      </c>
      <c r="F236" s="245">
        <v>157500</v>
      </c>
      <c r="G236" s="229" t="s">
        <v>878</v>
      </c>
      <c r="H236" s="245">
        <v>166236</v>
      </c>
      <c r="I236" s="245">
        <f>H236-F236</f>
        <v>8736</v>
      </c>
    </row>
    <row r="237" spans="1:9">
      <c r="A237" s="875"/>
      <c r="B237" s="223"/>
      <c r="C237" s="227"/>
      <c r="D237" s="244"/>
      <c r="E237" s="229"/>
      <c r="F237" s="245"/>
      <c r="G237" s="229"/>
      <c r="H237" s="245"/>
      <c r="I237" s="245"/>
    </row>
    <row r="238" spans="1:9">
      <c r="A238" s="875"/>
      <c r="B238" s="223"/>
      <c r="C238" s="249" t="s">
        <v>998</v>
      </c>
      <c r="D238" s="277"/>
      <c r="E238" s="861"/>
      <c r="F238" s="228"/>
      <c r="G238" s="223"/>
      <c r="H238" s="228"/>
      <c r="I238" s="223"/>
    </row>
    <row r="239" spans="1:9" ht="9.75" customHeight="1">
      <c r="A239" s="875"/>
      <c r="B239" s="223"/>
      <c r="C239" s="230"/>
      <c r="D239" s="256"/>
      <c r="E239" s="861"/>
      <c r="F239" s="228"/>
      <c r="G239" s="223"/>
      <c r="H239" s="228"/>
      <c r="I239" s="223"/>
    </row>
    <row r="240" spans="1:9">
      <c r="A240" s="875">
        <v>1517</v>
      </c>
      <c r="B240" s="223">
        <v>1497</v>
      </c>
      <c r="C240" s="224" t="s">
        <v>859</v>
      </c>
      <c r="D240" s="224"/>
      <c r="E240" s="229"/>
      <c r="F240" s="245"/>
      <c r="G240" s="229"/>
      <c r="H240" s="245"/>
      <c r="I240" s="245"/>
    </row>
    <row r="241" spans="1:9">
      <c r="A241" s="875"/>
      <c r="B241" s="223"/>
      <c r="C241" s="279" t="s">
        <v>999</v>
      </c>
      <c r="D241" s="224"/>
      <c r="E241" s="229"/>
      <c r="F241" s="245"/>
      <c r="G241" s="229"/>
      <c r="H241" s="245"/>
      <c r="I241" s="245"/>
    </row>
    <row r="242" spans="1:9">
      <c r="A242" s="875"/>
      <c r="B242" s="223"/>
      <c r="C242" s="227" t="s">
        <v>1000</v>
      </c>
      <c r="D242" s="244"/>
      <c r="E242" s="229">
        <v>6</v>
      </c>
      <c r="F242" s="245">
        <v>143904</v>
      </c>
      <c r="G242" s="229" t="s">
        <v>886</v>
      </c>
      <c r="H242" s="245">
        <v>156600</v>
      </c>
      <c r="I242" s="245">
        <f>H242-F242</f>
        <v>12696</v>
      </c>
    </row>
    <row r="243" spans="1:9" ht="9" customHeight="1">
      <c r="A243" s="875"/>
      <c r="B243" s="223"/>
      <c r="C243" s="227"/>
      <c r="D243" s="244"/>
      <c r="E243" s="229"/>
      <c r="F243" s="245"/>
      <c r="G243" s="229"/>
      <c r="H243" s="245"/>
      <c r="I243" s="245"/>
    </row>
    <row r="244" spans="1:9">
      <c r="A244" s="875">
        <v>1518</v>
      </c>
      <c r="B244" s="1796">
        <v>1498</v>
      </c>
      <c r="C244" s="224" t="s">
        <v>930</v>
      </c>
      <c r="D244" s="244"/>
      <c r="E244" s="861"/>
      <c r="F244" s="245"/>
      <c r="G244" s="223"/>
      <c r="H244" s="245"/>
      <c r="I244" s="245"/>
    </row>
    <row r="245" spans="1:9">
      <c r="A245" s="875"/>
      <c r="B245" s="1796"/>
      <c r="C245" s="227" t="s">
        <v>1001</v>
      </c>
      <c r="D245" s="244"/>
      <c r="E245" s="229" t="s">
        <v>856</v>
      </c>
      <c r="F245" s="245">
        <v>153456</v>
      </c>
      <c r="G245" s="229" t="s">
        <v>856</v>
      </c>
      <c r="H245" s="245">
        <v>162960</v>
      </c>
      <c r="I245" s="245">
        <f>H245-F245</f>
        <v>9504</v>
      </c>
    </row>
    <row r="246" spans="1:9" ht="7.5" customHeight="1">
      <c r="A246" s="875"/>
      <c r="B246" s="1796"/>
      <c r="C246" s="227"/>
      <c r="D246" s="244"/>
      <c r="E246" s="229"/>
      <c r="F246" s="245"/>
      <c r="G246" s="229"/>
      <c r="H246" s="245"/>
      <c r="I246" s="245"/>
    </row>
    <row r="247" spans="1:9">
      <c r="A247" s="875">
        <v>1519</v>
      </c>
      <c r="B247" s="1796">
        <v>1499</v>
      </c>
      <c r="C247" s="214" t="s">
        <v>861</v>
      </c>
      <c r="D247" s="244"/>
      <c r="E247" s="229"/>
      <c r="F247" s="245"/>
      <c r="G247" s="229"/>
      <c r="H247" s="245"/>
      <c r="I247" s="245"/>
    </row>
    <row r="248" spans="1:9">
      <c r="A248" s="875"/>
      <c r="B248" s="1796"/>
      <c r="C248" s="227" t="s">
        <v>872</v>
      </c>
      <c r="D248" s="244"/>
      <c r="E248" s="229" t="s">
        <v>927</v>
      </c>
      <c r="F248" s="245">
        <v>124776</v>
      </c>
      <c r="G248" s="229" t="s">
        <v>860</v>
      </c>
      <c r="H248" s="245">
        <v>124812</v>
      </c>
      <c r="I248" s="245">
        <f>H248-F248</f>
        <v>36</v>
      </c>
    </row>
    <row r="249" spans="1:9" ht="9.75" customHeight="1">
      <c r="A249" s="875"/>
      <c r="B249" s="1796"/>
      <c r="C249" s="227"/>
      <c r="D249" s="244"/>
      <c r="E249" s="229"/>
      <c r="F249" s="245"/>
      <c r="G249" s="229"/>
      <c r="H249" s="245"/>
      <c r="I249" s="245"/>
    </row>
    <row r="250" spans="1:9">
      <c r="A250" s="875">
        <v>1520</v>
      </c>
      <c r="B250" s="1796">
        <v>1500</v>
      </c>
      <c r="C250" s="214" t="s">
        <v>861</v>
      </c>
      <c r="D250" s="244"/>
      <c r="E250" s="229"/>
      <c r="F250" s="245"/>
      <c r="G250" s="229"/>
      <c r="H250" s="245"/>
      <c r="I250" s="245"/>
    </row>
    <row r="251" spans="1:9">
      <c r="A251" s="875"/>
      <c r="B251" s="1796"/>
      <c r="C251" s="227" t="s">
        <v>1002</v>
      </c>
      <c r="D251" s="244"/>
      <c r="E251" s="229" t="s">
        <v>879</v>
      </c>
      <c r="F251" s="245">
        <v>121596</v>
      </c>
      <c r="G251" s="229" t="s">
        <v>879</v>
      </c>
      <c r="H251" s="245">
        <v>129876</v>
      </c>
      <c r="I251" s="245">
        <f>H251-F251</f>
        <v>8280</v>
      </c>
    </row>
    <row r="252" spans="1:9" ht="9" customHeight="1">
      <c r="A252" s="875"/>
      <c r="B252" s="1796"/>
      <c r="C252" s="227"/>
      <c r="D252" s="244"/>
      <c r="E252" s="229"/>
      <c r="F252" s="245"/>
      <c r="G252" s="229"/>
      <c r="H252" s="245"/>
      <c r="I252" s="245"/>
    </row>
    <row r="253" spans="1:9">
      <c r="A253" s="875">
        <v>1521</v>
      </c>
      <c r="B253" s="1796">
        <v>1501</v>
      </c>
      <c r="C253" s="236" t="s">
        <v>861</v>
      </c>
      <c r="D253" s="244"/>
      <c r="E253" s="229"/>
      <c r="F253" s="245"/>
      <c r="G253" s="229"/>
      <c r="H253" s="245"/>
      <c r="I253" s="226"/>
    </row>
    <row r="254" spans="1:9">
      <c r="A254" s="875"/>
      <c r="B254" s="1796"/>
      <c r="C254" s="227" t="s">
        <v>3379</v>
      </c>
      <c r="D254" s="244"/>
      <c r="E254" s="229" t="s">
        <v>882</v>
      </c>
      <c r="F254" s="245">
        <v>126408</v>
      </c>
      <c r="G254" s="229" t="s">
        <v>860</v>
      </c>
      <c r="H254" s="245">
        <v>124812</v>
      </c>
      <c r="I254" s="245">
        <f>H254-F254</f>
        <v>-1596</v>
      </c>
    </row>
    <row r="255" spans="1:9" ht="9" customHeight="1">
      <c r="A255" s="875"/>
      <c r="B255" s="1796"/>
      <c r="C255" s="227"/>
      <c r="D255" s="244"/>
      <c r="E255" s="229"/>
      <c r="F255" s="245"/>
      <c r="G255" s="229"/>
      <c r="H255" s="245"/>
      <c r="I255" s="245"/>
    </row>
    <row r="256" spans="1:9">
      <c r="A256" s="875">
        <v>1522</v>
      </c>
      <c r="B256" s="1796">
        <v>1502</v>
      </c>
      <c r="C256" s="236" t="s">
        <v>861</v>
      </c>
      <c r="D256" s="244"/>
      <c r="E256" s="861"/>
      <c r="F256" s="245"/>
      <c r="G256" s="223"/>
      <c r="H256" s="245"/>
      <c r="I256" s="245"/>
    </row>
    <row r="257" spans="1:9">
      <c r="A257" s="875"/>
      <c r="B257" s="1796"/>
      <c r="C257" s="227" t="s">
        <v>1003</v>
      </c>
      <c r="D257" s="244"/>
      <c r="E257" s="229" t="s">
        <v>882</v>
      </c>
      <c r="F257" s="245">
        <v>126408</v>
      </c>
      <c r="G257" s="229" t="s">
        <v>882</v>
      </c>
      <c r="H257" s="245">
        <v>133812</v>
      </c>
      <c r="I257" s="245">
        <f>H257-F257</f>
        <v>7404</v>
      </c>
    </row>
    <row r="258" spans="1:9" ht="9" customHeight="1">
      <c r="A258" s="875"/>
      <c r="B258" s="223"/>
      <c r="C258" s="227"/>
      <c r="D258" s="244"/>
      <c r="E258" s="229"/>
      <c r="F258" s="245"/>
      <c r="G258" s="229"/>
      <c r="H258" s="245"/>
      <c r="I258" s="245"/>
    </row>
    <row r="259" spans="1:9">
      <c r="A259" s="875">
        <v>1523</v>
      </c>
      <c r="B259" s="223">
        <v>1503</v>
      </c>
      <c r="C259" s="236" t="s">
        <v>861</v>
      </c>
      <c r="D259" s="244"/>
      <c r="E259" s="229"/>
      <c r="F259" s="245"/>
      <c r="G259" s="229"/>
      <c r="H259" s="245"/>
      <c r="I259" s="245"/>
    </row>
    <row r="260" spans="1:9">
      <c r="A260" s="875"/>
      <c r="B260" s="223"/>
      <c r="C260" s="227" t="s">
        <v>3380</v>
      </c>
      <c r="D260" s="244"/>
      <c r="E260" s="229" t="s">
        <v>860</v>
      </c>
      <c r="F260" s="245">
        <v>115536</v>
      </c>
      <c r="G260" s="229" t="s">
        <v>860</v>
      </c>
      <c r="H260" s="245">
        <v>124812</v>
      </c>
      <c r="I260" s="245">
        <f>H260-F260</f>
        <v>9276</v>
      </c>
    </row>
    <row r="261" spans="1:9">
      <c r="A261" s="874"/>
      <c r="B261" s="741"/>
      <c r="C261" s="224"/>
      <c r="D261" s="244"/>
      <c r="E261" s="240"/>
      <c r="F261" s="226"/>
      <c r="G261" s="240"/>
      <c r="H261" s="226"/>
      <c r="I261" s="226"/>
    </row>
    <row r="262" spans="1:9">
      <c r="A262" s="875"/>
      <c r="B262" s="223"/>
      <c r="C262" s="246" t="s">
        <v>1004</v>
      </c>
      <c r="D262" s="264"/>
      <c r="E262" s="229"/>
      <c r="F262" s="245"/>
      <c r="G262" s="229"/>
      <c r="H262" s="245"/>
      <c r="I262" s="245"/>
    </row>
    <row r="263" spans="1:9" ht="9" customHeight="1">
      <c r="A263" s="875"/>
      <c r="B263" s="223"/>
      <c r="C263" s="227"/>
      <c r="D263" s="244"/>
      <c r="E263" s="229"/>
      <c r="F263" s="245"/>
      <c r="G263" s="229"/>
      <c r="H263" s="245"/>
      <c r="I263" s="245"/>
    </row>
    <row r="264" spans="1:9">
      <c r="A264" s="875">
        <v>1524</v>
      </c>
      <c r="B264" s="223">
        <v>1504</v>
      </c>
      <c r="C264" s="224" t="s">
        <v>931</v>
      </c>
      <c r="D264" s="244"/>
      <c r="E264" s="240"/>
      <c r="F264" s="226"/>
      <c r="G264" s="240"/>
      <c r="H264" s="226"/>
      <c r="I264" s="226"/>
    </row>
    <row r="265" spans="1:9">
      <c r="A265" s="875"/>
      <c r="B265" s="223"/>
      <c r="C265" s="227" t="s">
        <v>1005</v>
      </c>
      <c r="D265" s="244"/>
      <c r="E265" s="243" t="s">
        <v>921</v>
      </c>
      <c r="F265" s="245">
        <v>478176</v>
      </c>
      <c r="G265" s="243" t="s">
        <v>921</v>
      </c>
      <c r="H265" s="245">
        <v>534720</v>
      </c>
      <c r="I265" s="245">
        <f>H265-F265</f>
        <v>56544</v>
      </c>
    </row>
    <row r="266" spans="1:9">
      <c r="A266" s="875"/>
      <c r="B266" s="223"/>
      <c r="C266" s="227"/>
      <c r="D266" s="244"/>
      <c r="E266" s="229"/>
      <c r="F266" s="245"/>
      <c r="G266" s="229"/>
      <c r="H266" s="245"/>
      <c r="I266" s="245"/>
    </row>
    <row r="267" spans="1:9">
      <c r="A267" s="875"/>
      <c r="B267" s="223"/>
      <c r="C267" s="246" t="s">
        <v>1006</v>
      </c>
      <c r="D267" s="244"/>
      <c r="E267" s="229"/>
      <c r="F267" s="245"/>
      <c r="G267" s="229"/>
      <c r="H267" s="245"/>
      <c r="I267" s="245"/>
    </row>
    <row r="268" spans="1:9" ht="9" customHeight="1">
      <c r="A268" s="875"/>
      <c r="B268" s="223"/>
      <c r="C268" s="227"/>
      <c r="D268" s="244"/>
      <c r="E268" s="229"/>
      <c r="F268" s="245"/>
      <c r="G268" s="229"/>
      <c r="H268" s="245"/>
      <c r="I268" s="245"/>
    </row>
    <row r="269" spans="1:9">
      <c r="A269" s="875">
        <v>1525</v>
      </c>
      <c r="B269" s="1796">
        <v>1505</v>
      </c>
      <c r="C269" s="232" t="s">
        <v>1007</v>
      </c>
      <c r="D269" s="244"/>
      <c r="E269" s="240"/>
      <c r="F269" s="226"/>
      <c r="G269" s="240"/>
      <c r="H269" s="226"/>
      <c r="I269" s="226"/>
    </row>
    <row r="270" spans="1:9">
      <c r="A270" s="875"/>
      <c r="B270" s="1796"/>
      <c r="C270" s="227" t="s">
        <v>1008</v>
      </c>
      <c r="D270" s="244"/>
      <c r="E270" s="243" t="s">
        <v>901</v>
      </c>
      <c r="F270" s="245">
        <v>195084</v>
      </c>
      <c r="G270" s="243" t="s">
        <v>901</v>
      </c>
      <c r="H270" s="245">
        <v>206508</v>
      </c>
      <c r="I270" s="245">
        <f>H270-F270</f>
        <v>11424</v>
      </c>
    </row>
    <row r="271" spans="1:9" ht="7.5" customHeight="1">
      <c r="A271" s="875"/>
      <c r="B271" s="1796"/>
      <c r="C271" s="227"/>
      <c r="D271" s="244"/>
      <c r="E271" s="229"/>
      <c r="F271" s="245"/>
      <c r="G271" s="229"/>
      <c r="H271" s="245"/>
      <c r="I271" s="245"/>
    </row>
    <row r="272" spans="1:9">
      <c r="A272" s="875">
        <v>1526</v>
      </c>
      <c r="B272" s="1796">
        <v>1506</v>
      </c>
      <c r="C272" s="232" t="s">
        <v>930</v>
      </c>
      <c r="D272" s="244"/>
      <c r="E272" s="240"/>
      <c r="F272" s="226"/>
      <c r="G272" s="240"/>
      <c r="H272" s="226"/>
      <c r="I272" s="226"/>
    </row>
    <row r="273" spans="1:9">
      <c r="A273" s="875"/>
      <c r="B273" s="1796"/>
      <c r="C273" s="227" t="s">
        <v>1009</v>
      </c>
      <c r="D273" s="244"/>
      <c r="E273" s="243" t="s">
        <v>878</v>
      </c>
      <c r="F273" s="245">
        <v>157500</v>
      </c>
      <c r="G273" s="243" t="s">
        <v>878</v>
      </c>
      <c r="H273" s="245">
        <v>166236</v>
      </c>
      <c r="I273" s="245">
        <f>H273-F273</f>
        <v>8736</v>
      </c>
    </row>
    <row r="274" spans="1:9" ht="9" customHeight="1">
      <c r="A274" s="875"/>
      <c r="B274" s="1796"/>
      <c r="C274" s="227"/>
      <c r="D274" s="244"/>
      <c r="E274" s="240"/>
      <c r="F274" s="226"/>
      <c r="G274" s="240"/>
      <c r="H274" s="226"/>
      <c r="I274" s="245"/>
    </row>
    <row r="275" spans="1:9">
      <c r="A275" s="875">
        <v>1527</v>
      </c>
      <c r="B275" s="1796">
        <v>1507</v>
      </c>
      <c r="C275" s="232" t="s">
        <v>930</v>
      </c>
      <c r="D275" s="244"/>
      <c r="E275" s="240"/>
      <c r="F275" s="226"/>
      <c r="G275" s="240"/>
      <c r="H275" s="226"/>
      <c r="I275" s="226"/>
    </row>
    <row r="276" spans="1:9">
      <c r="A276" s="875"/>
      <c r="B276" s="1796"/>
      <c r="C276" s="227" t="s">
        <v>1010</v>
      </c>
      <c r="D276" s="244"/>
      <c r="E276" s="240" t="s">
        <v>856</v>
      </c>
      <c r="F276" s="226">
        <v>153456</v>
      </c>
      <c r="G276" s="240" t="s">
        <v>891</v>
      </c>
      <c r="H276" s="226">
        <v>164592</v>
      </c>
      <c r="I276" s="245">
        <f>H276-F276</f>
        <v>11136</v>
      </c>
    </row>
    <row r="277" spans="1:9" ht="9.75" customHeight="1">
      <c r="A277" s="875"/>
      <c r="B277" s="1796"/>
      <c r="C277" s="227"/>
      <c r="D277" s="244"/>
      <c r="E277" s="240"/>
      <c r="F277" s="226"/>
      <c r="G277" s="240"/>
      <c r="H277" s="226"/>
      <c r="I277" s="245"/>
    </row>
    <row r="278" spans="1:9">
      <c r="A278" s="875">
        <v>1528</v>
      </c>
      <c r="B278" s="1796">
        <v>1508</v>
      </c>
      <c r="C278" s="232" t="s">
        <v>930</v>
      </c>
      <c r="D278" s="244"/>
      <c r="E278" s="240"/>
      <c r="F278" s="226"/>
      <c r="G278" s="240"/>
      <c r="H278" s="226"/>
      <c r="I278" s="226"/>
    </row>
    <row r="279" spans="1:9">
      <c r="A279" s="875"/>
      <c r="B279" s="1796"/>
      <c r="C279" s="227" t="s">
        <v>1011</v>
      </c>
      <c r="D279" s="244"/>
      <c r="E279" s="240" t="s">
        <v>890</v>
      </c>
      <c r="F279" s="226">
        <v>149544</v>
      </c>
      <c r="G279" s="240" t="s">
        <v>890</v>
      </c>
      <c r="H279" s="226">
        <v>159744</v>
      </c>
      <c r="I279" s="245">
        <f>H279-F279</f>
        <v>10200</v>
      </c>
    </row>
    <row r="280" spans="1:9" ht="9" customHeight="1">
      <c r="A280" s="875"/>
      <c r="B280" s="1796"/>
      <c r="C280" s="227"/>
      <c r="D280" s="244"/>
      <c r="E280" s="240"/>
      <c r="F280" s="226"/>
      <c r="G280" s="240"/>
      <c r="H280" s="226"/>
      <c r="I280" s="245"/>
    </row>
    <row r="281" spans="1:9">
      <c r="A281" s="875">
        <v>1529</v>
      </c>
      <c r="B281" s="1796">
        <v>1509</v>
      </c>
      <c r="C281" s="232" t="s">
        <v>1012</v>
      </c>
      <c r="D281" s="244"/>
      <c r="E281" s="240"/>
      <c r="F281" s="226"/>
      <c r="G281" s="240"/>
      <c r="H281" s="226"/>
      <c r="I281" s="226"/>
    </row>
    <row r="282" spans="1:9">
      <c r="A282" s="875"/>
      <c r="B282" s="1796"/>
      <c r="C282" s="227" t="s">
        <v>1013</v>
      </c>
      <c r="D282" s="244"/>
      <c r="E282" s="240" t="s">
        <v>916</v>
      </c>
      <c r="F282" s="226">
        <v>151488</v>
      </c>
      <c r="G282" s="240" t="s">
        <v>916</v>
      </c>
      <c r="H282" s="226">
        <v>161340</v>
      </c>
      <c r="I282" s="245">
        <f>H282-F282</f>
        <v>9852</v>
      </c>
    </row>
    <row r="283" spans="1:9" ht="8.25" customHeight="1">
      <c r="A283" s="875"/>
      <c r="B283" s="1796"/>
      <c r="C283" s="227"/>
      <c r="D283" s="244"/>
      <c r="E283" s="240"/>
      <c r="F283" s="226"/>
      <c r="G283" s="240"/>
      <c r="H283" s="226"/>
      <c r="I283" s="245"/>
    </row>
    <row r="284" spans="1:9">
      <c r="A284" s="875">
        <v>1530</v>
      </c>
      <c r="B284" s="1796">
        <v>1510</v>
      </c>
      <c r="C284" s="224" t="s">
        <v>926</v>
      </c>
      <c r="D284" s="244"/>
      <c r="E284" s="237"/>
      <c r="F284" s="226"/>
      <c r="G284" s="237"/>
      <c r="H284" s="226"/>
      <c r="I284" s="226"/>
    </row>
    <row r="285" spans="1:9">
      <c r="A285" s="875"/>
      <c r="B285" s="1796"/>
      <c r="C285" s="227" t="s">
        <v>909</v>
      </c>
      <c r="D285" s="244"/>
      <c r="E285" s="243" t="s">
        <v>888</v>
      </c>
      <c r="F285" s="245">
        <v>124296</v>
      </c>
      <c r="G285" s="243" t="s">
        <v>888</v>
      </c>
      <c r="H285" s="245">
        <v>134172</v>
      </c>
      <c r="I285" s="245">
        <f>H285-F285</f>
        <v>9876</v>
      </c>
    </row>
    <row r="286" spans="1:9" ht="7.5" customHeight="1">
      <c r="A286" s="875"/>
      <c r="B286" s="1796"/>
      <c r="C286" s="227"/>
      <c r="D286" s="244"/>
      <c r="E286" s="243"/>
      <c r="F286" s="245"/>
      <c r="G286" s="243"/>
      <c r="H286" s="245"/>
      <c r="I286" s="245"/>
    </row>
    <row r="287" spans="1:9">
      <c r="A287" s="875">
        <v>1531</v>
      </c>
      <c r="B287" s="1796">
        <v>1511</v>
      </c>
      <c r="C287" s="224" t="s">
        <v>1014</v>
      </c>
      <c r="D287" s="244"/>
      <c r="E287" s="237"/>
      <c r="F287" s="226"/>
      <c r="G287" s="237"/>
      <c r="H287" s="226"/>
      <c r="I287" s="226"/>
    </row>
    <row r="288" spans="1:9">
      <c r="A288" s="875"/>
      <c r="B288" s="223"/>
      <c r="C288" s="227" t="s">
        <v>1015</v>
      </c>
      <c r="D288" s="244"/>
      <c r="E288" s="243" t="s">
        <v>858</v>
      </c>
      <c r="F288" s="245">
        <v>136020</v>
      </c>
      <c r="G288" s="243" t="s">
        <v>858</v>
      </c>
      <c r="H288" s="245">
        <v>143844</v>
      </c>
      <c r="I288" s="245">
        <f>H288-F288</f>
        <v>7824</v>
      </c>
    </row>
    <row r="289" spans="1:9" ht="9" customHeight="1">
      <c r="A289" s="875"/>
      <c r="B289" s="223"/>
      <c r="C289" s="227"/>
      <c r="D289" s="244"/>
      <c r="E289" s="243"/>
      <c r="F289" s="245"/>
      <c r="G289" s="243"/>
      <c r="H289" s="245"/>
      <c r="I289" s="245"/>
    </row>
    <row r="290" spans="1:9">
      <c r="A290" s="875">
        <v>1532</v>
      </c>
      <c r="B290" s="223">
        <v>1512</v>
      </c>
      <c r="C290" s="232" t="s">
        <v>948</v>
      </c>
      <c r="D290" s="244"/>
      <c r="E290" s="240"/>
      <c r="F290" s="226"/>
      <c r="G290" s="240"/>
      <c r="H290" s="226"/>
      <c r="I290" s="226"/>
    </row>
    <row r="291" spans="1:9">
      <c r="A291" s="223"/>
      <c r="B291" s="223"/>
      <c r="C291" s="227" t="s">
        <v>1016</v>
      </c>
      <c r="D291" s="244"/>
      <c r="E291" s="243" t="s">
        <v>885</v>
      </c>
      <c r="F291" s="245">
        <v>132540</v>
      </c>
      <c r="G291" s="243" t="s">
        <v>885</v>
      </c>
      <c r="H291" s="245">
        <v>141012</v>
      </c>
      <c r="I291" s="245">
        <f>H291-F291</f>
        <v>8472</v>
      </c>
    </row>
    <row r="292" spans="1:9" ht="12.75" customHeight="1" thickBot="1">
      <c r="A292" s="651"/>
      <c r="B292" s="651"/>
      <c r="C292" s="257"/>
      <c r="D292" s="653"/>
      <c r="E292" s="652"/>
      <c r="F292" s="654"/>
      <c r="G292" s="652"/>
      <c r="H292" s="654"/>
      <c r="I292" s="654"/>
    </row>
    <row r="293" spans="1:9" ht="12.75" customHeight="1">
      <c r="A293" s="214"/>
      <c r="C293" s="214"/>
      <c r="D293" s="214"/>
      <c r="E293" s="214"/>
      <c r="F293" s="214"/>
      <c r="G293" s="214"/>
      <c r="H293" s="214"/>
      <c r="I293" s="214"/>
    </row>
    <row r="294" spans="1:9" s="214" customFormat="1" ht="12" customHeight="1">
      <c r="A294" s="236"/>
      <c r="B294" s="237"/>
      <c r="C294" s="224"/>
      <c r="D294" s="224"/>
      <c r="E294" s="237"/>
      <c r="F294" s="238"/>
      <c r="G294" s="237"/>
      <c r="H294" s="238"/>
    </row>
    <row r="295" spans="1:9" s="214" customFormat="1" ht="12" customHeight="1">
      <c r="A295" s="236"/>
      <c r="B295" s="237"/>
      <c r="C295" s="224"/>
      <c r="D295" s="224"/>
      <c r="E295" s="237"/>
      <c r="F295" s="238"/>
      <c r="G295" s="237"/>
      <c r="H295" s="238"/>
    </row>
    <row r="296" spans="1:9" s="214" customFormat="1" ht="13.5" customHeight="1"/>
    <row r="297" spans="1:9" s="214" customFormat="1" ht="12" customHeight="1"/>
    <row r="298" spans="1:9" s="239" customFormat="1" ht="12" customHeight="1"/>
    <row r="299" spans="1:9" s="214" customFormat="1" ht="12" customHeight="1"/>
    <row r="300" spans="1:9">
      <c r="A300" s="214"/>
      <c r="B300" s="214"/>
      <c r="C300" s="214"/>
      <c r="D300" s="214"/>
      <c r="E300" s="214"/>
      <c r="F300" s="214"/>
      <c r="G300" s="214"/>
      <c r="H300" s="214"/>
      <c r="I300" s="214"/>
    </row>
    <row r="301" spans="1:9">
      <c r="A301" s="214"/>
      <c r="B301" s="214"/>
      <c r="C301" s="214"/>
      <c r="D301" s="214"/>
      <c r="E301" s="214"/>
      <c r="F301" s="214"/>
      <c r="G301" s="214"/>
      <c r="H301" s="214"/>
      <c r="I301" s="214"/>
    </row>
    <row r="302" spans="1:9">
      <c r="A302" s="214"/>
      <c r="C302" s="214"/>
      <c r="D302" s="214"/>
      <c r="E302" s="214"/>
      <c r="F302" s="214"/>
      <c r="G302" s="214"/>
      <c r="H302" s="214"/>
      <c r="I302" s="214"/>
    </row>
    <row r="303" spans="1:9">
      <c r="A303" s="214"/>
      <c r="C303" s="214"/>
      <c r="D303" s="214"/>
      <c r="E303" s="214"/>
      <c r="F303" s="214"/>
      <c r="G303" s="214"/>
      <c r="H303" s="214"/>
      <c r="I303" s="214"/>
    </row>
    <row r="304" spans="1:9" ht="13.8" thickBot="1">
      <c r="A304" s="269" t="s">
        <v>1017</v>
      </c>
      <c r="B304" s="276"/>
      <c r="C304" s="269"/>
      <c r="D304" s="269"/>
      <c r="E304" s="269"/>
      <c r="F304" s="269"/>
      <c r="G304" s="269"/>
      <c r="H304" s="269"/>
      <c r="I304" s="278"/>
    </row>
    <row r="305" spans="1:9">
      <c r="A305" s="270"/>
      <c r="B305" s="742"/>
      <c r="C305" s="272"/>
      <c r="D305" s="271"/>
      <c r="E305" s="15429" t="s">
        <v>842</v>
      </c>
      <c r="F305" s="15429"/>
      <c r="G305" s="15429" t="s">
        <v>842</v>
      </c>
      <c r="H305" s="15429"/>
      <c r="I305" s="740"/>
    </row>
    <row r="306" spans="1:9">
      <c r="A306" s="273" t="s">
        <v>843</v>
      </c>
      <c r="B306" s="228"/>
      <c r="C306" s="252" t="s">
        <v>844</v>
      </c>
      <c r="D306" s="256"/>
      <c r="E306" s="15430" t="s">
        <v>845</v>
      </c>
      <c r="F306" s="15430"/>
      <c r="G306" s="15430" t="s">
        <v>845</v>
      </c>
      <c r="H306" s="15430"/>
      <c r="I306" s="741" t="s">
        <v>849</v>
      </c>
    </row>
    <row r="307" spans="1:9">
      <c r="A307" s="273" t="s">
        <v>846</v>
      </c>
      <c r="B307" s="228"/>
      <c r="C307" s="252" t="s">
        <v>847</v>
      </c>
      <c r="D307" s="256"/>
      <c r="E307" s="15431" t="s">
        <v>939</v>
      </c>
      <c r="F307" s="15431"/>
      <c r="G307" s="15431" t="s">
        <v>3311</v>
      </c>
      <c r="H307" s="15431"/>
      <c r="I307" s="758"/>
    </row>
    <row r="308" spans="1:9">
      <c r="A308" s="650"/>
      <c r="B308" s="656"/>
      <c r="C308" s="252" t="s">
        <v>850</v>
      </c>
      <c r="D308" s="256"/>
      <c r="E308" s="237" t="s">
        <v>851</v>
      </c>
      <c r="F308" s="223"/>
      <c r="G308" s="237" t="s">
        <v>851</v>
      </c>
      <c r="H308" s="223"/>
      <c r="I308" s="223"/>
    </row>
    <row r="309" spans="1:9" ht="13.8" thickBot="1">
      <c r="A309" s="274" t="s">
        <v>852</v>
      </c>
      <c r="B309" s="274" t="s">
        <v>853</v>
      </c>
      <c r="C309" s="275"/>
      <c r="D309" s="655"/>
      <c r="E309" s="276" t="s">
        <v>854</v>
      </c>
      <c r="F309" s="651" t="s">
        <v>855</v>
      </c>
      <c r="G309" s="276" t="s">
        <v>854</v>
      </c>
      <c r="H309" s="651" t="s">
        <v>855</v>
      </c>
      <c r="I309" s="651" t="s">
        <v>855</v>
      </c>
    </row>
    <row r="310" spans="1:9" ht="9" customHeight="1">
      <c r="A310" s="223"/>
      <c r="B310" s="223"/>
      <c r="C310" s="227"/>
      <c r="D310" s="244"/>
      <c r="E310" s="243"/>
      <c r="F310" s="245"/>
      <c r="G310" s="243"/>
      <c r="H310" s="245"/>
      <c r="I310" s="245"/>
    </row>
    <row r="311" spans="1:9">
      <c r="A311" s="223"/>
      <c r="B311" s="223"/>
      <c r="C311" s="246" t="s">
        <v>1018</v>
      </c>
      <c r="D311" s="264"/>
      <c r="E311" s="281"/>
      <c r="F311" s="282"/>
      <c r="G311" s="240"/>
      <c r="H311" s="226"/>
      <c r="I311" s="245"/>
    </row>
    <row r="312" spans="1:9" ht="9.75" customHeight="1">
      <c r="A312" s="223"/>
      <c r="B312" s="223"/>
      <c r="C312" s="246"/>
      <c r="D312" s="264"/>
      <c r="E312" s="283"/>
      <c r="F312" s="250"/>
      <c r="G312" s="240"/>
      <c r="H312" s="226"/>
      <c r="I312" s="245"/>
    </row>
    <row r="313" spans="1:9">
      <c r="A313" s="875">
        <v>1533</v>
      </c>
      <c r="B313" s="1796">
        <v>1513</v>
      </c>
      <c r="C313" s="224" t="s">
        <v>926</v>
      </c>
      <c r="D313" s="244"/>
      <c r="E313" s="240"/>
      <c r="F313" s="226"/>
      <c r="G313" s="240"/>
      <c r="H313" s="226"/>
      <c r="I313" s="226"/>
    </row>
    <row r="314" spans="1:9">
      <c r="A314" s="875"/>
      <c r="B314" s="1796"/>
      <c r="C314" s="227" t="s">
        <v>1019</v>
      </c>
      <c r="D314" s="244"/>
      <c r="E314" s="240" t="s">
        <v>885</v>
      </c>
      <c r="F314" s="226">
        <v>132540</v>
      </c>
      <c r="G314" s="240" t="s">
        <v>919</v>
      </c>
      <c r="H314" s="226">
        <v>142428</v>
      </c>
      <c r="I314" s="245">
        <f>H314-F314</f>
        <v>9888</v>
      </c>
    </row>
    <row r="315" spans="1:9" ht="9.75" customHeight="1">
      <c r="A315" s="875"/>
      <c r="B315" s="1796"/>
      <c r="C315" s="227"/>
      <c r="D315" s="244"/>
      <c r="E315" s="243"/>
      <c r="F315" s="245"/>
      <c r="G315" s="243"/>
      <c r="H315" s="245"/>
      <c r="I315" s="245"/>
    </row>
    <row r="316" spans="1:9">
      <c r="A316" s="875">
        <v>1534</v>
      </c>
      <c r="B316" s="1796">
        <v>1514</v>
      </c>
      <c r="C316" s="224" t="s">
        <v>930</v>
      </c>
      <c r="D316" s="244"/>
      <c r="E316" s="229"/>
      <c r="F316" s="245"/>
      <c r="G316" s="229"/>
      <c r="H316" s="245"/>
      <c r="I316" s="245"/>
    </row>
    <row r="317" spans="1:9">
      <c r="A317" s="875"/>
      <c r="B317" s="1796"/>
      <c r="C317" s="227" t="s">
        <v>1020</v>
      </c>
      <c r="D317" s="244"/>
      <c r="E317" s="229" t="s">
        <v>878</v>
      </c>
      <c r="F317" s="245">
        <v>157500</v>
      </c>
      <c r="G317" s="229" t="s">
        <v>878</v>
      </c>
      <c r="H317" s="245">
        <v>166236</v>
      </c>
      <c r="I317" s="245">
        <f>H317-F317</f>
        <v>8736</v>
      </c>
    </row>
    <row r="318" spans="1:9" ht="9" customHeight="1">
      <c r="A318" s="875"/>
      <c r="B318" s="1796"/>
      <c r="C318" s="227"/>
      <c r="D318" s="244"/>
      <c r="E318" s="229"/>
      <c r="F318" s="245"/>
      <c r="G318" s="229"/>
      <c r="H318" s="245"/>
      <c r="I318" s="245"/>
    </row>
    <row r="319" spans="1:9">
      <c r="A319" s="875">
        <v>1535</v>
      </c>
      <c r="B319" s="1796">
        <v>1515</v>
      </c>
      <c r="C319" s="224" t="s">
        <v>926</v>
      </c>
      <c r="D319" s="244"/>
      <c r="E319" s="240"/>
      <c r="F319" s="226"/>
      <c r="G319" s="240"/>
      <c r="H319" s="226"/>
      <c r="I319" s="226"/>
    </row>
    <row r="320" spans="1:9">
      <c r="A320" s="875"/>
      <c r="B320" s="1796"/>
      <c r="C320" s="227" t="s">
        <v>1021</v>
      </c>
      <c r="D320" s="244"/>
      <c r="E320" s="243" t="s">
        <v>858</v>
      </c>
      <c r="F320" s="245">
        <v>136020</v>
      </c>
      <c r="G320" s="243" t="s">
        <v>858</v>
      </c>
      <c r="H320" s="245">
        <v>143844</v>
      </c>
      <c r="I320" s="245">
        <f>H320-F320</f>
        <v>7824</v>
      </c>
    </row>
    <row r="321" spans="1:9" ht="9.75" customHeight="1">
      <c r="A321" s="875"/>
      <c r="B321" s="1796"/>
      <c r="C321" s="246"/>
      <c r="D321" s="264"/>
      <c r="E321" s="243"/>
      <c r="F321" s="245"/>
      <c r="G321" s="243"/>
      <c r="H321" s="245"/>
      <c r="I321" s="245"/>
    </row>
    <row r="322" spans="1:9">
      <c r="A322" s="875">
        <v>1536</v>
      </c>
      <c r="B322" s="1796">
        <v>1516</v>
      </c>
      <c r="C322" s="232" t="s">
        <v>892</v>
      </c>
      <c r="D322" s="244"/>
      <c r="E322" s="240"/>
      <c r="F322" s="226"/>
      <c r="G322" s="240"/>
      <c r="H322" s="226"/>
      <c r="I322" s="226"/>
    </row>
    <row r="323" spans="1:9">
      <c r="A323" s="875"/>
      <c r="B323" s="223"/>
      <c r="C323" s="227" t="s">
        <v>1022</v>
      </c>
      <c r="D323" s="244"/>
      <c r="E323" s="243" t="s">
        <v>858</v>
      </c>
      <c r="F323" s="245">
        <v>136020</v>
      </c>
      <c r="G323" s="243" t="s">
        <v>858</v>
      </c>
      <c r="H323" s="245">
        <v>143844</v>
      </c>
      <c r="I323" s="245">
        <f>H323-F323</f>
        <v>7824</v>
      </c>
    </row>
    <row r="324" spans="1:9" ht="10.5" customHeight="1">
      <c r="A324" s="875"/>
      <c r="B324" s="223"/>
      <c r="C324" s="246"/>
      <c r="D324" s="264"/>
      <c r="E324" s="243"/>
      <c r="F324" s="245"/>
      <c r="G324" s="243"/>
      <c r="H324" s="245"/>
      <c r="I324" s="245"/>
    </row>
    <row r="325" spans="1:9">
      <c r="A325" s="875">
        <v>1537</v>
      </c>
      <c r="B325" s="223">
        <v>1517</v>
      </c>
      <c r="C325" s="224" t="s">
        <v>930</v>
      </c>
      <c r="D325" s="244"/>
      <c r="E325" s="229"/>
      <c r="F325" s="245"/>
      <c r="G325" s="229"/>
      <c r="H325" s="245"/>
      <c r="I325" s="245"/>
    </row>
    <row r="326" spans="1:9">
      <c r="A326" s="875"/>
      <c r="B326" s="223"/>
      <c r="C326" s="227" t="s">
        <v>3381</v>
      </c>
      <c r="D326" s="244"/>
      <c r="E326" s="229" t="s">
        <v>876</v>
      </c>
      <c r="F326" s="245">
        <v>143904</v>
      </c>
      <c r="G326" s="229" t="s">
        <v>876</v>
      </c>
      <c r="H326" s="245">
        <v>155052</v>
      </c>
      <c r="I326" s="245">
        <f>H326-F326</f>
        <v>11148</v>
      </c>
    </row>
    <row r="327" spans="1:9">
      <c r="A327" s="875"/>
      <c r="B327" s="223"/>
      <c r="C327" s="246"/>
      <c r="D327" s="264"/>
      <c r="E327" s="243"/>
      <c r="F327" s="245"/>
      <c r="G327" s="243"/>
      <c r="H327" s="245"/>
      <c r="I327" s="245"/>
    </row>
    <row r="328" spans="1:9">
      <c r="A328" s="875"/>
      <c r="B328" s="223"/>
      <c r="C328" s="246" t="s">
        <v>1023</v>
      </c>
      <c r="D328" s="264"/>
      <c r="E328" s="243"/>
      <c r="F328" s="245"/>
      <c r="G328" s="243"/>
      <c r="H328" s="245"/>
      <c r="I328" s="245"/>
    </row>
    <row r="329" spans="1:9" ht="10.5" customHeight="1">
      <c r="A329" s="875"/>
      <c r="B329" s="223"/>
      <c r="C329" s="227"/>
      <c r="D329" s="244"/>
      <c r="E329" s="240"/>
      <c r="F329" s="226"/>
      <c r="G329" s="240"/>
      <c r="H329" s="226"/>
      <c r="I329" s="245"/>
    </row>
    <row r="330" spans="1:9">
      <c r="A330" s="875">
        <v>1538</v>
      </c>
      <c r="B330" s="1796">
        <v>1518</v>
      </c>
      <c r="C330" s="232" t="s">
        <v>1024</v>
      </c>
      <c r="D330" s="244"/>
      <c r="E330" s="240"/>
      <c r="F330" s="226"/>
      <c r="G330" s="240"/>
      <c r="H330" s="226"/>
      <c r="I330" s="226"/>
    </row>
    <row r="331" spans="1:9">
      <c r="A331" s="875"/>
      <c r="B331" s="1796"/>
      <c r="C331" s="227" t="s">
        <v>1025</v>
      </c>
      <c r="D331" s="244"/>
      <c r="E331" s="240" t="s">
        <v>915</v>
      </c>
      <c r="F331" s="226">
        <v>187668</v>
      </c>
      <c r="G331" s="240" t="s">
        <v>915</v>
      </c>
      <c r="H331" s="226">
        <v>200436</v>
      </c>
      <c r="I331" s="245">
        <f>H331-F331</f>
        <v>12768</v>
      </c>
    </row>
    <row r="332" spans="1:9" ht="9" customHeight="1">
      <c r="A332" s="875"/>
      <c r="B332" s="1796"/>
      <c r="C332" s="227"/>
      <c r="D332" s="244"/>
      <c r="E332" s="240"/>
      <c r="F332" s="226"/>
      <c r="G332" s="240"/>
      <c r="H332" s="226"/>
      <c r="I332" s="245"/>
    </row>
    <row r="333" spans="1:9">
      <c r="A333" s="875">
        <v>1539</v>
      </c>
      <c r="B333" s="1796">
        <v>1519</v>
      </c>
      <c r="C333" s="232" t="s">
        <v>930</v>
      </c>
      <c r="D333" s="244"/>
      <c r="E333" s="240"/>
      <c r="F333" s="226"/>
      <c r="G333" s="240"/>
      <c r="H333" s="226"/>
      <c r="I333" s="226"/>
    </row>
    <row r="334" spans="1:9">
      <c r="A334" s="875"/>
      <c r="B334" s="1796"/>
      <c r="C334" s="227" t="s">
        <v>1026</v>
      </c>
      <c r="D334" s="244"/>
      <c r="E334" s="240" t="s">
        <v>856</v>
      </c>
      <c r="F334" s="226">
        <v>153456</v>
      </c>
      <c r="G334" s="240" t="s">
        <v>891</v>
      </c>
      <c r="H334" s="226">
        <v>164592</v>
      </c>
      <c r="I334" s="245">
        <f>H334-F334</f>
        <v>11136</v>
      </c>
    </row>
    <row r="335" spans="1:9" ht="9" customHeight="1">
      <c r="A335" s="875"/>
      <c r="B335" s="1796"/>
      <c r="C335" s="227"/>
      <c r="D335" s="244"/>
      <c r="E335" s="240"/>
      <c r="F335" s="226"/>
      <c r="G335" s="240"/>
      <c r="H335" s="226"/>
      <c r="I335" s="245"/>
    </row>
    <row r="336" spans="1:9">
      <c r="A336" s="875">
        <v>1540</v>
      </c>
      <c r="B336" s="1796">
        <v>1520</v>
      </c>
      <c r="C336" s="224" t="s">
        <v>930</v>
      </c>
      <c r="D336" s="244"/>
      <c r="E336" s="248"/>
      <c r="F336" s="226"/>
      <c r="G336" s="248"/>
      <c r="H336" s="226"/>
      <c r="I336" s="245"/>
    </row>
    <row r="337" spans="1:9">
      <c r="A337" s="875"/>
      <c r="B337" s="1796"/>
      <c r="C337" s="227" t="s">
        <v>1027</v>
      </c>
      <c r="D337" s="244"/>
      <c r="E337" s="248" t="s">
        <v>916</v>
      </c>
      <c r="F337" s="226">
        <v>151488</v>
      </c>
      <c r="G337" s="248" t="s">
        <v>916</v>
      </c>
      <c r="H337" s="226">
        <v>161340</v>
      </c>
      <c r="I337" s="245">
        <f>H337-F337</f>
        <v>9852</v>
      </c>
    </row>
    <row r="338" spans="1:9" ht="7.5" customHeight="1">
      <c r="A338" s="875"/>
      <c r="B338" s="1796"/>
      <c r="C338" s="224"/>
      <c r="D338" s="244"/>
      <c r="E338" s="240"/>
      <c r="F338" s="226"/>
      <c r="G338" s="240"/>
      <c r="H338" s="226"/>
      <c r="I338" s="226"/>
    </row>
    <row r="339" spans="1:9">
      <c r="A339" s="875">
        <v>1541</v>
      </c>
      <c r="B339" s="1796">
        <v>1521</v>
      </c>
      <c r="C339" s="224" t="s">
        <v>926</v>
      </c>
      <c r="D339" s="244"/>
      <c r="E339" s="240"/>
      <c r="F339" s="226"/>
      <c r="G339" s="240"/>
      <c r="H339" s="226"/>
      <c r="I339" s="226"/>
    </row>
    <row r="340" spans="1:9">
      <c r="A340" s="875"/>
      <c r="B340" s="1796"/>
      <c r="C340" s="227" t="s">
        <v>1028</v>
      </c>
      <c r="D340" s="244"/>
      <c r="E340" s="240" t="s">
        <v>863</v>
      </c>
      <c r="F340" s="226">
        <v>129156</v>
      </c>
      <c r="G340" s="243" t="s">
        <v>864</v>
      </c>
      <c r="H340" s="226">
        <v>139620</v>
      </c>
      <c r="I340" s="245">
        <f>H340-F340</f>
        <v>10464</v>
      </c>
    </row>
    <row r="341" spans="1:9" ht="9.75" customHeight="1">
      <c r="A341" s="875"/>
      <c r="B341" s="1796"/>
      <c r="C341" s="232"/>
      <c r="D341" s="256"/>
      <c r="E341" s="240"/>
      <c r="F341" s="226"/>
      <c r="G341" s="240"/>
      <c r="H341" s="226"/>
      <c r="I341" s="226"/>
    </row>
    <row r="342" spans="1:9">
      <c r="A342" s="875">
        <v>1542</v>
      </c>
      <c r="B342" s="1796">
        <v>1522</v>
      </c>
      <c r="C342" s="224" t="s">
        <v>926</v>
      </c>
      <c r="D342" s="244"/>
      <c r="E342" s="240"/>
      <c r="F342" s="226"/>
      <c r="G342" s="240"/>
      <c r="H342" s="226"/>
      <c r="I342" s="226"/>
    </row>
    <row r="343" spans="1:9">
      <c r="A343" s="875"/>
      <c r="B343" s="223"/>
      <c r="C343" s="227" t="s">
        <v>1029</v>
      </c>
      <c r="D343" s="244"/>
      <c r="E343" s="243" t="s">
        <v>864</v>
      </c>
      <c r="F343" s="226">
        <v>130848</v>
      </c>
      <c r="G343" s="243" t="s">
        <v>864</v>
      </c>
      <c r="H343" s="226">
        <v>139620</v>
      </c>
      <c r="I343" s="245">
        <f>H343-F343</f>
        <v>8772</v>
      </c>
    </row>
    <row r="344" spans="1:9" ht="9" customHeight="1">
      <c r="A344" s="875"/>
      <c r="B344" s="223"/>
      <c r="C344" s="232"/>
      <c r="D344" s="244"/>
      <c r="E344" s="240"/>
      <c r="F344" s="226"/>
      <c r="G344" s="240"/>
      <c r="H344" s="226"/>
      <c r="I344" s="226"/>
    </row>
    <row r="345" spans="1:9">
      <c r="A345" s="875">
        <v>1543</v>
      </c>
      <c r="B345" s="223">
        <v>1523</v>
      </c>
      <c r="C345" s="232" t="s">
        <v>1030</v>
      </c>
      <c r="D345" s="244"/>
      <c r="E345" s="240"/>
      <c r="F345" s="226"/>
      <c r="G345" s="240"/>
      <c r="H345" s="226"/>
      <c r="I345" s="226"/>
    </row>
    <row r="346" spans="1:9">
      <c r="A346" s="875"/>
      <c r="B346" s="223"/>
      <c r="C346" s="227" t="s">
        <v>1031</v>
      </c>
      <c r="D346" s="244"/>
      <c r="E346" s="243" t="s">
        <v>863</v>
      </c>
      <c r="F346" s="226">
        <v>129156</v>
      </c>
      <c r="G346" s="243" t="s">
        <v>864</v>
      </c>
      <c r="H346" s="226">
        <v>139620</v>
      </c>
      <c r="I346" s="245">
        <f>H346-F346</f>
        <v>10464</v>
      </c>
    </row>
    <row r="347" spans="1:9" ht="12" customHeight="1">
      <c r="A347" s="875"/>
      <c r="B347" s="223"/>
      <c r="C347" s="227"/>
      <c r="D347" s="244"/>
      <c r="E347" s="243"/>
      <c r="F347" s="245"/>
      <c r="G347" s="243"/>
      <c r="H347" s="245"/>
      <c r="I347" s="245"/>
    </row>
    <row r="348" spans="1:9" ht="12" customHeight="1">
      <c r="A348" s="875"/>
      <c r="B348" s="223"/>
      <c r="C348" s="227"/>
      <c r="D348" s="244"/>
      <c r="E348" s="243"/>
      <c r="F348" s="245"/>
      <c r="G348" s="243"/>
      <c r="H348" s="245"/>
      <c r="I348" s="245"/>
    </row>
    <row r="349" spans="1:9" ht="12" customHeight="1">
      <c r="A349" s="223"/>
      <c r="B349" s="223"/>
      <c r="C349" s="227"/>
      <c r="D349" s="244"/>
      <c r="E349" s="243"/>
      <c r="F349" s="245"/>
      <c r="G349" s="243"/>
      <c r="H349" s="245"/>
      <c r="I349" s="245"/>
    </row>
    <row r="350" spans="1:9" ht="12" customHeight="1">
      <c r="A350" s="223"/>
      <c r="B350" s="223"/>
      <c r="C350" s="227"/>
      <c r="D350" s="244"/>
      <c r="E350" s="243"/>
      <c r="F350" s="245"/>
      <c r="G350" s="243"/>
      <c r="H350" s="245"/>
      <c r="I350" s="245"/>
    </row>
    <row r="351" spans="1:9" ht="12" customHeight="1">
      <c r="A351" s="223"/>
      <c r="B351" s="223"/>
      <c r="C351" s="227"/>
      <c r="D351" s="244"/>
      <c r="E351" s="243"/>
      <c r="F351" s="245"/>
      <c r="G351" s="243"/>
      <c r="H351" s="245"/>
      <c r="I351" s="245"/>
    </row>
    <row r="352" spans="1:9" ht="12" customHeight="1">
      <c r="A352" s="223"/>
      <c r="B352" s="223"/>
      <c r="C352" s="227"/>
      <c r="D352" s="244"/>
      <c r="E352" s="243"/>
      <c r="F352" s="245"/>
      <c r="G352" s="243"/>
      <c r="H352" s="245"/>
      <c r="I352" s="245"/>
    </row>
    <row r="353" spans="1:9" ht="12" customHeight="1">
      <c r="A353" s="223"/>
      <c r="B353" s="223"/>
      <c r="C353" s="227"/>
      <c r="D353" s="244"/>
      <c r="E353" s="243"/>
      <c r="F353" s="245"/>
      <c r="G353" s="243"/>
      <c r="H353" s="245"/>
      <c r="I353" s="245"/>
    </row>
    <row r="354" spans="1:9" ht="12" customHeight="1">
      <c r="A354" s="223"/>
      <c r="B354" s="223"/>
      <c r="C354" s="227"/>
      <c r="D354" s="244"/>
      <c r="E354" s="243"/>
      <c r="F354" s="245"/>
      <c r="G354" s="243"/>
      <c r="H354" s="245"/>
      <c r="I354" s="245"/>
    </row>
    <row r="355" spans="1:9" ht="12" customHeight="1">
      <c r="A355" s="223"/>
      <c r="B355" s="223"/>
      <c r="C355" s="227"/>
      <c r="D355" s="244"/>
      <c r="E355" s="243"/>
      <c r="F355" s="245"/>
      <c r="G355" s="243"/>
      <c r="H355" s="245"/>
      <c r="I355" s="245"/>
    </row>
    <row r="356" spans="1:9" ht="12" customHeight="1">
      <c r="A356" s="223"/>
      <c r="B356" s="223"/>
      <c r="C356" s="227"/>
      <c r="D356" s="244"/>
      <c r="E356" s="243"/>
      <c r="F356" s="245"/>
      <c r="G356" s="243"/>
      <c r="H356" s="245"/>
      <c r="I356" s="245"/>
    </row>
    <row r="357" spans="1:9" ht="27.75" customHeight="1">
      <c r="A357" s="753"/>
      <c r="B357" s="753"/>
      <c r="C357" s="15427" t="s">
        <v>893</v>
      </c>
      <c r="D357" s="15428"/>
      <c r="E357" s="755"/>
      <c r="F357" s="754">
        <f>SUM(F14:F64,F82:F139,F158:F217,F236:F292,F311:F356)</f>
        <v>13152492</v>
      </c>
      <c r="G357" s="759"/>
      <c r="H357" s="754">
        <f>SUM(H14:H64,H82:H139,H158:H217,H236:H292,H311:H356)</f>
        <v>14183700</v>
      </c>
      <c r="I357" s="754">
        <f>SUM(I14:I64,I82:I139,I158:I217,I236:I292,I311:I356)</f>
        <v>1031208</v>
      </c>
    </row>
    <row r="358" spans="1:9">
      <c r="A358" s="214"/>
      <c r="C358" s="214"/>
      <c r="D358" s="224"/>
      <c r="E358" s="237"/>
      <c r="F358" s="238"/>
      <c r="G358" s="237"/>
      <c r="H358" s="238"/>
      <c r="I358" s="214"/>
    </row>
    <row r="359" spans="1:9" s="214" customFormat="1" ht="12" customHeight="1">
      <c r="A359" s="236"/>
      <c r="B359" s="237"/>
      <c r="C359" s="224"/>
      <c r="D359" s="224"/>
      <c r="E359" s="237"/>
      <c r="F359" s="238"/>
      <c r="G359" s="237"/>
      <c r="H359" s="238"/>
    </row>
    <row r="360" spans="1:9" s="214" customFormat="1" ht="12" customHeight="1">
      <c r="A360" s="236"/>
      <c r="B360" s="237"/>
      <c r="C360" s="224"/>
      <c r="D360" s="224"/>
      <c r="E360" s="237"/>
      <c r="F360" s="238"/>
      <c r="G360" s="237"/>
      <c r="H360" s="238"/>
    </row>
    <row r="361" spans="1:9" s="214" customFormat="1" ht="12.75" customHeight="1"/>
    <row r="362" spans="1:9" s="214" customFormat="1" ht="12" customHeight="1"/>
    <row r="363" spans="1:9" s="239" customFormat="1" ht="12" customHeight="1"/>
    <row r="364" spans="1:9" s="214" customFormat="1" ht="12" customHeight="1"/>
    <row r="365" spans="1:9">
      <c r="A365" s="214"/>
      <c r="B365" s="214"/>
      <c r="C365" s="214"/>
      <c r="D365" s="214"/>
      <c r="E365" s="214"/>
      <c r="F365" s="214"/>
      <c r="G365" s="214"/>
      <c r="H365" s="214"/>
      <c r="I365" s="214"/>
    </row>
  </sheetData>
  <mergeCells count="32">
    <mergeCell ref="E10:F10"/>
    <mergeCell ref="G10:H10"/>
    <mergeCell ref="A1:I1"/>
    <mergeCell ref="E8:F8"/>
    <mergeCell ref="G8:H8"/>
    <mergeCell ref="E9:F9"/>
    <mergeCell ref="G9:H9"/>
    <mergeCell ref="E77:F77"/>
    <mergeCell ref="G77:H77"/>
    <mergeCell ref="E78:F78"/>
    <mergeCell ref="G78:H78"/>
    <mergeCell ref="E79:F79"/>
    <mergeCell ref="G79:H79"/>
    <mergeCell ref="E153:F153"/>
    <mergeCell ref="G153:H153"/>
    <mergeCell ref="E154:F154"/>
    <mergeCell ref="G154:H154"/>
    <mergeCell ref="E155:F155"/>
    <mergeCell ref="G155:H155"/>
    <mergeCell ref="E229:F229"/>
    <mergeCell ref="G229:H229"/>
    <mergeCell ref="E230:F230"/>
    <mergeCell ref="G230:H230"/>
    <mergeCell ref="E231:F231"/>
    <mergeCell ref="G231:H231"/>
    <mergeCell ref="C357:D357"/>
    <mergeCell ref="E305:F305"/>
    <mergeCell ref="G305:H305"/>
    <mergeCell ref="E306:F306"/>
    <mergeCell ref="G306:H306"/>
    <mergeCell ref="E307:F307"/>
    <mergeCell ref="G307:H307"/>
  </mergeCells>
  <printOptions horizontalCentered="1" gridLinesSet="0"/>
  <pageMargins left="0.5" right="0.25" top="0.75" bottom="1.25" header="0.5" footer="1.5"/>
  <pageSetup paperSize="5" firstPageNumber="387" orientation="portrait" useFirstPageNumber="1" r:id="rId1"/>
  <headerFooter alignWithMargins="0">
    <oddFooter>&amp;C&amp;"-,Bold"&amp;12&amp;P</oddFooter>
  </headerFooter>
</worksheet>
</file>

<file path=xl/worksheets/sheet191.xml><?xml version="1.0" encoding="utf-8"?>
<worksheet xmlns="http://schemas.openxmlformats.org/spreadsheetml/2006/main" xmlns:r="http://schemas.openxmlformats.org/officeDocument/2006/relationships">
  <sheetPr codeName="Sheet143">
    <tabColor rgb="FFF329E9"/>
  </sheetPr>
  <dimension ref="A1:S475"/>
  <sheetViews>
    <sheetView showGridLines="0" workbookViewId="0">
      <selection activeCell="L1" sqref="L1:R1048576"/>
    </sheetView>
  </sheetViews>
  <sheetFormatPr defaultColWidth="9.109375" defaultRowHeight="14.25" customHeight="1"/>
  <cols>
    <col min="1" max="1" width="3.44140625" style="7732" customWidth="1"/>
    <col min="2" max="2" width="55.5546875" style="7732" customWidth="1"/>
    <col min="3" max="3" width="17.33203125" style="10649" hidden="1" customWidth="1"/>
    <col min="4" max="4" width="12.5546875" style="10125" customWidth="1"/>
    <col min="5" max="6" width="17.5546875" style="7760" customWidth="1"/>
    <col min="7" max="7" width="20" style="7760" customWidth="1"/>
    <col min="8" max="8" width="19.109375" style="10081" customWidth="1"/>
    <col min="9" max="9" width="17.88671875" style="10081" hidden="1" customWidth="1"/>
    <col min="10" max="10" width="9" style="8194" hidden="1" customWidth="1"/>
    <col min="11" max="11" width="17.6640625" style="10081" customWidth="1"/>
    <col min="12" max="12" width="30.44140625" style="10081" hidden="1" customWidth="1"/>
    <col min="13" max="13" width="15.88671875" style="7760" hidden="1" customWidth="1"/>
    <col min="14" max="14" width="14.44140625" style="8885" hidden="1" customWidth="1"/>
    <col min="15" max="16" width="15.44140625" style="7760" hidden="1" customWidth="1"/>
    <col min="17" max="17" width="14.44140625" style="7732" hidden="1" customWidth="1"/>
    <col min="18" max="18" width="16.109375" style="7732" hidden="1" customWidth="1"/>
    <col min="19" max="16384" width="9.109375" style="7732"/>
  </cols>
  <sheetData>
    <row r="1" spans="1:16" s="10033" customFormat="1" ht="14.25" customHeight="1">
      <c r="A1" s="15433" t="s">
        <v>1</v>
      </c>
      <c r="B1" s="15433"/>
      <c r="C1" s="15433"/>
      <c r="D1" s="15433"/>
      <c r="E1" s="15433"/>
      <c r="F1" s="15433"/>
      <c r="G1" s="15433"/>
      <c r="H1" s="15433"/>
      <c r="I1" s="15433"/>
      <c r="J1" s="15433"/>
      <c r="K1" s="15433"/>
      <c r="L1" s="13967"/>
      <c r="M1" s="10031"/>
      <c r="N1" s="10032"/>
      <c r="O1" s="10031"/>
      <c r="P1" s="10031"/>
    </row>
    <row r="2" spans="1:16" s="10033" customFormat="1" ht="14.25" customHeight="1">
      <c r="A2" s="10034"/>
      <c r="B2" s="10599"/>
      <c r="C2" s="10611"/>
      <c r="D2" s="10035"/>
      <c r="E2" s="10036"/>
      <c r="F2" s="10036"/>
      <c r="G2" s="10036"/>
      <c r="H2" s="10037"/>
      <c r="I2" s="10037"/>
      <c r="J2" s="8172"/>
      <c r="K2" s="10037"/>
      <c r="L2" s="10037"/>
      <c r="M2" s="10031"/>
      <c r="N2" s="10032"/>
      <c r="O2" s="10031"/>
      <c r="P2" s="10031"/>
    </row>
    <row r="3" spans="1:16" s="10033" customFormat="1" ht="14.25" customHeight="1">
      <c r="A3" s="10034"/>
      <c r="B3" s="10599"/>
      <c r="C3" s="10611"/>
      <c r="D3" s="10035" t="s">
        <v>259</v>
      </c>
      <c r="E3" s="10036"/>
      <c r="F3" s="10036"/>
      <c r="G3" s="10036"/>
      <c r="H3" s="15437"/>
      <c r="I3" s="10037"/>
      <c r="J3" s="8172"/>
      <c r="K3" s="15436"/>
      <c r="L3" s="13970"/>
      <c r="M3" s="10031"/>
      <c r="N3" s="10032"/>
      <c r="O3" s="10031"/>
      <c r="P3" s="10031"/>
    </row>
    <row r="4" spans="1:16" s="10033" customFormat="1" ht="14.25" customHeight="1">
      <c r="A4" s="10034" t="s">
        <v>4</v>
      </c>
      <c r="B4" s="10599"/>
      <c r="C4" s="10611"/>
      <c r="D4" s="10035" t="s">
        <v>325</v>
      </c>
      <c r="E4" s="10036"/>
      <c r="F4" s="10036"/>
      <c r="G4" s="10036"/>
      <c r="H4" s="15437"/>
      <c r="I4" s="10037"/>
      <c r="J4" s="8172"/>
      <c r="K4" s="15436"/>
      <c r="L4" s="13970"/>
      <c r="M4" s="10031"/>
      <c r="N4" s="10032"/>
      <c r="O4" s="10031"/>
      <c r="P4" s="10031"/>
    </row>
    <row r="5" spans="1:16" s="10033" customFormat="1" ht="26.25" customHeight="1" thickBot="1">
      <c r="A5" s="10038" t="s">
        <v>7</v>
      </c>
      <c r="B5" s="7730"/>
      <c r="C5" s="10612"/>
      <c r="D5" s="10039" t="s">
        <v>8</v>
      </c>
      <c r="E5" s="10040"/>
      <c r="F5" s="10040"/>
      <c r="G5" s="10040"/>
      <c r="H5" s="10041"/>
      <c r="I5" s="10041"/>
      <c r="J5" s="8187"/>
      <c r="K5" s="10041"/>
      <c r="L5" s="10041"/>
      <c r="M5" s="10031"/>
      <c r="N5" s="10032"/>
      <c r="O5" s="10031"/>
      <c r="P5" s="10031"/>
    </row>
    <row r="6" spans="1:16" s="10033" customFormat="1" ht="14.25" customHeight="1">
      <c r="A6" s="13234"/>
      <c r="B6" s="13235"/>
      <c r="C6" s="10613"/>
      <c r="D6" s="10042" t="s">
        <v>103</v>
      </c>
      <c r="E6" s="10614" t="s">
        <v>10</v>
      </c>
      <c r="F6" s="14188" t="s">
        <v>10711</v>
      </c>
      <c r="G6" s="14189"/>
      <c r="H6" s="14190"/>
      <c r="I6" s="10660" t="s">
        <v>9985</v>
      </c>
      <c r="J6" s="8206"/>
      <c r="K6" s="13236" t="s">
        <v>326</v>
      </c>
      <c r="L6" s="10044"/>
      <c r="M6" s="10031"/>
      <c r="N6" s="10032"/>
      <c r="O6" s="10031" t="s">
        <v>326</v>
      </c>
      <c r="P6" s="10031" t="s">
        <v>326</v>
      </c>
    </row>
    <row r="7" spans="1:16" s="10033" customFormat="1" ht="14.25" customHeight="1">
      <c r="A7" s="13237"/>
      <c r="B7" s="10039" t="s">
        <v>13</v>
      </c>
      <c r="C7" s="10615"/>
      <c r="D7" s="10062" t="s">
        <v>94</v>
      </c>
      <c r="E7" s="13238" t="s">
        <v>15</v>
      </c>
      <c r="F7" s="13964" t="s">
        <v>10709</v>
      </c>
      <c r="G7" s="13966" t="s">
        <v>10710</v>
      </c>
      <c r="H7" s="14191" t="s">
        <v>458</v>
      </c>
      <c r="I7" s="13239">
        <v>2018</v>
      </c>
      <c r="J7" s="13240"/>
      <c r="K7" s="13241" t="s">
        <v>16</v>
      </c>
      <c r="L7" s="10044"/>
      <c r="M7" s="10031"/>
      <c r="N7" s="10032"/>
      <c r="O7" s="10031" t="s">
        <v>16</v>
      </c>
      <c r="P7" s="10031" t="s">
        <v>16</v>
      </c>
    </row>
    <row r="8" spans="1:16" s="10033" customFormat="1" ht="18" customHeight="1" thickBot="1">
      <c r="A8" s="13242"/>
      <c r="B8" s="10045"/>
      <c r="C8" s="10616"/>
      <c r="D8" s="13243"/>
      <c r="E8" s="8179">
        <v>2017</v>
      </c>
      <c r="F8" s="13965" t="s">
        <v>457</v>
      </c>
      <c r="G8" s="9404" t="s">
        <v>456</v>
      </c>
      <c r="H8" s="14192"/>
      <c r="I8" s="7486" t="s">
        <v>11904</v>
      </c>
      <c r="J8" s="7700"/>
      <c r="K8" s="13244">
        <v>2019</v>
      </c>
      <c r="L8" s="10046"/>
      <c r="M8" s="10031"/>
      <c r="N8" s="10032"/>
      <c r="O8" s="10047">
        <v>2014</v>
      </c>
      <c r="P8" s="10047">
        <v>2015</v>
      </c>
    </row>
    <row r="9" spans="1:16" ht="14.25" customHeight="1">
      <c r="A9" s="13245" t="s">
        <v>51</v>
      </c>
      <c r="B9" s="10048" t="s">
        <v>112</v>
      </c>
      <c r="C9" s="10617"/>
      <c r="D9" s="13246"/>
      <c r="E9" s="10049"/>
      <c r="F9" s="10049"/>
      <c r="G9" s="10049"/>
      <c r="H9" s="13247"/>
      <c r="I9" s="13247"/>
      <c r="J9" s="13248"/>
      <c r="K9" s="13249"/>
      <c r="L9" s="10050"/>
    </row>
    <row r="10" spans="1:16" ht="14.25" customHeight="1">
      <c r="A10" s="13245"/>
      <c r="B10" s="10048"/>
      <c r="C10" s="10617"/>
      <c r="D10" s="13250"/>
      <c r="E10" s="10108"/>
      <c r="F10" s="10108"/>
      <c r="G10" s="10108"/>
      <c r="H10" s="10109"/>
      <c r="I10" s="10109"/>
      <c r="J10" s="10110"/>
      <c r="K10" s="13251"/>
      <c r="L10" s="10050"/>
    </row>
    <row r="11" spans="1:16" ht="15" customHeight="1">
      <c r="A11" s="13245"/>
      <c r="B11" s="10048" t="s">
        <v>3048</v>
      </c>
      <c r="C11" s="10617"/>
      <c r="D11" s="13250"/>
      <c r="E11" s="10108"/>
      <c r="F11" s="10108">
        <v>0</v>
      </c>
      <c r="G11" s="10206">
        <f>H11-F11</f>
        <v>440000000</v>
      </c>
      <c r="H11" s="10109">
        <v>440000000</v>
      </c>
      <c r="I11" s="10109">
        <v>0</v>
      </c>
      <c r="J11" s="10110"/>
      <c r="K11" s="13251"/>
      <c r="L11" s="10050"/>
    </row>
    <row r="12" spans="1:16" ht="15" customHeight="1">
      <c r="A12" s="13245"/>
      <c r="B12" s="10048"/>
      <c r="C12" s="10617"/>
      <c r="D12" s="13250"/>
      <c r="E12" s="10108"/>
      <c r="F12" s="10108"/>
      <c r="G12" s="10108"/>
      <c r="H12" s="10109"/>
      <c r="I12" s="10109"/>
      <c r="J12" s="10110"/>
      <c r="K12" s="13251"/>
      <c r="L12" s="10050"/>
    </row>
    <row r="13" spans="1:16" s="10033" customFormat="1" ht="22.5" customHeight="1">
      <c r="A13" s="13252"/>
      <c r="B13" s="10052" t="s">
        <v>327</v>
      </c>
      <c r="C13" s="10615"/>
      <c r="D13" s="10062"/>
      <c r="E13" s="13253">
        <f>SUM(E11:E11)</f>
        <v>0</v>
      </c>
      <c r="F13" s="13254">
        <f>SUM(F11:F11)</f>
        <v>0</v>
      </c>
      <c r="G13" s="13254">
        <f>SUM(G11:G11)</f>
        <v>440000000</v>
      </c>
      <c r="H13" s="13254">
        <f>SUM(H11:H11)</f>
        <v>440000000</v>
      </c>
      <c r="I13" s="13255"/>
      <c r="J13" s="11603"/>
      <c r="K13" s="13256">
        <f>SUM(K11:K11)</f>
        <v>0</v>
      </c>
      <c r="L13" s="10041"/>
      <c r="M13" s="10031"/>
      <c r="N13" s="10032"/>
      <c r="O13" s="10031">
        <v>0</v>
      </c>
      <c r="P13" s="10031">
        <v>0</v>
      </c>
    </row>
    <row r="14" spans="1:16" ht="14.25" customHeight="1">
      <c r="A14" s="11472"/>
      <c r="B14" s="10052"/>
      <c r="C14" s="10618"/>
      <c r="D14" s="10068"/>
      <c r="E14" s="10108"/>
      <c r="F14" s="10108"/>
      <c r="G14" s="10108"/>
      <c r="H14" s="13257"/>
      <c r="I14" s="13257"/>
      <c r="J14" s="13258"/>
      <c r="K14" s="13259"/>
      <c r="L14" s="10050"/>
    </row>
    <row r="15" spans="1:16" ht="14.25" customHeight="1">
      <c r="A15" s="11472" t="s">
        <v>53</v>
      </c>
      <c r="B15" s="10048" t="s">
        <v>328</v>
      </c>
      <c r="C15" s="10617"/>
      <c r="D15" s="10068"/>
      <c r="E15" s="10206"/>
      <c r="F15" s="10206"/>
      <c r="G15" s="10206"/>
      <c r="H15" s="10109" t="s">
        <v>9</v>
      </c>
      <c r="I15" s="10109"/>
      <c r="J15" s="10110"/>
      <c r="K15" s="13251" t="s">
        <v>9</v>
      </c>
      <c r="L15" s="10050"/>
      <c r="O15" s="7760" t="s">
        <v>9</v>
      </c>
      <c r="P15" s="7760" t="s">
        <v>9</v>
      </c>
    </row>
    <row r="16" spans="1:16" ht="15.9" customHeight="1">
      <c r="A16" s="12226"/>
      <c r="B16" s="10048" t="s">
        <v>329</v>
      </c>
      <c r="C16" s="10617"/>
      <c r="D16" s="10068">
        <v>1919</v>
      </c>
      <c r="E16" s="10108">
        <v>87123525.909999996</v>
      </c>
      <c r="F16" s="10108">
        <v>24077929.59</v>
      </c>
      <c r="G16" s="10206">
        <f>H16-F16</f>
        <v>343530566.81</v>
      </c>
      <c r="H16" s="10109">
        <v>367608496.39999998</v>
      </c>
      <c r="I16" s="10053"/>
      <c r="J16" s="10662">
        <f>I16/H16</f>
        <v>0</v>
      </c>
      <c r="K16" s="13251">
        <f>'STATEMENT OF RECEIPTS'!N29</f>
        <v>404379576.20000005</v>
      </c>
      <c r="L16" s="10050"/>
      <c r="M16" s="7760" t="s">
        <v>11144</v>
      </c>
      <c r="O16" s="7760">
        <v>247963359</v>
      </c>
      <c r="P16" s="7760">
        <v>282504624</v>
      </c>
    </row>
    <row r="17" spans="1:16" ht="15.9" customHeight="1">
      <c r="A17" s="12226"/>
      <c r="B17" s="10048" t="s">
        <v>330</v>
      </c>
      <c r="C17" s="10617"/>
      <c r="D17" s="10068">
        <v>9995</v>
      </c>
      <c r="E17" s="10108">
        <v>22180000</v>
      </c>
      <c r="F17" s="10108">
        <v>22180000</v>
      </c>
      <c r="G17" s="10206">
        <f>H17-F17</f>
        <v>0</v>
      </c>
      <c r="H17" s="13260">
        <v>22180000</v>
      </c>
      <c r="I17" s="10053"/>
      <c r="J17" s="10662">
        <f>I17/H17</f>
        <v>0</v>
      </c>
      <c r="K17" s="13261">
        <f>20000*1109</f>
        <v>22180000</v>
      </c>
      <c r="L17" s="10050"/>
      <c r="M17" s="7760" t="s">
        <v>568</v>
      </c>
      <c r="O17" s="7760">
        <v>11090000</v>
      </c>
      <c r="P17" s="7760">
        <v>11090000</v>
      </c>
    </row>
    <row r="18" spans="1:16" ht="15.9" customHeight="1">
      <c r="A18" s="12226"/>
      <c r="B18" s="10048" t="s">
        <v>331</v>
      </c>
      <c r="C18" s="10617"/>
      <c r="D18" s="10068">
        <v>9998</v>
      </c>
      <c r="E18" s="10108">
        <v>45135896.700000003</v>
      </c>
      <c r="F18" s="10108">
        <v>4000000</v>
      </c>
      <c r="G18" s="10206">
        <f>H18-F18</f>
        <v>105717374.09999999</v>
      </c>
      <c r="H18" s="10053">
        <v>109717374.09999999</v>
      </c>
      <c r="I18" s="10053"/>
      <c r="J18" s="10662">
        <f>I18/H18</f>
        <v>0</v>
      </c>
      <c r="K18" s="13262">
        <f>'STATEMENT OF RECEIPTS'!N24</f>
        <v>120267144.05000001</v>
      </c>
      <c r="L18" s="13233"/>
      <c r="M18" s="10051" t="s">
        <v>11119</v>
      </c>
      <c r="O18" s="7760">
        <v>73204273.5</v>
      </c>
      <c r="P18" s="7760">
        <v>81716504.400000006</v>
      </c>
    </row>
    <row r="19" spans="1:16" ht="14.25" hidden="1" customHeight="1">
      <c r="A19" s="12226"/>
      <c r="B19" s="13263" t="s">
        <v>332</v>
      </c>
      <c r="C19" s="13264"/>
      <c r="D19" s="10068"/>
      <c r="E19" s="10108"/>
      <c r="F19" s="10108"/>
      <c r="G19" s="10108"/>
      <c r="H19" s="10109"/>
      <c r="I19" s="10053"/>
      <c r="J19" s="10662"/>
      <c r="K19" s="13251"/>
      <c r="L19" s="10050"/>
    </row>
    <row r="20" spans="1:16" ht="14.25" hidden="1" customHeight="1">
      <c r="A20" s="12226"/>
      <c r="B20" s="10048" t="s">
        <v>333</v>
      </c>
      <c r="C20" s="10617"/>
      <c r="D20" s="10068">
        <v>9921</v>
      </c>
      <c r="E20" s="10108"/>
      <c r="F20" s="10108"/>
      <c r="G20" s="10108"/>
      <c r="H20" s="10549">
        <v>0</v>
      </c>
      <c r="I20" s="10053"/>
      <c r="J20" s="10662"/>
      <c r="K20" s="13265">
        <v>0</v>
      </c>
      <c r="L20" s="10054"/>
      <c r="O20" s="7760">
        <v>979882</v>
      </c>
      <c r="P20" s="7760">
        <v>337800</v>
      </c>
    </row>
    <row r="21" spans="1:16" ht="14.25" hidden="1" customHeight="1">
      <c r="A21" s="12226"/>
      <c r="B21" s="10048" t="s">
        <v>334</v>
      </c>
      <c r="C21" s="10617"/>
      <c r="D21" s="10068">
        <v>9911</v>
      </c>
      <c r="E21" s="10109"/>
      <c r="F21" s="10109"/>
      <c r="G21" s="10109"/>
      <c r="H21" s="10109"/>
      <c r="I21" s="10053"/>
      <c r="J21" s="10662"/>
      <c r="K21" s="13251"/>
      <c r="L21" s="10050"/>
    </row>
    <row r="22" spans="1:16" ht="16.5" customHeight="1">
      <c r="A22" s="12226"/>
      <c r="B22" s="10052" t="s">
        <v>9</v>
      </c>
      <c r="C22" s="10618"/>
      <c r="D22" s="10068"/>
      <c r="E22" s="10055"/>
      <c r="F22" s="10055"/>
      <c r="G22" s="10055"/>
      <c r="H22" s="10056" t="s">
        <v>9</v>
      </c>
      <c r="I22" s="10056"/>
      <c r="J22" s="8184"/>
      <c r="K22" s="13266" t="s">
        <v>9</v>
      </c>
      <c r="L22" s="10050"/>
      <c r="O22" s="7760" t="s">
        <v>9</v>
      </c>
      <c r="P22" s="7760" t="s">
        <v>9</v>
      </c>
    </row>
    <row r="23" spans="1:16" s="7374" customFormat="1" ht="20.25" customHeight="1">
      <c r="A23" s="11288"/>
      <c r="B23" s="7353" t="s">
        <v>327</v>
      </c>
      <c r="C23" s="10619"/>
      <c r="D23" s="10111"/>
      <c r="E23" s="10207">
        <f>SUM(E16:E22)</f>
        <v>154439422.61000001</v>
      </c>
      <c r="F23" s="10205">
        <f>SUM(F16:F22)</f>
        <v>50257929.590000004</v>
      </c>
      <c r="G23" s="10205">
        <f>SUM(G16:G22)</f>
        <v>449247940.90999997</v>
      </c>
      <c r="H23" s="10205">
        <f>SUM(H16:H22)</f>
        <v>499505870.5</v>
      </c>
      <c r="I23" s="10112"/>
      <c r="J23" s="9466"/>
      <c r="K23" s="13267">
        <f>SUM(K16:K22)</f>
        <v>546826720.25</v>
      </c>
      <c r="L23" s="10057"/>
      <c r="M23" s="7502"/>
      <c r="N23" s="8875"/>
      <c r="O23" s="7502">
        <v>333237514.5</v>
      </c>
      <c r="P23" s="7502">
        <v>375648928.39999998</v>
      </c>
    </row>
    <row r="24" spans="1:16" ht="13.5" customHeight="1">
      <c r="A24" s="12226"/>
      <c r="B24" s="7730"/>
      <c r="C24" s="10617"/>
      <c r="D24" s="10068"/>
      <c r="E24" s="13268"/>
      <c r="F24" s="13268"/>
      <c r="G24" s="13268"/>
      <c r="H24" s="13257"/>
      <c r="I24" s="13257"/>
      <c r="J24" s="13258"/>
      <c r="K24" s="13259"/>
      <c r="L24" s="10050"/>
    </row>
    <row r="25" spans="1:16" ht="14.25" customHeight="1">
      <c r="A25" s="11472"/>
      <c r="B25" s="10048" t="s">
        <v>335</v>
      </c>
      <c r="C25" s="10617"/>
      <c r="D25" s="10068"/>
      <c r="E25" s="10108"/>
      <c r="F25" s="10108"/>
      <c r="G25" s="10108"/>
      <c r="H25" s="10109"/>
      <c r="I25" s="10109"/>
      <c r="J25" s="10110"/>
      <c r="K25" s="13251"/>
      <c r="L25" s="10050"/>
    </row>
    <row r="26" spans="1:16" ht="15.9" customHeight="1">
      <c r="A26" s="12226"/>
      <c r="B26" s="7730" t="s">
        <v>336</v>
      </c>
      <c r="C26" s="10617"/>
      <c r="D26" s="10068">
        <v>799902</v>
      </c>
      <c r="E26" s="10108">
        <v>0</v>
      </c>
      <c r="F26" s="10108">
        <v>0</v>
      </c>
      <c r="G26" s="10206">
        <f>H26-F26</f>
        <v>25000</v>
      </c>
      <c r="H26" s="10109">
        <v>25000</v>
      </c>
      <c r="I26" s="10053">
        <v>0</v>
      </c>
      <c r="J26" s="10662">
        <f>I26/H26</f>
        <v>0</v>
      </c>
      <c r="K26" s="13251">
        <v>25000</v>
      </c>
      <c r="L26" s="10050"/>
      <c r="M26" s="7760" t="s">
        <v>11115</v>
      </c>
      <c r="O26" s="7760">
        <v>50000</v>
      </c>
      <c r="P26" s="7760">
        <v>50000</v>
      </c>
    </row>
    <row r="27" spans="1:16" ht="15.9" customHeight="1">
      <c r="A27" s="12226"/>
      <c r="B27" s="7730" t="s">
        <v>337</v>
      </c>
      <c r="C27" s="10617"/>
      <c r="D27" s="10068">
        <v>799903</v>
      </c>
      <c r="E27" s="10108">
        <v>100000</v>
      </c>
      <c r="F27" s="10108">
        <v>0</v>
      </c>
      <c r="G27" s="10206">
        <f t="shared" ref="G27:G38" si="0">H27-F27</f>
        <v>100000</v>
      </c>
      <c r="H27" s="10109">
        <v>100000</v>
      </c>
      <c r="I27" s="10053">
        <v>0</v>
      </c>
      <c r="J27" s="10662">
        <f>I27/H27</f>
        <v>0</v>
      </c>
      <c r="K27" s="13251">
        <v>200000</v>
      </c>
      <c r="L27" s="10050"/>
      <c r="M27" s="7760" t="s">
        <v>568</v>
      </c>
      <c r="O27" s="7760">
        <v>100000</v>
      </c>
      <c r="P27" s="7760">
        <v>100000</v>
      </c>
    </row>
    <row r="28" spans="1:16" ht="15.9" customHeight="1">
      <c r="A28" s="12226"/>
      <c r="B28" s="7730" t="s">
        <v>338</v>
      </c>
      <c r="C28" s="10617"/>
      <c r="D28" s="10068">
        <v>799904</v>
      </c>
      <c r="E28" s="10108">
        <v>0</v>
      </c>
      <c r="F28" s="10108">
        <v>0</v>
      </c>
      <c r="G28" s="10206">
        <f t="shared" si="0"/>
        <v>100000</v>
      </c>
      <c r="H28" s="10109">
        <v>100000</v>
      </c>
      <c r="I28" s="10053">
        <v>0</v>
      </c>
      <c r="J28" s="10662">
        <f>I28/H28</f>
        <v>0</v>
      </c>
      <c r="K28" s="13251">
        <v>100000</v>
      </c>
      <c r="L28" s="10050"/>
      <c r="M28" s="7760" t="s">
        <v>568</v>
      </c>
      <c r="O28" s="7760">
        <v>100000</v>
      </c>
      <c r="P28" s="7760">
        <v>100000</v>
      </c>
    </row>
    <row r="29" spans="1:16" ht="14.25" hidden="1" customHeight="1">
      <c r="A29" s="12226"/>
      <c r="B29" s="7730" t="s">
        <v>339</v>
      </c>
      <c r="C29" s="10617"/>
      <c r="D29" s="10068">
        <v>799905</v>
      </c>
      <c r="E29" s="10108"/>
      <c r="F29" s="10108"/>
      <c r="G29" s="10206">
        <f t="shared" si="0"/>
        <v>0</v>
      </c>
      <c r="H29" s="10109">
        <v>0</v>
      </c>
      <c r="I29" s="10053"/>
      <c r="J29" s="10662"/>
      <c r="K29" s="13251">
        <v>0</v>
      </c>
      <c r="L29" s="10050"/>
      <c r="M29" s="7760" t="s">
        <v>568</v>
      </c>
      <c r="O29" s="7760">
        <v>100000</v>
      </c>
      <c r="P29" s="7760">
        <v>100000</v>
      </c>
    </row>
    <row r="30" spans="1:16" ht="15.9" customHeight="1">
      <c r="A30" s="12226"/>
      <c r="B30" s="7730" t="s">
        <v>340</v>
      </c>
      <c r="C30" s="10617"/>
      <c r="D30" s="10068">
        <v>799906</v>
      </c>
      <c r="E30" s="10108">
        <v>0</v>
      </c>
      <c r="F30" s="10108">
        <v>100000</v>
      </c>
      <c r="G30" s="10206">
        <f t="shared" si="0"/>
        <v>0</v>
      </c>
      <c r="H30" s="10109">
        <v>100000</v>
      </c>
      <c r="I30" s="10053">
        <v>100000</v>
      </c>
      <c r="J30" s="10662">
        <f t="shared" ref="J30:J38" si="1">I30/H30</f>
        <v>1</v>
      </c>
      <c r="K30" s="13251">
        <v>100000</v>
      </c>
      <c r="L30" s="10050"/>
      <c r="M30" s="7760" t="s">
        <v>568</v>
      </c>
      <c r="O30" s="7760">
        <v>100000</v>
      </c>
      <c r="P30" s="7760">
        <v>100000</v>
      </c>
    </row>
    <row r="31" spans="1:16" ht="15.9" customHeight="1">
      <c r="A31" s="12226"/>
      <c r="B31" s="7730" t="s">
        <v>341</v>
      </c>
      <c r="C31" s="10617"/>
      <c r="D31" s="10068">
        <v>799912</v>
      </c>
      <c r="E31" s="10108">
        <v>0</v>
      </c>
      <c r="F31" s="10108">
        <v>0</v>
      </c>
      <c r="G31" s="10206">
        <f t="shared" si="0"/>
        <v>100000</v>
      </c>
      <c r="H31" s="10109">
        <v>100000</v>
      </c>
      <c r="I31" s="10053">
        <v>0</v>
      </c>
      <c r="J31" s="10662">
        <f t="shared" si="1"/>
        <v>0</v>
      </c>
      <c r="K31" s="13251">
        <v>100000</v>
      </c>
      <c r="L31" s="10050"/>
      <c r="M31" s="7760" t="s">
        <v>568</v>
      </c>
      <c r="O31" s="7760">
        <v>100000</v>
      </c>
      <c r="P31" s="7760">
        <v>100000</v>
      </c>
    </row>
    <row r="32" spans="1:16" ht="15.9" customHeight="1">
      <c r="A32" s="12226"/>
      <c r="B32" s="7730" t="s">
        <v>342</v>
      </c>
      <c r="C32" s="10617"/>
      <c r="D32" s="10068">
        <v>799907</v>
      </c>
      <c r="E32" s="10108">
        <v>0</v>
      </c>
      <c r="F32" s="10108">
        <v>0</v>
      </c>
      <c r="G32" s="10206">
        <f t="shared" si="0"/>
        <v>100000</v>
      </c>
      <c r="H32" s="10109">
        <v>100000</v>
      </c>
      <c r="I32" s="10053">
        <v>0</v>
      </c>
      <c r="J32" s="10662">
        <f t="shared" si="1"/>
        <v>0</v>
      </c>
      <c r="K32" s="13251">
        <v>100000</v>
      </c>
      <c r="L32" s="10050"/>
      <c r="M32" s="7760" t="s">
        <v>568</v>
      </c>
      <c r="O32" s="7760">
        <v>100000</v>
      </c>
      <c r="P32" s="7760">
        <v>100000</v>
      </c>
    </row>
    <row r="33" spans="1:16" ht="15.9" customHeight="1">
      <c r="A33" s="12226"/>
      <c r="B33" s="7730" t="s">
        <v>343</v>
      </c>
      <c r="C33" s="10617"/>
      <c r="D33" s="10068">
        <v>799908</v>
      </c>
      <c r="E33" s="10108">
        <v>0</v>
      </c>
      <c r="F33" s="10108">
        <v>0</v>
      </c>
      <c r="G33" s="10206">
        <f t="shared" si="0"/>
        <v>100000</v>
      </c>
      <c r="H33" s="10109">
        <v>100000</v>
      </c>
      <c r="I33" s="10053">
        <v>0</v>
      </c>
      <c r="J33" s="10662">
        <f t="shared" si="1"/>
        <v>0</v>
      </c>
      <c r="K33" s="13251">
        <v>100000</v>
      </c>
      <c r="L33" s="10050"/>
      <c r="M33" s="7760" t="s">
        <v>568</v>
      </c>
      <c r="O33" s="7760">
        <v>100000</v>
      </c>
      <c r="P33" s="7760">
        <v>100000</v>
      </c>
    </row>
    <row r="34" spans="1:16" ht="15.9" customHeight="1">
      <c r="A34" s="12226"/>
      <c r="B34" s="7730" t="s">
        <v>344</v>
      </c>
      <c r="C34" s="10617"/>
      <c r="D34" s="10068">
        <v>799911</v>
      </c>
      <c r="E34" s="10108">
        <v>0</v>
      </c>
      <c r="F34" s="10108">
        <v>0</v>
      </c>
      <c r="G34" s="10206">
        <f t="shared" si="0"/>
        <v>100000</v>
      </c>
      <c r="H34" s="10109">
        <v>100000</v>
      </c>
      <c r="I34" s="10053">
        <v>0</v>
      </c>
      <c r="J34" s="10662">
        <f t="shared" si="1"/>
        <v>0</v>
      </c>
      <c r="K34" s="13251">
        <v>100000</v>
      </c>
      <c r="L34" s="10050"/>
      <c r="M34" s="7760" t="s">
        <v>568</v>
      </c>
      <c r="O34" s="7760">
        <v>100000</v>
      </c>
      <c r="P34" s="7760">
        <v>100000</v>
      </c>
    </row>
    <row r="35" spans="1:16" ht="15.9" customHeight="1">
      <c r="A35" s="12226"/>
      <c r="B35" s="7730" t="s">
        <v>10015</v>
      </c>
      <c r="C35" s="10617"/>
      <c r="D35" s="10068">
        <v>399801</v>
      </c>
      <c r="E35" s="10106">
        <v>0</v>
      </c>
      <c r="F35" s="10106">
        <v>0</v>
      </c>
      <c r="G35" s="10206">
        <f t="shared" si="0"/>
        <v>250000</v>
      </c>
      <c r="H35" s="10549">
        <v>250000</v>
      </c>
      <c r="I35" s="10053">
        <v>0</v>
      </c>
      <c r="J35" s="10662">
        <f t="shared" si="1"/>
        <v>0</v>
      </c>
      <c r="K35" s="13265">
        <v>250000</v>
      </c>
      <c r="L35" s="10054"/>
      <c r="M35" s="7760" t="s">
        <v>568</v>
      </c>
      <c r="O35" s="7760">
        <v>250000</v>
      </c>
      <c r="P35" s="7760">
        <v>250000</v>
      </c>
    </row>
    <row r="36" spans="1:16" ht="15.9" customHeight="1">
      <c r="A36" s="12226"/>
      <c r="B36" s="7730" t="s">
        <v>10016</v>
      </c>
      <c r="C36" s="10617"/>
      <c r="D36" s="10068">
        <v>399802</v>
      </c>
      <c r="E36" s="10106">
        <v>250000</v>
      </c>
      <c r="F36" s="10106">
        <v>0</v>
      </c>
      <c r="G36" s="10206">
        <f t="shared" si="0"/>
        <v>250000</v>
      </c>
      <c r="H36" s="10549">
        <v>250000</v>
      </c>
      <c r="I36" s="10053">
        <v>0</v>
      </c>
      <c r="J36" s="10662">
        <f t="shared" si="1"/>
        <v>0</v>
      </c>
      <c r="K36" s="13265">
        <v>250000</v>
      </c>
      <c r="L36" s="10054"/>
      <c r="M36" s="7760" t="s">
        <v>568</v>
      </c>
      <c r="O36" s="7760">
        <v>250000</v>
      </c>
      <c r="P36" s="7760">
        <v>250000</v>
      </c>
    </row>
    <row r="37" spans="1:16" ht="15.9" customHeight="1">
      <c r="A37" s="12226"/>
      <c r="B37" s="7730" t="s">
        <v>358</v>
      </c>
      <c r="C37" s="10617"/>
      <c r="D37" s="10068">
        <v>799901</v>
      </c>
      <c r="E37" s="10106">
        <v>700000</v>
      </c>
      <c r="F37" s="10106">
        <v>350000</v>
      </c>
      <c r="G37" s="10206">
        <f t="shared" si="0"/>
        <v>350000</v>
      </c>
      <c r="H37" s="10549">
        <v>700000</v>
      </c>
      <c r="I37" s="10053">
        <v>350000</v>
      </c>
      <c r="J37" s="10662">
        <f t="shared" si="1"/>
        <v>0.5</v>
      </c>
      <c r="K37" s="13265">
        <v>700000</v>
      </c>
      <c r="L37" s="10054"/>
      <c r="M37" s="7760" t="s">
        <v>11145</v>
      </c>
      <c r="O37" s="7760">
        <v>350000</v>
      </c>
      <c r="P37" s="7760">
        <v>400000</v>
      </c>
    </row>
    <row r="38" spans="1:16" ht="15.9" customHeight="1">
      <c r="A38" s="12226"/>
      <c r="B38" s="7730" t="s">
        <v>359</v>
      </c>
      <c r="C38" s="10617"/>
      <c r="D38" s="10068">
        <v>799909</v>
      </c>
      <c r="E38" s="10106">
        <v>1884304</v>
      </c>
      <c r="F38" s="10106">
        <v>0</v>
      </c>
      <c r="G38" s="10206">
        <f t="shared" si="0"/>
        <v>2000000</v>
      </c>
      <c r="H38" s="10549">
        <v>2000000</v>
      </c>
      <c r="I38" s="10053">
        <v>242687.35</v>
      </c>
      <c r="J38" s="10662">
        <f t="shared" si="1"/>
        <v>0.121343675</v>
      </c>
      <c r="K38" s="13265">
        <v>0</v>
      </c>
      <c r="L38" s="10054" t="s">
        <v>11745</v>
      </c>
      <c r="M38" s="7760" t="s">
        <v>11146</v>
      </c>
      <c r="O38" s="7760">
        <v>650000</v>
      </c>
      <c r="P38" s="7760">
        <v>750000</v>
      </c>
    </row>
    <row r="39" spans="1:16" ht="14.25" hidden="1" customHeight="1">
      <c r="A39" s="12226"/>
      <c r="B39" s="7730" t="s">
        <v>360</v>
      </c>
      <c r="C39" s="10617"/>
      <c r="D39" s="10068" t="s">
        <v>361</v>
      </c>
      <c r="E39" s="10106">
        <v>0</v>
      </c>
      <c r="F39" s="10106"/>
      <c r="G39" s="10106"/>
      <c r="H39" s="10549">
        <v>0</v>
      </c>
      <c r="I39" s="10053"/>
      <c r="J39" s="10662"/>
      <c r="K39" s="13265">
        <v>0</v>
      </c>
      <c r="L39" s="10054"/>
      <c r="O39" s="7760">
        <v>100000</v>
      </c>
      <c r="P39" s="7760">
        <v>100000</v>
      </c>
    </row>
    <row r="40" spans="1:16" ht="14.25" customHeight="1" thickBot="1">
      <c r="A40" s="13269"/>
      <c r="B40" s="13270"/>
      <c r="C40" s="13271"/>
      <c r="D40" s="10118"/>
      <c r="E40" s="13272"/>
      <c r="F40" s="13272"/>
      <c r="G40" s="13272"/>
      <c r="H40" s="13273"/>
      <c r="I40" s="13274"/>
      <c r="J40" s="13275"/>
      <c r="K40" s="13276"/>
      <c r="L40" s="10054"/>
    </row>
    <row r="41" spans="1:16" ht="14.25" customHeight="1">
      <c r="A41" s="7730"/>
      <c r="B41" s="7730"/>
      <c r="C41" s="10617"/>
      <c r="D41" s="10052"/>
      <c r="E41" s="7733"/>
      <c r="F41" s="7733"/>
      <c r="G41" s="7733"/>
      <c r="H41" s="10054"/>
      <c r="I41" s="10060"/>
      <c r="J41" s="10661"/>
      <c r="K41" s="10054"/>
      <c r="L41" s="10054"/>
    </row>
    <row r="42" spans="1:16" ht="14.25" customHeight="1">
      <c r="A42" s="7730"/>
      <c r="B42" s="7730"/>
      <c r="C42" s="10617"/>
      <c r="D42" s="10052"/>
      <c r="E42" s="7733"/>
      <c r="F42" s="7733"/>
      <c r="G42" s="7733"/>
      <c r="H42" s="10054"/>
      <c r="I42" s="10060"/>
      <c r="J42" s="10661"/>
      <c r="K42" s="10054"/>
      <c r="L42" s="10054"/>
    </row>
    <row r="43" spans="1:16" ht="14.25" customHeight="1">
      <c r="A43" s="7730"/>
      <c r="B43" s="7730"/>
      <c r="C43" s="10617"/>
      <c r="D43" s="10052"/>
      <c r="E43" s="7733"/>
      <c r="F43" s="7733"/>
      <c r="G43" s="7733"/>
      <c r="H43" s="10054"/>
      <c r="I43" s="10060"/>
      <c r="J43" s="10661"/>
      <c r="K43" s="10054"/>
      <c r="L43" s="10054"/>
    </row>
    <row r="44" spans="1:16" ht="14.25" customHeight="1" thickBot="1">
      <c r="A44" s="10061" t="s">
        <v>10352</v>
      </c>
      <c r="B44" s="8004"/>
      <c r="C44" s="10617"/>
      <c r="D44" s="10052"/>
      <c r="E44" s="7733"/>
      <c r="F44" s="7733"/>
      <c r="G44" s="7733"/>
      <c r="H44" s="10054"/>
      <c r="I44" s="10060"/>
      <c r="J44" s="10661"/>
      <c r="K44" s="10054"/>
      <c r="L44" s="10054"/>
    </row>
    <row r="45" spans="1:16" s="10033" customFormat="1" ht="14.25" customHeight="1">
      <c r="A45" s="13234"/>
      <c r="B45" s="13277"/>
      <c r="C45" s="10613"/>
      <c r="D45" s="10042" t="s">
        <v>103</v>
      </c>
      <c r="E45" s="10614" t="s">
        <v>10</v>
      </c>
      <c r="F45" s="14188" t="s">
        <v>10711</v>
      </c>
      <c r="G45" s="14189"/>
      <c r="H45" s="14190"/>
      <c r="I45" s="10660" t="s">
        <v>9985</v>
      </c>
      <c r="J45" s="8206"/>
      <c r="K45" s="13236" t="s">
        <v>326</v>
      </c>
      <c r="L45" s="10044"/>
      <c r="M45" s="10031"/>
      <c r="N45" s="10032"/>
      <c r="O45" s="10031" t="s">
        <v>326</v>
      </c>
      <c r="P45" s="10031" t="s">
        <v>326</v>
      </c>
    </row>
    <row r="46" spans="1:16" s="10033" customFormat="1" ht="14.25" customHeight="1">
      <c r="A46" s="13237"/>
      <c r="B46" s="10052" t="s">
        <v>13</v>
      </c>
      <c r="C46" s="10615"/>
      <c r="D46" s="10062" t="s">
        <v>94</v>
      </c>
      <c r="E46" s="13238" t="s">
        <v>15</v>
      </c>
      <c r="F46" s="13964" t="s">
        <v>10709</v>
      </c>
      <c r="G46" s="13966" t="s">
        <v>10710</v>
      </c>
      <c r="H46" s="14191" t="s">
        <v>458</v>
      </c>
      <c r="I46" s="13239">
        <v>2018</v>
      </c>
      <c r="J46" s="13240"/>
      <c r="K46" s="13241" t="s">
        <v>16</v>
      </c>
      <c r="L46" s="10044"/>
      <c r="M46" s="10031"/>
      <c r="N46" s="10032"/>
      <c r="O46" s="10031" t="s">
        <v>16</v>
      </c>
      <c r="P46" s="10031" t="s">
        <v>16</v>
      </c>
    </row>
    <row r="47" spans="1:16" s="10033" customFormat="1" ht="19.5" customHeight="1" thickBot="1">
      <c r="A47" s="13242"/>
      <c r="B47" s="10084"/>
      <c r="C47" s="10616"/>
      <c r="D47" s="13243"/>
      <c r="E47" s="8179">
        <v>2017</v>
      </c>
      <c r="F47" s="13965" t="s">
        <v>457</v>
      </c>
      <c r="G47" s="9404" t="s">
        <v>456</v>
      </c>
      <c r="H47" s="14192"/>
      <c r="I47" s="7486"/>
      <c r="J47" s="7700"/>
      <c r="K47" s="13244">
        <v>2019</v>
      </c>
      <c r="L47" s="10046"/>
      <c r="M47" s="10031"/>
      <c r="N47" s="10032"/>
      <c r="O47" s="10047">
        <v>2014</v>
      </c>
      <c r="P47" s="10047">
        <v>2015</v>
      </c>
    </row>
    <row r="48" spans="1:16" s="10033" customFormat="1" ht="14.25" customHeight="1">
      <c r="A48" s="13237"/>
      <c r="B48" s="10052"/>
      <c r="C48" s="10620"/>
      <c r="D48" s="10062"/>
      <c r="E48" s="13278"/>
      <c r="F48" s="10030"/>
      <c r="G48" s="13279"/>
      <c r="H48" s="10030"/>
      <c r="I48" s="13280"/>
      <c r="J48" s="13281"/>
      <c r="K48" s="13282"/>
      <c r="L48" s="10046"/>
      <c r="M48" s="10031"/>
      <c r="N48" s="10032"/>
      <c r="O48" s="10047"/>
      <c r="P48" s="10047"/>
    </row>
    <row r="49" spans="1:16" ht="15.9" customHeight="1">
      <c r="A49" s="12226"/>
      <c r="B49" s="7730" t="s">
        <v>362</v>
      </c>
      <c r="C49" s="10621"/>
      <c r="D49" s="10068">
        <v>49943</v>
      </c>
      <c r="E49" s="10108">
        <v>200000</v>
      </c>
      <c r="F49" s="10108">
        <v>0</v>
      </c>
      <c r="G49" s="10206">
        <f>H49-F49</f>
        <v>200000</v>
      </c>
      <c r="H49" s="13283">
        <v>200000</v>
      </c>
      <c r="I49" s="10053">
        <v>0</v>
      </c>
      <c r="J49" s="10662">
        <f t="shared" ref="J49:J57" si="2">I49/H49</f>
        <v>0</v>
      </c>
      <c r="K49" s="13284">
        <v>200000</v>
      </c>
      <c r="L49" s="10063"/>
      <c r="M49" s="7760" t="s">
        <v>568</v>
      </c>
      <c r="O49" s="7760">
        <v>200000</v>
      </c>
      <c r="P49" s="7760">
        <v>200000</v>
      </c>
    </row>
    <row r="50" spans="1:16" ht="15.9" customHeight="1">
      <c r="A50" s="13285"/>
      <c r="B50" s="7730" t="s">
        <v>10017</v>
      </c>
      <c r="C50" s="10621"/>
      <c r="D50" s="10105">
        <v>799913</v>
      </c>
      <c r="E50" s="10106">
        <v>2600000</v>
      </c>
      <c r="F50" s="10106">
        <v>0</v>
      </c>
      <c r="G50" s="10206">
        <f t="shared" ref="G50:G57" si="3">H50-F50</f>
        <v>2800000</v>
      </c>
      <c r="H50" s="10549">
        <v>2800000</v>
      </c>
      <c r="I50" s="10053">
        <v>679116</v>
      </c>
      <c r="J50" s="10662">
        <f t="shared" si="2"/>
        <v>0.24254142857142857</v>
      </c>
      <c r="K50" s="13265"/>
      <c r="L50" s="10054" t="s">
        <v>11766</v>
      </c>
      <c r="M50" s="7760" t="s">
        <v>11147</v>
      </c>
      <c r="O50" s="7760">
        <v>992200</v>
      </c>
      <c r="P50" s="7760">
        <v>1200000</v>
      </c>
    </row>
    <row r="51" spans="1:16" ht="15.9" customHeight="1">
      <c r="A51" s="13285"/>
      <c r="B51" s="7730" t="s">
        <v>10308</v>
      </c>
      <c r="C51" s="10621"/>
      <c r="D51" s="10105">
        <v>799914</v>
      </c>
      <c r="E51" s="10106">
        <v>121600</v>
      </c>
      <c r="F51" s="10106">
        <v>0</v>
      </c>
      <c r="G51" s="10206">
        <f t="shared" si="3"/>
        <v>200000</v>
      </c>
      <c r="H51" s="10549">
        <v>200000</v>
      </c>
      <c r="I51" s="10053">
        <v>0</v>
      </c>
      <c r="J51" s="10662">
        <f t="shared" si="2"/>
        <v>0</v>
      </c>
      <c r="K51" s="13265">
        <v>100000</v>
      </c>
      <c r="L51" s="10054"/>
      <c r="M51" s="7760" t="s">
        <v>11116</v>
      </c>
      <c r="O51" s="7760">
        <v>200000</v>
      </c>
      <c r="P51" s="7760">
        <v>200000</v>
      </c>
    </row>
    <row r="52" spans="1:16" ht="15.9" hidden="1" customHeight="1">
      <c r="A52" s="13285"/>
      <c r="B52" s="10622" t="s">
        <v>11789</v>
      </c>
      <c r="C52" s="10621">
        <v>200000</v>
      </c>
      <c r="D52" s="10105"/>
      <c r="E52" s="10106"/>
      <c r="F52" s="10106"/>
      <c r="G52" s="10206"/>
      <c r="H52" s="10549"/>
      <c r="I52" s="10053"/>
      <c r="J52" s="10662"/>
      <c r="K52" s="13265"/>
      <c r="L52" s="10054"/>
    </row>
    <row r="53" spans="1:16" ht="15.9" customHeight="1">
      <c r="A53" s="13285"/>
      <c r="B53" s="7730" t="s">
        <v>9150</v>
      </c>
      <c r="C53" s="10621"/>
      <c r="D53" s="10105">
        <v>399806</v>
      </c>
      <c r="E53" s="10106">
        <v>200000</v>
      </c>
      <c r="F53" s="10106">
        <v>0</v>
      </c>
      <c r="G53" s="10206">
        <f t="shared" si="3"/>
        <v>200000</v>
      </c>
      <c r="H53" s="10549">
        <v>200000</v>
      </c>
      <c r="I53" s="10053">
        <v>200000</v>
      </c>
      <c r="J53" s="10662">
        <f t="shared" si="2"/>
        <v>1</v>
      </c>
      <c r="K53" s="13265">
        <v>200000</v>
      </c>
      <c r="L53" s="10054"/>
      <c r="M53" s="7760" t="s">
        <v>568</v>
      </c>
      <c r="O53" s="7760">
        <v>200000</v>
      </c>
      <c r="P53" s="7760">
        <v>200000</v>
      </c>
    </row>
    <row r="54" spans="1:16" ht="15.9" customHeight="1">
      <c r="A54" s="12226"/>
      <c r="B54" s="7730" t="s">
        <v>345</v>
      </c>
      <c r="C54" s="10621"/>
      <c r="D54" s="10068">
        <v>799915</v>
      </c>
      <c r="E54" s="10108">
        <v>30000</v>
      </c>
      <c r="F54" s="10108">
        <v>30000</v>
      </c>
      <c r="G54" s="10206">
        <f t="shared" si="3"/>
        <v>0</v>
      </c>
      <c r="H54" s="10109">
        <v>30000</v>
      </c>
      <c r="I54" s="10053">
        <v>30000</v>
      </c>
      <c r="J54" s="10662">
        <f t="shared" si="2"/>
        <v>1</v>
      </c>
      <c r="K54" s="13251">
        <v>30000</v>
      </c>
      <c r="L54" s="10050"/>
      <c r="M54" s="7760" t="s">
        <v>568</v>
      </c>
      <c r="O54" s="7760">
        <v>30000</v>
      </c>
      <c r="P54" s="7760">
        <v>30000</v>
      </c>
    </row>
    <row r="55" spans="1:16" ht="15.9" customHeight="1">
      <c r="A55" s="12226"/>
      <c r="B55" s="7730" t="s">
        <v>9158</v>
      </c>
      <c r="C55" s="10621"/>
      <c r="D55" s="10068">
        <v>799917</v>
      </c>
      <c r="E55" s="10108">
        <v>100000</v>
      </c>
      <c r="F55" s="10108">
        <v>100000</v>
      </c>
      <c r="G55" s="10206">
        <f t="shared" si="3"/>
        <v>0</v>
      </c>
      <c r="H55" s="10109">
        <v>100000</v>
      </c>
      <c r="I55" s="10053">
        <v>100000</v>
      </c>
      <c r="J55" s="10662">
        <f t="shared" si="2"/>
        <v>1</v>
      </c>
      <c r="K55" s="13251">
        <v>100000</v>
      </c>
      <c r="L55" s="10050"/>
      <c r="M55" s="7760" t="s">
        <v>568</v>
      </c>
      <c r="O55" s="7760">
        <v>100000</v>
      </c>
      <c r="P55" s="7760">
        <v>100000</v>
      </c>
    </row>
    <row r="56" spans="1:16" ht="15.9" customHeight="1">
      <c r="A56" s="12226"/>
      <c r="B56" s="7730" t="s">
        <v>346</v>
      </c>
      <c r="C56" s="10621"/>
      <c r="D56" s="10068">
        <v>799929</v>
      </c>
      <c r="E56" s="10108">
        <v>350000</v>
      </c>
      <c r="F56" s="10108">
        <v>0</v>
      </c>
      <c r="G56" s="10206">
        <f t="shared" si="3"/>
        <v>350000</v>
      </c>
      <c r="H56" s="10109">
        <v>350000</v>
      </c>
      <c r="I56" s="10053">
        <v>350000</v>
      </c>
      <c r="J56" s="10662">
        <f t="shared" si="2"/>
        <v>1</v>
      </c>
      <c r="K56" s="13251">
        <v>350000</v>
      </c>
      <c r="L56" s="10050"/>
      <c r="M56" s="7760" t="s">
        <v>568</v>
      </c>
      <c r="O56" s="7760">
        <v>160000</v>
      </c>
      <c r="P56" s="7760">
        <v>250000</v>
      </c>
    </row>
    <row r="57" spans="1:16" ht="15.9" customHeight="1">
      <c r="A57" s="12226"/>
      <c r="B57" s="7730" t="s">
        <v>12008</v>
      </c>
      <c r="C57" s="10621"/>
      <c r="D57" s="10068"/>
      <c r="E57" s="10108"/>
      <c r="F57" s="10108">
        <v>830162.43</v>
      </c>
      <c r="G57" s="10206">
        <f t="shared" si="3"/>
        <v>2357837.5699999998</v>
      </c>
      <c r="H57" s="10109">
        <f>2000000+1188000</f>
        <v>3188000</v>
      </c>
      <c r="I57" s="10053">
        <v>1937349.9</v>
      </c>
      <c r="J57" s="10662">
        <f t="shared" si="2"/>
        <v>0.60770072145545795</v>
      </c>
      <c r="K57" s="13251">
        <f>2000000+1308000</f>
        <v>3308000</v>
      </c>
      <c r="L57" s="10050"/>
      <c r="M57" s="7760" t="s">
        <v>11148</v>
      </c>
      <c r="O57" s="7760">
        <v>2000000</v>
      </c>
      <c r="P57" s="7760">
        <v>2000000</v>
      </c>
    </row>
    <row r="58" spans="1:16" ht="15.9" customHeight="1">
      <c r="A58" s="12226"/>
      <c r="B58" s="7730" t="s">
        <v>4717</v>
      </c>
      <c r="C58" s="10621"/>
      <c r="D58" s="10105"/>
      <c r="E58" s="10106"/>
      <c r="F58" s="10106"/>
      <c r="G58" s="10106"/>
      <c r="H58" s="10107"/>
      <c r="I58" s="10053"/>
      <c r="J58" s="10662"/>
      <c r="K58" s="13286"/>
      <c r="L58" s="10065"/>
      <c r="M58" s="7760" t="s">
        <v>11148</v>
      </c>
    </row>
    <row r="59" spans="1:16" ht="15.9" customHeight="1">
      <c r="A59" s="12226"/>
      <c r="B59" s="7730" t="s">
        <v>348</v>
      </c>
      <c r="C59" s="10621"/>
      <c r="D59" s="10068">
        <v>9993</v>
      </c>
      <c r="E59" s="10108">
        <v>3081795.96</v>
      </c>
      <c r="F59" s="10108">
        <v>269661.46999999997</v>
      </c>
      <c r="G59" s="10206">
        <f>H59-F59</f>
        <v>1460338.53</v>
      </c>
      <c r="H59" s="10109">
        <v>1730000</v>
      </c>
      <c r="I59" s="10053"/>
      <c r="J59" s="10662">
        <f t="shared" ref="J59:J65" si="4">I59/H59</f>
        <v>0</v>
      </c>
      <c r="K59" s="13251">
        <f>1730000+140000</f>
        <v>1870000</v>
      </c>
      <c r="L59" s="10050"/>
      <c r="M59" s="7760" t="s">
        <v>11148</v>
      </c>
      <c r="N59" s="10066"/>
      <c r="O59" s="7760">
        <v>1515150</v>
      </c>
      <c r="P59" s="7760">
        <v>1515150</v>
      </c>
    </row>
    <row r="60" spans="1:16" ht="15.9" customHeight="1">
      <c r="A60" s="12226"/>
      <c r="B60" s="7730" t="s">
        <v>349</v>
      </c>
      <c r="C60" s="10621"/>
      <c r="D60" s="10068">
        <v>999301</v>
      </c>
      <c r="E60" s="10108">
        <v>553552.54</v>
      </c>
      <c r="F60" s="10108">
        <v>226387.29</v>
      </c>
      <c r="G60" s="10206">
        <f t="shared" ref="G60:G65" si="5">H60-F60</f>
        <v>1117524.71</v>
      </c>
      <c r="H60" s="10109">
        <v>1343912</v>
      </c>
      <c r="I60" s="10053">
        <v>480428.92</v>
      </c>
      <c r="J60" s="10662">
        <f t="shared" si="4"/>
        <v>0.35748540082981622</v>
      </c>
      <c r="K60" s="13251">
        <v>1462087.5</v>
      </c>
      <c r="L60" s="10050"/>
      <c r="M60" s="7760" t="s">
        <v>11148</v>
      </c>
      <c r="O60" s="7760">
        <v>1487352</v>
      </c>
      <c r="P60" s="7760">
        <v>1495000</v>
      </c>
    </row>
    <row r="61" spans="1:16" ht="15.9" customHeight="1">
      <c r="A61" s="12226"/>
      <c r="B61" s="7730" t="s">
        <v>11471</v>
      </c>
      <c r="C61" s="10621"/>
      <c r="D61" s="10068" t="s">
        <v>11472</v>
      </c>
      <c r="E61" s="10108">
        <f>'national agencies'!B20</f>
        <v>1013477.77</v>
      </c>
      <c r="F61" s="10108">
        <v>326000</v>
      </c>
      <c r="G61" s="10206">
        <f t="shared" si="5"/>
        <v>-326000</v>
      </c>
      <c r="H61" s="13260"/>
      <c r="I61" s="10053"/>
      <c r="J61" s="10662" t="e">
        <f t="shared" si="4"/>
        <v>#DIV/0!</v>
      </c>
      <c r="K61" s="13261"/>
      <c r="L61" s="10050"/>
      <c r="M61" s="7760" t="s">
        <v>11148</v>
      </c>
      <c r="O61" s="7760">
        <v>1188000</v>
      </c>
      <c r="P61" s="7760">
        <v>1188000</v>
      </c>
    </row>
    <row r="62" spans="1:16" ht="15.9" customHeight="1">
      <c r="A62" s="12226"/>
      <c r="B62" s="13287" t="s">
        <v>10307</v>
      </c>
      <c r="C62" s="13264"/>
      <c r="D62" s="10068">
        <v>999323</v>
      </c>
      <c r="E62" s="10108">
        <v>173852</v>
      </c>
      <c r="F62" s="10108">
        <v>0</v>
      </c>
      <c r="G62" s="10206">
        <f t="shared" si="5"/>
        <v>525000</v>
      </c>
      <c r="H62" s="10109">
        <v>525000</v>
      </c>
      <c r="I62" s="10053">
        <v>0</v>
      </c>
      <c r="J62" s="10662">
        <f t="shared" si="4"/>
        <v>0</v>
      </c>
      <c r="K62" s="13251">
        <v>500000</v>
      </c>
      <c r="L62" s="10050"/>
      <c r="M62" s="7760" t="s">
        <v>568</v>
      </c>
      <c r="P62" s="7760">
        <v>115000</v>
      </c>
    </row>
    <row r="63" spans="1:16" ht="15.9" customHeight="1">
      <c r="A63" s="12226"/>
      <c r="B63" s="7730" t="s">
        <v>351</v>
      </c>
      <c r="C63" s="10621"/>
      <c r="D63" s="10068">
        <v>799918</v>
      </c>
      <c r="E63" s="10108">
        <v>0</v>
      </c>
      <c r="F63" s="10108">
        <v>0</v>
      </c>
      <c r="G63" s="10206">
        <f t="shared" si="5"/>
        <v>100000</v>
      </c>
      <c r="H63" s="10109">
        <v>100000</v>
      </c>
      <c r="I63" s="10053">
        <v>0</v>
      </c>
      <c r="J63" s="10662">
        <f t="shared" si="4"/>
        <v>0</v>
      </c>
      <c r="K63" s="13251">
        <v>100000</v>
      </c>
      <c r="L63" s="10050"/>
      <c r="M63" s="7760" t="s">
        <v>568</v>
      </c>
      <c r="O63" s="7760">
        <v>100000</v>
      </c>
      <c r="P63" s="7760">
        <v>100000</v>
      </c>
    </row>
    <row r="64" spans="1:16" ht="15.9" customHeight="1">
      <c r="A64" s="13285"/>
      <c r="B64" s="10551" t="s">
        <v>10100</v>
      </c>
      <c r="C64" s="10623"/>
      <c r="D64" s="10068">
        <v>999324</v>
      </c>
      <c r="E64" s="10108">
        <v>0</v>
      </c>
      <c r="F64" s="10108">
        <v>0</v>
      </c>
      <c r="G64" s="10206">
        <f t="shared" si="5"/>
        <v>200000</v>
      </c>
      <c r="H64" s="10053">
        <v>200000</v>
      </c>
      <c r="I64" s="10053">
        <v>160000</v>
      </c>
      <c r="J64" s="10662">
        <f t="shared" si="4"/>
        <v>0.8</v>
      </c>
      <c r="K64" s="13262">
        <v>200000</v>
      </c>
      <c r="L64" s="10060"/>
      <c r="M64" s="7760" t="s">
        <v>568</v>
      </c>
      <c r="P64" s="7760">
        <v>200000</v>
      </c>
    </row>
    <row r="65" spans="1:16" ht="15.9" customHeight="1">
      <c r="A65" s="12226"/>
      <c r="B65" s="7730" t="s">
        <v>10433</v>
      </c>
      <c r="C65" s="10621"/>
      <c r="D65" s="10068">
        <v>399807</v>
      </c>
      <c r="E65" s="10055">
        <v>200000</v>
      </c>
      <c r="F65" s="10055">
        <v>0</v>
      </c>
      <c r="G65" s="10208">
        <f t="shared" si="5"/>
        <v>200000</v>
      </c>
      <c r="H65" s="10056">
        <v>200000</v>
      </c>
      <c r="I65" s="10056">
        <v>0</v>
      </c>
      <c r="J65" s="10662">
        <f t="shared" si="4"/>
        <v>0</v>
      </c>
      <c r="K65" s="13266">
        <v>200000</v>
      </c>
      <c r="L65" s="10050"/>
      <c r="M65" s="7760" t="s">
        <v>568</v>
      </c>
    </row>
    <row r="66" spans="1:16" ht="14.25" hidden="1" customHeight="1">
      <c r="A66" s="11472"/>
      <c r="B66" s="7730" t="s">
        <v>3393</v>
      </c>
      <c r="C66" s="10621"/>
      <c r="D66" s="10068">
        <v>799933</v>
      </c>
      <c r="E66" s="10055">
        <v>0</v>
      </c>
      <c r="F66" s="10055"/>
      <c r="G66" s="10055"/>
      <c r="H66" s="10056"/>
      <c r="I66" s="10056"/>
      <c r="J66" s="8184"/>
      <c r="K66" s="13266"/>
      <c r="L66" s="10050"/>
    </row>
    <row r="67" spans="1:16" s="7374" customFormat="1" ht="21.75" customHeight="1">
      <c r="A67" s="11288"/>
      <c r="B67" s="7353" t="s">
        <v>327</v>
      </c>
      <c r="C67" s="10624"/>
      <c r="D67" s="10111"/>
      <c r="E67" s="10209">
        <f>SUM(E49:E66,E24:E40)</f>
        <v>11558582.27</v>
      </c>
      <c r="F67" s="10209">
        <f>SUM(F49:F65,F24:F40)</f>
        <v>2232211.19</v>
      </c>
      <c r="G67" s="10209">
        <f>SUM(G49:G65,G24:G40)</f>
        <v>12859700.810000001</v>
      </c>
      <c r="H67" s="10209">
        <f>SUM(H49:H65,H24:H40)</f>
        <v>15091912</v>
      </c>
      <c r="I67" s="10663"/>
      <c r="J67" s="10664"/>
      <c r="K67" s="13288">
        <f>SUM(K49:K65,K24:K40)</f>
        <v>10645087.5</v>
      </c>
      <c r="L67" s="10057"/>
      <c r="M67" s="7502"/>
      <c r="N67" s="8875"/>
      <c r="O67" s="7502">
        <v>7430502</v>
      </c>
      <c r="P67" s="7502">
        <v>7843150</v>
      </c>
    </row>
    <row r="68" spans="1:16" ht="1.5" customHeight="1">
      <c r="A68" s="12226"/>
      <c r="B68" s="7730"/>
      <c r="C68" s="10621"/>
      <c r="D68" s="10068"/>
      <c r="E68" s="10108"/>
      <c r="F68" s="10108"/>
      <c r="G68" s="10108"/>
      <c r="H68" s="10107"/>
      <c r="I68" s="10107"/>
      <c r="J68" s="10662"/>
      <c r="K68" s="13286"/>
      <c r="L68" s="10065"/>
    </row>
    <row r="69" spans="1:16" ht="16.5" customHeight="1">
      <c r="A69" s="12226"/>
      <c r="B69" s="7730"/>
      <c r="C69" s="10621"/>
      <c r="D69" s="10068"/>
      <c r="E69" s="10108"/>
      <c r="F69" s="10108"/>
      <c r="G69" s="10108"/>
      <c r="H69" s="10107"/>
      <c r="I69" s="10107"/>
      <c r="J69" s="10662"/>
      <c r="K69" s="13286"/>
      <c r="L69" s="10065"/>
    </row>
    <row r="70" spans="1:16" ht="14.25" customHeight="1">
      <c r="A70" s="12226"/>
      <c r="B70" s="10048" t="s">
        <v>352</v>
      </c>
      <c r="C70" s="10621"/>
      <c r="D70" s="10068"/>
      <c r="E70" s="10108"/>
      <c r="F70" s="10108"/>
      <c r="G70" s="10108"/>
      <c r="H70" s="10107"/>
      <c r="I70" s="10107"/>
      <c r="J70" s="10662"/>
      <c r="K70" s="13286"/>
      <c r="L70" s="10065"/>
    </row>
    <row r="71" spans="1:16" ht="15" hidden="1" customHeight="1">
      <c r="A71" s="13285"/>
      <c r="B71" s="7955" t="s">
        <v>4743</v>
      </c>
      <c r="C71" s="10625"/>
      <c r="D71" s="10105">
        <v>799921</v>
      </c>
      <c r="E71" s="10106"/>
      <c r="F71" s="10106"/>
      <c r="G71" s="10106"/>
      <c r="H71" s="10549">
        <v>0</v>
      </c>
      <c r="I71" s="10053"/>
      <c r="J71" s="10662"/>
      <c r="K71" s="13265">
        <v>0</v>
      </c>
      <c r="L71" s="10054"/>
      <c r="O71" s="7760">
        <v>0</v>
      </c>
      <c r="P71" s="7760">
        <v>0</v>
      </c>
    </row>
    <row r="72" spans="1:16" ht="13.5" hidden="1" customHeight="1">
      <c r="A72" s="13285"/>
      <c r="B72" s="7955" t="s">
        <v>4742</v>
      </c>
      <c r="C72" s="10625"/>
      <c r="D72" s="10105"/>
      <c r="E72" s="10106"/>
      <c r="F72" s="10106"/>
      <c r="G72" s="10106"/>
      <c r="H72" s="10549"/>
      <c r="I72" s="10053"/>
      <c r="J72" s="10662"/>
      <c r="K72" s="13265"/>
      <c r="L72" s="10054"/>
    </row>
    <row r="73" spans="1:16" ht="14.25" hidden="1" customHeight="1">
      <c r="A73" s="13245"/>
      <c r="B73" s="7730" t="s">
        <v>365</v>
      </c>
      <c r="C73" s="10621"/>
      <c r="D73" s="10105">
        <v>3399</v>
      </c>
      <c r="E73" s="10106"/>
      <c r="F73" s="10106"/>
      <c r="G73" s="10106"/>
      <c r="H73" s="10549" t="s">
        <v>10339</v>
      </c>
      <c r="I73" s="10053"/>
      <c r="J73" s="10662"/>
      <c r="K73" s="13265" t="s">
        <v>10339</v>
      </c>
      <c r="L73" s="10054"/>
      <c r="O73" s="7760">
        <v>3171000</v>
      </c>
      <c r="P73" s="7760">
        <v>3171000</v>
      </c>
    </row>
    <row r="74" spans="1:16" ht="14.25" hidden="1" customHeight="1">
      <c r="A74" s="13285"/>
      <c r="B74" s="7730" t="s">
        <v>3296</v>
      </c>
      <c r="C74" s="10621"/>
      <c r="D74" s="10068">
        <v>3992</v>
      </c>
      <c r="E74" s="10108"/>
      <c r="F74" s="10108"/>
      <c r="G74" s="10108"/>
      <c r="H74" s="10549" t="s">
        <v>10339</v>
      </c>
      <c r="I74" s="10053"/>
      <c r="J74" s="10662"/>
      <c r="K74" s="13265" t="s">
        <v>10339</v>
      </c>
      <c r="L74" s="10054"/>
      <c r="O74" s="7760">
        <v>6000000</v>
      </c>
      <c r="P74" s="7760">
        <v>6000000</v>
      </c>
    </row>
    <row r="75" spans="1:16" ht="14.25" hidden="1" customHeight="1">
      <c r="A75" s="13285"/>
      <c r="B75" s="7730" t="s">
        <v>3283</v>
      </c>
      <c r="C75" s="10621"/>
      <c r="D75" s="10068">
        <v>3991</v>
      </c>
      <c r="E75" s="10069"/>
      <c r="F75" s="10069"/>
      <c r="G75" s="10069"/>
      <c r="H75" s="10070">
        <v>0</v>
      </c>
      <c r="I75" s="10053"/>
      <c r="J75" s="10662"/>
      <c r="K75" s="13289">
        <v>0</v>
      </c>
      <c r="L75" s="10067"/>
      <c r="O75" s="7760">
        <v>0</v>
      </c>
      <c r="P75" s="7760">
        <v>0</v>
      </c>
    </row>
    <row r="76" spans="1:16" ht="14.25" customHeight="1">
      <c r="A76" s="13285"/>
      <c r="B76" s="7730"/>
      <c r="C76" s="10621"/>
      <c r="D76" s="10068"/>
      <c r="E76" s="10069"/>
      <c r="F76" s="10069"/>
      <c r="G76" s="10069"/>
      <c r="H76" s="10070"/>
      <c r="I76" s="10053"/>
      <c r="J76" s="10662"/>
      <c r="K76" s="13289"/>
      <c r="L76" s="10067"/>
    </row>
    <row r="77" spans="1:16" ht="15.9" customHeight="1">
      <c r="A77" s="13245"/>
      <c r="B77" s="7730" t="s">
        <v>366</v>
      </c>
      <c r="C77" s="10621"/>
      <c r="D77" s="10068" t="s">
        <v>10930</v>
      </c>
      <c r="E77" s="10108">
        <v>472550</v>
      </c>
      <c r="F77" s="10108">
        <v>0</v>
      </c>
      <c r="G77" s="10206">
        <f>H77-F77</f>
        <v>1000000</v>
      </c>
      <c r="H77" s="10109">
        <v>1000000</v>
      </c>
      <c r="I77" s="10053">
        <v>0</v>
      </c>
      <c r="J77" s="10662">
        <f t="shared" ref="J77:J84" si="6">I77/H77</f>
        <v>0</v>
      </c>
      <c r="K77" s="13251">
        <v>1000000</v>
      </c>
      <c r="L77" s="10050"/>
      <c r="M77" s="7760" t="s">
        <v>4823</v>
      </c>
      <c r="O77" s="7760">
        <v>1000000</v>
      </c>
      <c r="P77" s="7760">
        <v>1000000</v>
      </c>
    </row>
    <row r="78" spans="1:16" ht="15.9" customHeight="1">
      <c r="A78" s="13245"/>
      <c r="B78" s="7730" t="s">
        <v>367</v>
      </c>
      <c r="C78" s="10621"/>
      <c r="D78" s="13250" t="s">
        <v>9</v>
      </c>
      <c r="E78" s="10108"/>
      <c r="F78" s="10108"/>
      <c r="G78" s="10108"/>
      <c r="H78" s="10107"/>
      <c r="I78" s="10053"/>
      <c r="J78" s="10662"/>
      <c r="K78" s="13286"/>
      <c r="L78" s="10065"/>
    </row>
    <row r="79" spans="1:16" ht="15.9" customHeight="1">
      <c r="A79" s="11472"/>
      <c r="B79" s="7730" t="s">
        <v>368</v>
      </c>
      <c r="C79" s="10621"/>
      <c r="D79" s="10068">
        <v>49902</v>
      </c>
      <c r="E79" s="10108">
        <v>27804800</v>
      </c>
      <c r="F79" s="10108">
        <v>23859200</v>
      </c>
      <c r="G79" s="10206">
        <f t="shared" ref="G79:G85" si="7">H79-F79</f>
        <v>6140800</v>
      </c>
      <c r="H79" s="10109">
        <v>30000000</v>
      </c>
      <c r="I79" s="10053">
        <v>17184000</v>
      </c>
      <c r="J79" s="10662">
        <f t="shared" si="6"/>
        <v>0.57279999999999998</v>
      </c>
      <c r="K79" s="13251">
        <v>30000000</v>
      </c>
      <c r="L79" s="10050"/>
      <c r="M79" s="7760" t="s">
        <v>568</v>
      </c>
      <c r="O79" s="7760">
        <v>30000000</v>
      </c>
      <c r="P79" s="7760">
        <v>30000000</v>
      </c>
    </row>
    <row r="80" spans="1:16" ht="15.9" customHeight="1">
      <c r="A80" s="11472"/>
      <c r="B80" s="13287" t="s">
        <v>370</v>
      </c>
      <c r="C80" s="13264"/>
      <c r="D80" s="10068" t="s">
        <v>371</v>
      </c>
      <c r="E80" s="10108">
        <v>47000</v>
      </c>
      <c r="F80" s="10108">
        <v>0</v>
      </c>
      <c r="G80" s="10206">
        <f t="shared" si="7"/>
        <v>1783000</v>
      </c>
      <c r="H80" s="10109">
        <v>1783000</v>
      </c>
      <c r="I80" s="10053"/>
      <c r="J80" s="10662">
        <f t="shared" si="6"/>
        <v>0</v>
      </c>
      <c r="K80" s="13251"/>
      <c r="L80" s="10054" t="s">
        <v>11766</v>
      </c>
      <c r="M80" s="7760" t="s">
        <v>11150</v>
      </c>
      <c r="O80" s="7760">
        <v>150000</v>
      </c>
      <c r="P80" s="7760">
        <v>150000</v>
      </c>
    </row>
    <row r="81" spans="1:17" ht="15.9" customHeight="1">
      <c r="A81" s="11472"/>
      <c r="B81" s="13287" t="s">
        <v>11152</v>
      </c>
      <c r="C81" s="13264"/>
      <c r="D81" s="10068">
        <v>5999</v>
      </c>
      <c r="E81" s="10108"/>
      <c r="F81" s="10108">
        <v>0</v>
      </c>
      <c r="G81" s="10206">
        <f t="shared" si="7"/>
        <v>100000</v>
      </c>
      <c r="H81" s="10109">
        <v>100000</v>
      </c>
      <c r="I81" s="10053">
        <v>0</v>
      </c>
      <c r="J81" s="10662">
        <f t="shared" si="6"/>
        <v>0</v>
      </c>
      <c r="K81" s="13251">
        <v>100000</v>
      </c>
      <c r="L81" s="10050"/>
      <c r="M81" s="7760" t="s">
        <v>11151</v>
      </c>
      <c r="O81" s="7760">
        <v>100000</v>
      </c>
      <c r="P81" s="7760">
        <v>100000</v>
      </c>
    </row>
    <row r="82" spans="1:17" ht="15.9" customHeight="1">
      <c r="A82" s="11472"/>
      <c r="B82" s="13287" t="s">
        <v>373</v>
      </c>
      <c r="C82" s="13264"/>
      <c r="D82" s="10068">
        <v>799932</v>
      </c>
      <c r="E82" s="10108">
        <v>1527196.25</v>
      </c>
      <c r="F82" s="10108">
        <v>785075.65</v>
      </c>
      <c r="G82" s="10206">
        <f t="shared" si="7"/>
        <v>3714924.35</v>
      </c>
      <c r="H82" s="10109">
        <v>4500000</v>
      </c>
      <c r="I82" s="10053"/>
      <c r="J82" s="10662">
        <f t="shared" si="6"/>
        <v>0</v>
      </c>
      <c r="K82" s="13251">
        <v>0</v>
      </c>
      <c r="L82" s="10054" t="s">
        <v>11766</v>
      </c>
      <c r="M82" s="7760" t="s">
        <v>11117</v>
      </c>
      <c r="O82" s="7760">
        <v>2000000</v>
      </c>
      <c r="P82" s="7760">
        <v>2000000</v>
      </c>
      <c r="Q82" s="7732" t="s">
        <v>9973</v>
      </c>
    </row>
    <row r="83" spans="1:17" ht="15.9" customHeight="1">
      <c r="A83" s="11472"/>
      <c r="B83" s="13263" t="s">
        <v>3066</v>
      </c>
      <c r="C83" s="13264"/>
      <c r="D83" s="10068"/>
      <c r="E83" s="10108"/>
      <c r="F83" s="10108"/>
      <c r="G83" s="10108"/>
      <c r="H83" s="10109"/>
      <c r="I83" s="10053"/>
      <c r="J83" s="10662"/>
      <c r="K83" s="13251"/>
      <c r="L83" s="10050"/>
    </row>
    <row r="84" spans="1:17" ht="15.9" customHeight="1">
      <c r="A84" s="12226"/>
      <c r="B84" s="13287" t="s">
        <v>374</v>
      </c>
      <c r="C84" s="13264"/>
      <c r="D84" s="10068">
        <v>399805</v>
      </c>
      <c r="E84" s="10108">
        <v>21250</v>
      </c>
      <c r="F84" s="10108">
        <v>0</v>
      </c>
      <c r="G84" s="10206">
        <f t="shared" si="7"/>
        <v>100000</v>
      </c>
      <c r="H84" s="10109">
        <v>100000</v>
      </c>
      <c r="I84" s="10053">
        <v>36750</v>
      </c>
      <c r="J84" s="10662">
        <f t="shared" si="6"/>
        <v>0.36749999999999999</v>
      </c>
      <c r="K84" s="13251">
        <v>100000</v>
      </c>
      <c r="L84" s="10050"/>
      <c r="M84" s="7760" t="s">
        <v>596</v>
      </c>
      <c r="O84" s="7760">
        <v>100000</v>
      </c>
      <c r="P84" s="7760">
        <v>100000</v>
      </c>
    </row>
    <row r="85" spans="1:17" ht="15.9" customHeight="1" thickBot="1">
      <c r="A85" s="13290"/>
      <c r="B85" s="13291" t="s">
        <v>3298</v>
      </c>
      <c r="C85" s="13271"/>
      <c r="D85" s="10118">
        <v>3993</v>
      </c>
      <c r="E85" s="10119">
        <v>2058574.96</v>
      </c>
      <c r="F85" s="10119">
        <v>423585</v>
      </c>
      <c r="G85" s="13292">
        <f t="shared" si="7"/>
        <v>3576415</v>
      </c>
      <c r="H85" s="10120">
        <v>4000000</v>
      </c>
      <c r="I85" s="13293">
        <v>1586226.51</v>
      </c>
      <c r="J85" s="13275">
        <f>I85/H85</f>
        <v>0.39655662749999998</v>
      </c>
      <c r="K85" s="13294">
        <v>3000000</v>
      </c>
      <c r="L85" s="10050"/>
      <c r="M85" s="7760" t="s">
        <v>596</v>
      </c>
      <c r="O85" s="7760">
        <v>1936952</v>
      </c>
      <c r="P85" s="7760">
        <v>2500000</v>
      </c>
    </row>
    <row r="86" spans="1:17" ht="15.9" hidden="1" customHeight="1">
      <c r="A86" s="10175"/>
      <c r="B86" s="10626" t="s">
        <v>531</v>
      </c>
      <c r="C86" s="10627"/>
      <c r="D86" s="10068"/>
      <c r="E86" s="10108"/>
      <c r="F86" s="10108"/>
      <c r="G86" s="10206"/>
      <c r="H86" s="10109"/>
      <c r="I86" s="10550"/>
      <c r="J86" s="10662"/>
      <c r="K86" s="10109"/>
      <c r="L86" s="10050"/>
    </row>
    <row r="87" spans="1:17" ht="15.9" hidden="1" customHeight="1">
      <c r="A87" s="10175"/>
      <c r="B87" s="10626" t="s">
        <v>11806</v>
      </c>
      <c r="C87" s="10627"/>
      <c r="D87" s="10068"/>
      <c r="E87" s="10108"/>
      <c r="F87" s="10108"/>
      <c r="G87" s="10206"/>
      <c r="H87" s="10109"/>
      <c r="I87" s="10550"/>
      <c r="J87" s="10662"/>
      <c r="K87" s="10109"/>
      <c r="L87" s="10050"/>
    </row>
    <row r="88" spans="1:17" ht="15.9" hidden="1" customHeight="1">
      <c r="A88" s="10175"/>
      <c r="B88" s="10628" t="s">
        <v>11789</v>
      </c>
      <c r="C88" s="10627"/>
      <c r="D88" s="10068"/>
      <c r="E88" s="10108"/>
      <c r="F88" s="10108"/>
      <c r="G88" s="10206"/>
      <c r="H88" s="10109"/>
      <c r="I88" s="10550"/>
      <c r="J88" s="10662"/>
      <c r="K88" s="10109"/>
      <c r="L88" s="10050"/>
    </row>
    <row r="89" spans="1:17" s="7731" customFormat="1" ht="14.25" customHeight="1">
      <c r="A89" s="10072"/>
      <c r="B89" s="10073"/>
      <c r="C89" s="10629"/>
      <c r="D89" s="10074"/>
      <c r="E89" s="10630"/>
      <c r="F89" s="10075"/>
      <c r="G89" s="10075"/>
      <c r="H89" s="10076"/>
      <c r="I89" s="10665"/>
      <c r="J89" s="10666"/>
      <c r="K89" s="10076"/>
      <c r="L89" s="10050"/>
      <c r="M89" s="7733"/>
      <c r="N89" s="10071"/>
      <c r="O89" s="7733"/>
      <c r="P89" s="7733"/>
    </row>
    <row r="90" spans="1:17" s="7731" customFormat="1" ht="14.25" customHeight="1">
      <c r="A90" s="10077"/>
      <c r="B90" s="7730"/>
      <c r="C90" s="10617"/>
      <c r="D90" s="10052"/>
      <c r="E90" s="10078"/>
      <c r="F90" s="10078"/>
      <c r="G90" s="10078"/>
      <c r="H90" s="10050"/>
      <c r="I90" s="10050"/>
      <c r="J90" s="8003"/>
      <c r="K90" s="10050"/>
      <c r="L90" s="10050"/>
      <c r="M90" s="7733"/>
      <c r="N90" s="10071"/>
      <c r="O90" s="7733"/>
      <c r="P90" s="7733"/>
    </row>
    <row r="91" spans="1:17" s="7731" customFormat="1" ht="14.25" customHeight="1">
      <c r="A91" s="10077"/>
      <c r="B91" s="7730"/>
      <c r="C91" s="10617"/>
      <c r="D91" s="10052"/>
      <c r="E91" s="10078"/>
      <c r="F91" s="10078"/>
      <c r="G91" s="10078"/>
      <c r="H91" s="10050"/>
      <c r="I91" s="10050"/>
      <c r="J91" s="8003"/>
      <c r="K91" s="10050"/>
      <c r="L91" s="10050"/>
      <c r="M91" s="7733"/>
      <c r="N91" s="10071"/>
      <c r="O91" s="7733"/>
      <c r="P91" s="7733"/>
    </row>
    <row r="92" spans="1:17" s="7731" customFormat="1" ht="14.25" customHeight="1">
      <c r="A92" s="10077"/>
      <c r="B92" s="7730"/>
      <c r="C92" s="10617"/>
      <c r="D92" s="10052"/>
      <c r="E92" s="10078"/>
      <c r="F92" s="10078"/>
      <c r="G92" s="10078"/>
      <c r="H92" s="10050"/>
      <c r="I92" s="10050"/>
      <c r="J92" s="8003"/>
      <c r="K92" s="10050"/>
      <c r="L92" s="10050"/>
      <c r="M92" s="7733"/>
      <c r="N92" s="10071"/>
      <c r="O92" s="7733"/>
      <c r="P92" s="7733"/>
    </row>
    <row r="93" spans="1:17" s="7731" customFormat="1" ht="15.75" customHeight="1" thickBot="1">
      <c r="A93" s="10077" t="s">
        <v>10353</v>
      </c>
      <c r="B93" s="7730"/>
      <c r="C93" s="10617"/>
      <c r="D93" s="10052"/>
      <c r="E93" s="10078"/>
      <c r="F93" s="10078"/>
      <c r="G93" s="10078"/>
      <c r="H93" s="10050"/>
      <c r="I93" s="10050"/>
      <c r="J93" s="8003"/>
      <c r="K93" s="10050"/>
      <c r="L93" s="10050"/>
      <c r="M93" s="7733"/>
      <c r="N93" s="10071"/>
      <c r="O93" s="7733"/>
      <c r="P93" s="7733"/>
    </row>
    <row r="94" spans="1:17" s="10033" customFormat="1" ht="14.25" customHeight="1">
      <c r="A94" s="13234"/>
      <c r="B94" s="10600"/>
      <c r="C94" s="10620"/>
      <c r="D94" s="10042" t="s">
        <v>103</v>
      </c>
      <c r="E94" s="13324" t="s">
        <v>10</v>
      </c>
      <c r="F94" s="14612" t="s">
        <v>10711</v>
      </c>
      <c r="G94" s="14612"/>
      <c r="H94" s="14612"/>
      <c r="I94" s="13325"/>
      <c r="J94" s="13326"/>
      <c r="K94" s="13327" t="s">
        <v>326</v>
      </c>
      <c r="L94" s="10044"/>
      <c r="M94" s="10031"/>
      <c r="N94" s="10032"/>
      <c r="O94" s="10031" t="s">
        <v>326</v>
      </c>
      <c r="P94" s="10031" t="s">
        <v>326</v>
      </c>
    </row>
    <row r="95" spans="1:17" s="10033" customFormat="1" ht="14.25" customHeight="1">
      <c r="A95" s="13237"/>
      <c r="B95" s="13301" t="s">
        <v>13</v>
      </c>
      <c r="C95" s="13343"/>
      <c r="D95" s="10062" t="s">
        <v>94</v>
      </c>
      <c r="E95" s="13328" t="s">
        <v>15</v>
      </c>
      <c r="F95" s="13964" t="s">
        <v>10709</v>
      </c>
      <c r="G95" s="13964" t="s">
        <v>10710</v>
      </c>
      <c r="H95" s="14191" t="s">
        <v>458</v>
      </c>
      <c r="I95" s="13329"/>
      <c r="J95" s="13330"/>
      <c r="K95" s="13331" t="s">
        <v>16</v>
      </c>
      <c r="L95" s="10044"/>
      <c r="M95" s="10031"/>
      <c r="N95" s="10032"/>
      <c r="O95" s="10031" t="s">
        <v>16</v>
      </c>
      <c r="P95" s="10031" t="s">
        <v>16</v>
      </c>
    </row>
    <row r="96" spans="1:17" s="10033" customFormat="1" ht="18" customHeight="1" thickBot="1">
      <c r="A96" s="13242"/>
      <c r="B96" s="13344"/>
      <c r="C96" s="13345"/>
      <c r="D96" s="13243"/>
      <c r="E96" s="13332">
        <v>2017</v>
      </c>
      <c r="F96" s="13965" t="s">
        <v>457</v>
      </c>
      <c r="G96" s="13965" t="s">
        <v>456</v>
      </c>
      <c r="H96" s="14192"/>
      <c r="I96" s="13333"/>
      <c r="J96" s="13334"/>
      <c r="K96" s="13335">
        <v>2019</v>
      </c>
      <c r="L96" s="10046"/>
      <c r="M96" s="10031"/>
      <c r="N96" s="10032"/>
      <c r="O96" s="10047">
        <v>2014</v>
      </c>
      <c r="P96" s="10031">
        <v>2015</v>
      </c>
    </row>
    <row r="97" spans="1:16" ht="14.25" hidden="1" customHeight="1">
      <c r="A97" s="11472"/>
      <c r="B97" s="13297" t="s">
        <v>3299</v>
      </c>
      <c r="C97" s="10621"/>
      <c r="D97" s="13340">
        <v>215</v>
      </c>
      <c r="E97" s="10108">
        <v>0</v>
      </c>
      <c r="F97" s="10108"/>
      <c r="G97" s="10108"/>
      <c r="H97" s="10550">
        <v>0</v>
      </c>
      <c r="I97" s="10053"/>
      <c r="J97" s="10662"/>
      <c r="K97" s="13298">
        <v>0</v>
      </c>
      <c r="L97" s="10079"/>
      <c r="O97" s="7760">
        <v>0</v>
      </c>
      <c r="P97" s="7760">
        <v>0</v>
      </c>
    </row>
    <row r="98" spans="1:16" ht="14.25" hidden="1" customHeight="1">
      <c r="A98" s="11472"/>
      <c r="B98" s="13297" t="s">
        <v>3300</v>
      </c>
      <c r="C98" s="10621"/>
      <c r="D98" s="13340">
        <v>215</v>
      </c>
      <c r="E98" s="10108">
        <v>0</v>
      </c>
      <c r="F98" s="10108"/>
      <c r="G98" s="10108"/>
      <c r="H98" s="10550">
        <v>0</v>
      </c>
      <c r="I98" s="10053"/>
      <c r="J98" s="10662"/>
      <c r="K98" s="13298">
        <v>0</v>
      </c>
      <c r="L98" s="10079"/>
      <c r="O98" s="7760">
        <v>0</v>
      </c>
      <c r="P98" s="7760">
        <v>0</v>
      </c>
    </row>
    <row r="99" spans="1:16" ht="14.25" hidden="1" customHeight="1">
      <c r="A99" s="13285"/>
      <c r="B99" s="13297" t="s">
        <v>3301</v>
      </c>
      <c r="C99" s="10621"/>
      <c r="D99" s="13340">
        <v>215</v>
      </c>
      <c r="E99" s="10108">
        <v>0</v>
      </c>
      <c r="F99" s="10108"/>
      <c r="G99" s="10108"/>
      <c r="H99" s="10550">
        <v>0</v>
      </c>
      <c r="I99" s="10053"/>
      <c r="J99" s="10662"/>
      <c r="K99" s="13298">
        <v>0</v>
      </c>
      <c r="L99" s="10079"/>
      <c r="O99" s="7760">
        <v>0</v>
      </c>
      <c r="P99" s="7760">
        <v>0</v>
      </c>
    </row>
    <row r="100" spans="1:16" ht="14.25" customHeight="1">
      <c r="A100" s="13285"/>
      <c r="B100" s="13297" t="s">
        <v>3302</v>
      </c>
      <c r="C100" s="10621"/>
      <c r="D100" s="13340">
        <v>899910</v>
      </c>
      <c r="E100" s="10108">
        <v>2231272.3199999998</v>
      </c>
      <c r="F100" s="10108">
        <v>489447.21</v>
      </c>
      <c r="G100" s="10206">
        <f>H100-F100</f>
        <v>1510552.79</v>
      </c>
      <c r="H100" s="10550">
        <v>2000000</v>
      </c>
      <c r="I100" s="10053">
        <v>1344885.54</v>
      </c>
      <c r="J100" s="10662">
        <f>I100/H100</f>
        <v>0.67244276999999997</v>
      </c>
      <c r="K100" s="13298">
        <v>2000000</v>
      </c>
      <c r="L100" s="10079"/>
      <c r="M100" s="7760" t="s">
        <v>2051</v>
      </c>
      <c r="O100" s="7760">
        <v>2500000</v>
      </c>
      <c r="P100" s="7760">
        <v>2500000</v>
      </c>
    </row>
    <row r="101" spans="1:16" ht="14.25" hidden="1" customHeight="1">
      <c r="A101" s="13285"/>
      <c r="B101" s="13299" t="s">
        <v>531</v>
      </c>
      <c r="C101" s="10627">
        <v>36000</v>
      </c>
      <c r="D101" s="13340"/>
      <c r="E101" s="10108"/>
      <c r="F101" s="10108"/>
      <c r="G101" s="10206"/>
      <c r="H101" s="10550"/>
      <c r="I101" s="10053"/>
      <c r="J101" s="10662"/>
      <c r="K101" s="13298"/>
      <c r="L101" s="10079"/>
    </row>
    <row r="102" spans="1:16" ht="14.25" hidden="1" customHeight="1">
      <c r="A102" s="13285"/>
      <c r="B102" s="13299" t="s">
        <v>700</v>
      </c>
      <c r="C102" s="10627">
        <v>83855</v>
      </c>
      <c r="D102" s="13340"/>
      <c r="E102" s="10108"/>
      <c r="F102" s="10108"/>
      <c r="G102" s="10206"/>
      <c r="H102" s="10550"/>
      <c r="I102" s="10053"/>
      <c r="J102" s="10662"/>
      <c r="K102" s="13298"/>
      <c r="L102" s="10079"/>
    </row>
    <row r="103" spans="1:16" ht="14.25" hidden="1" customHeight="1">
      <c r="A103" s="13285"/>
      <c r="B103" s="13299" t="s">
        <v>11794</v>
      </c>
      <c r="C103" s="10627">
        <f>390612</f>
        <v>390612</v>
      </c>
      <c r="D103" s="13340"/>
      <c r="E103" s="10108"/>
      <c r="F103" s="10108"/>
      <c r="G103" s="10206"/>
      <c r="H103" s="10550"/>
      <c r="I103" s="10053"/>
      <c r="J103" s="10662"/>
      <c r="K103" s="13298"/>
      <c r="L103" s="10079"/>
    </row>
    <row r="104" spans="1:16" ht="14.25" hidden="1" customHeight="1">
      <c r="A104" s="13285"/>
      <c r="B104" s="13299" t="s">
        <v>11790</v>
      </c>
      <c r="C104" s="10627">
        <v>103935</v>
      </c>
      <c r="D104" s="13340"/>
      <c r="E104" s="10108"/>
      <c r="F104" s="10108"/>
      <c r="G104" s="10206"/>
      <c r="H104" s="10550"/>
      <c r="I104" s="10053"/>
      <c r="J104" s="10662"/>
      <c r="K104" s="13298"/>
      <c r="L104" s="10079"/>
    </row>
    <row r="105" spans="1:16" ht="14.25" hidden="1" customHeight="1">
      <c r="A105" s="13285"/>
      <c r="B105" s="13299" t="s">
        <v>3349</v>
      </c>
      <c r="C105" s="10627">
        <v>511280</v>
      </c>
      <c r="D105" s="13340"/>
      <c r="E105" s="10108"/>
      <c r="F105" s="10108"/>
      <c r="G105" s="10206"/>
      <c r="H105" s="10550"/>
      <c r="I105" s="10053"/>
      <c r="J105" s="10662"/>
      <c r="K105" s="13298"/>
      <c r="L105" s="10079"/>
    </row>
    <row r="106" spans="1:16" ht="14.25" hidden="1" customHeight="1">
      <c r="A106" s="13285"/>
      <c r="B106" s="13346" t="s">
        <v>10938</v>
      </c>
      <c r="C106" s="10627">
        <v>30000</v>
      </c>
      <c r="D106" s="13340"/>
      <c r="E106" s="10108"/>
      <c r="F106" s="10108"/>
      <c r="G106" s="10206"/>
      <c r="H106" s="10550"/>
      <c r="I106" s="10053"/>
      <c r="J106" s="10662"/>
      <c r="K106" s="13298"/>
      <c r="L106" s="10079"/>
    </row>
    <row r="107" spans="1:16" ht="14.25" hidden="1" customHeight="1">
      <c r="A107" s="13285"/>
      <c r="B107" s="13346" t="s">
        <v>11789</v>
      </c>
      <c r="C107" s="10627">
        <f>79200+469118+21000+21000+19000+45000</f>
        <v>654318</v>
      </c>
      <c r="D107" s="13340"/>
      <c r="E107" s="10108"/>
      <c r="F107" s="10108"/>
      <c r="G107" s="10206"/>
      <c r="H107" s="10550"/>
      <c r="I107" s="10053"/>
      <c r="J107" s="10662"/>
      <c r="K107" s="13298"/>
      <c r="L107" s="10079"/>
    </row>
    <row r="108" spans="1:16" ht="14.25" hidden="1" customHeight="1">
      <c r="A108" s="13285"/>
      <c r="B108" s="13304" t="s">
        <v>52</v>
      </c>
      <c r="C108" s="10627"/>
      <c r="D108" s="13340"/>
      <c r="E108" s="10108"/>
      <c r="F108" s="10108"/>
      <c r="G108" s="10206"/>
      <c r="H108" s="10550"/>
      <c r="I108" s="10053"/>
      <c r="J108" s="10662"/>
      <c r="K108" s="13298"/>
      <c r="L108" s="10079"/>
    </row>
    <row r="109" spans="1:16" s="10637" customFormat="1" ht="14.25" hidden="1" customHeight="1">
      <c r="A109" s="13826"/>
      <c r="B109" s="13347" t="s">
        <v>10975</v>
      </c>
      <c r="C109" s="10627">
        <v>100000</v>
      </c>
      <c r="D109" s="13341"/>
      <c r="E109" s="10627"/>
      <c r="F109" s="10627"/>
      <c r="G109" s="13827"/>
      <c r="H109" s="10633"/>
      <c r="I109" s="10667"/>
      <c r="J109" s="10668"/>
      <c r="K109" s="13300"/>
      <c r="L109" s="10634"/>
      <c r="M109" s="10635"/>
      <c r="N109" s="10636"/>
      <c r="O109" s="10635"/>
      <c r="P109" s="10635"/>
    </row>
    <row r="110" spans="1:16" s="10637" customFormat="1" ht="14.25" hidden="1" customHeight="1">
      <c r="A110" s="13826"/>
      <c r="B110" s="13828" t="s">
        <v>122</v>
      </c>
      <c r="C110" s="10627">
        <v>40000</v>
      </c>
      <c r="D110" s="13341"/>
      <c r="E110" s="10627"/>
      <c r="F110" s="10627"/>
      <c r="G110" s="13827"/>
      <c r="H110" s="10633"/>
      <c r="I110" s="10667"/>
      <c r="J110" s="10668"/>
      <c r="K110" s="13300"/>
      <c r="L110" s="10634"/>
      <c r="M110" s="10635"/>
      <c r="N110" s="10636"/>
      <c r="O110" s="10635"/>
      <c r="P110" s="10635"/>
    </row>
    <row r="111" spans="1:16" ht="14.25" hidden="1" customHeight="1">
      <c r="A111" s="13285"/>
      <c r="B111" s="13346" t="s">
        <v>10946</v>
      </c>
      <c r="C111" s="10627">
        <v>150000</v>
      </c>
      <c r="D111" s="13340"/>
      <c r="E111" s="10108"/>
      <c r="F111" s="10108"/>
      <c r="G111" s="10206"/>
      <c r="H111" s="10550"/>
      <c r="I111" s="10053"/>
      <c r="J111" s="10662"/>
      <c r="K111" s="13298"/>
      <c r="L111" s="10079"/>
    </row>
    <row r="112" spans="1:16" ht="18" customHeight="1">
      <c r="A112" s="11472"/>
      <c r="B112" s="13297" t="s">
        <v>3304</v>
      </c>
      <c r="C112" s="10621"/>
      <c r="D112" s="13340">
        <v>899914</v>
      </c>
      <c r="E112" s="10108">
        <v>1787360.26</v>
      </c>
      <c r="F112" s="10108">
        <v>779312.53</v>
      </c>
      <c r="G112" s="10206">
        <f>H112-F112</f>
        <v>2220687.4699999997</v>
      </c>
      <c r="H112" s="10550">
        <v>3000000</v>
      </c>
      <c r="I112" s="10053">
        <v>1466552.54</v>
      </c>
      <c r="J112" s="10662">
        <f>I112/H112</f>
        <v>0.48885084666666667</v>
      </c>
      <c r="K112" s="13298">
        <v>3000000</v>
      </c>
      <c r="L112" s="10079"/>
      <c r="M112" s="7760" t="s">
        <v>2051</v>
      </c>
      <c r="O112" s="7760">
        <v>2000000</v>
      </c>
      <c r="P112" s="7760">
        <v>2000000</v>
      </c>
    </row>
    <row r="113" spans="1:16" ht="14.25" hidden="1" customHeight="1">
      <c r="A113" s="11472"/>
      <c r="B113" s="13299" t="s">
        <v>11780</v>
      </c>
      <c r="C113" s="10621">
        <v>50000</v>
      </c>
      <c r="D113" s="13340"/>
      <c r="E113" s="10108"/>
      <c r="F113" s="10108"/>
      <c r="G113" s="10206"/>
      <c r="H113" s="10550"/>
      <c r="I113" s="10053"/>
      <c r="J113" s="10662"/>
      <c r="K113" s="13298"/>
      <c r="L113" s="10079"/>
    </row>
    <row r="114" spans="1:16" ht="14.25" hidden="1" customHeight="1">
      <c r="A114" s="11472"/>
      <c r="B114" s="13299" t="s">
        <v>531</v>
      </c>
      <c r="C114" s="10621">
        <f>84000</f>
        <v>84000</v>
      </c>
      <c r="D114" s="13340"/>
      <c r="E114" s="10108"/>
      <c r="F114" s="10108"/>
      <c r="G114" s="10206"/>
      <c r="H114" s="10550"/>
      <c r="I114" s="10053"/>
      <c r="J114" s="10662"/>
      <c r="K114" s="13298"/>
      <c r="L114" s="10079"/>
    </row>
    <row r="115" spans="1:16" ht="14.25" hidden="1" customHeight="1">
      <c r="A115" s="11472"/>
      <c r="B115" s="13299" t="s">
        <v>700</v>
      </c>
      <c r="C115" s="10621">
        <f>60000+27000</f>
        <v>87000</v>
      </c>
      <c r="D115" s="13340"/>
      <c r="E115" s="10108"/>
      <c r="F115" s="10108"/>
      <c r="G115" s="10206"/>
      <c r="H115" s="10550"/>
      <c r="I115" s="10053"/>
      <c r="J115" s="10662"/>
      <c r="K115" s="13298"/>
      <c r="L115" s="10079"/>
    </row>
    <row r="116" spans="1:16" ht="14.25" hidden="1" customHeight="1">
      <c r="A116" s="11472"/>
      <c r="B116" s="13299" t="s">
        <v>11794</v>
      </c>
      <c r="C116" s="10621">
        <f>95000+121000+200000+150000+100000+76000</f>
        <v>742000</v>
      </c>
      <c r="D116" s="13340"/>
      <c r="E116" s="10108"/>
      <c r="F116" s="10108"/>
      <c r="G116" s="10206"/>
      <c r="H116" s="10550"/>
      <c r="I116" s="10053"/>
      <c r="J116" s="10662"/>
      <c r="K116" s="13298"/>
      <c r="L116" s="10079"/>
    </row>
    <row r="117" spans="1:16" ht="14.25" hidden="1" customHeight="1">
      <c r="A117" s="11472"/>
      <c r="B117" s="13299" t="s">
        <v>11790</v>
      </c>
      <c r="C117" s="10621">
        <v>100000</v>
      </c>
      <c r="D117" s="13340"/>
      <c r="E117" s="10108"/>
      <c r="F117" s="10108"/>
      <c r="G117" s="10206"/>
      <c r="H117" s="10550"/>
      <c r="I117" s="10053"/>
      <c r="J117" s="10662"/>
      <c r="K117" s="13298"/>
      <c r="L117" s="10079"/>
    </row>
    <row r="118" spans="1:16" ht="14.25" hidden="1" customHeight="1">
      <c r="A118" s="11472"/>
      <c r="B118" s="13299" t="s">
        <v>3349</v>
      </c>
      <c r="C118" s="10621">
        <v>184500</v>
      </c>
      <c r="D118" s="13340"/>
      <c r="E118" s="10108"/>
      <c r="F118" s="10108"/>
      <c r="G118" s="10206"/>
      <c r="H118" s="10550"/>
      <c r="I118" s="10053"/>
      <c r="J118" s="10662"/>
      <c r="K118" s="13298"/>
      <c r="L118" s="10079"/>
    </row>
    <row r="119" spans="1:16" ht="14.25" hidden="1" customHeight="1">
      <c r="A119" s="11472"/>
      <c r="B119" s="13346" t="s">
        <v>10959</v>
      </c>
      <c r="C119" s="10621"/>
      <c r="D119" s="13340"/>
      <c r="E119" s="10108"/>
      <c r="F119" s="10108"/>
      <c r="G119" s="10206"/>
      <c r="H119" s="10550"/>
      <c r="I119" s="10053"/>
      <c r="J119" s="10662"/>
      <c r="K119" s="13298"/>
      <c r="L119" s="10079"/>
    </row>
    <row r="120" spans="1:16" ht="14.25" hidden="1" customHeight="1">
      <c r="A120" s="11472"/>
      <c r="B120" s="13346" t="s">
        <v>10937</v>
      </c>
      <c r="C120" s="10621"/>
      <c r="D120" s="13340"/>
      <c r="E120" s="10108"/>
      <c r="F120" s="10108"/>
      <c r="G120" s="10206"/>
      <c r="H120" s="10550"/>
      <c r="I120" s="10053"/>
      <c r="J120" s="10662"/>
      <c r="K120" s="13298"/>
      <c r="L120" s="10079"/>
    </row>
    <row r="121" spans="1:16" ht="14.25" hidden="1" customHeight="1">
      <c r="A121" s="11472"/>
      <c r="B121" s="13346" t="s">
        <v>10938</v>
      </c>
      <c r="C121" s="10621">
        <v>100000</v>
      </c>
      <c r="D121" s="13340"/>
      <c r="E121" s="10108"/>
      <c r="F121" s="10108"/>
      <c r="G121" s="10206"/>
      <c r="H121" s="10550"/>
      <c r="I121" s="10053"/>
      <c r="J121" s="10662"/>
      <c r="K121" s="13298"/>
      <c r="L121" s="10079"/>
    </row>
    <row r="122" spans="1:16" ht="14.25" hidden="1" customHeight="1">
      <c r="A122" s="11472"/>
      <c r="B122" s="13346" t="s">
        <v>11789</v>
      </c>
      <c r="C122" s="10621">
        <f>15000+7500+40500+25000+7500+100000+50000+100000</f>
        <v>345500</v>
      </c>
      <c r="D122" s="13340"/>
      <c r="E122" s="10108"/>
      <c r="F122" s="10108"/>
      <c r="G122" s="10206"/>
      <c r="H122" s="10550"/>
      <c r="I122" s="10053"/>
      <c r="J122" s="10662"/>
      <c r="K122" s="13298"/>
      <c r="L122" s="10079"/>
    </row>
    <row r="123" spans="1:16" ht="14.25" hidden="1" customHeight="1">
      <c r="A123" s="11472"/>
      <c r="B123" s="13304" t="s">
        <v>52</v>
      </c>
      <c r="C123" s="10621"/>
      <c r="D123" s="13340"/>
      <c r="E123" s="10108"/>
      <c r="F123" s="10108"/>
      <c r="G123" s="10206"/>
      <c r="H123" s="10550"/>
      <c r="I123" s="10053"/>
      <c r="J123" s="10662"/>
      <c r="K123" s="13298"/>
      <c r="L123" s="10079"/>
    </row>
    <row r="124" spans="1:16" ht="14.25" hidden="1" customHeight="1">
      <c r="A124" s="11472"/>
      <c r="B124" s="13347" t="s">
        <v>10975</v>
      </c>
      <c r="C124" s="10621">
        <v>50000</v>
      </c>
      <c r="D124" s="13340"/>
      <c r="E124" s="10108"/>
      <c r="F124" s="10108"/>
      <c r="G124" s="10206"/>
      <c r="H124" s="10550"/>
      <c r="I124" s="10053"/>
      <c r="J124" s="10662"/>
      <c r="K124" s="13298"/>
      <c r="L124" s="10079"/>
    </row>
    <row r="125" spans="1:16" ht="14.25" hidden="1" customHeight="1">
      <c r="A125" s="11472"/>
      <c r="B125" s="13346" t="s">
        <v>10946</v>
      </c>
      <c r="C125" s="10621">
        <v>7000</v>
      </c>
      <c r="D125" s="13340"/>
      <c r="E125" s="10108"/>
      <c r="F125" s="10108"/>
      <c r="G125" s="10206"/>
      <c r="H125" s="10550"/>
      <c r="I125" s="10053"/>
      <c r="J125" s="10662"/>
      <c r="K125" s="13298"/>
      <c r="L125" s="10079"/>
    </row>
    <row r="126" spans="1:16" ht="14.25" hidden="1" customHeight="1">
      <c r="A126" s="11472"/>
      <c r="B126" s="13348" t="s">
        <v>9128</v>
      </c>
      <c r="C126" s="10621">
        <v>1400000</v>
      </c>
      <c r="D126" s="13340"/>
      <c r="E126" s="10108"/>
      <c r="F126" s="10108"/>
      <c r="G126" s="10206"/>
      <c r="H126" s="10550"/>
      <c r="I126" s="10053"/>
      <c r="J126" s="10662"/>
      <c r="K126" s="13298"/>
      <c r="L126" s="10079"/>
    </row>
    <row r="127" spans="1:16" ht="14.25" customHeight="1">
      <c r="A127" s="11472"/>
      <c r="B127" s="13297" t="s">
        <v>10609</v>
      </c>
      <c r="C127" s="10621"/>
      <c r="D127" s="13340">
        <v>899915</v>
      </c>
      <c r="E127" s="10108">
        <v>2571707.2200000002</v>
      </c>
      <c r="F127" s="10108">
        <v>214070.7</v>
      </c>
      <c r="G127" s="10206">
        <f>H127-F127</f>
        <v>1785929.3</v>
      </c>
      <c r="H127" s="10550">
        <v>2000000</v>
      </c>
      <c r="I127" s="10053">
        <v>1616723.19</v>
      </c>
      <c r="J127" s="10662">
        <f>I127/H127</f>
        <v>0.80836159499999993</v>
      </c>
      <c r="K127" s="13298">
        <v>1500000</v>
      </c>
      <c r="L127" s="10079"/>
      <c r="M127" s="7760" t="s">
        <v>2051</v>
      </c>
      <c r="O127" s="7760">
        <v>2850000</v>
      </c>
      <c r="P127" s="7760">
        <v>2850000</v>
      </c>
    </row>
    <row r="128" spans="1:16" ht="14.25" hidden="1" customHeight="1">
      <c r="A128" s="11472"/>
      <c r="B128" s="13299" t="s">
        <v>531</v>
      </c>
      <c r="C128" s="10621">
        <v>20000</v>
      </c>
      <c r="D128" s="13340"/>
      <c r="E128" s="10108"/>
      <c r="F128" s="10108"/>
      <c r="G128" s="10206"/>
      <c r="H128" s="10550"/>
      <c r="I128" s="10053"/>
      <c r="J128" s="10662"/>
      <c r="K128" s="13298"/>
      <c r="L128" s="10079"/>
    </row>
    <row r="129" spans="1:16" ht="14.25" hidden="1" customHeight="1">
      <c r="A129" s="11472"/>
      <c r="B129" s="13299" t="s">
        <v>700</v>
      </c>
      <c r="C129" s="10621">
        <v>43250</v>
      </c>
      <c r="D129" s="13340"/>
      <c r="E129" s="10108"/>
      <c r="F129" s="10108"/>
      <c r="G129" s="10206"/>
      <c r="H129" s="10550"/>
      <c r="I129" s="10053"/>
      <c r="J129" s="10662"/>
      <c r="K129" s="13298"/>
      <c r="L129" s="10079"/>
    </row>
    <row r="130" spans="1:16" ht="14.25" hidden="1" customHeight="1">
      <c r="A130" s="11472"/>
      <c r="B130" s="13299" t="s">
        <v>11794</v>
      </c>
      <c r="C130" s="10621">
        <f>330000+225000+178750</f>
        <v>733750</v>
      </c>
      <c r="D130" s="13340"/>
      <c r="E130" s="10108"/>
      <c r="F130" s="10108"/>
      <c r="G130" s="10206"/>
      <c r="H130" s="10550"/>
      <c r="I130" s="10053"/>
      <c r="J130" s="10662"/>
      <c r="K130" s="13298"/>
      <c r="L130" s="10079"/>
    </row>
    <row r="131" spans="1:16" ht="14.25" hidden="1" customHeight="1">
      <c r="A131" s="11472"/>
      <c r="B131" s="13299" t="s">
        <v>11790</v>
      </c>
      <c r="C131" s="10621">
        <v>51448</v>
      </c>
      <c r="D131" s="13340"/>
      <c r="E131" s="10108"/>
      <c r="F131" s="10108"/>
      <c r="G131" s="10206"/>
      <c r="H131" s="10550"/>
      <c r="I131" s="10053"/>
      <c r="J131" s="10662"/>
      <c r="K131" s="13298"/>
      <c r="L131" s="10079"/>
    </row>
    <row r="132" spans="1:16" ht="14.25" hidden="1" customHeight="1">
      <c r="A132" s="11472"/>
      <c r="B132" s="13299" t="s">
        <v>3349</v>
      </c>
      <c r="C132" s="10621">
        <v>580000</v>
      </c>
      <c r="D132" s="13340"/>
      <c r="E132" s="10108"/>
      <c r="F132" s="10108"/>
      <c r="G132" s="10206"/>
      <c r="H132" s="10550"/>
      <c r="I132" s="10053"/>
      <c r="J132" s="10662"/>
      <c r="K132" s="13298"/>
      <c r="L132" s="10079"/>
    </row>
    <row r="133" spans="1:16" ht="14.25" hidden="1" customHeight="1">
      <c r="A133" s="11472"/>
      <c r="B133" s="13346" t="s">
        <v>10959</v>
      </c>
      <c r="C133" s="10621">
        <v>100000</v>
      </c>
      <c r="D133" s="13340"/>
      <c r="E133" s="10108"/>
      <c r="F133" s="10108"/>
      <c r="G133" s="10206"/>
      <c r="H133" s="10550"/>
      <c r="I133" s="10053"/>
      <c r="J133" s="10662"/>
      <c r="K133" s="13298"/>
      <c r="L133" s="10079"/>
    </row>
    <row r="134" spans="1:16" ht="14.25" hidden="1" customHeight="1">
      <c r="A134" s="11472"/>
      <c r="B134" s="13346" t="s">
        <v>10937</v>
      </c>
      <c r="C134" s="10621">
        <v>50000</v>
      </c>
      <c r="D134" s="13340"/>
      <c r="E134" s="10108"/>
      <c r="F134" s="10108"/>
      <c r="G134" s="10206"/>
      <c r="H134" s="10550"/>
      <c r="I134" s="10053"/>
      <c r="J134" s="10662"/>
      <c r="K134" s="13298"/>
      <c r="L134" s="10079"/>
    </row>
    <row r="135" spans="1:16" ht="14.25" hidden="1" customHeight="1">
      <c r="A135" s="11472"/>
      <c r="B135" s="13346" t="s">
        <v>10938</v>
      </c>
      <c r="C135" s="10621">
        <v>43927</v>
      </c>
      <c r="D135" s="13340"/>
      <c r="E135" s="10108"/>
      <c r="F135" s="10108"/>
      <c r="G135" s="10206"/>
      <c r="H135" s="10550"/>
      <c r="I135" s="10053"/>
      <c r="J135" s="10662"/>
      <c r="K135" s="13298"/>
      <c r="L135" s="10079"/>
    </row>
    <row r="136" spans="1:16" ht="14.25" hidden="1" customHeight="1">
      <c r="A136" s="11472"/>
      <c r="B136" s="13346" t="s">
        <v>11789</v>
      </c>
      <c r="C136" s="10621">
        <f>20000+15000+128000+46125+38500+51600</f>
        <v>299225</v>
      </c>
      <c r="D136" s="13340"/>
      <c r="E136" s="10108"/>
      <c r="F136" s="10108"/>
      <c r="G136" s="10206"/>
      <c r="H136" s="10550"/>
      <c r="I136" s="10053"/>
      <c r="J136" s="10662"/>
      <c r="K136" s="13298"/>
      <c r="L136" s="10079"/>
    </row>
    <row r="137" spans="1:16" ht="14.25" hidden="1" customHeight="1">
      <c r="A137" s="11472"/>
      <c r="B137" s="13304" t="s">
        <v>52</v>
      </c>
      <c r="C137" s="10621"/>
      <c r="D137" s="13340"/>
      <c r="E137" s="10108"/>
      <c r="F137" s="10108"/>
      <c r="G137" s="10206"/>
      <c r="H137" s="10550"/>
      <c r="I137" s="10053"/>
      <c r="J137" s="10662"/>
      <c r="K137" s="13298"/>
      <c r="L137" s="10079"/>
    </row>
    <row r="138" spans="1:16" ht="14.25" hidden="1" customHeight="1">
      <c r="A138" s="11472"/>
      <c r="B138" s="13346" t="s">
        <v>10946</v>
      </c>
      <c r="C138" s="10621">
        <f>50000+40000+88400</f>
        <v>178400</v>
      </c>
      <c r="D138" s="13340"/>
      <c r="E138" s="10108"/>
      <c r="F138" s="10108"/>
      <c r="G138" s="10206"/>
      <c r="H138" s="10550"/>
      <c r="I138" s="10053"/>
      <c r="J138" s="10662"/>
      <c r="K138" s="13298"/>
      <c r="L138" s="10079"/>
    </row>
    <row r="139" spans="1:16" ht="14.25" customHeight="1">
      <c r="A139" s="11472"/>
      <c r="B139" s="13297" t="s">
        <v>10610</v>
      </c>
      <c r="C139" s="10621"/>
      <c r="D139" s="13340">
        <v>899916</v>
      </c>
      <c r="E139" s="10108">
        <v>1396659.17</v>
      </c>
      <c r="F139" s="10108">
        <v>477715.42</v>
      </c>
      <c r="G139" s="10206">
        <f>H139-F139</f>
        <v>4022284.58</v>
      </c>
      <c r="H139" s="10550">
        <v>4500000</v>
      </c>
      <c r="I139" s="10053">
        <v>3808090</v>
      </c>
      <c r="J139" s="10662">
        <f>I139/H139</f>
        <v>0.84624222222222223</v>
      </c>
      <c r="K139" s="13298">
        <v>4500000</v>
      </c>
      <c r="L139" s="10079"/>
      <c r="M139" s="7760" t="s">
        <v>2051</v>
      </c>
      <c r="O139" s="7760">
        <v>1900000</v>
      </c>
      <c r="P139" s="7760">
        <v>1900000</v>
      </c>
    </row>
    <row r="140" spans="1:16" ht="14.25" customHeight="1">
      <c r="A140" s="11472"/>
      <c r="B140" s="13297" t="s">
        <v>10611</v>
      </c>
      <c r="C140" s="10621"/>
      <c r="D140" s="13340">
        <v>899917</v>
      </c>
      <c r="E140" s="10108">
        <v>1630267.29</v>
      </c>
      <c r="F140" s="10108">
        <v>443298.2</v>
      </c>
      <c r="G140" s="10206">
        <f>H140-F140</f>
        <v>2556701.7999999998</v>
      </c>
      <c r="H140" s="10550">
        <v>3000000</v>
      </c>
      <c r="I140" s="10053">
        <v>2527510.21</v>
      </c>
      <c r="J140" s="10662">
        <f>I140/H140</f>
        <v>0.84250340333333329</v>
      </c>
      <c r="K140" s="13298">
        <v>3000000</v>
      </c>
      <c r="L140" s="10079"/>
      <c r="M140" s="7760" t="s">
        <v>2051</v>
      </c>
      <c r="O140" s="7760">
        <v>1396500</v>
      </c>
      <c r="P140" s="7760">
        <v>1396500</v>
      </c>
    </row>
    <row r="141" spans="1:16" ht="14.25" hidden="1" customHeight="1">
      <c r="A141" s="11472"/>
      <c r="B141" s="13299" t="s">
        <v>11780</v>
      </c>
      <c r="C141" s="10621">
        <v>10000</v>
      </c>
      <c r="D141" s="13340"/>
      <c r="E141" s="10108"/>
      <c r="F141" s="10108"/>
      <c r="G141" s="10206"/>
      <c r="H141" s="10550"/>
      <c r="I141" s="10053"/>
      <c r="J141" s="10662"/>
      <c r="K141" s="13298"/>
      <c r="L141" s="10079"/>
    </row>
    <row r="142" spans="1:16" ht="14.25" hidden="1" customHeight="1">
      <c r="A142" s="11472"/>
      <c r="B142" s="13299" t="s">
        <v>531</v>
      </c>
      <c r="C142" s="10621">
        <v>100000</v>
      </c>
      <c r="D142" s="13340"/>
      <c r="E142" s="10108"/>
      <c r="F142" s="10108"/>
      <c r="G142" s="10206"/>
      <c r="H142" s="10550"/>
      <c r="I142" s="10053"/>
      <c r="J142" s="10662"/>
      <c r="K142" s="13298"/>
      <c r="L142" s="10079"/>
    </row>
    <row r="143" spans="1:16" ht="14.25" hidden="1" customHeight="1">
      <c r="A143" s="11472"/>
      <c r="B143" s="13299" t="s">
        <v>700</v>
      </c>
      <c r="C143" s="10621">
        <v>50000</v>
      </c>
      <c r="D143" s="13340"/>
      <c r="E143" s="10108"/>
      <c r="F143" s="10108"/>
      <c r="G143" s="10206"/>
      <c r="H143" s="10550"/>
      <c r="I143" s="10053"/>
      <c r="J143" s="10662"/>
      <c r="K143" s="13298"/>
      <c r="L143" s="10079"/>
    </row>
    <row r="144" spans="1:16" ht="14.25" hidden="1" customHeight="1">
      <c r="A144" s="11472"/>
      <c r="B144" s="13299" t="s">
        <v>11794</v>
      </c>
      <c r="C144" s="10621">
        <f>235386+19950</f>
        <v>255336</v>
      </c>
      <c r="D144" s="13340"/>
      <c r="E144" s="10108"/>
      <c r="F144" s="10108"/>
      <c r="G144" s="10206"/>
      <c r="H144" s="10550"/>
      <c r="I144" s="10053"/>
      <c r="J144" s="10662"/>
      <c r="K144" s="13298"/>
      <c r="L144" s="10079"/>
    </row>
    <row r="145" spans="1:16" ht="14.25" hidden="1" customHeight="1">
      <c r="A145" s="11472"/>
      <c r="B145" s="13299" t="s">
        <v>11790</v>
      </c>
      <c r="C145" s="10621"/>
      <c r="D145" s="13340"/>
      <c r="E145" s="10108"/>
      <c r="F145" s="10108"/>
      <c r="G145" s="10206"/>
      <c r="H145" s="10550"/>
      <c r="I145" s="10053"/>
      <c r="J145" s="10662"/>
      <c r="K145" s="13298"/>
      <c r="L145" s="10079"/>
    </row>
    <row r="146" spans="1:16" ht="14.25" hidden="1" customHeight="1">
      <c r="A146" s="11472"/>
      <c r="B146" s="13299" t="s">
        <v>3349</v>
      </c>
      <c r="C146" s="10621">
        <v>891520</v>
      </c>
      <c r="D146" s="13340"/>
      <c r="E146" s="10108"/>
      <c r="F146" s="10108"/>
      <c r="G146" s="10206"/>
      <c r="H146" s="10550"/>
      <c r="I146" s="10053"/>
      <c r="J146" s="10662"/>
      <c r="K146" s="13298"/>
      <c r="L146" s="10079"/>
    </row>
    <row r="147" spans="1:16" ht="14.25" hidden="1" customHeight="1">
      <c r="A147" s="11472"/>
      <c r="B147" s="13346" t="s">
        <v>10959</v>
      </c>
      <c r="C147" s="10621">
        <v>130000</v>
      </c>
      <c r="D147" s="13340"/>
      <c r="E147" s="10108"/>
      <c r="F147" s="10108"/>
      <c r="G147" s="10206"/>
      <c r="H147" s="10550"/>
      <c r="I147" s="10053"/>
      <c r="J147" s="10662"/>
      <c r="K147" s="13298"/>
      <c r="L147" s="10079"/>
    </row>
    <row r="148" spans="1:16" ht="14.25" hidden="1" customHeight="1">
      <c r="A148" s="11472"/>
      <c r="B148" s="13346" t="s">
        <v>10937</v>
      </c>
      <c r="C148" s="10621"/>
      <c r="D148" s="13340"/>
      <c r="E148" s="10108"/>
      <c r="F148" s="10108"/>
      <c r="G148" s="10206"/>
      <c r="H148" s="10550"/>
      <c r="I148" s="10053"/>
      <c r="J148" s="10662"/>
      <c r="K148" s="13298"/>
      <c r="L148" s="10079"/>
    </row>
    <row r="149" spans="1:16" ht="14.25" hidden="1" customHeight="1">
      <c r="A149" s="11472"/>
      <c r="B149" s="13346" t="s">
        <v>10938</v>
      </c>
      <c r="C149" s="10621">
        <v>5100</v>
      </c>
      <c r="D149" s="13340"/>
      <c r="E149" s="10108"/>
      <c r="F149" s="10108"/>
      <c r="G149" s="10206"/>
      <c r="H149" s="10550"/>
      <c r="I149" s="10053"/>
      <c r="J149" s="10662"/>
      <c r="K149" s="13298"/>
      <c r="L149" s="10079"/>
    </row>
    <row r="150" spans="1:16" ht="14.25" hidden="1" customHeight="1">
      <c r="A150" s="11472"/>
      <c r="B150" s="13346" t="s">
        <v>11789</v>
      </c>
      <c r="C150" s="10621">
        <f>57600+21200+9200+10000+165644+20000+80000</f>
        <v>363644</v>
      </c>
      <c r="D150" s="13340"/>
      <c r="E150" s="10108"/>
      <c r="F150" s="10108"/>
      <c r="G150" s="10206"/>
      <c r="H150" s="10550"/>
      <c r="I150" s="10053"/>
      <c r="J150" s="10662"/>
      <c r="K150" s="13298"/>
      <c r="L150" s="10079"/>
    </row>
    <row r="151" spans="1:16" ht="14.25" hidden="1" customHeight="1">
      <c r="A151" s="11472"/>
      <c r="B151" s="13304" t="s">
        <v>52</v>
      </c>
      <c r="C151" s="10621"/>
      <c r="D151" s="13340"/>
      <c r="E151" s="10108"/>
      <c r="F151" s="10108"/>
      <c r="G151" s="10206"/>
      <c r="H151" s="10550"/>
      <c r="I151" s="10053"/>
      <c r="J151" s="10662"/>
      <c r="K151" s="13298"/>
      <c r="L151" s="10079"/>
    </row>
    <row r="152" spans="1:16" ht="14.25" hidden="1" customHeight="1">
      <c r="A152" s="11472"/>
      <c r="B152" s="13346" t="s">
        <v>10946</v>
      </c>
      <c r="C152" s="10621">
        <f>40000+30000</f>
        <v>70000</v>
      </c>
      <c r="D152" s="13340"/>
      <c r="E152" s="10108"/>
      <c r="F152" s="10108"/>
      <c r="G152" s="10206"/>
      <c r="H152" s="10550"/>
      <c r="I152" s="10053"/>
      <c r="J152" s="10662"/>
      <c r="K152" s="13298"/>
      <c r="L152" s="10079"/>
    </row>
    <row r="153" spans="1:16" ht="14.25" hidden="1" customHeight="1">
      <c r="A153" s="11472"/>
      <c r="B153" s="13348" t="s">
        <v>9128</v>
      </c>
      <c r="C153" s="10621">
        <v>1274400</v>
      </c>
      <c r="D153" s="13340"/>
      <c r="E153" s="10108"/>
      <c r="F153" s="10108"/>
      <c r="G153" s="10206"/>
      <c r="H153" s="10550"/>
      <c r="I153" s="10053"/>
      <c r="J153" s="10662"/>
      <c r="K153" s="13298"/>
      <c r="L153" s="10079"/>
    </row>
    <row r="154" spans="1:16" ht="14.25" customHeight="1">
      <c r="A154" s="12226"/>
      <c r="B154" s="13297" t="s">
        <v>10612</v>
      </c>
      <c r="C154" s="10621"/>
      <c r="D154" s="13340">
        <v>899918</v>
      </c>
      <c r="E154" s="10108">
        <v>1498184.14</v>
      </c>
      <c r="F154" s="10108">
        <v>186857.75</v>
      </c>
      <c r="G154" s="10206">
        <f>H154-F154</f>
        <v>2713142.25</v>
      </c>
      <c r="H154" s="10550">
        <v>2900000</v>
      </c>
      <c r="I154" s="10053">
        <v>882206.26</v>
      </c>
      <c r="J154" s="10662">
        <f>I154/H154</f>
        <v>0.30420905517241381</v>
      </c>
      <c r="K154" s="13298">
        <v>2900000</v>
      </c>
      <c r="L154" s="10079"/>
      <c r="M154" s="7760" t="s">
        <v>2051</v>
      </c>
      <c r="O154" s="7760">
        <v>1729000</v>
      </c>
      <c r="P154" s="7760">
        <v>1729000</v>
      </c>
    </row>
    <row r="155" spans="1:16" ht="14.25" hidden="1" customHeight="1">
      <c r="A155" s="12226"/>
      <c r="B155" s="13297" t="s">
        <v>3391</v>
      </c>
      <c r="C155" s="10621"/>
      <c r="D155" s="13340">
        <v>899912</v>
      </c>
      <c r="E155" s="10108"/>
      <c r="F155" s="10108"/>
      <c r="G155" s="10206">
        <f>H155-F155</f>
        <v>0</v>
      </c>
      <c r="H155" s="10550">
        <v>0</v>
      </c>
      <c r="I155" s="10053"/>
      <c r="J155" s="10662"/>
      <c r="K155" s="13298">
        <v>0</v>
      </c>
      <c r="L155" s="10079"/>
      <c r="M155" s="7760" t="s">
        <v>10055</v>
      </c>
      <c r="O155" s="7760">
        <v>3325000</v>
      </c>
      <c r="P155" s="7760">
        <v>3325000</v>
      </c>
    </row>
    <row r="156" spans="1:16" ht="14.25" hidden="1" customHeight="1">
      <c r="A156" s="12226"/>
      <c r="B156" s="13299" t="s">
        <v>531</v>
      </c>
      <c r="C156" s="10621">
        <f>60000+60000+20000</f>
        <v>140000</v>
      </c>
      <c r="D156" s="13340"/>
      <c r="E156" s="10108"/>
      <c r="F156" s="10108"/>
      <c r="G156" s="10206"/>
      <c r="H156" s="10550"/>
      <c r="I156" s="10053"/>
      <c r="J156" s="10662"/>
      <c r="K156" s="13298"/>
      <c r="L156" s="10079"/>
    </row>
    <row r="157" spans="1:16" ht="14.25" hidden="1" customHeight="1">
      <c r="A157" s="12226"/>
      <c r="B157" s="13299" t="s">
        <v>700</v>
      </c>
      <c r="C157" s="10621">
        <v>233000</v>
      </c>
      <c r="D157" s="13340"/>
      <c r="E157" s="10108"/>
      <c r="F157" s="10108"/>
      <c r="G157" s="10206"/>
      <c r="H157" s="10550"/>
      <c r="I157" s="10053"/>
      <c r="J157" s="10662"/>
      <c r="K157" s="13298"/>
      <c r="L157" s="10079"/>
    </row>
    <row r="158" spans="1:16" ht="14.25" hidden="1" customHeight="1">
      <c r="A158" s="12226"/>
      <c r="B158" s="13299" t="s">
        <v>11794</v>
      </c>
      <c r="C158" s="10621">
        <f>300000+15000+100000+20000+455000+400000</f>
        <v>1290000</v>
      </c>
      <c r="D158" s="13340"/>
      <c r="E158" s="10108"/>
      <c r="F158" s="10108"/>
      <c r="G158" s="10206"/>
      <c r="H158" s="10550"/>
      <c r="I158" s="10053"/>
      <c r="J158" s="10662"/>
      <c r="K158" s="13298"/>
      <c r="L158" s="10079"/>
    </row>
    <row r="159" spans="1:16" ht="14.25" hidden="1" customHeight="1">
      <c r="A159" s="12226"/>
      <c r="B159" s="13299" t="s">
        <v>11790</v>
      </c>
      <c r="C159" s="10621">
        <f>50875+50000</f>
        <v>100875</v>
      </c>
      <c r="D159" s="13340"/>
      <c r="E159" s="10108"/>
      <c r="F159" s="10108"/>
      <c r="G159" s="10206"/>
      <c r="H159" s="10550"/>
      <c r="I159" s="10053"/>
      <c r="J159" s="10662"/>
      <c r="K159" s="13298"/>
      <c r="L159" s="10079"/>
    </row>
    <row r="160" spans="1:16" ht="14.25" hidden="1" customHeight="1">
      <c r="A160" s="12226"/>
      <c r="B160" s="13299" t="s">
        <v>3349</v>
      </c>
      <c r="C160" s="10621">
        <v>555000</v>
      </c>
      <c r="D160" s="13340"/>
      <c r="E160" s="10108"/>
      <c r="F160" s="10108"/>
      <c r="G160" s="10206"/>
      <c r="H160" s="10550"/>
      <c r="I160" s="10053"/>
      <c r="J160" s="10662"/>
      <c r="K160" s="13298"/>
      <c r="L160" s="10079"/>
    </row>
    <row r="161" spans="1:16" ht="14.25" hidden="1" customHeight="1">
      <c r="A161" s="12226"/>
      <c r="B161" s="13346" t="s">
        <v>10937</v>
      </c>
      <c r="C161" s="10621">
        <v>50000</v>
      </c>
      <c r="D161" s="13340"/>
      <c r="E161" s="10108"/>
      <c r="F161" s="10108"/>
      <c r="G161" s="10206"/>
      <c r="H161" s="10550"/>
      <c r="I161" s="10053"/>
      <c r="J161" s="10662"/>
      <c r="K161" s="13298"/>
      <c r="L161" s="10079"/>
    </row>
    <row r="162" spans="1:16" ht="14.25" hidden="1" customHeight="1">
      <c r="A162" s="12226"/>
      <c r="B162" s="13346" t="s">
        <v>11789</v>
      </c>
      <c r="C162" s="10621">
        <f>60000+50000+5000+45000+20000+181125+90000</f>
        <v>451125</v>
      </c>
      <c r="D162" s="13340"/>
      <c r="E162" s="10108"/>
      <c r="F162" s="10108"/>
      <c r="G162" s="10206"/>
      <c r="H162" s="10550"/>
      <c r="I162" s="10053"/>
      <c r="J162" s="10662"/>
      <c r="K162" s="13298"/>
      <c r="L162" s="10079"/>
    </row>
    <row r="163" spans="1:16" ht="14.25" hidden="1" customHeight="1">
      <c r="A163" s="12226"/>
      <c r="B163" s="13304" t="s">
        <v>52</v>
      </c>
      <c r="C163" s="10621"/>
      <c r="D163" s="13340"/>
      <c r="E163" s="10108"/>
      <c r="F163" s="10108"/>
      <c r="G163" s="10206"/>
      <c r="H163" s="10550"/>
      <c r="I163" s="10053"/>
      <c r="J163" s="10662"/>
      <c r="K163" s="13298"/>
      <c r="L163" s="10079"/>
    </row>
    <row r="164" spans="1:16" ht="14.25" hidden="1" customHeight="1">
      <c r="A164" s="12226"/>
      <c r="B164" s="13347" t="s">
        <v>10975</v>
      </c>
      <c r="C164" s="10621">
        <v>95000</v>
      </c>
      <c r="D164" s="13340"/>
      <c r="E164" s="10108"/>
      <c r="F164" s="10108"/>
      <c r="G164" s="10206"/>
      <c r="H164" s="10550"/>
      <c r="I164" s="10053"/>
      <c r="J164" s="10662"/>
      <c r="K164" s="13298"/>
      <c r="L164" s="10079"/>
    </row>
    <row r="165" spans="1:16" ht="14.25" hidden="1" customHeight="1">
      <c r="A165" s="12226"/>
      <c r="B165" s="13348" t="s">
        <v>11796</v>
      </c>
      <c r="C165" s="10621">
        <v>80000</v>
      </c>
      <c r="D165" s="13340"/>
      <c r="E165" s="10108"/>
      <c r="F165" s="10108"/>
      <c r="G165" s="10206"/>
      <c r="H165" s="10550"/>
      <c r="I165" s="10053"/>
      <c r="J165" s="10662"/>
      <c r="K165" s="13298"/>
      <c r="L165" s="10079"/>
    </row>
    <row r="166" spans="1:16" ht="14.25" hidden="1" customHeight="1">
      <c r="A166" s="12226"/>
      <c r="B166" s="13346" t="s">
        <v>10946</v>
      </c>
      <c r="C166" s="10621">
        <v>50000</v>
      </c>
      <c r="D166" s="13340"/>
      <c r="E166" s="10108"/>
      <c r="F166" s="10108"/>
      <c r="G166" s="10206"/>
      <c r="H166" s="10550"/>
      <c r="I166" s="10053"/>
      <c r="J166" s="10662"/>
      <c r="K166" s="13298"/>
      <c r="L166" s="10079"/>
    </row>
    <row r="167" spans="1:16" ht="14.25" customHeight="1">
      <c r="A167" s="12226"/>
      <c r="B167" s="13297" t="s">
        <v>10309</v>
      </c>
      <c r="C167" s="10621"/>
      <c r="D167" s="13340">
        <v>999325</v>
      </c>
      <c r="E167" s="10108">
        <v>614143.16</v>
      </c>
      <c r="F167" s="10108">
        <v>0</v>
      </c>
      <c r="G167" s="10206">
        <f>H167-F167</f>
        <v>900000</v>
      </c>
      <c r="H167" s="10550">
        <v>900000</v>
      </c>
      <c r="I167" s="10053"/>
      <c r="J167" s="10662">
        <f>I167/H167</f>
        <v>0</v>
      </c>
      <c r="K167" s="13298">
        <v>900000</v>
      </c>
      <c r="L167" s="10079"/>
      <c r="M167" s="7760" t="s">
        <v>11118</v>
      </c>
    </row>
    <row r="168" spans="1:16" ht="14.25" customHeight="1">
      <c r="A168" s="12226"/>
      <c r="B168" s="13297" t="s">
        <v>10310</v>
      </c>
      <c r="C168" s="10621"/>
      <c r="D168" s="13340">
        <v>799939</v>
      </c>
      <c r="E168" s="10108">
        <v>481818</v>
      </c>
      <c r="F168" s="10108">
        <v>0</v>
      </c>
      <c r="G168" s="10206">
        <f>H168-F168</f>
        <v>1500000</v>
      </c>
      <c r="H168" s="8869">
        <v>1500000</v>
      </c>
      <c r="I168" s="10053"/>
      <c r="J168" s="10662">
        <f>I168/H168</f>
        <v>0</v>
      </c>
      <c r="K168" s="11463">
        <v>0</v>
      </c>
      <c r="L168" s="10054" t="s">
        <v>11766</v>
      </c>
      <c r="M168" s="7760" t="s">
        <v>11118</v>
      </c>
      <c r="N168" s="8885" t="s">
        <v>11162</v>
      </c>
    </row>
    <row r="169" spans="1:16" ht="14.25" customHeight="1">
      <c r="A169" s="13285"/>
      <c r="B169" s="13287" t="s">
        <v>4714</v>
      </c>
      <c r="C169" s="10621"/>
      <c r="D169" s="10068">
        <v>899925</v>
      </c>
      <c r="E169" s="10108">
        <v>0</v>
      </c>
      <c r="F169" s="10108">
        <v>0</v>
      </c>
      <c r="G169" s="10206">
        <f>H169-F169</f>
        <v>800000</v>
      </c>
      <c r="H169" s="10109">
        <v>800000</v>
      </c>
      <c r="I169" s="10053">
        <v>0</v>
      </c>
      <c r="J169" s="10662">
        <f>I169/H169</f>
        <v>0</v>
      </c>
      <c r="K169" s="13251">
        <v>400000</v>
      </c>
      <c r="L169" s="10050"/>
      <c r="M169" s="7760" t="s">
        <v>2051</v>
      </c>
      <c r="O169" s="7760">
        <v>1000000</v>
      </c>
      <c r="P169" s="7760">
        <v>1000000</v>
      </c>
    </row>
    <row r="170" spans="1:16" ht="14.25" hidden="1" customHeight="1">
      <c r="A170" s="13285"/>
      <c r="B170" s="13299" t="s">
        <v>11794</v>
      </c>
      <c r="C170" s="10621">
        <v>800000</v>
      </c>
      <c r="D170" s="10068"/>
      <c r="E170" s="10108"/>
      <c r="F170" s="10108"/>
      <c r="G170" s="10206"/>
      <c r="H170" s="10109"/>
      <c r="I170" s="10053"/>
      <c r="J170" s="10662"/>
      <c r="K170" s="13251"/>
      <c r="L170" s="10050"/>
    </row>
    <row r="171" spans="1:16" ht="14.25" customHeight="1">
      <c r="A171" s="13285"/>
      <c r="B171" s="13287" t="s">
        <v>10619</v>
      </c>
      <c r="C171" s="10621"/>
      <c r="D171" s="10068">
        <v>899939</v>
      </c>
      <c r="E171" s="10108">
        <v>130000</v>
      </c>
      <c r="F171" s="10108">
        <v>0</v>
      </c>
      <c r="G171" s="10206">
        <f>H171-F171</f>
        <v>200000</v>
      </c>
      <c r="H171" s="10053">
        <v>200000</v>
      </c>
      <c r="I171" s="8880">
        <v>1200</v>
      </c>
      <c r="J171" s="10662">
        <f>I171/H171</f>
        <v>6.0000000000000001E-3</v>
      </c>
      <c r="K171" s="13262">
        <v>200000</v>
      </c>
      <c r="L171" s="10060"/>
      <c r="M171" s="7760" t="s">
        <v>2051</v>
      </c>
    </row>
    <row r="172" spans="1:16" ht="14.25" hidden="1" customHeight="1">
      <c r="A172" s="13285"/>
      <c r="B172" s="13302" t="s">
        <v>700</v>
      </c>
      <c r="C172" s="10621">
        <v>15000</v>
      </c>
      <c r="D172" s="10068"/>
      <c r="E172" s="10108"/>
      <c r="F172" s="10108"/>
      <c r="G172" s="10206"/>
      <c r="H172" s="10053"/>
      <c r="I172" s="8880"/>
      <c r="J172" s="10662"/>
      <c r="K172" s="13262"/>
      <c r="L172" s="10060"/>
    </row>
    <row r="173" spans="1:16" ht="14.25" hidden="1" customHeight="1">
      <c r="A173" s="13285"/>
      <c r="B173" s="13302" t="s">
        <v>11789</v>
      </c>
      <c r="C173" s="10621">
        <v>225000</v>
      </c>
      <c r="D173" s="10068"/>
      <c r="E173" s="10108"/>
      <c r="F173" s="10108"/>
      <c r="G173" s="10206"/>
      <c r="H173" s="10053"/>
      <c r="I173" s="8880"/>
      <c r="J173" s="10662"/>
      <c r="K173" s="13262"/>
      <c r="L173" s="10060"/>
    </row>
    <row r="174" spans="1:16" ht="14.25" customHeight="1">
      <c r="A174" s="13285"/>
      <c r="B174" s="13287" t="s">
        <v>10620</v>
      </c>
      <c r="C174" s="10621"/>
      <c r="D174" s="10068">
        <v>885203</v>
      </c>
      <c r="E174" s="10108">
        <v>255340</v>
      </c>
      <c r="F174" s="10108">
        <v>0</v>
      </c>
      <c r="G174" s="10206">
        <f>H174-F174</f>
        <v>350000</v>
      </c>
      <c r="H174" s="10053">
        <v>350000</v>
      </c>
      <c r="I174" s="10106">
        <v>164000</v>
      </c>
      <c r="J174" s="10662">
        <f>I174/H174</f>
        <v>0.46857142857142858</v>
      </c>
      <c r="K174" s="13262">
        <v>300000</v>
      </c>
      <c r="L174" s="10060"/>
      <c r="M174" s="7760" t="s">
        <v>2051</v>
      </c>
    </row>
    <row r="175" spans="1:16" ht="14.25" hidden="1" customHeight="1">
      <c r="A175" s="13285"/>
      <c r="B175" s="13302" t="s">
        <v>11789</v>
      </c>
      <c r="C175" s="10621">
        <v>350000</v>
      </c>
      <c r="D175" s="10068"/>
      <c r="E175" s="10108"/>
      <c r="F175" s="10108"/>
      <c r="G175" s="10206"/>
      <c r="H175" s="10053"/>
      <c r="I175" s="13829"/>
      <c r="J175" s="10662"/>
      <c r="K175" s="13262"/>
      <c r="L175" s="10060"/>
    </row>
    <row r="176" spans="1:16" ht="14.25" customHeight="1">
      <c r="A176" s="13285"/>
      <c r="B176" s="13287" t="s">
        <v>10621</v>
      </c>
      <c r="C176" s="10621"/>
      <c r="D176" s="10068">
        <v>899940</v>
      </c>
      <c r="E176" s="10108">
        <v>430171.65</v>
      </c>
      <c r="F176" s="10108">
        <v>414650</v>
      </c>
      <c r="G176" s="10206">
        <f>H176-F176</f>
        <v>35350</v>
      </c>
      <c r="H176" s="10053">
        <v>450000</v>
      </c>
      <c r="I176" s="8880">
        <v>414650</v>
      </c>
      <c r="J176" s="10662">
        <f>I176/H176</f>
        <v>0.9214444444444444</v>
      </c>
      <c r="K176" s="13262">
        <v>450000</v>
      </c>
      <c r="L176" s="10060"/>
      <c r="M176" s="7760" t="s">
        <v>2051</v>
      </c>
    </row>
    <row r="177" spans="1:16" ht="14.25" hidden="1" customHeight="1">
      <c r="A177" s="13285"/>
      <c r="B177" s="13302" t="s">
        <v>700</v>
      </c>
      <c r="C177" s="10621">
        <v>30000</v>
      </c>
      <c r="D177" s="10068"/>
      <c r="E177" s="10108"/>
      <c r="F177" s="10108"/>
      <c r="G177" s="10206"/>
      <c r="H177" s="10053"/>
      <c r="I177" s="8880"/>
      <c r="J177" s="10662"/>
      <c r="K177" s="13262"/>
      <c r="L177" s="10060"/>
    </row>
    <row r="178" spans="1:16" ht="14.25" hidden="1" customHeight="1">
      <c r="A178" s="13285"/>
      <c r="B178" s="13302" t="s">
        <v>11789</v>
      </c>
      <c r="C178" s="10621">
        <v>420000</v>
      </c>
      <c r="D178" s="10068"/>
      <c r="E178" s="10108"/>
      <c r="F178" s="10108"/>
      <c r="G178" s="10206"/>
      <c r="H178" s="10053"/>
      <c r="I178" s="8880"/>
      <c r="J178" s="10662"/>
      <c r="K178" s="13262"/>
      <c r="L178" s="10060"/>
    </row>
    <row r="179" spans="1:16" ht="14.25" customHeight="1">
      <c r="A179" s="13285"/>
      <c r="B179" s="13287" t="s">
        <v>11468</v>
      </c>
      <c r="C179" s="10621"/>
      <c r="D179" s="10068">
        <v>899941</v>
      </c>
      <c r="E179" s="10108">
        <v>410710</v>
      </c>
      <c r="F179" s="10108">
        <v>0</v>
      </c>
      <c r="G179" s="10206">
        <f>H179-F179</f>
        <v>500000</v>
      </c>
      <c r="H179" s="10053">
        <v>500000</v>
      </c>
      <c r="I179" s="8880">
        <v>10500</v>
      </c>
      <c r="J179" s="10662">
        <f>I179/H179</f>
        <v>2.1000000000000001E-2</v>
      </c>
      <c r="K179" s="13262">
        <v>500000</v>
      </c>
      <c r="L179" s="10060"/>
      <c r="M179" s="7760" t="s">
        <v>2051</v>
      </c>
    </row>
    <row r="180" spans="1:16" ht="14.25" hidden="1" customHeight="1">
      <c r="A180" s="13285"/>
      <c r="B180" s="13287" t="s">
        <v>11087</v>
      </c>
      <c r="C180" s="10621"/>
      <c r="D180" s="10068"/>
      <c r="E180" s="10108"/>
      <c r="F180" s="10108"/>
      <c r="G180" s="10108"/>
      <c r="H180" s="10053">
        <v>0</v>
      </c>
      <c r="I180" s="13829"/>
      <c r="J180" s="10662" t="s">
        <v>9</v>
      </c>
      <c r="K180" s="13262">
        <v>0</v>
      </c>
      <c r="L180" s="10060"/>
      <c r="M180" s="7760" t="s">
        <v>2051</v>
      </c>
    </row>
    <row r="181" spans="1:16" ht="14.25" hidden="1" customHeight="1">
      <c r="A181" s="13285"/>
      <c r="B181" s="13302" t="s">
        <v>700</v>
      </c>
      <c r="C181" s="10621">
        <v>20000</v>
      </c>
      <c r="D181" s="10068"/>
      <c r="E181" s="10108"/>
      <c r="F181" s="10108"/>
      <c r="G181" s="10108"/>
      <c r="H181" s="10053"/>
      <c r="I181" s="13829"/>
      <c r="J181" s="10662"/>
      <c r="K181" s="13262"/>
      <c r="L181" s="10060"/>
    </row>
    <row r="182" spans="1:16" ht="14.25" hidden="1" customHeight="1">
      <c r="A182" s="13285"/>
      <c r="B182" s="13302" t="s">
        <v>11789</v>
      </c>
      <c r="C182" s="10621">
        <v>480000</v>
      </c>
      <c r="D182" s="10068"/>
      <c r="E182" s="10108"/>
      <c r="F182" s="10108"/>
      <c r="G182" s="10108"/>
      <c r="H182" s="10053"/>
      <c r="I182" s="13829"/>
      <c r="J182" s="10662"/>
      <c r="K182" s="13262"/>
      <c r="L182" s="10060"/>
    </row>
    <row r="183" spans="1:16" ht="17.25" customHeight="1">
      <c r="A183" s="13285"/>
      <c r="B183" s="13303" t="s">
        <v>10623</v>
      </c>
      <c r="C183" s="10625"/>
      <c r="D183" s="10068">
        <v>899942</v>
      </c>
      <c r="E183" s="10108">
        <v>21875.25</v>
      </c>
      <c r="F183" s="10108">
        <v>40953.71</v>
      </c>
      <c r="G183" s="10206">
        <f>H183-F183</f>
        <v>459046.29</v>
      </c>
      <c r="H183" s="10053">
        <v>500000</v>
      </c>
      <c r="I183" s="8880">
        <v>177010.04</v>
      </c>
      <c r="J183" s="10662">
        <f>I183/H183</f>
        <v>0.35402008000000001</v>
      </c>
      <c r="K183" s="13262">
        <v>250000</v>
      </c>
      <c r="L183" s="10060"/>
      <c r="M183" s="7760" t="s">
        <v>2051</v>
      </c>
    </row>
    <row r="184" spans="1:16" ht="17.25" hidden="1" customHeight="1">
      <c r="A184" s="13285"/>
      <c r="B184" s="13299" t="s">
        <v>3349</v>
      </c>
      <c r="C184" s="10625">
        <v>120000</v>
      </c>
      <c r="D184" s="10068"/>
      <c r="E184" s="10108"/>
      <c r="F184" s="10108"/>
      <c r="G184" s="10206"/>
      <c r="H184" s="10053"/>
      <c r="I184" s="8880"/>
      <c r="J184" s="10662"/>
      <c r="K184" s="13262"/>
      <c r="L184" s="10060"/>
    </row>
    <row r="185" spans="1:16" ht="17.25" hidden="1" customHeight="1">
      <c r="A185" s="13285"/>
      <c r="B185" s="13346" t="s">
        <v>10959</v>
      </c>
      <c r="C185" s="10625">
        <f>80000+170000</f>
        <v>250000</v>
      </c>
      <c r="D185" s="10068"/>
      <c r="E185" s="10108"/>
      <c r="F185" s="10108"/>
      <c r="G185" s="10206"/>
      <c r="H185" s="10053"/>
      <c r="I185" s="8880"/>
      <c r="J185" s="10662"/>
      <c r="K185" s="13262"/>
      <c r="L185" s="10060"/>
    </row>
    <row r="186" spans="1:16" ht="17.25" hidden="1" customHeight="1">
      <c r="A186" s="13285"/>
      <c r="B186" s="13304" t="s">
        <v>52</v>
      </c>
      <c r="C186" s="10625"/>
      <c r="D186" s="10068"/>
      <c r="E186" s="10108"/>
      <c r="F186" s="10108"/>
      <c r="G186" s="10206"/>
      <c r="H186" s="10053"/>
      <c r="I186" s="8880"/>
      <c r="J186" s="10662"/>
      <c r="K186" s="13262"/>
      <c r="L186" s="10060"/>
    </row>
    <row r="187" spans="1:16" ht="17.25" hidden="1" customHeight="1">
      <c r="A187" s="13285"/>
      <c r="B187" s="13347" t="s">
        <v>10975</v>
      </c>
      <c r="C187" s="10625">
        <v>80000</v>
      </c>
      <c r="D187" s="10068"/>
      <c r="E187" s="10108"/>
      <c r="F187" s="10108"/>
      <c r="G187" s="10206"/>
      <c r="H187" s="10053"/>
      <c r="I187" s="8880"/>
      <c r="J187" s="10662"/>
      <c r="K187" s="13262"/>
      <c r="L187" s="10060"/>
    </row>
    <row r="188" spans="1:16" ht="17.25" hidden="1" customHeight="1">
      <c r="A188" s="13285"/>
      <c r="B188" s="13346" t="s">
        <v>11797</v>
      </c>
      <c r="C188" s="10625">
        <v>50000</v>
      </c>
      <c r="D188" s="10068"/>
      <c r="E188" s="10108"/>
      <c r="F188" s="10108"/>
      <c r="G188" s="10206"/>
      <c r="H188" s="10053"/>
      <c r="I188" s="8880"/>
      <c r="J188" s="10662"/>
      <c r="K188" s="13262"/>
      <c r="L188" s="10060"/>
    </row>
    <row r="189" spans="1:16" ht="30" customHeight="1">
      <c r="A189" s="13285"/>
      <c r="B189" s="13303" t="s">
        <v>7247</v>
      </c>
      <c r="C189" s="10625"/>
      <c r="D189" s="10068">
        <v>799935</v>
      </c>
      <c r="E189" s="10108">
        <v>7275908.0499999998</v>
      </c>
      <c r="F189" s="10108">
        <v>1849034.2</v>
      </c>
      <c r="G189" s="10206">
        <f>H189-F189</f>
        <v>8150965.7999999998</v>
      </c>
      <c r="H189" s="10109">
        <v>10000000</v>
      </c>
      <c r="I189" s="10053"/>
      <c r="J189" s="10662">
        <f>I189/H189</f>
        <v>0</v>
      </c>
      <c r="K189" s="13251">
        <v>10000000</v>
      </c>
      <c r="L189" s="10050"/>
      <c r="M189" s="7760" t="s">
        <v>11118</v>
      </c>
      <c r="O189" s="7760">
        <v>6000000</v>
      </c>
      <c r="P189" s="7760">
        <v>6000000</v>
      </c>
    </row>
    <row r="190" spans="1:16" ht="31.5" customHeight="1">
      <c r="A190" s="13285"/>
      <c r="B190" s="13303" t="s">
        <v>10905</v>
      </c>
      <c r="C190" s="10625"/>
      <c r="D190" s="10068">
        <v>49944</v>
      </c>
      <c r="E190" s="10108">
        <v>199500</v>
      </c>
      <c r="F190" s="10108">
        <v>0</v>
      </c>
      <c r="G190" s="10206">
        <f>H190-F190</f>
        <v>1500000</v>
      </c>
      <c r="H190" s="10109">
        <v>1500000</v>
      </c>
      <c r="I190" s="10053"/>
      <c r="J190" s="10662">
        <f>I190/H190</f>
        <v>0</v>
      </c>
      <c r="K190" s="13251">
        <v>0</v>
      </c>
      <c r="L190" s="10050" t="s">
        <v>11938</v>
      </c>
      <c r="M190" s="7760" t="s">
        <v>568</v>
      </c>
      <c r="O190" s="7760">
        <v>2000000</v>
      </c>
      <c r="P190" s="7760">
        <v>2000000</v>
      </c>
    </row>
    <row r="191" spans="1:16" ht="14.25" hidden="1" customHeight="1">
      <c r="A191" s="12226"/>
      <c r="B191" s="13287" t="s">
        <v>353</v>
      </c>
      <c r="C191" s="10621"/>
      <c r="D191" s="10068" t="s">
        <v>354</v>
      </c>
      <c r="E191" s="10106"/>
      <c r="F191" s="10106"/>
      <c r="G191" s="10206">
        <f>H191-F191</f>
        <v>0</v>
      </c>
      <c r="H191" s="10549">
        <v>0</v>
      </c>
      <c r="I191" s="10107"/>
      <c r="J191" s="10662"/>
      <c r="K191" s="13265">
        <v>0</v>
      </c>
      <c r="L191" s="10054"/>
      <c r="M191" s="7760" t="s">
        <v>568</v>
      </c>
      <c r="O191" s="7760">
        <v>0</v>
      </c>
      <c r="P191" s="7760">
        <v>0</v>
      </c>
    </row>
    <row r="192" spans="1:16" ht="14.25" customHeight="1">
      <c r="A192" s="12226"/>
      <c r="B192" s="13287" t="s">
        <v>11173</v>
      </c>
      <c r="C192" s="10621"/>
      <c r="D192" s="10068"/>
      <c r="E192" s="10106"/>
      <c r="F192" s="10106">
        <v>0</v>
      </c>
      <c r="G192" s="10206">
        <f>H192-F192</f>
        <v>3000000</v>
      </c>
      <c r="H192" s="10549">
        <v>3000000</v>
      </c>
      <c r="I192" s="10107">
        <v>2999990</v>
      </c>
      <c r="J192" s="10662">
        <f>I192/H192</f>
        <v>0.99999666666666664</v>
      </c>
      <c r="K192" s="13265">
        <v>2000000</v>
      </c>
      <c r="L192" s="10054"/>
      <c r="M192" s="7760" t="s">
        <v>2051</v>
      </c>
    </row>
    <row r="193" spans="1:17" ht="14.25" customHeight="1">
      <c r="A193" s="12226"/>
      <c r="B193" s="13287" t="s">
        <v>11939</v>
      </c>
      <c r="C193" s="10621"/>
      <c r="D193" s="10068">
        <v>899903</v>
      </c>
      <c r="E193" s="10106"/>
      <c r="F193" s="10106">
        <v>0</v>
      </c>
      <c r="G193" s="10206">
        <f>H193-F193</f>
        <v>4000000</v>
      </c>
      <c r="H193" s="10549">
        <v>4000000</v>
      </c>
      <c r="I193" s="10107">
        <v>2145882</v>
      </c>
      <c r="J193" s="10662">
        <f>I193/H193</f>
        <v>0.53647049999999996</v>
      </c>
      <c r="K193" s="13265">
        <v>4000000</v>
      </c>
      <c r="L193" s="10054"/>
      <c r="M193" s="7760" t="s">
        <v>2051</v>
      </c>
    </row>
    <row r="194" spans="1:17" ht="14.25" hidden="1" customHeight="1">
      <c r="A194" s="12226"/>
      <c r="B194" s="13302" t="s">
        <v>11780</v>
      </c>
      <c r="C194" s="10621">
        <v>50000</v>
      </c>
      <c r="D194" s="10068"/>
      <c r="E194" s="10106"/>
      <c r="F194" s="10106"/>
      <c r="G194" s="10206"/>
      <c r="H194" s="10549"/>
      <c r="I194" s="10107"/>
      <c r="J194" s="10662"/>
      <c r="K194" s="13265"/>
      <c r="L194" s="10054"/>
    </row>
    <row r="195" spans="1:17" ht="14.25" hidden="1" customHeight="1">
      <c r="A195" s="12226"/>
      <c r="B195" s="13302" t="s">
        <v>11790</v>
      </c>
      <c r="C195" s="10621">
        <v>150000</v>
      </c>
      <c r="D195" s="10068"/>
      <c r="E195" s="10106"/>
      <c r="F195" s="10106"/>
      <c r="G195" s="10206"/>
      <c r="H195" s="10549"/>
      <c r="I195" s="10107"/>
      <c r="J195" s="10662"/>
      <c r="K195" s="13265"/>
      <c r="L195" s="10054"/>
    </row>
    <row r="196" spans="1:17" ht="14.25" hidden="1" customHeight="1">
      <c r="A196" s="12226"/>
      <c r="B196" s="13302" t="s">
        <v>3349</v>
      </c>
      <c r="C196" s="10621">
        <v>200000</v>
      </c>
      <c r="D196" s="10068"/>
      <c r="E196" s="10106"/>
      <c r="F196" s="10106"/>
      <c r="G196" s="10206"/>
      <c r="H196" s="10549"/>
      <c r="I196" s="10107"/>
      <c r="J196" s="10662"/>
      <c r="K196" s="13265"/>
      <c r="L196" s="10054"/>
    </row>
    <row r="197" spans="1:17" ht="14.25" hidden="1" customHeight="1">
      <c r="A197" s="12226"/>
      <c r="B197" s="13302" t="s">
        <v>11791</v>
      </c>
      <c r="C197" s="10621">
        <v>50000</v>
      </c>
      <c r="D197" s="10068"/>
      <c r="E197" s="10106"/>
      <c r="F197" s="10106"/>
      <c r="G197" s="10206"/>
      <c r="H197" s="10549"/>
      <c r="I197" s="10107"/>
      <c r="J197" s="10662"/>
      <c r="K197" s="13265"/>
      <c r="L197" s="10054"/>
    </row>
    <row r="198" spans="1:17" ht="14.25" hidden="1" customHeight="1">
      <c r="A198" s="12226"/>
      <c r="B198" s="13302" t="s">
        <v>9484</v>
      </c>
      <c r="C198" s="10621">
        <v>1000000</v>
      </c>
      <c r="D198" s="10068"/>
      <c r="E198" s="10106"/>
      <c r="F198" s="10106"/>
      <c r="G198" s="10206"/>
      <c r="H198" s="10549"/>
      <c r="I198" s="10107"/>
      <c r="J198" s="10662"/>
      <c r="K198" s="13265"/>
      <c r="L198" s="10054"/>
    </row>
    <row r="199" spans="1:17" ht="14.25" hidden="1" customHeight="1">
      <c r="A199" s="12226"/>
      <c r="B199" s="13302" t="s">
        <v>11789</v>
      </c>
      <c r="C199" s="10621">
        <f>100000+50000</f>
        <v>150000</v>
      </c>
      <c r="D199" s="10068"/>
      <c r="E199" s="10106"/>
      <c r="F199" s="10106"/>
      <c r="G199" s="10206"/>
      <c r="H199" s="10549"/>
      <c r="I199" s="10107"/>
      <c r="J199" s="10662"/>
      <c r="K199" s="13265"/>
      <c r="L199" s="10054"/>
    </row>
    <row r="200" spans="1:17" ht="14.25" hidden="1" customHeight="1">
      <c r="A200" s="12226"/>
      <c r="B200" s="13304" t="s">
        <v>52</v>
      </c>
      <c r="C200" s="10621"/>
      <c r="D200" s="10068"/>
      <c r="E200" s="10106"/>
      <c r="F200" s="10106"/>
      <c r="G200" s="10206"/>
      <c r="H200" s="10549"/>
      <c r="I200" s="10107"/>
      <c r="J200" s="10662"/>
      <c r="K200" s="13265"/>
      <c r="L200" s="10054"/>
    </row>
    <row r="201" spans="1:17" ht="14.25" hidden="1" customHeight="1">
      <c r="A201" s="12226"/>
      <c r="B201" s="13302" t="s">
        <v>11795</v>
      </c>
      <c r="C201" s="10621">
        <v>2400000</v>
      </c>
      <c r="D201" s="10068"/>
      <c r="E201" s="10106"/>
      <c r="F201" s="10106"/>
      <c r="G201" s="10206"/>
      <c r="H201" s="10549"/>
      <c r="I201" s="10107"/>
      <c r="J201" s="10662"/>
      <c r="K201" s="13265"/>
      <c r="L201" s="10054"/>
    </row>
    <row r="202" spans="1:17" ht="14.25" customHeight="1">
      <c r="A202" s="12226"/>
      <c r="B202" s="13287" t="s">
        <v>9121</v>
      </c>
      <c r="C202" s="10621"/>
      <c r="D202" s="10068">
        <v>4995</v>
      </c>
      <c r="E202" s="10106">
        <v>2953700</v>
      </c>
      <c r="F202" s="10106"/>
      <c r="G202" s="10206">
        <f>H202-F202</f>
        <v>0</v>
      </c>
      <c r="H202" s="10549">
        <v>0</v>
      </c>
      <c r="I202" s="10053"/>
      <c r="J202" s="10662"/>
      <c r="K202" s="13265">
        <v>0</v>
      </c>
      <c r="L202" s="10054"/>
      <c r="M202" s="7760" t="s">
        <v>581</v>
      </c>
      <c r="O202" s="7760">
        <v>1650000</v>
      </c>
      <c r="P202" s="7760">
        <v>1650000</v>
      </c>
    </row>
    <row r="203" spans="1:17" ht="15.75" customHeight="1">
      <c r="A203" s="12226"/>
      <c r="B203" s="13287" t="s">
        <v>9120</v>
      </c>
      <c r="C203" s="10621"/>
      <c r="D203" s="10068">
        <v>49942</v>
      </c>
      <c r="E203" s="10106">
        <v>3539735</v>
      </c>
      <c r="F203" s="10106">
        <v>69846</v>
      </c>
      <c r="G203" s="10206">
        <f>H203-F203</f>
        <v>4930154</v>
      </c>
      <c r="H203" s="10549">
        <v>5000000</v>
      </c>
      <c r="I203" s="10053">
        <v>2324864.7999999998</v>
      </c>
      <c r="J203" s="10662">
        <f>I203/H203</f>
        <v>0.46497295999999994</v>
      </c>
      <c r="K203" s="13265">
        <v>5000000</v>
      </c>
      <c r="L203" s="10054"/>
      <c r="M203" s="7760" t="s">
        <v>2051</v>
      </c>
      <c r="O203" s="7760">
        <v>1760000</v>
      </c>
      <c r="P203" s="7760">
        <v>1760000</v>
      </c>
      <c r="Q203" s="7732" t="s">
        <v>9975</v>
      </c>
    </row>
    <row r="204" spans="1:17" ht="15.75" hidden="1" customHeight="1">
      <c r="A204" s="12226"/>
      <c r="B204" s="13302" t="s">
        <v>10331</v>
      </c>
      <c r="C204" s="10627">
        <v>2851200</v>
      </c>
      <c r="D204" s="10068"/>
      <c r="E204" s="10106"/>
      <c r="F204" s="10106"/>
      <c r="G204" s="10206"/>
      <c r="H204" s="10549"/>
      <c r="I204" s="10053"/>
      <c r="J204" s="10662"/>
      <c r="K204" s="13265"/>
      <c r="L204" s="10054"/>
    </row>
    <row r="205" spans="1:17" ht="15.75" hidden="1" customHeight="1">
      <c r="A205" s="12226"/>
      <c r="B205" s="13302" t="s">
        <v>3349</v>
      </c>
      <c r="C205" s="10627">
        <v>191520</v>
      </c>
      <c r="D205" s="10068"/>
      <c r="E205" s="10106"/>
      <c r="F205" s="10106"/>
      <c r="G205" s="10206"/>
      <c r="H205" s="10549"/>
      <c r="I205" s="10053"/>
      <c r="J205" s="10662"/>
      <c r="K205" s="13265"/>
      <c r="L205" s="10054"/>
    </row>
    <row r="206" spans="1:17" ht="15.75" hidden="1" customHeight="1">
      <c r="A206" s="12226"/>
      <c r="B206" s="13302" t="s">
        <v>11792</v>
      </c>
      <c r="C206" s="10627">
        <v>234580</v>
      </c>
      <c r="D206" s="10068"/>
      <c r="E206" s="10106"/>
      <c r="F206" s="10106"/>
      <c r="G206" s="10206"/>
      <c r="H206" s="10549"/>
      <c r="I206" s="10053"/>
      <c r="J206" s="10662"/>
      <c r="K206" s="13265"/>
      <c r="L206" s="10054"/>
    </row>
    <row r="207" spans="1:17" ht="15.75" hidden="1" customHeight="1">
      <c r="A207" s="12226"/>
      <c r="B207" s="13302" t="s">
        <v>11793</v>
      </c>
      <c r="C207" s="10627">
        <v>685000</v>
      </c>
      <c r="D207" s="10068"/>
      <c r="E207" s="10106"/>
      <c r="F207" s="10106"/>
      <c r="G207" s="10206"/>
      <c r="H207" s="10549"/>
      <c r="I207" s="10053"/>
      <c r="J207" s="10662"/>
      <c r="K207" s="13265"/>
      <c r="L207" s="10054"/>
    </row>
    <row r="208" spans="1:17" ht="15.75" hidden="1" customHeight="1">
      <c r="A208" s="12226"/>
      <c r="B208" s="13346" t="s">
        <v>10938</v>
      </c>
      <c r="C208" s="10627">
        <v>5000</v>
      </c>
      <c r="D208" s="10068"/>
      <c r="E208" s="10106"/>
      <c r="F208" s="10106"/>
      <c r="G208" s="10206"/>
      <c r="H208" s="10549"/>
      <c r="I208" s="10053"/>
      <c r="J208" s="10662"/>
      <c r="K208" s="13265"/>
      <c r="L208" s="10054"/>
    </row>
    <row r="209" spans="1:19" ht="15.75" hidden="1" customHeight="1">
      <c r="A209" s="12226"/>
      <c r="B209" s="13302" t="s">
        <v>11790</v>
      </c>
      <c r="C209" s="10627">
        <v>200000</v>
      </c>
      <c r="D209" s="10068"/>
      <c r="E209" s="10106"/>
      <c r="F209" s="10106"/>
      <c r="G209" s="10206"/>
      <c r="H209" s="10549"/>
      <c r="I209" s="10053"/>
      <c r="J209" s="10662"/>
      <c r="K209" s="13265"/>
      <c r="L209" s="10054"/>
    </row>
    <row r="210" spans="1:19" ht="15.75" hidden="1" customHeight="1">
      <c r="A210" s="12226"/>
      <c r="B210" s="13302" t="s">
        <v>700</v>
      </c>
      <c r="C210" s="10627">
        <v>136000</v>
      </c>
      <c r="D210" s="10068"/>
      <c r="E210" s="10106"/>
      <c r="F210" s="10106"/>
      <c r="G210" s="10206"/>
      <c r="H210" s="10549"/>
      <c r="I210" s="10053"/>
      <c r="J210" s="10662"/>
      <c r="K210" s="13265"/>
      <c r="L210" s="10054"/>
    </row>
    <row r="211" spans="1:19" ht="15.75" hidden="1" customHeight="1">
      <c r="A211" s="12226"/>
      <c r="B211" s="13302" t="s">
        <v>11789</v>
      </c>
      <c r="C211" s="10627">
        <v>672700</v>
      </c>
      <c r="D211" s="10068"/>
      <c r="E211" s="10106"/>
      <c r="F211" s="10106"/>
      <c r="G211" s="10206"/>
      <c r="H211" s="10549"/>
      <c r="I211" s="10053"/>
      <c r="J211" s="10662"/>
      <c r="K211" s="13265"/>
      <c r="L211" s="10054"/>
    </row>
    <row r="212" spans="1:19" ht="15.75" hidden="1" customHeight="1">
      <c r="A212" s="12226"/>
      <c r="B212" s="13304" t="s">
        <v>52</v>
      </c>
      <c r="C212" s="10627"/>
      <c r="D212" s="10068"/>
      <c r="E212" s="10106"/>
      <c r="F212" s="10106"/>
      <c r="G212" s="10206"/>
      <c r="H212" s="10549"/>
      <c r="I212" s="10053"/>
      <c r="J212" s="10662"/>
      <c r="K212" s="13265"/>
      <c r="L212" s="10054"/>
    </row>
    <row r="213" spans="1:19" ht="15.75" hidden="1" customHeight="1">
      <c r="A213" s="12226"/>
      <c r="B213" s="13346" t="s">
        <v>10947</v>
      </c>
      <c r="C213" s="10627">
        <v>24000</v>
      </c>
      <c r="D213" s="10068"/>
      <c r="E213" s="10106"/>
      <c r="F213" s="10106"/>
      <c r="G213" s="10206"/>
      <c r="H213" s="10549"/>
      <c r="I213" s="10053"/>
      <c r="J213" s="10662"/>
      <c r="K213" s="13265"/>
      <c r="L213" s="10054"/>
    </row>
    <row r="214" spans="1:19" ht="15.75" customHeight="1">
      <c r="A214" s="13285"/>
      <c r="B214" s="13287" t="s">
        <v>10311</v>
      </c>
      <c r="C214" s="10621"/>
      <c r="D214" s="10068">
        <v>799937</v>
      </c>
      <c r="E214" s="10109">
        <v>153975</v>
      </c>
      <c r="F214" s="10560">
        <v>0</v>
      </c>
      <c r="G214" s="10206">
        <f t="shared" ref="G214:G228" si="8">H214-F214</f>
        <v>300000</v>
      </c>
      <c r="H214" s="10109">
        <v>300000</v>
      </c>
      <c r="I214" s="10053"/>
      <c r="J214" s="10662">
        <f>I214/H214</f>
        <v>0</v>
      </c>
      <c r="K214" s="13251"/>
      <c r="L214" s="10054" t="s">
        <v>11767</v>
      </c>
      <c r="M214" s="10080" t="s">
        <v>3316</v>
      </c>
      <c r="O214" s="7760">
        <v>0</v>
      </c>
      <c r="P214" s="7760">
        <v>0</v>
      </c>
      <c r="R214" s="7759">
        <v>2000000</v>
      </c>
      <c r="S214" s="8885">
        <v>0.2</v>
      </c>
    </row>
    <row r="215" spans="1:19" ht="15.75" customHeight="1">
      <c r="A215" s="12226"/>
      <c r="B215" s="13297" t="s">
        <v>11082</v>
      </c>
      <c r="C215" s="10621"/>
      <c r="D215" s="13340">
        <v>799938</v>
      </c>
      <c r="E215" s="10108">
        <v>0</v>
      </c>
      <c r="F215" s="10108">
        <v>0</v>
      </c>
      <c r="G215" s="10206">
        <f t="shared" si="8"/>
        <v>210000</v>
      </c>
      <c r="H215" s="10550">
        <v>210000</v>
      </c>
      <c r="I215" s="10053"/>
      <c r="J215" s="10662">
        <f>I215/H215</f>
        <v>0</v>
      </c>
      <c r="K215" s="13298"/>
      <c r="L215" s="10054" t="s">
        <v>11766</v>
      </c>
      <c r="M215" s="10080" t="s">
        <v>3316</v>
      </c>
      <c r="O215" s="7760">
        <v>0</v>
      </c>
      <c r="P215" s="7760">
        <v>0</v>
      </c>
    </row>
    <row r="216" spans="1:19" ht="15.75" hidden="1" customHeight="1">
      <c r="A216" s="13285"/>
      <c r="B216" s="13287" t="s">
        <v>9159</v>
      </c>
      <c r="C216" s="10621"/>
      <c r="D216" s="10068">
        <v>4999</v>
      </c>
      <c r="E216" s="10108"/>
      <c r="F216" s="10108"/>
      <c r="G216" s="10206">
        <f t="shared" si="8"/>
        <v>0</v>
      </c>
      <c r="H216" s="10109">
        <v>0</v>
      </c>
      <c r="I216" s="10053"/>
      <c r="J216" s="10662"/>
      <c r="K216" s="13251">
        <v>0</v>
      </c>
      <c r="L216" s="10050"/>
      <c r="O216" s="7760">
        <v>340000</v>
      </c>
      <c r="P216" s="7760">
        <v>340000</v>
      </c>
    </row>
    <row r="217" spans="1:19" ht="14.25" hidden="1" customHeight="1">
      <c r="A217" s="13285"/>
      <c r="B217" s="13287" t="s">
        <v>3294</v>
      </c>
      <c r="C217" s="10621"/>
      <c r="D217" s="10068">
        <v>4997</v>
      </c>
      <c r="E217" s="10560"/>
      <c r="F217" s="10560"/>
      <c r="G217" s="10108">
        <f t="shared" si="8"/>
        <v>0</v>
      </c>
      <c r="H217" s="10109">
        <v>0</v>
      </c>
      <c r="I217" s="10053"/>
      <c r="J217" s="10662" t="e">
        <f t="shared" ref="J217:J235" si="9">I217/H217</f>
        <v>#DIV/0!</v>
      </c>
      <c r="K217" s="13251">
        <v>0</v>
      </c>
      <c r="L217" s="10050"/>
      <c r="O217" s="7760">
        <v>0</v>
      </c>
      <c r="P217" s="7760">
        <v>0</v>
      </c>
    </row>
    <row r="218" spans="1:19" ht="14.25" hidden="1" customHeight="1">
      <c r="A218" s="13285"/>
      <c r="B218" s="13287" t="s">
        <v>3295</v>
      </c>
      <c r="C218" s="10621"/>
      <c r="D218" s="10068">
        <v>4998</v>
      </c>
      <c r="E218" s="10560"/>
      <c r="F218" s="10560"/>
      <c r="G218" s="10108">
        <f t="shared" si="8"/>
        <v>0</v>
      </c>
      <c r="H218" s="10109">
        <v>0</v>
      </c>
      <c r="I218" s="10053"/>
      <c r="J218" s="10662" t="e">
        <f t="shared" si="9"/>
        <v>#DIV/0!</v>
      </c>
      <c r="K218" s="13251">
        <v>0</v>
      </c>
      <c r="L218" s="10050"/>
      <c r="O218" s="7760">
        <v>0</v>
      </c>
      <c r="P218" s="7760">
        <v>0</v>
      </c>
    </row>
    <row r="219" spans="1:19" ht="14.25" hidden="1" customHeight="1">
      <c r="A219" s="13285"/>
      <c r="B219" s="13287" t="s">
        <v>3293</v>
      </c>
      <c r="C219" s="10621"/>
      <c r="D219" s="10068">
        <v>4992</v>
      </c>
      <c r="E219" s="10560"/>
      <c r="F219" s="10560"/>
      <c r="G219" s="10108">
        <f t="shared" si="8"/>
        <v>0</v>
      </c>
      <c r="H219" s="10109">
        <v>0</v>
      </c>
      <c r="I219" s="10053"/>
      <c r="J219" s="10662" t="e">
        <f t="shared" si="9"/>
        <v>#DIV/0!</v>
      </c>
      <c r="K219" s="13251">
        <v>0</v>
      </c>
      <c r="L219" s="10050"/>
      <c r="O219" s="7760">
        <v>0</v>
      </c>
      <c r="P219" s="7760">
        <v>0</v>
      </c>
    </row>
    <row r="220" spans="1:19" ht="14.25" hidden="1" customHeight="1">
      <c r="A220" s="13285"/>
      <c r="B220" s="13287" t="s">
        <v>3287</v>
      </c>
      <c r="C220" s="10621"/>
      <c r="D220" s="10068">
        <v>899906</v>
      </c>
      <c r="E220" s="10560"/>
      <c r="F220" s="10560"/>
      <c r="G220" s="10108">
        <f t="shared" si="8"/>
        <v>0</v>
      </c>
      <c r="H220" s="10109">
        <v>0</v>
      </c>
      <c r="I220" s="10053"/>
      <c r="J220" s="10662" t="e">
        <f t="shared" si="9"/>
        <v>#DIV/0!</v>
      </c>
      <c r="K220" s="13251">
        <v>0</v>
      </c>
      <c r="L220" s="10050"/>
      <c r="O220" s="7760">
        <v>0</v>
      </c>
      <c r="P220" s="7760">
        <v>0</v>
      </c>
    </row>
    <row r="221" spans="1:19" ht="14.25" hidden="1" customHeight="1">
      <c r="A221" s="13285"/>
      <c r="B221" s="13287" t="s">
        <v>3290</v>
      </c>
      <c r="C221" s="10621"/>
      <c r="D221" s="10068">
        <v>1997</v>
      </c>
      <c r="E221" s="10560"/>
      <c r="F221" s="10560"/>
      <c r="G221" s="10108">
        <f t="shared" si="8"/>
        <v>0</v>
      </c>
      <c r="H221" s="10109">
        <v>0</v>
      </c>
      <c r="I221" s="10053"/>
      <c r="J221" s="10662" t="e">
        <f t="shared" si="9"/>
        <v>#DIV/0!</v>
      </c>
      <c r="K221" s="13251">
        <v>0</v>
      </c>
      <c r="L221" s="10050"/>
      <c r="O221" s="7760">
        <v>0</v>
      </c>
      <c r="P221" s="7760">
        <v>0</v>
      </c>
    </row>
    <row r="222" spans="1:19" ht="14.25" hidden="1" customHeight="1">
      <c r="A222" s="13285"/>
      <c r="B222" s="13287" t="s">
        <v>3289</v>
      </c>
      <c r="C222" s="10621"/>
      <c r="D222" s="10068">
        <v>69909</v>
      </c>
      <c r="E222" s="10560"/>
      <c r="F222" s="10560"/>
      <c r="G222" s="10108">
        <f t="shared" si="8"/>
        <v>0</v>
      </c>
      <c r="H222" s="10109">
        <v>0</v>
      </c>
      <c r="I222" s="10053"/>
      <c r="J222" s="10662" t="e">
        <f t="shared" si="9"/>
        <v>#DIV/0!</v>
      </c>
      <c r="K222" s="13251">
        <v>0</v>
      </c>
      <c r="L222" s="10050"/>
      <c r="O222" s="7760">
        <v>0</v>
      </c>
      <c r="P222" s="7760">
        <v>0</v>
      </c>
    </row>
    <row r="223" spans="1:19" ht="15" customHeight="1">
      <c r="A223" s="13285"/>
      <c r="B223" s="13287" t="s">
        <v>9939</v>
      </c>
      <c r="C223" s="10621"/>
      <c r="D223" s="10068">
        <v>1993</v>
      </c>
      <c r="E223" s="10108">
        <v>2329031.65</v>
      </c>
      <c r="F223" s="10108">
        <v>649680</v>
      </c>
      <c r="G223" s="10206">
        <f t="shared" si="8"/>
        <v>4350320</v>
      </c>
      <c r="H223" s="10053">
        <v>5000000</v>
      </c>
      <c r="I223" s="10053">
        <v>4925606.5999999996</v>
      </c>
      <c r="J223" s="10662">
        <f>I223/H223</f>
        <v>0.98512131999999997</v>
      </c>
      <c r="K223" s="13262">
        <v>3500000</v>
      </c>
      <c r="L223" s="10060"/>
      <c r="M223" s="7760" t="s">
        <v>568</v>
      </c>
      <c r="O223" s="7760">
        <v>3500000</v>
      </c>
      <c r="P223" s="7760">
        <v>4000000</v>
      </c>
    </row>
    <row r="224" spans="1:19" ht="15" customHeight="1">
      <c r="A224" s="13285"/>
      <c r="B224" s="13287" t="s">
        <v>9940</v>
      </c>
      <c r="C224" s="10621"/>
      <c r="D224" s="10068">
        <v>1994</v>
      </c>
      <c r="E224" s="10108">
        <v>210000</v>
      </c>
      <c r="F224" s="10108">
        <v>142200</v>
      </c>
      <c r="G224" s="10206">
        <f t="shared" si="8"/>
        <v>1657800</v>
      </c>
      <c r="H224" s="10109">
        <v>1800000</v>
      </c>
      <c r="I224" s="10053">
        <v>788915</v>
      </c>
      <c r="J224" s="10662">
        <f>I224/H224</f>
        <v>0.4382861111111111</v>
      </c>
      <c r="K224" s="13251">
        <v>1500000</v>
      </c>
      <c r="L224" s="10050"/>
      <c r="M224" s="7760" t="s">
        <v>568</v>
      </c>
      <c r="O224" s="7760">
        <v>1800000</v>
      </c>
      <c r="P224" s="7760">
        <v>1800000</v>
      </c>
    </row>
    <row r="225" spans="1:16" ht="15" customHeight="1">
      <c r="A225" s="12226"/>
      <c r="B225" s="13287" t="s">
        <v>379</v>
      </c>
      <c r="C225" s="10621"/>
      <c r="D225" s="10068">
        <v>899901</v>
      </c>
      <c r="E225" s="10108">
        <v>2373599.15</v>
      </c>
      <c r="F225" s="10108">
        <v>435338.2</v>
      </c>
      <c r="G225" s="10206">
        <f t="shared" si="8"/>
        <v>3064661.8</v>
      </c>
      <c r="H225" s="10109">
        <v>3500000</v>
      </c>
      <c r="I225" s="10053">
        <v>1207111.8</v>
      </c>
      <c r="J225" s="10662">
        <f>I225/H225</f>
        <v>0.34488908571428573</v>
      </c>
      <c r="K225" s="13251">
        <v>3500000</v>
      </c>
      <c r="L225" s="10050"/>
      <c r="M225" s="7760" t="s">
        <v>11117</v>
      </c>
      <c r="O225" s="7760">
        <v>2600000</v>
      </c>
      <c r="P225" s="7760">
        <v>2600000</v>
      </c>
    </row>
    <row r="226" spans="1:16" ht="29.25" hidden="1" customHeight="1">
      <c r="A226" s="13285"/>
      <c r="B226" s="13303" t="s">
        <v>10158</v>
      </c>
      <c r="C226" s="10625"/>
      <c r="D226" s="10068"/>
      <c r="E226" s="10108"/>
      <c r="F226" s="10108"/>
      <c r="G226" s="10206">
        <f t="shared" si="8"/>
        <v>0</v>
      </c>
      <c r="H226" s="10053">
        <v>0</v>
      </c>
      <c r="I226" s="10053"/>
      <c r="J226" s="10662" t="e">
        <f t="shared" si="9"/>
        <v>#DIV/0!</v>
      </c>
      <c r="K226" s="13262">
        <v>0</v>
      </c>
      <c r="L226" s="10060"/>
      <c r="P226" s="7760">
        <v>600000</v>
      </c>
    </row>
    <row r="227" spans="1:16" ht="15.75" customHeight="1">
      <c r="A227" s="13285"/>
      <c r="B227" s="13303" t="s">
        <v>10613</v>
      </c>
      <c r="C227" s="10625"/>
      <c r="D227" s="10068">
        <v>871301</v>
      </c>
      <c r="E227" s="10108">
        <v>0</v>
      </c>
      <c r="F227" s="10108">
        <v>0</v>
      </c>
      <c r="G227" s="10206">
        <f t="shared" si="8"/>
        <v>1500000</v>
      </c>
      <c r="H227" s="10053">
        <v>1500000</v>
      </c>
      <c r="I227" s="10053">
        <v>1500000</v>
      </c>
      <c r="J227" s="10662">
        <f t="shared" si="9"/>
        <v>1</v>
      </c>
      <c r="K227" s="13262">
        <v>0</v>
      </c>
      <c r="L227" s="10060" t="s">
        <v>11846</v>
      </c>
      <c r="M227" s="7760" t="s">
        <v>2051</v>
      </c>
    </row>
    <row r="228" spans="1:16" ht="15.75" hidden="1" customHeight="1">
      <c r="A228" s="13285"/>
      <c r="B228" s="13303" t="s">
        <v>10614</v>
      </c>
      <c r="C228" s="10625"/>
      <c r="D228" s="10068"/>
      <c r="E228" s="10108"/>
      <c r="F228" s="10108"/>
      <c r="G228" s="10206">
        <f t="shared" si="8"/>
        <v>0</v>
      </c>
      <c r="H228" s="10053">
        <v>0</v>
      </c>
      <c r="I228" s="10053"/>
      <c r="J228" s="10662" t="e">
        <f t="shared" si="9"/>
        <v>#DIV/0!</v>
      </c>
      <c r="K228" s="13262">
        <v>0</v>
      </c>
      <c r="L228" s="10060"/>
    </row>
    <row r="229" spans="1:16" ht="15.75" hidden="1" customHeight="1">
      <c r="A229" s="13285"/>
      <c r="B229" s="13299" t="s">
        <v>11794</v>
      </c>
      <c r="C229" s="10625">
        <v>486000</v>
      </c>
      <c r="D229" s="10068"/>
      <c r="E229" s="10108"/>
      <c r="F229" s="10108"/>
      <c r="G229" s="10206"/>
      <c r="H229" s="10053"/>
      <c r="I229" s="10053"/>
      <c r="J229" s="10662"/>
      <c r="K229" s="13262"/>
      <c r="L229" s="10060"/>
    </row>
    <row r="230" spans="1:16" ht="15.75" hidden="1" customHeight="1">
      <c r="A230" s="13285"/>
      <c r="B230" s="13299" t="s">
        <v>3349</v>
      </c>
      <c r="C230" s="10625">
        <v>430000</v>
      </c>
      <c r="D230" s="10068"/>
      <c r="E230" s="10108"/>
      <c r="F230" s="10108"/>
      <c r="G230" s="10206"/>
      <c r="H230" s="10053"/>
      <c r="I230" s="10053"/>
      <c r="J230" s="10662"/>
      <c r="K230" s="13262"/>
      <c r="L230" s="10060"/>
    </row>
    <row r="231" spans="1:16" ht="15.75" hidden="1" customHeight="1">
      <c r="A231" s="13285"/>
      <c r="B231" s="13346" t="s">
        <v>10959</v>
      </c>
      <c r="C231" s="10625">
        <v>164000</v>
      </c>
      <c r="D231" s="10068"/>
      <c r="E231" s="10108"/>
      <c r="F231" s="10108"/>
      <c r="G231" s="10206"/>
      <c r="H231" s="10053"/>
      <c r="I231" s="10053"/>
      <c r="J231" s="10662"/>
      <c r="K231" s="13262"/>
      <c r="L231" s="10060"/>
    </row>
    <row r="232" spans="1:16" ht="15.75" hidden="1" customHeight="1">
      <c r="A232" s="13285"/>
      <c r="B232" s="13346" t="s">
        <v>11789</v>
      </c>
      <c r="C232" s="10625">
        <f>251700+168300</f>
        <v>420000</v>
      </c>
      <c r="D232" s="10068"/>
      <c r="E232" s="10108"/>
      <c r="F232" s="10108"/>
      <c r="G232" s="10206"/>
      <c r="H232" s="10053"/>
      <c r="I232" s="10053"/>
      <c r="J232" s="10662"/>
      <c r="K232" s="13262"/>
      <c r="L232" s="10060"/>
    </row>
    <row r="233" spans="1:16" ht="15.75" customHeight="1">
      <c r="A233" s="13285"/>
      <c r="B233" s="13303" t="s">
        <v>10615</v>
      </c>
      <c r="C233" s="10625"/>
      <c r="D233" s="10068">
        <v>6999</v>
      </c>
      <c r="E233" s="10108">
        <v>934240.54</v>
      </c>
      <c r="F233" s="10108">
        <v>0</v>
      </c>
      <c r="G233" s="10206">
        <f>H233-F233</f>
        <v>1000000</v>
      </c>
      <c r="H233" s="10053">
        <v>1000000</v>
      </c>
      <c r="I233" s="10053"/>
      <c r="J233" s="10662">
        <f t="shared" si="9"/>
        <v>0</v>
      </c>
      <c r="K233" s="13262">
        <f>H233</f>
        <v>1000000</v>
      </c>
      <c r="L233" s="10060"/>
      <c r="M233" s="7760" t="s">
        <v>11154</v>
      </c>
    </row>
    <row r="234" spans="1:16" ht="15.75" hidden="1" customHeight="1">
      <c r="A234" s="13285"/>
      <c r="B234" s="13303" t="s">
        <v>10616</v>
      </c>
      <c r="C234" s="10625"/>
      <c r="D234" s="10068">
        <v>6998</v>
      </c>
      <c r="E234" s="10108">
        <v>0</v>
      </c>
      <c r="F234" s="10108"/>
      <c r="G234" s="10206">
        <f>H234-F234</f>
        <v>0</v>
      </c>
      <c r="H234" s="10053">
        <v>0</v>
      </c>
      <c r="I234" s="10053"/>
      <c r="J234" s="10662"/>
      <c r="K234" s="13262">
        <v>0</v>
      </c>
      <c r="L234" s="10060"/>
      <c r="M234" s="7760" t="s">
        <v>11092</v>
      </c>
    </row>
    <row r="235" spans="1:16" s="7374" customFormat="1" ht="17.25" customHeight="1" thickBot="1">
      <c r="A235" s="11519"/>
      <c r="B235" s="13305" t="s">
        <v>327</v>
      </c>
      <c r="C235" s="13349"/>
      <c r="D235" s="7735"/>
      <c r="E235" s="13306">
        <f>SUM(E100:E234,E73:E88)</f>
        <v>65360569.059999995</v>
      </c>
      <c r="F235" s="13306">
        <f>SUM(F100:F234,F73:F88)</f>
        <v>31260264.57</v>
      </c>
      <c r="G235" s="13306">
        <f>SUM(G100:G234,G73:G88)</f>
        <v>69632735.430000007</v>
      </c>
      <c r="H235" s="13306">
        <f>SUM(H100:H234,H73:H88)</f>
        <v>100893000</v>
      </c>
      <c r="I235" s="13306">
        <f>SUM(I100:I234,I73:I88)</f>
        <v>47112674.490000002</v>
      </c>
      <c r="J235" s="13275">
        <f t="shared" si="9"/>
        <v>0.46695682049299753</v>
      </c>
      <c r="K235" s="13307">
        <f>SUM(K100:K234,K73:K88)</f>
        <v>84600000</v>
      </c>
      <c r="L235" s="10082"/>
      <c r="M235" s="7502"/>
      <c r="N235" s="8875"/>
      <c r="O235" s="7502">
        <v>76100652</v>
      </c>
      <c r="P235" s="7502">
        <v>77621500</v>
      </c>
    </row>
    <row r="236" spans="1:16" s="7351" customFormat="1" ht="16.5" customHeight="1">
      <c r="A236" s="10083"/>
      <c r="B236" s="7353"/>
      <c r="C236" s="10638"/>
      <c r="D236" s="7353"/>
      <c r="E236" s="7860"/>
      <c r="F236" s="7860"/>
      <c r="G236" s="7860"/>
      <c r="H236" s="7772"/>
      <c r="I236" s="7772"/>
      <c r="J236" s="7290"/>
      <c r="K236" s="7772"/>
      <c r="L236" s="7772"/>
      <c r="M236" s="7310"/>
      <c r="N236" s="7899"/>
      <c r="O236" s="7310"/>
      <c r="P236" s="7310"/>
    </row>
    <row r="237" spans="1:16" s="7351" customFormat="1" ht="16.5" customHeight="1">
      <c r="A237" s="10083"/>
      <c r="B237" s="7353"/>
      <c r="C237" s="10638"/>
      <c r="D237" s="7353"/>
      <c r="E237" s="7860"/>
      <c r="F237" s="7860"/>
      <c r="G237" s="7860"/>
      <c r="H237" s="7772"/>
      <c r="I237" s="7772"/>
      <c r="J237" s="7290"/>
      <c r="K237" s="7772"/>
      <c r="L237" s="7772"/>
      <c r="M237" s="7310"/>
      <c r="N237" s="7899"/>
      <c r="O237" s="7310"/>
      <c r="P237" s="7310"/>
    </row>
    <row r="238" spans="1:16" s="7351" customFormat="1" ht="16.5" customHeight="1">
      <c r="A238" s="10083"/>
      <c r="B238" s="7353"/>
      <c r="C238" s="10638"/>
      <c r="D238" s="7353"/>
      <c r="E238" s="7860"/>
      <c r="F238" s="7860"/>
      <c r="G238" s="7860"/>
      <c r="H238" s="7772"/>
      <c r="I238" s="7772"/>
      <c r="J238" s="7290"/>
      <c r="K238" s="7772"/>
      <c r="L238" s="7772"/>
      <c r="M238" s="7310"/>
      <c r="N238" s="7899"/>
      <c r="O238" s="7310"/>
      <c r="P238" s="7310"/>
    </row>
    <row r="239" spans="1:16" s="7351" customFormat="1" ht="16.5" customHeight="1">
      <c r="A239" s="10083"/>
      <c r="B239" s="7353"/>
      <c r="C239" s="10638"/>
      <c r="D239" s="7353"/>
      <c r="E239" s="7860"/>
      <c r="F239" s="7860"/>
      <c r="G239" s="7860"/>
      <c r="H239" s="7772"/>
      <c r="I239" s="7772"/>
      <c r="J239" s="7290"/>
      <c r="K239" s="7772"/>
      <c r="L239" s="7772"/>
      <c r="M239" s="7310"/>
      <c r="N239" s="7899"/>
      <c r="O239" s="7310"/>
      <c r="P239" s="7310"/>
    </row>
    <row r="240" spans="1:16" s="7351" customFormat="1" ht="16.5" customHeight="1">
      <c r="A240" s="10083"/>
      <c r="B240" s="7353"/>
      <c r="C240" s="10638"/>
      <c r="D240" s="7353"/>
      <c r="E240" s="7860"/>
      <c r="F240" s="7860"/>
      <c r="G240" s="7860"/>
      <c r="H240" s="7772"/>
      <c r="I240" s="7772"/>
      <c r="J240" s="7290"/>
      <c r="K240" s="7772"/>
      <c r="L240" s="7772"/>
      <c r="M240" s="7310"/>
      <c r="N240" s="7899"/>
      <c r="O240" s="7310"/>
      <c r="P240" s="7310"/>
    </row>
    <row r="241" spans="1:16" s="7731" customFormat="1" ht="15.75" customHeight="1" thickBot="1">
      <c r="A241" s="10061" t="s">
        <v>10912</v>
      </c>
      <c r="B241" s="8004"/>
      <c r="C241" s="10639"/>
      <c r="D241" s="10084"/>
      <c r="E241" s="10085"/>
      <c r="F241" s="10085"/>
      <c r="G241" s="10085"/>
      <c r="H241" s="10086"/>
      <c r="I241" s="10086"/>
      <c r="J241" s="7948"/>
      <c r="K241" s="10086"/>
      <c r="L241" s="10050"/>
      <c r="M241" s="7733"/>
      <c r="N241" s="10071"/>
      <c r="O241" s="7733"/>
      <c r="P241" s="7733"/>
    </row>
    <row r="242" spans="1:16" s="10033" customFormat="1" ht="14.25" customHeight="1">
      <c r="A242" s="13234"/>
      <c r="B242" s="13277"/>
      <c r="C242" s="10613"/>
      <c r="D242" s="10042" t="s">
        <v>103</v>
      </c>
      <c r="E242" s="13324" t="s">
        <v>10</v>
      </c>
      <c r="F242" s="14612" t="s">
        <v>10711</v>
      </c>
      <c r="G242" s="14612"/>
      <c r="H242" s="14612"/>
      <c r="I242" s="13325"/>
      <c r="J242" s="13326"/>
      <c r="K242" s="13327" t="s">
        <v>326</v>
      </c>
      <c r="L242" s="10044"/>
      <c r="M242" s="10031"/>
      <c r="N242" s="10032"/>
      <c r="O242" s="10031" t="s">
        <v>326</v>
      </c>
      <c r="P242" s="10031" t="s">
        <v>326</v>
      </c>
    </row>
    <row r="243" spans="1:16" s="10033" customFormat="1" ht="14.25" customHeight="1">
      <c r="A243" s="13237"/>
      <c r="B243" s="10052" t="s">
        <v>13</v>
      </c>
      <c r="C243" s="10615"/>
      <c r="D243" s="10062" t="s">
        <v>94</v>
      </c>
      <c r="E243" s="13328" t="s">
        <v>15</v>
      </c>
      <c r="F243" s="13964" t="s">
        <v>10709</v>
      </c>
      <c r="G243" s="13964" t="s">
        <v>10710</v>
      </c>
      <c r="H243" s="14191" t="s">
        <v>458</v>
      </c>
      <c r="I243" s="13329"/>
      <c r="J243" s="13330"/>
      <c r="K243" s="13331" t="s">
        <v>16</v>
      </c>
      <c r="L243" s="10044"/>
      <c r="M243" s="10031"/>
      <c r="N243" s="10032"/>
      <c r="O243" s="10031" t="s">
        <v>16</v>
      </c>
      <c r="P243" s="10031" t="s">
        <v>16</v>
      </c>
    </row>
    <row r="244" spans="1:16" s="10033" customFormat="1" ht="18" customHeight="1" thickBot="1">
      <c r="A244" s="13242"/>
      <c r="B244" s="10084"/>
      <c r="C244" s="10616"/>
      <c r="D244" s="13243"/>
      <c r="E244" s="13332">
        <v>2017</v>
      </c>
      <c r="F244" s="13965" t="s">
        <v>457</v>
      </c>
      <c r="G244" s="13965" t="s">
        <v>456</v>
      </c>
      <c r="H244" s="14192"/>
      <c r="I244" s="13333"/>
      <c r="J244" s="13334"/>
      <c r="K244" s="13335">
        <v>2019</v>
      </c>
      <c r="L244" s="10046"/>
      <c r="M244" s="10031"/>
      <c r="N244" s="10032"/>
      <c r="O244" s="10047">
        <v>2014</v>
      </c>
      <c r="P244" s="10031">
        <v>2015</v>
      </c>
    </row>
    <row r="245" spans="1:16" s="10033" customFormat="1" ht="14.25" customHeight="1">
      <c r="A245" s="13237"/>
      <c r="B245" s="10052"/>
      <c r="C245" s="10615"/>
      <c r="D245" s="10062"/>
      <c r="E245" s="13336"/>
      <c r="F245" s="10030"/>
      <c r="G245" s="10030"/>
      <c r="H245" s="10030"/>
      <c r="I245" s="13337"/>
      <c r="J245" s="13338"/>
      <c r="K245" s="13339"/>
      <c r="L245" s="10046"/>
      <c r="M245" s="10031"/>
      <c r="N245" s="10032"/>
      <c r="O245" s="10047"/>
      <c r="P245" s="10031"/>
    </row>
    <row r="246" spans="1:16" ht="14.25" customHeight="1">
      <c r="A246" s="13245"/>
      <c r="B246" s="13308" t="s">
        <v>375</v>
      </c>
      <c r="C246" s="13317"/>
      <c r="D246" s="10068"/>
      <c r="E246" s="10108"/>
      <c r="F246" s="10108"/>
      <c r="G246" s="10108"/>
      <c r="H246" s="10109"/>
      <c r="I246" s="10109"/>
      <c r="J246" s="10110"/>
      <c r="K246" s="13251"/>
      <c r="L246" s="10050"/>
    </row>
    <row r="247" spans="1:16" ht="14.25" customHeight="1">
      <c r="A247" s="13245"/>
      <c r="B247" s="13308"/>
      <c r="C247" s="13317"/>
      <c r="D247" s="10068"/>
      <c r="E247" s="10108"/>
      <c r="F247" s="10108"/>
      <c r="G247" s="10108"/>
      <c r="H247" s="10109"/>
      <c r="I247" s="10109"/>
      <c r="J247" s="10110"/>
      <c r="K247" s="13251"/>
      <c r="L247" s="10050"/>
    </row>
    <row r="248" spans="1:16" ht="15.9" customHeight="1">
      <c r="A248" s="13245"/>
      <c r="B248" s="13308" t="s">
        <v>11139</v>
      </c>
      <c r="C248" s="13317"/>
      <c r="D248" s="10068"/>
      <c r="E248" s="10108"/>
      <c r="F248" s="10108"/>
      <c r="G248" s="10108"/>
      <c r="H248" s="10109"/>
      <c r="I248" s="10109"/>
      <c r="J248" s="10110"/>
      <c r="K248" s="13251"/>
      <c r="L248" s="10050"/>
    </row>
    <row r="249" spans="1:16" ht="15.9" customHeight="1">
      <c r="A249" s="11472"/>
      <c r="B249" s="13287" t="s">
        <v>10312</v>
      </c>
      <c r="C249" s="10617"/>
      <c r="D249" s="10105">
        <v>799916</v>
      </c>
      <c r="E249" s="10106">
        <v>516573.5</v>
      </c>
      <c r="F249" s="10106">
        <v>828280</v>
      </c>
      <c r="G249" s="10106">
        <f t="shared" ref="G249:G257" si="10">H249-F249</f>
        <v>171720</v>
      </c>
      <c r="H249" s="10053">
        <v>1000000</v>
      </c>
      <c r="I249" s="10053">
        <v>857990</v>
      </c>
      <c r="J249" s="10662">
        <f>I249/H249</f>
        <v>0.85799000000000003</v>
      </c>
      <c r="K249" s="13262">
        <v>1000000</v>
      </c>
      <c r="L249" s="10060"/>
      <c r="M249" s="7760" t="s">
        <v>568</v>
      </c>
      <c r="O249" s="7760">
        <v>500000</v>
      </c>
      <c r="P249" s="7760">
        <v>1000000</v>
      </c>
    </row>
    <row r="250" spans="1:16" ht="15.9" hidden="1" customHeight="1">
      <c r="A250" s="12226"/>
      <c r="B250" s="13287" t="s">
        <v>376</v>
      </c>
      <c r="C250" s="10617"/>
      <c r="D250" s="10105">
        <v>799919</v>
      </c>
      <c r="E250" s="10106">
        <v>0</v>
      </c>
      <c r="F250" s="10106"/>
      <c r="G250" s="10106">
        <f t="shared" si="10"/>
        <v>0</v>
      </c>
      <c r="H250" s="10549">
        <v>0</v>
      </c>
      <c r="I250" s="10053"/>
      <c r="J250" s="10662"/>
      <c r="K250" s="13265">
        <v>0</v>
      </c>
      <c r="L250" s="10054" t="s">
        <v>3315</v>
      </c>
      <c r="M250" s="7760" t="s">
        <v>3315</v>
      </c>
      <c r="O250" s="7760">
        <v>450000</v>
      </c>
      <c r="P250" s="7760">
        <v>450000</v>
      </c>
    </row>
    <row r="251" spans="1:16" ht="15.9" customHeight="1">
      <c r="A251" s="12226"/>
      <c r="B251" s="13287" t="s">
        <v>377</v>
      </c>
      <c r="C251" s="10617"/>
      <c r="D251" s="10105">
        <v>49901</v>
      </c>
      <c r="E251" s="10106">
        <v>870000</v>
      </c>
      <c r="F251" s="10106">
        <v>199562</v>
      </c>
      <c r="G251" s="10106">
        <f t="shared" si="10"/>
        <v>1800438</v>
      </c>
      <c r="H251" s="10053">
        <v>2000000</v>
      </c>
      <c r="I251" s="10053">
        <v>199261</v>
      </c>
      <c r="J251" s="10662">
        <f>I251/H251</f>
        <v>9.9630499999999997E-2</v>
      </c>
      <c r="K251" s="13262">
        <v>2000000</v>
      </c>
      <c r="L251" s="10060"/>
      <c r="M251" s="7760" t="s">
        <v>568</v>
      </c>
      <c r="O251" s="7760">
        <v>1000000</v>
      </c>
      <c r="P251" s="7760">
        <v>2000000</v>
      </c>
    </row>
    <row r="252" spans="1:16" ht="15.9" customHeight="1">
      <c r="A252" s="12226"/>
      <c r="B252" s="13287" t="s">
        <v>836</v>
      </c>
      <c r="C252" s="10617"/>
      <c r="D252" s="10068">
        <v>799934</v>
      </c>
      <c r="E252" s="10108">
        <v>0</v>
      </c>
      <c r="F252" s="10108">
        <v>0</v>
      </c>
      <c r="G252" s="10106">
        <f t="shared" si="10"/>
        <v>200000</v>
      </c>
      <c r="H252" s="10109">
        <v>200000</v>
      </c>
      <c r="I252" s="10053">
        <v>0</v>
      </c>
      <c r="J252" s="10662">
        <f>I252/H252</f>
        <v>0</v>
      </c>
      <c r="K252" s="13251">
        <v>200000</v>
      </c>
      <c r="L252" s="10050"/>
      <c r="M252" s="7760" t="s">
        <v>568</v>
      </c>
      <c r="O252" s="7760">
        <v>200000</v>
      </c>
      <c r="P252" s="7760">
        <v>200000</v>
      </c>
    </row>
    <row r="253" spans="1:16" ht="15.9" customHeight="1">
      <c r="A253" s="12226"/>
      <c r="B253" s="13287" t="s">
        <v>381</v>
      </c>
      <c r="C253" s="10617"/>
      <c r="D253" s="13250">
        <v>3392</v>
      </c>
      <c r="E253" s="10108">
        <v>1464743.23</v>
      </c>
      <c r="F253" s="10108"/>
      <c r="G253" s="10106">
        <f t="shared" si="10"/>
        <v>0</v>
      </c>
      <c r="H253" s="10107">
        <v>0</v>
      </c>
      <c r="I253" s="10053"/>
      <c r="J253" s="10662"/>
      <c r="K253" s="13286">
        <v>0</v>
      </c>
      <c r="L253" s="10050"/>
      <c r="M253" s="7760" t="s">
        <v>11149</v>
      </c>
      <c r="O253" s="7760">
        <v>1782500</v>
      </c>
      <c r="P253" s="7760">
        <v>1782500</v>
      </c>
    </row>
    <row r="254" spans="1:16" ht="15.9" customHeight="1">
      <c r="A254" s="12226"/>
      <c r="B254" s="13287" t="s">
        <v>4739</v>
      </c>
      <c r="C254" s="10617"/>
      <c r="D254" s="13250">
        <v>339205</v>
      </c>
      <c r="E254" s="10108">
        <v>1882160</v>
      </c>
      <c r="F254" s="10108"/>
      <c r="G254" s="10106">
        <f t="shared" si="10"/>
        <v>0</v>
      </c>
      <c r="H254" s="10107">
        <v>0</v>
      </c>
      <c r="I254" s="10053"/>
      <c r="J254" s="10662"/>
      <c r="K254" s="13286">
        <v>0</v>
      </c>
      <c r="L254" s="10050"/>
      <c r="M254" s="7760" t="s">
        <v>11149</v>
      </c>
      <c r="O254" s="7760">
        <v>2000000</v>
      </c>
      <c r="P254" s="7760">
        <v>2000000</v>
      </c>
    </row>
    <row r="255" spans="1:16" ht="15.9" customHeight="1">
      <c r="A255" s="12226"/>
      <c r="B255" s="13287" t="s">
        <v>9333</v>
      </c>
      <c r="C255" s="10617"/>
      <c r="D255" s="10105">
        <v>339201</v>
      </c>
      <c r="E255" s="10108">
        <v>1547352.6</v>
      </c>
      <c r="F255" s="10108"/>
      <c r="G255" s="10106">
        <f t="shared" si="10"/>
        <v>0</v>
      </c>
      <c r="H255" s="10107">
        <v>0</v>
      </c>
      <c r="I255" s="10053"/>
      <c r="J255" s="10662"/>
      <c r="K255" s="13286">
        <v>0</v>
      </c>
      <c r="L255" s="10050"/>
      <c r="M255" s="7760" t="s">
        <v>11149</v>
      </c>
      <c r="O255" s="7760">
        <v>1000000</v>
      </c>
      <c r="P255" s="7760">
        <v>1500000</v>
      </c>
    </row>
    <row r="256" spans="1:16" ht="15.9" customHeight="1">
      <c r="A256" s="12226"/>
      <c r="B256" s="13287" t="s">
        <v>382</v>
      </c>
      <c r="C256" s="10617"/>
      <c r="D256" s="10105">
        <v>799910</v>
      </c>
      <c r="E256" s="10106">
        <v>2370038.5</v>
      </c>
      <c r="F256" s="10106"/>
      <c r="G256" s="10106">
        <f t="shared" si="10"/>
        <v>0</v>
      </c>
      <c r="H256" s="10107">
        <v>0</v>
      </c>
      <c r="I256" s="10053"/>
      <c r="J256" s="10662"/>
      <c r="K256" s="13286">
        <v>0</v>
      </c>
      <c r="L256" s="10054"/>
      <c r="M256" s="7760" t="s">
        <v>11149</v>
      </c>
      <c r="O256" s="7760">
        <v>100000</v>
      </c>
      <c r="P256" s="7760">
        <v>1000000</v>
      </c>
    </row>
    <row r="257" spans="1:16" ht="15.9" customHeight="1">
      <c r="A257" s="12226"/>
      <c r="B257" s="13297" t="s">
        <v>4744</v>
      </c>
      <c r="C257" s="10617"/>
      <c r="D257" s="13340">
        <v>899911</v>
      </c>
      <c r="E257" s="10108">
        <v>175000</v>
      </c>
      <c r="F257" s="10108">
        <v>0</v>
      </c>
      <c r="G257" s="10106">
        <f t="shared" si="10"/>
        <v>475000</v>
      </c>
      <c r="H257" s="10550">
        <v>475000</v>
      </c>
      <c r="I257" s="10053">
        <v>157500</v>
      </c>
      <c r="J257" s="10662">
        <f>I257/H257</f>
        <v>0.33157894736842103</v>
      </c>
      <c r="K257" s="13298">
        <v>475000</v>
      </c>
      <c r="L257" s="10079"/>
      <c r="M257" s="7760" t="s">
        <v>10314</v>
      </c>
      <c r="O257" s="7760">
        <v>475000</v>
      </c>
      <c r="P257" s="7760">
        <v>475000</v>
      </c>
    </row>
    <row r="258" spans="1:16" ht="15.9" customHeight="1">
      <c r="A258" s="12226"/>
      <c r="B258" s="13297" t="s">
        <v>10313</v>
      </c>
      <c r="C258" s="10617"/>
      <c r="D258" s="13340" t="s">
        <v>9</v>
      </c>
      <c r="E258" s="10108"/>
      <c r="F258" s="10108"/>
      <c r="G258" s="10106"/>
      <c r="H258" s="10550"/>
      <c r="I258" s="10053"/>
      <c r="J258" s="10662"/>
      <c r="K258" s="13298"/>
      <c r="L258" s="10079"/>
    </row>
    <row r="259" spans="1:16" ht="17.25" customHeight="1">
      <c r="A259" s="12226"/>
      <c r="B259" s="13297" t="s">
        <v>11616</v>
      </c>
      <c r="C259" s="10617"/>
      <c r="D259" s="13340">
        <v>69906</v>
      </c>
      <c r="E259" s="10108">
        <v>2473930.12</v>
      </c>
      <c r="F259" s="10108">
        <v>466129.14</v>
      </c>
      <c r="G259" s="10106">
        <f>H259-F259</f>
        <v>3684003.86</v>
      </c>
      <c r="H259" s="10550">
        <v>4150133</v>
      </c>
      <c r="I259" s="10053">
        <v>1689359.32</v>
      </c>
      <c r="J259" s="10662">
        <f>I259/H259</f>
        <v>0.40706148935467851</v>
      </c>
      <c r="K259" s="13298">
        <f>SUM(C260:C274)</f>
        <v>5878700</v>
      </c>
      <c r="L259" s="10574">
        <f>(K259-H259)/H259</f>
        <v>0.41650882031973435</v>
      </c>
      <c r="M259" s="7760" t="s">
        <v>578</v>
      </c>
      <c r="O259" s="7760">
        <v>2400000</v>
      </c>
      <c r="P259" s="7760">
        <v>3400000</v>
      </c>
    </row>
    <row r="260" spans="1:16" s="10637" customFormat="1" ht="17.25" hidden="1" customHeight="1">
      <c r="A260" s="13309"/>
      <c r="B260" s="13299" t="s">
        <v>11780</v>
      </c>
      <c r="C260" s="13318">
        <v>100000</v>
      </c>
      <c r="D260" s="13341"/>
      <c r="E260" s="10627"/>
      <c r="F260" s="10627"/>
      <c r="G260" s="10640"/>
      <c r="H260" s="10633"/>
      <c r="I260" s="10667"/>
      <c r="J260" s="10668"/>
      <c r="K260" s="13300"/>
      <c r="L260" s="10634"/>
      <c r="M260" s="10635"/>
      <c r="N260" s="10636"/>
      <c r="O260" s="10635"/>
      <c r="P260" s="10635"/>
    </row>
    <row r="261" spans="1:16" s="10637" customFormat="1" ht="17.25" hidden="1" customHeight="1">
      <c r="A261" s="13309"/>
      <c r="B261" s="10626" t="s">
        <v>531</v>
      </c>
      <c r="C261" s="13319">
        <v>100000</v>
      </c>
      <c r="D261" s="13341"/>
      <c r="E261" s="10627"/>
      <c r="F261" s="10627"/>
      <c r="G261" s="10640"/>
      <c r="H261" s="10633"/>
      <c r="I261" s="10667"/>
      <c r="J261" s="10668"/>
      <c r="K261" s="13300"/>
      <c r="L261" s="10634"/>
      <c r="M261" s="10635"/>
      <c r="N261" s="10636"/>
      <c r="O261" s="10635"/>
      <c r="P261" s="10635"/>
    </row>
    <row r="262" spans="1:16" ht="17.25" hidden="1" customHeight="1">
      <c r="A262" s="12226"/>
      <c r="B262" s="10626" t="s">
        <v>11783</v>
      </c>
      <c r="C262" s="13319">
        <f>109200+64500+49000+42000+80000+144000+42000+18000+75000</f>
        <v>623700</v>
      </c>
      <c r="D262" s="13340"/>
      <c r="E262" s="10108"/>
      <c r="F262" s="10108"/>
      <c r="G262" s="10106"/>
      <c r="H262" s="10550"/>
      <c r="I262" s="10053"/>
      <c r="J262" s="10662"/>
      <c r="K262" s="13298"/>
      <c r="L262" s="10079"/>
    </row>
    <row r="263" spans="1:16" ht="17.25" hidden="1" customHeight="1">
      <c r="A263" s="12226"/>
      <c r="B263" s="10626" t="s">
        <v>700</v>
      </c>
      <c r="C263" s="13319">
        <v>50000</v>
      </c>
      <c r="D263" s="13340"/>
      <c r="E263" s="10108"/>
      <c r="F263" s="10108"/>
      <c r="G263" s="10106"/>
      <c r="H263" s="10550"/>
      <c r="I263" s="10053"/>
      <c r="J263" s="10662"/>
      <c r="K263" s="13298"/>
      <c r="L263" s="10079"/>
    </row>
    <row r="264" spans="1:16" ht="17.25" hidden="1" customHeight="1">
      <c r="A264" s="12226"/>
      <c r="B264" s="10632" t="s">
        <v>11811</v>
      </c>
      <c r="C264" s="13319">
        <v>200000</v>
      </c>
      <c r="D264" s="13340"/>
      <c r="E264" s="10108"/>
      <c r="F264" s="10108"/>
      <c r="G264" s="10106"/>
      <c r="H264" s="10550"/>
      <c r="I264" s="10053"/>
      <c r="J264" s="10662"/>
      <c r="K264" s="13298"/>
      <c r="L264" s="10079"/>
    </row>
    <row r="265" spans="1:16" ht="17.25" hidden="1" customHeight="1">
      <c r="A265" s="12226"/>
      <c r="B265" s="10626" t="s">
        <v>11790</v>
      </c>
      <c r="C265" s="13319">
        <f>250000</f>
        <v>250000</v>
      </c>
      <c r="D265" s="13340"/>
      <c r="E265" s="10108"/>
      <c r="F265" s="10108"/>
      <c r="G265" s="10106"/>
      <c r="H265" s="10550"/>
      <c r="I265" s="10053"/>
      <c r="J265" s="10662"/>
      <c r="K265" s="13298"/>
      <c r="L265" s="10079"/>
    </row>
    <row r="266" spans="1:16" ht="17.25" hidden="1" customHeight="1">
      <c r="A266" s="12226"/>
      <c r="B266" s="10626" t="s">
        <v>10331</v>
      </c>
      <c r="C266" s="13319">
        <v>150000</v>
      </c>
      <c r="D266" s="13340"/>
      <c r="E266" s="10108"/>
      <c r="F266" s="10108"/>
      <c r="G266" s="10106"/>
      <c r="H266" s="10550"/>
      <c r="I266" s="10053"/>
      <c r="J266" s="10662"/>
      <c r="K266" s="13298"/>
      <c r="L266" s="10079"/>
    </row>
    <row r="267" spans="1:16" ht="17.25" hidden="1" customHeight="1">
      <c r="A267" s="12226"/>
      <c r="B267" s="10626" t="s">
        <v>605</v>
      </c>
      <c r="C267" s="13319">
        <f>2000000</f>
        <v>2000000</v>
      </c>
      <c r="D267" s="13340"/>
      <c r="E267" s="10108"/>
      <c r="F267" s="10108"/>
      <c r="G267" s="10106"/>
      <c r="H267" s="10550"/>
      <c r="I267" s="10053"/>
      <c r="J267" s="10662"/>
      <c r="K267" s="13298"/>
      <c r="L267" s="10079"/>
    </row>
    <row r="268" spans="1:16" ht="17.25" hidden="1" customHeight="1">
      <c r="A268" s="12226"/>
      <c r="B268" s="10626" t="s">
        <v>11815</v>
      </c>
      <c r="C268" s="13319">
        <f>663000+152000</f>
        <v>815000</v>
      </c>
      <c r="D268" s="13340"/>
      <c r="E268" s="10108"/>
      <c r="F268" s="10108"/>
      <c r="G268" s="10106"/>
      <c r="H268" s="10550"/>
      <c r="I268" s="10053"/>
      <c r="J268" s="10662"/>
      <c r="K268" s="13298"/>
      <c r="L268" s="10079"/>
    </row>
    <row r="269" spans="1:16" ht="17.25" hidden="1" customHeight="1">
      <c r="A269" s="12226"/>
      <c r="B269" s="10626" t="s">
        <v>720</v>
      </c>
      <c r="C269" s="13319">
        <v>900000</v>
      </c>
      <c r="D269" s="13340"/>
      <c r="E269" s="10108"/>
      <c r="F269" s="10108"/>
      <c r="G269" s="10106"/>
      <c r="H269" s="10550"/>
      <c r="I269" s="10053"/>
      <c r="J269" s="10662"/>
      <c r="K269" s="13298"/>
      <c r="L269" s="10079"/>
    </row>
    <row r="270" spans="1:16" ht="17.25" hidden="1" customHeight="1">
      <c r="A270" s="12226"/>
      <c r="B270" s="10628" t="s">
        <v>10938</v>
      </c>
      <c r="C270" s="13319">
        <v>60000</v>
      </c>
      <c r="D270" s="13340"/>
      <c r="E270" s="10108"/>
      <c r="F270" s="10108"/>
      <c r="G270" s="10106"/>
      <c r="H270" s="10550"/>
      <c r="I270" s="10053"/>
      <c r="J270" s="10662"/>
      <c r="K270" s="13298"/>
      <c r="L270" s="10079"/>
    </row>
    <row r="271" spans="1:16" ht="17.25" hidden="1" customHeight="1">
      <c r="A271" s="12226"/>
      <c r="B271" s="10622" t="s">
        <v>11791</v>
      </c>
      <c r="C271" s="13319">
        <v>90000</v>
      </c>
      <c r="D271" s="13340"/>
      <c r="E271" s="10108"/>
      <c r="F271" s="10108"/>
      <c r="G271" s="10106"/>
      <c r="H271" s="10550"/>
      <c r="I271" s="10053"/>
      <c r="J271" s="10662"/>
      <c r="K271" s="13298"/>
      <c r="L271" s="10079"/>
    </row>
    <row r="272" spans="1:16" ht="17.25" hidden="1" customHeight="1">
      <c r="A272" s="12226"/>
      <c r="B272" s="10626" t="s">
        <v>11789</v>
      </c>
      <c r="C272" s="13319">
        <v>300000</v>
      </c>
      <c r="D272" s="13340"/>
      <c r="E272" s="10108"/>
      <c r="F272" s="10108"/>
      <c r="G272" s="10106"/>
      <c r="H272" s="10550"/>
      <c r="I272" s="10053"/>
      <c r="J272" s="10662"/>
      <c r="K272" s="13298"/>
      <c r="L272" s="10079"/>
    </row>
    <row r="273" spans="1:16" ht="17.25" hidden="1" customHeight="1">
      <c r="A273" s="12226"/>
      <c r="B273" s="10631" t="s">
        <v>52</v>
      </c>
      <c r="C273" s="13319"/>
      <c r="D273" s="13340"/>
      <c r="E273" s="10108"/>
      <c r="F273" s="10108"/>
      <c r="G273" s="10106"/>
      <c r="H273" s="10550"/>
      <c r="I273" s="10053"/>
      <c r="J273" s="10662"/>
      <c r="K273" s="13298"/>
      <c r="L273" s="10079"/>
    </row>
    <row r="274" spans="1:16" ht="17.25" hidden="1" customHeight="1">
      <c r="A274" s="12226"/>
      <c r="B274" s="10628" t="s">
        <v>11832</v>
      </c>
      <c r="C274" s="13319">
        <v>240000</v>
      </c>
      <c r="D274" s="13340"/>
      <c r="E274" s="10108"/>
      <c r="F274" s="10108"/>
      <c r="G274" s="10106"/>
      <c r="H274" s="10550"/>
      <c r="I274" s="10053"/>
      <c r="J274" s="10662"/>
      <c r="K274" s="13298"/>
      <c r="L274" s="10079"/>
    </row>
    <row r="275" spans="1:16" ht="17.25" hidden="1" customHeight="1">
      <c r="A275" s="12226"/>
      <c r="B275" s="10632" t="s">
        <v>10975</v>
      </c>
      <c r="C275" s="13320"/>
      <c r="D275" s="13340"/>
      <c r="E275" s="10108"/>
      <c r="F275" s="10108"/>
      <c r="G275" s="10106"/>
      <c r="H275" s="10550"/>
      <c r="I275" s="10053"/>
      <c r="J275" s="10662"/>
      <c r="K275" s="13298"/>
      <c r="L275" s="10079" t="s">
        <v>11833</v>
      </c>
    </row>
    <row r="276" spans="1:16" ht="17.25" customHeight="1">
      <c r="A276" s="12226"/>
      <c r="B276" s="13310" t="s">
        <v>11617</v>
      </c>
      <c r="C276" s="10642"/>
      <c r="D276" s="13340">
        <v>69903</v>
      </c>
      <c r="E276" s="10108"/>
      <c r="F276" s="10108"/>
      <c r="G276" s="10106">
        <f>H276-F276</f>
        <v>0</v>
      </c>
      <c r="H276" s="10107"/>
      <c r="I276" s="10053"/>
      <c r="J276" s="10662"/>
      <c r="K276" s="13286">
        <v>1217000</v>
      </c>
      <c r="L276" s="10065"/>
      <c r="M276" s="7760" t="s">
        <v>578</v>
      </c>
      <c r="O276" s="7760">
        <v>950000</v>
      </c>
    </row>
    <row r="277" spans="1:16" ht="17.25" customHeight="1">
      <c r="A277" s="12226"/>
      <c r="B277" s="13310" t="s">
        <v>10275</v>
      </c>
      <c r="C277" s="10642"/>
      <c r="D277" s="13340">
        <v>69907</v>
      </c>
      <c r="E277" s="10108">
        <v>1332377.3700000001</v>
      </c>
      <c r="F277" s="10108">
        <v>94358.47</v>
      </c>
      <c r="G277" s="10106">
        <f>H277-F277</f>
        <v>335441.53000000003</v>
      </c>
      <c r="H277" s="10550">
        <v>429800</v>
      </c>
      <c r="I277" s="10053">
        <v>196148.47</v>
      </c>
      <c r="J277" s="10662">
        <f>I277/H277</f>
        <v>0.4563714983713355</v>
      </c>
      <c r="K277" s="13298">
        <v>3500000</v>
      </c>
      <c r="L277" s="10574" t="s">
        <v>11834</v>
      </c>
      <c r="M277" s="7760" t="s">
        <v>578</v>
      </c>
      <c r="P277" s="7760">
        <v>580000</v>
      </c>
    </row>
    <row r="278" spans="1:16" s="10637" customFormat="1" ht="17.25" hidden="1" customHeight="1">
      <c r="A278" s="13309"/>
      <c r="B278" s="13299" t="s">
        <v>11780</v>
      </c>
      <c r="C278" s="13318"/>
      <c r="D278" s="13341"/>
      <c r="E278" s="10627"/>
      <c r="F278" s="10627"/>
      <c r="G278" s="10640"/>
      <c r="H278" s="10633"/>
      <c r="I278" s="10667"/>
      <c r="J278" s="10668"/>
      <c r="K278" s="13300"/>
      <c r="L278" s="10634"/>
      <c r="M278" s="10635"/>
      <c r="N278" s="10636"/>
      <c r="O278" s="10635"/>
      <c r="P278" s="10635"/>
    </row>
    <row r="279" spans="1:16" s="10637" customFormat="1" ht="17.25" hidden="1" customHeight="1">
      <c r="A279" s="13309"/>
      <c r="B279" s="10626" t="s">
        <v>531</v>
      </c>
      <c r="C279" s="13319"/>
      <c r="D279" s="13341"/>
      <c r="E279" s="10627"/>
      <c r="F279" s="10627"/>
      <c r="G279" s="10640"/>
      <c r="H279" s="10633"/>
      <c r="I279" s="10667"/>
      <c r="J279" s="10668"/>
      <c r="K279" s="13300"/>
      <c r="L279" s="10634"/>
      <c r="M279" s="10635"/>
      <c r="N279" s="10636"/>
      <c r="O279" s="10635"/>
      <c r="P279" s="10635"/>
    </row>
    <row r="280" spans="1:16" ht="17.25" hidden="1" customHeight="1">
      <c r="A280" s="12226"/>
      <c r="B280" s="10626" t="s">
        <v>11783</v>
      </c>
      <c r="C280" s="13319"/>
      <c r="D280" s="13340"/>
      <c r="E280" s="10108"/>
      <c r="F280" s="10108"/>
      <c r="G280" s="10106"/>
      <c r="H280" s="10550"/>
      <c r="I280" s="10053"/>
      <c r="J280" s="10662"/>
      <c r="K280" s="13298"/>
      <c r="L280" s="10079"/>
    </row>
    <row r="281" spans="1:16" ht="17.25" hidden="1" customHeight="1">
      <c r="A281" s="12226"/>
      <c r="B281" s="10626" t="s">
        <v>700</v>
      </c>
      <c r="C281" s="13319"/>
      <c r="D281" s="13340"/>
      <c r="E281" s="10108"/>
      <c r="F281" s="10108"/>
      <c r="G281" s="10106"/>
      <c r="H281" s="10550"/>
      <c r="I281" s="10053"/>
      <c r="J281" s="10662"/>
      <c r="K281" s="13298"/>
      <c r="L281" s="10079"/>
    </row>
    <row r="282" spans="1:16" ht="17.25" hidden="1" customHeight="1">
      <c r="A282" s="12226"/>
      <c r="B282" s="10632" t="s">
        <v>11811</v>
      </c>
      <c r="C282" s="13319"/>
      <c r="D282" s="13340"/>
      <c r="E282" s="10108"/>
      <c r="F282" s="10108"/>
      <c r="G282" s="10106"/>
      <c r="H282" s="10550"/>
      <c r="I282" s="10053"/>
      <c r="J282" s="10662"/>
      <c r="K282" s="13298"/>
      <c r="L282" s="10079"/>
    </row>
    <row r="283" spans="1:16" ht="17.25" hidden="1" customHeight="1">
      <c r="A283" s="12226"/>
      <c r="B283" s="10626" t="s">
        <v>11790</v>
      </c>
      <c r="C283" s="13319"/>
      <c r="D283" s="13340"/>
      <c r="E283" s="10108"/>
      <c r="F283" s="10108"/>
      <c r="G283" s="10106"/>
      <c r="H283" s="10550"/>
      <c r="I283" s="10053"/>
      <c r="J283" s="10662"/>
      <c r="K283" s="13298"/>
      <c r="L283" s="10079"/>
    </row>
    <row r="284" spans="1:16" ht="17.25" hidden="1" customHeight="1">
      <c r="A284" s="12226"/>
      <c r="B284" s="10626" t="s">
        <v>10331</v>
      </c>
      <c r="C284" s="13319"/>
      <c r="D284" s="13340"/>
      <c r="E284" s="10108"/>
      <c r="F284" s="10108"/>
      <c r="G284" s="10106"/>
      <c r="H284" s="10550"/>
      <c r="I284" s="10053"/>
      <c r="J284" s="10662"/>
      <c r="K284" s="13298"/>
      <c r="L284" s="10079"/>
    </row>
    <row r="285" spans="1:16" ht="17.25" hidden="1" customHeight="1">
      <c r="A285" s="12226"/>
      <c r="B285" s="10626" t="s">
        <v>605</v>
      </c>
      <c r="C285" s="13319"/>
      <c r="D285" s="13340"/>
      <c r="E285" s="10108"/>
      <c r="F285" s="10108"/>
      <c r="G285" s="10106"/>
      <c r="H285" s="10550"/>
      <c r="I285" s="10053"/>
      <c r="J285" s="10662"/>
      <c r="K285" s="13298"/>
      <c r="L285" s="10079"/>
    </row>
    <row r="286" spans="1:16" ht="17.25" hidden="1" customHeight="1">
      <c r="A286" s="12226"/>
      <c r="B286" s="10626" t="s">
        <v>11815</v>
      </c>
      <c r="C286" s="13319"/>
      <c r="D286" s="13340"/>
      <c r="E286" s="10108"/>
      <c r="F286" s="10108"/>
      <c r="G286" s="10106"/>
      <c r="H286" s="10550"/>
      <c r="I286" s="10053"/>
      <c r="J286" s="10662"/>
      <c r="K286" s="13298"/>
      <c r="L286" s="10079"/>
    </row>
    <row r="287" spans="1:16" ht="17.25" hidden="1" customHeight="1">
      <c r="A287" s="12226"/>
      <c r="B287" s="10626" t="s">
        <v>720</v>
      </c>
      <c r="C287" s="13319"/>
      <c r="D287" s="13340"/>
      <c r="E287" s="10108"/>
      <c r="F287" s="10108"/>
      <c r="G287" s="10106"/>
      <c r="H287" s="10550"/>
      <c r="I287" s="10053"/>
      <c r="J287" s="10662"/>
      <c r="K287" s="13298"/>
      <c r="L287" s="10079"/>
    </row>
    <row r="288" spans="1:16" ht="17.25" hidden="1" customHeight="1">
      <c r="A288" s="12226"/>
      <c r="B288" s="10628" t="s">
        <v>10938</v>
      </c>
      <c r="C288" s="13319"/>
      <c r="D288" s="13340"/>
      <c r="E288" s="10108"/>
      <c r="F288" s="10108"/>
      <c r="G288" s="10106"/>
      <c r="H288" s="10550"/>
      <c r="I288" s="10053"/>
      <c r="J288" s="10662"/>
      <c r="K288" s="13298"/>
      <c r="L288" s="10079"/>
    </row>
    <row r="289" spans="1:16" ht="17.25" hidden="1" customHeight="1">
      <c r="A289" s="12226"/>
      <c r="B289" s="10622" t="s">
        <v>11791</v>
      </c>
      <c r="C289" s="13319"/>
      <c r="D289" s="13340"/>
      <c r="E289" s="10108"/>
      <c r="F289" s="10108"/>
      <c r="G289" s="10106"/>
      <c r="H289" s="10550"/>
      <c r="I289" s="10053"/>
      <c r="J289" s="10662"/>
      <c r="K289" s="13298"/>
      <c r="L289" s="10079"/>
    </row>
    <row r="290" spans="1:16" ht="17.25" hidden="1" customHeight="1">
      <c r="A290" s="12226"/>
      <c r="B290" s="10626" t="s">
        <v>11789</v>
      </c>
      <c r="C290" s="13319"/>
      <c r="D290" s="13340"/>
      <c r="E290" s="10108"/>
      <c r="F290" s="10108"/>
      <c r="G290" s="10106"/>
      <c r="H290" s="10550"/>
      <c r="I290" s="10053"/>
      <c r="J290" s="10662"/>
      <c r="K290" s="13298"/>
      <c r="L290" s="10079"/>
    </row>
    <row r="291" spans="1:16" ht="17.25" hidden="1" customHeight="1">
      <c r="A291" s="12226"/>
      <c r="B291" s="10631" t="s">
        <v>52</v>
      </c>
      <c r="C291" s="13319"/>
      <c r="D291" s="13340"/>
      <c r="E291" s="10108"/>
      <c r="F291" s="10108"/>
      <c r="G291" s="10106"/>
      <c r="H291" s="10550"/>
      <c r="I291" s="10053"/>
      <c r="J291" s="10662"/>
      <c r="K291" s="13298"/>
      <c r="L291" s="10079"/>
    </row>
    <row r="292" spans="1:16" ht="17.25" hidden="1" customHeight="1">
      <c r="A292" s="12226"/>
      <c r="B292" s="10628"/>
      <c r="C292" s="13319"/>
      <c r="D292" s="13340"/>
      <c r="E292" s="10108"/>
      <c r="F292" s="10108"/>
      <c r="G292" s="10106"/>
      <c r="H292" s="10550"/>
      <c r="I292" s="10053"/>
      <c r="J292" s="10662"/>
      <c r="K292" s="13298"/>
      <c r="L292" s="10079"/>
    </row>
    <row r="293" spans="1:16" ht="17.25" hidden="1" customHeight="1">
      <c r="A293" s="12226"/>
      <c r="B293" s="10632"/>
      <c r="C293" s="13320"/>
      <c r="D293" s="13340"/>
      <c r="E293" s="10108"/>
      <c r="F293" s="10108"/>
      <c r="G293" s="10106"/>
      <c r="H293" s="10550"/>
      <c r="I293" s="10053"/>
      <c r="J293" s="10662"/>
      <c r="K293" s="13298"/>
      <c r="L293" s="10079"/>
    </row>
    <row r="294" spans="1:16" ht="15.9" customHeight="1">
      <c r="A294" s="12226"/>
      <c r="B294" s="13310" t="s">
        <v>9996</v>
      </c>
      <c r="C294" s="10642"/>
      <c r="D294" s="13340" t="s">
        <v>10549</v>
      </c>
      <c r="E294" s="10108">
        <v>1168985.9099999999</v>
      </c>
      <c r="F294" s="10108">
        <v>452091.58</v>
      </c>
      <c r="G294" s="10106">
        <f>H294-F294</f>
        <v>847908.41999999993</v>
      </c>
      <c r="H294" s="10550">
        <v>1300000</v>
      </c>
      <c r="I294" s="10053">
        <v>752045</v>
      </c>
      <c r="J294" s="10662">
        <f>I294/H294</f>
        <v>0.57849615384615383</v>
      </c>
      <c r="K294" s="13298">
        <v>1300000</v>
      </c>
      <c r="L294" s="10574">
        <f>(K294-H294)/H294</f>
        <v>0</v>
      </c>
      <c r="M294" s="7760" t="s">
        <v>11155</v>
      </c>
      <c r="P294" s="7760">
        <v>500000</v>
      </c>
    </row>
    <row r="295" spans="1:16" ht="15.9" customHeight="1">
      <c r="A295" s="12226"/>
      <c r="B295" s="13310" t="s">
        <v>9997</v>
      </c>
      <c r="C295" s="10642"/>
      <c r="D295" s="13340" t="s">
        <v>10550</v>
      </c>
      <c r="E295" s="10108">
        <v>66550</v>
      </c>
      <c r="F295" s="10108">
        <v>4490</v>
      </c>
      <c r="G295" s="10106">
        <f>H295-F295</f>
        <v>115510</v>
      </c>
      <c r="H295" s="10550">
        <v>120000</v>
      </c>
      <c r="I295" s="10053">
        <v>12730</v>
      </c>
      <c r="J295" s="10662">
        <f>I295/H295</f>
        <v>0.10608333333333334</v>
      </c>
      <c r="K295" s="13298">
        <v>200000</v>
      </c>
      <c r="L295" s="10574" t="s">
        <v>11835</v>
      </c>
      <c r="M295" s="7760" t="s">
        <v>578</v>
      </c>
      <c r="P295" s="7760">
        <v>75000</v>
      </c>
    </row>
    <row r="296" spans="1:16" ht="15.9" customHeight="1">
      <c r="A296" s="12226"/>
      <c r="B296" s="13310" t="s">
        <v>9998</v>
      </c>
      <c r="C296" s="10642"/>
      <c r="D296" s="13340" t="s">
        <v>10551</v>
      </c>
      <c r="E296" s="10108">
        <v>6860</v>
      </c>
      <c r="F296" s="10108">
        <v>57938.11</v>
      </c>
      <c r="G296" s="10106">
        <f>H296-F296</f>
        <v>92061.89</v>
      </c>
      <c r="H296" s="10550">
        <v>150000</v>
      </c>
      <c r="I296" s="10053">
        <v>132143.10999999999</v>
      </c>
      <c r="J296" s="10662">
        <f>I296/H296</f>
        <v>0.88095406666666654</v>
      </c>
      <c r="K296" s="13298">
        <v>150000</v>
      </c>
      <c r="L296" s="10574">
        <f>(K296-H296)/H296</f>
        <v>0</v>
      </c>
      <c r="M296" s="7760" t="s">
        <v>578</v>
      </c>
      <c r="P296" s="7760">
        <v>75000</v>
      </c>
    </row>
    <row r="297" spans="1:16" ht="15.9" customHeight="1">
      <c r="A297" s="12226"/>
      <c r="B297" s="13297" t="s">
        <v>3303</v>
      </c>
      <c r="C297" s="10617"/>
      <c r="D297" s="13340">
        <v>69905</v>
      </c>
      <c r="E297" s="10108">
        <v>1240981.1000000001</v>
      </c>
      <c r="F297" s="10108">
        <v>58532.4</v>
      </c>
      <c r="G297" s="10106">
        <f>H297-F297</f>
        <v>2441467.6</v>
      </c>
      <c r="H297" s="10550">
        <v>2500000</v>
      </c>
      <c r="I297" s="10053">
        <v>1174591.8600000001</v>
      </c>
      <c r="J297" s="10662">
        <f>I297/H297</f>
        <v>0.46983674400000003</v>
      </c>
      <c r="K297" s="13298">
        <v>0</v>
      </c>
      <c r="L297" s="10574">
        <f>(K297-H297)/H297</f>
        <v>-1</v>
      </c>
      <c r="M297" s="7760" t="s">
        <v>11156</v>
      </c>
      <c r="O297" s="7760">
        <v>1562800</v>
      </c>
      <c r="P297" s="7760">
        <v>2000000</v>
      </c>
    </row>
    <row r="298" spans="1:16" ht="15.9" customHeight="1">
      <c r="A298" s="12226"/>
      <c r="B298" s="13297" t="s">
        <v>11836</v>
      </c>
      <c r="C298" s="10617"/>
      <c r="D298" s="13340"/>
      <c r="E298" s="10108"/>
      <c r="F298" s="10108"/>
      <c r="G298" s="10106"/>
      <c r="H298" s="10550"/>
      <c r="I298" s="10053"/>
      <c r="J298" s="10662"/>
      <c r="K298" s="13298">
        <v>1000000</v>
      </c>
      <c r="L298" s="10574"/>
    </row>
    <row r="299" spans="1:16" ht="15.9" customHeight="1">
      <c r="A299" s="12226"/>
      <c r="B299" s="13310" t="s">
        <v>3389</v>
      </c>
      <c r="C299" s="10642"/>
      <c r="D299" s="13340">
        <v>1999</v>
      </c>
      <c r="E299" s="10108">
        <v>9288573.9000000004</v>
      </c>
      <c r="F299" s="10108">
        <v>1050000</v>
      </c>
      <c r="G299" s="10106">
        <f t="shared" ref="G299:G304" si="11">H299-F299</f>
        <v>10950000</v>
      </c>
      <c r="H299" s="10053">
        <v>12000000</v>
      </c>
      <c r="I299" s="10053">
        <v>5497544.5</v>
      </c>
      <c r="J299" s="10662">
        <f>I299/H299</f>
        <v>0.45812870833333336</v>
      </c>
      <c r="K299" s="13262">
        <f>12000000-100000</f>
        <v>11900000</v>
      </c>
      <c r="L299" s="10060"/>
      <c r="M299" s="7760" t="s">
        <v>568</v>
      </c>
      <c r="O299" s="7760">
        <v>10000000</v>
      </c>
      <c r="P299" s="7760">
        <v>12000000</v>
      </c>
    </row>
    <row r="300" spans="1:16" ht="15.9" customHeight="1">
      <c r="A300" s="13285"/>
      <c r="B300" s="13287" t="s">
        <v>10639</v>
      </c>
      <c r="C300" s="10617"/>
      <c r="D300" s="10068">
        <v>49914</v>
      </c>
      <c r="E300" s="10108">
        <v>3663692.4</v>
      </c>
      <c r="F300" s="10108">
        <v>2325404.5499999998</v>
      </c>
      <c r="G300" s="10106">
        <f t="shared" si="11"/>
        <v>2674595.4500000002</v>
      </c>
      <c r="H300" s="10053">
        <v>5000000</v>
      </c>
      <c r="I300" s="10053"/>
      <c r="J300" s="10662">
        <f>I300/H300</f>
        <v>0</v>
      </c>
      <c r="K300" s="13262"/>
      <c r="L300" s="10060"/>
      <c r="M300" s="7760" t="s">
        <v>11121</v>
      </c>
      <c r="O300" s="7760">
        <v>5000000</v>
      </c>
      <c r="P300" s="7760">
        <v>7500000</v>
      </c>
    </row>
    <row r="301" spans="1:16" ht="15.9" customHeight="1">
      <c r="A301" s="12226"/>
      <c r="B301" s="13287" t="s">
        <v>4718</v>
      </c>
      <c r="C301" s="10617"/>
      <c r="D301" s="10068">
        <v>8999</v>
      </c>
      <c r="E301" s="10108">
        <v>5064416.8899999997</v>
      </c>
      <c r="F301" s="10108">
        <v>515851.86</v>
      </c>
      <c r="G301" s="10106">
        <f t="shared" si="11"/>
        <v>6984148.1399999997</v>
      </c>
      <c r="H301" s="10109">
        <v>7500000</v>
      </c>
      <c r="I301" s="10053"/>
      <c r="J301" s="10662">
        <f>I301/H301</f>
        <v>0</v>
      </c>
      <c r="K301" s="13251">
        <v>5000000</v>
      </c>
      <c r="L301" s="10050"/>
      <c r="M301" s="7760" t="s">
        <v>11120</v>
      </c>
      <c r="O301" s="7760">
        <v>7000000</v>
      </c>
      <c r="P301" s="7760">
        <v>7645000</v>
      </c>
    </row>
    <row r="302" spans="1:16" ht="15.9" customHeight="1">
      <c r="A302" s="13285"/>
      <c r="B302" s="7730" t="s">
        <v>4707</v>
      </c>
      <c r="C302" s="13321"/>
      <c r="D302" s="10068">
        <v>899924</v>
      </c>
      <c r="E302" s="10108">
        <v>2972048.2</v>
      </c>
      <c r="F302" s="10108">
        <v>624224</v>
      </c>
      <c r="G302" s="10106">
        <f t="shared" si="11"/>
        <v>4875776</v>
      </c>
      <c r="H302" s="10109">
        <v>5500000</v>
      </c>
      <c r="I302" s="10053"/>
      <c r="J302" s="10662">
        <f>I302/H302</f>
        <v>0</v>
      </c>
      <c r="K302" s="13251">
        <v>4000000</v>
      </c>
      <c r="L302" s="10050"/>
      <c r="M302" s="7760" t="s">
        <v>11120</v>
      </c>
      <c r="O302" s="7760">
        <v>5000000</v>
      </c>
      <c r="P302" s="7760">
        <v>5500000</v>
      </c>
    </row>
    <row r="303" spans="1:16" ht="15.9" customHeight="1">
      <c r="A303" s="12226"/>
      <c r="B303" s="7730" t="s">
        <v>380</v>
      </c>
      <c r="C303" s="13321"/>
      <c r="D303" s="10068">
        <v>899902</v>
      </c>
      <c r="E303" s="10108">
        <v>1157242</v>
      </c>
      <c r="F303" s="10108">
        <v>118902</v>
      </c>
      <c r="G303" s="10106">
        <f t="shared" si="11"/>
        <v>3381098</v>
      </c>
      <c r="H303" s="10109">
        <v>3500000</v>
      </c>
      <c r="I303" s="10053">
        <v>2065055.5</v>
      </c>
      <c r="J303" s="10662">
        <f>I303/H303</f>
        <v>0.59001585714285709</v>
      </c>
      <c r="K303" s="13251">
        <v>3500000</v>
      </c>
      <c r="L303" s="10050"/>
      <c r="M303" s="7760" t="s">
        <v>11153</v>
      </c>
      <c r="O303" s="7760">
        <v>3546842</v>
      </c>
      <c r="P303" s="7760">
        <v>3750000</v>
      </c>
    </row>
    <row r="304" spans="1:16" ht="18" hidden="1" customHeight="1">
      <c r="A304" s="13285"/>
      <c r="B304" s="7730" t="s">
        <v>3286</v>
      </c>
      <c r="C304" s="13321"/>
      <c r="D304" s="10068">
        <v>899905</v>
      </c>
      <c r="E304" s="10560"/>
      <c r="F304" s="10560"/>
      <c r="G304" s="10106">
        <f t="shared" si="11"/>
        <v>0</v>
      </c>
      <c r="H304" s="10109">
        <v>0</v>
      </c>
      <c r="I304" s="10053"/>
      <c r="J304" s="10662"/>
      <c r="K304" s="13251">
        <v>0</v>
      </c>
      <c r="L304" s="10050"/>
      <c r="O304" s="7760">
        <v>0</v>
      </c>
      <c r="P304" s="7760">
        <v>0</v>
      </c>
    </row>
    <row r="305" spans="1:16" ht="15" hidden="1" customHeight="1">
      <c r="A305" s="13285"/>
      <c r="B305" s="7730" t="s">
        <v>3288</v>
      </c>
      <c r="C305" s="13321"/>
      <c r="D305" s="10068">
        <v>1995</v>
      </c>
      <c r="E305" s="10108"/>
      <c r="F305" s="10108"/>
      <c r="G305" s="10106"/>
      <c r="H305" s="10109">
        <v>0</v>
      </c>
      <c r="I305" s="10053"/>
      <c r="J305" s="10662"/>
      <c r="K305" s="13251">
        <v>0</v>
      </c>
      <c r="L305" s="10050"/>
      <c r="O305" s="7760">
        <v>3615000</v>
      </c>
      <c r="P305" s="7760">
        <v>7000000</v>
      </c>
    </row>
    <row r="306" spans="1:16" ht="15" hidden="1" customHeight="1">
      <c r="A306" s="13285"/>
      <c r="B306" s="10626" t="s">
        <v>11776</v>
      </c>
      <c r="C306" s="13321">
        <v>1000000</v>
      </c>
      <c r="D306" s="10068"/>
      <c r="E306" s="10108"/>
      <c r="F306" s="10108"/>
      <c r="G306" s="10106"/>
      <c r="H306" s="10109"/>
      <c r="I306" s="10053"/>
      <c r="J306" s="10662"/>
      <c r="K306" s="13251"/>
      <c r="L306" s="10050"/>
    </row>
    <row r="307" spans="1:16" ht="15" hidden="1" customHeight="1">
      <c r="A307" s="13285"/>
      <c r="B307" s="10626" t="s">
        <v>11794</v>
      </c>
      <c r="C307" s="13321">
        <f>539000+328500+613500+63500</f>
        <v>1544500</v>
      </c>
      <c r="D307" s="10068"/>
      <c r="E307" s="10108"/>
      <c r="F307" s="10108"/>
      <c r="G307" s="10106"/>
      <c r="H307" s="10109"/>
      <c r="I307" s="10053"/>
      <c r="J307" s="10662"/>
      <c r="K307" s="13251"/>
      <c r="L307" s="10050"/>
    </row>
    <row r="308" spans="1:16" ht="15" hidden="1" customHeight="1">
      <c r="A308" s="13285"/>
      <c r="B308" s="10628" t="s">
        <v>11789</v>
      </c>
      <c r="C308" s="13321">
        <f>100500+46400</f>
        <v>146900</v>
      </c>
      <c r="D308" s="10068"/>
      <c r="E308" s="10108"/>
      <c r="F308" s="10108"/>
      <c r="G308" s="10106"/>
      <c r="H308" s="10109"/>
      <c r="I308" s="10053"/>
      <c r="J308" s="10662"/>
      <c r="K308" s="13251"/>
      <c r="L308" s="10050"/>
    </row>
    <row r="309" spans="1:16" ht="15" hidden="1" customHeight="1">
      <c r="A309" s="13285"/>
      <c r="B309" s="10631" t="s">
        <v>52</v>
      </c>
      <c r="C309" s="13321"/>
      <c r="D309" s="10068"/>
      <c r="E309" s="10108"/>
      <c r="F309" s="10108"/>
      <c r="G309" s="10106"/>
      <c r="H309" s="10109"/>
      <c r="I309" s="10053"/>
      <c r="J309" s="10662"/>
      <c r="K309" s="13251"/>
      <c r="L309" s="10050"/>
    </row>
    <row r="310" spans="1:16" ht="15" hidden="1" customHeight="1">
      <c r="A310" s="13285"/>
      <c r="B310" s="10628" t="s">
        <v>11795</v>
      </c>
      <c r="C310" s="13321">
        <v>770000</v>
      </c>
      <c r="D310" s="10068"/>
      <c r="E310" s="10108"/>
      <c r="F310" s="10108"/>
      <c r="G310" s="10106"/>
      <c r="H310" s="10109"/>
      <c r="I310" s="10053"/>
      <c r="J310" s="10662"/>
      <c r="K310" s="13251"/>
      <c r="L310" s="10050"/>
    </row>
    <row r="311" spans="1:16" ht="15" hidden="1" customHeight="1">
      <c r="A311" s="13285"/>
      <c r="B311" s="10632" t="s">
        <v>11772</v>
      </c>
      <c r="C311" s="13321">
        <v>38600</v>
      </c>
      <c r="D311" s="10068"/>
      <c r="E311" s="10108"/>
      <c r="F311" s="10108"/>
      <c r="G311" s="10106"/>
      <c r="H311" s="10109"/>
      <c r="I311" s="10053"/>
      <c r="J311" s="10662"/>
      <c r="K311" s="13251"/>
      <c r="L311" s="10050"/>
    </row>
    <row r="312" spans="1:16" ht="15.9" customHeight="1">
      <c r="A312" s="13285"/>
      <c r="B312" s="13287" t="s">
        <v>10315</v>
      </c>
      <c r="C312" s="10617"/>
      <c r="D312" s="10068">
        <v>19910</v>
      </c>
      <c r="E312" s="10108">
        <v>1319541.5</v>
      </c>
      <c r="F312" s="10108">
        <v>214785.1</v>
      </c>
      <c r="G312" s="10106">
        <f>H312-F312</f>
        <v>3285214.9</v>
      </c>
      <c r="H312" s="10109">
        <v>3500000</v>
      </c>
      <c r="I312" s="10053">
        <v>991233.5</v>
      </c>
      <c r="J312" s="10662">
        <f>I312/H312</f>
        <v>0.28320957142857145</v>
      </c>
      <c r="K312" s="13251">
        <v>3000000</v>
      </c>
      <c r="L312" s="10050"/>
      <c r="M312" s="7760" t="s">
        <v>568</v>
      </c>
      <c r="O312" s="7760">
        <v>1500000</v>
      </c>
      <c r="P312" s="7760">
        <v>1500000</v>
      </c>
    </row>
    <row r="313" spans="1:16" ht="15.9" hidden="1" customHeight="1">
      <c r="A313" s="13285"/>
      <c r="B313" s="13287" t="s">
        <v>386</v>
      </c>
      <c r="C313" s="10617"/>
      <c r="D313" s="10068">
        <v>999901</v>
      </c>
      <c r="E313" s="10108"/>
      <c r="F313" s="10108"/>
      <c r="G313" s="10106">
        <f>H313-F313</f>
        <v>0</v>
      </c>
      <c r="H313" s="10109">
        <v>0</v>
      </c>
      <c r="I313" s="10053"/>
      <c r="J313" s="10662"/>
      <c r="K313" s="13251">
        <v>0</v>
      </c>
      <c r="L313" s="10050"/>
      <c r="O313" s="7760">
        <v>600000</v>
      </c>
      <c r="P313" s="7760">
        <v>600000</v>
      </c>
    </row>
    <row r="314" spans="1:16" ht="15.9" customHeight="1">
      <c r="A314" s="13285"/>
      <c r="B314" s="13287" t="s">
        <v>3291</v>
      </c>
      <c r="C314" s="10617"/>
      <c r="D314" s="10068">
        <v>999902</v>
      </c>
      <c r="E314" s="10108">
        <v>625050</v>
      </c>
      <c r="F314" s="10108">
        <v>0</v>
      </c>
      <c r="G314" s="10106">
        <f>H314-F314</f>
        <v>1000000</v>
      </c>
      <c r="H314" s="10109">
        <v>1000000</v>
      </c>
      <c r="I314" s="10053"/>
      <c r="J314" s="10662">
        <f>I314/H314</f>
        <v>0</v>
      </c>
      <c r="K314" s="13251">
        <v>500000</v>
      </c>
      <c r="L314" s="10050"/>
      <c r="M314" s="7760">
        <v>755000</v>
      </c>
      <c r="O314" s="7760">
        <v>755000</v>
      </c>
      <c r="P314" s="7760">
        <v>500000</v>
      </c>
    </row>
    <row r="315" spans="1:16" ht="15.9" customHeight="1">
      <c r="A315" s="13285"/>
      <c r="B315" s="13287" t="s">
        <v>4746</v>
      </c>
      <c r="C315" s="10617"/>
      <c r="D315" s="10068">
        <v>19911</v>
      </c>
      <c r="E315" s="10108">
        <v>723223.33</v>
      </c>
      <c r="F315" s="10108">
        <v>4000</v>
      </c>
      <c r="G315" s="10106">
        <f>H315-F315</f>
        <v>1496000</v>
      </c>
      <c r="H315" s="10109">
        <v>1500000</v>
      </c>
      <c r="I315" s="10053"/>
      <c r="J315" s="10662">
        <f>I315/H315</f>
        <v>0</v>
      </c>
      <c r="K315" s="13251">
        <v>750000</v>
      </c>
      <c r="L315" s="10050"/>
      <c r="M315" s="7760">
        <v>465000</v>
      </c>
      <c r="O315" s="7760">
        <v>300000</v>
      </c>
      <c r="P315" s="7760">
        <v>450000</v>
      </c>
    </row>
    <row r="316" spans="1:16" ht="30" hidden="1" customHeight="1">
      <c r="A316" s="13285"/>
      <c r="B316" s="13303" t="s">
        <v>9151</v>
      </c>
      <c r="C316" s="10642"/>
      <c r="D316" s="10068">
        <v>19918</v>
      </c>
      <c r="E316" s="10108"/>
      <c r="F316" s="10108"/>
      <c r="G316" s="10108"/>
      <c r="H316" s="10093">
        <v>0</v>
      </c>
      <c r="I316" s="10053"/>
      <c r="J316" s="10662" t="e">
        <f>I316/H316</f>
        <v>#DIV/0!</v>
      </c>
      <c r="K316" s="13342">
        <v>0</v>
      </c>
      <c r="L316" s="10088"/>
      <c r="O316" s="7760">
        <v>3000000</v>
      </c>
      <c r="P316" s="7760">
        <v>1000000</v>
      </c>
    </row>
    <row r="317" spans="1:16" ht="13.5" hidden="1" customHeight="1">
      <c r="A317" s="13285"/>
      <c r="B317" s="13312" t="s">
        <v>11799</v>
      </c>
      <c r="C317" s="13322">
        <v>60000</v>
      </c>
      <c r="D317" s="10068"/>
      <c r="E317" s="10108"/>
      <c r="F317" s="10108"/>
      <c r="G317" s="10108"/>
      <c r="H317" s="10093"/>
      <c r="I317" s="10053"/>
      <c r="J317" s="10662"/>
      <c r="K317" s="13342"/>
      <c r="L317" s="10088"/>
    </row>
    <row r="318" spans="1:16" ht="13.5" hidden="1" customHeight="1">
      <c r="A318" s="13285"/>
      <c r="B318" s="10641" t="s">
        <v>11800</v>
      </c>
      <c r="C318" s="13323">
        <v>30000</v>
      </c>
      <c r="D318" s="10068"/>
      <c r="E318" s="10108"/>
      <c r="F318" s="10108"/>
      <c r="G318" s="10108"/>
      <c r="H318" s="10093"/>
      <c r="I318" s="10053"/>
      <c r="J318" s="10662"/>
      <c r="K318" s="13342"/>
      <c r="L318" s="10088"/>
    </row>
    <row r="319" spans="1:16" ht="13.5" hidden="1" customHeight="1">
      <c r="A319" s="13285"/>
      <c r="B319" s="10641" t="s">
        <v>11801</v>
      </c>
      <c r="C319" s="13323">
        <v>25000</v>
      </c>
      <c r="D319" s="10068"/>
      <c r="E319" s="10108"/>
      <c r="F319" s="10108"/>
      <c r="G319" s="10108"/>
      <c r="H319" s="10093"/>
      <c r="I319" s="10053"/>
      <c r="J319" s="10662"/>
      <c r="K319" s="13342"/>
      <c r="L319" s="10088"/>
    </row>
    <row r="320" spans="1:16" ht="13.5" hidden="1" customHeight="1">
      <c r="A320" s="13285"/>
      <c r="B320" s="10641" t="s">
        <v>11802</v>
      </c>
      <c r="C320" s="13323">
        <v>900000</v>
      </c>
      <c r="D320" s="10068"/>
      <c r="E320" s="10108"/>
      <c r="F320" s="10108"/>
      <c r="G320" s="10108"/>
      <c r="H320" s="10093"/>
      <c r="I320" s="10053"/>
      <c r="J320" s="10662"/>
      <c r="K320" s="13342"/>
      <c r="L320" s="10088"/>
    </row>
    <row r="321" spans="1:16" ht="13.5" hidden="1" customHeight="1">
      <c r="A321" s="13285"/>
      <c r="B321" s="10641" t="s">
        <v>11803</v>
      </c>
      <c r="C321" s="13323">
        <v>100000</v>
      </c>
      <c r="D321" s="10068"/>
      <c r="E321" s="10108"/>
      <c r="F321" s="10108"/>
      <c r="G321" s="10108"/>
      <c r="H321" s="10093"/>
      <c r="I321" s="10053"/>
      <c r="J321" s="10662"/>
      <c r="K321" s="13342"/>
      <c r="L321" s="10088"/>
    </row>
    <row r="322" spans="1:16" ht="13.5" hidden="1" customHeight="1">
      <c r="A322" s="13285"/>
      <c r="B322" s="10641" t="s">
        <v>11804</v>
      </c>
      <c r="C322" s="13323">
        <v>300000</v>
      </c>
      <c r="D322" s="10068"/>
      <c r="E322" s="10108"/>
      <c r="F322" s="10108"/>
      <c r="G322" s="10108"/>
      <c r="H322" s="10093"/>
      <c r="I322" s="10053"/>
      <c r="J322" s="10662"/>
      <c r="K322" s="13342"/>
      <c r="L322" s="10088"/>
    </row>
    <row r="323" spans="1:16" ht="13.5" hidden="1" customHeight="1">
      <c r="A323" s="13285"/>
      <c r="B323" s="10631" t="s">
        <v>52</v>
      </c>
      <c r="C323" s="13320"/>
      <c r="D323" s="10068"/>
      <c r="E323" s="10108"/>
      <c r="F323" s="10108"/>
      <c r="G323" s="10108"/>
      <c r="H323" s="10093"/>
      <c r="I323" s="10053"/>
      <c r="J323" s="10662"/>
      <c r="K323" s="13342"/>
      <c r="L323" s="10088"/>
    </row>
    <row r="324" spans="1:16" ht="13.5" hidden="1" customHeight="1">
      <c r="A324" s="13285"/>
      <c r="B324" s="10628" t="s">
        <v>11805</v>
      </c>
      <c r="C324" s="13320">
        <v>85000</v>
      </c>
      <c r="D324" s="10068"/>
      <c r="E324" s="10108"/>
      <c r="F324" s="10108"/>
      <c r="G324" s="10108"/>
      <c r="H324" s="10093"/>
      <c r="I324" s="10053"/>
      <c r="J324" s="10662"/>
      <c r="K324" s="13342"/>
      <c r="L324" s="10088"/>
    </row>
    <row r="325" spans="1:16" ht="13.5" hidden="1" customHeight="1">
      <c r="A325" s="13285"/>
      <c r="B325" s="13303"/>
      <c r="C325" s="10642"/>
      <c r="D325" s="10068"/>
      <c r="E325" s="10108"/>
      <c r="F325" s="10108"/>
      <c r="G325" s="10108"/>
      <c r="H325" s="10093"/>
      <c r="I325" s="10053"/>
      <c r="J325" s="10662"/>
      <c r="K325" s="13342"/>
      <c r="L325" s="10088"/>
    </row>
    <row r="326" spans="1:16" ht="13.5" hidden="1" customHeight="1">
      <c r="A326" s="13285"/>
      <c r="B326" s="13303"/>
      <c r="C326" s="10642"/>
      <c r="D326" s="10068"/>
      <c r="E326" s="10108"/>
      <c r="F326" s="10108"/>
      <c r="G326" s="10108"/>
      <c r="H326" s="10093"/>
      <c r="I326" s="10053"/>
      <c r="J326" s="10662"/>
      <c r="K326" s="13342"/>
      <c r="L326" s="10088"/>
    </row>
    <row r="327" spans="1:16" ht="3.75" customHeight="1" thickBot="1">
      <c r="A327" s="13313"/>
      <c r="B327" s="13314"/>
      <c r="C327" s="10645"/>
      <c r="D327" s="10118"/>
      <c r="E327" s="10119"/>
      <c r="F327" s="10119"/>
      <c r="G327" s="10119"/>
      <c r="H327" s="13315"/>
      <c r="I327" s="13274"/>
      <c r="J327" s="13275"/>
      <c r="K327" s="13316"/>
      <c r="L327" s="10088"/>
    </row>
    <row r="328" spans="1:16" ht="15" customHeight="1">
      <c r="A328" s="7731"/>
      <c r="B328" s="7955"/>
      <c r="C328" s="10642"/>
      <c r="D328" s="10052"/>
      <c r="E328" s="10078"/>
      <c r="F328" s="10078"/>
      <c r="G328" s="10078"/>
      <c r="H328" s="10088"/>
      <c r="I328" s="10060"/>
      <c r="J328" s="10661"/>
      <c r="K328" s="10088"/>
      <c r="L328" s="10088"/>
    </row>
    <row r="329" spans="1:16" ht="15" customHeight="1">
      <c r="A329" s="7731"/>
      <c r="B329" s="7955"/>
      <c r="C329" s="10642"/>
      <c r="D329" s="10052"/>
      <c r="E329" s="10078"/>
      <c r="F329" s="10078"/>
      <c r="G329" s="10078"/>
      <c r="H329" s="10088"/>
      <c r="I329" s="10060"/>
      <c r="J329" s="10661"/>
      <c r="K329" s="10088"/>
      <c r="L329" s="10088"/>
    </row>
    <row r="330" spans="1:16" ht="15" customHeight="1">
      <c r="A330" s="7731"/>
      <c r="B330" s="7955"/>
      <c r="C330" s="10642"/>
      <c r="D330" s="10052"/>
      <c r="E330" s="10078"/>
      <c r="F330" s="10078"/>
      <c r="G330" s="10078"/>
      <c r="H330" s="10088"/>
      <c r="I330" s="10060"/>
      <c r="J330" s="10661"/>
      <c r="K330" s="10088"/>
      <c r="L330" s="10088"/>
    </row>
    <row r="331" spans="1:16" ht="15" customHeight="1">
      <c r="A331" s="7731"/>
      <c r="B331" s="7955"/>
      <c r="C331" s="10642"/>
      <c r="D331" s="10052"/>
      <c r="E331" s="10078"/>
      <c r="F331" s="10078"/>
      <c r="G331" s="10078"/>
      <c r="H331" s="10088"/>
      <c r="I331" s="10060"/>
      <c r="J331" s="10661"/>
      <c r="K331" s="10088"/>
      <c r="L331" s="10088"/>
    </row>
    <row r="332" spans="1:16" ht="15" customHeight="1">
      <c r="A332" s="7731"/>
      <c r="B332" s="7955"/>
      <c r="C332" s="10642"/>
      <c r="D332" s="10052"/>
      <c r="E332" s="10078"/>
      <c r="F332" s="10078"/>
      <c r="G332" s="10078"/>
      <c r="H332" s="10088"/>
      <c r="I332" s="10060"/>
      <c r="J332" s="10661"/>
      <c r="K332" s="10088"/>
      <c r="L332" s="10088"/>
    </row>
    <row r="333" spans="1:16" ht="15" customHeight="1" thickBot="1">
      <c r="A333" s="7731" t="s">
        <v>10913</v>
      </c>
      <c r="B333" s="7955"/>
      <c r="C333" s="10642"/>
      <c r="D333" s="10052"/>
      <c r="E333" s="10078"/>
      <c r="F333" s="10078"/>
      <c r="G333" s="10078"/>
      <c r="H333" s="10088"/>
      <c r="I333" s="10060"/>
      <c r="J333" s="10661"/>
      <c r="K333" s="10088"/>
      <c r="L333" s="10088"/>
    </row>
    <row r="334" spans="1:16" s="10033" customFormat="1" ht="14.25" customHeight="1">
      <c r="A334" s="13234"/>
      <c r="B334" s="10600"/>
      <c r="C334" s="10620"/>
      <c r="D334" s="10042" t="s">
        <v>103</v>
      </c>
      <c r="E334" s="13324" t="s">
        <v>10</v>
      </c>
      <c r="F334" s="14612" t="s">
        <v>10711</v>
      </c>
      <c r="G334" s="14612"/>
      <c r="H334" s="14612"/>
      <c r="I334" s="13325"/>
      <c r="J334" s="13326"/>
      <c r="K334" s="13327" t="s">
        <v>326</v>
      </c>
      <c r="L334" s="10044"/>
      <c r="M334" s="10031"/>
      <c r="N334" s="10032"/>
      <c r="O334" s="10031" t="s">
        <v>326</v>
      </c>
      <c r="P334" s="10031" t="s">
        <v>326</v>
      </c>
    </row>
    <row r="335" spans="1:16" s="10033" customFormat="1" ht="14.25" customHeight="1">
      <c r="A335" s="13237"/>
      <c r="B335" s="13301" t="s">
        <v>13</v>
      </c>
      <c r="C335" s="13343"/>
      <c r="D335" s="10062" t="s">
        <v>94</v>
      </c>
      <c r="E335" s="13328" t="s">
        <v>15</v>
      </c>
      <c r="F335" s="13964" t="s">
        <v>10709</v>
      </c>
      <c r="G335" s="13964" t="s">
        <v>10710</v>
      </c>
      <c r="H335" s="14191" t="s">
        <v>458</v>
      </c>
      <c r="I335" s="13329"/>
      <c r="J335" s="13330"/>
      <c r="K335" s="13331" t="s">
        <v>16</v>
      </c>
      <c r="L335" s="10044"/>
      <c r="M335" s="10031"/>
      <c r="N335" s="10032"/>
      <c r="O335" s="10031" t="s">
        <v>16</v>
      </c>
      <c r="P335" s="10031" t="s">
        <v>16</v>
      </c>
    </row>
    <row r="336" spans="1:16" s="10033" customFormat="1" ht="16.5" customHeight="1" thickBot="1">
      <c r="A336" s="13242"/>
      <c r="B336" s="13344"/>
      <c r="C336" s="13345"/>
      <c r="D336" s="13243"/>
      <c r="E336" s="13332">
        <v>2017</v>
      </c>
      <c r="F336" s="13965" t="s">
        <v>457</v>
      </c>
      <c r="G336" s="13965" t="s">
        <v>456</v>
      </c>
      <c r="H336" s="14192"/>
      <c r="I336" s="13363"/>
      <c r="J336" s="13364"/>
      <c r="K336" s="13335">
        <v>2019</v>
      </c>
      <c r="L336" s="10046"/>
      <c r="M336" s="10031"/>
      <c r="N336" s="10032"/>
      <c r="O336" s="10047">
        <v>2014</v>
      </c>
      <c r="P336" s="10031">
        <v>2015</v>
      </c>
    </row>
    <row r="337" spans="1:16" s="10033" customFormat="1" ht="18" customHeight="1">
      <c r="A337" s="13234"/>
      <c r="B337" s="10600"/>
      <c r="C337" s="13343"/>
      <c r="D337" s="10062"/>
      <c r="E337" s="13336"/>
      <c r="F337" s="10030"/>
      <c r="G337" s="10030"/>
      <c r="H337" s="10030"/>
      <c r="I337" s="13329"/>
      <c r="J337" s="13330"/>
      <c r="K337" s="13339"/>
      <c r="L337" s="10046"/>
      <c r="M337" s="10031"/>
      <c r="N337" s="10032"/>
      <c r="O337" s="10047"/>
      <c r="P337" s="10031"/>
    </row>
    <row r="338" spans="1:16" ht="52.5" customHeight="1">
      <c r="A338" s="13285"/>
      <c r="B338" s="13303" t="s">
        <v>10093</v>
      </c>
      <c r="C338" s="10625"/>
      <c r="D338" s="10068">
        <v>899933</v>
      </c>
      <c r="E338" s="10108">
        <v>2514080.4</v>
      </c>
      <c r="F338" s="10108">
        <v>651539.84</v>
      </c>
      <c r="G338" s="10206">
        <f>H338-F338</f>
        <v>2348460.16</v>
      </c>
      <c r="H338" s="10093">
        <v>3000000</v>
      </c>
      <c r="I338" s="10053"/>
      <c r="J338" s="13352">
        <f>I338/H338</f>
        <v>0</v>
      </c>
      <c r="K338" s="13342">
        <v>4000000</v>
      </c>
      <c r="L338" s="10088"/>
      <c r="P338" s="7760">
        <v>3500000</v>
      </c>
    </row>
    <row r="339" spans="1:16" ht="16.5" hidden="1" customHeight="1">
      <c r="A339" s="13285"/>
      <c r="B339" s="13303" t="s">
        <v>10196</v>
      </c>
      <c r="C339" s="10625"/>
      <c r="D339" s="10068">
        <v>999904</v>
      </c>
      <c r="E339" s="10108"/>
      <c r="F339" s="10108"/>
      <c r="G339" s="10108"/>
      <c r="H339" s="10093">
        <v>0</v>
      </c>
      <c r="I339" s="10053"/>
      <c r="J339" s="13353" t="e">
        <f>I339/H339</f>
        <v>#DIV/0!</v>
      </c>
      <c r="K339" s="13342">
        <v>0</v>
      </c>
      <c r="L339" s="10088"/>
      <c r="P339" s="7760">
        <v>8000000</v>
      </c>
    </row>
    <row r="340" spans="1:16" ht="34.5" hidden="1" customHeight="1">
      <c r="A340" s="13285"/>
      <c r="B340" s="13354" t="s">
        <v>10179</v>
      </c>
      <c r="C340" s="10625"/>
      <c r="D340" s="10105"/>
      <c r="E340" s="10106"/>
      <c r="F340" s="10106"/>
      <c r="G340" s="10106"/>
      <c r="H340" s="10093"/>
      <c r="I340" s="10053"/>
      <c r="J340" s="13353"/>
      <c r="K340" s="13342"/>
      <c r="L340" s="10088"/>
    </row>
    <row r="341" spans="1:16" ht="14.25" hidden="1" customHeight="1">
      <c r="A341" s="13285"/>
      <c r="B341" s="13303" t="s">
        <v>10180</v>
      </c>
      <c r="C341" s="10625"/>
      <c r="D341" s="10068">
        <v>999905</v>
      </c>
      <c r="E341" s="10108"/>
      <c r="F341" s="10108"/>
      <c r="G341" s="10108"/>
      <c r="H341" s="10070">
        <v>0</v>
      </c>
      <c r="I341" s="10602"/>
      <c r="J341" s="10670" t="e">
        <f>I341/H341</f>
        <v>#DIV/0!</v>
      </c>
      <c r="K341" s="13289">
        <v>0</v>
      </c>
      <c r="L341" s="10067"/>
      <c r="P341" s="7760">
        <v>2000000</v>
      </c>
    </row>
    <row r="342" spans="1:16" ht="18" hidden="1" customHeight="1">
      <c r="A342" s="13285"/>
      <c r="B342" s="13354" t="s">
        <v>10181</v>
      </c>
      <c r="C342" s="10625"/>
      <c r="D342" s="10068"/>
      <c r="E342" s="10108"/>
      <c r="F342" s="10108"/>
      <c r="G342" s="10108"/>
      <c r="H342" s="10070"/>
      <c r="I342" s="10602"/>
      <c r="J342" s="10670"/>
      <c r="K342" s="13289"/>
      <c r="L342" s="10067"/>
    </row>
    <row r="343" spans="1:16" ht="14.25" hidden="1" customHeight="1">
      <c r="A343" s="13285"/>
      <c r="B343" s="13297" t="s">
        <v>10082</v>
      </c>
      <c r="C343" s="10621"/>
      <c r="D343" s="10068"/>
      <c r="E343" s="10108"/>
      <c r="F343" s="10108"/>
      <c r="G343" s="10108"/>
      <c r="H343" s="10602">
        <v>0</v>
      </c>
      <c r="I343" s="10602"/>
      <c r="J343" s="10670" t="e">
        <f>I343/H343</f>
        <v>#DIV/0!</v>
      </c>
      <c r="K343" s="13355">
        <v>0</v>
      </c>
      <c r="L343" s="10089"/>
      <c r="M343" s="7760" t="s">
        <v>10103</v>
      </c>
      <c r="P343" s="7760">
        <v>0</v>
      </c>
    </row>
    <row r="344" spans="1:16" ht="14.25" hidden="1" customHeight="1">
      <c r="A344" s="13285"/>
      <c r="B344" s="13297" t="s">
        <v>10090</v>
      </c>
      <c r="C344" s="10621"/>
      <c r="D344" s="10068"/>
      <c r="E344" s="10108"/>
      <c r="F344" s="10108"/>
      <c r="G344" s="10108"/>
      <c r="H344" s="10602">
        <v>0</v>
      </c>
      <c r="I344" s="10602"/>
      <c r="J344" s="10670" t="e">
        <f>I344/H344</f>
        <v>#DIV/0!</v>
      </c>
      <c r="K344" s="13355">
        <v>0</v>
      </c>
      <c r="L344" s="10089"/>
      <c r="M344" s="7760" t="s">
        <v>10096</v>
      </c>
      <c r="P344" s="7760">
        <v>0</v>
      </c>
    </row>
    <row r="345" spans="1:16" ht="14.25" hidden="1" customHeight="1">
      <c r="A345" s="13285"/>
      <c r="B345" s="13287" t="s">
        <v>10094</v>
      </c>
      <c r="C345" s="10621"/>
      <c r="D345" s="10068"/>
      <c r="E345" s="10108"/>
      <c r="F345" s="10108"/>
      <c r="G345" s="10108"/>
      <c r="H345" s="10602">
        <v>0</v>
      </c>
      <c r="I345" s="10602"/>
      <c r="J345" s="10670" t="e">
        <f>I345/H345</f>
        <v>#DIV/0!</v>
      </c>
      <c r="K345" s="13355">
        <v>0</v>
      </c>
      <c r="L345" s="10089"/>
      <c r="P345" s="7760">
        <v>0</v>
      </c>
    </row>
    <row r="346" spans="1:16" ht="14.25" hidden="1" customHeight="1">
      <c r="A346" s="13285"/>
      <c r="B346" s="13356" t="s">
        <v>10083</v>
      </c>
      <c r="C346" s="10623"/>
      <c r="D346" s="10068"/>
      <c r="E346" s="10108"/>
      <c r="F346" s="10108"/>
      <c r="G346" s="10108"/>
      <c r="H346" s="10602">
        <v>0</v>
      </c>
      <c r="I346" s="10602"/>
      <c r="J346" s="10670" t="e">
        <f>I346/H346</f>
        <v>#DIV/0!</v>
      </c>
      <c r="K346" s="13355">
        <v>0</v>
      </c>
      <c r="L346" s="10089"/>
      <c r="M346" s="7760" t="s">
        <v>10104</v>
      </c>
      <c r="P346" s="7760">
        <v>0</v>
      </c>
    </row>
    <row r="347" spans="1:16" ht="14.25" hidden="1" customHeight="1">
      <c r="A347" s="13285"/>
      <c r="B347" s="13356" t="s">
        <v>10182</v>
      </c>
      <c r="C347" s="10623"/>
      <c r="D347" s="10068">
        <v>999906</v>
      </c>
      <c r="E347" s="10108"/>
      <c r="F347" s="10108"/>
      <c r="G347" s="10108"/>
      <c r="H347" s="10602">
        <v>0</v>
      </c>
      <c r="I347" s="10602"/>
      <c r="J347" s="10670" t="e">
        <f>I347/H347</f>
        <v>#DIV/0!</v>
      </c>
      <c r="K347" s="13355">
        <v>0</v>
      </c>
      <c r="L347" s="10089"/>
      <c r="P347" s="7760">
        <v>1500000</v>
      </c>
    </row>
    <row r="348" spans="1:16" ht="33.75" hidden="1" customHeight="1">
      <c r="A348" s="13285"/>
      <c r="B348" s="13354" t="s">
        <v>10183</v>
      </c>
      <c r="C348" s="10625"/>
      <c r="D348" s="10068"/>
      <c r="E348" s="10108"/>
      <c r="F348" s="10108"/>
      <c r="G348" s="10108"/>
      <c r="H348" s="10602"/>
      <c r="I348" s="10602"/>
      <c r="J348" s="10670"/>
      <c r="K348" s="13355"/>
      <c r="L348" s="10089"/>
    </row>
    <row r="349" spans="1:16" ht="36" hidden="1" customHeight="1">
      <c r="A349" s="13285"/>
      <c r="B349" s="13356" t="s">
        <v>10184</v>
      </c>
      <c r="C349" s="10623"/>
      <c r="D349" s="10068">
        <v>999907</v>
      </c>
      <c r="E349" s="10108"/>
      <c r="F349" s="10108"/>
      <c r="G349" s="10108"/>
      <c r="H349" s="10602">
        <v>0</v>
      </c>
      <c r="I349" s="10602"/>
      <c r="J349" s="10670" t="e">
        <f>I349/H349</f>
        <v>#DIV/0!</v>
      </c>
      <c r="K349" s="13355">
        <v>0</v>
      </c>
      <c r="L349" s="10089"/>
      <c r="P349" s="7760">
        <v>1000000</v>
      </c>
    </row>
    <row r="350" spans="1:16" ht="15.75" hidden="1" customHeight="1">
      <c r="A350" s="13285"/>
      <c r="B350" s="13356" t="s">
        <v>10185</v>
      </c>
      <c r="C350" s="10623"/>
      <c r="D350" s="10068">
        <v>999908</v>
      </c>
      <c r="E350" s="10108"/>
      <c r="F350" s="10108"/>
      <c r="G350" s="10108"/>
      <c r="H350" s="10602">
        <v>0</v>
      </c>
      <c r="I350" s="10602"/>
      <c r="J350" s="10670" t="e">
        <f>I350/H350</f>
        <v>#DIV/0!</v>
      </c>
      <c r="K350" s="13355">
        <v>0</v>
      </c>
      <c r="L350" s="10089"/>
      <c r="P350" s="7760">
        <v>2000000</v>
      </c>
    </row>
    <row r="351" spans="1:16" ht="33.75" hidden="1" customHeight="1">
      <c r="A351" s="13285"/>
      <c r="B351" s="13354" t="s">
        <v>10186</v>
      </c>
      <c r="C351" s="10625"/>
      <c r="D351" s="10068"/>
      <c r="E351" s="10108"/>
      <c r="F351" s="10108"/>
      <c r="G351" s="10108"/>
      <c r="H351" s="10602"/>
      <c r="I351" s="10602"/>
      <c r="J351" s="10670"/>
      <c r="K351" s="13355"/>
      <c r="L351" s="10089"/>
    </row>
    <row r="352" spans="1:16" ht="15.75" hidden="1" customHeight="1">
      <c r="A352" s="13285"/>
      <c r="B352" s="13356" t="s">
        <v>10097</v>
      </c>
      <c r="C352" s="10623"/>
      <c r="D352" s="10068"/>
      <c r="E352" s="10108"/>
      <c r="F352" s="10108"/>
      <c r="G352" s="10108"/>
      <c r="H352" s="10602">
        <v>0</v>
      </c>
      <c r="I352" s="10602"/>
      <c r="J352" s="10670" t="e">
        <f>I352/H352</f>
        <v>#DIV/0!</v>
      </c>
      <c r="K352" s="13355">
        <v>0</v>
      </c>
      <c r="L352" s="10089"/>
      <c r="M352" s="7760" t="s">
        <v>10098</v>
      </c>
      <c r="P352" s="7760">
        <v>0</v>
      </c>
    </row>
    <row r="353" spans="1:16" ht="15.75" hidden="1" customHeight="1">
      <c r="A353" s="13285"/>
      <c r="B353" s="13356" t="s">
        <v>10091</v>
      </c>
      <c r="C353" s="10623"/>
      <c r="D353" s="10068"/>
      <c r="E353" s="10108"/>
      <c r="F353" s="10108"/>
      <c r="G353" s="10108"/>
      <c r="H353" s="10602">
        <v>0</v>
      </c>
      <c r="I353" s="10602"/>
      <c r="J353" s="10670" t="e">
        <f>I353/H353</f>
        <v>#DIV/0!</v>
      </c>
      <c r="K353" s="13355">
        <v>0</v>
      </c>
      <c r="L353" s="10089"/>
      <c r="P353" s="7760">
        <v>0</v>
      </c>
    </row>
    <row r="354" spans="1:16" ht="33" hidden="1" customHeight="1">
      <c r="A354" s="13285"/>
      <c r="B354" s="13356" t="s">
        <v>10187</v>
      </c>
      <c r="C354" s="10623"/>
      <c r="D354" s="10068">
        <v>999909</v>
      </c>
      <c r="E354" s="10108"/>
      <c r="F354" s="10108"/>
      <c r="G354" s="10108"/>
      <c r="H354" s="10602">
        <v>0</v>
      </c>
      <c r="I354" s="10602"/>
      <c r="J354" s="10670" t="e">
        <f>I354/H354</f>
        <v>#DIV/0!</v>
      </c>
      <c r="K354" s="13355">
        <v>0</v>
      </c>
      <c r="L354" s="10089"/>
      <c r="P354" s="7760">
        <v>1000000</v>
      </c>
    </row>
    <row r="355" spans="1:16" ht="34.5" hidden="1" customHeight="1">
      <c r="A355" s="13285"/>
      <c r="B355" s="13303" t="s">
        <v>10188</v>
      </c>
      <c r="C355" s="10625"/>
      <c r="D355" s="10068">
        <v>999910</v>
      </c>
      <c r="E355" s="10108"/>
      <c r="F355" s="10108"/>
      <c r="G355" s="10108"/>
      <c r="H355" s="10602">
        <v>0</v>
      </c>
      <c r="I355" s="10602"/>
      <c r="J355" s="10670" t="e">
        <f>I355/H355</f>
        <v>#DIV/0!</v>
      </c>
      <c r="K355" s="13355">
        <v>0</v>
      </c>
      <c r="L355" s="10089"/>
      <c r="P355" s="7760">
        <v>2000000</v>
      </c>
    </row>
    <row r="356" spans="1:16" ht="16.5" hidden="1" customHeight="1">
      <c r="A356" s="13285"/>
      <c r="B356" s="13287" t="s">
        <v>11189</v>
      </c>
      <c r="C356" s="10621"/>
      <c r="D356" s="10068"/>
      <c r="E356" s="10108"/>
      <c r="F356" s="10108"/>
      <c r="G356" s="10108"/>
      <c r="H356" s="10093">
        <v>0</v>
      </c>
      <c r="I356" s="10053"/>
      <c r="J356" s="13353"/>
      <c r="K356" s="13342">
        <v>0</v>
      </c>
      <c r="L356" s="10090"/>
      <c r="M356" s="7760" t="s">
        <v>568</v>
      </c>
      <c r="P356" s="7760">
        <v>8000000</v>
      </c>
    </row>
    <row r="357" spans="1:16" ht="31.2" hidden="1">
      <c r="A357" s="13285"/>
      <c r="B357" s="13303" t="s">
        <v>11184</v>
      </c>
      <c r="C357" s="10625"/>
      <c r="D357" s="10105"/>
      <c r="E357" s="10106"/>
      <c r="F357" s="10106"/>
      <c r="G357" s="10106"/>
      <c r="H357" s="10093"/>
      <c r="I357" s="10053"/>
      <c r="J357" s="13353"/>
      <c r="K357" s="13342"/>
      <c r="L357" s="10090"/>
      <c r="M357" s="7760" t="s">
        <v>568</v>
      </c>
    </row>
    <row r="358" spans="1:16" ht="14.25" hidden="1" customHeight="1">
      <c r="A358" s="13285"/>
      <c r="B358" s="13303" t="s">
        <v>11185</v>
      </c>
      <c r="C358" s="10625"/>
      <c r="D358" s="10068"/>
      <c r="E358" s="10108"/>
      <c r="F358" s="10108"/>
      <c r="G358" s="10108"/>
      <c r="H358" s="10070">
        <v>0</v>
      </c>
      <c r="I358" s="10602"/>
      <c r="J358" s="10670"/>
      <c r="K358" s="13289">
        <v>0</v>
      </c>
      <c r="L358" s="10091"/>
      <c r="M358" s="7760" t="s">
        <v>568</v>
      </c>
      <c r="P358" s="7760">
        <v>2000000</v>
      </c>
    </row>
    <row r="359" spans="1:16" ht="15.6" hidden="1">
      <c r="A359" s="13285"/>
      <c r="B359" s="13287" t="s">
        <v>11186</v>
      </c>
      <c r="C359" s="10621"/>
      <c r="D359" s="10068"/>
      <c r="E359" s="10108"/>
      <c r="F359" s="10108"/>
      <c r="G359" s="10108"/>
      <c r="H359" s="10070"/>
      <c r="I359" s="10602"/>
      <c r="J359" s="10670"/>
      <c r="K359" s="13289"/>
      <c r="L359" s="10091"/>
      <c r="M359" s="7760" t="s">
        <v>568</v>
      </c>
    </row>
    <row r="360" spans="1:16" ht="14.25" hidden="1" customHeight="1">
      <c r="A360" s="13285"/>
      <c r="B360" s="13357" t="s">
        <v>11187</v>
      </c>
      <c r="C360" s="13365"/>
      <c r="D360" s="10068"/>
      <c r="E360" s="10108"/>
      <c r="F360" s="10108"/>
      <c r="G360" s="10108"/>
      <c r="H360" s="10602">
        <v>0</v>
      </c>
      <c r="I360" s="10602"/>
      <c r="J360" s="10670"/>
      <c r="K360" s="13355">
        <v>0</v>
      </c>
      <c r="L360" s="10092"/>
      <c r="M360" s="7760" t="s">
        <v>568</v>
      </c>
      <c r="P360" s="7760">
        <v>1500000</v>
      </c>
    </row>
    <row r="361" spans="1:16" ht="14.25" hidden="1" customHeight="1">
      <c r="A361" s="13285"/>
      <c r="B361" s="13357" t="s">
        <v>11180</v>
      </c>
      <c r="C361" s="13365"/>
      <c r="D361" s="10068"/>
      <c r="E361" s="10108"/>
      <c r="F361" s="10108"/>
      <c r="G361" s="10108"/>
      <c r="H361" s="10602"/>
      <c r="I361" s="10602"/>
      <c r="J361" s="10670"/>
      <c r="K361" s="13355"/>
      <c r="L361" s="10092"/>
    </row>
    <row r="362" spans="1:16" ht="14.25" hidden="1" customHeight="1">
      <c r="A362" s="13285"/>
      <c r="B362" s="13357" t="s">
        <v>11182</v>
      </c>
      <c r="C362" s="13365"/>
      <c r="D362" s="10068"/>
      <c r="E362" s="10108"/>
      <c r="F362" s="10108"/>
      <c r="G362" s="10108"/>
      <c r="H362" s="10602"/>
      <c r="I362" s="10602"/>
      <c r="J362" s="10670"/>
      <c r="K362" s="13355"/>
      <c r="L362" s="10092"/>
    </row>
    <row r="363" spans="1:16" ht="14.25" hidden="1" customHeight="1">
      <c r="A363" s="13285"/>
      <c r="B363" s="13357" t="s">
        <v>11183</v>
      </c>
      <c r="C363" s="13365"/>
      <c r="D363" s="10068"/>
      <c r="E363" s="10108"/>
      <c r="F363" s="10108"/>
      <c r="G363" s="10108"/>
      <c r="H363" s="10602"/>
      <c r="I363" s="10602"/>
      <c r="J363" s="10670"/>
      <c r="K363" s="13355"/>
      <c r="L363" s="10092"/>
    </row>
    <row r="364" spans="1:16" ht="14.25" hidden="1" customHeight="1">
      <c r="A364" s="13285"/>
      <c r="B364" s="13357" t="s">
        <v>11181</v>
      </c>
      <c r="C364" s="13365"/>
      <c r="D364" s="10068"/>
      <c r="E364" s="10108"/>
      <c r="F364" s="10108"/>
      <c r="G364" s="10108"/>
      <c r="H364" s="10602"/>
      <c r="I364" s="10602"/>
      <c r="J364" s="10670"/>
      <c r="K364" s="13355"/>
      <c r="L364" s="10092"/>
    </row>
    <row r="365" spans="1:16" ht="14.25" hidden="1" customHeight="1">
      <c r="A365" s="13285"/>
      <c r="B365" s="13357" t="s">
        <v>11188</v>
      </c>
      <c r="C365" s="13365"/>
      <c r="D365" s="10068"/>
      <c r="E365" s="10108"/>
      <c r="F365" s="10108"/>
      <c r="G365" s="10108"/>
      <c r="H365" s="10602"/>
      <c r="I365" s="10602"/>
      <c r="J365" s="10670"/>
      <c r="K365" s="13355"/>
      <c r="L365" s="10092"/>
    </row>
    <row r="366" spans="1:16" ht="14.25" customHeight="1">
      <c r="A366" s="13285"/>
      <c r="B366" s="13357" t="s">
        <v>11122</v>
      </c>
      <c r="C366" s="13365"/>
      <c r="D366" s="10068"/>
      <c r="E366" s="10108"/>
      <c r="F366" s="10108"/>
      <c r="G366" s="10108"/>
      <c r="H366" s="10602"/>
      <c r="I366" s="10602"/>
      <c r="J366" s="10670"/>
      <c r="K366" s="13355">
        <v>1500000</v>
      </c>
      <c r="L366" s="13350">
        <v>3000000</v>
      </c>
      <c r="M366" s="10092" t="s">
        <v>568</v>
      </c>
    </row>
    <row r="367" spans="1:16" ht="14.25" hidden="1" customHeight="1">
      <c r="A367" s="13285"/>
      <c r="B367" s="13357" t="s">
        <v>11123</v>
      </c>
      <c r="C367" s="13365"/>
      <c r="D367" s="10068"/>
      <c r="E367" s="10108"/>
      <c r="F367" s="10108"/>
      <c r="G367" s="10108"/>
      <c r="H367" s="10602"/>
      <c r="I367" s="10602"/>
      <c r="J367" s="10670"/>
      <c r="K367" s="13355"/>
      <c r="L367" s="13350" t="s">
        <v>12009</v>
      </c>
      <c r="M367" s="10092" t="s">
        <v>568</v>
      </c>
    </row>
    <row r="368" spans="1:16" ht="14.25" hidden="1" customHeight="1">
      <c r="A368" s="13285"/>
      <c r="B368" s="13357" t="s">
        <v>11124</v>
      </c>
      <c r="C368" s="13365"/>
      <c r="D368" s="10068"/>
      <c r="E368" s="10108"/>
      <c r="F368" s="10108"/>
      <c r="G368" s="10108"/>
      <c r="H368" s="10602"/>
      <c r="I368" s="10602"/>
      <c r="J368" s="10670"/>
      <c r="K368" s="13355"/>
      <c r="L368" s="13350" t="s">
        <v>12010</v>
      </c>
      <c r="M368" s="10092" t="s">
        <v>568</v>
      </c>
    </row>
    <row r="369" spans="1:16" ht="14.25" hidden="1" customHeight="1">
      <c r="A369" s="13285"/>
      <c r="B369" s="13357" t="s">
        <v>11884</v>
      </c>
      <c r="C369" s="13365"/>
      <c r="D369" s="10068"/>
      <c r="E369" s="10108"/>
      <c r="F369" s="10108"/>
      <c r="G369" s="10108"/>
      <c r="H369" s="10602"/>
      <c r="I369" s="10602"/>
      <c r="J369" s="10670"/>
      <c r="K369" s="13355"/>
      <c r="L369" s="13350">
        <v>1500000</v>
      </c>
      <c r="M369" s="10092" t="s">
        <v>11887</v>
      </c>
    </row>
    <row r="370" spans="1:16" ht="14.25" customHeight="1">
      <c r="A370" s="13285"/>
      <c r="B370" s="13357" t="s">
        <v>11125</v>
      </c>
      <c r="C370" s="13365"/>
      <c r="D370" s="10068"/>
      <c r="E370" s="10108"/>
      <c r="F370" s="10108"/>
      <c r="G370" s="10108"/>
      <c r="H370" s="10602"/>
      <c r="I370" s="10602"/>
      <c r="J370" s="10670"/>
      <c r="K370" s="13355">
        <v>2000000</v>
      </c>
      <c r="L370" s="13350">
        <v>4000000</v>
      </c>
      <c r="M370" s="10092" t="s">
        <v>568</v>
      </c>
    </row>
    <row r="371" spans="1:16" ht="14.25" customHeight="1">
      <c r="A371" s="13285"/>
      <c r="B371" s="13357" t="s">
        <v>11126</v>
      </c>
      <c r="C371" s="13365"/>
      <c r="D371" s="10068"/>
      <c r="E371" s="10108"/>
      <c r="F371" s="10108"/>
      <c r="G371" s="10108"/>
      <c r="H371" s="10602"/>
      <c r="I371" s="10602"/>
      <c r="J371" s="10670"/>
      <c r="K371" s="13355">
        <v>2000000</v>
      </c>
      <c r="L371" s="13350">
        <v>4000000</v>
      </c>
      <c r="M371" s="10092" t="s">
        <v>568</v>
      </c>
    </row>
    <row r="372" spans="1:16" ht="14.25" customHeight="1">
      <c r="A372" s="13285"/>
      <c r="B372" s="13357" t="s">
        <v>11885</v>
      </c>
      <c r="C372" s="13365"/>
      <c r="D372" s="10068"/>
      <c r="E372" s="10108"/>
      <c r="F372" s="10108"/>
      <c r="G372" s="10108"/>
      <c r="H372" s="10602"/>
      <c r="I372" s="10602"/>
      <c r="J372" s="10670"/>
      <c r="K372" s="13355">
        <v>1500000</v>
      </c>
      <c r="L372" s="13350">
        <v>1500000</v>
      </c>
      <c r="M372" s="10092" t="s">
        <v>3316</v>
      </c>
    </row>
    <row r="373" spans="1:16" ht="14.25" hidden="1" customHeight="1">
      <c r="A373" s="13285"/>
      <c r="B373" s="13357" t="s">
        <v>11886</v>
      </c>
      <c r="C373" s="13365"/>
      <c r="D373" s="10068"/>
      <c r="E373" s="10108"/>
      <c r="F373" s="10108"/>
      <c r="G373" s="10108"/>
      <c r="H373" s="10602"/>
      <c r="I373" s="10602"/>
      <c r="J373" s="10670"/>
      <c r="K373" s="13355"/>
      <c r="L373" s="13350">
        <v>1000000</v>
      </c>
      <c r="M373" s="10092" t="s">
        <v>11888</v>
      </c>
    </row>
    <row r="374" spans="1:16" ht="14.25" hidden="1" customHeight="1">
      <c r="A374" s="13285"/>
      <c r="B374" s="13357"/>
      <c r="C374" s="13365"/>
      <c r="D374" s="10068"/>
      <c r="E374" s="10108"/>
      <c r="F374" s="10108"/>
      <c r="G374" s="10108"/>
      <c r="H374" s="10602"/>
      <c r="I374" s="10602"/>
      <c r="J374" s="10670"/>
      <c r="K374" s="13355"/>
      <c r="L374" s="10092"/>
    </row>
    <row r="375" spans="1:16" ht="14.25" hidden="1" customHeight="1">
      <c r="A375" s="13285"/>
      <c r="B375" s="13357"/>
      <c r="C375" s="13365"/>
      <c r="D375" s="10068"/>
      <c r="E375" s="10108"/>
      <c r="F375" s="10108"/>
      <c r="G375" s="10108"/>
      <c r="H375" s="10602"/>
      <c r="I375" s="10602"/>
      <c r="J375" s="10670"/>
      <c r="K375" s="13355"/>
      <c r="L375" s="10092">
        <f>SUM(K366:K374)</f>
        <v>7000000</v>
      </c>
    </row>
    <row r="376" spans="1:16" ht="14.25" hidden="1" customHeight="1">
      <c r="A376" s="13285"/>
      <c r="B376" s="13357"/>
      <c r="C376" s="13365"/>
      <c r="D376" s="10068"/>
      <c r="E376" s="10108"/>
      <c r="F376" s="10108"/>
      <c r="G376" s="10108"/>
      <c r="H376" s="10602"/>
      <c r="I376" s="10602"/>
      <c r="J376" s="10670"/>
      <c r="K376" s="13355"/>
      <c r="L376" s="10092"/>
    </row>
    <row r="377" spans="1:16" ht="35.25" customHeight="1">
      <c r="A377" s="13285"/>
      <c r="B377" s="13356" t="s">
        <v>10638</v>
      </c>
      <c r="C377" s="10623"/>
      <c r="D377" s="10068">
        <v>999911</v>
      </c>
      <c r="E377" s="10108">
        <v>3499417.85</v>
      </c>
      <c r="F377" s="10108">
        <v>0</v>
      </c>
      <c r="G377" s="10206">
        <f>H377-F377</f>
        <v>4000000</v>
      </c>
      <c r="H377" s="10053">
        <v>4000000</v>
      </c>
      <c r="I377" s="10053">
        <v>3999982</v>
      </c>
      <c r="J377" s="10662">
        <f t="shared" ref="J377:J385" si="12">I377/H377</f>
        <v>0.99999550000000004</v>
      </c>
      <c r="K377" s="13262">
        <v>4000000</v>
      </c>
      <c r="L377" s="10060"/>
      <c r="M377" s="7760" t="s">
        <v>568</v>
      </c>
      <c r="P377" s="7760">
        <v>7500000</v>
      </c>
    </row>
    <row r="378" spans="1:16" ht="18.75" customHeight="1">
      <c r="A378" s="13285"/>
      <c r="B378" s="13303" t="s">
        <v>10640</v>
      </c>
      <c r="C378" s="10625"/>
      <c r="D378" s="10068">
        <v>899934</v>
      </c>
      <c r="E378" s="10108">
        <v>1191970.3</v>
      </c>
      <c r="F378" s="10108">
        <v>444177</v>
      </c>
      <c r="G378" s="10206">
        <f t="shared" ref="G378:G385" si="13">H378-F378</f>
        <v>4555823</v>
      </c>
      <c r="H378" s="10053">
        <v>5000000</v>
      </c>
      <c r="I378" s="10053">
        <v>744177</v>
      </c>
      <c r="J378" s="10662">
        <f t="shared" si="12"/>
        <v>0.14883540000000001</v>
      </c>
      <c r="K378" s="13262">
        <v>5000000</v>
      </c>
      <c r="L378" s="10060"/>
      <c r="M378" s="7760" t="s">
        <v>568</v>
      </c>
      <c r="P378" s="7760">
        <v>2500000</v>
      </c>
    </row>
    <row r="379" spans="1:16" ht="18.75" customHeight="1">
      <c r="A379" s="13285"/>
      <c r="B379" s="13303" t="s">
        <v>10641</v>
      </c>
      <c r="C379" s="10625"/>
      <c r="D379" s="10068">
        <v>899935</v>
      </c>
      <c r="E379" s="10108">
        <v>12875926.43</v>
      </c>
      <c r="F379" s="10108">
        <v>11571370.48</v>
      </c>
      <c r="G379" s="10206">
        <f t="shared" si="13"/>
        <v>3428629.5199999996</v>
      </c>
      <c r="H379" s="10053">
        <v>15000000</v>
      </c>
      <c r="I379" s="10053"/>
      <c r="J379" s="10662">
        <f t="shared" si="12"/>
        <v>0</v>
      </c>
      <c r="K379" s="13262">
        <v>10000000</v>
      </c>
      <c r="L379" s="10060"/>
      <c r="M379" s="7760" t="s">
        <v>568</v>
      </c>
      <c r="P379" s="7760">
        <v>10000000</v>
      </c>
    </row>
    <row r="380" spans="1:16" ht="18.75" customHeight="1">
      <c r="A380" s="13285"/>
      <c r="B380" s="13303" t="s">
        <v>10642</v>
      </c>
      <c r="C380" s="10625"/>
      <c r="D380" s="10068">
        <v>899936</v>
      </c>
      <c r="E380" s="10108">
        <v>350685.15</v>
      </c>
      <c r="F380" s="10108">
        <v>1122000</v>
      </c>
      <c r="G380" s="10206">
        <f t="shared" si="13"/>
        <v>1878000</v>
      </c>
      <c r="H380" s="10053">
        <v>3000000</v>
      </c>
      <c r="I380" s="10053">
        <v>1192000</v>
      </c>
      <c r="J380" s="10662">
        <f t="shared" si="12"/>
        <v>0.39733333333333332</v>
      </c>
      <c r="K380" s="13262">
        <v>3000000</v>
      </c>
      <c r="L380" s="10060"/>
      <c r="M380" s="7760" t="s">
        <v>568</v>
      </c>
      <c r="P380" s="7760">
        <v>1500000</v>
      </c>
    </row>
    <row r="381" spans="1:16" ht="18.75" customHeight="1">
      <c r="A381" s="13285"/>
      <c r="B381" s="13303" t="s">
        <v>10643</v>
      </c>
      <c r="C381" s="10625"/>
      <c r="D381" s="10068">
        <v>899937</v>
      </c>
      <c r="E381" s="10108">
        <v>9148412.3900000006</v>
      </c>
      <c r="F381" s="10108">
        <v>4638559.47</v>
      </c>
      <c r="G381" s="10206">
        <f t="shared" si="13"/>
        <v>5361440.53</v>
      </c>
      <c r="H381" s="10053">
        <v>10000000</v>
      </c>
      <c r="I381" s="10053">
        <v>4958559.47</v>
      </c>
      <c r="J381" s="10662">
        <f t="shared" si="12"/>
        <v>0.49585594699999996</v>
      </c>
      <c r="K381" s="13262">
        <v>8000000</v>
      </c>
      <c r="L381" s="10060"/>
      <c r="M381" s="7760" t="s">
        <v>568</v>
      </c>
      <c r="P381" s="7760">
        <v>5000000</v>
      </c>
    </row>
    <row r="382" spans="1:16" ht="18.75" hidden="1" customHeight="1">
      <c r="A382" s="13285"/>
      <c r="B382" s="13356" t="s">
        <v>10101</v>
      </c>
      <c r="C382" s="10623"/>
      <c r="D382" s="10068"/>
      <c r="E382" s="10108"/>
      <c r="F382" s="10108"/>
      <c r="G382" s="10206">
        <f t="shared" si="13"/>
        <v>0</v>
      </c>
      <c r="H382" s="10053">
        <v>0</v>
      </c>
      <c r="I382" s="10053"/>
      <c r="J382" s="10662" t="e">
        <f t="shared" si="12"/>
        <v>#DIV/0!</v>
      </c>
      <c r="K382" s="13262">
        <v>0</v>
      </c>
      <c r="L382" s="10060"/>
      <c r="P382" s="7760">
        <v>1000000</v>
      </c>
    </row>
    <row r="383" spans="1:16" ht="18" customHeight="1">
      <c r="A383" s="13285"/>
      <c r="B383" s="13356" t="s">
        <v>10118</v>
      </c>
      <c r="C383" s="10623"/>
      <c r="D383" s="13366">
        <v>885202</v>
      </c>
      <c r="E383" s="10108">
        <v>257519.75</v>
      </c>
      <c r="F383" s="10108">
        <v>0</v>
      </c>
      <c r="G383" s="10206">
        <f t="shared" si="13"/>
        <v>1500000</v>
      </c>
      <c r="H383" s="10053">
        <v>1500000</v>
      </c>
      <c r="I383" s="10053"/>
      <c r="J383" s="10662">
        <f t="shared" si="12"/>
        <v>0</v>
      </c>
      <c r="K383" s="13262">
        <v>0</v>
      </c>
      <c r="L383" s="10060"/>
      <c r="M383" s="7760" t="s">
        <v>595</v>
      </c>
      <c r="P383" s="7760">
        <v>3000000</v>
      </c>
    </row>
    <row r="384" spans="1:16" ht="18" customHeight="1">
      <c r="A384" s="13285"/>
      <c r="B384" s="13356" t="s">
        <v>10617</v>
      </c>
      <c r="C384" s="10623"/>
      <c r="D384" s="10068">
        <v>799941</v>
      </c>
      <c r="E384" s="10108">
        <v>0</v>
      </c>
      <c r="F384" s="10108">
        <v>65618</v>
      </c>
      <c r="G384" s="10206">
        <f t="shared" si="13"/>
        <v>2934382</v>
      </c>
      <c r="H384" s="10053">
        <v>3000000</v>
      </c>
      <c r="I384" s="10053">
        <v>2149223.56</v>
      </c>
      <c r="J384" s="10662">
        <f t="shared" si="12"/>
        <v>0.71640785333333334</v>
      </c>
      <c r="K384" s="13262">
        <v>1500000</v>
      </c>
      <c r="L384" s="10060"/>
      <c r="M384" s="7760" t="s">
        <v>11127</v>
      </c>
    </row>
    <row r="385" spans="1:13" ht="18" customHeight="1">
      <c r="A385" s="13285"/>
      <c r="B385" s="13356" t="s">
        <v>10599</v>
      </c>
      <c r="C385" s="10623"/>
      <c r="D385" s="10068">
        <v>799942</v>
      </c>
      <c r="E385" s="10108">
        <v>2800153.85</v>
      </c>
      <c r="F385" s="10108">
        <v>778223.92</v>
      </c>
      <c r="G385" s="10206">
        <f t="shared" si="13"/>
        <v>4221776.08</v>
      </c>
      <c r="H385" s="10053">
        <v>5000000</v>
      </c>
      <c r="I385" s="10053">
        <v>3557100</v>
      </c>
      <c r="J385" s="10662">
        <f t="shared" si="12"/>
        <v>0.71142000000000005</v>
      </c>
      <c r="K385" s="13262">
        <v>5000000</v>
      </c>
      <c r="L385" s="10060"/>
      <c r="M385" s="7760" t="s">
        <v>11128</v>
      </c>
    </row>
    <row r="386" spans="1:13" ht="18" hidden="1" customHeight="1">
      <c r="A386" s="13285"/>
      <c r="B386" s="13358" t="s">
        <v>11780</v>
      </c>
      <c r="C386" s="10643">
        <v>144000</v>
      </c>
      <c r="D386" s="10068"/>
      <c r="E386" s="10108"/>
      <c r="F386" s="10108"/>
      <c r="G386" s="10206"/>
      <c r="H386" s="10053"/>
      <c r="I386" s="10053"/>
      <c r="J386" s="10662"/>
      <c r="K386" s="13262"/>
      <c r="L386" s="10092">
        <f>SUM(C386:C400)</f>
        <v>5000000</v>
      </c>
    </row>
    <row r="387" spans="1:13" ht="18" hidden="1" customHeight="1">
      <c r="A387" s="13285"/>
      <c r="B387" s="13358" t="s">
        <v>11809</v>
      </c>
      <c r="C387" s="10643">
        <f>120000+100000+100000+100000+300000</f>
        <v>720000</v>
      </c>
      <c r="D387" s="10068"/>
      <c r="E387" s="10108"/>
      <c r="F387" s="10108"/>
      <c r="G387" s="10206"/>
      <c r="H387" s="10053"/>
      <c r="I387" s="10053"/>
      <c r="J387" s="10662"/>
      <c r="K387" s="13262"/>
      <c r="L387" s="10060"/>
    </row>
    <row r="388" spans="1:13" ht="18" hidden="1" customHeight="1">
      <c r="A388" s="13285"/>
      <c r="B388" s="13358" t="s">
        <v>700</v>
      </c>
      <c r="C388" s="10643">
        <f>124547</f>
        <v>124547</v>
      </c>
      <c r="D388" s="10068"/>
      <c r="E388" s="10108"/>
      <c r="F388" s="10108"/>
      <c r="G388" s="10206"/>
      <c r="H388" s="10053"/>
      <c r="I388" s="10053"/>
      <c r="J388" s="10662"/>
      <c r="K388" s="13262"/>
      <c r="L388" s="10060"/>
    </row>
    <row r="389" spans="1:13" ht="18" hidden="1" customHeight="1">
      <c r="A389" s="13285"/>
      <c r="B389" s="13358" t="s">
        <v>11810</v>
      </c>
      <c r="C389" s="10643">
        <v>924000</v>
      </c>
      <c r="D389" s="10068"/>
      <c r="E389" s="10108"/>
      <c r="F389" s="10108"/>
      <c r="G389" s="10206"/>
      <c r="H389" s="10053"/>
      <c r="I389" s="10053"/>
      <c r="J389" s="10662"/>
      <c r="K389" s="13262"/>
      <c r="L389" s="10060"/>
    </row>
    <row r="390" spans="1:13" ht="18" hidden="1" customHeight="1">
      <c r="A390" s="13285"/>
      <c r="B390" s="13358" t="s">
        <v>11790</v>
      </c>
      <c r="C390" s="10643">
        <v>110000</v>
      </c>
      <c r="D390" s="10068"/>
      <c r="E390" s="10108"/>
      <c r="F390" s="10108"/>
      <c r="G390" s="10206"/>
      <c r="H390" s="10053"/>
      <c r="I390" s="10053"/>
      <c r="J390" s="10662"/>
      <c r="K390" s="13262"/>
      <c r="L390" s="10060"/>
    </row>
    <row r="391" spans="1:13" ht="18" hidden="1" customHeight="1">
      <c r="A391" s="13285"/>
      <c r="B391" s="13358" t="s">
        <v>677</v>
      </c>
      <c r="C391" s="10643">
        <v>66000</v>
      </c>
      <c r="D391" s="10068"/>
      <c r="E391" s="10108"/>
      <c r="F391" s="10108"/>
      <c r="G391" s="10206"/>
      <c r="H391" s="10053"/>
      <c r="I391" s="10053"/>
      <c r="J391" s="10662"/>
      <c r="K391" s="13262"/>
      <c r="L391" s="10060"/>
    </row>
    <row r="392" spans="1:13" ht="18" hidden="1" customHeight="1">
      <c r="A392" s="13285"/>
      <c r="B392" s="13358" t="s">
        <v>540</v>
      </c>
      <c r="C392" s="10643">
        <v>66000</v>
      </c>
      <c r="D392" s="10068"/>
      <c r="E392" s="10108"/>
      <c r="F392" s="10108"/>
      <c r="G392" s="10206"/>
      <c r="H392" s="10053"/>
      <c r="I392" s="10053"/>
      <c r="J392" s="10662"/>
      <c r="K392" s="13262"/>
      <c r="L392" s="10060"/>
    </row>
    <row r="393" spans="1:13" ht="18" hidden="1" customHeight="1">
      <c r="A393" s="13285"/>
      <c r="B393" s="13358" t="s">
        <v>3340</v>
      </c>
      <c r="C393" s="10643">
        <f>5000+78000</f>
        <v>83000</v>
      </c>
      <c r="D393" s="10068"/>
      <c r="E393" s="10108"/>
      <c r="F393" s="10108"/>
      <c r="G393" s="10206"/>
      <c r="H393" s="10053"/>
      <c r="I393" s="10053"/>
      <c r="J393" s="10662"/>
      <c r="K393" s="13262"/>
      <c r="L393" s="10060"/>
    </row>
    <row r="394" spans="1:13" ht="18" hidden="1" customHeight="1">
      <c r="A394" s="13285"/>
      <c r="B394" s="13347" t="s">
        <v>11811</v>
      </c>
      <c r="C394" s="10643">
        <v>54730</v>
      </c>
      <c r="D394" s="10068"/>
      <c r="E394" s="10108"/>
      <c r="F394" s="10108"/>
      <c r="G394" s="10206"/>
      <c r="H394" s="10053"/>
      <c r="I394" s="10053"/>
      <c r="J394" s="10662"/>
      <c r="K394" s="13262"/>
      <c r="L394" s="10060"/>
    </row>
    <row r="395" spans="1:13" ht="18" hidden="1" customHeight="1">
      <c r="A395" s="13285"/>
      <c r="B395" s="13358" t="s">
        <v>11879</v>
      </c>
      <c r="C395" s="10643">
        <f>2200000+150000</f>
        <v>2350000</v>
      </c>
      <c r="D395" s="10068"/>
      <c r="E395" s="10108"/>
      <c r="F395" s="10108"/>
      <c r="G395" s="10206"/>
      <c r="H395" s="10053"/>
      <c r="I395" s="10053"/>
      <c r="J395" s="10662"/>
      <c r="K395" s="13262"/>
      <c r="L395" s="10060"/>
    </row>
    <row r="396" spans="1:13" ht="18" hidden="1" customHeight="1">
      <c r="A396" s="13285"/>
      <c r="B396" s="13358" t="s">
        <v>11789</v>
      </c>
      <c r="C396" s="10643">
        <f>136723+1000</f>
        <v>137723</v>
      </c>
      <c r="D396" s="10068"/>
      <c r="E396" s="10108"/>
      <c r="F396" s="10108"/>
      <c r="G396" s="10206"/>
      <c r="H396" s="10053"/>
      <c r="I396" s="10053"/>
      <c r="J396" s="10662"/>
      <c r="K396" s="13262"/>
      <c r="L396" s="10060"/>
    </row>
    <row r="397" spans="1:13" ht="18" hidden="1" customHeight="1">
      <c r="A397" s="13285"/>
      <c r="B397" s="13367" t="s">
        <v>52</v>
      </c>
      <c r="C397" s="10643"/>
      <c r="D397" s="10068"/>
      <c r="E397" s="10108"/>
      <c r="F397" s="10108"/>
      <c r="G397" s="10206"/>
      <c r="H397" s="10053"/>
      <c r="I397" s="10053"/>
      <c r="J397" s="10662"/>
      <c r="K397" s="13262"/>
      <c r="L397" s="10060"/>
    </row>
    <row r="398" spans="1:13" ht="18" hidden="1" customHeight="1">
      <c r="A398" s="13285"/>
      <c r="B398" s="13358" t="s">
        <v>9112</v>
      </c>
      <c r="C398" s="10643">
        <v>60000</v>
      </c>
      <c r="D398" s="10068"/>
      <c r="E398" s="10108"/>
      <c r="F398" s="10108"/>
      <c r="G398" s="10206"/>
      <c r="H398" s="10053"/>
      <c r="I398" s="10053"/>
      <c r="J398" s="10662"/>
      <c r="K398" s="13262"/>
      <c r="L398" s="10060"/>
    </row>
    <row r="399" spans="1:13" ht="18" hidden="1" customHeight="1">
      <c r="A399" s="13285"/>
      <c r="B399" s="13346" t="s">
        <v>10947</v>
      </c>
      <c r="C399" s="10643">
        <v>130000</v>
      </c>
      <c r="D399" s="10068"/>
      <c r="E399" s="10108"/>
      <c r="F399" s="10108"/>
      <c r="G399" s="10206"/>
      <c r="H399" s="10053"/>
      <c r="I399" s="10053"/>
      <c r="J399" s="10662"/>
      <c r="K399" s="13262"/>
      <c r="L399" s="10060"/>
    </row>
    <row r="400" spans="1:13" ht="15" hidden="1" customHeight="1">
      <c r="A400" s="12226"/>
      <c r="B400" s="13302" t="s">
        <v>176</v>
      </c>
      <c r="C400" s="10621">
        <v>30000</v>
      </c>
      <c r="D400" s="13250"/>
      <c r="E400" s="10108"/>
      <c r="F400" s="10108"/>
      <c r="G400" s="10108"/>
      <c r="H400" s="10109"/>
      <c r="I400" s="10109"/>
      <c r="J400" s="10110"/>
      <c r="K400" s="13251"/>
      <c r="L400" s="10050"/>
    </row>
    <row r="401" spans="1:18" s="7351" customFormat="1" ht="25.5" customHeight="1">
      <c r="A401" s="11237"/>
      <c r="B401" s="13359" t="s">
        <v>327</v>
      </c>
      <c r="C401" s="10644"/>
      <c r="D401" s="10387"/>
      <c r="E401" s="13360">
        <f>SUM(E338:E400,E246:E316)</f>
        <v>72567506.669999987</v>
      </c>
      <c r="F401" s="13360">
        <f>SUM(F338:F400,F246:F316)</f>
        <v>26286037.919999998</v>
      </c>
      <c r="G401" s="13360">
        <f>SUM(G338:G400,G246:G316)</f>
        <v>75038895.080000013</v>
      </c>
      <c r="H401" s="13360">
        <f>SUM(H338:H400,H246:H316)</f>
        <v>101324933</v>
      </c>
      <c r="I401" s="13360">
        <f>SUM(I249:I400)</f>
        <v>30326644.289999999</v>
      </c>
      <c r="J401" s="13361"/>
      <c r="K401" s="13362">
        <f>SUM(K338:K400,K246:K316)</f>
        <v>93070700</v>
      </c>
      <c r="L401" s="9367"/>
      <c r="M401" s="7310"/>
      <c r="N401" s="7899"/>
      <c r="O401" s="7310">
        <v>55982142</v>
      </c>
      <c r="P401" s="7310">
        <v>124382500</v>
      </c>
    </row>
    <row r="402" spans="1:18" ht="13.5" customHeight="1">
      <c r="A402" s="12226"/>
      <c r="B402" s="13301"/>
      <c r="C402" s="13368"/>
      <c r="D402" s="10068"/>
      <c r="E402" s="13268"/>
      <c r="F402" s="13268"/>
      <c r="G402" s="13268"/>
      <c r="H402" s="13257"/>
      <c r="I402" s="13257"/>
      <c r="J402" s="13258"/>
      <c r="K402" s="13259"/>
      <c r="L402" s="10050"/>
    </row>
    <row r="403" spans="1:18" ht="14.25" customHeight="1">
      <c r="A403" s="12226"/>
      <c r="B403" s="13263" t="s">
        <v>383</v>
      </c>
      <c r="C403" s="10621"/>
      <c r="D403" s="10068"/>
      <c r="E403" s="10108" t="s">
        <v>9</v>
      </c>
      <c r="F403" s="10108"/>
      <c r="G403" s="10108"/>
      <c r="H403" s="10109" t="s">
        <v>9</v>
      </c>
      <c r="I403" s="10109"/>
      <c r="J403" s="10110"/>
      <c r="K403" s="13251" t="s">
        <v>9</v>
      </c>
      <c r="L403" s="10050"/>
      <c r="O403" s="7760" t="s">
        <v>9</v>
      </c>
      <c r="P403" s="7760" t="s">
        <v>9</v>
      </c>
    </row>
    <row r="404" spans="1:18" ht="14.25" hidden="1" customHeight="1">
      <c r="A404" s="12226"/>
      <c r="B404" s="13297" t="s">
        <v>4709</v>
      </c>
      <c r="C404" s="10621"/>
      <c r="D404" s="13340">
        <v>215</v>
      </c>
      <c r="E404" s="10108">
        <v>0</v>
      </c>
      <c r="F404" s="10108"/>
      <c r="G404" s="10108"/>
      <c r="H404" s="10550">
        <v>0</v>
      </c>
      <c r="I404" s="10053"/>
      <c r="J404" s="10662"/>
      <c r="K404" s="13298">
        <v>0</v>
      </c>
      <c r="L404" s="10079"/>
      <c r="O404" s="7760">
        <v>0</v>
      </c>
      <c r="P404" s="7760">
        <v>0</v>
      </c>
    </row>
    <row r="405" spans="1:18" ht="14.25" hidden="1" customHeight="1">
      <c r="A405" s="12226"/>
      <c r="B405" s="13297" t="s">
        <v>4710</v>
      </c>
      <c r="C405" s="10621"/>
      <c r="D405" s="10105"/>
      <c r="E405" s="10108">
        <v>0</v>
      </c>
      <c r="F405" s="10108"/>
      <c r="G405" s="10108"/>
      <c r="H405" s="10053"/>
      <c r="I405" s="10053"/>
      <c r="J405" s="10662"/>
      <c r="K405" s="13262"/>
      <c r="L405" s="10060"/>
    </row>
    <row r="406" spans="1:18" ht="14.25" hidden="1" customHeight="1">
      <c r="A406" s="12226"/>
      <c r="B406" s="13297" t="s">
        <v>3386</v>
      </c>
      <c r="C406" s="10621"/>
      <c r="D406" s="13340">
        <v>215</v>
      </c>
      <c r="E406" s="10108">
        <v>0</v>
      </c>
      <c r="F406" s="10108"/>
      <c r="G406" s="10108"/>
      <c r="H406" s="10550">
        <v>0</v>
      </c>
      <c r="I406" s="10053"/>
      <c r="J406" s="10662"/>
      <c r="K406" s="13298">
        <v>0</v>
      </c>
      <c r="L406" s="10079"/>
      <c r="O406" s="7760">
        <v>0</v>
      </c>
      <c r="P406" s="7760">
        <v>0</v>
      </c>
    </row>
    <row r="407" spans="1:18" ht="14.25" hidden="1" customHeight="1">
      <c r="A407" s="12226"/>
      <c r="B407" s="13297" t="s">
        <v>3385</v>
      </c>
      <c r="C407" s="10621"/>
      <c r="D407" s="13340">
        <v>215</v>
      </c>
      <c r="E407" s="10108">
        <v>0</v>
      </c>
      <c r="F407" s="10108"/>
      <c r="G407" s="10108"/>
      <c r="H407" s="10550">
        <v>0</v>
      </c>
      <c r="I407" s="10053"/>
      <c r="J407" s="10662"/>
      <c r="K407" s="13298">
        <v>0</v>
      </c>
      <c r="L407" s="10079"/>
      <c r="O407" s="7760">
        <v>0</v>
      </c>
      <c r="P407" s="7760">
        <v>0</v>
      </c>
    </row>
    <row r="408" spans="1:18" ht="14.25" hidden="1" customHeight="1">
      <c r="A408" s="12226"/>
      <c r="B408" s="13297" t="s">
        <v>3308</v>
      </c>
      <c r="C408" s="10621"/>
      <c r="D408" s="13340">
        <v>899920</v>
      </c>
      <c r="E408" s="10108" t="s">
        <v>10055</v>
      </c>
      <c r="F408" s="10108"/>
      <c r="G408" s="10108"/>
      <c r="H408" s="10550">
        <v>0</v>
      </c>
      <c r="I408" s="10053"/>
      <c r="J408" s="10662"/>
      <c r="K408" s="13298">
        <v>0</v>
      </c>
      <c r="L408" s="10079"/>
      <c r="O408" s="7760">
        <v>0</v>
      </c>
      <c r="P408" s="7760">
        <v>0</v>
      </c>
    </row>
    <row r="409" spans="1:18" ht="14.25" hidden="1" customHeight="1">
      <c r="A409" s="12226"/>
      <c r="B409" s="13297" t="s">
        <v>3309</v>
      </c>
      <c r="C409" s="10621"/>
      <c r="D409" s="13340">
        <v>899921</v>
      </c>
      <c r="E409" s="10108" t="s">
        <v>10055</v>
      </c>
      <c r="F409" s="10108"/>
      <c r="G409" s="10108"/>
      <c r="H409" s="10550">
        <v>0</v>
      </c>
      <c r="I409" s="10053"/>
      <c r="J409" s="10662"/>
      <c r="K409" s="13298">
        <v>0</v>
      </c>
      <c r="L409" s="10079"/>
      <c r="O409" s="7760">
        <v>0</v>
      </c>
      <c r="P409" s="7760">
        <v>0</v>
      </c>
    </row>
    <row r="410" spans="1:18" ht="14.25" hidden="1" customHeight="1">
      <c r="A410" s="12226"/>
      <c r="B410" s="13297" t="s">
        <v>3384</v>
      </c>
      <c r="C410" s="10621"/>
      <c r="D410" s="13340">
        <v>899926</v>
      </c>
      <c r="E410" s="10108" t="s">
        <v>10055</v>
      </c>
      <c r="F410" s="10108"/>
      <c r="G410" s="10108"/>
      <c r="H410" s="10550">
        <v>0</v>
      </c>
      <c r="I410" s="10053"/>
      <c r="J410" s="10662"/>
      <c r="K410" s="13298">
        <v>0</v>
      </c>
      <c r="L410" s="10079"/>
      <c r="O410" s="7760">
        <v>0</v>
      </c>
      <c r="P410" s="7760">
        <v>0</v>
      </c>
    </row>
    <row r="411" spans="1:18" ht="14.25" customHeight="1">
      <c r="A411" s="12226"/>
      <c r="B411" s="13297"/>
      <c r="C411" s="10621"/>
      <c r="D411" s="13340"/>
      <c r="E411" s="10108"/>
      <c r="F411" s="10108"/>
      <c r="G411" s="10108"/>
      <c r="H411" s="10550"/>
      <c r="I411" s="10053"/>
      <c r="J411" s="10662"/>
      <c r="K411" s="13298"/>
      <c r="L411" s="10079"/>
    </row>
    <row r="412" spans="1:18" ht="18" customHeight="1">
      <c r="A412" s="12226"/>
      <c r="B412" s="13297" t="s">
        <v>3383</v>
      </c>
      <c r="C412" s="10621"/>
      <c r="D412" s="10068">
        <v>9999</v>
      </c>
      <c r="E412" s="10108">
        <v>268745</v>
      </c>
      <c r="F412" s="10108">
        <v>0</v>
      </c>
      <c r="G412" s="10206">
        <f>H412-F412</f>
        <v>500000</v>
      </c>
      <c r="H412" s="10109">
        <v>500000</v>
      </c>
      <c r="I412" s="10053">
        <v>107750</v>
      </c>
      <c r="J412" s="10662">
        <f>I412/H412</f>
        <v>0.2155</v>
      </c>
      <c r="K412" s="13251">
        <v>500000</v>
      </c>
      <c r="L412" s="10050" t="s">
        <v>574</v>
      </c>
      <c r="O412" s="7760">
        <v>500000</v>
      </c>
      <c r="P412" s="7760">
        <v>500000</v>
      </c>
      <c r="R412" s="10087"/>
    </row>
    <row r="413" spans="1:18" ht="17.100000000000001" customHeight="1">
      <c r="A413" s="12226"/>
      <c r="B413" s="13287" t="s">
        <v>3382</v>
      </c>
      <c r="C413" s="10621"/>
      <c r="D413" s="10105"/>
      <c r="E413" s="10106"/>
      <c r="F413" s="10106"/>
      <c r="G413" s="10106"/>
      <c r="H413" s="10107"/>
      <c r="I413" s="10053"/>
      <c r="J413" s="10662"/>
      <c r="K413" s="13286"/>
      <c r="L413" s="10065"/>
      <c r="R413" s="10064"/>
    </row>
    <row r="414" spans="1:18" ht="17.100000000000001" customHeight="1">
      <c r="A414" s="12226"/>
      <c r="B414" s="13303" t="s">
        <v>11174</v>
      </c>
      <c r="C414" s="10625"/>
      <c r="D414" s="10068">
        <v>799900</v>
      </c>
      <c r="E414" s="10108">
        <v>3032625</v>
      </c>
      <c r="F414" s="10108">
        <v>510000</v>
      </c>
      <c r="G414" s="10206">
        <f>H414-F414</f>
        <v>2990000</v>
      </c>
      <c r="H414" s="10109">
        <v>3500000</v>
      </c>
      <c r="I414" s="10053">
        <v>2946910</v>
      </c>
      <c r="J414" s="10662">
        <f>I414/H414</f>
        <v>0.84197428571428568</v>
      </c>
      <c r="K414" s="13251">
        <v>3500000</v>
      </c>
      <c r="L414" s="10050"/>
      <c r="M414" s="7760" t="s">
        <v>568</v>
      </c>
      <c r="O414" s="7760">
        <v>2200000</v>
      </c>
      <c r="P414" s="7760">
        <v>2200000</v>
      </c>
      <c r="R414" s="10051"/>
    </row>
    <row r="415" spans="1:18" ht="17.100000000000001" customHeight="1">
      <c r="A415" s="13285"/>
      <c r="B415" s="13287" t="s">
        <v>385</v>
      </c>
      <c r="C415" s="10621"/>
      <c r="D415" s="10068">
        <v>8852</v>
      </c>
      <c r="E415" s="10108">
        <v>4312800</v>
      </c>
      <c r="F415" s="10108">
        <v>0</v>
      </c>
      <c r="G415" s="10206">
        <f>H415-F415</f>
        <v>5000000</v>
      </c>
      <c r="H415" s="10053">
        <v>5000000</v>
      </c>
      <c r="I415" s="10053"/>
      <c r="J415" s="10662">
        <f>I415/H415</f>
        <v>0</v>
      </c>
      <c r="K415" s="13262">
        <v>4000000</v>
      </c>
      <c r="L415" s="10060"/>
      <c r="M415" s="7760" t="s">
        <v>11129</v>
      </c>
      <c r="O415" s="7760">
        <v>1000000</v>
      </c>
      <c r="P415" s="7760">
        <v>2500000</v>
      </c>
      <c r="R415" s="10093"/>
    </row>
    <row r="416" spans="1:18" ht="17.100000000000001" customHeight="1">
      <c r="A416" s="13285"/>
      <c r="B416" s="13287" t="s">
        <v>387</v>
      </c>
      <c r="C416" s="10621"/>
      <c r="D416" s="10068">
        <v>1991</v>
      </c>
      <c r="E416" s="10108">
        <v>0</v>
      </c>
      <c r="F416" s="10108">
        <v>40000</v>
      </c>
      <c r="G416" s="10206">
        <f>H416-F416</f>
        <v>460000</v>
      </c>
      <c r="H416" s="10109">
        <v>500000</v>
      </c>
      <c r="I416" s="10053"/>
      <c r="J416" s="10662">
        <f>I416/H416</f>
        <v>0</v>
      </c>
      <c r="K416" s="13251">
        <v>1500000</v>
      </c>
      <c r="L416" s="10050"/>
      <c r="M416" s="7760" t="s">
        <v>568</v>
      </c>
      <c r="O416" s="7760">
        <v>0</v>
      </c>
      <c r="P416" s="7760">
        <v>0</v>
      </c>
      <c r="R416" s="10093"/>
    </row>
    <row r="417" spans="1:18" ht="17.100000000000001" customHeight="1">
      <c r="A417" s="13285"/>
      <c r="B417" s="13287" t="s">
        <v>10095</v>
      </c>
      <c r="C417" s="10621"/>
      <c r="D417" s="10068">
        <v>69902</v>
      </c>
      <c r="E417" s="10108">
        <v>1108334.23</v>
      </c>
      <c r="F417" s="10108">
        <v>265738.64</v>
      </c>
      <c r="G417" s="10206">
        <f>H417-F417</f>
        <v>1334261.3599999999</v>
      </c>
      <c r="H417" s="10070">
        <v>1600000</v>
      </c>
      <c r="I417" s="10053">
        <v>836263.68</v>
      </c>
      <c r="J417" s="10662">
        <f>I417/H417</f>
        <v>0.52266480000000004</v>
      </c>
      <c r="K417" s="13289">
        <v>1600000</v>
      </c>
      <c r="L417" s="10067"/>
      <c r="M417" s="7760" t="s">
        <v>11157</v>
      </c>
      <c r="O417" s="7760">
        <v>423197</v>
      </c>
      <c r="P417" s="7760">
        <v>930000</v>
      </c>
      <c r="R417" s="10064"/>
    </row>
    <row r="418" spans="1:18" ht="14.25" hidden="1" customHeight="1">
      <c r="A418" s="11472"/>
      <c r="B418" s="13297" t="s">
        <v>9999</v>
      </c>
      <c r="C418" s="10621"/>
      <c r="D418" s="13340" t="s">
        <v>9977</v>
      </c>
      <c r="E418" s="10108"/>
      <c r="F418" s="10108"/>
      <c r="G418" s="10108">
        <f>H418-F418</f>
        <v>0</v>
      </c>
      <c r="H418" s="10070"/>
      <c r="I418" s="10053"/>
      <c r="J418" s="10662"/>
      <c r="K418" s="13289"/>
      <c r="L418" s="10067"/>
      <c r="O418" s="7760">
        <v>376803</v>
      </c>
      <c r="R418" s="10095"/>
    </row>
    <row r="419" spans="1:18" ht="16.5" customHeight="1" thickBot="1">
      <c r="A419" s="13269"/>
      <c r="B419" s="13314"/>
      <c r="C419" s="13369"/>
      <c r="D419" s="10118"/>
      <c r="E419" s="10119"/>
      <c r="F419" s="10119"/>
      <c r="G419" s="10119"/>
      <c r="H419" s="10120"/>
      <c r="I419" s="13274"/>
      <c r="J419" s="13275"/>
      <c r="K419" s="13294"/>
      <c r="L419" s="10050"/>
    </row>
    <row r="420" spans="1:18" ht="16.5" customHeight="1">
      <c r="A420" s="7730"/>
      <c r="B420" s="7955"/>
      <c r="C420" s="10642"/>
      <c r="D420" s="10052"/>
      <c r="E420" s="10078"/>
      <c r="F420" s="10078"/>
      <c r="G420" s="10078"/>
      <c r="H420" s="10050"/>
      <c r="I420" s="10060"/>
      <c r="J420" s="10661"/>
      <c r="K420" s="10050"/>
      <c r="L420" s="10050"/>
      <c r="R420" s="10058"/>
    </row>
    <row r="421" spans="1:18" ht="16.5" customHeight="1">
      <c r="A421" s="7730"/>
      <c r="B421" s="7955"/>
      <c r="C421" s="10642"/>
      <c r="D421" s="10052"/>
      <c r="E421" s="10078"/>
      <c r="F421" s="10078"/>
      <c r="G421" s="10078"/>
      <c r="H421" s="10050"/>
      <c r="I421" s="10060"/>
      <c r="J421" s="10661"/>
      <c r="K421" s="10050"/>
      <c r="L421" s="10050"/>
      <c r="R421" s="10051"/>
    </row>
    <row r="422" spans="1:18" ht="16.5" customHeight="1">
      <c r="A422" s="7730"/>
      <c r="B422" s="7955"/>
      <c r="C422" s="10642"/>
      <c r="D422" s="10052"/>
      <c r="E422" s="10078"/>
      <c r="F422" s="10078"/>
      <c r="G422" s="10078"/>
      <c r="H422" s="10050"/>
      <c r="I422" s="10060"/>
      <c r="J422" s="10661"/>
      <c r="K422" s="10050"/>
      <c r="L422" s="10050"/>
      <c r="R422" s="10109"/>
    </row>
    <row r="423" spans="1:18" ht="16.5" customHeight="1">
      <c r="A423" s="7730"/>
      <c r="B423" s="7955"/>
      <c r="C423" s="10642"/>
      <c r="D423" s="10052"/>
      <c r="E423" s="10078"/>
      <c r="F423" s="10078"/>
      <c r="G423" s="10078"/>
      <c r="H423" s="10050"/>
      <c r="I423" s="10060"/>
      <c r="J423" s="10661"/>
      <c r="K423" s="10050"/>
      <c r="L423" s="10050"/>
      <c r="R423" s="10109"/>
    </row>
    <row r="424" spans="1:18" ht="15" customHeight="1" thickBot="1">
      <c r="A424" s="10096" t="s">
        <v>10914</v>
      </c>
      <c r="B424" s="10097"/>
      <c r="C424" s="10645"/>
      <c r="D424" s="10084"/>
      <c r="E424" s="10085"/>
      <c r="F424" s="10085"/>
      <c r="G424" s="10085"/>
      <c r="H424" s="10098"/>
      <c r="I424" s="10671"/>
      <c r="J424" s="10672"/>
      <c r="K424" s="10098"/>
      <c r="L424" s="10088"/>
      <c r="R424" s="10099"/>
    </row>
    <row r="425" spans="1:18" s="10033" customFormat="1" ht="14.25" customHeight="1">
      <c r="A425" s="13234"/>
      <c r="B425" s="13277"/>
      <c r="C425" s="10613"/>
      <c r="D425" s="10042" t="s">
        <v>103</v>
      </c>
      <c r="E425" s="10614" t="s">
        <v>10</v>
      </c>
      <c r="F425" s="14188" t="s">
        <v>10711</v>
      </c>
      <c r="G425" s="14189"/>
      <c r="H425" s="14190"/>
      <c r="I425" s="10043"/>
      <c r="J425" s="8201"/>
      <c r="K425" s="13236" t="s">
        <v>326</v>
      </c>
      <c r="L425" s="10044"/>
      <c r="M425" s="10031"/>
      <c r="N425" s="10032"/>
      <c r="O425" s="10031" t="s">
        <v>326</v>
      </c>
      <c r="P425" s="10031" t="s">
        <v>326</v>
      </c>
    </row>
    <row r="426" spans="1:18" s="10033" customFormat="1" ht="14.25" customHeight="1">
      <c r="A426" s="13237"/>
      <c r="B426" s="10052" t="s">
        <v>13</v>
      </c>
      <c r="C426" s="10615"/>
      <c r="D426" s="10062" t="s">
        <v>94</v>
      </c>
      <c r="E426" s="13238" t="s">
        <v>15</v>
      </c>
      <c r="F426" s="13964" t="s">
        <v>10709</v>
      </c>
      <c r="G426" s="13966" t="s">
        <v>10710</v>
      </c>
      <c r="H426" s="14191" t="s">
        <v>458</v>
      </c>
      <c r="I426" s="13295"/>
      <c r="J426" s="13296"/>
      <c r="K426" s="13241" t="s">
        <v>16</v>
      </c>
      <c r="L426" s="10044"/>
      <c r="M426" s="10031"/>
      <c r="N426" s="10032"/>
      <c r="O426" s="10031" t="s">
        <v>16</v>
      </c>
      <c r="P426" s="10031" t="s">
        <v>16</v>
      </c>
      <c r="R426" s="10552"/>
    </row>
    <row r="427" spans="1:18" s="10033" customFormat="1" ht="17.25" customHeight="1" thickBot="1">
      <c r="A427" s="13242"/>
      <c r="B427" s="10084"/>
      <c r="C427" s="10616"/>
      <c r="D427" s="13243"/>
      <c r="E427" s="8179">
        <v>2017</v>
      </c>
      <c r="F427" s="13965" t="s">
        <v>457</v>
      </c>
      <c r="G427" s="9404" t="s">
        <v>456</v>
      </c>
      <c r="H427" s="14192"/>
      <c r="I427" s="10669"/>
      <c r="J427" s="8203"/>
      <c r="K427" s="13244">
        <v>2019</v>
      </c>
      <c r="L427" s="10046"/>
      <c r="M427" s="10031"/>
      <c r="N427" s="10032"/>
      <c r="O427" s="10047">
        <v>2014</v>
      </c>
      <c r="P427" s="10031">
        <v>2015</v>
      </c>
      <c r="R427" s="10552"/>
    </row>
    <row r="428" spans="1:18" ht="14.25" customHeight="1">
      <c r="A428" s="12226"/>
      <c r="B428" s="10052"/>
      <c r="C428" s="10618"/>
      <c r="D428" s="10068"/>
      <c r="E428" s="13370"/>
      <c r="F428" s="13371"/>
      <c r="G428" s="13371"/>
      <c r="H428" s="13372"/>
      <c r="I428" s="13373"/>
      <c r="J428" s="13374"/>
      <c r="K428" s="13375"/>
      <c r="L428" s="10100"/>
      <c r="O428" s="10101"/>
      <c r="R428" s="10102"/>
    </row>
    <row r="429" spans="1:18" ht="14.25" customHeight="1">
      <c r="A429" s="13285"/>
      <c r="B429" s="7730" t="s">
        <v>11090</v>
      </c>
      <c r="C429" s="10617"/>
      <c r="D429" s="10068">
        <v>69903</v>
      </c>
      <c r="E429" s="10108">
        <v>1211307.93</v>
      </c>
      <c r="F429" s="10108">
        <v>240619.67</v>
      </c>
      <c r="G429" s="13351">
        <f t="shared" ref="G429:G456" si="14">H429-F429</f>
        <v>1259780.33</v>
      </c>
      <c r="H429" s="13260">
        <v>1500400</v>
      </c>
      <c r="I429" s="10053">
        <v>638663.92000000004</v>
      </c>
      <c r="J429" s="10662">
        <f>I429/H429</f>
        <v>0.42566243668355108</v>
      </c>
      <c r="K429" s="13261"/>
      <c r="L429" s="10050"/>
      <c r="M429" s="7760" t="s">
        <v>578</v>
      </c>
      <c r="O429" s="7760">
        <v>1200000</v>
      </c>
      <c r="P429" s="7760">
        <v>1000000</v>
      </c>
    </row>
    <row r="430" spans="1:18" ht="17.25" customHeight="1">
      <c r="A430" s="13285"/>
      <c r="B430" s="7730" t="s">
        <v>4982</v>
      </c>
      <c r="C430" s="10617"/>
      <c r="D430" s="10068">
        <v>799926</v>
      </c>
      <c r="E430" s="10108"/>
      <c r="F430" s="10108">
        <v>0</v>
      </c>
      <c r="G430" s="13351">
        <f t="shared" si="14"/>
        <v>200000</v>
      </c>
      <c r="H430" s="10109">
        <v>200000</v>
      </c>
      <c r="I430" s="10053">
        <v>0</v>
      </c>
      <c r="J430" s="10662">
        <f>I430/H430</f>
        <v>0</v>
      </c>
      <c r="K430" s="13251"/>
      <c r="L430" s="10050"/>
      <c r="M430" s="7760" t="s">
        <v>3317</v>
      </c>
      <c r="O430" s="7760">
        <v>200000</v>
      </c>
      <c r="P430" s="7760">
        <v>200000</v>
      </c>
    </row>
    <row r="431" spans="1:18" ht="14.25" hidden="1" customHeight="1">
      <c r="A431" s="13285"/>
      <c r="B431" s="7730" t="s">
        <v>4708</v>
      </c>
      <c r="C431" s="10617"/>
      <c r="D431" s="10068"/>
      <c r="E431" s="10108"/>
      <c r="F431" s="10108"/>
      <c r="G431" s="13351">
        <f t="shared" si="14"/>
        <v>0</v>
      </c>
      <c r="H431" s="10109">
        <v>0</v>
      </c>
      <c r="I431" s="10053"/>
      <c r="J431" s="10662" t="e">
        <f t="shared" ref="J431:J456" si="15">I431/H431</f>
        <v>#DIV/0!</v>
      </c>
      <c r="K431" s="13251">
        <v>0</v>
      </c>
      <c r="L431" s="10050"/>
      <c r="O431" s="7760">
        <v>0</v>
      </c>
      <c r="P431" s="7760">
        <v>0</v>
      </c>
    </row>
    <row r="432" spans="1:18" ht="14.25" hidden="1" customHeight="1">
      <c r="A432" s="13285"/>
      <c r="B432" s="7730" t="s">
        <v>4711</v>
      </c>
      <c r="C432" s="10617"/>
      <c r="D432" s="10068"/>
      <c r="E432" s="10108"/>
      <c r="F432" s="10108"/>
      <c r="G432" s="13351">
        <f t="shared" si="14"/>
        <v>0</v>
      </c>
      <c r="H432" s="10109">
        <v>0</v>
      </c>
      <c r="I432" s="10053"/>
      <c r="J432" s="10662" t="e">
        <f t="shared" si="15"/>
        <v>#DIV/0!</v>
      </c>
      <c r="K432" s="13251">
        <v>0</v>
      </c>
      <c r="L432" s="10050"/>
      <c r="O432" s="7760">
        <v>0</v>
      </c>
      <c r="P432" s="7760">
        <v>0</v>
      </c>
    </row>
    <row r="433" spans="1:18" ht="14.25" hidden="1" customHeight="1">
      <c r="A433" s="13285"/>
      <c r="B433" s="7730" t="s">
        <v>12234</v>
      </c>
      <c r="C433" s="10617"/>
      <c r="D433" s="10068"/>
      <c r="E433" s="10108"/>
      <c r="F433" s="10108"/>
      <c r="G433" s="13351">
        <f t="shared" si="14"/>
        <v>0</v>
      </c>
      <c r="H433" s="10109">
        <v>0</v>
      </c>
      <c r="I433" s="10053"/>
      <c r="J433" s="10662" t="e">
        <f t="shared" si="15"/>
        <v>#DIV/0!</v>
      </c>
      <c r="K433" s="13251">
        <v>0</v>
      </c>
      <c r="L433" s="10050"/>
      <c r="O433" s="7760">
        <v>0</v>
      </c>
      <c r="P433" s="7760">
        <v>0</v>
      </c>
    </row>
    <row r="434" spans="1:18" ht="28.5" hidden="1" customHeight="1">
      <c r="A434" s="12226"/>
      <c r="B434" s="10094" t="s">
        <v>9160</v>
      </c>
      <c r="C434" s="10617"/>
      <c r="D434" s="13340">
        <v>899923</v>
      </c>
      <c r="E434" s="13376"/>
      <c r="F434" s="13376"/>
      <c r="G434" s="13351">
        <f t="shared" si="14"/>
        <v>0</v>
      </c>
      <c r="H434" s="13377">
        <v>0</v>
      </c>
      <c r="I434" s="10053"/>
      <c r="J434" s="10662" t="e">
        <f t="shared" si="15"/>
        <v>#DIV/0!</v>
      </c>
      <c r="K434" s="13378">
        <v>0</v>
      </c>
      <c r="L434" s="10103"/>
      <c r="O434" s="7760">
        <v>0</v>
      </c>
      <c r="P434" s="7760">
        <v>0</v>
      </c>
    </row>
    <row r="435" spans="1:18" ht="15" customHeight="1">
      <c r="A435" s="13285"/>
      <c r="B435" s="7955" t="s">
        <v>12243</v>
      </c>
      <c r="C435" s="10642"/>
      <c r="D435" s="10068">
        <v>19917</v>
      </c>
      <c r="E435" s="10104"/>
      <c r="F435" s="10104">
        <v>5336160</v>
      </c>
      <c r="G435" s="13351">
        <f t="shared" si="14"/>
        <v>34663840</v>
      </c>
      <c r="H435" s="10093">
        <v>40000000</v>
      </c>
      <c r="I435" s="10053">
        <v>38948415.060000002</v>
      </c>
      <c r="J435" s="10662">
        <f t="shared" si="15"/>
        <v>0.97371037650000003</v>
      </c>
      <c r="K435" s="13342"/>
      <c r="L435" s="10088"/>
      <c r="M435" s="7760" t="s">
        <v>11131</v>
      </c>
      <c r="R435" s="10081"/>
    </row>
    <row r="436" spans="1:18" ht="14.25" hidden="1" customHeight="1">
      <c r="A436" s="13285"/>
      <c r="B436" s="7955" t="s">
        <v>11132</v>
      </c>
      <c r="C436" s="10642"/>
      <c r="D436" s="10068"/>
      <c r="E436" s="10104"/>
      <c r="F436" s="10104"/>
      <c r="G436" s="13311"/>
      <c r="H436" s="10093">
        <v>0</v>
      </c>
      <c r="I436" s="10053"/>
      <c r="J436" s="10662" t="e">
        <f t="shared" si="15"/>
        <v>#DIV/0!</v>
      </c>
      <c r="K436" s="13342">
        <v>0</v>
      </c>
      <c r="L436" s="10088" t="s">
        <v>11168</v>
      </c>
      <c r="M436" s="7760" t="s">
        <v>11133</v>
      </c>
    </row>
    <row r="437" spans="1:18" ht="31.2" hidden="1">
      <c r="A437" s="13285"/>
      <c r="B437" s="7955" t="s">
        <v>11134</v>
      </c>
      <c r="C437" s="10642"/>
      <c r="D437" s="10068"/>
      <c r="E437" s="10104"/>
      <c r="F437" s="10104"/>
      <c r="G437" s="13311"/>
      <c r="H437" s="10093">
        <v>0</v>
      </c>
      <c r="I437" s="10053"/>
      <c r="J437" s="10662" t="e">
        <f t="shared" si="15"/>
        <v>#DIV/0!</v>
      </c>
      <c r="K437" s="13342">
        <v>0</v>
      </c>
      <c r="L437" s="10088" t="s">
        <v>11163</v>
      </c>
      <c r="M437" s="7760" t="s">
        <v>600</v>
      </c>
    </row>
    <row r="438" spans="1:18" ht="31.2" hidden="1">
      <c r="A438" s="13285"/>
      <c r="B438" s="7955" t="s">
        <v>11135</v>
      </c>
      <c r="C438" s="10642"/>
      <c r="D438" s="10068"/>
      <c r="E438" s="10104"/>
      <c r="F438" s="10104"/>
      <c r="G438" s="13311"/>
      <c r="H438" s="10093"/>
      <c r="I438" s="10053"/>
      <c r="J438" s="10662" t="e">
        <f t="shared" si="15"/>
        <v>#DIV/0!</v>
      </c>
      <c r="K438" s="13342"/>
      <c r="L438" s="10088" t="s">
        <v>11170</v>
      </c>
    </row>
    <row r="439" spans="1:18" ht="15.6" hidden="1">
      <c r="A439" s="13285"/>
      <c r="B439" s="7955" t="s">
        <v>11165</v>
      </c>
      <c r="C439" s="10642"/>
      <c r="D439" s="10068"/>
      <c r="E439" s="10104"/>
      <c r="F439" s="10104"/>
      <c r="G439" s="13311"/>
      <c r="H439" s="10093">
        <v>0</v>
      </c>
      <c r="I439" s="10053"/>
      <c r="J439" s="10662" t="e">
        <f t="shared" si="15"/>
        <v>#DIV/0!</v>
      </c>
      <c r="K439" s="13342">
        <v>0</v>
      </c>
      <c r="L439" s="10088">
        <v>-22500000</v>
      </c>
      <c r="M439" s="7760" t="s">
        <v>600</v>
      </c>
      <c r="N439" s="8885" t="s">
        <v>11137</v>
      </c>
    </row>
    <row r="440" spans="1:18" ht="46.8" hidden="1">
      <c r="A440" s="13285"/>
      <c r="B440" s="7955" t="s">
        <v>11166</v>
      </c>
      <c r="C440" s="10642"/>
      <c r="D440" s="10068"/>
      <c r="E440" s="10104"/>
      <c r="F440" s="10104"/>
      <c r="G440" s="13311"/>
      <c r="H440" s="10093"/>
      <c r="I440" s="10053"/>
      <c r="J440" s="10662" t="e">
        <f t="shared" si="15"/>
        <v>#DIV/0!</v>
      </c>
      <c r="K440" s="13342"/>
      <c r="L440" s="10088" t="s">
        <v>11167</v>
      </c>
      <c r="M440" s="7760" t="s">
        <v>600</v>
      </c>
      <c r="N440" s="8885" t="s">
        <v>11137</v>
      </c>
    </row>
    <row r="441" spans="1:18" ht="15.6" hidden="1">
      <c r="A441" s="13285"/>
      <c r="B441" s="7955"/>
      <c r="C441" s="10642"/>
      <c r="D441" s="10068"/>
      <c r="E441" s="10104"/>
      <c r="F441" s="10104"/>
      <c r="G441" s="13311"/>
      <c r="H441" s="10093"/>
      <c r="I441" s="10053"/>
      <c r="J441" s="10662" t="e">
        <f t="shared" si="15"/>
        <v>#DIV/0!</v>
      </c>
      <c r="K441" s="13342"/>
      <c r="L441" s="10088"/>
    </row>
    <row r="442" spans="1:18" ht="30" hidden="1" customHeight="1">
      <c r="A442" s="13285"/>
      <c r="B442" s="7730" t="s">
        <v>388</v>
      </c>
      <c r="C442" s="10617"/>
      <c r="D442" s="10068">
        <v>99910</v>
      </c>
      <c r="E442" s="10104"/>
      <c r="F442" s="10104"/>
      <c r="G442" s="13311">
        <f t="shared" si="14"/>
        <v>0</v>
      </c>
      <c r="H442" s="10093">
        <v>0</v>
      </c>
      <c r="I442" s="10053"/>
      <c r="J442" s="10662" t="e">
        <f t="shared" si="15"/>
        <v>#DIV/0!</v>
      </c>
      <c r="K442" s="13342">
        <v>0</v>
      </c>
      <c r="L442" s="10088"/>
      <c r="O442" s="7760">
        <v>0</v>
      </c>
      <c r="P442" s="7760">
        <v>0</v>
      </c>
    </row>
    <row r="443" spans="1:18" ht="46.5" hidden="1" customHeight="1">
      <c r="A443" s="13285"/>
      <c r="B443" s="7955" t="s">
        <v>5029</v>
      </c>
      <c r="C443" s="10642"/>
      <c r="D443" s="10068">
        <v>1998</v>
      </c>
      <c r="E443" s="10104"/>
      <c r="F443" s="10104"/>
      <c r="G443" s="13311">
        <f t="shared" si="14"/>
        <v>0</v>
      </c>
      <c r="H443" s="10093">
        <v>0</v>
      </c>
      <c r="I443" s="10053"/>
      <c r="J443" s="10662" t="e">
        <f t="shared" si="15"/>
        <v>#DIV/0!</v>
      </c>
      <c r="K443" s="13342">
        <v>0</v>
      </c>
      <c r="L443" s="10088"/>
      <c r="O443" s="7760">
        <v>0</v>
      </c>
      <c r="P443" s="7760">
        <v>0</v>
      </c>
    </row>
    <row r="444" spans="1:18" ht="30" hidden="1" customHeight="1">
      <c r="A444" s="13285"/>
      <c r="B444" s="7955" t="s">
        <v>3387</v>
      </c>
      <c r="C444" s="10642"/>
      <c r="D444" s="10068">
        <v>999903</v>
      </c>
      <c r="E444" s="10104"/>
      <c r="F444" s="10104"/>
      <c r="G444" s="13311">
        <f t="shared" si="14"/>
        <v>0</v>
      </c>
      <c r="H444" s="10093">
        <v>0</v>
      </c>
      <c r="I444" s="10053"/>
      <c r="J444" s="10662" t="e">
        <f t="shared" si="15"/>
        <v>#DIV/0!</v>
      </c>
      <c r="K444" s="13342">
        <v>0</v>
      </c>
      <c r="L444" s="10088"/>
      <c r="O444" s="7760">
        <v>0</v>
      </c>
      <c r="P444" s="7760">
        <v>0</v>
      </c>
    </row>
    <row r="445" spans="1:18" ht="29.25" hidden="1" customHeight="1">
      <c r="A445" s="13285"/>
      <c r="B445" s="7955" t="s">
        <v>10605</v>
      </c>
      <c r="C445" s="10642"/>
      <c r="D445" s="10068"/>
      <c r="E445" s="10104"/>
      <c r="F445" s="10104"/>
      <c r="G445" s="13311">
        <f t="shared" si="14"/>
        <v>0</v>
      </c>
      <c r="H445" s="10093">
        <v>0</v>
      </c>
      <c r="I445" s="10053"/>
      <c r="J445" s="10662" t="e">
        <f t="shared" si="15"/>
        <v>#DIV/0!</v>
      </c>
      <c r="K445" s="13342">
        <v>0</v>
      </c>
      <c r="L445" s="10088"/>
      <c r="M445" s="7760" t="s">
        <v>10606</v>
      </c>
    </row>
    <row r="446" spans="1:18" ht="14.25" hidden="1" customHeight="1">
      <c r="A446" s="13285"/>
      <c r="B446" s="7955" t="s">
        <v>10607</v>
      </c>
      <c r="C446" s="10642"/>
      <c r="D446" s="10068">
        <v>19922</v>
      </c>
      <c r="E446" s="10104"/>
      <c r="F446" s="10104"/>
      <c r="G446" s="13351">
        <f t="shared" si="14"/>
        <v>0</v>
      </c>
      <c r="H446" s="10093">
        <v>0</v>
      </c>
      <c r="I446" s="10053">
        <v>0</v>
      </c>
      <c r="J446" s="10662" t="e">
        <f t="shared" si="15"/>
        <v>#DIV/0!</v>
      </c>
      <c r="K446" s="13342">
        <v>0</v>
      </c>
      <c r="L446" s="10088"/>
      <c r="M446" s="7760" t="s">
        <v>568</v>
      </c>
    </row>
    <row r="447" spans="1:18" ht="19.5" hidden="1" customHeight="1">
      <c r="A447" s="13285"/>
      <c r="B447" s="7955" t="s">
        <v>10608</v>
      </c>
      <c r="C447" s="10642"/>
      <c r="D447" s="10068">
        <v>19923</v>
      </c>
      <c r="E447" s="10104"/>
      <c r="F447" s="10104"/>
      <c r="G447" s="13351">
        <f t="shared" si="14"/>
        <v>0</v>
      </c>
      <c r="H447" s="10093">
        <v>0</v>
      </c>
      <c r="I447" s="10053">
        <v>0</v>
      </c>
      <c r="J447" s="10662" t="e">
        <f t="shared" si="15"/>
        <v>#DIV/0!</v>
      </c>
      <c r="K447" s="13342">
        <v>0</v>
      </c>
      <c r="L447" s="10088"/>
      <c r="M447" s="7760" t="s">
        <v>11140</v>
      </c>
    </row>
    <row r="448" spans="1:18" ht="30.75" hidden="1" customHeight="1">
      <c r="A448" s="13285"/>
      <c r="B448" s="7955" t="s">
        <v>10644</v>
      </c>
      <c r="C448" s="10642"/>
      <c r="D448" s="10068">
        <v>899938</v>
      </c>
      <c r="E448" s="10104">
        <v>0</v>
      </c>
      <c r="F448" s="10104"/>
      <c r="G448" s="13351">
        <f t="shared" si="14"/>
        <v>0</v>
      </c>
      <c r="H448" s="10093">
        <v>0</v>
      </c>
      <c r="I448" s="10053">
        <v>0</v>
      </c>
      <c r="J448" s="10662" t="e">
        <f t="shared" si="15"/>
        <v>#DIV/0!</v>
      </c>
      <c r="K448" s="13342">
        <v>0</v>
      </c>
      <c r="L448" s="10088"/>
      <c r="M448" s="7760" t="s">
        <v>568</v>
      </c>
    </row>
    <row r="449" spans="1:17" ht="17.25" customHeight="1">
      <c r="A449" s="13285"/>
      <c r="B449" s="7955" t="s">
        <v>11164</v>
      </c>
      <c r="C449" s="10642"/>
      <c r="D449" s="10068">
        <v>19924</v>
      </c>
      <c r="E449" s="10104"/>
      <c r="F449" s="10104">
        <v>0</v>
      </c>
      <c r="G449" s="13351">
        <f t="shared" si="14"/>
        <v>5000000</v>
      </c>
      <c r="H449" s="10093">
        <v>5000000</v>
      </c>
      <c r="I449" s="10053">
        <v>0</v>
      </c>
      <c r="J449" s="10662">
        <f t="shared" si="15"/>
        <v>0</v>
      </c>
      <c r="K449" s="13342"/>
      <c r="L449" s="10088"/>
    </row>
    <row r="450" spans="1:17" ht="17.25" customHeight="1">
      <c r="A450" s="13285"/>
      <c r="B450" s="7955" t="s">
        <v>11263</v>
      </c>
      <c r="C450" s="10642"/>
      <c r="D450" s="10068">
        <v>19925</v>
      </c>
      <c r="E450" s="10104"/>
      <c r="F450" s="10104">
        <v>0</v>
      </c>
      <c r="G450" s="13351">
        <f t="shared" si="14"/>
        <v>20000000</v>
      </c>
      <c r="H450" s="10093">
        <v>20000000</v>
      </c>
      <c r="I450" s="10053">
        <v>14710702.539999999</v>
      </c>
      <c r="J450" s="10662">
        <f t="shared" si="15"/>
        <v>0.7355351269999999</v>
      </c>
      <c r="K450" s="13342"/>
      <c r="L450" s="10088"/>
    </row>
    <row r="451" spans="1:17" ht="17.25" hidden="1" customHeight="1">
      <c r="A451" s="13285"/>
      <c r="B451" s="7955" t="s">
        <v>12244</v>
      </c>
      <c r="C451" s="10642"/>
      <c r="D451" s="10068"/>
      <c r="E451" s="10104"/>
      <c r="F451" s="10104"/>
      <c r="G451" s="13351">
        <f t="shared" si="14"/>
        <v>0</v>
      </c>
      <c r="H451" s="10093"/>
      <c r="I451" s="10053"/>
      <c r="J451" s="10662" t="e">
        <f t="shared" si="15"/>
        <v>#DIV/0!</v>
      </c>
      <c r="K451" s="13342"/>
      <c r="L451" s="10088"/>
    </row>
    <row r="452" spans="1:17" ht="17.25" customHeight="1">
      <c r="A452" s="13285"/>
      <c r="B452" s="7955" t="s">
        <v>11169</v>
      </c>
      <c r="C452" s="10642"/>
      <c r="D452" s="10068">
        <v>19926</v>
      </c>
      <c r="E452" s="10104"/>
      <c r="F452" s="10104">
        <v>0</v>
      </c>
      <c r="G452" s="13351">
        <f t="shared" si="14"/>
        <v>10000000</v>
      </c>
      <c r="H452" s="10093">
        <v>10000000</v>
      </c>
      <c r="I452" s="10053">
        <v>0</v>
      </c>
      <c r="J452" s="10662">
        <f t="shared" si="15"/>
        <v>0</v>
      </c>
      <c r="K452" s="13342"/>
      <c r="L452" s="10088"/>
    </row>
    <row r="453" spans="1:17" ht="30.75" customHeight="1">
      <c r="A453" s="13285"/>
      <c r="B453" s="7955" t="s">
        <v>11191</v>
      </c>
      <c r="C453" s="10642"/>
      <c r="D453" s="10068">
        <v>19927</v>
      </c>
      <c r="E453" s="10104"/>
      <c r="F453" s="10104">
        <v>0</v>
      </c>
      <c r="G453" s="13351">
        <f t="shared" si="14"/>
        <v>20000000</v>
      </c>
      <c r="H453" s="10093">
        <v>20000000</v>
      </c>
      <c r="I453" s="10053">
        <v>20000000</v>
      </c>
      <c r="J453" s="10662">
        <f t="shared" si="15"/>
        <v>1</v>
      </c>
      <c r="K453" s="13342"/>
      <c r="L453" s="10088"/>
    </row>
    <row r="454" spans="1:17" ht="16.5" customHeight="1">
      <c r="A454" s="13285"/>
      <c r="B454" s="7955" t="s">
        <v>11190</v>
      </c>
      <c r="C454" s="10642"/>
      <c r="D454" s="10068">
        <v>899945</v>
      </c>
      <c r="E454" s="10104"/>
      <c r="F454" s="10104">
        <v>0</v>
      </c>
      <c r="G454" s="13351">
        <f t="shared" si="14"/>
        <v>12000000</v>
      </c>
      <c r="H454" s="10093">
        <v>12000000</v>
      </c>
      <c r="I454" s="10053">
        <v>0</v>
      </c>
      <c r="J454" s="10662">
        <f t="shared" si="15"/>
        <v>0</v>
      </c>
      <c r="K454" s="13342"/>
      <c r="L454" s="10088"/>
    </row>
    <row r="455" spans="1:17" ht="14.25" hidden="1" customHeight="1">
      <c r="A455" s="13285"/>
      <c r="B455" s="7731" t="s">
        <v>11175</v>
      </c>
      <c r="C455" s="10646"/>
      <c r="D455" s="10105"/>
      <c r="E455" s="10106"/>
      <c r="F455" s="10106"/>
      <c r="G455" s="13351">
        <f t="shared" si="14"/>
        <v>0</v>
      </c>
      <c r="H455" s="10107"/>
      <c r="I455" s="10107"/>
      <c r="J455" s="10662"/>
      <c r="K455" s="13286"/>
      <c r="L455" s="10065"/>
    </row>
    <row r="456" spans="1:17" ht="14.25" customHeight="1">
      <c r="A456" s="13285"/>
      <c r="B456" s="7731" t="s">
        <v>11176</v>
      </c>
      <c r="C456" s="10646"/>
      <c r="D456" s="10105"/>
      <c r="E456" s="10106"/>
      <c r="F456" s="10106">
        <v>0</v>
      </c>
      <c r="G456" s="13351">
        <f t="shared" si="14"/>
        <v>10000000</v>
      </c>
      <c r="H456" s="10107">
        <v>10000000</v>
      </c>
      <c r="I456" s="10107">
        <v>2737500</v>
      </c>
      <c r="J456" s="10662">
        <f t="shared" si="15"/>
        <v>0.27374999999999999</v>
      </c>
      <c r="K456" s="13286"/>
      <c r="L456" s="10065"/>
    </row>
    <row r="457" spans="1:17" ht="7.5" customHeight="1">
      <c r="A457" s="13285"/>
      <c r="B457" s="7730"/>
      <c r="C457" s="10617"/>
      <c r="D457" s="10068"/>
      <c r="E457" s="10108"/>
      <c r="F457" s="10108"/>
      <c r="G457" s="10108"/>
      <c r="H457" s="10109"/>
      <c r="I457" s="10109"/>
      <c r="J457" s="10110"/>
      <c r="K457" s="13251"/>
      <c r="L457" s="10050"/>
    </row>
    <row r="458" spans="1:17" s="7374" customFormat="1" ht="21.75" customHeight="1">
      <c r="A458" s="11278"/>
      <c r="B458" s="7353" t="s">
        <v>327</v>
      </c>
      <c r="C458" s="10619"/>
      <c r="D458" s="10111"/>
      <c r="E458" s="10112">
        <f>SUM(E429:E457,E403:E419)</f>
        <v>9933812.1600000001</v>
      </c>
      <c r="F458" s="10205">
        <f>SUM(F429:F457,F403:F419)</f>
        <v>6392518.3099999996</v>
      </c>
      <c r="G458" s="10205">
        <f>SUM(G429:G457,G403:G419)</f>
        <v>123407881.69</v>
      </c>
      <c r="H458" s="10205">
        <f>SUM(H429:H457,H403:H419)</f>
        <v>129800400</v>
      </c>
      <c r="I458" s="10112"/>
      <c r="J458" s="9466"/>
      <c r="K458" s="13267">
        <f>SUM(K428:K457,K403:K419)</f>
        <v>11100000</v>
      </c>
      <c r="L458" s="10057"/>
      <c r="M458" s="7502"/>
      <c r="N458" s="8875"/>
      <c r="O458" s="7502">
        <v>10555000</v>
      </c>
      <c r="P458" s="7502">
        <v>7330000</v>
      </c>
    </row>
    <row r="459" spans="1:17" ht="14.25" customHeight="1">
      <c r="A459" s="13285"/>
      <c r="B459" s="10048" t="s">
        <v>3269</v>
      </c>
      <c r="C459" s="10617"/>
      <c r="D459" s="10068"/>
      <c r="E459" s="10108"/>
      <c r="F459" s="10108"/>
      <c r="G459" s="10108"/>
      <c r="H459" s="10109"/>
      <c r="I459" s="10109"/>
      <c r="J459" s="10110"/>
      <c r="K459" s="13251"/>
      <c r="L459" s="10050"/>
    </row>
    <row r="460" spans="1:17" ht="14.25" customHeight="1">
      <c r="A460" s="13285"/>
      <c r="B460" s="7730" t="s">
        <v>11141</v>
      </c>
      <c r="C460" s="10617"/>
      <c r="D460" s="10068">
        <v>199901</v>
      </c>
      <c r="E460" s="10108">
        <v>9484198.5399999991</v>
      </c>
      <c r="F460" s="10108">
        <v>7509193.7300000004</v>
      </c>
      <c r="G460" s="10206">
        <f>H460-F460</f>
        <v>7490806.2699999996</v>
      </c>
      <c r="H460" s="10106">
        <v>15000000</v>
      </c>
      <c r="I460" s="10053">
        <v>6735307.1299999999</v>
      </c>
      <c r="J460" s="10662">
        <f>I460/H460</f>
        <v>0.44902047533333334</v>
      </c>
      <c r="K460" s="11868">
        <f>15000000+L468</f>
        <v>18132528</v>
      </c>
      <c r="L460" s="10113"/>
      <c r="M460" s="10114" t="s">
        <v>4823</v>
      </c>
      <c r="N460" s="7760">
        <v>6682614.3600000003</v>
      </c>
      <c r="O460" s="7760">
        <v>3074181.5</v>
      </c>
      <c r="P460" s="7760">
        <v>6343717.6000000006</v>
      </c>
      <c r="Q460" s="7732">
        <v>-2105292</v>
      </c>
    </row>
    <row r="461" spans="1:17" ht="14.25" customHeight="1">
      <c r="A461" s="13285"/>
      <c r="B461" s="7730" t="s">
        <v>695</v>
      </c>
      <c r="C461" s="10617"/>
      <c r="D461" s="10068">
        <v>199902</v>
      </c>
      <c r="E461" s="10108">
        <v>9538658.2799999993</v>
      </c>
      <c r="F461" s="10108">
        <v>5742756.5</v>
      </c>
      <c r="G461" s="10206">
        <f>H461-F461</f>
        <v>5346090.6500000004</v>
      </c>
      <c r="H461" s="13379">
        <f>11208847.15-120000</f>
        <v>11088847.15</v>
      </c>
      <c r="I461" s="10053">
        <v>8093187.9900000002</v>
      </c>
      <c r="J461" s="10662">
        <f>I461/H461</f>
        <v>0.72984935949811514</v>
      </c>
      <c r="K461" s="13380">
        <f>11208847.15-120000+L461+L464+18.81+L465+L466+L467</f>
        <v>11596965.324999772</v>
      </c>
      <c r="L461" s="7733">
        <v>761697.80499982834</v>
      </c>
      <c r="M461" s="7760" t="s">
        <v>4823</v>
      </c>
      <c r="N461" s="7760">
        <v>3617500</v>
      </c>
      <c r="O461" s="7760">
        <v>2512986</v>
      </c>
      <c r="P461" s="7760">
        <v>3617500</v>
      </c>
    </row>
    <row r="462" spans="1:17" ht="14.25" hidden="1" customHeight="1">
      <c r="A462" s="13285"/>
      <c r="B462" s="7730" t="s">
        <v>10232</v>
      </c>
      <c r="C462" s="10617"/>
      <c r="D462" s="10068"/>
      <c r="E462" s="10108"/>
      <c r="F462" s="10108"/>
      <c r="G462" s="10108"/>
      <c r="H462" s="10115"/>
      <c r="I462" s="10053"/>
      <c r="J462" s="10662"/>
      <c r="K462" s="13381"/>
      <c r="L462" s="10116"/>
    </row>
    <row r="463" spans="1:17" ht="14.25" hidden="1" customHeight="1">
      <c r="A463" s="13285"/>
      <c r="B463" s="7730" t="s">
        <v>10268</v>
      </c>
      <c r="C463" s="10617"/>
      <c r="D463" s="10068"/>
      <c r="E463" s="10108"/>
      <c r="F463" s="10108"/>
      <c r="G463" s="10108"/>
      <c r="H463" s="10109"/>
      <c r="I463" s="10053"/>
      <c r="J463" s="10662"/>
      <c r="K463" s="13251"/>
      <c r="L463" s="10050"/>
    </row>
    <row r="464" spans="1:17" ht="14.25" customHeight="1">
      <c r="A464" s="13285"/>
      <c r="B464" s="7730"/>
      <c r="C464" s="10617"/>
      <c r="D464" s="10068"/>
      <c r="E464" s="10108"/>
      <c r="F464" s="10108"/>
      <c r="G464" s="10108"/>
      <c r="H464" s="10109"/>
      <c r="I464" s="10109"/>
      <c r="J464" s="10110"/>
      <c r="K464" s="13266"/>
      <c r="L464" s="10050">
        <v>1760.1600003242493</v>
      </c>
    </row>
    <row r="465" spans="1:16" s="7374" customFormat="1" ht="21" customHeight="1">
      <c r="A465" s="11278"/>
      <c r="B465" s="7353" t="s">
        <v>327</v>
      </c>
      <c r="C465" s="10619"/>
      <c r="D465" s="10111"/>
      <c r="E465" s="10207">
        <f>SUM(E460:E461)</f>
        <v>19022856.82</v>
      </c>
      <c r="F465" s="10207">
        <f>SUM(F460:F461)</f>
        <v>13251950.23</v>
      </c>
      <c r="G465" s="10207">
        <f>SUM(G460:G461)</f>
        <v>12836896.92</v>
      </c>
      <c r="H465" s="10205">
        <f>SUM(H460:H461)</f>
        <v>26088847.149999999</v>
      </c>
      <c r="I465" s="10112"/>
      <c r="J465" s="9466"/>
      <c r="K465" s="13267">
        <f>SUM(K460:K461)</f>
        <v>29729493.324999772</v>
      </c>
      <c r="L465" s="10057">
        <v>256903.39999961853</v>
      </c>
      <c r="M465" s="7502"/>
      <c r="N465" s="10117"/>
      <c r="O465" s="7502"/>
      <c r="P465" s="7502"/>
    </row>
    <row r="466" spans="1:16" ht="19.5" customHeight="1" thickBot="1">
      <c r="A466" s="13313"/>
      <c r="B466" s="10084"/>
      <c r="C466" s="10647"/>
      <c r="D466" s="10118"/>
      <c r="E466" s="10119"/>
      <c r="F466" s="10119"/>
      <c r="G466" s="10119"/>
      <c r="H466" s="10120"/>
      <c r="I466" s="10120"/>
      <c r="J466" s="8181"/>
      <c r="K466" s="13294"/>
      <c r="L466" s="10050">
        <v>-450000</v>
      </c>
    </row>
    <row r="467" spans="1:16" s="7351" customFormat="1" ht="25.5" customHeight="1" thickBot="1">
      <c r="A467" s="13382"/>
      <c r="B467" s="10121" t="s">
        <v>389</v>
      </c>
      <c r="C467" s="10648"/>
      <c r="D467" s="10122" t="s">
        <v>9</v>
      </c>
      <c r="E467" s="10123">
        <f>E401+E235+E67+E23+E13+E458+E465</f>
        <v>332882749.59000003</v>
      </c>
      <c r="F467" s="10123">
        <f>F401+F235+F67+F23+F13+F458+F465</f>
        <v>129680911.81</v>
      </c>
      <c r="G467" s="10123">
        <f>G401+G235+G67+G23+G13+G458+G465</f>
        <v>1183024050.8400002</v>
      </c>
      <c r="H467" s="10123">
        <f>H401+H235+H67+H23+H13+H458+H465</f>
        <v>1312704962.6500001</v>
      </c>
      <c r="I467" s="10123"/>
      <c r="J467" s="10673"/>
      <c r="K467" s="13383">
        <f>K401+K235+K67+K23+K13+K458+K465</f>
        <v>775972001.07499981</v>
      </c>
      <c r="L467" s="10124">
        <v>-62262</v>
      </c>
      <c r="M467" s="7310"/>
      <c r="N467" s="7899"/>
      <c r="O467" s="7310"/>
      <c r="P467" s="7310"/>
    </row>
    <row r="468" spans="1:16" ht="18.75" customHeight="1">
      <c r="L468" s="10081">
        <v>3132528</v>
      </c>
      <c r="M468" s="10059"/>
      <c r="N468" s="7760"/>
    </row>
    <row r="469" spans="1:16" s="8163" customFormat="1" ht="18.75" hidden="1" customHeight="1">
      <c r="A469" s="8164" t="s">
        <v>11262</v>
      </c>
      <c r="C469" s="10649"/>
      <c r="D469" s="10126" t="s">
        <v>3484</v>
      </c>
      <c r="F469" s="8164"/>
      <c r="G469" s="10126" t="s">
        <v>3485</v>
      </c>
      <c r="H469" s="10127"/>
      <c r="I469" s="10127"/>
      <c r="J469" s="8169"/>
      <c r="K469" s="10127"/>
      <c r="L469" s="10127"/>
      <c r="M469" s="10059">
        <f>3617500+1500000+1017923.32</f>
        <v>6135423.3200000003</v>
      </c>
      <c r="N469" s="8885"/>
      <c r="O469" s="7760"/>
      <c r="P469" s="7760"/>
    </row>
    <row r="470" spans="1:16" s="8163" customFormat="1" ht="18" hidden="1" customHeight="1">
      <c r="B470" s="8164"/>
      <c r="C470" s="10650"/>
      <c r="D470" s="8164"/>
      <c r="E470" s="8164"/>
      <c r="F470" s="8164"/>
      <c r="G470" s="8164"/>
      <c r="H470" s="10127"/>
      <c r="I470" s="10127"/>
      <c r="J470" s="8169"/>
      <c r="K470" s="10127"/>
      <c r="L470" s="10127"/>
      <c r="M470" s="7760"/>
      <c r="N470" s="8885"/>
      <c r="O470" s="7760"/>
      <c r="P470" s="7760"/>
    </row>
    <row r="471" spans="1:16" s="10130" customFormat="1" ht="18" hidden="1" customHeight="1">
      <c r="A471" s="10128"/>
      <c r="B471" s="13968"/>
      <c r="C471" s="10651"/>
      <c r="D471" s="15434"/>
      <c r="E471" s="15434"/>
      <c r="F471" s="13968"/>
      <c r="G471" s="13968"/>
      <c r="H471" s="15435"/>
      <c r="I471" s="15435"/>
      <c r="J471" s="15435"/>
      <c r="K471" s="15435"/>
      <c r="L471" s="13969"/>
      <c r="M471" s="7865">
        <v>1017923.3199996948</v>
      </c>
      <c r="N471" s="10129"/>
      <c r="O471" s="7865"/>
      <c r="P471" s="7865"/>
    </row>
    <row r="472" spans="1:16" s="10131" customFormat="1" ht="15" hidden="1" customHeight="1">
      <c r="B472" s="13962" t="s">
        <v>9161</v>
      </c>
      <c r="C472" s="7841"/>
      <c r="E472" s="7765" t="s">
        <v>12059</v>
      </c>
      <c r="F472" s="13962"/>
      <c r="G472" s="13962"/>
      <c r="H472" s="15439" t="s">
        <v>5182</v>
      </c>
      <c r="I472" s="15439"/>
      <c r="J472" s="15439"/>
      <c r="K472" s="15439"/>
      <c r="L472" s="13972"/>
      <c r="M472" s="10031"/>
      <c r="N472" s="10032"/>
      <c r="O472" s="10031"/>
      <c r="P472" s="10031"/>
    </row>
    <row r="473" spans="1:16" ht="15.75" hidden="1" customHeight="1">
      <c r="B473" s="13963" t="s">
        <v>10451</v>
      </c>
      <c r="C473" s="7841"/>
      <c r="D473" s="7732"/>
      <c r="E473" s="7821" t="s">
        <v>3486</v>
      </c>
      <c r="F473" s="13963"/>
      <c r="G473" s="13963"/>
      <c r="H473" s="15438" t="s">
        <v>737</v>
      </c>
      <c r="I473" s="15438"/>
      <c r="J473" s="15438"/>
      <c r="K473" s="15438"/>
      <c r="L473" s="13971"/>
    </row>
    <row r="474" spans="1:16" ht="18.75" hidden="1" customHeight="1">
      <c r="H474" s="10081">
        <f>SUM(H366:H374)+H315+H312+SUM(H299:H302)+SUM(H249:H252)+SUM(H223:H225)+SUM(H189:H190)+H79+SUM(H26:H36)</f>
        <v>91225000</v>
      </c>
      <c r="K474" s="10081">
        <f>SUM(K366:K374)+K315+K312+SUM(K299:K302)+SUM(K249:K252)+SUM(K223:K225)+SUM(K189:K190)+K79+SUM(K26:K36)</f>
        <v>84675000</v>
      </c>
    </row>
    <row r="475" spans="1:16" ht="17.25" customHeight="1">
      <c r="I475" s="8194">
        <f>(K474-H474)/H474</f>
        <v>-7.180049328583174E-2</v>
      </c>
      <c r="K475" s="7732"/>
      <c r="L475" s="7732"/>
    </row>
  </sheetData>
  <mergeCells count="19">
    <mergeCell ref="H426:H427"/>
    <mergeCell ref="H473:K473"/>
    <mergeCell ref="H472:K472"/>
    <mergeCell ref="A1:K1"/>
    <mergeCell ref="D471:E471"/>
    <mergeCell ref="H471:K471"/>
    <mergeCell ref="K3:K4"/>
    <mergeCell ref="H3:H4"/>
    <mergeCell ref="F6:H6"/>
    <mergeCell ref="H7:H8"/>
    <mergeCell ref="F94:H94"/>
    <mergeCell ref="H95:H96"/>
    <mergeCell ref="F334:H334"/>
    <mergeCell ref="F425:H425"/>
    <mergeCell ref="H335:H336"/>
    <mergeCell ref="H46:H47"/>
    <mergeCell ref="F242:H242"/>
    <mergeCell ref="H243:H244"/>
    <mergeCell ref="F45:H45"/>
  </mergeCells>
  <printOptions horizontalCentered="1"/>
  <pageMargins left="0.25" right="0.25" top="0.5" bottom="0.25" header="0.25" footer="0.25"/>
  <pageSetup paperSize="119" scale="95" firstPageNumber="444" orientation="landscape" useFirstPageNumber="1" r:id="rId1"/>
  <headerFooter alignWithMargins="0"/>
</worksheet>
</file>

<file path=xl/worksheets/sheet192.xml><?xml version="1.0" encoding="utf-8"?>
<worksheet xmlns="http://schemas.openxmlformats.org/spreadsheetml/2006/main" xmlns:r="http://schemas.openxmlformats.org/officeDocument/2006/relationships">
  <sheetPr codeName="Sheet144"/>
  <dimension ref="A1:BA126"/>
  <sheetViews>
    <sheetView zoomScaleSheetLayoutView="100" workbookViewId="0">
      <selection activeCell="R20" sqref="R20"/>
    </sheetView>
  </sheetViews>
  <sheetFormatPr defaultRowHeight="13.2"/>
  <cols>
    <col min="1" max="1" width="26.44140625" style="5782" customWidth="1"/>
    <col min="2" max="2" width="16" style="7194" hidden="1" customWidth="1"/>
    <col min="3" max="3" width="15.6640625" style="5782" customWidth="1"/>
    <col min="4" max="4" width="15.6640625" style="5782" hidden="1" customWidth="1"/>
    <col min="5" max="5" width="9.44140625" style="5782" hidden="1" customWidth="1"/>
    <col min="6" max="6" width="16.33203125" style="5782" hidden="1" customWidth="1"/>
    <col min="7" max="7" width="16.5546875" style="5782" customWidth="1"/>
    <col min="8" max="8" width="9.44140625" style="5782" hidden="1" customWidth="1"/>
    <col min="9" max="9" width="16.5546875" style="5782" hidden="1" customWidth="1"/>
    <col min="10" max="10" width="16.44140625" style="5782" customWidth="1"/>
    <col min="11" max="11" width="10.109375" style="5782" hidden="1" customWidth="1"/>
    <col min="12" max="12" width="16.88671875" style="5782" hidden="1" customWidth="1"/>
    <col min="13" max="13" width="16" style="5782" customWidth="1"/>
    <col min="14" max="14" width="9.5546875" style="5782" hidden="1" customWidth="1"/>
    <col min="15" max="15" width="16.5546875" style="5782" hidden="1" customWidth="1"/>
    <col min="16" max="16" width="17.44140625" style="5782" customWidth="1"/>
    <col min="17" max="17" width="9.44140625" style="5774" customWidth="1"/>
    <col min="18" max="18" width="18.44140625" style="5774" customWidth="1"/>
    <col min="19" max="19" width="18.6640625" style="5774" customWidth="1"/>
    <col min="20" max="21" width="18.88671875" style="5782" customWidth="1"/>
    <col min="22" max="22" width="8.88671875" style="7003" customWidth="1"/>
    <col min="23" max="48" width="18.88671875" style="5782" customWidth="1"/>
    <col min="49" max="49" width="18.88671875" style="7194" customWidth="1"/>
    <col min="50" max="50" width="17.109375" style="5782" customWidth="1"/>
    <col min="51" max="51" width="17.109375" style="7003" customWidth="1"/>
    <col min="52" max="52" width="9.109375" style="5782" customWidth="1"/>
    <col min="53" max="53" width="16.5546875" style="5782" bestFit="1" customWidth="1"/>
    <col min="54" max="260" width="9.109375" style="5782"/>
    <col min="261" max="261" width="31.109375" style="5782" customWidth="1"/>
    <col min="262" max="262" width="16.44140625" style="5782" customWidth="1"/>
    <col min="263" max="263" width="16" style="5782" customWidth="1"/>
    <col min="264" max="264" width="16.44140625" style="5782" customWidth="1"/>
    <col min="265" max="265" width="17.88671875" style="5782" customWidth="1"/>
    <col min="266" max="266" width="8" style="5782" customWidth="1"/>
    <col min="267" max="267" width="15" style="5782" customWidth="1"/>
    <col min="268" max="268" width="17" style="5782" bestFit="1" customWidth="1"/>
    <col min="269" max="269" width="17" style="5782" customWidth="1"/>
    <col min="270" max="516" width="9.109375" style="5782"/>
    <col min="517" max="517" width="31.109375" style="5782" customWidth="1"/>
    <col min="518" max="518" width="16.44140625" style="5782" customWidth="1"/>
    <col min="519" max="519" width="16" style="5782" customWidth="1"/>
    <col min="520" max="520" width="16.44140625" style="5782" customWidth="1"/>
    <col min="521" max="521" width="17.88671875" style="5782" customWidth="1"/>
    <col min="522" max="522" width="8" style="5782" customWidth="1"/>
    <col min="523" max="523" width="15" style="5782" customWidth="1"/>
    <col min="524" max="524" width="17" style="5782" bestFit="1" customWidth="1"/>
    <col min="525" max="525" width="17" style="5782" customWidth="1"/>
    <col min="526" max="772" width="9.109375" style="5782"/>
    <col min="773" max="773" width="31.109375" style="5782" customWidth="1"/>
    <col min="774" max="774" width="16.44140625" style="5782" customWidth="1"/>
    <col min="775" max="775" width="16" style="5782" customWidth="1"/>
    <col min="776" max="776" width="16.44140625" style="5782" customWidth="1"/>
    <col min="777" max="777" width="17.88671875" style="5782" customWidth="1"/>
    <col min="778" max="778" width="8" style="5782" customWidth="1"/>
    <col min="779" max="779" width="15" style="5782" customWidth="1"/>
    <col min="780" max="780" width="17" style="5782" bestFit="1" customWidth="1"/>
    <col min="781" max="781" width="17" style="5782" customWidth="1"/>
    <col min="782" max="1028" width="9.109375" style="5782"/>
    <col min="1029" max="1029" width="31.109375" style="5782" customWidth="1"/>
    <col min="1030" max="1030" width="16.44140625" style="5782" customWidth="1"/>
    <col min="1031" max="1031" width="16" style="5782" customWidth="1"/>
    <col min="1032" max="1032" width="16.44140625" style="5782" customWidth="1"/>
    <col min="1033" max="1033" width="17.88671875" style="5782" customWidth="1"/>
    <col min="1034" max="1034" width="8" style="5782" customWidth="1"/>
    <col min="1035" max="1035" width="15" style="5782" customWidth="1"/>
    <col min="1036" max="1036" width="17" style="5782" bestFit="1" customWidth="1"/>
    <col min="1037" max="1037" width="17" style="5782" customWidth="1"/>
    <col min="1038" max="1284" width="9.109375" style="5782"/>
    <col min="1285" max="1285" width="31.109375" style="5782" customWidth="1"/>
    <col min="1286" max="1286" width="16.44140625" style="5782" customWidth="1"/>
    <col min="1287" max="1287" width="16" style="5782" customWidth="1"/>
    <col min="1288" max="1288" width="16.44140625" style="5782" customWidth="1"/>
    <col min="1289" max="1289" width="17.88671875" style="5782" customWidth="1"/>
    <col min="1290" max="1290" width="8" style="5782" customWidth="1"/>
    <col min="1291" max="1291" width="15" style="5782" customWidth="1"/>
    <col min="1292" max="1292" width="17" style="5782" bestFit="1" customWidth="1"/>
    <col min="1293" max="1293" width="17" style="5782" customWidth="1"/>
    <col min="1294" max="1540" width="9.109375" style="5782"/>
    <col min="1541" max="1541" width="31.109375" style="5782" customWidth="1"/>
    <col min="1542" max="1542" width="16.44140625" style="5782" customWidth="1"/>
    <col min="1543" max="1543" width="16" style="5782" customWidth="1"/>
    <col min="1544" max="1544" width="16.44140625" style="5782" customWidth="1"/>
    <col min="1545" max="1545" width="17.88671875" style="5782" customWidth="1"/>
    <col min="1546" max="1546" width="8" style="5782" customWidth="1"/>
    <col min="1547" max="1547" width="15" style="5782" customWidth="1"/>
    <col min="1548" max="1548" width="17" style="5782" bestFit="1" customWidth="1"/>
    <col min="1549" max="1549" width="17" style="5782" customWidth="1"/>
    <col min="1550" max="1796" width="9.109375" style="5782"/>
    <col min="1797" max="1797" width="31.109375" style="5782" customWidth="1"/>
    <col min="1798" max="1798" width="16.44140625" style="5782" customWidth="1"/>
    <col min="1799" max="1799" width="16" style="5782" customWidth="1"/>
    <col min="1800" max="1800" width="16.44140625" style="5782" customWidth="1"/>
    <col min="1801" max="1801" width="17.88671875" style="5782" customWidth="1"/>
    <col min="1802" max="1802" width="8" style="5782" customWidth="1"/>
    <col min="1803" max="1803" width="15" style="5782" customWidth="1"/>
    <col min="1804" max="1804" width="17" style="5782" bestFit="1" customWidth="1"/>
    <col min="1805" max="1805" width="17" style="5782" customWidth="1"/>
    <col min="1806" max="2052" width="9.109375" style="5782"/>
    <col min="2053" max="2053" width="31.109375" style="5782" customWidth="1"/>
    <col min="2054" max="2054" width="16.44140625" style="5782" customWidth="1"/>
    <col min="2055" max="2055" width="16" style="5782" customWidth="1"/>
    <col min="2056" max="2056" width="16.44140625" style="5782" customWidth="1"/>
    <col min="2057" max="2057" width="17.88671875" style="5782" customWidth="1"/>
    <col min="2058" max="2058" width="8" style="5782" customWidth="1"/>
    <col min="2059" max="2059" width="15" style="5782" customWidth="1"/>
    <col min="2060" max="2060" width="17" style="5782" bestFit="1" customWidth="1"/>
    <col min="2061" max="2061" width="17" style="5782" customWidth="1"/>
    <col min="2062" max="2308" width="9.109375" style="5782"/>
    <col min="2309" max="2309" width="31.109375" style="5782" customWidth="1"/>
    <col min="2310" max="2310" width="16.44140625" style="5782" customWidth="1"/>
    <col min="2311" max="2311" width="16" style="5782" customWidth="1"/>
    <col min="2312" max="2312" width="16.44140625" style="5782" customWidth="1"/>
    <col min="2313" max="2313" width="17.88671875" style="5782" customWidth="1"/>
    <col min="2314" max="2314" width="8" style="5782" customWidth="1"/>
    <col min="2315" max="2315" width="15" style="5782" customWidth="1"/>
    <col min="2316" max="2316" width="17" style="5782" bestFit="1" customWidth="1"/>
    <col min="2317" max="2317" width="17" style="5782" customWidth="1"/>
    <col min="2318" max="2564" width="9.109375" style="5782"/>
    <col min="2565" max="2565" width="31.109375" style="5782" customWidth="1"/>
    <col min="2566" max="2566" width="16.44140625" style="5782" customWidth="1"/>
    <col min="2567" max="2567" width="16" style="5782" customWidth="1"/>
    <col min="2568" max="2568" width="16.44140625" style="5782" customWidth="1"/>
    <col min="2569" max="2569" width="17.88671875" style="5782" customWidth="1"/>
    <col min="2570" max="2570" width="8" style="5782" customWidth="1"/>
    <col min="2571" max="2571" width="15" style="5782" customWidth="1"/>
    <col min="2572" max="2572" width="17" style="5782" bestFit="1" customWidth="1"/>
    <col min="2573" max="2573" width="17" style="5782" customWidth="1"/>
    <col min="2574" max="2820" width="9.109375" style="5782"/>
    <col min="2821" max="2821" width="31.109375" style="5782" customWidth="1"/>
    <col min="2822" max="2822" width="16.44140625" style="5782" customWidth="1"/>
    <col min="2823" max="2823" width="16" style="5782" customWidth="1"/>
    <col min="2824" max="2824" width="16.44140625" style="5782" customWidth="1"/>
    <col min="2825" max="2825" width="17.88671875" style="5782" customWidth="1"/>
    <col min="2826" max="2826" width="8" style="5782" customWidth="1"/>
    <col min="2827" max="2827" width="15" style="5782" customWidth="1"/>
    <col min="2828" max="2828" width="17" style="5782" bestFit="1" customWidth="1"/>
    <col min="2829" max="2829" width="17" style="5782" customWidth="1"/>
    <col min="2830" max="3076" width="9.109375" style="5782"/>
    <col min="3077" max="3077" width="31.109375" style="5782" customWidth="1"/>
    <col min="3078" max="3078" width="16.44140625" style="5782" customWidth="1"/>
    <col min="3079" max="3079" width="16" style="5782" customWidth="1"/>
    <col min="3080" max="3080" width="16.44140625" style="5782" customWidth="1"/>
    <col min="3081" max="3081" width="17.88671875" style="5782" customWidth="1"/>
    <col min="3082" max="3082" width="8" style="5782" customWidth="1"/>
    <col min="3083" max="3083" width="15" style="5782" customWidth="1"/>
    <col min="3084" max="3084" width="17" style="5782" bestFit="1" customWidth="1"/>
    <col min="3085" max="3085" width="17" style="5782" customWidth="1"/>
    <col min="3086" max="3332" width="9.109375" style="5782"/>
    <col min="3333" max="3333" width="31.109375" style="5782" customWidth="1"/>
    <col min="3334" max="3334" width="16.44140625" style="5782" customWidth="1"/>
    <col min="3335" max="3335" width="16" style="5782" customWidth="1"/>
    <col min="3336" max="3336" width="16.44140625" style="5782" customWidth="1"/>
    <col min="3337" max="3337" width="17.88671875" style="5782" customWidth="1"/>
    <col min="3338" max="3338" width="8" style="5782" customWidth="1"/>
    <col min="3339" max="3339" width="15" style="5782" customWidth="1"/>
    <col min="3340" max="3340" width="17" style="5782" bestFit="1" customWidth="1"/>
    <col min="3341" max="3341" width="17" style="5782" customWidth="1"/>
    <col min="3342" max="3588" width="9.109375" style="5782"/>
    <col min="3589" max="3589" width="31.109375" style="5782" customWidth="1"/>
    <col min="3590" max="3590" width="16.44140625" style="5782" customWidth="1"/>
    <col min="3591" max="3591" width="16" style="5782" customWidth="1"/>
    <col min="3592" max="3592" width="16.44140625" style="5782" customWidth="1"/>
    <col min="3593" max="3593" width="17.88671875" style="5782" customWidth="1"/>
    <col min="3594" max="3594" width="8" style="5782" customWidth="1"/>
    <col min="3595" max="3595" width="15" style="5782" customWidth="1"/>
    <col min="3596" max="3596" width="17" style="5782" bestFit="1" customWidth="1"/>
    <col min="3597" max="3597" width="17" style="5782" customWidth="1"/>
    <col min="3598" max="3844" width="9.109375" style="5782"/>
    <col min="3845" max="3845" width="31.109375" style="5782" customWidth="1"/>
    <col min="3846" max="3846" width="16.44140625" style="5782" customWidth="1"/>
    <col min="3847" max="3847" width="16" style="5782" customWidth="1"/>
    <col min="3848" max="3848" width="16.44140625" style="5782" customWidth="1"/>
    <col min="3849" max="3849" width="17.88671875" style="5782" customWidth="1"/>
    <col min="3850" max="3850" width="8" style="5782" customWidth="1"/>
    <col min="3851" max="3851" width="15" style="5782" customWidth="1"/>
    <col min="3852" max="3852" width="17" style="5782" bestFit="1" customWidth="1"/>
    <col min="3853" max="3853" width="17" style="5782" customWidth="1"/>
    <col min="3854" max="4100" width="9.109375" style="5782"/>
    <col min="4101" max="4101" width="31.109375" style="5782" customWidth="1"/>
    <col min="4102" max="4102" width="16.44140625" style="5782" customWidth="1"/>
    <col min="4103" max="4103" width="16" style="5782" customWidth="1"/>
    <col min="4104" max="4104" width="16.44140625" style="5782" customWidth="1"/>
    <col min="4105" max="4105" width="17.88671875" style="5782" customWidth="1"/>
    <col min="4106" max="4106" width="8" style="5782" customWidth="1"/>
    <col min="4107" max="4107" width="15" style="5782" customWidth="1"/>
    <col min="4108" max="4108" width="17" style="5782" bestFit="1" customWidth="1"/>
    <col min="4109" max="4109" width="17" style="5782" customWidth="1"/>
    <col min="4110" max="4356" width="9.109375" style="5782"/>
    <col min="4357" max="4357" width="31.109375" style="5782" customWidth="1"/>
    <col min="4358" max="4358" width="16.44140625" style="5782" customWidth="1"/>
    <col min="4359" max="4359" width="16" style="5782" customWidth="1"/>
    <col min="4360" max="4360" width="16.44140625" style="5782" customWidth="1"/>
    <col min="4361" max="4361" width="17.88671875" style="5782" customWidth="1"/>
    <col min="4362" max="4362" width="8" style="5782" customWidth="1"/>
    <col min="4363" max="4363" width="15" style="5782" customWidth="1"/>
    <col min="4364" max="4364" width="17" style="5782" bestFit="1" customWidth="1"/>
    <col min="4365" max="4365" width="17" style="5782" customWidth="1"/>
    <col min="4366" max="4612" width="9.109375" style="5782"/>
    <col min="4613" max="4613" width="31.109375" style="5782" customWidth="1"/>
    <col min="4614" max="4614" width="16.44140625" style="5782" customWidth="1"/>
    <col min="4615" max="4615" width="16" style="5782" customWidth="1"/>
    <col min="4616" max="4616" width="16.44140625" style="5782" customWidth="1"/>
    <col min="4617" max="4617" width="17.88671875" style="5782" customWidth="1"/>
    <col min="4618" max="4618" width="8" style="5782" customWidth="1"/>
    <col min="4619" max="4619" width="15" style="5782" customWidth="1"/>
    <col min="4620" max="4620" width="17" style="5782" bestFit="1" customWidth="1"/>
    <col min="4621" max="4621" width="17" style="5782" customWidth="1"/>
    <col min="4622" max="4868" width="9.109375" style="5782"/>
    <col min="4869" max="4869" width="31.109375" style="5782" customWidth="1"/>
    <col min="4870" max="4870" width="16.44140625" style="5782" customWidth="1"/>
    <col min="4871" max="4871" width="16" style="5782" customWidth="1"/>
    <col min="4872" max="4872" width="16.44140625" style="5782" customWidth="1"/>
    <col min="4873" max="4873" width="17.88671875" style="5782" customWidth="1"/>
    <col min="4874" max="4874" width="8" style="5782" customWidth="1"/>
    <col min="4875" max="4875" width="15" style="5782" customWidth="1"/>
    <col min="4876" max="4876" width="17" style="5782" bestFit="1" customWidth="1"/>
    <col min="4877" max="4877" width="17" style="5782" customWidth="1"/>
    <col min="4878" max="5124" width="9.109375" style="5782"/>
    <col min="5125" max="5125" width="31.109375" style="5782" customWidth="1"/>
    <col min="5126" max="5126" width="16.44140625" style="5782" customWidth="1"/>
    <col min="5127" max="5127" width="16" style="5782" customWidth="1"/>
    <col min="5128" max="5128" width="16.44140625" style="5782" customWidth="1"/>
    <col min="5129" max="5129" width="17.88671875" style="5782" customWidth="1"/>
    <col min="5130" max="5130" width="8" style="5782" customWidth="1"/>
    <col min="5131" max="5131" width="15" style="5782" customWidth="1"/>
    <col min="5132" max="5132" width="17" style="5782" bestFit="1" customWidth="1"/>
    <col min="5133" max="5133" width="17" style="5782" customWidth="1"/>
    <col min="5134" max="5380" width="9.109375" style="5782"/>
    <col min="5381" max="5381" width="31.109375" style="5782" customWidth="1"/>
    <col min="5382" max="5382" width="16.44140625" style="5782" customWidth="1"/>
    <col min="5383" max="5383" width="16" style="5782" customWidth="1"/>
    <col min="5384" max="5384" width="16.44140625" style="5782" customWidth="1"/>
    <col min="5385" max="5385" width="17.88671875" style="5782" customWidth="1"/>
    <col min="5386" max="5386" width="8" style="5782" customWidth="1"/>
    <col min="5387" max="5387" width="15" style="5782" customWidth="1"/>
    <col min="5388" max="5388" width="17" style="5782" bestFit="1" customWidth="1"/>
    <col min="5389" max="5389" width="17" style="5782" customWidth="1"/>
    <col min="5390" max="5636" width="9.109375" style="5782"/>
    <col min="5637" max="5637" width="31.109375" style="5782" customWidth="1"/>
    <col min="5638" max="5638" width="16.44140625" style="5782" customWidth="1"/>
    <col min="5639" max="5639" width="16" style="5782" customWidth="1"/>
    <col min="5640" max="5640" width="16.44140625" style="5782" customWidth="1"/>
    <col min="5641" max="5641" width="17.88671875" style="5782" customWidth="1"/>
    <col min="5642" max="5642" width="8" style="5782" customWidth="1"/>
    <col min="5643" max="5643" width="15" style="5782" customWidth="1"/>
    <col min="5644" max="5644" width="17" style="5782" bestFit="1" customWidth="1"/>
    <col min="5645" max="5645" width="17" style="5782" customWidth="1"/>
    <col min="5646" max="5892" width="9.109375" style="5782"/>
    <col min="5893" max="5893" width="31.109375" style="5782" customWidth="1"/>
    <col min="5894" max="5894" width="16.44140625" style="5782" customWidth="1"/>
    <col min="5895" max="5895" width="16" style="5782" customWidth="1"/>
    <col min="5896" max="5896" width="16.44140625" style="5782" customWidth="1"/>
    <col min="5897" max="5897" width="17.88671875" style="5782" customWidth="1"/>
    <col min="5898" max="5898" width="8" style="5782" customWidth="1"/>
    <col min="5899" max="5899" width="15" style="5782" customWidth="1"/>
    <col min="5900" max="5900" width="17" style="5782" bestFit="1" customWidth="1"/>
    <col min="5901" max="5901" width="17" style="5782" customWidth="1"/>
    <col min="5902" max="6148" width="9.109375" style="5782"/>
    <col min="6149" max="6149" width="31.109375" style="5782" customWidth="1"/>
    <col min="6150" max="6150" width="16.44140625" style="5782" customWidth="1"/>
    <col min="6151" max="6151" width="16" style="5782" customWidth="1"/>
    <col min="6152" max="6152" width="16.44140625" style="5782" customWidth="1"/>
    <col min="6153" max="6153" width="17.88671875" style="5782" customWidth="1"/>
    <col min="6154" max="6154" width="8" style="5782" customWidth="1"/>
    <col min="6155" max="6155" width="15" style="5782" customWidth="1"/>
    <col min="6156" max="6156" width="17" style="5782" bestFit="1" customWidth="1"/>
    <col min="6157" max="6157" width="17" style="5782" customWidth="1"/>
    <col min="6158" max="6404" width="9.109375" style="5782"/>
    <col min="6405" max="6405" width="31.109375" style="5782" customWidth="1"/>
    <col min="6406" max="6406" width="16.44140625" style="5782" customWidth="1"/>
    <col min="6407" max="6407" width="16" style="5782" customWidth="1"/>
    <col min="6408" max="6408" width="16.44140625" style="5782" customWidth="1"/>
    <col min="6409" max="6409" width="17.88671875" style="5782" customWidth="1"/>
    <col min="6410" max="6410" width="8" style="5782" customWidth="1"/>
    <col min="6411" max="6411" width="15" style="5782" customWidth="1"/>
    <col min="6412" max="6412" width="17" style="5782" bestFit="1" customWidth="1"/>
    <col min="6413" max="6413" width="17" style="5782" customWidth="1"/>
    <col min="6414" max="6660" width="9.109375" style="5782"/>
    <col min="6661" max="6661" width="31.109375" style="5782" customWidth="1"/>
    <col min="6662" max="6662" width="16.44140625" style="5782" customWidth="1"/>
    <col min="6663" max="6663" width="16" style="5782" customWidth="1"/>
    <col min="6664" max="6664" width="16.44140625" style="5782" customWidth="1"/>
    <col min="6665" max="6665" width="17.88671875" style="5782" customWidth="1"/>
    <col min="6666" max="6666" width="8" style="5782" customWidth="1"/>
    <col min="6667" max="6667" width="15" style="5782" customWidth="1"/>
    <col min="6668" max="6668" width="17" style="5782" bestFit="1" customWidth="1"/>
    <col min="6669" max="6669" width="17" style="5782" customWidth="1"/>
    <col min="6670" max="6916" width="9.109375" style="5782"/>
    <col min="6917" max="6917" width="31.109375" style="5782" customWidth="1"/>
    <col min="6918" max="6918" width="16.44140625" style="5782" customWidth="1"/>
    <col min="6919" max="6919" width="16" style="5782" customWidth="1"/>
    <col min="6920" max="6920" width="16.44140625" style="5782" customWidth="1"/>
    <col min="6921" max="6921" width="17.88671875" style="5782" customWidth="1"/>
    <col min="6922" max="6922" width="8" style="5782" customWidth="1"/>
    <col min="6923" max="6923" width="15" style="5782" customWidth="1"/>
    <col min="6924" max="6924" width="17" style="5782" bestFit="1" customWidth="1"/>
    <col min="6925" max="6925" width="17" style="5782" customWidth="1"/>
    <col min="6926" max="7172" width="9.109375" style="5782"/>
    <col min="7173" max="7173" width="31.109375" style="5782" customWidth="1"/>
    <col min="7174" max="7174" width="16.44140625" style="5782" customWidth="1"/>
    <col min="7175" max="7175" width="16" style="5782" customWidth="1"/>
    <col min="7176" max="7176" width="16.44140625" style="5782" customWidth="1"/>
    <col min="7177" max="7177" width="17.88671875" style="5782" customWidth="1"/>
    <col min="7178" max="7178" width="8" style="5782" customWidth="1"/>
    <col min="7179" max="7179" width="15" style="5782" customWidth="1"/>
    <col min="7180" max="7180" width="17" style="5782" bestFit="1" customWidth="1"/>
    <col min="7181" max="7181" width="17" style="5782" customWidth="1"/>
    <col min="7182" max="7428" width="9.109375" style="5782"/>
    <col min="7429" max="7429" width="31.109375" style="5782" customWidth="1"/>
    <col min="7430" max="7430" width="16.44140625" style="5782" customWidth="1"/>
    <col min="7431" max="7431" width="16" style="5782" customWidth="1"/>
    <col min="7432" max="7432" width="16.44140625" style="5782" customWidth="1"/>
    <col min="7433" max="7433" width="17.88671875" style="5782" customWidth="1"/>
    <col min="7434" max="7434" width="8" style="5782" customWidth="1"/>
    <col min="7435" max="7435" width="15" style="5782" customWidth="1"/>
    <col min="7436" max="7436" width="17" style="5782" bestFit="1" customWidth="1"/>
    <col min="7437" max="7437" width="17" style="5782" customWidth="1"/>
    <col min="7438" max="7684" width="9.109375" style="5782"/>
    <col min="7685" max="7685" width="31.109375" style="5782" customWidth="1"/>
    <col min="7686" max="7686" width="16.44140625" style="5782" customWidth="1"/>
    <col min="7687" max="7687" width="16" style="5782" customWidth="1"/>
    <col min="7688" max="7688" width="16.44140625" style="5782" customWidth="1"/>
    <col min="7689" max="7689" width="17.88671875" style="5782" customWidth="1"/>
    <col min="7690" max="7690" width="8" style="5782" customWidth="1"/>
    <col min="7691" max="7691" width="15" style="5782" customWidth="1"/>
    <col min="7692" max="7692" width="17" style="5782" bestFit="1" customWidth="1"/>
    <col min="7693" max="7693" width="17" style="5782" customWidth="1"/>
    <col min="7694" max="7940" width="9.109375" style="5782"/>
    <col min="7941" max="7941" width="31.109375" style="5782" customWidth="1"/>
    <col min="7942" max="7942" width="16.44140625" style="5782" customWidth="1"/>
    <col min="7943" max="7943" width="16" style="5782" customWidth="1"/>
    <col min="7944" max="7944" width="16.44140625" style="5782" customWidth="1"/>
    <col min="7945" max="7945" width="17.88671875" style="5782" customWidth="1"/>
    <col min="7946" max="7946" width="8" style="5782" customWidth="1"/>
    <col min="7947" max="7947" width="15" style="5782" customWidth="1"/>
    <col min="7948" max="7948" width="17" style="5782" bestFit="1" customWidth="1"/>
    <col min="7949" max="7949" width="17" style="5782" customWidth="1"/>
    <col min="7950" max="8196" width="9.109375" style="5782"/>
    <col min="8197" max="8197" width="31.109375" style="5782" customWidth="1"/>
    <col min="8198" max="8198" width="16.44140625" style="5782" customWidth="1"/>
    <col min="8199" max="8199" width="16" style="5782" customWidth="1"/>
    <col min="8200" max="8200" width="16.44140625" style="5782" customWidth="1"/>
    <col min="8201" max="8201" width="17.88671875" style="5782" customWidth="1"/>
    <col min="8202" max="8202" width="8" style="5782" customWidth="1"/>
    <col min="8203" max="8203" width="15" style="5782" customWidth="1"/>
    <col min="8204" max="8204" width="17" style="5782" bestFit="1" customWidth="1"/>
    <col min="8205" max="8205" width="17" style="5782" customWidth="1"/>
    <col min="8206" max="8452" width="9.109375" style="5782"/>
    <col min="8453" max="8453" width="31.109375" style="5782" customWidth="1"/>
    <col min="8454" max="8454" width="16.44140625" style="5782" customWidth="1"/>
    <col min="8455" max="8455" width="16" style="5782" customWidth="1"/>
    <col min="8456" max="8456" width="16.44140625" style="5782" customWidth="1"/>
    <col min="8457" max="8457" width="17.88671875" style="5782" customWidth="1"/>
    <col min="8458" max="8458" width="8" style="5782" customWidth="1"/>
    <col min="8459" max="8459" width="15" style="5782" customWidth="1"/>
    <col min="8460" max="8460" width="17" style="5782" bestFit="1" customWidth="1"/>
    <col min="8461" max="8461" width="17" style="5782" customWidth="1"/>
    <col min="8462" max="8708" width="9.109375" style="5782"/>
    <col min="8709" max="8709" width="31.109375" style="5782" customWidth="1"/>
    <col min="8710" max="8710" width="16.44140625" style="5782" customWidth="1"/>
    <col min="8711" max="8711" width="16" style="5782" customWidth="1"/>
    <col min="8712" max="8712" width="16.44140625" style="5782" customWidth="1"/>
    <col min="8713" max="8713" width="17.88671875" style="5782" customWidth="1"/>
    <col min="8714" max="8714" width="8" style="5782" customWidth="1"/>
    <col min="8715" max="8715" width="15" style="5782" customWidth="1"/>
    <col min="8716" max="8716" width="17" style="5782" bestFit="1" customWidth="1"/>
    <col min="8717" max="8717" width="17" style="5782" customWidth="1"/>
    <col min="8718" max="8964" width="9.109375" style="5782"/>
    <col min="8965" max="8965" width="31.109375" style="5782" customWidth="1"/>
    <col min="8966" max="8966" width="16.44140625" style="5782" customWidth="1"/>
    <col min="8967" max="8967" width="16" style="5782" customWidth="1"/>
    <col min="8968" max="8968" width="16.44140625" style="5782" customWidth="1"/>
    <col min="8969" max="8969" width="17.88671875" style="5782" customWidth="1"/>
    <col min="8970" max="8970" width="8" style="5782" customWidth="1"/>
    <col min="8971" max="8971" width="15" style="5782" customWidth="1"/>
    <col min="8972" max="8972" width="17" style="5782" bestFit="1" customWidth="1"/>
    <col min="8973" max="8973" width="17" style="5782" customWidth="1"/>
    <col min="8974" max="9220" width="9.109375" style="5782"/>
    <col min="9221" max="9221" width="31.109375" style="5782" customWidth="1"/>
    <col min="9222" max="9222" width="16.44140625" style="5782" customWidth="1"/>
    <col min="9223" max="9223" width="16" style="5782" customWidth="1"/>
    <col min="9224" max="9224" width="16.44140625" style="5782" customWidth="1"/>
    <col min="9225" max="9225" width="17.88671875" style="5782" customWidth="1"/>
    <col min="9226" max="9226" width="8" style="5782" customWidth="1"/>
    <col min="9227" max="9227" width="15" style="5782" customWidth="1"/>
    <col min="9228" max="9228" width="17" style="5782" bestFit="1" customWidth="1"/>
    <col min="9229" max="9229" width="17" style="5782" customWidth="1"/>
    <col min="9230" max="9476" width="9.109375" style="5782"/>
    <col min="9477" max="9477" width="31.109375" style="5782" customWidth="1"/>
    <col min="9478" max="9478" width="16.44140625" style="5782" customWidth="1"/>
    <col min="9479" max="9479" width="16" style="5782" customWidth="1"/>
    <col min="9480" max="9480" width="16.44140625" style="5782" customWidth="1"/>
    <col min="9481" max="9481" width="17.88671875" style="5782" customWidth="1"/>
    <col min="9482" max="9482" width="8" style="5782" customWidth="1"/>
    <col min="9483" max="9483" width="15" style="5782" customWidth="1"/>
    <col min="9484" max="9484" width="17" style="5782" bestFit="1" customWidth="1"/>
    <col min="9485" max="9485" width="17" style="5782" customWidth="1"/>
    <col min="9486" max="9732" width="9.109375" style="5782"/>
    <col min="9733" max="9733" width="31.109375" style="5782" customWidth="1"/>
    <col min="9734" max="9734" width="16.44140625" style="5782" customWidth="1"/>
    <col min="9735" max="9735" width="16" style="5782" customWidth="1"/>
    <col min="9736" max="9736" width="16.44140625" style="5782" customWidth="1"/>
    <col min="9737" max="9737" width="17.88671875" style="5782" customWidth="1"/>
    <col min="9738" max="9738" width="8" style="5782" customWidth="1"/>
    <col min="9739" max="9739" width="15" style="5782" customWidth="1"/>
    <col min="9740" max="9740" width="17" style="5782" bestFit="1" customWidth="1"/>
    <col min="9741" max="9741" width="17" style="5782" customWidth="1"/>
    <col min="9742" max="9988" width="9.109375" style="5782"/>
    <col min="9989" max="9989" width="31.109375" style="5782" customWidth="1"/>
    <col min="9990" max="9990" width="16.44140625" style="5782" customWidth="1"/>
    <col min="9991" max="9991" width="16" style="5782" customWidth="1"/>
    <col min="9992" max="9992" width="16.44140625" style="5782" customWidth="1"/>
    <col min="9993" max="9993" width="17.88671875" style="5782" customWidth="1"/>
    <col min="9994" max="9994" width="8" style="5782" customWidth="1"/>
    <col min="9995" max="9995" width="15" style="5782" customWidth="1"/>
    <col min="9996" max="9996" width="17" style="5782" bestFit="1" customWidth="1"/>
    <col min="9997" max="9997" width="17" style="5782" customWidth="1"/>
    <col min="9998" max="10244" width="9.109375" style="5782"/>
    <col min="10245" max="10245" width="31.109375" style="5782" customWidth="1"/>
    <col min="10246" max="10246" width="16.44140625" style="5782" customWidth="1"/>
    <col min="10247" max="10247" width="16" style="5782" customWidth="1"/>
    <col min="10248" max="10248" width="16.44140625" style="5782" customWidth="1"/>
    <col min="10249" max="10249" width="17.88671875" style="5782" customWidth="1"/>
    <col min="10250" max="10250" width="8" style="5782" customWidth="1"/>
    <col min="10251" max="10251" width="15" style="5782" customWidth="1"/>
    <col min="10252" max="10252" width="17" style="5782" bestFit="1" customWidth="1"/>
    <col min="10253" max="10253" width="17" style="5782" customWidth="1"/>
    <col min="10254" max="10500" width="9.109375" style="5782"/>
    <col min="10501" max="10501" width="31.109375" style="5782" customWidth="1"/>
    <col min="10502" max="10502" width="16.44140625" style="5782" customWidth="1"/>
    <col min="10503" max="10503" width="16" style="5782" customWidth="1"/>
    <col min="10504" max="10504" width="16.44140625" style="5782" customWidth="1"/>
    <col min="10505" max="10505" width="17.88671875" style="5782" customWidth="1"/>
    <col min="10506" max="10506" width="8" style="5782" customWidth="1"/>
    <col min="10507" max="10507" width="15" style="5782" customWidth="1"/>
    <col min="10508" max="10508" width="17" style="5782" bestFit="1" customWidth="1"/>
    <col min="10509" max="10509" width="17" style="5782" customWidth="1"/>
    <col min="10510" max="10756" width="9.109375" style="5782"/>
    <col min="10757" max="10757" width="31.109375" style="5782" customWidth="1"/>
    <col min="10758" max="10758" width="16.44140625" style="5782" customWidth="1"/>
    <col min="10759" max="10759" width="16" style="5782" customWidth="1"/>
    <col min="10760" max="10760" width="16.44140625" style="5782" customWidth="1"/>
    <col min="10761" max="10761" width="17.88671875" style="5782" customWidth="1"/>
    <col min="10762" max="10762" width="8" style="5782" customWidth="1"/>
    <col min="10763" max="10763" width="15" style="5782" customWidth="1"/>
    <col min="10764" max="10764" width="17" style="5782" bestFit="1" customWidth="1"/>
    <col min="10765" max="10765" width="17" style="5782" customWidth="1"/>
    <col min="10766" max="11012" width="9.109375" style="5782"/>
    <col min="11013" max="11013" width="31.109375" style="5782" customWidth="1"/>
    <col min="11014" max="11014" width="16.44140625" style="5782" customWidth="1"/>
    <col min="11015" max="11015" width="16" style="5782" customWidth="1"/>
    <col min="11016" max="11016" width="16.44140625" style="5782" customWidth="1"/>
    <col min="11017" max="11017" width="17.88671875" style="5782" customWidth="1"/>
    <col min="11018" max="11018" width="8" style="5782" customWidth="1"/>
    <col min="11019" max="11019" width="15" style="5782" customWidth="1"/>
    <col min="11020" max="11020" width="17" style="5782" bestFit="1" customWidth="1"/>
    <col min="11021" max="11021" width="17" style="5782" customWidth="1"/>
    <col min="11022" max="11268" width="9.109375" style="5782"/>
    <col min="11269" max="11269" width="31.109375" style="5782" customWidth="1"/>
    <col min="11270" max="11270" width="16.44140625" style="5782" customWidth="1"/>
    <col min="11271" max="11271" width="16" style="5782" customWidth="1"/>
    <col min="11272" max="11272" width="16.44140625" style="5782" customWidth="1"/>
    <col min="11273" max="11273" width="17.88671875" style="5782" customWidth="1"/>
    <col min="11274" max="11274" width="8" style="5782" customWidth="1"/>
    <col min="11275" max="11275" width="15" style="5782" customWidth="1"/>
    <col min="11276" max="11276" width="17" style="5782" bestFit="1" customWidth="1"/>
    <col min="11277" max="11277" width="17" style="5782" customWidth="1"/>
    <col min="11278" max="11524" width="9.109375" style="5782"/>
    <col min="11525" max="11525" width="31.109375" style="5782" customWidth="1"/>
    <col min="11526" max="11526" width="16.44140625" style="5782" customWidth="1"/>
    <col min="11527" max="11527" width="16" style="5782" customWidth="1"/>
    <col min="11528" max="11528" width="16.44140625" style="5782" customWidth="1"/>
    <col min="11529" max="11529" width="17.88671875" style="5782" customWidth="1"/>
    <col min="11530" max="11530" width="8" style="5782" customWidth="1"/>
    <col min="11531" max="11531" width="15" style="5782" customWidth="1"/>
    <col min="11532" max="11532" width="17" style="5782" bestFit="1" customWidth="1"/>
    <col min="11533" max="11533" width="17" style="5782" customWidth="1"/>
    <col min="11534" max="11780" width="9.109375" style="5782"/>
    <col min="11781" max="11781" width="31.109375" style="5782" customWidth="1"/>
    <col min="11782" max="11782" width="16.44140625" style="5782" customWidth="1"/>
    <col min="11783" max="11783" width="16" style="5782" customWidth="1"/>
    <col min="11784" max="11784" width="16.44140625" style="5782" customWidth="1"/>
    <col min="11785" max="11785" width="17.88671875" style="5782" customWidth="1"/>
    <col min="11786" max="11786" width="8" style="5782" customWidth="1"/>
    <col min="11787" max="11787" width="15" style="5782" customWidth="1"/>
    <col min="11788" max="11788" width="17" style="5782" bestFit="1" customWidth="1"/>
    <col min="11789" max="11789" width="17" style="5782" customWidth="1"/>
    <col min="11790" max="12036" width="9.109375" style="5782"/>
    <col min="12037" max="12037" width="31.109375" style="5782" customWidth="1"/>
    <col min="12038" max="12038" width="16.44140625" style="5782" customWidth="1"/>
    <col min="12039" max="12039" width="16" style="5782" customWidth="1"/>
    <col min="12040" max="12040" width="16.44140625" style="5782" customWidth="1"/>
    <col min="12041" max="12041" width="17.88671875" style="5782" customWidth="1"/>
    <col min="12042" max="12042" width="8" style="5782" customWidth="1"/>
    <col min="12043" max="12043" width="15" style="5782" customWidth="1"/>
    <col min="12044" max="12044" width="17" style="5782" bestFit="1" customWidth="1"/>
    <col min="12045" max="12045" width="17" style="5782" customWidth="1"/>
    <col min="12046" max="12292" width="9.109375" style="5782"/>
    <col min="12293" max="12293" width="31.109375" style="5782" customWidth="1"/>
    <col min="12294" max="12294" width="16.44140625" style="5782" customWidth="1"/>
    <col min="12295" max="12295" width="16" style="5782" customWidth="1"/>
    <col min="12296" max="12296" width="16.44140625" style="5782" customWidth="1"/>
    <col min="12297" max="12297" width="17.88671875" style="5782" customWidth="1"/>
    <col min="12298" max="12298" width="8" style="5782" customWidth="1"/>
    <col min="12299" max="12299" width="15" style="5782" customWidth="1"/>
    <col min="12300" max="12300" width="17" style="5782" bestFit="1" customWidth="1"/>
    <col min="12301" max="12301" width="17" style="5782" customWidth="1"/>
    <col min="12302" max="12548" width="9.109375" style="5782"/>
    <col min="12549" max="12549" width="31.109375" style="5782" customWidth="1"/>
    <col min="12550" max="12550" width="16.44140625" style="5782" customWidth="1"/>
    <col min="12551" max="12551" width="16" style="5782" customWidth="1"/>
    <col min="12552" max="12552" width="16.44140625" style="5782" customWidth="1"/>
    <col min="12553" max="12553" width="17.88671875" style="5782" customWidth="1"/>
    <col min="12554" max="12554" width="8" style="5782" customWidth="1"/>
    <col min="12555" max="12555" width="15" style="5782" customWidth="1"/>
    <col min="12556" max="12556" width="17" style="5782" bestFit="1" customWidth="1"/>
    <col min="12557" max="12557" width="17" style="5782" customWidth="1"/>
    <col min="12558" max="12804" width="9.109375" style="5782"/>
    <col min="12805" max="12805" width="31.109375" style="5782" customWidth="1"/>
    <col min="12806" max="12806" width="16.44140625" style="5782" customWidth="1"/>
    <col min="12807" max="12807" width="16" style="5782" customWidth="1"/>
    <col min="12808" max="12808" width="16.44140625" style="5782" customWidth="1"/>
    <col min="12809" max="12809" width="17.88671875" style="5782" customWidth="1"/>
    <col min="12810" max="12810" width="8" style="5782" customWidth="1"/>
    <col min="12811" max="12811" width="15" style="5782" customWidth="1"/>
    <col min="12812" max="12812" width="17" style="5782" bestFit="1" customWidth="1"/>
    <col min="12813" max="12813" width="17" style="5782" customWidth="1"/>
    <col min="12814" max="13060" width="9.109375" style="5782"/>
    <col min="13061" max="13061" width="31.109375" style="5782" customWidth="1"/>
    <col min="13062" max="13062" width="16.44140625" style="5782" customWidth="1"/>
    <col min="13063" max="13063" width="16" style="5782" customWidth="1"/>
    <col min="13064" max="13064" width="16.44140625" style="5782" customWidth="1"/>
    <col min="13065" max="13065" width="17.88671875" style="5782" customWidth="1"/>
    <col min="13066" max="13066" width="8" style="5782" customWidth="1"/>
    <col min="13067" max="13067" width="15" style="5782" customWidth="1"/>
    <col min="13068" max="13068" width="17" style="5782" bestFit="1" customWidth="1"/>
    <col min="13069" max="13069" width="17" style="5782" customWidth="1"/>
    <col min="13070" max="13316" width="9.109375" style="5782"/>
    <col min="13317" max="13317" width="31.109375" style="5782" customWidth="1"/>
    <col min="13318" max="13318" width="16.44140625" style="5782" customWidth="1"/>
    <col min="13319" max="13319" width="16" style="5782" customWidth="1"/>
    <col min="13320" max="13320" width="16.44140625" style="5782" customWidth="1"/>
    <col min="13321" max="13321" width="17.88671875" style="5782" customWidth="1"/>
    <col min="13322" max="13322" width="8" style="5782" customWidth="1"/>
    <col min="13323" max="13323" width="15" style="5782" customWidth="1"/>
    <col min="13324" max="13324" width="17" style="5782" bestFit="1" customWidth="1"/>
    <col min="13325" max="13325" width="17" style="5782" customWidth="1"/>
    <col min="13326" max="13572" width="9.109375" style="5782"/>
    <col min="13573" max="13573" width="31.109375" style="5782" customWidth="1"/>
    <col min="13574" max="13574" width="16.44140625" style="5782" customWidth="1"/>
    <col min="13575" max="13575" width="16" style="5782" customWidth="1"/>
    <col min="13576" max="13576" width="16.44140625" style="5782" customWidth="1"/>
    <col min="13577" max="13577" width="17.88671875" style="5782" customWidth="1"/>
    <col min="13578" max="13578" width="8" style="5782" customWidth="1"/>
    <col min="13579" max="13579" width="15" style="5782" customWidth="1"/>
    <col min="13580" max="13580" width="17" style="5782" bestFit="1" customWidth="1"/>
    <col min="13581" max="13581" width="17" style="5782" customWidth="1"/>
    <col min="13582" max="13828" width="9.109375" style="5782"/>
    <col min="13829" max="13829" width="31.109375" style="5782" customWidth="1"/>
    <col min="13830" max="13830" width="16.44140625" style="5782" customWidth="1"/>
    <col min="13831" max="13831" width="16" style="5782" customWidth="1"/>
    <col min="13832" max="13832" width="16.44140625" style="5782" customWidth="1"/>
    <col min="13833" max="13833" width="17.88671875" style="5782" customWidth="1"/>
    <col min="13834" max="13834" width="8" style="5782" customWidth="1"/>
    <col min="13835" max="13835" width="15" style="5782" customWidth="1"/>
    <col min="13836" max="13836" width="17" style="5782" bestFit="1" customWidth="1"/>
    <col min="13837" max="13837" width="17" style="5782" customWidth="1"/>
    <col min="13838" max="14084" width="9.109375" style="5782"/>
    <col min="14085" max="14085" width="31.109375" style="5782" customWidth="1"/>
    <col min="14086" max="14086" width="16.44140625" style="5782" customWidth="1"/>
    <col min="14087" max="14087" width="16" style="5782" customWidth="1"/>
    <col min="14088" max="14088" width="16.44140625" style="5782" customWidth="1"/>
    <col min="14089" max="14089" width="17.88671875" style="5782" customWidth="1"/>
    <col min="14090" max="14090" width="8" style="5782" customWidth="1"/>
    <col min="14091" max="14091" width="15" style="5782" customWidth="1"/>
    <col min="14092" max="14092" width="17" style="5782" bestFit="1" customWidth="1"/>
    <col min="14093" max="14093" width="17" style="5782" customWidth="1"/>
    <col min="14094" max="14340" width="9.109375" style="5782"/>
    <col min="14341" max="14341" width="31.109375" style="5782" customWidth="1"/>
    <col min="14342" max="14342" width="16.44140625" style="5782" customWidth="1"/>
    <col min="14343" max="14343" width="16" style="5782" customWidth="1"/>
    <col min="14344" max="14344" width="16.44140625" style="5782" customWidth="1"/>
    <col min="14345" max="14345" width="17.88671875" style="5782" customWidth="1"/>
    <col min="14346" max="14346" width="8" style="5782" customWidth="1"/>
    <col min="14347" max="14347" width="15" style="5782" customWidth="1"/>
    <col min="14348" max="14348" width="17" style="5782" bestFit="1" customWidth="1"/>
    <col min="14349" max="14349" width="17" style="5782" customWidth="1"/>
    <col min="14350" max="14596" width="9.109375" style="5782"/>
    <col min="14597" max="14597" width="31.109375" style="5782" customWidth="1"/>
    <col min="14598" max="14598" width="16.44140625" style="5782" customWidth="1"/>
    <col min="14599" max="14599" width="16" style="5782" customWidth="1"/>
    <col min="14600" max="14600" width="16.44140625" style="5782" customWidth="1"/>
    <col min="14601" max="14601" width="17.88671875" style="5782" customWidth="1"/>
    <col min="14602" max="14602" width="8" style="5782" customWidth="1"/>
    <col min="14603" max="14603" width="15" style="5782" customWidth="1"/>
    <col min="14604" max="14604" width="17" style="5782" bestFit="1" customWidth="1"/>
    <col min="14605" max="14605" width="17" style="5782" customWidth="1"/>
    <col min="14606" max="14852" width="9.109375" style="5782"/>
    <col min="14853" max="14853" width="31.109375" style="5782" customWidth="1"/>
    <col min="14854" max="14854" width="16.44140625" style="5782" customWidth="1"/>
    <col min="14855" max="14855" width="16" style="5782" customWidth="1"/>
    <col min="14856" max="14856" width="16.44140625" style="5782" customWidth="1"/>
    <col min="14857" max="14857" width="17.88671875" style="5782" customWidth="1"/>
    <col min="14858" max="14858" width="8" style="5782" customWidth="1"/>
    <col min="14859" max="14859" width="15" style="5782" customWidth="1"/>
    <col min="14860" max="14860" width="17" style="5782" bestFit="1" customWidth="1"/>
    <col min="14861" max="14861" width="17" style="5782" customWidth="1"/>
    <col min="14862" max="15108" width="9.109375" style="5782"/>
    <col min="15109" max="15109" width="31.109375" style="5782" customWidth="1"/>
    <col min="15110" max="15110" width="16.44140625" style="5782" customWidth="1"/>
    <col min="15111" max="15111" width="16" style="5782" customWidth="1"/>
    <col min="15112" max="15112" width="16.44140625" style="5782" customWidth="1"/>
    <col min="15113" max="15113" width="17.88671875" style="5782" customWidth="1"/>
    <col min="15114" max="15114" width="8" style="5782" customWidth="1"/>
    <col min="15115" max="15115" width="15" style="5782" customWidth="1"/>
    <col min="15116" max="15116" width="17" style="5782" bestFit="1" customWidth="1"/>
    <col min="15117" max="15117" width="17" style="5782" customWidth="1"/>
    <col min="15118" max="15364" width="9.109375" style="5782"/>
    <col min="15365" max="15365" width="31.109375" style="5782" customWidth="1"/>
    <col min="15366" max="15366" width="16.44140625" style="5782" customWidth="1"/>
    <col min="15367" max="15367" width="16" style="5782" customWidth="1"/>
    <col min="15368" max="15368" width="16.44140625" style="5782" customWidth="1"/>
    <col min="15369" max="15369" width="17.88671875" style="5782" customWidth="1"/>
    <col min="15370" max="15370" width="8" style="5782" customWidth="1"/>
    <col min="15371" max="15371" width="15" style="5782" customWidth="1"/>
    <col min="15372" max="15372" width="17" style="5782" bestFit="1" customWidth="1"/>
    <col min="15373" max="15373" width="17" style="5782" customWidth="1"/>
    <col min="15374" max="15620" width="9.109375" style="5782"/>
    <col min="15621" max="15621" width="31.109375" style="5782" customWidth="1"/>
    <col min="15622" max="15622" width="16.44140625" style="5782" customWidth="1"/>
    <col min="15623" max="15623" width="16" style="5782" customWidth="1"/>
    <col min="15624" max="15624" width="16.44140625" style="5782" customWidth="1"/>
    <col min="15625" max="15625" width="17.88671875" style="5782" customWidth="1"/>
    <col min="15626" max="15626" width="8" style="5782" customWidth="1"/>
    <col min="15627" max="15627" width="15" style="5782" customWidth="1"/>
    <col min="15628" max="15628" width="17" style="5782" bestFit="1" customWidth="1"/>
    <col min="15629" max="15629" width="17" style="5782" customWidth="1"/>
    <col min="15630" max="15876" width="9.109375" style="5782"/>
    <col min="15877" max="15877" width="31.109375" style="5782" customWidth="1"/>
    <col min="15878" max="15878" width="16.44140625" style="5782" customWidth="1"/>
    <col min="15879" max="15879" width="16" style="5782" customWidth="1"/>
    <col min="15880" max="15880" width="16.44140625" style="5782" customWidth="1"/>
    <col min="15881" max="15881" width="17.88671875" style="5782" customWidth="1"/>
    <col min="15882" max="15882" width="8" style="5782" customWidth="1"/>
    <col min="15883" max="15883" width="15" style="5782" customWidth="1"/>
    <col min="15884" max="15884" width="17" style="5782" bestFit="1" customWidth="1"/>
    <col min="15885" max="15885" width="17" style="5782" customWidth="1"/>
    <col min="15886" max="16132" width="9.109375" style="5782"/>
    <col min="16133" max="16133" width="31.109375" style="5782" customWidth="1"/>
    <col min="16134" max="16134" width="16.44140625" style="5782" customWidth="1"/>
    <col min="16135" max="16135" width="16" style="5782" customWidth="1"/>
    <col min="16136" max="16136" width="16.44140625" style="5782" customWidth="1"/>
    <col min="16137" max="16137" width="17.88671875" style="5782" customWidth="1"/>
    <col min="16138" max="16138" width="8" style="5782" customWidth="1"/>
    <col min="16139" max="16139" width="15" style="5782" customWidth="1"/>
    <col min="16140" max="16140" width="17" style="5782" bestFit="1" customWidth="1"/>
    <col min="16141" max="16141" width="17" style="5782" customWidth="1"/>
    <col min="16142" max="16384" width="9.109375" style="5782"/>
  </cols>
  <sheetData>
    <row r="1" spans="1:51" s="9248" customFormat="1" ht="29.25" customHeight="1">
      <c r="A1" s="15440" t="s">
        <v>9245</v>
      </c>
      <c r="B1" s="15440"/>
      <c r="C1" s="15440"/>
      <c r="D1" s="15440"/>
      <c r="E1" s="15440"/>
      <c r="F1" s="15440"/>
      <c r="G1" s="15440"/>
      <c r="H1" s="15440"/>
      <c r="I1" s="15440"/>
      <c r="J1" s="15440"/>
      <c r="K1" s="15440"/>
      <c r="L1" s="15440"/>
      <c r="M1" s="15440"/>
      <c r="N1" s="15440"/>
      <c r="O1" s="15440"/>
      <c r="P1" s="15440"/>
      <c r="Q1" s="15440"/>
      <c r="R1" s="12633"/>
      <c r="S1" s="9247"/>
      <c r="V1" s="9250"/>
      <c r="AW1" s="9249"/>
      <c r="AY1" s="9250"/>
    </row>
    <row r="2" spans="1:51" s="9252" customFormat="1" ht="15.75" customHeight="1" thickBot="1">
      <c r="A2" s="15441" t="s">
        <v>12093</v>
      </c>
      <c r="B2" s="15441"/>
      <c r="C2" s="15441"/>
      <c r="D2" s="15441"/>
      <c r="E2" s="15441"/>
      <c r="F2" s="15441"/>
      <c r="G2" s="15441"/>
      <c r="H2" s="15441"/>
      <c r="I2" s="15441"/>
      <c r="J2" s="15441"/>
      <c r="K2" s="15441"/>
      <c r="L2" s="15441"/>
      <c r="M2" s="15441"/>
      <c r="N2" s="15441"/>
      <c r="O2" s="15441"/>
      <c r="P2" s="15441"/>
      <c r="Q2" s="15441"/>
      <c r="R2" s="12637"/>
      <c r="S2" s="9251"/>
      <c r="V2" s="9254"/>
      <c r="AW2" s="9253">
        <v>2016</v>
      </c>
      <c r="AY2" s="9254"/>
    </row>
    <row r="3" spans="1:51" ht="2.25" customHeight="1" thickBot="1">
      <c r="A3" s="9255"/>
      <c r="B3" s="12638"/>
      <c r="C3" s="9256"/>
      <c r="D3" s="10653"/>
      <c r="E3" s="10653"/>
      <c r="F3" s="10653"/>
      <c r="G3" s="12639"/>
      <c r="H3" s="10655"/>
      <c r="I3" s="10655"/>
      <c r="J3" s="9256"/>
      <c r="K3" s="10653"/>
      <c r="L3" s="10653"/>
      <c r="M3" s="9256"/>
      <c r="N3" s="10653"/>
      <c r="O3" s="10653"/>
      <c r="P3" s="9256"/>
      <c r="Q3" s="9257"/>
      <c r="R3" s="5765"/>
      <c r="S3" s="5765"/>
    </row>
    <row r="4" spans="1:51" ht="15" customHeight="1">
      <c r="A4" s="9246" t="s">
        <v>216</v>
      </c>
      <c r="B4" s="12640" t="s">
        <v>217</v>
      </c>
      <c r="C4" s="9246" t="s">
        <v>217</v>
      </c>
      <c r="D4" s="9246"/>
      <c r="E4" s="9246"/>
      <c r="F4" s="9246" t="s">
        <v>218</v>
      </c>
      <c r="G4" s="9246" t="s">
        <v>218</v>
      </c>
      <c r="H4" s="9246"/>
      <c r="I4" s="9246" t="s">
        <v>219</v>
      </c>
      <c r="J4" s="9246" t="s">
        <v>219</v>
      </c>
      <c r="K4" s="9246"/>
      <c r="L4" s="9246" t="s">
        <v>259</v>
      </c>
      <c r="M4" s="9246" t="s">
        <v>259</v>
      </c>
      <c r="N4" s="9246"/>
      <c r="O4" s="9246" t="s">
        <v>220</v>
      </c>
      <c r="P4" s="9246" t="s">
        <v>220</v>
      </c>
      <c r="T4" s="5782" t="s">
        <v>11476</v>
      </c>
      <c r="AW4" s="9258" t="s">
        <v>220</v>
      </c>
      <c r="AX4" s="9259" t="s">
        <v>10581</v>
      </c>
    </row>
    <row r="5" spans="1:51" ht="15" hidden="1" customHeight="1">
      <c r="A5" s="9246"/>
      <c r="B5" s="12641">
        <v>2018</v>
      </c>
      <c r="C5" s="10656">
        <v>2019</v>
      </c>
      <c r="D5" s="10656"/>
      <c r="E5" s="9246"/>
      <c r="F5" s="10656">
        <v>2018</v>
      </c>
      <c r="G5" s="10656">
        <v>2019</v>
      </c>
      <c r="H5" s="10656"/>
      <c r="I5" s="10656">
        <v>2018</v>
      </c>
      <c r="J5" s="10656">
        <v>2019</v>
      </c>
      <c r="K5" s="10656"/>
      <c r="L5" s="10656">
        <v>2018</v>
      </c>
      <c r="M5" s="10656">
        <v>2019</v>
      </c>
      <c r="N5" s="10656"/>
      <c r="O5" s="10656">
        <v>2018</v>
      </c>
      <c r="P5" s="9246">
        <v>2019</v>
      </c>
      <c r="AW5" s="9258"/>
      <c r="AX5" s="9259"/>
    </row>
    <row r="6" spans="1:51">
      <c r="A6" s="5773" t="s">
        <v>221</v>
      </c>
      <c r="B6" s="5782"/>
      <c r="E6" s="10656"/>
    </row>
    <row r="7" spans="1:51">
      <c r="A7" s="5766" t="s">
        <v>222</v>
      </c>
      <c r="B7" s="7194">
        <v>25577401</v>
      </c>
      <c r="C7" s="5767">
        <f>'lbpf 3-GO'!K32</f>
        <v>23771366.75</v>
      </c>
      <c r="D7" s="5767"/>
      <c r="E7" s="10657">
        <f>(C7-B7)/B7</f>
        <v>-7.0610546005045627E-2</v>
      </c>
      <c r="F7" s="5767">
        <v>132847000</v>
      </c>
      <c r="G7" s="5767">
        <f>'lbpf 3-GO'!K106</f>
        <v>119551000</v>
      </c>
      <c r="H7" s="10657">
        <f>(G7-F7)/F7</f>
        <v>-0.10008506025728846</v>
      </c>
      <c r="I7" s="5767">
        <v>2030000</v>
      </c>
      <c r="J7" s="5767">
        <f>'lbpf 3-GO'!K120</f>
        <v>900000</v>
      </c>
      <c r="K7" s="10657">
        <f>(J7-I7)/I7</f>
        <v>-0.55665024630541871</v>
      </c>
      <c r="L7" s="5767">
        <v>48900000</v>
      </c>
      <c r="M7" s="5767">
        <f>'lbpf 3-GO'!K146</f>
        <v>48900000</v>
      </c>
      <c r="N7" s="10657">
        <f>(M7-L7)/L7</f>
        <v>0</v>
      </c>
      <c r="O7" s="12642">
        <f>B7+F7+I7+L7</f>
        <v>209354401</v>
      </c>
      <c r="P7" s="5767">
        <f>C7+G7+J7+M7</f>
        <v>193122366.75</v>
      </c>
      <c r="Q7" s="5774">
        <f>P7/P78</f>
        <v>7.6333166073442399E-2</v>
      </c>
      <c r="S7" s="5774">
        <f>'lbpf 3-GO'!J159</f>
        <v>-7.7533761757413444E-2</v>
      </c>
      <c r="T7" s="10225">
        <f>'lbpf 3-GO'!E146</f>
        <v>17438835.879999999</v>
      </c>
      <c r="V7" s="7003">
        <f>(P7-O7)/O7</f>
        <v>-7.7533761757413444E-2</v>
      </c>
      <c r="AW7" s="7194">
        <v>188507345</v>
      </c>
      <c r="AX7" s="5781">
        <f>P7-AW7</f>
        <v>4615021.75</v>
      </c>
    </row>
    <row r="8" spans="1:51" ht="15" customHeight="1">
      <c r="A8" s="5766" t="s">
        <v>9133</v>
      </c>
      <c r="B8" s="7194">
        <v>20327950</v>
      </c>
      <c r="C8" s="5767">
        <f>'lbpf 3-PADMO'!J30</f>
        <v>20134360.699999999</v>
      </c>
      <c r="D8" s="5767"/>
      <c r="E8" s="10657">
        <f>(C8-B8)/B8</f>
        <v>-9.5233065803487678E-3</v>
      </c>
      <c r="F8" s="5767">
        <v>11142000</v>
      </c>
      <c r="G8" s="5767">
        <f>'lbpf 3-PADMO'!J87</f>
        <v>11158000</v>
      </c>
      <c r="H8" s="10657">
        <f t="shared" ref="H8:H24" si="0">(G8-F8)/F8</f>
        <v>1.4360078980434393E-3</v>
      </c>
      <c r="I8" s="5767">
        <v>650000</v>
      </c>
      <c r="J8" s="5767">
        <f>'lbpf 3-PADMO'!J135</f>
        <v>325000</v>
      </c>
      <c r="K8" s="10657">
        <f t="shared" ref="K8:K23" si="1">(J8-I8)/I8</f>
        <v>-0.5</v>
      </c>
      <c r="L8" s="5767">
        <v>0</v>
      </c>
      <c r="M8" s="5767">
        <f>'lbpf 3-PADMO'!J139</f>
        <v>0</v>
      </c>
      <c r="N8" s="10657"/>
      <c r="O8" s="12642">
        <f t="shared" ref="O8:O23" si="2">B8+F8+I8+L8</f>
        <v>32119950</v>
      </c>
      <c r="P8" s="5767">
        <f t="shared" ref="P8:P23" si="3">C8+G8+J8+M8</f>
        <v>31617360.699999999</v>
      </c>
      <c r="Q8" s="5774">
        <f>P8/P78</f>
        <v>1.2497015678361508E-2</v>
      </c>
      <c r="S8" s="5774">
        <f>'lbpf 3-PADMO'!I151</f>
        <v>-1.5647262838204938E-2</v>
      </c>
      <c r="T8" s="10225">
        <f>'lbpf 3-PADMO'!D139</f>
        <v>0</v>
      </c>
      <c r="V8" s="7003">
        <f t="shared" ref="V8:V57" si="4">(P8-O8)/O8</f>
        <v>-1.5647262838204938E-2</v>
      </c>
      <c r="AW8" s="7194">
        <v>34729167.239999995</v>
      </c>
      <c r="AX8" s="5781">
        <f>P8-AW8</f>
        <v>-3111806.5399999954</v>
      </c>
    </row>
    <row r="9" spans="1:51" ht="14.25" customHeight="1">
      <c r="A9" s="5766" t="s">
        <v>404</v>
      </c>
      <c r="B9" s="7194">
        <v>3596462</v>
      </c>
      <c r="C9" s="5767">
        <f>'lbpf 3-BICTU'!K27</f>
        <v>5708127.5449999999</v>
      </c>
      <c r="D9" s="5767"/>
      <c r="E9" s="10657">
        <f t="shared" ref="E9:E23" si="5">(C9-B9)/B9</f>
        <v>0.58715080125968244</v>
      </c>
      <c r="F9" s="5767">
        <v>5281500</v>
      </c>
      <c r="G9" s="5767">
        <f>'lbpf 3-BICTU'!K58</f>
        <v>6233940</v>
      </c>
      <c r="H9" s="10657">
        <f t="shared" si="0"/>
        <v>0.18033513206475432</v>
      </c>
      <c r="I9" s="5767">
        <v>690000</v>
      </c>
      <c r="J9" s="5767">
        <f>'lbpf 3-BICTU'!K66</f>
        <v>490000</v>
      </c>
      <c r="K9" s="10657">
        <f t="shared" si="1"/>
        <v>-0.28985507246376813</v>
      </c>
      <c r="L9" s="5767">
        <v>3000000</v>
      </c>
      <c r="M9" s="5767">
        <f>'lbpf 3-BICTU'!K72</f>
        <v>500000</v>
      </c>
      <c r="N9" s="10657">
        <f t="shared" ref="N9:N23" si="6">(M9-L9)/L9</f>
        <v>-0.83333333333333337</v>
      </c>
      <c r="O9" s="12642">
        <f t="shared" si="2"/>
        <v>12567962</v>
      </c>
      <c r="P9" s="5767">
        <f t="shared" si="3"/>
        <v>12932067.545</v>
      </c>
      <c r="Q9" s="5774">
        <f>P9/P78</f>
        <v>5.1115035311437304E-3</v>
      </c>
      <c r="S9" s="5774">
        <f>'lbpf 3-BICTU'!J83</f>
        <v>0</v>
      </c>
      <c r="T9" s="5767">
        <f>'lbpf 3-BICTU'!E72</f>
        <v>442880.6</v>
      </c>
      <c r="V9" s="7003">
        <f t="shared" si="4"/>
        <v>2.8970929813441505E-2</v>
      </c>
      <c r="AW9" s="7194">
        <v>8188447</v>
      </c>
      <c r="AX9" s="5781">
        <f>P9-AW9</f>
        <v>4743620.5449999999</v>
      </c>
    </row>
    <row r="10" spans="1:51">
      <c r="A10" s="5766" t="s">
        <v>10321</v>
      </c>
      <c r="B10" s="7194">
        <v>2406028</v>
      </c>
      <c r="C10" s="5767">
        <f>'lbpf 3-EDCOM'!K25</f>
        <v>1798406.0549999999</v>
      </c>
      <c r="D10" s="5767"/>
      <c r="E10" s="10657">
        <f t="shared" si="5"/>
        <v>-0.25254151032323818</v>
      </c>
      <c r="F10" s="5767">
        <v>3327120</v>
      </c>
      <c r="G10" s="5767">
        <f>'lbpf 3-EDCOM'!K60</f>
        <v>3212880</v>
      </c>
      <c r="H10" s="10657">
        <f t="shared" si="0"/>
        <v>-3.4336002308302679E-2</v>
      </c>
      <c r="I10" s="5767">
        <v>1029000</v>
      </c>
      <c r="J10" s="5767">
        <f>'lbpf 3-EDCOM'!K65</f>
        <v>1100000</v>
      </c>
      <c r="K10" s="10657">
        <f t="shared" si="1"/>
        <v>6.8999028182701649E-2</v>
      </c>
      <c r="L10" s="5767">
        <v>8042800</v>
      </c>
      <c r="M10" s="5767">
        <f>'lbpf 3-EDCOM'!K76</f>
        <v>8000000</v>
      </c>
      <c r="N10" s="10657">
        <f t="shared" si="6"/>
        <v>-5.3215298154871441E-3</v>
      </c>
      <c r="O10" s="12642">
        <f t="shared" si="2"/>
        <v>14804948</v>
      </c>
      <c r="P10" s="5767">
        <f t="shared" si="3"/>
        <v>14111286.055</v>
      </c>
      <c r="Q10" s="5774">
        <f>P10/P78</f>
        <v>5.5775991153866012E-3</v>
      </c>
      <c r="S10" s="5774">
        <f>'lbpf 3-EDCOM'!J86</f>
        <v>-4.6853386111183927E-2</v>
      </c>
      <c r="T10" s="5767">
        <f>'lbpf 3-EDCOM'!E76</f>
        <v>7219378.5</v>
      </c>
      <c r="V10" s="7003">
        <f t="shared" si="4"/>
        <v>-4.6853386111183927E-2</v>
      </c>
      <c r="AW10" s="7194">
        <v>11663970</v>
      </c>
      <c r="AX10" s="5781">
        <f>P10-AW10</f>
        <v>2447316.0549999997</v>
      </c>
      <c r="AY10" s="7003">
        <f>AX10/AW10</f>
        <v>0.20981844560642729</v>
      </c>
    </row>
    <row r="11" spans="1:51">
      <c r="A11" s="5766" t="s">
        <v>10320</v>
      </c>
      <c r="B11" s="7194">
        <v>1261218</v>
      </c>
      <c r="C11" s="5767">
        <f>'lbpf 3-EDCENTER'!K25</f>
        <v>2307983.665</v>
      </c>
      <c r="D11" s="5767"/>
      <c r="E11" s="10657">
        <f t="shared" si="5"/>
        <v>0.82996410216156136</v>
      </c>
      <c r="F11" s="5767">
        <v>169000</v>
      </c>
      <c r="G11" s="5767">
        <f>'lbpf 3-EDCENTER'!K62</f>
        <v>136000</v>
      </c>
      <c r="H11" s="10657">
        <f t="shared" si="0"/>
        <v>-0.19526627218934911</v>
      </c>
      <c r="I11" s="5767">
        <v>30000</v>
      </c>
      <c r="J11" s="5767">
        <f>'lbpf 3-EDCENTER'!K70</f>
        <v>35000</v>
      </c>
      <c r="K11" s="10657">
        <f t="shared" si="1"/>
        <v>0.16666666666666666</v>
      </c>
      <c r="L11" s="5767">
        <v>12000000</v>
      </c>
      <c r="M11" s="5767">
        <f>'lbpf 3-EDCENTER'!K78</f>
        <v>12000000</v>
      </c>
      <c r="N11" s="10657">
        <f t="shared" si="6"/>
        <v>0</v>
      </c>
      <c r="O11" s="12642">
        <f t="shared" si="2"/>
        <v>13460218</v>
      </c>
      <c r="P11" s="5767">
        <f t="shared" si="3"/>
        <v>14478983.664999999</v>
      </c>
      <c r="Q11" s="5774">
        <f>P11/P78</f>
        <v>5.7229345480517974E-3</v>
      </c>
      <c r="T11" s="5767">
        <f>'lbpf 3-EDCENTER'!E78</f>
        <v>6871927.5999999996</v>
      </c>
      <c r="V11" s="7003">
        <f t="shared" si="4"/>
        <v>7.5687159375873336E-2</v>
      </c>
      <c r="AW11" s="7194">
        <v>10351905</v>
      </c>
      <c r="AX11" s="5781">
        <f>P11-AW11</f>
        <v>4127078.6649999991</v>
      </c>
      <c r="AY11" s="7003">
        <f>AX11/AW11</f>
        <v>0.39867818193849336</v>
      </c>
    </row>
    <row r="12" spans="1:51">
      <c r="A12" s="5766" t="s">
        <v>11179</v>
      </c>
      <c r="B12" s="7194">
        <v>1352158</v>
      </c>
      <c r="C12" s="5767">
        <f>'lbpf 3-PYDO'!K27</f>
        <v>1251385.17</v>
      </c>
      <c r="D12" s="5767"/>
      <c r="E12" s="10657">
        <f t="shared" si="5"/>
        <v>-7.4527407300034515E-2</v>
      </c>
      <c r="F12" s="5767">
        <v>300000</v>
      </c>
      <c r="G12" s="5767">
        <f>'lbpf 3-PYDO'!K69</f>
        <v>1140000</v>
      </c>
      <c r="H12" s="10657">
        <f t="shared" si="0"/>
        <v>2.8</v>
      </c>
      <c r="I12" s="5767"/>
      <c r="J12" s="5767"/>
      <c r="K12" s="10657" t="e">
        <f t="shared" si="1"/>
        <v>#DIV/0!</v>
      </c>
      <c r="L12" s="5767">
        <v>11100000</v>
      </c>
      <c r="M12" s="5767">
        <f>'lbpf 3-PYDO'!K82</f>
        <v>6800000</v>
      </c>
      <c r="N12" s="10657">
        <f t="shared" si="6"/>
        <v>-0.38738738738738737</v>
      </c>
      <c r="O12" s="12642">
        <f t="shared" si="2"/>
        <v>12752158</v>
      </c>
      <c r="P12" s="5767">
        <f t="shared" si="3"/>
        <v>9191385.1699999999</v>
      </c>
      <c r="Q12" s="5774">
        <f>P12/P78</f>
        <v>3.6329687877884585E-3</v>
      </c>
      <c r="T12" s="5767">
        <f>'lbpf 3-PYDO'!E82</f>
        <v>0</v>
      </c>
      <c r="V12" s="7003">
        <f t="shared" si="4"/>
        <v>-0.27922903950845024</v>
      </c>
      <c r="AX12" s="5781"/>
    </row>
    <row r="13" spans="1:51">
      <c r="A13" s="5766" t="s">
        <v>267</v>
      </c>
      <c r="B13" s="7194">
        <v>5406566</v>
      </c>
      <c r="C13" s="5767">
        <f>'lbpf 3-PIAO'!J29</f>
        <v>5654721.1849999996</v>
      </c>
      <c r="D13" s="5767"/>
      <c r="E13" s="10657">
        <f t="shared" si="5"/>
        <v>4.589885428199704E-2</v>
      </c>
      <c r="F13" s="5767">
        <v>1271000</v>
      </c>
      <c r="G13" s="5767">
        <f>'lbpf 3-PIAO'!J56</f>
        <v>1234000</v>
      </c>
      <c r="H13" s="10657">
        <f t="shared" si="0"/>
        <v>-2.9110936270653028E-2</v>
      </c>
      <c r="I13" s="5767">
        <v>100000</v>
      </c>
      <c r="J13" s="5767">
        <f>'lbpf 3-PIAO'!J63</f>
        <v>50000</v>
      </c>
      <c r="K13" s="10657">
        <f t="shared" si="1"/>
        <v>-0.5</v>
      </c>
      <c r="L13" s="5767">
        <v>0</v>
      </c>
      <c r="M13" s="5767">
        <f>'lbpf 3-PIAO'!J67</f>
        <v>0</v>
      </c>
      <c r="N13" s="10657"/>
      <c r="O13" s="12642">
        <f t="shared" si="2"/>
        <v>6777566</v>
      </c>
      <c r="P13" s="5767">
        <f t="shared" si="3"/>
        <v>6938721.1849999996</v>
      </c>
      <c r="Q13" s="5774">
        <f>P13/P78</f>
        <v>2.7425852606578933E-3</v>
      </c>
      <c r="S13" s="5774">
        <f>'lbpf 3-PIAO'!I70</f>
        <v>2.3777737465042699E-2</v>
      </c>
      <c r="T13" s="5767">
        <f>'lbpf 3-PIAO'!D67</f>
        <v>0</v>
      </c>
      <c r="V13" s="7003">
        <f t="shared" si="4"/>
        <v>2.3777737465042699E-2</v>
      </c>
      <c r="AW13" s="7194">
        <v>4307114</v>
      </c>
      <c r="AX13" s="5781">
        <f t="shared" ref="AX13:AX23" si="7">P13-AW13</f>
        <v>2631607.1849999996</v>
      </c>
    </row>
    <row r="14" spans="1:51">
      <c r="A14" s="5766" t="s">
        <v>10335</v>
      </c>
      <c r="B14" s="7194">
        <v>60159365</v>
      </c>
      <c r="C14" s="5767">
        <f>'lbpf 3-SP'!K33</f>
        <v>63917373.109999999</v>
      </c>
      <c r="D14" s="5767"/>
      <c r="E14" s="10657">
        <f t="shared" si="5"/>
        <v>6.2467549482944168E-2</v>
      </c>
      <c r="F14" s="5767">
        <v>65892350</v>
      </c>
      <c r="G14" s="5767">
        <f>'lbpf 3-SP'!K152</f>
        <v>67238550</v>
      </c>
      <c r="H14" s="10657">
        <f t="shared" si="0"/>
        <v>2.0430292742632489E-2</v>
      </c>
      <c r="I14" s="5767">
        <v>12425900</v>
      </c>
      <c r="J14" s="5767">
        <f>'lbpf 3-SP'!K205</f>
        <v>7500000</v>
      </c>
      <c r="K14" s="10657">
        <f t="shared" si="1"/>
        <v>-0.39642198955407659</v>
      </c>
      <c r="L14" s="5767">
        <v>0</v>
      </c>
      <c r="M14" s="7272">
        <f>'lbpf 3-SP'!K231</f>
        <v>0</v>
      </c>
      <c r="N14" s="10657"/>
      <c r="O14" s="12642">
        <f t="shared" si="2"/>
        <v>138477615</v>
      </c>
      <c r="P14" s="5767">
        <f t="shared" si="3"/>
        <v>138655923.11000001</v>
      </c>
      <c r="Q14" s="5774">
        <f>P14/P78</f>
        <v>5.4804866903497035E-2</v>
      </c>
      <c r="S14" s="5774">
        <f>'lbpf 3-SP'!J243</f>
        <v>1.2876312897215504E-3</v>
      </c>
      <c r="T14" s="7272">
        <f>'lbpf 3-SP'!E231</f>
        <v>0</v>
      </c>
      <c r="V14" s="7003">
        <f t="shared" si="4"/>
        <v>1.2876312897215504E-3</v>
      </c>
      <c r="AW14" s="7194">
        <v>122493133</v>
      </c>
      <c r="AX14" s="5781">
        <f t="shared" si="7"/>
        <v>16162790.110000014</v>
      </c>
    </row>
    <row r="15" spans="1:51">
      <c r="A15" s="5766" t="s">
        <v>223</v>
      </c>
      <c r="B15" s="7194">
        <v>11681689</v>
      </c>
      <c r="C15" s="5767">
        <f>'lbpf 3-PHRMD'!J29</f>
        <v>14346401.17</v>
      </c>
      <c r="D15" s="5767"/>
      <c r="E15" s="10657">
        <f t="shared" si="5"/>
        <v>0.22811017910166928</v>
      </c>
      <c r="F15" s="5767">
        <v>3653000</v>
      </c>
      <c r="G15" s="5767">
        <f>'lbpf 3-PHRMD'!J65</f>
        <v>4043150</v>
      </c>
      <c r="H15" s="10657">
        <f t="shared" si="0"/>
        <v>0.1068026279770052</v>
      </c>
      <c r="I15" s="5767">
        <v>390000</v>
      </c>
      <c r="J15" s="5767">
        <f>'lbpf 3-PHRMD'!J93</f>
        <v>150000</v>
      </c>
      <c r="K15" s="10657">
        <f t="shared" si="1"/>
        <v>-0.61538461538461542</v>
      </c>
      <c r="L15" s="5767">
        <v>2000000</v>
      </c>
      <c r="M15" s="5767">
        <f>'lbpf 3-PHRMD'!J99</f>
        <v>2000000</v>
      </c>
      <c r="N15" s="10657">
        <f t="shared" si="6"/>
        <v>0</v>
      </c>
      <c r="O15" s="12642">
        <f t="shared" si="2"/>
        <v>17724689</v>
      </c>
      <c r="P15" s="5767">
        <f t="shared" si="3"/>
        <v>20539551.170000002</v>
      </c>
      <c r="Q15" s="5774">
        <f>P15/P78</f>
        <v>8.1184225158299969E-3</v>
      </c>
      <c r="S15" s="5774">
        <f>'lbpf 3-PHRMD'!I116</f>
        <v>0</v>
      </c>
      <c r="T15" s="5767">
        <f>'lbpf 3-PHRMD'!D99</f>
        <v>449450</v>
      </c>
      <c r="V15" s="7003">
        <f t="shared" si="4"/>
        <v>0.15881024315856834</v>
      </c>
      <c r="AW15" s="7194">
        <v>15312517</v>
      </c>
      <c r="AX15" s="5781">
        <f t="shared" si="7"/>
        <v>5227034.1700000018</v>
      </c>
    </row>
    <row r="16" spans="1:51">
      <c r="A16" s="5766" t="s">
        <v>224</v>
      </c>
      <c r="B16" s="7194">
        <v>18694518</v>
      </c>
      <c r="C16" s="5767">
        <f>'lbpf 3-PPDO'!J29</f>
        <v>18893835.060000002</v>
      </c>
      <c r="D16" s="5767"/>
      <c r="E16" s="10657">
        <f t="shared" si="5"/>
        <v>1.0661791868611022E-2</v>
      </c>
      <c r="F16" s="5767">
        <v>4574000</v>
      </c>
      <c r="G16" s="5767">
        <f>'lbpf 3-PPDO'!J69</f>
        <v>4310396</v>
      </c>
      <c r="H16" s="10657">
        <f t="shared" si="0"/>
        <v>-5.7630957586357674E-2</v>
      </c>
      <c r="I16" s="5767">
        <v>232090</v>
      </c>
      <c r="J16" s="5767">
        <f>'lbpf 3-PPDO'!J77</f>
        <v>251800</v>
      </c>
      <c r="K16" s="10657">
        <f t="shared" si="1"/>
        <v>8.4923951915205312E-2</v>
      </c>
      <c r="L16" s="5767">
        <v>1920000</v>
      </c>
      <c r="M16" s="5767">
        <f>'lbpf 3-PPDO'!J103</f>
        <v>1970000</v>
      </c>
      <c r="N16" s="10657">
        <f t="shared" si="6"/>
        <v>2.6041666666666668E-2</v>
      </c>
      <c r="O16" s="12642">
        <f t="shared" si="2"/>
        <v>25420608</v>
      </c>
      <c r="P16" s="5767">
        <f t="shared" si="3"/>
        <v>25426031.060000002</v>
      </c>
      <c r="Q16" s="5774">
        <f>P16/P78</f>
        <v>1.0049842926810987E-2</v>
      </c>
      <c r="S16" s="5776">
        <f>'lbpf 3-PPDO'!I116</f>
        <v>0</v>
      </c>
      <c r="T16" s="5767">
        <f>'lbpf 3-PPDO'!D103</f>
        <v>895931.75</v>
      </c>
      <c r="V16" s="7003">
        <f t="shared" si="4"/>
        <v>2.1333321374541412E-4</v>
      </c>
      <c r="AW16" s="7194">
        <v>21829265</v>
      </c>
      <c r="AX16" s="5781">
        <f t="shared" si="7"/>
        <v>3596766.0600000024</v>
      </c>
    </row>
    <row r="17" spans="1:53">
      <c r="A17" s="5766" t="s">
        <v>225</v>
      </c>
      <c r="B17" s="7194">
        <v>26339895</v>
      </c>
      <c r="C17" s="5767">
        <f>'lbpf 3-GSO '!J31</f>
        <v>28880117.794999998</v>
      </c>
      <c r="D17" s="5767"/>
      <c r="E17" s="10657">
        <f t="shared" si="5"/>
        <v>9.6440126090100137E-2</v>
      </c>
      <c r="F17" s="5767">
        <v>16133000</v>
      </c>
      <c r="G17" s="5767">
        <f>'lbpf 3-GSO '!J69</f>
        <v>35132118</v>
      </c>
      <c r="H17" s="10657">
        <f t="shared" si="0"/>
        <v>1.177655612719271</v>
      </c>
      <c r="I17" s="5767">
        <v>650000</v>
      </c>
      <c r="J17" s="5767">
        <f>'lbpf 3-GSO '!J106</f>
        <v>5160000</v>
      </c>
      <c r="K17" s="10657">
        <f t="shared" si="1"/>
        <v>6.9384615384615387</v>
      </c>
      <c r="L17" s="5767">
        <v>0</v>
      </c>
      <c r="M17" s="5767">
        <f>'lbpf 3-GSO '!J110</f>
        <v>0</v>
      </c>
      <c r="N17" s="10657"/>
      <c r="O17" s="12642">
        <f t="shared" si="2"/>
        <v>43122895</v>
      </c>
      <c r="P17" s="5767">
        <f t="shared" si="3"/>
        <v>69172235.795000002</v>
      </c>
      <c r="Q17" s="5774">
        <f>P17/P78</f>
        <v>2.7340881594757342E-2</v>
      </c>
      <c r="S17" s="5774">
        <f>'lbpf 3-GSO '!I120</f>
        <v>0.60407217082712095</v>
      </c>
      <c r="T17" s="5767">
        <f>'lbpf 3-GSO '!D110</f>
        <v>0</v>
      </c>
      <c r="V17" s="7003">
        <f t="shared" si="4"/>
        <v>0.60407217082712095</v>
      </c>
      <c r="AW17" s="7194">
        <v>36039132</v>
      </c>
      <c r="AX17" s="5781">
        <f t="shared" si="7"/>
        <v>33133103.795000002</v>
      </c>
    </row>
    <row r="18" spans="1:53">
      <c r="A18" s="5766" t="s">
        <v>226</v>
      </c>
      <c r="B18" s="7194">
        <v>10087065</v>
      </c>
      <c r="C18" s="5767">
        <f>'lbpf 3-PBMO'!J29</f>
        <v>11460955.75</v>
      </c>
      <c r="D18" s="5767"/>
      <c r="E18" s="10657">
        <f t="shared" si="5"/>
        <v>0.1362032216506982</v>
      </c>
      <c r="F18" s="5767">
        <v>1111000</v>
      </c>
      <c r="G18" s="5767">
        <f>'lbpf 3-PBMO'!J61</f>
        <v>1325000</v>
      </c>
      <c r="H18" s="10657">
        <f t="shared" si="0"/>
        <v>0.19261926192619261</v>
      </c>
      <c r="I18" s="5767">
        <v>0</v>
      </c>
      <c r="J18" s="5767">
        <f>'lbpf 3-PBMO'!J87</f>
        <v>96436</v>
      </c>
      <c r="K18" s="10657" t="e">
        <f t="shared" si="1"/>
        <v>#DIV/0!</v>
      </c>
      <c r="L18" s="5767">
        <v>300000</v>
      </c>
      <c r="M18" s="5767">
        <f>'lbpf 3-PBMO'!J92</f>
        <v>400000</v>
      </c>
      <c r="N18" s="10657">
        <f t="shared" si="6"/>
        <v>0.33333333333333331</v>
      </c>
      <c r="O18" s="12642">
        <f t="shared" si="2"/>
        <v>11498065</v>
      </c>
      <c r="P18" s="5767">
        <f t="shared" si="3"/>
        <v>13282391.75</v>
      </c>
      <c r="Q18" s="5774">
        <f>P18/P78</f>
        <v>5.2499719859883673E-3</v>
      </c>
      <c r="S18" s="5776">
        <f>'lbpf 3-PBMO'!I103</f>
        <v>0.15518495938229607</v>
      </c>
      <c r="T18" s="5767">
        <f>'lbpf 3-PBMO'!D92</f>
        <v>125096.95</v>
      </c>
      <c r="V18" s="7003">
        <f t="shared" si="4"/>
        <v>0.15518495938229607</v>
      </c>
      <c r="AW18" s="7194">
        <v>9480260</v>
      </c>
      <c r="AX18" s="5781">
        <f t="shared" si="7"/>
        <v>3802131.75</v>
      </c>
    </row>
    <row r="19" spans="1:53">
      <c r="A19" s="5766" t="s">
        <v>227</v>
      </c>
      <c r="B19" s="7194">
        <v>23072283</v>
      </c>
      <c r="C19" s="5767">
        <f>'lbpf 3-PAccO'!J29</f>
        <v>23865314.195</v>
      </c>
      <c r="D19" s="5767"/>
      <c r="E19" s="10657">
        <f t="shared" si="5"/>
        <v>3.4371596213517333E-2</v>
      </c>
      <c r="F19" s="5767">
        <v>2762000</v>
      </c>
      <c r="G19" s="5767">
        <f>'lbpf 3-PAccO'!J62</f>
        <v>2462200</v>
      </c>
      <c r="H19" s="10657">
        <f t="shared" si="0"/>
        <v>-0.10854453294713975</v>
      </c>
      <c r="I19" s="5767">
        <v>400000</v>
      </c>
      <c r="J19" s="5767">
        <f>'lbpf 3-PAccO'!J88</f>
        <v>200000</v>
      </c>
      <c r="K19" s="10657">
        <f t="shared" si="1"/>
        <v>-0.5</v>
      </c>
      <c r="L19" s="5767">
        <v>1600000</v>
      </c>
      <c r="M19" s="5767">
        <f>'lbpf 3-PAccO'!J95</f>
        <v>1600000</v>
      </c>
      <c r="N19" s="10657">
        <f t="shared" si="6"/>
        <v>0</v>
      </c>
      <c r="O19" s="12642">
        <f t="shared" si="2"/>
        <v>27834283</v>
      </c>
      <c r="P19" s="5767">
        <f t="shared" si="3"/>
        <v>28127514.195</v>
      </c>
      <c r="Q19" s="5774">
        <f>P19/P78</f>
        <v>1.1117625826631724E-2</v>
      </c>
      <c r="S19" s="5774">
        <f>'lbpf 3-PAccO'!I105</f>
        <v>1.0534893066941954E-2</v>
      </c>
      <c r="T19" s="5767">
        <f>'lbpf 3-PAccO'!D95</f>
        <v>1393356.12</v>
      </c>
      <c r="V19" s="7003">
        <f t="shared" si="4"/>
        <v>1.0534893066941954E-2</v>
      </c>
      <c r="AW19" s="7194">
        <v>20382975</v>
      </c>
      <c r="AX19" s="5781">
        <f t="shared" si="7"/>
        <v>7744539.1950000003</v>
      </c>
    </row>
    <row r="20" spans="1:53">
      <c r="A20" s="5766" t="s">
        <v>228</v>
      </c>
      <c r="B20" s="7194">
        <v>22664145</v>
      </c>
      <c r="C20" s="5767">
        <f>'lbpf 3-PTO'!J30</f>
        <v>24328811.169999998</v>
      </c>
      <c r="D20" s="5767"/>
      <c r="E20" s="10657">
        <f t="shared" si="5"/>
        <v>7.3449325796318285E-2</v>
      </c>
      <c r="F20" s="5767">
        <v>12108400</v>
      </c>
      <c r="G20" s="5767">
        <f>'lbpf 3-PTO'!J65</f>
        <v>11871400</v>
      </c>
      <c r="H20" s="10657">
        <f t="shared" si="0"/>
        <v>-1.957318886062568E-2</v>
      </c>
      <c r="I20" s="5767">
        <v>665000</v>
      </c>
      <c r="J20" s="5767">
        <f>'lbpf 3-PTO'!J92</f>
        <v>2022000</v>
      </c>
      <c r="K20" s="10657">
        <f t="shared" si="1"/>
        <v>2.0406015037593983</v>
      </c>
      <c r="L20" s="5767">
        <v>0</v>
      </c>
      <c r="M20" s="5767">
        <f>'lbpf 3-PTO'!J98</f>
        <v>0</v>
      </c>
      <c r="N20" s="10657"/>
      <c r="O20" s="12642">
        <f t="shared" si="2"/>
        <v>35437545</v>
      </c>
      <c r="P20" s="5767">
        <f t="shared" si="3"/>
        <v>38222211.170000002</v>
      </c>
      <c r="Q20" s="5774">
        <f>P20/P78</f>
        <v>1.5107635858205406E-2</v>
      </c>
      <c r="S20" s="5774">
        <f>'lbpf 3-PTO'!I112</f>
        <v>7.8579545225268901E-2</v>
      </c>
      <c r="T20" s="5767">
        <f>'lbpf 3-PTO'!D98</f>
        <v>0</v>
      </c>
      <c r="V20" s="7003">
        <f t="shared" si="4"/>
        <v>7.8579545225268901E-2</v>
      </c>
      <c r="AW20" s="7194">
        <v>31338188</v>
      </c>
      <c r="AX20" s="5781">
        <f t="shared" si="7"/>
        <v>6884023.1700000018</v>
      </c>
    </row>
    <row r="21" spans="1:53">
      <c r="A21" s="5766" t="s">
        <v>229</v>
      </c>
      <c r="B21" s="7194">
        <v>14390336</v>
      </c>
      <c r="C21" s="5767">
        <f>'lbpf 3-PAssO'!J30</f>
        <v>15038925.67</v>
      </c>
      <c r="D21" s="5767"/>
      <c r="E21" s="10657">
        <f t="shared" si="5"/>
        <v>4.507119708671152E-2</v>
      </c>
      <c r="F21" s="5767">
        <v>2495000</v>
      </c>
      <c r="G21" s="5767">
        <f>'lbpf 3-PAssO'!J62</f>
        <v>2248000</v>
      </c>
      <c r="H21" s="10657">
        <f t="shared" si="0"/>
        <v>-9.8997995991983972E-2</v>
      </c>
      <c r="I21" s="5767">
        <v>400000</v>
      </c>
      <c r="J21" s="5767">
        <f>'lbpf 3-PAssO'!J94</f>
        <v>510000</v>
      </c>
      <c r="K21" s="10657">
        <f t="shared" si="1"/>
        <v>0.27500000000000002</v>
      </c>
      <c r="L21" s="5767">
        <v>4400000</v>
      </c>
      <c r="M21" s="5767">
        <f>'lbpf 3-PAssO'!J103</f>
        <v>2685000</v>
      </c>
      <c r="N21" s="10657">
        <f t="shared" si="6"/>
        <v>-0.38977272727272727</v>
      </c>
      <c r="O21" s="12642">
        <f t="shared" si="2"/>
        <v>21685336</v>
      </c>
      <c r="P21" s="5767">
        <f t="shared" si="3"/>
        <v>20481925.670000002</v>
      </c>
      <c r="Q21" s="5774">
        <f>P21/P78</f>
        <v>8.0956455742691082E-3</v>
      </c>
      <c r="S21" s="5774">
        <f>'lbpf 3-PAssO'!I114</f>
        <v>-5.5494198014732085E-2</v>
      </c>
      <c r="T21" s="5767">
        <f>'lbpf 3-PAssO'!D103</f>
        <v>158258.19</v>
      </c>
      <c r="V21" s="7003">
        <f t="shared" si="4"/>
        <v>-5.5494198014732085E-2</v>
      </c>
      <c r="AW21" s="7194">
        <v>15310489</v>
      </c>
      <c r="AX21" s="5781">
        <f t="shared" si="7"/>
        <v>5171436.6700000018</v>
      </c>
    </row>
    <row r="22" spans="1:53">
      <c r="A22" s="5766" t="s">
        <v>230</v>
      </c>
      <c r="B22" s="7194">
        <v>10141284</v>
      </c>
      <c r="C22" s="5775">
        <f>'lbpf 3-LEGAL'!J30</f>
        <v>8502406.7300000004</v>
      </c>
      <c r="D22" s="5775"/>
      <c r="E22" s="10657">
        <f t="shared" si="5"/>
        <v>-0.16160451378740598</v>
      </c>
      <c r="F22" s="5775">
        <v>4344240</v>
      </c>
      <c r="G22" s="5775">
        <f>'lbpf 3-LEGAL'!J63</f>
        <v>4091000</v>
      </c>
      <c r="H22" s="10657">
        <f t="shared" si="0"/>
        <v>-5.8293280297589449E-2</v>
      </c>
      <c r="I22" s="5775">
        <v>300000</v>
      </c>
      <c r="J22" s="5775">
        <f>'lbpf 3-LEGAL'!J86</f>
        <v>200000</v>
      </c>
      <c r="K22" s="10657">
        <f t="shared" si="1"/>
        <v>-0.33333333333333331</v>
      </c>
      <c r="L22" s="5775">
        <v>800000</v>
      </c>
      <c r="M22" s="5775">
        <f>'lbpf 3-LEGAL'!J92</f>
        <v>450000</v>
      </c>
      <c r="N22" s="10657">
        <f t="shared" si="6"/>
        <v>-0.4375</v>
      </c>
      <c r="O22" s="12642">
        <f t="shared" si="2"/>
        <v>15585524</v>
      </c>
      <c r="P22" s="5767">
        <f t="shared" si="3"/>
        <v>13243406.73</v>
      </c>
      <c r="Q22" s="5774">
        <f>P22/P78</f>
        <v>5.2345628438153699E-3</v>
      </c>
      <c r="S22" s="5774">
        <f>'lbpf 3-LEGAL'!I107</f>
        <v>0</v>
      </c>
      <c r="T22" s="5775">
        <f>'lbpf 3-LEGAL'!D92</f>
        <v>350000</v>
      </c>
      <c r="V22" s="7003">
        <f t="shared" si="4"/>
        <v>-0.15027517008731947</v>
      </c>
      <c r="AW22" s="7194">
        <v>12420164</v>
      </c>
      <c r="AX22" s="5781">
        <f t="shared" si="7"/>
        <v>823242.73000000045</v>
      </c>
    </row>
    <row r="23" spans="1:53" ht="15">
      <c r="A23" s="5766" t="s">
        <v>10328</v>
      </c>
      <c r="B23" s="12643">
        <v>11798296</v>
      </c>
      <c r="C23" s="5777">
        <f>'lbpf 3-PDRRMO'!K28</f>
        <v>15854852.514999999</v>
      </c>
      <c r="D23" s="5777"/>
      <c r="E23" s="10657">
        <f t="shared" si="5"/>
        <v>0.3438256265989596</v>
      </c>
      <c r="F23" s="5777">
        <v>17350000</v>
      </c>
      <c r="G23" s="5777">
        <f>'lbpf 3-PDRRMO'!K65</f>
        <v>19900000</v>
      </c>
      <c r="H23" s="10657">
        <f t="shared" si="0"/>
        <v>0.14697406340057637</v>
      </c>
      <c r="I23" s="5777">
        <v>0</v>
      </c>
      <c r="J23" s="5777">
        <f>'lbpf 3-PDRRMO'!K69</f>
        <v>811800</v>
      </c>
      <c r="K23" s="10657" t="e">
        <f t="shared" si="1"/>
        <v>#DIV/0!</v>
      </c>
      <c r="L23" s="5777">
        <v>0</v>
      </c>
      <c r="M23" s="5777">
        <f>'lbpf 3-PDRRMO'!K75</f>
        <v>500000</v>
      </c>
      <c r="N23" s="10657" t="e">
        <f t="shared" si="6"/>
        <v>#DIV/0!</v>
      </c>
      <c r="O23" s="12644">
        <f t="shared" si="2"/>
        <v>29148296</v>
      </c>
      <c r="P23" s="5768">
        <f t="shared" si="3"/>
        <v>37066652.515000001</v>
      </c>
      <c r="Q23" s="5774">
        <f>P23/P78</f>
        <v>1.4650892021620673E-2</v>
      </c>
      <c r="S23" s="5774">
        <f>'lbpf 3-PDRRMO'!J84</f>
        <v>0.2716576130213581</v>
      </c>
      <c r="T23" s="5777">
        <f>'lbpf 3-PDRRMO'!E75</f>
        <v>0</v>
      </c>
      <c r="V23" s="10707">
        <f t="shared" si="4"/>
        <v>0.2716576130213581</v>
      </c>
      <c r="AW23" s="7194">
        <v>2967027</v>
      </c>
      <c r="AX23" s="5781">
        <f t="shared" si="7"/>
        <v>34099625.515000001</v>
      </c>
    </row>
    <row r="24" spans="1:53" ht="13.5" customHeight="1" thickBot="1">
      <c r="A24" s="5766" t="s">
        <v>231</v>
      </c>
      <c r="B24" s="12645">
        <f>SUM(B7:B23)</f>
        <v>268956659</v>
      </c>
      <c r="C24" s="12646">
        <f>SUM(C7:C23)</f>
        <v>285715344.23499995</v>
      </c>
      <c r="D24" s="10654"/>
      <c r="E24" s="10654"/>
      <c r="F24" s="12645">
        <f>SUM(F7:F23)</f>
        <v>284760610</v>
      </c>
      <c r="G24" s="12646">
        <f>SUM(G7:G23)</f>
        <v>295287634</v>
      </c>
      <c r="H24" s="10705">
        <f t="shared" si="0"/>
        <v>3.6967978120288479E-2</v>
      </c>
      <c r="I24" s="12645">
        <f>SUM(I7:I23)</f>
        <v>19991990</v>
      </c>
      <c r="J24" s="12646">
        <f>SUM(J7:J23)</f>
        <v>19802036</v>
      </c>
      <c r="K24" s="10654"/>
      <c r="L24" s="12645">
        <f>SUM(L7:L23)</f>
        <v>94062800</v>
      </c>
      <c r="M24" s="12646">
        <f>SUM(M7:M23)</f>
        <v>85805000</v>
      </c>
      <c r="N24" s="10654"/>
      <c r="O24" s="12646">
        <f>SUM(O7:O23)</f>
        <v>667772059</v>
      </c>
      <c r="P24" s="12646">
        <f>SUM(P7:P23)</f>
        <v>686610014.23500001</v>
      </c>
      <c r="Q24" s="5765"/>
      <c r="R24" s="5765"/>
      <c r="S24" s="5765"/>
      <c r="V24" s="10706">
        <f t="shared" si="4"/>
        <v>2.8210157914079503E-2</v>
      </c>
      <c r="AW24" s="7194">
        <v>545321098.24000001</v>
      </c>
      <c r="BA24" s="5781">
        <f>SUM(C24:M24)</f>
        <v>1085425414.2719679</v>
      </c>
    </row>
    <row r="25" spans="1:53" ht="5.25" customHeight="1">
      <c r="A25" s="5766"/>
      <c r="C25" s="5769"/>
      <c r="D25" s="5769"/>
      <c r="E25" s="5769"/>
      <c r="F25" s="5769"/>
      <c r="G25" s="5769"/>
      <c r="H25" s="5769"/>
      <c r="I25" s="5769"/>
      <c r="J25" s="5769"/>
      <c r="K25" s="5769"/>
      <c r="L25" s="5769"/>
      <c r="M25" s="5769"/>
      <c r="N25" s="5769"/>
      <c r="O25" s="5769"/>
      <c r="P25" s="5769"/>
      <c r="Q25" s="5765"/>
      <c r="R25" s="5765"/>
      <c r="S25" s="5765"/>
    </row>
    <row r="26" spans="1:53">
      <c r="A26" s="5773" t="s">
        <v>232</v>
      </c>
      <c r="B26" s="12647"/>
      <c r="C26" s="13955"/>
      <c r="D26" s="5766"/>
      <c r="E26" s="5766"/>
      <c r="F26" s="5766"/>
      <c r="G26" s="5766"/>
      <c r="H26" s="5766"/>
      <c r="I26" s="5766"/>
      <c r="J26" s="5766"/>
      <c r="K26" s="5766"/>
      <c r="L26" s="5766"/>
      <c r="M26" s="5766"/>
      <c r="N26" s="5766"/>
      <c r="O26" s="5766"/>
      <c r="P26" s="13955"/>
    </row>
    <row r="27" spans="1:53">
      <c r="A27" s="5766" t="s">
        <v>233</v>
      </c>
      <c r="B27" s="7194">
        <v>8138248</v>
      </c>
      <c r="C27" s="5767">
        <f>'lbpf 3-BEMO'!J27</f>
        <v>9983752.5449999999</v>
      </c>
      <c r="D27" s="5767"/>
      <c r="E27" s="10657">
        <f t="shared" ref="E27:E41" si="8">(C27-B27)/B27</f>
        <v>0.2267692683978173</v>
      </c>
      <c r="F27" s="5767">
        <v>2444000</v>
      </c>
      <c r="G27" s="5767">
        <f>'lbpf 3-BEMO'!J67</f>
        <v>2452000</v>
      </c>
      <c r="H27" s="10657">
        <f t="shared" ref="H27:H42" si="9">(G27-F27)/F27</f>
        <v>3.2733224222585926E-3</v>
      </c>
      <c r="I27" s="5767">
        <v>100000</v>
      </c>
      <c r="J27" s="5767">
        <f>'lbpf 3-BEMO'!J94</f>
        <v>1602480</v>
      </c>
      <c r="K27" s="10657">
        <f t="shared" ref="K27:K41" si="10">(J27-I27)/I27</f>
        <v>15.024800000000001</v>
      </c>
      <c r="L27" s="5767">
        <v>0</v>
      </c>
      <c r="M27" s="5767">
        <f>'lbpf 3-BEMO'!J96</f>
        <v>0</v>
      </c>
      <c r="N27" s="10658"/>
      <c r="O27" s="12642">
        <f t="shared" ref="O27:O41" si="11">B27+F27+I27+L27</f>
        <v>10682248</v>
      </c>
      <c r="P27" s="5767">
        <f t="shared" ref="P27:P41" si="12">C27+G27+J27+M27</f>
        <v>14038232.545</v>
      </c>
      <c r="Q27" s="5774">
        <f>P27/P78</f>
        <v>5.5487241289988434E-3</v>
      </c>
      <c r="S27" s="5774">
        <f>'lbpf 3-BEMO'!I110</f>
        <v>0</v>
      </c>
      <c r="T27" s="10225">
        <f>'lbpf 3-BEMO'!D96</f>
        <v>0</v>
      </c>
      <c r="V27" s="7003">
        <f t="shared" si="4"/>
        <v>0.31416463510302323</v>
      </c>
      <c r="AW27" s="7194">
        <v>8037422</v>
      </c>
      <c r="AX27" s="5781">
        <f t="shared" ref="AX27:AX41" si="13">P27-AW27</f>
        <v>6000810.5449999999</v>
      </c>
    </row>
    <row r="28" spans="1:53">
      <c r="A28" s="5766" t="s">
        <v>3046</v>
      </c>
      <c r="B28" s="7194">
        <v>9486057</v>
      </c>
      <c r="C28" s="5767">
        <f>'lbpf 3-BDJ'!J30</f>
        <v>9329616.3450000007</v>
      </c>
      <c r="D28" s="5767"/>
      <c r="E28" s="10657">
        <f t="shared" si="8"/>
        <v>-1.6491641890829807E-2</v>
      </c>
      <c r="F28" s="5767">
        <v>22942000</v>
      </c>
      <c r="G28" s="5767">
        <f>'lbpf 3-BDJ'!J65</f>
        <v>24607000</v>
      </c>
      <c r="H28" s="10657">
        <f t="shared" si="9"/>
        <v>7.257431784500043E-2</v>
      </c>
      <c r="I28" s="5767">
        <v>633000</v>
      </c>
      <c r="J28" s="5767">
        <f>'lbpf 3-BDJ'!J105</f>
        <v>880000</v>
      </c>
      <c r="K28" s="10657">
        <f t="shared" si="10"/>
        <v>0.39020537124802529</v>
      </c>
      <c r="L28" s="5767"/>
      <c r="M28" s="5767"/>
      <c r="N28" s="10658"/>
      <c r="O28" s="12642">
        <f t="shared" si="11"/>
        <v>33061057</v>
      </c>
      <c r="P28" s="5767">
        <f t="shared" si="12"/>
        <v>34816616.344999999</v>
      </c>
      <c r="Q28" s="5774">
        <f>P28/P78</f>
        <v>1.3761547159468073E-2</v>
      </c>
      <c r="S28" s="5774">
        <f>'lbpf 3-BDJ'!I122</f>
        <v>5.3100520803070476E-2</v>
      </c>
      <c r="V28" s="7003">
        <f t="shared" si="4"/>
        <v>5.3100520803070476E-2</v>
      </c>
      <c r="AW28" s="7194">
        <v>28878314</v>
      </c>
      <c r="AX28" s="5781">
        <f t="shared" si="13"/>
        <v>5938302.3449999988</v>
      </c>
    </row>
    <row r="29" spans="1:53" hidden="1">
      <c r="A29" s="5766" t="s">
        <v>234</v>
      </c>
      <c r="B29" s="7194">
        <v>0</v>
      </c>
      <c r="C29" s="5767">
        <f>'lbpf 3-LIB'!H31</f>
        <v>0</v>
      </c>
      <c r="D29" s="5767"/>
      <c r="E29" s="10657" t="e">
        <f t="shared" si="8"/>
        <v>#DIV/0!</v>
      </c>
      <c r="F29" s="5767">
        <v>0</v>
      </c>
      <c r="G29" s="5767">
        <f>'lbpf 3-LIB'!H53</f>
        <v>0</v>
      </c>
      <c r="H29" s="10657" t="e">
        <f t="shared" si="9"/>
        <v>#DIV/0!</v>
      </c>
      <c r="I29" s="5767">
        <v>0</v>
      </c>
      <c r="J29" s="5767">
        <f>'lbpf 3-LIB'!H79</f>
        <v>0</v>
      </c>
      <c r="K29" s="10657" t="e">
        <f t="shared" si="10"/>
        <v>#DIV/0!</v>
      </c>
      <c r="L29" s="5767">
        <v>0</v>
      </c>
      <c r="M29" s="5767">
        <f>'lbpf 3-LIB'!H83</f>
        <v>0</v>
      </c>
      <c r="N29" s="10658"/>
      <c r="O29" s="12642">
        <f t="shared" si="11"/>
        <v>0</v>
      </c>
      <c r="P29" s="5767">
        <f t="shared" si="12"/>
        <v>0</v>
      </c>
      <c r="Q29" s="5774">
        <f>P29/P78</f>
        <v>0</v>
      </c>
      <c r="T29" s="5782">
        <f>'lbpf 3-LIB'!M83</f>
        <v>0</v>
      </c>
      <c r="V29" s="7003" t="e">
        <f t="shared" si="4"/>
        <v>#DIV/0!</v>
      </c>
      <c r="AW29" s="7194">
        <v>0</v>
      </c>
      <c r="AX29" s="5781">
        <f t="shared" si="13"/>
        <v>0</v>
      </c>
    </row>
    <row r="30" spans="1:53">
      <c r="A30" s="5766" t="s">
        <v>235</v>
      </c>
      <c r="B30" s="7194">
        <v>69097650</v>
      </c>
      <c r="C30" s="5767">
        <f>'lbpf 3-PHO'!J32</f>
        <v>76158293.204999998</v>
      </c>
      <c r="D30" s="5767"/>
      <c r="E30" s="10657">
        <f t="shared" si="8"/>
        <v>0.10218355045359717</v>
      </c>
      <c r="F30" s="5767">
        <v>6512000</v>
      </c>
      <c r="G30" s="5767">
        <f>'lbpf 3-PHO'!J68</f>
        <v>6225000</v>
      </c>
      <c r="H30" s="10657">
        <f t="shared" si="9"/>
        <v>-4.4072481572481573E-2</v>
      </c>
      <c r="I30" s="5767">
        <v>250000</v>
      </c>
      <c r="J30" s="5767">
        <f>'lbpf 3-PHO'!J94</f>
        <v>600000</v>
      </c>
      <c r="K30" s="10657">
        <f t="shared" si="10"/>
        <v>1.4</v>
      </c>
      <c r="L30" s="5767">
        <v>27795000</v>
      </c>
      <c r="M30" s="5767">
        <f>'lbpf 3-PHO'!J142</f>
        <v>32601000</v>
      </c>
      <c r="N30" s="10657">
        <f>(M30-L30)/L30</f>
        <v>0.17290879654614139</v>
      </c>
      <c r="O30" s="12642">
        <f t="shared" si="11"/>
        <v>103654650</v>
      </c>
      <c r="P30" s="5767">
        <f t="shared" si="12"/>
        <v>115584293.205</v>
      </c>
      <c r="Q30" s="5774">
        <f>P30/P78</f>
        <v>4.5685619937125825E-2</v>
      </c>
      <c r="S30" s="5774">
        <f>'lbpf 3-PHO'!I153</f>
        <v>0.11509028495103692</v>
      </c>
      <c r="T30" s="10225">
        <f>'lbpf 3-PHO'!D142</f>
        <v>9111234.7799999993</v>
      </c>
      <c r="V30" s="7003">
        <f t="shared" si="4"/>
        <v>0.11509028495103692</v>
      </c>
      <c r="AW30" s="7194">
        <v>76864235</v>
      </c>
      <c r="AX30" s="5781">
        <f t="shared" si="13"/>
        <v>38720058.204999998</v>
      </c>
    </row>
    <row r="31" spans="1:53">
      <c r="A31" s="5766" t="s">
        <v>236</v>
      </c>
      <c r="B31" s="7194">
        <v>53679017</v>
      </c>
      <c r="C31" s="5767">
        <f>'lbpf 3-HTALIBON'!J31</f>
        <v>54916759.289999999</v>
      </c>
      <c r="D31" s="5767"/>
      <c r="E31" s="10657">
        <f t="shared" si="8"/>
        <v>2.3058214534740811E-2</v>
      </c>
      <c r="F31" s="5767">
        <v>56574600</v>
      </c>
      <c r="G31" s="12648">
        <f>'lbpf 3-HTALIBON'!J71</f>
        <v>65839702</v>
      </c>
      <c r="H31" s="10657">
        <f t="shared" si="9"/>
        <v>0.16376787462925058</v>
      </c>
      <c r="I31" s="12648">
        <v>2640000</v>
      </c>
      <c r="J31" s="12648">
        <f>'lbpf 3-HTALIBON'!J127</f>
        <v>981000</v>
      </c>
      <c r="K31" s="10657">
        <f t="shared" si="10"/>
        <v>-0.62840909090909092</v>
      </c>
      <c r="L31" s="12648">
        <v>590000</v>
      </c>
      <c r="M31" s="12648">
        <f>'lbpf 3-HTALIBON'!J132</f>
        <v>0</v>
      </c>
      <c r="N31" s="10657">
        <f>(M31-L31)/L31</f>
        <v>-1</v>
      </c>
      <c r="O31" s="12642">
        <f t="shared" si="11"/>
        <v>113483617</v>
      </c>
      <c r="P31" s="5767">
        <f t="shared" si="12"/>
        <v>121737461.28999999</v>
      </c>
      <c r="Q31" s="5774">
        <f>P31/P78</f>
        <v>4.8117709027656351E-2</v>
      </c>
      <c r="S31" s="5774">
        <f>'lbpf 3-HTALIBON'!I144</f>
        <v>7.2731593407002457E-2</v>
      </c>
      <c r="T31" s="10225">
        <f>'lbpf 3-HTALIBON'!D132</f>
        <v>0</v>
      </c>
      <c r="V31" s="7003">
        <f t="shared" si="4"/>
        <v>7.2731593407002457E-2</v>
      </c>
      <c r="AW31" s="7194">
        <v>75929495</v>
      </c>
      <c r="AX31" s="5781">
        <f t="shared" si="13"/>
        <v>45807966.289999992</v>
      </c>
    </row>
    <row r="32" spans="1:53">
      <c r="A32" s="5766" t="s">
        <v>237</v>
      </c>
      <c r="B32" s="7194">
        <v>33676760.5</v>
      </c>
      <c r="C32" s="5767">
        <f>'lbpf 3-HCARMEN'!J31</f>
        <v>35562330.060000002</v>
      </c>
      <c r="D32" s="5767"/>
      <c r="E32" s="10657">
        <f t="shared" si="8"/>
        <v>5.5990229820353489E-2</v>
      </c>
      <c r="F32" s="5767">
        <v>26807600</v>
      </c>
      <c r="G32" s="12648">
        <f>'lbpf 3-HCARMEN'!J86</f>
        <v>28982000</v>
      </c>
      <c r="H32" s="10657">
        <f t="shared" si="9"/>
        <v>8.1111326638714398E-2</v>
      </c>
      <c r="I32" s="12648">
        <v>1000000</v>
      </c>
      <c r="J32" s="12648">
        <f>'lbpf 3-HCARMEN'!J113</f>
        <v>571500</v>
      </c>
      <c r="K32" s="10657">
        <f t="shared" si="10"/>
        <v>-0.42849999999999999</v>
      </c>
      <c r="L32" s="12648">
        <v>0</v>
      </c>
      <c r="M32" s="12648">
        <f>'lbpf 3-HCARMEN'!J117</f>
        <v>0</v>
      </c>
      <c r="N32" s="10657"/>
      <c r="O32" s="12642">
        <f t="shared" si="11"/>
        <v>61484360.5</v>
      </c>
      <c r="P32" s="5767">
        <f t="shared" si="12"/>
        <v>65115830.060000002</v>
      </c>
      <c r="Q32" s="5774">
        <f>P32/P78</f>
        <v>2.5737554658360324E-2</v>
      </c>
      <c r="S32" s="5774">
        <f>'lbpf 3-HCARMEN'!I127</f>
        <v>5.9063305375031142E-2</v>
      </c>
      <c r="T32" s="10225">
        <f>'lbpf 3-HCARMEN'!D117</f>
        <v>0</v>
      </c>
      <c r="V32" s="7003">
        <f t="shared" si="4"/>
        <v>5.9063305375031142E-2</v>
      </c>
      <c r="AW32" s="7194">
        <v>44040530</v>
      </c>
      <c r="AX32" s="5781">
        <f t="shared" si="13"/>
        <v>21075300.060000002</v>
      </c>
    </row>
    <row r="33" spans="1:53">
      <c r="A33" s="5766" t="s">
        <v>238</v>
      </c>
      <c r="B33" s="7194">
        <v>24632324</v>
      </c>
      <c r="C33" s="5767">
        <f>'lbpf 3-HJAGNA'!J31</f>
        <v>25501587.785</v>
      </c>
      <c r="D33" s="5767"/>
      <c r="E33" s="10657">
        <f t="shared" si="8"/>
        <v>3.5289556316326472E-2</v>
      </c>
      <c r="F33" s="5767">
        <v>53330000</v>
      </c>
      <c r="G33" s="12648">
        <f>'lbpf 3-HJAGNA'!J71</f>
        <v>60131000</v>
      </c>
      <c r="H33" s="10657">
        <f t="shared" si="9"/>
        <v>0.12752672042002625</v>
      </c>
      <c r="I33" s="12648">
        <v>2300000</v>
      </c>
      <c r="J33" s="12648">
        <f>'lbpf 3-HJAGNA'!J99</f>
        <v>2828000</v>
      </c>
      <c r="K33" s="10657">
        <f t="shared" si="10"/>
        <v>0.22956521739130434</v>
      </c>
      <c r="L33" s="12648">
        <v>300000</v>
      </c>
      <c r="M33" s="12648">
        <f>'lbpf 3-HJAGNA'!J105</f>
        <v>300000</v>
      </c>
      <c r="N33" s="10657">
        <f>(M33-L33)/L33</f>
        <v>0</v>
      </c>
      <c r="O33" s="12642">
        <f t="shared" si="11"/>
        <v>80562324</v>
      </c>
      <c r="P33" s="5767">
        <f t="shared" si="12"/>
        <v>88760587.784999996</v>
      </c>
      <c r="Q33" s="5774">
        <f>P33/P78</f>
        <v>3.50833349973367E-2</v>
      </c>
      <c r="S33" s="5774">
        <f>'lbpf 3-HJAGNA'!I115</f>
        <v>0</v>
      </c>
      <c r="T33" s="10225">
        <f>'lbpf 3-HJAGNA'!D105</f>
        <v>0</v>
      </c>
      <c r="V33" s="7003">
        <f t="shared" si="4"/>
        <v>0.10176300009667046</v>
      </c>
      <c r="AW33" s="7194">
        <v>57196980</v>
      </c>
      <c r="AX33" s="5781">
        <f t="shared" si="13"/>
        <v>31563607.784999996</v>
      </c>
    </row>
    <row r="34" spans="1:53">
      <c r="A34" s="5766" t="s">
        <v>239</v>
      </c>
      <c r="B34" s="7194">
        <v>25324290</v>
      </c>
      <c r="C34" s="5767">
        <f>'lbpf 3-HLOON'!J32</f>
        <v>26627023.435000002</v>
      </c>
      <c r="D34" s="5767"/>
      <c r="E34" s="10657">
        <f t="shared" si="8"/>
        <v>5.1442051682396718E-2</v>
      </c>
      <c r="F34" s="5767">
        <v>14865000</v>
      </c>
      <c r="G34" s="12648">
        <f>'lbpf 3-HLOON'!J86</f>
        <v>17835000</v>
      </c>
      <c r="H34" s="10657">
        <f t="shared" si="9"/>
        <v>0.19979818365287588</v>
      </c>
      <c r="I34" s="12648">
        <v>400000</v>
      </c>
      <c r="J34" s="12648">
        <f>'lbpf 3-HLOON'!J111</f>
        <v>440000</v>
      </c>
      <c r="K34" s="10657">
        <f t="shared" si="10"/>
        <v>0.1</v>
      </c>
      <c r="L34" s="12648">
        <v>0</v>
      </c>
      <c r="M34" s="12648">
        <f>'lbpf 3-HLOON'!J115</f>
        <v>0</v>
      </c>
      <c r="N34" s="10657"/>
      <c r="O34" s="12642">
        <f t="shared" si="11"/>
        <v>40589290</v>
      </c>
      <c r="P34" s="5767">
        <f t="shared" si="12"/>
        <v>44902023.435000002</v>
      </c>
      <c r="Q34" s="5774">
        <f>P34/P78</f>
        <v>1.7747885289405286E-2</v>
      </c>
      <c r="S34" s="5774">
        <f>'lbpf 3-HJAGNA'!I115</f>
        <v>0</v>
      </c>
      <c r="T34" s="10225">
        <f>'lbpf 3-HLOON'!D115</f>
        <v>0</v>
      </c>
      <c r="V34" s="7003">
        <f t="shared" si="4"/>
        <v>0.10625299025925318</v>
      </c>
      <c r="AW34" s="7194">
        <v>31229420</v>
      </c>
      <c r="AX34" s="5781">
        <f t="shared" si="13"/>
        <v>13672603.435000002</v>
      </c>
    </row>
    <row r="35" spans="1:53">
      <c r="A35" s="5766" t="s">
        <v>240</v>
      </c>
      <c r="B35" s="7194">
        <v>20325662</v>
      </c>
      <c r="C35" s="5767">
        <f>'lbpf 3-HCATIGBIAN'!J34</f>
        <v>22378448.594999999</v>
      </c>
      <c r="D35" s="5767"/>
      <c r="E35" s="10657">
        <f t="shared" si="8"/>
        <v>0.10099482098049248</v>
      </c>
      <c r="F35" s="5767">
        <v>25648000</v>
      </c>
      <c r="G35" s="12648">
        <f>'lbpf 3-HCATIGBIAN'!J85</f>
        <v>28698000</v>
      </c>
      <c r="H35" s="10657">
        <f t="shared" si="9"/>
        <v>0.11891765439800374</v>
      </c>
      <c r="I35" s="12648">
        <v>575000</v>
      </c>
      <c r="J35" s="12648">
        <f>'lbpf 3-HCATIGBIAN'!J97</f>
        <v>240000</v>
      </c>
      <c r="K35" s="10657">
        <f t="shared" si="10"/>
        <v>-0.58260869565217388</v>
      </c>
      <c r="L35" s="12648">
        <v>0</v>
      </c>
      <c r="M35" s="12648">
        <f>'lbpf 3-HCATIGBIAN'!J101</f>
        <v>0</v>
      </c>
      <c r="N35" s="10657"/>
      <c r="O35" s="12642">
        <f t="shared" si="11"/>
        <v>46548662</v>
      </c>
      <c r="P35" s="5767">
        <f t="shared" si="12"/>
        <v>51316448.594999999</v>
      </c>
      <c r="Q35" s="5774">
        <f>P35/P78</f>
        <v>2.0283238336511352E-2</v>
      </c>
      <c r="S35" s="5774">
        <f>'lbpf 3-HCATIGBIAN'!I114</f>
        <v>0.10242585694514697</v>
      </c>
      <c r="T35" s="10225">
        <f>'lbpf 3-HCATIGBIAN'!D101</f>
        <v>0</v>
      </c>
      <c r="V35" s="7003">
        <f t="shared" si="4"/>
        <v>0.10242585694514697</v>
      </c>
      <c r="AW35" s="7194">
        <v>30935585</v>
      </c>
      <c r="AX35" s="5781">
        <f t="shared" si="13"/>
        <v>20380863.594999999</v>
      </c>
    </row>
    <row r="36" spans="1:53">
      <c r="A36" s="5766" t="s">
        <v>241</v>
      </c>
      <c r="B36" s="7194">
        <v>11268234</v>
      </c>
      <c r="C36" s="5767">
        <f>'lbpf 3-HCLARIN'!J30</f>
        <v>14101354.674999999</v>
      </c>
      <c r="D36" s="5767"/>
      <c r="E36" s="10657">
        <f t="shared" si="8"/>
        <v>0.25142543853810623</v>
      </c>
      <c r="F36" s="5767">
        <v>17681719</v>
      </c>
      <c r="G36" s="12648">
        <f>'lbpf 3-HCLARIN'!J88</f>
        <v>20190000</v>
      </c>
      <c r="H36" s="10657">
        <f t="shared" si="9"/>
        <v>0.14185730471115393</v>
      </c>
      <c r="I36" s="12648">
        <v>832500</v>
      </c>
      <c r="J36" s="12648">
        <f>'lbpf 3-HCLARIN'!J121</f>
        <v>330000</v>
      </c>
      <c r="K36" s="10657">
        <f t="shared" si="10"/>
        <v>-0.60360360360360366</v>
      </c>
      <c r="L36" s="12648">
        <v>0</v>
      </c>
      <c r="M36" s="12648">
        <f>'lbpf 3-HCLARIN'!J125</f>
        <v>0</v>
      </c>
      <c r="N36" s="10657"/>
      <c r="O36" s="12642">
        <f t="shared" si="11"/>
        <v>29782453</v>
      </c>
      <c r="P36" s="5767">
        <f t="shared" si="12"/>
        <v>34621354.674999997</v>
      </c>
      <c r="Q36" s="5774">
        <f>P36/P78</f>
        <v>1.3684368416608203E-2</v>
      </c>
      <c r="S36" s="5774">
        <f>'lbpf 3-HCLARIN'!I139</f>
        <v>0.1624749202156047</v>
      </c>
      <c r="T36" s="10225">
        <f>'lbpf 3-HCLARIN'!D125</f>
        <v>0</v>
      </c>
      <c r="V36" s="7003">
        <f t="shared" si="4"/>
        <v>0.1624749202156047</v>
      </c>
      <c r="AW36" s="7194">
        <v>16831948</v>
      </c>
      <c r="AX36" s="5781">
        <f t="shared" si="13"/>
        <v>17789406.674999997</v>
      </c>
    </row>
    <row r="37" spans="1:53">
      <c r="A37" s="5766" t="s">
        <v>242</v>
      </c>
      <c r="B37" s="7194">
        <v>10668521</v>
      </c>
      <c r="C37" s="5767">
        <f>'lbpf 3-HCANDIJAY'!J30</f>
        <v>11346606.369999999</v>
      </c>
      <c r="D37" s="5767"/>
      <c r="E37" s="10657">
        <f t="shared" si="8"/>
        <v>6.3559454023664502E-2</v>
      </c>
      <c r="F37" s="5767">
        <v>24817270</v>
      </c>
      <c r="G37" s="12648">
        <f>'lbpf 3-HCANDIJAY'!J85</f>
        <v>24202783</v>
      </c>
      <c r="H37" s="10657">
        <f t="shared" si="9"/>
        <v>-2.4760459148004597E-2</v>
      </c>
      <c r="I37" s="12648">
        <v>1106700</v>
      </c>
      <c r="J37" s="12648">
        <f>'lbpf 3-HCANDIJAY'!J127</f>
        <v>1213000</v>
      </c>
      <c r="K37" s="10657">
        <f t="shared" si="10"/>
        <v>9.6051323755308574E-2</v>
      </c>
      <c r="L37" s="12648">
        <v>0</v>
      </c>
      <c r="M37" s="12648">
        <f>'lbpf 3-HCANDIJAY'!J131</f>
        <v>0</v>
      </c>
      <c r="N37" s="10657"/>
      <c r="O37" s="12642">
        <f t="shared" si="11"/>
        <v>36592491</v>
      </c>
      <c r="P37" s="5767">
        <f t="shared" si="12"/>
        <v>36762389.369999997</v>
      </c>
      <c r="Q37" s="5774">
        <f>P37/P78</f>
        <v>1.4530629570573878E-2</v>
      </c>
      <c r="S37" s="5774">
        <f>'lbpf 3-HCANDIJAY'!I144</f>
        <v>4.6429845401887871E-3</v>
      </c>
      <c r="T37" s="10225">
        <f>'lbpf 3-HCANDIJAY'!D131</f>
        <v>0</v>
      </c>
      <c r="V37" s="7003">
        <f t="shared" si="4"/>
        <v>4.6429845401887871E-3</v>
      </c>
      <c r="AW37" s="7194">
        <v>19617960</v>
      </c>
      <c r="AX37" s="5781">
        <f t="shared" si="13"/>
        <v>17144429.369999997</v>
      </c>
    </row>
    <row r="38" spans="1:53">
      <c r="A38" s="5766" t="s">
        <v>243</v>
      </c>
      <c r="B38" s="7194">
        <v>10374682</v>
      </c>
      <c r="C38" s="5767">
        <f>'lbpf 3-HMARIBOJOC'!J30</f>
        <v>11569296.880000001</v>
      </c>
      <c r="D38" s="5767"/>
      <c r="E38" s="10657">
        <f t="shared" si="8"/>
        <v>0.11514713222053465</v>
      </c>
      <c r="F38" s="5767">
        <v>11098500</v>
      </c>
      <c r="G38" s="12648">
        <f>'lbpf 3-HMARIBOJOC'!J90</f>
        <v>13643000</v>
      </c>
      <c r="H38" s="10657">
        <f t="shared" si="9"/>
        <v>0.2292652160201829</v>
      </c>
      <c r="I38" s="12648">
        <v>147000</v>
      </c>
      <c r="J38" s="12648">
        <f>'lbpf 3-HMARIBOJOC'!J107</f>
        <v>216000</v>
      </c>
      <c r="K38" s="10657">
        <f t="shared" si="10"/>
        <v>0.46938775510204084</v>
      </c>
      <c r="L38" s="12648">
        <v>0</v>
      </c>
      <c r="M38" s="12648">
        <f>'lbpf 3-HMARIBOJOC'!J111</f>
        <v>0</v>
      </c>
      <c r="N38" s="10657"/>
      <c r="O38" s="12642">
        <f t="shared" si="11"/>
        <v>21620182</v>
      </c>
      <c r="P38" s="5767">
        <f t="shared" si="12"/>
        <v>25428296.880000003</v>
      </c>
      <c r="Q38" s="5774">
        <f>P38/P78</f>
        <v>1.0050738510358679E-2</v>
      </c>
      <c r="S38" s="5774">
        <f>'lbpf 3-HMARIBOJOC'!I122</f>
        <v>0</v>
      </c>
      <c r="T38" s="10225">
        <f>'lbpf 3-HMARIBOJOC'!D111</f>
        <v>0</v>
      </c>
      <c r="V38" s="7003">
        <f t="shared" si="4"/>
        <v>0.17613704084452214</v>
      </c>
      <c r="AW38" s="7194">
        <v>15300419</v>
      </c>
      <c r="AX38" s="5781">
        <f t="shared" si="13"/>
        <v>10127877.880000003</v>
      </c>
    </row>
    <row r="39" spans="1:53">
      <c r="A39" s="5766" t="s">
        <v>11437</v>
      </c>
      <c r="B39" s="7194">
        <v>13345383</v>
      </c>
      <c r="C39" s="5767">
        <f>'lbpf 3-HINABANGA '!J30</f>
        <v>13909565.409999998</v>
      </c>
      <c r="D39" s="5767"/>
      <c r="E39" s="10657">
        <f t="shared" si="8"/>
        <v>4.2275475346042771E-2</v>
      </c>
      <c r="F39" s="5767">
        <v>17126000</v>
      </c>
      <c r="G39" s="12648">
        <f>'lbpf 3-HINABANGA '!J70</f>
        <v>20228000</v>
      </c>
      <c r="H39" s="10657">
        <f t="shared" si="9"/>
        <v>0.18112810930748569</v>
      </c>
      <c r="I39" s="12648">
        <v>440000</v>
      </c>
      <c r="J39" s="12648">
        <f>'lbpf 3-HINABANGA '!J105</f>
        <v>785000</v>
      </c>
      <c r="K39" s="10657">
        <f t="shared" si="10"/>
        <v>0.78409090909090906</v>
      </c>
      <c r="L39" s="12648">
        <v>0</v>
      </c>
      <c r="M39" s="12648">
        <f>'lbpf 3-HINABANGA '!J110</f>
        <v>0</v>
      </c>
      <c r="N39" s="10657"/>
      <c r="O39" s="12642">
        <f t="shared" si="11"/>
        <v>30911383</v>
      </c>
      <c r="P39" s="5767">
        <f t="shared" si="12"/>
        <v>34922565.409999996</v>
      </c>
      <c r="Q39" s="5774">
        <f>P39/P78</f>
        <v>1.3803424378094129E-2</v>
      </c>
      <c r="S39" s="5774">
        <f>'lbpf 3-HINABANGA '!I120</f>
        <v>0.13934713516841954</v>
      </c>
      <c r="T39" s="10225">
        <f>'lbpf 3-HINABANGA '!D110</f>
        <v>0</v>
      </c>
      <c r="V39" s="7003">
        <f t="shared" si="4"/>
        <v>0.1297639258004081</v>
      </c>
      <c r="AW39" s="7194">
        <v>23397717</v>
      </c>
      <c r="AX39" s="5781">
        <f t="shared" si="13"/>
        <v>11524848.409999996</v>
      </c>
    </row>
    <row r="40" spans="1:53">
      <c r="A40" s="5766" t="s">
        <v>12223</v>
      </c>
      <c r="B40" s="7194">
        <v>12736750</v>
      </c>
      <c r="C40" s="5767">
        <f>'lbpf 3-HPGARCIA '!J29</f>
        <v>14320604.41</v>
      </c>
      <c r="D40" s="5767"/>
      <c r="E40" s="10657">
        <f t="shared" si="8"/>
        <v>0.12435310499146172</v>
      </c>
      <c r="F40" s="5767">
        <v>12223500</v>
      </c>
      <c r="G40" s="12648">
        <f>'lbpf 3-HPGARCIA '!J86</f>
        <v>12743000</v>
      </c>
      <c r="H40" s="10657">
        <f t="shared" si="9"/>
        <v>4.2500102262036245E-2</v>
      </c>
      <c r="I40" s="12648">
        <v>2250000</v>
      </c>
      <c r="J40" s="12648">
        <f>'lbpf 3-HPGARCIA '!J103</f>
        <v>3100000</v>
      </c>
      <c r="K40" s="10657">
        <f t="shared" si="10"/>
        <v>0.37777777777777777</v>
      </c>
      <c r="L40" s="12648"/>
      <c r="M40" s="12648"/>
      <c r="N40" s="10657"/>
      <c r="O40" s="12642">
        <f t="shared" si="11"/>
        <v>27210250</v>
      </c>
      <c r="P40" s="5767">
        <f t="shared" si="12"/>
        <v>30163604.41</v>
      </c>
      <c r="Q40" s="5774">
        <f>P40/P78</f>
        <v>1.1922406832258592E-2</v>
      </c>
      <c r="R40" s="10609">
        <f>SUM(J31:J40)</f>
        <v>10704500</v>
      </c>
      <c r="S40" s="5774">
        <f>'lbpf 3-HPGARCIA '!I120</f>
        <v>0.10853830486673222</v>
      </c>
      <c r="V40" s="7003">
        <f t="shared" si="4"/>
        <v>0.10853830486673222</v>
      </c>
      <c r="AW40" s="7194">
        <v>15359917</v>
      </c>
      <c r="AX40" s="5781">
        <f t="shared" si="13"/>
        <v>14803687.41</v>
      </c>
    </row>
    <row r="41" spans="1:53" ht="15">
      <c r="A41" s="5766" t="s">
        <v>244</v>
      </c>
      <c r="B41" s="12643">
        <v>12247677.85</v>
      </c>
      <c r="C41" s="5768">
        <f>'lbpf 3-PSWD'!J31</f>
        <v>16577799.91</v>
      </c>
      <c r="D41" s="5768"/>
      <c r="E41" s="10657">
        <f t="shared" si="8"/>
        <v>0.35354637124130439</v>
      </c>
      <c r="F41" s="5768">
        <v>17442000</v>
      </c>
      <c r="G41" s="5768">
        <f>'lbpf 3-PSWD'!J69</f>
        <v>17766400</v>
      </c>
      <c r="H41" s="10657">
        <f t="shared" si="9"/>
        <v>1.8598784543056988E-2</v>
      </c>
      <c r="I41" s="5768">
        <v>352256</v>
      </c>
      <c r="J41" s="5768">
        <f>'lbpf 3-PSWD'!J94</f>
        <v>367507.5</v>
      </c>
      <c r="K41" s="10657">
        <f t="shared" si="10"/>
        <v>4.3296636537063955E-2</v>
      </c>
      <c r="L41" s="5768">
        <v>12300000</v>
      </c>
      <c r="M41" s="5768">
        <f>'lbpf 3-PSWD'!J111</f>
        <v>25120000</v>
      </c>
      <c r="N41" s="10657">
        <f>(M41-L41)/L41</f>
        <v>1.0422764227642276</v>
      </c>
      <c r="O41" s="12644">
        <f t="shared" si="11"/>
        <v>42341933.850000001</v>
      </c>
      <c r="P41" s="5768">
        <f t="shared" si="12"/>
        <v>59831707.409999996</v>
      </c>
      <c r="Q41" s="5774">
        <f>P41/P78</f>
        <v>2.364896275374144E-2</v>
      </c>
      <c r="S41" s="5774">
        <f>'lbpf 3-PSWD'!I121</f>
        <v>0</v>
      </c>
      <c r="T41" s="10225">
        <f>'lbpf 3-PSWD'!D111</f>
        <v>4990234.08</v>
      </c>
      <c r="V41" s="10707">
        <f t="shared" si="4"/>
        <v>0.41306033923625324</v>
      </c>
      <c r="AW41" s="7194">
        <v>33987354</v>
      </c>
      <c r="AX41" s="5781">
        <f t="shared" si="13"/>
        <v>25844353.409999996</v>
      </c>
    </row>
    <row r="42" spans="1:53" ht="14.25" customHeight="1" thickBot="1">
      <c r="A42" s="5766" t="s">
        <v>231</v>
      </c>
      <c r="B42" s="12645">
        <f>SUM(B27:B41)</f>
        <v>315001256.35000002</v>
      </c>
      <c r="C42" s="12646">
        <f>SUM(C27:C41)</f>
        <v>342283038.91500008</v>
      </c>
      <c r="D42" s="10654"/>
      <c r="E42" s="10654"/>
      <c r="F42" s="12645">
        <f>SUM(F27:F41)</f>
        <v>309512189</v>
      </c>
      <c r="G42" s="12646">
        <f>SUM(G27:G41)</f>
        <v>343542885</v>
      </c>
      <c r="H42" s="10705">
        <f t="shared" si="9"/>
        <v>0.10994945339616334</v>
      </c>
      <c r="I42" s="12645">
        <f>SUM(I27:I41)</f>
        <v>13026456</v>
      </c>
      <c r="J42" s="12646">
        <f>SUM(J27:J41)</f>
        <v>14154487.5</v>
      </c>
      <c r="K42" s="10654"/>
      <c r="L42" s="12645">
        <f>SUM(L27:L41)</f>
        <v>40985000</v>
      </c>
      <c r="M42" s="12646">
        <f>SUM(M27:M41)</f>
        <v>58021000</v>
      </c>
      <c r="N42" s="10654"/>
      <c r="O42" s="12646">
        <f>SUM(O27:O41)</f>
        <v>678524901.35000002</v>
      </c>
      <c r="P42" s="12646">
        <f>SUM(P27:P41)</f>
        <v>758001411.41499984</v>
      </c>
      <c r="Q42" s="5765"/>
      <c r="R42" s="5765"/>
      <c r="S42" s="5765"/>
      <c r="V42" s="10706">
        <f t="shared" si="4"/>
        <v>0.11713130926642862</v>
      </c>
      <c r="AW42" s="7194">
        <v>477607296</v>
      </c>
      <c r="BA42" s="5781">
        <f>SUM(C42:M42)</f>
        <v>1121525056.5249496</v>
      </c>
    </row>
    <row r="43" spans="1:53" ht="4.5" customHeight="1">
      <c r="A43" s="5766"/>
      <c r="C43" s="5769"/>
      <c r="D43" s="5769"/>
      <c r="E43" s="5769"/>
      <c r="F43" s="5769"/>
      <c r="G43" s="5769"/>
      <c r="H43" s="5769"/>
      <c r="I43" s="5769"/>
      <c r="J43" s="5769"/>
      <c r="K43" s="5769"/>
      <c r="L43" s="5769"/>
      <c r="M43" s="5769"/>
      <c r="N43" s="5769"/>
      <c r="O43" s="5769"/>
      <c r="P43" s="5769"/>
      <c r="Q43" s="5765"/>
      <c r="R43" s="5765"/>
      <c r="S43" s="5765"/>
    </row>
    <row r="44" spans="1:53">
      <c r="A44" s="5773" t="s">
        <v>245</v>
      </c>
      <c r="B44" s="12647"/>
      <c r="C44" s="5766"/>
      <c r="D44" s="5766"/>
      <c r="E44" s="5766"/>
      <c r="F44" s="5766"/>
      <c r="G44" s="5766"/>
      <c r="H44" s="5766"/>
      <c r="I44" s="5766"/>
      <c r="J44" s="5766"/>
      <c r="K44" s="5766"/>
      <c r="L44" s="5766"/>
      <c r="M44" s="5766"/>
      <c r="N44" s="5766"/>
      <c r="O44" s="5766"/>
      <c r="P44" s="5766"/>
    </row>
    <row r="45" spans="1:53">
      <c r="A45" s="5766" t="s">
        <v>246</v>
      </c>
      <c r="B45" s="7194">
        <v>1889623</v>
      </c>
      <c r="C45" s="5767">
        <f>'lbpf 3-BEPO'!K29</f>
        <v>1914044.7749999999</v>
      </c>
      <c r="D45" s="5767"/>
      <c r="E45" s="10657">
        <f t="shared" ref="E45:E53" si="14">(C45-B45)/B45</f>
        <v>1.2924152066311591E-2</v>
      </c>
      <c r="F45" s="5767">
        <v>1880000</v>
      </c>
      <c r="G45" s="5767">
        <f>'lbpf 3-BEPO'!K70</f>
        <v>1855000</v>
      </c>
      <c r="H45" s="10657">
        <f t="shared" ref="H45:H54" si="15">(G45-F45)/F45</f>
        <v>-1.3297872340425532E-2</v>
      </c>
      <c r="I45" s="5767">
        <v>550000</v>
      </c>
      <c r="J45" s="5767">
        <f>'lbpf 3-BEPO'!K96</f>
        <v>130000</v>
      </c>
      <c r="K45" s="10657">
        <f t="shared" ref="K45:K53" si="16">(J45-I45)/I45</f>
        <v>-0.76363636363636367</v>
      </c>
      <c r="L45" s="5767">
        <v>7000000</v>
      </c>
      <c r="M45" s="5767">
        <f>'lbpf 3-BEPO'!K112</f>
        <v>8500000</v>
      </c>
      <c r="N45" s="10657">
        <f t="shared" ref="N45:N51" si="17">(M45-L45)/L45</f>
        <v>0.21428571428571427</v>
      </c>
      <c r="O45" s="12642">
        <f t="shared" ref="O45:O53" si="18">B45+F45+I45+L45</f>
        <v>11319623</v>
      </c>
      <c r="P45" s="5767">
        <f t="shared" ref="P45:P53" si="19">C45+G45+J45+M45</f>
        <v>12399044.775</v>
      </c>
      <c r="Q45" s="5774">
        <f>P45/P78</f>
        <v>4.9008220015619875E-3</v>
      </c>
      <c r="S45" s="5774">
        <f>'lbpf 3-BEPO'!J125</f>
        <v>0</v>
      </c>
      <c r="T45" s="10225">
        <f>'lbpf 3-BEPO'!E112</f>
        <v>5318918.5999999996</v>
      </c>
      <c r="V45" s="7003">
        <f t="shared" si="4"/>
        <v>9.5358456284277346E-2</v>
      </c>
      <c r="AW45" s="7194">
        <v>9053451</v>
      </c>
      <c r="AX45" s="5781">
        <f>P45-AW45</f>
        <v>3345593.7750000004</v>
      </c>
    </row>
    <row r="46" spans="1:53">
      <c r="A46" s="5766" t="s">
        <v>10660</v>
      </c>
      <c r="B46" s="7194">
        <v>1180207</v>
      </c>
      <c r="C46" s="12649">
        <f>'lbpf 3-PEEMU'!K29</f>
        <v>4597864.4749999996</v>
      </c>
      <c r="D46" s="12649"/>
      <c r="E46" s="10657">
        <f t="shared" si="14"/>
        <v>2.8958118999463651</v>
      </c>
      <c r="F46" s="12649">
        <v>3283500</v>
      </c>
      <c r="G46" s="12650">
        <f>'lbpf 3-PEEMU'!K66</f>
        <v>2967000</v>
      </c>
      <c r="H46" s="10657">
        <f t="shared" si="15"/>
        <v>-9.6391046139789854E-2</v>
      </c>
      <c r="I46" s="12650">
        <v>1760000</v>
      </c>
      <c r="J46" s="5767">
        <f>'lbpf 3-PEEMU'!K73</f>
        <v>430000</v>
      </c>
      <c r="K46" s="10657">
        <f t="shared" si="16"/>
        <v>-0.75568181818181823</v>
      </c>
      <c r="L46" s="5767">
        <v>3488800</v>
      </c>
      <c r="M46" s="5767">
        <f>'lbpf 3-PEEMU'!K144</f>
        <v>7875000</v>
      </c>
      <c r="N46" s="10657">
        <f t="shared" si="17"/>
        <v>1.257223113964687</v>
      </c>
      <c r="O46" s="12642">
        <f t="shared" si="18"/>
        <v>9712507</v>
      </c>
      <c r="P46" s="5767">
        <f t="shared" si="19"/>
        <v>15869864.475</v>
      </c>
      <c r="Q46" s="5774">
        <f>P46/P78</f>
        <v>6.272691355845756E-3</v>
      </c>
      <c r="T46" s="10225">
        <f>'lbpf 3-PEEMU'!E144</f>
        <v>472325.30999999994</v>
      </c>
      <c r="V46" s="7003">
        <f t="shared" si="4"/>
        <v>0.63396170267882423</v>
      </c>
      <c r="AX46" s="5781"/>
    </row>
    <row r="47" spans="1:53">
      <c r="A47" s="5766" t="s">
        <v>247</v>
      </c>
      <c r="B47" s="7194">
        <v>2804361</v>
      </c>
      <c r="C47" s="5767">
        <f>'lbpf 3-BIPC'!K27</f>
        <v>2899304.21</v>
      </c>
      <c r="D47" s="5767"/>
      <c r="E47" s="10657">
        <f t="shared" si="14"/>
        <v>3.3855559252179E-2</v>
      </c>
      <c r="F47" s="5767">
        <v>1939642</v>
      </c>
      <c r="G47" s="5767">
        <f>'lbpf 3-BIPC'!K59</f>
        <v>1655722</v>
      </c>
      <c r="H47" s="10657">
        <f t="shared" si="15"/>
        <v>-0.14637752739938606</v>
      </c>
      <c r="I47" s="5767">
        <v>450000</v>
      </c>
      <c r="J47" s="5767">
        <f>'lbpf 3-BIPC'!K81</f>
        <v>338000</v>
      </c>
      <c r="K47" s="10657">
        <f t="shared" si="16"/>
        <v>-0.24888888888888888</v>
      </c>
      <c r="L47" s="5767">
        <v>1190000</v>
      </c>
      <c r="M47" s="5767">
        <f>'lbpf 3-BIPC'!K121</f>
        <v>1192375</v>
      </c>
      <c r="N47" s="10657">
        <f t="shared" si="17"/>
        <v>1.9957983193277309E-3</v>
      </c>
      <c r="O47" s="12642">
        <f t="shared" si="18"/>
        <v>6384003</v>
      </c>
      <c r="P47" s="5767">
        <f t="shared" si="19"/>
        <v>6085401.21</v>
      </c>
      <c r="Q47" s="5774">
        <f>P47/P78</f>
        <v>2.4053036890738983E-3</v>
      </c>
      <c r="S47" s="5774">
        <f>'lbpf 3-BIPC'!J133</f>
        <v>-4.6773441365864026E-2</v>
      </c>
      <c r="T47" s="10225">
        <f>'lbpf 3-BIPC'!E121</f>
        <v>296584.5</v>
      </c>
      <c r="V47" s="7003">
        <f t="shared" si="4"/>
        <v>-4.6773441365864026E-2</v>
      </c>
      <c r="AW47" s="7194">
        <v>4056724</v>
      </c>
      <c r="AX47" s="5781">
        <f t="shared" ref="AX47:AX53" si="20">P47-AW47</f>
        <v>2028677.21</v>
      </c>
    </row>
    <row r="48" spans="1:53">
      <c r="A48" s="5766" t="s">
        <v>248</v>
      </c>
      <c r="B48" s="7194">
        <v>2077900</v>
      </c>
      <c r="C48" s="5767">
        <f>'lbpf 3-BTO'!K26</f>
        <v>2081471.12</v>
      </c>
      <c r="D48" s="5767"/>
      <c r="E48" s="10657">
        <f t="shared" si="14"/>
        <v>1.7186197603350074E-3</v>
      </c>
      <c r="F48" s="5767">
        <v>1981000</v>
      </c>
      <c r="G48" s="5767">
        <f>'lbpf 3-BTO'!K63</f>
        <v>2708300</v>
      </c>
      <c r="H48" s="10657">
        <f t="shared" si="15"/>
        <v>0.36713780918727917</v>
      </c>
      <c r="I48" s="5767">
        <v>700000</v>
      </c>
      <c r="J48" s="5767">
        <f>'lbpf 3-BTO'!K87</f>
        <v>1465600</v>
      </c>
      <c r="K48" s="10657">
        <f t="shared" si="16"/>
        <v>1.0937142857142856</v>
      </c>
      <c r="L48" s="5767">
        <v>3000000</v>
      </c>
      <c r="M48" s="5767">
        <f>'lbpf 3-BTO'!K102</f>
        <v>2596965</v>
      </c>
      <c r="N48" s="10657">
        <f t="shared" si="17"/>
        <v>-0.13434499999999999</v>
      </c>
      <c r="O48" s="12642">
        <f t="shared" si="18"/>
        <v>7758900</v>
      </c>
      <c r="P48" s="5767">
        <f t="shared" si="19"/>
        <v>8852336.120000001</v>
      </c>
      <c r="Q48" s="5774">
        <f>P48/P78</f>
        <v>3.4989569284878952E-3</v>
      </c>
      <c r="S48" s="5774">
        <f>'lbpf 3-BTO'!J112</f>
        <v>0</v>
      </c>
      <c r="T48" s="10225">
        <f>'lbpf 3-BTO'!E102</f>
        <v>1484029.81</v>
      </c>
      <c r="V48" s="7003">
        <f t="shared" si="4"/>
        <v>0.14092669321682211</v>
      </c>
      <c r="AW48" s="7194">
        <v>5971862</v>
      </c>
      <c r="AX48" s="5781">
        <f t="shared" si="20"/>
        <v>2880474.120000001</v>
      </c>
    </row>
    <row r="49" spans="1:53">
      <c r="A49" s="5766" t="s">
        <v>249</v>
      </c>
      <c r="B49" s="7194">
        <v>1343344</v>
      </c>
      <c r="C49" s="5767">
        <f>'lbpf 3-CCAD'!J27</f>
        <v>2266376.5050000004</v>
      </c>
      <c r="D49" s="5767"/>
      <c r="E49" s="10657">
        <f t="shared" si="14"/>
        <v>0.68711551545992711</v>
      </c>
      <c r="F49" s="5767">
        <v>1484000</v>
      </c>
      <c r="G49" s="5767">
        <f>'lbpf 3-CCAD'!J60</f>
        <v>1414000</v>
      </c>
      <c r="H49" s="10657">
        <f t="shared" si="15"/>
        <v>-4.716981132075472E-2</v>
      </c>
      <c r="I49" s="5767">
        <v>174000</v>
      </c>
      <c r="J49" s="5767">
        <f>'lbpf 3-CCAD'!J73</f>
        <v>445000</v>
      </c>
      <c r="K49" s="10657">
        <f t="shared" si="16"/>
        <v>1.5574712643678161</v>
      </c>
      <c r="L49" s="5767">
        <v>0</v>
      </c>
      <c r="M49" s="5767">
        <v>0</v>
      </c>
      <c r="N49" s="10657"/>
      <c r="O49" s="12642">
        <f t="shared" si="18"/>
        <v>3001344</v>
      </c>
      <c r="P49" s="5767">
        <f t="shared" si="19"/>
        <v>4125376.5050000004</v>
      </c>
      <c r="Q49" s="5774">
        <f>P49/P78</f>
        <v>1.6305881870186971E-3</v>
      </c>
      <c r="S49" s="5774">
        <f>'lbpf 3-CCAD'!I84</f>
        <v>0</v>
      </c>
      <c r="T49" s="5782">
        <v>0</v>
      </c>
      <c r="V49" s="7003">
        <f t="shared" si="4"/>
        <v>0.37450972131151922</v>
      </c>
      <c r="AW49" s="7194">
        <v>3802400</v>
      </c>
      <c r="AX49" s="5781">
        <f t="shared" si="20"/>
        <v>322976.50500000035</v>
      </c>
    </row>
    <row r="50" spans="1:53">
      <c r="A50" s="5766" t="s">
        <v>250</v>
      </c>
      <c r="B50" s="7194">
        <v>31620674</v>
      </c>
      <c r="C50" s="5767">
        <f>'lbpf 3-OPA'!J29</f>
        <v>34731694.579999998</v>
      </c>
      <c r="D50" s="5767"/>
      <c r="E50" s="10657">
        <f t="shared" si="14"/>
        <v>9.8385650476646963E-2</v>
      </c>
      <c r="F50" s="5767">
        <v>4159100</v>
      </c>
      <c r="G50" s="5767">
        <f>'lbpf 3-OPA'!J63</f>
        <v>3884373</v>
      </c>
      <c r="H50" s="10657">
        <f t="shared" si="15"/>
        <v>-6.6054434853694305E-2</v>
      </c>
      <c r="I50" s="5767">
        <v>0</v>
      </c>
      <c r="J50" s="5767">
        <f>'lbpf 3-OPA'!J69</f>
        <v>49227</v>
      </c>
      <c r="K50" s="10657" t="e">
        <f t="shared" si="16"/>
        <v>#DIV/0!</v>
      </c>
      <c r="L50" s="5767">
        <v>0</v>
      </c>
      <c r="M50" s="5767">
        <f>'lbpf 3-OPA'!J72</f>
        <v>0</v>
      </c>
      <c r="N50" s="10657"/>
      <c r="O50" s="12642">
        <f t="shared" si="18"/>
        <v>35779774</v>
      </c>
      <c r="P50" s="5767">
        <f t="shared" si="19"/>
        <v>38665294.579999998</v>
      </c>
      <c r="Q50" s="5774">
        <f>P50/P78</f>
        <v>1.5282768133607249E-2</v>
      </c>
      <c r="S50" s="5774">
        <f>'lbpf 3-OPA'!I82</f>
        <v>0</v>
      </c>
      <c r="T50" s="5782">
        <f>'lbpf 3-OPA'!O72</f>
        <v>0</v>
      </c>
      <c r="V50" s="7003">
        <f t="shared" si="4"/>
        <v>8.064669665045951E-2</v>
      </c>
      <c r="AW50" s="7194">
        <v>30359027</v>
      </c>
      <c r="AX50" s="5781">
        <f t="shared" si="20"/>
        <v>8306267.5799999982</v>
      </c>
    </row>
    <row r="51" spans="1:53">
      <c r="A51" s="5766" t="s">
        <v>251</v>
      </c>
      <c r="B51" s="7194">
        <v>18820083</v>
      </c>
      <c r="C51" s="5767">
        <f>'lbpf 3-VET'!K32</f>
        <v>21599022.905000001</v>
      </c>
      <c r="D51" s="5767"/>
      <c r="E51" s="10657">
        <f t="shared" si="14"/>
        <v>0.14765821728841477</v>
      </c>
      <c r="F51" s="5767">
        <v>4764000</v>
      </c>
      <c r="G51" s="5767">
        <f>'lbpf 3-VET'!K66</f>
        <v>4709000</v>
      </c>
      <c r="H51" s="10657">
        <f t="shared" si="15"/>
        <v>-1.1544920235096557E-2</v>
      </c>
      <c r="I51" s="5767">
        <v>600000</v>
      </c>
      <c r="J51" s="5767">
        <f>'lbpf 3-VET'!K88</f>
        <v>100000</v>
      </c>
      <c r="K51" s="10657">
        <f t="shared" si="16"/>
        <v>-0.83333333333333337</v>
      </c>
      <c r="L51" s="5767">
        <v>14500000</v>
      </c>
      <c r="M51" s="5767">
        <f>'lbpf 3-VET'!K159</f>
        <v>15800000</v>
      </c>
      <c r="N51" s="10657">
        <f t="shared" si="17"/>
        <v>8.9655172413793102E-2</v>
      </c>
      <c r="O51" s="12642">
        <f t="shared" si="18"/>
        <v>38684083</v>
      </c>
      <c r="P51" s="5767">
        <f t="shared" si="19"/>
        <v>42208022.905000001</v>
      </c>
      <c r="Q51" s="5774">
        <f>P51/P78</f>
        <v>1.6683059949290032E-2</v>
      </c>
      <c r="S51" s="5774">
        <f>'lbpf 3-VET'!J169</f>
        <v>9.1095345468057268E-2</v>
      </c>
      <c r="T51" s="10225">
        <f>'lbpf 3-VET'!E159</f>
        <v>11133774.08</v>
      </c>
      <c r="V51" s="7003">
        <f t="shared" si="4"/>
        <v>9.1095345468057268E-2</v>
      </c>
      <c r="AW51" s="7194">
        <v>37675778</v>
      </c>
      <c r="AX51" s="5781">
        <f t="shared" si="20"/>
        <v>4532244.9050000012</v>
      </c>
    </row>
    <row r="52" spans="1:53">
      <c r="A52" s="5766" t="s">
        <v>252</v>
      </c>
      <c r="B52" s="7194">
        <v>48783560</v>
      </c>
      <c r="C52" s="5767">
        <f>'lbpf 3-PEO'!J30</f>
        <v>52883498.105000004</v>
      </c>
      <c r="D52" s="5767"/>
      <c r="E52" s="10657">
        <f t="shared" si="14"/>
        <v>8.4043438096768758E-2</v>
      </c>
      <c r="F52" s="5767">
        <v>65409600</v>
      </c>
      <c r="G52" s="5767">
        <f>'lbpf 3-PEO'!J67</f>
        <v>75997000</v>
      </c>
      <c r="H52" s="10657">
        <f t="shared" si="15"/>
        <v>0.16186309043320857</v>
      </c>
      <c r="I52" s="5767">
        <v>3500000</v>
      </c>
      <c r="J52" s="5767">
        <f>'lbpf 3-PEO'!J94</f>
        <v>2365000</v>
      </c>
      <c r="K52" s="10657">
        <f t="shared" si="16"/>
        <v>-0.32428571428571429</v>
      </c>
      <c r="L52" s="5767">
        <v>0</v>
      </c>
      <c r="M52" s="5767">
        <f>'lbpf 3-PEO'!J100</f>
        <v>0</v>
      </c>
      <c r="N52" s="10657"/>
      <c r="O52" s="12642">
        <f t="shared" si="18"/>
        <v>117693160</v>
      </c>
      <c r="P52" s="5767">
        <f t="shared" si="19"/>
        <v>131245498.105</v>
      </c>
      <c r="Q52" s="5774">
        <f>P52/P78</f>
        <v>5.1875836920586185E-2</v>
      </c>
      <c r="S52" s="5774">
        <f>'lbpf 3-PEO'!I113</f>
        <v>0.11514975131095133</v>
      </c>
      <c r="T52" s="5782">
        <f>'lbpf 3-PEO'!O100</f>
        <v>0</v>
      </c>
      <c r="V52" s="7003">
        <f t="shared" si="4"/>
        <v>0.11514975131095133</v>
      </c>
      <c r="AW52" s="7194">
        <v>78585237</v>
      </c>
      <c r="AX52" s="5781">
        <f t="shared" si="20"/>
        <v>52660261.105000004</v>
      </c>
    </row>
    <row r="53" spans="1:53" ht="15">
      <c r="A53" s="5766" t="s">
        <v>253</v>
      </c>
      <c r="B53" s="12643">
        <v>24782765</v>
      </c>
      <c r="C53" s="5768">
        <f>'lbpf 3-MOTORPOOL'!J29</f>
        <v>27233215.599999998</v>
      </c>
      <c r="D53" s="5768"/>
      <c r="E53" s="10657">
        <f t="shared" si="14"/>
        <v>9.887720760778701E-2</v>
      </c>
      <c r="F53" s="5768">
        <v>20889400</v>
      </c>
      <c r="G53" s="5768">
        <f>'lbpf 3-MOTORPOOL'!J63</f>
        <v>21085400</v>
      </c>
      <c r="H53" s="10657">
        <f t="shared" si="15"/>
        <v>9.3827491454996307E-3</v>
      </c>
      <c r="I53" s="5768">
        <v>1040000</v>
      </c>
      <c r="J53" s="5768">
        <f>'lbpf 3-MOTORPOOL'!J99</f>
        <v>1640000</v>
      </c>
      <c r="K53" s="10657">
        <f t="shared" si="16"/>
        <v>0.57692307692307687</v>
      </c>
      <c r="L53" s="5768">
        <v>0</v>
      </c>
      <c r="M53" s="5768">
        <f>'lbpf 3-MOTORPOOL'!J104</f>
        <v>0</v>
      </c>
      <c r="N53" s="10657"/>
      <c r="O53" s="12644">
        <f t="shared" si="18"/>
        <v>46712165</v>
      </c>
      <c r="P53" s="5768">
        <f t="shared" si="19"/>
        <v>49958615.599999994</v>
      </c>
      <c r="Q53" s="5774">
        <f>P53/P78</f>
        <v>1.9746543942943211E-2</v>
      </c>
      <c r="S53" s="5774">
        <f>'lbpf 3-MOTORPOOL'!I114</f>
        <v>6.949903949003422E-2</v>
      </c>
      <c r="T53" s="5782">
        <f>'lbpf 3-MOTORPOOL'!O104</f>
        <v>0</v>
      </c>
      <c r="V53" s="10707">
        <f t="shared" si="4"/>
        <v>6.949903949003422E-2</v>
      </c>
      <c r="AW53" s="7194">
        <v>28920460</v>
      </c>
      <c r="AX53" s="5781">
        <f t="shared" si="20"/>
        <v>21038155.599999994</v>
      </c>
    </row>
    <row r="54" spans="1:53" ht="13.8" thickBot="1">
      <c r="A54" s="5766" t="s">
        <v>231</v>
      </c>
      <c r="B54" s="12645">
        <f>SUM(B45:B53)</f>
        <v>133302517</v>
      </c>
      <c r="C54" s="12646">
        <f>SUM(C45:C53)</f>
        <v>150206492.27500001</v>
      </c>
      <c r="D54" s="10654"/>
      <c r="E54" s="10654"/>
      <c r="F54" s="12645">
        <f>SUM(F45:F53)</f>
        <v>105790242</v>
      </c>
      <c r="G54" s="12646">
        <f>SUM(G45:G53)</f>
        <v>116275795</v>
      </c>
      <c r="H54" s="10705">
        <f t="shared" si="15"/>
        <v>9.9116447809997454E-2</v>
      </c>
      <c r="I54" s="12645">
        <f>SUM(I45:I53)</f>
        <v>8774000</v>
      </c>
      <c r="J54" s="12646">
        <f>SUM(J45:J53)</f>
        <v>6962827</v>
      </c>
      <c r="K54" s="10654"/>
      <c r="L54" s="12645">
        <f>SUM(L45:L53)</f>
        <v>29178800</v>
      </c>
      <c r="M54" s="12646">
        <f>SUM(M45:M53)</f>
        <v>35964340</v>
      </c>
      <c r="N54" s="10654"/>
      <c r="O54" s="12646">
        <f>SUM(O45:O53)</f>
        <v>277045559</v>
      </c>
      <c r="P54" s="12646">
        <f>SUM(P45:P53)</f>
        <v>309409454.27499998</v>
      </c>
      <c r="Q54" s="5765"/>
      <c r="R54" s="5765"/>
      <c r="S54" s="5765"/>
      <c r="V54" s="10706">
        <f t="shared" si="4"/>
        <v>0.11681795366732435</v>
      </c>
      <c r="AW54" s="7194">
        <v>198424939</v>
      </c>
    </row>
    <row r="55" spans="1:53">
      <c r="A55" s="5766" t="s">
        <v>695</v>
      </c>
      <c r="B55" s="7194">
        <v>11088847.15</v>
      </c>
      <c r="C55" s="5767">
        <f>'nonoff '!K461</f>
        <v>11596965.324999772</v>
      </c>
      <c r="D55" s="5767"/>
      <c r="E55" s="7003">
        <f>(C55-B55)/B55</f>
        <v>4.5822452787598542E-2</v>
      </c>
      <c r="F55" s="5767"/>
      <c r="G55" s="5769"/>
      <c r="H55" s="5769"/>
      <c r="I55" s="5769"/>
      <c r="J55" s="5769"/>
      <c r="K55" s="5769"/>
      <c r="L55" s="5769"/>
      <c r="M55" s="5769"/>
      <c r="N55" s="5769"/>
      <c r="O55" s="5769"/>
      <c r="P55" s="5769"/>
      <c r="Q55" s="5765"/>
      <c r="R55" s="5765"/>
      <c r="S55" s="5765"/>
    </row>
    <row r="56" spans="1:53">
      <c r="A56" s="5766" t="s">
        <v>694</v>
      </c>
      <c r="B56" s="7194">
        <v>15000000</v>
      </c>
      <c r="C56" s="5767">
        <f>'nonoff '!K460</f>
        <v>18132528</v>
      </c>
      <c r="D56" s="5767"/>
      <c r="E56" s="7003">
        <f>(C56-B56)/B56</f>
        <v>0.2088352</v>
      </c>
      <c r="F56" s="5767"/>
      <c r="G56" s="5769"/>
      <c r="H56" s="5769"/>
      <c r="I56" s="5769"/>
      <c r="J56" s="5769"/>
      <c r="K56" s="5769"/>
      <c r="L56" s="5769"/>
      <c r="M56" s="5769"/>
      <c r="N56" s="5769"/>
      <c r="O56" s="5769"/>
      <c r="P56" s="5769"/>
      <c r="Q56" s="5765"/>
      <c r="R56" s="5765"/>
      <c r="S56" s="5765"/>
    </row>
    <row r="57" spans="1:53">
      <c r="A57" s="5773" t="s">
        <v>254</v>
      </c>
      <c r="B57" s="12647">
        <f>B56+B55+B54+B42+B24</f>
        <v>743349279.5</v>
      </c>
      <c r="C57" s="5770">
        <f>C42+C54+C24+C55+C56</f>
        <v>807934368.74999976</v>
      </c>
      <c r="D57" s="5770">
        <f>C57-B57</f>
        <v>64585089.249999762</v>
      </c>
      <c r="E57" s="7003">
        <f>(C57-B57)/B57</f>
        <v>8.688390643687946E-2</v>
      </c>
      <c r="F57" s="12647">
        <f>F56+F55+F54+F42+F24</f>
        <v>700063041</v>
      </c>
      <c r="G57" s="5770">
        <f>G42+G54+G24</f>
        <v>755106314</v>
      </c>
      <c r="H57" s="10705">
        <f>(G57-F57)/F57</f>
        <v>7.8626166182653834E-2</v>
      </c>
      <c r="I57" s="12647">
        <f>I56+I55+I54+I42+I24</f>
        <v>41792446</v>
      </c>
      <c r="J57" s="5770">
        <f>J42+J54+J24</f>
        <v>40919350.5</v>
      </c>
      <c r="K57" s="10657">
        <f>(J57-I57)/I57</f>
        <v>-2.0891227567776244E-2</v>
      </c>
      <c r="L57" s="12647">
        <f>L56+L55+L54+L42+L24</f>
        <v>164226600</v>
      </c>
      <c r="M57" s="5770">
        <f>M42+M54+M24</f>
        <v>179790340</v>
      </c>
      <c r="N57" s="5770"/>
      <c r="O57" s="5770">
        <f>O42+O54+O24</f>
        <v>1623342519.3499999</v>
      </c>
      <c r="P57" s="5770">
        <f>C57+G57+J57+M57</f>
        <v>1783750373.2499998</v>
      </c>
      <c r="R57" s="10609"/>
      <c r="T57" s="7194">
        <f>SUM(T6:T56)</f>
        <v>68152216.75</v>
      </c>
      <c r="V57" s="7003">
        <f t="shared" si="4"/>
        <v>9.881331388044251E-2</v>
      </c>
      <c r="AW57" s="7194">
        <v>1221353333.24</v>
      </c>
      <c r="BA57" s="5781">
        <f>P54+P42+P24+C55+C56</f>
        <v>1783750373.2499995</v>
      </c>
    </row>
    <row r="58" spans="1:53" ht="11.25" customHeight="1">
      <c r="A58" s="5778"/>
      <c r="B58" s="12651"/>
      <c r="C58" s="5766"/>
      <c r="D58" s="5766"/>
      <c r="E58" s="5766"/>
      <c r="F58" s="5766"/>
      <c r="G58" s="5766"/>
      <c r="H58" s="5766"/>
      <c r="I58" s="5766"/>
      <c r="J58" s="5766"/>
      <c r="K58" s="5766"/>
      <c r="L58" s="5766"/>
      <c r="M58" s="5766"/>
      <c r="N58" s="5766"/>
      <c r="O58" s="5766"/>
      <c r="P58" s="5766"/>
    </row>
    <row r="59" spans="1:53" ht="16.5" customHeight="1">
      <c r="A59" s="5778"/>
      <c r="B59" s="12651"/>
      <c r="C59" s="9280"/>
      <c r="D59" s="9280"/>
      <c r="E59" s="9280"/>
      <c r="F59" s="9280"/>
      <c r="G59" s="5766"/>
      <c r="H59" s="5766"/>
      <c r="I59" s="5766"/>
      <c r="J59" s="5766"/>
      <c r="K59" s="5766"/>
      <c r="L59" s="5766"/>
      <c r="M59" s="5766"/>
      <c r="N59" s="5766"/>
      <c r="O59" s="5766"/>
      <c r="P59" s="5766"/>
    </row>
    <row r="60" spans="1:53" ht="15.75" customHeight="1">
      <c r="A60" s="5773" t="s">
        <v>255</v>
      </c>
      <c r="B60" s="12647"/>
      <c r="C60" s="5766"/>
      <c r="D60" s="5766"/>
      <c r="E60" s="5766"/>
      <c r="F60" s="5766"/>
      <c r="G60" s="5779"/>
      <c r="H60" s="5779"/>
      <c r="I60" s="12652">
        <v>2018</v>
      </c>
      <c r="J60" s="12652">
        <v>2019</v>
      </c>
      <c r="K60" s="5766"/>
      <c r="L60" s="5766"/>
      <c r="M60" s="5766"/>
      <c r="N60" s="5766"/>
      <c r="O60" s="5766"/>
      <c r="P60" s="5766"/>
    </row>
    <row r="61" spans="1:53" ht="15.75" customHeight="1">
      <c r="A61" s="5780" t="s">
        <v>4980</v>
      </c>
      <c r="C61" s="5766"/>
      <c r="D61" s="5766"/>
      <c r="E61" s="5766"/>
      <c r="F61" s="5766"/>
      <c r="G61" s="5766"/>
      <c r="H61" s="5766"/>
      <c r="I61" s="7194">
        <v>367608496.40000004</v>
      </c>
      <c r="J61" s="5767">
        <f>'nonoff '!K16</f>
        <v>404379576.20000005</v>
      </c>
      <c r="K61" s="5767"/>
      <c r="L61" s="5767"/>
      <c r="M61" s="5767"/>
      <c r="N61" s="5767"/>
      <c r="O61" s="5767"/>
    </row>
    <row r="62" spans="1:53" ht="15.75" customHeight="1">
      <c r="A62" s="5766" t="s">
        <v>3045</v>
      </c>
      <c r="C62" s="5766"/>
      <c r="D62" s="5766"/>
      <c r="E62" s="5766"/>
      <c r="F62" s="5766"/>
      <c r="G62" s="5766"/>
      <c r="H62" s="5766"/>
      <c r="I62" s="7194">
        <v>109717374.10000001</v>
      </c>
      <c r="J62" s="5767">
        <f>'nonoff '!K18</f>
        <v>120267144.05000001</v>
      </c>
      <c r="K62" s="5767"/>
      <c r="L62" s="5767"/>
      <c r="M62" s="5767"/>
      <c r="N62" s="5767"/>
      <c r="O62" s="5767"/>
    </row>
    <row r="63" spans="1:53" ht="15.75" customHeight="1">
      <c r="A63" s="5766" t="s">
        <v>256</v>
      </c>
      <c r="C63" s="5766"/>
      <c r="D63" s="5766"/>
      <c r="E63" s="5766"/>
      <c r="F63" s="5766"/>
      <c r="G63" s="5766"/>
      <c r="H63" s="5766"/>
      <c r="I63" s="7194">
        <v>22180000</v>
      </c>
      <c r="J63" s="5767">
        <f>'nonoff '!K17</f>
        <v>22180000</v>
      </c>
      <c r="K63" s="5767"/>
      <c r="L63" s="5767"/>
      <c r="M63" s="5767"/>
      <c r="N63" s="5767"/>
      <c r="O63" s="5767"/>
    </row>
    <row r="64" spans="1:53" ht="15.75" customHeight="1">
      <c r="A64" s="5766" t="s">
        <v>257</v>
      </c>
      <c r="C64" s="5766"/>
      <c r="D64" s="5766"/>
      <c r="E64" s="5766"/>
      <c r="F64" s="5766"/>
      <c r="G64" s="5766"/>
      <c r="H64" s="5766"/>
      <c r="I64" s="7194">
        <v>0</v>
      </c>
      <c r="J64" s="5767">
        <f>'nonoff '!K20</f>
        <v>0</v>
      </c>
      <c r="K64" s="5767"/>
      <c r="L64" s="5767"/>
      <c r="M64" s="5767"/>
      <c r="N64" s="5767"/>
      <c r="O64" s="5767"/>
    </row>
    <row r="65" spans="1:53" ht="14.25" customHeight="1">
      <c r="A65" s="5773" t="s">
        <v>258</v>
      </c>
      <c r="B65" s="12647"/>
      <c r="C65" s="5766"/>
      <c r="D65" s="5766"/>
      <c r="E65" s="5766"/>
      <c r="F65" s="5766"/>
      <c r="G65" s="5766"/>
      <c r="H65" s="5766"/>
      <c r="I65" s="7194"/>
      <c r="J65" s="5766"/>
      <c r="K65" s="5766"/>
      <c r="L65" s="5766"/>
      <c r="M65" s="5766"/>
      <c r="N65" s="5766"/>
      <c r="O65" s="5766"/>
      <c r="P65" s="12653">
        <f>SUM(J61:J64)</f>
        <v>546826720.25</v>
      </c>
      <c r="Q65" s="5765">
        <f>P65/P78</f>
        <v>0.21613765175254657</v>
      </c>
      <c r="R65" s="5765"/>
      <c r="S65" s="5765"/>
      <c r="AW65" s="7194">
        <v>412307711.40000004</v>
      </c>
    </row>
    <row r="66" spans="1:53" ht="15.75" customHeight="1">
      <c r="A66" s="5766" t="s">
        <v>259</v>
      </c>
      <c r="C66" s="5766"/>
      <c r="D66" s="5766"/>
      <c r="E66" s="5766"/>
      <c r="F66" s="5766"/>
      <c r="G66" s="5766"/>
      <c r="H66" s="5766"/>
      <c r="I66" s="7194"/>
      <c r="J66" s="5766"/>
      <c r="K66" s="5766"/>
      <c r="L66" s="5766"/>
      <c r="M66" s="5766"/>
      <c r="N66" s="5766"/>
      <c r="O66" s="5766"/>
      <c r="P66" s="5767"/>
    </row>
    <row r="67" spans="1:53" ht="13.5" customHeight="1">
      <c r="A67" s="9260" t="s">
        <v>11221</v>
      </c>
      <c r="B67" s="12654"/>
      <c r="C67" s="5766"/>
      <c r="D67" s="5766"/>
      <c r="E67" s="5766"/>
      <c r="F67" s="5766"/>
      <c r="G67" s="5766"/>
      <c r="H67" s="5766"/>
      <c r="I67" s="7194">
        <v>440000000</v>
      </c>
      <c r="J67" s="7194">
        <f>'nonoff '!K11</f>
        <v>0</v>
      </c>
      <c r="K67" s="7194"/>
      <c r="L67" s="7194"/>
      <c r="M67" s="5766"/>
      <c r="N67" s="5766"/>
      <c r="O67" s="5766"/>
      <c r="P67" s="5767"/>
    </row>
    <row r="68" spans="1:53" ht="15.75" customHeight="1">
      <c r="A68" s="5766" t="s">
        <v>260</v>
      </c>
      <c r="C68" s="5766"/>
      <c r="D68" s="5766"/>
      <c r="E68" s="5766"/>
      <c r="F68" s="5766"/>
      <c r="G68" s="5766"/>
      <c r="H68" s="5766"/>
      <c r="I68" s="7194">
        <v>15091912</v>
      </c>
      <c r="J68" s="5767">
        <f>'nonoff '!K67</f>
        <v>10645087.5</v>
      </c>
      <c r="K68" s="5767"/>
      <c r="L68" s="5767"/>
      <c r="M68" s="5767"/>
      <c r="N68" s="5767"/>
      <c r="O68" s="5767"/>
    </row>
    <row r="69" spans="1:53" ht="15.75" customHeight="1">
      <c r="A69" s="5766" t="s">
        <v>261</v>
      </c>
      <c r="C69" s="5766"/>
      <c r="D69" s="5766"/>
      <c r="E69" s="5766"/>
      <c r="F69" s="5766"/>
      <c r="G69" s="5766"/>
      <c r="H69" s="5766"/>
      <c r="I69" s="7194">
        <v>100893000</v>
      </c>
      <c r="J69" s="5767">
        <f>'nonoff '!K235</f>
        <v>84600000</v>
      </c>
      <c r="K69" s="5767"/>
      <c r="L69" s="5767"/>
      <c r="M69" s="5767"/>
      <c r="N69" s="5767"/>
      <c r="O69" s="5767"/>
    </row>
    <row r="70" spans="1:53" ht="15.75" customHeight="1">
      <c r="A70" s="29" t="s">
        <v>262</v>
      </c>
      <c r="B70" s="12655"/>
      <c r="C70" s="5766"/>
      <c r="D70" s="5766"/>
      <c r="E70" s="5766"/>
      <c r="F70" s="5766"/>
      <c r="G70" s="5766"/>
      <c r="H70" s="5766"/>
      <c r="I70" s="7194">
        <v>101324933</v>
      </c>
      <c r="J70" s="5781">
        <f>'nonoff '!K401</f>
        <v>93070700</v>
      </c>
      <c r="K70" s="5781"/>
      <c r="L70" s="5781"/>
      <c r="M70" s="5781"/>
      <c r="N70" s="5781"/>
      <c r="O70" s="5781"/>
    </row>
    <row r="71" spans="1:53" ht="15.75" customHeight="1">
      <c r="A71" s="5766" t="s">
        <v>263</v>
      </c>
      <c r="C71" s="5766"/>
      <c r="D71" s="5766"/>
      <c r="E71" s="5766"/>
      <c r="F71" s="5766"/>
      <c r="G71" s="5766"/>
      <c r="H71" s="5766"/>
      <c r="I71" s="7194">
        <v>129800400</v>
      </c>
      <c r="J71" s="5767">
        <f>'nonoff '!K458</f>
        <v>11100000</v>
      </c>
      <c r="K71" s="5767"/>
      <c r="L71" s="5767"/>
      <c r="M71" s="5767"/>
      <c r="N71" s="5767"/>
      <c r="O71" s="5767"/>
    </row>
    <row r="72" spans="1:53" ht="15.75" hidden="1" customHeight="1">
      <c r="A72" s="5766" t="s">
        <v>3395</v>
      </c>
      <c r="B72" s="7194" t="s">
        <v>695</v>
      </c>
      <c r="C72" s="5766" t="s">
        <v>695</v>
      </c>
      <c r="D72" s="5766"/>
      <c r="E72" s="5766"/>
      <c r="F72" s="5766"/>
      <c r="G72" s="5766"/>
      <c r="H72" s="5766"/>
      <c r="I72" s="5766"/>
      <c r="M72" s="5767"/>
      <c r="N72" s="5767"/>
      <c r="O72" s="5767"/>
    </row>
    <row r="73" spans="1:53" ht="15.75" hidden="1" customHeight="1">
      <c r="A73" s="5766"/>
      <c r="B73" s="7194" t="s">
        <v>694</v>
      </c>
      <c r="C73" s="5766" t="s">
        <v>694</v>
      </c>
      <c r="D73" s="5766"/>
      <c r="E73" s="5766"/>
      <c r="F73" s="5766"/>
      <c r="G73" s="5766"/>
      <c r="H73" s="5766"/>
      <c r="I73" s="5766"/>
      <c r="M73" s="5767"/>
      <c r="N73" s="5767"/>
      <c r="O73" s="5767"/>
    </row>
    <row r="74" spans="1:53" ht="15.75" hidden="1" customHeight="1">
      <c r="A74" s="5766"/>
      <c r="B74" s="7194" t="s">
        <v>10232</v>
      </c>
      <c r="C74" s="5766" t="s">
        <v>10232</v>
      </c>
      <c r="D74" s="5766"/>
      <c r="E74" s="5766"/>
      <c r="F74" s="5766"/>
      <c r="G74" s="5766"/>
      <c r="H74" s="5766"/>
      <c r="I74" s="5766">
        <v>0</v>
      </c>
      <c r="J74" s="5767">
        <f>'nonoff '!K462</f>
        <v>0</v>
      </c>
      <c r="K74" s="5767"/>
      <c r="L74" s="5767"/>
      <c r="M74" s="5767"/>
      <c r="N74" s="5767"/>
      <c r="O74" s="5767"/>
    </row>
    <row r="75" spans="1:53" ht="15.75" hidden="1" customHeight="1">
      <c r="A75" s="5766"/>
      <c r="B75" s="7194" t="s">
        <v>10268</v>
      </c>
      <c r="C75" s="5766" t="s">
        <v>10268</v>
      </c>
      <c r="D75" s="5766"/>
      <c r="E75" s="5766"/>
      <c r="F75" s="5766"/>
      <c r="G75" s="5766"/>
      <c r="H75" s="5766"/>
      <c r="I75" s="5766">
        <v>0</v>
      </c>
      <c r="J75" s="5767">
        <f>'nonoff '!K463</f>
        <v>0</v>
      </c>
      <c r="K75" s="5767"/>
      <c r="L75" s="5767"/>
      <c r="M75" s="5767"/>
      <c r="N75" s="5767"/>
      <c r="O75" s="5767"/>
    </row>
    <row r="76" spans="1:53" ht="15" customHeight="1">
      <c r="A76" s="5773" t="s">
        <v>220</v>
      </c>
      <c r="B76" s="12647"/>
      <c r="C76" s="5766"/>
      <c r="D76" s="5766"/>
      <c r="E76" s="5766"/>
      <c r="F76" s="5766"/>
      <c r="G76" s="5766"/>
      <c r="H76" s="5766"/>
      <c r="I76" s="5766"/>
      <c r="J76" s="5766"/>
      <c r="K76" s="5766"/>
      <c r="L76" s="5766"/>
      <c r="M76" s="5766"/>
      <c r="N76" s="5766"/>
      <c r="O76" s="5766"/>
      <c r="P76" s="12653">
        <f>SUM(J66:J71)</f>
        <v>199415787.5</v>
      </c>
      <c r="Q76" s="5765">
        <f>P76/P78</f>
        <v>7.882069115592899E-2</v>
      </c>
      <c r="R76" s="5765"/>
      <c r="S76" s="5765"/>
      <c r="AW76" s="7194">
        <v>224865909.36000001</v>
      </c>
    </row>
    <row r="77" spans="1:53" ht="15" customHeight="1" thickBot="1">
      <c r="A77" s="5773" t="s">
        <v>264</v>
      </c>
      <c r="B77" s="12647"/>
      <c r="C77" s="5766"/>
      <c r="D77" s="5766"/>
      <c r="E77" s="5766"/>
      <c r="F77" s="5766"/>
      <c r="G77" s="5766"/>
      <c r="H77" s="5766"/>
      <c r="I77" s="5766"/>
      <c r="J77" s="5766"/>
      <c r="K77" s="5766"/>
      <c r="L77" s="5766"/>
      <c r="M77" s="5766"/>
      <c r="N77" s="5766"/>
      <c r="O77" s="5766"/>
      <c r="P77" s="12656">
        <f>P57+P65+P76</f>
        <v>2529992881</v>
      </c>
      <c r="Q77" s="5765"/>
      <c r="R77" s="5765"/>
      <c r="S77" s="5765"/>
      <c r="AW77" s="7194">
        <v>1858526954</v>
      </c>
    </row>
    <row r="78" spans="1:53" ht="17.25" customHeight="1" thickBot="1">
      <c r="A78" s="5766" t="s">
        <v>265</v>
      </c>
      <c r="C78" s="5766"/>
      <c r="D78" s="5766"/>
      <c r="E78" s="5766"/>
      <c r="F78" s="5766"/>
      <c r="G78" s="9607"/>
      <c r="H78" s="9607"/>
      <c r="I78" s="9607"/>
      <c r="J78" s="1626"/>
      <c r="K78" s="1626"/>
      <c r="L78" s="1626"/>
      <c r="M78" s="5766"/>
      <c r="N78" s="5766"/>
      <c r="O78" s="5766"/>
      <c r="P78" s="12657">
        <f>'receipts program'!M110</f>
        <v>2529992881</v>
      </c>
      <c r="Q78" s="5765"/>
      <c r="R78" s="12658" t="s">
        <v>11768</v>
      </c>
      <c r="S78" s="12658" t="s">
        <v>11769</v>
      </c>
      <c r="T78" s="5782" t="s">
        <v>11837</v>
      </c>
      <c r="AW78" s="7194">
        <v>1858526954</v>
      </c>
      <c r="BA78" s="5781"/>
    </row>
    <row r="79" spans="1:53" ht="15.75" customHeight="1">
      <c r="A79" s="5773" t="s">
        <v>266</v>
      </c>
      <c r="B79" s="12647"/>
      <c r="C79" s="5766"/>
      <c r="D79" s="5766"/>
      <c r="E79" s="5766"/>
      <c r="F79" s="5766"/>
      <c r="G79" s="5766"/>
      <c r="H79" s="5766"/>
      <c r="I79" s="5779"/>
      <c r="J79" s="5766"/>
      <c r="K79" s="5766"/>
      <c r="L79" s="5766"/>
      <c r="M79" s="5766"/>
      <c r="N79" s="5766"/>
      <c r="O79" s="5766"/>
      <c r="P79" s="5771">
        <f>P78-P77</f>
        <v>0</v>
      </c>
      <c r="R79" s="9258">
        <v>-390261270.70999998</v>
      </c>
      <c r="S79" s="9258">
        <v>-355125180.70999998</v>
      </c>
      <c r="T79" s="7194">
        <v>-340211540.70999998</v>
      </c>
      <c r="AW79" s="7194">
        <v>0</v>
      </c>
      <c r="BA79" s="9279"/>
    </row>
    <row r="80" spans="1:53" ht="15.75" customHeight="1">
      <c r="A80" s="5773"/>
      <c r="B80" s="12647"/>
      <c r="C80" s="5766"/>
      <c r="D80" s="5766"/>
      <c r="E80" s="5766"/>
      <c r="F80" s="5766"/>
      <c r="G80" s="5766"/>
      <c r="H80" s="5766"/>
      <c r="I80" s="5766"/>
      <c r="J80" s="5766"/>
      <c r="K80" s="5766"/>
      <c r="L80" s="5766"/>
      <c r="M80" s="5766"/>
      <c r="N80" s="5766"/>
      <c r="O80" s="5766"/>
      <c r="P80" s="5771"/>
      <c r="R80" s="5774" t="s">
        <v>11770</v>
      </c>
      <c r="S80" s="10609">
        <f>-R79+S79</f>
        <v>35136090</v>
      </c>
      <c r="T80" s="10609">
        <f>-S79+T79</f>
        <v>14913640</v>
      </c>
      <c r="U80" s="10609">
        <f>-T79+U79</f>
        <v>340211540.70999998</v>
      </c>
      <c r="BA80" s="9279"/>
    </row>
    <row r="81" spans="1:53" ht="15.75" hidden="1" customHeight="1">
      <c r="A81" s="5773"/>
      <c r="B81" s="12647"/>
      <c r="C81" s="5766"/>
      <c r="D81" s="5766"/>
      <c r="E81" s="5766"/>
      <c r="F81" s="5766"/>
      <c r="G81" s="5766"/>
      <c r="H81" s="5766"/>
      <c r="I81" s="5766"/>
      <c r="J81" s="5766"/>
      <c r="K81" s="5766"/>
      <c r="L81" s="5766"/>
      <c r="M81" s="5766" t="s">
        <v>9489</v>
      </c>
      <c r="N81" s="5766"/>
      <c r="O81" s="5766"/>
      <c r="P81" s="5771">
        <f>P79</f>
        <v>0</v>
      </c>
      <c r="BA81" s="9279"/>
    </row>
    <row r="82" spans="1:53" ht="15.75" hidden="1" customHeight="1">
      <c r="A82" s="5773"/>
      <c r="B82" s="12647"/>
      <c r="C82" s="5766"/>
      <c r="D82" s="5766"/>
      <c r="E82" s="5766"/>
      <c r="F82" s="5766"/>
      <c r="G82" s="5766"/>
      <c r="H82" s="5766"/>
      <c r="I82" s="5766"/>
      <c r="J82" s="5766"/>
      <c r="K82" s="5766"/>
      <c r="L82" s="5766"/>
      <c r="M82" s="12659" t="s">
        <v>12006</v>
      </c>
      <c r="P82" s="12660">
        <f>'[1]PS FOR CREATION'!$J$36</f>
        <v>29381509.759999998</v>
      </c>
      <c r="BA82" s="9279"/>
    </row>
    <row r="83" spans="1:53" ht="15.75" hidden="1" customHeight="1">
      <c r="A83" s="5773"/>
      <c r="B83" s="12647"/>
      <c r="C83" s="5766"/>
      <c r="D83" s="5766"/>
      <c r="E83" s="5766"/>
      <c r="F83" s="5766"/>
      <c r="G83" s="5766"/>
      <c r="H83" s="5766"/>
      <c r="I83" s="5766"/>
      <c r="J83" s="5766"/>
      <c r="K83" s="5766"/>
      <c r="L83" s="5766"/>
      <c r="M83" s="10704"/>
      <c r="P83" s="5771">
        <f>P81-P82</f>
        <v>-29381509.759999998</v>
      </c>
      <c r="BA83" s="9279"/>
    </row>
    <row r="84" spans="1:53" ht="15.75" hidden="1" customHeight="1">
      <c r="A84" s="5773"/>
      <c r="B84" s="12647"/>
      <c r="C84" s="5766"/>
      <c r="D84" s="5766"/>
      <c r="E84" s="5766"/>
      <c r="F84" s="5766"/>
      <c r="G84" s="5766"/>
      <c r="H84" s="5766"/>
      <c r="I84" s="5766"/>
      <c r="J84" s="5766"/>
      <c r="K84" s="5766"/>
      <c r="L84" s="5766"/>
      <c r="M84" s="12659" t="s">
        <v>12007</v>
      </c>
      <c r="P84" s="12660">
        <f>'[1]PS FOR ABOLITION'!$J$36</f>
        <v>12972313.4</v>
      </c>
      <c r="BA84" s="9279"/>
    </row>
    <row r="85" spans="1:53" ht="15.75" hidden="1" customHeight="1">
      <c r="A85" s="5773"/>
      <c r="B85" s="12647"/>
      <c r="C85" s="5766"/>
      <c r="D85" s="5766"/>
      <c r="E85" s="5766"/>
      <c r="F85" s="5766"/>
      <c r="G85" s="5766"/>
      <c r="H85" s="5766"/>
      <c r="I85" s="5766"/>
      <c r="J85" s="5779"/>
      <c r="K85" s="5779"/>
      <c r="L85" s="5779" t="s">
        <v>11172</v>
      </c>
      <c r="M85" s="9607"/>
      <c r="N85" s="9607"/>
      <c r="P85" s="5768">
        <v>33652342</v>
      </c>
    </row>
    <row r="86" spans="1:53" ht="15.75" hidden="1" customHeight="1">
      <c r="A86" s="5773"/>
      <c r="B86" s="12647"/>
      <c r="C86" s="5766"/>
      <c r="D86" s="5766"/>
      <c r="E86" s="5766"/>
      <c r="F86" s="5766"/>
      <c r="L86" s="5782" t="s">
        <v>11171</v>
      </c>
      <c r="M86" s="9278"/>
      <c r="N86" s="9278"/>
      <c r="P86" s="9261">
        <f>P79-P85</f>
        <v>-33652342</v>
      </c>
    </row>
    <row r="87" spans="1:53" ht="15.75" hidden="1" customHeight="1">
      <c r="A87" s="5773"/>
      <c r="B87" s="12647"/>
      <c r="C87" s="5766"/>
      <c r="D87" s="5766"/>
      <c r="E87" s="5766"/>
      <c r="F87" s="5766"/>
      <c r="M87" s="7194"/>
      <c r="N87" s="7194"/>
      <c r="P87" s="5767"/>
    </row>
    <row r="88" spans="1:53" ht="15.75" hidden="1" customHeight="1">
      <c r="A88" s="5773"/>
      <c r="B88" s="12647"/>
      <c r="C88" s="5766"/>
      <c r="D88" s="5766"/>
      <c r="E88" s="5766"/>
      <c r="F88" s="5766"/>
      <c r="G88" s="5766"/>
      <c r="H88" s="5766"/>
      <c r="I88" s="5766"/>
      <c r="J88" s="5779"/>
      <c r="K88" s="5779"/>
      <c r="L88" s="5779" t="s">
        <v>11161</v>
      </c>
      <c r="M88" s="5766"/>
      <c r="N88" s="5766"/>
      <c r="P88" s="9245">
        <f>653441972.2066+P79-'receipts program'!M9</f>
        <v>548441972.20659995</v>
      </c>
    </row>
    <row r="89" spans="1:53" ht="15.75" hidden="1" customHeight="1">
      <c r="A89" s="5773"/>
      <c r="B89" s="12647"/>
      <c r="C89" s="5766"/>
      <c r="D89" s="5766"/>
      <c r="E89" s="5766"/>
      <c r="F89" s="5766"/>
      <c r="G89" s="5766"/>
      <c r="H89" s="5766"/>
      <c r="I89" s="5766"/>
      <c r="J89" s="5779"/>
      <c r="K89" s="5779"/>
      <c r="L89" s="5779"/>
      <c r="M89" s="5766"/>
      <c r="N89" s="5766"/>
      <c r="P89" s="12661">
        <f>P83+P84</f>
        <v>-16409196.359999998</v>
      </c>
    </row>
    <row r="90" spans="1:53" ht="15.75" hidden="1" customHeight="1">
      <c r="A90" s="5766"/>
      <c r="C90" s="5766"/>
      <c r="D90" s="5766"/>
      <c r="E90" s="5766"/>
      <c r="F90" s="5766"/>
      <c r="G90" s="5766"/>
      <c r="H90" s="5766"/>
      <c r="I90" s="5766"/>
      <c r="J90" s="5766"/>
      <c r="K90" s="5766"/>
      <c r="L90" s="5766" t="s">
        <v>10604</v>
      </c>
      <c r="M90" s="5772"/>
      <c r="N90" s="5772"/>
      <c r="P90" s="5772"/>
    </row>
    <row r="91" spans="1:53" hidden="1">
      <c r="L91" s="5782" t="s">
        <v>582</v>
      </c>
      <c r="M91" s="9262"/>
      <c r="N91" s="9262"/>
      <c r="P91" s="9263">
        <v>5550000</v>
      </c>
      <c r="Q91" s="9264" t="s">
        <v>10626</v>
      </c>
      <c r="R91" s="9264"/>
    </row>
    <row r="92" spans="1:53" hidden="1">
      <c r="L92" s="5782" t="s">
        <v>583</v>
      </c>
      <c r="M92" s="9262"/>
      <c r="N92" s="9262"/>
      <c r="P92" s="9265">
        <v>2004600</v>
      </c>
      <c r="Q92" s="9266" t="s">
        <v>9182</v>
      </c>
      <c r="R92" s="9266"/>
    </row>
    <row r="93" spans="1:53" hidden="1">
      <c r="L93" s="5782" t="s">
        <v>585</v>
      </c>
      <c r="M93" s="9262"/>
      <c r="N93" s="9262"/>
      <c r="P93" s="9265">
        <v>300000</v>
      </c>
      <c r="Q93" s="9267" t="s">
        <v>10626</v>
      </c>
      <c r="R93" s="9267"/>
    </row>
    <row r="94" spans="1:53" hidden="1">
      <c r="L94" s="5782" t="s">
        <v>586</v>
      </c>
      <c r="M94" s="9262"/>
      <c r="N94" s="9262"/>
      <c r="P94" s="9268">
        <v>300000</v>
      </c>
      <c r="Q94" s="9269" t="s">
        <v>10627</v>
      </c>
      <c r="R94" s="9269"/>
    </row>
    <row r="95" spans="1:53" hidden="1">
      <c r="L95" s="5782" t="s">
        <v>586</v>
      </c>
      <c r="M95" s="9262"/>
      <c r="N95" s="9262"/>
      <c r="P95" s="9268">
        <v>500000</v>
      </c>
      <c r="Q95" s="9269" t="s">
        <v>10628</v>
      </c>
      <c r="R95" s="9269"/>
    </row>
    <row r="96" spans="1:53" hidden="1">
      <c r="L96" s="5782" t="s">
        <v>586</v>
      </c>
      <c r="M96" s="9262"/>
      <c r="N96" s="9262"/>
      <c r="P96" s="9268">
        <v>600000</v>
      </c>
      <c r="Q96" s="9269" t="s">
        <v>10629</v>
      </c>
      <c r="R96" s="9269"/>
    </row>
    <row r="97" spans="12:18" hidden="1">
      <c r="L97" s="5782" t="s">
        <v>586</v>
      </c>
      <c r="M97" s="9262"/>
      <c r="N97" s="9262"/>
      <c r="P97" s="9268">
        <v>150000</v>
      </c>
      <c r="Q97" s="9269" t="s">
        <v>10630</v>
      </c>
      <c r="R97" s="9269"/>
    </row>
    <row r="98" spans="12:18" hidden="1">
      <c r="L98" s="5782" t="s">
        <v>586</v>
      </c>
      <c r="M98" s="9262"/>
      <c r="N98" s="9262"/>
      <c r="P98" s="9268">
        <v>750000</v>
      </c>
      <c r="Q98" s="9270" t="s">
        <v>10582</v>
      </c>
      <c r="R98" s="9270"/>
    </row>
    <row r="99" spans="12:18" hidden="1">
      <c r="L99" s="5782" t="s">
        <v>587</v>
      </c>
      <c r="M99" s="9262"/>
      <c r="N99" s="9262"/>
      <c r="P99" s="9271">
        <v>9775000</v>
      </c>
      <c r="Q99" s="9260" t="s">
        <v>10631</v>
      </c>
      <c r="R99" s="9260"/>
    </row>
    <row r="100" spans="12:18" hidden="1">
      <c r="L100" s="5782" t="s">
        <v>587</v>
      </c>
      <c r="M100" s="9262"/>
      <c r="N100" s="9262"/>
      <c r="P100" s="9271">
        <v>700000</v>
      </c>
      <c r="Q100" s="9260" t="s">
        <v>10649</v>
      </c>
      <c r="R100" s="9260"/>
    </row>
    <row r="101" spans="12:18" hidden="1">
      <c r="L101" s="5782" t="s">
        <v>587</v>
      </c>
      <c r="M101" s="9262"/>
      <c r="N101" s="9262"/>
      <c r="P101" s="9271">
        <v>5000000</v>
      </c>
      <c r="Q101" s="9260" t="s">
        <v>10632</v>
      </c>
      <c r="R101" s="9260"/>
    </row>
    <row r="102" spans="12:18" hidden="1">
      <c r="L102" s="5782" t="s">
        <v>588</v>
      </c>
      <c r="M102" s="9262"/>
      <c r="N102" s="9262"/>
      <c r="P102" s="9271">
        <v>529500</v>
      </c>
      <c r="Q102" s="7269" t="s">
        <v>9182</v>
      </c>
      <c r="R102" s="7269"/>
    </row>
    <row r="103" spans="12:18" hidden="1">
      <c r="L103" s="5782" t="s">
        <v>589</v>
      </c>
      <c r="M103" s="9262"/>
      <c r="N103" s="9262"/>
      <c r="P103" s="9272">
        <v>10000000</v>
      </c>
      <c r="Q103" s="9264" t="s">
        <v>10633</v>
      </c>
      <c r="R103" s="9264"/>
    </row>
    <row r="104" spans="12:18" hidden="1">
      <c r="L104" s="5782" t="s">
        <v>589</v>
      </c>
      <c r="M104" s="9262"/>
      <c r="N104" s="9262"/>
      <c r="P104" s="9272">
        <v>300000</v>
      </c>
      <c r="Q104" s="9273" t="s">
        <v>10650</v>
      </c>
      <c r="R104" s="9264"/>
    </row>
    <row r="105" spans="12:18" hidden="1">
      <c r="L105" s="5782" t="s">
        <v>589</v>
      </c>
      <c r="M105" s="9262"/>
      <c r="N105" s="9262"/>
      <c r="P105" s="9272">
        <v>2500000</v>
      </c>
      <c r="Q105" s="9273" t="s">
        <v>10651</v>
      </c>
      <c r="R105" s="9264"/>
    </row>
    <row r="106" spans="12:18" hidden="1">
      <c r="L106" s="5782" t="s">
        <v>589</v>
      </c>
      <c r="M106" s="9262"/>
      <c r="N106" s="9262"/>
      <c r="P106" s="9274">
        <v>3055000</v>
      </c>
      <c r="Q106" s="9264" t="s">
        <v>10626</v>
      </c>
      <c r="R106" s="9264"/>
    </row>
    <row r="107" spans="12:18" hidden="1">
      <c r="P107" s="9275">
        <f>SUM(P91:P106)</f>
        <v>42014100</v>
      </c>
    </row>
    <row r="108" spans="12:18" hidden="1"/>
    <row r="109" spans="12:18" hidden="1">
      <c r="L109" s="5782" t="s">
        <v>10637</v>
      </c>
      <c r="M109" s="9276"/>
      <c r="N109" s="9276"/>
      <c r="P109" s="9262"/>
    </row>
    <row r="110" spans="12:18" hidden="1">
      <c r="L110" s="5782" t="s">
        <v>588</v>
      </c>
      <c r="P110" s="7194">
        <v>1500000</v>
      </c>
      <c r="Q110" s="7269" t="s">
        <v>10652</v>
      </c>
      <c r="R110" s="7269"/>
    </row>
    <row r="111" spans="12:18" hidden="1"/>
    <row r="112" spans="12:18" hidden="1"/>
    <row r="113" spans="1:18" hidden="1">
      <c r="L113" s="5782" t="s">
        <v>10653</v>
      </c>
    </row>
    <row r="114" spans="1:18" hidden="1">
      <c r="L114" s="5782" t="s">
        <v>596</v>
      </c>
      <c r="P114" s="7194">
        <v>600000</v>
      </c>
      <c r="Q114" s="9277" t="s">
        <v>10654</v>
      </c>
      <c r="R114" s="9277"/>
    </row>
    <row r="115" spans="1:18" hidden="1">
      <c r="P115" s="7194">
        <v>50000</v>
      </c>
      <c r="Q115" s="9277" t="s">
        <v>10655</v>
      </c>
      <c r="R115" s="9277"/>
    </row>
    <row r="116" spans="1:18" hidden="1">
      <c r="L116" s="5782" t="s">
        <v>1724</v>
      </c>
      <c r="P116" s="7194">
        <v>1075000</v>
      </c>
      <c r="Q116" s="9277" t="s">
        <v>3335</v>
      </c>
      <c r="R116" s="9277"/>
    </row>
    <row r="117" spans="1:18" hidden="1">
      <c r="L117" s="5782" t="s">
        <v>581</v>
      </c>
      <c r="Q117" s="9277" t="s">
        <v>10656</v>
      </c>
      <c r="R117" s="9277"/>
    </row>
    <row r="118" spans="1:18" hidden="1"/>
    <row r="119" spans="1:18" hidden="1">
      <c r="L119" s="5782" t="s">
        <v>10657</v>
      </c>
    </row>
    <row r="120" spans="1:18" hidden="1">
      <c r="L120" s="5782" t="s">
        <v>10658</v>
      </c>
      <c r="P120" s="7194">
        <v>22000000</v>
      </c>
      <c r="Q120" s="9277" t="s">
        <v>10659</v>
      </c>
      <c r="R120" s="9277"/>
    </row>
    <row r="121" spans="1:18">
      <c r="P121" s="10703"/>
    </row>
    <row r="122" spans="1:18">
      <c r="M122" s="12662"/>
      <c r="P122" s="12663"/>
    </row>
    <row r="123" spans="1:18">
      <c r="A123" s="13973"/>
      <c r="C123" s="7194"/>
    </row>
    <row r="124" spans="1:18">
      <c r="A124" s="13973"/>
      <c r="C124" s="7194"/>
      <c r="G124" s="9279"/>
    </row>
    <row r="126" spans="1:18">
      <c r="A126" s="13973"/>
      <c r="C126" s="5781"/>
    </row>
  </sheetData>
  <mergeCells count="2">
    <mergeCell ref="A1:Q1"/>
    <mergeCell ref="A2:Q2"/>
  </mergeCells>
  <pageMargins left="0.25" right="0.25" top="0.5" bottom="0.25" header="0.25" footer="0.25"/>
  <pageSetup paperSize="119" scale="85" firstPageNumber="400" orientation="portrait" useFirstPageNumber="1" r:id="rId1"/>
</worksheet>
</file>

<file path=xl/worksheets/sheet193.xml><?xml version="1.0" encoding="utf-8"?>
<worksheet xmlns="http://schemas.openxmlformats.org/spreadsheetml/2006/main" xmlns:r="http://schemas.openxmlformats.org/officeDocument/2006/relationships">
  <sheetPr codeName="Sheet196"/>
  <dimension ref="A1:G156"/>
  <sheetViews>
    <sheetView showGridLines="0" workbookViewId="0">
      <selection activeCell="G8" sqref="G8"/>
    </sheetView>
  </sheetViews>
  <sheetFormatPr defaultColWidth="17" defaultRowHeight="15.6"/>
  <cols>
    <col min="1" max="1" width="11.44140625" style="9812" customWidth="1"/>
    <col min="2" max="4" width="17" style="9813" customWidth="1"/>
    <col min="5" max="5" width="12.44140625" style="9813" customWidth="1"/>
    <col min="6" max="6" width="3.109375" style="9812" customWidth="1"/>
    <col min="7" max="7" width="19.109375" style="9813" customWidth="1"/>
    <col min="8" max="250" width="17" style="9813"/>
    <col min="251" max="251" width="10" style="9813" customWidth="1"/>
    <col min="252" max="254" width="17" style="9813" customWidth="1"/>
    <col min="255" max="255" width="12.44140625" style="9813" customWidth="1"/>
    <col min="256" max="256" width="3.109375" style="9813" customWidth="1"/>
    <col min="257" max="257" width="16.88671875" style="9813" customWidth="1"/>
    <col min="258" max="258" width="17" style="9813" customWidth="1"/>
    <col min="259" max="506" width="17" style="9813"/>
    <col min="507" max="507" width="10" style="9813" customWidth="1"/>
    <col min="508" max="510" width="17" style="9813" customWidth="1"/>
    <col min="511" max="511" width="12.44140625" style="9813" customWidth="1"/>
    <col min="512" max="512" width="3.109375" style="9813" customWidth="1"/>
    <col min="513" max="513" width="16.88671875" style="9813" customWidth="1"/>
    <col min="514" max="514" width="17" style="9813" customWidth="1"/>
    <col min="515" max="762" width="17" style="9813"/>
    <col min="763" max="763" width="10" style="9813" customWidth="1"/>
    <col min="764" max="766" width="17" style="9813" customWidth="1"/>
    <col min="767" max="767" width="12.44140625" style="9813" customWidth="1"/>
    <col min="768" max="768" width="3.109375" style="9813" customWidth="1"/>
    <col min="769" max="769" width="16.88671875" style="9813" customWidth="1"/>
    <col min="770" max="770" width="17" style="9813" customWidth="1"/>
    <col min="771" max="1018" width="17" style="9813"/>
    <col min="1019" max="1019" width="10" style="9813" customWidth="1"/>
    <col min="1020" max="1022" width="17" style="9813" customWidth="1"/>
    <col min="1023" max="1023" width="12.44140625" style="9813" customWidth="1"/>
    <col min="1024" max="1024" width="3.109375" style="9813" customWidth="1"/>
    <col min="1025" max="1025" width="16.88671875" style="9813" customWidth="1"/>
    <col min="1026" max="1026" width="17" style="9813" customWidth="1"/>
    <col min="1027" max="1274" width="17" style="9813"/>
    <col min="1275" max="1275" width="10" style="9813" customWidth="1"/>
    <col min="1276" max="1278" width="17" style="9813" customWidth="1"/>
    <col min="1279" max="1279" width="12.44140625" style="9813" customWidth="1"/>
    <col min="1280" max="1280" width="3.109375" style="9813" customWidth="1"/>
    <col min="1281" max="1281" width="16.88671875" style="9813" customWidth="1"/>
    <col min="1282" max="1282" width="17" style="9813" customWidth="1"/>
    <col min="1283" max="1530" width="17" style="9813"/>
    <col min="1531" max="1531" width="10" style="9813" customWidth="1"/>
    <col min="1532" max="1534" width="17" style="9813" customWidth="1"/>
    <col min="1535" max="1535" width="12.44140625" style="9813" customWidth="1"/>
    <col min="1536" max="1536" width="3.109375" style="9813" customWidth="1"/>
    <col min="1537" max="1537" width="16.88671875" style="9813" customWidth="1"/>
    <col min="1538" max="1538" width="17" style="9813" customWidth="1"/>
    <col min="1539" max="1786" width="17" style="9813"/>
    <col min="1787" max="1787" width="10" style="9813" customWidth="1"/>
    <col min="1788" max="1790" width="17" style="9813" customWidth="1"/>
    <col min="1791" max="1791" width="12.44140625" style="9813" customWidth="1"/>
    <col min="1792" max="1792" width="3.109375" style="9813" customWidth="1"/>
    <col min="1793" max="1793" width="16.88671875" style="9813" customWidth="1"/>
    <col min="1794" max="1794" width="17" style="9813" customWidth="1"/>
    <col min="1795" max="2042" width="17" style="9813"/>
    <col min="2043" max="2043" width="10" style="9813" customWidth="1"/>
    <col min="2044" max="2046" width="17" style="9813" customWidth="1"/>
    <col min="2047" max="2047" width="12.44140625" style="9813" customWidth="1"/>
    <col min="2048" max="2048" width="3.109375" style="9813" customWidth="1"/>
    <col min="2049" max="2049" width="16.88671875" style="9813" customWidth="1"/>
    <col min="2050" max="2050" width="17" style="9813" customWidth="1"/>
    <col min="2051" max="2298" width="17" style="9813"/>
    <col min="2299" max="2299" width="10" style="9813" customWidth="1"/>
    <col min="2300" max="2302" width="17" style="9813" customWidth="1"/>
    <col min="2303" max="2303" width="12.44140625" style="9813" customWidth="1"/>
    <col min="2304" max="2304" width="3.109375" style="9813" customWidth="1"/>
    <col min="2305" max="2305" width="16.88671875" style="9813" customWidth="1"/>
    <col min="2306" max="2306" width="17" style="9813" customWidth="1"/>
    <col min="2307" max="2554" width="17" style="9813"/>
    <col min="2555" max="2555" width="10" style="9813" customWidth="1"/>
    <col min="2556" max="2558" width="17" style="9813" customWidth="1"/>
    <col min="2559" max="2559" width="12.44140625" style="9813" customWidth="1"/>
    <col min="2560" max="2560" width="3.109375" style="9813" customWidth="1"/>
    <col min="2561" max="2561" width="16.88671875" style="9813" customWidth="1"/>
    <col min="2562" max="2562" width="17" style="9813" customWidth="1"/>
    <col min="2563" max="2810" width="17" style="9813"/>
    <col min="2811" max="2811" width="10" style="9813" customWidth="1"/>
    <col min="2812" max="2814" width="17" style="9813" customWidth="1"/>
    <col min="2815" max="2815" width="12.44140625" style="9813" customWidth="1"/>
    <col min="2816" max="2816" width="3.109375" style="9813" customWidth="1"/>
    <col min="2817" max="2817" width="16.88671875" style="9813" customWidth="1"/>
    <col min="2818" max="2818" width="17" style="9813" customWidth="1"/>
    <col min="2819" max="3066" width="17" style="9813"/>
    <col min="3067" max="3067" width="10" style="9813" customWidth="1"/>
    <col min="3068" max="3070" width="17" style="9813" customWidth="1"/>
    <col min="3071" max="3071" width="12.44140625" style="9813" customWidth="1"/>
    <col min="3072" max="3072" width="3.109375" style="9813" customWidth="1"/>
    <col min="3073" max="3073" width="16.88671875" style="9813" customWidth="1"/>
    <col min="3074" max="3074" width="17" style="9813" customWidth="1"/>
    <col min="3075" max="3322" width="17" style="9813"/>
    <col min="3323" max="3323" width="10" style="9813" customWidth="1"/>
    <col min="3324" max="3326" width="17" style="9813" customWidth="1"/>
    <col min="3327" max="3327" width="12.44140625" style="9813" customWidth="1"/>
    <col min="3328" max="3328" width="3.109375" style="9813" customWidth="1"/>
    <col min="3329" max="3329" width="16.88671875" style="9813" customWidth="1"/>
    <col min="3330" max="3330" width="17" style="9813" customWidth="1"/>
    <col min="3331" max="3578" width="17" style="9813"/>
    <col min="3579" max="3579" width="10" style="9813" customWidth="1"/>
    <col min="3580" max="3582" width="17" style="9813" customWidth="1"/>
    <col min="3583" max="3583" width="12.44140625" style="9813" customWidth="1"/>
    <col min="3584" max="3584" width="3.109375" style="9813" customWidth="1"/>
    <col min="3585" max="3585" width="16.88671875" style="9813" customWidth="1"/>
    <col min="3586" max="3586" width="17" style="9813" customWidth="1"/>
    <col min="3587" max="3834" width="17" style="9813"/>
    <col min="3835" max="3835" width="10" style="9813" customWidth="1"/>
    <col min="3836" max="3838" width="17" style="9813" customWidth="1"/>
    <col min="3839" max="3839" width="12.44140625" style="9813" customWidth="1"/>
    <col min="3840" max="3840" width="3.109375" style="9813" customWidth="1"/>
    <col min="3841" max="3841" width="16.88671875" style="9813" customWidth="1"/>
    <col min="3842" max="3842" width="17" style="9813" customWidth="1"/>
    <col min="3843" max="4090" width="17" style="9813"/>
    <col min="4091" max="4091" width="10" style="9813" customWidth="1"/>
    <col min="4092" max="4094" width="17" style="9813" customWidth="1"/>
    <col min="4095" max="4095" width="12.44140625" style="9813" customWidth="1"/>
    <col min="4096" max="4096" width="3.109375" style="9813" customWidth="1"/>
    <col min="4097" max="4097" width="16.88671875" style="9813" customWidth="1"/>
    <col min="4098" max="4098" width="17" style="9813" customWidth="1"/>
    <col min="4099" max="4346" width="17" style="9813"/>
    <col min="4347" max="4347" width="10" style="9813" customWidth="1"/>
    <col min="4348" max="4350" width="17" style="9813" customWidth="1"/>
    <col min="4351" max="4351" width="12.44140625" style="9813" customWidth="1"/>
    <col min="4352" max="4352" width="3.109375" style="9813" customWidth="1"/>
    <col min="4353" max="4353" width="16.88671875" style="9813" customWidth="1"/>
    <col min="4354" max="4354" width="17" style="9813" customWidth="1"/>
    <col min="4355" max="4602" width="17" style="9813"/>
    <col min="4603" max="4603" width="10" style="9813" customWidth="1"/>
    <col min="4604" max="4606" width="17" style="9813" customWidth="1"/>
    <col min="4607" max="4607" width="12.44140625" style="9813" customWidth="1"/>
    <col min="4608" max="4608" width="3.109375" style="9813" customWidth="1"/>
    <col min="4609" max="4609" width="16.88671875" style="9813" customWidth="1"/>
    <col min="4610" max="4610" width="17" style="9813" customWidth="1"/>
    <col min="4611" max="4858" width="17" style="9813"/>
    <col min="4859" max="4859" width="10" style="9813" customWidth="1"/>
    <col min="4860" max="4862" width="17" style="9813" customWidth="1"/>
    <col min="4863" max="4863" width="12.44140625" style="9813" customWidth="1"/>
    <col min="4864" max="4864" width="3.109375" style="9813" customWidth="1"/>
    <col min="4865" max="4865" width="16.88671875" style="9813" customWidth="1"/>
    <col min="4866" max="4866" width="17" style="9813" customWidth="1"/>
    <col min="4867" max="5114" width="17" style="9813"/>
    <col min="5115" max="5115" width="10" style="9813" customWidth="1"/>
    <col min="5116" max="5118" width="17" style="9813" customWidth="1"/>
    <col min="5119" max="5119" width="12.44140625" style="9813" customWidth="1"/>
    <col min="5120" max="5120" width="3.109375" style="9813" customWidth="1"/>
    <col min="5121" max="5121" width="16.88671875" style="9813" customWidth="1"/>
    <col min="5122" max="5122" width="17" style="9813" customWidth="1"/>
    <col min="5123" max="5370" width="17" style="9813"/>
    <col min="5371" max="5371" width="10" style="9813" customWidth="1"/>
    <col min="5372" max="5374" width="17" style="9813" customWidth="1"/>
    <col min="5375" max="5375" width="12.44140625" style="9813" customWidth="1"/>
    <col min="5376" max="5376" width="3.109375" style="9813" customWidth="1"/>
    <col min="5377" max="5377" width="16.88671875" style="9813" customWidth="1"/>
    <col min="5378" max="5378" width="17" style="9813" customWidth="1"/>
    <col min="5379" max="5626" width="17" style="9813"/>
    <col min="5627" max="5627" width="10" style="9813" customWidth="1"/>
    <col min="5628" max="5630" width="17" style="9813" customWidth="1"/>
    <col min="5631" max="5631" width="12.44140625" style="9813" customWidth="1"/>
    <col min="5632" max="5632" width="3.109375" style="9813" customWidth="1"/>
    <col min="5633" max="5633" width="16.88671875" style="9813" customWidth="1"/>
    <col min="5634" max="5634" width="17" style="9813" customWidth="1"/>
    <col min="5635" max="5882" width="17" style="9813"/>
    <col min="5883" max="5883" width="10" style="9813" customWidth="1"/>
    <col min="5884" max="5886" width="17" style="9813" customWidth="1"/>
    <col min="5887" max="5887" width="12.44140625" style="9813" customWidth="1"/>
    <col min="5888" max="5888" width="3.109375" style="9813" customWidth="1"/>
    <col min="5889" max="5889" width="16.88671875" style="9813" customWidth="1"/>
    <col min="5890" max="5890" width="17" style="9813" customWidth="1"/>
    <col min="5891" max="6138" width="17" style="9813"/>
    <col min="6139" max="6139" width="10" style="9813" customWidth="1"/>
    <col min="6140" max="6142" width="17" style="9813" customWidth="1"/>
    <col min="6143" max="6143" width="12.44140625" style="9813" customWidth="1"/>
    <col min="6144" max="6144" width="3.109375" style="9813" customWidth="1"/>
    <col min="6145" max="6145" width="16.88671875" style="9813" customWidth="1"/>
    <col min="6146" max="6146" width="17" style="9813" customWidth="1"/>
    <col min="6147" max="6394" width="17" style="9813"/>
    <col min="6395" max="6395" width="10" style="9813" customWidth="1"/>
    <col min="6396" max="6398" width="17" style="9813" customWidth="1"/>
    <col min="6399" max="6399" width="12.44140625" style="9813" customWidth="1"/>
    <col min="6400" max="6400" width="3.109375" style="9813" customWidth="1"/>
    <col min="6401" max="6401" width="16.88671875" style="9813" customWidth="1"/>
    <col min="6402" max="6402" width="17" style="9813" customWidth="1"/>
    <col min="6403" max="6650" width="17" style="9813"/>
    <col min="6651" max="6651" width="10" style="9813" customWidth="1"/>
    <col min="6652" max="6654" width="17" style="9813" customWidth="1"/>
    <col min="6655" max="6655" width="12.44140625" style="9813" customWidth="1"/>
    <col min="6656" max="6656" width="3.109375" style="9813" customWidth="1"/>
    <col min="6657" max="6657" width="16.88671875" style="9813" customWidth="1"/>
    <col min="6658" max="6658" width="17" style="9813" customWidth="1"/>
    <col min="6659" max="6906" width="17" style="9813"/>
    <col min="6907" max="6907" width="10" style="9813" customWidth="1"/>
    <col min="6908" max="6910" width="17" style="9813" customWidth="1"/>
    <col min="6911" max="6911" width="12.44140625" style="9813" customWidth="1"/>
    <col min="6912" max="6912" width="3.109375" style="9813" customWidth="1"/>
    <col min="6913" max="6913" width="16.88671875" style="9813" customWidth="1"/>
    <col min="6914" max="6914" width="17" style="9813" customWidth="1"/>
    <col min="6915" max="7162" width="17" style="9813"/>
    <col min="7163" max="7163" width="10" style="9813" customWidth="1"/>
    <col min="7164" max="7166" width="17" style="9813" customWidth="1"/>
    <col min="7167" max="7167" width="12.44140625" style="9813" customWidth="1"/>
    <col min="7168" max="7168" width="3.109375" style="9813" customWidth="1"/>
    <col min="7169" max="7169" width="16.88671875" style="9813" customWidth="1"/>
    <col min="7170" max="7170" width="17" style="9813" customWidth="1"/>
    <col min="7171" max="7418" width="17" style="9813"/>
    <col min="7419" max="7419" width="10" style="9813" customWidth="1"/>
    <col min="7420" max="7422" width="17" style="9813" customWidth="1"/>
    <col min="7423" max="7423" width="12.44140625" style="9813" customWidth="1"/>
    <col min="7424" max="7424" width="3.109375" style="9813" customWidth="1"/>
    <col min="7425" max="7425" width="16.88671875" style="9813" customWidth="1"/>
    <col min="7426" max="7426" width="17" style="9813" customWidth="1"/>
    <col min="7427" max="7674" width="17" style="9813"/>
    <col min="7675" max="7675" width="10" style="9813" customWidth="1"/>
    <col min="7676" max="7678" width="17" style="9813" customWidth="1"/>
    <col min="7679" max="7679" width="12.44140625" style="9813" customWidth="1"/>
    <col min="7680" max="7680" width="3.109375" style="9813" customWidth="1"/>
    <col min="7681" max="7681" width="16.88671875" style="9813" customWidth="1"/>
    <col min="7682" max="7682" width="17" style="9813" customWidth="1"/>
    <col min="7683" max="7930" width="17" style="9813"/>
    <col min="7931" max="7931" width="10" style="9813" customWidth="1"/>
    <col min="7932" max="7934" width="17" style="9813" customWidth="1"/>
    <col min="7935" max="7935" width="12.44140625" style="9813" customWidth="1"/>
    <col min="7936" max="7936" width="3.109375" style="9813" customWidth="1"/>
    <col min="7937" max="7937" width="16.88671875" style="9813" customWidth="1"/>
    <col min="7938" max="7938" width="17" style="9813" customWidth="1"/>
    <col min="7939" max="8186" width="17" style="9813"/>
    <col min="8187" max="8187" width="10" style="9813" customWidth="1"/>
    <col min="8188" max="8190" width="17" style="9813" customWidth="1"/>
    <col min="8191" max="8191" width="12.44140625" style="9813" customWidth="1"/>
    <col min="8192" max="8192" width="3.109375" style="9813" customWidth="1"/>
    <col min="8193" max="8193" width="16.88671875" style="9813" customWidth="1"/>
    <col min="8194" max="8194" width="17" style="9813" customWidth="1"/>
    <col min="8195" max="8442" width="17" style="9813"/>
    <col min="8443" max="8443" width="10" style="9813" customWidth="1"/>
    <col min="8444" max="8446" width="17" style="9813" customWidth="1"/>
    <col min="8447" max="8447" width="12.44140625" style="9813" customWidth="1"/>
    <col min="8448" max="8448" width="3.109375" style="9813" customWidth="1"/>
    <col min="8449" max="8449" width="16.88671875" style="9813" customWidth="1"/>
    <col min="8450" max="8450" width="17" style="9813" customWidth="1"/>
    <col min="8451" max="8698" width="17" style="9813"/>
    <col min="8699" max="8699" width="10" style="9813" customWidth="1"/>
    <col min="8700" max="8702" width="17" style="9813" customWidth="1"/>
    <col min="8703" max="8703" width="12.44140625" style="9813" customWidth="1"/>
    <col min="8704" max="8704" width="3.109375" style="9813" customWidth="1"/>
    <col min="8705" max="8705" width="16.88671875" style="9813" customWidth="1"/>
    <col min="8706" max="8706" width="17" style="9813" customWidth="1"/>
    <col min="8707" max="8954" width="17" style="9813"/>
    <col min="8955" max="8955" width="10" style="9813" customWidth="1"/>
    <col min="8956" max="8958" width="17" style="9813" customWidth="1"/>
    <col min="8959" max="8959" width="12.44140625" style="9813" customWidth="1"/>
    <col min="8960" max="8960" width="3.109375" style="9813" customWidth="1"/>
    <col min="8961" max="8961" width="16.88671875" style="9813" customWidth="1"/>
    <col min="8962" max="8962" width="17" style="9813" customWidth="1"/>
    <col min="8963" max="9210" width="17" style="9813"/>
    <col min="9211" max="9211" width="10" style="9813" customWidth="1"/>
    <col min="9212" max="9214" width="17" style="9813" customWidth="1"/>
    <col min="9215" max="9215" width="12.44140625" style="9813" customWidth="1"/>
    <col min="9216" max="9216" width="3.109375" style="9813" customWidth="1"/>
    <col min="9217" max="9217" width="16.88671875" style="9813" customWidth="1"/>
    <col min="9218" max="9218" width="17" style="9813" customWidth="1"/>
    <col min="9219" max="9466" width="17" style="9813"/>
    <col min="9467" max="9467" width="10" style="9813" customWidth="1"/>
    <col min="9468" max="9470" width="17" style="9813" customWidth="1"/>
    <col min="9471" max="9471" width="12.44140625" style="9813" customWidth="1"/>
    <col min="9472" max="9472" width="3.109375" style="9813" customWidth="1"/>
    <col min="9473" max="9473" width="16.88671875" style="9813" customWidth="1"/>
    <col min="9474" max="9474" width="17" style="9813" customWidth="1"/>
    <col min="9475" max="9722" width="17" style="9813"/>
    <col min="9723" max="9723" width="10" style="9813" customWidth="1"/>
    <col min="9724" max="9726" width="17" style="9813" customWidth="1"/>
    <col min="9727" max="9727" width="12.44140625" style="9813" customWidth="1"/>
    <col min="9728" max="9728" width="3.109375" style="9813" customWidth="1"/>
    <col min="9729" max="9729" width="16.88671875" style="9813" customWidth="1"/>
    <col min="9730" max="9730" width="17" style="9813" customWidth="1"/>
    <col min="9731" max="9978" width="17" style="9813"/>
    <col min="9979" max="9979" width="10" style="9813" customWidth="1"/>
    <col min="9980" max="9982" width="17" style="9813" customWidth="1"/>
    <col min="9983" max="9983" width="12.44140625" style="9813" customWidth="1"/>
    <col min="9984" max="9984" width="3.109375" style="9813" customWidth="1"/>
    <col min="9985" max="9985" width="16.88671875" style="9813" customWidth="1"/>
    <col min="9986" max="9986" width="17" style="9813" customWidth="1"/>
    <col min="9987" max="10234" width="17" style="9813"/>
    <col min="10235" max="10235" width="10" style="9813" customWidth="1"/>
    <col min="10236" max="10238" width="17" style="9813" customWidth="1"/>
    <col min="10239" max="10239" width="12.44140625" style="9813" customWidth="1"/>
    <col min="10240" max="10240" width="3.109375" style="9813" customWidth="1"/>
    <col min="10241" max="10241" width="16.88671875" style="9813" customWidth="1"/>
    <col min="10242" max="10242" width="17" style="9813" customWidth="1"/>
    <col min="10243" max="10490" width="17" style="9813"/>
    <col min="10491" max="10491" width="10" style="9813" customWidth="1"/>
    <col min="10492" max="10494" width="17" style="9813" customWidth="1"/>
    <col min="10495" max="10495" width="12.44140625" style="9813" customWidth="1"/>
    <col min="10496" max="10496" width="3.109375" style="9813" customWidth="1"/>
    <col min="10497" max="10497" width="16.88671875" style="9813" customWidth="1"/>
    <col min="10498" max="10498" width="17" style="9813" customWidth="1"/>
    <col min="10499" max="10746" width="17" style="9813"/>
    <col min="10747" max="10747" width="10" style="9813" customWidth="1"/>
    <col min="10748" max="10750" width="17" style="9813" customWidth="1"/>
    <col min="10751" max="10751" width="12.44140625" style="9813" customWidth="1"/>
    <col min="10752" max="10752" width="3.109375" style="9813" customWidth="1"/>
    <col min="10753" max="10753" width="16.88671875" style="9813" customWidth="1"/>
    <col min="10754" max="10754" width="17" style="9813" customWidth="1"/>
    <col min="10755" max="11002" width="17" style="9813"/>
    <col min="11003" max="11003" width="10" style="9813" customWidth="1"/>
    <col min="11004" max="11006" width="17" style="9813" customWidth="1"/>
    <col min="11007" max="11007" width="12.44140625" style="9813" customWidth="1"/>
    <col min="11008" max="11008" width="3.109375" style="9813" customWidth="1"/>
    <col min="11009" max="11009" width="16.88671875" style="9813" customWidth="1"/>
    <col min="11010" max="11010" width="17" style="9813" customWidth="1"/>
    <col min="11011" max="11258" width="17" style="9813"/>
    <col min="11259" max="11259" width="10" style="9813" customWidth="1"/>
    <col min="11260" max="11262" width="17" style="9813" customWidth="1"/>
    <col min="11263" max="11263" width="12.44140625" style="9813" customWidth="1"/>
    <col min="11264" max="11264" width="3.109375" style="9813" customWidth="1"/>
    <col min="11265" max="11265" width="16.88671875" style="9813" customWidth="1"/>
    <col min="11266" max="11266" width="17" style="9813" customWidth="1"/>
    <col min="11267" max="11514" width="17" style="9813"/>
    <col min="11515" max="11515" width="10" style="9813" customWidth="1"/>
    <col min="11516" max="11518" width="17" style="9813" customWidth="1"/>
    <col min="11519" max="11519" width="12.44140625" style="9813" customWidth="1"/>
    <col min="11520" max="11520" width="3.109375" style="9813" customWidth="1"/>
    <col min="11521" max="11521" width="16.88671875" style="9813" customWidth="1"/>
    <col min="11522" max="11522" width="17" style="9813" customWidth="1"/>
    <col min="11523" max="11770" width="17" style="9813"/>
    <col min="11771" max="11771" width="10" style="9813" customWidth="1"/>
    <col min="11772" max="11774" width="17" style="9813" customWidth="1"/>
    <col min="11775" max="11775" width="12.44140625" style="9813" customWidth="1"/>
    <col min="11776" max="11776" width="3.109375" style="9813" customWidth="1"/>
    <col min="11777" max="11777" width="16.88671875" style="9813" customWidth="1"/>
    <col min="11778" max="11778" width="17" style="9813" customWidth="1"/>
    <col min="11779" max="12026" width="17" style="9813"/>
    <col min="12027" max="12027" width="10" style="9813" customWidth="1"/>
    <col min="12028" max="12030" width="17" style="9813" customWidth="1"/>
    <col min="12031" max="12031" width="12.44140625" style="9813" customWidth="1"/>
    <col min="12032" max="12032" width="3.109375" style="9813" customWidth="1"/>
    <col min="12033" max="12033" width="16.88671875" style="9813" customWidth="1"/>
    <col min="12034" max="12034" width="17" style="9813" customWidth="1"/>
    <col min="12035" max="12282" width="17" style="9813"/>
    <col min="12283" max="12283" width="10" style="9813" customWidth="1"/>
    <col min="12284" max="12286" width="17" style="9813" customWidth="1"/>
    <col min="12287" max="12287" width="12.44140625" style="9813" customWidth="1"/>
    <col min="12288" max="12288" width="3.109375" style="9813" customWidth="1"/>
    <col min="12289" max="12289" width="16.88671875" style="9813" customWidth="1"/>
    <col min="12290" max="12290" width="17" style="9813" customWidth="1"/>
    <col min="12291" max="12538" width="17" style="9813"/>
    <col min="12539" max="12539" width="10" style="9813" customWidth="1"/>
    <col min="12540" max="12542" width="17" style="9813" customWidth="1"/>
    <col min="12543" max="12543" width="12.44140625" style="9813" customWidth="1"/>
    <col min="12544" max="12544" width="3.109375" style="9813" customWidth="1"/>
    <col min="12545" max="12545" width="16.88671875" style="9813" customWidth="1"/>
    <col min="12546" max="12546" width="17" style="9813" customWidth="1"/>
    <col min="12547" max="12794" width="17" style="9813"/>
    <col min="12795" max="12795" width="10" style="9813" customWidth="1"/>
    <col min="12796" max="12798" width="17" style="9813" customWidth="1"/>
    <col min="12799" max="12799" width="12.44140625" style="9813" customWidth="1"/>
    <col min="12800" max="12800" width="3.109375" style="9813" customWidth="1"/>
    <col min="12801" max="12801" width="16.88671875" style="9813" customWidth="1"/>
    <col min="12802" max="12802" width="17" style="9813" customWidth="1"/>
    <col min="12803" max="13050" width="17" style="9813"/>
    <col min="13051" max="13051" width="10" style="9813" customWidth="1"/>
    <col min="13052" max="13054" width="17" style="9813" customWidth="1"/>
    <col min="13055" max="13055" width="12.44140625" style="9813" customWidth="1"/>
    <col min="13056" max="13056" width="3.109375" style="9813" customWidth="1"/>
    <col min="13057" max="13057" width="16.88671875" style="9813" customWidth="1"/>
    <col min="13058" max="13058" width="17" style="9813" customWidth="1"/>
    <col min="13059" max="13306" width="17" style="9813"/>
    <col min="13307" max="13307" width="10" style="9813" customWidth="1"/>
    <col min="13308" max="13310" width="17" style="9813" customWidth="1"/>
    <col min="13311" max="13311" width="12.44140625" style="9813" customWidth="1"/>
    <col min="13312" max="13312" width="3.109375" style="9813" customWidth="1"/>
    <col min="13313" max="13313" width="16.88671875" style="9813" customWidth="1"/>
    <col min="13314" max="13314" width="17" style="9813" customWidth="1"/>
    <col min="13315" max="13562" width="17" style="9813"/>
    <col min="13563" max="13563" width="10" style="9813" customWidth="1"/>
    <col min="13564" max="13566" width="17" style="9813" customWidth="1"/>
    <col min="13567" max="13567" width="12.44140625" style="9813" customWidth="1"/>
    <col min="13568" max="13568" width="3.109375" style="9813" customWidth="1"/>
    <col min="13569" max="13569" width="16.88671875" style="9813" customWidth="1"/>
    <col min="13570" max="13570" width="17" style="9813" customWidth="1"/>
    <col min="13571" max="13818" width="17" style="9813"/>
    <col min="13819" max="13819" width="10" style="9813" customWidth="1"/>
    <col min="13820" max="13822" width="17" style="9813" customWidth="1"/>
    <col min="13823" max="13823" width="12.44140625" style="9813" customWidth="1"/>
    <col min="13824" max="13824" width="3.109375" style="9813" customWidth="1"/>
    <col min="13825" max="13825" width="16.88671875" style="9813" customWidth="1"/>
    <col min="13826" max="13826" width="17" style="9813" customWidth="1"/>
    <col min="13827" max="14074" width="17" style="9813"/>
    <col min="14075" max="14075" width="10" style="9813" customWidth="1"/>
    <col min="14076" max="14078" width="17" style="9813" customWidth="1"/>
    <col min="14079" max="14079" width="12.44140625" style="9813" customWidth="1"/>
    <col min="14080" max="14080" width="3.109375" style="9813" customWidth="1"/>
    <col min="14081" max="14081" width="16.88671875" style="9813" customWidth="1"/>
    <col min="14082" max="14082" width="17" style="9813" customWidth="1"/>
    <col min="14083" max="14330" width="17" style="9813"/>
    <col min="14331" max="14331" width="10" style="9813" customWidth="1"/>
    <col min="14332" max="14334" width="17" style="9813" customWidth="1"/>
    <col min="14335" max="14335" width="12.44140625" style="9813" customWidth="1"/>
    <col min="14336" max="14336" width="3.109375" style="9813" customWidth="1"/>
    <col min="14337" max="14337" width="16.88671875" style="9813" customWidth="1"/>
    <col min="14338" max="14338" width="17" style="9813" customWidth="1"/>
    <col min="14339" max="14586" width="17" style="9813"/>
    <col min="14587" max="14587" width="10" style="9813" customWidth="1"/>
    <col min="14588" max="14590" width="17" style="9813" customWidth="1"/>
    <col min="14591" max="14591" width="12.44140625" style="9813" customWidth="1"/>
    <col min="14592" max="14592" width="3.109375" style="9813" customWidth="1"/>
    <col min="14593" max="14593" width="16.88671875" style="9813" customWidth="1"/>
    <col min="14594" max="14594" width="17" style="9813" customWidth="1"/>
    <col min="14595" max="14842" width="17" style="9813"/>
    <col min="14843" max="14843" width="10" style="9813" customWidth="1"/>
    <col min="14844" max="14846" width="17" style="9813" customWidth="1"/>
    <col min="14847" max="14847" width="12.44140625" style="9813" customWidth="1"/>
    <col min="14848" max="14848" width="3.109375" style="9813" customWidth="1"/>
    <col min="14849" max="14849" width="16.88671875" style="9813" customWidth="1"/>
    <col min="14850" max="14850" width="17" style="9813" customWidth="1"/>
    <col min="14851" max="15098" width="17" style="9813"/>
    <col min="15099" max="15099" width="10" style="9813" customWidth="1"/>
    <col min="15100" max="15102" width="17" style="9813" customWidth="1"/>
    <col min="15103" max="15103" width="12.44140625" style="9813" customWidth="1"/>
    <col min="15104" max="15104" width="3.109375" style="9813" customWidth="1"/>
    <col min="15105" max="15105" width="16.88671875" style="9813" customWidth="1"/>
    <col min="15106" max="15106" width="17" style="9813" customWidth="1"/>
    <col min="15107" max="15354" width="17" style="9813"/>
    <col min="15355" max="15355" width="10" style="9813" customWidth="1"/>
    <col min="15356" max="15358" width="17" style="9813" customWidth="1"/>
    <col min="15359" max="15359" width="12.44140625" style="9813" customWidth="1"/>
    <col min="15360" max="15360" width="3.109375" style="9813" customWidth="1"/>
    <col min="15361" max="15361" width="16.88671875" style="9813" customWidth="1"/>
    <col min="15362" max="15362" width="17" style="9813" customWidth="1"/>
    <col min="15363" max="15610" width="17" style="9813"/>
    <col min="15611" max="15611" width="10" style="9813" customWidth="1"/>
    <col min="15612" max="15614" width="17" style="9813" customWidth="1"/>
    <col min="15615" max="15615" width="12.44140625" style="9813" customWidth="1"/>
    <col min="15616" max="15616" width="3.109375" style="9813" customWidth="1"/>
    <col min="15617" max="15617" width="16.88671875" style="9813" customWidth="1"/>
    <col min="15618" max="15618" width="17" style="9813" customWidth="1"/>
    <col min="15619" max="15866" width="17" style="9813"/>
    <col min="15867" max="15867" width="10" style="9813" customWidth="1"/>
    <col min="15868" max="15870" width="17" style="9813" customWidth="1"/>
    <col min="15871" max="15871" width="12.44140625" style="9813" customWidth="1"/>
    <col min="15872" max="15872" width="3.109375" style="9813" customWidth="1"/>
    <col min="15873" max="15873" width="16.88671875" style="9813" customWidth="1"/>
    <col min="15874" max="15874" width="17" style="9813" customWidth="1"/>
    <col min="15875" max="16122" width="17" style="9813"/>
    <col min="16123" max="16123" width="10" style="9813" customWidth="1"/>
    <col min="16124" max="16126" width="17" style="9813" customWidth="1"/>
    <col min="16127" max="16127" width="12.44140625" style="9813" customWidth="1"/>
    <col min="16128" max="16128" width="3.109375" style="9813" customWidth="1"/>
    <col min="16129" max="16129" width="16.88671875" style="9813" customWidth="1"/>
    <col min="16130" max="16130" width="17" style="9813" customWidth="1"/>
    <col min="16131" max="16384" width="17" style="9813"/>
  </cols>
  <sheetData>
    <row r="1" spans="1:7">
      <c r="A1" s="9833" t="s">
        <v>10915</v>
      </c>
      <c r="B1" s="15445" t="s">
        <v>10916</v>
      </c>
      <c r="C1" s="15445"/>
      <c r="D1" s="15445"/>
      <c r="E1" s="15445"/>
      <c r="F1" s="15445"/>
      <c r="G1" s="15445"/>
    </row>
    <row r="2" spans="1:7">
      <c r="A2" s="9814"/>
      <c r="B2" s="9815"/>
    </row>
    <row r="3" spans="1:7">
      <c r="A3" s="9814"/>
      <c r="B3" s="9815"/>
    </row>
    <row r="4" spans="1:7" ht="37.5" customHeight="1">
      <c r="A4" s="15446" t="s">
        <v>3165</v>
      </c>
      <c r="B4" s="15446"/>
      <c r="C4" s="15446"/>
      <c r="D4" s="15446"/>
      <c r="E4" s="15446"/>
      <c r="F4" s="15446"/>
      <c r="G4" s="15446"/>
    </row>
    <row r="5" spans="1:7">
      <c r="A5" s="9814"/>
    </row>
    <row r="7" spans="1:7">
      <c r="A7" s="9812" t="s">
        <v>3166</v>
      </c>
      <c r="E7" s="9816" t="s">
        <v>9</v>
      </c>
      <c r="F7" s="9817" t="s">
        <v>405</v>
      </c>
      <c r="G7" s="9818">
        <f>summary!J62</f>
        <v>120267144.05000001</v>
      </c>
    </row>
    <row r="8" spans="1:7">
      <c r="A8" s="9812" t="s">
        <v>3167</v>
      </c>
      <c r="E8" s="9816" t="s">
        <v>9</v>
      </c>
      <c r="F8" s="9812" t="s">
        <v>9</v>
      </c>
      <c r="G8" s="9818">
        <f>summary!J61</f>
        <v>404379576.20000005</v>
      </c>
    </row>
    <row r="9" spans="1:7">
      <c r="A9" s="9812" t="s">
        <v>10846</v>
      </c>
      <c r="E9" s="9816"/>
      <c r="G9" s="9818">
        <f>summary!J63</f>
        <v>22180000</v>
      </c>
    </row>
    <row r="10" spans="1:7">
      <c r="A10" s="9812" t="s">
        <v>3168</v>
      </c>
      <c r="E10" s="9816"/>
      <c r="G10" s="9818">
        <f>summary!J70</f>
        <v>93070700</v>
      </c>
    </row>
    <row r="11" spans="1:7">
      <c r="A11" s="9812" t="s">
        <v>3169</v>
      </c>
      <c r="E11" s="9816"/>
      <c r="G11" s="9818">
        <f>'lbpf 3-GO'!K62</f>
        <v>623000</v>
      </c>
    </row>
    <row r="12" spans="1:7">
      <c r="A12" s="9812" t="s">
        <v>3170</v>
      </c>
      <c r="E12" s="9816"/>
      <c r="G12" s="9818">
        <f>'lbpf 3-GO'!K146</f>
        <v>48900000</v>
      </c>
    </row>
    <row r="13" spans="1:7">
      <c r="A13" s="9812" t="s">
        <v>3171</v>
      </c>
      <c r="E13" s="9816"/>
      <c r="G13" s="9818">
        <f>'lbpf 3-BEPO'!K100</f>
        <v>7000000</v>
      </c>
    </row>
    <row r="14" spans="1:7">
      <c r="A14" s="9812" t="s">
        <v>3172</v>
      </c>
      <c r="E14" s="9816"/>
      <c r="G14" s="9818">
        <f>'lbpf 3-EDCENTER'!K74</f>
        <v>6000000</v>
      </c>
    </row>
    <row r="15" spans="1:7">
      <c r="A15" s="9812" t="s">
        <v>3173</v>
      </c>
      <c r="E15" s="9816"/>
      <c r="G15" s="9818">
        <f>summary!J69</f>
        <v>84600000</v>
      </c>
    </row>
    <row r="16" spans="1:7" ht="32.1" customHeight="1">
      <c r="B16" s="15447" t="s">
        <v>12097</v>
      </c>
      <c r="C16" s="15447"/>
      <c r="D16" s="15447"/>
      <c r="E16" s="15447"/>
      <c r="F16" s="15447"/>
      <c r="G16" s="15447"/>
    </row>
    <row r="17" spans="1:7">
      <c r="A17" s="9812" t="s">
        <v>3174</v>
      </c>
      <c r="E17" s="9816"/>
      <c r="G17" s="9818">
        <f>summary!J71</f>
        <v>11100000</v>
      </c>
    </row>
    <row r="18" spans="1:7">
      <c r="A18" s="9812" t="s">
        <v>9930</v>
      </c>
      <c r="E18" s="9816"/>
      <c r="G18" s="9818">
        <f>'lbpf 3-GO'!K60</f>
        <v>14000000</v>
      </c>
    </row>
    <row r="19" spans="1:7">
      <c r="C19" s="9813" t="s">
        <v>9</v>
      </c>
    </row>
    <row r="21" spans="1:7" s="9815" customFormat="1">
      <c r="A21" s="9811" t="s">
        <v>3175</v>
      </c>
      <c r="F21" s="9814"/>
    </row>
    <row r="23" spans="1:7" s="9821" customFormat="1" ht="78.599999999999994" customHeight="1">
      <c r="A23" s="9819">
        <v>4.0999999999999996</v>
      </c>
      <c r="B23" s="15443" t="s">
        <v>12107</v>
      </c>
      <c r="C23" s="15443"/>
      <c r="D23" s="15443"/>
      <c r="E23" s="15443"/>
      <c r="F23" s="15443"/>
      <c r="G23" s="15443"/>
    </row>
    <row r="24" spans="1:7">
      <c r="A24" s="9819" t="s">
        <v>3176</v>
      </c>
    </row>
    <row r="25" spans="1:7" s="9820" customFormat="1" ht="99.9" customHeight="1">
      <c r="A25" s="9819">
        <v>4.2</v>
      </c>
      <c r="B25" s="15443" t="s">
        <v>12108</v>
      </c>
      <c r="C25" s="15443"/>
      <c r="D25" s="15443"/>
      <c r="E25" s="15443"/>
      <c r="F25" s="15443"/>
      <c r="G25" s="15443"/>
    </row>
    <row r="26" spans="1:7" s="9812" customFormat="1">
      <c r="A26" s="9819"/>
      <c r="B26" s="9813"/>
      <c r="D26" s="9813"/>
      <c r="E26" s="9813"/>
      <c r="G26" s="9813"/>
    </row>
    <row r="27" spans="1:7" s="9820" customFormat="1" ht="51" customHeight="1">
      <c r="A27" s="9819">
        <v>4.3</v>
      </c>
      <c r="B27" s="15443" t="s">
        <v>11312</v>
      </c>
      <c r="C27" s="15443"/>
      <c r="D27" s="15443"/>
      <c r="E27" s="15443"/>
      <c r="F27" s="15443"/>
      <c r="G27" s="15443"/>
    </row>
    <row r="28" spans="1:7" s="9812" customFormat="1">
      <c r="A28" s="9819"/>
      <c r="B28" s="9813"/>
      <c r="D28" s="9813"/>
      <c r="E28" s="9813"/>
      <c r="G28" s="9813"/>
    </row>
    <row r="29" spans="1:7" s="9820" customFormat="1" ht="33.9" customHeight="1">
      <c r="A29" s="9819">
        <v>4.4000000000000004</v>
      </c>
      <c r="B29" s="15443" t="s">
        <v>3177</v>
      </c>
      <c r="C29" s="15443"/>
      <c r="D29" s="15443"/>
      <c r="E29" s="15443"/>
      <c r="F29" s="15443"/>
      <c r="G29" s="15443"/>
    </row>
    <row r="30" spans="1:7" s="9812" customFormat="1">
      <c r="A30" s="9819"/>
      <c r="B30" s="9813"/>
      <c r="D30" s="9813"/>
      <c r="E30" s="9813"/>
      <c r="G30" s="9813"/>
    </row>
    <row r="31" spans="1:7" s="9820" customFormat="1" ht="53.25" customHeight="1">
      <c r="A31" s="9819">
        <v>4.5</v>
      </c>
      <c r="B31" s="15443" t="s">
        <v>12099</v>
      </c>
      <c r="C31" s="15443"/>
      <c r="D31" s="15443"/>
      <c r="E31" s="15443"/>
      <c r="F31" s="15443"/>
      <c r="G31" s="15443"/>
    </row>
    <row r="32" spans="1:7">
      <c r="A32" s="9819"/>
    </row>
    <row r="33" spans="1:7" s="9820" customFormat="1" ht="66" customHeight="1">
      <c r="A33" s="9819">
        <v>4.5999999999999996</v>
      </c>
      <c r="B33" s="15443" t="s">
        <v>3178</v>
      </c>
      <c r="C33" s="15443"/>
      <c r="D33" s="15443"/>
      <c r="E33" s="15443"/>
      <c r="F33" s="15443"/>
      <c r="G33" s="15443"/>
    </row>
    <row r="34" spans="1:7" s="9812" customFormat="1">
      <c r="A34" s="9819"/>
      <c r="B34" s="9813"/>
      <c r="D34" s="9813"/>
      <c r="E34" s="9813"/>
      <c r="G34" s="9813"/>
    </row>
    <row r="35" spans="1:7" s="9820" customFormat="1" ht="40.5" customHeight="1">
      <c r="A35" s="9819">
        <v>4.7</v>
      </c>
      <c r="B35" s="15442" t="s">
        <v>12106</v>
      </c>
      <c r="C35" s="15442"/>
      <c r="D35" s="15442"/>
      <c r="E35" s="15442"/>
      <c r="F35" s="15442"/>
      <c r="G35" s="15442"/>
    </row>
    <row r="36" spans="1:7" s="9812" customFormat="1">
      <c r="A36" s="9819"/>
    </row>
    <row r="37" spans="1:7" s="9820" customFormat="1" ht="53.4" customHeight="1">
      <c r="A37" s="9819">
        <v>4.8</v>
      </c>
      <c r="B37" s="15443" t="s">
        <v>12100</v>
      </c>
      <c r="C37" s="15443"/>
      <c r="D37" s="15443"/>
      <c r="E37" s="15443"/>
      <c r="F37" s="15443"/>
      <c r="G37" s="15443"/>
    </row>
    <row r="38" spans="1:7" s="9812" customFormat="1">
      <c r="A38" s="9819"/>
      <c r="B38" s="9813"/>
      <c r="D38" s="9813"/>
      <c r="E38" s="9813"/>
      <c r="G38" s="9813"/>
    </row>
    <row r="39" spans="1:7" s="9820" customFormat="1" ht="82.5" customHeight="1">
      <c r="A39" s="9819">
        <v>4.9000000000000004</v>
      </c>
      <c r="B39" s="15442" t="s">
        <v>3179</v>
      </c>
      <c r="C39" s="15442"/>
      <c r="D39" s="15442"/>
      <c r="E39" s="15442"/>
      <c r="F39" s="15442"/>
      <c r="G39" s="15442"/>
    </row>
    <row r="40" spans="1:7" s="9812" customFormat="1">
      <c r="A40" s="9820" t="s">
        <v>3176</v>
      </c>
      <c r="B40" s="13231"/>
      <c r="C40" s="13231"/>
      <c r="D40" s="13231"/>
      <c r="E40" s="13231"/>
      <c r="F40" s="13231"/>
      <c r="G40" s="13231"/>
    </row>
    <row r="41" spans="1:7" s="9812" customFormat="1" ht="66" customHeight="1">
      <c r="A41" s="9828">
        <v>4.0999999999999996</v>
      </c>
      <c r="B41" s="15442" t="s">
        <v>12109</v>
      </c>
      <c r="C41" s="15442"/>
      <c r="D41" s="15442"/>
      <c r="E41" s="15442"/>
      <c r="F41" s="15442"/>
      <c r="G41" s="15442"/>
    </row>
    <row r="42" spans="1:7" s="9812" customFormat="1">
      <c r="A42" s="9820"/>
      <c r="B42" s="13231"/>
      <c r="C42" s="13231"/>
      <c r="D42" s="13231"/>
      <c r="E42" s="13231"/>
      <c r="F42" s="13231"/>
      <c r="G42" s="13231"/>
    </row>
    <row r="43" spans="1:7" s="9812" customFormat="1" ht="68.400000000000006" customHeight="1">
      <c r="A43" s="9828">
        <v>4.1100000000000003</v>
      </c>
      <c r="B43" s="15442" t="s">
        <v>10847</v>
      </c>
      <c r="C43" s="15442"/>
      <c r="D43" s="15442"/>
      <c r="E43" s="15442"/>
      <c r="F43" s="15442"/>
      <c r="G43" s="15442"/>
    </row>
    <row r="44" spans="1:7" s="9812" customFormat="1">
      <c r="A44" s="9820"/>
      <c r="B44" s="13231"/>
      <c r="C44" s="13231"/>
      <c r="D44" s="13231"/>
      <c r="E44" s="13231"/>
      <c r="F44" s="13231"/>
      <c r="G44" s="13231"/>
    </row>
    <row r="45" spans="1:7" s="9812" customFormat="1">
      <c r="A45" s="9828"/>
    </row>
    <row r="46" spans="1:7" s="9812" customFormat="1">
      <c r="A46" s="9820"/>
      <c r="B46" s="9813"/>
      <c r="D46" s="9813"/>
      <c r="E46" s="9813"/>
      <c r="G46" s="9813"/>
    </row>
    <row r="47" spans="1:7" s="9812" customFormat="1">
      <c r="A47" s="9820"/>
      <c r="B47" s="9813"/>
      <c r="D47" s="9813"/>
      <c r="E47" s="9813"/>
      <c r="G47" s="9813"/>
    </row>
    <row r="48" spans="1:7" s="9812" customFormat="1">
      <c r="A48" s="9820"/>
      <c r="B48" s="9813"/>
      <c r="D48" s="9813"/>
      <c r="E48" s="9813"/>
      <c r="G48" s="9813"/>
    </row>
    <row r="49" spans="1:7" s="9812" customFormat="1">
      <c r="A49" s="9820"/>
      <c r="B49" s="9813"/>
      <c r="D49" s="9813"/>
      <c r="E49" s="9813"/>
      <c r="G49" s="9813"/>
    </row>
    <row r="50" spans="1:7" s="9812" customFormat="1">
      <c r="A50" s="9820"/>
      <c r="B50" s="9813"/>
      <c r="D50" s="9813"/>
      <c r="E50" s="9813"/>
      <c r="G50" s="9813"/>
    </row>
    <row r="51" spans="1:7" s="9812" customFormat="1">
      <c r="A51" s="9820"/>
      <c r="B51" s="9813"/>
      <c r="D51" s="9813"/>
      <c r="E51" s="9813"/>
      <c r="G51" s="9813"/>
    </row>
    <row r="52" spans="1:7" s="9812" customFormat="1">
      <c r="A52" s="9820"/>
      <c r="B52" s="9813"/>
      <c r="D52" s="9813"/>
      <c r="E52" s="9813"/>
      <c r="G52" s="9813"/>
    </row>
    <row r="53" spans="1:7" s="9812" customFormat="1">
      <c r="A53" s="9820"/>
      <c r="B53" s="9813"/>
      <c r="D53" s="9813"/>
      <c r="E53" s="9813"/>
      <c r="G53" s="9813"/>
    </row>
    <row r="54" spans="1:7" s="9812" customFormat="1">
      <c r="A54" s="9820"/>
      <c r="B54" s="9813"/>
      <c r="D54" s="9813"/>
      <c r="E54" s="9813"/>
      <c r="G54" s="9813"/>
    </row>
    <row r="55" spans="1:7" s="9812" customFormat="1">
      <c r="A55" s="9820"/>
      <c r="B55" s="9813"/>
      <c r="D55" s="9813"/>
      <c r="E55" s="9813"/>
      <c r="G55" s="9813"/>
    </row>
    <row r="56" spans="1:7" s="9812" customFormat="1">
      <c r="A56" s="9820"/>
      <c r="B56" s="9813"/>
      <c r="D56" s="9813"/>
      <c r="E56" s="9813"/>
      <c r="G56" s="9813"/>
    </row>
    <row r="57" spans="1:7" s="9812" customFormat="1">
      <c r="A57" s="9820"/>
      <c r="B57" s="9813"/>
      <c r="D57" s="9813"/>
      <c r="E57" s="9813"/>
      <c r="G57" s="9813"/>
    </row>
    <row r="58" spans="1:7" s="9812" customFormat="1">
      <c r="A58" s="9820"/>
      <c r="B58" s="9813"/>
      <c r="D58" s="9813"/>
      <c r="E58" s="9813"/>
      <c r="G58" s="9813"/>
    </row>
    <row r="59" spans="1:7" s="9812" customFormat="1">
      <c r="A59" s="9820"/>
      <c r="B59" s="9813"/>
      <c r="D59" s="9813"/>
      <c r="E59" s="9813"/>
      <c r="G59" s="9813"/>
    </row>
    <row r="60" spans="1:7" s="9812" customFormat="1">
      <c r="A60" s="9820"/>
      <c r="B60" s="9813"/>
      <c r="D60" s="9813"/>
      <c r="E60" s="9813"/>
      <c r="G60" s="9813"/>
    </row>
    <row r="61" spans="1:7" s="9812" customFormat="1">
      <c r="A61" s="9820"/>
      <c r="B61" s="9813"/>
      <c r="D61" s="9813"/>
      <c r="E61" s="9813"/>
      <c r="G61" s="9813"/>
    </row>
    <row r="62" spans="1:7" s="9812" customFormat="1">
      <c r="A62" s="9820"/>
      <c r="B62" s="9813"/>
      <c r="D62" s="9813"/>
      <c r="E62" s="9813"/>
      <c r="G62" s="9813"/>
    </row>
    <row r="63" spans="1:7" s="9812" customFormat="1">
      <c r="A63" s="9820"/>
      <c r="B63" s="9813"/>
      <c r="D63" s="9813"/>
      <c r="E63" s="9813"/>
      <c r="G63" s="9813"/>
    </row>
    <row r="64" spans="1:7" s="9812" customFormat="1">
      <c r="A64" s="9820"/>
      <c r="B64" s="9813"/>
      <c r="D64" s="9813"/>
      <c r="E64" s="9813"/>
      <c r="G64" s="9813"/>
    </row>
    <row r="65" spans="1:7" s="9812" customFormat="1">
      <c r="A65" s="9820"/>
      <c r="B65" s="9813"/>
      <c r="D65" s="9813"/>
      <c r="E65" s="9813"/>
      <c r="G65" s="9813"/>
    </row>
    <row r="66" spans="1:7" s="9812" customFormat="1">
      <c r="A66" s="9820"/>
      <c r="B66" s="9813"/>
      <c r="D66" s="9813"/>
      <c r="E66" s="9813"/>
      <c r="G66" s="9813"/>
    </row>
    <row r="67" spans="1:7" s="9812" customFormat="1">
      <c r="B67" s="9813"/>
      <c r="D67" s="9813"/>
      <c r="E67" s="9813"/>
      <c r="G67" s="9813"/>
    </row>
    <row r="68" spans="1:7" s="12635" customFormat="1">
      <c r="B68" s="9813"/>
      <c r="D68" s="9813"/>
      <c r="E68" s="9813"/>
      <c r="G68" s="9813"/>
    </row>
    <row r="69" spans="1:7" s="12635" customFormat="1">
      <c r="B69" s="9813"/>
      <c r="D69" s="9813"/>
      <c r="E69" s="9813"/>
      <c r="G69" s="9813"/>
    </row>
    <row r="70" spans="1:7" s="12635" customFormat="1">
      <c r="B70" s="9813"/>
      <c r="D70" s="9813"/>
      <c r="E70" s="9813"/>
      <c r="G70" s="9813"/>
    </row>
    <row r="71" spans="1:7" s="12635" customFormat="1">
      <c r="B71" s="9813"/>
      <c r="D71" s="9813"/>
      <c r="E71" s="9813"/>
      <c r="G71" s="9813"/>
    </row>
    <row r="72" spans="1:7" s="12635" customFormat="1">
      <c r="B72" s="9813"/>
      <c r="D72" s="9813"/>
      <c r="E72" s="9813"/>
      <c r="G72" s="9813"/>
    </row>
    <row r="73" spans="1:7" s="13231" customFormat="1">
      <c r="B73" s="9813"/>
      <c r="D73" s="9813"/>
      <c r="E73" s="9813"/>
      <c r="G73" s="9813"/>
    </row>
    <row r="74" spans="1:7" s="13231" customFormat="1">
      <c r="B74" s="9813"/>
      <c r="D74" s="9813"/>
      <c r="E74" s="9813"/>
      <c r="G74" s="9813"/>
    </row>
    <row r="75" spans="1:7" s="13385" customFormat="1">
      <c r="B75" s="9813"/>
      <c r="D75" s="9813"/>
      <c r="E75" s="9813"/>
      <c r="G75" s="9813"/>
    </row>
    <row r="76" spans="1:7" s="9814" customFormat="1" ht="24.75" customHeight="1">
      <c r="A76" s="9833" t="s">
        <v>11315</v>
      </c>
      <c r="B76" s="9834" t="s">
        <v>3180</v>
      </c>
      <c r="C76" s="9815"/>
      <c r="D76" s="9815"/>
      <c r="E76" s="9815"/>
      <c r="G76" s="9815"/>
    </row>
    <row r="77" spans="1:7" s="9814" customFormat="1">
      <c r="B77" s="9815"/>
      <c r="C77" s="9815"/>
      <c r="D77" s="9815"/>
      <c r="E77" s="9815"/>
      <c r="G77" s="9815"/>
    </row>
    <row r="78" spans="1:7">
      <c r="A78" s="9814"/>
      <c r="B78" s="9822"/>
      <c r="C78" s="9822"/>
      <c r="D78" s="9822"/>
      <c r="E78" s="9822"/>
      <c r="F78" s="9822"/>
      <c r="G78" s="9822"/>
    </row>
    <row r="79" spans="1:7" s="9812" customFormat="1" ht="23.25" customHeight="1">
      <c r="A79" s="9823">
        <v>5.0999999999999996</v>
      </c>
      <c r="B79" s="9813" t="s">
        <v>3181</v>
      </c>
      <c r="D79" s="9813"/>
      <c r="E79" s="9813"/>
      <c r="G79" s="9813"/>
    </row>
    <row r="80" spans="1:7" s="9812" customFormat="1">
      <c r="A80" s="9824"/>
      <c r="B80" s="9813"/>
      <c r="C80" s="9813"/>
      <c r="D80" s="9813"/>
      <c r="E80" s="9813"/>
      <c r="G80" s="9813"/>
    </row>
    <row r="81" spans="1:7" s="9812" customFormat="1" ht="52.5" customHeight="1">
      <c r="A81" s="9824"/>
      <c r="B81" s="15443" t="s">
        <v>12101</v>
      </c>
      <c r="C81" s="15443"/>
      <c r="D81" s="15443"/>
      <c r="E81" s="15443"/>
      <c r="F81" s="15443"/>
      <c r="G81" s="15443"/>
    </row>
    <row r="82" spans="1:7" s="9812" customFormat="1">
      <c r="A82" s="9824"/>
      <c r="B82" s="9825" t="s">
        <v>3182</v>
      </c>
      <c r="C82" s="9825"/>
      <c r="D82" s="9825"/>
      <c r="E82" s="9825"/>
      <c r="F82" s="9825"/>
      <c r="G82" s="9825"/>
    </row>
    <row r="83" spans="1:7" s="9812" customFormat="1" ht="35.1" customHeight="1">
      <c r="A83" s="9819">
        <v>5.2</v>
      </c>
      <c r="B83" s="15443" t="s">
        <v>3183</v>
      </c>
      <c r="C83" s="15443"/>
      <c r="D83" s="15443"/>
      <c r="E83" s="15443"/>
      <c r="F83" s="15443"/>
      <c r="G83" s="15443"/>
    </row>
    <row r="84" spans="1:7">
      <c r="A84" s="9826"/>
      <c r="B84" s="9825"/>
      <c r="C84" s="9825"/>
      <c r="D84" s="9825"/>
      <c r="E84" s="9825"/>
      <c r="F84" s="9825"/>
      <c r="G84" s="9825"/>
    </row>
    <row r="85" spans="1:7" s="9820" customFormat="1" ht="35.25" customHeight="1">
      <c r="A85" s="9819">
        <v>5.3</v>
      </c>
      <c r="B85" s="15443" t="s">
        <v>3184</v>
      </c>
      <c r="C85" s="15443"/>
      <c r="D85" s="15443"/>
      <c r="E85" s="15443"/>
      <c r="F85" s="15443"/>
      <c r="G85" s="15443"/>
    </row>
    <row r="86" spans="1:7" s="9812" customFormat="1">
      <c r="A86" s="9826"/>
      <c r="B86" s="9825" t="s">
        <v>505</v>
      </c>
      <c r="C86" s="9825"/>
      <c r="D86" s="9825"/>
      <c r="E86" s="9825"/>
      <c r="F86" s="9825"/>
      <c r="G86" s="9825"/>
    </row>
    <row r="87" spans="1:7" s="9820" customFormat="1" ht="33" customHeight="1">
      <c r="A87" s="9819">
        <v>5.4</v>
      </c>
      <c r="B87" s="15443" t="s">
        <v>12102</v>
      </c>
      <c r="C87" s="15443"/>
      <c r="D87" s="15443"/>
      <c r="E87" s="15443"/>
      <c r="F87" s="15443"/>
      <c r="G87" s="15443"/>
    </row>
    <row r="88" spans="1:7" s="9812" customFormat="1">
      <c r="A88" s="9826"/>
      <c r="B88" s="9825" t="s">
        <v>505</v>
      </c>
      <c r="C88" s="9825"/>
      <c r="D88" s="9825"/>
      <c r="E88" s="9825"/>
      <c r="F88" s="9825"/>
      <c r="G88" s="9825"/>
    </row>
    <row r="89" spans="1:7" s="9820" customFormat="1" ht="98.4" customHeight="1">
      <c r="A89" s="9819">
        <v>5.5</v>
      </c>
      <c r="B89" s="15443" t="s">
        <v>12110</v>
      </c>
      <c r="C89" s="15443"/>
      <c r="D89" s="15443"/>
      <c r="E89" s="15443"/>
      <c r="F89" s="15443"/>
      <c r="G89" s="15443"/>
    </row>
    <row r="90" spans="1:7" s="9812" customFormat="1">
      <c r="A90" s="9826"/>
      <c r="B90" s="9825" t="s">
        <v>505</v>
      </c>
      <c r="C90" s="9825"/>
      <c r="D90" s="9825"/>
      <c r="E90" s="9825"/>
      <c r="F90" s="9825"/>
      <c r="G90" s="9825"/>
    </row>
    <row r="91" spans="1:7" s="9820" customFormat="1" ht="35.25" customHeight="1">
      <c r="A91" s="9819">
        <v>5.6</v>
      </c>
      <c r="B91" s="15443" t="s">
        <v>12111</v>
      </c>
      <c r="C91" s="15443"/>
      <c r="D91" s="15443"/>
      <c r="E91" s="15443"/>
      <c r="F91" s="15443"/>
      <c r="G91" s="15443"/>
    </row>
    <row r="92" spans="1:7" s="9812" customFormat="1">
      <c r="A92" s="9826"/>
      <c r="B92" s="9825" t="s">
        <v>1803</v>
      </c>
      <c r="C92" s="9825"/>
      <c r="D92" s="9825"/>
      <c r="E92" s="9825"/>
      <c r="F92" s="9825"/>
      <c r="G92" s="9825"/>
    </row>
    <row r="93" spans="1:7" s="9820" customFormat="1" ht="63" customHeight="1">
      <c r="A93" s="9819">
        <v>5.7</v>
      </c>
      <c r="B93" s="15443" t="s">
        <v>12103</v>
      </c>
      <c r="C93" s="15443"/>
      <c r="D93" s="15443"/>
      <c r="E93" s="15443"/>
      <c r="F93" s="15443"/>
      <c r="G93" s="15443"/>
    </row>
    <row r="94" spans="1:7" s="9812" customFormat="1">
      <c r="A94" s="9826"/>
      <c r="B94" s="9825" t="s">
        <v>3185</v>
      </c>
      <c r="C94" s="9825"/>
      <c r="D94" s="9825"/>
      <c r="E94" s="9825"/>
      <c r="F94" s="9825"/>
      <c r="G94" s="9825"/>
    </row>
    <row r="95" spans="1:7" s="9820" customFormat="1" ht="65.25" hidden="1" customHeight="1">
      <c r="A95" s="9819">
        <v>5.8</v>
      </c>
      <c r="B95" s="15443" t="s">
        <v>11388</v>
      </c>
      <c r="C95" s="15443"/>
      <c r="D95" s="15443"/>
      <c r="E95" s="15443"/>
      <c r="F95" s="15443"/>
      <c r="G95" s="15443"/>
    </row>
    <row r="96" spans="1:7" s="9812" customFormat="1" hidden="1">
      <c r="A96" s="9826"/>
      <c r="B96" s="9825" t="s">
        <v>3185</v>
      </c>
      <c r="C96" s="9825"/>
      <c r="D96" s="9825"/>
      <c r="E96" s="9825"/>
      <c r="F96" s="9825"/>
      <c r="G96" s="9825"/>
    </row>
    <row r="97" spans="1:7" s="9820" customFormat="1" ht="34.5" customHeight="1">
      <c r="A97" s="9819">
        <v>5.8</v>
      </c>
      <c r="B97" s="15443" t="s">
        <v>11389</v>
      </c>
      <c r="C97" s="15443"/>
      <c r="D97" s="15443"/>
      <c r="E97" s="15443"/>
      <c r="F97" s="15443"/>
      <c r="G97" s="15443"/>
    </row>
    <row r="98" spans="1:7" s="13232" customFormat="1" ht="17.399999999999999" customHeight="1">
      <c r="A98" s="9819"/>
      <c r="B98" s="13230"/>
      <c r="C98" s="13230"/>
      <c r="D98" s="13230"/>
      <c r="E98" s="13230"/>
      <c r="F98" s="13230"/>
      <c r="G98" s="13230"/>
    </row>
    <row r="99" spans="1:7" s="13232" customFormat="1" ht="34.5" customHeight="1">
      <c r="A99" s="9819">
        <v>5.9</v>
      </c>
      <c r="B99" s="15442" t="s">
        <v>12104</v>
      </c>
      <c r="C99" s="15442"/>
      <c r="D99" s="15442"/>
      <c r="E99" s="15442"/>
      <c r="F99" s="15442"/>
      <c r="G99" s="15442"/>
    </row>
    <row r="100" spans="1:7" s="9812" customFormat="1" ht="16.5" customHeight="1">
      <c r="A100" s="9826"/>
      <c r="B100" s="9825"/>
      <c r="C100" s="9827"/>
      <c r="D100" s="9827"/>
      <c r="E100" s="9827"/>
      <c r="F100" s="9827"/>
      <c r="G100" s="9827"/>
    </row>
    <row r="101" spans="1:7" s="9812" customFormat="1">
      <c r="A101" s="9828">
        <v>5.0999999999999996</v>
      </c>
      <c r="B101" s="15448" t="s">
        <v>3186</v>
      </c>
      <c r="C101" s="15448"/>
      <c r="D101" s="15448"/>
      <c r="E101" s="15448"/>
      <c r="F101" s="15448"/>
      <c r="G101" s="9825"/>
    </row>
    <row r="102" spans="1:7" s="9812" customFormat="1" ht="14.25" customHeight="1">
      <c r="A102" s="9826"/>
      <c r="B102" s="9825"/>
      <c r="C102" s="9825"/>
      <c r="D102" s="9825"/>
      <c r="E102" s="9825"/>
      <c r="F102" s="9825"/>
      <c r="G102" s="9825"/>
    </row>
    <row r="103" spans="1:7" s="9820" customFormat="1" ht="84.75" customHeight="1">
      <c r="A103" s="9819"/>
      <c r="B103" s="15443" t="s">
        <v>3187</v>
      </c>
      <c r="C103" s="15443"/>
      <c r="D103" s="15443"/>
      <c r="E103" s="15443"/>
      <c r="F103" s="15443"/>
      <c r="G103" s="15443"/>
    </row>
    <row r="104" spans="1:7" s="9820" customFormat="1" ht="18.75" customHeight="1">
      <c r="A104" s="9819"/>
      <c r="B104" s="9832"/>
      <c r="C104" s="9832"/>
      <c r="D104" s="9832"/>
      <c r="E104" s="9832"/>
      <c r="F104" s="9832"/>
      <c r="G104" s="9832"/>
    </row>
    <row r="105" spans="1:7" s="12636" customFormat="1" ht="18.75" customHeight="1">
      <c r="A105" s="9819"/>
      <c r="B105" s="12634"/>
      <c r="C105" s="12634"/>
      <c r="D105" s="12634"/>
      <c r="E105" s="12634"/>
      <c r="F105" s="12634"/>
      <c r="G105" s="12634"/>
    </row>
    <row r="106" spans="1:7" s="12636" customFormat="1" ht="18.75" customHeight="1">
      <c r="A106" s="9819"/>
      <c r="B106" s="12634"/>
      <c r="C106" s="12634"/>
      <c r="D106" s="12634"/>
      <c r="E106" s="12634"/>
      <c r="F106" s="12634"/>
      <c r="G106" s="12634"/>
    </row>
    <row r="107" spans="1:7" s="13232" customFormat="1" ht="18.75" customHeight="1">
      <c r="A107" s="9819"/>
      <c r="B107" s="13230"/>
      <c r="C107" s="13230"/>
      <c r="D107" s="13230"/>
      <c r="E107" s="13230"/>
      <c r="F107" s="13230"/>
      <c r="G107" s="13230"/>
    </row>
    <row r="108" spans="1:7" s="13232" customFormat="1" ht="18.75" customHeight="1">
      <c r="A108" s="9819"/>
      <c r="B108" s="13230"/>
      <c r="C108" s="13230"/>
      <c r="D108" s="13230"/>
      <c r="E108" s="13230"/>
      <c r="F108" s="13230"/>
      <c r="G108" s="13230"/>
    </row>
    <row r="109" spans="1:7" s="13232" customFormat="1" ht="18.75" customHeight="1">
      <c r="A109" s="9819"/>
      <c r="B109" s="13230"/>
      <c r="C109" s="13230"/>
      <c r="D109" s="13230"/>
      <c r="E109" s="13230"/>
      <c r="F109" s="13230"/>
      <c r="G109" s="13230"/>
    </row>
    <row r="110" spans="1:7" s="9812" customFormat="1">
      <c r="A110" s="9828">
        <v>5.1100000000000003</v>
      </c>
      <c r="B110" s="9825" t="s">
        <v>3188</v>
      </c>
      <c r="C110" s="9825"/>
      <c r="D110" s="9825"/>
      <c r="E110" s="9825"/>
      <c r="F110" s="9825"/>
    </row>
    <row r="111" spans="1:7" s="9812" customFormat="1">
      <c r="A111" s="9826"/>
      <c r="B111" s="9825"/>
      <c r="C111" s="9825"/>
      <c r="D111" s="9825"/>
      <c r="E111" s="9825"/>
      <c r="F111" s="9825"/>
    </row>
    <row r="112" spans="1:7" s="9812" customFormat="1" ht="111" customHeight="1">
      <c r="A112" s="9828"/>
      <c r="B112" s="15443" t="s">
        <v>3189</v>
      </c>
      <c r="C112" s="15443"/>
      <c r="D112" s="15443"/>
      <c r="E112" s="15443"/>
      <c r="F112" s="15443"/>
      <c r="G112" s="15443"/>
    </row>
    <row r="113" spans="1:7" s="9812" customFormat="1">
      <c r="A113" s="9828">
        <v>5.12</v>
      </c>
      <c r="B113" s="15451" t="s">
        <v>3193</v>
      </c>
      <c r="C113" s="15451"/>
      <c r="D113" s="9825"/>
      <c r="E113" s="9825"/>
      <c r="F113" s="9825"/>
    </row>
    <row r="114" spans="1:7" s="9812" customFormat="1">
      <c r="A114" s="9828"/>
      <c r="B114" s="9825"/>
      <c r="C114" s="9825"/>
      <c r="D114" s="9825"/>
      <c r="E114" s="9825"/>
      <c r="F114" s="9825"/>
    </row>
    <row r="115" spans="1:7" s="9812" customFormat="1" ht="132" customHeight="1">
      <c r="A115" s="9828"/>
      <c r="B115" s="15443" t="s">
        <v>12105</v>
      </c>
      <c r="C115" s="15443"/>
      <c r="D115" s="15443"/>
      <c r="E115" s="15443"/>
      <c r="F115" s="15443"/>
      <c r="G115" s="15443"/>
    </row>
    <row r="116" spans="1:7" s="9812" customFormat="1" ht="21" customHeight="1">
      <c r="A116" s="9828">
        <v>5.13</v>
      </c>
      <c r="B116" s="9835" t="s">
        <v>3190</v>
      </c>
      <c r="C116" s="9835"/>
      <c r="D116" s="9825"/>
      <c r="E116" s="9825"/>
      <c r="F116" s="9825"/>
    </row>
    <row r="117" spans="1:7" s="9812" customFormat="1">
      <c r="A117" s="9828"/>
      <c r="B117" s="9825"/>
      <c r="C117" s="9825"/>
      <c r="D117" s="9825"/>
      <c r="E117" s="9825"/>
      <c r="F117" s="9825"/>
    </row>
    <row r="118" spans="1:7" s="9812" customFormat="1" ht="53.25" customHeight="1">
      <c r="A118" s="9828"/>
      <c r="B118" s="15443" t="s">
        <v>3191</v>
      </c>
      <c r="C118" s="15443"/>
      <c r="D118" s="15443"/>
      <c r="E118" s="15443"/>
      <c r="F118" s="15443"/>
      <c r="G118" s="15443"/>
    </row>
    <row r="119" spans="1:7" s="9812" customFormat="1">
      <c r="A119" s="9828"/>
      <c r="B119" s="9825" t="s">
        <v>1803</v>
      </c>
      <c r="C119" s="9825"/>
      <c r="D119" s="9825"/>
      <c r="E119" s="9825"/>
      <c r="F119" s="9825"/>
    </row>
    <row r="120" spans="1:7" s="9820" customFormat="1" ht="51" customHeight="1">
      <c r="A120" s="9829">
        <v>5.14</v>
      </c>
      <c r="B120" s="15443" t="s">
        <v>3192</v>
      </c>
      <c r="C120" s="15443"/>
      <c r="D120" s="15443"/>
      <c r="E120" s="15443"/>
      <c r="F120" s="15443"/>
      <c r="G120" s="15443"/>
    </row>
    <row r="121" spans="1:7" s="9812" customFormat="1">
      <c r="A121" s="9828"/>
      <c r="B121" s="9825" t="s">
        <v>505</v>
      </c>
      <c r="C121" s="9825"/>
      <c r="D121" s="9825"/>
      <c r="E121" s="9825"/>
      <c r="F121" s="9825"/>
    </row>
    <row r="122" spans="1:7" ht="19.5" customHeight="1">
      <c r="A122" s="9828">
        <v>5.15</v>
      </c>
      <c r="B122" s="15444" t="s">
        <v>3194</v>
      </c>
      <c r="C122" s="15444"/>
      <c r="D122" s="9825"/>
      <c r="E122" s="9825"/>
      <c r="F122" s="9825"/>
      <c r="G122" s="9812"/>
    </row>
    <row r="123" spans="1:7">
      <c r="A123" s="9828"/>
      <c r="B123" s="9825"/>
      <c r="C123" s="9825"/>
      <c r="D123" s="9825"/>
      <c r="E123" s="9825"/>
      <c r="F123" s="9825"/>
      <c r="G123" s="9812"/>
    </row>
    <row r="124" spans="1:7" ht="56.4" customHeight="1">
      <c r="A124" s="9828"/>
      <c r="B124" s="15443" t="s">
        <v>3195</v>
      </c>
      <c r="C124" s="15443"/>
      <c r="D124" s="15443"/>
      <c r="E124" s="15443"/>
      <c r="F124" s="15443"/>
      <c r="G124" s="15443"/>
    </row>
    <row r="125" spans="1:7">
      <c r="A125" s="9830"/>
      <c r="E125" s="9812"/>
      <c r="F125" s="9813"/>
      <c r="G125" s="9812"/>
    </row>
    <row r="126" spans="1:7">
      <c r="A126" s="9830">
        <v>5.16</v>
      </c>
      <c r="B126" s="9813" t="s">
        <v>3196</v>
      </c>
      <c r="E126" s="9812"/>
      <c r="F126" s="9813"/>
      <c r="G126" s="9812"/>
    </row>
    <row r="127" spans="1:7">
      <c r="A127" s="9830"/>
      <c r="B127" s="9825"/>
      <c r="C127" s="9825"/>
      <c r="D127" s="9825"/>
      <c r="E127" s="9825"/>
      <c r="F127" s="9825"/>
      <c r="G127" s="9825"/>
    </row>
    <row r="128" spans="1:7" ht="114" customHeight="1">
      <c r="A128" s="9819" t="s">
        <v>3197</v>
      </c>
      <c r="B128" s="15443" t="s">
        <v>12112</v>
      </c>
      <c r="C128" s="15443"/>
      <c r="D128" s="15443"/>
      <c r="E128" s="15443"/>
      <c r="F128" s="15443"/>
      <c r="G128" s="15443"/>
    </row>
    <row r="129" spans="1:7">
      <c r="A129" s="9826"/>
      <c r="B129" s="9825"/>
      <c r="C129" s="9825"/>
      <c r="D129" s="9825"/>
      <c r="E129" s="9825"/>
      <c r="F129" s="9825"/>
      <c r="G129" s="9825"/>
    </row>
    <row r="130" spans="1:7" ht="84" customHeight="1">
      <c r="A130" s="9819" t="s">
        <v>3198</v>
      </c>
      <c r="B130" s="15443" t="s">
        <v>11313</v>
      </c>
      <c r="C130" s="15443"/>
      <c r="D130" s="15443"/>
      <c r="E130" s="15443"/>
      <c r="F130" s="15443"/>
      <c r="G130" s="15443"/>
    </row>
    <row r="131" spans="1:7" ht="12.9" customHeight="1">
      <c r="A131" s="9819"/>
      <c r="B131" s="9825"/>
      <c r="C131" s="9825"/>
      <c r="D131" s="9825"/>
      <c r="E131" s="9825"/>
      <c r="F131" s="9825"/>
      <c r="G131" s="9825"/>
    </row>
    <row r="132" spans="1:7" ht="80.25" customHeight="1">
      <c r="A132" s="9831" t="s">
        <v>3211</v>
      </c>
      <c r="B132" s="15443" t="s">
        <v>11314</v>
      </c>
      <c r="C132" s="15443"/>
      <c r="D132" s="15443"/>
      <c r="E132" s="15443"/>
      <c r="F132" s="15443"/>
      <c r="G132" s="15443"/>
    </row>
    <row r="133" spans="1:7" ht="12.9" customHeight="1">
      <c r="A133" s="9819"/>
      <c r="B133" s="9825"/>
      <c r="C133" s="9825"/>
      <c r="D133" s="9825"/>
      <c r="E133" s="9825"/>
      <c r="F133" s="9825"/>
      <c r="G133" s="9825"/>
    </row>
    <row r="134" spans="1:7" ht="66" customHeight="1">
      <c r="A134" s="9819" t="s">
        <v>3199</v>
      </c>
      <c r="B134" s="15443" t="s">
        <v>12113</v>
      </c>
      <c r="C134" s="15443"/>
      <c r="D134" s="15443"/>
      <c r="E134" s="15443"/>
      <c r="F134" s="15443"/>
      <c r="G134" s="15443"/>
    </row>
    <row r="135" spans="1:7" ht="12.9" customHeight="1">
      <c r="A135" s="9819"/>
      <c r="B135" s="9825"/>
      <c r="C135" s="9825"/>
      <c r="D135" s="9825"/>
      <c r="E135" s="9825"/>
      <c r="F135" s="9825"/>
      <c r="G135" s="9825"/>
    </row>
    <row r="136" spans="1:7" ht="46.5" customHeight="1">
      <c r="A136" s="9819" t="s">
        <v>3200</v>
      </c>
      <c r="B136" s="15443" t="s">
        <v>12114</v>
      </c>
      <c r="C136" s="15443"/>
      <c r="D136" s="15443"/>
      <c r="E136" s="15443"/>
      <c r="F136" s="15443"/>
      <c r="G136" s="15443"/>
    </row>
    <row r="137" spans="1:7" ht="12.9" customHeight="1">
      <c r="A137" s="9819"/>
      <c r="B137" s="9825"/>
      <c r="C137" s="9825"/>
      <c r="D137" s="9825"/>
      <c r="E137" s="9825"/>
      <c r="F137" s="9825"/>
      <c r="G137" s="9825"/>
    </row>
    <row r="138" spans="1:7" ht="34.5" customHeight="1">
      <c r="A138" s="9819" t="s">
        <v>3201</v>
      </c>
      <c r="B138" s="15443" t="s">
        <v>12115</v>
      </c>
      <c r="C138" s="15443"/>
      <c r="D138" s="15443"/>
      <c r="E138" s="15443"/>
      <c r="F138" s="15443"/>
      <c r="G138" s="15443"/>
    </row>
    <row r="139" spans="1:7" ht="12.9" customHeight="1">
      <c r="A139" s="9819"/>
      <c r="B139" s="9825"/>
      <c r="C139" s="9825"/>
      <c r="D139" s="9825"/>
      <c r="E139" s="9825"/>
      <c r="F139" s="9825"/>
      <c r="G139" s="9825"/>
    </row>
    <row r="140" spans="1:7" ht="32.25" customHeight="1">
      <c r="A140" s="9819" t="s">
        <v>3202</v>
      </c>
      <c r="B140" s="15443" t="s">
        <v>12116</v>
      </c>
      <c r="C140" s="15443"/>
      <c r="D140" s="15443"/>
      <c r="E140" s="15443"/>
      <c r="F140" s="15443"/>
      <c r="G140" s="15443"/>
    </row>
    <row r="141" spans="1:7" ht="12.9" customHeight="1">
      <c r="A141" s="9819"/>
      <c r="B141" s="9825"/>
      <c r="C141" s="9825"/>
      <c r="D141" s="9825"/>
      <c r="E141" s="9825"/>
      <c r="F141" s="9825"/>
      <c r="G141" s="9825"/>
    </row>
    <row r="142" spans="1:7" ht="30.75" customHeight="1">
      <c r="A142" s="9819" t="s">
        <v>3203</v>
      </c>
      <c r="B142" s="15443" t="s">
        <v>3204</v>
      </c>
      <c r="C142" s="15443"/>
      <c r="D142" s="15443"/>
      <c r="E142" s="15443"/>
      <c r="F142" s="15443"/>
      <c r="G142" s="15443"/>
    </row>
    <row r="143" spans="1:7" ht="12.9" customHeight="1">
      <c r="A143" s="9819"/>
      <c r="B143" s="9825"/>
      <c r="C143" s="9825"/>
      <c r="D143" s="9825"/>
      <c r="E143" s="9825"/>
      <c r="F143" s="9825"/>
      <c r="G143" s="9825"/>
    </row>
    <row r="144" spans="1:7" ht="45" customHeight="1">
      <c r="A144" s="9819" t="s">
        <v>3205</v>
      </c>
      <c r="B144" s="15449" t="s">
        <v>12117</v>
      </c>
      <c r="C144" s="15449"/>
      <c r="D144" s="15449"/>
      <c r="E144" s="15449"/>
      <c r="F144" s="15449"/>
      <c r="G144" s="15449"/>
    </row>
    <row r="145" spans="1:7" ht="12.9" customHeight="1">
      <c r="A145" s="9819"/>
      <c r="B145" s="9825"/>
      <c r="C145" s="9825"/>
      <c r="D145" s="9825"/>
      <c r="E145" s="9825"/>
      <c r="F145" s="9825"/>
      <c r="G145" s="9825"/>
    </row>
    <row r="146" spans="1:7" ht="35.1" customHeight="1">
      <c r="A146" s="9819" t="s">
        <v>3206</v>
      </c>
      <c r="B146" s="15443" t="s">
        <v>12118</v>
      </c>
      <c r="C146" s="15443"/>
      <c r="D146" s="15443"/>
      <c r="E146" s="15443"/>
      <c r="F146" s="15443"/>
      <c r="G146" s="15443"/>
    </row>
    <row r="147" spans="1:7" ht="12.9" customHeight="1">
      <c r="A147" s="9819"/>
      <c r="B147" s="9825"/>
      <c r="C147" s="9825"/>
      <c r="D147" s="9825"/>
      <c r="E147" s="9825"/>
      <c r="F147" s="9825"/>
      <c r="G147" s="9825"/>
    </row>
    <row r="148" spans="1:7" s="9812" customFormat="1" ht="47.4" customHeight="1">
      <c r="A148" s="9819" t="s">
        <v>3207</v>
      </c>
      <c r="B148" s="15443" t="s">
        <v>12119</v>
      </c>
      <c r="C148" s="15443"/>
      <c r="D148" s="15443"/>
      <c r="E148" s="15443"/>
      <c r="F148" s="15443"/>
      <c r="G148" s="15443"/>
    </row>
    <row r="149" spans="1:7" ht="12.9" customHeight="1">
      <c r="A149" s="9819"/>
      <c r="B149" s="9825"/>
      <c r="C149" s="9825"/>
      <c r="D149" s="9825"/>
      <c r="E149" s="9825"/>
      <c r="F149" s="9825"/>
      <c r="G149" s="9825"/>
    </row>
    <row r="150" spans="1:7" s="9812" customFormat="1" ht="48.9" customHeight="1">
      <c r="A150" s="9819" t="s">
        <v>3208</v>
      </c>
      <c r="B150" s="15443" t="s">
        <v>11316</v>
      </c>
      <c r="C150" s="15443"/>
      <c r="D150" s="15443"/>
      <c r="E150" s="15443"/>
      <c r="F150" s="15443"/>
      <c r="G150" s="15443"/>
    </row>
    <row r="151" spans="1:7" ht="12.9" customHeight="1">
      <c r="A151" s="9819"/>
      <c r="B151" s="9825"/>
      <c r="C151" s="9825"/>
      <c r="D151" s="9825"/>
      <c r="E151" s="9825"/>
      <c r="F151" s="9825"/>
      <c r="G151" s="9825"/>
    </row>
    <row r="152" spans="1:7" s="9812" customFormat="1" ht="33.6" customHeight="1">
      <c r="A152" s="9819" t="s">
        <v>3209</v>
      </c>
      <c r="B152" s="15450" t="s">
        <v>12120</v>
      </c>
      <c r="C152" s="15450"/>
      <c r="D152" s="15450"/>
      <c r="E152" s="15450"/>
      <c r="F152" s="15450"/>
      <c r="G152" s="15450"/>
    </row>
    <row r="153" spans="1:7" s="9812" customFormat="1" ht="12.9" customHeight="1">
      <c r="A153" s="9819"/>
      <c r="B153" s="9825"/>
      <c r="C153" s="9825"/>
      <c r="D153" s="9825"/>
      <c r="E153" s="9825"/>
      <c r="F153" s="9825"/>
      <c r="G153" s="9825"/>
    </row>
    <row r="154" spans="1:7" s="9812" customFormat="1" ht="49.5" customHeight="1">
      <c r="A154" s="9819" t="s">
        <v>3210</v>
      </c>
      <c r="B154" s="15443" t="s">
        <v>12121</v>
      </c>
      <c r="C154" s="15443"/>
      <c r="D154" s="15443"/>
      <c r="E154" s="15443"/>
      <c r="F154" s="15443"/>
      <c r="G154" s="15443"/>
    </row>
    <row r="156" spans="1:7" s="9821" customFormat="1" ht="48.6" customHeight="1">
      <c r="A156" s="9826" t="s">
        <v>12122</v>
      </c>
      <c r="B156" s="15442" t="s">
        <v>12123</v>
      </c>
      <c r="C156" s="15442"/>
      <c r="D156" s="15442"/>
      <c r="E156" s="15442"/>
      <c r="F156" s="15442"/>
      <c r="G156" s="15442"/>
    </row>
  </sheetData>
  <mergeCells count="48">
    <mergeCell ref="B41:G41"/>
    <mergeCell ref="B35:G35"/>
    <mergeCell ref="B99:G99"/>
    <mergeCell ref="B140:G140"/>
    <mergeCell ref="B142:G142"/>
    <mergeCell ref="B138:G138"/>
    <mergeCell ref="B118:G118"/>
    <mergeCell ref="B120:G120"/>
    <mergeCell ref="B113:C113"/>
    <mergeCell ref="B115:G115"/>
    <mergeCell ref="B124:G124"/>
    <mergeCell ref="B128:G128"/>
    <mergeCell ref="B130:G130"/>
    <mergeCell ref="B132:G132"/>
    <mergeCell ref="B134:G134"/>
    <mergeCell ref="B136:G136"/>
    <mergeCell ref="B146:G146"/>
    <mergeCell ref="B154:G154"/>
    <mergeCell ref="B148:G148"/>
    <mergeCell ref="B150:G150"/>
    <mergeCell ref="B152:G152"/>
    <mergeCell ref="B95:G95"/>
    <mergeCell ref="B97:G97"/>
    <mergeCell ref="B101:F101"/>
    <mergeCell ref="B103:G103"/>
    <mergeCell ref="B144:G144"/>
    <mergeCell ref="B1:G1"/>
    <mergeCell ref="A4:G4"/>
    <mergeCell ref="B23:G23"/>
    <mergeCell ref="B25:G25"/>
    <mergeCell ref="B27:G27"/>
    <mergeCell ref="B16:G16"/>
    <mergeCell ref="B156:G156"/>
    <mergeCell ref="B39:G39"/>
    <mergeCell ref="B43:G43"/>
    <mergeCell ref="B29:G29"/>
    <mergeCell ref="B31:G31"/>
    <mergeCell ref="B37:G37"/>
    <mergeCell ref="B33:G33"/>
    <mergeCell ref="B122:C122"/>
    <mergeCell ref="B112:G112"/>
    <mergeCell ref="B81:G81"/>
    <mergeCell ref="B83:G83"/>
    <mergeCell ref="B85:G85"/>
    <mergeCell ref="B87:G87"/>
    <mergeCell ref="B89:G89"/>
    <mergeCell ref="B91:G91"/>
    <mergeCell ref="B93:G93"/>
  </mergeCells>
  <pageMargins left="0.25" right="0.25" top="0.5" bottom="0" header="0" footer="0"/>
  <pageSetup paperSize="119" firstPageNumber="395" orientation="portrait" useFirstPageNumber="1" r:id="rId1"/>
</worksheet>
</file>

<file path=xl/worksheets/sheet194.xml><?xml version="1.0" encoding="utf-8"?>
<worksheet xmlns="http://schemas.openxmlformats.org/spreadsheetml/2006/main" xmlns:r="http://schemas.openxmlformats.org/officeDocument/2006/relationships">
  <sheetPr codeName="Sheet197">
    <tabColor rgb="FFFF0000"/>
  </sheetPr>
  <dimension ref="A1:H65"/>
  <sheetViews>
    <sheetView topLeftCell="A28" workbookViewId="0">
      <selection activeCell="D8" sqref="D8"/>
    </sheetView>
  </sheetViews>
  <sheetFormatPr defaultColWidth="9.109375" defaultRowHeight="14.4"/>
  <cols>
    <col min="1" max="1" width="10.88671875" style="5395" customWidth="1"/>
    <col min="2" max="2" width="15.109375" style="2409" customWidth="1"/>
    <col min="3" max="3" width="15" style="2409" customWidth="1"/>
    <col min="4" max="4" width="14.109375" style="2409" customWidth="1"/>
    <col min="5" max="5" width="14.88671875" style="2409" customWidth="1"/>
    <col min="6" max="6" width="15.44140625" style="2409" customWidth="1"/>
    <col min="7" max="7" width="15" style="2409" customWidth="1"/>
    <col min="8" max="8" width="16.44140625" style="5377" customWidth="1"/>
    <col min="9" max="16384" width="9.109375" style="5377"/>
  </cols>
  <sheetData>
    <row r="1" spans="1:8">
      <c r="A1" s="15452" t="s">
        <v>9950</v>
      </c>
      <c r="B1" s="15452"/>
      <c r="C1" s="15452"/>
      <c r="D1" s="15452"/>
      <c r="E1" s="15452"/>
      <c r="F1" s="15452"/>
      <c r="G1" s="15452"/>
      <c r="H1" s="15452"/>
    </row>
    <row r="2" spans="1:8" s="882" customFormat="1" ht="43.2">
      <c r="A2" s="5370" t="s">
        <v>638</v>
      </c>
      <c r="B2" s="5371" t="s">
        <v>217</v>
      </c>
      <c r="C2" s="5371" t="s">
        <v>1973</v>
      </c>
      <c r="D2" s="5371" t="s">
        <v>6518</v>
      </c>
      <c r="E2" s="5372" t="s">
        <v>9949</v>
      </c>
      <c r="F2" s="5371" t="s">
        <v>259</v>
      </c>
      <c r="G2" s="5372" t="s">
        <v>9956</v>
      </c>
      <c r="H2" s="5373" t="s">
        <v>220</v>
      </c>
    </row>
    <row r="3" spans="1:8">
      <c r="A3" s="5396" t="s">
        <v>3095</v>
      </c>
      <c r="B3" s="5375"/>
      <c r="C3" s="5375"/>
      <c r="D3" s="5375"/>
      <c r="E3" s="5375"/>
      <c r="F3" s="5375"/>
      <c r="G3" s="5375"/>
      <c r="H3" s="5376"/>
    </row>
    <row r="4" spans="1:8">
      <c r="A4" s="5374" t="s">
        <v>568</v>
      </c>
      <c r="B4" s="5375">
        <v>19975511</v>
      </c>
      <c r="C4" s="5375">
        <v>97890500</v>
      </c>
      <c r="D4" s="5375">
        <v>2412500</v>
      </c>
      <c r="E4" s="5375">
        <f>summary!M7</f>
        <v>48900000</v>
      </c>
      <c r="F4" s="5375">
        <f>SUM('lbr 3d'!D21:D42)+SUM('lbr 3d'!D30:D59)+'lbr 3d'!D91+SUM('lbr 3d'!D98:D105)+SUM('lbr 3d'!D114:D119)+SUM('lbr 3d'!D155:D160)</f>
        <v>112278175</v>
      </c>
      <c r="G4" s="5375">
        <f>550000+2500000+5000000</f>
        <v>8050000</v>
      </c>
      <c r="H4" s="5378">
        <f>SUM(B4:G4)</f>
        <v>289506686</v>
      </c>
    </row>
    <row r="5" spans="1:8">
      <c r="A5" s="5374" t="s">
        <v>9134</v>
      </c>
      <c r="B5" s="5375">
        <v>18296255</v>
      </c>
      <c r="C5" s="5375">
        <v>5605350</v>
      </c>
      <c r="D5" s="5375">
        <v>160000</v>
      </c>
      <c r="E5" s="5375"/>
      <c r="F5" s="5375"/>
      <c r="G5" s="5375"/>
      <c r="H5" s="5378">
        <f t="shared" ref="H5:H56" si="0">SUM(B5:G5)</f>
        <v>24061605</v>
      </c>
    </row>
    <row r="6" spans="1:8">
      <c r="A6" s="5374" t="s">
        <v>1724</v>
      </c>
      <c r="B6" s="5375">
        <v>2868742</v>
      </c>
      <c r="C6" s="5375">
        <v>2528000</v>
      </c>
      <c r="D6" s="5375">
        <v>300000</v>
      </c>
      <c r="E6" s="5375">
        <f>summary!M9</f>
        <v>500000</v>
      </c>
      <c r="F6" s="5375"/>
      <c r="G6" s="5375"/>
      <c r="H6" s="5378">
        <f t="shared" si="0"/>
        <v>6196742</v>
      </c>
    </row>
    <row r="7" spans="1:8">
      <c r="A7" s="5374" t="s">
        <v>678</v>
      </c>
      <c r="B7" s="5375">
        <v>2993210</v>
      </c>
      <c r="C7" s="5375">
        <v>1039500</v>
      </c>
      <c r="D7" s="5375">
        <v>50000</v>
      </c>
      <c r="E7" s="5375"/>
      <c r="F7" s="5375"/>
      <c r="G7" s="5375"/>
      <c r="H7" s="5378">
        <f t="shared" si="0"/>
        <v>4082710</v>
      </c>
    </row>
    <row r="8" spans="1:8">
      <c r="A8" s="5374" t="s">
        <v>569</v>
      </c>
      <c r="B8" s="5375">
        <v>36920604</v>
      </c>
      <c r="C8" s="5375">
        <v>68799200</v>
      </c>
      <c r="D8" s="5375">
        <v>1672000</v>
      </c>
      <c r="E8" s="5375">
        <f>summary!M14</f>
        <v>0</v>
      </c>
      <c r="F8" s="5375">
        <f>'lbr 3d'!D63</f>
        <v>0</v>
      </c>
      <c r="G8" s="5375"/>
      <c r="H8" s="5378">
        <f t="shared" si="0"/>
        <v>107391804</v>
      </c>
    </row>
    <row r="9" spans="1:8">
      <c r="A9" s="5374" t="s">
        <v>570</v>
      </c>
      <c r="B9" s="5375">
        <v>8520214</v>
      </c>
      <c r="C9" s="5375">
        <v>2662530</v>
      </c>
      <c r="D9" s="5375">
        <v>0</v>
      </c>
      <c r="E9" s="5375">
        <f>summary!M15</f>
        <v>2000000</v>
      </c>
      <c r="F9" s="5375"/>
      <c r="G9" s="5375"/>
      <c r="H9" s="5378">
        <f t="shared" si="0"/>
        <v>13182744</v>
      </c>
    </row>
    <row r="10" spans="1:8">
      <c r="A10" s="5374" t="s">
        <v>571</v>
      </c>
      <c r="B10" s="5375">
        <v>14307175</v>
      </c>
      <c r="C10" s="5375">
        <v>3973880</v>
      </c>
      <c r="D10" s="5375">
        <v>202000</v>
      </c>
      <c r="E10" s="5375">
        <f>summary!M16</f>
        <v>1970000</v>
      </c>
      <c r="F10" s="5375"/>
      <c r="G10" s="5375"/>
      <c r="H10" s="5378">
        <f t="shared" si="0"/>
        <v>20453055</v>
      </c>
    </row>
    <row r="11" spans="1:8">
      <c r="A11" s="5374" t="s">
        <v>572</v>
      </c>
      <c r="B11" s="5375">
        <v>23933468</v>
      </c>
      <c r="C11" s="5375">
        <v>10584600</v>
      </c>
      <c r="D11" s="5375">
        <v>790000</v>
      </c>
      <c r="E11" s="5375"/>
      <c r="F11" s="5375"/>
      <c r="G11" s="5375">
        <f>4000000+500000+1200000</f>
        <v>5700000</v>
      </c>
      <c r="H11" s="5378">
        <f t="shared" si="0"/>
        <v>41008068</v>
      </c>
    </row>
    <row r="12" spans="1:8">
      <c r="A12" s="5374" t="s">
        <v>573</v>
      </c>
      <c r="B12" s="5375">
        <v>7675122</v>
      </c>
      <c r="C12" s="5375">
        <v>826875</v>
      </c>
      <c r="D12" s="5375">
        <v>0</v>
      </c>
      <c r="E12" s="5375">
        <f>summary!M18</f>
        <v>400000</v>
      </c>
      <c r="F12" s="5375"/>
      <c r="G12" s="5375"/>
      <c r="H12" s="5378">
        <f t="shared" si="0"/>
        <v>8901997</v>
      </c>
    </row>
    <row r="13" spans="1:8">
      <c r="A13" s="5374" t="s">
        <v>574</v>
      </c>
      <c r="B13" s="5375">
        <v>15679047</v>
      </c>
      <c r="C13" s="5375">
        <v>2487200</v>
      </c>
      <c r="D13" s="5375">
        <v>0</v>
      </c>
      <c r="E13" s="5375">
        <f>summary!M19</f>
        <v>1600000</v>
      </c>
      <c r="F13" s="5375"/>
      <c r="G13" s="5375"/>
      <c r="H13" s="5378">
        <f t="shared" si="0"/>
        <v>19766247</v>
      </c>
    </row>
    <row r="14" spans="1:8">
      <c r="A14" s="5374" t="s">
        <v>575</v>
      </c>
      <c r="B14" s="5375">
        <v>17698829</v>
      </c>
      <c r="C14" s="5375">
        <v>10699400</v>
      </c>
      <c r="D14" s="5375">
        <v>60000</v>
      </c>
      <c r="E14" s="5375">
        <f>summary!M20</f>
        <v>0</v>
      </c>
      <c r="F14" s="5375"/>
      <c r="G14" s="5375"/>
      <c r="H14" s="5378">
        <f t="shared" si="0"/>
        <v>28458229</v>
      </c>
    </row>
    <row r="15" spans="1:8">
      <c r="A15" s="5374" t="s">
        <v>576</v>
      </c>
      <c r="B15" s="5375">
        <v>11123030</v>
      </c>
      <c r="C15" s="5375">
        <v>1986939</v>
      </c>
      <c r="D15" s="5375">
        <v>130000</v>
      </c>
      <c r="E15" s="5375">
        <f>summary!M21</f>
        <v>2685000</v>
      </c>
      <c r="F15" s="5375"/>
      <c r="G15" s="5375"/>
      <c r="H15" s="5378">
        <f t="shared" si="0"/>
        <v>15924969</v>
      </c>
    </row>
    <row r="16" spans="1:8">
      <c r="A16" s="5374" t="s">
        <v>577</v>
      </c>
      <c r="B16" s="5375">
        <v>7498130</v>
      </c>
      <c r="C16" s="5375">
        <v>3642000</v>
      </c>
      <c r="D16" s="5375">
        <v>200000</v>
      </c>
      <c r="E16" s="5375"/>
      <c r="F16" s="5375"/>
      <c r="G16" s="5375"/>
      <c r="H16" s="5378">
        <f t="shared" si="0"/>
        <v>11340130</v>
      </c>
    </row>
    <row r="17" spans="1:8">
      <c r="A17" s="5379" t="s">
        <v>9</v>
      </c>
      <c r="B17" s="5380" t="s">
        <v>9</v>
      </c>
      <c r="C17" s="5380"/>
      <c r="D17" s="5380" t="s">
        <v>9</v>
      </c>
      <c r="E17" s="5380"/>
      <c r="F17" s="5380"/>
      <c r="G17" s="5380"/>
      <c r="H17" s="5381">
        <f t="shared" si="0"/>
        <v>0</v>
      </c>
    </row>
    <row r="18" spans="1:8" s="5366" customFormat="1">
      <c r="A18" s="5382" t="s">
        <v>485</v>
      </c>
      <c r="B18" s="5367">
        <v>187489337</v>
      </c>
      <c r="C18" s="5367">
        <v>212725974</v>
      </c>
      <c r="D18" s="5367">
        <v>5976500</v>
      </c>
      <c r="E18" s="5367">
        <f>SUM(E4:E17)</f>
        <v>58055000</v>
      </c>
      <c r="F18" s="5367">
        <f>SUM(F4:F16)</f>
        <v>112278175</v>
      </c>
      <c r="G18" s="5367">
        <f>SUM(G4:G16)</f>
        <v>13750000</v>
      </c>
      <c r="H18" s="5368">
        <f t="shared" si="0"/>
        <v>590274986</v>
      </c>
    </row>
    <row r="19" spans="1:8">
      <c r="A19" s="5397" t="s">
        <v>3096</v>
      </c>
      <c r="B19" s="5383"/>
      <c r="C19" s="5383"/>
      <c r="D19" s="5383" t="s">
        <v>9</v>
      </c>
      <c r="E19" s="5383"/>
      <c r="F19" s="5383"/>
      <c r="G19" s="5383"/>
      <c r="H19" s="5384">
        <f t="shared" si="0"/>
        <v>0</v>
      </c>
    </row>
    <row r="20" spans="1:8">
      <c r="A20" s="5374" t="s">
        <v>578</v>
      </c>
      <c r="B20" s="5375">
        <v>5181983</v>
      </c>
      <c r="C20" s="5375">
        <v>2731600</v>
      </c>
      <c r="D20" s="5375">
        <v>170000</v>
      </c>
      <c r="E20" s="5375"/>
      <c r="F20" s="5375">
        <f>SUM('lbr 3d'!D108:D113)+SUM('lbr 3d'!D152:D154)</f>
        <v>15028700</v>
      </c>
      <c r="G20" s="5375"/>
      <c r="H20" s="5378">
        <f t="shared" si="0"/>
        <v>23112283</v>
      </c>
    </row>
    <row r="21" spans="1:8">
      <c r="A21" s="5374" t="s">
        <v>579</v>
      </c>
      <c r="B21" s="5375">
        <v>7823112</v>
      </c>
      <c r="C21" s="5375">
        <v>16992000</v>
      </c>
      <c r="D21" s="5375">
        <v>0</v>
      </c>
      <c r="E21" s="5375"/>
      <c r="F21" s="5375"/>
      <c r="G21" s="5375"/>
      <c r="H21" s="5378">
        <f t="shared" si="0"/>
        <v>24815112</v>
      </c>
    </row>
    <row r="22" spans="1:8">
      <c r="A22" s="5374" t="s">
        <v>580</v>
      </c>
      <c r="B22" s="5375">
        <v>5081030</v>
      </c>
      <c r="C22" s="5375">
        <v>1965650</v>
      </c>
      <c r="D22" s="5375">
        <v>360000</v>
      </c>
      <c r="E22" s="5375"/>
      <c r="F22" s="5375"/>
      <c r="G22" s="5375"/>
      <c r="H22" s="5378">
        <f t="shared" si="0"/>
        <v>7406680</v>
      </c>
    </row>
    <row r="23" spans="1:8">
      <c r="A23" s="5374" t="s">
        <v>581</v>
      </c>
      <c r="B23" s="5375">
        <v>57876053</v>
      </c>
      <c r="C23" s="5375">
        <v>4896000</v>
      </c>
      <c r="D23" s="5375">
        <v>110000</v>
      </c>
      <c r="E23" s="5375">
        <f>summary!M30</f>
        <v>32601000</v>
      </c>
      <c r="F23" s="5375">
        <f>'lbr 3d'!D88</f>
        <v>5000000</v>
      </c>
      <c r="G23" s="5375">
        <f>1000000+250000+200000+200000</f>
        <v>1650000</v>
      </c>
      <c r="H23" s="5378">
        <f t="shared" si="0"/>
        <v>102133053</v>
      </c>
    </row>
    <row r="24" spans="1:8">
      <c r="A24" s="5374" t="s">
        <v>582</v>
      </c>
      <c r="B24" s="5375">
        <v>36696503</v>
      </c>
      <c r="C24" s="5375">
        <v>27029447</v>
      </c>
      <c r="D24" s="5375">
        <v>0</v>
      </c>
      <c r="E24" s="5375"/>
      <c r="F24" s="5375"/>
      <c r="G24" s="5375">
        <f>1250000+1250000</f>
        <v>2500000</v>
      </c>
      <c r="H24" s="5378">
        <f t="shared" si="0"/>
        <v>66225950</v>
      </c>
    </row>
    <row r="25" spans="1:8">
      <c r="A25" s="5374" t="s">
        <v>583</v>
      </c>
      <c r="B25" s="5375">
        <v>25613427</v>
      </c>
      <c r="C25" s="5375">
        <v>12942058</v>
      </c>
      <c r="D25" s="5375">
        <v>301000</v>
      </c>
      <c r="E25" s="5375"/>
      <c r="F25" s="5375"/>
      <c r="G25" s="5375"/>
      <c r="H25" s="5378">
        <f t="shared" si="0"/>
        <v>38856485</v>
      </c>
    </row>
    <row r="26" spans="1:8">
      <c r="A26" s="5374" t="s">
        <v>584</v>
      </c>
      <c r="B26" s="5375">
        <v>18315334</v>
      </c>
      <c r="C26" s="5375">
        <v>16937400</v>
      </c>
      <c r="D26" s="5375">
        <v>375000</v>
      </c>
      <c r="E26" s="5375"/>
      <c r="F26" s="5375"/>
      <c r="G26" s="5375"/>
      <c r="H26" s="5378">
        <f t="shared" si="0"/>
        <v>35627734</v>
      </c>
    </row>
    <row r="27" spans="1:8">
      <c r="A27" s="5374" t="s">
        <v>585</v>
      </c>
      <c r="B27" s="5375">
        <v>18158634</v>
      </c>
      <c r="C27" s="5375">
        <v>9926000</v>
      </c>
      <c r="D27" s="5375">
        <v>915000</v>
      </c>
      <c r="E27" s="5375"/>
      <c r="F27" s="5375"/>
      <c r="G27" s="5375"/>
      <c r="H27" s="5378">
        <f t="shared" si="0"/>
        <v>28999634</v>
      </c>
    </row>
    <row r="28" spans="1:8">
      <c r="A28" s="5374" t="s">
        <v>664</v>
      </c>
      <c r="B28" s="5375">
        <v>14721244</v>
      </c>
      <c r="C28" s="5375">
        <v>13573400</v>
      </c>
      <c r="D28" s="5375">
        <v>0</v>
      </c>
      <c r="E28" s="5375"/>
      <c r="F28" s="5375"/>
      <c r="G28" s="5375"/>
      <c r="H28" s="5378">
        <f t="shared" si="0"/>
        <v>28294644</v>
      </c>
    </row>
    <row r="29" spans="1:8">
      <c r="A29" s="5374" t="s">
        <v>587</v>
      </c>
      <c r="B29" s="5375">
        <v>5585959</v>
      </c>
      <c r="C29" s="5375">
        <v>8865218</v>
      </c>
      <c r="D29" s="5375">
        <v>0</v>
      </c>
      <c r="E29" s="5375"/>
      <c r="F29" s="5375"/>
      <c r="G29" s="5375"/>
      <c r="H29" s="5378">
        <f t="shared" si="0"/>
        <v>14451177</v>
      </c>
    </row>
    <row r="30" spans="1:8">
      <c r="A30" s="5374" t="s">
        <v>665</v>
      </c>
      <c r="B30" s="5375">
        <v>5628962</v>
      </c>
      <c r="C30" s="5375">
        <v>8507035</v>
      </c>
      <c r="D30" s="5375">
        <v>360000</v>
      </c>
      <c r="E30" s="5375"/>
      <c r="F30" s="5375"/>
      <c r="G30" s="5375"/>
      <c r="H30" s="5378">
        <f t="shared" si="0"/>
        <v>14495997</v>
      </c>
    </row>
    <row r="31" spans="1:8">
      <c r="A31" s="5374" t="s">
        <v>666</v>
      </c>
      <c r="B31" s="5375">
        <v>5626806</v>
      </c>
      <c r="C31" s="5375">
        <v>7306000</v>
      </c>
      <c r="D31" s="5375">
        <v>0</v>
      </c>
      <c r="E31" s="5375"/>
      <c r="F31" s="5375"/>
      <c r="G31" s="5375"/>
      <c r="H31" s="5378">
        <f t="shared" si="0"/>
        <v>12932806</v>
      </c>
    </row>
    <row r="32" spans="1:8">
      <c r="A32" s="5374" t="s">
        <v>667</v>
      </c>
      <c r="B32" s="5375">
        <v>9142897</v>
      </c>
      <c r="C32" s="5375">
        <v>11145980</v>
      </c>
      <c r="D32" s="5375">
        <v>0</v>
      </c>
      <c r="E32" s="5375"/>
      <c r="F32" s="5375"/>
      <c r="G32" s="5375"/>
      <c r="H32" s="5378">
        <f t="shared" si="0"/>
        <v>20288877</v>
      </c>
    </row>
    <row r="33" spans="1:8">
      <c r="A33" s="5374" t="s">
        <v>591</v>
      </c>
      <c r="B33" s="5375">
        <v>7772463</v>
      </c>
      <c r="C33" s="5375">
        <v>4234168</v>
      </c>
      <c r="D33" s="5375">
        <v>200000</v>
      </c>
      <c r="E33" s="5375"/>
      <c r="F33" s="5375"/>
      <c r="G33" s="5375"/>
      <c r="H33" s="5378">
        <f t="shared" si="0"/>
        <v>12206631</v>
      </c>
    </row>
    <row r="34" spans="1:8">
      <c r="A34" s="5374" t="s">
        <v>592</v>
      </c>
      <c r="B34" s="5375">
        <v>8611137</v>
      </c>
      <c r="C34" s="5375">
        <v>15255000</v>
      </c>
      <c r="D34" s="5375">
        <v>360000</v>
      </c>
      <c r="E34" s="5375">
        <f>summary!M41</f>
        <v>25120000</v>
      </c>
      <c r="F34" s="5375">
        <f>'lbr 3d'!D61+'lbr 3d'!D62</f>
        <v>100000</v>
      </c>
      <c r="G34" s="5375">
        <f>1000000</f>
        <v>1000000</v>
      </c>
      <c r="H34" s="5378">
        <f t="shared" si="0"/>
        <v>50446137</v>
      </c>
    </row>
    <row r="35" spans="1:8">
      <c r="A35" s="5379" t="s">
        <v>9</v>
      </c>
      <c r="B35" s="5380">
        <v>0</v>
      </c>
      <c r="C35" s="5380"/>
      <c r="D35" s="5380" t="s">
        <v>9</v>
      </c>
      <c r="E35" s="5380"/>
      <c r="F35" s="5380"/>
      <c r="G35" s="5380"/>
      <c r="H35" s="5381">
        <f t="shared" si="0"/>
        <v>0</v>
      </c>
    </row>
    <row r="36" spans="1:8" s="5366" customFormat="1">
      <c r="A36" s="5382" t="s">
        <v>485</v>
      </c>
      <c r="B36" s="5367">
        <v>231835544</v>
      </c>
      <c r="C36" s="5367">
        <v>162306956</v>
      </c>
      <c r="D36" s="5367">
        <v>3151000</v>
      </c>
      <c r="E36" s="5367">
        <f>SUM(E20:E34)</f>
        <v>57721000</v>
      </c>
      <c r="F36" s="5367">
        <f>SUM(F20:F35)</f>
        <v>20128700</v>
      </c>
      <c r="G36" s="5367">
        <f>SUM(G20:G35)</f>
        <v>5150000</v>
      </c>
      <c r="H36" s="5368">
        <f t="shared" si="0"/>
        <v>480293200</v>
      </c>
    </row>
    <row r="37" spans="1:8">
      <c r="A37" s="5398" t="s">
        <v>3097</v>
      </c>
      <c r="B37" s="5383"/>
      <c r="C37" s="5383"/>
      <c r="D37" s="5383" t="s">
        <v>9</v>
      </c>
      <c r="E37" s="5383"/>
      <c r="F37" s="5383"/>
      <c r="G37" s="5383"/>
      <c r="H37" s="5384">
        <f t="shared" si="0"/>
        <v>0</v>
      </c>
    </row>
    <row r="38" spans="1:8">
      <c r="A38" s="5374" t="s">
        <v>593</v>
      </c>
      <c r="B38" s="5375">
        <v>1672248</v>
      </c>
      <c r="C38" s="5375">
        <v>2075000</v>
      </c>
      <c r="D38" s="5375">
        <v>200000</v>
      </c>
      <c r="E38" s="5375">
        <f>summary!M45</f>
        <v>8500000</v>
      </c>
      <c r="F38" s="5375"/>
      <c r="G38" s="5375"/>
      <c r="H38" s="5378">
        <f t="shared" si="0"/>
        <v>12447248</v>
      </c>
    </row>
    <row r="39" spans="1:8">
      <c r="A39" s="5374" t="s">
        <v>594</v>
      </c>
      <c r="B39" s="5375">
        <v>1204133</v>
      </c>
      <c r="C39" s="5375">
        <v>1642120</v>
      </c>
      <c r="D39" s="5375">
        <v>314000</v>
      </c>
      <c r="E39" s="5375">
        <f>summary!M47</f>
        <v>1192375</v>
      </c>
      <c r="F39" s="5375"/>
      <c r="G39" s="5375"/>
      <c r="H39" s="5378">
        <f t="shared" si="0"/>
        <v>4352628</v>
      </c>
    </row>
    <row r="40" spans="1:8">
      <c r="A40" s="5374" t="s">
        <v>595</v>
      </c>
      <c r="B40" s="5375">
        <v>1150331</v>
      </c>
      <c r="C40" s="5375">
        <v>1285840</v>
      </c>
      <c r="D40" s="5375">
        <v>297200</v>
      </c>
      <c r="E40" s="5375">
        <f>summary!M48</f>
        <v>2596965</v>
      </c>
      <c r="F40" s="5375"/>
      <c r="G40" s="5375"/>
      <c r="H40" s="5378">
        <f t="shared" si="0"/>
        <v>5330336</v>
      </c>
    </row>
    <row r="41" spans="1:8">
      <c r="A41" s="5374" t="s">
        <v>596</v>
      </c>
      <c r="B41" s="5375">
        <v>1030601</v>
      </c>
      <c r="C41" s="5375">
        <v>1380178</v>
      </c>
      <c r="D41" s="5375">
        <v>38500</v>
      </c>
      <c r="E41" s="5375"/>
      <c r="F41" s="5375">
        <f>'lbr 3d'!D65+'lbr 3d'!D66</f>
        <v>3100000</v>
      </c>
      <c r="G41" s="5375"/>
      <c r="H41" s="5378">
        <f t="shared" si="0"/>
        <v>5549279</v>
      </c>
    </row>
    <row r="42" spans="1:8">
      <c r="A42" s="5374" t="s">
        <v>598</v>
      </c>
      <c r="B42" s="5375">
        <v>24993783</v>
      </c>
      <c r="C42" s="5375">
        <v>4620500</v>
      </c>
      <c r="D42" s="5375">
        <v>625170</v>
      </c>
      <c r="E42" s="5375"/>
      <c r="F42" s="5375">
        <f>SUM('lbr 3d'!D67:D87)+'lbr 3d'!D106</f>
        <v>18675000</v>
      </c>
      <c r="G42" s="5375">
        <f>4990500+5000000</f>
        <v>9990500</v>
      </c>
      <c r="H42" s="5378">
        <f t="shared" si="0"/>
        <v>58904953</v>
      </c>
    </row>
    <row r="43" spans="1:8">
      <c r="A43" s="5374" t="s">
        <v>599</v>
      </c>
      <c r="B43" s="5375">
        <v>14274802</v>
      </c>
      <c r="C43" s="5375">
        <v>4350000</v>
      </c>
      <c r="D43" s="5375">
        <v>90000</v>
      </c>
      <c r="E43" s="5375">
        <f>summary!M51</f>
        <v>15800000</v>
      </c>
      <c r="F43" s="5375"/>
      <c r="G43" s="5375">
        <f>579587.63+2200000+200000+500000</f>
        <v>3479587.63</v>
      </c>
      <c r="H43" s="5378">
        <f t="shared" si="0"/>
        <v>37994389.630000003</v>
      </c>
    </row>
    <row r="44" spans="1:8">
      <c r="A44" s="5374" t="s">
        <v>600</v>
      </c>
      <c r="B44" s="5375">
        <v>37321476</v>
      </c>
      <c r="C44" s="5375">
        <v>23976185</v>
      </c>
      <c r="D44" s="5375">
        <v>650000</v>
      </c>
      <c r="E44" s="5375"/>
      <c r="F44" s="5375"/>
      <c r="G44" s="5375">
        <f>5000000+5000000+3000000+5000000+3500000+5000000+3000000+3000000+4000000+3000000+3000000+3000000+2000000+2000000+500000+1500000+5000000+4000000+3000000+3000000+3000000+3000000+3000000+3000000+3000000+3000000+3000000+3000000+2500000+2500000+2000000+2000000+3500000+1000000+4500000+2200000+2500000+3200000+2300000+7850000+2200000+2000000+2500000+7400000</f>
        <v>140650000</v>
      </c>
      <c r="H44" s="5378">
        <f t="shared" si="0"/>
        <v>202597661</v>
      </c>
    </row>
    <row r="45" spans="1:8">
      <c r="A45" s="5374" t="s">
        <v>3318</v>
      </c>
      <c r="B45" s="5375">
        <v>20384564</v>
      </c>
      <c r="C45" s="5375">
        <v>6970292</v>
      </c>
      <c r="D45" s="5375">
        <v>175000</v>
      </c>
      <c r="E45" s="5375"/>
      <c r="F45" s="5375"/>
      <c r="G45" s="5375">
        <f>16500000</f>
        <v>16500000</v>
      </c>
      <c r="H45" s="5378">
        <f t="shared" si="0"/>
        <v>44029856</v>
      </c>
    </row>
    <row r="46" spans="1:8">
      <c r="A46" s="5385"/>
      <c r="B46" s="5380" t="s">
        <v>9</v>
      </c>
      <c r="C46" s="5380"/>
      <c r="D46" s="5380" t="s">
        <v>9</v>
      </c>
      <c r="E46" s="5380"/>
      <c r="F46" s="5380"/>
      <c r="G46" s="5380"/>
      <c r="H46" s="5381"/>
    </row>
    <row r="47" spans="1:8" s="5366" customFormat="1">
      <c r="A47" s="5382" t="s">
        <v>485</v>
      </c>
      <c r="B47" s="5367">
        <v>102031938</v>
      </c>
      <c r="C47" s="5367">
        <v>46300115</v>
      </c>
      <c r="D47" s="5367">
        <v>2389870</v>
      </c>
      <c r="E47" s="5367">
        <f>SUM(E38:E45)</f>
        <v>28089340</v>
      </c>
      <c r="F47" s="5367">
        <f>SUM(F38:F46)</f>
        <v>21775000</v>
      </c>
      <c r="G47" s="5367">
        <f>SUM(G38:G46)</f>
        <v>170620087.63</v>
      </c>
      <c r="H47" s="5368">
        <f t="shared" si="0"/>
        <v>371206350.63</v>
      </c>
    </row>
    <row r="48" spans="1:8">
      <c r="A48" s="5386"/>
      <c r="B48" s="5383"/>
      <c r="C48" s="5383"/>
      <c r="D48" s="5383"/>
      <c r="E48" s="5383"/>
      <c r="F48" s="5383"/>
      <c r="G48" s="5383"/>
      <c r="H48" s="5384"/>
    </row>
    <row r="49" spans="1:8">
      <c r="A49" s="5399" t="s">
        <v>9946</v>
      </c>
      <c r="B49" s="5375"/>
      <c r="C49" s="5375"/>
      <c r="D49" s="5375"/>
      <c r="E49" s="5375"/>
      <c r="F49" s="5375"/>
      <c r="G49" s="5375"/>
      <c r="H49" s="5378"/>
    </row>
    <row r="50" spans="1:8">
      <c r="A50" s="5374" t="s">
        <v>255</v>
      </c>
      <c r="B50" s="5375"/>
      <c r="C50" s="5375"/>
      <c r="D50" s="5375"/>
      <c r="E50" s="5375"/>
      <c r="F50" s="5375">
        <f>SUM('nonoff '!K17:K21)</f>
        <v>142447144.05000001</v>
      </c>
      <c r="G50" s="5375">
        <f>23527471+24915800.37</f>
        <v>48443271.370000005</v>
      </c>
      <c r="H50" s="5378">
        <f t="shared" si="0"/>
        <v>190890415.42000002</v>
      </c>
    </row>
    <row r="51" spans="1:8">
      <c r="A51" s="5374" t="s">
        <v>9948</v>
      </c>
      <c r="B51" s="5375"/>
      <c r="C51" s="5375"/>
      <c r="D51" s="5375"/>
      <c r="E51" s="5375"/>
      <c r="F51" s="5375">
        <v>3074181.5</v>
      </c>
      <c r="G51" s="5376"/>
      <c r="H51" s="5378">
        <f t="shared" si="0"/>
        <v>3074181.5</v>
      </c>
    </row>
    <row r="52" spans="1:8">
      <c r="A52" s="5374" t="s">
        <v>9947</v>
      </c>
      <c r="B52" s="5375"/>
      <c r="C52" s="5375"/>
      <c r="D52" s="5375"/>
      <c r="E52" s="5375"/>
      <c r="F52" s="5375">
        <v>2512986</v>
      </c>
      <c r="G52" s="5375"/>
      <c r="H52" s="5378">
        <f t="shared" si="0"/>
        <v>2512986</v>
      </c>
    </row>
    <row r="53" spans="1:8">
      <c r="A53" s="5387" t="s">
        <v>4829</v>
      </c>
      <c r="B53" s="5375"/>
      <c r="C53" s="5375"/>
      <c r="D53" s="5375"/>
      <c r="E53" s="5375"/>
      <c r="F53" s="5375">
        <f>SUM('lbr 3d'!D43:D47)</f>
        <v>3832087.5</v>
      </c>
      <c r="G53" s="5375">
        <v>10000000</v>
      </c>
      <c r="H53" s="5378">
        <f t="shared" si="0"/>
        <v>13832087.5</v>
      </c>
    </row>
    <row r="54" spans="1:8">
      <c r="A54" s="5379"/>
      <c r="B54" s="5380"/>
      <c r="C54" s="5380"/>
      <c r="D54" s="5380"/>
      <c r="E54" s="5380"/>
      <c r="F54" s="5388"/>
      <c r="G54" s="5389"/>
      <c r="H54" s="5381">
        <f t="shared" si="0"/>
        <v>0</v>
      </c>
    </row>
    <row r="55" spans="1:8" s="5366" customFormat="1">
      <c r="A55" s="5382" t="s">
        <v>485</v>
      </c>
      <c r="B55" s="5367"/>
      <c r="C55" s="5367"/>
      <c r="D55" s="5367"/>
      <c r="E55" s="5367"/>
      <c r="F55" s="5367">
        <f>SUM(F50:F54)</f>
        <v>151866399.05000001</v>
      </c>
      <c r="G55" s="5367">
        <f>SUM(G50:G53)</f>
        <v>58443271.370000005</v>
      </c>
      <c r="H55" s="5368">
        <f t="shared" si="0"/>
        <v>210309670.42000002</v>
      </c>
    </row>
    <row r="56" spans="1:8" ht="3.75" customHeight="1">
      <c r="A56" s="5390"/>
      <c r="B56" s="2527"/>
      <c r="C56" s="2527"/>
      <c r="D56" s="2527"/>
      <c r="E56" s="2527"/>
      <c r="F56" s="2527"/>
      <c r="G56" s="2527"/>
      <c r="H56" s="5391">
        <f t="shared" si="0"/>
        <v>0</v>
      </c>
    </row>
    <row r="57" spans="1:8" s="5369" customFormat="1">
      <c r="A57" s="5392" t="s">
        <v>220</v>
      </c>
      <c r="B57" s="5393">
        <v>521356819</v>
      </c>
      <c r="C57" s="5393">
        <v>421333045</v>
      </c>
      <c r="D57" s="5393">
        <v>11517370</v>
      </c>
      <c r="E57" s="5393">
        <f>E47+E36+E18</f>
        <v>143865340</v>
      </c>
      <c r="F57" s="5393">
        <f>SUM(F47+F36+F18+F55)</f>
        <v>306048274.05000001</v>
      </c>
      <c r="G57" s="5393">
        <f>SUM(G47+G36+G18+G55)</f>
        <v>247963359</v>
      </c>
      <c r="H57" s="5394">
        <f>SUM(B57:G57)</f>
        <v>1652084207.05</v>
      </c>
    </row>
    <row r="59" spans="1:8">
      <c r="H59" s="5400"/>
    </row>
    <row r="60" spans="1:8" ht="16.2">
      <c r="A60" s="5401"/>
      <c r="B60" s="15453" t="s">
        <v>9955</v>
      </c>
      <c r="C60" s="15454"/>
      <c r="E60" s="15455" t="s">
        <v>255</v>
      </c>
      <c r="F60" s="15453"/>
      <c r="G60" s="5411"/>
    </row>
    <row r="61" spans="1:8">
      <c r="A61" s="5402"/>
      <c r="B61" s="5403"/>
      <c r="C61" s="5404"/>
      <c r="E61" s="5412" t="s">
        <v>4980</v>
      </c>
      <c r="F61" s="5406"/>
      <c r="G61" s="5413">
        <v>247963359</v>
      </c>
    </row>
    <row r="62" spans="1:8">
      <c r="A62" s="5405" t="s">
        <v>9951</v>
      </c>
      <c r="B62" s="5406"/>
      <c r="C62" s="5407">
        <f>H18/H57</f>
        <v>0.35729110143484077</v>
      </c>
      <c r="D62" s="889"/>
      <c r="E62" s="5412" t="s">
        <v>3045</v>
      </c>
      <c r="F62" s="5406"/>
      <c r="G62" s="5413">
        <v>73204273.5</v>
      </c>
    </row>
    <row r="63" spans="1:8">
      <c r="A63" s="5405" t="s">
        <v>9952</v>
      </c>
      <c r="B63" s="5406"/>
      <c r="C63" s="5407">
        <f>H36/H57</f>
        <v>0.29071956377915065</v>
      </c>
      <c r="E63" s="5412" t="s">
        <v>256</v>
      </c>
      <c r="F63" s="5406"/>
      <c r="G63" s="5413">
        <v>11090000</v>
      </c>
    </row>
    <row r="64" spans="1:8" ht="16.2">
      <c r="A64" s="5405" t="s">
        <v>9953</v>
      </c>
      <c r="B64" s="5406"/>
      <c r="C64" s="5407">
        <f>H47/H57</f>
        <v>0.22468972770633447</v>
      </c>
      <c r="E64" s="5412" t="s">
        <v>257</v>
      </c>
      <c r="F64" s="5406"/>
      <c r="G64" s="5414">
        <v>979882</v>
      </c>
    </row>
    <row r="65" spans="1:7">
      <c r="A65" s="5408" t="s">
        <v>9954</v>
      </c>
      <c r="B65" s="5409"/>
      <c r="C65" s="5410">
        <f>H55/H57</f>
        <v>0.12729960707967414</v>
      </c>
      <c r="E65" s="5415" t="s">
        <v>220</v>
      </c>
      <c r="F65" s="5409"/>
      <c r="G65" s="5416">
        <f>SUM(G61:G64)</f>
        <v>333237514.5</v>
      </c>
    </row>
  </sheetData>
  <mergeCells count="3">
    <mergeCell ref="A1:H1"/>
    <mergeCell ref="B60:C60"/>
    <mergeCell ref="E60:F60"/>
  </mergeCells>
  <printOptions horizontalCentered="1"/>
  <pageMargins left="0" right="0" top="0.25" bottom="0" header="0.3" footer="0.3"/>
  <pageSetup paperSize="136" scale="90" orientation="portrait" verticalDpi="300" r:id="rId1"/>
</worksheet>
</file>

<file path=xl/worksheets/sheet195.xml><?xml version="1.0" encoding="utf-8"?>
<worksheet xmlns="http://schemas.openxmlformats.org/spreadsheetml/2006/main" xmlns:r="http://schemas.openxmlformats.org/officeDocument/2006/relationships">
  <sheetPr codeName="Sheet200">
    <tabColor rgb="FF0000FF"/>
  </sheetPr>
  <dimension ref="A1:AB60"/>
  <sheetViews>
    <sheetView workbookViewId="0">
      <pane xSplit="1" ySplit="4" topLeftCell="B41" activePane="bottomRight" state="frozen"/>
      <selection activeCell="A66" sqref="A66"/>
      <selection pane="topRight" activeCell="A66" sqref="A66"/>
      <selection pane="bottomLeft" activeCell="A66" sqref="A66"/>
      <selection pane="bottomRight" activeCell="Z56" sqref="Z56"/>
    </sheetView>
  </sheetViews>
  <sheetFormatPr defaultColWidth="9.109375" defaultRowHeight="13.8"/>
  <cols>
    <col min="1" max="1" width="12.44140625" style="5422" customWidth="1"/>
    <col min="2" max="2" width="14.109375" style="5422" customWidth="1"/>
    <col min="3" max="3" width="13.44140625" style="5422" hidden="1" customWidth="1"/>
    <col min="4" max="4" width="13.109375" style="5422" customWidth="1"/>
    <col min="5" max="5" width="11.44140625" style="5422" hidden="1" customWidth="1"/>
    <col min="6" max="6" width="13.44140625" style="5422" customWidth="1"/>
    <col min="7" max="7" width="12.109375" style="5422" customWidth="1"/>
    <col min="8" max="8" width="12.44140625" style="5422" customWidth="1"/>
    <col min="9" max="12" width="13" style="5422" customWidth="1"/>
    <col min="13" max="14" width="13.109375" style="5422" customWidth="1"/>
    <col min="15" max="15" width="12.33203125" style="5422" customWidth="1"/>
    <col min="16" max="16" width="12.88671875" style="5422" hidden="1" customWidth="1"/>
    <col min="17" max="17" width="0.6640625" style="5422" hidden="1" customWidth="1"/>
    <col min="18" max="18" width="12.44140625" style="5422" customWidth="1"/>
    <col min="19" max="19" width="14" style="5422" customWidth="1"/>
    <col min="20" max="20" width="12.109375" style="5422" customWidth="1"/>
    <col min="21" max="21" width="14" style="5422" customWidth="1"/>
    <col min="22" max="22" width="13.109375" style="5422" customWidth="1"/>
    <col min="23" max="25" width="12.109375" style="5422" customWidth="1"/>
    <col min="26" max="26" width="13.44140625" style="5422" customWidth="1"/>
    <col min="27" max="27" width="14.44140625" style="5422" customWidth="1"/>
    <col min="28" max="28" width="12.44140625" style="5422" customWidth="1"/>
    <col min="29" max="16384" width="9.109375" style="5422"/>
  </cols>
  <sheetData>
    <row r="1" spans="1:28" ht="9" customHeight="1">
      <c r="A1" s="5422" t="s">
        <v>9</v>
      </c>
      <c r="AB1" s="5422" t="s">
        <v>9</v>
      </c>
    </row>
    <row r="2" spans="1:28">
      <c r="A2" s="10192">
        <v>2017</v>
      </c>
      <c r="B2" s="5423" t="s">
        <v>9632</v>
      </c>
    </row>
    <row r="3" spans="1:28" ht="14.4" thickBot="1">
      <c r="A3" s="5424" t="s">
        <v>638</v>
      </c>
      <c r="B3" s="5424" t="s">
        <v>639</v>
      </c>
      <c r="C3" s="5424" t="s">
        <v>10216</v>
      </c>
      <c r="D3" s="5424" t="s">
        <v>10217</v>
      </c>
      <c r="E3" s="5424" t="s">
        <v>10223</v>
      </c>
      <c r="F3" s="5424" t="s">
        <v>641</v>
      </c>
      <c r="G3" s="5424" t="s">
        <v>643</v>
      </c>
      <c r="H3" s="5424" t="s">
        <v>644</v>
      </c>
      <c r="I3" s="5424" t="s">
        <v>645</v>
      </c>
      <c r="J3" s="5424" t="s">
        <v>648</v>
      </c>
      <c r="K3" s="5424" t="s">
        <v>11465</v>
      </c>
      <c r="L3" s="5424" t="s">
        <v>646</v>
      </c>
      <c r="M3" s="5424" t="s">
        <v>11457</v>
      </c>
      <c r="N3" s="5424" t="s">
        <v>649</v>
      </c>
      <c r="O3" s="5424" t="s">
        <v>11458</v>
      </c>
      <c r="P3" s="5424" t="s">
        <v>647</v>
      </c>
      <c r="Q3" s="5424" t="s">
        <v>673</v>
      </c>
      <c r="R3" s="5424" t="s">
        <v>650</v>
      </c>
      <c r="S3" s="5424" t="s">
        <v>10503</v>
      </c>
      <c r="T3" s="5424" t="s">
        <v>651</v>
      </c>
      <c r="U3" s="5424" t="s">
        <v>652</v>
      </c>
      <c r="V3" s="5424" t="s">
        <v>653</v>
      </c>
      <c r="W3" s="5424" t="s">
        <v>654</v>
      </c>
      <c r="X3" s="5424" t="s">
        <v>655</v>
      </c>
      <c r="Y3" s="5424" t="s">
        <v>656</v>
      </c>
      <c r="Z3" s="5424" t="s">
        <v>3329</v>
      </c>
      <c r="AA3" s="5424" t="s">
        <v>661</v>
      </c>
      <c r="AB3" s="5424" t="s">
        <v>638</v>
      </c>
    </row>
    <row r="4" spans="1:28" s="5428" customFormat="1" ht="13.5" customHeight="1" thickTop="1" thickBot="1">
      <c r="A4" s="5425"/>
      <c r="B4" s="5426"/>
      <c r="C4" s="5426"/>
      <c r="D4" s="5426"/>
      <c r="E4" s="5426"/>
      <c r="F4" s="5426"/>
      <c r="G4" s="5426"/>
      <c r="H4" s="5426"/>
      <c r="I4" s="5426"/>
      <c r="J4" s="5426"/>
      <c r="K4" s="5426"/>
      <c r="L4" s="5426"/>
      <c r="M4" s="5426"/>
      <c r="N4" s="5426"/>
      <c r="O4" s="5426"/>
      <c r="P4" s="5426"/>
      <c r="Q4" s="5426"/>
      <c r="R4" s="5426"/>
      <c r="S4" s="5426" t="s">
        <v>11455</v>
      </c>
      <c r="T4" s="5426"/>
      <c r="U4" s="5426"/>
      <c r="V4" s="5426"/>
      <c r="W4" s="5426"/>
      <c r="X4" s="5426"/>
      <c r="Y4" s="5426"/>
      <c r="Z4" s="5426"/>
      <c r="AA4" s="5427"/>
      <c r="AB4" s="5425"/>
    </row>
    <row r="5" spans="1:28" ht="3.75" customHeight="1">
      <c r="A5" s="5429"/>
      <c r="B5" s="5430"/>
      <c r="C5" s="5430"/>
      <c r="D5" s="5430"/>
      <c r="E5" s="5682"/>
      <c r="F5" s="5430"/>
      <c r="G5" s="5430"/>
      <c r="H5" s="5430"/>
      <c r="I5" s="5430"/>
      <c r="J5" s="5430"/>
      <c r="K5" s="8568"/>
      <c r="L5" s="5430"/>
      <c r="M5" s="5665"/>
      <c r="N5" s="5665"/>
      <c r="O5" s="5430"/>
      <c r="P5" s="5430"/>
      <c r="Q5" s="5665"/>
      <c r="R5" s="5665"/>
      <c r="S5" s="5665"/>
      <c r="T5" s="5430"/>
      <c r="U5" s="5430"/>
      <c r="V5" s="5430"/>
      <c r="W5" s="5430"/>
      <c r="X5" s="5430"/>
      <c r="Y5" s="5430"/>
      <c r="Z5" s="5431"/>
      <c r="AA5" s="5432"/>
      <c r="AB5" s="5429"/>
    </row>
    <row r="6" spans="1:28" s="5669" customFormat="1">
      <c r="A6" s="5668" t="s">
        <v>568</v>
      </c>
      <c r="B6" s="8542">
        <v>7557785.3399999999</v>
      </c>
      <c r="C6" s="5671"/>
      <c r="D6" s="5671">
        <v>6510522.5599999996</v>
      </c>
      <c r="E6" s="5671"/>
      <c r="F6" s="5671">
        <v>2470579.39</v>
      </c>
      <c r="G6" s="5671">
        <v>132000</v>
      </c>
      <c r="H6" s="5671"/>
      <c r="I6" s="5671">
        <v>505000</v>
      </c>
      <c r="J6" s="5671"/>
      <c r="K6" s="5671"/>
      <c r="L6" s="5671">
        <v>510000</v>
      </c>
      <c r="M6" s="5671"/>
      <c r="N6" s="5678"/>
      <c r="O6" s="5671">
        <v>15000</v>
      </c>
      <c r="P6" s="5671"/>
      <c r="Q6" s="5671"/>
      <c r="R6" s="5671">
        <v>458615.53</v>
      </c>
      <c r="S6" s="5671">
        <v>2173352.2999999998</v>
      </c>
      <c r="T6" s="5671">
        <v>504000</v>
      </c>
      <c r="U6" s="5671"/>
      <c r="V6" s="5671">
        <v>1668220.96</v>
      </c>
      <c r="W6" s="5671">
        <v>122572.54</v>
      </c>
      <c r="X6" s="5671">
        <v>146650</v>
      </c>
      <c r="Y6" s="5671">
        <v>94348.36</v>
      </c>
      <c r="Z6" s="5671">
        <v>3193750</v>
      </c>
      <c r="AA6" s="5672">
        <f t="shared" ref="AA6:AA21" si="0">SUM(B6:Z6)</f>
        <v>26062396.98</v>
      </c>
      <c r="AB6" s="5668" t="s">
        <v>568</v>
      </c>
    </row>
    <row r="7" spans="1:28" s="5669" customFormat="1">
      <c r="A7" s="5668" t="s">
        <v>9134</v>
      </c>
      <c r="B7" s="5671">
        <v>8288054.8399999999</v>
      </c>
      <c r="C7" s="5671"/>
      <c r="D7" s="5671">
        <v>509162</v>
      </c>
      <c r="E7" s="5671"/>
      <c r="F7" s="5671">
        <v>1326653.55</v>
      </c>
      <c r="G7" s="5671">
        <v>34000</v>
      </c>
      <c r="H7" s="5671"/>
      <c r="I7" s="5671">
        <v>265000</v>
      </c>
      <c r="J7" s="5671"/>
      <c r="K7" s="5671"/>
      <c r="L7" s="5671">
        <v>325000</v>
      </c>
      <c r="M7" s="5671">
        <v>374000</v>
      </c>
      <c r="N7" s="5678"/>
      <c r="O7" s="5671">
        <v>35000</v>
      </c>
      <c r="P7" s="5671"/>
      <c r="Q7" s="5671"/>
      <c r="R7" s="5671">
        <v>222296.61</v>
      </c>
      <c r="S7" s="5671">
        <v>1318664</v>
      </c>
      <c r="T7" s="5671">
        <v>285000</v>
      </c>
      <c r="U7" s="5671"/>
      <c r="V7" s="5671">
        <v>1045345.08</v>
      </c>
      <c r="W7" s="5671">
        <v>66000</v>
      </c>
      <c r="X7" s="5671">
        <v>102162.5</v>
      </c>
      <c r="Y7" s="5671">
        <v>63659.46</v>
      </c>
      <c r="Z7" s="5679">
        <v>1250000</v>
      </c>
      <c r="AA7" s="5672">
        <f t="shared" si="0"/>
        <v>15509998.040000001</v>
      </c>
      <c r="AB7" s="5668" t="s">
        <v>9134</v>
      </c>
    </row>
    <row r="8" spans="1:28">
      <c r="A8" s="5435" t="s">
        <v>1724</v>
      </c>
      <c r="B8" s="5667">
        <v>1739857.48</v>
      </c>
      <c r="C8" s="5667"/>
      <c r="D8" s="5667"/>
      <c r="E8" s="5671"/>
      <c r="F8" s="5667">
        <v>178277.65</v>
      </c>
      <c r="G8" s="5667"/>
      <c r="H8" s="5667"/>
      <c r="I8" s="5667">
        <v>35000</v>
      </c>
      <c r="J8" s="5667"/>
      <c r="K8" s="5667"/>
      <c r="L8" s="5667">
        <v>40000</v>
      </c>
      <c r="M8" s="5667"/>
      <c r="N8" s="5667"/>
      <c r="O8" s="5667"/>
      <c r="P8" s="5667"/>
      <c r="Q8" s="5667"/>
      <c r="R8" s="5667"/>
      <c r="S8" s="5667">
        <v>278250</v>
      </c>
      <c r="T8" s="5667">
        <v>40000</v>
      </c>
      <c r="U8" s="5680"/>
      <c r="V8" s="5667">
        <v>208782.89</v>
      </c>
      <c r="W8" s="5667">
        <v>9000</v>
      </c>
      <c r="X8" s="5667">
        <v>21175</v>
      </c>
      <c r="Y8" s="5667">
        <v>9000</v>
      </c>
      <c r="Z8" s="5681">
        <v>200000</v>
      </c>
      <c r="AA8" s="5434">
        <f t="shared" si="0"/>
        <v>2759343.02</v>
      </c>
      <c r="AB8" s="5435" t="s">
        <v>1724</v>
      </c>
    </row>
    <row r="9" spans="1:28">
      <c r="A9" s="8553" t="s">
        <v>10317</v>
      </c>
      <c r="B9" s="5667">
        <v>1117664.06</v>
      </c>
      <c r="C9" s="5667"/>
      <c r="D9" s="5667"/>
      <c r="E9" s="5671"/>
      <c r="F9" s="5667">
        <v>96000</v>
      </c>
      <c r="G9" s="5667"/>
      <c r="H9" s="5667"/>
      <c r="I9" s="5667">
        <v>20000</v>
      </c>
      <c r="J9" s="5667"/>
      <c r="K9" s="5667"/>
      <c r="L9" s="5667">
        <v>20000</v>
      </c>
      <c r="M9" s="5667"/>
      <c r="N9" s="5667"/>
      <c r="O9" s="5667"/>
      <c r="P9" s="5667"/>
      <c r="Q9" s="5667"/>
      <c r="R9" s="5667"/>
      <c r="S9" s="5667">
        <v>158713</v>
      </c>
      <c r="T9" s="5667">
        <v>20000</v>
      </c>
      <c r="U9" s="5680"/>
      <c r="V9" s="5667">
        <v>134132.19</v>
      </c>
      <c r="W9" s="5667">
        <v>4700</v>
      </c>
      <c r="X9" s="5667">
        <v>12800</v>
      </c>
      <c r="Y9" s="5667">
        <v>4800</v>
      </c>
      <c r="Z9" s="5681">
        <v>100000</v>
      </c>
      <c r="AA9" s="5434">
        <f>SUM(B9:Z9)</f>
        <v>1688809.25</v>
      </c>
      <c r="AB9" s="8553" t="s">
        <v>10317</v>
      </c>
    </row>
    <row r="10" spans="1:28">
      <c r="A10" s="8553" t="s">
        <v>10318</v>
      </c>
      <c r="B10" s="5667">
        <v>333877.90000000002</v>
      </c>
      <c r="C10" s="5667"/>
      <c r="D10" s="5667"/>
      <c r="E10" s="5671"/>
      <c r="F10" s="5667">
        <v>24090.91</v>
      </c>
      <c r="G10" s="5667"/>
      <c r="H10" s="5667"/>
      <c r="I10" s="5667">
        <v>5000</v>
      </c>
      <c r="J10" s="5667"/>
      <c r="K10" s="5667"/>
      <c r="L10" s="5667"/>
      <c r="M10" s="5667"/>
      <c r="N10" s="5667"/>
      <c r="O10" s="5667"/>
      <c r="P10" s="5667"/>
      <c r="Q10" s="5667"/>
      <c r="R10" s="5667"/>
      <c r="S10" s="5667">
        <v>27565</v>
      </c>
      <c r="T10" s="5667"/>
      <c r="U10" s="5680"/>
      <c r="V10" s="5667">
        <v>40065.339999999997</v>
      </c>
      <c r="W10" s="5667">
        <v>1300</v>
      </c>
      <c r="X10" s="5667">
        <v>4200</v>
      </c>
      <c r="Y10" s="5667">
        <v>1211.76</v>
      </c>
      <c r="Z10" s="5681"/>
      <c r="AA10" s="5434">
        <f t="shared" si="0"/>
        <v>437310.91000000003</v>
      </c>
      <c r="AB10" s="8553" t="s">
        <v>10318</v>
      </c>
    </row>
    <row r="11" spans="1:28" ht="12.75" customHeight="1">
      <c r="A11" s="5433" t="s">
        <v>678</v>
      </c>
      <c r="B11" s="5439">
        <v>2067057.75</v>
      </c>
      <c r="C11" s="5667"/>
      <c r="D11" s="5667"/>
      <c r="E11" s="5671"/>
      <c r="F11" s="5439">
        <v>118545.46</v>
      </c>
      <c r="G11" s="5439">
        <v>102000</v>
      </c>
      <c r="H11" s="5439">
        <v>102000</v>
      </c>
      <c r="I11" s="5439">
        <v>25000</v>
      </c>
      <c r="J11" s="5667"/>
      <c r="K11" s="5667"/>
      <c r="L11" s="5439">
        <v>25000</v>
      </c>
      <c r="M11" s="5439"/>
      <c r="N11" s="5439"/>
      <c r="O11" s="5439">
        <v>5000</v>
      </c>
      <c r="P11" s="5439"/>
      <c r="Q11" s="5439"/>
      <c r="R11" s="5666"/>
      <c r="S11" s="5439">
        <v>329045</v>
      </c>
      <c r="T11" s="5439">
        <v>25000</v>
      </c>
      <c r="U11" s="5439"/>
      <c r="V11" s="5439">
        <v>248046.93</v>
      </c>
      <c r="W11" s="5439">
        <v>6000</v>
      </c>
      <c r="X11" s="5439">
        <v>17550</v>
      </c>
      <c r="Y11" s="5439">
        <v>5949.68</v>
      </c>
      <c r="Z11" s="5439">
        <v>125000</v>
      </c>
      <c r="AA11" s="5434">
        <f t="shared" si="0"/>
        <v>3201194.8200000003</v>
      </c>
      <c r="AB11" s="5433" t="s">
        <v>678</v>
      </c>
    </row>
    <row r="12" spans="1:28">
      <c r="A12" s="5433" t="s">
        <v>569</v>
      </c>
      <c r="B12" s="5439">
        <v>23557570.260000002</v>
      </c>
      <c r="C12" s="5667"/>
      <c r="D12" s="5667">
        <v>3568993.11</v>
      </c>
      <c r="E12" s="5667"/>
      <c r="F12" s="5439">
        <v>2072488.37</v>
      </c>
      <c r="G12" s="5439">
        <v>1265550</v>
      </c>
      <c r="H12" s="5439">
        <v>110500</v>
      </c>
      <c r="I12" s="5439">
        <v>440000</v>
      </c>
      <c r="J12" s="5667"/>
      <c r="K12" s="5667"/>
      <c r="L12" s="5439">
        <v>442000</v>
      </c>
      <c r="M12" s="5439"/>
      <c r="N12" s="5666"/>
      <c r="O12" s="5439">
        <v>30000</v>
      </c>
      <c r="P12" s="5439"/>
      <c r="Q12" s="5439"/>
      <c r="R12" s="5439">
        <v>132546.41</v>
      </c>
      <c r="S12" s="5439">
        <v>4431356.4000000004</v>
      </c>
      <c r="T12" s="5439">
        <v>445000</v>
      </c>
      <c r="U12" s="5439"/>
      <c r="V12" s="5439">
        <v>2919805.43</v>
      </c>
      <c r="W12" s="5439">
        <v>99900</v>
      </c>
      <c r="X12" s="5439">
        <v>218087.5</v>
      </c>
      <c r="Y12" s="5439">
        <v>100303.75</v>
      </c>
      <c r="Z12" s="5439">
        <v>2200000</v>
      </c>
      <c r="AA12" s="5434">
        <f>SUM(B12:Z12)</f>
        <v>42034101.230000004</v>
      </c>
      <c r="AB12" s="5433" t="s">
        <v>569</v>
      </c>
    </row>
    <row r="13" spans="1:28">
      <c r="A13" s="5433" t="s">
        <v>570</v>
      </c>
      <c r="B13" s="5439">
        <v>4879060.53</v>
      </c>
      <c r="C13" s="5667"/>
      <c r="D13" s="5667"/>
      <c r="E13" s="5667"/>
      <c r="F13" s="5439">
        <v>446479.18</v>
      </c>
      <c r="G13" s="5439">
        <v>99875</v>
      </c>
      <c r="H13" s="5439">
        <v>99875</v>
      </c>
      <c r="I13" s="5439">
        <v>95000</v>
      </c>
      <c r="J13" s="5667"/>
      <c r="K13" s="5667"/>
      <c r="L13" s="5439">
        <v>95000</v>
      </c>
      <c r="M13" s="5439"/>
      <c r="N13" s="5439"/>
      <c r="O13" s="5439">
        <v>25000</v>
      </c>
      <c r="P13" s="5439"/>
      <c r="Q13" s="5439"/>
      <c r="R13" s="5666"/>
      <c r="S13" s="5439">
        <v>828667</v>
      </c>
      <c r="T13" s="5439">
        <v>95000</v>
      </c>
      <c r="U13" s="5439"/>
      <c r="V13" s="5439">
        <v>585487.25</v>
      </c>
      <c r="W13" s="5439">
        <v>22900</v>
      </c>
      <c r="X13" s="5439">
        <v>51325</v>
      </c>
      <c r="Y13" s="5439">
        <v>22739.66</v>
      </c>
      <c r="Z13" s="5439">
        <v>475000</v>
      </c>
      <c r="AA13" s="5434">
        <f t="shared" si="0"/>
        <v>7821408.6200000001</v>
      </c>
      <c r="AB13" s="5433" t="s">
        <v>570</v>
      </c>
    </row>
    <row r="14" spans="1:28">
      <c r="A14" s="5433" t="s">
        <v>571</v>
      </c>
      <c r="B14" s="5439">
        <v>9234777.3900000006</v>
      </c>
      <c r="C14" s="5667"/>
      <c r="D14" s="5667"/>
      <c r="E14" s="5667"/>
      <c r="F14" s="5439">
        <v>657727.29</v>
      </c>
      <c r="G14" s="5439">
        <v>93500</v>
      </c>
      <c r="H14" s="5439">
        <v>93500</v>
      </c>
      <c r="I14" s="5439">
        <v>130000</v>
      </c>
      <c r="J14" s="5667"/>
      <c r="K14" s="5667"/>
      <c r="L14" s="5439">
        <v>142000</v>
      </c>
      <c r="M14" s="5439"/>
      <c r="N14" s="5439"/>
      <c r="O14" s="5439">
        <v>35000</v>
      </c>
      <c r="P14" s="5439"/>
      <c r="Q14" s="5439"/>
      <c r="R14" s="5666"/>
      <c r="S14" s="5439">
        <v>1458487</v>
      </c>
      <c r="T14" s="5439">
        <v>135000</v>
      </c>
      <c r="U14" s="5439"/>
      <c r="V14" s="5439">
        <v>1108173.28</v>
      </c>
      <c r="W14" s="5439">
        <v>32900</v>
      </c>
      <c r="X14" s="5439">
        <v>87525</v>
      </c>
      <c r="Y14" s="5439">
        <v>32900</v>
      </c>
      <c r="Z14" s="5438">
        <v>675000</v>
      </c>
      <c r="AA14" s="5434">
        <f t="shared" si="0"/>
        <v>13916489.959999999</v>
      </c>
      <c r="AB14" s="5433" t="s">
        <v>571</v>
      </c>
    </row>
    <row r="15" spans="1:28">
      <c r="A15" s="5433" t="s">
        <v>572</v>
      </c>
      <c r="B15" s="5439">
        <v>12955423.48</v>
      </c>
      <c r="C15" s="5667"/>
      <c r="D15" s="5667"/>
      <c r="E15" s="5667"/>
      <c r="F15" s="5439">
        <v>1613577.22</v>
      </c>
      <c r="G15" s="5439">
        <v>96625</v>
      </c>
      <c r="H15" s="5439">
        <v>96625</v>
      </c>
      <c r="I15" s="5439">
        <v>345000</v>
      </c>
      <c r="J15" s="5667"/>
      <c r="K15" s="5667"/>
      <c r="L15" s="5439">
        <v>330000</v>
      </c>
      <c r="M15" s="5439"/>
      <c r="N15" s="5666"/>
      <c r="O15" s="5439">
        <v>60000</v>
      </c>
      <c r="P15" s="5439"/>
      <c r="Q15" s="5439"/>
      <c r="R15" s="5439">
        <v>122834.88</v>
      </c>
      <c r="S15" s="5439">
        <v>2123870.5</v>
      </c>
      <c r="T15" s="5439">
        <v>338000</v>
      </c>
      <c r="U15" s="5439"/>
      <c r="V15" s="5439">
        <v>1554650.78</v>
      </c>
      <c r="W15" s="5439">
        <v>81100</v>
      </c>
      <c r="X15" s="5439">
        <v>144226.5</v>
      </c>
      <c r="Y15" s="5439">
        <v>80888.14</v>
      </c>
      <c r="Z15" s="5439">
        <v>1670000</v>
      </c>
      <c r="AA15" s="5434">
        <f t="shared" si="0"/>
        <v>21612821.500000004</v>
      </c>
      <c r="AB15" s="5433" t="s">
        <v>572</v>
      </c>
    </row>
    <row r="16" spans="1:28">
      <c r="A16" s="5433" t="s">
        <v>573</v>
      </c>
      <c r="B16" s="5439">
        <v>5013309.3</v>
      </c>
      <c r="C16" s="5667"/>
      <c r="D16" s="5667"/>
      <c r="E16" s="5667"/>
      <c r="F16" s="5439">
        <v>398000</v>
      </c>
      <c r="G16" s="5439">
        <v>102000</v>
      </c>
      <c r="H16" s="5439">
        <v>102000</v>
      </c>
      <c r="I16" s="5439">
        <v>85000</v>
      </c>
      <c r="J16" s="5667"/>
      <c r="K16" s="5667"/>
      <c r="L16" s="5439">
        <v>85000</v>
      </c>
      <c r="M16" s="5439"/>
      <c r="N16" s="5666"/>
      <c r="O16" s="5439"/>
      <c r="P16" s="5439"/>
      <c r="Q16" s="5439"/>
      <c r="R16" s="5439">
        <v>59893.26</v>
      </c>
      <c r="S16" s="5439">
        <v>836968</v>
      </c>
      <c r="T16" s="5439">
        <v>85000</v>
      </c>
      <c r="U16" s="5439"/>
      <c r="V16" s="5439">
        <v>601597.12</v>
      </c>
      <c r="W16" s="5439">
        <v>19900</v>
      </c>
      <c r="X16" s="5439">
        <v>49650</v>
      </c>
      <c r="Y16" s="5439">
        <v>19899.05</v>
      </c>
      <c r="Z16" s="5439">
        <v>425000</v>
      </c>
      <c r="AA16" s="5434">
        <f t="shared" si="0"/>
        <v>7883216.7299999995</v>
      </c>
      <c r="AB16" s="5433" t="s">
        <v>573</v>
      </c>
    </row>
    <row r="17" spans="1:28">
      <c r="A17" s="5433" t="s">
        <v>574</v>
      </c>
      <c r="B17" s="5439">
        <v>11021579.52</v>
      </c>
      <c r="C17" s="5667"/>
      <c r="D17" s="5667"/>
      <c r="E17" s="5667"/>
      <c r="F17" s="5439">
        <v>1021861.7</v>
      </c>
      <c r="G17" s="5439">
        <v>192000</v>
      </c>
      <c r="H17" s="5439">
        <v>192000</v>
      </c>
      <c r="I17" s="5439">
        <v>215000</v>
      </c>
      <c r="J17" s="5667"/>
      <c r="K17" s="5667"/>
      <c r="L17" s="5439">
        <v>215000</v>
      </c>
      <c r="M17" s="5439"/>
      <c r="N17" s="5666"/>
      <c r="O17" s="5439">
        <v>55000</v>
      </c>
      <c r="P17" s="5439"/>
      <c r="Q17" s="5439"/>
      <c r="R17" s="5439">
        <v>928065.84</v>
      </c>
      <c r="S17" s="5439">
        <v>1821519</v>
      </c>
      <c r="T17" s="5439">
        <v>215000</v>
      </c>
      <c r="U17" s="5439"/>
      <c r="V17" s="5439">
        <v>1322589.53</v>
      </c>
      <c r="W17" s="5439">
        <v>51300</v>
      </c>
      <c r="X17" s="5439">
        <v>114550</v>
      </c>
      <c r="Y17" s="5439">
        <v>51234.19</v>
      </c>
      <c r="Z17" s="5439">
        <v>1025000</v>
      </c>
      <c r="AA17" s="5434">
        <f t="shared" si="0"/>
        <v>18441699.780000001</v>
      </c>
      <c r="AB17" s="5433" t="s">
        <v>574</v>
      </c>
    </row>
    <row r="18" spans="1:28">
      <c r="A18" s="5433" t="s">
        <v>575</v>
      </c>
      <c r="B18" s="5439">
        <v>10961639.529999999</v>
      </c>
      <c r="C18" s="5667"/>
      <c r="D18" s="5667"/>
      <c r="E18" s="5667"/>
      <c r="F18" s="5439">
        <v>1107361.93</v>
      </c>
      <c r="G18" s="5439">
        <v>192000</v>
      </c>
      <c r="H18" s="5439">
        <v>192000</v>
      </c>
      <c r="I18" s="5439">
        <v>235000</v>
      </c>
      <c r="J18" s="5439"/>
      <c r="K18" s="5439"/>
      <c r="L18" s="5439">
        <v>235000</v>
      </c>
      <c r="M18" s="5439"/>
      <c r="N18" s="5439"/>
      <c r="O18" s="5439">
        <v>105000</v>
      </c>
      <c r="P18" s="5439"/>
      <c r="Q18" s="5439"/>
      <c r="R18" s="5439"/>
      <c r="S18" s="5439">
        <v>1821353</v>
      </c>
      <c r="T18" s="5439">
        <v>232000</v>
      </c>
      <c r="U18" s="5439"/>
      <c r="V18" s="5439">
        <v>1315396.74</v>
      </c>
      <c r="W18" s="5439">
        <v>55800</v>
      </c>
      <c r="X18" s="5439">
        <v>114287.5</v>
      </c>
      <c r="Y18" s="5439">
        <v>55492.83</v>
      </c>
      <c r="Z18" s="5439">
        <v>1160000</v>
      </c>
      <c r="AA18" s="5434">
        <f>SUM(B18:Z18)</f>
        <v>17782331.530000001</v>
      </c>
      <c r="AB18" s="5433" t="s">
        <v>575</v>
      </c>
    </row>
    <row r="19" spans="1:28">
      <c r="A19" s="5433" t="s">
        <v>576</v>
      </c>
      <c r="B19" s="5439">
        <v>7749445.5700000003</v>
      </c>
      <c r="C19" s="5667"/>
      <c r="D19" s="5667"/>
      <c r="E19" s="5667"/>
      <c r="F19" s="5439">
        <v>603570.34</v>
      </c>
      <c r="G19" s="5439">
        <v>192000</v>
      </c>
      <c r="H19" s="5439">
        <v>192000</v>
      </c>
      <c r="I19" s="5439">
        <v>130000</v>
      </c>
      <c r="J19" s="5439"/>
      <c r="K19" s="5439"/>
      <c r="L19" s="5439">
        <v>125000</v>
      </c>
      <c r="M19" s="5439"/>
      <c r="N19" s="5439"/>
      <c r="O19" s="5439">
        <v>20000</v>
      </c>
      <c r="P19" s="5439"/>
      <c r="Q19" s="5439"/>
      <c r="R19" s="5439">
        <v>20308.3</v>
      </c>
      <c r="S19" s="5439">
        <v>1267149</v>
      </c>
      <c r="T19" s="5439">
        <v>125000</v>
      </c>
      <c r="U19" s="5439"/>
      <c r="V19" s="5439">
        <v>929933.47</v>
      </c>
      <c r="W19" s="5439">
        <v>30300</v>
      </c>
      <c r="X19" s="5439">
        <v>72825</v>
      </c>
      <c r="Y19" s="5439">
        <v>30250.61</v>
      </c>
      <c r="Z19" s="5439">
        <v>625000</v>
      </c>
      <c r="AA19" s="5434">
        <f t="shared" si="0"/>
        <v>12112782.290000001</v>
      </c>
      <c r="AB19" s="5433" t="s">
        <v>576</v>
      </c>
    </row>
    <row r="20" spans="1:28">
      <c r="A20" s="5433" t="s">
        <v>577</v>
      </c>
      <c r="B20" s="5439">
        <v>3931943.37</v>
      </c>
      <c r="C20" s="5667"/>
      <c r="D20" s="5667"/>
      <c r="E20" s="5667"/>
      <c r="F20" s="5439">
        <v>379000</v>
      </c>
      <c r="G20" s="5439">
        <v>188250</v>
      </c>
      <c r="H20" s="5439">
        <v>188250</v>
      </c>
      <c r="I20" s="5439">
        <v>80000</v>
      </c>
      <c r="J20" s="5439"/>
      <c r="K20" s="5439"/>
      <c r="L20" s="5439">
        <v>65000</v>
      </c>
      <c r="M20" s="5439"/>
      <c r="N20" s="5439"/>
      <c r="O20" s="5439">
        <v>25000</v>
      </c>
      <c r="P20" s="5439"/>
      <c r="Q20" s="5439"/>
      <c r="R20" s="5439"/>
      <c r="S20" s="5439">
        <v>789411</v>
      </c>
      <c r="T20" s="5439">
        <v>75000</v>
      </c>
      <c r="U20" s="5439"/>
      <c r="V20" s="5439">
        <v>471833.2</v>
      </c>
      <c r="W20" s="5439">
        <v>19050</v>
      </c>
      <c r="X20" s="5439">
        <v>35637.5</v>
      </c>
      <c r="Y20" s="5439">
        <v>18900</v>
      </c>
      <c r="Z20" s="5439">
        <v>375000</v>
      </c>
      <c r="AA20" s="5434">
        <f t="shared" si="0"/>
        <v>6642275.0700000003</v>
      </c>
      <c r="AB20" s="5433" t="s">
        <v>577</v>
      </c>
    </row>
    <row r="21" spans="1:28" ht="15" customHeight="1" thickBot="1">
      <c r="A21" s="8566" t="s">
        <v>10327</v>
      </c>
      <c r="B21" s="5441">
        <v>3495691.76</v>
      </c>
      <c r="C21" s="5441"/>
      <c r="D21" s="5442">
        <v>2073241.29</v>
      </c>
      <c r="E21" s="5437"/>
      <c r="F21" s="5441">
        <v>791292.3</v>
      </c>
      <c r="G21" s="5441">
        <v>102000</v>
      </c>
      <c r="H21" s="5441">
        <v>102000</v>
      </c>
      <c r="I21" s="5441">
        <v>185000</v>
      </c>
      <c r="J21" s="5441"/>
      <c r="K21" s="8556"/>
      <c r="L21" s="5441">
        <v>192000</v>
      </c>
      <c r="M21" s="8556"/>
      <c r="N21" s="5441"/>
      <c r="O21" s="5441">
        <v>5000</v>
      </c>
      <c r="P21" s="5441"/>
      <c r="Q21" s="5437"/>
      <c r="R21" s="5441"/>
      <c r="S21" s="8556">
        <v>910469</v>
      </c>
      <c r="T21" s="5441">
        <v>191000</v>
      </c>
      <c r="U21" s="5441"/>
      <c r="V21" s="5441">
        <v>632032.11</v>
      </c>
      <c r="W21" s="5441">
        <v>39425</v>
      </c>
      <c r="X21" s="5441">
        <v>53787.5</v>
      </c>
      <c r="Y21" s="5441">
        <v>32393.56</v>
      </c>
      <c r="Z21" s="5443">
        <v>355000</v>
      </c>
      <c r="AA21" s="5434">
        <f t="shared" si="0"/>
        <v>9160332.5199999996</v>
      </c>
      <c r="AB21" s="8566" t="s">
        <v>10327</v>
      </c>
    </row>
    <row r="22" spans="1:28" ht="15" thickTop="1" thickBot="1">
      <c r="A22" s="5424" t="s">
        <v>485</v>
      </c>
      <c r="B22" s="5444">
        <f>SUM(B6:B21)</f>
        <v>113904738.08</v>
      </c>
      <c r="C22" s="5444">
        <f t="shared" ref="C22:Z22" si="1">SUM(C6:C21)</f>
        <v>0</v>
      </c>
      <c r="D22" s="5444">
        <f t="shared" si="1"/>
        <v>12661918.960000001</v>
      </c>
      <c r="E22" s="5444">
        <f t="shared" si="1"/>
        <v>0</v>
      </c>
      <c r="F22" s="5444">
        <f t="shared" si="1"/>
        <v>13305505.290000001</v>
      </c>
      <c r="G22" s="5444">
        <f t="shared" si="1"/>
        <v>2791800</v>
      </c>
      <c r="H22" s="5444">
        <f t="shared" si="1"/>
        <v>1470750</v>
      </c>
      <c r="I22" s="5444">
        <f t="shared" si="1"/>
        <v>2795000</v>
      </c>
      <c r="J22" s="5444">
        <f t="shared" si="1"/>
        <v>0</v>
      </c>
      <c r="K22" s="5444">
        <f t="shared" si="1"/>
        <v>0</v>
      </c>
      <c r="L22" s="5444">
        <f t="shared" si="1"/>
        <v>2846000</v>
      </c>
      <c r="M22" s="5444">
        <f>SUM(M6:M21)</f>
        <v>374000</v>
      </c>
      <c r="N22" s="5444">
        <f>SUM(N6:N21)</f>
        <v>0</v>
      </c>
      <c r="O22" s="5444">
        <f>SUM(O6:O21)</f>
        <v>415000</v>
      </c>
      <c r="P22" s="5444">
        <f t="shared" si="1"/>
        <v>0</v>
      </c>
      <c r="Q22" s="5444">
        <f t="shared" si="1"/>
        <v>0</v>
      </c>
      <c r="R22" s="5444">
        <f>SUM(R6:R21)</f>
        <v>1944560.83</v>
      </c>
      <c r="S22" s="5444">
        <f t="shared" si="1"/>
        <v>20574839.199999999</v>
      </c>
      <c r="T22" s="5444">
        <f t="shared" si="1"/>
        <v>2810000</v>
      </c>
      <c r="U22" s="5444">
        <f t="shared" si="1"/>
        <v>0</v>
      </c>
      <c r="V22" s="5444">
        <f t="shared" si="1"/>
        <v>14786092.299999999</v>
      </c>
      <c r="W22" s="5444">
        <f t="shared" si="1"/>
        <v>662147.54</v>
      </c>
      <c r="X22" s="5444">
        <f t="shared" si="1"/>
        <v>1246439</v>
      </c>
      <c r="Y22" s="5444">
        <f t="shared" si="1"/>
        <v>623971.05000000005</v>
      </c>
      <c r="Z22" s="5444">
        <f t="shared" si="1"/>
        <v>13853750</v>
      </c>
      <c r="AA22" s="10219">
        <f>SUM(AA6:AA21)</f>
        <v>207066512.25</v>
      </c>
      <c r="AB22" s="5424" t="s">
        <v>485</v>
      </c>
    </row>
    <row r="23" spans="1:28" ht="3" customHeight="1" thickTop="1">
      <c r="A23" s="5433" t="s">
        <v>9</v>
      </c>
      <c r="B23" s="5445"/>
      <c r="C23" s="5445"/>
      <c r="D23" s="5446"/>
      <c r="E23" s="5664"/>
      <c r="F23" s="5445"/>
      <c r="G23" s="5445"/>
      <c r="H23" s="5445"/>
      <c r="I23" s="5445"/>
      <c r="J23" s="5445"/>
      <c r="K23" s="8557"/>
      <c r="L23" s="5445"/>
      <c r="M23" s="8557"/>
      <c r="N23" s="5445"/>
      <c r="O23" s="5445"/>
      <c r="P23" s="5445"/>
      <c r="Q23" s="5664"/>
      <c r="R23" s="5445"/>
      <c r="S23" s="8557"/>
      <c r="T23" s="5445"/>
      <c r="U23" s="5445"/>
      <c r="V23" s="5445"/>
      <c r="W23" s="5445"/>
      <c r="X23" s="5445"/>
      <c r="Y23" s="5445"/>
      <c r="Z23" s="5447"/>
      <c r="AA23" s="5434" t="s">
        <v>9</v>
      </c>
      <c r="AB23" s="5433" t="s">
        <v>9</v>
      </c>
    </row>
    <row r="24" spans="1:28" s="5669" customFormat="1">
      <c r="A24" s="5668" t="s">
        <v>578</v>
      </c>
      <c r="B24" s="5671">
        <v>2848225.89</v>
      </c>
      <c r="C24" s="5671"/>
      <c r="D24" s="5671"/>
      <c r="E24" s="5671"/>
      <c r="F24" s="5671">
        <v>288272.73</v>
      </c>
      <c r="G24" s="5671"/>
      <c r="H24" s="5671"/>
      <c r="I24" s="5671">
        <v>65000</v>
      </c>
      <c r="J24" s="5671"/>
      <c r="K24" s="5671"/>
      <c r="L24" s="5671">
        <v>60000</v>
      </c>
      <c r="M24" s="5671"/>
      <c r="N24" s="5671"/>
      <c r="O24" s="5671"/>
      <c r="P24" s="5671"/>
      <c r="Q24" s="5671"/>
      <c r="R24" s="5671"/>
      <c r="S24" s="5671">
        <v>454029</v>
      </c>
      <c r="T24" s="5671">
        <v>60000</v>
      </c>
      <c r="U24" s="5671"/>
      <c r="V24" s="5671">
        <v>279507.11</v>
      </c>
      <c r="W24" s="5671">
        <v>13500</v>
      </c>
      <c r="X24" s="5671">
        <v>27112.5</v>
      </c>
      <c r="Y24" s="5671">
        <v>13237.5</v>
      </c>
      <c r="Z24" s="5671">
        <v>300000</v>
      </c>
      <c r="AA24" s="5672">
        <f t="shared" ref="AA24:AA37" si="2">SUM(B24:Z24)</f>
        <v>4408884.7300000004</v>
      </c>
      <c r="AB24" s="5668" t="s">
        <v>578</v>
      </c>
    </row>
    <row r="25" spans="1:28">
      <c r="A25" s="5433" t="s">
        <v>579</v>
      </c>
      <c r="B25" s="5439">
        <v>4516462.96</v>
      </c>
      <c r="C25" s="5671"/>
      <c r="D25" s="5671"/>
      <c r="E25" s="5671"/>
      <c r="F25" s="5439">
        <v>615486.64</v>
      </c>
      <c r="G25" s="5439"/>
      <c r="H25" s="5439"/>
      <c r="I25" s="5439">
        <v>115000</v>
      </c>
      <c r="J25" s="5671"/>
      <c r="K25" s="5671"/>
      <c r="L25" s="5439">
        <v>130000</v>
      </c>
      <c r="M25" s="5439"/>
      <c r="N25" s="5439"/>
      <c r="O25" s="5439">
        <v>15000</v>
      </c>
      <c r="P25" s="5439"/>
      <c r="Q25" s="5439"/>
      <c r="R25" s="5439"/>
      <c r="S25" s="5439">
        <v>697769</v>
      </c>
      <c r="T25" s="5439">
        <v>130000</v>
      </c>
      <c r="U25" s="5439"/>
      <c r="V25" s="5439">
        <v>541975.55000000005</v>
      </c>
      <c r="W25" s="5439">
        <v>30800</v>
      </c>
      <c r="X25" s="5439">
        <v>50337.5</v>
      </c>
      <c r="Y25" s="5439">
        <v>30800</v>
      </c>
      <c r="Z25" s="5439">
        <v>650000</v>
      </c>
      <c r="AA25" s="5434">
        <f t="shared" si="2"/>
        <v>7523631.6499999994</v>
      </c>
      <c r="AB25" s="5433" t="s">
        <v>579</v>
      </c>
    </row>
    <row r="26" spans="1:28">
      <c r="A26" s="5433" t="s">
        <v>580</v>
      </c>
      <c r="B26" s="5439"/>
      <c r="C26" s="5671"/>
      <c r="D26" s="5671"/>
      <c r="E26" s="5671"/>
      <c r="F26" s="5439"/>
      <c r="G26" s="5439"/>
      <c r="H26" s="5439"/>
      <c r="I26" s="5439"/>
      <c r="J26" s="5671"/>
      <c r="K26" s="5671"/>
      <c r="L26" s="5439"/>
      <c r="M26" s="5439"/>
      <c r="N26" s="5439"/>
      <c r="O26" s="5439"/>
      <c r="P26" s="5439"/>
      <c r="Q26" s="5439"/>
      <c r="R26" s="5439"/>
      <c r="S26" s="5439"/>
      <c r="T26" s="5439"/>
      <c r="U26" s="5439"/>
      <c r="V26" s="5439"/>
      <c r="W26" s="5439"/>
      <c r="X26" s="5439"/>
      <c r="Y26" s="5439"/>
      <c r="Z26" s="5439"/>
      <c r="AA26" s="5434">
        <f t="shared" si="2"/>
        <v>0</v>
      </c>
      <c r="AB26" s="5433" t="s">
        <v>580</v>
      </c>
    </row>
    <row r="27" spans="1:28">
      <c r="A27" s="5433" t="s">
        <v>581</v>
      </c>
      <c r="B27" s="5439">
        <v>31689522.93</v>
      </c>
      <c r="C27" s="5671"/>
      <c r="D27" s="5671"/>
      <c r="E27" s="5671"/>
      <c r="F27" s="5439">
        <v>2831467</v>
      </c>
      <c r="G27" s="5439">
        <v>308250</v>
      </c>
      <c r="H27" s="5439">
        <v>308250</v>
      </c>
      <c r="I27" s="5439">
        <v>595000</v>
      </c>
      <c r="J27" s="5671">
        <v>1014925.33</v>
      </c>
      <c r="K27" s="5671">
        <v>200460.76</v>
      </c>
      <c r="L27" s="5439">
        <v>582000</v>
      </c>
      <c r="M27" s="5439"/>
      <c r="N27" s="5439">
        <v>7184309.2999999998</v>
      </c>
      <c r="O27" s="5439">
        <v>75000</v>
      </c>
      <c r="P27" s="5439"/>
      <c r="Q27" s="5439"/>
      <c r="R27" s="5439"/>
      <c r="S27" s="5439">
        <v>5294003.5999999996</v>
      </c>
      <c r="T27" s="5439">
        <v>599750</v>
      </c>
      <c r="U27" s="5439"/>
      <c r="V27" s="5439">
        <v>3803171.48</v>
      </c>
      <c r="W27" s="5439">
        <v>142250</v>
      </c>
      <c r="X27" s="5439">
        <v>350937.5</v>
      </c>
      <c r="Y27" s="5439">
        <v>142101.96</v>
      </c>
      <c r="Z27" s="5439">
        <v>2973750</v>
      </c>
      <c r="AA27" s="5434">
        <f t="shared" si="2"/>
        <v>58095149.859999992</v>
      </c>
      <c r="AB27" s="5433" t="s">
        <v>581</v>
      </c>
    </row>
    <row r="28" spans="1:28">
      <c r="A28" s="5433" t="s">
        <v>582</v>
      </c>
      <c r="B28" s="5439">
        <v>21111572.030000001</v>
      </c>
      <c r="C28" s="5671"/>
      <c r="D28" s="5671"/>
      <c r="E28" s="5671"/>
      <c r="F28" s="5439">
        <v>1793822.74</v>
      </c>
      <c r="G28" s="5439">
        <v>67500</v>
      </c>
      <c r="H28" s="5439">
        <v>67500</v>
      </c>
      <c r="I28" s="5439">
        <v>365000</v>
      </c>
      <c r="J28" s="5671">
        <v>823119</v>
      </c>
      <c r="K28" s="5671">
        <v>123650.26</v>
      </c>
      <c r="L28" s="5439">
        <v>359000</v>
      </c>
      <c r="M28" s="5439"/>
      <c r="N28" s="5439">
        <v>4310260.25</v>
      </c>
      <c r="O28" s="5439">
        <v>25000</v>
      </c>
      <c r="P28" s="5439"/>
      <c r="Q28" s="5439"/>
      <c r="R28" s="5439"/>
      <c r="S28" s="5439">
        <v>3455110</v>
      </c>
      <c r="T28" s="5439">
        <v>368000</v>
      </c>
      <c r="U28" s="5439"/>
      <c r="V28" s="5439">
        <v>2533390.37</v>
      </c>
      <c r="W28" s="5439">
        <v>90100</v>
      </c>
      <c r="X28" s="5439">
        <v>224112.5</v>
      </c>
      <c r="Y28" s="5439">
        <v>90073.49</v>
      </c>
      <c r="Z28" s="5439">
        <v>1810000</v>
      </c>
      <c r="AA28" s="5434">
        <f t="shared" si="2"/>
        <v>37617210.640000001</v>
      </c>
      <c r="AB28" s="5433" t="s">
        <v>582</v>
      </c>
    </row>
    <row r="29" spans="1:28">
      <c r="A29" s="5433" t="s">
        <v>583</v>
      </c>
      <c r="B29" s="5439">
        <v>13785466.75</v>
      </c>
      <c r="C29" s="5671"/>
      <c r="D29" s="5671"/>
      <c r="E29" s="5671"/>
      <c r="F29" s="5439">
        <v>1353425.14</v>
      </c>
      <c r="G29" s="5439">
        <v>60000</v>
      </c>
      <c r="H29" s="5439">
        <v>60000</v>
      </c>
      <c r="I29" s="5439">
        <v>282975</v>
      </c>
      <c r="J29" s="5671">
        <v>658650.78</v>
      </c>
      <c r="K29" s="5671">
        <v>97028.28</v>
      </c>
      <c r="L29" s="5439">
        <v>280000</v>
      </c>
      <c r="M29" s="5439"/>
      <c r="N29" s="5439">
        <v>3002973.22</v>
      </c>
      <c r="O29" s="5439">
        <v>75000</v>
      </c>
      <c r="P29" s="5439"/>
      <c r="Q29" s="5439"/>
      <c r="R29" s="5439"/>
      <c r="S29" s="5439">
        <v>2320361.7999999998</v>
      </c>
      <c r="T29" s="5439">
        <v>284000</v>
      </c>
      <c r="U29" s="5439"/>
      <c r="V29" s="5439">
        <v>1654063.04</v>
      </c>
      <c r="W29" s="5439">
        <v>68000</v>
      </c>
      <c r="X29" s="5439">
        <v>150675</v>
      </c>
      <c r="Y29" s="5439">
        <v>67980.789999999994</v>
      </c>
      <c r="Z29" s="5439">
        <v>1400000</v>
      </c>
      <c r="AA29" s="5434">
        <f t="shared" si="2"/>
        <v>25600599.799999997</v>
      </c>
      <c r="AB29" s="5433" t="s">
        <v>583</v>
      </c>
    </row>
    <row r="30" spans="1:28">
      <c r="A30" s="5433" t="s">
        <v>584</v>
      </c>
      <c r="B30" s="5439">
        <v>9733720.6199999992</v>
      </c>
      <c r="C30" s="5671"/>
      <c r="D30" s="5671"/>
      <c r="E30" s="5671"/>
      <c r="F30" s="5439">
        <v>915215.35</v>
      </c>
      <c r="G30" s="5439">
        <v>17500</v>
      </c>
      <c r="H30" s="5439">
        <v>17500</v>
      </c>
      <c r="I30" s="5439">
        <v>195000</v>
      </c>
      <c r="J30" s="5671">
        <v>410925</v>
      </c>
      <c r="K30" s="5671">
        <v>62065.11</v>
      </c>
      <c r="L30" s="5439">
        <v>175000</v>
      </c>
      <c r="M30" s="5439"/>
      <c r="N30" s="5439">
        <v>2021794.59</v>
      </c>
      <c r="O30" s="5439">
        <v>50000</v>
      </c>
      <c r="P30" s="5439"/>
      <c r="Q30" s="5439"/>
      <c r="R30" s="5439"/>
      <c r="S30" s="5439">
        <v>1653366.8</v>
      </c>
      <c r="T30" s="5439">
        <v>193250</v>
      </c>
      <c r="U30" s="5439"/>
      <c r="V30" s="5439">
        <v>1168316.08</v>
      </c>
      <c r="W30" s="5439">
        <v>45900</v>
      </c>
      <c r="X30" s="5439">
        <v>104475</v>
      </c>
      <c r="Y30" s="5439">
        <v>45744.81</v>
      </c>
      <c r="Z30" s="5439">
        <v>981250</v>
      </c>
      <c r="AA30" s="5434">
        <f t="shared" si="2"/>
        <v>17791023.359999999</v>
      </c>
      <c r="AB30" s="5433" t="s">
        <v>584</v>
      </c>
    </row>
    <row r="31" spans="1:28">
      <c r="A31" s="5433" t="s">
        <v>585</v>
      </c>
      <c r="B31" s="5439">
        <v>8934962.7599999998</v>
      </c>
      <c r="C31" s="5671"/>
      <c r="D31" s="5671"/>
      <c r="E31" s="5671"/>
      <c r="F31" s="5439">
        <v>907167.36</v>
      </c>
      <c r="G31" s="5439">
        <v>39500</v>
      </c>
      <c r="H31" s="5439">
        <v>37500</v>
      </c>
      <c r="I31" s="5439">
        <v>195000</v>
      </c>
      <c r="J31" s="5671">
        <v>408025</v>
      </c>
      <c r="K31" s="5671">
        <v>62539.76</v>
      </c>
      <c r="L31" s="5439">
        <v>200000</v>
      </c>
      <c r="M31" s="5439"/>
      <c r="N31" s="5439">
        <v>1983617.68</v>
      </c>
      <c r="O31" s="5439">
        <v>15000</v>
      </c>
      <c r="P31" s="5439"/>
      <c r="Q31" s="5439"/>
      <c r="R31" s="5439"/>
      <c r="S31" s="5439">
        <v>1494471</v>
      </c>
      <c r="T31" s="5439">
        <v>200000</v>
      </c>
      <c r="U31" s="5439"/>
      <c r="V31" s="5439">
        <v>1072195.54</v>
      </c>
      <c r="W31" s="5439">
        <v>45500</v>
      </c>
      <c r="X31" s="5439">
        <v>100662.5</v>
      </c>
      <c r="Y31" s="5439">
        <v>45492.7</v>
      </c>
      <c r="Z31" s="5439">
        <v>1000000</v>
      </c>
      <c r="AA31" s="5434">
        <f t="shared" si="2"/>
        <v>16741634.299999997</v>
      </c>
      <c r="AB31" s="5433" t="s">
        <v>585</v>
      </c>
    </row>
    <row r="32" spans="1:28">
      <c r="A32" s="5433" t="s">
        <v>664</v>
      </c>
      <c r="B32" s="5439">
        <v>8363824.71</v>
      </c>
      <c r="C32" s="5671"/>
      <c r="D32" s="5671"/>
      <c r="E32" s="5671"/>
      <c r="F32" s="5439">
        <v>652000</v>
      </c>
      <c r="G32" s="5439">
        <v>60000</v>
      </c>
      <c r="H32" s="5439">
        <v>60000</v>
      </c>
      <c r="I32" s="5439">
        <v>140000</v>
      </c>
      <c r="J32" s="5671">
        <v>299900</v>
      </c>
      <c r="K32" s="5671">
        <v>45508.98</v>
      </c>
      <c r="L32" s="5439">
        <v>137500</v>
      </c>
      <c r="M32" s="5439"/>
      <c r="N32" s="5439">
        <v>1696799.54</v>
      </c>
      <c r="O32" s="5439">
        <v>35000</v>
      </c>
      <c r="P32" s="5439"/>
      <c r="Q32" s="5439"/>
      <c r="R32" s="5439"/>
      <c r="S32" s="5439">
        <v>1389191.9</v>
      </c>
      <c r="T32" s="5439">
        <v>140000</v>
      </c>
      <c r="U32" s="5439"/>
      <c r="V32" s="5439">
        <v>1003658.95</v>
      </c>
      <c r="W32" s="5439">
        <v>32400</v>
      </c>
      <c r="X32" s="5439">
        <v>86300</v>
      </c>
      <c r="Y32" s="5439">
        <v>32590.52</v>
      </c>
      <c r="Z32" s="5439">
        <v>693750</v>
      </c>
      <c r="AA32" s="5434">
        <f t="shared" si="2"/>
        <v>14868424.6</v>
      </c>
      <c r="AB32" s="5433" t="s">
        <v>664</v>
      </c>
    </row>
    <row r="33" spans="1:28">
      <c r="A33" s="5433" t="s">
        <v>587</v>
      </c>
      <c r="B33" s="5439">
        <v>3586428</v>
      </c>
      <c r="C33" s="5671"/>
      <c r="D33" s="5671"/>
      <c r="E33" s="5671"/>
      <c r="F33" s="5439">
        <v>336000</v>
      </c>
      <c r="G33" s="5439"/>
      <c r="H33" s="5439"/>
      <c r="I33" s="5439">
        <v>65000</v>
      </c>
      <c r="J33" s="5671">
        <v>158600</v>
      </c>
      <c r="K33" s="5671">
        <v>23512.46</v>
      </c>
      <c r="L33" s="5439">
        <v>70000</v>
      </c>
      <c r="M33" s="5439"/>
      <c r="N33" s="5439">
        <v>746740.89</v>
      </c>
      <c r="O33" s="5439">
        <v>5000</v>
      </c>
      <c r="P33" s="5439"/>
      <c r="Q33" s="5439"/>
      <c r="R33" s="5439"/>
      <c r="S33" s="5439">
        <v>585901</v>
      </c>
      <c r="T33" s="5439">
        <v>70000</v>
      </c>
      <c r="U33" s="5439"/>
      <c r="V33" s="5439">
        <v>430376.02</v>
      </c>
      <c r="W33" s="5439">
        <v>16800</v>
      </c>
      <c r="X33" s="5439">
        <v>38525</v>
      </c>
      <c r="Y33" s="5439">
        <v>16797.689999999999</v>
      </c>
      <c r="Z33" s="5439">
        <v>350000</v>
      </c>
      <c r="AA33" s="5434">
        <f t="shared" si="2"/>
        <v>6499681.0599999996</v>
      </c>
      <c r="AB33" s="5433" t="s">
        <v>587</v>
      </c>
    </row>
    <row r="34" spans="1:28">
      <c r="A34" s="5433" t="s">
        <v>665</v>
      </c>
      <c r="B34" s="5439">
        <v>3521883.63</v>
      </c>
      <c r="C34" s="5671"/>
      <c r="D34" s="5671"/>
      <c r="E34" s="5671"/>
      <c r="F34" s="5439">
        <v>312000</v>
      </c>
      <c r="G34" s="5439"/>
      <c r="H34" s="5439"/>
      <c r="I34" s="5439">
        <v>70000</v>
      </c>
      <c r="J34" s="5671">
        <v>143625</v>
      </c>
      <c r="K34" s="5671">
        <v>22407.53</v>
      </c>
      <c r="L34" s="5439">
        <v>65000</v>
      </c>
      <c r="M34" s="5439"/>
      <c r="N34" s="5439">
        <v>703244.88</v>
      </c>
      <c r="O34" s="5439">
        <v>30000</v>
      </c>
      <c r="P34" s="5439"/>
      <c r="Q34" s="5439"/>
      <c r="R34" s="5439"/>
      <c r="S34" s="5439">
        <v>587495</v>
      </c>
      <c r="T34" s="5439">
        <v>65000</v>
      </c>
      <c r="U34" s="5439"/>
      <c r="V34" s="5439">
        <v>429625.94</v>
      </c>
      <c r="W34" s="5439">
        <v>15600</v>
      </c>
      <c r="X34" s="5439">
        <v>36425</v>
      </c>
      <c r="Y34" s="5439">
        <v>15596.6</v>
      </c>
      <c r="Z34" s="5439">
        <v>325000</v>
      </c>
      <c r="AA34" s="5434">
        <f t="shared" si="2"/>
        <v>6342903.5800000001</v>
      </c>
      <c r="AB34" s="5433" t="s">
        <v>665</v>
      </c>
    </row>
    <row r="35" spans="1:28">
      <c r="A35" s="5433" t="s">
        <v>666</v>
      </c>
      <c r="B35" s="5439">
        <v>3636841.48</v>
      </c>
      <c r="C35" s="5671"/>
      <c r="D35" s="5671"/>
      <c r="E35" s="5671"/>
      <c r="F35" s="5439">
        <v>335638.09</v>
      </c>
      <c r="G35" s="5439"/>
      <c r="H35" s="5439"/>
      <c r="I35" s="5439">
        <v>55000</v>
      </c>
      <c r="J35" s="5671">
        <v>151806.5</v>
      </c>
      <c r="K35" s="5671">
        <v>23955.62</v>
      </c>
      <c r="L35" s="5439">
        <v>75000</v>
      </c>
      <c r="M35" s="5439"/>
      <c r="N35" s="5439">
        <v>744557.73</v>
      </c>
      <c r="O35" s="5439">
        <v>5000</v>
      </c>
      <c r="P35" s="5439"/>
      <c r="Q35" s="5439"/>
      <c r="R35" s="5439"/>
      <c r="S35" s="5439">
        <v>577427</v>
      </c>
      <c r="T35" s="5439">
        <v>69500</v>
      </c>
      <c r="U35" s="5439"/>
      <c r="V35" s="5439">
        <v>435697.62</v>
      </c>
      <c r="W35" s="5439">
        <v>16700</v>
      </c>
      <c r="X35" s="5439">
        <v>38825</v>
      </c>
      <c r="Y35" s="5439">
        <v>16733.04</v>
      </c>
      <c r="Z35" s="5439">
        <v>376250</v>
      </c>
      <c r="AA35" s="5434">
        <f>SUM(B35:Z35)</f>
        <v>6558932.0800000001</v>
      </c>
      <c r="AB35" s="5433" t="s">
        <v>666</v>
      </c>
    </row>
    <row r="36" spans="1:28">
      <c r="A36" s="5433" t="s">
        <v>667</v>
      </c>
      <c r="B36" s="5439">
        <v>4921385.07</v>
      </c>
      <c r="C36" s="5671"/>
      <c r="D36" s="5671"/>
      <c r="E36" s="5671"/>
      <c r="F36" s="5439">
        <v>441818.44</v>
      </c>
      <c r="G36" s="5439"/>
      <c r="H36" s="5439"/>
      <c r="I36" s="5439">
        <v>95000</v>
      </c>
      <c r="J36" s="5671">
        <v>200775</v>
      </c>
      <c r="K36" s="5671">
        <v>30797.68</v>
      </c>
      <c r="L36" s="5439">
        <v>90000</v>
      </c>
      <c r="M36" s="5439"/>
      <c r="N36" s="5439">
        <v>1035631.83</v>
      </c>
      <c r="O36" s="5439">
        <v>10000</v>
      </c>
      <c r="P36" s="5439"/>
      <c r="Q36" s="5439"/>
      <c r="R36" s="5439"/>
      <c r="S36" s="5439">
        <v>820750.1</v>
      </c>
      <c r="T36" s="5439">
        <v>94500</v>
      </c>
      <c r="U36" s="5439"/>
      <c r="V36" s="5439">
        <v>590069.43999999994</v>
      </c>
      <c r="W36" s="5439">
        <v>22100</v>
      </c>
      <c r="X36" s="5439">
        <v>52337.5</v>
      </c>
      <c r="Y36" s="5439">
        <v>22103.56</v>
      </c>
      <c r="Z36" s="5439">
        <v>450000</v>
      </c>
      <c r="AA36" s="5434">
        <f t="shared" si="2"/>
        <v>8877268.620000001</v>
      </c>
      <c r="AB36" s="5433" t="s">
        <v>667</v>
      </c>
    </row>
    <row r="37" spans="1:28">
      <c r="A37" s="5433" t="s">
        <v>591</v>
      </c>
      <c r="B37" s="5439">
        <v>4344349.04</v>
      </c>
      <c r="C37" s="5671"/>
      <c r="D37" s="5671"/>
      <c r="E37" s="5671"/>
      <c r="F37" s="5439">
        <v>394229.56</v>
      </c>
      <c r="G37" s="5439"/>
      <c r="H37" s="5439"/>
      <c r="I37" s="5439">
        <v>80000</v>
      </c>
      <c r="J37" s="5671">
        <v>192925</v>
      </c>
      <c r="K37" s="5671">
        <v>27920.02</v>
      </c>
      <c r="L37" s="5439">
        <v>75000</v>
      </c>
      <c r="M37" s="5439"/>
      <c r="N37" s="5439">
        <v>892161.2</v>
      </c>
      <c r="O37" s="5439"/>
      <c r="P37" s="5439"/>
      <c r="Q37" s="5439"/>
      <c r="R37" s="5439"/>
      <c r="S37" s="5439">
        <v>710605</v>
      </c>
      <c r="T37" s="5439">
        <v>86000</v>
      </c>
      <c r="U37" s="5439"/>
      <c r="V37" s="5439">
        <v>521243.72</v>
      </c>
      <c r="W37" s="5439">
        <v>19900</v>
      </c>
      <c r="X37" s="5439">
        <v>46825</v>
      </c>
      <c r="Y37" s="5439">
        <v>19804.900000000001</v>
      </c>
      <c r="Z37" s="5439">
        <v>430000</v>
      </c>
      <c r="AA37" s="5434">
        <f t="shared" si="2"/>
        <v>7840963.4399999995</v>
      </c>
      <c r="AB37" s="5433" t="s">
        <v>591</v>
      </c>
    </row>
    <row r="38" spans="1:28">
      <c r="A38" s="5433" t="s">
        <v>592</v>
      </c>
      <c r="B38" s="5439">
        <v>5786749.4400000004</v>
      </c>
      <c r="C38" s="5671"/>
      <c r="D38" s="5671"/>
      <c r="E38" s="5671"/>
      <c r="F38" s="5439">
        <v>587545.47</v>
      </c>
      <c r="G38" s="5439">
        <v>141375</v>
      </c>
      <c r="H38" s="5439">
        <v>141375</v>
      </c>
      <c r="I38" s="5439">
        <v>125000</v>
      </c>
      <c r="J38" s="5671"/>
      <c r="K38" s="5671"/>
      <c r="L38" s="5439">
        <v>115000</v>
      </c>
      <c r="M38" s="5439"/>
      <c r="N38" s="5439">
        <v>635916.31999999995</v>
      </c>
      <c r="O38" s="5439">
        <v>40000</v>
      </c>
      <c r="P38" s="5439"/>
      <c r="Q38" s="5439"/>
      <c r="R38" s="5439"/>
      <c r="S38" s="5439">
        <v>995105.8</v>
      </c>
      <c r="T38" s="5439">
        <v>119000</v>
      </c>
      <c r="U38" s="5439"/>
      <c r="V38" s="5439">
        <v>694409.92</v>
      </c>
      <c r="W38" s="5439">
        <v>29400</v>
      </c>
      <c r="X38" s="5439">
        <v>59575</v>
      </c>
      <c r="Y38" s="5439">
        <v>29398.86</v>
      </c>
      <c r="Z38" s="5439">
        <v>590000</v>
      </c>
      <c r="AA38" s="5434">
        <f>SUM(B38:Z38)</f>
        <v>10089850.810000001</v>
      </c>
      <c r="AB38" s="5433" t="s">
        <v>592</v>
      </c>
    </row>
    <row r="39" spans="1:28" ht="1.5" customHeight="1" thickBot="1">
      <c r="A39" s="5440" t="s">
        <v>9</v>
      </c>
      <c r="B39" s="5445"/>
      <c r="C39" s="5445"/>
      <c r="D39" s="5446"/>
      <c r="E39" s="5664"/>
      <c r="F39" s="5445"/>
      <c r="G39" s="5445"/>
      <c r="H39" s="5445"/>
      <c r="I39" s="5445">
        <v>0</v>
      </c>
      <c r="J39" s="5445"/>
      <c r="K39" s="8557"/>
      <c r="L39" s="5445"/>
      <c r="M39" s="8557"/>
      <c r="N39" s="5445"/>
      <c r="O39" s="5445"/>
      <c r="P39" s="5445"/>
      <c r="Q39" s="5664"/>
      <c r="R39" s="5445"/>
      <c r="S39" s="8557"/>
      <c r="T39" s="5445"/>
      <c r="U39" s="5445"/>
      <c r="V39" s="5445"/>
      <c r="W39" s="5445"/>
      <c r="X39" s="5445"/>
      <c r="Y39" s="5445"/>
      <c r="Z39" s="5447"/>
      <c r="AA39" s="5434" t="s">
        <v>9</v>
      </c>
      <c r="AB39" s="5440" t="s">
        <v>9</v>
      </c>
    </row>
    <row r="40" spans="1:28" ht="15" thickTop="1" thickBot="1">
      <c r="A40" s="5424" t="s">
        <v>485</v>
      </c>
      <c r="B40" s="5444">
        <f t="shared" ref="B40:Y40" si="3">SUM(B24:B38)</f>
        <v>126781395.31000002</v>
      </c>
      <c r="C40" s="5444">
        <f t="shared" si="3"/>
        <v>0</v>
      </c>
      <c r="D40" s="5444">
        <f t="shared" si="3"/>
        <v>0</v>
      </c>
      <c r="E40" s="5444">
        <f t="shared" si="3"/>
        <v>0</v>
      </c>
      <c r="F40" s="5444">
        <f t="shared" si="3"/>
        <v>11764088.52</v>
      </c>
      <c r="G40" s="5444">
        <f t="shared" si="3"/>
        <v>694125</v>
      </c>
      <c r="H40" s="5444">
        <f t="shared" si="3"/>
        <v>692125</v>
      </c>
      <c r="I40" s="5444">
        <f>SUM(I24:I39)</f>
        <v>2442975</v>
      </c>
      <c r="J40" s="5444">
        <f t="shared" si="3"/>
        <v>4463276.6100000003</v>
      </c>
      <c r="K40" s="5444">
        <f t="shared" si="3"/>
        <v>719846.46000000008</v>
      </c>
      <c r="L40" s="5444">
        <f t="shared" si="3"/>
        <v>2413500</v>
      </c>
      <c r="M40" s="5444">
        <f>SUM(M24:M38)</f>
        <v>0</v>
      </c>
      <c r="N40" s="5444">
        <f>SUM(N24:N38)</f>
        <v>24958007.43</v>
      </c>
      <c r="O40" s="5444">
        <f>SUM(O24:O38)</f>
        <v>380000</v>
      </c>
      <c r="P40" s="5444">
        <f t="shared" si="3"/>
        <v>0</v>
      </c>
      <c r="Q40" s="5444">
        <f t="shared" si="3"/>
        <v>0</v>
      </c>
      <c r="R40" s="5444">
        <f>SUM(R24:R38)</f>
        <v>0</v>
      </c>
      <c r="S40" s="5444">
        <f t="shared" si="3"/>
        <v>21035587.000000004</v>
      </c>
      <c r="T40" s="5444">
        <f t="shared" si="3"/>
        <v>2479000</v>
      </c>
      <c r="U40" s="5444">
        <f t="shared" si="3"/>
        <v>0</v>
      </c>
      <c r="V40" s="5444">
        <f t="shared" si="3"/>
        <v>15157700.779999999</v>
      </c>
      <c r="W40" s="5444">
        <f t="shared" si="3"/>
        <v>588950</v>
      </c>
      <c r="X40" s="5444">
        <f t="shared" si="3"/>
        <v>1367125</v>
      </c>
      <c r="Y40" s="5444">
        <f t="shared" si="3"/>
        <v>588456.42000000004</v>
      </c>
      <c r="Z40" s="5444">
        <f>SUM(Z24:Z38)</f>
        <v>12330000</v>
      </c>
      <c r="AA40" s="10219">
        <f>SUM(AA24:AA39)</f>
        <v>228856158.53</v>
      </c>
      <c r="AB40" s="5424" t="s">
        <v>485</v>
      </c>
    </row>
    <row r="41" spans="1:28" ht="2.25" customHeight="1" thickTop="1">
      <c r="A41" s="5433" t="s">
        <v>9</v>
      </c>
      <c r="B41" s="5445"/>
      <c r="C41" s="5445"/>
      <c r="D41" s="5446"/>
      <c r="E41" s="5664"/>
      <c r="F41" s="5445"/>
      <c r="G41" s="5445"/>
      <c r="H41" s="5445"/>
      <c r="I41" s="5445"/>
      <c r="J41" s="5445"/>
      <c r="K41" s="8557"/>
      <c r="L41" s="5445"/>
      <c r="M41" s="8557"/>
      <c r="N41" s="5445"/>
      <c r="O41" s="5445"/>
      <c r="P41" s="5445"/>
      <c r="Q41" s="5664"/>
      <c r="R41" s="5445"/>
      <c r="S41" s="8557"/>
      <c r="T41" s="5445"/>
      <c r="U41" s="5445"/>
      <c r="V41" s="5445"/>
      <c r="W41" s="5445"/>
      <c r="X41" s="5445"/>
      <c r="Y41" s="5445"/>
      <c r="Z41" s="5447"/>
      <c r="AA41" s="5434" t="s">
        <v>9</v>
      </c>
      <c r="AB41" s="5433" t="s">
        <v>9</v>
      </c>
    </row>
    <row r="42" spans="1:28" s="5669" customFormat="1">
      <c r="A42" s="5668" t="s">
        <v>593</v>
      </c>
      <c r="B42" s="5671">
        <v>787581.56</v>
      </c>
      <c r="C42" s="5671"/>
      <c r="D42" s="5671"/>
      <c r="E42" s="5671"/>
      <c r="F42" s="5671">
        <v>119878.45</v>
      </c>
      <c r="G42" s="5671"/>
      <c r="H42" s="5671"/>
      <c r="I42" s="5671">
        <v>20000</v>
      </c>
      <c r="J42" s="5671"/>
      <c r="K42" s="5671"/>
      <c r="L42" s="5671">
        <v>25000</v>
      </c>
      <c r="M42" s="5671"/>
      <c r="N42" s="5671"/>
      <c r="O42" s="5671"/>
      <c r="P42" s="5671"/>
      <c r="Q42" s="5671"/>
      <c r="R42" s="5671"/>
      <c r="S42" s="5671">
        <v>131390</v>
      </c>
      <c r="T42" s="5671">
        <v>25000</v>
      </c>
      <c r="U42" s="5671"/>
      <c r="V42" s="5671">
        <v>94509.79</v>
      </c>
      <c r="W42" s="5671">
        <v>6000</v>
      </c>
      <c r="X42" s="5671">
        <v>9612.5</v>
      </c>
      <c r="Y42" s="5671">
        <v>6000</v>
      </c>
      <c r="Z42" s="5671">
        <v>125000</v>
      </c>
      <c r="AA42" s="5672">
        <f t="shared" ref="AA42:AA49" si="4">SUM(B42:Z42)</f>
        <v>1349972.3</v>
      </c>
      <c r="AB42" s="5668" t="s">
        <v>593</v>
      </c>
    </row>
    <row r="43" spans="1:28" s="5669" customFormat="1">
      <c r="A43" s="5668" t="s">
        <v>594</v>
      </c>
      <c r="B43" s="5671">
        <v>1271061.78</v>
      </c>
      <c r="C43" s="5671"/>
      <c r="D43" s="5671"/>
      <c r="E43" s="5671"/>
      <c r="F43" s="5671">
        <v>119483.27</v>
      </c>
      <c r="G43" s="5671"/>
      <c r="H43" s="5671"/>
      <c r="I43" s="5671">
        <v>25000</v>
      </c>
      <c r="J43" s="5671"/>
      <c r="K43" s="5671"/>
      <c r="L43" s="5671"/>
      <c r="M43" s="5671"/>
      <c r="N43" s="5671"/>
      <c r="O43" s="5671">
        <v>10000</v>
      </c>
      <c r="P43" s="5671"/>
      <c r="Q43" s="5671"/>
      <c r="R43" s="5671"/>
      <c r="S43" s="5671">
        <v>212206</v>
      </c>
      <c r="T43" s="5671">
        <v>25000</v>
      </c>
      <c r="U43" s="5671"/>
      <c r="V43" s="5671">
        <v>152527.44</v>
      </c>
      <c r="W43" s="5671">
        <v>6000</v>
      </c>
      <c r="X43" s="5671">
        <v>12362.5</v>
      </c>
      <c r="Y43" s="5671">
        <v>5994.82</v>
      </c>
      <c r="Z43" s="5671">
        <v>125000</v>
      </c>
      <c r="AA43" s="5672">
        <f t="shared" si="4"/>
        <v>1964635.81</v>
      </c>
      <c r="AB43" s="5668" t="s">
        <v>594</v>
      </c>
    </row>
    <row r="44" spans="1:28" s="5669" customFormat="1">
      <c r="A44" s="5668" t="s">
        <v>595</v>
      </c>
      <c r="B44" s="5671">
        <v>713792.46</v>
      </c>
      <c r="C44" s="5439"/>
      <c r="D44" s="5439"/>
      <c r="E44" s="5439"/>
      <c r="F44" s="5671">
        <v>71559.09</v>
      </c>
      <c r="G44" s="5439"/>
      <c r="H44" s="5439"/>
      <c r="I44" s="5671">
        <v>10000</v>
      </c>
      <c r="J44" s="5439"/>
      <c r="K44" s="5439"/>
      <c r="L44" s="5671">
        <v>15000</v>
      </c>
      <c r="M44" s="5671"/>
      <c r="N44" s="5671"/>
      <c r="O44" s="5671">
        <v>5000</v>
      </c>
      <c r="P44" s="5671"/>
      <c r="Q44" s="5671"/>
      <c r="R44" s="5439"/>
      <c r="S44" s="5671">
        <v>102450</v>
      </c>
      <c r="T44" s="5671">
        <v>15000</v>
      </c>
      <c r="U44" s="5671"/>
      <c r="V44" s="5671">
        <v>85655.1</v>
      </c>
      <c r="W44" s="5671">
        <v>3600</v>
      </c>
      <c r="X44" s="5671">
        <v>8850</v>
      </c>
      <c r="Y44" s="5671">
        <v>3600</v>
      </c>
      <c r="Z44" s="5671">
        <v>75000</v>
      </c>
      <c r="AA44" s="5672">
        <f t="shared" si="4"/>
        <v>1109506.6499999999</v>
      </c>
      <c r="AB44" s="5668" t="s">
        <v>595</v>
      </c>
    </row>
    <row r="45" spans="1:28" s="5669" customFormat="1">
      <c r="A45" s="5668" t="s">
        <v>596</v>
      </c>
      <c r="B45" s="5439">
        <v>1291811.08</v>
      </c>
      <c r="C45" s="5439"/>
      <c r="D45" s="5439"/>
      <c r="E45" s="5439"/>
      <c r="F45" s="5439">
        <v>71851.91</v>
      </c>
      <c r="G45" s="5439"/>
      <c r="H45" s="5439"/>
      <c r="I45" s="5439">
        <v>15000</v>
      </c>
      <c r="J45" s="5439"/>
      <c r="K45" s="5439"/>
      <c r="L45" s="5439">
        <v>15000</v>
      </c>
      <c r="M45" s="5439"/>
      <c r="N45" s="5439"/>
      <c r="O45" s="5439"/>
      <c r="P45" s="5439"/>
      <c r="Q45" s="5439"/>
      <c r="R45" s="5439"/>
      <c r="S45" s="5439">
        <v>215640</v>
      </c>
      <c r="T45" s="5439">
        <v>15000</v>
      </c>
      <c r="U45" s="5439"/>
      <c r="V45" s="5439">
        <v>155017.32999999999</v>
      </c>
      <c r="W45" s="5439">
        <v>3600</v>
      </c>
      <c r="X45" s="5439">
        <v>13450</v>
      </c>
      <c r="Y45" s="5439">
        <v>3600</v>
      </c>
      <c r="Z45" s="5439">
        <v>75000</v>
      </c>
      <c r="AA45" s="5434">
        <f t="shared" si="4"/>
        <v>1874970.32</v>
      </c>
      <c r="AB45" s="5668" t="s">
        <v>596</v>
      </c>
    </row>
    <row r="46" spans="1:28" s="5669" customFormat="1">
      <c r="A46" s="10195" t="s">
        <v>10813</v>
      </c>
      <c r="B46" s="5439">
        <v>760056</v>
      </c>
      <c r="C46" s="5439"/>
      <c r="D46" s="5439"/>
      <c r="E46" s="5439"/>
      <c r="F46" s="5439">
        <v>48000</v>
      </c>
      <c r="G46" s="5439"/>
      <c r="H46" s="5439"/>
      <c r="I46" s="5439"/>
      <c r="J46" s="5439"/>
      <c r="K46" s="5439"/>
      <c r="L46" s="5439">
        <v>10000</v>
      </c>
      <c r="M46" s="5439"/>
      <c r="N46" s="5439"/>
      <c r="O46" s="5439"/>
      <c r="P46" s="5439"/>
      <c r="Q46" s="5439"/>
      <c r="R46" s="5439"/>
      <c r="S46" s="5439">
        <v>126676</v>
      </c>
      <c r="T46" s="5439">
        <v>10000</v>
      </c>
      <c r="U46" s="5439"/>
      <c r="V46" s="5439">
        <v>91206.720000000001</v>
      </c>
      <c r="W46" s="5439">
        <v>2400</v>
      </c>
      <c r="X46" s="5439">
        <v>7562.5</v>
      </c>
      <c r="Y46" s="5439">
        <v>2400</v>
      </c>
      <c r="Z46" s="5439">
        <v>50000</v>
      </c>
      <c r="AA46" s="5434">
        <f t="shared" si="4"/>
        <v>1108301.22</v>
      </c>
      <c r="AB46" s="10195" t="s">
        <v>11456</v>
      </c>
    </row>
    <row r="47" spans="1:28">
      <c r="A47" s="5433" t="s">
        <v>598</v>
      </c>
      <c r="B47" s="5439">
        <v>14046163.289999999</v>
      </c>
      <c r="C47" s="5439"/>
      <c r="D47" s="5439"/>
      <c r="E47" s="5439"/>
      <c r="F47" s="5439">
        <v>1552000</v>
      </c>
      <c r="G47" s="5439">
        <v>192000</v>
      </c>
      <c r="H47" s="5439">
        <v>192000</v>
      </c>
      <c r="I47" s="5439">
        <v>325000</v>
      </c>
      <c r="J47" s="5439"/>
      <c r="K47" s="5439"/>
      <c r="L47" s="5439">
        <v>315000</v>
      </c>
      <c r="M47" s="5439"/>
      <c r="N47" s="5439"/>
      <c r="O47" s="5439">
        <v>65000</v>
      </c>
      <c r="P47" s="5439"/>
      <c r="Q47" s="5439"/>
      <c r="R47" s="5439"/>
      <c r="S47" s="5439">
        <v>2397084.5</v>
      </c>
      <c r="T47" s="5439">
        <v>321500</v>
      </c>
      <c r="U47" s="5439"/>
      <c r="V47" s="5439">
        <v>1684754.67</v>
      </c>
      <c r="W47" s="5439">
        <v>77600</v>
      </c>
      <c r="X47" s="5439">
        <v>153600</v>
      </c>
      <c r="Y47" s="5439">
        <v>78197.72</v>
      </c>
      <c r="Z47" s="5439">
        <v>1575000</v>
      </c>
      <c r="AA47" s="5434">
        <f t="shared" si="4"/>
        <v>22974900.18</v>
      </c>
      <c r="AB47" s="5433" t="s">
        <v>598</v>
      </c>
    </row>
    <row r="48" spans="1:28">
      <c r="A48" s="5433" t="s">
        <v>599</v>
      </c>
      <c r="B48" s="5439">
        <v>8761725.5600000005</v>
      </c>
      <c r="C48" s="5439"/>
      <c r="D48" s="5439"/>
      <c r="E48" s="5439"/>
      <c r="F48" s="5439">
        <v>827338.18</v>
      </c>
      <c r="G48" s="5439">
        <v>102000</v>
      </c>
      <c r="H48" s="5439">
        <v>102000</v>
      </c>
      <c r="I48" s="5439">
        <v>175000</v>
      </c>
      <c r="J48" s="5439">
        <v>9525</v>
      </c>
      <c r="K48" s="5439">
        <v>1759.09</v>
      </c>
      <c r="L48" s="5439">
        <v>170000</v>
      </c>
      <c r="M48" s="5439"/>
      <c r="N48" s="5439">
        <v>59874</v>
      </c>
      <c r="O48" s="5439">
        <v>25000</v>
      </c>
      <c r="P48" s="5439"/>
      <c r="Q48" s="5439"/>
      <c r="R48" s="5439"/>
      <c r="S48" s="5439">
        <v>1442258</v>
      </c>
      <c r="T48" s="5439">
        <v>170000</v>
      </c>
      <c r="U48" s="5439"/>
      <c r="V48" s="5439">
        <v>1049174.1100000001</v>
      </c>
      <c r="W48" s="5439">
        <v>41200</v>
      </c>
      <c r="X48" s="5439">
        <v>91125</v>
      </c>
      <c r="Y48" s="5439">
        <v>41300</v>
      </c>
      <c r="Z48" s="5439">
        <v>850000</v>
      </c>
      <c r="AA48" s="5434">
        <f t="shared" si="4"/>
        <v>13919278.939999999</v>
      </c>
      <c r="AB48" s="5433" t="s">
        <v>599</v>
      </c>
    </row>
    <row r="49" spans="1:28">
      <c r="A49" s="5433" t="s">
        <v>600</v>
      </c>
      <c r="B49" s="5439">
        <v>25113291.449999999</v>
      </c>
      <c r="C49" s="5439"/>
      <c r="D49" s="5439"/>
      <c r="E49" s="5439"/>
      <c r="F49" s="5439">
        <v>2936151.95</v>
      </c>
      <c r="G49" s="5439">
        <v>189875</v>
      </c>
      <c r="H49" s="5439"/>
      <c r="I49" s="5439">
        <v>635000</v>
      </c>
      <c r="J49" s="5439"/>
      <c r="K49" s="5439"/>
      <c r="L49" s="5439">
        <v>601500</v>
      </c>
      <c r="M49" s="5439"/>
      <c r="N49" s="5439"/>
      <c r="O49" s="5439">
        <v>75000</v>
      </c>
      <c r="P49" s="5439"/>
      <c r="Q49" s="5439"/>
      <c r="R49" s="5439">
        <v>375841.58</v>
      </c>
      <c r="S49" s="5439">
        <v>4133026.1</v>
      </c>
      <c r="T49" s="5439">
        <v>621500</v>
      </c>
      <c r="U49" s="5439">
        <v>14731</v>
      </c>
      <c r="V49" s="5439">
        <v>3013601.93</v>
      </c>
      <c r="W49" s="5439">
        <v>147200</v>
      </c>
      <c r="X49" s="5439">
        <v>267837.5</v>
      </c>
      <c r="Y49" s="5439">
        <v>147041.1</v>
      </c>
      <c r="Z49" s="5439">
        <v>3072500</v>
      </c>
      <c r="AA49" s="5434">
        <f t="shared" si="4"/>
        <v>41344097.609999999</v>
      </c>
      <c r="AB49" s="5433" t="s">
        <v>600</v>
      </c>
    </row>
    <row r="50" spans="1:28">
      <c r="A50" s="5433" t="s">
        <v>668</v>
      </c>
      <c r="B50" s="5448">
        <v>13127852.199999999</v>
      </c>
      <c r="C50" s="5448"/>
      <c r="D50" s="5448"/>
      <c r="E50" s="5448"/>
      <c r="F50" s="5448">
        <v>1706739.01</v>
      </c>
      <c r="G50" s="5448">
        <v>100000.94</v>
      </c>
      <c r="H50" s="5448">
        <v>100419.07</v>
      </c>
      <c r="I50" s="5448">
        <v>355000</v>
      </c>
      <c r="J50" s="5448"/>
      <c r="K50" s="5448"/>
      <c r="L50" s="5448">
        <v>339500</v>
      </c>
      <c r="M50" s="5448"/>
      <c r="N50" s="5448"/>
      <c r="O50" s="5448">
        <v>35000</v>
      </c>
      <c r="P50" s="5448"/>
      <c r="Q50" s="5448"/>
      <c r="R50" s="5448"/>
      <c r="S50" s="5448">
        <v>2126391.4</v>
      </c>
      <c r="T50" s="5448">
        <v>354000</v>
      </c>
      <c r="U50" s="5448"/>
      <c r="V50" s="5448">
        <v>1574497.8</v>
      </c>
      <c r="W50" s="5448">
        <v>85400</v>
      </c>
      <c r="X50" s="5448">
        <v>150162.5</v>
      </c>
      <c r="Y50" s="5448">
        <v>85372.58</v>
      </c>
      <c r="Z50" s="5448">
        <v>1752500</v>
      </c>
      <c r="AA50" s="8569">
        <f>SUM(B50:Z50)</f>
        <v>21892835.499999996</v>
      </c>
      <c r="AB50" s="5433" t="s">
        <v>668</v>
      </c>
    </row>
    <row r="51" spans="1:28" ht="14.4" thickBot="1">
      <c r="A51" s="10211" t="s">
        <v>485</v>
      </c>
      <c r="B51" s="10212">
        <f t="shared" ref="B51:K51" si="5">SUM(B42:B50)</f>
        <v>65873335.379999995</v>
      </c>
      <c r="C51" s="10212">
        <f t="shared" si="5"/>
        <v>0</v>
      </c>
      <c r="D51" s="10212">
        <f t="shared" si="5"/>
        <v>0</v>
      </c>
      <c r="E51" s="10212">
        <f t="shared" si="5"/>
        <v>0</v>
      </c>
      <c r="F51" s="10212">
        <f t="shared" si="5"/>
        <v>7453001.8599999994</v>
      </c>
      <c r="G51" s="10212">
        <f t="shared" si="5"/>
        <v>583875.93999999994</v>
      </c>
      <c r="H51" s="10212">
        <f t="shared" si="5"/>
        <v>394419.07</v>
      </c>
      <c r="I51" s="10212">
        <f t="shared" si="5"/>
        <v>1560000</v>
      </c>
      <c r="J51" s="10212">
        <f t="shared" si="5"/>
        <v>9525</v>
      </c>
      <c r="K51" s="10212">
        <f t="shared" si="5"/>
        <v>1759.09</v>
      </c>
      <c r="L51" s="10212">
        <f t="shared" ref="L51:AA51" si="6">SUM(L42:L50)</f>
        <v>1491000</v>
      </c>
      <c r="M51" s="10212">
        <f>SUM(M42:M50)</f>
        <v>0</v>
      </c>
      <c r="N51" s="10212">
        <f>SUM(N42:N50)</f>
        <v>59874</v>
      </c>
      <c r="O51" s="10212">
        <f>SUM(O42:O50)</f>
        <v>215000</v>
      </c>
      <c r="P51" s="10212">
        <f t="shared" si="6"/>
        <v>0</v>
      </c>
      <c r="Q51" s="10212">
        <f t="shared" si="6"/>
        <v>0</v>
      </c>
      <c r="R51" s="10212">
        <f>SUM(R42:R50)</f>
        <v>375841.58</v>
      </c>
      <c r="S51" s="10212">
        <f t="shared" si="6"/>
        <v>10887122</v>
      </c>
      <c r="T51" s="10212">
        <f t="shared" si="6"/>
        <v>1557000</v>
      </c>
      <c r="U51" s="10212">
        <f t="shared" si="6"/>
        <v>14731</v>
      </c>
      <c r="V51" s="10212">
        <f t="shared" si="6"/>
        <v>7900944.8899999997</v>
      </c>
      <c r="W51" s="10212">
        <f t="shared" si="6"/>
        <v>373000</v>
      </c>
      <c r="X51" s="10212">
        <f t="shared" si="6"/>
        <v>714562.5</v>
      </c>
      <c r="Y51" s="10212">
        <f t="shared" si="6"/>
        <v>373506.22000000003</v>
      </c>
      <c r="Z51" s="10212">
        <f t="shared" si="6"/>
        <v>7700000</v>
      </c>
      <c r="AA51" s="10218">
        <f t="shared" si="6"/>
        <v>107538498.53</v>
      </c>
      <c r="AB51" s="10211" t="s">
        <v>485</v>
      </c>
    </row>
    <row r="52" spans="1:28" ht="14.4" thickBot="1">
      <c r="A52" s="10213" t="s">
        <v>220</v>
      </c>
      <c r="B52" s="10214"/>
      <c r="C52" s="10214"/>
      <c r="D52" s="10214"/>
      <c r="E52" s="10214"/>
      <c r="F52" s="10214"/>
      <c r="G52" s="10214"/>
      <c r="H52" s="10214"/>
      <c r="I52" s="10214"/>
      <c r="J52" s="10214"/>
      <c r="K52" s="10214"/>
      <c r="L52" s="10214"/>
      <c r="M52" s="10214"/>
      <c r="N52" s="10214"/>
      <c r="O52" s="10214"/>
      <c r="P52" s="10214"/>
      <c r="Q52" s="10214"/>
      <c r="R52" s="10214"/>
      <c r="S52" s="10214"/>
      <c r="T52" s="10214"/>
      <c r="U52" s="10215"/>
      <c r="V52" s="10214"/>
      <c r="W52" s="10214"/>
      <c r="X52" s="10214"/>
      <c r="Y52" s="10214"/>
      <c r="Z52" s="10216"/>
      <c r="AA52" s="10217">
        <f>AA51+AA40+AA22</f>
        <v>543461169.30999994</v>
      </c>
      <c r="AB52" s="10213" t="s">
        <v>220</v>
      </c>
    </row>
    <row r="53" spans="1:28" ht="14.25" customHeight="1">
      <c r="A53" s="5435" t="s">
        <v>10927</v>
      </c>
      <c r="B53" s="5436"/>
      <c r="C53" s="5436"/>
      <c r="D53" s="5436"/>
      <c r="E53" s="5436"/>
      <c r="F53" s="5436"/>
      <c r="G53" s="5436"/>
      <c r="H53" s="5436"/>
      <c r="I53" s="5436"/>
      <c r="J53" s="5436"/>
      <c r="K53" s="8558"/>
      <c r="L53" s="5436"/>
      <c r="M53" s="8558"/>
      <c r="N53" s="5436"/>
      <c r="O53" s="5436"/>
      <c r="P53" s="5436"/>
      <c r="Q53" s="5436"/>
      <c r="R53" s="5436"/>
      <c r="S53" s="8558"/>
      <c r="T53" s="5436"/>
      <c r="U53" s="5437"/>
      <c r="V53" s="5436"/>
      <c r="W53" s="5436"/>
      <c r="X53" s="5436"/>
      <c r="Y53" s="5436"/>
      <c r="Z53" s="5438"/>
      <c r="AA53" s="10220">
        <v>9484198.5399999991</v>
      </c>
      <c r="AB53" s="5435" t="s">
        <v>10927</v>
      </c>
    </row>
    <row r="54" spans="1:28" ht="14.25" customHeight="1">
      <c r="A54" s="5433" t="s">
        <v>10928</v>
      </c>
      <c r="B54" s="5445"/>
      <c r="C54" s="5445"/>
      <c r="D54" s="5446"/>
      <c r="E54" s="5664"/>
      <c r="F54" s="5445"/>
      <c r="G54" s="5445"/>
      <c r="H54" s="5445"/>
      <c r="I54" s="5445"/>
      <c r="J54" s="5445"/>
      <c r="K54" s="8557"/>
      <c r="L54" s="5445"/>
      <c r="M54" s="8557"/>
      <c r="N54" s="5445"/>
      <c r="O54" s="5445"/>
      <c r="P54" s="5445"/>
      <c r="Q54" s="5664"/>
      <c r="R54" s="5445"/>
      <c r="S54" s="8557"/>
      <c r="T54" s="5445"/>
      <c r="U54" s="5441">
        <f>(B54/12)</f>
        <v>0</v>
      </c>
      <c r="V54" s="5445"/>
      <c r="W54" s="5445"/>
      <c r="X54" s="5445"/>
      <c r="Y54" s="5445" t="s">
        <v>9</v>
      </c>
      <c r="Z54" s="5447"/>
      <c r="AA54" s="10220">
        <v>9538658.2799999993</v>
      </c>
      <c r="AB54" s="5433" t="s">
        <v>10928</v>
      </c>
    </row>
    <row r="55" spans="1:28" ht="2.25" customHeight="1" thickBot="1">
      <c r="B55" s="5449"/>
      <c r="C55" s="5449"/>
      <c r="D55" s="5449"/>
      <c r="E55" s="5449"/>
      <c r="F55" s="5449"/>
      <c r="G55" s="5449"/>
      <c r="H55" s="5449"/>
      <c r="I55" s="5449"/>
      <c r="J55" s="5449"/>
      <c r="K55" s="5449"/>
      <c r="L55" s="5449"/>
      <c r="M55" s="5449"/>
      <c r="N55" s="5449"/>
      <c r="O55" s="5449"/>
      <c r="P55" s="5449"/>
      <c r="Q55" s="5449"/>
      <c r="R55" s="5449"/>
      <c r="S55" s="5449"/>
      <c r="T55" s="5449"/>
      <c r="U55" s="5449"/>
      <c r="V55" s="5449"/>
      <c r="W55" s="5449"/>
      <c r="X55" s="5449"/>
      <c r="Y55" s="5449"/>
      <c r="Z55" s="5450"/>
      <c r="AA55" s="5451" t="s">
        <v>9</v>
      </c>
    </row>
    <row r="56" spans="1:28" ht="14.4" thickTop="1">
      <c r="A56" s="5452" t="s">
        <v>669</v>
      </c>
      <c r="B56" s="5453">
        <f t="shared" ref="B56:K56" si="7">SUM(B22+B40+B51)</f>
        <v>306559468.76999998</v>
      </c>
      <c r="C56" s="5453">
        <f t="shared" si="7"/>
        <v>0</v>
      </c>
      <c r="D56" s="5453">
        <f t="shared" si="7"/>
        <v>12661918.960000001</v>
      </c>
      <c r="E56" s="5453">
        <f t="shared" si="7"/>
        <v>0</v>
      </c>
      <c r="F56" s="5453">
        <f t="shared" si="7"/>
        <v>32522595.670000002</v>
      </c>
      <c r="G56" s="5453">
        <f t="shared" si="7"/>
        <v>4069800.94</v>
      </c>
      <c r="H56" s="5453">
        <f t="shared" si="7"/>
        <v>2557294.0699999998</v>
      </c>
      <c r="I56" s="5453">
        <f t="shared" si="7"/>
        <v>6797975</v>
      </c>
      <c r="J56" s="5453">
        <f t="shared" si="7"/>
        <v>4472801.6100000003</v>
      </c>
      <c r="K56" s="5453">
        <f t="shared" si="7"/>
        <v>721605.55</v>
      </c>
      <c r="L56" s="5453">
        <f t="shared" ref="L56:Z56" si="8">SUM(L22+L40+L51)</f>
        <v>6750500</v>
      </c>
      <c r="M56" s="5453">
        <f>SUM(M22+M40+M51)</f>
        <v>374000</v>
      </c>
      <c r="N56" s="5453">
        <f>SUM(N22+N40+N51)</f>
        <v>25017881.43</v>
      </c>
      <c r="O56" s="5453">
        <f>SUM(O22+O40+O51)</f>
        <v>1010000</v>
      </c>
      <c r="P56" s="5453">
        <f t="shared" si="8"/>
        <v>0</v>
      </c>
      <c r="Q56" s="5453">
        <f t="shared" si="8"/>
        <v>0</v>
      </c>
      <c r="R56" s="5453">
        <f>SUM(R22+R40+R51)</f>
        <v>2320402.41</v>
      </c>
      <c r="S56" s="5453">
        <f t="shared" si="8"/>
        <v>52497548.200000003</v>
      </c>
      <c r="T56" s="5453">
        <f t="shared" si="8"/>
        <v>6846000</v>
      </c>
      <c r="U56" s="5453">
        <f t="shared" si="8"/>
        <v>14731</v>
      </c>
      <c r="V56" s="5453">
        <f t="shared" si="8"/>
        <v>37844737.969999999</v>
      </c>
      <c r="W56" s="5453">
        <f t="shared" si="8"/>
        <v>1624097.54</v>
      </c>
      <c r="X56" s="5453">
        <f t="shared" si="8"/>
        <v>3328126.5</v>
      </c>
      <c r="Y56" s="5453">
        <f t="shared" si="8"/>
        <v>1585933.6900000002</v>
      </c>
      <c r="Z56" s="5453">
        <f t="shared" si="8"/>
        <v>33883750</v>
      </c>
      <c r="AA56" s="5453">
        <f>SUM(AA52:AA54)</f>
        <v>562484026.12999988</v>
      </c>
      <c r="AB56" s="5452" t="s">
        <v>669</v>
      </c>
    </row>
    <row r="57" spans="1:28">
      <c r="Z57" s="8570" t="s">
        <v>10929</v>
      </c>
      <c r="AA57" s="8570">
        <f>AA52+AA54+AA53</f>
        <v>562484026.12999988</v>
      </c>
    </row>
    <row r="58" spans="1:28">
      <c r="AA58" s="5422">
        <f>SUM(B56:Z56)</f>
        <v>543461169.31000006</v>
      </c>
    </row>
    <row r="60" spans="1:28">
      <c r="O60" s="5422" t="s">
        <v>5028</v>
      </c>
      <c r="AA60" s="5422">
        <f>SUM(AA42:AA50)+AA40+AA22</f>
        <v>543461169.30999994</v>
      </c>
    </row>
  </sheetData>
  <pageMargins left="0" right="0" top="0" bottom="0.25" header="0.31" footer="0.25"/>
  <pageSetup paperSize="136" scale="90" pageOrder="overThenDown" orientation="landscape" verticalDpi="300" r:id="rId1"/>
</worksheet>
</file>

<file path=xl/worksheets/sheet196.xml><?xml version="1.0" encoding="utf-8"?>
<worksheet xmlns="http://schemas.openxmlformats.org/spreadsheetml/2006/main" xmlns:r="http://schemas.openxmlformats.org/officeDocument/2006/relationships">
  <sheetPr codeName="Sheet201">
    <tabColor rgb="FF0000FF"/>
  </sheetPr>
  <dimension ref="A1:CH86"/>
  <sheetViews>
    <sheetView workbookViewId="0">
      <pane xSplit="1" ySplit="5" topLeftCell="BK17" activePane="bottomRight" state="frozen"/>
      <selection activeCell="A66" sqref="A66"/>
      <selection pane="topRight" activeCell="A66" sqref="A66"/>
      <selection pane="bottomLeft" activeCell="A66" sqref="A66"/>
      <selection pane="bottomRight" activeCell="A66" sqref="A66"/>
    </sheetView>
  </sheetViews>
  <sheetFormatPr defaultColWidth="9.109375" defaultRowHeight="13.8"/>
  <cols>
    <col min="1" max="1" width="11.88671875" style="5700" customWidth="1"/>
    <col min="2" max="2" width="12.88671875" style="5700" customWidth="1"/>
    <col min="3" max="3" width="13.109375" style="5700" hidden="1" customWidth="1"/>
    <col min="4" max="5" width="10.88671875" style="5700" hidden="1" customWidth="1"/>
    <col min="6" max="6" width="11.44140625" style="5700" hidden="1" customWidth="1"/>
    <col min="7" max="7" width="12.109375" style="5700" hidden="1" customWidth="1"/>
    <col min="8" max="8" width="12.88671875" style="5700" customWidth="1"/>
    <col min="9" max="9" width="10.88671875" style="5700" hidden="1" customWidth="1"/>
    <col min="10" max="10" width="12.109375" style="5700" customWidth="1"/>
    <col min="11" max="11" width="12.88671875" style="5700" hidden="1" customWidth="1"/>
    <col min="12" max="12" width="11.88671875" style="5700" hidden="1" customWidth="1"/>
    <col min="13" max="14" width="12.44140625" style="5700" customWidth="1"/>
    <col min="15" max="15" width="13.109375" style="5700" customWidth="1"/>
    <col min="16" max="16" width="12.88671875" style="5700" customWidth="1"/>
    <col min="17" max="18" width="13" style="5700" customWidth="1"/>
    <col min="19" max="19" width="14.109375" style="5700" hidden="1" customWidth="1"/>
    <col min="20" max="20" width="10.44140625" style="5700" customWidth="1"/>
    <col min="21" max="21" width="10.88671875" style="5700" customWidth="1"/>
    <col min="22" max="22" width="10.109375" style="5700" customWidth="1"/>
    <col min="23" max="23" width="12" style="5700" customWidth="1"/>
    <col min="24" max="24" width="12.44140625" style="5700" customWidth="1"/>
    <col min="25" max="25" width="11.44140625" style="5700" hidden="1" customWidth="1"/>
    <col min="26" max="26" width="11.109375" style="5700" customWidth="1"/>
    <col min="27" max="27" width="13.109375" style="5700" customWidth="1"/>
    <col min="28" max="28" width="11" style="5700" hidden="1" customWidth="1"/>
    <col min="29" max="30" width="13.109375" style="5700" hidden="1" customWidth="1"/>
    <col min="31" max="31" width="11.44140625" style="5700" customWidth="1"/>
    <col min="32" max="32" width="10.88671875" style="5700" customWidth="1"/>
    <col min="33" max="33" width="11.88671875" style="5700" customWidth="1"/>
    <col min="34" max="34" width="13.109375" style="5700" customWidth="1"/>
    <col min="35" max="35" width="11.109375" style="5700" customWidth="1"/>
    <col min="36" max="36" width="10.44140625" style="5700" hidden="1" customWidth="1"/>
    <col min="37" max="37" width="12.109375" style="5700" customWidth="1"/>
    <col min="38" max="38" width="13" style="5700" customWidth="1"/>
    <col min="39" max="39" width="12.109375" style="5700" customWidth="1"/>
    <col min="40" max="40" width="13" style="5700" customWidth="1"/>
    <col min="41" max="41" width="13.5546875" style="5700" customWidth="1"/>
    <col min="42" max="42" width="12.44140625" style="5700" hidden="1" customWidth="1"/>
    <col min="43" max="43" width="13" style="5700" hidden="1" customWidth="1"/>
    <col min="44" max="44" width="14.109375" style="5700" hidden="1" customWidth="1"/>
    <col min="45" max="45" width="12.44140625" style="5700" customWidth="1"/>
    <col min="46" max="46" width="9.44140625" style="5700" hidden="1" customWidth="1"/>
    <col min="47" max="47" width="11.109375" style="5700" hidden="1" customWidth="1"/>
    <col min="48" max="48" width="12.88671875" style="5700" hidden="1" customWidth="1"/>
    <col min="49" max="49" width="11.109375" style="5700" customWidth="1"/>
    <col min="50" max="50" width="12.44140625" style="5700" hidden="1" customWidth="1"/>
    <col min="51" max="51" width="12.88671875" style="5700" hidden="1" customWidth="1"/>
    <col min="52" max="52" width="11.109375" style="5700" hidden="1" customWidth="1"/>
    <col min="53" max="53" width="12.44140625" style="5700" hidden="1" customWidth="1"/>
    <col min="54" max="54" width="13" style="5700" customWidth="1"/>
    <col min="55" max="55" width="10.44140625" style="5700" customWidth="1"/>
    <col min="56" max="56" width="12.88671875" style="5700" hidden="1" customWidth="1"/>
    <col min="57" max="57" width="13.44140625" style="5700" hidden="1" customWidth="1"/>
    <col min="58" max="58" width="13.109375" style="5700" hidden="1" customWidth="1"/>
    <col min="59" max="59" width="10.44140625" style="5700" customWidth="1"/>
    <col min="60" max="61" width="11.109375" style="5700" customWidth="1"/>
    <col min="62" max="62" width="10.109375" style="5700" customWidth="1"/>
    <col min="63" max="63" width="13.109375" style="5700" customWidth="1"/>
    <col min="64" max="64" width="11.44140625" style="5700" customWidth="1"/>
    <col min="65" max="65" width="13.88671875" style="5700" customWidth="1"/>
    <col min="66" max="66" width="12.44140625" style="5700" customWidth="1"/>
    <col min="67" max="67" width="14.109375" style="5700" customWidth="1"/>
    <col min="68" max="68" width="10.44140625" style="5700" hidden="1" customWidth="1"/>
    <col min="69" max="69" width="10.109375" style="5700" hidden="1" customWidth="1"/>
    <col min="70" max="70" width="11.44140625" style="5700" hidden="1" customWidth="1"/>
    <col min="71" max="71" width="11.88671875" style="5700" hidden="1" customWidth="1"/>
    <col min="72" max="72" width="10.109375" style="5700" hidden="1" customWidth="1"/>
    <col min="73" max="73" width="11" style="5700" hidden="1" customWidth="1"/>
    <col min="74" max="75" width="10.109375" style="5700" hidden="1" customWidth="1"/>
    <col min="76" max="76" width="12.109375" style="5700" hidden="1" customWidth="1"/>
    <col min="77" max="77" width="12" style="5700" hidden="1" customWidth="1"/>
    <col min="78" max="78" width="10.88671875" style="5700" hidden="1" customWidth="1"/>
    <col min="79" max="81" width="10.44140625" style="5700" hidden="1" customWidth="1"/>
    <col min="82" max="82" width="10.109375" style="5700" hidden="1" customWidth="1"/>
    <col min="83" max="83" width="11.88671875" style="5700" hidden="1" customWidth="1"/>
    <col min="84" max="84" width="10.44140625" style="5700" hidden="1" customWidth="1"/>
    <col min="85" max="85" width="14.88671875" style="5700" customWidth="1"/>
    <col min="86" max="86" width="11.88671875" style="5700" customWidth="1"/>
    <col min="87" max="87" width="12.44140625" style="5700" customWidth="1"/>
    <col min="88" max="16384" width="9.109375" style="5700"/>
  </cols>
  <sheetData>
    <row r="1" spans="1:86" ht="21.75" customHeight="1">
      <c r="A1" s="10210">
        <v>2017</v>
      </c>
      <c r="B1" s="5703" t="s">
        <v>11449</v>
      </c>
      <c r="C1" s="5703"/>
      <c r="D1" s="5703"/>
      <c r="E1" s="5703"/>
      <c r="F1" s="5703"/>
      <c r="G1" s="5703"/>
      <c r="H1" s="5703"/>
      <c r="I1" s="5703"/>
      <c r="J1" s="5703"/>
      <c r="K1" s="5703"/>
      <c r="L1" s="5703"/>
      <c r="M1" s="5703"/>
      <c r="N1" s="5703"/>
      <c r="O1" s="5703"/>
      <c r="P1" s="5703"/>
      <c r="Q1" s="5703"/>
      <c r="R1" s="5703"/>
      <c r="S1" s="5703"/>
      <c r="T1" s="5703"/>
      <c r="U1" s="5703"/>
      <c r="V1" s="5704"/>
      <c r="W1" s="15456" t="s">
        <v>9</v>
      </c>
      <c r="X1" s="15456"/>
    </row>
    <row r="2" spans="1:86" ht="6.75" customHeight="1"/>
    <row r="3" spans="1:86" s="5710" customFormat="1" ht="11.25" customHeight="1">
      <c r="A3" s="5705" t="s">
        <v>216</v>
      </c>
      <c r="B3" s="5705" t="s">
        <v>530</v>
      </c>
      <c r="C3" s="5705" t="s">
        <v>530</v>
      </c>
      <c r="D3" s="5705" t="s">
        <v>530</v>
      </c>
      <c r="E3" s="5705" t="s">
        <v>530</v>
      </c>
      <c r="F3" s="5705" t="s">
        <v>530</v>
      </c>
      <c r="G3" s="5705" t="s">
        <v>530</v>
      </c>
      <c r="H3" s="5705" t="s">
        <v>531</v>
      </c>
      <c r="I3" s="5705" t="s">
        <v>531</v>
      </c>
      <c r="J3" s="5705" t="s">
        <v>532</v>
      </c>
      <c r="K3" s="5705" t="s">
        <v>532</v>
      </c>
      <c r="L3" s="5705" t="s">
        <v>532</v>
      </c>
      <c r="M3" s="5705" t="s">
        <v>533</v>
      </c>
      <c r="N3" s="5705" t="s">
        <v>538</v>
      </c>
      <c r="O3" s="5705" t="s">
        <v>534</v>
      </c>
      <c r="P3" s="5705" t="s">
        <v>611</v>
      </c>
      <c r="Q3" s="5705" t="s">
        <v>535</v>
      </c>
      <c r="R3" s="5705" t="s">
        <v>11459</v>
      </c>
      <c r="S3" s="5705" t="s">
        <v>536</v>
      </c>
      <c r="T3" s="5705" t="s">
        <v>539</v>
      </c>
      <c r="U3" s="5705" t="s">
        <v>537</v>
      </c>
      <c r="V3" s="5705" t="s">
        <v>3322</v>
      </c>
      <c r="W3" s="5705" t="s">
        <v>540</v>
      </c>
      <c r="X3" s="5705" t="s">
        <v>677</v>
      </c>
      <c r="Y3" s="5705" t="s">
        <v>619</v>
      </c>
      <c r="Z3" s="5705" t="s">
        <v>542</v>
      </c>
      <c r="AA3" s="5705" t="s">
        <v>3340</v>
      </c>
      <c r="AB3" s="5705" t="s">
        <v>3340</v>
      </c>
      <c r="AC3" s="5706" t="s">
        <v>3340</v>
      </c>
      <c r="AD3" s="5706" t="s">
        <v>3340</v>
      </c>
      <c r="AE3" s="5706" t="s">
        <v>560</v>
      </c>
      <c r="AF3" s="5705" t="s">
        <v>1726</v>
      </c>
      <c r="AG3" s="5705"/>
      <c r="AH3" s="5705" t="s">
        <v>606</v>
      </c>
      <c r="AI3" s="5705" t="s">
        <v>545</v>
      </c>
      <c r="AJ3" s="6620" t="s">
        <v>615</v>
      </c>
      <c r="AK3" s="6620" t="s">
        <v>11463</v>
      </c>
      <c r="AL3" s="5705" t="s">
        <v>11450</v>
      </c>
      <c r="AM3" s="5705" t="s">
        <v>3346</v>
      </c>
      <c r="AN3" s="5706" t="s">
        <v>3347</v>
      </c>
      <c r="AO3" s="5705" t="s">
        <v>11452</v>
      </c>
      <c r="AP3" s="5705" t="s">
        <v>549</v>
      </c>
      <c r="AQ3" s="5706" t="s">
        <v>3349</v>
      </c>
      <c r="AR3" s="5705" t="s">
        <v>549</v>
      </c>
      <c r="AS3" s="5705" t="s">
        <v>612</v>
      </c>
      <c r="AT3" s="5705" t="s">
        <v>612</v>
      </c>
      <c r="AU3" s="5705" t="s">
        <v>612</v>
      </c>
      <c r="AV3" s="5705" t="s">
        <v>612</v>
      </c>
      <c r="AW3" s="5705" t="s">
        <v>612</v>
      </c>
      <c r="AX3" s="5705" t="s">
        <v>612</v>
      </c>
      <c r="AY3" s="5705" t="s">
        <v>550</v>
      </c>
      <c r="AZ3" s="5705" t="s">
        <v>612</v>
      </c>
      <c r="BA3" s="5705" t="s">
        <v>551</v>
      </c>
      <c r="BB3" s="5705" t="s">
        <v>612</v>
      </c>
      <c r="BC3" s="5705" t="s">
        <v>3324</v>
      </c>
      <c r="BD3" s="5705" t="s">
        <v>10918</v>
      </c>
      <c r="BE3" s="5707" t="s">
        <v>3101</v>
      </c>
      <c r="BF3" s="5705" t="s">
        <v>607</v>
      </c>
      <c r="BG3" s="5705" t="s">
        <v>620</v>
      </c>
      <c r="BH3" s="5705" t="s">
        <v>608</v>
      </c>
      <c r="BI3" s="5705" t="s">
        <v>544</v>
      </c>
      <c r="BJ3" s="5705" t="s">
        <v>546</v>
      </c>
      <c r="BK3" s="5705" t="s">
        <v>547</v>
      </c>
      <c r="BL3" s="5705" t="s">
        <v>616</v>
      </c>
      <c r="BM3" s="5705" t="s">
        <v>605</v>
      </c>
      <c r="BN3" s="5705" t="s">
        <v>617</v>
      </c>
      <c r="BO3" s="5705" t="s">
        <v>609</v>
      </c>
      <c r="BP3" s="5705" t="s">
        <v>609</v>
      </c>
      <c r="BQ3" s="5705" t="s">
        <v>609</v>
      </c>
      <c r="BR3" s="5705" t="s">
        <v>609</v>
      </c>
      <c r="BS3" s="5705" t="s">
        <v>609</v>
      </c>
      <c r="BT3" s="5708" t="s">
        <v>3323</v>
      </c>
      <c r="BU3" s="5708" t="s">
        <v>3323</v>
      </c>
      <c r="BV3" s="5708" t="s">
        <v>3323</v>
      </c>
      <c r="BW3" s="5708" t="s">
        <v>3323</v>
      </c>
      <c r="BX3" s="5708" t="s">
        <v>3323</v>
      </c>
      <c r="BY3" s="5709" t="s">
        <v>3323</v>
      </c>
      <c r="BZ3" s="5709" t="s">
        <v>3323</v>
      </c>
      <c r="CA3" s="5709" t="s">
        <v>3323</v>
      </c>
      <c r="CB3" s="5709" t="s">
        <v>3323</v>
      </c>
      <c r="CC3" s="5709" t="s">
        <v>3323</v>
      </c>
      <c r="CD3" s="5709" t="s">
        <v>3323</v>
      </c>
      <c r="CE3" s="5709" t="s">
        <v>3323</v>
      </c>
      <c r="CF3" s="5709" t="s">
        <v>3323</v>
      </c>
      <c r="CG3" s="5705" t="s">
        <v>220</v>
      </c>
      <c r="CH3" s="5705" t="s">
        <v>216</v>
      </c>
    </row>
    <row r="4" spans="1:86" s="5718" customFormat="1" ht="30" customHeight="1">
      <c r="A4" s="5711" t="s">
        <v>9</v>
      </c>
      <c r="B4" s="5712" t="s">
        <v>553</v>
      </c>
      <c r="C4" s="5712" t="s">
        <v>9964</v>
      </c>
      <c r="D4" s="5712" t="s">
        <v>9965</v>
      </c>
      <c r="E4" s="5713" t="s">
        <v>5018</v>
      </c>
      <c r="F4" s="5713" t="s">
        <v>9962</v>
      </c>
      <c r="G4" s="8543" t="s">
        <v>10917</v>
      </c>
      <c r="H4" s="5712" t="s">
        <v>553</v>
      </c>
      <c r="I4" s="5712" t="s">
        <v>10218</v>
      </c>
      <c r="J4" s="5712" t="s">
        <v>554</v>
      </c>
      <c r="K4" s="5712" t="s">
        <v>9966</v>
      </c>
      <c r="L4" s="5712" t="s">
        <v>10219</v>
      </c>
      <c r="M4" s="5712" t="s">
        <v>555</v>
      </c>
      <c r="N4" s="5712" t="s">
        <v>558</v>
      </c>
      <c r="O4" s="5712" t="s">
        <v>553</v>
      </c>
      <c r="P4" s="5712" t="s">
        <v>9</v>
      </c>
      <c r="Q4" s="5712" t="s">
        <v>556</v>
      </c>
      <c r="R4" s="5712" t="s">
        <v>557</v>
      </c>
      <c r="S4" s="5712" t="s">
        <v>10220</v>
      </c>
      <c r="T4" s="5712" t="s">
        <v>554</v>
      </c>
      <c r="U4" s="5712"/>
      <c r="V4" s="5712" t="s">
        <v>3256</v>
      </c>
      <c r="W4" s="5712" t="s">
        <v>553</v>
      </c>
      <c r="X4" s="5712" t="s">
        <v>553</v>
      </c>
      <c r="Y4" s="5712" t="s">
        <v>632</v>
      </c>
      <c r="Z4" s="5712" t="s">
        <v>559</v>
      </c>
      <c r="AA4" s="5712"/>
      <c r="AB4" s="5712" t="s">
        <v>10221</v>
      </c>
      <c r="AC4" s="5712" t="s">
        <v>3341</v>
      </c>
      <c r="AD4" s="5712" t="s">
        <v>10226</v>
      </c>
      <c r="AE4" s="5712"/>
      <c r="AF4" s="5712"/>
      <c r="AG4" s="5715" t="s">
        <v>10069</v>
      </c>
      <c r="AH4" s="5712"/>
      <c r="AI4" s="5712" t="s">
        <v>561</v>
      </c>
      <c r="AJ4" s="5712" t="s">
        <v>553</v>
      </c>
      <c r="AK4" s="10200" t="s">
        <v>563</v>
      </c>
      <c r="AL4" s="5712" t="s">
        <v>11451</v>
      </c>
      <c r="AM4" s="5712" t="s">
        <v>563</v>
      </c>
      <c r="AN4" s="5714" t="s">
        <v>563</v>
      </c>
      <c r="AO4" s="5712" t="s">
        <v>720</v>
      </c>
      <c r="AP4" s="5714" t="s">
        <v>5008</v>
      </c>
      <c r="AQ4" s="5714" t="s">
        <v>10215</v>
      </c>
      <c r="AR4" s="5712" t="s">
        <v>1723</v>
      </c>
      <c r="AS4" s="5712" t="s">
        <v>10052</v>
      </c>
      <c r="AT4" s="5712" t="s">
        <v>10923</v>
      </c>
      <c r="AU4" s="5712" t="s">
        <v>10925</v>
      </c>
      <c r="AV4" s="5712" t="s">
        <v>634</v>
      </c>
      <c r="AW4" s="5712" t="s">
        <v>11453</v>
      </c>
      <c r="AX4" s="5712" t="s">
        <v>5933</v>
      </c>
      <c r="AY4" s="5712" t="s">
        <v>565</v>
      </c>
      <c r="AZ4" s="5712" t="s">
        <v>631</v>
      </c>
      <c r="BA4" s="5712" t="s">
        <v>3326</v>
      </c>
      <c r="BB4" s="5712" t="s">
        <v>11454</v>
      </c>
      <c r="BC4" s="5712" t="s">
        <v>628</v>
      </c>
      <c r="BD4" s="5712"/>
      <c r="BE4" s="5712" t="s">
        <v>9</v>
      </c>
      <c r="BF4" s="5712" t="s">
        <v>553</v>
      </c>
      <c r="BG4" s="5712" t="s">
        <v>635</v>
      </c>
      <c r="BH4" s="5712" t="s">
        <v>622</v>
      </c>
      <c r="BI4" s="5712" t="s">
        <v>553</v>
      </c>
      <c r="BJ4" s="5712" t="s">
        <v>562</v>
      </c>
      <c r="BK4" s="5712" t="s">
        <v>553</v>
      </c>
      <c r="BL4" s="5712" t="s">
        <v>630</v>
      </c>
      <c r="BM4" s="5712" t="s">
        <v>9</v>
      </c>
      <c r="BN4" s="5712" t="s">
        <v>630</v>
      </c>
      <c r="BO4" s="5712" t="s">
        <v>623</v>
      </c>
      <c r="BP4" s="5712" t="s">
        <v>5009</v>
      </c>
      <c r="BQ4" s="5712" t="s">
        <v>5010</v>
      </c>
      <c r="BR4" s="5712" t="s">
        <v>10318</v>
      </c>
      <c r="BS4" s="5715" t="s">
        <v>4691</v>
      </c>
      <c r="BT4" s="5716" t="s">
        <v>5021</v>
      </c>
      <c r="BU4" s="5716" t="s">
        <v>5022</v>
      </c>
      <c r="BV4" s="5715" t="s">
        <v>5024</v>
      </c>
      <c r="BW4" s="5716" t="s">
        <v>3327</v>
      </c>
      <c r="BX4" s="5715" t="s">
        <v>5019</v>
      </c>
      <c r="BY4" s="5717" t="s">
        <v>9963</v>
      </c>
      <c r="BZ4" s="5717" t="s">
        <v>9960</v>
      </c>
      <c r="CA4" s="5717" t="s">
        <v>9961</v>
      </c>
      <c r="CB4" s="8549" t="s">
        <v>3785</v>
      </c>
      <c r="CC4" s="8549" t="s">
        <v>10919</v>
      </c>
      <c r="CD4" s="5717" t="s">
        <v>10487</v>
      </c>
      <c r="CE4" s="5717" t="s">
        <v>10488</v>
      </c>
      <c r="CF4" s="8549" t="s">
        <v>10920</v>
      </c>
      <c r="CG4" s="5712" t="s">
        <v>9</v>
      </c>
      <c r="CH4" s="5711" t="s">
        <v>9</v>
      </c>
    </row>
    <row r="5" spans="1:86" s="5724" customFormat="1" ht="14.4" thickBot="1">
      <c r="A5" s="5719"/>
      <c r="B5" s="5720"/>
      <c r="C5" s="5721"/>
      <c r="D5" s="5721"/>
      <c r="E5" s="5720"/>
      <c r="F5" s="5721"/>
      <c r="G5" s="8544"/>
      <c r="H5" s="5720"/>
      <c r="I5" s="5721"/>
      <c r="J5" s="5720"/>
      <c r="K5" s="5721"/>
      <c r="L5" s="5721"/>
      <c r="M5" s="5720"/>
      <c r="N5" s="5720"/>
      <c r="O5" s="5720"/>
      <c r="P5" s="5720"/>
      <c r="Q5" s="5720"/>
      <c r="R5" s="5720"/>
      <c r="S5" s="5721"/>
      <c r="T5" s="5720"/>
      <c r="U5" s="5720"/>
      <c r="V5" s="5720"/>
      <c r="W5" s="5720"/>
      <c r="X5" s="5720"/>
      <c r="Y5" s="5720"/>
      <c r="Z5" s="5720"/>
      <c r="AA5" s="5720"/>
      <c r="AB5" s="5721"/>
      <c r="AC5" s="5720"/>
      <c r="AD5" s="5721"/>
      <c r="AE5" s="5720"/>
      <c r="AF5" s="5720"/>
      <c r="AG5" s="5723"/>
      <c r="AH5" s="5721"/>
      <c r="AI5" s="5720"/>
      <c r="AJ5" s="5721"/>
      <c r="AK5" s="5720"/>
      <c r="AL5" s="5720"/>
      <c r="AM5" s="5720"/>
      <c r="AN5" s="5720"/>
      <c r="AO5" s="5720"/>
      <c r="AP5" s="5720"/>
      <c r="AQ5" s="5720"/>
      <c r="AR5" s="5721"/>
      <c r="AS5" s="5720"/>
      <c r="AT5" s="8544"/>
      <c r="AU5" s="8544"/>
      <c r="AV5" s="5720"/>
      <c r="AW5" s="5720"/>
      <c r="AX5" s="5721"/>
      <c r="AY5" s="5720"/>
      <c r="AZ5" s="5720"/>
      <c r="BA5" s="5720"/>
      <c r="BB5" s="5720"/>
      <c r="BC5" s="5720"/>
      <c r="BD5" s="5720"/>
      <c r="BE5" s="5720"/>
      <c r="BF5" s="5720"/>
      <c r="BG5" s="5720"/>
      <c r="BH5" s="5720"/>
      <c r="BI5" s="5720"/>
      <c r="BJ5" s="5720"/>
      <c r="BK5" s="5720"/>
      <c r="BL5" s="5720"/>
      <c r="BM5" s="5720"/>
      <c r="BN5" s="5720"/>
      <c r="BO5" s="5720"/>
      <c r="BP5" s="5720"/>
      <c r="BQ5" s="5720"/>
      <c r="BR5" s="5720"/>
      <c r="BS5" s="5722"/>
      <c r="BT5" s="5722"/>
      <c r="BU5" s="5722"/>
      <c r="BV5" s="5722"/>
      <c r="BW5" s="5722"/>
      <c r="BX5" s="5722"/>
      <c r="BY5" s="5722"/>
      <c r="BZ5" s="5723"/>
      <c r="CA5" s="5723"/>
      <c r="CB5" s="8550"/>
      <c r="CC5" s="8550"/>
      <c r="CD5" s="5723"/>
      <c r="CE5" s="5723"/>
      <c r="CF5" s="8550"/>
      <c r="CG5" s="5720"/>
      <c r="CH5" s="5719"/>
    </row>
    <row r="6" spans="1:86" s="5727" customFormat="1">
      <c r="A6" s="5725" t="s">
        <v>568</v>
      </c>
      <c r="B6" s="5670">
        <v>2362904.67</v>
      </c>
      <c r="C6" s="5670"/>
      <c r="D6" s="5670"/>
      <c r="E6" s="5670"/>
      <c r="F6" s="5670"/>
      <c r="G6" s="5670"/>
      <c r="H6" s="5670">
        <v>369300</v>
      </c>
      <c r="I6" s="5670"/>
      <c r="J6" s="5670">
        <v>3186749.19</v>
      </c>
      <c r="K6" s="5670"/>
      <c r="L6" s="5670"/>
      <c r="M6" s="5670"/>
      <c r="N6" s="5670"/>
      <c r="O6" s="5670"/>
      <c r="P6" s="5670"/>
      <c r="Q6" s="5670"/>
      <c r="R6" s="5670">
        <v>3624295.56</v>
      </c>
      <c r="S6" s="5670"/>
      <c r="T6" s="5670"/>
      <c r="U6" s="5670">
        <v>8800</v>
      </c>
      <c r="V6" s="5670"/>
      <c r="W6" s="5670">
        <v>628064.18999999994</v>
      </c>
      <c r="X6" s="5670">
        <v>6102106.4199999999</v>
      </c>
      <c r="Y6" s="5670"/>
      <c r="Z6" s="5670">
        <v>26023.15</v>
      </c>
      <c r="AA6" s="5670">
        <v>811110.64</v>
      </c>
      <c r="AB6" s="5670"/>
      <c r="AC6" s="5670"/>
      <c r="AD6" s="5670"/>
      <c r="AE6" s="5670">
        <v>11988</v>
      </c>
      <c r="AF6" s="5670">
        <v>13970</v>
      </c>
      <c r="AG6" s="5670"/>
      <c r="AH6" s="5670">
        <v>14000000</v>
      </c>
      <c r="AI6" s="5670"/>
      <c r="AJ6" s="5670"/>
      <c r="AL6" s="5670">
        <v>8542116.0700000003</v>
      </c>
      <c r="AM6" s="5670"/>
      <c r="AN6" s="5670"/>
      <c r="AO6" s="5670">
        <v>25113883.25</v>
      </c>
      <c r="AP6" s="5670"/>
      <c r="AQ6" s="5670"/>
      <c r="AR6" s="5670"/>
      <c r="AS6" s="5670">
        <v>383600</v>
      </c>
      <c r="AT6" s="5670"/>
      <c r="AU6" s="5670"/>
      <c r="AV6" s="5670"/>
      <c r="AW6" s="5670">
        <v>297028.40000000002</v>
      </c>
      <c r="AX6" s="5670"/>
      <c r="AY6" s="5670"/>
      <c r="AZ6" s="5670"/>
      <c r="BA6" s="5670"/>
      <c r="BB6" s="5670">
        <v>4445983.9000000004</v>
      </c>
      <c r="BC6" s="5670"/>
      <c r="BD6" s="5670"/>
      <c r="BE6" s="5670"/>
      <c r="BF6" s="5670"/>
      <c r="BG6" s="5670"/>
      <c r="BH6" s="5670">
        <v>45000</v>
      </c>
      <c r="BI6" s="5670">
        <v>368500</v>
      </c>
      <c r="BJ6" s="5670"/>
      <c r="BK6" s="5670">
        <v>9412598.4199999999</v>
      </c>
      <c r="BL6" s="5670"/>
      <c r="BM6" s="5670">
        <v>29412881.620000001</v>
      </c>
      <c r="BN6" s="5670"/>
      <c r="BO6" s="5670">
        <v>2512996.37</v>
      </c>
      <c r="BP6" s="5670"/>
      <c r="BQ6" s="5670"/>
      <c r="BR6" s="5670"/>
      <c r="BS6" s="5670"/>
      <c r="BT6" s="5670"/>
      <c r="BU6" s="5670"/>
      <c r="BV6" s="5670"/>
      <c r="BW6" s="5670"/>
      <c r="BX6" s="5670"/>
      <c r="BY6" s="5670"/>
      <c r="BZ6" s="5677"/>
      <c r="CA6" s="5677"/>
      <c r="CB6" s="8551"/>
      <c r="CC6" s="8551"/>
      <c r="CD6" s="5677"/>
      <c r="CE6" s="5677"/>
      <c r="CF6" s="8551"/>
      <c r="CG6" s="5726">
        <f>SUM(B6:CF6)</f>
        <v>111679899.85000001</v>
      </c>
      <c r="CH6" s="5725" t="s">
        <v>568</v>
      </c>
    </row>
    <row r="7" spans="1:86" s="5727" customFormat="1">
      <c r="A7" s="5725" t="s">
        <v>9134</v>
      </c>
      <c r="B7" s="5670">
        <v>97776.6</v>
      </c>
      <c r="C7" s="5670"/>
      <c r="D7" s="5670"/>
      <c r="E7" s="5670"/>
      <c r="F7" s="5670"/>
      <c r="G7" s="5670"/>
      <c r="H7" s="5670">
        <v>150800</v>
      </c>
      <c r="I7" s="5670"/>
      <c r="J7" s="5670">
        <v>423867.18</v>
      </c>
      <c r="K7" s="5670"/>
      <c r="L7" s="5670"/>
      <c r="M7" s="5670"/>
      <c r="N7" s="5670"/>
      <c r="O7" s="5670"/>
      <c r="P7" s="5670"/>
      <c r="Q7" s="5670"/>
      <c r="R7" s="5670">
        <v>6000</v>
      </c>
      <c r="S7" s="5670"/>
      <c r="T7" s="5670"/>
      <c r="U7" s="5670"/>
      <c r="V7" s="5670"/>
      <c r="W7" s="5670"/>
      <c r="X7" s="5670"/>
      <c r="Y7" s="5670"/>
      <c r="Z7" s="5670">
        <v>205</v>
      </c>
      <c r="AA7" s="5670">
        <v>213092.2</v>
      </c>
      <c r="AB7" s="5670"/>
      <c r="AC7" s="5670"/>
      <c r="AD7" s="5670"/>
      <c r="AE7" s="5670">
        <v>21840</v>
      </c>
      <c r="AF7" s="5670"/>
      <c r="AG7" s="5670"/>
      <c r="AH7" s="5670"/>
      <c r="AI7" s="5670"/>
      <c r="AJ7" s="5670"/>
      <c r="AK7" s="5670"/>
      <c r="AL7" s="5670"/>
      <c r="AM7" s="5670"/>
      <c r="AN7" s="5670">
        <v>7295360.5199999996</v>
      </c>
      <c r="AO7" s="5670">
        <v>656850.1</v>
      </c>
      <c r="AP7" s="5670"/>
      <c r="AQ7" s="5670"/>
      <c r="AR7" s="5670"/>
      <c r="AS7" s="5670">
        <v>13811.2</v>
      </c>
      <c r="AT7" s="5670"/>
      <c r="AU7" s="5670"/>
      <c r="AV7" s="5670"/>
      <c r="AW7" s="5670">
        <v>25797</v>
      </c>
      <c r="AX7" s="5670"/>
      <c r="AY7" s="5670"/>
      <c r="AZ7" s="5670"/>
      <c r="BA7" s="5670"/>
      <c r="BB7" s="5670"/>
      <c r="BC7" s="5670"/>
      <c r="BD7" s="5670"/>
      <c r="BE7" s="5670"/>
      <c r="BF7" s="5670"/>
      <c r="BG7" s="5670"/>
      <c r="BH7" s="5670"/>
      <c r="BI7" s="5670">
        <v>117153.18</v>
      </c>
      <c r="BJ7" s="5670"/>
      <c r="BK7" s="5670"/>
      <c r="BL7" s="5670"/>
      <c r="BM7" s="5670"/>
      <c r="BN7" s="5670"/>
      <c r="BO7" s="5670">
        <v>48765</v>
      </c>
      <c r="BP7" s="5670"/>
      <c r="BQ7" s="5670"/>
      <c r="BR7" s="5670"/>
      <c r="BS7" s="5670"/>
      <c r="BT7" s="5670"/>
      <c r="BU7" s="5670"/>
      <c r="BV7" s="5670"/>
      <c r="BW7" s="5670"/>
      <c r="BX7" s="5670"/>
      <c r="BY7" s="5670"/>
      <c r="BZ7" s="5677"/>
      <c r="CA7" s="5677"/>
      <c r="CB7" s="8551"/>
      <c r="CC7" s="8551"/>
      <c r="CD7" s="5677"/>
      <c r="CE7" s="5677"/>
      <c r="CF7" s="8551"/>
      <c r="CG7" s="5726">
        <f t="shared" ref="CG7:CG21" si="0">SUM(B7:CF7)</f>
        <v>9071317.9799999986</v>
      </c>
      <c r="CH7" s="5725" t="s">
        <v>9134</v>
      </c>
    </row>
    <row r="8" spans="1:86" ht="13.5" customHeight="1">
      <c r="A8" s="5728" t="s">
        <v>1724</v>
      </c>
      <c r="B8" s="5418">
        <v>3502</v>
      </c>
      <c r="C8" s="5419"/>
      <c r="D8" s="5419"/>
      <c r="E8" s="5419"/>
      <c r="F8" s="5419"/>
      <c r="G8" s="5419"/>
      <c r="H8" s="5419">
        <v>39150</v>
      </c>
      <c r="I8" s="5419"/>
      <c r="J8" s="5419">
        <v>89070.05</v>
      </c>
      <c r="K8" s="5419"/>
      <c r="L8" s="5419"/>
      <c r="M8" s="5419"/>
      <c r="N8" s="5419"/>
      <c r="O8" s="5419"/>
      <c r="P8" s="5419"/>
      <c r="Q8" s="5419"/>
      <c r="R8" s="5419"/>
      <c r="S8" s="5419"/>
      <c r="T8" s="5419"/>
      <c r="U8" s="5419"/>
      <c r="V8" s="5419"/>
      <c r="W8" s="5419"/>
      <c r="X8" s="5419">
        <v>180000</v>
      </c>
      <c r="Y8" s="5419"/>
      <c r="Z8" s="5419"/>
      <c r="AA8" s="5419"/>
      <c r="AB8" s="5419"/>
      <c r="AC8" s="5419"/>
      <c r="AD8" s="5419"/>
      <c r="AE8" s="5419">
        <v>425793.54</v>
      </c>
      <c r="AF8" s="5419"/>
      <c r="AG8" s="5670"/>
      <c r="AH8" s="5419"/>
      <c r="AI8" s="5419"/>
      <c r="AJ8" s="5419"/>
      <c r="AK8" s="5419"/>
      <c r="AL8" s="5419">
        <v>1058071.55</v>
      </c>
      <c r="AM8" s="5419"/>
      <c r="AN8" s="5419"/>
      <c r="AO8" s="5419">
        <v>311368.15000000002</v>
      </c>
      <c r="AP8" s="5419"/>
      <c r="AQ8" s="5419"/>
      <c r="AR8" s="5670"/>
      <c r="AS8" s="5419"/>
      <c r="AT8" s="5419"/>
      <c r="AU8" s="5419"/>
      <c r="AV8" s="5419"/>
      <c r="AW8" s="5419">
        <v>71142</v>
      </c>
      <c r="AX8" s="5419"/>
      <c r="AY8" s="5419"/>
      <c r="AZ8" s="5419"/>
      <c r="BA8" s="5419"/>
      <c r="BB8" s="5419"/>
      <c r="BC8" s="5419"/>
      <c r="BD8" s="5419"/>
      <c r="BE8" s="5419"/>
      <c r="BF8" s="5419"/>
      <c r="BG8" s="5419"/>
      <c r="BH8" s="5419"/>
      <c r="BI8" s="5419"/>
      <c r="BJ8" s="5419"/>
      <c r="BK8" s="5419"/>
      <c r="BL8" s="5419"/>
      <c r="BM8" s="5419"/>
      <c r="BN8" s="5419"/>
      <c r="BO8" s="5419">
        <v>15668.25</v>
      </c>
      <c r="BP8" s="5419"/>
      <c r="BQ8" s="5419"/>
      <c r="BR8" s="5419"/>
      <c r="BS8" s="5419"/>
      <c r="BT8" s="5419"/>
      <c r="BU8" s="5419"/>
      <c r="BV8" s="5419"/>
      <c r="BW8" s="5419"/>
      <c r="BX8" s="5419"/>
      <c r="BY8" s="5419"/>
      <c r="BZ8" s="5676"/>
      <c r="CA8" s="5676"/>
      <c r="CB8" s="8545"/>
      <c r="CC8" s="8545"/>
      <c r="CD8" s="5676"/>
      <c r="CE8" s="5676"/>
      <c r="CF8" s="8545"/>
      <c r="CG8" s="5726">
        <f t="shared" si="0"/>
        <v>2193765.54</v>
      </c>
      <c r="CH8" s="5728" t="s">
        <v>1724</v>
      </c>
    </row>
    <row r="9" spans="1:86" ht="13.5" customHeight="1">
      <c r="A9" s="8554" t="s">
        <v>10317</v>
      </c>
      <c r="B9" s="5418">
        <v>13492</v>
      </c>
      <c r="C9" s="5419"/>
      <c r="D9" s="5419"/>
      <c r="E9" s="5419"/>
      <c r="F9" s="5419"/>
      <c r="G9" s="5419"/>
      <c r="H9" s="5419"/>
      <c r="I9" s="5419"/>
      <c r="J9" s="5419"/>
      <c r="K9" s="5419"/>
      <c r="L9" s="5419"/>
      <c r="M9" s="5419"/>
      <c r="N9" s="5419"/>
      <c r="O9" s="5419"/>
      <c r="P9" s="5419"/>
      <c r="Q9" s="5419"/>
      <c r="R9" s="5419"/>
      <c r="S9" s="5419"/>
      <c r="T9" s="5419"/>
      <c r="U9" s="5419"/>
      <c r="V9" s="5419"/>
      <c r="W9" s="5419"/>
      <c r="X9" s="5419"/>
      <c r="Y9" s="5419"/>
      <c r="Z9" s="5419"/>
      <c r="AA9" s="5419">
        <v>79897.56</v>
      </c>
      <c r="AB9" s="5419"/>
      <c r="AC9" s="5419"/>
      <c r="AD9" s="5419"/>
      <c r="AE9" s="5419"/>
      <c r="AF9" s="5419"/>
      <c r="AG9" s="5670"/>
      <c r="AH9" s="5419"/>
      <c r="AI9" s="5419"/>
      <c r="AJ9" s="5419"/>
      <c r="AK9" s="5419"/>
      <c r="AL9" s="5419">
        <v>721608.19</v>
      </c>
      <c r="AM9" s="5419"/>
      <c r="AN9" s="5419"/>
      <c r="AO9" s="5419">
        <v>566140.06000000006</v>
      </c>
      <c r="AP9" s="5419"/>
      <c r="AQ9" s="5419"/>
      <c r="AR9" s="5670"/>
      <c r="AS9" s="5419"/>
      <c r="AT9" s="5419"/>
      <c r="AU9" s="5419"/>
      <c r="AV9" s="5419"/>
      <c r="AW9" s="5419"/>
      <c r="AX9" s="5419"/>
      <c r="AY9" s="5419"/>
      <c r="AZ9" s="5419"/>
      <c r="BA9" s="5419"/>
      <c r="BB9" s="5419"/>
      <c r="BC9" s="5419"/>
      <c r="BD9" s="5419"/>
      <c r="BE9" s="5419"/>
      <c r="BF9" s="5419"/>
      <c r="BG9" s="5419"/>
      <c r="BH9" s="5419"/>
      <c r="BI9" s="5419"/>
      <c r="BJ9" s="5419"/>
      <c r="BK9" s="5419"/>
      <c r="BL9" s="5419"/>
      <c r="BM9" s="5419"/>
      <c r="BN9" s="5419"/>
      <c r="BO9" s="5419"/>
      <c r="BP9" s="5419"/>
      <c r="BQ9" s="5419"/>
      <c r="BR9" s="5419"/>
      <c r="BS9" s="5419"/>
      <c r="BT9" s="5419"/>
      <c r="BU9" s="5419"/>
      <c r="BV9" s="5419"/>
      <c r="BW9" s="5419"/>
      <c r="BX9" s="5419"/>
      <c r="BY9" s="5419"/>
      <c r="BZ9" s="8545"/>
      <c r="CA9" s="8545"/>
      <c r="CB9" s="8545"/>
      <c r="CC9" s="8545"/>
      <c r="CD9" s="8545"/>
      <c r="CE9" s="8545"/>
      <c r="CF9" s="8545"/>
      <c r="CG9" s="5726">
        <f t="shared" si="0"/>
        <v>1381137.81</v>
      </c>
      <c r="CH9" s="8554" t="s">
        <v>10317</v>
      </c>
    </row>
    <row r="10" spans="1:86" s="5727" customFormat="1" ht="13.5" customHeight="1">
      <c r="A10" s="5729" t="s">
        <v>10318</v>
      </c>
      <c r="B10" s="5670">
        <v>15510</v>
      </c>
      <c r="C10" s="5419"/>
      <c r="D10" s="5419"/>
      <c r="E10" s="5419"/>
      <c r="F10" s="5419"/>
      <c r="G10" s="5419"/>
      <c r="H10" s="5670"/>
      <c r="I10" s="5670"/>
      <c r="J10" s="5670">
        <v>49628</v>
      </c>
      <c r="K10" s="5670"/>
      <c r="L10" s="5670"/>
      <c r="M10" s="5670"/>
      <c r="N10" s="5670"/>
      <c r="O10" s="5670"/>
      <c r="P10" s="5670"/>
      <c r="Q10" s="5670"/>
      <c r="R10" s="5419"/>
      <c r="S10" s="5419"/>
      <c r="T10" s="5419"/>
      <c r="U10" s="5419"/>
      <c r="V10" s="5419"/>
      <c r="W10" s="5670"/>
      <c r="X10" s="5670"/>
      <c r="Y10" s="5670"/>
      <c r="Z10" s="5670"/>
      <c r="AA10" s="5670">
        <v>22597.15</v>
      </c>
      <c r="AB10" s="5670"/>
      <c r="AC10" s="5670"/>
      <c r="AD10" s="5670"/>
      <c r="AE10" s="5670"/>
      <c r="AF10" s="5670"/>
      <c r="AG10" s="5670"/>
      <c r="AH10" s="5670"/>
      <c r="AI10" s="5670"/>
      <c r="AJ10" s="5670"/>
      <c r="AK10" s="5670"/>
      <c r="AL10" s="5670"/>
      <c r="AM10" s="5670"/>
      <c r="AN10" s="5670"/>
      <c r="AO10" s="5670"/>
      <c r="AP10" s="5670"/>
      <c r="AQ10" s="5670"/>
      <c r="AR10" s="5670"/>
      <c r="AS10" s="5670"/>
      <c r="AT10" s="5670"/>
      <c r="AU10" s="5670"/>
      <c r="AV10" s="5670"/>
      <c r="AW10" s="5670"/>
      <c r="AX10" s="5670"/>
      <c r="AY10" s="5670"/>
      <c r="AZ10" s="5670"/>
      <c r="BA10" s="5670"/>
      <c r="BB10" s="5670"/>
      <c r="BC10" s="5670"/>
      <c r="BD10" s="5670"/>
      <c r="BE10" s="5670"/>
      <c r="BF10" s="5670"/>
      <c r="BG10" s="5670"/>
      <c r="BH10" s="5670"/>
      <c r="BI10" s="5670"/>
      <c r="BJ10" s="5670"/>
      <c r="BK10" s="5670"/>
      <c r="BL10" s="5670"/>
      <c r="BM10" s="5670"/>
      <c r="BN10" s="5670"/>
      <c r="BO10" s="5670"/>
      <c r="BP10" s="5419"/>
      <c r="BQ10" s="5419"/>
      <c r="BR10" s="5419"/>
      <c r="BS10" s="5419"/>
      <c r="BT10" s="5419"/>
      <c r="BU10" s="5419"/>
      <c r="BV10" s="5419"/>
      <c r="BW10" s="5419"/>
      <c r="BX10" s="5419"/>
      <c r="BY10" s="5419"/>
      <c r="BZ10" s="5676"/>
      <c r="CA10" s="5676"/>
      <c r="CB10" s="8545"/>
      <c r="CC10" s="8545"/>
      <c r="CD10" s="5676"/>
      <c r="CE10" s="5676"/>
      <c r="CF10" s="8545"/>
      <c r="CG10" s="5726">
        <f t="shared" si="0"/>
        <v>87735.15</v>
      </c>
      <c r="CH10" s="5729" t="s">
        <v>10318</v>
      </c>
    </row>
    <row r="11" spans="1:86" ht="13.5" customHeight="1">
      <c r="A11" s="5690" t="s">
        <v>678</v>
      </c>
      <c r="B11" s="5420">
        <v>53401.06</v>
      </c>
      <c r="C11" s="5419"/>
      <c r="D11" s="5419"/>
      <c r="E11" s="5419"/>
      <c r="F11" s="5419"/>
      <c r="G11" s="5419"/>
      <c r="H11" s="5420">
        <v>90000</v>
      </c>
      <c r="I11" s="5420"/>
      <c r="J11" s="5420">
        <v>46538.75</v>
      </c>
      <c r="K11" s="5670"/>
      <c r="L11" s="5670"/>
      <c r="M11" s="5670"/>
      <c r="N11" s="5670"/>
      <c r="O11" s="5670"/>
      <c r="P11" s="5670"/>
      <c r="Q11" s="5670"/>
      <c r="R11" s="5419"/>
      <c r="S11" s="5419"/>
      <c r="T11" s="5419"/>
      <c r="U11" s="5419"/>
      <c r="V11" s="5419"/>
      <c r="W11" s="5420"/>
      <c r="X11" s="5420">
        <v>31155.06</v>
      </c>
      <c r="Y11" s="5420"/>
      <c r="Z11" s="5420"/>
      <c r="AA11" s="5420">
        <v>56269.919999999998</v>
      </c>
      <c r="AB11" s="5420"/>
      <c r="AC11" s="5420"/>
      <c r="AD11" s="5420"/>
      <c r="AE11" s="5420"/>
      <c r="AF11" s="5420"/>
      <c r="AG11" s="5670"/>
      <c r="AH11" s="5670"/>
      <c r="AI11" s="5670"/>
      <c r="AJ11" s="5670"/>
      <c r="AK11" s="5670"/>
      <c r="AL11" s="5420">
        <v>236775.14</v>
      </c>
      <c r="AM11" s="5420"/>
      <c r="AN11" s="5420"/>
      <c r="AO11" s="5420">
        <v>245829.35</v>
      </c>
      <c r="AP11" s="5420"/>
      <c r="AQ11" s="5420"/>
      <c r="AR11" s="5670"/>
      <c r="AS11" s="5420"/>
      <c r="AT11" s="5420"/>
      <c r="AU11" s="5420"/>
      <c r="AV11" s="5420"/>
      <c r="AW11" s="5420">
        <v>20131.46</v>
      </c>
      <c r="AX11" s="5420"/>
      <c r="AY11" s="5420"/>
      <c r="AZ11" s="5670"/>
      <c r="BA11" s="5670"/>
      <c r="BB11" s="5670"/>
      <c r="BC11" s="5670"/>
      <c r="BD11" s="5670"/>
      <c r="BE11" s="5670"/>
      <c r="BF11" s="5670"/>
      <c r="BG11" s="5670"/>
      <c r="BH11" s="5670"/>
      <c r="BI11" s="5670"/>
      <c r="BJ11" s="5670"/>
      <c r="BK11" s="5670"/>
      <c r="BL11" s="5670"/>
      <c r="BM11" s="5670"/>
      <c r="BN11" s="5670"/>
      <c r="BO11" s="5420">
        <v>12759.75</v>
      </c>
      <c r="BP11" s="5419"/>
      <c r="BQ11" s="5419"/>
      <c r="BR11" s="5419"/>
      <c r="BS11" s="5419"/>
      <c r="BT11" s="5419"/>
      <c r="BU11" s="5419"/>
      <c r="BV11" s="5419"/>
      <c r="BW11" s="5419"/>
      <c r="BX11" s="5419"/>
      <c r="BY11" s="5419"/>
      <c r="BZ11" s="5676"/>
      <c r="CA11" s="5676"/>
      <c r="CB11" s="8545"/>
      <c r="CC11" s="8545"/>
      <c r="CD11" s="5676"/>
      <c r="CE11" s="5676"/>
      <c r="CF11" s="8545"/>
      <c r="CG11" s="5726">
        <f t="shared" si="0"/>
        <v>792860.49</v>
      </c>
      <c r="CH11" s="5690" t="s">
        <v>678</v>
      </c>
    </row>
    <row r="12" spans="1:86">
      <c r="A12" s="5690" t="s">
        <v>569</v>
      </c>
      <c r="B12" s="5693">
        <f>'ACTUAL KAGAWAD 2017'!B23</f>
        <v>997207.54</v>
      </c>
      <c r="C12" s="5419"/>
      <c r="D12" s="5419"/>
      <c r="E12" s="5419"/>
      <c r="F12" s="5683"/>
      <c r="G12" s="8545"/>
      <c r="H12" s="5693">
        <f>'ACTUAL KAGAWAD 2017'!C23</f>
        <v>796180.76</v>
      </c>
      <c r="I12" s="5692"/>
      <c r="J12" s="5693">
        <f>'ACTUAL KAGAWAD 2017'!D23</f>
        <v>2540732.44</v>
      </c>
      <c r="K12" s="5670"/>
      <c r="L12" s="5670"/>
      <c r="M12" s="5670"/>
      <c r="N12" s="5670"/>
      <c r="O12" s="5670"/>
      <c r="P12" s="5670"/>
      <c r="Q12" s="5670"/>
      <c r="R12" s="5419">
        <v>1941343.57</v>
      </c>
      <c r="S12" s="5419"/>
      <c r="T12" s="5419"/>
      <c r="U12" s="10222">
        <f>'ACTUAL KAGAWAD 2017'!E23</f>
        <v>37500</v>
      </c>
      <c r="V12" s="5419"/>
      <c r="W12" s="5691"/>
      <c r="X12" s="5693">
        <f>'ACTUAL KAGAWAD 2017'!F23</f>
        <v>1567847.22</v>
      </c>
      <c r="Y12" s="5694"/>
      <c r="Z12" s="5693">
        <f>'ACTUAL KAGAWAD 2017'!G23</f>
        <v>11005</v>
      </c>
      <c r="AA12" s="5701">
        <f>'ACTUAL KAGAWAD 2017'!H23</f>
        <v>1011416.27</v>
      </c>
      <c r="AB12" s="5694"/>
      <c r="AC12" s="5701"/>
      <c r="AD12" s="5695"/>
      <c r="AE12" s="5694"/>
      <c r="AF12" s="5691">
        <v>268930</v>
      </c>
      <c r="AG12" s="5670">
        <v>17500</v>
      </c>
      <c r="AH12" s="5670"/>
      <c r="AI12" s="5670"/>
      <c r="AJ12" s="5670"/>
      <c r="AK12" s="5670"/>
      <c r="AL12" s="5696"/>
      <c r="AM12" s="5694">
        <v>119884.84</v>
      </c>
      <c r="AN12" s="5698"/>
      <c r="AO12" s="5693">
        <f>'ACTUAL KAGAWAD 2017'!K23</f>
        <v>21557488.710000001</v>
      </c>
      <c r="AP12" s="5702">
        <f>'ACTUAL KAGAWAD 2017'!L23</f>
        <v>0</v>
      </c>
      <c r="AQ12" s="5697"/>
      <c r="AR12" s="5670"/>
      <c r="AS12" s="5694">
        <v>359890.75</v>
      </c>
      <c r="AT12" s="8559"/>
      <c r="AU12" s="8559"/>
      <c r="AV12" s="5691"/>
      <c r="AW12" s="5701">
        <f>'ACTUAL KAGAWAD 2017'!N23</f>
        <v>193143.5</v>
      </c>
      <c r="AX12" s="5694"/>
      <c r="AY12" s="5693">
        <f>'ACTUAL KAGAWAD 2017'!M23</f>
        <v>0</v>
      </c>
      <c r="AZ12" s="5670"/>
      <c r="BA12" s="8555"/>
      <c r="BB12" s="5670">
        <v>1306022.18</v>
      </c>
      <c r="BC12" s="5670"/>
      <c r="BD12" s="5670"/>
      <c r="BE12" s="5670"/>
      <c r="BF12" s="5670"/>
      <c r="BG12" s="5670"/>
      <c r="BH12" s="8555">
        <f>'ACTUAL KAGAWAD 2017'!O23</f>
        <v>1612.5</v>
      </c>
      <c r="BI12" s="5670">
        <v>28000</v>
      </c>
      <c r="BJ12" s="5670"/>
      <c r="BK12" s="8555">
        <f>'ACTUAL KAGAWAD 2017'!P23</f>
        <v>1459356.9</v>
      </c>
      <c r="BL12" s="10223">
        <f>'ACTUAL KAGAWAD 2017'!Q23</f>
        <v>131088</v>
      </c>
      <c r="BM12" s="5670"/>
      <c r="BN12" s="5670"/>
      <c r="BO12" s="5701">
        <f>'ACTUAL KAGAWAD 2017'!R23</f>
        <v>866429.99</v>
      </c>
      <c r="BP12" s="5419"/>
      <c r="BQ12" s="5419"/>
      <c r="BR12" s="5419"/>
      <c r="BS12" s="5419"/>
      <c r="BT12" s="5419"/>
      <c r="BU12" s="5419"/>
      <c r="BV12" s="5419"/>
      <c r="BW12" s="5419"/>
      <c r="BX12" s="5419"/>
      <c r="BY12" s="5419"/>
      <c r="BZ12" s="5676"/>
      <c r="CA12" s="5676"/>
      <c r="CB12" s="8545"/>
      <c r="CC12" s="8545"/>
      <c r="CD12" s="5676"/>
      <c r="CE12" s="5676"/>
      <c r="CF12" s="8545"/>
      <c r="CG12" s="5726">
        <f t="shared" si="0"/>
        <v>35212580.170000002</v>
      </c>
      <c r="CH12" s="5690" t="s">
        <v>569</v>
      </c>
    </row>
    <row r="13" spans="1:86">
      <c r="A13" s="5690" t="s">
        <v>570</v>
      </c>
      <c r="B13" s="5420">
        <v>110495</v>
      </c>
      <c r="C13" s="5419"/>
      <c r="D13" s="5419"/>
      <c r="E13" s="5419"/>
      <c r="F13" s="5419"/>
      <c r="G13" s="5419"/>
      <c r="H13" s="5420">
        <v>312545</v>
      </c>
      <c r="I13" s="5692"/>
      <c r="J13" s="5420">
        <v>523384.25</v>
      </c>
      <c r="K13" s="5670"/>
      <c r="L13" s="5670"/>
      <c r="M13" s="5670"/>
      <c r="N13" s="5670"/>
      <c r="O13" s="5670"/>
      <c r="P13" s="5670"/>
      <c r="Q13" s="5670"/>
      <c r="R13" s="5419">
        <v>34115</v>
      </c>
      <c r="S13" s="5419"/>
      <c r="T13" s="5419"/>
      <c r="U13" s="5419"/>
      <c r="V13" s="5419"/>
      <c r="W13" s="5420"/>
      <c r="X13" s="5420"/>
      <c r="Y13" s="5420"/>
      <c r="Z13" s="5420">
        <v>3690</v>
      </c>
      <c r="AA13" s="5420">
        <v>52946.94</v>
      </c>
      <c r="AB13" s="5420"/>
      <c r="AC13" s="5420"/>
      <c r="AD13" s="5420"/>
      <c r="AE13" s="5420">
        <v>2974.99</v>
      </c>
      <c r="AF13" s="5420"/>
      <c r="AG13" s="5670"/>
      <c r="AH13" s="5670"/>
      <c r="AI13" s="5670">
        <v>368066.5</v>
      </c>
      <c r="AJ13" s="5670"/>
      <c r="AK13" s="5670"/>
      <c r="AL13" s="5420"/>
      <c r="AM13" s="5420"/>
      <c r="AN13" s="5420"/>
      <c r="AO13" s="5420">
        <v>1015807.08</v>
      </c>
      <c r="AP13" s="5420"/>
      <c r="AQ13" s="5420"/>
      <c r="AR13" s="5670"/>
      <c r="AS13" s="5420"/>
      <c r="AT13" s="5420"/>
      <c r="AU13" s="5420"/>
      <c r="AV13" s="5420"/>
      <c r="AW13" s="5420">
        <v>2225</v>
      </c>
      <c r="AX13" s="5420"/>
      <c r="AY13" s="5420"/>
      <c r="AZ13" s="5670"/>
      <c r="BA13" s="5670"/>
      <c r="BB13" s="5670">
        <v>3098</v>
      </c>
      <c r="BC13" s="5670"/>
      <c r="BD13" s="5670"/>
      <c r="BE13" s="5670"/>
      <c r="BF13" s="5670"/>
      <c r="BG13" s="5670"/>
      <c r="BH13" s="5670">
        <v>2250</v>
      </c>
      <c r="BI13" s="5670"/>
      <c r="BJ13" s="5670"/>
      <c r="BK13" s="5670"/>
      <c r="BL13" s="5670"/>
      <c r="BM13" s="5670"/>
      <c r="BN13" s="5670"/>
      <c r="BO13" s="5420">
        <v>700834.5</v>
      </c>
      <c r="BP13" s="5419"/>
      <c r="BQ13" s="5419"/>
      <c r="BR13" s="5419"/>
      <c r="BS13" s="5419"/>
      <c r="BT13" s="5419"/>
      <c r="BU13" s="5419"/>
      <c r="BV13" s="5419"/>
      <c r="BW13" s="5419"/>
      <c r="BX13" s="5419"/>
      <c r="BY13" s="5419"/>
      <c r="BZ13" s="5676"/>
      <c r="CA13" s="5676"/>
      <c r="CB13" s="8545"/>
      <c r="CC13" s="8545"/>
      <c r="CD13" s="5676"/>
      <c r="CE13" s="5676"/>
      <c r="CF13" s="8545"/>
      <c r="CG13" s="5726">
        <f t="shared" si="0"/>
        <v>3132432.26</v>
      </c>
      <c r="CH13" s="5690" t="s">
        <v>570</v>
      </c>
    </row>
    <row r="14" spans="1:86">
      <c r="A14" s="5690" t="s">
        <v>571</v>
      </c>
      <c r="B14" s="5420">
        <v>441496.99</v>
      </c>
      <c r="C14" s="5419"/>
      <c r="D14" s="5419"/>
      <c r="E14" s="5419"/>
      <c r="F14" s="5419"/>
      <c r="G14" s="5419"/>
      <c r="H14" s="5420">
        <v>111490</v>
      </c>
      <c r="I14" s="5692"/>
      <c r="J14" s="5420">
        <v>274487.65000000002</v>
      </c>
      <c r="K14" s="5670"/>
      <c r="L14" s="5670"/>
      <c r="M14" s="5670"/>
      <c r="N14" s="5670"/>
      <c r="O14" s="5670"/>
      <c r="P14" s="5670"/>
      <c r="Q14" s="5670"/>
      <c r="R14" s="5420">
        <v>156495.01</v>
      </c>
      <c r="S14" s="5419"/>
      <c r="T14" s="5420"/>
      <c r="U14" s="5420"/>
      <c r="V14" s="5420"/>
      <c r="W14" s="5420"/>
      <c r="X14" s="5420">
        <v>470000</v>
      </c>
      <c r="Y14" s="5420"/>
      <c r="Z14" s="5420">
        <v>10399</v>
      </c>
      <c r="AA14" s="5420">
        <v>151105.53</v>
      </c>
      <c r="AB14" s="5420"/>
      <c r="AC14" s="5420"/>
      <c r="AD14" s="5420"/>
      <c r="AE14" s="5420">
        <v>125478.72</v>
      </c>
      <c r="AF14" s="5420"/>
      <c r="AG14" s="5419"/>
      <c r="AH14" s="5670"/>
      <c r="AI14" s="5670"/>
      <c r="AJ14" s="5670"/>
      <c r="AK14" s="5670"/>
      <c r="AL14" s="5420">
        <v>180000</v>
      </c>
      <c r="AM14" s="5420"/>
      <c r="AN14" s="5420"/>
      <c r="AO14" s="5420">
        <v>777795.3</v>
      </c>
      <c r="AP14" s="5420"/>
      <c r="AQ14" s="5420"/>
      <c r="AR14" s="5670"/>
      <c r="AS14" s="5420">
        <v>4000</v>
      </c>
      <c r="AT14" s="5420"/>
      <c r="AU14" s="5420"/>
      <c r="AV14" s="5420"/>
      <c r="AW14" s="5420">
        <v>113571</v>
      </c>
      <c r="AX14" s="5420"/>
      <c r="AY14" s="5420"/>
      <c r="AZ14" s="5670"/>
      <c r="BA14" s="5670"/>
      <c r="BB14" s="5670">
        <v>137238.88</v>
      </c>
      <c r="BC14" s="5670"/>
      <c r="BD14" s="5670"/>
      <c r="BE14" s="5670"/>
      <c r="BF14" s="5670"/>
      <c r="BG14" s="5670"/>
      <c r="BH14" s="5670">
        <v>450</v>
      </c>
      <c r="BI14" s="5670"/>
      <c r="BJ14" s="5670"/>
      <c r="BK14" s="5670"/>
      <c r="BL14" s="5670">
        <v>8250</v>
      </c>
      <c r="BM14" s="5670"/>
      <c r="BN14" s="5670"/>
      <c r="BO14" s="5420">
        <v>264395.2</v>
      </c>
      <c r="BP14" s="5419"/>
      <c r="BQ14" s="5419"/>
      <c r="BR14" s="5419"/>
      <c r="BS14" s="5419"/>
      <c r="BT14" s="5419"/>
      <c r="BU14" s="5419"/>
      <c r="BV14" s="5419"/>
      <c r="BW14" s="5419"/>
      <c r="BX14" s="5419"/>
      <c r="BY14" s="5419"/>
      <c r="BZ14" s="5676"/>
      <c r="CA14" s="5676"/>
      <c r="CB14" s="8545"/>
      <c r="CC14" s="8545"/>
      <c r="CD14" s="5676"/>
      <c r="CE14" s="5676"/>
      <c r="CF14" s="8545"/>
      <c r="CG14" s="5726">
        <f t="shared" si="0"/>
        <v>3226653.2800000003</v>
      </c>
      <c r="CH14" s="5690" t="s">
        <v>571</v>
      </c>
    </row>
    <row r="15" spans="1:86">
      <c r="A15" s="5690" t="s">
        <v>572</v>
      </c>
      <c r="B15" s="5420">
        <v>344283.56</v>
      </c>
      <c r="C15" s="5419"/>
      <c r="D15" s="5419"/>
      <c r="E15" s="5419"/>
      <c r="F15" s="5419"/>
      <c r="G15" s="5419"/>
      <c r="H15" s="5420">
        <v>231100</v>
      </c>
      <c r="I15" s="5692"/>
      <c r="J15" s="5420">
        <v>403423.75</v>
      </c>
      <c r="K15" s="5670"/>
      <c r="L15" s="5670"/>
      <c r="M15" s="5670"/>
      <c r="N15" s="5670"/>
      <c r="O15" s="5670"/>
      <c r="P15" s="5670"/>
      <c r="Q15" s="5670"/>
      <c r="R15" s="5420">
        <v>578027.74</v>
      </c>
      <c r="S15" s="5419"/>
      <c r="T15" s="5420"/>
      <c r="U15" s="5420"/>
      <c r="V15" s="5420"/>
      <c r="W15" s="5420">
        <v>117595.6</v>
      </c>
      <c r="X15" s="5420">
        <v>422660.57</v>
      </c>
      <c r="Y15" s="5420"/>
      <c r="Z15" s="5420"/>
      <c r="AA15" s="5420">
        <v>96178.16</v>
      </c>
      <c r="AB15" s="5420"/>
      <c r="AC15" s="5420"/>
      <c r="AD15" s="5420"/>
      <c r="AE15" s="5420"/>
      <c r="AF15" s="5420"/>
      <c r="AG15" s="5419"/>
      <c r="AH15" s="5670"/>
      <c r="AI15" s="5670"/>
      <c r="AJ15" s="5670"/>
      <c r="AK15" s="5670"/>
      <c r="AL15" s="5420">
        <v>21577.919999999998</v>
      </c>
      <c r="AM15" s="5420">
        <v>3061592.61</v>
      </c>
      <c r="AN15" s="5420"/>
      <c r="AO15" s="5420">
        <v>4718036.7300000004</v>
      </c>
      <c r="AP15" s="5420"/>
      <c r="AQ15" s="5420"/>
      <c r="AR15" s="5670"/>
      <c r="AS15" s="5420">
        <v>296882.90999999997</v>
      </c>
      <c r="AT15" s="5420"/>
      <c r="AU15" s="5420"/>
      <c r="AV15" s="5420"/>
      <c r="AW15" s="5420">
        <v>187714.15</v>
      </c>
      <c r="AX15" s="5420"/>
      <c r="AY15" s="5420"/>
      <c r="AZ15" s="5670"/>
      <c r="BA15" s="5670"/>
      <c r="BB15" s="5670">
        <v>547672.35</v>
      </c>
      <c r="BC15" s="5670"/>
      <c r="BD15" s="5670"/>
      <c r="BE15" s="5670"/>
      <c r="BF15" s="5670"/>
      <c r="BG15" s="5670"/>
      <c r="BH15" s="5670"/>
      <c r="BI15" s="5670"/>
      <c r="BJ15" s="5670"/>
      <c r="BK15" s="5670"/>
      <c r="BL15" s="5670"/>
      <c r="BM15" s="5670"/>
      <c r="BN15" s="5670">
        <v>2215237.3199999998</v>
      </c>
      <c r="BO15" s="5420">
        <v>179710.1</v>
      </c>
      <c r="BP15" s="5419"/>
      <c r="BQ15" s="5419"/>
      <c r="BR15" s="5419"/>
      <c r="BS15" s="5419"/>
      <c r="BT15" s="5419"/>
      <c r="BU15" s="5419"/>
      <c r="BV15" s="5419"/>
      <c r="BW15" s="5419"/>
      <c r="BX15" s="5419"/>
      <c r="BY15" s="5419"/>
      <c r="BZ15" s="5676"/>
      <c r="CA15" s="5676"/>
      <c r="CB15" s="8545"/>
      <c r="CC15" s="8545"/>
      <c r="CD15" s="5676"/>
      <c r="CE15" s="5676"/>
      <c r="CF15" s="8545"/>
      <c r="CG15" s="5726">
        <f t="shared" si="0"/>
        <v>13421693.470000001</v>
      </c>
      <c r="CH15" s="5690" t="s">
        <v>572</v>
      </c>
    </row>
    <row r="16" spans="1:86">
      <c r="A16" s="5690" t="s">
        <v>573</v>
      </c>
      <c r="B16" s="5420">
        <v>61693.43</v>
      </c>
      <c r="C16" s="5419"/>
      <c r="D16" s="5419"/>
      <c r="E16" s="5419"/>
      <c r="F16" s="5419"/>
      <c r="G16" s="5419"/>
      <c r="H16" s="5420">
        <v>127000</v>
      </c>
      <c r="I16" s="5692"/>
      <c r="J16" s="5420">
        <v>161834.15</v>
      </c>
      <c r="K16" s="5670"/>
      <c r="L16" s="5670"/>
      <c r="M16" s="5670"/>
      <c r="N16" s="5670"/>
      <c r="O16" s="5670"/>
      <c r="P16" s="5670"/>
      <c r="Q16" s="5670"/>
      <c r="R16" s="5420"/>
      <c r="S16" s="5419"/>
      <c r="T16" s="5420"/>
      <c r="U16" s="5420"/>
      <c r="V16" s="5420"/>
      <c r="W16" s="5420"/>
      <c r="X16" s="5420">
        <v>260679.64</v>
      </c>
      <c r="Y16" s="5420"/>
      <c r="Z16" s="5420">
        <v>1799.9</v>
      </c>
      <c r="AA16" s="5420">
        <v>46808.21</v>
      </c>
      <c r="AB16" s="5420"/>
      <c r="AC16" s="5420"/>
      <c r="AD16" s="5420"/>
      <c r="AE16" s="5420"/>
      <c r="AF16" s="5420"/>
      <c r="AG16" s="5419"/>
      <c r="AH16" s="5670"/>
      <c r="AI16" s="5670"/>
      <c r="AJ16" s="5670"/>
      <c r="AK16" s="5670"/>
      <c r="AL16" s="5420"/>
      <c r="AM16" s="5420"/>
      <c r="AN16" s="5420"/>
      <c r="AO16" s="5420">
        <v>114381.32</v>
      </c>
      <c r="AP16" s="5420"/>
      <c r="AQ16" s="5420"/>
      <c r="AR16" s="5670"/>
      <c r="AS16" s="5420"/>
      <c r="AT16" s="5420"/>
      <c r="AU16" s="5420"/>
      <c r="AV16" s="5420"/>
      <c r="AW16" s="5420"/>
      <c r="AX16" s="5420"/>
      <c r="AY16" s="5420"/>
      <c r="AZ16" s="5670"/>
      <c r="BA16" s="5670"/>
      <c r="BB16" s="5670"/>
      <c r="BC16" s="5670"/>
      <c r="BD16" s="5670"/>
      <c r="BE16" s="5670"/>
      <c r="BF16" s="5670"/>
      <c r="BG16" s="5670"/>
      <c r="BH16" s="5670">
        <v>225</v>
      </c>
      <c r="BI16" s="5670"/>
      <c r="BJ16" s="5670"/>
      <c r="BK16" s="5670"/>
      <c r="BL16" s="5670"/>
      <c r="BM16" s="5670"/>
      <c r="BN16" s="5670"/>
      <c r="BO16" s="5420">
        <v>65654.350000000006</v>
      </c>
      <c r="BP16" s="5419"/>
      <c r="BQ16" s="5419"/>
      <c r="BR16" s="5419"/>
      <c r="BS16" s="5419"/>
      <c r="BT16" s="5419"/>
      <c r="BU16" s="5419"/>
      <c r="BV16" s="5419"/>
      <c r="BW16" s="5419"/>
      <c r="BX16" s="5419"/>
      <c r="BY16" s="5419"/>
      <c r="BZ16" s="5676"/>
      <c r="CA16" s="5676"/>
      <c r="CB16" s="8545"/>
      <c r="CC16" s="8545"/>
      <c r="CD16" s="5676"/>
      <c r="CE16" s="5676"/>
      <c r="CF16" s="8545"/>
      <c r="CG16" s="5726">
        <f t="shared" si="0"/>
        <v>840075.99999999988</v>
      </c>
      <c r="CH16" s="5690" t="s">
        <v>573</v>
      </c>
    </row>
    <row r="17" spans="1:86">
      <c r="A17" s="5690" t="s">
        <v>574</v>
      </c>
      <c r="B17" s="5420">
        <v>182588.64</v>
      </c>
      <c r="C17" s="5419"/>
      <c r="D17" s="5419"/>
      <c r="E17" s="5419"/>
      <c r="F17" s="5419"/>
      <c r="G17" s="5419"/>
      <c r="H17" s="5420">
        <v>227900</v>
      </c>
      <c r="I17" s="5692"/>
      <c r="J17" s="5420">
        <v>183568.55</v>
      </c>
      <c r="K17" s="5670"/>
      <c r="L17" s="5670"/>
      <c r="M17" s="5670"/>
      <c r="N17" s="5670"/>
      <c r="O17" s="5670"/>
      <c r="P17" s="5670"/>
      <c r="Q17" s="5670"/>
      <c r="R17" s="5420"/>
      <c r="S17" s="5419"/>
      <c r="T17" s="5420"/>
      <c r="U17" s="5420"/>
      <c r="V17" s="5420"/>
      <c r="W17" s="5420"/>
      <c r="X17" s="5420">
        <v>450000</v>
      </c>
      <c r="Y17" s="5420"/>
      <c r="Z17" s="5420">
        <v>1200</v>
      </c>
      <c r="AA17" s="5420">
        <v>91758.32</v>
      </c>
      <c r="AB17" s="5420"/>
      <c r="AC17" s="5420"/>
      <c r="AD17" s="5420"/>
      <c r="AE17" s="5420"/>
      <c r="AF17" s="5420"/>
      <c r="AG17" s="5419"/>
      <c r="AH17" s="5670"/>
      <c r="AI17" s="5670"/>
      <c r="AJ17" s="5670"/>
      <c r="AK17" s="5670"/>
      <c r="AL17" s="5420">
        <v>263149.5</v>
      </c>
      <c r="AM17" s="5420"/>
      <c r="AN17" s="5420"/>
      <c r="AO17" s="5420">
        <v>457114.19</v>
      </c>
      <c r="AP17" s="5420"/>
      <c r="AQ17" s="5420"/>
      <c r="AR17" s="5670"/>
      <c r="AS17" s="5420"/>
      <c r="AT17" s="5420"/>
      <c r="AU17" s="5420"/>
      <c r="AV17" s="5420"/>
      <c r="AW17" s="5420">
        <v>55140.85</v>
      </c>
      <c r="AX17" s="5420"/>
      <c r="AY17" s="5420"/>
      <c r="AZ17" s="5670"/>
      <c r="BA17" s="5670"/>
      <c r="BB17" s="5670"/>
      <c r="BC17" s="5670"/>
      <c r="BD17" s="5670"/>
      <c r="BE17" s="5670"/>
      <c r="BF17" s="5670"/>
      <c r="BG17" s="5670"/>
      <c r="BH17" s="5670"/>
      <c r="BI17" s="5670"/>
      <c r="BJ17" s="5670"/>
      <c r="BK17" s="5670"/>
      <c r="BL17" s="5670"/>
      <c r="BM17" s="5670"/>
      <c r="BN17" s="5670"/>
      <c r="BO17" s="5420">
        <v>62703.01</v>
      </c>
      <c r="BP17" s="5419"/>
      <c r="BQ17" s="5419"/>
      <c r="BR17" s="5419"/>
      <c r="BS17" s="5419"/>
      <c r="BT17" s="5419"/>
      <c r="BU17" s="5419"/>
      <c r="BV17" s="5419"/>
      <c r="BW17" s="5419"/>
      <c r="BX17" s="5419"/>
      <c r="BY17" s="5419"/>
      <c r="BZ17" s="5676"/>
      <c r="CA17" s="5676"/>
      <c r="CB17" s="8545"/>
      <c r="CC17" s="8545"/>
      <c r="CD17" s="5676"/>
      <c r="CE17" s="5676"/>
      <c r="CF17" s="8545"/>
      <c r="CG17" s="5726">
        <f t="shared" si="0"/>
        <v>1975123.06</v>
      </c>
      <c r="CH17" s="5690" t="s">
        <v>574</v>
      </c>
    </row>
    <row r="18" spans="1:86">
      <c r="A18" s="5690" t="s">
        <v>575</v>
      </c>
      <c r="B18" s="5420">
        <v>322340</v>
      </c>
      <c r="C18" s="5419"/>
      <c r="D18" s="5419"/>
      <c r="E18" s="5419"/>
      <c r="F18" s="5419"/>
      <c r="G18" s="5419"/>
      <c r="H18" s="5420">
        <v>193474</v>
      </c>
      <c r="I18" s="5692"/>
      <c r="J18" s="5420">
        <v>269784.64</v>
      </c>
      <c r="K18" s="5420"/>
      <c r="L18" s="5420"/>
      <c r="M18" s="5420">
        <v>6740425</v>
      </c>
      <c r="N18" s="5420"/>
      <c r="O18" s="5420"/>
      <c r="P18" s="5420"/>
      <c r="Q18" s="5420"/>
      <c r="R18" s="5420">
        <v>126307.07</v>
      </c>
      <c r="S18" s="5419"/>
      <c r="T18" s="5420"/>
      <c r="U18" s="5420"/>
      <c r="V18" s="5420"/>
      <c r="W18" s="5420"/>
      <c r="X18" s="5420">
        <v>213020.42</v>
      </c>
      <c r="Y18" s="5420"/>
      <c r="Z18" s="5420">
        <v>31570.799999999999</v>
      </c>
      <c r="AA18" s="5420">
        <v>117588.63</v>
      </c>
      <c r="AB18" s="5420"/>
      <c r="AC18" s="5420"/>
      <c r="AD18" s="5420"/>
      <c r="AE18" s="5420"/>
      <c r="AF18" s="5420">
        <v>5280</v>
      </c>
      <c r="AG18" s="5419"/>
      <c r="AH18" s="5420"/>
      <c r="AI18" s="5420"/>
      <c r="AJ18" s="5420"/>
      <c r="AK18" s="5420"/>
      <c r="AL18" s="5420"/>
      <c r="AM18" s="5420"/>
      <c r="AN18" s="5420"/>
      <c r="AO18" s="5420">
        <v>329120.65000000002</v>
      </c>
      <c r="AP18" s="5420"/>
      <c r="AQ18" s="5420"/>
      <c r="AR18" s="5670"/>
      <c r="AS18" s="5420"/>
      <c r="AT18" s="5420"/>
      <c r="AU18" s="5420"/>
      <c r="AV18" s="5420"/>
      <c r="AW18" s="5420">
        <v>45669.919999999998</v>
      </c>
      <c r="AX18" s="5420"/>
      <c r="AY18" s="5420"/>
      <c r="AZ18" s="5420"/>
      <c r="BA18" s="5420"/>
      <c r="BB18" s="5420">
        <v>61949</v>
      </c>
      <c r="BC18" s="5420"/>
      <c r="BD18" s="5420"/>
      <c r="BE18" s="5420"/>
      <c r="BF18" s="5420"/>
      <c r="BG18" s="5420"/>
      <c r="BH18" s="5420">
        <v>157837.5</v>
      </c>
      <c r="BI18" s="5420">
        <v>123470</v>
      </c>
      <c r="BJ18" s="5420"/>
      <c r="BK18" s="5420">
        <v>9445</v>
      </c>
      <c r="BL18" s="5420"/>
      <c r="BM18" s="5420"/>
      <c r="BN18" s="5420"/>
      <c r="BO18" s="5420">
        <v>57666.61</v>
      </c>
      <c r="BP18" s="5419"/>
      <c r="BQ18" s="5419"/>
      <c r="BR18" s="5419"/>
      <c r="BS18" s="5419"/>
      <c r="BT18" s="5419"/>
      <c r="BU18" s="5419"/>
      <c r="BV18" s="5419"/>
      <c r="BW18" s="5419"/>
      <c r="BX18" s="5419"/>
      <c r="BY18" s="5419"/>
      <c r="BZ18" s="5676"/>
      <c r="CA18" s="5676"/>
      <c r="CB18" s="8545"/>
      <c r="CC18" s="8545"/>
      <c r="CD18" s="5676"/>
      <c r="CE18" s="5676"/>
      <c r="CF18" s="8545"/>
      <c r="CG18" s="5726">
        <f t="shared" si="0"/>
        <v>8804949.2400000002</v>
      </c>
      <c r="CH18" s="5690" t="s">
        <v>575</v>
      </c>
    </row>
    <row r="19" spans="1:86">
      <c r="A19" s="5690" t="s">
        <v>576</v>
      </c>
      <c r="B19" s="5420">
        <v>184017.28</v>
      </c>
      <c r="C19" s="5419"/>
      <c r="D19" s="5419"/>
      <c r="E19" s="5419"/>
      <c r="F19" s="5419"/>
      <c r="G19" s="5419"/>
      <c r="H19" s="5420">
        <v>226799.64</v>
      </c>
      <c r="I19" s="5692"/>
      <c r="J19" s="5420">
        <v>149493.70000000001</v>
      </c>
      <c r="K19" s="5420"/>
      <c r="L19" s="5420"/>
      <c r="M19" s="5420"/>
      <c r="N19" s="5420"/>
      <c r="O19" s="5420"/>
      <c r="P19" s="5420"/>
      <c r="Q19" s="5420"/>
      <c r="R19" s="5420">
        <v>57400</v>
      </c>
      <c r="S19" s="5419"/>
      <c r="T19" s="5420"/>
      <c r="U19" s="5420"/>
      <c r="V19" s="5420"/>
      <c r="W19" s="5420">
        <v>15700.41</v>
      </c>
      <c r="X19" s="5420">
        <v>360391.18</v>
      </c>
      <c r="Y19" s="5420"/>
      <c r="Z19" s="5420">
        <v>2303</v>
      </c>
      <c r="AA19" s="5420">
        <v>101437.66</v>
      </c>
      <c r="AB19" s="5420"/>
      <c r="AC19" s="5420"/>
      <c r="AD19" s="5420"/>
      <c r="AE19" s="5420"/>
      <c r="AF19" s="5420"/>
      <c r="AG19" s="5419"/>
      <c r="AH19" s="5670"/>
      <c r="AI19" s="5670"/>
      <c r="AJ19" s="5670"/>
      <c r="AK19" s="5670"/>
      <c r="AL19" s="5420"/>
      <c r="AM19" s="5420"/>
      <c r="AN19" s="5420"/>
      <c r="AO19" s="5420">
        <v>597798.04</v>
      </c>
      <c r="AP19" s="5420"/>
      <c r="AQ19" s="5420"/>
      <c r="AR19" s="5670"/>
      <c r="AS19" s="5420">
        <v>9105.5</v>
      </c>
      <c r="AT19" s="5420"/>
      <c r="AU19" s="5420"/>
      <c r="AV19" s="5420"/>
      <c r="AW19" s="5420">
        <v>41300.25</v>
      </c>
      <c r="AX19" s="5420"/>
      <c r="AY19" s="5420"/>
      <c r="AZ19" s="5670"/>
      <c r="BA19" s="5670"/>
      <c r="BB19" s="5670"/>
      <c r="BC19" s="5670"/>
      <c r="BD19" s="5670"/>
      <c r="BE19" s="5670"/>
      <c r="BF19" s="5670"/>
      <c r="BG19" s="5670"/>
      <c r="BH19" s="5670"/>
      <c r="BI19" s="5670"/>
      <c r="BJ19" s="5670">
        <v>495</v>
      </c>
      <c r="BK19" s="5670"/>
      <c r="BL19" s="5670"/>
      <c r="BM19" s="5670"/>
      <c r="BN19" s="5670"/>
      <c r="BO19" s="5420">
        <v>63170.2</v>
      </c>
      <c r="BP19" s="5419"/>
      <c r="BQ19" s="5419"/>
      <c r="BR19" s="5419"/>
      <c r="BS19" s="5419"/>
      <c r="BT19" s="5419"/>
      <c r="BU19" s="5419"/>
      <c r="BV19" s="5419"/>
      <c r="BW19" s="5419"/>
      <c r="BX19" s="5419"/>
      <c r="BY19" s="5419"/>
      <c r="BZ19" s="5676"/>
      <c r="CA19" s="5676"/>
      <c r="CB19" s="8545"/>
      <c r="CC19" s="8545"/>
      <c r="CD19" s="5676"/>
      <c r="CE19" s="5676"/>
      <c r="CF19" s="8545"/>
      <c r="CG19" s="5726">
        <f t="shared" si="0"/>
        <v>1809411.86</v>
      </c>
      <c r="CH19" s="5690" t="s">
        <v>576</v>
      </c>
    </row>
    <row r="20" spans="1:86">
      <c r="A20" s="5690" t="s">
        <v>577</v>
      </c>
      <c r="B20" s="5420">
        <v>128135.03999999999</v>
      </c>
      <c r="C20" s="5419"/>
      <c r="D20" s="5419"/>
      <c r="E20" s="5419"/>
      <c r="F20" s="5419"/>
      <c r="G20" s="5419"/>
      <c r="H20" s="5420">
        <v>48045</v>
      </c>
      <c r="I20" s="5692"/>
      <c r="J20" s="5420">
        <v>134284.13</v>
      </c>
      <c r="K20" s="5420"/>
      <c r="L20" s="5420"/>
      <c r="M20" s="5420"/>
      <c r="N20" s="5420"/>
      <c r="O20" s="5420"/>
      <c r="P20" s="5420"/>
      <c r="Q20" s="5420"/>
      <c r="R20" s="5420">
        <v>44476.28</v>
      </c>
      <c r="S20" s="5419"/>
      <c r="T20" s="5420"/>
      <c r="U20" s="5420">
        <v>26180</v>
      </c>
      <c r="V20" s="5420"/>
      <c r="W20" s="5420"/>
      <c r="X20" s="5420"/>
      <c r="Y20" s="5420"/>
      <c r="Z20" s="5420">
        <v>6500</v>
      </c>
      <c r="AA20" s="5420">
        <v>54181.46</v>
      </c>
      <c r="AB20" s="5420"/>
      <c r="AC20" s="5420"/>
      <c r="AD20" s="5420"/>
      <c r="AE20" s="5420">
        <v>8898.2000000000007</v>
      </c>
      <c r="AF20" s="5420"/>
      <c r="AG20" s="5419"/>
      <c r="AH20" s="5670"/>
      <c r="AI20" s="5670"/>
      <c r="AJ20" s="5670"/>
      <c r="AK20" s="5670">
        <v>2338000</v>
      </c>
      <c r="AL20" s="5420"/>
      <c r="AM20" s="5420"/>
      <c r="AN20" s="5420"/>
      <c r="AO20" s="5420">
        <v>222406.88</v>
      </c>
      <c r="AP20" s="5420"/>
      <c r="AQ20" s="5420"/>
      <c r="AR20" s="5670"/>
      <c r="AS20" s="5420"/>
      <c r="AT20" s="5420"/>
      <c r="AU20" s="5420"/>
      <c r="AV20" s="5420"/>
      <c r="AW20" s="5420">
        <v>35891</v>
      </c>
      <c r="AX20" s="5420"/>
      <c r="AY20" s="5420"/>
      <c r="AZ20" s="5670"/>
      <c r="BA20" s="5670"/>
      <c r="BB20" s="5670">
        <v>42986</v>
      </c>
      <c r="BC20" s="5670"/>
      <c r="BD20" s="5670"/>
      <c r="BE20" s="5670"/>
      <c r="BF20" s="5670"/>
      <c r="BG20" s="5670"/>
      <c r="BH20" s="5670"/>
      <c r="BI20" s="5670"/>
      <c r="BJ20" s="5670"/>
      <c r="BK20" s="5670"/>
      <c r="BL20" s="5670"/>
      <c r="BM20" s="5670"/>
      <c r="BN20" s="5670"/>
      <c r="BO20" s="5420">
        <v>15000</v>
      </c>
      <c r="BP20" s="5419"/>
      <c r="BQ20" s="5419"/>
      <c r="BR20" s="5419"/>
      <c r="BS20" s="5419"/>
      <c r="BT20" s="5419"/>
      <c r="BU20" s="5419"/>
      <c r="BV20" s="5419"/>
      <c r="BW20" s="5419"/>
      <c r="BX20" s="5419"/>
      <c r="BY20" s="5419"/>
      <c r="BZ20" s="5676"/>
      <c r="CA20" s="5676"/>
      <c r="CB20" s="8545"/>
      <c r="CC20" s="8545"/>
      <c r="CD20" s="5676"/>
      <c r="CE20" s="5676"/>
      <c r="CF20" s="8545"/>
      <c r="CG20" s="5726">
        <f t="shared" si="0"/>
        <v>3104983.9899999998</v>
      </c>
      <c r="CH20" s="5690" t="s">
        <v>577</v>
      </c>
    </row>
    <row r="21" spans="1:86" ht="12" customHeight="1">
      <c r="A21" s="5690" t="s">
        <v>10327</v>
      </c>
      <c r="B21" s="5730">
        <v>177400.76</v>
      </c>
      <c r="C21" s="5730"/>
      <c r="D21" s="5730"/>
      <c r="E21" s="5731"/>
      <c r="F21" s="5731"/>
      <c r="G21" s="8546"/>
      <c r="H21" s="5730">
        <v>36000</v>
      </c>
      <c r="I21" s="5730"/>
      <c r="J21" s="5730">
        <v>103260.25</v>
      </c>
      <c r="K21" s="5730"/>
      <c r="L21" s="5730"/>
      <c r="M21" s="5730"/>
      <c r="N21" s="5730"/>
      <c r="O21" s="5730"/>
      <c r="P21" s="5730"/>
      <c r="Q21" s="5730"/>
      <c r="R21" s="5730">
        <v>354976.29</v>
      </c>
      <c r="S21" s="5730"/>
      <c r="T21" s="5730"/>
      <c r="U21" s="5730"/>
      <c r="V21" s="5730"/>
      <c r="W21" s="5730"/>
      <c r="X21" s="5730"/>
      <c r="Y21" s="5730"/>
      <c r="Z21" s="5730"/>
      <c r="AA21" s="5730">
        <v>418046.16</v>
      </c>
      <c r="AB21" s="5730"/>
      <c r="AC21" s="5730"/>
      <c r="AD21" s="5731"/>
      <c r="AE21" s="5730"/>
      <c r="AF21" s="5730"/>
      <c r="AG21" s="5733"/>
      <c r="AH21" s="5730"/>
      <c r="AI21" s="5730"/>
      <c r="AJ21" s="5730"/>
      <c r="AK21" s="5730"/>
      <c r="AL21" s="5732"/>
      <c r="AM21" s="5730"/>
      <c r="AN21" s="5732"/>
      <c r="AO21" s="5730">
        <v>10036209.84</v>
      </c>
      <c r="AP21" s="5732"/>
      <c r="AQ21" s="5731"/>
      <c r="AR21" s="5730"/>
      <c r="AS21" s="5730"/>
      <c r="AT21" s="8546"/>
      <c r="AU21" s="8546"/>
      <c r="AV21" s="5730"/>
      <c r="AW21" s="5730">
        <v>86512</v>
      </c>
      <c r="AX21" s="5730"/>
      <c r="AY21" s="5730"/>
      <c r="AZ21" s="5730"/>
      <c r="BA21" s="5730"/>
      <c r="BB21" s="5730">
        <v>144180.79</v>
      </c>
      <c r="BC21" s="5730"/>
      <c r="BD21" s="5730"/>
      <c r="BE21" s="5730"/>
      <c r="BF21" s="5730"/>
      <c r="BG21" s="5730"/>
      <c r="BH21" s="5730"/>
      <c r="BI21" s="5730"/>
      <c r="BJ21" s="5730"/>
      <c r="BK21" s="5730"/>
      <c r="BL21" s="5730"/>
      <c r="BM21" s="5730"/>
      <c r="BN21" s="5730"/>
      <c r="BO21" s="5730">
        <v>303632.3</v>
      </c>
      <c r="BP21" s="5730"/>
      <c r="BQ21" s="5730"/>
      <c r="BR21" s="6617"/>
      <c r="BS21" s="5733"/>
      <c r="BT21" s="5734"/>
      <c r="BU21" s="5734"/>
      <c r="BV21" s="5735"/>
      <c r="BW21" s="5734"/>
      <c r="BX21" s="5735"/>
      <c r="BY21" s="5736"/>
      <c r="BZ21" s="5736"/>
      <c r="CA21" s="5736"/>
      <c r="CB21" s="8552"/>
      <c r="CC21" s="8552"/>
      <c r="CD21" s="5736"/>
      <c r="CE21" s="5736"/>
      <c r="CF21" s="8552"/>
      <c r="CG21" s="5726">
        <f t="shared" si="0"/>
        <v>11660218.390000001</v>
      </c>
      <c r="CH21" s="5690" t="s">
        <v>10327</v>
      </c>
    </row>
    <row r="22" spans="1:86" ht="14.4" thickBot="1">
      <c r="A22" s="5738" t="s">
        <v>485</v>
      </c>
      <c r="B22" s="5739">
        <f>SUM(B6:B21)</f>
        <v>5496244.5699999994</v>
      </c>
      <c r="C22" s="5739">
        <f t="shared" ref="C22:BO22" si="1">SUM(C6:C21)</f>
        <v>0</v>
      </c>
      <c r="D22" s="5739">
        <f t="shared" si="1"/>
        <v>0</v>
      </c>
      <c r="E22" s="5739">
        <f t="shared" si="1"/>
        <v>0</v>
      </c>
      <c r="F22" s="5739">
        <f t="shared" si="1"/>
        <v>0</v>
      </c>
      <c r="G22" s="5739">
        <f t="shared" si="1"/>
        <v>0</v>
      </c>
      <c r="H22" s="5739">
        <f t="shared" si="1"/>
        <v>2959784.4</v>
      </c>
      <c r="I22" s="5739">
        <f t="shared" si="1"/>
        <v>0</v>
      </c>
      <c r="J22" s="5739">
        <f t="shared" si="1"/>
        <v>8540106.6799999997</v>
      </c>
      <c r="K22" s="5739">
        <f t="shared" si="1"/>
        <v>0</v>
      </c>
      <c r="L22" s="5739">
        <f t="shared" si="1"/>
        <v>0</v>
      </c>
      <c r="M22" s="5739">
        <f t="shared" si="1"/>
        <v>6740425</v>
      </c>
      <c r="N22" s="5739">
        <f t="shared" si="1"/>
        <v>0</v>
      </c>
      <c r="O22" s="5739">
        <f t="shared" si="1"/>
        <v>0</v>
      </c>
      <c r="P22" s="5739">
        <f t="shared" si="1"/>
        <v>0</v>
      </c>
      <c r="Q22" s="5739">
        <f t="shared" si="1"/>
        <v>0</v>
      </c>
      <c r="R22" s="5739">
        <f t="shared" si="1"/>
        <v>6923436.5200000005</v>
      </c>
      <c r="S22" s="5739">
        <f t="shared" si="1"/>
        <v>0</v>
      </c>
      <c r="T22" s="5739">
        <f t="shared" si="1"/>
        <v>0</v>
      </c>
      <c r="U22" s="5739">
        <f t="shared" si="1"/>
        <v>72480</v>
      </c>
      <c r="V22" s="5739">
        <f t="shared" si="1"/>
        <v>0</v>
      </c>
      <c r="W22" s="5739">
        <f t="shared" si="1"/>
        <v>761360.2</v>
      </c>
      <c r="X22" s="5739">
        <f t="shared" si="1"/>
        <v>10057860.51</v>
      </c>
      <c r="Y22" s="5739">
        <f t="shared" si="1"/>
        <v>0</v>
      </c>
      <c r="Z22" s="5739">
        <f t="shared" si="1"/>
        <v>94695.85</v>
      </c>
      <c r="AA22" s="5739">
        <f t="shared" si="1"/>
        <v>3324434.81</v>
      </c>
      <c r="AB22" s="5739">
        <f t="shared" si="1"/>
        <v>0</v>
      </c>
      <c r="AC22" s="5739">
        <f t="shared" si="1"/>
        <v>0</v>
      </c>
      <c r="AD22" s="5739">
        <f t="shared" si="1"/>
        <v>0</v>
      </c>
      <c r="AE22" s="5739">
        <f t="shared" si="1"/>
        <v>596973.44999999995</v>
      </c>
      <c r="AF22" s="5739">
        <f t="shared" si="1"/>
        <v>288180</v>
      </c>
      <c r="AG22" s="5739">
        <f>SUM(AG6:AG21)</f>
        <v>17500</v>
      </c>
      <c r="AH22" s="5739">
        <f>SUM(AH6:AH21)</f>
        <v>14000000</v>
      </c>
      <c r="AI22" s="5739">
        <f t="shared" si="1"/>
        <v>368066.5</v>
      </c>
      <c r="AJ22" s="5739">
        <f t="shared" si="1"/>
        <v>0</v>
      </c>
      <c r="AK22" s="5739">
        <f t="shared" si="1"/>
        <v>2338000</v>
      </c>
      <c r="AL22" s="5739">
        <f>SUM(AL6:AL21)</f>
        <v>11023298.370000001</v>
      </c>
      <c r="AM22" s="5739">
        <f>SUM(AM6:AM21)</f>
        <v>3181477.4499999997</v>
      </c>
      <c r="AN22" s="5739">
        <f>SUM(AN6:AN21)</f>
        <v>7295360.5199999996</v>
      </c>
      <c r="AO22" s="5739">
        <f t="shared" si="1"/>
        <v>66720229.650000006</v>
      </c>
      <c r="AP22" s="5739">
        <f t="shared" si="1"/>
        <v>0</v>
      </c>
      <c r="AQ22" s="5739">
        <f t="shared" si="1"/>
        <v>0</v>
      </c>
      <c r="AR22" s="5739">
        <f t="shared" si="1"/>
        <v>0</v>
      </c>
      <c r="AS22" s="5739">
        <f t="shared" si="1"/>
        <v>1067290.3599999999</v>
      </c>
      <c r="AT22" s="5739">
        <f t="shared" si="1"/>
        <v>0</v>
      </c>
      <c r="AU22" s="5739">
        <f t="shared" si="1"/>
        <v>0</v>
      </c>
      <c r="AV22" s="5739">
        <f t="shared" si="1"/>
        <v>0</v>
      </c>
      <c r="AW22" s="5739">
        <f t="shared" si="1"/>
        <v>1175266.5300000003</v>
      </c>
      <c r="AX22" s="5739">
        <f t="shared" si="1"/>
        <v>0</v>
      </c>
      <c r="AY22" s="5739">
        <f t="shared" si="1"/>
        <v>0</v>
      </c>
      <c r="AZ22" s="5739">
        <f t="shared" si="1"/>
        <v>0</v>
      </c>
      <c r="BA22" s="5739">
        <f t="shared" si="1"/>
        <v>0</v>
      </c>
      <c r="BB22" s="5739">
        <f t="shared" si="1"/>
        <v>6689131.0999999996</v>
      </c>
      <c r="BC22" s="5739">
        <f t="shared" si="1"/>
        <v>0</v>
      </c>
      <c r="BD22" s="5739">
        <f t="shared" si="1"/>
        <v>0</v>
      </c>
      <c r="BE22" s="5739">
        <f t="shared" si="1"/>
        <v>0</v>
      </c>
      <c r="BF22" s="5739">
        <f t="shared" si="1"/>
        <v>0</v>
      </c>
      <c r="BG22" s="5739">
        <f t="shared" si="1"/>
        <v>0</v>
      </c>
      <c r="BH22" s="5739">
        <f t="shared" si="1"/>
        <v>207375</v>
      </c>
      <c r="BI22" s="5739">
        <f>SUM(BI6:BI21)</f>
        <v>637123.17999999993</v>
      </c>
      <c r="BJ22" s="5739">
        <f>SUM(BJ6:BJ21)</f>
        <v>495</v>
      </c>
      <c r="BK22" s="5739">
        <f>SUM(BK6:BK21)</f>
        <v>10881400.32</v>
      </c>
      <c r="BL22" s="5739">
        <f>SUM(BL6:BL21)</f>
        <v>139338</v>
      </c>
      <c r="BM22" s="5739">
        <f>SUM(BM6:BM21)</f>
        <v>29412881.620000001</v>
      </c>
      <c r="BN22" s="5739">
        <f t="shared" si="1"/>
        <v>2215237.3199999998</v>
      </c>
      <c r="BO22" s="5739">
        <f t="shared" si="1"/>
        <v>5169385.63</v>
      </c>
      <c r="BP22" s="5739">
        <f t="shared" ref="BP22:CF22" si="2">SUM(BP6:BP21)</f>
        <v>0</v>
      </c>
      <c r="BQ22" s="5739">
        <f t="shared" si="2"/>
        <v>0</v>
      </c>
      <c r="BR22" s="5739">
        <f t="shared" si="2"/>
        <v>0</v>
      </c>
      <c r="BS22" s="5739">
        <f t="shared" si="2"/>
        <v>0</v>
      </c>
      <c r="BT22" s="5739">
        <f t="shared" si="2"/>
        <v>0</v>
      </c>
      <c r="BU22" s="5739">
        <f t="shared" si="2"/>
        <v>0</v>
      </c>
      <c r="BV22" s="5739">
        <f t="shared" si="2"/>
        <v>0</v>
      </c>
      <c r="BW22" s="5739">
        <f t="shared" si="2"/>
        <v>0</v>
      </c>
      <c r="BX22" s="5739">
        <f t="shared" si="2"/>
        <v>0</v>
      </c>
      <c r="BY22" s="5739">
        <f t="shared" si="2"/>
        <v>0</v>
      </c>
      <c r="BZ22" s="5739">
        <f t="shared" si="2"/>
        <v>0</v>
      </c>
      <c r="CA22" s="5739">
        <f t="shared" si="2"/>
        <v>0</v>
      </c>
      <c r="CB22" s="5739">
        <f t="shared" si="2"/>
        <v>0</v>
      </c>
      <c r="CC22" s="5739">
        <f t="shared" si="2"/>
        <v>0</v>
      </c>
      <c r="CD22" s="5739">
        <f t="shared" si="2"/>
        <v>0</v>
      </c>
      <c r="CE22" s="5739">
        <f t="shared" si="2"/>
        <v>0</v>
      </c>
      <c r="CF22" s="5739">
        <f t="shared" si="2"/>
        <v>0</v>
      </c>
      <c r="CG22" s="5739">
        <f>SUM(CG6:CG21)</f>
        <v>208394838.54000002</v>
      </c>
      <c r="CH22" s="5738" t="s">
        <v>485</v>
      </c>
    </row>
    <row r="23" spans="1:86" ht="14.4" thickTop="1">
      <c r="A23" s="5740"/>
      <c r="B23" s="5699"/>
      <c r="C23" s="5699"/>
      <c r="D23" s="5699"/>
      <c r="E23" s="5741"/>
      <c r="F23" s="5741"/>
      <c r="G23" s="8547"/>
      <c r="H23" s="5699"/>
      <c r="I23" s="5699"/>
      <c r="J23" s="5699"/>
      <c r="K23" s="5699"/>
      <c r="L23" s="5699"/>
      <c r="M23" s="5699"/>
      <c r="N23" s="5699"/>
      <c r="O23" s="5699"/>
      <c r="P23" s="5730"/>
      <c r="Q23" s="5699"/>
      <c r="R23" s="5699"/>
      <c r="S23" s="5699"/>
      <c r="T23" s="5699"/>
      <c r="U23" s="5699"/>
      <c r="V23" s="5699"/>
      <c r="W23" s="5699"/>
      <c r="X23" s="5699"/>
      <c r="Y23" s="5730"/>
      <c r="Z23" s="5699"/>
      <c r="AA23" s="5699"/>
      <c r="AB23" s="5699"/>
      <c r="AC23" s="5699"/>
      <c r="AD23" s="5741"/>
      <c r="AE23" s="5699"/>
      <c r="AF23" s="5699"/>
      <c r="AG23" s="5733"/>
      <c r="AH23" s="5730"/>
      <c r="AI23" s="5699"/>
      <c r="AJ23" s="5699"/>
      <c r="AK23" s="5699"/>
      <c r="AL23" s="5742"/>
      <c r="AM23" s="5730"/>
      <c r="AN23" s="5732"/>
      <c r="AO23" s="5699"/>
      <c r="AP23" s="5742"/>
      <c r="AQ23" s="5741"/>
      <c r="AR23" s="5699"/>
      <c r="AS23" s="5730"/>
      <c r="AT23" s="8546"/>
      <c r="AU23" s="8546"/>
      <c r="AV23" s="5730"/>
      <c r="AW23" s="5730"/>
      <c r="AX23" s="5730"/>
      <c r="AY23" s="5699"/>
      <c r="AZ23" s="5730"/>
      <c r="BA23" s="5699"/>
      <c r="BB23" s="5699"/>
      <c r="BC23" s="5730"/>
      <c r="BD23" s="5730"/>
      <c r="BE23" s="5730"/>
      <c r="BF23" s="5730"/>
      <c r="BG23" s="5730"/>
      <c r="BH23" s="5730"/>
      <c r="BI23" s="5699"/>
      <c r="BJ23" s="5699"/>
      <c r="BK23" s="5699"/>
      <c r="BL23" s="5730"/>
      <c r="BM23" s="5730"/>
      <c r="BN23" s="5730"/>
      <c r="BO23" s="5730"/>
      <c r="BP23" s="5730"/>
      <c r="BQ23" s="5730"/>
      <c r="BR23" s="6617"/>
      <c r="BS23" s="5733"/>
      <c r="BT23" s="5734"/>
      <c r="BU23" s="5734"/>
      <c r="BV23" s="5735"/>
      <c r="BW23" s="5734"/>
      <c r="BX23" s="5735"/>
      <c r="BY23" s="5736"/>
      <c r="BZ23" s="5736"/>
      <c r="CA23" s="5736"/>
      <c r="CB23" s="8552"/>
      <c r="CC23" s="8552"/>
      <c r="CD23" s="5736"/>
      <c r="CE23" s="5736"/>
      <c r="CF23" s="8552"/>
      <c r="CG23" s="5737"/>
      <c r="CH23" s="5740"/>
    </row>
    <row r="24" spans="1:86" s="5727" customFormat="1">
      <c r="A24" s="5725" t="s">
        <v>578</v>
      </c>
      <c r="B24" s="5673">
        <v>183028.07</v>
      </c>
      <c r="C24" s="5419"/>
      <c r="D24" s="5419"/>
      <c r="E24" s="5419"/>
      <c r="F24" s="5419"/>
      <c r="G24" s="5419"/>
      <c r="H24" s="5673">
        <v>52800</v>
      </c>
      <c r="I24" s="5673"/>
      <c r="J24" s="5673">
        <v>97388.7</v>
      </c>
      <c r="K24" s="5673"/>
      <c r="L24" s="5673"/>
      <c r="M24" s="5673"/>
      <c r="N24" s="5673"/>
      <c r="O24" s="5673"/>
      <c r="P24" s="5673"/>
      <c r="Q24" s="5673"/>
      <c r="R24" s="5673">
        <v>178708.98</v>
      </c>
      <c r="S24" s="5673"/>
      <c r="T24" s="5420"/>
      <c r="U24" s="5420"/>
      <c r="V24" s="5420"/>
      <c r="W24" s="5420">
        <v>1213.25</v>
      </c>
      <c r="X24" s="5673">
        <v>166903.88</v>
      </c>
      <c r="Y24" s="5673"/>
      <c r="Z24" s="5673">
        <v>1025</v>
      </c>
      <c r="AA24" s="5673">
        <v>41536</v>
      </c>
      <c r="AB24" s="5673"/>
      <c r="AC24" s="5673"/>
      <c r="AD24" s="5673"/>
      <c r="AE24" s="5673"/>
      <c r="AF24" s="5673"/>
      <c r="AG24" s="5419"/>
      <c r="AH24" s="5673"/>
      <c r="AI24" s="5673"/>
      <c r="AJ24" s="5673"/>
      <c r="AK24" s="5673"/>
      <c r="AL24" s="5673">
        <v>292190.84000000003</v>
      </c>
      <c r="AM24" s="5673"/>
      <c r="AN24" s="5673"/>
      <c r="AO24" s="5673">
        <v>398631.94</v>
      </c>
      <c r="AP24" s="5673"/>
      <c r="AQ24" s="5673"/>
      <c r="AR24" s="5673"/>
      <c r="AS24" s="5419"/>
      <c r="AT24" s="5419"/>
      <c r="AU24" s="5419"/>
      <c r="AV24" s="5419"/>
      <c r="AW24" s="5673">
        <v>17344</v>
      </c>
      <c r="AX24" s="5673"/>
      <c r="AY24" s="5673"/>
      <c r="AZ24" s="5673"/>
      <c r="BA24" s="5673"/>
      <c r="BB24" s="5673">
        <v>144144.65</v>
      </c>
      <c r="BC24" s="5673"/>
      <c r="BD24" s="5673"/>
      <c r="BE24" s="5673"/>
      <c r="BF24" s="5673"/>
      <c r="BG24" s="5673"/>
      <c r="BH24" s="5673"/>
      <c r="BI24" s="5673"/>
      <c r="BJ24" s="5673"/>
      <c r="BK24" s="5673"/>
      <c r="BL24" s="5673"/>
      <c r="BM24" s="5673"/>
      <c r="BN24" s="5673"/>
      <c r="BO24" s="5673">
        <v>127956.18</v>
      </c>
      <c r="BP24" s="5419"/>
      <c r="BQ24" s="5419"/>
      <c r="BR24" s="5419"/>
      <c r="BS24" s="5419"/>
      <c r="BT24" s="5419"/>
      <c r="BU24" s="5419"/>
      <c r="BV24" s="5419"/>
      <c r="BW24" s="5419"/>
      <c r="BX24" s="5419"/>
      <c r="BY24" s="5419"/>
      <c r="BZ24" s="5676"/>
      <c r="CA24" s="5676"/>
      <c r="CB24" s="8545"/>
      <c r="CC24" s="8545"/>
      <c r="CD24" s="5676"/>
      <c r="CE24" s="5676"/>
      <c r="CF24" s="8545"/>
      <c r="CG24" s="5726">
        <f>SUM(B24:CF24)</f>
        <v>1702871.4899999998</v>
      </c>
      <c r="CH24" s="5725" t="s">
        <v>578</v>
      </c>
    </row>
    <row r="25" spans="1:86">
      <c r="A25" s="5690" t="s">
        <v>579</v>
      </c>
      <c r="B25" s="5420">
        <v>734095.18</v>
      </c>
      <c r="C25" s="5419"/>
      <c r="D25" s="5419"/>
      <c r="E25" s="5419"/>
      <c r="F25" s="5419"/>
      <c r="G25" s="5419"/>
      <c r="H25" s="5420">
        <v>191500</v>
      </c>
      <c r="I25" s="5420"/>
      <c r="J25" s="5420">
        <v>220054.75</v>
      </c>
      <c r="K25" s="5670"/>
      <c r="L25" s="5670"/>
      <c r="M25" s="5670"/>
      <c r="N25" s="5670"/>
      <c r="O25" s="5670">
        <v>10484988.65</v>
      </c>
      <c r="P25" s="5670"/>
      <c r="Q25" s="5670"/>
      <c r="R25" s="5420">
        <v>238964.5</v>
      </c>
      <c r="S25" s="5420"/>
      <c r="T25" s="5420"/>
      <c r="U25" s="5420"/>
      <c r="V25" s="5420"/>
      <c r="W25" s="5420">
        <v>468500</v>
      </c>
      <c r="X25" s="5420">
        <v>924669.09</v>
      </c>
      <c r="Y25" s="5420"/>
      <c r="Z25" s="5420"/>
      <c r="AA25" s="5420">
        <v>17500</v>
      </c>
      <c r="AB25" s="5420"/>
      <c r="AC25" s="5420"/>
      <c r="AD25" s="5420"/>
      <c r="AE25" s="5420"/>
      <c r="AF25" s="5420"/>
      <c r="AG25" s="5419"/>
      <c r="AH25" s="5670"/>
      <c r="AI25" s="5670"/>
      <c r="AJ25" s="5670"/>
      <c r="AK25" s="5670"/>
      <c r="AL25" s="5420"/>
      <c r="AM25" s="5420"/>
      <c r="AN25" s="5420">
        <v>4981411.51</v>
      </c>
      <c r="AO25" s="5420"/>
      <c r="AP25" s="5420"/>
      <c r="AQ25" s="5420"/>
      <c r="AR25" s="5420"/>
      <c r="AS25" s="5420"/>
      <c r="AT25" s="5420"/>
      <c r="AU25" s="5420"/>
      <c r="AV25" s="5420"/>
      <c r="AW25" s="5420"/>
      <c r="AX25" s="5420"/>
      <c r="AY25" s="5420"/>
      <c r="AZ25" s="5670"/>
      <c r="BA25" s="5670"/>
      <c r="BB25" s="5670">
        <v>133804</v>
      </c>
      <c r="BC25" s="5670"/>
      <c r="BD25" s="5670"/>
      <c r="BE25" s="5670"/>
      <c r="BF25" s="5670"/>
      <c r="BG25" s="5670"/>
      <c r="BH25" s="5670">
        <v>10507.5</v>
      </c>
      <c r="BI25" s="5670"/>
      <c r="BJ25" s="5670"/>
      <c r="BK25" s="5670"/>
      <c r="BL25" s="5670"/>
      <c r="BM25" s="5670"/>
      <c r="BN25" s="5670"/>
      <c r="BO25" s="5420">
        <v>227210.05</v>
      </c>
      <c r="BP25" s="5419"/>
      <c r="BQ25" s="5419"/>
      <c r="BR25" s="5419"/>
      <c r="BS25" s="5419"/>
      <c r="BT25" s="5419"/>
      <c r="BU25" s="5419"/>
      <c r="BV25" s="5419"/>
      <c r="BW25" s="5419"/>
      <c r="BX25" s="5419"/>
      <c r="BY25" s="5419"/>
      <c r="BZ25" s="5676"/>
      <c r="CA25" s="5676"/>
      <c r="CB25" s="8545"/>
      <c r="CC25" s="8545"/>
      <c r="CD25" s="5676"/>
      <c r="CE25" s="5676"/>
      <c r="CF25" s="8545"/>
      <c r="CG25" s="5726">
        <f t="shared" ref="CG25:CG37" si="3">SUM(B25:CF25)</f>
        <v>18633205.23</v>
      </c>
      <c r="CH25" s="5690" t="s">
        <v>579</v>
      </c>
    </row>
    <row r="26" spans="1:86" hidden="1">
      <c r="A26" s="5690" t="s">
        <v>580</v>
      </c>
      <c r="B26" s="5420"/>
      <c r="C26" s="5419"/>
      <c r="D26" s="5419"/>
      <c r="E26" s="5419"/>
      <c r="F26" s="5419"/>
      <c r="G26" s="5419"/>
      <c r="H26" s="5420"/>
      <c r="I26" s="5420"/>
      <c r="J26" s="5420"/>
      <c r="K26" s="5670"/>
      <c r="L26" s="5670"/>
      <c r="M26" s="5670"/>
      <c r="N26" s="5670"/>
      <c r="O26" s="5670"/>
      <c r="P26" s="5670"/>
      <c r="Q26" s="5670"/>
      <c r="R26" s="5420"/>
      <c r="S26" s="5420"/>
      <c r="T26" s="5420"/>
      <c r="U26" s="5420"/>
      <c r="V26" s="5420"/>
      <c r="W26" s="5420"/>
      <c r="X26" s="5420"/>
      <c r="Y26" s="5420"/>
      <c r="Z26" s="5420"/>
      <c r="AA26" s="5420"/>
      <c r="AB26" s="5420"/>
      <c r="AC26" s="5420"/>
      <c r="AD26" s="5420"/>
      <c r="AE26" s="5420"/>
      <c r="AF26" s="5420"/>
      <c r="AG26" s="5419"/>
      <c r="AH26" s="5670"/>
      <c r="AI26" s="5670"/>
      <c r="AJ26" s="5670"/>
      <c r="AK26" s="5670"/>
      <c r="AL26" s="5420"/>
      <c r="AM26" s="5420"/>
      <c r="AN26" s="5420"/>
      <c r="AO26" s="5420"/>
      <c r="AP26" s="5420"/>
      <c r="AQ26" s="5420"/>
      <c r="AR26" s="5420"/>
      <c r="AS26" s="5420"/>
      <c r="AT26" s="5420"/>
      <c r="AU26" s="5420"/>
      <c r="AV26" s="5420"/>
      <c r="AW26" s="5420"/>
      <c r="AX26" s="5420"/>
      <c r="AY26" s="5420"/>
      <c r="AZ26" s="5670"/>
      <c r="BA26" s="5670"/>
      <c r="BB26" s="5670"/>
      <c r="BC26" s="5670"/>
      <c r="BD26" s="5670"/>
      <c r="BE26" s="5670"/>
      <c r="BF26" s="5670"/>
      <c r="BG26" s="5670"/>
      <c r="BH26" s="5670"/>
      <c r="BI26" s="5670"/>
      <c r="BJ26" s="5670"/>
      <c r="BK26" s="5670"/>
      <c r="BL26" s="5670"/>
      <c r="BM26" s="5670"/>
      <c r="BN26" s="5670"/>
      <c r="BO26" s="5420"/>
      <c r="BP26" s="5419"/>
      <c r="BQ26" s="5419"/>
      <c r="BR26" s="5419"/>
      <c r="BS26" s="5419"/>
      <c r="BT26" s="5419"/>
      <c r="BU26" s="5419"/>
      <c r="BV26" s="5419"/>
      <c r="BW26" s="5419"/>
      <c r="BX26" s="5419"/>
      <c r="BY26" s="5419"/>
      <c r="BZ26" s="5676"/>
      <c r="CA26" s="5676"/>
      <c r="CB26" s="8545"/>
      <c r="CC26" s="8545"/>
      <c r="CD26" s="5676"/>
      <c r="CE26" s="5676"/>
      <c r="CF26" s="8545"/>
      <c r="CG26" s="5726">
        <f t="shared" si="3"/>
        <v>0</v>
      </c>
      <c r="CH26" s="5690" t="s">
        <v>580</v>
      </c>
    </row>
    <row r="27" spans="1:86">
      <c r="A27" s="5690" t="s">
        <v>581</v>
      </c>
      <c r="B27" s="5420">
        <v>1363878.94</v>
      </c>
      <c r="C27" s="5419"/>
      <c r="D27" s="5419"/>
      <c r="E27" s="5419"/>
      <c r="F27" s="5419"/>
      <c r="G27" s="5419"/>
      <c r="H27" s="5420">
        <v>53300</v>
      </c>
      <c r="I27" s="5420"/>
      <c r="J27" s="5420">
        <v>384077</v>
      </c>
      <c r="K27" s="5670"/>
      <c r="L27" s="5670"/>
      <c r="M27" s="5670"/>
      <c r="N27" s="5670"/>
      <c r="O27" s="5670"/>
      <c r="P27" s="5670"/>
      <c r="Q27" s="5670">
        <v>398193</v>
      </c>
      <c r="R27" s="5420">
        <v>150500</v>
      </c>
      <c r="S27" s="5420"/>
      <c r="T27" s="5420"/>
      <c r="U27" s="5420"/>
      <c r="V27" s="5420"/>
      <c r="W27" s="5420">
        <v>100519</v>
      </c>
      <c r="X27" s="5420">
        <v>710455.62</v>
      </c>
      <c r="Y27" s="5420"/>
      <c r="Z27" s="5420"/>
      <c r="AA27" s="5420">
        <v>173644.9</v>
      </c>
      <c r="AB27" s="5420"/>
      <c r="AC27" s="5420"/>
      <c r="AD27" s="5420"/>
      <c r="AE27" s="5420"/>
      <c r="AF27" s="5420">
        <v>4400</v>
      </c>
      <c r="AG27" s="5419"/>
      <c r="AH27" s="5670"/>
      <c r="AI27" s="5670"/>
      <c r="AJ27" s="5670"/>
      <c r="AK27" s="5670"/>
      <c r="AL27" s="5420"/>
      <c r="AM27" s="5420"/>
      <c r="AN27" s="5420"/>
      <c r="AO27" s="5420">
        <v>622436.42000000004</v>
      </c>
      <c r="AP27" s="5420"/>
      <c r="AQ27" s="5420"/>
      <c r="AR27" s="5420"/>
      <c r="AS27" s="5420">
        <v>68153.600000000006</v>
      </c>
      <c r="AT27" s="5420"/>
      <c r="AU27" s="5420"/>
      <c r="AV27" s="5420"/>
      <c r="AW27" s="5420">
        <v>62000</v>
      </c>
      <c r="AX27" s="5420"/>
      <c r="AY27" s="5420"/>
      <c r="AZ27" s="5670"/>
      <c r="BA27" s="5670"/>
      <c r="BB27" s="5670">
        <v>193185.05</v>
      </c>
      <c r="BC27" s="5670"/>
      <c r="BD27" s="5670"/>
      <c r="BE27" s="5670"/>
      <c r="BF27" s="5670"/>
      <c r="BG27" s="5670"/>
      <c r="BH27" s="5670">
        <v>16653.75</v>
      </c>
      <c r="BI27" s="5670"/>
      <c r="BJ27" s="5670"/>
      <c r="BK27" s="5670"/>
      <c r="BL27" s="5670">
        <v>5295</v>
      </c>
      <c r="BM27" s="5670"/>
      <c r="BN27" s="5670"/>
      <c r="BO27" s="5420">
        <v>220457.32</v>
      </c>
      <c r="BP27" s="5419"/>
      <c r="BQ27" s="5419"/>
      <c r="BR27" s="5419"/>
      <c r="BS27" s="5419"/>
      <c r="BT27" s="5419"/>
      <c r="BU27" s="5419"/>
      <c r="BV27" s="5419"/>
      <c r="BW27" s="5419"/>
      <c r="BX27" s="5419"/>
      <c r="BY27" s="5419"/>
      <c r="BZ27" s="5676"/>
      <c r="CA27" s="5676"/>
      <c r="CB27" s="8545"/>
      <c r="CC27" s="8545"/>
      <c r="CD27" s="5676"/>
      <c r="CE27" s="5676"/>
      <c r="CF27" s="8545"/>
      <c r="CG27" s="5726">
        <f t="shared" si="3"/>
        <v>4527149.6000000006</v>
      </c>
      <c r="CH27" s="5690" t="s">
        <v>581</v>
      </c>
    </row>
    <row r="28" spans="1:86">
      <c r="A28" s="5690" t="s">
        <v>582</v>
      </c>
      <c r="B28" s="5420">
        <v>223995.62</v>
      </c>
      <c r="C28" s="5419"/>
      <c r="D28" s="5419"/>
      <c r="E28" s="5419"/>
      <c r="F28" s="5419"/>
      <c r="G28" s="5419"/>
      <c r="H28" s="5420">
        <v>112300</v>
      </c>
      <c r="I28" s="5420"/>
      <c r="J28" s="5420">
        <v>925415.55</v>
      </c>
      <c r="K28" s="5670"/>
      <c r="L28" s="5670"/>
      <c r="M28" s="5670">
        <v>68750</v>
      </c>
      <c r="N28" s="5670"/>
      <c r="O28" s="5670">
        <v>2161532.23</v>
      </c>
      <c r="P28" s="5670">
        <v>8885037.4000000004</v>
      </c>
      <c r="Q28" s="5670">
        <v>9841655.4000000004</v>
      </c>
      <c r="R28" s="5420">
        <v>249701.94</v>
      </c>
      <c r="S28" s="5420"/>
      <c r="T28" s="5420"/>
      <c r="U28" s="5420"/>
      <c r="V28" s="5420"/>
      <c r="W28" s="5420">
        <v>804705.44</v>
      </c>
      <c r="X28" s="5420">
        <v>2593491.52</v>
      </c>
      <c r="Y28" s="5420"/>
      <c r="Z28" s="5420">
        <v>610</v>
      </c>
      <c r="AA28" s="5420">
        <v>27448.55</v>
      </c>
      <c r="AB28" s="5420"/>
      <c r="AC28" s="5420"/>
      <c r="AD28" s="5420"/>
      <c r="AE28" s="5420">
        <v>34007.86</v>
      </c>
      <c r="AF28" s="5420"/>
      <c r="AG28" s="5419"/>
      <c r="AH28" s="5670"/>
      <c r="AI28" s="5670"/>
      <c r="AJ28" s="5670"/>
      <c r="AK28" s="5670"/>
      <c r="AL28" s="5420">
        <v>3572227.28</v>
      </c>
      <c r="AM28" s="5420">
        <v>843000</v>
      </c>
      <c r="AN28" s="5420">
        <v>720000</v>
      </c>
      <c r="AO28" s="5420">
        <v>7022555.9199999999</v>
      </c>
      <c r="AP28" s="5420"/>
      <c r="AQ28" s="5420"/>
      <c r="AR28" s="5420"/>
      <c r="AS28" s="5420">
        <v>171796.8</v>
      </c>
      <c r="AT28" s="5420"/>
      <c r="AU28" s="5420"/>
      <c r="AV28" s="5420"/>
      <c r="AW28" s="5420">
        <v>18958</v>
      </c>
      <c r="AX28" s="5420"/>
      <c r="AY28" s="5420"/>
      <c r="AZ28" s="5670"/>
      <c r="BA28" s="5670"/>
      <c r="BB28" s="5670">
        <v>110987</v>
      </c>
      <c r="BC28" s="5670"/>
      <c r="BD28" s="5670"/>
      <c r="BE28" s="5670"/>
      <c r="BF28" s="5670"/>
      <c r="BG28" s="5670">
        <v>26659.200000000001</v>
      </c>
      <c r="BH28" s="5670">
        <v>13350</v>
      </c>
      <c r="BI28" s="5670"/>
      <c r="BJ28" s="5670"/>
      <c r="BK28" s="5670"/>
      <c r="BL28" s="5670"/>
      <c r="BM28" s="5670"/>
      <c r="BN28" s="5670"/>
      <c r="BO28" s="5420">
        <v>178862.44</v>
      </c>
      <c r="BP28" s="5419"/>
      <c r="BQ28" s="5419"/>
      <c r="BR28" s="5419"/>
      <c r="BS28" s="5419"/>
      <c r="BT28" s="5419"/>
      <c r="BU28" s="5419"/>
      <c r="BV28" s="5419"/>
      <c r="BW28" s="5419"/>
      <c r="BX28" s="5419"/>
      <c r="BY28" s="5419"/>
      <c r="BZ28" s="5676"/>
      <c r="CA28" s="5676"/>
      <c r="CB28" s="8545"/>
      <c r="CC28" s="8545"/>
      <c r="CD28" s="5676"/>
      <c r="CE28" s="5676"/>
      <c r="CF28" s="8545"/>
      <c r="CG28" s="5726">
        <f t="shared" si="3"/>
        <v>38607048.150000006</v>
      </c>
      <c r="CH28" s="5690" t="s">
        <v>582</v>
      </c>
    </row>
    <row r="29" spans="1:86">
      <c r="A29" s="5690" t="s">
        <v>583</v>
      </c>
      <c r="B29" s="5420">
        <v>138899.19</v>
      </c>
      <c r="C29" s="5419"/>
      <c r="D29" s="5419"/>
      <c r="E29" s="5419"/>
      <c r="F29" s="5419"/>
      <c r="G29" s="5419"/>
      <c r="H29" s="5420">
        <v>183300</v>
      </c>
      <c r="I29" s="5420"/>
      <c r="J29" s="5420">
        <v>547264.15</v>
      </c>
      <c r="K29" s="5670"/>
      <c r="L29" s="5670"/>
      <c r="M29" s="5670">
        <v>41310</v>
      </c>
      <c r="N29" s="5670"/>
      <c r="O29" s="5670">
        <v>1220317.7</v>
      </c>
      <c r="P29" s="5670">
        <v>4464314.2699999996</v>
      </c>
      <c r="Q29" s="5670">
        <v>4084911.35</v>
      </c>
      <c r="R29" s="5420">
        <v>169535.34</v>
      </c>
      <c r="S29" s="5420"/>
      <c r="T29" s="5420"/>
      <c r="U29" s="5420"/>
      <c r="V29" s="5420"/>
      <c r="W29" s="5420"/>
      <c r="X29" s="5420">
        <v>730170.26</v>
      </c>
      <c r="Y29" s="5420"/>
      <c r="Z29" s="5420">
        <v>5105</v>
      </c>
      <c r="AA29" s="5420">
        <v>97734.04</v>
      </c>
      <c r="AB29" s="5420"/>
      <c r="AC29" s="5420"/>
      <c r="AD29" s="5420"/>
      <c r="AE29" s="5420"/>
      <c r="AF29" s="5420"/>
      <c r="AG29" s="5419"/>
      <c r="AH29" s="5670"/>
      <c r="AI29" s="5670"/>
      <c r="AJ29" s="5670"/>
      <c r="AK29" s="5670"/>
      <c r="AL29" s="5420">
        <v>463162.85</v>
      </c>
      <c r="AM29" s="5420"/>
      <c r="AN29" s="5420"/>
      <c r="AO29" s="5420">
        <v>2421112.1</v>
      </c>
      <c r="AP29" s="5420"/>
      <c r="AQ29" s="5420"/>
      <c r="AR29" s="5420"/>
      <c r="AS29" s="5420">
        <v>65626.77</v>
      </c>
      <c r="AT29" s="5420"/>
      <c r="AU29" s="5420"/>
      <c r="AV29" s="5420"/>
      <c r="AW29" s="5420">
        <v>62129</v>
      </c>
      <c r="AX29" s="5420"/>
      <c r="AY29" s="5420"/>
      <c r="AZ29" s="5670"/>
      <c r="BA29" s="5670"/>
      <c r="BB29" s="5670">
        <v>88386</v>
      </c>
      <c r="BC29" s="5670"/>
      <c r="BD29" s="5670"/>
      <c r="BE29" s="5670"/>
      <c r="BF29" s="5670"/>
      <c r="BG29" s="5670">
        <v>24136</v>
      </c>
      <c r="BH29" s="5670">
        <v>11850</v>
      </c>
      <c r="BI29" s="5670"/>
      <c r="BJ29" s="5670"/>
      <c r="BK29" s="5670"/>
      <c r="BL29" s="5670"/>
      <c r="BM29" s="5670"/>
      <c r="BN29" s="5670"/>
      <c r="BO29" s="5420">
        <v>370504.97</v>
      </c>
      <c r="BP29" s="5419"/>
      <c r="BQ29" s="5419"/>
      <c r="BR29" s="5419"/>
      <c r="BS29" s="5419"/>
      <c r="BT29" s="5419"/>
      <c r="BU29" s="5419"/>
      <c r="BV29" s="5419"/>
      <c r="BW29" s="5419"/>
      <c r="BX29" s="5419"/>
      <c r="BY29" s="5419"/>
      <c r="BZ29" s="5676"/>
      <c r="CA29" s="5676"/>
      <c r="CB29" s="8545"/>
      <c r="CC29" s="8545"/>
      <c r="CD29" s="5676"/>
      <c r="CE29" s="5676"/>
      <c r="CF29" s="8545"/>
      <c r="CG29" s="5726">
        <f t="shared" si="3"/>
        <v>15189768.989999998</v>
      </c>
      <c r="CH29" s="5690" t="s">
        <v>583</v>
      </c>
    </row>
    <row r="30" spans="1:86">
      <c r="A30" s="5690" t="s">
        <v>584</v>
      </c>
      <c r="B30" s="5420">
        <v>118517.62</v>
      </c>
      <c r="C30" s="5419"/>
      <c r="D30" s="5419"/>
      <c r="E30" s="5419"/>
      <c r="F30" s="5419"/>
      <c r="G30" s="5419"/>
      <c r="H30" s="5420">
        <v>161600</v>
      </c>
      <c r="I30" s="5420"/>
      <c r="J30" s="5420">
        <v>548166.40000000002</v>
      </c>
      <c r="K30" s="5670"/>
      <c r="L30" s="5670"/>
      <c r="M30" s="5670">
        <v>55080</v>
      </c>
      <c r="N30" s="5670"/>
      <c r="O30" s="5670">
        <v>1857764.66</v>
      </c>
      <c r="P30" s="5670">
        <v>10680486.17</v>
      </c>
      <c r="Q30" s="5670">
        <v>6728756.1200000001</v>
      </c>
      <c r="R30" s="5420">
        <v>110484</v>
      </c>
      <c r="S30" s="5420"/>
      <c r="T30" s="5420"/>
      <c r="U30" s="5420"/>
      <c r="V30" s="5420"/>
      <c r="W30" s="5420">
        <v>19042</v>
      </c>
      <c r="X30" s="5420">
        <v>2123280.6800000002</v>
      </c>
      <c r="Y30" s="5420"/>
      <c r="Z30" s="5420">
        <v>1678</v>
      </c>
      <c r="AA30" s="5420">
        <v>26329.09</v>
      </c>
      <c r="AB30" s="5420"/>
      <c r="AC30" s="5420"/>
      <c r="AD30" s="5420"/>
      <c r="AE30" s="5420">
        <v>30754.98</v>
      </c>
      <c r="AF30" s="5420">
        <v>6750</v>
      </c>
      <c r="AG30" s="5419"/>
      <c r="AH30" s="5670"/>
      <c r="AI30" s="5670"/>
      <c r="AJ30" s="5670"/>
      <c r="AK30" s="5670"/>
      <c r="AL30" s="5420">
        <v>4159300.97</v>
      </c>
      <c r="AM30" s="5420">
        <v>899998.27</v>
      </c>
      <c r="AN30" s="5420">
        <v>900000</v>
      </c>
      <c r="AO30" s="5420">
        <v>8579533.7599999998</v>
      </c>
      <c r="AP30" s="5420"/>
      <c r="AQ30" s="5420"/>
      <c r="AR30" s="5420"/>
      <c r="AS30" s="5420">
        <v>86457.5</v>
      </c>
      <c r="AT30" s="5420"/>
      <c r="AU30" s="5420"/>
      <c r="AV30" s="5420"/>
      <c r="AW30" s="5420">
        <v>13885</v>
      </c>
      <c r="AX30" s="5420"/>
      <c r="AY30" s="5420"/>
      <c r="AZ30" s="5670"/>
      <c r="BA30" s="5670"/>
      <c r="BB30" s="5670">
        <v>109526</v>
      </c>
      <c r="BC30" s="5670"/>
      <c r="BD30" s="5670"/>
      <c r="BE30" s="5670"/>
      <c r="BF30" s="5670"/>
      <c r="BG30" s="5670">
        <v>35901</v>
      </c>
      <c r="BH30" s="5670">
        <v>18159.91</v>
      </c>
      <c r="BI30" s="5670"/>
      <c r="BJ30" s="5670"/>
      <c r="BK30" s="5670"/>
      <c r="BL30" s="5670"/>
      <c r="BM30" s="5670"/>
      <c r="BN30" s="5670"/>
      <c r="BO30" s="5420">
        <v>194968.45</v>
      </c>
      <c r="BP30" s="5419"/>
      <c r="BQ30" s="5419"/>
      <c r="BR30" s="5419"/>
      <c r="BS30" s="5419"/>
      <c r="BT30" s="5419"/>
      <c r="BU30" s="5419"/>
      <c r="BV30" s="5419"/>
      <c r="BW30" s="5419"/>
      <c r="BX30" s="5419"/>
      <c r="BY30" s="5419"/>
      <c r="BZ30" s="5676"/>
      <c r="CA30" s="5676"/>
      <c r="CB30" s="8545"/>
      <c r="CC30" s="8545"/>
      <c r="CD30" s="5676"/>
      <c r="CE30" s="5676"/>
      <c r="CF30" s="8545"/>
      <c r="CG30" s="5726">
        <f t="shared" si="3"/>
        <v>37466420.579999998</v>
      </c>
      <c r="CH30" s="5690" t="s">
        <v>584</v>
      </c>
    </row>
    <row r="31" spans="1:86">
      <c r="A31" s="5690" t="s">
        <v>585</v>
      </c>
      <c r="B31" s="5420">
        <v>75742.5</v>
      </c>
      <c r="C31" s="5419"/>
      <c r="D31" s="5419"/>
      <c r="E31" s="5419"/>
      <c r="F31" s="5419"/>
      <c r="G31" s="5419"/>
      <c r="H31" s="5420">
        <v>159500</v>
      </c>
      <c r="I31" s="5420"/>
      <c r="J31" s="5420">
        <v>191179.95</v>
      </c>
      <c r="K31" s="5670"/>
      <c r="L31" s="5670"/>
      <c r="M31" s="5670">
        <v>34375</v>
      </c>
      <c r="N31" s="5670"/>
      <c r="O31" s="5670">
        <v>613014.62</v>
      </c>
      <c r="P31" s="5670">
        <v>1642059.08</v>
      </c>
      <c r="Q31" s="5670">
        <v>2082503.36</v>
      </c>
      <c r="R31" s="5420">
        <v>151401.41</v>
      </c>
      <c r="S31" s="5420"/>
      <c r="T31" s="5420"/>
      <c r="U31" s="5420"/>
      <c r="V31" s="5420"/>
      <c r="W31" s="5420">
        <v>74930.75</v>
      </c>
      <c r="X31" s="5420">
        <v>560283.1</v>
      </c>
      <c r="Y31" s="5420"/>
      <c r="Z31" s="5420">
        <v>1285</v>
      </c>
      <c r="AA31" s="5420">
        <v>49924.41</v>
      </c>
      <c r="AB31" s="5420"/>
      <c r="AC31" s="5420"/>
      <c r="AD31" s="5420"/>
      <c r="AE31" s="5420">
        <v>9575.84</v>
      </c>
      <c r="AF31" s="5420"/>
      <c r="AG31" s="5419"/>
      <c r="AH31" s="5670"/>
      <c r="AI31" s="5670"/>
      <c r="AJ31" s="5670"/>
      <c r="AK31" s="5670"/>
      <c r="AL31" s="5420">
        <v>1728970.62</v>
      </c>
      <c r="AM31" s="5420"/>
      <c r="AN31" s="5420"/>
      <c r="AO31" s="5420">
        <v>2484900.06</v>
      </c>
      <c r="AP31" s="5420"/>
      <c r="AQ31" s="5420"/>
      <c r="AR31" s="5420"/>
      <c r="AS31" s="5420">
        <v>58254.6</v>
      </c>
      <c r="AT31" s="5420"/>
      <c r="AU31" s="5420"/>
      <c r="AV31" s="5420"/>
      <c r="AW31" s="5420">
        <v>7839</v>
      </c>
      <c r="AX31" s="5420"/>
      <c r="AY31" s="5420"/>
      <c r="AZ31" s="5670"/>
      <c r="BA31" s="5670"/>
      <c r="BB31" s="5670">
        <v>91380</v>
      </c>
      <c r="BC31" s="5670"/>
      <c r="BD31" s="5670"/>
      <c r="BE31" s="5670"/>
      <c r="BF31" s="5670"/>
      <c r="BG31" s="5670">
        <v>18870</v>
      </c>
      <c r="BH31" s="5670">
        <v>6900</v>
      </c>
      <c r="BI31" s="5670"/>
      <c r="BJ31" s="5670"/>
      <c r="BK31" s="5670"/>
      <c r="BL31" s="5670"/>
      <c r="BM31" s="5670"/>
      <c r="BN31" s="5670"/>
      <c r="BO31" s="5420">
        <v>646992.09</v>
      </c>
      <c r="BP31" s="5419"/>
      <c r="BQ31" s="5419"/>
      <c r="BR31" s="5419"/>
      <c r="BS31" s="5419"/>
      <c r="BT31" s="5419"/>
      <c r="BU31" s="5419"/>
      <c r="BV31" s="5419"/>
      <c r="BW31" s="5419"/>
      <c r="BX31" s="5419"/>
      <c r="BY31" s="5419"/>
      <c r="BZ31" s="5676"/>
      <c r="CA31" s="5676"/>
      <c r="CB31" s="8545"/>
      <c r="CC31" s="8545"/>
      <c r="CD31" s="5676"/>
      <c r="CE31" s="5676"/>
      <c r="CF31" s="8545"/>
      <c r="CG31" s="5726">
        <f t="shared" si="3"/>
        <v>10689881.390000001</v>
      </c>
      <c r="CH31" s="5690" t="s">
        <v>585</v>
      </c>
    </row>
    <row r="32" spans="1:86">
      <c r="A32" s="5690" t="s">
        <v>586</v>
      </c>
      <c r="B32" s="5420">
        <v>74792.850000000006</v>
      </c>
      <c r="C32" s="5419"/>
      <c r="D32" s="5419"/>
      <c r="E32" s="5419"/>
      <c r="F32" s="5419"/>
      <c r="G32" s="5419"/>
      <c r="H32" s="5420">
        <v>25800</v>
      </c>
      <c r="I32" s="5420"/>
      <c r="J32" s="5420">
        <v>114898.65</v>
      </c>
      <c r="K32" s="5670"/>
      <c r="L32" s="5670"/>
      <c r="M32" s="5670">
        <v>30280</v>
      </c>
      <c r="N32" s="5670"/>
      <c r="O32" s="5670">
        <v>1077623.55</v>
      </c>
      <c r="P32" s="5670">
        <v>5201912.71</v>
      </c>
      <c r="Q32" s="5670">
        <v>2805115</v>
      </c>
      <c r="R32" s="5420">
        <v>150980.81</v>
      </c>
      <c r="S32" s="5420"/>
      <c r="T32" s="5420"/>
      <c r="U32" s="5420"/>
      <c r="V32" s="5420"/>
      <c r="W32" s="5420">
        <v>167580</v>
      </c>
      <c r="X32" s="5420">
        <v>377901.44</v>
      </c>
      <c r="Y32" s="5420"/>
      <c r="Z32" s="5420">
        <v>419</v>
      </c>
      <c r="AA32" s="5420">
        <v>30063.29</v>
      </c>
      <c r="AB32" s="5420"/>
      <c r="AC32" s="5420"/>
      <c r="AD32" s="5420"/>
      <c r="AE32" s="5420">
        <v>15192</v>
      </c>
      <c r="AF32" s="5420"/>
      <c r="AG32" s="5419"/>
      <c r="AH32" s="5670"/>
      <c r="AI32" s="5670"/>
      <c r="AJ32" s="5670"/>
      <c r="AK32" s="5670"/>
      <c r="AL32" s="5420">
        <v>1293067.23</v>
      </c>
      <c r="AM32" s="5420">
        <v>754784.68</v>
      </c>
      <c r="AN32" s="5420">
        <v>362903</v>
      </c>
      <c r="AO32" s="5420">
        <v>3128895.01</v>
      </c>
      <c r="AP32" s="5420"/>
      <c r="AQ32" s="5420"/>
      <c r="AR32" s="5420"/>
      <c r="AS32" s="5420">
        <v>68760.75</v>
      </c>
      <c r="AT32" s="5420"/>
      <c r="AU32" s="5420"/>
      <c r="AV32" s="5420"/>
      <c r="AW32" s="5420">
        <v>4230</v>
      </c>
      <c r="AX32" s="5420"/>
      <c r="AY32" s="5420"/>
      <c r="AZ32" s="5670"/>
      <c r="BA32" s="5670"/>
      <c r="BB32" s="5670">
        <v>61999.51</v>
      </c>
      <c r="BC32" s="5670"/>
      <c r="BD32" s="5670"/>
      <c r="BE32" s="5670"/>
      <c r="BF32" s="5670"/>
      <c r="BG32" s="5670">
        <v>15000</v>
      </c>
      <c r="BH32" s="5670">
        <v>13500</v>
      </c>
      <c r="BI32" s="5670"/>
      <c r="BJ32" s="5670"/>
      <c r="BK32" s="5670"/>
      <c r="BL32" s="5670"/>
      <c r="BM32" s="5670"/>
      <c r="BN32" s="5670"/>
      <c r="BO32" s="5420">
        <v>160659.26</v>
      </c>
      <c r="BP32" s="5419"/>
      <c r="BQ32" s="5419"/>
      <c r="BR32" s="5419"/>
      <c r="BS32" s="5419"/>
      <c r="BT32" s="5419"/>
      <c r="BU32" s="5419"/>
      <c r="BV32" s="5419"/>
      <c r="BW32" s="5419"/>
      <c r="BX32" s="5419"/>
      <c r="BY32" s="5419"/>
      <c r="BZ32" s="5676"/>
      <c r="CA32" s="5676"/>
      <c r="CB32" s="8545"/>
      <c r="CC32" s="8545"/>
      <c r="CD32" s="5676"/>
      <c r="CE32" s="5676"/>
      <c r="CF32" s="8545"/>
      <c r="CG32" s="5726">
        <f t="shared" si="3"/>
        <v>15936358.739999998</v>
      </c>
      <c r="CH32" s="5690" t="s">
        <v>586</v>
      </c>
    </row>
    <row r="33" spans="1:86">
      <c r="A33" s="5690" t="s">
        <v>587</v>
      </c>
      <c r="B33" s="5420">
        <v>87248.5</v>
      </c>
      <c r="C33" s="5419"/>
      <c r="D33" s="5419"/>
      <c r="E33" s="5419"/>
      <c r="F33" s="5419"/>
      <c r="G33" s="5419"/>
      <c r="H33" s="5420">
        <v>29000</v>
      </c>
      <c r="I33" s="5420"/>
      <c r="J33" s="5420">
        <v>115692.4</v>
      </c>
      <c r="K33" s="5670"/>
      <c r="L33" s="5670"/>
      <c r="M33" s="5670">
        <v>34375</v>
      </c>
      <c r="N33" s="5670"/>
      <c r="O33" s="5670">
        <v>361044.5</v>
      </c>
      <c r="P33" s="5670">
        <v>3019109</v>
      </c>
      <c r="Q33" s="5670">
        <v>1787704.94</v>
      </c>
      <c r="R33" s="5420">
        <v>162935.45000000001</v>
      </c>
      <c r="S33" s="5420"/>
      <c r="T33" s="5420"/>
      <c r="U33" s="5420"/>
      <c r="V33" s="5420">
        <v>78143.070000000007</v>
      </c>
      <c r="W33" s="5420">
        <v>38662.400000000001</v>
      </c>
      <c r="X33" s="5420">
        <v>206882.88</v>
      </c>
      <c r="Y33" s="5420"/>
      <c r="Z33" s="5420">
        <v>479.5</v>
      </c>
      <c r="AA33" s="5420">
        <v>56180.160000000003</v>
      </c>
      <c r="AB33" s="5420"/>
      <c r="AC33" s="5420"/>
      <c r="AD33" s="5420"/>
      <c r="AE33" s="5420"/>
      <c r="AF33" s="5420"/>
      <c r="AG33" s="5419"/>
      <c r="AH33" s="5670"/>
      <c r="AI33" s="5670"/>
      <c r="AJ33" s="5670"/>
      <c r="AK33" s="5670"/>
      <c r="AL33" s="5420">
        <v>930129.43</v>
      </c>
      <c r="AM33" s="5420"/>
      <c r="AN33" s="5420"/>
      <c r="AO33" s="5420">
        <v>2512336.66</v>
      </c>
      <c r="AP33" s="5420"/>
      <c r="AQ33" s="5420"/>
      <c r="AR33" s="5420"/>
      <c r="AS33" s="5420">
        <v>27810.65</v>
      </c>
      <c r="AT33" s="5420"/>
      <c r="AU33" s="5420"/>
      <c r="AV33" s="5420"/>
      <c r="AW33" s="5420">
        <v>52276.5</v>
      </c>
      <c r="AX33" s="5420"/>
      <c r="AY33" s="5420"/>
      <c r="AZ33" s="5670"/>
      <c r="BA33" s="5670"/>
      <c r="BB33" s="5670">
        <v>38702</v>
      </c>
      <c r="BC33" s="5670"/>
      <c r="BD33" s="5670"/>
      <c r="BE33" s="5670"/>
      <c r="BF33" s="5670"/>
      <c r="BG33" s="5670">
        <v>5120</v>
      </c>
      <c r="BH33" s="5670">
        <v>8100</v>
      </c>
      <c r="BI33" s="5670"/>
      <c r="BJ33" s="5670"/>
      <c r="BK33" s="5670">
        <v>59421.63</v>
      </c>
      <c r="BL33" s="5670"/>
      <c r="BM33" s="5670"/>
      <c r="BN33" s="5670"/>
      <c r="BO33" s="5420">
        <v>36326.300000000003</v>
      </c>
      <c r="BP33" s="5419"/>
      <c r="BQ33" s="5419"/>
      <c r="BR33" s="5419"/>
      <c r="BS33" s="5419"/>
      <c r="BT33" s="5419"/>
      <c r="BU33" s="5419"/>
      <c r="BV33" s="5419"/>
      <c r="BW33" s="5419"/>
      <c r="BX33" s="5419"/>
      <c r="BY33" s="5419"/>
      <c r="BZ33" s="5676"/>
      <c r="CA33" s="5676"/>
      <c r="CB33" s="8545"/>
      <c r="CC33" s="8545"/>
      <c r="CD33" s="5676"/>
      <c r="CE33" s="5676"/>
      <c r="CF33" s="8545"/>
      <c r="CG33" s="5726">
        <f t="shared" si="3"/>
        <v>9647680.9700000025</v>
      </c>
      <c r="CH33" s="5690" t="s">
        <v>587</v>
      </c>
    </row>
    <row r="34" spans="1:86">
      <c r="A34" s="5690" t="s">
        <v>588</v>
      </c>
      <c r="B34" s="5420">
        <v>101888</v>
      </c>
      <c r="C34" s="5419"/>
      <c r="D34" s="5419"/>
      <c r="E34" s="5419"/>
      <c r="F34" s="5419"/>
      <c r="G34" s="5419"/>
      <c r="H34" s="5420">
        <v>30300</v>
      </c>
      <c r="I34" s="5420"/>
      <c r="J34" s="5420">
        <v>142574</v>
      </c>
      <c r="K34" s="5670"/>
      <c r="L34" s="5670"/>
      <c r="M34" s="5670">
        <v>49962</v>
      </c>
      <c r="N34" s="5670"/>
      <c r="O34" s="5670">
        <v>873759</v>
      </c>
      <c r="P34" s="5670">
        <v>5703740.1699999999</v>
      </c>
      <c r="Q34" s="5670">
        <v>3697663.72</v>
      </c>
      <c r="R34" s="5420">
        <v>92845</v>
      </c>
      <c r="S34" s="5420"/>
      <c r="T34" s="5420"/>
      <c r="U34" s="5420"/>
      <c r="V34" s="5420">
        <v>28330</v>
      </c>
      <c r="W34" s="5420"/>
      <c r="X34" s="5420">
        <v>506067.37</v>
      </c>
      <c r="Y34" s="5420"/>
      <c r="Z34" s="5420">
        <v>5687</v>
      </c>
      <c r="AA34" s="5420">
        <v>33420.79</v>
      </c>
      <c r="AB34" s="5420"/>
      <c r="AC34" s="5420"/>
      <c r="AD34" s="5420"/>
      <c r="AE34" s="5420"/>
      <c r="AF34" s="5420"/>
      <c r="AG34" s="5419"/>
      <c r="AH34" s="5670"/>
      <c r="AI34" s="5670"/>
      <c r="AJ34" s="5670"/>
      <c r="AK34" s="5670"/>
      <c r="AL34" s="5420">
        <v>1957289.26</v>
      </c>
      <c r="AM34" s="5420"/>
      <c r="AN34" s="5420"/>
      <c r="AO34" s="5420">
        <v>3545201.63</v>
      </c>
      <c r="AP34" s="5420"/>
      <c r="AQ34" s="5420"/>
      <c r="AR34" s="5420"/>
      <c r="AS34" s="5420">
        <v>21759</v>
      </c>
      <c r="AT34" s="5420"/>
      <c r="AU34" s="5420"/>
      <c r="AV34" s="5420"/>
      <c r="AW34" s="5420"/>
      <c r="AX34" s="5420"/>
      <c r="AY34" s="5420"/>
      <c r="AZ34" s="5670"/>
      <c r="BA34" s="5670"/>
      <c r="BB34" s="5670">
        <v>78684.75</v>
      </c>
      <c r="BC34" s="5670"/>
      <c r="BD34" s="5670"/>
      <c r="BE34" s="5670"/>
      <c r="BF34" s="5670"/>
      <c r="BG34" s="5670">
        <v>3500</v>
      </c>
      <c r="BH34" s="5670">
        <v>2850</v>
      </c>
      <c r="BI34" s="5670"/>
      <c r="BJ34" s="5670"/>
      <c r="BK34" s="5670">
        <v>75442</v>
      </c>
      <c r="BL34" s="5670"/>
      <c r="BM34" s="5670"/>
      <c r="BN34" s="5670"/>
      <c r="BO34" s="5420">
        <v>170447.15</v>
      </c>
      <c r="BP34" s="5419"/>
      <c r="BQ34" s="5419"/>
      <c r="BR34" s="5419"/>
      <c r="BS34" s="5419"/>
      <c r="BT34" s="5419"/>
      <c r="BU34" s="5419"/>
      <c r="BV34" s="5419"/>
      <c r="BW34" s="5419"/>
      <c r="BX34" s="5419"/>
      <c r="BY34" s="5419"/>
      <c r="BZ34" s="5676"/>
      <c r="CA34" s="5676"/>
      <c r="CB34" s="8545"/>
      <c r="CC34" s="8545"/>
      <c r="CD34" s="5676"/>
      <c r="CE34" s="5676"/>
      <c r="CF34" s="8545"/>
      <c r="CG34" s="5726">
        <f t="shared" si="3"/>
        <v>17121410.839999996</v>
      </c>
      <c r="CH34" s="5690" t="s">
        <v>588</v>
      </c>
    </row>
    <row r="35" spans="1:86">
      <c r="A35" s="5690" t="s">
        <v>589</v>
      </c>
      <c r="B35" s="5420">
        <v>53129</v>
      </c>
      <c r="C35" s="5419"/>
      <c r="D35" s="5419"/>
      <c r="E35" s="5419"/>
      <c r="F35" s="5419"/>
      <c r="G35" s="5419"/>
      <c r="H35" s="5420">
        <v>25800</v>
      </c>
      <c r="I35" s="5420"/>
      <c r="J35" s="5420">
        <v>93556.3</v>
      </c>
      <c r="K35" s="5670"/>
      <c r="L35" s="5670"/>
      <c r="M35" s="5670">
        <v>27500</v>
      </c>
      <c r="N35" s="5670"/>
      <c r="O35" s="5670">
        <v>302100.14</v>
      </c>
      <c r="P35" s="5670">
        <v>1825408.26</v>
      </c>
      <c r="Q35" s="5670">
        <v>639435.21</v>
      </c>
      <c r="R35" s="5420">
        <v>90103</v>
      </c>
      <c r="S35" s="5420"/>
      <c r="T35" s="5420"/>
      <c r="U35" s="5420"/>
      <c r="V35" s="5420">
        <v>1462</v>
      </c>
      <c r="W35" s="5420">
        <v>24340</v>
      </c>
      <c r="X35" s="5420">
        <v>235589.54</v>
      </c>
      <c r="Y35" s="5420"/>
      <c r="Z35" s="5420">
        <v>1505</v>
      </c>
      <c r="AA35" s="5420">
        <v>29247.86</v>
      </c>
      <c r="AB35" s="5420"/>
      <c r="AC35" s="5420"/>
      <c r="AD35" s="5420"/>
      <c r="AE35" s="5420">
        <v>28500</v>
      </c>
      <c r="AF35" s="5420"/>
      <c r="AG35" s="5419"/>
      <c r="AH35" s="5670"/>
      <c r="AI35" s="5670"/>
      <c r="AJ35" s="5670"/>
      <c r="AK35" s="5670"/>
      <c r="AL35" s="5420">
        <v>1497166.46</v>
      </c>
      <c r="AM35" s="5420"/>
      <c r="AN35" s="5420"/>
      <c r="AO35" s="5420">
        <v>2059854.11</v>
      </c>
      <c r="AP35" s="5420"/>
      <c r="AQ35" s="5420"/>
      <c r="AR35" s="5420"/>
      <c r="AS35" s="5420">
        <v>4000</v>
      </c>
      <c r="AT35" s="5420"/>
      <c r="AU35" s="5420"/>
      <c r="AV35" s="5420"/>
      <c r="AW35" s="5420">
        <v>7405</v>
      </c>
      <c r="AX35" s="5420"/>
      <c r="AY35" s="5420"/>
      <c r="AZ35" s="5670"/>
      <c r="BA35" s="5670"/>
      <c r="BB35" s="5670">
        <v>11165</v>
      </c>
      <c r="BC35" s="5670"/>
      <c r="BD35" s="5670"/>
      <c r="BE35" s="5670"/>
      <c r="BF35" s="5670"/>
      <c r="BG35" s="5670">
        <v>7500</v>
      </c>
      <c r="BH35" s="5670">
        <v>6375</v>
      </c>
      <c r="BI35" s="5670"/>
      <c r="BJ35" s="5670">
        <v>4500</v>
      </c>
      <c r="BK35" s="5670">
        <v>60000</v>
      </c>
      <c r="BL35" s="5670"/>
      <c r="BM35" s="5670"/>
      <c r="BN35" s="5670"/>
      <c r="BO35" s="5420">
        <v>115485.25</v>
      </c>
      <c r="BP35" s="5419"/>
      <c r="BQ35" s="5419"/>
      <c r="BR35" s="5419"/>
      <c r="BS35" s="5419"/>
      <c r="BT35" s="5419"/>
      <c r="BU35" s="5419"/>
      <c r="BV35" s="5419"/>
      <c r="BW35" s="5419"/>
      <c r="BX35" s="5419"/>
      <c r="BY35" s="5419"/>
      <c r="BZ35" s="5676"/>
      <c r="CA35" s="5676"/>
      <c r="CB35" s="8545"/>
      <c r="CC35" s="8545"/>
      <c r="CD35" s="5676"/>
      <c r="CE35" s="5676"/>
      <c r="CF35" s="8545"/>
      <c r="CG35" s="5726">
        <f t="shared" si="3"/>
        <v>7151127.1299999999</v>
      </c>
      <c r="CH35" s="5690" t="s">
        <v>589</v>
      </c>
    </row>
    <row r="36" spans="1:86">
      <c r="A36" s="5690" t="s">
        <v>590</v>
      </c>
      <c r="B36" s="5420">
        <v>83997</v>
      </c>
      <c r="C36" s="5419"/>
      <c r="D36" s="5419"/>
      <c r="E36" s="5419"/>
      <c r="F36" s="5419"/>
      <c r="G36" s="5419"/>
      <c r="H36" s="5420">
        <v>146800</v>
      </c>
      <c r="I36" s="5420"/>
      <c r="J36" s="5420">
        <v>31561.4</v>
      </c>
      <c r="K36" s="5670"/>
      <c r="L36" s="5670"/>
      <c r="M36" s="5670"/>
      <c r="N36" s="5670"/>
      <c r="O36" s="5670">
        <v>901637.6</v>
      </c>
      <c r="P36" s="5670">
        <v>2612522.88</v>
      </c>
      <c r="Q36" s="5670">
        <v>1891807.89</v>
      </c>
      <c r="R36" s="5420">
        <v>192047.1</v>
      </c>
      <c r="S36" s="5420"/>
      <c r="T36" s="5420"/>
      <c r="U36" s="5420"/>
      <c r="V36" s="5420">
        <v>35374</v>
      </c>
      <c r="W36" s="5420"/>
      <c r="X36" s="5420">
        <v>564686.80000000005</v>
      </c>
      <c r="Y36" s="5420"/>
      <c r="Z36" s="5420"/>
      <c r="AA36" s="5420">
        <v>34171.94</v>
      </c>
      <c r="AB36" s="5420"/>
      <c r="AC36" s="5420"/>
      <c r="AD36" s="5420"/>
      <c r="AE36" s="5420"/>
      <c r="AF36" s="5420"/>
      <c r="AG36" s="5419"/>
      <c r="AH36" s="5670"/>
      <c r="AI36" s="5670"/>
      <c r="AJ36" s="5670"/>
      <c r="AK36" s="5670"/>
      <c r="AL36" s="5420">
        <v>1564800</v>
      </c>
      <c r="AM36" s="5420"/>
      <c r="AN36" s="5420"/>
      <c r="AO36" s="5420">
        <v>2221373.58</v>
      </c>
      <c r="AP36" s="5420"/>
      <c r="AQ36" s="5420"/>
      <c r="AR36" s="5420"/>
      <c r="AS36" s="5420">
        <v>35405.25</v>
      </c>
      <c r="AT36" s="5420"/>
      <c r="AU36" s="5420"/>
      <c r="AV36" s="5420"/>
      <c r="AW36" s="5420">
        <v>1750</v>
      </c>
      <c r="AX36" s="5420"/>
      <c r="AY36" s="5420"/>
      <c r="AZ36" s="5670"/>
      <c r="BA36" s="5670"/>
      <c r="BB36" s="5670">
        <v>180948.4</v>
      </c>
      <c r="BC36" s="5670"/>
      <c r="BD36" s="5670"/>
      <c r="BE36" s="5670"/>
      <c r="BF36" s="5670"/>
      <c r="BG36" s="5670">
        <v>20000</v>
      </c>
      <c r="BH36" s="5670">
        <v>5175</v>
      </c>
      <c r="BI36" s="5670"/>
      <c r="BJ36" s="5670"/>
      <c r="BK36" s="5670">
        <v>60000</v>
      </c>
      <c r="BL36" s="5670"/>
      <c r="BM36" s="5670"/>
      <c r="BN36" s="5670"/>
      <c r="BO36" s="5420">
        <v>75304.25</v>
      </c>
      <c r="BP36" s="5419"/>
      <c r="BQ36" s="5419"/>
      <c r="BR36" s="5419"/>
      <c r="BS36" s="5419"/>
      <c r="BT36" s="5419"/>
      <c r="BU36" s="5419"/>
      <c r="BV36" s="5419"/>
      <c r="BW36" s="5419"/>
      <c r="BX36" s="5419"/>
      <c r="BY36" s="5419"/>
      <c r="BZ36" s="5676"/>
      <c r="CA36" s="5676"/>
      <c r="CB36" s="8545"/>
      <c r="CC36" s="8545"/>
      <c r="CD36" s="5676"/>
      <c r="CE36" s="5676"/>
      <c r="CF36" s="8545"/>
      <c r="CG36" s="5726">
        <f t="shared" si="3"/>
        <v>10659363.09</v>
      </c>
      <c r="CH36" s="5690" t="s">
        <v>590</v>
      </c>
    </row>
    <row r="37" spans="1:86">
      <c r="A37" s="5690" t="s">
        <v>591</v>
      </c>
      <c r="B37" s="5420">
        <v>155412</v>
      </c>
      <c r="C37" s="5419"/>
      <c r="D37" s="5419"/>
      <c r="E37" s="5419"/>
      <c r="F37" s="5419"/>
      <c r="G37" s="5419"/>
      <c r="H37" s="5420">
        <v>29300</v>
      </c>
      <c r="I37" s="5420"/>
      <c r="J37" s="5420">
        <v>117561.60000000001</v>
      </c>
      <c r="K37" s="5670"/>
      <c r="L37" s="5670"/>
      <c r="M37" s="5670">
        <v>20000</v>
      </c>
      <c r="N37" s="5670"/>
      <c r="O37" s="5670">
        <v>247222.41</v>
      </c>
      <c r="P37" s="5670">
        <v>858763.42</v>
      </c>
      <c r="Q37" s="5670">
        <v>837862.5</v>
      </c>
      <c r="R37" s="5420">
        <v>64055.05</v>
      </c>
      <c r="S37" s="5420"/>
      <c r="T37" s="5420"/>
      <c r="U37" s="5420"/>
      <c r="V37" s="5420">
        <v>10079.5</v>
      </c>
      <c r="W37" s="5420"/>
      <c r="X37" s="5420">
        <v>248916.04</v>
      </c>
      <c r="Y37" s="5420"/>
      <c r="Z37" s="5420"/>
      <c r="AA37" s="5420">
        <v>13500</v>
      </c>
      <c r="AB37" s="5420"/>
      <c r="AC37" s="5420"/>
      <c r="AD37" s="5420"/>
      <c r="AE37" s="5420">
        <v>11812.6</v>
      </c>
      <c r="AF37" s="5420"/>
      <c r="AG37" s="5419"/>
      <c r="AH37" s="5670"/>
      <c r="AI37" s="5670"/>
      <c r="AJ37" s="5670"/>
      <c r="AK37" s="5670"/>
      <c r="AL37" s="5420">
        <v>600133.32999999996</v>
      </c>
      <c r="AM37" s="5420"/>
      <c r="AN37" s="5420"/>
      <c r="AO37" s="5420">
        <v>1371024.25</v>
      </c>
      <c r="AP37" s="5420"/>
      <c r="AQ37" s="5420"/>
      <c r="AR37" s="5420"/>
      <c r="AS37" s="5420">
        <v>18526</v>
      </c>
      <c r="AT37" s="5420"/>
      <c r="AU37" s="5420"/>
      <c r="AV37" s="5420"/>
      <c r="AW37" s="5420"/>
      <c r="AX37" s="5420"/>
      <c r="AY37" s="5420"/>
      <c r="AZ37" s="5670"/>
      <c r="BA37" s="5670"/>
      <c r="BB37" s="5670">
        <v>13525</v>
      </c>
      <c r="BC37" s="5670"/>
      <c r="BD37" s="5670"/>
      <c r="BE37" s="5670"/>
      <c r="BF37" s="5670"/>
      <c r="BG37" s="5670">
        <v>9520</v>
      </c>
      <c r="BH37" s="5670"/>
      <c r="BI37" s="5670"/>
      <c r="BJ37" s="5670"/>
      <c r="BK37" s="5670">
        <v>39677.86</v>
      </c>
      <c r="BL37" s="5670"/>
      <c r="BM37" s="5670"/>
      <c r="BN37" s="5670"/>
      <c r="BO37" s="5420">
        <v>87881.7</v>
      </c>
      <c r="BP37" s="5419"/>
      <c r="BQ37" s="5419"/>
      <c r="BR37" s="5419"/>
      <c r="BS37" s="5419"/>
      <c r="BT37" s="5419"/>
      <c r="BU37" s="5419"/>
      <c r="BV37" s="5419"/>
      <c r="BW37" s="5419"/>
      <c r="BX37" s="5419"/>
      <c r="BY37" s="5419"/>
      <c r="BZ37" s="5676"/>
      <c r="CA37" s="5676"/>
      <c r="CB37" s="8545"/>
      <c r="CC37" s="8545"/>
      <c r="CD37" s="5676"/>
      <c r="CE37" s="5676"/>
      <c r="CF37" s="8545"/>
      <c r="CG37" s="5726">
        <f t="shared" si="3"/>
        <v>4754773.2600000007</v>
      </c>
      <c r="CH37" s="5690" t="s">
        <v>591</v>
      </c>
    </row>
    <row r="38" spans="1:86">
      <c r="A38" s="5690" t="s">
        <v>592</v>
      </c>
      <c r="B38" s="5420">
        <v>191510.5</v>
      </c>
      <c r="C38" s="5419"/>
      <c r="D38" s="5419"/>
      <c r="E38" s="5419"/>
      <c r="F38" s="5419"/>
      <c r="G38" s="5419"/>
      <c r="H38" s="5420">
        <v>189156</v>
      </c>
      <c r="I38" s="5420"/>
      <c r="J38" s="5420">
        <v>178843</v>
      </c>
      <c r="K38" s="5670"/>
      <c r="L38" s="5670"/>
      <c r="M38" s="5670"/>
      <c r="N38" s="5670"/>
      <c r="O38" s="5670"/>
      <c r="P38" s="5670"/>
      <c r="Q38" s="5670"/>
      <c r="R38" s="5420">
        <v>91992</v>
      </c>
      <c r="S38" s="5420"/>
      <c r="T38" s="5420"/>
      <c r="U38" s="5420"/>
      <c r="V38" s="5420"/>
      <c r="W38" s="5420">
        <v>40309.1</v>
      </c>
      <c r="X38" s="5420">
        <v>122578.3</v>
      </c>
      <c r="Y38" s="5420"/>
      <c r="Z38" s="5420">
        <v>2217.64</v>
      </c>
      <c r="AA38" s="5420">
        <v>68046.28</v>
      </c>
      <c r="AB38" s="5420"/>
      <c r="AC38" s="5420"/>
      <c r="AD38" s="5420"/>
      <c r="AE38" s="5420">
        <v>31447.39</v>
      </c>
      <c r="AF38" s="5420"/>
      <c r="AG38" s="5419"/>
      <c r="AH38" s="5670"/>
      <c r="AI38" s="5670"/>
      <c r="AJ38" s="5670"/>
      <c r="AK38" s="5670"/>
      <c r="AL38" s="5420">
        <v>320034.03999999998</v>
      </c>
      <c r="AM38" s="5420"/>
      <c r="AN38" s="5420"/>
      <c r="AO38" s="5420">
        <v>736335.53</v>
      </c>
      <c r="AP38" s="5420"/>
      <c r="AQ38" s="5420"/>
      <c r="AR38" s="5420"/>
      <c r="AS38" s="5420"/>
      <c r="AT38" s="5420"/>
      <c r="AU38" s="5420"/>
      <c r="AV38" s="5420"/>
      <c r="AW38" s="5420">
        <v>31500</v>
      </c>
      <c r="AX38" s="5420"/>
      <c r="AY38" s="5420"/>
      <c r="AZ38" s="5670"/>
      <c r="BA38" s="5670"/>
      <c r="BB38" s="5670">
        <v>141414.75</v>
      </c>
      <c r="BC38" s="5670"/>
      <c r="BD38" s="5670"/>
      <c r="BE38" s="5670"/>
      <c r="BF38" s="5670"/>
      <c r="BG38" s="5670"/>
      <c r="BH38" s="5670">
        <v>31522.5</v>
      </c>
      <c r="BI38" s="5670"/>
      <c r="BJ38" s="5670">
        <v>2000</v>
      </c>
      <c r="BK38" s="5670"/>
      <c r="BL38" s="5670"/>
      <c r="BM38" s="5670">
        <v>13105000</v>
      </c>
      <c r="BN38" s="5670"/>
      <c r="BO38" s="5420">
        <v>119589.49</v>
      </c>
      <c r="BP38" s="5419"/>
      <c r="BQ38" s="5419"/>
      <c r="BR38" s="5419"/>
      <c r="BS38" s="5419"/>
      <c r="BT38" s="5419"/>
      <c r="BU38" s="5419"/>
      <c r="BV38" s="5419"/>
      <c r="BW38" s="5419"/>
      <c r="BX38" s="5419"/>
      <c r="BY38" s="5419"/>
      <c r="BZ38" s="5676"/>
      <c r="CA38" s="5676"/>
      <c r="CB38" s="8545"/>
      <c r="CC38" s="8545"/>
      <c r="CD38" s="5676"/>
      <c r="CE38" s="5676"/>
      <c r="CF38" s="8545"/>
      <c r="CG38" s="5726">
        <f>SUM(B38:CF38)</f>
        <v>15403496.520000001</v>
      </c>
      <c r="CH38" s="5690" t="s">
        <v>592</v>
      </c>
    </row>
    <row r="39" spans="1:86" ht="3.75" customHeight="1">
      <c r="A39" s="5690"/>
      <c r="B39" s="5730" t="s">
        <v>9</v>
      </c>
      <c r="C39" s="5730"/>
      <c r="D39" s="5730"/>
      <c r="E39" s="5731"/>
      <c r="F39" s="5731"/>
      <c r="G39" s="8546"/>
      <c r="H39" s="5730"/>
      <c r="I39" s="5730"/>
      <c r="J39" s="5730"/>
      <c r="K39" s="5730"/>
      <c r="L39" s="5730"/>
      <c r="M39" s="5730"/>
      <c r="N39" s="5730"/>
      <c r="O39" s="5730"/>
      <c r="P39" s="5743"/>
      <c r="Q39" s="5730"/>
      <c r="R39" s="5730"/>
      <c r="S39" s="5730"/>
      <c r="T39" s="5730"/>
      <c r="U39" s="5730"/>
      <c r="V39" s="5730"/>
      <c r="W39" s="5730"/>
      <c r="X39" s="5730"/>
      <c r="Y39" s="5730"/>
      <c r="Z39" s="5730"/>
      <c r="AA39" s="5730"/>
      <c r="AB39" s="5730"/>
      <c r="AC39" s="5730"/>
      <c r="AD39" s="5731"/>
      <c r="AE39" s="5730"/>
      <c r="AF39" s="5730"/>
      <c r="AG39" s="5745"/>
      <c r="AH39" s="5743"/>
      <c r="AI39" s="5730"/>
      <c r="AJ39" s="5730"/>
      <c r="AK39" s="5730"/>
      <c r="AL39" s="5732"/>
      <c r="AM39" s="5743"/>
      <c r="AN39" s="5744"/>
      <c r="AO39" s="5730"/>
      <c r="AP39" s="5732"/>
      <c r="AQ39" s="5731"/>
      <c r="AR39" s="5730"/>
      <c r="AS39" s="5743"/>
      <c r="AT39" s="8548"/>
      <c r="AU39" s="8548"/>
      <c r="AV39" s="5730"/>
      <c r="AW39" s="5743"/>
      <c r="AX39" s="5743"/>
      <c r="AY39" s="5730"/>
      <c r="AZ39" s="5743"/>
      <c r="BA39" s="5730"/>
      <c r="BB39" s="5730"/>
      <c r="BC39" s="5743"/>
      <c r="BD39" s="5743"/>
      <c r="BE39" s="5743"/>
      <c r="BF39" s="5743"/>
      <c r="BG39" s="5730"/>
      <c r="BH39" s="5743"/>
      <c r="BI39" s="5730"/>
      <c r="BJ39" s="5730"/>
      <c r="BK39" s="5730"/>
      <c r="BL39" s="5743"/>
      <c r="BM39" s="5743"/>
      <c r="BN39" s="5743"/>
      <c r="BO39" s="5743"/>
      <c r="BP39" s="5743"/>
      <c r="BQ39" s="5743"/>
      <c r="BR39" s="6618"/>
      <c r="BS39" s="5745"/>
      <c r="BT39" s="5734"/>
      <c r="BU39" s="5734"/>
      <c r="BV39" s="5735"/>
      <c r="BW39" s="5734"/>
      <c r="BX39" s="5735"/>
      <c r="BY39" s="5736"/>
      <c r="BZ39" s="5736"/>
      <c r="CA39" s="5736"/>
      <c r="CB39" s="8552"/>
      <c r="CC39" s="8552"/>
      <c r="CD39" s="5736"/>
      <c r="CE39" s="5736"/>
      <c r="CF39" s="8552"/>
      <c r="CG39" s="5737"/>
      <c r="CH39" s="5690"/>
    </row>
    <row r="40" spans="1:86" ht="14.4" thickBot="1">
      <c r="A40" s="5738" t="s">
        <v>485</v>
      </c>
      <c r="B40" s="5739">
        <f>SUM(B24:B39)</f>
        <v>3586134.97</v>
      </c>
      <c r="C40" s="5739">
        <f>SUM(C24:C39)</f>
        <v>0</v>
      </c>
      <c r="D40" s="5739">
        <f>SUM(D24:D39)</f>
        <v>0</v>
      </c>
      <c r="E40" s="5739">
        <f t="shared" ref="E40:BY40" si="4">SUM(E24:E39)</f>
        <v>0</v>
      </c>
      <c r="F40" s="5739">
        <f t="shared" si="4"/>
        <v>0</v>
      </c>
      <c r="G40" s="5739">
        <f t="shared" si="4"/>
        <v>0</v>
      </c>
      <c r="H40" s="5739">
        <f t="shared" si="4"/>
        <v>1390456</v>
      </c>
      <c r="I40" s="5739">
        <f t="shared" si="4"/>
        <v>0</v>
      </c>
      <c r="J40" s="5739">
        <f t="shared" si="4"/>
        <v>3708233.8499999996</v>
      </c>
      <c r="K40" s="5739">
        <f t="shared" si="4"/>
        <v>0</v>
      </c>
      <c r="L40" s="5739">
        <f t="shared" si="4"/>
        <v>0</v>
      </c>
      <c r="M40" s="5739">
        <f t="shared" si="4"/>
        <v>361632</v>
      </c>
      <c r="N40" s="5739">
        <f t="shared" si="4"/>
        <v>0</v>
      </c>
      <c r="O40" s="5739">
        <f t="shared" si="4"/>
        <v>20101005.060000002</v>
      </c>
      <c r="P40" s="5739">
        <f t="shared" si="4"/>
        <v>44893353.360000007</v>
      </c>
      <c r="Q40" s="5739">
        <f t="shared" si="4"/>
        <v>34795608.490000002</v>
      </c>
      <c r="R40" s="5739">
        <f t="shared" si="4"/>
        <v>2094254.5799999998</v>
      </c>
      <c r="S40" s="5739">
        <f t="shared" si="4"/>
        <v>0</v>
      </c>
      <c r="T40" s="5739">
        <f t="shared" si="4"/>
        <v>0</v>
      </c>
      <c r="U40" s="5739">
        <f t="shared" si="4"/>
        <v>0</v>
      </c>
      <c r="V40" s="5739">
        <f t="shared" si="4"/>
        <v>153388.57</v>
      </c>
      <c r="W40" s="5739">
        <f t="shared" si="4"/>
        <v>1739801.94</v>
      </c>
      <c r="X40" s="5739">
        <f t="shared" si="4"/>
        <v>10071876.519999998</v>
      </c>
      <c r="Y40" s="5739">
        <f t="shared" si="4"/>
        <v>0</v>
      </c>
      <c r="Z40" s="5739">
        <f t="shared" si="4"/>
        <v>20011.14</v>
      </c>
      <c r="AA40" s="5739">
        <f t="shared" si="4"/>
        <v>698747.31</v>
      </c>
      <c r="AB40" s="5739">
        <f t="shared" si="4"/>
        <v>0</v>
      </c>
      <c r="AC40" s="5739">
        <f t="shared" si="4"/>
        <v>0</v>
      </c>
      <c r="AD40" s="5739">
        <f t="shared" si="4"/>
        <v>0</v>
      </c>
      <c r="AE40" s="5739">
        <f t="shared" si="4"/>
        <v>161290.66999999998</v>
      </c>
      <c r="AF40" s="5739">
        <f t="shared" si="4"/>
        <v>11150</v>
      </c>
      <c r="AG40" s="5739">
        <f>SUM(AG24:AG39)</f>
        <v>0</v>
      </c>
      <c r="AH40" s="5739">
        <f>SUM(AH24:AH39)</f>
        <v>0</v>
      </c>
      <c r="AI40" s="5739">
        <f t="shared" si="4"/>
        <v>0</v>
      </c>
      <c r="AJ40" s="5739">
        <f t="shared" si="4"/>
        <v>0</v>
      </c>
      <c r="AK40" s="5739">
        <f t="shared" si="4"/>
        <v>0</v>
      </c>
      <c r="AL40" s="5739">
        <f>SUM(AL24:AL39)</f>
        <v>18378472.309999995</v>
      </c>
      <c r="AM40" s="5739">
        <f>SUM(AM24:AM39)</f>
        <v>2497782.9500000002</v>
      </c>
      <c r="AN40" s="5739">
        <f>SUM(AN24:AN39)</f>
        <v>6964314.5099999998</v>
      </c>
      <c r="AO40" s="5739">
        <f t="shared" si="4"/>
        <v>37104190.969999999</v>
      </c>
      <c r="AP40" s="5739">
        <f t="shared" si="4"/>
        <v>0</v>
      </c>
      <c r="AQ40" s="5739">
        <f t="shared" si="4"/>
        <v>0</v>
      </c>
      <c r="AR40" s="5739">
        <f>SUM(AR24:AR39)</f>
        <v>0</v>
      </c>
      <c r="AS40" s="5739">
        <f t="shared" si="4"/>
        <v>626550.91999999993</v>
      </c>
      <c r="AT40" s="5739">
        <f t="shared" si="4"/>
        <v>0</v>
      </c>
      <c r="AU40" s="5739">
        <f t="shared" si="4"/>
        <v>0</v>
      </c>
      <c r="AV40" s="5739">
        <f t="shared" si="4"/>
        <v>0</v>
      </c>
      <c r="AW40" s="5739">
        <f t="shared" si="4"/>
        <v>279316.5</v>
      </c>
      <c r="AX40" s="5739">
        <f t="shared" si="4"/>
        <v>0</v>
      </c>
      <c r="AY40" s="5739">
        <f t="shared" si="4"/>
        <v>0</v>
      </c>
      <c r="AZ40" s="5739">
        <f t="shared" si="4"/>
        <v>0</v>
      </c>
      <c r="BA40" s="5739">
        <f t="shared" si="4"/>
        <v>0</v>
      </c>
      <c r="BB40" s="5739">
        <f t="shared" si="4"/>
        <v>1397852.1099999999</v>
      </c>
      <c r="BC40" s="5739">
        <f t="shared" si="4"/>
        <v>0</v>
      </c>
      <c r="BD40" s="5739">
        <f t="shared" si="4"/>
        <v>0</v>
      </c>
      <c r="BE40" s="5739">
        <f t="shared" si="4"/>
        <v>0</v>
      </c>
      <c r="BF40" s="5739">
        <f t="shared" si="4"/>
        <v>0</v>
      </c>
      <c r="BG40" s="5739">
        <f t="shared" si="4"/>
        <v>166206.20000000001</v>
      </c>
      <c r="BH40" s="5739">
        <f t="shared" si="4"/>
        <v>144943.66</v>
      </c>
      <c r="BI40" s="5739">
        <f>SUM(BI24:BI39)</f>
        <v>0</v>
      </c>
      <c r="BJ40" s="5739">
        <f>SUM(BJ24:BJ39)</f>
        <v>6500</v>
      </c>
      <c r="BK40" s="5739">
        <f>SUM(BK24:BK39)</f>
        <v>294541.49</v>
      </c>
      <c r="BL40" s="5739">
        <f>SUM(BL24:BL39)</f>
        <v>5295</v>
      </c>
      <c r="BM40" s="5739">
        <f>SUM(BM24:BM39)</f>
        <v>13105000</v>
      </c>
      <c r="BN40" s="5739">
        <f t="shared" si="4"/>
        <v>0</v>
      </c>
      <c r="BO40" s="5739">
        <f t="shared" si="4"/>
        <v>2732644.9</v>
      </c>
      <c r="BP40" s="5739">
        <f t="shared" si="4"/>
        <v>0</v>
      </c>
      <c r="BQ40" s="5739">
        <f t="shared" si="4"/>
        <v>0</v>
      </c>
      <c r="BR40" s="5739">
        <f t="shared" si="4"/>
        <v>0</v>
      </c>
      <c r="BS40" s="5739">
        <f t="shared" si="4"/>
        <v>0</v>
      </c>
      <c r="BT40" s="5739">
        <f t="shared" si="4"/>
        <v>0</v>
      </c>
      <c r="BU40" s="5739">
        <f t="shared" si="4"/>
        <v>0</v>
      </c>
      <c r="BV40" s="5739">
        <f t="shared" si="4"/>
        <v>0</v>
      </c>
      <c r="BW40" s="5739">
        <f t="shared" si="4"/>
        <v>0</v>
      </c>
      <c r="BX40" s="5739">
        <f t="shared" si="4"/>
        <v>0</v>
      </c>
      <c r="BY40" s="5739">
        <f t="shared" si="4"/>
        <v>0</v>
      </c>
      <c r="BZ40" s="5739">
        <f t="shared" ref="BZ40:CF40" si="5">SUM(BZ24:BZ39)</f>
        <v>0</v>
      </c>
      <c r="CA40" s="5739">
        <f t="shared" si="5"/>
        <v>0</v>
      </c>
      <c r="CB40" s="5739">
        <f t="shared" si="5"/>
        <v>0</v>
      </c>
      <c r="CC40" s="5739">
        <f t="shared" si="5"/>
        <v>0</v>
      </c>
      <c r="CD40" s="5739">
        <f t="shared" si="5"/>
        <v>0</v>
      </c>
      <c r="CE40" s="5739">
        <f t="shared" si="5"/>
        <v>0</v>
      </c>
      <c r="CF40" s="5739">
        <f t="shared" si="5"/>
        <v>0</v>
      </c>
      <c r="CG40" s="5739">
        <f>SUM(CG24:CG39)</f>
        <v>207490555.98000002</v>
      </c>
      <c r="CH40" s="5738" t="s">
        <v>485</v>
      </c>
    </row>
    <row r="41" spans="1:86" ht="14.4" thickTop="1">
      <c r="A41" s="5690"/>
      <c r="B41" s="5730"/>
      <c r="C41" s="5730"/>
      <c r="D41" s="5730"/>
      <c r="E41" s="5731"/>
      <c r="F41" s="5731"/>
      <c r="G41" s="8546"/>
      <c r="H41" s="5730"/>
      <c r="I41" s="5730"/>
      <c r="J41" s="5730" t="s">
        <v>9</v>
      </c>
      <c r="K41" s="5730"/>
      <c r="L41" s="5730"/>
      <c r="M41" s="5730"/>
      <c r="N41" s="5730"/>
      <c r="O41" s="5730"/>
      <c r="P41" s="5699"/>
      <c r="Q41" s="5730"/>
      <c r="R41" s="5730"/>
      <c r="S41" s="5730"/>
      <c r="T41" s="5730"/>
      <c r="U41" s="5730"/>
      <c r="V41" s="5730"/>
      <c r="W41" s="5730"/>
      <c r="X41" s="5730"/>
      <c r="Y41" s="5699"/>
      <c r="Z41" s="5730"/>
      <c r="AA41" s="5730"/>
      <c r="AB41" s="5730"/>
      <c r="AC41" s="5730"/>
      <c r="AD41" s="5731"/>
      <c r="AE41" s="5730"/>
      <c r="AF41" s="5730"/>
      <c r="AG41" s="5746"/>
      <c r="AH41" s="5699"/>
      <c r="AI41" s="5730"/>
      <c r="AJ41" s="5730"/>
      <c r="AK41" s="5730"/>
      <c r="AL41" s="5732"/>
      <c r="AM41" s="5699"/>
      <c r="AN41" s="5742"/>
      <c r="AO41" s="5730"/>
      <c r="AP41" s="5732"/>
      <c r="AQ41" s="5731"/>
      <c r="AR41" s="5730"/>
      <c r="AS41" s="5699"/>
      <c r="AT41" s="8547"/>
      <c r="AU41" s="8547"/>
      <c r="AV41" s="5699"/>
      <c r="AW41" s="5699"/>
      <c r="AX41" s="5699"/>
      <c r="AY41" s="5730"/>
      <c r="AZ41" s="5699"/>
      <c r="BA41" s="5730"/>
      <c r="BB41" s="5730"/>
      <c r="BC41" s="5699"/>
      <c r="BD41" s="5699"/>
      <c r="BE41" s="5699"/>
      <c r="BF41" s="5699"/>
      <c r="BG41" s="5699"/>
      <c r="BH41" s="5699"/>
      <c r="BI41" s="5730"/>
      <c r="BJ41" s="5730"/>
      <c r="BK41" s="5730"/>
      <c r="BL41" s="5699"/>
      <c r="BM41" s="5699"/>
      <c r="BN41" s="5699"/>
      <c r="BO41" s="5699"/>
      <c r="BP41" s="5699"/>
      <c r="BQ41" s="5699"/>
      <c r="BR41" s="6619"/>
      <c r="BS41" s="5746"/>
      <c r="BT41" s="5734"/>
      <c r="BU41" s="5734"/>
      <c r="BV41" s="5735"/>
      <c r="BW41" s="5734"/>
      <c r="BX41" s="5735"/>
      <c r="BY41" s="5736"/>
      <c r="BZ41" s="5736"/>
      <c r="CA41" s="5736"/>
      <c r="CB41" s="8552"/>
      <c r="CC41" s="8552"/>
      <c r="CD41" s="5736"/>
      <c r="CE41" s="5736"/>
      <c r="CF41" s="8552"/>
      <c r="CG41" s="5699"/>
      <c r="CH41" s="5690"/>
    </row>
    <row r="42" spans="1:86" s="5727" customFormat="1">
      <c r="A42" s="5725" t="s">
        <v>593</v>
      </c>
      <c r="B42" s="5670">
        <v>140068.01999999999</v>
      </c>
      <c r="C42" s="5419"/>
      <c r="D42" s="5419"/>
      <c r="E42" s="5419"/>
      <c r="F42" s="5419"/>
      <c r="G42" s="5419"/>
      <c r="H42" s="5670">
        <v>88035</v>
      </c>
      <c r="I42" s="5670"/>
      <c r="J42" s="5670">
        <v>119587.29</v>
      </c>
      <c r="K42" s="5670"/>
      <c r="L42" s="5670"/>
      <c r="M42" s="5670"/>
      <c r="N42" s="5670"/>
      <c r="O42" s="5670"/>
      <c r="P42" s="5670"/>
      <c r="Q42" s="5670"/>
      <c r="R42" s="5670"/>
      <c r="S42" s="5670"/>
      <c r="T42" s="5670"/>
      <c r="U42" s="5670"/>
      <c r="V42" s="5670"/>
      <c r="W42" s="5670"/>
      <c r="X42" s="5670">
        <v>59469.45</v>
      </c>
      <c r="Y42" s="5670"/>
      <c r="Z42" s="5670">
        <v>630</v>
      </c>
      <c r="AA42" s="5670">
        <v>59294.76</v>
      </c>
      <c r="AB42" s="5670"/>
      <c r="AC42" s="5670"/>
      <c r="AD42" s="5670"/>
      <c r="AE42" s="5670">
        <v>12540.24</v>
      </c>
      <c r="AF42" s="5670"/>
      <c r="AG42" s="5419"/>
      <c r="AH42" s="5670"/>
      <c r="AI42" s="5670"/>
      <c r="AJ42" s="5670"/>
      <c r="AK42" s="5670"/>
      <c r="AL42" s="5670"/>
      <c r="AM42" s="5670"/>
      <c r="AN42" s="5670"/>
      <c r="AO42" s="5670">
        <v>479969.35</v>
      </c>
      <c r="AP42" s="5670"/>
      <c r="AQ42" s="5670"/>
      <c r="AR42" s="5670"/>
      <c r="AS42" s="5670"/>
      <c r="AT42" s="5670"/>
      <c r="AU42" s="5670"/>
      <c r="AV42" s="5670"/>
      <c r="AW42" s="5670">
        <v>26902</v>
      </c>
      <c r="AX42" s="5670"/>
      <c r="AY42" s="5670"/>
      <c r="AZ42" s="5670"/>
      <c r="BA42" s="5670"/>
      <c r="BB42" s="5670"/>
      <c r="BC42" s="5670"/>
      <c r="BD42" s="5670"/>
      <c r="BE42" s="5670"/>
      <c r="BF42" s="5670"/>
      <c r="BG42" s="5670"/>
      <c r="BH42" s="5670">
        <v>4050</v>
      </c>
      <c r="BI42" s="5670"/>
      <c r="BJ42" s="5670"/>
      <c r="BK42" s="5670"/>
      <c r="BL42" s="5670">
        <v>1800</v>
      </c>
      <c r="BM42" s="5670"/>
      <c r="BN42" s="5670"/>
      <c r="BO42" s="5670">
        <v>211571.91</v>
      </c>
      <c r="BP42" s="5419"/>
      <c r="BQ42" s="5419"/>
      <c r="BR42" s="5419"/>
      <c r="BS42" s="5419"/>
      <c r="BT42" s="5419"/>
      <c r="BU42" s="5419"/>
      <c r="BV42" s="5419"/>
      <c r="BW42" s="5419"/>
      <c r="BX42" s="5419"/>
      <c r="BY42" s="5419"/>
      <c r="BZ42" s="5676"/>
      <c r="CA42" s="5676"/>
      <c r="CB42" s="8545"/>
      <c r="CC42" s="8545"/>
      <c r="CD42" s="5676"/>
      <c r="CE42" s="5676"/>
      <c r="CF42" s="8545"/>
      <c r="CG42" s="5726">
        <f>SUM(B42:CF42)</f>
        <v>1203918.02</v>
      </c>
      <c r="CH42" s="5725" t="s">
        <v>593</v>
      </c>
    </row>
    <row r="43" spans="1:86" s="5727" customFormat="1">
      <c r="A43" s="5725" t="s">
        <v>594</v>
      </c>
      <c r="B43" s="5670">
        <v>73206</v>
      </c>
      <c r="C43" s="5670"/>
      <c r="D43" s="5670"/>
      <c r="E43" s="5670"/>
      <c r="F43" s="5419"/>
      <c r="G43" s="5419"/>
      <c r="H43" s="5670">
        <v>29900</v>
      </c>
      <c r="I43" s="5670"/>
      <c r="J43" s="5670">
        <v>107218.62</v>
      </c>
      <c r="K43" s="5670"/>
      <c r="L43" s="5670"/>
      <c r="M43" s="5670"/>
      <c r="N43" s="5670"/>
      <c r="O43" s="5670"/>
      <c r="P43" s="5670"/>
      <c r="Q43" s="5670"/>
      <c r="R43" s="5670"/>
      <c r="S43" s="5670"/>
      <c r="T43" s="5670"/>
      <c r="U43" s="5670"/>
      <c r="V43" s="5670"/>
      <c r="W43" s="5670">
        <v>1147</v>
      </c>
      <c r="X43" s="5670">
        <v>130286.76</v>
      </c>
      <c r="Y43" s="5670"/>
      <c r="Z43" s="5670"/>
      <c r="AA43" s="5670">
        <v>162039.46</v>
      </c>
      <c r="AB43" s="5670"/>
      <c r="AC43" s="5670"/>
      <c r="AD43" s="5670"/>
      <c r="AE43" s="5670"/>
      <c r="AF43" s="5670">
        <v>6160</v>
      </c>
      <c r="AG43" s="5419"/>
      <c r="AH43" s="5670"/>
      <c r="AI43" s="5670"/>
      <c r="AJ43" s="5670"/>
      <c r="AK43" s="5670"/>
      <c r="AL43" s="5670">
        <v>236999.64</v>
      </c>
      <c r="AM43" s="5670"/>
      <c r="AN43" s="5670"/>
      <c r="AO43" s="5670">
        <v>364870.87</v>
      </c>
      <c r="AP43" s="5670"/>
      <c r="AQ43" s="5670"/>
      <c r="AR43" s="5670"/>
      <c r="AS43" s="5670"/>
      <c r="AT43" s="5670"/>
      <c r="AU43" s="5670"/>
      <c r="AV43" s="5670"/>
      <c r="AW43" s="5670">
        <v>1500</v>
      </c>
      <c r="AX43" s="5670"/>
      <c r="AY43" s="5670"/>
      <c r="AZ43" s="5670"/>
      <c r="BA43" s="5670"/>
      <c r="BB43" s="5670"/>
      <c r="BC43" s="5670"/>
      <c r="BD43" s="5670"/>
      <c r="BE43" s="5670"/>
      <c r="BF43" s="5670"/>
      <c r="BG43" s="5670"/>
      <c r="BH43" s="5670"/>
      <c r="BI43" s="5670"/>
      <c r="BJ43" s="5670"/>
      <c r="BK43" s="5670"/>
      <c r="BL43" s="5670"/>
      <c r="BM43" s="5670"/>
      <c r="BN43" s="5670"/>
      <c r="BO43" s="5670">
        <v>49531.35</v>
      </c>
      <c r="BP43" s="5419"/>
      <c r="BQ43" s="5419"/>
      <c r="BR43" s="5419"/>
      <c r="BS43" s="5419"/>
      <c r="BT43" s="5419"/>
      <c r="BU43" s="5419"/>
      <c r="BV43" s="5419"/>
      <c r="BW43" s="5419"/>
      <c r="BX43" s="5419"/>
      <c r="BY43" s="5419"/>
      <c r="BZ43" s="5676"/>
      <c r="CA43" s="5676"/>
      <c r="CB43" s="8545"/>
      <c r="CC43" s="8545"/>
      <c r="CD43" s="5676"/>
      <c r="CE43" s="5676"/>
      <c r="CF43" s="8545"/>
      <c r="CG43" s="5726">
        <f t="shared" ref="CG43:CG50" si="6">SUM(B43:CF43)</f>
        <v>1162859.7000000002</v>
      </c>
      <c r="CH43" s="5725" t="s">
        <v>594</v>
      </c>
    </row>
    <row r="44" spans="1:86" s="5727" customFormat="1">
      <c r="A44" s="5725" t="s">
        <v>595</v>
      </c>
      <c r="B44" s="5670">
        <v>72406.039999999994</v>
      </c>
      <c r="C44" s="5670"/>
      <c r="D44" s="5670"/>
      <c r="E44" s="5670"/>
      <c r="F44" s="5419"/>
      <c r="G44" s="5419"/>
      <c r="H44" s="5670"/>
      <c r="I44" s="5670"/>
      <c r="J44" s="5670">
        <v>32767.8</v>
      </c>
      <c r="K44" s="5670"/>
      <c r="L44" s="5670"/>
      <c r="M44" s="5670"/>
      <c r="N44" s="5670"/>
      <c r="O44" s="5670"/>
      <c r="P44" s="5670"/>
      <c r="Q44" s="5670"/>
      <c r="R44" s="5670">
        <v>52175.3</v>
      </c>
      <c r="S44" s="5670"/>
      <c r="T44" s="5670"/>
      <c r="U44" s="5670"/>
      <c r="V44" s="5670"/>
      <c r="W44" s="5670">
        <v>2952</v>
      </c>
      <c r="X44" s="5670">
        <v>8754.69</v>
      </c>
      <c r="Y44" s="5670"/>
      <c r="Z44" s="5670">
        <v>450</v>
      </c>
      <c r="AA44" s="5670">
        <v>68984.86</v>
      </c>
      <c r="AB44" s="5670"/>
      <c r="AC44" s="5670"/>
      <c r="AD44" s="5670"/>
      <c r="AE44" s="5670">
        <v>21945</v>
      </c>
      <c r="AF44" s="5670">
        <v>3980</v>
      </c>
      <c r="AG44" s="5419"/>
      <c r="AH44" s="5670"/>
      <c r="AI44" s="5670"/>
      <c r="AJ44" s="5670"/>
      <c r="AK44" s="5670"/>
      <c r="AL44" s="5670">
        <v>162994.74</v>
      </c>
      <c r="AM44" s="5670"/>
      <c r="AN44" s="5670"/>
      <c r="AO44" s="5670">
        <v>670181.14</v>
      </c>
      <c r="AP44" s="5670"/>
      <c r="AQ44" s="5670"/>
      <c r="AR44" s="5670"/>
      <c r="AS44" s="5670"/>
      <c r="AT44" s="5670"/>
      <c r="AU44" s="5670"/>
      <c r="AV44" s="5670"/>
      <c r="AW44" s="5670">
        <v>23696.15</v>
      </c>
      <c r="AX44" s="5670"/>
      <c r="AY44" s="5670"/>
      <c r="AZ44" s="5670"/>
      <c r="BA44" s="5670"/>
      <c r="BB44" s="5670">
        <v>28506</v>
      </c>
      <c r="BC44" s="5670"/>
      <c r="BD44" s="5670"/>
      <c r="BE44" s="5670"/>
      <c r="BF44" s="5670"/>
      <c r="BG44" s="5670"/>
      <c r="BH44" s="5670">
        <v>3750</v>
      </c>
      <c r="BI44" s="5670"/>
      <c r="BJ44" s="5670"/>
      <c r="BK44" s="5670"/>
      <c r="BL44" s="5670"/>
      <c r="BM44" s="5670"/>
      <c r="BN44" s="5670"/>
      <c r="BO44" s="5670">
        <v>23877.5</v>
      </c>
      <c r="BP44" s="5419"/>
      <c r="BQ44" s="5419"/>
      <c r="BR44" s="5419"/>
      <c r="BS44" s="5419"/>
      <c r="BT44" s="5419"/>
      <c r="BU44" s="5419"/>
      <c r="BV44" s="5419"/>
      <c r="BW44" s="5419"/>
      <c r="BX44" s="5419"/>
      <c r="BY44" s="5419"/>
      <c r="BZ44" s="5676"/>
      <c r="CA44" s="5676"/>
      <c r="CB44" s="8545"/>
      <c r="CC44" s="8545"/>
      <c r="CD44" s="5676"/>
      <c r="CE44" s="5676"/>
      <c r="CF44" s="8545"/>
      <c r="CG44" s="5726">
        <f t="shared" si="6"/>
        <v>1177421.22</v>
      </c>
      <c r="CH44" s="5725" t="s">
        <v>595</v>
      </c>
    </row>
    <row r="45" spans="1:86" s="5727" customFormat="1">
      <c r="A45" s="5725" t="s">
        <v>596</v>
      </c>
      <c r="B45" s="5670">
        <v>88323</v>
      </c>
      <c r="C45" s="5670"/>
      <c r="D45" s="5670"/>
      <c r="E45" s="5670"/>
      <c r="F45" s="5419"/>
      <c r="G45" s="5419"/>
      <c r="H45" s="5670">
        <v>9000</v>
      </c>
      <c r="I45" s="5670"/>
      <c r="J45" s="5670">
        <v>39176.25</v>
      </c>
      <c r="K45" s="5670"/>
      <c r="L45" s="5670"/>
      <c r="M45" s="5670"/>
      <c r="N45" s="5670"/>
      <c r="O45" s="5670"/>
      <c r="P45" s="5670"/>
      <c r="Q45" s="5670"/>
      <c r="R45" s="5670"/>
      <c r="S45" s="5670"/>
      <c r="T45" s="5670"/>
      <c r="U45" s="5670"/>
      <c r="V45" s="5670"/>
      <c r="W45" s="5670"/>
      <c r="X45" s="5670"/>
      <c r="Y45" s="5670"/>
      <c r="Z45" s="5670"/>
      <c r="AA45" s="5670">
        <v>85908.4</v>
      </c>
      <c r="AB45" s="5670"/>
      <c r="AC45" s="5670"/>
      <c r="AD45" s="5670"/>
      <c r="AE45" s="5670"/>
      <c r="AF45" s="5670">
        <v>5280</v>
      </c>
      <c r="AG45" s="5670"/>
      <c r="AH45" s="5670"/>
      <c r="AI45" s="5670"/>
      <c r="AJ45" s="5670"/>
      <c r="AK45" s="5670"/>
      <c r="AL45" s="5670">
        <v>419304.82</v>
      </c>
      <c r="AM45" s="5670"/>
      <c r="AN45" s="5670"/>
      <c r="AO45" s="5670">
        <v>419732.51</v>
      </c>
      <c r="AP45" s="5670"/>
      <c r="AQ45" s="5670"/>
      <c r="AR45" s="5670"/>
      <c r="AS45" s="5670"/>
      <c r="AT45" s="5670"/>
      <c r="AU45" s="5670"/>
      <c r="AV45" s="5670"/>
      <c r="AW45" s="5670"/>
      <c r="AX45" s="5670"/>
      <c r="AY45" s="5670"/>
      <c r="AZ45" s="5670"/>
      <c r="BA45" s="5670"/>
      <c r="BB45" s="5670"/>
      <c r="BC45" s="5670">
        <v>7500</v>
      </c>
      <c r="BD45" s="5670"/>
      <c r="BE45" s="5670"/>
      <c r="BF45" s="5670"/>
      <c r="BG45" s="5670"/>
      <c r="BH45" s="5670"/>
      <c r="BI45" s="5670"/>
      <c r="BJ45" s="5670"/>
      <c r="BK45" s="5670"/>
      <c r="BL45" s="5670"/>
      <c r="BM45" s="5670"/>
      <c r="BN45" s="5670"/>
      <c r="BO45" s="5670">
        <v>19300</v>
      </c>
      <c r="BP45" s="5670"/>
      <c r="BQ45" s="5670"/>
      <c r="BR45" s="5670"/>
      <c r="BS45" s="5670"/>
      <c r="BT45" s="5670"/>
      <c r="BU45" s="5670"/>
      <c r="BV45" s="5670"/>
      <c r="BW45" s="5670"/>
      <c r="BX45" s="5670"/>
      <c r="BY45" s="5670"/>
      <c r="BZ45" s="5677"/>
      <c r="CA45" s="5677"/>
      <c r="CB45" s="8551"/>
      <c r="CC45" s="8551"/>
      <c r="CD45" s="5677"/>
      <c r="CE45" s="5677"/>
      <c r="CF45" s="8551"/>
      <c r="CG45" s="5726">
        <f t="shared" si="6"/>
        <v>1093524.98</v>
      </c>
      <c r="CH45" s="5725" t="s">
        <v>596</v>
      </c>
    </row>
    <row r="46" spans="1:86" s="5727" customFormat="1">
      <c r="A46" s="10196" t="s">
        <v>10813</v>
      </c>
      <c r="B46" s="5670">
        <v>13721.43</v>
      </c>
      <c r="C46" s="5670"/>
      <c r="D46" s="5670"/>
      <c r="E46" s="5670"/>
      <c r="F46" s="5419"/>
      <c r="G46" s="5419"/>
      <c r="H46" s="5670">
        <v>26276.01</v>
      </c>
      <c r="I46" s="5670"/>
      <c r="J46" s="5670">
        <v>103643.3</v>
      </c>
      <c r="K46" s="5670"/>
      <c r="L46" s="5670"/>
      <c r="M46" s="5670"/>
      <c r="N46" s="5670"/>
      <c r="O46" s="5670"/>
      <c r="P46" s="5670"/>
      <c r="Q46" s="5670"/>
      <c r="R46" s="5670"/>
      <c r="S46" s="5670"/>
      <c r="T46" s="5670"/>
      <c r="U46" s="5670"/>
      <c r="V46" s="5670"/>
      <c r="W46" s="5670"/>
      <c r="X46" s="5670">
        <v>40000</v>
      </c>
      <c r="Y46" s="5670"/>
      <c r="Z46" s="5670"/>
      <c r="AA46" s="5670">
        <v>47803.78</v>
      </c>
      <c r="AB46" s="5670"/>
      <c r="AC46" s="5670"/>
      <c r="AD46" s="5670"/>
      <c r="AE46" s="5670"/>
      <c r="AF46" s="5670"/>
      <c r="AG46" s="5670"/>
      <c r="AH46" s="5670"/>
      <c r="AI46" s="5670"/>
      <c r="AJ46" s="5670"/>
      <c r="AK46" s="5670"/>
      <c r="AL46" s="5670">
        <v>223689.98</v>
      </c>
      <c r="AM46" s="5670"/>
      <c r="AN46" s="5670"/>
      <c r="AO46" s="5670">
        <v>262260.77</v>
      </c>
      <c r="AP46" s="5670"/>
      <c r="AQ46" s="5670"/>
      <c r="AR46" s="5670"/>
      <c r="AS46" s="5670">
        <v>6797.5</v>
      </c>
      <c r="AT46" s="5670"/>
      <c r="AU46" s="5670"/>
      <c r="AV46" s="5670"/>
      <c r="AW46" s="5670">
        <v>26294</v>
      </c>
      <c r="AX46" s="5670"/>
      <c r="AY46" s="5670"/>
      <c r="AZ46" s="5670"/>
      <c r="BA46" s="5670"/>
      <c r="BB46" s="5670"/>
      <c r="BC46" s="5670"/>
      <c r="BD46" s="5670"/>
      <c r="BE46" s="5670"/>
      <c r="BF46" s="5670"/>
      <c r="BG46" s="5670"/>
      <c r="BH46" s="5670">
        <v>4500</v>
      </c>
      <c r="BI46" s="5670"/>
      <c r="BJ46" s="5670"/>
      <c r="BK46" s="5670">
        <v>26712.85</v>
      </c>
      <c r="BL46" s="5670"/>
      <c r="BM46" s="5670"/>
      <c r="BN46" s="5670"/>
      <c r="BO46" s="5670">
        <v>155632.66</v>
      </c>
      <c r="BP46" s="5670"/>
      <c r="BQ46" s="5670"/>
      <c r="BR46" s="5670"/>
      <c r="BS46" s="5670"/>
      <c r="BT46" s="5670"/>
      <c r="BU46" s="5670"/>
      <c r="BV46" s="5670"/>
      <c r="BW46" s="5670"/>
      <c r="BX46" s="5670"/>
      <c r="BY46" s="5670"/>
      <c r="BZ46" s="10194"/>
      <c r="CA46" s="10194"/>
      <c r="CB46" s="10194"/>
      <c r="CC46" s="10194"/>
      <c r="CD46" s="10194"/>
      <c r="CE46" s="10194"/>
      <c r="CF46" s="10194"/>
      <c r="CG46" s="5726">
        <f t="shared" si="6"/>
        <v>937332.28</v>
      </c>
      <c r="CH46" s="10196" t="s">
        <v>10813</v>
      </c>
    </row>
    <row r="47" spans="1:86">
      <c r="A47" s="5690" t="s">
        <v>598</v>
      </c>
      <c r="B47" s="5420">
        <v>1069781.8</v>
      </c>
      <c r="C47" s="5670"/>
      <c r="D47" s="5670"/>
      <c r="E47" s="5670"/>
      <c r="F47" s="5419"/>
      <c r="G47" s="5419"/>
      <c r="H47" s="5420">
        <v>190200</v>
      </c>
      <c r="I47" s="5670"/>
      <c r="J47" s="5420">
        <v>364280.4</v>
      </c>
      <c r="K47" s="5670"/>
      <c r="L47" s="5670"/>
      <c r="M47" s="5670"/>
      <c r="N47" s="5670"/>
      <c r="O47" s="5670"/>
      <c r="P47" s="5670"/>
      <c r="Q47" s="5670"/>
      <c r="R47" s="5670">
        <v>314999.74</v>
      </c>
      <c r="S47" s="5670"/>
      <c r="T47" s="5670">
        <v>51854</v>
      </c>
      <c r="U47" s="5670"/>
      <c r="V47" s="5670"/>
      <c r="W47" s="5670">
        <v>43000.57</v>
      </c>
      <c r="X47" s="5420">
        <v>243757.11</v>
      </c>
      <c r="Y47" s="5670"/>
      <c r="Z47" s="5670">
        <v>4500</v>
      </c>
      <c r="AA47" s="5420">
        <v>214306.15</v>
      </c>
      <c r="AB47" s="5420"/>
      <c r="AC47" s="5420"/>
      <c r="AD47" s="5420"/>
      <c r="AE47" s="5670"/>
      <c r="AF47" s="5670"/>
      <c r="AG47" s="5670"/>
      <c r="AH47" s="5670"/>
      <c r="AI47" s="5670"/>
      <c r="AJ47" s="5670"/>
      <c r="AK47" s="5670"/>
      <c r="AL47" s="5670"/>
      <c r="AM47" s="5670"/>
      <c r="AN47" s="5670"/>
      <c r="AO47" s="5420">
        <v>481376.98</v>
      </c>
      <c r="AP47" s="5670"/>
      <c r="AQ47" s="5670"/>
      <c r="AR47" s="5420"/>
      <c r="AS47" s="5670">
        <v>99000.2</v>
      </c>
      <c r="AT47" s="5670"/>
      <c r="AU47" s="5670"/>
      <c r="AV47" s="5670"/>
      <c r="AW47" s="5670">
        <v>45929</v>
      </c>
      <c r="AX47" s="5420"/>
      <c r="AY47" s="5420"/>
      <c r="AZ47" s="5670"/>
      <c r="BA47" s="5670"/>
      <c r="BB47" s="5670">
        <v>313411.7</v>
      </c>
      <c r="BC47" s="5670"/>
      <c r="BD47" s="5670"/>
      <c r="BE47" s="5670"/>
      <c r="BF47" s="5670"/>
      <c r="BG47" s="5670"/>
      <c r="BH47" s="5670">
        <v>12000</v>
      </c>
      <c r="BI47" s="5670"/>
      <c r="BJ47" s="5670"/>
      <c r="BK47" s="5670"/>
      <c r="BL47" s="5670"/>
      <c r="BM47" s="5670"/>
      <c r="BN47" s="5670"/>
      <c r="BO47" s="5420">
        <v>209807.19</v>
      </c>
      <c r="BP47" s="5670"/>
      <c r="BQ47" s="5670"/>
      <c r="BR47" s="5670"/>
      <c r="BS47" s="5670"/>
      <c r="BT47" s="5670"/>
      <c r="BU47" s="5670"/>
      <c r="BV47" s="5670"/>
      <c r="BW47" s="5670"/>
      <c r="BX47" s="5670"/>
      <c r="BY47" s="5670"/>
      <c r="BZ47" s="5677"/>
      <c r="CA47" s="5677"/>
      <c r="CB47" s="8551"/>
      <c r="CC47" s="8551"/>
      <c r="CD47" s="5677"/>
      <c r="CE47" s="5677"/>
      <c r="CF47" s="8551"/>
      <c r="CG47" s="5726">
        <f t="shared" si="6"/>
        <v>3658204.8400000003</v>
      </c>
      <c r="CH47" s="5690" t="s">
        <v>598</v>
      </c>
    </row>
    <row r="48" spans="1:86">
      <c r="A48" s="5690" t="s">
        <v>599</v>
      </c>
      <c r="B48" s="5420">
        <v>681139.55</v>
      </c>
      <c r="C48" s="5670"/>
      <c r="D48" s="5670"/>
      <c r="E48" s="5670"/>
      <c r="F48" s="5419"/>
      <c r="G48" s="5419"/>
      <c r="H48" s="5420">
        <v>60700</v>
      </c>
      <c r="I48" s="5670"/>
      <c r="J48" s="5420">
        <v>225416</v>
      </c>
      <c r="K48" s="5670"/>
      <c r="L48" s="5670"/>
      <c r="M48" s="5670"/>
      <c r="N48" s="5670">
        <v>256847</v>
      </c>
      <c r="O48" s="5670"/>
      <c r="P48" s="5670"/>
      <c r="Q48" s="5670"/>
      <c r="R48" s="5670">
        <v>383951.09</v>
      </c>
      <c r="S48" s="5670"/>
      <c r="T48" s="5670">
        <v>44985</v>
      </c>
      <c r="U48" s="5670"/>
      <c r="V48" s="5670"/>
      <c r="W48" s="5670">
        <v>25000</v>
      </c>
      <c r="X48" s="5420">
        <v>190900</v>
      </c>
      <c r="Y48" s="5670"/>
      <c r="Z48" s="5670">
        <v>14000</v>
      </c>
      <c r="AA48" s="5420">
        <v>126499</v>
      </c>
      <c r="AB48" s="5420"/>
      <c r="AC48" s="5420"/>
      <c r="AD48" s="5420"/>
      <c r="AE48" s="5670"/>
      <c r="AF48" s="5670"/>
      <c r="AG48" s="5670"/>
      <c r="AH48" s="5670"/>
      <c r="AI48" s="5670"/>
      <c r="AJ48" s="5670"/>
      <c r="AK48" s="5670"/>
      <c r="AL48" s="5670"/>
      <c r="AM48" s="5670"/>
      <c r="AN48" s="5670"/>
      <c r="AO48" s="5420">
        <v>588000</v>
      </c>
      <c r="AP48" s="5670"/>
      <c r="AQ48" s="5670"/>
      <c r="AR48" s="5420"/>
      <c r="AS48" s="5670"/>
      <c r="AT48" s="5670"/>
      <c r="AU48" s="5670"/>
      <c r="AV48" s="5670"/>
      <c r="AW48" s="5670">
        <v>5000</v>
      </c>
      <c r="AX48" s="5420"/>
      <c r="AY48" s="5420"/>
      <c r="AZ48" s="5670"/>
      <c r="BA48" s="5670"/>
      <c r="BB48" s="5670">
        <v>465589.85</v>
      </c>
      <c r="BC48" s="5670"/>
      <c r="BD48" s="5670"/>
      <c r="BE48" s="5670"/>
      <c r="BF48" s="5670"/>
      <c r="BG48" s="5670"/>
      <c r="BH48" s="5670">
        <v>3375</v>
      </c>
      <c r="BI48" s="5670"/>
      <c r="BJ48" s="5670"/>
      <c r="BK48" s="5670"/>
      <c r="BL48" s="5670">
        <v>15000</v>
      </c>
      <c r="BM48" s="5670"/>
      <c r="BN48" s="5670"/>
      <c r="BO48" s="5420">
        <v>395335.74</v>
      </c>
      <c r="BP48" s="5670"/>
      <c r="BQ48" s="5670"/>
      <c r="BR48" s="5670"/>
      <c r="BS48" s="5670"/>
      <c r="BT48" s="5670"/>
      <c r="BU48" s="5670"/>
      <c r="BV48" s="5670"/>
      <c r="BW48" s="5670"/>
      <c r="BX48" s="5670"/>
      <c r="BY48" s="5670"/>
      <c r="BZ48" s="5677"/>
      <c r="CA48" s="5677"/>
      <c r="CB48" s="8551"/>
      <c r="CC48" s="8551"/>
      <c r="CD48" s="5677"/>
      <c r="CE48" s="5677"/>
      <c r="CF48" s="8551"/>
      <c r="CG48" s="5726">
        <f t="shared" si="6"/>
        <v>3481738.2300000004</v>
      </c>
      <c r="CH48" s="5690" t="s">
        <v>599</v>
      </c>
    </row>
    <row r="49" spans="1:86">
      <c r="A49" s="5690" t="s">
        <v>600</v>
      </c>
      <c r="B49" s="5420">
        <v>1340322.5900000001</v>
      </c>
      <c r="C49" s="5670"/>
      <c r="D49" s="5670"/>
      <c r="E49" s="5670"/>
      <c r="F49" s="5419"/>
      <c r="G49" s="5419"/>
      <c r="H49" s="5420">
        <v>262953.5</v>
      </c>
      <c r="I49" s="5670"/>
      <c r="J49" s="5420">
        <v>443729.6</v>
      </c>
      <c r="K49" s="5670"/>
      <c r="L49" s="5670"/>
      <c r="M49" s="5670"/>
      <c r="N49" s="5670"/>
      <c r="O49" s="5670"/>
      <c r="P49" s="5670"/>
      <c r="Q49" s="5670"/>
      <c r="R49" s="5670">
        <v>6970624.3399999999</v>
      </c>
      <c r="S49" s="5670"/>
      <c r="T49" s="5670"/>
      <c r="U49" s="5670"/>
      <c r="V49" s="5670"/>
      <c r="W49" s="5670">
        <v>34341.1</v>
      </c>
      <c r="X49" s="5420">
        <v>567181.38</v>
      </c>
      <c r="Y49" s="5670"/>
      <c r="Z49" s="5670">
        <v>1235</v>
      </c>
      <c r="AA49" s="5420">
        <v>145144.79999999999</v>
      </c>
      <c r="AB49" s="5420"/>
      <c r="AC49" s="5420"/>
      <c r="AD49" s="5420"/>
      <c r="AE49" s="5670"/>
      <c r="AF49" s="5670"/>
      <c r="AG49" s="5670"/>
      <c r="AH49" s="5670"/>
      <c r="AI49" s="5670"/>
      <c r="AJ49" s="5670"/>
      <c r="AK49" s="5670"/>
      <c r="AL49" s="5670">
        <v>1822782.58</v>
      </c>
      <c r="AM49" s="5670"/>
      <c r="AN49" s="5670"/>
      <c r="AO49" s="5420">
        <v>15575561.859999999</v>
      </c>
      <c r="AP49" s="5670"/>
      <c r="AQ49" s="5670"/>
      <c r="AR49" s="5420"/>
      <c r="AS49" s="5670">
        <v>122181.5</v>
      </c>
      <c r="AT49" s="5670"/>
      <c r="AU49" s="5670"/>
      <c r="AV49" s="5670"/>
      <c r="AW49" s="5670">
        <v>111480.33</v>
      </c>
      <c r="AX49" s="5420"/>
      <c r="AY49" s="5420"/>
      <c r="AZ49" s="5670"/>
      <c r="BA49" s="5670"/>
      <c r="BB49" s="5670">
        <v>794378.89</v>
      </c>
      <c r="BC49" s="5670"/>
      <c r="BD49" s="5670"/>
      <c r="BE49" s="5670"/>
      <c r="BF49" s="5670"/>
      <c r="BG49" s="5670"/>
      <c r="BH49" s="5670">
        <v>1012.5</v>
      </c>
      <c r="BI49" s="5670"/>
      <c r="BJ49" s="5670"/>
      <c r="BK49" s="5670"/>
      <c r="BL49" s="5670"/>
      <c r="BM49" s="5670"/>
      <c r="BN49" s="5670"/>
      <c r="BO49" s="5420">
        <v>207848.69</v>
      </c>
      <c r="BP49" s="5670"/>
      <c r="BQ49" s="5670"/>
      <c r="BR49" s="5670"/>
      <c r="BS49" s="5670"/>
      <c r="BT49" s="5670"/>
      <c r="BU49" s="5670"/>
      <c r="BV49" s="5670"/>
      <c r="BW49" s="5670"/>
      <c r="BX49" s="5670"/>
      <c r="BY49" s="5670"/>
      <c r="BZ49" s="5677"/>
      <c r="CA49" s="5677"/>
      <c r="CB49" s="8551"/>
      <c r="CC49" s="8551"/>
      <c r="CD49" s="5677"/>
      <c r="CE49" s="5677"/>
      <c r="CF49" s="8551"/>
      <c r="CG49" s="5726">
        <f t="shared" si="6"/>
        <v>28400778.66</v>
      </c>
      <c r="CH49" s="5690" t="s">
        <v>600</v>
      </c>
    </row>
    <row r="50" spans="1:86">
      <c r="A50" s="5690" t="s">
        <v>601</v>
      </c>
      <c r="B50" s="5421">
        <v>725057.27</v>
      </c>
      <c r="C50" s="5670"/>
      <c r="D50" s="5670"/>
      <c r="E50" s="5670"/>
      <c r="F50" s="5419"/>
      <c r="G50" s="5419"/>
      <c r="H50" s="5420">
        <v>245300</v>
      </c>
      <c r="I50" s="5670"/>
      <c r="J50" s="5420">
        <v>133544.57</v>
      </c>
      <c r="K50" s="5670"/>
      <c r="L50" s="5670"/>
      <c r="M50" s="5670"/>
      <c r="N50" s="5670"/>
      <c r="O50" s="5670"/>
      <c r="P50" s="5670"/>
      <c r="Q50" s="5670"/>
      <c r="R50" s="5670"/>
      <c r="S50" s="5670"/>
      <c r="T50" s="5670"/>
      <c r="U50" s="5670"/>
      <c r="V50" s="5670"/>
      <c r="W50" s="5670">
        <v>33829.85</v>
      </c>
      <c r="X50" s="5421">
        <v>192009.27</v>
      </c>
      <c r="Y50" s="5670"/>
      <c r="Z50" s="5670"/>
      <c r="AA50" s="5421">
        <v>59658.51</v>
      </c>
      <c r="AB50" s="5421"/>
      <c r="AC50" s="5421"/>
      <c r="AD50" s="5684"/>
      <c r="AE50" s="5670"/>
      <c r="AF50" s="5670"/>
      <c r="AG50" s="5675"/>
      <c r="AH50" s="5670"/>
      <c r="AI50" s="5670"/>
      <c r="AJ50" s="5670"/>
      <c r="AK50" s="5670"/>
      <c r="AL50" s="5675"/>
      <c r="AM50" s="5670"/>
      <c r="AN50" s="5670"/>
      <c r="AO50" s="5674">
        <v>3981050.24</v>
      </c>
      <c r="AP50" s="5675"/>
      <c r="AQ50" s="5675"/>
      <c r="AR50" s="5674"/>
      <c r="AS50" s="5670"/>
      <c r="AT50" s="5670"/>
      <c r="AU50" s="5670"/>
      <c r="AV50" s="5670"/>
      <c r="AW50" s="5670">
        <v>21198</v>
      </c>
      <c r="AX50" s="5674"/>
      <c r="AY50" s="5674"/>
      <c r="AZ50" s="5674"/>
      <c r="BA50" s="5674"/>
      <c r="BB50" s="5670"/>
      <c r="BC50" s="5670"/>
      <c r="BD50" s="5670"/>
      <c r="BE50" s="5670"/>
      <c r="BF50" s="5670"/>
      <c r="BG50" s="5670"/>
      <c r="BH50" s="5670"/>
      <c r="BI50" s="5670"/>
      <c r="BJ50" s="5670"/>
      <c r="BK50" s="5670"/>
      <c r="BL50" s="5670"/>
      <c r="BM50" s="5670"/>
      <c r="BN50" s="5670"/>
      <c r="BO50" s="5674">
        <v>56600</v>
      </c>
      <c r="BP50" s="5675"/>
      <c r="BQ50" s="5675"/>
      <c r="BR50" s="5675"/>
      <c r="BS50" s="5675"/>
      <c r="BT50" s="5675"/>
      <c r="BU50" s="5675"/>
      <c r="BV50" s="5675"/>
      <c r="BW50" s="5675"/>
      <c r="BX50" s="5675"/>
      <c r="BY50" s="5675"/>
      <c r="BZ50" s="5677"/>
      <c r="CA50" s="5677"/>
      <c r="CB50" s="8551"/>
      <c r="CC50" s="8551"/>
      <c r="CD50" s="5677"/>
      <c r="CE50" s="5677"/>
      <c r="CF50" s="8551"/>
      <c r="CG50" s="5726">
        <f t="shared" si="6"/>
        <v>5448247.7100000009</v>
      </c>
      <c r="CH50" s="5690" t="s">
        <v>601</v>
      </c>
    </row>
    <row r="51" spans="1:86" ht="3" customHeight="1">
      <c r="A51" s="5690"/>
      <c r="B51" s="5743"/>
      <c r="C51" s="5743"/>
      <c r="D51" s="5743"/>
      <c r="E51" s="5747"/>
      <c r="F51" s="5747"/>
      <c r="G51" s="8548"/>
      <c r="H51" s="5743"/>
      <c r="I51" s="5743"/>
      <c r="J51" s="5743"/>
      <c r="K51" s="5743"/>
      <c r="L51" s="5743"/>
      <c r="M51" s="5743"/>
      <c r="N51" s="5743"/>
      <c r="O51" s="5743"/>
      <c r="P51" s="5730"/>
      <c r="Q51" s="5743"/>
      <c r="R51" s="5743"/>
      <c r="S51" s="5743"/>
      <c r="T51" s="5743"/>
      <c r="U51" s="5743"/>
      <c r="V51" s="5743"/>
      <c r="W51" s="5743"/>
      <c r="X51" s="5743"/>
      <c r="Y51" s="5730"/>
      <c r="Z51" s="5743"/>
      <c r="AA51" s="5743"/>
      <c r="AB51" s="5743"/>
      <c r="AC51" s="5743"/>
      <c r="AD51" s="5747"/>
      <c r="AE51" s="5743"/>
      <c r="AF51" s="5743"/>
      <c r="AG51" s="5733"/>
      <c r="AH51" s="5730"/>
      <c r="AI51" s="5743"/>
      <c r="AJ51" s="5743"/>
      <c r="AK51" s="5743"/>
      <c r="AL51" s="5744"/>
      <c r="AM51" s="5730"/>
      <c r="AN51" s="5732"/>
      <c r="AO51" s="5743"/>
      <c r="AP51" s="5744"/>
      <c r="AQ51" s="5747"/>
      <c r="AR51" s="5743"/>
      <c r="AS51" s="5730"/>
      <c r="AT51" s="8546"/>
      <c r="AU51" s="8546"/>
      <c r="AV51" s="5730"/>
      <c r="AW51" s="5730"/>
      <c r="AX51" s="5730"/>
      <c r="AY51" s="5743"/>
      <c r="AZ51" s="5730"/>
      <c r="BA51" s="5743"/>
      <c r="BB51" s="5743"/>
      <c r="BC51" s="5730"/>
      <c r="BD51" s="5730"/>
      <c r="BE51" s="5730"/>
      <c r="BF51" s="5730"/>
      <c r="BG51" s="5730"/>
      <c r="BH51" s="5730"/>
      <c r="BI51" s="5743"/>
      <c r="BJ51" s="5743"/>
      <c r="BK51" s="5743"/>
      <c r="BL51" s="5730"/>
      <c r="BM51" s="5730"/>
      <c r="BN51" s="5730"/>
      <c r="BO51" s="5730"/>
      <c r="BP51" s="5730"/>
      <c r="BQ51" s="5730"/>
      <c r="BR51" s="6617"/>
      <c r="BS51" s="5733"/>
      <c r="BT51" s="5734"/>
      <c r="BU51" s="5734"/>
      <c r="BV51" s="5735"/>
      <c r="BW51" s="5734"/>
      <c r="BX51" s="5735"/>
      <c r="BY51" s="5736"/>
      <c r="BZ51" s="5736"/>
      <c r="CA51" s="5736"/>
      <c r="CB51" s="8552"/>
      <c r="CC51" s="8552"/>
      <c r="CD51" s="5736"/>
      <c r="CE51" s="5736"/>
      <c r="CF51" s="8552"/>
      <c r="CG51" s="5726">
        <f>SUM(B51:CF51)</f>
        <v>0</v>
      </c>
      <c r="CH51" s="5690"/>
    </row>
    <row r="52" spans="1:86" ht="14.4" thickBot="1">
      <c r="A52" s="5738" t="s">
        <v>485</v>
      </c>
      <c r="B52" s="5739">
        <f t="shared" ref="B52:BZ52" si="7">SUM(B42:B50)</f>
        <v>4204025.6999999993</v>
      </c>
      <c r="C52" s="5739">
        <f>SUM(C42:C50)</f>
        <v>0</v>
      </c>
      <c r="D52" s="5739">
        <f>SUM(D42:D50)</f>
        <v>0</v>
      </c>
      <c r="E52" s="5739">
        <f t="shared" si="7"/>
        <v>0</v>
      </c>
      <c r="F52" s="5739">
        <f t="shared" si="7"/>
        <v>0</v>
      </c>
      <c r="G52" s="5739">
        <f>SUM(G42:G50)</f>
        <v>0</v>
      </c>
      <c r="H52" s="5739">
        <f t="shared" si="7"/>
        <v>912364.51</v>
      </c>
      <c r="I52" s="5739">
        <f t="shared" si="7"/>
        <v>0</v>
      </c>
      <c r="J52" s="5739">
        <f t="shared" si="7"/>
        <v>1569363.8299999998</v>
      </c>
      <c r="K52" s="5739">
        <f t="shared" si="7"/>
        <v>0</v>
      </c>
      <c r="L52" s="5739">
        <f t="shared" si="7"/>
        <v>0</v>
      </c>
      <c r="M52" s="5739">
        <f t="shared" si="7"/>
        <v>0</v>
      </c>
      <c r="N52" s="5739">
        <f t="shared" si="7"/>
        <v>256847</v>
      </c>
      <c r="O52" s="5739">
        <f t="shared" si="7"/>
        <v>0</v>
      </c>
      <c r="P52" s="5739">
        <f t="shared" si="7"/>
        <v>0</v>
      </c>
      <c r="Q52" s="5739">
        <f t="shared" si="7"/>
        <v>0</v>
      </c>
      <c r="R52" s="5739">
        <f t="shared" si="7"/>
        <v>7721750.4699999997</v>
      </c>
      <c r="S52" s="5739">
        <f t="shared" si="7"/>
        <v>0</v>
      </c>
      <c r="T52" s="5739">
        <f t="shared" si="7"/>
        <v>96839</v>
      </c>
      <c r="U52" s="5739">
        <f t="shared" si="7"/>
        <v>0</v>
      </c>
      <c r="V52" s="5739">
        <f t="shared" si="7"/>
        <v>0</v>
      </c>
      <c r="W52" s="5739">
        <f t="shared" si="7"/>
        <v>140270.52000000002</v>
      </c>
      <c r="X52" s="5739">
        <f t="shared" si="7"/>
        <v>1432358.6600000001</v>
      </c>
      <c r="Y52" s="5739">
        <f t="shared" si="7"/>
        <v>0</v>
      </c>
      <c r="Z52" s="5739">
        <f t="shared" si="7"/>
        <v>20815</v>
      </c>
      <c r="AA52" s="5739">
        <f t="shared" si="7"/>
        <v>969639.72</v>
      </c>
      <c r="AB52" s="5739">
        <f t="shared" si="7"/>
        <v>0</v>
      </c>
      <c r="AC52" s="5739">
        <f t="shared" si="7"/>
        <v>0</v>
      </c>
      <c r="AD52" s="5739"/>
      <c r="AE52" s="5739">
        <f t="shared" si="7"/>
        <v>34485.24</v>
      </c>
      <c r="AF52" s="5739">
        <f t="shared" si="7"/>
        <v>15420</v>
      </c>
      <c r="AG52" s="5739">
        <f>SUM(AG42:AG50)</f>
        <v>0</v>
      </c>
      <c r="AH52" s="5739">
        <f>SUM(AH42:AH50)</f>
        <v>0</v>
      </c>
      <c r="AI52" s="5739">
        <f t="shared" si="7"/>
        <v>0</v>
      </c>
      <c r="AJ52" s="5739">
        <f t="shared" si="7"/>
        <v>0</v>
      </c>
      <c r="AK52" s="5739">
        <f t="shared" si="7"/>
        <v>0</v>
      </c>
      <c r="AL52" s="5739">
        <f>SUM(AL42:AL50)</f>
        <v>2865771.76</v>
      </c>
      <c r="AM52" s="5739">
        <f>SUM(AM42:AM50)</f>
        <v>0</v>
      </c>
      <c r="AN52" s="5739">
        <f>SUM(AN42:AN50)</f>
        <v>0</v>
      </c>
      <c r="AO52" s="5739">
        <f t="shared" si="7"/>
        <v>22823003.719999999</v>
      </c>
      <c r="AP52" s="5739">
        <f t="shared" si="7"/>
        <v>0</v>
      </c>
      <c r="AQ52" s="5739">
        <f t="shared" si="7"/>
        <v>0</v>
      </c>
      <c r="AR52" s="5739">
        <f>SUM(AR42:AR50)</f>
        <v>0</v>
      </c>
      <c r="AS52" s="5739">
        <f t="shared" si="7"/>
        <v>227979.2</v>
      </c>
      <c r="AT52" s="5739">
        <f>SUM(AT42:AT50)</f>
        <v>0</v>
      </c>
      <c r="AU52" s="5739">
        <f>SUM(AU42:AU50)</f>
        <v>0</v>
      </c>
      <c r="AV52" s="5739">
        <f t="shared" si="7"/>
        <v>0</v>
      </c>
      <c r="AW52" s="5739">
        <f t="shared" si="7"/>
        <v>261999.47999999998</v>
      </c>
      <c r="AX52" s="5739">
        <f t="shared" si="7"/>
        <v>0</v>
      </c>
      <c r="AY52" s="5739">
        <f t="shared" si="7"/>
        <v>0</v>
      </c>
      <c r="AZ52" s="5739">
        <f t="shared" si="7"/>
        <v>0</v>
      </c>
      <c r="BA52" s="5739">
        <f t="shared" si="7"/>
        <v>0</v>
      </c>
      <c r="BB52" s="5739">
        <f t="shared" si="7"/>
        <v>1601886.44</v>
      </c>
      <c r="BC52" s="5739">
        <f t="shared" si="7"/>
        <v>7500</v>
      </c>
      <c r="BD52" s="5739">
        <f t="shared" si="7"/>
        <v>0</v>
      </c>
      <c r="BE52" s="5739">
        <f t="shared" si="7"/>
        <v>0</v>
      </c>
      <c r="BF52" s="5739">
        <f t="shared" si="7"/>
        <v>0</v>
      </c>
      <c r="BG52" s="5739">
        <f t="shared" si="7"/>
        <v>0</v>
      </c>
      <c r="BH52" s="5739">
        <f t="shared" si="7"/>
        <v>28687.5</v>
      </c>
      <c r="BI52" s="5739">
        <f>SUM(BI42:BI50)</f>
        <v>0</v>
      </c>
      <c r="BJ52" s="5739">
        <f>SUM(BJ42:BJ50)</f>
        <v>0</v>
      </c>
      <c r="BK52" s="5739">
        <f>SUM(BK42:BK50)</f>
        <v>26712.85</v>
      </c>
      <c r="BL52" s="5739">
        <f>SUM(BL42:BL50)</f>
        <v>16800</v>
      </c>
      <c r="BM52" s="5739">
        <f>SUM(BM42:BM50)</f>
        <v>0</v>
      </c>
      <c r="BN52" s="5739">
        <f t="shared" si="7"/>
        <v>0</v>
      </c>
      <c r="BO52" s="5739">
        <f t="shared" si="7"/>
        <v>1329505.04</v>
      </c>
      <c r="BP52" s="5739">
        <f t="shared" si="7"/>
        <v>0</v>
      </c>
      <c r="BQ52" s="5739">
        <f t="shared" si="7"/>
        <v>0</v>
      </c>
      <c r="BR52" s="5739">
        <f t="shared" si="7"/>
        <v>0</v>
      </c>
      <c r="BS52" s="5739">
        <f t="shared" si="7"/>
        <v>0</v>
      </c>
      <c r="BT52" s="5739">
        <f t="shared" si="7"/>
        <v>0</v>
      </c>
      <c r="BU52" s="5739">
        <f t="shared" si="7"/>
        <v>0</v>
      </c>
      <c r="BV52" s="5739">
        <f t="shared" si="7"/>
        <v>0</v>
      </c>
      <c r="BW52" s="5739">
        <f t="shared" si="7"/>
        <v>0</v>
      </c>
      <c r="BX52" s="5739">
        <f t="shared" si="7"/>
        <v>0</v>
      </c>
      <c r="BY52" s="5739">
        <f t="shared" si="7"/>
        <v>0</v>
      </c>
      <c r="BZ52" s="5739">
        <f t="shared" si="7"/>
        <v>0</v>
      </c>
      <c r="CA52" s="5739">
        <f t="shared" ref="CA52:CG52" si="8">SUM(CA42:CA50)</f>
        <v>0</v>
      </c>
      <c r="CB52" s="5739">
        <f t="shared" si="8"/>
        <v>0</v>
      </c>
      <c r="CC52" s="5739">
        <f t="shared" si="8"/>
        <v>0</v>
      </c>
      <c r="CD52" s="5739">
        <f t="shared" si="8"/>
        <v>0</v>
      </c>
      <c r="CE52" s="5739">
        <f t="shared" si="8"/>
        <v>0</v>
      </c>
      <c r="CF52" s="5739">
        <f t="shared" si="8"/>
        <v>0</v>
      </c>
      <c r="CG52" s="5739">
        <f t="shared" si="8"/>
        <v>46564025.640000001</v>
      </c>
      <c r="CH52" s="5738" t="s">
        <v>485</v>
      </c>
    </row>
    <row r="53" spans="1:86" ht="2.25" customHeight="1" thickTop="1" thickBot="1">
      <c r="A53" s="5748"/>
      <c r="B53" s="5749"/>
      <c r="C53" s="5749"/>
      <c r="D53" s="5749"/>
      <c r="E53" s="5749"/>
      <c r="F53" s="5749"/>
      <c r="G53" s="5749"/>
      <c r="H53" s="5749"/>
      <c r="I53" s="5749"/>
      <c r="J53" s="5749"/>
      <c r="K53" s="5749"/>
      <c r="L53" s="5749"/>
      <c r="M53" s="5749"/>
      <c r="N53" s="5749"/>
      <c r="O53" s="5749"/>
      <c r="P53" s="5749"/>
      <c r="Q53" s="5749"/>
      <c r="R53" s="5749"/>
      <c r="S53" s="5749"/>
      <c r="T53" s="5749"/>
      <c r="U53" s="5749"/>
      <c r="V53" s="5749"/>
      <c r="W53" s="5749"/>
      <c r="X53" s="5749"/>
      <c r="Y53" s="5749"/>
      <c r="Z53" s="5749"/>
      <c r="AA53" s="5749"/>
      <c r="AB53" s="5749"/>
      <c r="AC53" s="5749"/>
      <c r="AD53" s="5749"/>
      <c r="AE53" s="5749"/>
      <c r="AF53" s="5749"/>
      <c r="AG53" s="5749"/>
      <c r="AH53" s="5749"/>
      <c r="AI53" s="5749"/>
      <c r="AJ53" s="5749"/>
      <c r="AK53" s="5749"/>
      <c r="AL53" s="5749"/>
      <c r="AM53" s="5749"/>
      <c r="AN53" s="5749"/>
      <c r="AO53" s="5749"/>
      <c r="AP53" s="5749"/>
      <c r="AQ53" s="5749"/>
      <c r="AR53" s="5749"/>
      <c r="AS53" s="5749"/>
      <c r="AT53" s="5749"/>
      <c r="AU53" s="5749"/>
      <c r="AV53" s="5749"/>
      <c r="AW53" s="5749"/>
      <c r="AX53" s="5749"/>
      <c r="AY53" s="5749"/>
      <c r="AZ53" s="5749"/>
      <c r="BA53" s="5749"/>
      <c r="BB53" s="5749"/>
      <c r="BC53" s="5749"/>
      <c r="BD53" s="5749"/>
      <c r="BE53" s="5749"/>
      <c r="BF53" s="5749"/>
      <c r="BG53" s="5749"/>
      <c r="BH53" s="5749"/>
      <c r="BI53" s="5749"/>
      <c r="BJ53" s="5749"/>
      <c r="BK53" s="5749"/>
      <c r="BL53" s="5749"/>
      <c r="BM53" s="5749"/>
      <c r="BN53" s="5749"/>
      <c r="BO53" s="5749"/>
      <c r="BP53" s="5749"/>
      <c r="BQ53" s="5749"/>
      <c r="BR53" s="5749"/>
      <c r="BS53" s="5749"/>
      <c r="BT53" s="5749"/>
      <c r="BU53" s="5749"/>
      <c r="BV53" s="5749"/>
      <c r="BW53" s="5749"/>
      <c r="BX53" s="5749"/>
      <c r="BY53" s="5749"/>
      <c r="BZ53" s="5730"/>
      <c r="CA53" s="5730"/>
      <c r="CB53" s="5730"/>
      <c r="CC53" s="5730"/>
      <c r="CD53" s="5730"/>
      <c r="CE53" s="5730"/>
      <c r="CF53" s="5730"/>
      <c r="CG53" s="5730"/>
      <c r="CH53" s="5748"/>
    </row>
    <row r="54" spans="1:86" ht="15" thickTop="1" thickBot="1">
      <c r="A54" s="5750" t="s">
        <v>602</v>
      </c>
      <c r="B54" s="5751">
        <f t="shared" ref="B54:BZ54" si="9">SUM(B22+B40+B52)</f>
        <v>13286405.239999998</v>
      </c>
      <c r="C54" s="5751">
        <f>SUM(C22+C40+C52)</f>
        <v>0</v>
      </c>
      <c r="D54" s="5751">
        <f>SUM(D22+D40+D52)</f>
        <v>0</v>
      </c>
      <c r="E54" s="5751">
        <f t="shared" si="9"/>
        <v>0</v>
      </c>
      <c r="F54" s="5751">
        <f t="shared" si="9"/>
        <v>0</v>
      </c>
      <c r="G54" s="5751">
        <f>SUM(G22+G40+G52)</f>
        <v>0</v>
      </c>
      <c r="H54" s="5751">
        <f t="shared" si="9"/>
        <v>5262604.91</v>
      </c>
      <c r="I54" s="5751">
        <f t="shared" si="9"/>
        <v>0</v>
      </c>
      <c r="J54" s="5751">
        <f t="shared" si="9"/>
        <v>13817704.359999999</v>
      </c>
      <c r="K54" s="5751">
        <f t="shared" si="9"/>
        <v>0</v>
      </c>
      <c r="L54" s="5751">
        <f t="shared" si="9"/>
        <v>0</v>
      </c>
      <c r="M54" s="5751">
        <f t="shared" si="9"/>
        <v>7102057</v>
      </c>
      <c r="N54" s="5751">
        <f t="shared" si="9"/>
        <v>256847</v>
      </c>
      <c r="O54" s="5751">
        <f t="shared" si="9"/>
        <v>20101005.060000002</v>
      </c>
      <c r="P54" s="5751">
        <f t="shared" si="9"/>
        <v>44893353.360000007</v>
      </c>
      <c r="Q54" s="5751">
        <f t="shared" si="9"/>
        <v>34795608.490000002</v>
      </c>
      <c r="R54" s="5751">
        <f t="shared" si="9"/>
        <v>16739441.57</v>
      </c>
      <c r="S54" s="5751">
        <f t="shared" si="9"/>
        <v>0</v>
      </c>
      <c r="T54" s="5751">
        <f t="shared" si="9"/>
        <v>96839</v>
      </c>
      <c r="U54" s="5751">
        <f t="shared" si="9"/>
        <v>72480</v>
      </c>
      <c r="V54" s="5751">
        <f t="shared" si="9"/>
        <v>153388.57</v>
      </c>
      <c r="W54" s="5751">
        <f t="shared" si="9"/>
        <v>2641432.6599999997</v>
      </c>
      <c r="X54" s="5751">
        <f t="shared" si="9"/>
        <v>21562095.689999998</v>
      </c>
      <c r="Y54" s="5751">
        <f t="shared" si="9"/>
        <v>0</v>
      </c>
      <c r="Z54" s="5751">
        <f t="shared" si="9"/>
        <v>135521.99</v>
      </c>
      <c r="AA54" s="5751">
        <f t="shared" si="9"/>
        <v>4992821.84</v>
      </c>
      <c r="AB54" s="5751">
        <f t="shared" si="9"/>
        <v>0</v>
      </c>
      <c r="AC54" s="5751">
        <f t="shared" si="9"/>
        <v>0</v>
      </c>
      <c r="AD54" s="5751">
        <f t="shared" si="9"/>
        <v>0</v>
      </c>
      <c r="AE54" s="5751">
        <f t="shared" si="9"/>
        <v>792749.35999999987</v>
      </c>
      <c r="AF54" s="5751">
        <f t="shared" si="9"/>
        <v>314750</v>
      </c>
      <c r="AG54" s="5751">
        <f>SUM(AG22+AG40+AG52)</f>
        <v>17500</v>
      </c>
      <c r="AH54" s="5751">
        <f>SUM(AH22+AH40+AH52)</f>
        <v>14000000</v>
      </c>
      <c r="AI54" s="5751">
        <f t="shared" si="9"/>
        <v>368066.5</v>
      </c>
      <c r="AJ54" s="5751">
        <f t="shared" si="9"/>
        <v>0</v>
      </c>
      <c r="AK54" s="5751">
        <f t="shared" si="9"/>
        <v>2338000</v>
      </c>
      <c r="AL54" s="5751">
        <f>SUM(AL22+AL40+AL52)</f>
        <v>32267542.439999998</v>
      </c>
      <c r="AM54" s="5751">
        <f>SUM(AM22+AM40+AM52)</f>
        <v>5679260.4000000004</v>
      </c>
      <c r="AN54" s="5751">
        <f>SUM(AN22+AN40+AN52)</f>
        <v>14259675.029999999</v>
      </c>
      <c r="AO54" s="5751">
        <f t="shared" si="9"/>
        <v>126647424.34</v>
      </c>
      <c r="AP54" s="5751">
        <f t="shared" si="9"/>
        <v>0</v>
      </c>
      <c r="AQ54" s="5751">
        <f t="shared" si="9"/>
        <v>0</v>
      </c>
      <c r="AR54" s="5751">
        <f>SUM(AR22+AR40+AR52)</f>
        <v>0</v>
      </c>
      <c r="AS54" s="5751">
        <f t="shared" si="9"/>
        <v>1921820.4799999997</v>
      </c>
      <c r="AT54" s="5751">
        <f>SUM(AT22+AT40+AT52)</f>
        <v>0</v>
      </c>
      <c r="AU54" s="5751">
        <f>SUM(AU22+AU40+AU52)</f>
        <v>0</v>
      </c>
      <c r="AV54" s="5751">
        <f t="shared" si="9"/>
        <v>0</v>
      </c>
      <c r="AW54" s="5751">
        <f t="shared" si="9"/>
        <v>1716582.5100000002</v>
      </c>
      <c r="AX54" s="5751">
        <f t="shared" si="9"/>
        <v>0</v>
      </c>
      <c r="AY54" s="5751">
        <f t="shared" si="9"/>
        <v>0</v>
      </c>
      <c r="AZ54" s="5751">
        <f t="shared" si="9"/>
        <v>0</v>
      </c>
      <c r="BA54" s="5751">
        <f t="shared" si="9"/>
        <v>0</v>
      </c>
      <c r="BB54" s="5751">
        <f t="shared" si="9"/>
        <v>9688869.6499999985</v>
      </c>
      <c r="BC54" s="5751">
        <f t="shared" si="9"/>
        <v>7500</v>
      </c>
      <c r="BD54" s="5751">
        <f t="shared" si="9"/>
        <v>0</v>
      </c>
      <c r="BE54" s="5751">
        <f t="shared" si="9"/>
        <v>0</v>
      </c>
      <c r="BF54" s="5751">
        <f t="shared" si="9"/>
        <v>0</v>
      </c>
      <c r="BG54" s="5751">
        <f t="shared" si="9"/>
        <v>166206.20000000001</v>
      </c>
      <c r="BH54" s="5751">
        <f t="shared" si="9"/>
        <v>381006.16000000003</v>
      </c>
      <c r="BI54" s="5751">
        <f>SUM(BI22+BI40+BI52)</f>
        <v>637123.17999999993</v>
      </c>
      <c r="BJ54" s="5751">
        <f>SUM(BJ22+BJ40+BJ52)</f>
        <v>6995</v>
      </c>
      <c r="BK54" s="5751">
        <f>SUM(BK22+BK40+BK52)</f>
        <v>11202654.66</v>
      </c>
      <c r="BL54" s="5751">
        <f>SUM(BL22+BL40+BL52)</f>
        <v>161433</v>
      </c>
      <c r="BM54" s="5751">
        <f>SUM(BM22+BM40+BM52)</f>
        <v>42517881.620000005</v>
      </c>
      <c r="BN54" s="5751">
        <f t="shared" si="9"/>
        <v>2215237.3199999998</v>
      </c>
      <c r="BO54" s="5751">
        <f t="shared" si="9"/>
        <v>9231535.5700000003</v>
      </c>
      <c r="BP54" s="5751">
        <f t="shared" si="9"/>
        <v>0</v>
      </c>
      <c r="BQ54" s="5751">
        <f t="shared" si="9"/>
        <v>0</v>
      </c>
      <c r="BR54" s="5751">
        <f t="shared" si="9"/>
        <v>0</v>
      </c>
      <c r="BS54" s="5751">
        <f t="shared" si="9"/>
        <v>0</v>
      </c>
      <c r="BT54" s="5751">
        <f t="shared" si="9"/>
        <v>0</v>
      </c>
      <c r="BU54" s="5751">
        <f t="shared" si="9"/>
        <v>0</v>
      </c>
      <c r="BV54" s="5751">
        <f t="shared" si="9"/>
        <v>0</v>
      </c>
      <c r="BW54" s="5751">
        <f t="shared" si="9"/>
        <v>0</v>
      </c>
      <c r="BX54" s="5751">
        <f t="shared" si="9"/>
        <v>0</v>
      </c>
      <c r="BY54" s="5751">
        <f t="shared" si="9"/>
        <v>0</v>
      </c>
      <c r="BZ54" s="5752">
        <f t="shared" si="9"/>
        <v>0</v>
      </c>
      <c r="CA54" s="5752">
        <f t="shared" ref="CA54:CG54" si="10">SUM(CA22+CA40+CA52)</f>
        <v>0</v>
      </c>
      <c r="CB54" s="5752">
        <f t="shared" si="10"/>
        <v>0</v>
      </c>
      <c r="CC54" s="5752">
        <f t="shared" si="10"/>
        <v>0</v>
      </c>
      <c r="CD54" s="5752">
        <f t="shared" si="10"/>
        <v>0</v>
      </c>
      <c r="CE54" s="5752">
        <f t="shared" si="10"/>
        <v>0</v>
      </c>
      <c r="CF54" s="5752">
        <f t="shared" si="10"/>
        <v>0</v>
      </c>
      <c r="CG54" s="5752">
        <f t="shared" si="10"/>
        <v>462449420.16000003</v>
      </c>
      <c r="CH54" s="5750" t="s">
        <v>602</v>
      </c>
    </row>
    <row r="56" spans="1:86">
      <c r="T56" s="5753"/>
    </row>
    <row r="57" spans="1:86">
      <c r="T57" s="5753"/>
    </row>
    <row r="58" spans="1:86">
      <c r="T58" s="5753"/>
    </row>
    <row r="59" spans="1:86">
      <c r="T59" s="5753"/>
    </row>
    <row r="60" spans="1:86">
      <c r="T60" s="5753"/>
    </row>
    <row r="61" spans="1:86">
      <c r="T61" s="5753"/>
    </row>
    <row r="62" spans="1:86">
      <c r="T62" s="5753"/>
    </row>
    <row r="63" spans="1:86">
      <c r="T63" s="5753"/>
    </row>
    <row r="64" spans="1:86">
      <c r="T64" s="5753"/>
    </row>
    <row r="65" spans="20:20">
      <c r="T65" s="5753"/>
    </row>
    <row r="66" spans="20:20">
      <c r="T66" s="5753"/>
    </row>
    <row r="67" spans="20:20">
      <c r="T67" s="5753"/>
    </row>
    <row r="68" spans="20:20">
      <c r="T68" s="5753"/>
    </row>
    <row r="69" spans="20:20">
      <c r="T69" s="5753"/>
    </row>
    <row r="70" spans="20:20">
      <c r="T70" s="5753"/>
    </row>
    <row r="71" spans="20:20">
      <c r="T71" s="5753"/>
    </row>
    <row r="72" spans="20:20">
      <c r="T72" s="5753"/>
    </row>
    <row r="73" spans="20:20">
      <c r="T73" s="5753"/>
    </row>
    <row r="74" spans="20:20">
      <c r="T74" s="5753"/>
    </row>
    <row r="75" spans="20:20">
      <c r="T75" s="5753"/>
    </row>
    <row r="76" spans="20:20">
      <c r="T76" s="5753"/>
    </row>
    <row r="77" spans="20:20">
      <c r="T77" s="5753"/>
    </row>
    <row r="78" spans="20:20">
      <c r="T78" s="5753"/>
    </row>
    <row r="79" spans="20:20">
      <c r="T79" s="5753"/>
    </row>
    <row r="80" spans="20:20">
      <c r="T80" s="5753"/>
    </row>
    <row r="81" spans="20:20">
      <c r="T81" s="5753"/>
    </row>
    <row r="82" spans="20:20">
      <c r="T82" s="5753"/>
    </row>
    <row r="83" spans="20:20">
      <c r="T83" s="5753"/>
    </row>
    <row r="84" spans="20:20">
      <c r="T84" s="5753"/>
    </row>
    <row r="85" spans="20:20">
      <c r="T85" s="5753"/>
    </row>
    <row r="86" spans="20:20">
      <c r="T86" s="5754"/>
    </row>
  </sheetData>
  <mergeCells count="1">
    <mergeCell ref="W1:X1"/>
  </mergeCells>
  <pageMargins left="0.25" right="0.25" top="0.25" bottom="0.25" header="0.25" footer="0.25"/>
  <pageSetup paperSize="136" scale="80" pageOrder="overThenDown" orientation="landscape" verticalDpi="300" r:id="rId1"/>
  <headerFooter alignWithMargins="0"/>
</worksheet>
</file>

<file path=xl/worksheets/sheet197.xml><?xml version="1.0" encoding="utf-8"?>
<worksheet xmlns="http://schemas.openxmlformats.org/spreadsheetml/2006/main" xmlns:r="http://schemas.openxmlformats.org/officeDocument/2006/relationships">
  <sheetPr codeName="Sheet202">
    <tabColor rgb="FF0000FF"/>
  </sheetPr>
  <dimension ref="A1:T65"/>
  <sheetViews>
    <sheetView zoomScale="90" zoomScaleNormal="90" workbookViewId="0">
      <pane xSplit="1" ySplit="4" topLeftCell="B5" activePane="bottomRight" state="frozen"/>
      <selection activeCell="N64" sqref="N64"/>
      <selection pane="topRight" activeCell="N64" sqref="N64"/>
      <selection pane="bottomLeft" activeCell="N64" sqref="N64"/>
      <selection pane="bottomRight" activeCell="N64" sqref="N64"/>
    </sheetView>
  </sheetViews>
  <sheetFormatPr defaultColWidth="9.109375" defaultRowHeight="13.8"/>
  <cols>
    <col min="1" max="1" width="10.44140625" style="8694" customWidth="1"/>
    <col min="2" max="2" width="12" style="8694" customWidth="1"/>
    <col min="3" max="3" width="12.44140625" style="8694" customWidth="1"/>
    <col min="4" max="4" width="13.109375" style="8694" customWidth="1"/>
    <col min="5" max="5" width="11.88671875" style="8694" customWidth="1"/>
    <col min="6" max="6" width="13.44140625" style="8694" customWidth="1"/>
    <col min="7" max="7" width="10.88671875" style="8694" customWidth="1"/>
    <col min="8" max="8" width="12.44140625" style="8694" customWidth="1"/>
    <col min="9" max="9" width="9.44140625" style="8694" hidden="1" customWidth="1"/>
    <col min="10" max="10" width="15.44140625" style="8694" hidden="1" customWidth="1"/>
    <col min="11" max="11" width="14.44140625" style="8694" customWidth="1"/>
    <col min="12" max="12" width="13.109375" style="8694" hidden="1" customWidth="1"/>
    <col min="13" max="13" width="12.44140625" style="8694" hidden="1" customWidth="1"/>
    <col min="14" max="14" width="12" style="8694" customWidth="1"/>
    <col min="15" max="15" width="8.88671875" style="8694" customWidth="1"/>
    <col min="16" max="16" width="12.44140625" style="8694" customWidth="1"/>
    <col min="17" max="17" width="10.88671875" style="8694" customWidth="1"/>
    <col min="18" max="18" width="11" style="8694" customWidth="1"/>
    <col min="19" max="19" width="14.44140625" style="8695" customWidth="1"/>
    <col min="20" max="20" width="14.109375" style="8694" customWidth="1"/>
    <col min="21" max="16384" width="9.109375" style="8694"/>
  </cols>
  <sheetData>
    <row r="1" spans="1:20">
      <c r="A1" s="10221">
        <v>2017</v>
      </c>
      <c r="B1" s="8694" t="s">
        <v>11466</v>
      </c>
    </row>
    <row r="3" spans="1:20" s="10204" customFormat="1" ht="27.6">
      <c r="A3" s="10201" t="s">
        <v>9</v>
      </c>
      <c r="B3" s="10201" t="s">
        <v>2544</v>
      </c>
      <c r="C3" s="10202" t="s">
        <v>10505</v>
      </c>
      <c r="D3" s="10201" t="s">
        <v>3351</v>
      </c>
      <c r="E3" s="10202" t="s">
        <v>10922</v>
      </c>
      <c r="F3" s="10202" t="s">
        <v>10507</v>
      </c>
      <c r="G3" s="10202" t="s">
        <v>10508</v>
      </c>
      <c r="H3" s="10201" t="s">
        <v>3352</v>
      </c>
      <c r="I3" s="10201" t="s">
        <v>3353</v>
      </c>
      <c r="J3" s="10201" t="s">
        <v>3354</v>
      </c>
      <c r="K3" s="10201" t="s">
        <v>3356</v>
      </c>
      <c r="L3" s="10201" t="s">
        <v>3356</v>
      </c>
      <c r="M3" s="10201" t="s">
        <v>10921</v>
      </c>
      <c r="N3" s="10202" t="s">
        <v>11464</v>
      </c>
      <c r="O3" s="10202" t="s">
        <v>10513</v>
      </c>
      <c r="P3" s="10201" t="s">
        <v>10509</v>
      </c>
      <c r="Q3" s="10202" t="s">
        <v>10510</v>
      </c>
      <c r="R3" s="10201" t="s">
        <v>3358</v>
      </c>
      <c r="S3" s="10203" t="s">
        <v>220</v>
      </c>
    </row>
    <row r="4" spans="1:20">
      <c r="A4" s="8699"/>
      <c r="B4" s="8699"/>
      <c r="C4" s="8700"/>
      <c r="D4" s="8699"/>
      <c r="E4" s="8700"/>
      <c r="F4" s="8700"/>
      <c r="G4" s="8700"/>
      <c r="H4" s="8701"/>
      <c r="I4" s="8701"/>
      <c r="J4" s="8701"/>
      <c r="K4" s="8703"/>
      <c r="L4" s="8704"/>
      <c r="M4" s="8699"/>
      <c r="N4" s="8700"/>
      <c r="O4" s="8700"/>
      <c r="P4" s="8701"/>
      <c r="Q4" s="8702"/>
      <c r="R4" s="8699"/>
      <c r="S4" s="8705"/>
    </row>
    <row r="5" spans="1:20">
      <c r="A5" s="8696" t="s">
        <v>3359</v>
      </c>
      <c r="B5" s="8706">
        <v>68673.279999999999</v>
      </c>
      <c r="C5" s="8707"/>
      <c r="D5" s="8706">
        <v>127837.55</v>
      </c>
      <c r="E5" s="8707"/>
      <c r="F5" s="8707"/>
      <c r="G5" s="8707"/>
      <c r="H5" s="8706">
        <v>41465.379999999997</v>
      </c>
      <c r="I5" s="8708"/>
      <c r="J5" s="8708"/>
      <c r="K5" s="8710">
        <v>1161519.57</v>
      </c>
      <c r="L5" s="8711"/>
      <c r="M5" s="8712"/>
      <c r="N5" s="8713"/>
      <c r="O5" s="8713"/>
      <c r="P5" s="8708"/>
      <c r="Q5" s="8709"/>
      <c r="R5" s="8711">
        <v>6674.99</v>
      </c>
      <c r="S5" s="8714">
        <f>SUM(B5:R5)</f>
        <v>1406170.77</v>
      </c>
      <c r="T5" s="8696" t="s">
        <v>3359</v>
      </c>
    </row>
    <row r="6" spans="1:20">
      <c r="A6" s="8715" t="s">
        <v>3360</v>
      </c>
      <c r="B6" s="8710">
        <v>6417.4</v>
      </c>
      <c r="C6" s="8716"/>
      <c r="D6" s="8710">
        <v>98225.95</v>
      </c>
      <c r="E6" s="8716"/>
      <c r="F6" s="8716"/>
      <c r="G6" s="8716"/>
      <c r="H6" s="8710">
        <v>57853.760000000002</v>
      </c>
      <c r="I6" s="8717"/>
      <c r="J6" s="8717"/>
      <c r="K6" s="8710">
        <v>1015791.23</v>
      </c>
      <c r="L6" s="8710"/>
      <c r="M6" s="8718"/>
      <c r="N6" s="8709"/>
      <c r="O6" s="8709"/>
      <c r="P6" s="8717"/>
      <c r="Q6" s="8709"/>
      <c r="R6" s="8710"/>
      <c r="S6" s="8719">
        <f t="shared" ref="S6:S21" si="0">SUM(B6:R6)</f>
        <v>1178288.3399999999</v>
      </c>
      <c r="T6" s="8715" t="s">
        <v>3360</v>
      </c>
    </row>
    <row r="7" spans="1:20">
      <c r="A7" s="8715" t="s">
        <v>3361</v>
      </c>
      <c r="B7" s="8710">
        <v>8407.4</v>
      </c>
      <c r="C7" s="8716"/>
      <c r="D7" s="8710">
        <v>61491.65</v>
      </c>
      <c r="E7" s="8716"/>
      <c r="F7" s="8716"/>
      <c r="G7" s="8716"/>
      <c r="H7" s="8710">
        <v>59033.51</v>
      </c>
      <c r="I7" s="8717"/>
      <c r="J7" s="8717"/>
      <c r="K7" s="8710">
        <v>509087.99</v>
      </c>
      <c r="L7" s="8710"/>
      <c r="M7" s="8718"/>
      <c r="N7" s="8709"/>
      <c r="O7" s="8709"/>
      <c r="P7" s="8717"/>
      <c r="Q7" s="8709"/>
      <c r="R7" s="8710">
        <v>4174</v>
      </c>
      <c r="S7" s="8719">
        <f t="shared" si="0"/>
        <v>642194.55000000005</v>
      </c>
      <c r="T7" s="8715" t="s">
        <v>3361</v>
      </c>
    </row>
    <row r="8" spans="1:20">
      <c r="A8" s="8715" t="s">
        <v>3362</v>
      </c>
      <c r="B8" s="8710"/>
      <c r="C8" s="8716"/>
      <c r="D8" s="8710">
        <v>151460</v>
      </c>
      <c r="E8" s="8716"/>
      <c r="F8" s="8716"/>
      <c r="G8" s="8716"/>
      <c r="H8" s="8710">
        <v>74951.990000000005</v>
      </c>
      <c r="I8" s="8717"/>
      <c r="J8" s="8717"/>
      <c r="K8" s="8710">
        <v>749899.7</v>
      </c>
      <c r="L8" s="8710"/>
      <c r="M8" s="8718"/>
      <c r="N8" s="8709"/>
      <c r="O8" s="8709"/>
      <c r="P8" s="8717"/>
      <c r="Q8" s="8709"/>
      <c r="R8" s="8710"/>
      <c r="S8" s="8719">
        <f t="shared" si="0"/>
        <v>976311.69</v>
      </c>
      <c r="T8" s="8715" t="s">
        <v>3362</v>
      </c>
    </row>
    <row r="9" spans="1:20">
      <c r="A9" s="8715" t="s">
        <v>3363</v>
      </c>
      <c r="B9" s="8710">
        <v>4863</v>
      </c>
      <c r="C9" s="8716"/>
      <c r="D9" s="8710">
        <v>147312.54999999999</v>
      </c>
      <c r="E9" s="8716"/>
      <c r="F9" s="8716"/>
      <c r="G9" s="8716"/>
      <c r="H9" s="8710">
        <v>73412.95</v>
      </c>
      <c r="I9" s="8717"/>
      <c r="J9" s="8717"/>
      <c r="K9" s="8710">
        <v>1200552.82</v>
      </c>
      <c r="L9" s="8710"/>
      <c r="M9" s="8718"/>
      <c r="N9" s="8709"/>
      <c r="O9" s="8709"/>
      <c r="P9" s="8717"/>
      <c r="Q9" s="8709"/>
      <c r="R9" s="8710">
        <v>6017</v>
      </c>
      <c r="S9" s="8719">
        <f t="shared" si="0"/>
        <v>1432158.32</v>
      </c>
      <c r="T9" s="8715" t="s">
        <v>3363</v>
      </c>
    </row>
    <row r="10" spans="1:20">
      <c r="A10" s="8715" t="s">
        <v>3364</v>
      </c>
      <c r="B10" s="8710"/>
      <c r="C10" s="8716"/>
      <c r="D10" s="8710">
        <v>163888.5</v>
      </c>
      <c r="E10" s="8716"/>
      <c r="F10" s="8716"/>
      <c r="G10" s="8716"/>
      <c r="H10" s="8710">
        <v>78509.05</v>
      </c>
      <c r="I10" s="8717"/>
      <c r="J10" s="8717"/>
      <c r="K10" s="8710">
        <v>455324.34</v>
      </c>
      <c r="L10" s="8710"/>
      <c r="M10" s="8718"/>
      <c r="N10" s="8709"/>
      <c r="O10" s="8709"/>
      <c r="P10" s="8717"/>
      <c r="Q10" s="8709"/>
      <c r="R10" s="8710"/>
      <c r="S10" s="8719">
        <f t="shared" si="0"/>
        <v>697721.89</v>
      </c>
      <c r="T10" s="8715" t="s">
        <v>3364</v>
      </c>
    </row>
    <row r="11" spans="1:20">
      <c r="A11" s="8715" t="s">
        <v>3365</v>
      </c>
      <c r="B11" s="8710"/>
      <c r="C11" s="8716"/>
      <c r="D11" s="8710">
        <v>83675</v>
      </c>
      <c r="E11" s="8716"/>
      <c r="F11" s="8716"/>
      <c r="G11" s="8716"/>
      <c r="H11" s="8710">
        <v>59589.93</v>
      </c>
      <c r="I11" s="8717"/>
      <c r="J11" s="8717"/>
      <c r="K11" s="8710">
        <v>1116730.1499999999</v>
      </c>
      <c r="L11" s="8710"/>
      <c r="M11" s="8718"/>
      <c r="N11" s="8709"/>
      <c r="O11" s="8709"/>
      <c r="P11" s="8717"/>
      <c r="Q11" s="8709"/>
      <c r="R11" s="8710"/>
      <c r="S11" s="8719">
        <f t="shared" si="0"/>
        <v>1259995.0799999998</v>
      </c>
      <c r="T11" s="8715" t="s">
        <v>3365</v>
      </c>
    </row>
    <row r="12" spans="1:20">
      <c r="A12" s="8715" t="s">
        <v>3366</v>
      </c>
      <c r="B12" s="8710">
        <v>58368</v>
      </c>
      <c r="C12" s="8716"/>
      <c r="D12" s="8710">
        <v>161955.1</v>
      </c>
      <c r="E12" s="8716"/>
      <c r="F12" s="8716"/>
      <c r="G12" s="8716"/>
      <c r="H12" s="8710">
        <v>40087.07</v>
      </c>
      <c r="I12" s="8717"/>
      <c r="J12" s="8717"/>
      <c r="K12" s="8710">
        <v>1093805.54</v>
      </c>
      <c r="L12" s="8710"/>
      <c r="M12" s="8718"/>
      <c r="N12" s="8709"/>
      <c r="O12" s="8709"/>
      <c r="P12" s="8717"/>
      <c r="Q12" s="8709"/>
      <c r="R12" s="8710">
        <v>26200</v>
      </c>
      <c r="S12" s="8719">
        <f t="shared" si="0"/>
        <v>1380415.71</v>
      </c>
      <c r="T12" s="8715" t="s">
        <v>3366</v>
      </c>
    </row>
    <row r="13" spans="1:20">
      <c r="A13" s="8715" t="s">
        <v>3367</v>
      </c>
      <c r="B13" s="8710">
        <v>9529.8799999999992</v>
      </c>
      <c r="C13" s="8716"/>
      <c r="D13" s="8710">
        <v>184530.95</v>
      </c>
      <c r="E13" s="8716"/>
      <c r="F13" s="8716"/>
      <c r="G13" s="8716"/>
      <c r="H13" s="8710">
        <v>86524.41</v>
      </c>
      <c r="I13" s="8717"/>
      <c r="J13" s="8717"/>
      <c r="K13" s="8710">
        <v>1110491.8400000001</v>
      </c>
      <c r="L13" s="8710"/>
      <c r="M13" s="8718"/>
      <c r="N13" s="8709"/>
      <c r="O13" s="8709"/>
      <c r="P13" s="8717"/>
      <c r="Q13" s="8709"/>
      <c r="R13" s="8710">
        <v>5280</v>
      </c>
      <c r="S13" s="8719">
        <f t="shared" si="0"/>
        <v>1396357.08</v>
      </c>
      <c r="T13" s="8715" t="s">
        <v>3367</v>
      </c>
    </row>
    <row r="14" spans="1:20">
      <c r="A14" s="8715" t="s">
        <v>3368</v>
      </c>
      <c r="B14" s="8710"/>
      <c r="C14" s="8716"/>
      <c r="D14" s="8710"/>
      <c r="E14" s="8716"/>
      <c r="F14" s="8716"/>
      <c r="G14" s="8716"/>
      <c r="H14" s="8710">
        <v>29864.25</v>
      </c>
      <c r="I14" s="8717"/>
      <c r="J14" s="8717"/>
      <c r="K14" s="8710">
        <v>1253009.19</v>
      </c>
      <c r="L14" s="8710"/>
      <c r="M14" s="8718"/>
      <c r="N14" s="8709"/>
      <c r="O14" s="8709"/>
      <c r="P14" s="8717"/>
      <c r="Q14" s="8709"/>
      <c r="R14" s="8710"/>
      <c r="S14" s="8719">
        <f t="shared" si="0"/>
        <v>1282873.44</v>
      </c>
      <c r="T14" s="8715" t="s">
        <v>3368</v>
      </c>
    </row>
    <row r="15" spans="1:20">
      <c r="A15" s="8715" t="s">
        <v>3369</v>
      </c>
      <c r="B15" s="8710">
        <v>68678.94</v>
      </c>
      <c r="C15" s="8716"/>
      <c r="D15" s="8710">
        <v>143764.4</v>
      </c>
      <c r="E15" s="8716"/>
      <c r="F15" s="8716"/>
      <c r="G15" s="8716"/>
      <c r="H15" s="8710">
        <v>27139.47</v>
      </c>
      <c r="I15" s="8717"/>
      <c r="J15" s="8717"/>
      <c r="K15" s="8710">
        <v>1154484.47</v>
      </c>
      <c r="L15" s="8710"/>
      <c r="M15" s="8718"/>
      <c r="N15" s="8709"/>
      <c r="O15" s="8709"/>
      <c r="P15" s="8717"/>
      <c r="Q15" s="8709"/>
      <c r="R15" s="8710">
        <v>30000</v>
      </c>
      <c r="S15" s="8719">
        <f t="shared" si="0"/>
        <v>1424067.28</v>
      </c>
      <c r="T15" s="8715" t="s">
        <v>3369</v>
      </c>
    </row>
    <row r="16" spans="1:20">
      <c r="A16" s="8715" t="s">
        <v>3370</v>
      </c>
      <c r="B16" s="8710"/>
      <c r="C16" s="8716">
        <v>151880.76</v>
      </c>
      <c r="D16" s="8710">
        <v>167410</v>
      </c>
      <c r="E16" s="8716"/>
      <c r="F16" s="8716"/>
      <c r="G16" s="8716"/>
      <c r="H16" s="8710">
        <v>88778.13</v>
      </c>
      <c r="I16" s="8717"/>
      <c r="J16" s="8717"/>
      <c r="K16" s="8710">
        <v>708767.48</v>
      </c>
      <c r="L16" s="8710"/>
      <c r="M16" s="8718"/>
      <c r="N16" s="8709"/>
      <c r="O16" s="8709"/>
      <c r="P16" s="8717"/>
      <c r="Q16" s="8709"/>
      <c r="R16" s="8710">
        <v>87142</v>
      </c>
      <c r="S16" s="8719">
        <f t="shared" si="0"/>
        <v>1203978.3700000001</v>
      </c>
      <c r="T16" s="8715" t="s">
        <v>3370</v>
      </c>
    </row>
    <row r="17" spans="1:20">
      <c r="A17" s="8715" t="s">
        <v>3371</v>
      </c>
      <c r="B17" s="8710"/>
      <c r="C17" s="8716"/>
      <c r="D17" s="8710"/>
      <c r="E17" s="8716"/>
      <c r="F17" s="8716"/>
      <c r="G17" s="8716"/>
      <c r="H17" s="8710"/>
      <c r="I17" s="8717"/>
      <c r="J17" s="8717"/>
      <c r="K17" s="8710"/>
      <c r="L17" s="8710"/>
      <c r="M17" s="8718"/>
      <c r="N17" s="8709"/>
      <c r="O17" s="8709"/>
      <c r="P17" s="8717"/>
      <c r="Q17" s="8709"/>
      <c r="R17" s="8710"/>
      <c r="S17" s="8719">
        <f t="shared" si="0"/>
        <v>0</v>
      </c>
      <c r="T17" s="8715" t="s">
        <v>3371</v>
      </c>
    </row>
    <row r="18" spans="1:20">
      <c r="A18" s="8720" t="s">
        <v>2087</v>
      </c>
      <c r="B18" s="8721">
        <f>SUM(B5:B17)</f>
        <v>224937.9</v>
      </c>
      <c r="C18" s="8721">
        <f>SUM(C5:C17)</f>
        <v>151880.76</v>
      </c>
      <c r="D18" s="8721">
        <f t="shared" ref="D18:O18" si="1">SUM(D5:D17)</f>
        <v>1491551.65</v>
      </c>
      <c r="E18" s="8721">
        <f t="shared" si="1"/>
        <v>0</v>
      </c>
      <c r="F18" s="8721">
        <f t="shared" si="1"/>
        <v>0</v>
      </c>
      <c r="G18" s="8721">
        <f t="shared" si="1"/>
        <v>0</v>
      </c>
      <c r="H18" s="8721">
        <f t="shared" si="1"/>
        <v>717209.9</v>
      </c>
      <c r="I18" s="8721">
        <f t="shared" si="1"/>
        <v>0</v>
      </c>
      <c r="J18" s="8721">
        <f t="shared" si="1"/>
        <v>0</v>
      </c>
      <c r="K18" s="8721">
        <f t="shared" si="1"/>
        <v>11529464.320000002</v>
      </c>
      <c r="L18" s="8721">
        <f t="shared" si="1"/>
        <v>0</v>
      </c>
      <c r="M18" s="8721">
        <f t="shared" si="1"/>
        <v>0</v>
      </c>
      <c r="N18" s="8721">
        <f t="shared" si="1"/>
        <v>0</v>
      </c>
      <c r="O18" s="8721">
        <f t="shared" si="1"/>
        <v>0</v>
      </c>
      <c r="P18" s="8721">
        <f>SUM(P5:P17)</f>
        <v>0</v>
      </c>
      <c r="Q18" s="8721">
        <f>SUM(Q5:Q17)</f>
        <v>0</v>
      </c>
      <c r="R18" s="8721">
        <f>SUM(R5:R17)</f>
        <v>165487.99</v>
      </c>
      <c r="S18" s="8721">
        <f>SUM(S5:S17)</f>
        <v>14280532.52</v>
      </c>
      <c r="T18" s="8720" t="s">
        <v>2087</v>
      </c>
    </row>
    <row r="19" spans="1:20">
      <c r="A19" s="8720" t="s">
        <v>3312</v>
      </c>
      <c r="B19" s="8716">
        <v>20112</v>
      </c>
      <c r="C19" s="8716">
        <v>51400</v>
      </c>
      <c r="D19" s="8716">
        <v>71331.34</v>
      </c>
      <c r="E19" s="8716">
        <v>37500</v>
      </c>
      <c r="F19" s="8716">
        <v>304286.59000000003</v>
      </c>
      <c r="G19" s="8716">
        <v>1400</v>
      </c>
      <c r="H19" s="8716">
        <v>36257.64</v>
      </c>
      <c r="I19" s="8709"/>
      <c r="J19" s="8709"/>
      <c r="K19" s="8716">
        <v>482175.58</v>
      </c>
      <c r="L19" s="8716"/>
      <c r="M19" s="8709"/>
      <c r="N19" s="8709">
        <v>45347</v>
      </c>
      <c r="O19" s="8709"/>
      <c r="P19" s="8709">
        <v>16878.2</v>
      </c>
      <c r="Q19" s="8709">
        <v>131088</v>
      </c>
      <c r="R19" s="8716">
        <v>20760.5</v>
      </c>
      <c r="S19" s="8719">
        <f t="shared" si="0"/>
        <v>1218536.8500000001</v>
      </c>
      <c r="T19" s="8720" t="s">
        <v>3312</v>
      </c>
    </row>
    <row r="20" spans="1:20" s="8723" customFormat="1">
      <c r="A20" s="8722" t="s">
        <v>3372</v>
      </c>
      <c r="B20" s="8710">
        <v>7485</v>
      </c>
      <c r="C20" s="8716"/>
      <c r="D20" s="8710">
        <v>258098.45</v>
      </c>
      <c r="E20" s="8716"/>
      <c r="F20" s="8716"/>
      <c r="G20" s="8716"/>
      <c r="H20" s="8710">
        <v>89438.28</v>
      </c>
      <c r="I20" s="8717"/>
      <c r="J20" s="8717"/>
      <c r="K20" s="8710">
        <v>72248.39</v>
      </c>
      <c r="L20" s="8710"/>
      <c r="M20" s="8710"/>
      <c r="N20" s="8716"/>
      <c r="O20" s="8716"/>
      <c r="P20" s="8717"/>
      <c r="Q20" s="8709"/>
      <c r="R20" s="8710"/>
      <c r="S20" s="8719">
        <f t="shared" si="0"/>
        <v>427270.12</v>
      </c>
      <c r="T20" s="8722" t="s">
        <v>3372</v>
      </c>
    </row>
    <row r="21" spans="1:20" ht="14.4">
      <c r="A21" s="8715" t="s">
        <v>3373</v>
      </c>
      <c r="B21" s="8718">
        <v>744672.64</v>
      </c>
      <c r="C21" s="8709">
        <v>592900</v>
      </c>
      <c r="D21" s="8718">
        <v>719751</v>
      </c>
      <c r="E21" s="8709"/>
      <c r="F21" s="8709">
        <v>1263560.6299999999</v>
      </c>
      <c r="G21" s="8709">
        <v>9605</v>
      </c>
      <c r="H21" s="8718">
        <v>168510.45</v>
      </c>
      <c r="I21" s="8717"/>
      <c r="J21" s="8717"/>
      <c r="K21" s="8718">
        <v>9473600.4199999999</v>
      </c>
      <c r="L21" s="8718"/>
      <c r="M21" s="8718"/>
      <c r="N21" s="5694">
        <v>147796.5</v>
      </c>
      <c r="O21" s="8709">
        <v>1612.5</v>
      </c>
      <c r="P21" s="8717">
        <v>1442478.7</v>
      </c>
      <c r="Q21" s="8709"/>
      <c r="R21" s="8718">
        <v>680181.5</v>
      </c>
      <c r="S21" s="8719">
        <f t="shared" si="0"/>
        <v>15244669.34</v>
      </c>
      <c r="T21" s="8715" t="s">
        <v>3373</v>
      </c>
    </row>
    <row r="22" spans="1:20">
      <c r="A22" s="8715"/>
      <c r="B22" s="8724"/>
      <c r="C22" s="8716"/>
      <c r="D22" s="8724"/>
      <c r="E22" s="8716"/>
      <c r="F22" s="8716"/>
      <c r="G22" s="8716"/>
      <c r="H22" s="8724"/>
      <c r="I22" s="8724"/>
      <c r="J22" s="8724"/>
      <c r="K22" s="8710"/>
      <c r="L22" s="8725"/>
      <c r="M22" s="8725"/>
      <c r="N22" s="8725"/>
      <c r="O22" s="8725"/>
      <c r="P22" s="8724"/>
      <c r="Q22" s="8716"/>
      <c r="R22" s="8725"/>
      <c r="S22" s="8719"/>
      <c r="T22" s="8726"/>
    </row>
    <row r="23" spans="1:20" s="8695" customFormat="1">
      <c r="A23" s="8727" t="s">
        <v>220</v>
      </c>
      <c r="B23" s="8728">
        <f>SUM(B18:B22)</f>
        <v>997207.54</v>
      </c>
      <c r="C23" s="8728">
        <f t="shared" ref="C23:O23" si="2">SUM(C18:C22)</f>
        <v>796180.76</v>
      </c>
      <c r="D23" s="8728">
        <f t="shared" si="2"/>
        <v>2540732.44</v>
      </c>
      <c r="E23" s="8728">
        <f t="shared" si="2"/>
        <v>37500</v>
      </c>
      <c r="F23" s="8728">
        <f t="shared" si="2"/>
        <v>1567847.22</v>
      </c>
      <c r="G23" s="8728">
        <f t="shared" si="2"/>
        <v>11005</v>
      </c>
      <c r="H23" s="8728">
        <f t="shared" si="2"/>
        <v>1011416.27</v>
      </c>
      <c r="I23" s="8728">
        <f t="shared" si="2"/>
        <v>0</v>
      </c>
      <c r="J23" s="8728">
        <f t="shared" si="2"/>
        <v>0</v>
      </c>
      <c r="K23" s="8728">
        <f t="shared" si="2"/>
        <v>21557488.710000001</v>
      </c>
      <c r="L23" s="8728">
        <f t="shared" si="2"/>
        <v>0</v>
      </c>
      <c r="M23" s="8728">
        <f t="shared" si="2"/>
        <v>0</v>
      </c>
      <c r="N23" s="8728">
        <f t="shared" si="2"/>
        <v>193143.5</v>
      </c>
      <c r="O23" s="8728">
        <f t="shared" si="2"/>
        <v>1612.5</v>
      </c>
      <c r="P23" s="8728">
        <f>SUM(P18:P22)</f>
        <v>1459356.9</v>
      </c>
      <c r="Q23" s="8728">
        <f>SUM(Q18:Q22)</f>
        <v>131088</v>
      </c>
      <c r="R23" s="8728">
        <f>SUM(R18:R22)</f>
        <v>866429.99</v>
      </c>
      <c r="S23" s="8728">
        <f>SUM(S18:S22)</f>
        <v>31171008.829999998</v>
      </c>
      <c r="T23" s="8729">
        <f>SUM(B23:R23)</f>
        <v>31171008.829999998</v>
      </c>
    </row>
    <row r="25" spans="1:20">
      <c r="S25" s="8729">
        <f>'WS-MOOE 2017'!CG12</f>
        <v>35212580.170000002</v>
      </c>
      <c r="T25" s="8723"/>
    </row>
    <row r="26" spans="1:20">
      <c r="S26" s="8730">
        <f>SUM(S18:S20)</f>
        <v>15926339.489999998</v>
      </c>
      <c r="T26" s="8731"/>
    </row>
    <row r="27" spans="1:20">
      <c r="S27" s="8729">
        <f>S25-S26</f>
        <v>19286240.680000003</v>
      </c>
      <c r="T27" s="8730"/>
    </row>
    <row r="28" spans="1:20">
      <c r="S28" s="8729"/>
      <c r="T28" s="8730"/>
    </row>
    <row r="29" spans="1:20">
      <c r="S29" s="8729"/>
      <c r="T29" s="8730"/>
    </row>
    <row r="30" spans="1:20">
      <c r="S30" s="8729"/>
      <c r="T30" s="8730">
        <f>S27-T27</f>
        <v>19286240.680000003</v>
      </c>
    </row>
    <row r="31" spans="1:20">
      <c r="S31" s="8729"/>
      <c r="T31" s="8730"/>
    </row>
    <row r="32" spans="1:20">
      <c r="S32" s="8729"/>
      <c r="T32" s="8730"/>
    </row>
    <row r="33" spans="1:20">
      <c r="S33" s="8729"/>
      <c r="T33" s="8730"/>
    </row>
    <row r="34" spans="1:20">
      <c r="S34" s="8729"/>
      <c r="T34" s="8730"/>
    </row>
    <row r="35" spans="1:20">
      <c r="S35" s="8729"/>
      <c r="T35" s="8730"/>
    </row>
    <row r="36" spans="1:20">
      <c r="S36" s="8729"/>
      <c r="T36" s="8730"/>
    </row>
    <row r="37" spans="1:20">
      <c r="S37" s="8729"/>
      <c r="T37" s="8730"/>
    </row>
    <row r="38" spans="1:20">
      <c r="S38" s="8729"/>
      <c r="T38" s="8730"/>
    </row>
    <row r="39" spans="1:20">
      <c r="S39" s="8729"/>
      <c r="T39" s="8730"/>
    </row>
    <row r="40" spans="1:20">
      <c r="S40" s="8729"/>
      <c r="T40" s="8730"/>
    </row>
    <row r="41" spans="1:20">
      <c r="S41" s="8729"/>
      <c r="T41" s="8730"/>
    </row>
    <row r="42" spans="1:20">
      <c r="S42" s="8729"/>
      <c r="T42" s="8730"/>
    </row>
    <row r="43" spans="1:20">
      <c r="S43" s="8729"/>
      <c r="T43" s="8730"/>
    </row>
    <row r="44" spans="1:20">
      <c r="A44" s="8694">
        <v>2016</v>
      </c>
      <c r="S44" s="8732"/>
      <c r="T44" s="8730"/>
    </row>
    <row r="45" spans="1:20">
      <c r="A45" s="8696" t="s">
        <v>9</v>
      </c>
      <c r="B45" s="8696" t="s">
        <v>2544</v>
      </c>
      <c r="C45" s="8697"/>
      <c r="D45" s="8696" t="s">
        <v>3351</v>
      </c>
      <c r="E45" s="8697"/>
      <c r="F45" s="8697"/>
      <c r="G45" s="8697"/>
      <c r="H45" s="8696" t="s">
        <v>3352</v>
      </c>
      <c r="I45" s="8696" t="s">
        <v>3353</v>
      </c>
      <c r="J45" s="8696" t="s">
        <v>3354</v>
      </c>
      <c r="K45" s="8696" t="s">
        <v>3356</v>
      </c>
      <c r="L45" s="8696" t="s">
        <v>3356</v>
      </c>
      <c r="M45" s="8696" t="s">
        <v>3357</v>
      </c>
      <c r="N45" s="8697"/>
      <c r="O45" s="8697"/>
      <c r="P45" s="8696" t="s">
        <v>3355</v>
      </c>
      <c r="Q45" s="8697"/>
      <c r="R45" s="8696" t="s">
        <v>3358</v>
      </c>
      <c r="S45" s="8698" t="s">
        <v>220</v>
      </c>
    </row>
    <row r="46" spans="1:20">
      <c r="A46" s="8699"/>
      <c r="B46" s="8699">
        <v>751</v>
      </c>
      <c r="C46" s="8700"/>
      <c r="D46" s="8699">
        <v>755</v>
      </c>
      <c r="E46" s="8700"/>
      <c r="F46" s="8700"/>
      <c r="G46" s="8700"/>
      <c r="H46" s="8701">
        <v>772</v>
      </c>
      <c r="I46" s="8701">
        <v>773</v>
      </c>
      <c r="J46" s="8701">
        <v>774</v>
      </c>
      <c r="K46" s="8703">
        <v>795</v>
      </c>
      <c r="L46" s="8704" t="s">
        <v>119</v>
      </c>
      <c r="M46" s="8699"/>
      <c r="N46" s="8700"/>
      <c r="O46" s="8700"/>
      <c r="P46" s="8701">
        <v>775</v>
      </c>
      <c r="Q46" s="8702"/>
      <c r="R46" s="8699">
        <v>969</v>
      </c>
      <c r="S46" s="8705"/>
    </row>
    <row r="47" spans="1:20">
      <c r="A47" s="8696" t="s">
        <v>3359</v>
      </c>
      <c r="B47" s="8723">
        <v>45170</v>
      </c>
      <c r="C47" s="8723"/>
      <c r="D47" s="8723">
        <v>229623.05</v>
      </c>
      <c r="E47" s="8723"/>
      <c r="F47" s="8723"/>
      <c r="G47" s="8723"/>
      <c r="H47" s="8723">
        <v>39570.75</v>
      </c>
      <c r="I47" s="8723"/>
      <c r="J47" s="8723"/>
      <c r="K47" s="8723"/>
      <c r="L47" s="8723">
        <v>769676.38</v>
      </c>
      <c r="M47" s="8723"/>
      <c r="N47" s="8723"/>
      <c r="O47" s="8723"/>
      <c r="P47" s="8723"/>
      <c r="Q47" s="8723"/>
      <c r="R47" s="8723">
        <v>24166.75</v>
      </c>
      <c r="S47" s="8732">
        <f>SUM(B47:R47)</f>
        <v>1108206.93</v>
      </c>
    </row>
    <row r="48" spans="1:20">
      <c r="A48" s="8715" t="s">
        <v>3360</v>
      </c>
      <c r="B48" s="8723">
        <v>17551.16</v>
      </c>
      <c r="C48" s="8723"/>
      <c r="D48" s="8723">
        <v>95407.65</v>
      </c>
      <c r="E48" s="8723"/>
      <c r="F48" s="8723"/>
      <c r="G48" s="8723"/>
      <c r="H48" s="8723">
        <v>56016.04</v>
      </c>
      <c r="I48" s="8723"/>
      <c r="J48" s="8723"/>
      <c r="K48" s="8723"/>
      <c r="L48" s="8723">
        <v>742860.07</v>
      </c>
      <c r="M48" s="8723"/>
      <c r="N48" s="8723"/>
      <c r="O48" s="8723"/>
      <c r="P48" s="8723"/>
      <c r="Q48" s="8723"/>
      <c r="R48" s="8723">
        <v>30500</v>
      </c>
      <c r="S48" s="8732">
        <f t="shared" ref="S48:S64" si="3">SUM(B48:R48)</f>
        <v>942334.91999999993</v>
      </c>
    </row>
    <row r="49" spans="1:19">
      <c r="A49" s="8715" t="s">
        <v>3361</v>
      </c>
      <c r="B49" s="8723">
        <v>11400</v>
      </c>
      <c r="C49" s="8723"/>
      <c r="D49" s="8723">
        <v>167649.20000000001</v>
      </c>
      <c r="E49" s="8723"/>
      <c r="F49" s="8723"/>
      <c r="G49" s="8723"/>
      <c r="H49" s="8723">
        <v>51618.12</v>
      </c>
      <c r="I49" s="8723"/>
      <c r="J49" s="8723"/>
      <c r="K49" s="8723"/>
      <c r="L49" s="8723">
        <v>457050.16</v>
      </c>
      <c r="M49" s="8723"/>
      <c r="N49" s="8723"/>
      <c r="O49" s="8723"/>
      <c r="P49" s="8723"/>
      <c r="Q49" s="8723"/>
      <c r="R49" s="8723">
        <v>30460</v>
      </c>
      <c r="S49" s="8732">
        <f t="shared" si="3"/>
        <v>718177.48</v>
      </c>
    </row>
    <row r="50" spans="1:19">
      <c r="A50" s="8715" t="s">
        <v>3362</v>
      </c>
      <c r="B50" s="8723">
        <v>0</v>
      </c>
      <c r="C50" s="8723"/>
      <c r="D50" s="8723">
        <v>246393</v>
      </c>
      <c r="E50" s="8723"/>
      <c r="F50" s="8723"/>
      <c r="G50" s="8723"/>
      <c r="H50" s="8723">
        <v>49135.54</v>
      </c>
      <c r="I50" s="8723"/>
      <c r="J50" s="8723"/>
      <c r="K50" s="8723"/>
      <c r="L50" s="8723">
        <v>681324.94</v>
      </c>
      <c r="M50" s="8723"/>
      <c r="N50" s="8723"/>
      <c r="O50" s="8723"/>
      <c r="P50" s="8723"/>
      <c r="Q50" s="8723"/>
      <c r="R50" s="8723">
        <v>0</v>
      </c>
      <c r="S50" s="8732">
        <f t="shared" si="3"/>
        <v>976853.48</v>
      </c>
    </row>
    <row r="51" spans="1:19">
      <c r="A51" s="8715" t="s">
        <v>3363</v>
      </c>
      <c r="B51" s="8723">
        <v>15088</v>
      </c>
      <c r="C51" s="8723"/>
      <c r="D51" s="8723">
        <v>119369.4</v>
      </c>
      <c r="E51" s="8723"/>
      <c r="F51" s="8723"/>
      <c r="G51" s="8723"/>
      <c r="H51" s="8723">
        <v>41035.43</v>
      </c>
      <c r="I51" s="8723"/>
      <c r="J51" s="8723"/>
      <c r="K51" s="8723"/>
      <c r="L51" s="8723">
        <v>966937.29</v>
      </c>
      <c r="M51" s="8723"/>
      <c r="N51" s="8723"/>
      <c r="O51" s="8723"/>
      <c r="P51" s="8723"/>
      <c r="Q51" s="8723"/>
      <c r="R51" s="8723">
        <v>15000</v>
      </c>
      <c r="S51" s="8732">
        <f t="shared" si="3"/>
        <v>1157430.1200000001</v>
      </c>
    </row>
    <row r="52" spans="1:19">
      <c r="A52" s="8715" t="s">
        <v>3364</v>
      </c>
      <c r="B52" s="8723">
        <v>9477</v>
      </c>
      <c r="C52" s="8723"/>
      <c r="D52" s="8723">
        <v>298051</v>
      </c>
      <c r="E52" s="8723"/>
      <c r="F52" s="8723"/>
      <c r="G52" s="8723"/>
      <c r="H52" s="8723">
        <v>45339.1</v>
      </c>
      <c r="I52" s="8723"/>
      <c r="J52" s="8723"/>
      <c r="K52" s="8723"/>
      <c r="L52" s="8723">
        <v>702000.5</v>
      </c>
      <c r="M52" s="8723"/>
      <c r="N52" s="8723"/>
      <c r="O52" s="8723"/>
      <c r="P52" s="8723"/>
      <c r="Q52" s="8723"/>
      <c r="R52" s="8723">
        <v>2640</v>
      </c>
      <c r="S52" s="8732">
        <f t="shared" si="3"/>
        <v>1057507.6000000001</v>
      </c>
    </row>
    <row r="53" spans="1:19">
      <c r="A53" s="8715" t="s">
        <v>3365</v>
      </c>
      <c r="B53" s="8723">
        <v>0</v>
      </c>
      <c r="C53" s="8723"/>
      <c r="D53" s="8723">
        <v>266370.25</v>
      </c>
      <c r="E53" s="8723"/>
      <c r="F53" s="8723"/>
      <c r="G53" s="8723"/>
      <c r="H53" s="8723">
        <v>25055.18</v>
      </c>
      <c r="I53" s="8723"/>
      <c r="J53" s="8723"/>
      <c r="K53" s="8723"/>
      <c r="L53" s="8723">
        <v>619099.55000000005</v>
      </c>
      <c r="M53" s="8723"/>
      <c r="N53" s="8723"/>
      <c r="O53" s="8723"/>
      <c r="P53" s="8723"/>
      <c r="Q53" s="8723"/>
      <c r="R53" s="8723">
        <v>0</v>
      </c>
      <c r="S53" s="8732">
        <f t="shared" si="3"/>
        <v>910524.98</v>
      </c>
    </row>
    <row r="54" spans="1:19">
      <c r="A54" s="8715" t="s">
        <v>3366</v>
      </c>
      <c r="B54" s="8723">
        <v>10114</v>
      </c>
      <c r="C54" s="8723"/>
      <c r="D54" s="8723">
        <v>232888.2</v>
      </c>
      <c r="E54" s="8723"/>
      <c r="F54" s="8723"/>
      <c r="G54" s="8723"/>
      <c r="H54" s="8723">
        <v>27789.65</v>
      </c>
      <c r="I54" s="8723"/>
      <c r="J54" s="8723"/>
      <c r="K54" s="8723"/>
      <c r="L54" s="8723">
        <v>910939.79</v>
      </c>
      <c r="M54" s="8723"/>
      <c r="N54" s="8723"/>
      <c r="O54" s="8723"/>
      <c r="P54" s="8723"/>
      <c r="Q54" s="8723"/>
      <c r="R54" s="8723">
        <v>12900</v>
      </c>
      <c r="S54" s="8732">
        <f t="shared" si="3"/>
        <v>1194631.6400000001</v>
      </c>
    </row>
    <row r="55" spans="1:19">
      <c r="A55" s="8715" t="s">
        <v>3367</v>
      </c>
      <c r="B55" s="8723">
        <v>7000</v>
      </c>
      <c r="C55" s="8723"/>
      <c r="D55" s="8723">
        <v>289786.75</v>
      </c>
      <c r="E55" s="8723"/>
      <c r="F55" s="8723"/>
      <c r="G55" s="8723"/>
      <c r="H55" s="8723">
        <v>19095.07</v>
      </c>
      <c r="I55" s="8723"/>
      <c r="J55" s="8723"/>
      <c r="K55" s="8723"/>
      <c r="L55" s="8723">
        <v>715084.49</v>
      </c>
      <c r="M55" s="8723"/>
      <c r="N55" s="8723"/>
      <c r="O55" s="8723"/>
      <c r="P55" s="8723"/>
      <c r="Q55" s="8723"/>
      <c r="R55" s="8723">
        <v>15000</v>
      </c>
      <c r="S55" s="8732">
        <f t="shared" si="3"/>
        <v>1045966.31</v>
      </c>
    </row>
    <row r="56" spans="1:19">
      <c r="A56" s="8715" t="s">
        <v>3368</v>
      </c>
      <c r="B56" s="8723">
        <v>7250</v>
      </c>
      <c r="C56" s="8723"/>
      <c r="D56" s="8723">
        <v>255553.5</v>
      </c>
      <c r="E56" s="8723"/>
      <c r="F56" s="8723"/>
      <c r="G56" s="8723"/>
      <c r="H56" s="8723">
        <v>18621.55</v>
      </c>
      <c r="I56" s="8723"/>
      <c r="J56" s="8723"/>
      <c r="K56" s="8723"/>
      <c r="L56" s="8723">
        <v>748516.17</v>
      </c>
      <c r="M56" s="8723"/>
      <c r="N56" s="8723"/>
      <c r="O56" s="8723"/>
      <c r="P56" s="8723"/>
      <c r="Q56" s="8723"/>
      <c r="R56" s="8723">
        <v>18750</v>
      </c>
      <c r="S56" s="8732">
        <f t="shared" si="3"/>
        <v>1048691.22</v>
      </c>
    </row>
    <row r="57" spans="1:19">
      <c r="A57" s="8715" t="s">
        <v>3369</v>
      </c>
      <c r="B57" s="8723">
        <v>7559.6</v>
      </c>
      <c r="C57" s="8723"/>
      <c r="D57" s="8723">
        <v>144089.5</v>
      </c>
      <c r="E57" s="8723"/>
      <c r="F57" s="8723"/>
      <c r="G57" s="8723"/>
      <c r="H57" s="8723">
        <v>22245.93</v>
      </c>
      <c r="I57" s="8723"/>
      <c r="J57" s="8723"/>
      <c r="K57" s="8723"/>
      <c r="L57" s="8723">
        <v>1202361.95</v>
      </c>
      <c r="M57" s="8723"/>
      <c r="N57" s="8723"/>
      <c r="O57" s="8723"/>
      <c r="P57" s="8723"/>
      <c r="Q57" s="8723"/>
      <c r="R57" s="8723">
        <v>40000</v>
      </c>
      <c r="S57" s="8732">
        <f t="shared" si="3"/>
        <v>1416256.98</v>
      </c>
    </row>
    <row r="58" spans="1:19">
      <c r="A58" s="8715" t="s">
        <v>3370</v>
      </c>
      <c r="B58" s="8723">
        <v>36898</v>
      </c>
      <c r="C58" s="8723"/>
      <c r="D58" s="8723">
        <v>235188.5</v>
      </c>
      <c r="E58" s="8723"/>
      <c r="F58" s="8723"/>
      <c r="G58" s="8723"/>
      <c r="H58" s="8723">
        <v>25237.37</v>
      </c>
      <c r="I58" s="8723"/>
      <c r="J58" s="8723"/>
      <c r="K58" s="8723"/>
      <c r="L58" s="8723">
        <v>417213.45</v>
      </c>
      <c r="M58" s="8723"/>
      <c r="N58" s="8723"/>
      <c r="O58" s="8723"/>
      <c r="P58" s="8723"/>
      <c r="Q58" s="8723"/>
      <c r="R58" s="8723">
        <v>19600</v>
      </c>
      <c r="S58" s="8732">
        <f t="shared" si="3"/>
        <v>734137.32000000007</v>
      </c>
    </row>
    <row r="59" spans="1:19">
      <c r="A59" s="8715" t="s">
        <v>3371</v>
      </c>
      <c r="M59" s="8723"/>
      <c r="N59" s="8723"/>
      <c r="O59" s="8723"/>
      <c r="R59" s="8723"/>
      <c r="S59" s="8732">
        <f t="shared" si="3"/>
        <v>0</v>
      </c>
    </row>
    <row r="60" spans="1:19">
      <c r="A60" s="8733"/>
      <c r="B60" s="8734">
        <f>SUM(B47:B59)</f>
        <v>167507.76</v>
      </c>
      <c r="C60" s="8735"/>
      <c r="D60" s="8734">
        <f t="shared" ref="D60:R60" si="4">SUM(D47:D59)</f>
        <v>2580370</v>
      </c>
      <c r="E60" s="8735"/>
      <c r="F60" s="8735"/>
      <c r="G60" s="8735"/>
      <c r="H60" s="8734">
        <f t="shared" si="4"/>
        <v>420759.73</v>
      </c>
      <c r="I60" s="8734">
        <f t="shared" si="4"/>
        <v>0</v>
      </c>
      <c r="J60" s="8734">
        <f t="shared" si="4"/>
        <v>0</v>
      </c>
      <c r="K60" s="8734">
        <f t="shared" si="4"/>
        <v>0</v>
      </c>
      <c r="L60" s="8734">
        <f t="shared" si="4"/>
        <v>8933064.7399999984</v>
      </c>
      <c r="M60" s="8734">
        <f t="shared" si="4"/>
        <v>0</v>
      </c>
      <c r="N60" s="8735"/>
      <c r="O60" s="8735"/>
      <c r="P60" s="8734">
        <f>SUM(P47:P59)</f>
        <v>0</v>
      </c>
      <c r="Q60" s="8735"/>
      <c r="R60" s="8734">
        <f t="shared" si="4"/>
        <v>209016.75</v>
      </c>
      <c r="S60" s="8736"/>
    </row>
    <row r="61" spans="1:19">
      <c r="A61" s="8737" t="s">
        <v>10634</v>
      </c>
      <c r="B61" s="8723">
        <v>25961.84</v>
      </c>
      <c r="C61" s="8723"/>
      <c r="D61" s="8723">
        <v>48818.85</v>
      </c>
      <c r="E61" s="8723"/>
      <c r="F61" s="8723"/>
      <c r="G61" s="8723"/>
      <c r="H61" s="8723">
        <v>23781.29</v>
      </c>
      <c r="I61" s="8723"/>
      <c r="J61" s="8723"/>
      <c r="K61" s="8723">
        <v>455237.32</v>
      </c>
      <c r="L61" s="8723"/>
      <c r="M61" s="8723"/>
      <c r="N61" s="8723"/>
      <c r="O61" s="8723"/>
      <c r="P61" s="8723"/>
      <c r="Q61" s="8723"/>
      <c r="R61" s="8723">
        <v>26732.3</v>
      </c>
      <c r="S61" s="8732">
        <f t="shared" si="3"/>
        <v>580531.60000000009</v>
      </c>
    </row>
    <row r="62" spans="1:19">
      <c r="A62" s="8722" t="s">
        <v>3372</v>
      </c>
      <c r="B62" s="8723">
        <v>103</v>
      </c>
      <c r="C62" s="8723"/>
      <c r="D62" s="8723">
        <v>115855.4</v>
      </c>
      <c r="E62" s="8723"/>
      <c r="F62" s="8723"/>
      <c r="G62" s="8723"/>
      <c r="H62" s="8723">
        <v>65559.67</v>
      </c>
      <c r="I62" s="8723"/>
      <c r="J62" s="8723"/>
      <c r="K62" s="8723">
        <v>296830.40000000002</v>
      </c>
      <c r="L62" s="8723"/>
      <c r="M62" s="8723"/>
      <c r="N62" s="8723"/>
      <c r="O62" s="8723"/>
      <c r="P62" s="8723"/>
      <c r="Q62" s="8723"/>
      <c r="R62" s="8723"/>
      <c r="S62" s="8732">
        <f>SUM(B62:R62)</f>
        <v>478348.47000000003</v>
      </c>
    </row>
    <row r="63" spans="1:19">
      <c r="A63" s="8715" t="s">
        <v>3373</v>
      </c>
      <c r="B63" s="8723">
        <v>68928.72</v>
      </c>
      <c r="C63" s="8723"/>
      <c r="D63" s="8723">
        <v>469571.35</v>
      </c>
      <c r="E63" s="8723"/>
      <c r="F63" s="8723"/>
      <c r="G63" s="8723"/>
      <c r="H63" s="8723">
        <v>101979.22</v>
      </c>
      <c r="I63" s="8723"/>
      <c r="J63" s="8723"/>
      <c r="K63" s="8723">
        <v>7001590.3700000001</v>
      </c>
      <c r="L63" s="8723"/>
      <c r="M63" s="8723"/>
      <c r="N63" s="8723"/>
      <c r="O63" s="8723"/>
      <c r="P63" s="8723"/>
      <c r="Q63" s="8723"/>
      <c r="R63" s="8723">
        <v>242604.5</v>
      </c>
      <c r="S63" s="8732">
        <f t="shared" si="3"/>
        <v>7884674.1600000001</v>
      </c>
    </row>
    <row r="64" spans="1:19">
      <c r="A64" s="8715"/>
      <c r="B64" s="8723"/>
      <c r="C64" s="8723"/>
      <c r="D64" s="8723"/>
      <c r="E64" s="8723"/>
      <c r="F64" s="8723"/>
      <c r="G64" s="8723"/>
      <c r="H64" s="8723"/>
      <c r="I64" s="8723"/>
      <c r="J64" s="8723"/>
      <c r="K64" s="8723"/>
      <c r="L64" s="8723"/>
      <c r="M64" s="8723"/>
      <c r="N64" s="8723"/>
      <c r="O64" s="8723"/>
      <c r="P64" s="8723"/>
      <c r="Q64" s="8723"/>
      <c r="R64" s="8723"/>
      <c r="S64" s="8732">
        <f t="shared" si="3"/>
        <v>0</v>
      </c>
    </row>
    <row r="65" spans="1:19" s="8723" customFormat="1">
      <c r="A65" s="8738" t="s">
        <v>220</v>
      </c>
      <c r="B65" s="8738">
        <f>SUM(B60:B64)</f>
        <v>262501.32</v>
      </c>
      <c r="C65" s="8739"/>
      <c r="D65" s="8738">
        <f t="shared" ref="D65:R65" si="5">SUM(D60:D64)</f>
        <v>3214615.6</v>
      </c>
      <c r="E65" s="8739"/>
      <c r="F65" s="8739"/>
      <c r="G65" s="8739"/>
      <c r="H65" s="8738">
        <f t="shared" si="5"/>
        <v>612079.90999999992</v>
      </c>
      <c r="I65" s="8738">
        <f t="shared" si="5"/>
        <v>0</v>
      </c>
      <c r="J65" s="8738">
        <f t="shared" si="5"/>
        <v>0</v>
      </c>
      <c r="K65" s="8738">
        <f t="shared" si="5"/>
        <v>7753658.0899999999</v>
      </c>
      <c r="L65" s="8738">
        <f t="shared" si="5"/>
        <v>8933064.7399999984</v>
      </c>
      <c r="M65" s="8738">
        <f t="shared" si="5"/>
        <v>0</v>
      </c>
      <c r="N65" s="8739"/>
      <c r="O65" s="8739"/>
      <c r="P65" s="8738">
        <f>SUM(P60:P64)</f>
        <v>0</v>
      </c>
      <c r="Q65" s="8739"/>
      <c r="R65" s="8738">
        <f t="shared" si="5"/>
        <v>478353.55</v>
      </c>
      <c r="S65" s="8738">
        <f>SUM(S47:S64)</f>
        <v>21254273.210000001</v>
      </c>
    </row>
  </sheetData>
  <pageMargins left="0" right="0" top="0.75" bottom="0.75" header="0.3" footer="0.3"/>
  <pageSetup paperSize="136" scale="75" pageOrder="overThenDown" orientation="landscape" verticalDpi="300" r:id="rId1"/>
</worksheet>
</file>

<file path=xl/worksheets/sheet198.xml><?xml version="1.0" encoding="utf-8"?>
<worksheet xmlns="http://schemas.openxmlformats.org/spreadsheetml/2006/main" xmlns:r="http://schemas.openxmlformats.org/officeDocument/2006/relationships">
  <sheetPr codeName="Sheet203">
    <tabColor rgb="FF0000FF"/>
  </sheetPr>
  <dimension ref="A1:R56"/>
  <sheetViews>
    <sheetView zoomScale="110" zoomScaleNormal="110" workbookViewId="0">
      <pane xSplit="1" ySplit="3" topLeftCell="B37" activePane="bottomRight" state="frozen"/>
      <selection activeCell="A66" sqref="A66"/>
      <selection pane="topRight" activeCell="A66" sqref="A66"/>
      <selection pane="bottomLeft" activeCell="A66" sqref="A66"/>
      <selection pane="bottomRight" activeCell="J57" sqref="J57"/>
    </sheetView>
  </sheetViews>
  <sheetFormatPr defaultColWidth="9.109375" defaultRowHeight="15"/>
  <cols>
    <col min="1" max="1" width="15.109375" style="1852" customWidth="1"/>
    <col min="2" max="3" width="12.88671875" style="1852" customWidth="1"/>
    <col min="4" max="4" width="12.44140625" style="1852" hidden="1" customWidth="1"/>
    <col min="5" max="5" width="12.109375" style="1852" hidden="1" customWidth="1"/>
    <col min="6" max="6" width="12.109375" style="1852" customWidth="1"/>
    <col min="7" max="7" width="12.109375" style="1852" hidden="1" customWidth="1"/>
    <col min="8" max="9" width="12.109375" style="1852" customWidth="1"/>
    <col min="10" max="10" width="10" style="1852" customWidth="1"/>
    <col min="11" max="11" width="12.44140625" style="1852" customWidth="1"/>
    <col min="12" max="12" width="12.33203125" style="1852" customWidth="1"/>
    <col min="13" max="13" width="12" style="1852" hidden="1" customWidth="1"/>
    <col min="14" max="15" width="12.109375" style="1852" hidden="1" customWidth="1"/>
    <col min="16" max="16" width="16.6640625" style="1852" customWidth="1"/>
    <col min="17" max="17" width="12.88671875" style="1852" customWidth="1"/>
    <col min="18" max="18" width="21.44140625" style="8740" customWidth="1"/>
    <col min="19" max="16384" width="9.109375" style="1852"/>
  </cols>
  <sheetData>
    <row r="1" spans="1:18" ht="15.6">
      <c r="A1" s="10193">
        <v>2017</v>
      </c>
      <c r="F1" s="1853" t="s">
        <v>219</v>
      </c>
      <c r="G1" s="1853"/>
      <c r="K1" s="1853"/>
    </row>
    <row r="2" spans="1:18" s="10199" customFormat="1" ht="21" thickBot="1">
      <c r="A2" s="15457" t="s">
        <v>638</v>
      </c>
      <c r="B2" s="1854" t="s">
        <v>3330</v>
      </c>
      <c r="C2" s="1854" t="s">
        <v>11460</v>
      </c>
      <c r="D2" s="1854" t="s">
        <v>3331</v>
      </c>
      <c r="E2" s="1854" t="s">
        <v>3332</v>
      </c>
      <c r="F2" s="1854" t="s">
        <v>3325</v>
      </c>
      <c r="G2" s="1854" t="s">
        <v>10924</v>
      </c>
      <c r="H2" s="1854" t="s">
        <v>11461</v>
      </c>
      <c r="I2" s="1854" t="s">
        <v>10500</v>
      </c>
      <c r="J2" s="1854" t="s">
        <v>3335</v>
      </c>
      <c r="K2" s="1854" t="s">
        <v>3333</v>
      </c>
      <c r="L2" s="1854" t="s">
        <v>11462</v>
      </c>
      <c r="M2" s="1854" t="s">
        <v>10926</v>
      </c>
      <c r="N2" s="1854" t="s">
        <v>3334</v>
      </c>
      <c r="O2" s="1854"/>
      <c r="P2" s="1854" t="s">
        <v>661</v>
      </c>
      <c r="Q2" s="15457" t="s">
        <v>638</v>
      </c>
      <c r="R2" s="8741" t="s">
        <v>10931</v>
      </c>
    </row>
    <row r="3" spans="1:18" s="1873" customFormat="1" ht="11.4" thickTop="1" thickBot="1">
      <c r="A3" s="15458"/>
      <c r="B3" s="1871"/>
      <c r="C3" s="1871"/>
      <c r="D3" s="1871"/>
      <c r="E3" s="1871"/>
      <c r="F3" s="1871"/>
      <c r="G3" s="1871"/>
      <c r="H3" s="1871"/>
      <c r="I3" s="1871"/>
      <c r="J3" s="1871"/>
      <c r="K3" s="1871"/>
      <c r="L3" s="1871"/>
      <c r="M3" s="1871"/>
      <c r="N3" s="1871"/>
      <c r="O3" s="1871"/>
      <c r="P3" s="1872" t="s">
        <v>9</v>
      </c>
      <c r="Q3" s="15458"/>
      <c r="R3" s="8742"/>
    </row>
    <row r="4" spans="1:18" ht="8.25" customHeight="1">
      <c r="A4" s="1855"/>
      <c r="B4" s="1856"/>
      <c r="C4" s="1856"/>
      <c r="D4" s="1856"/>
      <c r="E4" s="1856"/>
      <c r="F4" s="1856"/>
      <c r="G4" s="8560"/>
      <c r="H4" s="1856"/>
      <c r="I4" s="1856"/>
      <c r="J4" s="1856"/>
      <c r="K4" s="1856"/>
      <c r="L4" s="1856"/>
      <c r="M4" s="8560"/>
      <c r="N4" s="1856"/>
      <c r="O4" s="1857"/>
      <c r="P4" s="1858"/>
      <c r="Q4" s="1855"/>
    </row>
    <row r="5" spans="1:18" ht="12.9" customHeight="1">
      <c r="A5" s="7085" t="s">
        <v>568</v>
      </c>
      <c r="B5" s="7105"/>
      <c r="C5" s="7105"/>
      <c r="D5" s="7105"/>
      <c r="E5" s="7105"/>
      <c r="F5" s="7105">
        <v>707022</v>
      </c>
      <c r="G5" s="8561"/>
      <c r="H5" s="7105">
        <v>95700</v>
      </c>
      <c r="I5" s="7105"/>
      <c r="J5" s="7105">
        <v>71780</v>
      </c>
      <c r="K5" s="7105"/>
      <c r="L5" s="7105"/>
      <c r="M5" s="8561"/>
      <c r="N5" s="7105"/>
      <c r="O5" s="7106"/>
      <c r="P5" s="7088">
        <f t="shared" ref="P5:P20" si="0">SUM(B5:O5)</f>
        <v>874502</v>
      </c>
      <c r="Q5" s="7085" t="s">
        <v>568</v>
      </c>
      <c r="R5" s="8740">
        <f>'WS-PS 2017'!AA6+'WS-MOOE 2017'!CG6+'WS-CO 2017'!P5</f>
        <v>138616798.83000001</v>
      </c>
    </row>
    <row r="6" spans="1:18" ht="12.9" customHeight="1">
      <c r="A6" s="7089" t="s">
        <v>9134</v>
      </c>
      <c r="B6" s="7093"/>
      <c r="C6" s="7093"/>
      <c r="D6" s="7093"/>
      <c r="E6" s="7093"/>
      <c r="F6" s="7093">
        <v>69299</v>
      </c>
      <c r="G6" s="7093"/>
      <c r="H6" s="7093">
        <v>94845</v>
      </c>
      <c r="I6" s="7093"/>
      <c r="J6" s="7093"/>
      <c r="K6" s="7093">
        <v>15821</v>
      </c>
      <c r="L6" s="7093"/>
      <c r="M6" s="7093"/>
      <c r="N6" s="7093"/>
      <c r="O6" s="7094"/>
      <c r="P6" s="7088">
        <f t="shared" si="0"/>
        <v>179965</v>
      </c>
      <c r="Q6" s="7089" t="s">
        <v>9134</v>
      </c>
      <c r="R6" s="8740">
        <f>'WS-PS 2017'!AA7+'WS-MOOE 2017'!CG7+'WS-CO 2017'!P6</f>
        <v>24761281.02</v>
      </c>
    </row>
    <row r="7" spans="1:18" ht="12.9" customHeight="1">
      <c r="A7" s="7089" t="s">
        <v>1724</v>
      </c>
      <c r="B7" s="7093"/>
      <c r="C7" s="7093"/>
      <c r="D7" s="7093"/>
      <c r="E7" s="7093"/>
      <c r="F7" s="7093"/>
      <c r="G7" s="7093"/>
      <c r="H7" s="7093"/>
      <c r="I7" s="7093"/>
      <c r="J7" s="7093"/>
      <c r="K7" s="7093"/>
      <c r="L7" s="7093"/>
      <c r="M7" s="7093"/>
      <c r="N7" s="7093"/>
      <c r="O7" s="7094"/>
      <c r="P7" s="7088">
        <f t="shared" si="0"/>
        <v>0</v>
      </c>
      <c r="Q7" s="7089" t="s">
        <v>1724</v>
      </c>
      <c r="R7" s="8740">
        <f>'WS-PS 2017'!AA8+'WS-MOOE 2017'!CG8+'WS-CO 2017'!P7</f>
        <v>4953108.5600000005</v>
      </c>
    </row>
    <row r="8" spans="1:18" ht="12.9" customHeight="1">
      <c r="A8" s="8553" t="s">
        <v>10317</v>
      </c>
      <c r="B8" s="7093"/>
      <c r="C8" s="7093"/>
      <c r="D8" s="7093"/>
      <c r="E8" s="7093"/>
      <c r="F8" s="7093"/>
      <c r="G8" s="7093"/>
      <c r="H8" s="7093"/>
      <c r="I8" s="7093"/>
      <c r="J8" s="7093"/>
      <c r="K8" s="7093"/>
      <c r="L8" s="7093"/>
      <c r="M8" s="7093"/>
      <c r="N8" s="7093"/>
      <c r="O8" s="7094"/>
      <c r="P8" s="7088">
        <f t="shared" si="0"/>
        <v>0</v>
      </c>
      <c r="Q8" s="8553" t="s">
        <v>10317</v>
      </c>
      <c r="R8" s="8740">
        <f>'WS-PS 2017'!AA9+'WS-MOOE 2017'!CG9+'WS-CO 2017'!P8</f>
        <v>3069947.06</v>
      </c>
    </row>
    <row r="9" spans="1:18" ht="12.9" customHeight="1">
      <c r="A9" s="8553" t="s">
        <v>10318</v>
      </c>
      <c r="B9" s="7093"/>
      <c r="C9" s="7093"/>
      <c r="D9" s="7093"/>
      <c r="E9" s="7093"/>
      <c r="F9" s="7093">
        <v>29500</v>
      </c>
      <c r="G9" s="7093"/>
      <c r="H9" s="7093"/>
      <c r="I9" s="7093"/>
      <c r="J9" s="7093"/>
      <c r="K9" s="7093"/>
      <c r="L9" s="7093"/>
      <c r="M9" s="7093"/>
      <c r="N9" s="7093"/>
      <c r="O9" s="7094"/>
      <c r="P9" s="7088">
        <f t="shared" si="0"/>
        <v>29500</v>
      </c>
      <c r="Q9" s="8553" t="s">
        <v>10318</v>
      </c>
      <c r="R9" s="8740">
        <f>'WS-PS 2017'!AA10+'WS-MOOE 2017'!CG10+'WS-CO 2017'!P9</f>
        <v>554546.06000000006</v>
      </c>
    </row>
    <row r="10" spans="1:18" ht="12.9" customHeight="1">
      <c r="A10" s="7089" t="s">
        <v>675</v>
      </c>
      <c r="B10" s="7093"/>
      <c r="C10" s="7093"/>
      <c r="D10" s="7093"/>
      <c r="E10" s="7093"/>
      <c r="F10" s="7093"/>
      <c r="G10" s="7093"/>
      <c r="H10" s="7093"/>
      <c r="I10" s="7093"/>
      <c r="J10" s="7093"/>
      <c r="K10" s="7093"/>
      <c r="L10" s="7093"/>
      <c r="M10" s="7093"/>
      <c r="N10" s="7093"/>
      <c r="O10" s="7094"/>
      <c r="P10" s="7088">
        <f t="shared" si="0"/>
        <v>0</v>
      </c>
      <c r="Q10" s="7089" t="s">
        <v>675</v>
      </c>
      <c r="R10" s="8740">
        <f>'WS-PS 2017'!AA11+'WS-MOOE 2017'!CG11+'WS-CO 2017'!P10</f>
        <v>3994055.3100000005</v>
      </c>
    </row>
    <row r="11" spans="1:18" ht="12.9" customHeight="1">
      <c r="A11" s="7089" t="s">
        <v>569</v>
      </c>
      <c r="B11" s="7093"/>
      <c r="C11" s="7093"/>
      <c r="D11" s="7093"/>
      <c r="E11" s="7093"/>
      <c r="F11" s="7093">
        <v>604985</v>
      </c>
      <c r="G11" s="7093"/>
      <c r="H11" s="7093">
        <v>590989</v>
      </c>
      <c r="I11" s="7093">
        <v>473133</v>
      </c>
      <c r="J11" s="7093"/>
      <c r="K11" s="7093">
        <v>121566.5</v>
      </c>
      <c r="L11" s="7093"/>
      <c r="M11" s="7093"/>
      <c r="N11" s="7093"/>
      <c r="O11" s="7094"/>
      <c r="P11" s="7088">
        <f t="shared" si="0"/>
        <v>1790673.5</v>
      </c>
      <c r="Q11" s="7089" t="s">
        <v>569</v>
      </c>
      <c r="R11" s="8740">
        <f>'WS-PS 2017'!AA12+'WS-MOOE 2017'!CG12+'WS-CO 2017'!P11</f>
        <v>79037354.900000006</v>
      </c>
    </row>
    <row r="12" spans="1:18" ht="12.9" customHeight="1">
      <c r="A12" s="7089" t="s">
        <v>570</v>
      </c>
      <c r="B12" s="7093"/>
      <c r="C12" s="7093"/>
      <c r="D12" s="7093"/>
      <c r="E12" s="7093"/>
      <c r="F12" s="7093">
        <v>249833</v>
      </c>
      <c r="G12" s="7093"/>
      <c r="H12" s="7093"/>
      <c r="I12" s="7093"/>
      <c r="J12" s="7093"/>
      <c r="K12" s="7093">
        <v>29950</v>
      </c>
      <c r="L12" s="7093"/>
      <c r="M12" s="7093"/>
      <c r="N12" s="7093"/>
      <c r="O12" s="7094"/>
      <c r="P12" s="7088">
        <f t="shared" si="0"/>
        <v>279783</v>
      </c>
      <c r="Q12" s="7089" t="s">
        <v>570</v>
      </c>
      <c r="R12" s="8740">
        <f>'WS-PS 2017'!AA13+'WS-MOOE 2017'!CG13+'WS-CO 2017'!P12</f>
        <v>11233623.879999999</v>
      </c>
    </row>
    <row r="13" spans="1:18" ht="12.9" customHeight="1">
      <c r="A13" s="7089" t="s">
        <v>571</v>
      </c>
      <c r="B13" s="7093"/>
      <c r="C13" s="7093"/>
      <c r="D13" s="7093"/>
      <c r="E13" s="7093"/>
      <c r="F13" s="7093"/>
      <c r="G13" s="7093"/>
      <c r="H13" s="7093">
        <v>46800</v>
      </c>
      <c r="I13" s="7093"/>
      <c r="J13" s="7093"/>
      <c r="K13" s="7093">
        <v>58100</v>
      </c>
      <c r="L13" s="7093"/>
      <c r="M13" s="7093"/>
      <c r="N13" s="7093"/>
      <c r="O13" s="7094"/>
      <c r="P13" s="7088">
        <f t="shared" si="0"/>
        <v>104900</v>
      </c>
      <c r="Q13" s="7089" t="s">
        <v>571</v>
      </c>
      <c r="R13" s="8740">
        <f>'WS-PS 2017'!AA14+'WS-MOOE 2017'!CG14+'WS-CO 2017'!P13</f>
        <v>17248043.239999998</v>
      </c>
    </row>
    <row r="14" spans="1:18" ht="12.9" customHeight="1">
      <c r="A14" s="7089" t="s">
        <v>572</v>
      </c>
      <c r="B14" s="7093"/>
      <c r="C14" s="7093"/>
      <c r="D14" s="7093"/>
      <c r="E14" s="7093"/>
      <c r="F14" s="7093"/>
      <c r="G14" s="7093"/>
      <c r="H14" s="7093">
        <v>93857</v>
      </c>
      <c r="I14" s="7093"/>
      <c r="J14" s="7093"/>
      <c r="K14" s="7093">
        <v>204958.75</v>
      </c>
      <c r="L14" s="7093"/>
      <c r="M14" s="7093"/>
      <c r="N14" s="7093"/>
      <c r="O14" s="7094"/>
      <c r="P14" s="7088">
        <f t="shared" si="0"/>
        <v>298815.75</v>
      </c>
      <c r="Q14" s="7089" t="s">
        <v>572</v>
      </c>
      <c r="R14" s="8740">
        <f>'WS-PS 2017'!AA15+'WS-MOOE 2017'!CG15+'WS-CO 2017'!P14</f>
        <v>35333330.720000006</v>
      </c>
    </row>
    <row r="15" spans="1:18" ht="12.9" customHeight="1">
      <c r="A15" s="7089" t="s">
        <v>573</v>
      </c>
      <c r="B15" s="7093"/>
      <c r="C15" s="7093"/>
      <c r="D15" s="7093"/>
      <c r="E15" s="7093"/>
      <c r="F15" s="7093"/>
      <c r="G15" s="7093"/>
      <c r="H15" s="7093">
        <v>47802</v>
      </c>
      <c r="I15" s="7093"/>
      <c r="J15" s="7093"/>
      <c r="K15" s="7093"/>
      <c r="L15" s="7093"/>
      <c r="M15" s="7093"/>
      <c r="N15" s="7093"/>
      <c r="O15" s="7094"/>
      <c r="P15" s="7088">
        <f t="shared" si="0"/>
        <v>47802</v>
      </c>
      <c r="Q15" s="7089" t="s">
        <v>573</v>
      </c>
      <c r="R15" s="8740">
        <f>'WS-PS 2017'!AA16+'WS-MOOE 2017'!CG16+'WS-CO 2017'!P15</f>
        <v>8771094.7299999986</v>
      </c>
    </row>
    <row r="16" spans="1:18" ht="12.9" customHeight="1">
      <c r="A16" s="7089" t="s">
        <v>574</v>
      </c>
      <c r="B16" s="7093"/>
      <c r="C16" s="7093"/>
      <c r="D16" s="7093"/>
      <c r="E16" s="7093"/>
      <c r="F16" s="7093"/>
      <c r="G16" s="7093"/>
      <c r="H16" s="7093"/>
      <c r="I16" s="7093"/>
      <c r="J16" s="7093"/>
      <c r="K16" s="7093"/>
      <c r="L16" s="7093"/>
      <c r="M16" s="7093"/>
      <c r="N16" s="7093"/>
      <c r="O16" s="7094"/>
      <c r="P16" s="7088">
        <f t="shared" si="0"/>
        <v>0</v>
      </c>
      <c r="Q16" s="7089" t="s">
        <v>574</v>
      </c>
      <c r="R16" s="8740">
        <f>'WS-PS 2017'!AA17+'WS-MOOE 2017'!CG17+'WS-CO 2017'!P16</f>
        <v>20416822.84</v>
      </c>
    </row>
    <row r="17" spans="1:18" ht="12.9" customHeight="1">
      <c r="A17" s="7089" t="s">
        <v>575</v>
      </c>
      <c r="B17" s="7093"/>
      <c r="C17" s="7093">
        <v>3385783.62</v>
      </c>
      <c r="D17" s="7093"/>
      <c r="E17" s="7093"/>
      <c r="F17" s="7093">
        <v>7498</v>
      </c>
      <c r="G17" s="7093"/>
      <c r="H17" s="7093">
        <v>252100</v>
      </c>
      <c r="I17" s="7093"/>
      <c r="J17" s="7093"/>
      <c r="K17" s="7093"/>
      <c r="L17" s="7093"/>
      <c r="M17" s="7093"/>
      <c r="N17" s="7093"/>
      <c r="O17" s="7094"/>
      <c r="P17" s="7088">
        <f t="shared" si="0"/>
        <v>3645381.62</v>
      </c>
      <c r="Q17" s="7089" t="s">
        <v>575</v>
      </c>
      <c r="R17" s="8740">
        <f>'WS-PS 2017'!AA18+'WS-MOOE 2017'!CG18+'WS-CO 2017'!P17</f>
        <v>30232662.390000004</v>
      </c>
    </row>
    <row r="18" spans="1:18" ht="12.9" customHeight="1">
      <c r="A18" s="7089" t="s">
        <v>576</v>
      </c>
      <c r="B18" s="7093"/>
      <c r="C18" s="7093"/>
      <c r="D18" s="7093"/>
      <c r="E18" s="7093"/>
      <c r="F18" s="7093">
        <v>177900</v>
      </c>
      <c r="G18" s="7093"/>
      <c r="H18" s="7093">
        <v>124810</v>
      </c>
      <c r="I18" s="7093"/>
      <c r="J18" s="7093"/>
      <c r="K18" s="7093"/>
      <c r="L18" s="7093"/>
      <c r="M18" s="7093"/>
      <c r="N18" s="7093"/>
      <c r="O18" s="7094"/>
      <c r="P18" s="7088">
        <f t="shared" si="0"/>
        <v>302710</v>
      </c>
      <c r="Q18" s="7089" t="s">
        <v>576</v>
      </c>
      <c r="R18" s="8740">
        <f>'WS-PS 2017'!AA19+'WS-MOOE 2017'!CG19+'WS-CO 2017'!P18</f>
        <v>14224904.15</v>
      </c>
    </row>
    <row r="19" spans="1:18" ht="12.9" customHeight="1">
      <c r="A19" s="7095" t="s">
        <v>577</v>
      </c>
      <c r="B19" s="7096"/>
      <c r="C19" s="7096"/>
      <c r="D19" s="7096"/>
      <c r="E19" s="7096"/>
      <c r="F19" s="7096">
        <v>106698</v>
      </c>
      <c r="G19" s="7096"/>
      <c r="H19" s="7096"/>
      <c r="I19" s="7096"/>
      <c r="J19" s="7096"/>
      <c r="K19" s="7096"/>
      <c r="L19" s="7096"/>
      <c r="M19" s="7096"/>
      <c r="N19" s="7096"/>
      <c r="O19" s="7097"/>
      <c r="P19" s="7088">
        <f t="shared" si="0"/>
        <v>106698</v>
      </c>
      <c r="Q19" s="7095" t="s">
        <v>577</v>
      </c>
      <c r="R19" s="8740">
        <f>'WS-PS 2017'!AA20+'WS-MOOE 2017'!CG20+'WS-CO 2017'!P19</f>
        <v>9853957.0600000005</v>
      </c>
    </row>
    <row r="20" spans="1:18" ht="14.25" customHeight="1" thickBot="1">
      <c r="A20" s="8567" t="s">
        <v>10327</v>
      </c>
      <c r="B20" s="1862"/>
      <c r="C20" s="1862"/>
      <c r="D20" s="1862"/>
      <c r="E20" s="1862"/>
      <c r="F20" s="1862"/>
      <c r="G20" s="8562"/>
      <c r="H20" s="1862"/>
      <c r="I20" s="1862"/>
      <c r="J20" s="1862"/>
      <c r="K20" s="1862"/>
      <c r="L20" s="1862"/>
      <c r="M20" s="8562"/>
      <c r="N20" s="1862"/>
      <c r="O20" s="1863"/>
      <c r="P20" s="7088">
        <f t="shared" si="0"/>
        <v>0</v>
      </c>
      <c r="Q20" s="8567" t="s">
        <v>10327</v>
      </c>
      <c r="R20" s="8740">
        <f>'WS-PS 2017'!AA21+'WS-MOOE 2017'!CG21+'WS-CO 2017'!P20</f>
        <v>20820550.91</v>
      </c>
    </row>
    <row r="21" spans="1:18" ht="16.2" thickTop="1" thickBot="1">
      <c r="A21" s="1864" t="s">
        <v>485</v>
      </c>
      <c r="B21" s="1865">
        <f>SUM(B5:B19)</f>
        <v>0</v>
      </c>
      <c r="C21" s="1865">
        <f>SUM(C5:C19)</f>
        <v>3385783.62</v>
      </c>
      <c r="D21" s="1865">
        <f>SUM(D5:D19)</f>
        <v>0</v>
      </c>
      <c r="E21" s="1865">
        <f>SUM(E5:E19)</f>
        <v>0</v>
      </c>
      <c r="F21" s="1865">
        <f>SUM(F5:F20)</f>
        <v>1952735</v>
      </c>
      <c r="G21" s="1865">
        <f t="shared" ref="G21:P21" si="1">SUM(G5:G20)</f>
        <v>0</v>
      </c>
      <c r="H21" s="1865">
        <f>SUM(H5:H20)</f>
        <v>1346903</v>
      </c>
      <c r="I21" s="1865">
        <f>SUM(I5:I20)</f>
        <v>473133</v>
      </c>
      <c r="J21" s="1865">
        <f>SUM(J5:J20)</f>
        <v>71780</v>
      </c>
      <c r="K21" s="1865">
        <f t="shared" si="1"/>
        <v>430396.25</v>
      </c>
      <c r="L21" s="1865">
        <f t="shared" si="1"/>
        <v>0</v>
      </c>
      <c r="M21" s="1865"/>
      <c r="N21" s="1865">
        <f t="shared" si="1"/>
        <v>0</v>
      </c>
      <c r="O21" s="1865">
        <f t="shared" si="1"/>
        <v>0</v>
      </c>
      <c r="P21" s="1865">
        <f t="shared" si="1"/>
        <v>7660730.8700000001</v>
      </c>
      <c r="Q21" s="1864" t="s">
        <v>485</v>
      </c>
      <c r="R21" s="8743">
        <f>SUM(R5:R20)</f>
        <v>423122081.66000003</v>
      </c>
    </row>
    <row r="22" spans="1:18" ht="8.25" customHeight="1" thickTop="1">
      <c r="A22" s="1860" t="s">
        <v>9</v>
      </c>
      <c r="B22" s="1867"/>
      <c r="C22" s="1867"/>
      <c r="D22" s="1867"/>
      <c r="E22" s="1867"/>
      <c r="F22" s="1867"/>
      <c r="G22" s="8563"/>
      <c r="H22" s="1867"/>
      <c r="I22" s="1867"/>
      <c r="J22" s="1867"/>
      <c r="K22" s="1867"/>
      <c r="L22" s="1867"/>
      <c r="M22" s="8563"/>
      <c r="N22" s="1867"/>
      <c r="O22" s="1868"/>
      <c r="P22" s="1861" t="s">
        <v>9</v>
      </c>
      <c r="Q22" s="1860" t="s">
        <v>9</v>
      </c>
    </row>
    <row r="23" spans="1:18" ht="12.9" customHeight="1">
      <c r="A23" s="7085" t="s">
        <v>578</v>
      </c>
      <c r="B23" s="7099"/>
      <c r="C23" s="7099"/>
      <c r="D23" s="7099"/>
      <c r="E23" s="7099"/>
      <c r="F23" s="7099"/>
      <c r="G23" s="8564"/>
      <c r="H23" s="7099"/>
      <c r="I23" s="7099"/>
      <c r="J23" s="7099"/>
      <c r="K23" s="7099"/>
      <c r="L23" s="7099"/>
      <c r="M23" s="8564"/>
      <c r="N23" s="7099"/>
      <c r="O23" s="7100"/>
      <c r="P23" s="7088">
        <f t="shared" ref="P23:P37" si="2">SUM(B23:O23)</f>
        <v>0</v>
      </c>
      <c r="Q23" s="7085" t="s">
        <v>578</v>
      </c>
      <c r="R23" s="8740">
        <f>'WS-PS 2017'!AA24+'WS-MOOE 2017'!CG24+'WS-CO 2017'!P23</f>
        <v>6111756.2200000007</v>
      </c>
    </row>
    <row r="24" spans="1:18" ht="12.9" customHeight="1">
      <c r="A24" s="7089" t="s">
        <v>579</v>
      </c>
      <c r="B24" s="7101"/>
      <c r="C24" s="7101"/>
      <c r="D24" s="7101"/>
      <c r="E24" s="7101"/>
      <c r="F24" s="7101"/>
      <c r="G24" s="7101"/>
      <c r="H24" s="7093"/>
      <c r="I24" s="7101"/>
      <c r="J24" s="7101"/>
      <c r="K24" s="7101"/>
      <c r="L24" s="7093">
        <v>98000</v>
      </c>
      <c r="M24" s="7093"/>
      <c r="N24" s="7101"/>
      <c r="O24" s="7102"/>
      <c r="P24" s="7092">
        <f t="shared" si="2"/>
        <v>98000</v>
      </c>
      <c r="Q24" s="7089" t="s">
        <v>579</v>
      </c>
      <c r="R24" s="8740">
        <f>'WS-PS 2017'!AA25+'WS-MOOE 2017'!CG25+'WS-CO 2017'!P24</f>
        <v>26254836.879999999</v>
      </c>
    </row>
    <row r="25" spans="1:18" ht="12.9" customHeight="1">
      <c r="A25" s="7089" t="s">
        <v>580</v>
      </c>
      <c r="B25" s="7101"/>
      <c r="C25" s="7101"/>
      <c r="D25" s="7101"/>
      <c r="E25" s="7101"/>
      <c r="F25" s="7101"/>
      <c r="G25" s="7101"/>
      <c r="H25" s="7101"/>
      <c r="I25" s="7101"/>
      <c r="J25" s="7101"/>
      <c r="K25" s="7101"/>
      <c r="L25" s="7101"/>
      <c r="M25" s="7101"/>
      <c r="N25" s="7101"/>
      <c r="O25" s="7102"/>
      <c r="P25" s="7092">
        <f t="shared" si="2"/>
        <v>0</v>
      </c>
      <c r="Q25" s="7089" t="s">
        <v>580</v>
      </c>
      <c r="R25" s="8740">
        <f>'WS-PS 2017'!AA26+'WS-MOOE 2017'!CG26+'WS-CO 2017'!P25</f>
        <v>0</v>
      </c>
    </row>
    <row r="26" spans="1:18" ht="12.9" customHeight="1">
      <c r="A26" s="7089" t="s">
        <v>581</v>
      </c>
      <c r="B26" s="7101"/>
      <c r="C26" s="7101"/>
      <c r="D26" s="7101"/>
      <c r="E26" s="7101"/>
      <c r="F26" s="7101"/>
      <c r="G26" s="7101"/>
      <c r="H26" s="7093">
        <v>97978</v>
      </c>
      <c r="I26" s="7101"/>
      <c r="J26" s="7101"/>
      <c r="K26" s="7101"/>
      <c r="L26" s="7093"/>
      <c r="M26" s="7093"/>
      <c r="N26" s="7101"/>
      <c r="O26" s="7102"/>
      <c r="P26" s="7092">
        <f t="shared" si="2"/>
        <v>97978</v>
      </c>
      <c r="Q26" s="7089" t="s">
        <v>581</v>
      </c>
      <c r="R26" s="8740">
        <f>'WS-PS 2017'!AA27+'WS-MOOE 2017'!CG27+'WS-CO 2017'!P26</f>
        <v>62720277.459999993</v>
      </c>
    </row>
    <row r="27" spans="1:18" ht="12.9" customHeight="1">
      <c r="A27" s="7089" t="s">
        <v>582</v>
      </c>
      <c r="B27" s="7101"/>
      <c r="C27" s="7101"/>
      <c r="D27" s="7101"/>
      <c r="E27" s="7101"/>
      <c r="F27" s="7101"/>
      <c r="G27" s="7101"/>
      <c r="H27" s="7101">
        <v>247618</v>
      </c>
      <c r="I27" s="7101">
        <v>134542</v>
      </c>
      <c r="J27" s="7101"/>
      <c r="K27" s="7101">
        <v>628530</v>
      </c>
      <c r="L27" s="7101"/>
      <c r="M27" s="7101"/>
      <c r="N27" s="7101"/>
      <c r="O27" s="7102"/>
      <c r="P27" s="7092">
        <f t="shared" si="2"/>
        <v>1010690</v>
      </c>
      <c r="Q27" s="7089" t="s">
        <v>582</v>
      </c>
      <c r="R27" s="8740">
        <f>'WS-PS 2017'!AA28+'WS-MOOE 2017'!CG28+'WS-CO 2017'!P27</f>
        <v>77234948.790000007</v>
      </c>
    </row>
    <row r="28" spans="1:18" ht="12.9" customHeight="1">
      <c r="A28" s="7089" t="s">
        <v>583</v>
      </c>
      <c r="B28" s="7101"/>
      <c r="C28" s="7101"/>
      <c r="D28" s="7101"/>
      <c r="E28" s="7101"/>
      <c r="F28" s="7101">
        <v>336550</v>
      </c>
      <c r="G28" s="7101"/>
      <c r="H28" s="7101"/>
      <c r="I28" s="7101"/>
      <c r="J28" s="7101"/>
      <c r="K28" s="7101"/>
      <c r="L28" s="7101"/>
      <c r="M28" s="7101"/>
      <c r="N28" s="7101"/>
      <c r="O28" s="7102"/>
      <c r="P28" s="7092">
        <f t="shared" si="2"/>
        <v>336550</v>
      </c>
      <c r="Q28" s="7089" t="s">
        <v>583</v>
      </c>
      <c r="R28" s="8740">
        <f>'WS-PS 2017'!AA29+'WS-MOOE 2017'!CG29+'WS-CO 2017'!P28</f>
        <v>41126918.789999992</v>
      </c>
    </row>
    <row r="29" spans="1:18" ht="12.9" customHeight="1">
      <c r="A29" s="7089" t="s">
        <v>584</v>
      </c>
      <c r="B29" s="7101"/>
      <c r="C29" s="7101"/>
      <c r="D29" s="7101"/>
      <c r="E29" s="7101"/>
      <c r="F29" s="7101">
        <v>309888</v>
      </c>
      <c r="G29" s="7101"/>
      <c r="H29" s="7101"/>
      <c r="I29" s="7101">
        <v>505350</v>
      </c>
      <c r="J29" s="7101"/>
      <c r="K29" s="7101"/>
      <c r="L29" s="7101"/>
      <c r="M29" s="7101"/>
      <c r="N29" s="7101"/>
      <c r="O29" s="7102"/>
      <c r="P29" s="7092">
        <f t="shared" si="2"/>
        <v>815238</v>
      </c>
      <c r="Q29" s="7089" t="s">
        <v>584</v>
      </c>
      <c r="R29" s="8740">
        <f>'WS-PS 2017'!AA30+'WS-MOOE 2017'!CG30+'WS-CO 2017'!P29</f>
        <v>56072681.939999998</v>
      </c>
    </row>
    <row r="30" spans="1:18" ht="12.9" customHeight="1">
      <c r="A30" s="7089" t="s">
        <v>585</v>
      </c>
      <c r="B30" s="7101"/>
      <c r="C30" s="7101"/>
      <c r="D30" s="7101"/>
      <c r="E30" s="7101"/>
      <c r="F30" s="7101">
        <v>34985</v>
      </c>
      <c r="G30" s="7101"/>
      <c r="H30" s="7101"/>
      <c r="I30" s="7101"/>
      <c r="J30" s="7101"/>
      <c r="K30" s="7101"/>
      <c r="L30" s="7101"/>
      <c r="M30" s="7101"/>
      <c r="N30" s="7101"/>
      <c r="O30" s="7102"/>
      <c r="P30" s="7092">
        <f t="shared" si="2"/>
        <v>34985</v>
      </c>
      <c r="Q30" s="7089" t="s">
        <v>585</v>
      </c>
      <c r="R30" s="8740">
        <f>'WS-PS 2017'!AA31+'WS-MOOE 2017'!CG31+'WS-CO 2017'!P30</f>
        <v>27466500.689999998</v>
      </c>
    </row>
    <row r="31" spans="1:18" ht="12.9" customHeight="1">
      <c r="A31" s="7089" t="s">
        <v>664</v>
      </c>
      <c r="B31" s="7101"/>
      <c r="C31" s="7101"/>
      <c r="D31" s="7101"/>
      <c r="E31" s="7101"/>
      <c r="F31" s="7101"/>
      <c r="G31" s="7101"/>
      <c r="H31" s="7101">
        <v>39460</v>
      </c>
      <c r="I31" s="7101"/>
      <c r="J31" s="7101"/>
      <c r="K31" s="7101"/>
      <c r="L31" s="7101"/>
      <c r="M31" s="7101"/>
      <c r="N31" s="7101"/>
      <c r="O31" s="7102"/>
      <c r="P31" s="7092">
        <f t="shared" si="2"/>
        <v>39460</v>
      </c>
      <c r="Q31" s="7089" t="s">
        <v>664</v>
      </c>
      <c r="R31" s="8740">
        <f>'WS-PS 2017'!AA32+'WS-MOOE 2017'!CG32+'WS-CO 2017'!P31</f>
        <v>30844243.339999996</v>
      </c>
    </row>
    <row r="32" spans="1:18" ht="12.9" customHeight="1">
      <c r="A32" s="7089" t="s">
        <v>587</v>
      </c>
      <c r="B32" s="7101"/>
      <c r="C32" s="7101"/>
      <c r="D32" s="7101"/>
      <c r="E32" s="7101"/>
      <c r="F32" s="7101"/>
      <c r="G32" s="7101"/>
      <c r="H32" s="7101"/>
      <c r="I32" s="7101"/>
      <c r="J32" s="7101"/>
      <c r="K32" s="7101"/>
      <c r="L32" s="7101"/>
      <c r="M32" s="7101"/>
      <c r="N32" s="7101"/>
      <c r="O32" s="7102"/>
      <c r="P32" s="7092">
        <f t="shared" si="2"/>
        <v>0</v>
      </c>
      <c r="Q32" s="7089" t="s">
        <v>587</v>
      </c>
      <c r="R32" s="8740">
        <f>'WS-PS 2017'!AA33+'WS-MOOE 2017'!CG33+'WS-CO 2017'!P32</f>
        <v>16147362.030000001</v>
      </c>
    </row>
    <row r="33" spans="1:18" ht="12.9" customHeight="1">
      <c r="A33" s="7089" t="s">
        <v>665</v>
      </c>
      <c r="B33" s="7101"/>
      <c r="C33" s="7101"/>
      <c r="D33" s="7101"/>
      <c r="E33" s="7101"/>
      <c r="F33" s="7101">
        <v>207600</v>
      </c>
      <c r="G33" s="7101"/>
      <c r="H33" s="7101"/>
      <c r="I33" s="7101">
        <v>146465</v>
      </c>
      <c r="J33" s="7101"/>
      <c r="K33" s="7101"/>
      <c r="L33" s="7101"/>
      <c r="M33" s="7101"/>
      <c r="N33" s="7101"/>
      <c r="O33" s="7102"/>
      <c r="P33" s="7092">
        <f t="shared" si="2"/>
        <v>354065</v>
      </c>
      <c r="Q33" s="7089" t="s">
        <v>665</v>
      </c>
      <c r="R33" s="8740">
        <f>'WS-PS 2017'!AA34+'WS-MOOE 2017'!CG34+'WS-CO 2017'!P33</f>
        <v>23818379.419999994</v>
      </c>
    </row>
    <row r="34" spans="1:18" ht="12.9" customHeight="1">
      <c r="A34" s="7089" t="s">
        <v>666</v>
      </c>
      <c r="B34" s="7101"/>
      <c r="C34" s="7101"/>
      <c r="D34" s="7101"/>
      <c r="E34" s="7101"/>
      <c r="F34" s="7101">
        <v>243500</v>
      </c>
      <c r="G34" s="7101"/>
      <c r="H34" s="7101"/>
      <c r="I34" s="7101"/>
      <c r="J34" s="7101"/>
      <c r="K34" s="7101"/>
      <c r="L34" s="7101"/>
      <c r="M34" s="7101"/>
      <c r="N34" s="7101"/>
      <c r="O34" s="7102"/>
      <c r="P34" s="7092">
        <f t="shared" si="2"/>
        <v>243500</v>
      </c>
      <c r="Q34" s="7089" t="s">
        <v>666</v>
      </c>
      <c r="R34" s="8740">
        <f>'WS-PS 2017'!AA35+'WS-MOOE 2017'!CG35+'WS-CO 2017'!P34</f>
        <v>13953559.210000001</v>
      </c>
    </row>
    <row r="35" spans="1:18" ht="12.9" customHeight="1">
      <c r="A35" s="7089" t="s">
        <v>667</v>
      </c>
      <c r="B35" s="7101"/>
      <c r="C35" s="7101"/>
      <c r="D35" s="7101"/>
      <c r="E35" s="7101"/>
      <c r="F35" s="7101"/>
      <c r="G35" s="7101"/>
      <c r="H35" s="7101">
        <v>194308</v>
      </c>
      <c r="I35" s="7101"/>
      <c r="J35" s="7101"/>
      <c r="K35" s="7101"/>
      <c r="L35" s="7101"/>
      <c r="M35" s="7101"/>
      <c r="N35" s="7101"/>
      <c r="O35" s="7102"/>
      <c r="P35" s="7092">
        <f t="shared" si="2"/>
        <v>194308</v>
      </c>
      <c r="Q35" s="7089" t="s">
        <v>667</v>
      </c>
      <c r="R35" s="8740">
        <f>'WS-PS 2017'!AA36+'WS-MOOE 2017'!CG36+'WS-CO 2017'!P35</f>
        <v>19730939.710000001</v>
      </c>
    </row>
    <row r="36" spans="1:18" ht="12.9" customHeight="1">
      <c r="A36" s="7089" t="s">
        <v>591</v>
      </c>
      <c r="B36" s="7101"/>
      <c r="C36" s="7101"/>
      <c r="D36" s="7101"/>
      <c r="E36" s="7101"/>
      <c r="F36" s="7101"/>
      <c r="G36" s="7101"/>
      <c r="H36" s="7101"/>
      <c r="I36" s="7101"/>
      <c r="J36" s="7101"/>
      <c r="K36" s="7101"/>
      <c r="L36" s="7101"/>
      <c r="M36" s="7101"/>
      <c r="N36" s="7101"/>
      <c r="O36" s="7102"/>
      <c r="P36" s="7092">
        <f t="shared" si="2"/>
        <v>0</v>
      </c>
      <c r="Q36" s="7089" t="s">
        <v>591</v>
      </c>
      <c r="R36" s="8740">
        <f>'WS-PS 2017'!AA37+'WS-MOOE 2017'!CG37+'WS-CO 2017'!P36</f>
        <v>12595736.699999999</v>
      </c>
    </row>
    <row r="37" spans="1:18" ht="12.9" customHeight="1">
      <c r="A37" s="7095" t="s">
        <v>592</v>
      </c>
      <c r="B37" s="7103"/>
      <c r="C37" s="7103"/>
      <c r="D37" s="7103"/>
      <c r="E37" s="7103"/>
      <c r="F37" s="7103">
        <v>43660</v>
      </c>
      <c r="G37" s="7103"/>
      <c r="H37" s="7103">
        <v>143000</v>
      </c>
      <c r="I37" s="7103"/>
      <c r="J37" s="7103"/>
      <c r="K37" s="7103">
        <v>75536</v>
      </c>
      <c r="L37" s="7103"/>
      <c r="M37" s="7103"/>
      <c r="N37" s="7103"/>
      <c r="O37" s="7104"/>
      <c r="P37" s="7098">
        <f t="shared" si="2"/>
        <v>262196</v>
      </c>
      <c r="Q37" s="7095" t="s">
        <v>592</v>
      </c>
      <c r="R37" s="8740">
        <f>'WS-PS 2017'!AA38+'WS-MOOE 2017'!CG38+'WS-CO 2017'!P37</f>
        <v>25755543.330000002</v>
      </c>
    </row>
    <row r="38" spans="1:18" ht="4.5" customHeight="1">
      <c r="B38" s="1867"/>
      <c r="C38" s="1867"/>
      <c r="D38" s="1867"/>
      <c r="E38" s="1867"/>
      <c r="F38" s="1867"/>
      <c r="G38" s="8563"/>
      <c r="H38" s="1867"/>
      <c r="I38" s="1867"/>
      <c r="J38" s="1867"/>
      <c r="K38" s="1867"/>
      <c r="L38" s="1867"/>
      <c r="M38" s="8563"/>
      <c r="N38" s="1867"/>
      <c r="O38" s="1868"/>
      <c r="P38" s="1861" t="s">
        <v>9</v>
      </c>
    </row>
    <row r="39" spans="1:18" ht="15.6" thickBot="1">
      <c r="A39" s="1864" t="s">
        <v>485</v>
      </c>
      <c r="B39" s="1865">
        <f>SUM(B23:B37)</f>
        <v>0</v>
      </c>
      <c r="C39" s="1865">
        <f t="shared" ref="C39:O39" si="3">SUM(C23:C37)</f>
        <v>0</v>
      </c>
      <c r="D39" s="1865">
        <f t="shared" si="3"/>
        <v>0</v>
      </c>
      <c r="E39" s="1865">
        <f t="shared" si="3"/>
        <v>0</v>
      </c>
      <c r="F39" s="1865">
        <f t="shared" si="3"/>
        <v>1176183</v>
      </c>
      <c r="G39" s="1865">
        <f t="shared" si="3"/>
        <v>0</v>
      </c>
      <c r="H39" s="1865">
        <f>SUM(H23:H37)</f>
        <v>722364</v>
      </c>
      <c r="I39" s="1865">
        <f>SUM(I23:I37)</f>
        <v>786357</v>
      </c>
      <c r="J39" s="1865">
        <f>SUM(J23:J37)</f>
        <v>0</v>
      </c>
      <c r="K39" s="1865">
        <f t="shared" si="3"/>
        <v>704066</v>
      </c>
      <c r="L39" s="1865">
        <f t="shared" si="3"/>
        <v>98000</v>
      </c>
      <c r="M39" s="1865"/>
      <c r="N39" s="1865">
        <f t="shared" si="3"/>
        <v>0</v>
      </c>
      <c r="O39" s="1865">
        <f t="shared" si="3"/>
        <v>0</v>
      </c>
      <c r="P39" s="1866">
        <f>SUM(P23:P38)</f>
        <v>3486970</v>
      </c>
      <c r="Q39" s="1864" t="s">
        <v>485</v>
      </c>
      <c r="R39" s="8743">
        <f>SUM(R23:R38)</f>
        <v>439833684.50999993</v>
      </c>
    </row>
    <row r="40" spans="1:18" ht="8.25" customHeight="1" thickTop="1">
      <c r="A40" s="1860" t="s">
        <v>9</v>
      </c>
      <c r="B40" s="1867"/>
      <c r="C40" s="1867"/>
      <c r="D40" s="1867"/>
      <c r="E40" s="1867"/>
      <c r="F40" s="1867"/>
      <c r="G40" s="8563"/>
      <c r="H40" s="1867"/>
      <c r="I40" s="1867"/>
      <c r="J40" s="1867"/>
      <c r="K40" s="1867"/>
      <c r="L40" s="1867"/>
      <c r="M40" s="8563"/>
      <c r="N40" s="1867"/>
      <c r="O40" s="1868"/>
      <c r="P40" s="1861" t="s">
        <v>9</v>
      </c>
      <c r="Q40" s="1860" t="s">
        <v>9</v>
      </c>
    </row>
    <row r="41" spans="1:18" ht="12.9" customHeight="1">
      <c r="A41" s="7085" t="s">
        <v>593</v>
      </c>
      <c r="B41" s="7086"/>
      <c r="C41" s="7086"/>
      <c r="D41" s="7086"/>
      <c r="E41" s="7086"/>
      <c r="F41" s="7086"/>
      <c r="G41" s="8565"/>
      <c r="H41" s="7086">
        <v>17990</v>
      </c>
      <c r="I41" s="7086"/>
      <c r="J41" s="7086"/>
      <c r="K41" s="7086"/>
      <c r="L41" s="7086"/>
      <c r="M41" s="8565"/>
      <c r="N41" s="7086"/>
      <c r="O41" s="7087"/>
      <c r="P41" s="7088">
        <f t="shared" ref="P41:P49" si="4">SUM(B41:O41)</f>
        <v>17990</v>
      </c>
      <c r="Q41" s="7085" t="s">
        <v>593</v>
      </c>
      <c r="R41" s="8740">
        <f>'WS-PS 2017'!AA42+'WS-MOOE 2017'!CG42+'WS-CO 2017'!P41</f>
        <v>2571880.3200000003</v>
      </c>
    </row>
    <row r="42" spans="1:18" ht="12.9" customHeight="1">
      <c r="A42" s="7089" t="s">
        <v>594</v>
      </c>
      <c r="B42" s="7090"/>
      <c r="C42" s="7090"/>
      <c r="D42" s="7090"/>
      <c r="E42" s="7090"/>
      <c r="F42" s="7090"/>
      <c r="G42" s="7090"/>
      <c r="H42" s="7090"/>
      <c r="I42" s="7090"/>
      <c r="J42" s="7090"/>
      <c r="K42" s="7090"/>
      <c r="L42" s="7090"/>
      <c r="M42" s="7090"/>
      <c r="N42" s="7090"/>
      <c r="O42" s="7091"/>
      <c r="P42" s="7092">
        <f t="shared" si="4"/>
        <v>0</v>
      </c>
      <c r="Q42" s="7089" t="s">
        <v>594</v>
      </c>
      <c r="R42" s="8740">
        <f>'WS-PS 2017'!AA43+'WS-MOOE 2017'!CG43+'WS-CO 2017'!P42</f>
        <v>3127495.5100000002</v>
      </c>
    </row>
    <row r="43" spans="1:18" ht="12.9" customHeight="1">
      <c r="A43" s="7089" t="s">
        <v>595</v>
      </c>
      <c r="B43" s="7090"/>
      <c r="C43" s="7090"/>
      <c r="D43" s="7090"/>
      <c r="E43" s="7090"/>
      <c r="F43" s="7090">
        <v>84779</v>
      </c>
      <c r="G43" s="7090"/>
      <c r="H43" s="7090"/>
      <c r="I43" s="7090"/>
      <c r="J43" s="7090"/>
      <c r="K43" s="7090"/>
      <c r="L43" s="7090"/>
      <c r="M43" s="7090"/>
      <c r="N43" s="7090"/>
      <c r="O43" s="7091"/>
      <c r="P43" s="7092">
        <f t="shared" si="4"/>
        <v>84779</v>
      </c>
      <c r="Q43" s="7089" t="s">
        <v>595</v>
      </c>
      <c r="R43" s="8740">
        <f>'WS-PS 2017'!AA44+'WS-MOOE 2017'!CG44+'WS-CO 2017'!P43</f>
        <v>2371706.87</v>
      </c>
    </row>
    <row r="44" spans="1:18" ht="12.9" customHeight="1">
      <c r="A44" s="7089" t="s">
        <v>596</v>
      </c>
      <c r="B44" s="7090"/>
      <c r="C44" s="7090"/>
      <c r="D44" s="7090"/>
      <c r="E44" s="7090"/>
      <c r="F44" s="7090">
        <v>30810</v>
      </c>
      <c r="G44" s="7090"/>
      <c r="H44" s="7090">
        <v>37200</v>
      </c>
      <c r="I44" s="7090"/>
      <c r="J44" s="7090"/>
      <c r="K44" s="7090"/>
      <c r="L44" s="7090"/>
      <c r="M44" s="7090"/>
      <c r="N44" s="7090"/>
      <c r="O44" s="7091"/>
      <c r="P44" s="7092">
        <f t="shared" si="4"/>
        <v>68010</v>
      </c>
      <c r="Q44" s="7089" t="s">
        <v>596</v>
      </c>
      <c r="R44" s="8740">
        <f>'WS-PS 2017'!AA45+'WS-MOOE 2017'!CG45+'WS-CO 2017'!P44</f>
        <v>3036505.3</v>
      </c>
    </row>
    <row r="45" spans="1:18" ht="12.9" customHeight="1">
      <c r="A45" s="7089" t="s">
        <v>10813</v>
      </c>
      <c r="B45" s="7090"/>
      <c r="C45" s="7090"/>
      <c r="D45" s="7090"/>
      <c r="E45" s="7090"/>
      <c r="F45" s="7090">
        <v>50255</v>
      </c>
      <c r="G45" s="7090"/>
      <c r="H45" s="7090">
        <v>70750</v>
      </c>
      <c r="I45" s="7090"/>
      <c r="J45" s="7090"/>
      <c r="K45" s="7090">
        <v>58140</v>
      </c>
      <c r="L45" s="7090"/>
      <c r="M45" s="7090"/>
      <c r="N45" s="7090"/>
      <c r="O45" s="7091"/>
      <c r="P45" s="7092">
        <f t="shared" si="4"/>
        <v>179145</v>
      </c>
      <c r="Q45" s="7089" t="s">
        <v>10813</v>
      </c>
      <c r="R45" s="8740">
        <f>'WS-PS 2017'!AA46+'WS-MOOE 2017'!CG46+'WS-CO 2017'!P45</f>
        <v>2224778.5</v>
      </c>
    </row>
    <row r="46" spans="1:18" ht="12.9" customHeight="1">
      <c r="A46" s="7089" t="s">
        <v>598</v>
      </c>
      <c r="B46" s="7093"/>
      <c r="C46" s="7093"/>
      <c r="D46" s="7093"/>
      <c r="E46" s="7093"/>
      <c r="F46" s="7093"/>
      <c r="G46" s="7093"/>
      <c r="H46" s="7093"/>
      <c r="I46" s="7093"/>
      <c r="J46" s="7093"/>
      <c r="K46" s="7093">
        <v>296560</v>
      </c>
      <c r="L46" s="7093"/>
      <c r="M46" s="7093"/>
      <c r="N46" s="7093"/>
      <c r="O46" s="7094"/>
      <c r="P46" s="7092">
        <f t="shared" si="4"/>
        <v>296560</v>
      </c>
      <c r="Q46" s="7089" t="s">
        <v>598</v>
      </c>
      <c r="R46" s="8740">
        <f>P46+'WS-MOOE 2017'!CG47+'WS-PS 2017'!AA47</f>
        <v>26929665.02</v>
      </c>
    </row>
    <row r="47" spans="1:18" ht="12.9" customHeight="1">
      <c r="A47" s="7089" t="s">
        <v>599</v>
      </c>
      <c r="B47" s="7093"/>
      <c r="C47" s="7093"/>
      <c r="D47" s="7093"/>
      <c r="E47" s="7093"/>
      <c r="F47" s="7093"/>
      <c r="G47" s="7093"/>
      <c r="H47" s="7093">
        <v>65650</v>
      </c>
      <c r="I47" s="7093"/>
      <c r="J47" s="7093"/>
      <c r="K47" s="7093"/>
      <c r="L47" s="7093"/>
      <c r="M47" s="7093"/>
      <c r="N47" s="7093"/>
      <c r="O47" s="7094"/>
      <c r="P47" s="7092">
        <f t="shared" si="4"/>
        <v>65650</v>
      </c>
      <c r="Q47" s="7089" t="s">
        <v>599</v>
      </c>
      <c r="R47" s="8740">
        <f>P47+'WS-MOOE 2017'!CG48+'WS-PS 2017'!AA48</f>
        <v>17466667.170000002</v>
      </c>
    </row>
    <row r="48" spans="1:18" ht="12.9" customHeight="1">
      <c r="A48" s="7089" t="s">
        <v>600</v>
      </c>
      <c r="B48" s="7093"/>
      <c r="C48" s="7093"/>
      <c r="D48" s="7093"/>
      <c r="E48" s="7093"/>
      <c r="F48" s="7093">
        <v>437970</v>
      </c>
      <c r="G48" s="7093"/>
      <c r="H48" s="7093"/>
      <c r="I48" s="7093"/>
      <c r="J48" s="7093"/>
      <c r="K48" s="7093">
        <v>39360</v>
      </c>
      <c r="L48" s="7093"/>
      <c r="M48" s="7093"/>
      <c r="N48" s="7093"/>
      <c r="O48" s="7094"/>
      <c r="P48" s="7092">
        <f t="shared" si="4"/>
        <v>477330</v>
      </c>
      <c r="Q48" s="7089" t="s">
        <v>600</v>
      </c>
      <c r="R48" s="8740">
        <f>P48+'WS-MOOE 2017'!CG49+'WS-PS 2017'!AA49</f>
        <v>70222206.269999996</v>
      </c>
    </row>
    <row r="49" spans="1:18" ht="12.9" customHeight="1">
      <c r="A49" s="7095" t="s">
        <v>668</v>
      </c>
      <c r="B49" s="7096"/>
      <c r="C49" s="7096"/>
      <c r="D49" s="7096"/>
      <c r="E49" s="7096"/>
      <c r="F49" s="7096">
        <v>7579</v>
      </c>
      <c r="G49" s="7096"/>
      <c r="H49" s="7096"/>
      <c r="I49" s="7096"/>
      <c r="J49" s="7096"/>
      <c r="K49" s="7096">
        <v>62895</v>
      </c>
      <c r="L49" s="7096"/>
      <c r="M49" s="7096"/>
      <c r="N49" s="7096"/>
      <c r="O49" s="7097"/>
      <c r="P49" s="7098">
        <f t="shared" si="4"/>
        <v>70474</v>
      </c>
      <c r="Q49" s="7095" t="s">
        <v>668</v>
      </c>
      <c r="R49" s="8740">
        <f>P49+'WS-MOOE 2017'!CG50+'WS-PS 2017'!AA50</f>
        <v>27411557.209999997</v>
      </c>
    </row>
    <row r="50" spans="1:18" ht="3.75" customHeight="1">
      <c r="A50" s="1860"/>
      <c r="B50" s="1867"/>
      <c r="C50" s="1867"/>
      <c r="D50" s="1867"/>
      <c r="E50" s="1867"/>
      <c r="F50" s="1867"/>
      <c r="G50" s="8563"/>
      <c r="H50" s="1867"/>
      <c r="I50" s="1867"/>
      <c r="J50" s="1867"/>
      <c r="K50" s="1867"/>
      <c r="L50" s="1867"/>
      <c r="M50" s="8563"/>
      <c r="N50" s="1867"/>
      <c r="O50" s="1868"/>
      <c r="P50" s="1861"/>
      <c r="Q50" s="1860"/>
    </row>
    <row r="51" spans="1:18" ht="12.75" customHeight="1" thickBot="1">
      <c r="A51" s="1864" t="s">
        <v>485</v>
      </c>
      <c r="B51" s="1865">
        <f>SUM(B41:B49)</f>
        <v>0</v>
      </c>
      <c r="C51" s="1865">
        <f t="shared" ref="C51:O51" si="5">SUM(C41:C49)</f>
        <v>0</v>
      </c>
      <c r="D51" s="1865">
        <f t="shared" si="5"/>
        <v>0</v>
      </c>
      <c r="E51" s="1865">
        <f t="shared" si="5"/>
        <v>0</v>
      </c>
      <c r="F51" s="1865">
        <f t="shared" si="5"/>
        <v>611393</v>
      </c>
      <c r="G51" s="1865">
        <f>SUM(G41:G49)</f>
        <v>0</v>
      </c>
      <c r="H51" s="1865">
        <f>SUM(H41:H49)</f>
        <v>191590</v>
      </c>
      <c r="I51" s="1865">
        <f>SUM(I41:I49)</f>
        <v>0</v>
      </c>
      <c r="J51" s="1865">
        <f>SUM(J41:J49)</f>
        <v>0</v>
      </c>
      <c r="K51" s="1865">
        <f t="shared" si="5"/>
        <v>456955</v>
      </c>
      <c r="L51" s="1865">
        <f>SUM(L41:L49)</f>
        <v>0</v>
      </c>
      <c r="M51" s="1865">
        <f>SUM(M41:M49)</f>
        <v>0</v>
      </c>
      <c r="N51" s="1865">
        <f t="shared" si="5"/>
        <v>0</v>
      </c>
      <c r="O51" s="1865">
        <f t="shared" si="5"/>
        <v>0</v>
      </c>
      <c r="P51" s="1865">
        <f>SUM(P41:P49)</f>
        <v>1259938</v>
      </c>
      <c r="Q51" s="1864" t="s">
        <v>485</v>
      </c>
      <c r="R51" s="8743">
        <f>SUM(R41:R50)</f>
        <v>155362462.16999999</v>
      </c>
    </row>
    <row r="52" spans="1:18" ht="15.75" customHeight="1" thickTop="1" thickBot="1">
      <c r="A52" s="1869" t="s">
        <v>669</v>
      </c>
      <c r="B52" s="1870">
        <f t="shared" ref="B52:O52" si="6">SUM(B21+B39+B51)</f>
        <v>0</v>
      </c>
      <c r="C52" s="1870">
        <f t="shared" si="6"/>
        <v>3385783.62</v>
      </c>
      <c r="D52" s="1870">
        <f t="shared" si="6"/>
        <v>0</v>
      </c>
      <c r="E52" s="1870">
        <f t="shared" si="6"/>
        <v>0</v>
      </c>
      <c r="F52" s="1870">
        <f t="shared" si="6"/>
        <v>3740311</v>
      </c>
      <c r="G52" s="1870">
        <f t="shared" si="6"/>
        <v>0</v>
      </c>
      <c r="H52" s="1870">
        <f>SUM(H21+H39+H51)</f>
        <v>2260857</v>
      </c>
      <c r="I52" s="1870">
        <f>SUM(I21+I39+I51)</f>
        <v>1259490</v>
      </c>
      <c r="J52" s="1870">
        <f>SUM(J21+J39+J51)</f>
        <v>71780</v>
      </c>
      <c r="K52" s="1870">
        <f t="shared" si="6"/>
        <v>1591417.25</v>
      </c>
      <c r="L52" s="1870">
        <f t="shared" si="6"/>
        <v>98000</v>
      </c>
      <c r="M52" s="1870">
        <f t="shared" si="6"/>
        <v>0</v>
      </c>
      <c r="N52" s="1870">
        <f t="shared" si="6"/>
        <v>0</v>
      </c>
      <c r="O52" s="1870">
        <f t="shared" si="6"/>
        <v>0</v>
      </c>
      <c r="P52" s="1870">
        <f>SUM(B52:O52)</f>
        <v>12407638.870000001</v>
      </c>
      <c r="Q52" s="1869" t="s">
        <v>669</v>
      </c>
      <c r="R52" s="8740">
        <f>R51+R39+R21</f>
        <v>1018318228.3399999</v>
      </c>
    </row>
    <row r="53" spans="1:18" ht="15.6" thickTop="1">
      <c r="B53" s="1859"/>
      <c r="C53" s="1859"/>
      <c r="D53" s="1859"/>
      <c r="E53" s="1859"/>
      <c r="F53" s="1859"/>
      <c r="G53" s="1859"/>
      <c r="H53" s="1859"/>
      <c r="I53" s="1859"/>
      <c r="J53" s="1859"/>
      <c r="K53" s="1859"/>
      <c r="L53" s="1859"/>
      <c r="M53" s="1859"/>
      <c r="N53" s="1859"/>
      <c r="O53" s="1859"/>
      <c r="P53" s="1859"/>
    </row>
    <row r="54" spans="1:18" s="10197" customFormat="1" ht="13.8">
      <c r="P54" s="10197">
        <f>P51+P39+P21</f>
        <v>12407638.870000001</v>
      </c>
      <c r="R54" s="10198">
        <f>P52+'WS-MOOE 2017'!CG54+'WS-PS 2017'!AA60</f>
        <v>1018318228.3399999</v>
      </c>
    </row>
    <row r="55" spans="1:18" s="10197" customFormat="1" ht="18" customHeight="1">
      <c r="R55" s="10198"/>
    </row>
    <row r="56" spans="1:18" s="10197" customFormat="1" ht="13.8">
      <c r="R56" s="10198">
        <f>R54-'LBPF No. 2'!E97</f>
        <v>-401034966.33000016</v>
      </c>
    </row>
  </sheetData>
  <mergeCells count="2">
    <mergeCell ref="A2:A3"/>
    <mergeCell ref="Q2:Q3"/>
  </mergeCells>
  <pageMargins left="0.25" right="0.25" top="0" bottom="0" header="0" footer="0"/>
  <pageSetup paperSize="136" scale="90" orientation="landscape" verticalDpi="300" r:id="rId1"/>
  <headerFooter alignWithMargins="0"/>
</worksheet>
</file>

<file path=xl/worksheets/sheet199.xml><?xml version="1.0" encoding="utf-8"?>
<worksheet xmlns="http://schemas.openxmlformats.org/spreadsheetml/2006/main" xmlns:r="http://schemas.openxmlformats.org/officeDocument/2006/relationships">
  <sheetPr codeName="Sheet224"/>
  <dimension ref="A1:D20"/>
  <sheetViews>
    <sheetView workbookViewId="0">
      <selection activeCell="C2" sqref="C2"/>
    </sheetView>
  </sheetViews>
  <sheetFormatPr defaultRowHeight="14.4"/>
  <cols>
    <col min="1" max="1" width="15.109375" customWidth="1"/>
    <col min="2" max="3" width="15.88671875" style="1298" customWidth="1"/>
    <col min="4" max="4" width="18.109375" customWidth="1"/>
  </cols>
  <sheetData>
    <row r="1" spans="1:4" s="6898" customFormat="1">
      <c r="B1" s="1298" t="s">
        <v>11469</v>
      </c>
      <c r="C1" s="1298" t="s">
        <v>11619</v>
      </c>
      <c r="D1" s="10224" t="s">
        <v>11470</v>
      </c>
    </row>
    <row r="2" spans="1:4">
      <c r="A2" s="6898" t="s">
        <v>10536</v>
      </c>
      <c r="B2" s="1298">
        <v>54556.86</v>
      </c>
      <c r="C2" s="1298">
        <v>0</v>
      </c>
      <c r="D2" s="1298"/>
    </row>
    <row r="3" spans="1:4">
      <c r="A3" s="6898" t="s">
        <v>10537</v>
      </c>
      <c r="B3" s="1298">
        <v>0</v>
      </c>
      <c r="C3" s="1298">
        <v>0</v>
      </c>
      <c r="D3" s="1298"/>
    </row>
    <row r="4" spans="1:4">
      <c r="A4" s="6898" t="s">
        <v>10036</v>
      </c>
      <c r="B4" s="1298">
        <v>0</v>
      </c>
      <c r="C4" s="1298">
        <v>0</v>
      </c>
      <c r="D4" s="1298"/>
    </row>
    <row r="5" spans="1:4">
      <c r="A5" s="6898" t="s">
        <v>10538</v>
      </c>
      <c r="B5" s="1298">
        <v>353285.23</v>
      </c>
      <c r="C5" s="1298">
        <v>97417.91</v>
      </c>
      <c r="D5" s="1298"/>
    </row>
    <row r="6" spans="1:4">
      <c r="A6" s="6898" t="s">
        <v>10062</v>
      </c>
      <c r="B6" s="1298">
        <v>59135.360000000001</v>
      </c>
      <c r="C6" s="1298">
        <v>22695.1</v>
      </c>
      <c r="D6" s="1298"/>
    </row>
    <row r="7" spans="1:4">
      <c r="A7" s="6898" t="s">
        <v>10539</v>
      </c>
      <c r="B7" s="1298">
        <v>59830.85</v>
      </c>
      <c r="C7" s="1298">
        <v>4907.12</v>
      </c>
      <c r="D7" s="1298"/>
    </row>
    <row r="8" spans="1:4">
      <c r="A8" s="6898" t="s">
        <v>10540</v>
      </c>
      <c r="B8" s="1298">
        <v>51473.1</v>
      </c>
      <c r="C8" s="1298">
        <v>12350.12</v>
      </c>
      <c r="D8" s="1298"/>
    </row>
    <row r="9" spans="1:4">
      <c r="A9" s="6898" t="s">
        <v>10541</v>
      </c>
      <c r="B9" s="1298">
        <v>51569.17</v>
      </c>
      <c r="C9" s="1298">
        <v>25764.59</v>
      </c>
      <c r="D9" s="1298"/>
    </row>
    <row r="10" spans="1:4">
      <c r="A10" s="6898" t="s">
        <v>10542</v>
      </c>
      <c r="B10" s="1298">
        <v>66400.81</v>
      </c>
      <c r="C10" s="1298">
        <v>39191.360000000001</v>
      </c>
      <c r="D10" s="1298"/>
    </row>
    <row r="11" spans="1:4">
      <c r="A11" s="6898" t="s">
        <v>10543</v>
      </c>
      <c r="B11" s="1298">
        <v>27931.18</v>
      </c>
      <c r="C11" s="1298">
        <v>5072.68</v>
      </c>
      <c r="D11" s="1298"/>
    </row>
    <row r="12" spans="1:4">
      <c r="A12" s="6898" t="s">
        <v>10544</v>
      </c>
      <c r="B12" s="1298">
        <v>29809.27</v>
      </c>
      <c r="C12" s="1298">
        <v>10434.32</v>
      </c>
      <c r="D12" s="1298"/>
    </row>
    <row r="13" spans="1:4">
      <c r="A13" s="6898" t="s">
        <v>10545</v>
      </c>
      <c r="B13" s="1298">
        <v>39775.25</v>
      </c>
      <c r="C13" s="1298">
        <v>8393.82</v>
      </c>
      <c r="D13" s="1298"/>
    </row>
    <row r="14" spans="1:4">
      <c r="A14" s="6898" t="s">
        <v>10546</v>
      </c>
      <c r="B14" s="1298">
        <v>55270.44</v>
      </c>
      <c r="C14" s="1298">
        <v>9063.7000000000007</v>
      </c>
      <c r="D14" s="1298"/>
    </row>
    <row r="15" spans="1:4">
      <c r="A15" s="6898" t="s">
        <v>10547</v>
      </c>
      <c r="B15" s="1298">
        <v>38236.25</v>
      </c>
      <c r="C15" s="1298">
        <v>10000</v>
      </c>
      <c r="D15" s="1298"/>
    </row>
    <row r="16" spans="1:4">
      <c r="A16" s="6898" t="s">
        <v>10548</v>
      </c>
      <c r="B16" s="1298">
        <v>34508.300000000003</v>
      </c>
      <c r="C16" s="1298">
        <v>12998.85</v>
      </c>
      <c r="D16" s="1298"/>
    </row>
    <row r="17" spans="1:4">
      <c r="A17" s="6898" t="s">
        <v>4087</v>
      </c>
      <c r="B17" s="10678">
        <v>91695.7</v>
      </c>
      <c r="C17" s="10678">
        <v>11371.9</v>
      </c>
      <c r="D17" s="1298"/>
    </row>
    <row r="18" spans="1:4" s="10659" customFormat="1">
      <c r="B18" s="10678"/>
      <c r="C18" s="10678"/>
      <c r="D18" s="1298"/>
    </row>
    <row r="19" spans="1:4" s="10659" customFormat="1" ht="16.2">
      <c r="B19" s="6935"/>
      <c r="C19" s="6935"/>
      <c r="D19" s="1298"/>
    </row>
    <row r="20" spans="1:4" s="1158" customFormat="1">
      <c r="A20" s="1158" t="s">
        <v>220</v>
      </c>
      <c r="B20" s="5454">
        <f>SUM(B2:B19)</f>
        <v>1013477.77</v>
      </c>
      <c r="C20" s="5454">
        <f>SUM(C2:C19)</f>
        <v>269661.47000000003</v>
      </c>
      <c r="D20" s="5454">
        <f>SUM(D2:D19)</f>
        <v>0</v>
      </c>
    </row>
  </sheetData>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sheetPr codeName="Sheet15">
    <tabColor rgb="FF7030A0"/>
  </sheetPr>
  <dimension ref="A1:K51"/>
  <sheetViews>
    <sheetView showGridLines="0" workbookViewId="0">
      <selection activeCell="F22" sqref="F22"/>
    </sheetView>
  </sheetViews>
  <sheetFormatPr defaultColWidth="9.109375" defaultRowHeight="17.100000000000001" customHeight="1"/>
  <cols>
    <col min="1" max="1" width="47.109375" style="2554" customWidth="1"/>
    <col min="2" max="2" width="3.109375" style="10287" customWidth="1"/>
    <col min="3" max="3" width="19.109375" style="5649" customWidth="1"/>
    <col min="4" max="4" width="3.88671875" style="5649" customWidth="1"/>
    <col min="5" max="5" width="19.44140625" style="5649" customWidth="1"/>
    <col min="6" max="6" width="15.5546875" style="2554" bestFit="1" customWidth="1"/>
    <col min="7" max="7" width="9.109375" style="2554"/>
    <col min="8" max="8" width="18.88671875" style="2554" hidden="1" customWidth="1"/>
    <col min="9" max="14" width="0" style="2554" hidden="1" customWidth="1"/>
    <col min="15" max="16384" width="9.109375" style="2554"/>
  </cols>
  <sheetData>
    <row r="1" spans="1:5" ht="17.100000000000001" customHeight="1">
      <c r="A1" s="5649" t="s">
        <v>4820</v>
      </c>
    </row>
    <row r="2" spans="1:5" ht="17.100000000000001" customHeight="1">
      <c r="A2" s="13981" t="s">
        <v>3112</v>
      </c>
      <c r="B2" s="13981"/>
      <c r="C2" s="13981"/>
      <c r="D2" s="13981"/>
      <c r="E2" s="13981"/>
    </row>
    <row r="3" spans="1:5" ht="17.100000000000001" customHeight="1">
      <c r="A3" s="13981" t="s">
        <v>3113</v>
      </c>
      <c r="B3" s="13981"/>
      <c r="C3" s="13981"/>
      <c r="D3" s="13981"/>
      <c r="E3" s="13981"/>
    </row>
    <row r="4" spans="1:5" ht="17.100000000000001" customHeight="1">
      <c r="A4" s="13982" t="s">
        <v>463</v>
      </c>
      <c r="B4" s="13982"/>
      <c r="C4" s="13982"/>
      <c r="D4" s="13982"/>
      <c r="E4" s="13982"/>
    </row>
    <row r="6" spans="1:5" ht="17.100000000000001" customHeight="1">
      <c r="A6" s="2658" t="s">
        <v>3114</v>
      </c>
      <c r="B6" s="10290"/>
      <c r="C6" s="2659"/>
      <c r="D6" s="2659"/>
      <c r="E6" s="2659">
        <f>'LGBRPS-2'!F19</f>
        <v>1995556313.78</v>
      </c>
    </row>
    <row r="7" spans="1:5" ht="17.100000000000001" customHeight="1">
      <c r="A7" s="2660"/>
      <c r="B7" s="10291"/>
      <c r="C7" s="2661"/>
      <c r="D7" s="2661"/>
      <c r="E7" s="2661"/>
    </row>
    <row r="8" spans="1:5" ht="17.100000000000001" customHeight="1">
      <c r="A8" s="2658"/>
      <c r="B8" s="10290"/>
      <c r="C8" s="2659"/>
      <c r="D8" s="2659"/>
      <c r="E8" s="2659"/>
    </row>
    <row r="9" spans="1:5" ht="17.100000000000001" customHeight="1">
      <c r="A9" s="2554" t="s">
        <v>3115</v>
      </c>
      <c r="C9" s="5650"/>
      <c r="D9" s="5650"/>
      <c r="E9" s="5650">
        <f>'LGBRPS-2'!L43</f>
        <v>898000341.20099998</v>
      </c>
    </row>
    <row r="10" spans="1:5" ht="17.100000000000001" customHeight="1">
      <c r="A10" s="10610" t="s">
        <v>3116</v>
      </c>
      <c r="B10" s="10293" t="s">
        <v>1133</v>
      </c>
      <c r="C10" s="10294">
        <f>'2019 ps worksheet'!B57+'2019 ps worksheet'!C57</f>
        <v>485340836</v>
      </c>
      <c r="D10" s="5650"/>
      <c r="E10" s="5650"/>
    </row>
    <row r="11" spans="1:5" ht="17.100000000000001" hidden="1" customHeight="1">
      <c r="A11" s="2554" t="s">
        <v>3117</v>
      </c>
      <c r="B11" s="10293" t="s">
        <v>1133</v>
      </c>
      <c r="C11" s="10294">
        <v>0</v>
      </c>
      <c r="D11" s="5650"/>
      <c r="E11" s="5650"/>
    </row>
    <row r="12" spans="1:5" ht="17.100000000000001" hidden="1" customHeight="1">
      <c r="A12" s="2554" t="s">
        <v>3118</v>
      </c>
      <c r="B12" s="10293" t="s">
        <v>1133</v>
      </c>
      <c r="C12" s="10294">
        <v>0</v>
      </c>
      <c r="D12" s="5650"/>
      <c r="E12" s="5650"/>
    </row>
    <row r="13" spans="1:5" ht="17.100000000000001" customHeight="1">
      <c r="A13" s="2554" t="s">
        <v>3119</v>
      </c>
      <c r="B13" s="10293" t="s">
        <v>1133</v>
      </c>
      <c r="C13" s="10294">
        <f>'2019 ps worksheet'!D57</f>
        <v>43008000</v>
      </c>
      <c r="D13" s="5650"/>
      <c r="E13" s="5650"/>
    </row>
    <row r="14" spans="1:5" ht="17.100000000000001" customHeight="1">
      <c r="A14" s="2554" t="s">
        <v>3120</v>
      </c>
      <c r="B14" s="10293" t="s">
        <v>1133</v>
      </c>
      <c r="C14" s="10294">
        <f>'2019 ps worksheet'!G57</f>
        <v>10752000</v>
      </c>
      <c r="D14" s="5650"/>
      <c r="E14" s="5650"/>
    </row>
    <row r="15" spans="1:5" ht="17.100000000000001" customHeight="1">
      <c r="A15" s="2554" t="s">
        <v>3121</v>
      </c>
      <c r="B15" s="10293" t="s">
        <v>1133</v>
      </c>
      <c r="C15" s="10294">
        <f>'2019 ps worksheet'!E57+'2019 ps worksheet'!F57</f>
        <v>7866000</v>
      </c>
      <c r="D15" s="5650"/>
      <c r="E15" s="5650"/>
    </row>
    <row r="16" spans="1:5" ht="17.100000000000001" customHeight="1">
      <c r="A16" s="5785" t="s">
        <v>10528</v>
      </c>
      <c r="B16" s="10293" t="s">
        <v>1133</v>
      </c>
      <c r="C16" s="10294">
        <f>'2019 ps worksheet'!J57</f>
        <v>8960000</v>
      </c>
      <c r="D16" s="5650"/>
      <c r="E16" s="5650"/>
    </row>
    <row r="17" spans="1:9" ht="17.100000000000001" hidden="1" customHeight="1">
      <c r="A17" s="5785" t="s">
        <v>10529</v>
      </c>
      <c r="B17" s="10293" t="s">
        <v>1133</v>
      </c>
      <c r="C17" s="10294">
        <f>'2019 ps worksheet'!M57</f>
        <v>0</v>
      </c>
      <c r="D17" s="5650"/>
      <c r="E17" s="5650"/>
    </row>
    <row r="18" spans="1:9" ht="17.100000000000001" customHeight="1">
      <c r="A18" s="10176" t="s">
        <v>11415</v>
      </c>
      <c r="B18" s="10293" t="s">
        <v>1133</v>
      </c>
      <c r="C18" s="10294">
        <f>'2019 ps worksheet'!P57+'2019 ps worksheet'!Q57</f>
        <v>89572806</v>
      </c>
      <c r="D18" s="5650"/>
      <c r="E18" s="5650"/>
    </row>
    <row r="19" spans="1:9" ht="17.100000000000001" customHeight="1">
      <c r="A19" s="2554" t="s">
        <v>648</v>
      </c>
      <c r="B19" s="10293" t="s">
        <v>1133</v>
      </c>
      <c r="C19" s="10294">
        <f>'2019 ps worksheet'!H57</f>
        <v>6588000</v>
      </c>
      <c r="D19" s="5650"/>
      <c r="E19" s="5650"/>
    </row>
    <row r="20" spans="1:9" ht="17.100000000000001" customHeight="1">
      <c r="A20" s="2554" t="s">
        <v>3122</v>
      </c>
      <c r="B20" s="10293" t="s">
        <v>1133</v>
      </c>
      <c r="C20" s="10294">
        <f>'2019 ps worksheet'!N57</f>
        <v>46232979</v>
      </c>
      <c r="D20" s="5650"/>
      <c r="E20" s="5650"/>
    </row>
    <row r="21" spans="1:9" ht="17.100000000000001" customHeight="1">
      <c r="A21" s="2554" t="s">
        <v>3123</v>
      </c>
      <c r="B21" s="10293" t="s">
        <v>1133</v>
      </c>
      <c r="C21" s="10294">
        <f>summary!C55</f>
        <v>11596965.324999772</v>
      </c>
      <c r="D21" s="5650"/>
      <c r="E21" s="5650"/>
    </row>
    <row r="22" spans="1:9" ht="17.100000000000001" customHeight="1">
      <c r="A22" s="2554" t="s">
        <v>3124</v>
      </c>
      <c r="B22" s="10293" t="s">
        <v>1133</v>
      </c>
      <c r="C22" s="10294">
        <f>'2019 ps worksheet'!I57+'2019 ps worksheet'!O57+'2019 ps worksheet'!Y57+'2019 ps worksheet'!L57</f>
        <v>10937200</v>
      </c>
      <c r="D22" s="5650"/>
      <c r="E22" s="5650"/>
    </row>
    <row r="23" spans="1:9" ht="17.100000000000001" customHeight="1">
      <c r="A23" s="2554" t="s">
        <v>3125</v>
      </c>
      <c r="B23" s="10293" t="s">
        <v>1133</v>
      </c>
      <c r="C23" s="10294">
        <f>'2019 ps worksheet'!U57</f>
        <v>2150400</v>
      </c>
      <c r="D23" s="5650"/>
      <c r="E23" s="5650"/>
    </row>
    <row r="24" spans="1:9" ht="17.100000000000001" customHeight="1">
      <c r="A24" s="2554" t="s">
        <v>3127</v>
      </c>
      <c r="B24" s="10293" t="s">
        <v>1133</v>
      </c>
      <c r="C24" s="10294">
        <f>'2019 ps worksheet'!T57</f>
        <v>5529354.1050000004</v>
      </c>
      <c r="D24" s="5650"/>
      <c r="E24" s="5650"/>
    </row>
    <row r="25" spans="1:9" ht="17.100000000000001" customHeight="1">
      <c r="A25" s="2554" t="s">
        <v>3126</v>
      </c>
      <c r="B25" s="10293" t="s">
        <v>1133</v>
      </c>
      <c r="C25" s="10294">
        <f>'2019 ps worksheet'!S57</f>
        <v>2150400</v>
      </c>
      <c r="D25" s="5650"/>
      <c r="E25" s="5650"/>
    </row>
    <row r="26" spans="1:9" ht="17.100000000000001" customHeight="1">
      <c r="A26" s="2554" t="s">
        <v>3128</v>
      </c>
      <c r="B26" s="10293" t="s">
        <v>1133</v>
      </c>
      <c r="C26" s="10294">
        <f>'2019 ps worksheet'!R57</f>
        <v>58180900.319999993</v>
      </c>
      <c r="D26" s="5650"/>
      <c r="E26" s="5650"/>
    </row>
    <row r="27" spans="1:9" ht="17.100000000000001" customHeight="1">
      <c r="A27" s="5783" t="s">
        <v>10331</v>
      </c>
      <c r="B27" s="10293" t="s">
        <v>1133</v>
      </c>
      <c r="C27" s="10294">
        <f>'2019 ps worksheet'!X57</f>
        <v>936000</v>
      </c>
      <c r="D27" s="5650"/>
      <c r="E27" s="5650"/>
    </row>
    <row r="28" spans="1:9" ht="17.100000000000001" customHeight="1">
      <c r="A28" s="2554" t="s">
        <v>3129</v>
      </c>
      <c r="B28" s="10293" t="s">
        <v>1133</v>
      </c>
      <c r="C28" s="10294">
        <f>summary!C56</f>
        <v>18132528</v>
      </c>
      <c r="D28" s="5650"/>
      <c r="E28" s="5650"/>
    </row>
    <row r="29" spans="1:9" ht="17.100000000000001" hidden="1" customHeight="1">
      <c r="A29" s="5783" t="s">
        <v>6645</v>
      </c>
      <c r="B29" s="10293" t="s">
        <v>1133</v>
      </c>
      <c r="C29" s="10294">
        <f>'2019 ps worksheet'!W57</f>
        <v>0</v>
      </c>
      <c r="D29" s="5650"/>
      <c r="E29" s="5650"/>
    </row>
    <row r="30" spans="1:9" ht="17.100000000000001" customHeight="1">
      <c r="A30" s="5757" t="s">
        <v>10268</v>
      </c>
      <c r="B30" s="10293" t="s">
        <v>1133</v>
      </c>
      <c r="C30" s="5650">
        <f>'2019 ps worksheet'!K57</f>
        <v>0</v>
      </c>
      <c r="D30" s="5650"/>
      <c r="E30" s="5650"/>
    </row>
    <row r="31" spans="1:9" ht="17.100000000000001" customHeight="1">
      <c r="C31" s="5650"/>
      <c r="D31" s="5650"/>
      <c r="E31" s="5650"/>
    </row>
    <row r="32" spans="1:9" s="4033" customFormat="1" ht="17.100000000000001" customHeight="1">
      <c r="A32" s="4033" t="s">
        <v>11503</v>
      </c>
      <c r="B32" s="10286"/>
      <c r="C32" s="10299">
        <f>SUM(C10:C30)</f>
        <v>807934368.74999976</v>
      </c>
      <c r="D32" s="10297"/>
      <c r="E32" s="10300"/>
      <c r="F32" s="10301"/>
      <c r="H32" s="10300">
        <f>'2019 ps worksheet'!Z57</f>
        <v>807934368.74999976</v>
      </c>
      <c r="I32" s="4033" t="s">
        <v>10437</v>
      </c>
    </row>
    <row r="33" spans="1:11" ht="17.100000000000001" customHeight="1">
      <c r="C33" s="5650"/>
      <c r="D33" s="5650"/>
      <c r="E33" s="5650"/>
      <c r="F33" s="9281"/>
      <c r="H33" s="5649">
        <f>C32-C28</f>
        <v>789801840.74999976</v>
      </c>
      <c r="I33" s="5783" t="s">
        <v>10330</v>
      </c>
    </row>
    <row r="34" spans="1:11" s="10302" customFormat="1" ht="17.100000000000001" customHeight="1">
      <c r="A34" s="10302" t="s">
        <v>11505</v>
      </c>
      <c r="B34" s="10303"/>
      <c r="C34" s="10304">
        <f>C28+C21</f>
        <v>29729493.324999772</v>
      </c>
      <c r="D34" s="10304"/>
      <c r="E34" s="10305"/>
      <c r="H34" s="10305">
        <f>H33-C21</f>
        <v>778204875.42499995</v>
      </c>
      <c r="I34" s="10302" t="s">
        <v>10329</v>
      </c>
    </row>
    <row r="35" spans="1:11" ht="17.100000000000001" customHeight="1">
      <c r="A35" s="10295" t="s">
        <v>11504</v>
      </c>
      <c r="H35" s="5649"/>
    </row>
    <row r="36" spans="1:11" ht="17.100000000000001" customHeight="1">
      <c r="A36" s="2554" t="s">
        <v>3130</v>
      </c>
      <c r="D36" s="5650"/>
      <c r="E36" s="10296">
        <f>C32-C34</f>
        <v>778204875.42499995</v>
      </c>
    </row>
    <row r="37" spans="1:11" ht="17.100000000000001" customHeight="1">
      <c r="A37" s="5651"/>
      <c r="C37" s="5650"/>
      <c r="D37" s="5650"/>
      <c r="E37" s="5650"/>
    </row>
    <row r="38" spans="1:11" s="5646" customFormat="1" ht="20.25" customHeight="1">
      <c r="A38" s="5646" t="s">
        <v>7235</v>
      </c>
      <c r="B38" s="10292"/>
      <c r="C38" s="5647"/>
      <c r="D38" s="5647"/>
      <c r="E38" s="10298">
        <f>E9-E36</f>
        <v>119795465.77600002</v>
      </c>
      <c r="H38" s="5648">
        <f>E9-H34</f>
        <v>119795465.77600002</v>
      </c>
    </row>
    <row r="40" spans="1:11" ht="14.25" customHeight="1"/>
    <row r="41" spans="1:11" ht="14.25" customHeight="1"/>
    <row r="42" spans="1:11" s="5652" customFormat="1" ht="14.25" hidden="1" customHeight="1">
      <c r="A42" s="3369" t="s">
        <v>9177</v>
      </c>
      <c r="B42" s="3370"/>
      <c r="C42" s="5652" t="s">
        <v>3485</v>
      </c>
      <c r="G42" s="3369"/>
    </row>
    <row r="43" spans="1:11" s="5645" customFormat="1" ht="14.25" hidden="1" customHeight="1">
      <c r="A43" s="3371"/>
      <c r="B43" s="10285"/>
      <c r="C43" s="3371"/>
      <c r="D43" s="3371"/>
      <c r="E43" s="3371"/>
      <c r="F43" s="3371"/>
      <c r="G43" s="3371"/>
      <c r="I43" s="3371"/>
      <c r="J43" s="3371"/>
      <c r="K43" s="3371"/>
    </row>
    <row r="44" spans="1:11" s="5645" customFormat="1" ht="14.25" hidden="1" customHeight="1">
      <c r="A44" s="3371"/>
      <c r="B44" s="10285"/>
      <c r="C44" s="3371"/>
      <c r="D44" s="3371"/>
      <c r="E44" s="3371"/>
      <c r="F44" s="3371"/>
      <c r="G44" s="3371"/>
      <c r="I44" s="3371"/>
      <c r="J44" s="3371"/>
      <c r="K44" s="3371"/>
    </row>
    <row r="45" spans="1:11" s="5645" customFormat="1" ht="14.25" hidden="1" customHeight="1">
      <c r="A45" s="3371"/>
      <c r="B45" s="10285"/>
      <c r="C45" s="3371"/>
      <c r="D45" s="3371"/>
      <c r="E45" s="3371"/>
      <c r="F45" s="3371"/>
      <c r="G45" s="3371"/>
      <c r="I45" s="3371"/>
      <c r="J45" s="3371"/>
      <c r="K45" s="3371"/>
    </row>
    <row r="46" spans="1:11" s="3371" customFormat="1" ht="14.25" hidden="1" customHeight="1">
      <c r="A46" s="9605" t="s">
        <v>12059</v>
      </c>
      <c r="B46" s="10285"/>
      <c r="C46" s="13980" t="s">
        <v>5182</v>
      </c>
      <c r="D46" s="13980"/>
      <c r="E46" s="13980"/>
    </row>
    <row r="47" spans="1:11" s="5653" customFormat="1" ht="14.25" hidden="1" customHeight="1">
      <c r="A47" s="5864" t="s">
        <v>3486</v>
      </c>
      <c r="B47" s="10288"/>
      <c r="C47" s="13984" t="s">
        <v>10843</v>
      </c>
      <c r="D47" s="13984"/>
      <c r="E47" s="13984"/>
    </row>
    <row r="48" spans="1:11" ht="14.25" hidden="1" customHeight="1"/>
    <row r="49" spans="1:5" ht="14.25" customHeight="1"/>
    <row r="50" spans="1:5" s="4033" customFormat="1" ht="17.100000000000001" customHeight="1">
      <c r="A50" s="5654"/>
      <c r="B50" s="10286"/>
      <c r="C50" s="13983"/>
      <c r="D50" s="13983"/>
      <c r="E50" s="13983"/>
    </row>
    <row r="51" spans="1:5" ht="17.100000000000001" customHeight="1">
      <c r="A51" s="5655"/>
      <c r="C51" s="13979"/>
      <c r="D51" s="13979"/>
      <c r="E51" s="13979"/>
    </row>
  </sheetData>
  <mergeCells count="7">
    <mergeCell ref="C51:E51"/>
    <mergeCell ref="C46:E46"/>
    <mergeCell ref="A2:E2"/>
    <mergeCell ref="A3:E3"/>
    <mergeCell ref="A4:E4"/>
    <mergeCell ref="C50:E50"/>
    <mergeCell ref="C47:E47"/>
  </mergeCells>
  <printOptions horizontalCentered="1"/>
  <pageMargins left="0.25" right="0.25" top="0.5" bottom="0.25" header="0.25" footer="0.25"/>
  <pageSetup paperSize="119" orientation="portrait" r:id="rId1"/>
</worksheet>
</file>

<file path=xl/worksheets/sheet20.xml><?xml version="1.0" encoding="utf-8"?>
<worksheet xmlns="http://schemas.openxmlformats.org/spreadsheetml/2006/main" xmlns:r="http://schemas.openxmlformats.org/officeDocument/2006/relationships">
  <sheetPr codeName="Sheet46">
    <tabColor rgb="FFFFFF00"/>
  </sheetPr>
  <dimension ref="A1:G160"/>
  <sheetViews>
    <sheetView topLeftCell="A88" workbookViewId="0">
      <selection activeCell="F147" sqref="F147"/>
    </sheetView>
  </sheetViews>
  <sheetFormatPr defaultRowHeight="15" customHeight="1"/>
  <cols>
    <col min="1" max="1" width="5.88671875" style="844" customWidth="1"/>
    <col min="2" max="2" width="30.44140625" style="844" customWidth="1"/>
    <col min="3" max="3" width="12.44140625" style="1539" customWidth="1"/>
    <col min="4" max="4" width="19.88671875" style="1543" customWidth="1"/>
    <col min="5" max="5" width="14.109375" style="1541" customWidth="1"/>
    <col min="6" max="6" width="7.88671875" style="844" customWidth="1"/>
    <col min="7" max="7" width="7" style="844" customWidth="1"/>
    <col min="8" max="256" width="9.109375" style="844"/>
    <col min="257" max="257" width="5.88671875" style="844" customWidth="1"/>
    <col min="258" max="258" width="27.88671875" style="844" customWidth="1"/>
    <col min="259" max="259" width="11.88671875" style="844" customWidth="1"/>
    <col min="260" max="260" width="17.109375" style="844" customWidth="1"/>
    <col min="261" max="261" width="10.44140625" style="844" customWidth="1"/>
    <col min="262" max="262" width="7" style="844" customWidth="1"/>
    <col min="263" max="263" width="7.88671875" style="844" customWidth="1"/>
    <col min="264" max="512" width="9.109375" style="844"/>
    <col min="513" max="513" width="5.88671875" style="844" customWidth="1"/>
    <col min="514" max="514" width="27.88671875" style="844" customWidth="1"/>
    <col min="515" max="515" width="11.88671875" style="844" customWidth="1"/>
    <col min="516" max="516" width="17.109375" style="844" customWidth="1"/>
    <col min="517" max="517" width="10.44140625" style="844" customWidth="1"/>
    <col min="518" max="518" width="7" style="844" customWidth="1"/>
    <col min="519" max="519" width="7.88671875" style="844" customWidth="1"/>
    <col min="520" max="768" width="9.109375" style="844"/>
    <col min="769" max="769" width="5.88671875" style="844" customWidth="1"/>
    <col min="770" max="770" width="27.88671875" style="844" customWidth="1"/>
    <col min="771" max="771" width="11.88671875" style="844" customWidth="1"/>
    <col min="772" max="772" width="17.109375" style="844" customWidth="1"/>
    <col min="773" max="773" width="10.44140625" style="844" customWidth="1"/>
    <col min="774" max="774" width="7" style="844" customWidth="1"/>
    <col min="775" max="775" width="7.88671875" style="844" customWidth="1"/>
    <col min="776" max="1024" width="9.109375" style="844"/>
    <col min="1025" max="1025" width="5.88671875" style="844" customWidth="1"/>
    <col min="1026" max="1026" width="27.88671875" style="844" customWidth="1"/>
    <col min="1027" max="1027" width="11.88671875" style="844" customWidth="1"/>
    <col min="1028" max="1028" width="17.109375" style="844" customWidth="1"/>
    <col min="1029" max="1029" width="10.44140625" style="844" customWidth="1"/>
    <col min="1030" max="1030" width="7" style="844" customWidth="1"/>
    <col min="1031" max="1031" width="7.88671875" style="844" customWidth="1"/>
    <col min="1032" max="1280" width="9.109375" style="844"/>
    <col min="1281" max="1281" width="5.88671875" style="844" customWidth="1"/>
    <col min="1282" max="1282" width="27.88671875" style="844" customWidth="1"/>
    <col min="1283" max="1283" width="11.88671875" style="844" customWidth="1"/>
    <col min="1284" max="1284" width="17.109375" style="844" customWidth="1"/>
    <col min="1285" max="1285" width="10.44140625" style="844" customWidth="1"/>
    <col min="1286" max="1286" width="7" style="844" customWidth="1"/>
    <col min="1287" max="1287" width="7.88671875" style="844" customWidth="1"/>
    <col min="1288" max="1536" width="9.109375" style="844"/>
    <col min="1537" max="1537" width="5.88671875" style="844" customWidth="1"/>
    <col min="1538" max="1538" width="27.88671875" style="844" customWidth="1"/>
    <col min="1539" max="1539" width="11.88671875" style="844" customWidth="1"/>
    <col min="1540" max="1540" width="17.109375" style="844" customWidth="1"/>
    <col min="1541" max="1541" width="10.44140625" style="844" customWidth="1"/>
    <col min="1542" max="1542" width="7" style="844" customWidth="1"/>
    <col min="1543" max="1543" width="7.88671875" style="844" customWidth="1"/>
    <col min="1544" max="1792" width="9.109375" style="844"/>
    <col min="1793" max="1793" width="5.88671875" style="844" customWidth="1"/>
    <col min="1794" max="1794" width="27.88671875" style="844" customWidth="1"/>
    <col min="1795" max="1795" width="11.88671875" style="844" customWidth="1"/>
    <col min="1796" max="1796" width="17.109375" style="844" customWidth="1"/>
    <col min="1797" max="1797" width="10.44140625" style="844" customWidth="1"/>
    <col min="1798" max="1798" width="7" style="844" customWidth="1"/>
    <col min="1799" max="1799" width="7.88671875" style="844" customWidth="1"/>
    <col min="1800" max="2048" width="9.109375" style="844"/>
    <col min="2049" max="2049" width="5.88671875" style="844" customWidth="1"/>
    <col min="2050" max="2050" width="27.88671875" style="844" customWidth="1"/>
    <col min="2051" max="2051" width="11.88671875" style="844" customWidth="1"/>
    <col min="2052" max="2052" width="17.109375" style="844" customWidth="1"/>
    <col min="2053" max="2053" width="10.44140625" style="844" customWidth="1"/>
    <col min="2054" max="2054" width="7" style="844" customWidth="1"/>
    <col min="2055" max="2055" width="7.88671875" style="844" customWidth="1"/>
    <col min="2056" max="2304" width="9.109375" style="844"/>
    <col min="2305" max="2305" width="5.88671875" style="844" customWidth="1"/>
    <col min="2306" max="2306" width="27.88671875" style="844" customWidth="1"/>
    <col min="2307" max="2307" width="11.88671875" style="844" customWidth="1"/>
    <col min="2308" max="2308" width="17.109375" style="844" customWidth="1"/>
    <col min="2309" max="2309" width="10.44140625" style="844" customWidth="1"/>
    <col min="2310" max="2310" width="7" style="844" customWidth="1"/>
    <col min="2311" max="2311" width="7.88671875" style="844" customWidth="1"/>
    <col min="2312" max="2560" width="9.109375" style="844"/>
    <col min="2561" max="2561" width="5.88671875" style="844" customWidth="1"/>
    <col min="2562" max="2562" width="27.88671875" style="844" customWidth="1"/>
    <col min="2563" max="2563" width="11.88671875" style="844" customWidth="1"/>
    <col min="2564" max="2564" width="17.109375" style="844" customWidth="1"/>
    <col min="2565" max="2565" width="10.44140625" style="844" customWidth="1"/>
    <col min="2566" max="2566" width="7" style="844" customWidth="1"/>
    <col min="2567" max="2567" width="7.88671875" style="844" customWidth="1"/>
    <col min="2568" max="2816" width="9.109375" style="844"/>
    <col min="2817" max="2817" width="5.88671875" style="844" customWidth="1"/>
    <col min="2818" max="2818" width="27.88671875" style="844" customWidth="1"/>
    <col min="2819" max="2819" width="11.88671875" style="844" customWidth="1"/>
    <col min="2820" max="2820" width="17.109375" style="844" customWidth="1"/>
    <col min="2821" max="2821" width="10.44140625" style="844" customWidth="1"/>
    <col min="2822" max="2822" width="7" style="844" customWidth="1"/>
    <col min="2823" max="2823" width="7.88671875" style="844" customWidth="1"/>
    <col min="2824" max="3072" width="9.109375" style="844"/>
    <col min="3073" max="3073" width="5.88671875" style="844" customWidth="1"/>
    <col min="3074" max="3074" width="27.88671875" style="844" customWidth="1"/>
    <col min="3075" max="3075" width="11.88671875" style="844" customWidth="1"/>
    <col min="3076" max="3076" width="17.109375" style="844" customWidth="1"/>
    <col min="3077" max="3077" width="10.44140625" style="844" customWidth="1"/>
    <col min="3078" max="3078" width="7" style="844" customWidth="1"/>
    <col min="3079" max="3079" width="7.88671875" style="844" customWidth="1"/>
    <col min="3080" max="3328" width="9.109375" style="844"/>
    <col min="3329" max="3329" width="5.88671875" style="844" customWidth="1"/>
    <col min="3330" max="3330" width="27.88671875" style="844" customWidth="1"/>
    <col min="3331" max="3331" width="11.88671875" style="844" customWidth="1"/>
    <col min="3332" max="3332" width="17.109375" style="844" customWidth="1"/>
    <col min="3333" max="3333" width="10.44140625" style="844" customWidth="1"/>
    <col min="3334" max="3334" width="7" style="844" customWidth="1"/>
    <col min="3335" max="3335" width="7.88671875" style="844" customWidth="1"/>
    <col min="3336" max="3584" width="9.109375" style="844"/>
    <col min="3585" max="3585" width="5.88671875" style="844" customWidth="1"/>
    <col min="3586" max="3586" width="27.88671875" style="844" customWidth="1"/>
    <col min="3587" max="3587" width="11.88671875" style="844" customWidth="1"/>
    <col min="3588" max="3588" width="17.109375" style="844" customWidth="1"/>
    <col min="3589" max="3589" width="10.44140625" style="844" customWidth="1"/>
    <col min="3590" max="3590" width="7" style="844" customWidth="1"/>
    <col min="3591" max="3591" width="7.88671875" style="844" customWidth="1"/>
    <col min="3592" max="3840" width="9.109375" style="844"/>
    <col min="3841" max="3841" width="5.88671875" style="844" customWidth="1"/>
    <col min="3842" max="3842" width="27.88671875" style="844" customWidth="1"/>
    <col min="3843" max="3843" width="11.88671875" style="844" customWidth="1"/>
    <col min="3844" max="3844" width="17.109375" style="844" customWidth="1"/>
    <col min="3845" max="3845" width="10.44140625" style="844" customWidth="1"/>
    <col min="3846" max="3846" width="7" style="844" customWidth="1"/>
    <col min="3847" max="3847" width="7.88671875" style="844" customWidth="1"/>
    <col min="3848" max="4096" width="9.109375" style="844"/>
    <col min="4097" max="4097" width="5.88671875" style="844" customWidth="1"/>
    <col min="4098" max="4098" width="27.88671875" style="844" customWidth="1"/>
    <col min="4099" max="4099" width="11.88671875" style="844" customWidth="1"/>
    <col min="4100" max="4100" width="17.109375" style="844" customWidth="1"/>
    <col min="4101" max="4101" width="10.44140625" style="844" customWidth="1"/>
    <col min="4102" max="4102" width="7" style="844" customWidth="1"/>
    <col min="4103" max="4103" width="7.88671875" style="844" customWidth="1"/>
    <col min="4104" max="4352" width="9.109375" style="844"/>
    <col min="4353" max="4353" width="5.88671875" style="844" customWidth="1"/>
    <col min="4354" max="4354" width="27.88671875" style="844" customWidth="1"/>
    <col min="4355" max="4355" width="11.88671875" style="844" customWidth="1"/>
    <col min="4356" max="4356" width="17.109375" style="844" customWidth="1"/>
    <col min="4357" max="4357" width="10.44140625" style="844" customWidth="1"/>
    <col min="4358" max="4358" width="7" style="844" customWidth="1"/>
    <col min="4359" max="4359" width="7.88671875" style="844" customWidth="1"/>
    <col min="4360" max="4608" width="9.109375" style="844"/>
    <col min="4609" max="4609" width="5.88671875" style="844" customWidth="1"/>
    <col min="4610" max="4610" width="27.88671875" style="844" customWidth="1"/>
    <col min="4611" max="4611" width="11.88671875" style="844" customWidth="1"/>
    <col min="4612" max="4612" width="17.109375" style="844" customWidth="1"/>
    <col min="4613" max="4613" width="10.44140625" style="844" customWidth="1"/>
    <col min="4614" max="4614" width="7" style="844" customWidth="1"/>
    <col min="4615" max="4615" width="7.88671875" style="844" customWidth="1"/>
    <col min="4616" max="4864" width="9.109375" style="844"/>
    <col min="4865" max="4865" width="5.88671875" style="844" customWidth="1"/>
    <col min="4866" max="4866" width="27.88671875" style="844" customWidth="1"/>
    <col min="4867" max="4867" width="11.88671875" style="844" customWidth="1"/>
    <col min="4868" max="4868" width="17.109375" style="844" customWidth="1"/>
    <col min="4869" max="4869" width="10.44140625" style="844" customWidth="1"/>
    <col min="4870" max="4870" width="7" style="844" customWidth="1"/>
    <col min="4871" max="4871" width="7.88671875" style="844" customWidth="1"/>
    <col min="4872" max="5120" width="9.109375" style="844"/>
    <col min="5121" max="5121" width="5.88671875" style="844" customWidth="1"/>
    <col min="5122" max="5122" width="27.88671875" style="844" customWidth="1"/>
    <col min="5123" max="5123" width="11.88671875" style="844" customWidth="1"/>
    <col min="5124" max="5124" width="17.109375" style="844" customWidth="1"/>
    <col min="5125" max="5125" width="10.44140625" style="844" customWidth="1"/>
    <col min="5126" max="5126" width="7" style="844" customWidth="1"/>
    <col min="5127" max="5127" width="7.88671875" style="844" customWidth="1"/>
    <col min="5128" max="5376" width="9.109375" style="844"/>
    <col min="5377" max="5377" width="5.88671875" style="844" customWidth="1"/>
    <col min="5378" max="5378" width="27.88671875" style="844" customWidth="1"/>
    <col min="5379" max="5379" width="11.88671875" style="844" customWidth="1"/>
    <col min="5380" max="5380" width="17.109375" style="844" customWidth="1"/>
    <col min="5381" max="5381" width="10.44140625" style="844" customWidth="1"/>
    <col min="5382" max="5382" width="7" style="844" customWidth="1"/>
    <col min="5383" max="5383" width="7.88671875" style="844" customWidth="1"/>
    <col min="5384" max="5632" width="9.109375" style="844"/>
    <col min="5633" max="5633" width="5.88671875" style="844" customWidth="1"/>
    <col min="5634" max="5634" width="27.88671875" style="844" customWidth="1"/>
    <col min="5635" max="5635" width="11.88671875" style="844" customWidth="1"/>
    <col min="5636" max="5636" width="17.109375" style="844" customWidth="1"/>
    <col min="5637" max="5637" width="10.44140625" style="844" customWidth="1"/>
    <col min="5638" max="5638" width="7" style="844" customWidth="1"/>
    <col min="5639" max="5639" width="7.88671875" style="844" customWidth="1"/>
    <col min="5640" max="5888" width="9.109375" style="844"/>
    <col min="5889" max="5889" width="5.88671875" style="844" customWidth="1"/>
    <col min="5890" max="5890" width="27.88671875" style="844" customWidth="1"/>
    <col min="5891" max="5891" width="11.88671875" style="844" customWidth="1"/>
    <col min="5892" max="5892" width="17.109375" style="844" customWidth="1"/>
    <col min="5893" max="5893" width="10.44140625" style="844" customWidth="1"/>
    <col min="5894" max="5894" width="7" style="844" customWidth="1"/>
    <col min="5895" max="5895" width="7.88671875" style="844" customWidth="1"/>
    <col min="5896" max="6144" width="9.109375" style="844"/>
    <col min="6145" max="6145" width="5.88671875" style="844" customWidth="1"/>
    <col min="6146" max="6146" width="27.88671875" style="844" customWidth="1"/>
    <col min="6147" max="6147" width="11.88671875" style="844" customWidth="1"/>
    <col min="6148" max="6148" width="17.109375" style="844" customWidth="1"/>
    <col min="6149" max="6149" width="10.44140625" style="844" customWidth="1"/>
    <col min="6150" max="6150" width="7" style="844" customWidth="1"/>
    <col min="6151" max="6151" width="7.88671875" style="844" customWidth="1"/>
    <col min="6152" max="6400" width="9.109375" style="844"/>
    <col min="6401" max="6401" width="5.88671875" style="844" customWidth="1"/>
    <col min="6402" max="6402" width="27.88671875" style="844" customWidth="1"/>
    <col min="6403" max="6403" width="11.88671875" style="844" customWidth="1"/>
    <col min="6404" max="6404" width="17.109375" style="844" customWidth="1"/>
    <col min="6405" max="6405" width="10.44140625" style="844" customWidth="1"/>
    <col min="6406" max="6406" width="7" style="844" customWidth="1"/>
    <col min="6407" max="6407" width="7.88671875" style="844" customWidth="1"/>
    <col min="6408" max="6656" width="9.109375" style="844"/>
    <col min="6657" max="6657" width="5.88671875" style="844" customWidth="1"/>
    <col min="6658" max="6658" width="27.88671875" style="844" customWidth="1"/>
    <col min="6659" max="6659" width="11.88671875" style="844" customWidth="1"/>
    <col min="6660" max="6660" width="17.109375" style="844" customWidth="1"/>
    <col min="6661" max="6661" width="10.44140625" style="844" customWidth="1"/>
    <col min="6662" max="6662" width="7" style="844" customWidth="1"/>
    <col min="6663" max="6663" width="7.88671875" style="844" customWidth="1"/>
    <col min="6664" max="6912" width="9.109375" style="844"/>
    <col min="6913" max="6913" width="5.88671875" style="844" customWidth="1"/>
    <col min="6914" max="6914" width="27.88671875" style="844" customWidth="1"/>
    <col min="6915" max="6915" width="11.88671875" style="844" customWidth="1"/>
    <col min="6916" max="6916" width="17.109375" style="844" customWidth="1"/>
    <col min="6917" max="6917" width="10.44140625" style="844" customWidth="1"/>
    <col min="6918" max="6918" width="7" style="844" customWidth="1"/>
    <col min="6919" max="6919" width="7.88671875" style="844" customWidth="1"/>
    <col min="6920" max="7168" width="9.109375" style="844"/>
    <col min="7169" max="7169" width="5.88671875" style="844" customWidth="1"/>
    <col min="7170" max="7170" width="27.88671875" style="844" customWidth="1"/>
    <col min="7171" max="7171" width="11.88671875" style="844" customWidth="1"/>
    <col min="7172" max="7172" width="17.109375" style="844" customWidth="1"/>
    <col min="7173" max="7173" width="10.44140625" style="844" customWidth="1"/>
    <col min="7174" max="7174" width="7" style="844" customWidth="1"/>
    <col min="7175" max="7175" width="7.88671875" style="844" customWidth="1"/>
    <col min="7176" max="7424" width="9.109375" style="844"/>
    <col min="7425" max="7425" width="5.88671875" style="844" customWidth="1"/>
    <col min="7426" max="7426" width="27.88671875" style="844" customWidth="1"/>
    <col min="7427" max="7427" width="11.88671875" style="844" customWidth="1"/>
    <col min="7428" max="7428" width="17.109375" style="844" customWidth="1"/>
    <col min="7429" max="7429" width="10.44140625" style="844" customWidth="1"/>
    <col min="7430" max="7430" width="7" style="844" customWidth="1"/>
    <col min="7431" max="7431" width="7.88671875" style="844" customWidth="1"/>
    <col min="7432" max="7680" width="9.109375" style="844"/>
    <col min="7681" max="7681" width="5.88671875" style="844" customWidth="1"/>
    <col min="7682" max="7682" width="27.88671875" style="844" customWidth="1"/>
    <col min="7683" max="7683" width="11.88671875" style="844" customWidth="1"/>
    <col min="7684" max="7684" width="17.109375" style="844" customWidth="1"/>
    <col min="7685" max="7685" width="10.44140625" style="844" customWidth="1"/>
    <col min="7686" max="7686" width="7" style="844" customWidth="1"/>
    <col min="7687" max="7687" width="7.88671875" style="844" customWidth="1"/>
    <col min="7688" max="7936" width="9.109375" style="844"/>
    <col min="7937" max="7937" width="5.88671875" style="844" customWidth="1"/>
    <col min="7938" max="7938" width="27.88671875" style="844" customWidth="1"/>
    <col min="7939" max="7939" width="11.88671875" style="844" customWidth="1"/>
    <col min="7940" max="7940" width="17.109375" style="844" customWidth="1"/>
    <col min="7941" max="7941" width="10.44140625" style="844" customWidth="1"/>
    <col min="7942" max="7942" width="7" style="844" customWidth="1"/>
    <col min="7943" max="7943" width="7.88671875" style="844" customWidth="1"/>
    <col min="7944" max="8192" width="9.109375" style="844"/>
    <col min="8193" max="8193" width="5.88671875" style="844" customWidth="1"/>
    <col min="8194" max="8194" width="27.88671875" style="844" customWidth="1"/>
    <col min="8195" max="8195" width="11.88671875" style="844" customWidth="1"/>
    <col min="8196" max="8196" width="17.109375" style="844" customWidth="1"/>
    <col min="8197" max="8197" width="10.44140625" style="844" customWidth="1"/>
    <col min="8198" max="8198" width="7" style="844" customWidth="1"/>
    <col min="8199" max="8199" width="7.88671875" style="844" customWidth="1"/>
    <col min="8200" max="8448" width="9.109375" style="844"/>
    <col min="8449" max="8449" width="5.88671875" style="844" customWidth="1"/>
    <col min="8450" max="8450" width="27.88671875" style="844" customWidth="1"/>
    <col min="8451" max="8451" width="11.88671875" style="844" customWidth="1"/>
    <col min="8452" max="8452" width="17.109375" style="844" customWidth="1"/>
    <col min="8453" max="8453" width="10.44140625" style="844" customWidth="1"/>
    <col min="8454" max="8454" width="7" style="844" customWidth="1"/>
    <col min="8455" max="8455" width="7.88671875" style="844" customWidth="1"/>
    <col min="8456" max="8704" width="9.109375" style="844"/>
    <col min="8705" max="8705" width="5.88671875" style="844" customWidth="1"/>
    <col min="8706" max="8706" width="27.88671875" style="844" customWidth="1"/>
    <col min="8707" max="8707" width="11.88671875" style="844" customWidth="1"/>
    <col min="8708" max="8708" width="17.109375" style="844" customWidth="1"/>
    <col min="8709" max="8709" width="10.44140625" style="844" customWidth="1"/>
    <col min="8710" max="8710" width="7" style="844" customWidth="1"/>
    <col min="8711" max="8711" width="7.88671875" style="844" customWidth="1"/>
    <col min="8712" max="8960" width="9.109375" style="844"/>
    <col min="8961" max="8961" width="5.88671875" style="844" customWidth="1"/>
    <col min="8962" max="8962" width="27.88671875" style="844" customWidth="1"/>
    <col min="8963" max="8963" width="11.88671875" style="844" customWidth="1"/>
    <col min="8964" max="8964" width="17.109375" style="844" customWidth="1"/>
    <col min="8965" max="8965" width="10.44140625" style="844" customWidth="1"/>
    <col min="8966" max="8966" width="7" style="844" customWidth="1"/>
    <col min="8967" max="8967" width="7.88671875" style="844" customWidth="1"/>
    <col min="8968" max="9216" width="9.109375" style="844"/>
    <col min="9217" max="9217" width="5.88671875" style="844" customWidth="1"/>
    <col min="9218" max="9218" width="27.88671875" style="844" customWidth="1"/>
    <col min="9219" max="9219" width="11.88671875" style="844" customWidth="1"/>
    <col min="9220" max="9220" width="17.109375" style="844" customWidth="1"/>
    <col min="9221" max="9221" width="10.44140625" style="844" customWidth="1"/>
    <col min="9222" max="9222" width="7" style="844" customWidth="1"/>
    <col min="9223" max="9223" width="7.88671875" style="844" customWidth="1"/>
    <col min="9224" max="9472" width="9.109375" style="844"/>
    <col min="9473" max="9473" width="5.88671875" style="844" customWidth="1"/>
    <col min="9474" max="9474" width="27.88671875" style="844" customWidth="1"/>
    <col min="9475" max="9475" width="11.88671875" style="844" customWidth="1"/>
    <col min="9476" max="9476" width="17.109375" style="844" customWidth="1"/>
    <col min="9477" max="9477" width="10.44140625" style="844" customWidth="1"/>
    <col min="9478" max="9478" width="7" style="844" customWidth="1"/>
    <col min="9479" max="9479" width="7.88671875" style="844" customWidth="1"/>
    <col min="9480" max="9728" width="9.109375" style="844"/>
    <col min="9729" max="9729" width="5.88671875" style="844" customWidth="1"/>
    <col min="9730" max="9730" width="27.88671875" style="844" customWidth="1"/>
    <col min="9731" max="9731" width="11.88671875" style="844" customWidth="1"/>
    <col min="9732" max="9732" width="17.109375" style="844" customWidth="1"/>
    <col min="9733" max="9733" width="10.44140625" style="844" customWidth="1"/>
    <col min="9734" max="9734" width="7" style="844" customWidth="1"/>
    <col min="9735" max="9735" width="7.88671875" style="844" customWidth="1"/>
    <col min="9736" max="9984" width="9.109375" style="844"/>
    <col min="9985" max="9985" width="5.88671875" style="844" customWidth="1"/>
    <col min="9986" max="9986" width="27.88671875" style="844" customWidth="1"/>
    <col min="9987" max="9987" width="11.88671875" style="844" customWidth="1"/>
    <col min="9988" max="9988" width="17.109375" style="844" customWidth="1"/>
    <col min="9989" max="9989" width="10.44140625" style="844" customWidth="1"/>
    <col min="9990" max="9990" width="7" style="844" customWidth="1"/>
    <col min="9991" max="9991" width="7.88671875" style="844" customWidth="1"/>
    <col min="9992" max="10240" width="9.109375" style="844"/>
    <col min="10241" max="10241" width="5.88671875" style="844" customWidth="1"/>
    <col min="10242" max="10242" width="27.88671875" style="844" customWidth="1"/>
    <col min="10243" max="10243" width="11.88671875" style="844" customWidth="1"/>
    <col min="10244" max="10244" width="17.109375" style="844" customWidth="1"/>
    <col min="10245" max="10245" width="10.44140625" style="844" customWidth="1"/>
    <col min="10246" max="10246" width="7" style="844" customWidth="1"/>
    <col min="10247" max="10247" width="7.88671875" style="844" customWidth="1"/>
    <col min="10248" max="10496" width="9.109375" style="844"/>
    <col min="10497" max="10497" width="5.88671875" style="844" customWidth="1"/>
    <col min="10498" max="10498" width="27.88671875" style="844" customWidth="1"/>
    <col min="10499" max="10499" width="11.88671875" style="844" customWidth="1"/>
    <col min="10500" max="10500" width="17.109375" style="844" customWidth="1"/>
    <col min="10501" max="10501" width="10.44140625" style="844" customWidth="1"/>
    <col min="10502" max="10502" width="7" style="844" customWidth="1"/>
    <col min="10503" max="10503" width="7.88671875" style="844" customWidth="1"/>
    <col min="10504" max="10752" width="9.109375" style="844"/>
    <col min="10753" max="10753" width="5.88671875" style="844" customWidth="1"/>
    <col min="10754" max="10754" width="27.88671875" style="844" customWidth="1"/>
    <col min="10755" max="10755" width="11.88671875" style="844" customWidth="1"/>
    <col min="10756" max="10756" width="17.109375" style="844" customWidth="1"/>
    <col min="10757" max="10757" width="10.44140625" style="844" customWidth="1"/>
    <col min="10758" max="10758" width="7" style="844" customWidth="1"/>
    <col min="10759" max="10759" width="7.88671875" style="844" customWidth="1"/>
    <col min="10760" max="11008" width="9.109375" style="844"/>
    <col min="11009" max="11009" width="5.88671875" style="844" customWidth="1"/>
    <col min="11010" max="11010" width="27.88671875" style="844" customWidth="1"/>
    <col min="11011" max="11011" width="11.88671875" style="844" customWidth="1"/>
    <col min="11012" max="11012" width="17.109375" style="844" customWidth="1"/>
    <col min="11013" max="11013" width="10.44140625" style="844" customWidth="1"/>
    <col min="11014" max="11014" width="7" style="844" customWidth="1"/>
    <col min="11015" max="11015" width="7.88671875" style="844" customWidth="1"/>
    <col min="11016" max="11264" width="9.109375" style="844"/>
    <col min="11265" max="11265" width="5.88671875" style="844" customWidth="1"/>
    <col min="11266" max="11266" width="27.88671875" style="844" customWidth="1"/>
    <col min="11267" max="11267" width="11.88671875" style="844" customWidth="1"/>
    <col min="11268" max="11268" width="17.109375" style="844" customWidth="1"/>
    <col min="11269" max="11269" width="10.44140625" style="844" customWidth="1"/>
    <col min="11270" max="11270" width="7" style="844" customWidth="1"/>
    <col min="11271" max="11271" width="7.88671875" style="844" customWidth="1"/>
    <col min="11272" max="11520" width="9.109375" style="844"/>
    <col min="11521" max="11521" width="5.88671875" style="844" customWidth="1"/>
    <col min="11522" max="11522" width="27.88671875" style="844" customWidth="1"/>
    <col min="11523" max="11523" width="11.88671875" style="844" customWidth="1"/>
    <col min="11524" max="11524" width="17.109375" style="844" customWidth="1"/>
    <col min="11525" max="11525" width="10.44140625" style="844" customWidth="1"/>
    <col min="11526" max="11526" width="7" style="844" customWidth="1"/>
    <col min="11527" max="11527" width="7.88671875" style="844" customWidth="1"/>
    <col min="11528" max="11776" width="9.109375" style="844"/>
    <col min="11777" max="11777" width="5.88671875" style="844" customWidth="1"/>
    <col min="11778" max="11778" width="27.88671875" style="844" customWidth="1"/>
    <col min="11779" max="11779" width="11.88671875" style="844" customWidth="1"/>
    <col min="11780" max="11780" width="17.109375" style="844" customWidth="1"/>
    <col min="11781" max="11781" width="10.44140625" style="844" customWidth="1"/>
    <col min="11782" max="11782" width="7" style="844" customWidth="1"/>
    <col min="11783" max="11783" width="7.88671875" style="844" customWidth="1"/>
    <col min="11784" max="12032" width="9.109375" style="844"/>
    <col min="12033" max="12033" width="5.88671875" style="844" customWidth="1"/>
    <col min="12034" max="12034" width="27.88671875" style="844" customWidth="1"/>
    <col min="12035" max="12035" width="11.88671875" style="844" customWidth="1"/>
    <col min="12036" max="12036" width="17.109375" style="844" customWidth="1"/>
    <col min="12037" max="12037" width="10.44140625" style="844" customWidth="1"/>
    <col min="12038" max="12038" width="7" style="844" customWidth="1"/>
    <col min="12039" max="12039" width="7.88671875" style="844" customWidth="1"/>
    <col min="12040" max="12288" width="9.109375" style="844"/>
    <col min="12289" max="12289" width="5.88671875" style="844" customWidth="1"/>
    <col min="12290" max="12290" width="27.88671875" style="844" customWidth="1"/>
    <col min="12291" max="12291" width="11.88671875" style="844" customWidth="1"/>
    <col min="12292" max="12292" width="17.109375" style="844" customWidth="1"/>
    <col min="12293" max="12293" width="10.44140625" style="844" customWidth="1"/>
    <col min="12294" max="12294" width="7" style="844" customWidth="1"/>
    <col min="12295" max="12295" width="7.88671875" style="844" customWidth="1"/>
    <col min="12296" max="12544" width="9.109375" style="844"/>
    <col min="12545" max="12545" width="5.88671875" style="844" customWidth="1"/>
    <col min="12546" max="12546" width="27.88671875" style="844" customWidth="1"/>
    <col min="12547" max="12547" width="11.88671875" style="844" customWidth="1"/>
    <col min="12548" max="12548" width="17.109375" style="844" customWidth="1"/>
    <col min="12549" max="12549" width="10.44140625" style="844" customWidth="1"/>
    <col min="12550" max="12550" width="7" style="844" customWidth="1"/>
    <col min="12551" max="12551" width="7.88671875" style="844" customWidth="1"/>
    <col min="12552" max="12800" width="9.109375" style="844"/>
    <col min="12801" max="12801" width="5.88671875" style="844" customWidth="1"/>
    <col min="12802" max="12802" width="27.88671875" style="844" customWidth="1"/>
    <col min="12803" max="12803" width="11.88671875" style="844" customWidth="1"/>
    <col min="12804" max="12804" width="17.109375" style="844" customWidth="1"/>
    <col min="12805" max="12805" width="10.44140625" style="844" customWidth="1"/>
    <col min="12806" max="12806" width="7" style="844" customWidth="1"/>
    <col min="12807" max="12807" width="7.88671875" style="844" customWidth="1"/>
    <col min="12808" max="13056" width="9.109375" style="844"/>
    <col min="13057" max="13057" width="5.88671875" style="844" customWidth="1"/>
    <col min="13058" max="13058" width="27.88671875" style="844" customWidth="1"/>
    <col min="13059" max="13059" width="11.88671875" style="844" customWidth="1"/>
    <col min="13060" max="13060" width="17.109375" style="844" customWidth="1"/>
    <col min="13061" max="13061" width="10.44140625" style="844" customWidth="1"/>
    <col min="13062" max="13062" width="7" style="844" customWidth="1"/>
    <col min="13063" max="13063" width="7.88671875" style="844" customWidth="1"/>
    <col min="13064" max="13312" width="9.109375" style="844"/>
    <col min="13313" max="13313" width="5.88671875" style="844" customWidth="1"/>
    <col min="13314" max="13314" width="27.88671875" style="844" customWidth="1"/>
    <col min="13315" max="13315" width="11.88671875" style="844" customWidth="1"/>
    <col min="13316" max="13316" width="17.109375" style="844" customWidth="1"/>
    <col min="13317" max="13317" width="10.44140625" style="844" customWidth="1"/>
    <col min="13318" max="13318" width="7" style="844" customWidth="1"/>
    <col min="13319" max="13319" width="7.88671875" style="844" customWidth="1"/>
    <col min="13320" max="13568" width="9.109375" style="844"/>
    <col min="13569" max="13569" width="5.88671875" style="844" customWidth="1"/>
    <col min="13570" max="13570" width="27.88671875" style="844" customWidth="1"/>
    <col min="13571" max="13571" width="11.88671875" style="844" customWidth="1"/>
    <col min="13572" max="13572" width="17.109375" style="844" customWidth="1"/>
    <col min="13573" max="13573" width="10.44140625" style="844" customWidth="1"/>
    <col min="13574" max="13574" width="7" style="844" customWidth="1"/>
    <col min="13575" max="13575" width="7.88671875" style="844" customWidth="1"/>
    <col min="13576" max="13824" width="9.109375" style="844"/>
    <col min="13825" max="13825" width="5.88671875" style="844" customWidth="1"/>
    <col min="13826" max="13826" width="27.88671875" style="844" customWidth="1"/>
    <col min="13827" max="13827" width="11.88671875" style="844" customWidth="1"/>
    <col min="13828" max="13828" width="17.109375" style="844" customWidth="1"/>
    <col min="13829" max="13829" width="10.44140625" style="844" customWidth="1"/>
    <col min="13830" max="13830" width="7" style="844" customWidth="1"/>
    <col min="13831" max="13831" width="7.88671875" style="844" customWidth="1"/>
    <col min="13832" max="14080" width="9.109375" style="844"/>
    <col min="14081" max="14081" width="5.88671875" style="844" customWidth="1"/>
    <col min="14082" max="14082" width="27.88671875" style="844" customWidth="1"/>
    <col min="14083" max="14083" width="11.88671875" style="844" customWidth="1"/>
    <col min="14084" max="14084" width="17.109375" style="844" customWidth="1"/>
    <col min="14085" max="14085" width="10.44140625" style="844" customWidth="1"/>
    <col min="14086" max="14086" width="7" style="844" customWidth="1"/>
    <col min="14087" max="14087" width="7.88671875" style="844" customWidth="1"/>
    <col min="14088" max="14336" width="9.109375" style="844"/>
    <col min="14337" max="14337" width="5.88671875" style="844" customWidth="1"/>
    <col min="14338" max="14338" width="27.88671875" style="844" customWidth="1"/>
    <col min="14339" max="14339" width="11.88671875" style="844" customWidth="1"/>
    <col min="14340" max="14340" width="17.109375" style="844" customWidth="1"/>
    <col min="14341" max="14341" width="10.44140625" style="844" customWidth="1"/>
    <col min="14342" max="14342" width="7" style="844" customWidth="1"/>
    <col min="14343" max="14343" width="7.88671875" style="844" customWidth="1"/>
    <col min="14344" max="14592" width="9.109375" style="844"/>
    <col min="14593" max="14593" width="5.88671875" style="844" customWidth="1"/>
    <col min="14594" max="14594" width="27.88671875" style="844" customWidth="1"/>
    <col min="14595" max="14595" width="11.88671875" style="844" customWidth="1"/>
    <col min="14596" max="14596" width="17.109375" style="844" customWidth="1"/>
    <col min="14597" max="14597" width="10.44140625" style="844" customWidth="1"/>
    <col min="14598" max="14598" width="7" style="844" customWidth="1"/>
    <col min="14599" max="14599" width="7.88671875" style="844" customWidth="1"/>
    <col min="14600" max="14848" width="9.109375" style="844"/>
    <col min="14849" max="14849" width="5.88671875" style="844" customWidth="1"/>
    <col min="14850" max="14850" width="27.88671875" style="844" customWidth="1"/>
    <col min="14851" max="14851" width="11.88671875" style="844" customWidth="1"/>
    <col min="14852" max="14852" width="17.109375" style="844" customWidth="1"/>
    <col min="14853" max="14853" width="10.44140625" style="844" customWidth="1"/>
    <col min="14854" max="14854" width="7" style="844" customWidth="1"/>
    <col min="14855" max="14855" width="7.88671875" style="844" customWidth="1"/>
    <col min="14856" max="15104" width="9.109375" style="844"/>
    <col min="15105" max="15105" width="5.88671875" style="844" customWidth="1"/>
    <col min="15106" max="15106" width="27.88671875" style="844" customWidth="1"/>
    <col min="15107" max="15107" width="11.88671875" style="844" customWidth="1"/>
    <col min="15108" max="15108" width="17.109375" style="844" customWidth="1"/>
    <col min="15109" max="15109" width="10.44140625" style="844" customWidth="1"/>
    <col min="15110" max="15110" width="7" style="844" customWidth="1"/>
    <col min="15111" max="15111" width="7.88671875" style="844" customWidth="1"/>
    <col min="15112" max="15360" width="9.109375" style="844"/>
    <col min="15361" max="15361" width="5.88671875" style="844" customWidth="1"/>
    <col min="15362" max="15362" width="27.88671875" style="844" customWidth="1"/>
    <col min="15363" max="15363" width="11.88671875" style="844" customWidth="1"/>
    <col min="15364" max="15364" width="17.109375" style="844" customWidth="1"/>
    <col min="15365" max="15365" width="10.44140625" style="844" customWidth="1"/>
    <col min="15366" max="15366" width="7" style="844" customWidth="1"/>
    <col min="15367" max="15367" width="7.88671875" style="844" customWidth="1"/>
    <col min="15368" max="15616" width="9.109375" style="844"/>
    <col min="15617" max="15617" width="5.88671875" style="844" customWidth="1"/>
    <col min="15618" max="15618" width="27.88671875" style="844" customWidth="1"/>
    <col min="15619" max="15619" width="11.88671875" style="844" customWidth="1"/>
    <col min="15620" max="15620" width="17.109375" style="844" customWidth="1"/>
    <col min="15621" max="15621" width="10.44140625" style="844" customWidth="1"/>
    <col min="15622" max="15622" width="7" style="844" customWidth="1"/>
    <col min="15623" max="15623" width="7.88671875" style="844" customWidth="1"/>
    <col min="15624" max="15872" width="9.109375" style="844"/>
    <col min="15873" max="15873" width="5.88671875" style="844" customWidth="1"/>
    <col min="15874" max="15874" width="27.88671875" style="844" customWidth="1"/>
    <col min="15875" max="15875" width="11.88671875" style="844" customWidth="1"/>
    <col min="15876" max="15876" width="17.109375" style="844" customWidth="1"/>
    <col min="15877" max="15877" width="10.44140625" style="844" customWidth="1"/>
    <col min="15878" max="15878" width="7" style="844" customWidth="1"/>
    <col min="15879" max="15879" width="7.88671875" style="844" customWidth="1"/>
    <col min="15880" max="16128" width="9.109375" style="844"/>
    <col min="16129" max="16129" width="5.88671875" style="844" customWidth="1"/>
    <col min="16130" max="16130" width="27.88671875" style="844" customWidth="1"/>
    <col min="16131" max="16131" width="11.88671875" style="844" customWidth="1"/>
    <col min="16132" max="16132" width="17.109375" style="844" customWidth="1"/>
    <col min="16133" max="16133" width="10.44140625" style="844" customWidth="1"/>
    <col min="16134" max="16134" width="7" style="844" customWidth="1"/>
    <col min="16135" max="16135" width="7.88671875" style="844" customWidth="1"/>
    <col min="16136" max="16384" width="9.109375" style="844"/>
  </cols>
  <sheetData>
    <row r="1" spans="1:7" s="842" customFormat="1" ht="15" customHeight="1">
      <c r="A1" s="842" t="s">
        <v>2551</v>
      </c>
      <c r="C1" s="1539"/>
      <c r="D1" s="1542"/>
      <c r="E1" s="1540"/>
      <c r="G1" s="843"/>
    </row>
    <row r="2" spans="1:7" ht="15" customHeight="1" thickBot="1"/>
    <row r="3" spans="1:7" ht="15" customHeight="1">
      <c r="A3" s="4935" t="s">
        <v>2737</v>
      </c>
      <c r="B3" s="4936" t="s">
        <v>4849</v>
      </c>
      <c r="C3" s="4937" t="s">
        <v>1763</v>
      </c>
      <c r="D3" s="14105" t="s">
        <v>2029</v>
      </c>
      <c r="E3" s="14105" t="s">
        <v>2030</v>
      </c>
      <c r="F3" s="14107" t="s">
        <v>2031</v>
      </c>
      <c r="G3" s="14108"/>
    </row>
    <row r="4" spans="1:7" ht="15" customHeight="1" thickBot="1">
      <c r="A4" s="4938"/>
      <c r="B4" s="4939" t="s">
        <v>4850</v>
      </c>
      <c r="C4" s="4940"/>
      <c r="D4" s="14106"/>
      <c r="E4" s="14106"/>
      <c r="F4" s="14109"/>
      <c r="G4" s="14110"/>
    </row>
    <row r="5" spans="1:7" s="4990" customFormat="1" ht="15" customHeight="1" thickBot="1">
      <c r="A5" s="4941">
        <v>1</v>
      </c>
      <c r="B5" s="4942">
        <v>2</v>
      </c>
      <c r="C5" s="4943">
        <v>3</v>
      </c>
      <c r="D5" s="4942">
        <v>4</v>
      </c>
      <c r="E5" s="4942">
        <v>5</v>
      </c>
      <c r="F5" s="14111">
        <v>6</v>
      </c>
      <c r="G5" s="14112"/>
    </row>
    <row r="6" spans="1:7" ht="11.25" customHeight="1">
      <c r="A6" s="4944"/>
      <c r="B6" s="14113"/>
      <c r="C6" s="4937"/>
      <c r="D6" s="14115"/>
      <c r="E6" s="14117"/>
      <c r="F6" s="4945" t="s">
        <v>2032</v>
      </c>
      <c r="G6" s="4945" t="s">
        <v>2033</v>
      </c>
    </row>
    <row r="7" spans="1:7" ht="10.5" customHeight="1" thickBot="1">
      <c r="A7" s="4946"/>
      <c r="B7" s="14114"/>
      <c r="C7" s="4940"/>
      <c r="D7" s="14116"/>
      <c r="E7" s="14118"/>
      <c r="F7" s="4947">
        <v>2014</v>
      </c>
      <c r="G7" s="4947">
        <v>2014</v>
      </c>
    </row>
    <row r="8" spans="1:7" ht="15" customHeight="1">
      <c r="A8" s="4948"/>
      <c r="B8" s="4949" t="s">
        <v>4851</v>
      </c>
      <c r="C8" s="4950"/>
      <c r="D8" s="14119"/>
      <c r="E8" s="14127"/>
      <c r="F8" s="14119"/>
      <c r="G8" s="14119"/>
    </row>
    <row r="9" spans="1:7" ht="15" customHeight="1" thickBot="1">
      <c r="A9" s="4951"/>
      <c r="B9" s="4952" t="s">
        <v>4852</v>
      </c>
      <c r="C9" s="4953"/>
      <c r="D9" s="14120"/>
      <c r="E9" s="14128"/>
      <c r="F9" s="14120"/>
      <c r="G9" s="14120"/>
    </row>
    <row r="10" spans="1:7" ht="78.75" customHeight="1" thickBot="1">
      <c r="A10" s="4951"/>
      <c r="B10" s="4954" t="s">
        <v>4853</v>
      </c>
      <c r="C10" s="4955"/>
      <c r="D10" s="4954" t="s">
        <v>4854</v>
      </c>
      <c r="E10" s="4956" t="s">
        <v>3242</v>
      </c>
      <c r="F10" s="4954" t="s">
        <v>1814</v>
      </c>
      <c r="G10" s="4954" t="s">
        <v>1743</v>
      </c>
    </row>
    <row r="11" spans="1:7" ht="15" customHeight="1">
      <c r="A11" s="4948"/>
      <c r="B11" s="14119" t="s">
        <v>4855</v>
      </c>
      <c r="C11" s="4937"/>
      <c r="D11" s="14119" t="s">
        <v>4856</v>
      </c>
      <c r="E11" s="14127" t="s">
        <v>1822</v>
      </c>
      <c r="F11" s="14119" t="s">
        <v>1814</v>
      </c>
      <c r="G11" s="14119" t="s">
        <v>1743</v>
      </c>
    </row>
    <row r="12" spans="1:7" ht="49.5" customHeight="1" thickBot="1">
      <c r="A12" s="4951"/>
      <c r="B12" s="14120"/>
      <c r="C12" s="4940"/>
      <c r="D12" s="14120"/>
      <c r="E12" s="14128"/>
      <c r="F12" s="14120"/>
      <c r="G12" s="14120"/>
    </row>
    <row r="13" spans="1:7" ht="124.5" customHeight="1" thickBot="1">
      <c r="A13" s="4951"/>
      <c r="B13" s="4954" t="s">
        <v>4857</v>
      </c>
      <c r="C13" s="4955"/>
      <c r="D13" s="4954" t="s">
        <v>4858</v>
      </c>
      <c r="E13" s="4956" t="s">
        <v>3243</v>
      </c>
      <c r="F13" s="4954" t="s">
        <v>1814</v>
      </c>
      <c r="G13" s="4954" t="s">
        <v>1743</v>
      </c>
    </row>
    <row r="14" spans="1:7" ht="15" customHeight="1">
      <c r="A14" s="4948"/>
      <c r="B14" s="14125" t="s">
        <v>9671</v>
      </c>
      <c r="C14" s="4937"/>
      <c r="D14" s="14119" t="s">
        <v>4859</v>
      </c>
      <c r="E14" s="14127" t="s">
        <v>3244</v>
      </c>
      <c r="F14" s="14119" t="s">
        <v>1814</v>
      </c>
      <c r="G14" s="14119" t="s">
        <v>1743</v>
      </c>
    </row>
    <row r="15" spans="1:7" ht="49.5" customHeight="1" thickBot="1">
      <c r="A15" s="4951"/>
      <c r="B15" s="14126"/>
      <c r="C15" s="4940"/>
      <c r="D15" s="14120"/>
      <c r="E15" s="14128"/>
      <c r="F15" s="14120"/>
      <c r="G15" s="14120"/>
    </row>
    <row r="16" spans="1:7" ht="15" customHeight="1">
      <c r="A16" s="4948"/>
      <c r="B16" s="14125" t="s">
        <v>9672</v>
      </c>
      <c r="C16" s="4937"/>
      <c r="D16" s="14132" t="s">
        <v>9673</v>
      </c>
      <c r="E16" s="4957" t="s">
        <v>3245</v>
      </c>
      <c r="F16" s="14119" t="s">
        <v>1814</v>
      </c>
      <c r="G16" s="14119" t="s">
        <v>1743</v>
      </c>
    </row>
    <row r="17" spans="1:7" ht="15" customHeight="1">
      <c r="A17" s="4958"/>
      <c r="B17" s="14133"/>
      <c r="C17" s="4959"/>
      <c r="D17" s="14131"/>
      <c r="E17" s="4957" t="s">
        <v>3246</v>
      </c>
      <c r="F17" s="14131"/>
      <c r="G17" s="14131"/>
    </row>
    <row r="18" spans="1:7" ht="48.75" customHeight="1" thickBot="1">
      <c r="A18" s="4951"/>
      <c r="B18" s="14126"/>
      <c r="C18" s="4940"/>
      <c r="D18" s="14120"/>
      <c r="E18" s="4956" t="s">
        <v>3247</v>
      </c>
      <c r="F18" s="14120"/>
      <c r="G18" s="14120"/>
    </row>
    <row r="19" spans="1:7" ht="15" customHeight="1">
      <c r="A19" s="4948"/>
      <c r="B19" s="14132" t="s">
        <v>9674</v>
      </c>
      <c r="C19" s="4937"/>
      <c r="D19" s="14119" t="s">
        <v>4860</v>
      </c>
      <c r="E19" s="14127" t="s">
        <v>3244</v>
      </c>
      <c r="F19" s="14119" t="s">
        <v>1814</v>
      </c>
      <c r="G19" s="14119" t="s">
        <v>1743</v>
      </c>
    </row>
    <row r="20" spans="1:7" ht="63.75" customHeight="1" thickBot="1">
      <c r="A20" s="4951"/>
      <c r="B20" s="14120"/>
      <c r="C20" s="4940"/>
      <c r="D20" s="14120"/>
      <c r="E20" s="14128"/>
      <c r="F20" s="14120"/>
      <c r="G20" s="14120"/>
    </row>
    <row r="21" spans="1:7" ht="15" customHeight="1">
      <c r="A21" s="4948"/>
      <c r="B21" s="14119" t="s">
        <v>4861</v>
      </c>
      <c r="C21" s="4937"/>
      <c r="D21" s="14119" t="s">
        <v>4862</v>
      </c>
      <c r="E21" s="14127" t="s">
        <v>3244</v>
      </c>
      <c r="F21" s="14119" t="s">
        <v>1814</v>
      </c>
      <c r="G21" s="14119" t="s">
        <v>1743</v>
      </c>
    </row>
    <row r="22" spans="1:7" ht="63" customHeight="1" thickBot="1">
      <c r="A22" s="4951"/>
      <c r="B22" s="14120"/>
      <c r="C22" s="4940"/>
      <c r="D22" s="14120"/>
      <c r="E22" s="14128"/>
      <c r="F22" s="14120"/>
      <c r="G22" s="14120"/>
    </row>
    <row r="23" spans="1:7" ht="15" customHeight="1">
      <c r="A23" s="4948"/>
      <c r="B23" s="14119" t="s">
        <v>4863</v>
      </c>
      <c r="C23" s="4937"/>
      <c r="D23" s="14119" t="s">
        <v>4864</v>
      </c>
      <c r="E23" s="4957" t="s">
        <v>3248</v>
      </c>
      <c r="F23" s="14119" t="s">
        <v>1814</v>
      </c>
      <c r="G23" s="14119" t="s">
        <v>1743</v>
      </c>
    </row>
    <row r="24" spans="1:7" ht="15" customHeight="1">
      <c r="A24" s="4958"/>
      <c r="B24" s="14131"/>
      <c r="C24" s="4959"/>
      <c r="D24" s="14131"/>
      <c r="E24" s="4957" t="s">
        <v>3249</v>
      </c>
      <c r="F24" s="14131"/>
      <c r="G24" s="14131"/>
    </row>
    <row r="25" spans="1:7" ht="35.25" customHeight="1" thickBot="1">
      <c r="A25" s="4951"/>
      <c r="B25" s="14120"/>
      <c r="C25" s="4940"/>
      <c r="D25" s="14120"/>
      <c r="E25" s="4956" t="s">
        <v>4865</v>
      </c>
      <c r="F25" s="14120"/>
      <c r="G25" s="14120"/>
    </row>
    <row r="26" spans="1:7" ht="15" customHeight="1">
      <c r="A26" s="4948"/>
      <c r="B26" s="14119" t="s">
        <v>4866</v>
      </c>
      <c r="C26" s="4937"/>
      <c r="D26" s="14119" t="s">
        <v>3250</v>
      </c>
      <c r="E26" s="14127" t="s">
        <v>3251</v>
      </c>
      <c r="F26" s="14119" t="s">
        <v>1814</v>
      </c>
      <c r="G26" s="14119" t="s">
        <v>1743</v>
      </c>
    </row>
    <row r="27" spans="1:7" ht="66" customHeight="1" thickBot="1">
      <c r="A27" s="4951"/>
      <c r="B27" s="14120"/>
      <c r="C27" s="4940"/>
      <c r="D27" s="14120"/>
      <c r="E27" s="14128"/>
      <c r="F27" s="14120"/>
      <c r="G27" s="14120"/>
    </row>
    <row r="28" spans="1:7" ht="15" customHeight="1">
      <c r="A28" s="4960"/>
      <c r="B28" s="4960"/>
      <c r="C28" s="4961"/>
      <c r="D28" s="4960"/>
      <c r="E28" s="4962"/>
      <c r="F28" s="4960"/>
      <c r="G28" s="4960"/>
    </row>
    <row r="29" spans="1:7" ht="15" customHeight="1">
      <c r="A29" s="4963"/>
      <c r="B29" s="4963"/>
      <c r="C29" s="4964"/>
      <c r="D29" s="4963"/>
      <c r="E29" s="4965"/>
      <c r="F29" s="4963"/>
      <c r="G29" s="4963"/>
    </row>
    <row r="30" spans="1:7" ht="15" customHeight="1" thickBot="1">
      <c r="A30" s="4966"/>
      <c r="B30" s="4966"/>
      <c r="C30" s="4967"/>
      <c r="D30" s="4966"/>
      <c r="E30" s="4968"/>
      <c r="F30" s="4966"/>
      <c r="G30" s="4966"/>
    </row>
    <row r="31" spans="1:7" ht="15" customHeight="1">
      <c r="A31" s="4935" t="s">
        <v>2737</v>
      </c>
      <c r="B31" s="4936" t="s">
        <v>4849</v>
      </c>
      <c r="C31" s="4937" t="s">
        <v>1763</v>
      </c>
      <c r="D31" s="14105" t="s">
        <v>2029</v>
      </c>
      <c r="E31" s="14105" t="s">
        <v>2030</v>
      </c>
      <c r="F31" s="14107" t="s">
        <v>2031</v>
      </c>
      <c r="G31" s="14108"/>
    </row>
    <row r="32" spans="1:7" ht="15" customHeight="1" thickBot="1">
      <c r="A32" s="4938"/>
      <c r="B32" s="4939" t="s">
        <v>4850</v>
      </c>
      <c r="C32" s="4940"/>
      <c r="D32" s="14106"/>
      <c r="E32" s="14106"/>
      <c r="F32" s="14109"/>
      <c r="G32" s="14110"/>
    </row>
    <row r="33" spans="1:7" s="1623" customFormat="1" ht="15" customHeight="1" thickBot="1">
      <c r="A33" s="4969">
        <v>1</v>
      </c>
      <c r="B33" s="4970">
        <v>2</v>
      </c>
      <c r="C33" s="4970">
        <v>3</v>
      </c>
      <c r="D33" s="4970">
        <v>4</v>
      </c>
      <c r="E33" s="4970">
        <v>5</v>
      </c>
      <c r="F33" s="14129">
        <v>6</v>
      </c>
      <c r="G33" s="14130"/>
    </row>
    <row r="34" spans="1:7" ht="15" customHeight="1">
      <c r="A34" s="4944"/>
      <c r="B34" s="14113"/>
      <c r="C34" s="4937"/>
      <c r="D34" s="14115"/>
      <c r="E34" s="14117"/>
      <c r="F34" s="4945" t="s">
        <v>2032</v>
      </c>
      <c r="G34" s="4945" t="s">
        <v>2033</v>
      </c>
    </row>
    <row r="35" spans="1:7" ht="15" customHeight="1" thickBot="1">
      <c r="A35" s="4946"/>
      <c r="B35" s="14114"/>
      <c r="C35" s="4940"/>
      <c r="D35" s="14116"/>
      <c r="E35" s="14118"/>
      <c r="F35" s="4947">
        <v>2014</v>
      </c>
      <c r="G35" s="4947">
        <v>2014</v>
      </c>
    </row>
    <row r="36" spans="1:7" ht="81" customHeight="1" thickBot="1">
      <c r="A36" s="4951"/>
      <c r="B36" s="4971" t="s">
        <v>4867</v>
      </c>
      <c r="C36" s="4955"/>
      <c r="D36" s="4954" t="s">
        <v>4868</v>
      </c>
      <c r="E36" s="4956" t="s">
        <v>3252</v>
      </c>
      <c r="F36" s="4954" t="s">
        <v>1814</v>
      </c>
      <c r="G36" s="4954" t="s">
        <v>1743</v>
      </c>
    </row>
    <row r="37" spans="1:7" ht="15" customHeight="1">
      <c r="A37" s="4948"/>
      <c r="B37" s="14125" t="s">
        <v>9675</v>
      </c>
      <c r="C37" s="4937"/>
      <c r="D37" s="14119" t="s">
        <v>4869</v>
      </c>
      <c r="E37" s="14127" t="s">
        <v>3252</v>
      </c>
      <c r="F37" s="14119" t="s">
        <v>1814</v>
      </c>
      <c r="G37" s="14119" t="s">
        <v>1743</v>
      </c>
    </row>
    <row r="38" spans="1:7" ht="31.5" customHeight="1" thickBot="1">
      <c r="A38" s="4951"/>
      <c r="B38" s="14126"/>
      <c r="C38" s="4940"/>
      <c r="D38" s="14120"/>
      <c r="E38" s="14128"/>
      <c r="F38" s="14120"/>
      <c r="G38" s="14120"/>
    </row>
    <row r="39" spans="1:7" ht="15" customHeight="1">
      <c r="A39" s="4948"/>
      <c r="B39" s="14119" t="s">
        <v>4870</v>
      </c>
      <c r="C39" s="4937"/>
      <c r="D39" s="14119" t="s">
        <v>4871</v>
      </c>
      <c r="E39" s="14127" t="s">
        <v>3253</v>
      </c>
      <c r="F39" s="14119" t="s">
        <v>1741</v>
      </c>
      <c r="G39" s="14119" t="s">
        <v>1743</v>
      </c>
    </row>
    <row r="40" spans="1:7" ht="35.25" customHeight="1" thickBot="1">
      <c r="A40" s="4951"/>
      <c r="B40" s="14120"/>
      <c r="C40" s="4940"/>
      <c r="D40" s="14120"/>
      <c r="E40" s="14128"/>
      <c r="F40" s="14120"/>
      <c r="G40" s="14120"/>
    </row>
    <row r="41" spans="1:7" ht="15" customHeight="1">
      <c r="A41" s="4948"/>
      <c r="B41" s="14119" t="s">
        <v>4872</v>
      </c>
      <c r="C41" s="4937"/>
      <c r="D41" s="14121"/>
      <c r="E41" s="14123"/>
      <c r="F41" s="14119" t="s">
        <v>1814</v>
      </c>
      <c r="G41" s="14119" t="s">
        <v>1743</v>
      </c>
    </row>
    <row r="42" spans="1:7" ht="80.25" customHeight="1" thickBot="1">
      <c r="A42" s="4951"/>
      <c r="B42" s="14120"/>
      <c r="C42" s="4940"/>
      <c r="D42" s="14122"/>
      <c r="E42" s="14124"/>
      <c r="F42" s="14120"/>
      <c r="G42" s="14120"/>
    </row>
    <row r="43" spans="1:7" ht="15" customHeight="1">
      <c r="A43" s="4948"/>
      <c r="B43" s="4972" t="s">
        <v>4873</v>
      </c>
      <c r="C43" s="4937"/>
      <c r="D43" s="4973"/>
      <c r="E43" s="4957"/>
      <c r="F43" s="4973"/>
      <c r="G43" s="4973"/>
    </row>
    <row r="44" spans="1:7" ht="34.5" customHeight="1">
      <c r="A44" s="4958"/>
      <c r="B44" s="4974" t="s">
        <v>4874</v>
      </c>
      <c r="C44" s="4959"/>
      <c r="D44" s="4975" t="s">
        <v>4878</v>
      </c>
      <c r="E44" s="4976" t="s">
        <v>4882</v>
      </c>
      <c r="F44" s="4973" t="s">
        <v>1814</v>
      </c>
      <c r="G44" s="4973" t="s">
        <v>1743</v>
      </c>
    </row>
    <row r="45" spans="1:7" ht="77.25" customHeight="1">
      <c r="A45" s="4958"/>
      <c r="B45" s="4974" t="s">
        <v>4875</v>
      </c>
      <c r="C45" s="4959"/>
      <c r="D45" s="4975" t="s">
        <v>4879</v>
      </c>
      <c r="E45" s="4976" t="s">
        <v>4883</v>
      </c>
      <c r="F45" s="4973"/>
      <c r="G45" s="4973"/>
    </row>
    <row r="46" spans="1:7" ht="61.5" customHeight="1">
      <c r="A46" s="4958"/>
      <c r="B46" s="4974" t="s">
        <v>4876</v>
      </c>
      <c r="C46" s="4959"/>
      <c r="D46" s="4975" t="s">
        <v>4880</v>
      </c>
      <c r="E46" s="4976" t="s">
        <v>4884</v>
      </c>
      <c r="F46" s="4973"/>
      <c r="G46" s="4973"/>
    </row>
    <row r="47" spans="1:7" ht="66" customHeight="1">
      <c r="A47" s="4958"/>
      <c r="B47" s="4974" t="s">
        <v>4877</v>
      </c>
      <c r="C47" s="4959"/>
      <c r="D47" s="4975" t="s">
        <v>4881</v>
      </c>
      <c r="E47" s="4976" t="s">
        <v>4885</v>
      </c>
      <c r="F47" s="4973"/>
      <c r="G47" s="4973"/>
    </row>
    <row r="48" spans="1:7" ht="15" customHeight="1" thickBot="1">
      <c r="A48" s="4951"/>
      <c r="B48" s="4954"/>
      <c r="C48" s="4940"/>
      <c r="D48" s="4954"/>
      <c r="E48" s="4956"/>
      <c r="F48" s="4954"/>
      <c r="G48" s="4954"/>
    </row>
    <row r="49" spans="1:7" ht="15" customHeight="1">
      <c r="A49" s="4948"/>
      <c r="B49" s="4977" t="s">
        <v>4886</v>
      </c>
      <c r="C49" s="4937"/>
      <c r="D49" s="4948"/>
      <c r="E49" s="4978"/>
      <c r="F49" s="4948"/>
      <c r="G49" s="4948"/>
    </row>
    <row r="50" spans="1:7" ht="65.25" customHeight="1">
      <c r="A50" s="4958"/>
      <c r="B50" s="4979" t="s">
        <v>9676</v>
      </c>
      <c r="C50" s="4959"/>
      <c r="D50" s="4958" t="s">
        <v>4948</v>
      </c>
      <c r="E50" s="4980" t="s">
        <v>4900</v>
      </c>
      <c r="F50" s="4958" t="s">
        <v>1814</v>
      </c>
      <c r="G50" s="4958" t="s">
        <v>1743</v>
      </c>
    </row>
    <row r="51" spans="1:7" ht="15" customHeight="1">
      <c r="A51" s="4958"/>
      <c r="B51" s="4958"/>
      <c r="C51" s="4959"/>
      <c r="D51" s="4958"/>
      <c r="E51" s="4980"/>
      <c r="F51" s="4958"/>
      <c r="G51" s="4958"/>
    </row>
    <row r="52" spans="1:7" ht="48" customHeight="1" thickBot="1">
      <c r="A52" s="4958"/>
      <c r="B52" s="4981" t="s">
        <v>9677</v>
      </c>
      <c r="C52" s="4959"/>
      <c r="D52" s="4958" t="s">
        <v>4895</v>
      </c>
      <c r="E52" s="4980" t="s">
        <v>4901</v>
      </c>
      <c r="F52" s="4958" t="s">
        <v>1814</v>
      </c>
      <c r="G52" s="4958" t="s">
        <v>1743</v>
      </c>
    </row>
    <row r="53" spans="1:7" s="845" customFormat="1" ht="15" customHeight="1">
      <c r="A53" s="4960"/>
      <c r="B53" s="4960"/>
      <c r="C53" s="4961"/>
      <c r="D53" s="4960"/>
      <c r="E53" s="4962"/>
      <c r="F53" s="4960"/>
      <c r="G53" s="4960"/>
    </row>
    <row r="54" spans="1:7" s="845" customFormat="1" ht="15" customHeight="1">
      <c r="A54" s="4963"/>
      <c r="B54" s="4963"/>
      <c r="C54" s="4964"/>
      <c r="D54" s="4963"/>
      <c r="E54" s="4965"/>
      <c r="F54" s="4963"/>
      <c r="G54" s="4963"/>
    </row>
    <row r="55" spans="1:7" s="845" customFormat="1" ht="15" customHeight="1">
      <c r="A55" s="4963"/>
      <c r="B55" s="4963"/>
      <c r="C55" s="4964"/>
      <c r="D55" s="4963"/>
      <c r="E55" s="4965"/>
      <c r="F55" s="4963"/>
      <c r="G55" s="4963"/>
    </row>
    <row r="56" spans="1:7" s="845" customFormat="1" ht="15" customHeight="1">
      <c r="A56" s="4963"/>
      <c r="B56" s="4963"/>
      <c r="C56" s="4964"/>
      <c r="D56" s="4963"/>
      <c r="E56" s="4965"/>
      <c r="F56" s="4963"/>
      <c r="G56" s="4963"/>
    </row>
    <row r="57" spans="1:7" s="845" customFormat="1" ht="15" customHeight="1">
      <c r="A57" s="4963"/>
      <c r="B57" s="4963"/>
      <c r="C57" s="4964"/>
      <c r="D57" s="4963"/>
      <c r="E57" s="4965"/>
      <c r="F57" s="4963"/>
      <c r="G57" s="4963"/>
    </row>
    <row r="58" spans="1:7" s="845" customFormat="1" ht="15" customHeight="1">
      <c r="A58" s="4963"/>
      <c r="B58" s="4963"/>
      <c r="C58" s="4964"/>
      <c r="D58" s="4963"/>
      <c r="E58" s="4965"/>
      <c r="F58" s="4963"/>
      <c r="G58" s="4963"/>
    </row>
    <row r="59" spans="1:7" s="845" customFormat="1" ht="15" customHeight="1" thickBot="1">
      <c r="A59" s="4963"/>
      <c r="B59" s="4963"/>
      <c r="C59" s="4964"/>
      <c r="D59" s="4963"/>
      <c r="E59" s="4965"/>
      <c r="F59" s="4963"/>
      <c r="G59" s="4963"/>
    </row>
    <row r="60" spans="1:7" ht="15" customHeight="1">
      <c r="A60" s="4935" t="s">
        <v>2737</v>
      </c>
      <c r="B60" s="4936" t="s">
        <v>4849</v>
      </c>
      <c r="C60" s="4937" t="s">
        <v>1763</v>
      </c>
      <c r="D60" s="14105" t="s">
        <v>2029</v>
      </c>
      <c r="E60" s="14105" t="s">
        <v>2030</v>
      </c>
      <c r="F60" s="14107" t="s">
        <v>2031</v>
      </c>
      <c r="G60" s="14108"/>
    </row>
    <row r="61" spans="1:7" ht="15" customHeight="1" thickBot="1">
      <c r="A61" s="4938"/>
      <c r="B61" s="4939" t="s">
        <v>4850</v>
      </c>
      <c r="C61" s="4940"/>
      <c r="D61" s="14106"/>
      <c r="E61" s="14106"/>
      <c r="F61" s="14109"/>
      <c r="G61" s="14110"/>
    </row>
    <row r="62" spans="1:7" s="4990" customFormat="1" ht="15" customHeight="1" thickBot="1">
      <c r="A62" s="4941">
        <v>1</v>
      </c>
      <c r="B62" s="4942">
        <v>2</v>
      </c>
      <c r="C62" s="4943">
        <v>3</v>
      </c>
      <c r="D62" s="4942">
        <v>4</v>
      </c>
      <c r="E62" s="4942">
        <v>5</v>
      </c>
      <c r="F62" s="14111">
        <v>6</v>
      </c>
      <c r="G62" s="14112"/>
    </row>
    <row r="63" spans="1:7" ht="15" customHeight="1">
      <c r="A63" s="4944"/>
      <c r="B63" s="14113"/>
      <c r="C63" s="4937"/>
      <c r="D63" s="14115"/>
      <c r="E63" s="14117"/>
      <c r="F63" s="4945" t="s">
        <v>2032</v>
      </c>
      <c r="G63" s="4945" t="s">
        <v>2033</v>
      </c>
    </row>
    <row r="64" spans="1:7" ht="15" customHeight="1" thickBot="1">
      <c r="A64" s="4946"/>
      <c r="B64" s="14114"/>
      <c r="C64" s="4940"/>
      <c r="D64" s="14116"/>
      <c r="E64" s="14118"/>
      <c r="F64" s="4947">
        <v>2014</v>
      </c>
      <c r="G64" s="4947">
        <v>2014</v>
      </c>
    </row>
    <row r="65" spans="1:7" ht="6.9" customHeight="1">
      <c r="A65" s="4958"/>
      <c r="B65" s="4958"/>
      <c r="C65" s="4959"/>
      <c r="D65" s="4982"/>
      <c r="E65" s="4980"/>
      <c r="F65" s="4958"/>
      <c r="G65" s="4958"/>
    </row>
    <row r="66" spans="1:7" ht="35.25" customHeight="1">
      <c r="A66" s="4958"/>
      <c r="B66" s="4958" t="s">
        <v>4887</v>
      </c>
      <c r="C66" s="4959"/>
      <c r="D66" s="4958" t="s">
        <v>3254</v>
      </c>
      <c r="E66" s="4980" t="s">
        <v>4902</v>
      </c>
      <c r="F66" s="4958" t="s">
        <v>1814</v>
      </c>
      <c r="G66" s="4958" t="s">
        <v>1743</v>
      </c>
    </row>
    <row r="67" spans="1:7" ht="15" customHeight="1">
      <c r="A67" s="4958"/>
      <c r="B67" s="4983" t="s">
        <v>4888</v>
      </c>
      <c r="C67" s="4959"/>
      <c r="D67" s="4958"/>
      <c r="E67" s="4982"/>
      <c r="F67" s="4982"/>
      <c r="G67" s="4982"/>
    </row>
    <row r="68" spans="1:7" ht="32.25" customHeight="1">
      <c r="A68" s="4958"/>
      <c r="B68" s="4983" t="s">
        <v>4889</v>
      </c>
      <c r="C68" s="4959"/>
      <c r="D68" s="4982"/>
      <c r="E68" s="4980"/>
      <c r="F68" s="4958"/>
      <c r="G68" s="4958"/>
    </row>
    <row r="69" spans="1:7" ht="33.75" customHeight="1">
      <c r="A69" s="4958"/>
      <c r="B69" s="4983" t="s">
        <v>4890</v>
      </c>
      <c r="C69" s="4959"/>
      <c r="D69" s="4958"/>
      <c r="E69" s="4980"/>
      <c r="F69" s="4958"/>
      <c r="G69" s="4958"/>
    </row>
    <row r="70" spans="1:7" ht="6.9" customHeight="1">
      <c r="A70" s="4958"/>
      <c r="B70" s="4984"/>
      <c r="C70" s="4959"/>
      <c r="D70" s="4958"/>
      <c r="E70" s="4982"/>
      <c r="F70" s="4958"/>
      <c r="G70" s="4958"/>
    </row>
    <row r="71" spans="1:7" ht="48" customHeight="1">
      <c r="A71" s="4958"/>
      <c r="B71" s="4985" t="s">
        <v>9678</v>
      </c>
      <c r="C71" s="4959"/>
      <c r="D71" s="4958" t="s">
        <v>4945</v>
      </c>
      <c r="E71" s="4980" t="s">
        <v>3255</v>
      </c>
      <c r="F71" s="4958" t="s">
        <v>1814</v>
      </c>
      <c r="G71" s="4958" t="s">
        <v>1743</v>
      </c>
    </row>
    <row r="72" spans="1:7" ht="6.9" customHeight="1">
      <c r="A72" s="4958"/>
      <c r="B72" s="4958"/>
      <c r="C72" s="4959"/>
      <c r="D72" s="4958"/>
      <c r="E72" s="4980"/>
      <c r="F72" s="4958"/>
      <c r="G72" s="4958"/>
    </row>
    <row r="73" spans="1:7" ht="47.25" customHeight="1">
      <c r="A73" s="4958"/>
      <c r="B73" s="4981" t="s">
        <v>9679</v>
      </c>
      <c r="C73" s="4959"/>
      <c r="D73" s="4958" t="s">
        <v>4896</v>
      </c>
      <c r="E73" s="4980" t="s">
        <v>3257</v>
      </c>
      <c r="F73" s="4958" t="s">
        <v>1814</v>
      </c>
      <c r="G73" s="4958" t="s">
        <v>1743</v>
      </c>
    </row>
    <row r="74" spans="1:7" ht="6.9" customHeight="1">
      <c r="A74" s="4958"/>
      <c r="B74" s="4958"/>
      <c r="C74" s="4959"/>
      <c r="D74" s="4958"/>
      <c r="E74" s="4980"/>
      <c r="F74" s="4958"/>
      <c r="G74" s="4958"/>
    </row>
    <row r="75" spans="1:7" ht="45.75" customHeight="1">
      <c r="A75" s="4958"/>
      <c r="B75" s="4958" t="s">
        <v>4891</v>
      </c>
      <c r="C75" s="4959"/>
      <c r="D75" s="4958" t="s">
        <v>4897</v>
      </c>
      <c r="E75" s="4980" t="s">
        <v>3257</v>
      </c>
      <c r="F75" s="4958" t="s">
        <v>1814</v>
      </c>
      <c r="G75" s="4958" t="s">
        <v>1743</v>
      </c>
    </row>
    <row r="76" spans="1:7" ht="6.9" customHeight="1">
      <c r="A76" s="4958"/>
      <c r="B76" s="4958"/>
      <c r="C76" s="4959"/>
      <c r="D76" s="4958"/>
      <c r="E76" s="4980"/>
      <c r="F76" s="4958"/>
      <c r="G76" s="4958"/>
    </row>
    <row r="77" spans="1:7" ht="48" customHeight="1">
      <c r="A77" s="4958"/>
      <c r="B77" s="4958" t="s">
        <v>4892</v>
      </c>
      <c r="C77" s="4959"/>
      <c r="D77" s="4958" t="s">
        <v>4946</v>
      </c>
      <c r="E77" s="4980" t="s">
        <v>3257</v>
      </c>
      <c r="F77" s="4958" t="s">
        <v>1814</v>
      </c>
      <c r="G77" s="4958" t="s">
        <v>1743</v>
      </c>
    </row>
    <row r="78" spans="1:7" ht="6.9" customHeight="1">
      <c r="A78" s="4958"/>
      <c r="B78" s="4958"/>
      <c r="C78" s="4959"/>
      <c r="D78" s="4958"/>
      <c r="E78" s="4980"/>
      <c r="F78" s="4958"/>
      <c r="G78" s="4958"/>
    </row>
    <row r="79" spans="1:7" ht="46.5" customHeight="1">
      <c r="A79" s="4958"/>
      <c r="B79" s="4981" t="s">
        <v>9680</v>
      </c>
      <c r="C79" s="4959"/>
      <c r="D79" s="4958" t="s">
        <v>4898</v>
      </c>
      <c r="E79" s="4980" t="s">
        <v>3257</v>
      </c>
      <c r="F79" s="4958" t="s">
        <v>1814</v>
      </c>
      <c r="G79" s="4958" t="s">
        <v>1743</v>
      </c>
    </row>
    <row r="80" spans="1:7" ht="6.9" customHeight="1">
      <c r="A80" s="4958"/>
      <c r="B80" s="4958"/>
      <c r="C80" s="4959"/>
      <c r="D80" s="4958"/>
      <c r="E80" s="4982"/>
      <c r="F80" s="4982"/>
      <c r="G80" s="4982"/>
    </row>
    <row r="81" spans="1:7" ht="33.75" customHeight="1">
      <c r="A81" s="4958"/>
      <c r="B81" s="4958" t="s">
        <v>4893</v>
      </c>
      <c r="C81" s="4959"/>
      <c r="D81" s="4958" t="s">
        <v>3263</v>
      </c>
      <c r="E81" s="4980" t="s">
        <v>1893</v>
      </c>
      <c r="F81" s="4958" t="s">
        <v>1814</v>
      </c>
      <c r="G81" s="4958" t="s">
        <v>1743</v>
      </c>
    </row>
    <row r="82" spans="1:7" ht="6.9" customHeight="1">
      <c r="A82" s="4958"/>
      <c r="B82" s="4958"/>
      <c r="C82" s="4959"/>
      <c r="D82" s="4982"/>
      <c r="E82" s="4980"/>
      <c r="F82" s="4982"/>
      <c r="G82" s="4982"/>
    </row>
    <row r="83" spans="1:7" ht="34.5" customHeight="1">
      <c r="A83" s="4958"/>
      <c r="B83" s="4958" t="s">
        <v>4894</v>
      </c>
      <c r="C83" s="4959"/>
      <c r="D83" s="4958" t="s">
        <v>4899</v>
      </c>
      <c r="E83" s="4980" t="s">
        <v>3258</v>
      </c>
      <c r="F83" s="4958" t="s">
        <v>1746</v>
      </c>
      <c r="G83" s="4958" t="s">
        <v>1743</v>
      </c>
    </row>
    <row r="84" spans="1:7" ht="6.9" customHeight="1" thickBot="1">
      <c r="A84" s="4951"/>
      <c r="B84" s="4951"/>
      <c r="C84" s="4940"/>
      <c r="D84" s="4951"/>
      <c r="E84" s="4986"/>
      <c r="F84" s="4951"/>
      <c r="G84" s="4951"/>
    </row>
    <row r="85" spans="1:7" ht="15" customHeight="1">
      <c r="A85" s="4948"/>
      <c r="B85" s="4987" t="s">
        <v>4903</v>
      </c>
      <c r="C85" s="4937"/>
      <c r="D85" s="4973"/>
      <c r="E85" s="4957"/>
      <c r="F85" s="4973"/>
      <c r="G85" s="4973"/>
    </row>
    <row r="86" spans="1:7" ht="15" customHeight="1">
      <c r="A86" s="4958"/>
      <c r="B86" s="4987"/>
      <c r="C86" s="4959"/>
      <c r="D86" s="4973"/>
      <c r="E86" s="4957"/>
      <c r="F86" s="4973"/>
      <c r="G86" s="4973"/>
    </row>
    <row r="87" spans="1:7" ht="15" customHeight="1">
      <c r="A87" s="4958"/>
      <c r="B87" s="4987" t="s">
        <v>4904</v>
      </c>
      <c r="C87" s="4959"/>
      <c r="D87" s="4973"/>
      <c r="E87" s="4957"/>
      <c r="F87" s="4973"/>
      <c r="G87" s="4973"/>
    </row>
    <row r="88" spans="1:7" ht="6.9" customHeight="1">
      <c r="A88" s="4958"/>
      <c r="B88" s="4973"/>
      <c r="C88" s="4959"/>
      <c r="D88" s="4973"/>
      <c r="E88" s="4957"/>
      <c r="F88" s="4973"/>
      <c r="G88" s="4973"/>
    </row>
    <row r="89" spans="1:7" ht="32.25" customHeight="1">
      <c r="A89" s="4958"/>
      <c r="B89" s="4973" t="s">
        <v>4905</v>
      </c>
      <c r="C89" s="4959"/>
      <c r="D89" s="4973" t="s">
        <v>4908</v>
      </c>
      <c r="E89" s="4957" t="s">
        <v>1893</v>
      </c>
      <c r="F89" s="4973" t="s">
        <v>1814</v>
      </c>
      <c r="G89" s="4973" t="s">
        <v>1743</v>
      </c>
    </row>
    <row r="90" spans="1:7" ht="6.9" customHeight="1">
      <c r="A90" s="4958"/>
      <c r="B90" s="4973"/>
      <c r="C90" s="4959"/>
      <c r="D90" s="4973"/>
      <c r="E90" s="4957"/>
      <c r="F90" s="4973"/>
      <c r="G90" s="4973"/>
    </row>
    <row r="91" spans="1:7" ht="62.25" customHeight="1">
      <c r="A91" s="4958"/>
      <c r="B91" s="4973" t="s">
        <v>4906</v>
      </c>
      <c r="C91" s="4959"/>
      <c r="D91" s="4973" t="s">
        <v>4909</v>
      </c>
      <c r="E91" s="4957" t="s">
        <v>1893</v>
      </c>
      <c r="F91" s="4973" t="s">
        <v>1814</v>
      </c>
      <c r="G91" s="4973" t="s">
        <v>1743</v>
      </c>
    </row>
    <row r="92" spans="1:7" ht="6.9" customHeight="1">
      <c r="A92" s="4958"/>
      <c r="B92" s="4973"/>
      <c r="C92" s="4959"/>
      <c r="D92" s="4973"/>
      <c r="E92" s="4982"/>
      <c r="F92" s="4982"/>
      <c r="G92" s="4982"/>
    </row>
    <row r="93" spans="1:7" ht="46.5" customHeight="1" thickBot="1">
      <c r="A93" s="4958"/>
      <c r="B93" s="4988" t="s">
        <v>9681</v>
      </c>
      <c r="C93" s="4959"/>
      <c r="D93" s="4973" t="s">
        <v>4910</v>
      </c>
      <c r="E93" s="4957" t="s">
        <v>4912</v>
      </c>
      <c r="F93" s="4973" t="s">
        <v>1808</v>
      </c>
      <c r="G93" s="4973" t="s">
        <v>1743</v>
      </c>
    </row>
    <row r="94" spans="1:7" ht="15" customHeight="1">
      <c r="A94" s="4960"/>
      <c r="B94" s="4960"/>
      <c r="C94" s="4961"/>
      <c r="D94" s="4960"/>
      <c r="E94" s="4962"/>
      <c r="F94" s="4960"/>
      <c r="G94" s="4960"/>
    </row>
    <row r="95" spans="1:7" ht="15" customHeight="1">
      <c r="A95" s="4963"/>
      <c r="B95" s="4963"/>
      <c r="C95" s="4964"/>
      <c r="D95" s="4963"/>
      <c r="E95" s="4965"/>
      <c r="F95" s="4963"/>
      <c r="G95" s="4963"/>
    </row>
    <row r="96" spans="1:7" ht="15" customHeight="1">
      <c r="A96" s="4963"/>
      <c r="B96" s="4963"/>
      <c r="C96" s="4964"/>
      <c r="D96" s="4963"/>
      <c r="E96" s="4965"/>
      <c r="F96" s="4963"/>
      <c r="G96" s="4963"/>
    </row>
    <row r="97" spans="1:7" ht="15" customHeight="1">
      <c r="A97" s="4963"/>
      <c r="B97" s="4963"/>
      <c r="C97" s="4964"/>
      <c r="D97" s="4963"/>
      <c r="E97" s="4965"/>
      <c r="F97" s="4963"/>
      <c r="G97" s="4963"/>
    </row>
    <row r="98" spans="1:7" ht="15" customHeight="1">
      <c r="A98" s="4963"/>
      <c r="B98" s="4963"/>
      <c r="C98" s="4964"/>
      <c r="D98" s="4963"/>
      <c r="E98" s="4965"/>
      <c r="F98" s="4963"/>
      <c r="G98" s="4963"/>
    </row>
    <row r="99" spans="1:7" ht="15" customHeight="1">
      <c r="A99" s="4963"/>
      <c r="B99" s="4963"/>
      <c r="C99" s="4964"/>
      <c r="D99" s="4963"/>
      <c r="E99" s="4965"/>
      <c r="F99" s="4963"/>
      <c r="G99" s="4963"/>
    </row>
    <row r="100" spans="1:7" ht="15" customHeight="1" thickBot="1">
      <c r="A100" s="4966"/>
      <c r="B100" s="4966"/>
      <c r="C100" s="4967"/>
      <c r="D100" s="4966"/>
      <c r="E100" s="4968"/>
      <c r="F100" s="4966"/>
      <c r="G100" s="4966"/>
    </row>
    <row r="101" spans="1:7" ht="15" customHeight="1">
      <c r="A101" s="4935" t="s">
        <v>2737</v>
      </c>
      <c r="B101" s="4936" t="s">
        <v>4849</v>
      </c>
      <c r="C101" s="4937" t="s">
        <v>1763</v>
      </c>
      <c r="D101" s="14105" t="s">
        <v>2029</v>
      </c>
      <c r="E101" s="14105" t="s">
        <v>2030</v>
      </c>
      <c r="F101" s="14107" t="s">
        <v>2031</v>
      </c>
      <c r="G101" s="14108"/>
    </row>
    <row r="102" spans="1:7" ht="15" customHeight="1" thickBot="1">
      <c r="A102" s="4938"/>
      <c r="B102" s="4939" t="s">
        <v>4850</v>
      </c>
      <c r="C102" s="4940"/>
      <c r="D102" s="14106"/>
      <c r="E102" s="14106"/>
      <c r="F102" s="14109"/>
      <c r="G102" s="14110"/>
    </row>
    <row r="103" spans="1:7" s="4990" customFormat="1" ht="15" customHeight="1" thickBot="1">
      <c r="A103" s="4941">
        <v>1</v>
      </c>
      <c r="B103" s="4942">
        <v>2</v>
      </c>
      <c r="C103" s="4943">
        <v>3</v>
      </c>
      <c r="D103" s="4942">
        <v>4</v>
      </c>
      <c r="E103" s="4942">
        <v>5</v>
      </c>
      <c r="F103" s="14111">
        <v>6</v>
      </c>
      <c r="G103" s="14112"/>
    </row>
    <row r="104" spans="1:7" ht="15" customHeight="1">
      <c r="A104" s="4944"/>
      <c r="B104" s="14113"/>
      <c r="C104" s="4937"/>
      <c r="D104" s="14115"/>
      <c r="E104" s="14117"/>
      <c r="F104" s="4945" t="s">
        <v>2032</v>
      </c>
      <c r="G104" s="4945" t="s">
        <v>2033</v>
      </c>
    </row>
    <row r="105" spans="1:7" ht="15" customHeight="1" thickBot="1">
      <c r="A105" s="4946"/>
      <c r="B105" s="14114"/>
      <c r="C105" s="4940"/>
      <c r="D105" s="14116"/>
      <c r="E105" s="14118"/>
      <c r="F105" s="4947">
        <v>2014</v>
      </c>
      <c r="G105" s="4947">
        <v>2014</v>
      </c>
    </row>
    <row r="106" spans="1:7" ht="15" customHeight="1">
      <c r="A106" s="4958"/>
      <c r="B106" s="4973"/>
      <c r="C106" s="4959"/>
      <c r="D106" s="4973"/>
      <c r="E106" s="4957"/>
      <c r="F106" s="4973"/>
      <c r="G106" s="4973"/>
    </row>
    <row r="107" spans="1:7" ht="52.5" customHeight="1" thickBot="1">
      <c r="A107" s="4951"/>
      <c r="B107" s="4973" t="s">
        <v>4907</v>
      </c>
      <c r="C107" s="4940"/>
      <c r="D107" s="4973" t="s">
        <v>4911</v>
      </c>
      <c r="E107" s="4957" t="s">
        <v>4913</v>
      </c>
      <c r="F107" s="4973"/>
      <c r="G107" s="4973"/>
    </row>
    <row r="108" spans="1:7" ht="15" customHeight="1">
      <c r="A108" s="4948"/>
      <c r="B108" s="4937" t="s">
        <v>9682</v>
      </c>
      <c r="C108" s="4937"/>
      <c r="D108" s="4948"/>
      <c r="E108" s="4978"/>
      <c r="F108" s="4948"/>
      <c r="G108" s="4948"/>
    </row>
    <row r="109" spans="1:7" ht="15" customHeight="1">
      <c r="A109" s="4958"/>
      <c r="B109" s="4958"/>
      <c r="C109" s="4959"/>
      <c r="D109" s="4958"/>
      <c r="E109" s="4980"/>
      <c r="F109" s="4958"/>
      <c r="G109" s="4958"/>
    </row>
    <row r="110" spans="1:7" ht="49.5" customHeight="1">
      <c r="A110" s="4958"/>
      <c r="B110" s="4981" t="s">
        <v>9683</v>
      </c>
      <c r="C110" s="4959"/>
      <c r="D110" s="4958" t="s">
        <v>4915</v>
      </c>
      <c r="E110" s="4980" t="s">
        <v>1901</v>
      </c>
      <c r="F110" s="4958" t="s">
        <v>1814</v>
      </c>
      <c r="G110" s="4958" t="s">
        <v>1743</v>
      </c>
    </row>
    <row r="111" spans="1:7" ht="15" customHeight="1">
      <c r="A111" s="4958"/>
      <c r="B111" s="4958"/>
      <c r="C111" s="4959"/>
      <c r="D111" s="4958"/>
      <c r="E111" s="4980"/>
      <c r="F111" s="4958"/>
      <c r="G111" s="4958"/>
    </row>
    <row r="112" spans="1:7" ht="18" customHeight="1">
      <c r="A112" s="4958"/>
      <c r="B112" s="4981" t="s">
        <v>9684</v>
      </c>
      <c r="C112" s="4959"/>
      <c r="D112" s="4958" t="s">
        <v>4916</v>
      </c>
      <c r="E112" s="4980" t="s">
        <v>2545</v>
      </c>
      <c r="F112" s="4958" t="s">
        <v>1814</v>
      </c>
      <c r="G112" s="4958" t="s">
        <v>1743</v>
      </c>
    </row>
    <row r="113" spans="1:7" ht="15" customHeight="1">
      <c r="A113" s="4958"/>
      <c r="B113" s="4982"/>
      <c r="C113" s="4959"/>
      <c r="D113" s="4958"/>
      <c r="E113" s="4980"/>
      <c r="F113" s="4958"/>
      <c r="G113" s="4958"/>
    </row>
    <row r="114" spans="1:7" ht="48" customHeight="1">
      <c r="A114" s="4958"/>
      <c r="B114" s="4981" t="s">
        <v>9685</v>
      </c>
      <c r="C114" s="4959"/>
      <c r="D114" s="4958" t="s">
        <v>4917</v>
      </c>
      <c r="E114" s="4980" t="s">
        <v>2545</v>
      </c>
      <c r="F114" s="4958" t="s">
        <v>1814</v>
      </c>
      <c r="G114" s="4958" t="s">
        <v>1743</v>
      </c>
    </row>
    <row r="115" spans="1:7" ht="15" customHeight="1">
      <c r="A115" s="4958"/>
      <c r="B115" s="4958"/>
      <c r="C115" s="4959"/>
      <c r="D115" s="4958"/>
      <c r="E115" s="4982"/>
      <c r="F115" s="4982"/>
      <c r="G115" s="4982"/>
    </row>
    <row r="116" spans="1:7" ht="50.25" customHeight="1">
      <c r="A116" s="4958"/>
      <c r="B116" s="4981" t="s">
        <v>9686</v>
      </c>
      <c r="C116" s="4959"/>
      <c r="D116" s="4958" t="s">
        <v>4918</v>
      </c>
      <c r="E116" s="4980" t="s">
        <v>2545</v>
      </c>
      <c r="F116" s="4958" t="s">
        <v>1814</v>
      </c>
      <c r="G116" s="4958" t="s">
        <v>1743</v>
      </c>
    </row>
    <row r="117" spans="1:7" ht="15" customHeight="1">
      <c r="A117" s="4958"/>
      <c r="B117" s="4982"/>
      <c r="C117" s="4959"/>
      <c r="D117" s="4958"/>
      <c r="E117" s="4980"/>
      <c r="F117" s="4958"/>
      <c r="G117" s="4958"/>
    </row>
    <row r="118" spans="1:7" ht="49.5" customHeight="1">
      <c r="A118" s="4958"/>
      <c r="B118" s="4958" t="s">
        <v>4914</v>
      </c>
      <c r="C118" s="4959"/>
      <c r="D118" s="4958" t="s">
        <v>4919</v>
      </c>
      <c r="E118" s="4980" t="s">
        <v>4947</v>
      </c>
      <c r="F118" s="4958" t="s">
        <v>1814</v>
      </c>
      <c r="G118" s="4958" t="s">
        <v>1743</v>
      </c>
    </row>
    <row r="119" spans="1:7" ht="15" customHeight="1" thickBot="1">
      <c r="A119" s="4951"/>
      <c r="B119" s="4951"/>
      <c r="C119" s="4940"/>
      <c r="D119" s="4951"/>
      <c r="E119" s="4986"/>
      <c r="F119" s="4951"/>
      <c r="G119" s="4951"/>
    </row>
    <row r="120" spans="1:7" ht="15" customHeight="1">
      <c r="A120" s="4948"/>
      <c r="B120" s="4937" t="s">
        <v>9687</v>
      </c>
      <c r="C120" s="4937"/>
      <c r="D120" s="4948"/>
      <c r="E120" s="4978"/>
      <c r="F120" s="4948"/>
      <c r="G120" s="4948"/>
    </row>
    <row r="121" spans="1:7" ht="35.25" customHeight="1">
      <c r="A121" s="4958"/>
      <c r="B121" s="4958" t="s">
        <v>4920</v>
      </c>
      <c r="C121" s="4959"/>
      <c r="D121" s="4958" t="s">
        <v>4925</v>
      </c>
      <c r="E121" s="4980" t="s">
        <v>3260</v>
      </c>
      <c r="F121" s="4958" t="s">
        <v>1814</v>
      </c>
      <c r="G121" s="4958" t="s">
        <v>1743</v>
      </c>
    </row>
    <row r="122" spans="1:7" ht="15" customHeight="1">
      <c r="A122" s="4958"/>
      <c r="B122" s="4958"/>
      <c r="C122" s="4959"/>
      <c r="D122" s="4958" t="s">
        <v>4926</v>
      </c>
      <c r="E122" s="4982"/>
      <c r="F122" s="4982"/>
      <c r="G122" s="4982"/>
    </row>
    <row r="123" spans="1:7" ht="15" customHeight="1">
      <c r="A123" s="4958"/>
      <c r="B123" s="4958"/>
      <c r="C123" s="4959"/>
      <c r="D123" s="4958"/>
      <c r="E123" s="4982"/>
      <c r="F123" s="4982"/>
      <c r="G123" s="4982"/>
    </row>
    <row r="124" spans="1:7" ht="35.25" customHeight="1">
      <c r="A124" s="4958"/>
      <c r="B124" s="4958" t="s">
        <v>4921</v>
      </c>
      <c r="C124" s="4959"/>
      <c r="D124" s="4958" t="s">
        <v>3261</v>
      </c>
      <c r="E124" s="4980" t="s">
        <v>4930</v>
      </c>
      <c r="F124" s="4958" t="s">
        <v>1814</v>
      </c>
      <c r="G124" s="4958" t="s">
        <v>1743</v>
      </c>
    </row>
    <row r="125" spans="1:7" ht="33" customHeight="1">
      <c r="A125" s="4958"/>
      <c r="B125" s="4958" t="s">
        <v>3262</v>
      </c>
      <c r="C125" s="4959"/>
      <c r="D125" s="4958" t="s">
        <v>4927</v>
      </c>
      <c r="E125" s="4980" t="s">
        <v>4931</v>
      </c>
      <c r="F125" s="4958" t="s">
        <v>1814</v>
      </c>
      <c r="G125" s="4958" t="s">
        <v>1743</v>
      </c>
    </row>
    <row r="126" spans="1:7" ht="15" customHeight="1">
      <c r="A126" s="4958"/>
      <c r="B126" s="4958"/>
      <c r="C126" s="4959"/>
      <c r="D126" s="4958"/>
      <c r="E126" s="4980"/>
      <c r="F126" s="4982"/>
      <c r="G126" s="4982"/>
    </row>
    <row r="127" spans="1:7" ht="47.25" customHeight="1">
      <c r="A127" s="4958"/>
      <c r="B127" s="4981" t="s">
        <v>4922</v>
      </c>
      <c r="C127" s="4959"/>
      <c r="D127" s="4958" t="s">
        <v>4928</v>
      </c>
      <c r="E127" s="4980">
        <v>150</v>
      </c>
      <c r="F127" s="4958" t="s">
        <v>1741</v>
      </c>
      <c r="G127" s="4958" t="s">
        <v>1743</v>
      </c>
    </row>
    <row r="128" spans="1:7" ht="15" customHeight="1">
      <c r="A128" s="4958"/>
      <c r="B128" s="4958"/>
      <c r="C128" s="4959"/>
      <c r="D128" s="4982"/>
      <c r="E128" s="4980"/>
      <c r="F128" s="4958"/>
      <c r="G128" s="4958"/>
    </row>
    <row r="129" spans="1:7" ht="34.5" customHeight="1">
      <c r="A129" s="4958"/>
      <c r="B129" s="4985" t="s">
        <v>4923</v>
      </c>
      <c r="C129" s="4959"/>
      <c r="D129" s="4958" t="s">
        <v>4929</v>
      </c>
      <c r="E129" s="4980" t="s">
        <v>3264</v>
      </c>
      <c r="F129" s="4958" t="s">
        <v>1814</v>
      </c>
      <c r="G129" s="4958" t="s">
        <v>1743</v>
      </c>
    </row>
    <row r="130" spans="1:7" ht="15" customHeight="1">
      <c r="A130" s="4958"/>
      <c r="B130" s="4958"/>
      <c r="C130" s="4959"/>
      <c r="D130" s="4958"/>
      <c r="E130" s="4980"/>
      <c r="F130" s="4958"/>
      <c r="G130" s="4958"/>
    </row>
    <row r="131" spans="1:7" ht="21" customHeight="1">
      <c r="A131" s="4958"/>
      <c r="B131" s="4958" t="s">
        <v>4924</v>
      </c>
      <c r="C131" s="4959"/>
      <c r="D131" s="4958" t="s">
        <v>3265</v>
      </c>
      <c r="E131" s="4980">
        <v>1</v>
      </c>
      <c r="F131" s="4958" t="s">
        <v>1814</v>
      </c>
      <c r="G131" s="4958" t="s">
        <v>1743</v>
      </c>
    </row>
    <row r="132" spans="1:7" ht="15" customHeight="1" thickBot="1">
      <c r="A132" s="4951"/>
      <c r="B132" s="4951"/>
      <c r="C132" s="4940"/>
      <c r="D132" s="4951"/>
      <c r="E132" s="4989"/>
      <c r="F132" s="4989"/>
      <c r="G132" s="4989"/>
    </row>
    <row r="133" spans="1:7" ht="15" customHeight="1">
      <c r="A133" s="4960"/>
      <c r="B133" s="4960"/>
      <c r="C133" s="4961"/>
      <c r="D133" s="4960"/>
      <c r="E133" s="4962"/>
      <c r="F133" s="4960"/>
      <c r="G133" s="4960"/>
    </row>
    <row r="134" spans="1:7" ht="15" customHeight="1">
      <c r="A134" s="4963"/>
      <c r="B134" s="4963"/>
      <c r="C134" s="4964"/>
      <c r="D134" s="4963"/>
      <c r="E134" s="4965"/>
      <c r="F134" s="4963"/>
      <c r="G134" s="4963"/>
    </row>
    <row r="135" spans="1:7" ht="15" customHeight="1">
      <c r="A135" s="4963"/>
      <c r="B135" s="4963"/>
      <c r="C135" s="4964"/>
      <c r="D135" s="4963"/>
      <c r="E135" s="4965"/>
      <c r="F135" s="4963"/>
      <c r="G135" s="4963"/>
    </row>
    <row r="136" spans="1:7" ht="15" customHeight="1">
      <c r="A136" s="4963"/>
      <c r="B136" s="4963"/>
      <c r="C136" s="4964"/>
      <c r="D136" s="4963"/>
      <c r="E136" s="4965"/>
      <c r="F136" s="4963"/>
      <c r="G136" s="4963"/>
    </row>
    <row r="137" spans="1:7" ht="15" customHeight="1">
      <c r="A137" s="4963"/>
      <c r="B137" s="4963"/>
      <c r="C137" s="4964"/>
      <c r="D137" s="4963"/>
      <c r="E137" s="4965"/>
      <c r="F137" s="4963"/>
      <c r="G137" s="4963"/>
    </row>
    <row r="138" spans="1:7" ht="15" customHeight="1" thickBot="1">
      <c r="A138" s="4966"/>
      <c r="B138" s="4966"/>
      <c r="C138" s="4967"/>
      <c r="D138" s="4966"/>
      <c r="E138" s="4968"/>
      <c r="F138" s="4966"/>
      <c r="G138" s="4966"/>
    </row>
    <row r="139" spans="1:7" ht="15" customHeight="1">
      <c r="A139" s="4935" t="s">
        <v>2737</v>
      </c>
      <c r="B139" s="4936" t="s">
        <v>4849</v>
      </c>
      <c r="C139" s="4937" t="s">
        <v>1763</v>
      </c>
      <c r="D139" s="14105" t="s">
        <v>2029</v>
      </c>
      <c r="E139" s="14105" t="s">
        <v>2030</v>
      </c>
      <c r="F139" s="14107" t="s">
        <v>2031</v>
      </c>
      <c r="G139" s="14108"/>
    </row>
    <row r="140" spans="1:7" ht="15" customHeight="1" thickBot="1">
      <c r="A140" s="4938"/>
      <c r="B140" s="4939" t="s">
        <v>4850</v>
      </c>
      <c r="C140" s="4940"/>
      <c r="D140" s="14106"/>
      <c r="E140" s="14106"/>
      <c r="F140" s="14109"/>
      <c r="G140" s="14110"/>
    </row>
    <row r="141" spans="1:7" s="4990" customFormat="1" ht="15" customHeight="1" thickBot="1">
      <c r="A141" s="4941">
        <v>1</v>
      </c>
      <c r="B141" s="4942">
        <v>2</v>
      </c>
      <c r="C141" s="4943">
        <v>3</v>
      </c>
      <c r="D141" s="4942">
        <v>4</v>
      </c>
      <c r="E141" s="4942">
        <v>5</v>
      </c>
      <c r="F141" s="14111">
        <v>6</v>
      </c>
      <c r="G141" s="14112"/>
    </row>
    <row r="142" spans="1:7" ht="15" customHeight="1">
      <c r="A142" s="4944"/>
      <c r="B142" s="14113"/>
      <c r="C142" s="4937"/>
      <c r="D142" s="14115"/>
      <c r="E142" s="14117"/>
      <c r="F142" s="4945" t="s">
        <v>2032</v>
      </c>
      <c r="G142" s="4945" t="s">
        <v>2033</v>
      </c>
    </row>
    <row r="143" spans="1:7" ht="15" customHeight="1" thickBot="1">
      <c r="A143" s="4946"/>
      <c r="B143" s="14114"/>
      <c r="C143" s="4940"/>
      <c r="D143" s="14116"/>
      <c r="E143" s="14118"/>
      <c r="F143" s="4947">
        <v>2014</v>
      </c>
      <c r="G143" s="4947">
        <v>2014</v>
      </c>
    </row>
    <row r="144" spans="1:7" ht="15" customHeight="1" thickBot="1">
      <c r="A144" s="4951"/>
      <c r="B144" s="4954"/>
      <c r="C144" s="4940"/>
      <c r="D144" s="4954"/>
      <c r="E144" s="4956"/>
      <c r="F144" s="4954"/>
      <c r="G144" s="4954"/>
    </row>
    <row r="145" spans="1:7" ht="15" customHeight="1">
      <c r="A145" s="4948"/>
      <c r="B145" s="4987" t="s">
        <v>9688</v>
      </c>
      <c r="C145" s="4937"/>
      <c r="D145" s="4973"/>
      <c r="E145" s="4957"/>
      <c r="F145" s="4973"/>
      <c r="G145" s="4973"/>
    </row>
    <row r="146" spans="1:7" ht="15" customHeight="1">
      <c r="A146" s="4958"/>
      <c r="B146" s="4987"/>
      <c r="C146" s="4959"/>
      <c r="D146" s="4973"/>
      <c r="E146" s="4957"/>
      <c r="F146" s="4973"/>
      <c r="G146" s="4973"/>
    </row>
    <row r="147" spans="1:7" ht="50.25" customHeight="1">
      <c r="A147" s="4958"/>
      <c r="B147" s="4988" t="s">
        <v>9689</v>
      </c>
      <c r="C147" s="4959"/>
      <c r="D147" s="4973" t="s">
        <v>4934</v>
      </c>
      <c r="E147" s="4957" t="s">
        <v>4941</v>
      </c>
      <c r="F147" s="4973" t="s">
        <v>1814</v>
      </c>
      <c r="G147" s="4973" t="s">
        <v>1743</v>
      </c>
    </row>
    <row r="148" spans="1:7" ht="77.25" customHeight="1">
      <c r="A148" s="4958"/>
      <c r="B148" s="4973"/>
      <c r="C148" s="4959"/>
      <c r="D148" s="4973" t="s">
        <v>4935</v>
      </c>
      <c r="E148" s="4957"/>
      <c r="F148" s="4973"/>
      <c r="G148" s="4973"/>
    </row>
    <row r="149" spans="1:7" ht="48.75" customHeight="1">
      <c r="A149" s="4958"/>
      <c r="B149" s="4973"/>
      <c r="C149" s="4959"/>
      <c r="D149" s="4973" t="s">
        <v>4936</v>
      </c>
      <c r="E149" s="4957"/>
      <c r="F149" s="4973"/>
      <c r="G149" s="4973"/>
    </row>
    <row r="150" spans="1:7" ht="15" customHeight="1">
      <c r="A150" s="4958"/>
      <c r="B150" s="4973"/>
      <c r="C150" s="4959"/>
      <c r="D150" s="4973"/>
      <c r="E150" s="4980"/>
      <c r="F150" s="4973"/>
      <c r="G150" s="4973"/>
    </row>
    <row r="151" spans="1:7" ht="33" customHeight="1">
      <c r="A151" s="4958"/>
      <c r="B151" s="4973" t="s">
        <v>4932</v>
      </c>
      <c r="C151" s="4959"/>
      <c r="D151" s="4973" t="s">
        <v>4937</v>
      </c>
      <c r="E151" s="4980" t="s">
        <v>4942</v>
      </c>
      <c r="F151" s="4973"/>
      <c r="G151" s="4973"/>
    </row>
    <row r="152" spans="1:7" ht="33" customHeight="1">
      <c r="A152" s="4958"/>
      <c r="B152" s="4973"/>
      <c r="C152" s="4959"/>
      <c r="D152" s="4973" t="s">
        <v>4938</v>
      </c>
      <c r="E152" s="4980"/>
      <c r="F152" s="4973"/>
      <c r="G152" s="4973"/>
    </row>
    <row r="153" spans="1:7" ht="15" customHeight="1">
      <c r="A153" s="4958"/>
      <c r="B153" s="4973"/>
      <c r="C153" s="4959"/>
      <c r="D153" s="4973"/>
      <c r="E153" s="4980" t="s">
        <v>9</v>
      </c>
      <c r="F153" s="4973"/>
      <c r="G153" s="4973"/>
    </row>
    <row r="154" spans="1:7" ht="49.5" customHeight="1">
      <c r="A154" s="4958"/>
      <c r="B154" s="4973" t="s">
        <v>4933</v>
      </c>
      <c r="C154" s="4959"/>
      <c r="D154" s="4973" t="s">
        <v>4939</v>
      </c>
      <c r="E154" s="4980" t="s">
        <v>4943</v>
      </c>
      <c r="F154" s="4973"/>
      <c r="G154" s="4973"/>
    </row>
    <row r="155" spans="1:7" ht="15" customHeight="1">
      <c r="A155" s="4958"/>
      <c r="C155" s="4959"/>
      <c r="D155" s="4973"/>
      <c r="E155" s="4980"/>
      <c r="F155" s="4973"/>
      <c r="G155" s="4973"/>
    </row>
    <row r="156" spans="1:7" ht="38.25" customHeight="1">
      <c r="A156" s="4958"/>
      <c r="B156" s="4973"/>
      <c r="C156" s="4959"/>
      <c r="D156" s="4973" t="s">
        <v>4940</v>
      </c>
      <c r="E156" s="4982"/>
      <c r="F156" s="4973"/>
      <c r="G156" s="4973"/>
    </row>
    <row r="157" spans="1:7" ht="15" customHeight="1" thickBot="1">
      <c r="A157" s="4951"/>
      <c r="B157" s="4954"/>
      <c r="C157" s="4940"/>
      <c r="D157" s="4954"/>
      <c r="E157" s="4986"/>
      <c r="F157" s="4954"/>
      <c r="G157" s="4954"/>
    </row>
    <row r="158" spans="1:7" ht="15" customHeight="1" thickBot="1">
      <c r="A158" s="4951"/>
      <c r="B158" s="4955"/>
      <c r="C158" s="4955"/>
      <c r="D158" s="4954"/>
      <c r="E158" s="4986"/>
      <c r="F158" s="4954"/>
      <c r="G158" s="4954"/>
    </row>
    <row r="159" spans="1:7" ht="55.5" customHeight="1" thickBot="1">
      <c r="A159" s="4951"/>
      <c r="B159" s="4955" t="s">
        <v>4944</v>
      </c>
      <c r="C159" s="4955"/>
      <c r="D159" s="4954"/>
      <c r="E159" s="4986"/>
      <c r="F159" s="4954"/>
      <c r="G159" s="4954"/>
    </row>
    <row r="160" spans="1:7" ht="15" customHeight="1" thickBot="1">
      <c r="A160" s="4951"/>
      <c r="B160" s="4954"/>
      <c r="C160" s="4955"/>
      <c r="D160" s="4954"/>
      <c r="E160" s="4956"/>
      <c r="F160" s="4954"/>
      <c r="G160" s="4954"/>
    </row>
  </sheetData>
  <mergeCells count="87">
    <mergeCell ref="F3:G4"/>
    <mergeCell ref="F5:G5"/>
    <mergeCell ref="B6:B7"/>
    <mergeCell ref="D6:D7"/>
    <mergeCell ref="E6:E7"/>
    <mergeCell ref="B14:B15"/>
    <mergeCell ref="D14:D15"/>
    <mergeCell ref="E14:E15"/>
    <mergeCell ref="D3:D4"/>
    <mergeCell ref="E3:E4"/>
    <mergeCell ref="D8:D9"/>
    <mergeCell ref="E8:E9"/>
    <mergeCell ref="F8:F9"/>
    <mergeCell ref="G8:G9"/>
    <mergeCell ref="B11:B12"/>
    <mergeCell ref="D11:D12"/>
    <mergeCell ref="E11:E12"/>
    <mergeCell ref="F11:F12"/>
    <mergeCell ref="G11:G12"/>
    <mergeCell ref="F14:F15"/>
    <mergeCell ref="G14:G15"/>
    <mergeCell ref="B21:B22"/>
    <mergeCell ref="D21:D22"/>
    <mergeCell ref="E21:E22"/>
    <mergeCell ref="F21:F22"/>
    <mergeCell ref="G21:G22"/>
    <mergeCell ref="B19:B20"/>
    <mergeCell ref="D19:D20"/>
    <mergeCell ref="E19:E20"/>
    <mergeCell ref="F19:F20"/>
    <mergeCell ref="G19:G20"/>
    <mergeCell ref="B16:B18"/>
    <mergeCell ref="D16:D18"/>
    <mergeCell ref="F16:F18"/>
    <mergeCell ref="G16:G18"/>
    <mergeCell ref="B23:B25"/>
    <mergeCell ref="D23:D25"/>
    <mergeCell ref="F23:F25"/>
    <mergeCell ref="G23:G25"/>
    <mergeCell ref="B26:B27"/>
    <mergeCell ref="D26:D27"/>
    <mergeCell ref="E26:E27"/>
    <mergeCell ref="F26:F27"/>
    <mergeCell ref="G26:G27"/>
    <mergeCell ref="D31:D32"/>
    <mergeCell ref="E31:E32"/>
    <mergeCell ref="F31:G32"/>
    <mergeCell ref="F33:G33"/>
    <mergeCell ref="B34:B35"/>
    <mergeCell ref="D34:D35"/>
    <mergeCell ref="E34:E35"/>
    <mergeCell ref="B39:B40"/>
    <mergeCell ref="D39:D40"/>
    <mergeCell ref="E39:E40"/>
    <mergeCell ref="F39:F40"/>
    <mergeCell ref="G39:G40"/>
    <mergeCell ref="B37:B38"/>
    <mergeCell ref="D37:D38"/>
    <mergeCell ref="E37:E38"/>
    <mergeCell ref="F37:F38"/>
    <mergeCell ref="G37:G38"/>
    <mergeCell ref="F41:F42"/>
    <mergeCell ref="G41:G42"/>
    <mergeCell ref="F62:G62"/>
    <mergeCell ref="B63:B64"/>
    <mergeCell ref="D63:D64"/>
    <mergeCell ref="E63:E64"/>
    <mergeCell ref="D60:D61"/>
    <mergeCell ref="E60:E61"/>
    <mergeCell ref="F60:G61"/>
    <mergeCell ref="B41:B42"/>
    <mergeCell ref="D41:D42"/>
    <mergeCell ref="E41:E42"/>
    <mergeCell ref="D101:D102"/>
    <mergeCell ref="E101:E102"/>
    <mergeCell ref="F101:G102"/>
    <mergeCell ref="F141:G141"/>
    <mergeCell ref="B142:B143"/>
    <mergeCell ref="D142:D143"/>
    <mergeCell ref="E142:E143"/>
    <mergeCell ref="F103:G103"/>
    <mergeCell ref="B104:B105"/>
    <mergeCell ref="D104:D105"/>
    <mergeCell ref="E104:E105"/>
    <mergeCell ref="D139:D140"/>
    <mergeCell ref="E139:E140"/>
    <mergeCell ref="F139:G140"/>
  </mergeCells>
  <pageMargins left="0.5" right="0.25" top="0.75" bottom="0.5" header="0.5" footer="0.25"/>
  <pageSetup paperSize="119" firstPageNumber="12" orientation="portrait" useFirstPageNumber="1" verticalDpi="300" r:id="rId1"/>
  <headerFooter alignWithMargins="0"/>
</worksheet>
</file>

<file path=xl/worksheets/sheet200.xml><?xml version="1.0" encoding="utf-8"?>
<worksheet xmlns="http://schemas.openxmlformats.org/spreadsheetml/2006/main" xmlns:r="http://schemas.openxmlformats.org/officeDocument/2006/relationships">
  <sheetPr codeName="Sheet149">
    <tabColor rgb="FF7030A0"/>
  </sheetPr>
  <dimension ref="A1:I56"/>
  <sheetViews>
    <sheetView topLeftCell="A4" workbookViewId="0">
      <selection activeCell="B16" sqref="B16"/>
    </sheetView>
  </sheetViews>
  <sheetFormatPr defaultRowHeight="14.4"/>
  <cols>
    <col min="1" max="1" width="48.109375" style="6507" customWidth="1"/>
    <col min="2" max="2" width="34" style="6507" customWidth="1"/>
    <col min="3" max="3" width="17.109375" style="6507" customWidth="1"/>
    <col min="4" max="256" width="9.109375" style="6507"/>
    <col min="257" max="257" width="38.44140625" style="6507" customWidth="1"/>
    <col min="258" max="258" width="34.44140625" style="6507" customWidth="1"/>
    <col min="259" max="259" width="18.109375" style="6507" customWidth="1"/>
    <col min="260" max="512" width="9.109375" style="6507"/>
    <col min="513" max="513" width="38.44140625" style="6507" customWidth="1"/>
    <col min="514" max="514" width="34.44140625" style="6507" customWidth="1"/>
    <col min="515" max="515" width="18.109375" style="6507" customWidth="1"/>
    <col min="516" max="768" width="9.109375" style="6507"/>
    <col min="769" max="769" width="38.44140625" style="6507" customWidth="1"/>
    <col min="770" max="770" width="34.44140625" style="6507" customWidth="1"/>
    <col min="771" max="771" width="18.109375" style="6507" customWidth="1"/>
    <col min="772" max="1024" width="9.109375" style="6507"/>
    <col min="1025" max="1025" width="38.44140625" style="6507" customWidth="1"/>
    <col min="1026" max="1026" width="34.44140625" style="6507" customWidth="1"/>
    <col min="1027" max="1027" width="18.109375" style="6507" customWidth="1"/>
    <col min="1028" max="1280" width="9.109375" style="6507"/>
    <col min="1281" max="1281" width="38.44140625" style="6507" customWidth="1"/>
    <col min="1282" max="1282" width="34.44140625" style="6507" customWidth="1"/>
    <col min="1283" max="1283" width="18.109375" style="6507" customWidth="1"/>
    <col min="1284" max="1536" width="9.109375" style="6507"/>
    <col min="1537" max="1537" width="38.44140625" style="6507" customWidth="1"/>
    <col min="1538" max="1538" width="34.44140625" style="6507" customWidth="1"/>
    <col min="1539" max="1539" width="18.109375" style="6507" customWidth="1"/>
    <col min="1540" max="1792" width="9.109375" style="6507"/>
    <col min="1793" max="1793" width="38.44140625" style="6507" customWidth="1"/>
    <col min="1794" max="1794" width="34.44140625" style="6507" customWidth="1"/>
    <col min="1795" max="1795" width="18.109375" style="6507" customWidth="1"/>
    <col min="1796" max="2048" width="9.109375" style="6507"/>
    <col min="2049" max="2049" width="38.44140625" style="6507" customWidth="1"/>
    <col min="2050" max="2050" width="34.44140625" style="6507" customWidth="1"/>
    <col min="2051" max="2051" width="18.109375" style="6507" customWidth="1"/>
    <col min="2052" max="2304" width="9.109375" style="6507"/>
    <col min="2305" max="2305" width="38.44140625" style="6507" customWidth="1"/>
    <col min="2306" max="2306" width="34.44140625" style="6507" customWidth="1"/>
    <col min="2307" max="2307" width="18.109375" style="6507" customWidth="1"/>
    <col min="2308" max="2560" width="9.109375" style="6507"/>
    <col min="2561" max="2561" width="38.44140625" style="6507" customWidth="1"/>
    <col min="2562" max="2562" width="34.44140625" style="6507" customWidth="1"/>
    <col min="2563" max="2563" width="18.109375" style="6507" customWidth="1"/>
    <col min="2564" max="2816" width="9.109375" style="6507"/>
    <col min="2817" max="2817" width="38.44140625" style="6507" customWidth="1"/>
    <col min="2818" max="2818" width="34.44140625" style="6507" customWidth="1"/>
    <col min="2819" max="2819" width="18.109375" style="6507" customWidth="1"/>
    <col min="2820" max="3072" width="9.109375" style="6507"/>
    <col min="3073" max="3073" width="38.44140625" style="6507" customWidth="1"/>
    <col min="3074" max="3074" width="34.44140625" style="6507" customWidth="1"/>
    <col min="3075" max="3075" width="18.109375" style="6507" customWidth="1"/>
    <col min="3076" max="3328" width="9.109375" style="6507"/>
    <col min="3329" max="3329" width="38.44140625" style="6507" customWidth="1"/>
    <col min="3330" max="3330" width="34.44140625" style="6507" customWidth="1"/>
    <col min="3331" max="3331" width="18.109375" style="6507" customWidth="1"/>
    <col min="3332" max="3584" width="9.109375" style="6507"/>
    <col min="3585" max="3585" width="38.44140625" style="6507" customWidth="1"/>
    <col min="3586" max="3586" width="34.44140625" style="6507" customWidth="1"/>
    <col min="3587" max="3587" width="18.109375" style="6507" customWidth="1"/>
    <col min="3588" max="3840" width="9.109375" style="6507"/>
    <col min="3841" max="3841" width="38.44140625" style="6507" customWidth="1"/>
    <col min="3842" max="3842" width="34.44140625" style="6507" customWidth="1"/>
    <col min="3843" max="3843" width="18.109375" style="6507" customWidth="1"/>
    <col min="3844" max="4096" width="9.109375" style="6507"/>
    <col min="4097" max="4097" width="38.44140625" style="6507" customWidth="1"/>
    <col min="4098" max="4098" width="34.44140625" style="6507" customWidth="1"/>
    <col min="4099" max="4099" width="18.109375" style="6507" customWidth="1"/>
    <col min="4100" max="4352" width="9.109375" style="6507"/>
    <col min="4353" max="4353" width="38.44140625" style="6507" customWidth="1"/>
    <col min="4354" max="4354" width="34.44140625" style="6507" customWidth="1"/>
    <col min="4355" max="4355" width="18.109375" style="6507" customWidth="1"/>
    <col min="4356" max="4608" width="9.109375" style="6507"/>
    <col min="4609" max="4609" width="38.44140625" style="6507" customWidth="1"/>
    <col min="4610" max="4610" width="34.44140625" style="6507" customWidth="1"/>
    <col min="4611" max="4611" width="18.109375" style="6507" customWidth="1"/>
    <col min="4612" max="4864" width="9.109375" style="6507"/>
    <col min="4865" max="4865" width="38.44140625" style="6507" customWidth="1"/>
    <col min="4866" max="4866" width="34.44140625" style="6507" customWidth="1"/>
    <col min="4867" max="4867" width="18.109375" style="6507" customWidth="1"/>
    <col min="4868" max="5120" width="9.109375" style="6507"/>
    <col min="5121" max="5121" width="38.44140625" style="6507" customWidth="1"/>
    <col min="5122" max="5122" width="34.44140625" style="6507" customWidth="1"/>
    <col min="5123" max="5123" width="18.109375" style="6507" customWidth="1"/>
    <col min="5124" max="5376" width="9.109375" style="6507"/>
    <col min="5377" max="5377" width="38.44140625" style="6507" customWidth="1"/>
    <col min="5378" max="5378" width="34.44140625" style="6507" customWidth="1"/>
    <col min="5379" max="5379" width="18.109375" style="6507" customWidth="1"/>
    <col min="5380" max="5632" width="9.109375" style="6507"/>
    <col min="5633" max="5633" width="38.44140625" style="6507" customWidth="1"/>
    <col min="5634" max="5634" width="34.44140625" style="6507" customWidth="1"/>
    <col min="5635" max="5635" width="18.109375" style="6507" customWidth="1"/>
    <col min="5636" max="5888" width="9.109375" style="6507"/>
    <col min="5889" max="5889" width="38.44140625" style="6507" customWidth="1"/>
    <col min="5890" max="5890" width="34.44140625" style="6507" customWidth="1"/>
    <col min="5891" max="5891" width="18.109375" style="6507" customWidth="1"/>
    <col min="5892" max="6144" width="9.109375" style="6507"/>
    <col min="6145" max="6145" width="38.44140625" style="6507" customWidth="1"/>
    <col min="6146" max="6146" width="34.44140625" style="6507" customWidth="1"/>
    <col min="6147" max="6147" width="18.109375" style="6507" customWidth="1"/>
    <col min="6148" max="6400" width="9.109375" style="6507"/>
    <col min="6401" max="6401" width="38.44140625" style="6507" customWidth="1"/>
    <col min="6402" max="6402" width="34.44140625" style="6507" customWidth="1"/>
    <col min="6403" max="6403" width="18.109375" style="6507" customWidth="1"/>
    <col min="6404" max="6656" width="9.109375" style="6507"/>
    <col min="6657" max="6657" width="38.44140625" style="6507" customWidth="1"/>
    <col min="6658" max="6658" width="34.44140625" style="6507" customWidth="1"/>
    <col min="6659" max="6659" width="18.109375" style="6507" customWidth="1"/>
    <col min="6660" max="6912" width="9.109375" style="6507"/>
    <col min="6913" max="6913" width="38.44140625" style="6507" customWidth="1"/>
    <col min="6914" max="6914" width="34.44140625" style="6507" customWidth="1"/>
    <col min="6915" max="6915" width="18.109375" style="6507" customWidth="1"/>
    <col min="6916" max="7168" width="9.109375" style="6507"/>
    <col min="7169" max="7169" width="38.44140625" style="6507" customWidth="1"/>
    <col min="7170" max="7170" width="34.44140625" style="6507" customWidth="1"/>
    <col min="7171" max="7171" width="18.109375" style="6507" customWidth="1"/>
    <col min="7172" max="7424" width="9.109375" style="6507"/>
    <col min="7425" max="7425" width="38.44140625" style="6507" customWidth="1"/>
    <col min="7426" max="7426" width="34.44140625" style="6507" customWidth="1"/>
    <col min="7427" max="7427" width="18.109375" style="6507" customWidth="1"/>
    <col min="7428" max="7680" width="9.109375" style="6507"/>
    <col min="7681" max="7681" width="38.44140625" style="6507" customWidth="1"/>
    <col min="7682" max="7682" width="34.44140625" style="6507" customWidth="1"/>
    <col min="7683" max="7683" width="18.109375" style="6507" customWidth="1"/>
    <col min="7684" max="7936" width="9.109375" style="6507"/>
    <col min="7937" max="7937" width="38.44140625" style="6507" customWidth="1"/>
    <col min="7938" max="7938" width="34.44140625" style="6507" customWidth="1"/>
    <col min="7939" max="7939" width="18.109375" style="6507" customWidth="1"/>
    <col min="7940" max="8192" width="9.109375" style="6507"/>
    <col min="8193" max="8193" width="38.44140625" style="6507" customWidth="1"/>
    <col min="8194" max="8194" width="34.44140625" style="6507" customWidth="1"/>
    <col min="8195" max="8195" width="18.109375" style="6507" customWidth="1"/>
    <col min="8196" max="8448" width="9.109375" style="6507"/>
    <col min="8449" max="8449" width="38.44140625" style="6507" customWidth="1"/>
    <col min="8450" max="8450" width="34.44140625" style="6507" customWidth="1"/>
    <col min="8451" max="8451" width="18.109375" style="6507" customWidth="1"/>
    <col min="8452" max="8704" width="9.109375" style="6507"/>
    <col min="8705" max="8705" width="38.44140625" style="6507" customWidth="1"/>
    <col min="8706" max="8706" width="34.44140625" style="6507" customWidth="1"/>
    <col min="8707" max="8707" width="18.109375" style="6507" customWidth="1"/>
    <col min="8708" max="8960" width="9.109375" style="6507"/>
    <col min="8961" max="8961" width="38.44140625" style="6507" customWidth="1"/>
    <col min="8962" max="8962" width="34.44140625" style="6507" customWidth="1"/>
    <col min="8963" max="8963" width="18.109375" style="6507" customWidth="1"/>
    <col min="8964" max="9216" width="9.109375" style="6507"/>
    <col min="9217" max="9217" width="38.44140625" style="6507" customWidth="1"/>
    <col min="9218" max="9218" width="34.44140625" style="6507" customWidth="1"/>
    <col min="9219" max="9219" width="18.109375" style="6507" customWidth="1"/>
    <col min="9220" max="9472" width="9.109375" style="6507"/>
    <col min="9473" max="9473" width="38.44140625" style="6507" customWidth="1"/>
    <col min="9474" max="9474" width="34.44140625" style="6507" customWidth="1"/>
    <col min="9475" max="9475" width="18.109375" style="6507" customWidth="1"/>
    <col min="9476" max="9728" width="9.109375" style="6507"/>
    <col min="9729" max="9729" width="38.44140625" style="6507" customWidth="1"/>
    <col min="9730" max="9730" width="34.44140625" style="6507" customWidth="1"/>
    <col min="9731" max="9731" width="18.109375" style="6507" customWidth="1"/>
    <col min="9732" max="9984" width="9.109375" style="6507"/>
    <col min="9985" max="9985" width="38.44140625" style="6507" customWidth="1"/>
    <col min="9986" max="9986" width="34.44140625" style="6507" customWidth="1"/>
    <col min="9987" max="9987" width="18.109375" style="6507" customWidth="1"/>
    <col min="9988" max="10240" width="9.109375" style="6507"/>
    <col min="10241" max="10241" width="38.44140625" style="6507" customWidth="1"/>
    <col min="10242" max="10242" width="34.44140625" style="6507" customWidth="1"/>
    <col min="10243" max="10243" width="18.109375" style="6507" customWidth="1"/>
    <col min="10244" max="10496" width="9.109375" style="6507"/>
    <col min="10497" max="10497" width="38.44140625" style="6507" customWidth="1"/>
    <col min="10498" max="10498" width="34.44140625" style="6507" customWidth="1"/>
    <col min="10499" max="10499" width="18.109375" style="6507" customWidth="1"/>
    <col min="10500" max="10752" width="9.109375" style="6507"/>
    <col min="10753" max="10753" width="38.44140625" style="6507" customWidth="1"/>
    <col min="10754" max="10754" width="34.44140625" style="6507" customWidth="1"/>
    <col min="10755" max="10755" width="18.109375" style="6507" customWidth="1"/>
    <col min="10756" max="11008" width="9.109375" style="6507"/>
    <col min="11009" max="11009" width="38.44140625" style="6507" customWidth="1"/>
    <col min="11010" max="11010" width="34.44140625" style="6507" customWidth="1"/>
    <col min="11011" max="11011" width="18.109375" style="6507" customWidth="1"/>
    <col min="11012" max="11264" width="9.109375" style="6507"/>
    <col min="11265" max="11265" width="38.44140625" style="6507" customWidth="1"/>
    <col min="11266" max="11266" width="34.44140625" style="6507" customWidth="1"/>
    <col min="11267" max="11267" width="18.109375" style="6507" customWidth="1"/>
    <col min="11268" max="11520" width="9.109375" style="6507"/>
    <col min="11521" max="11521" width="38.44140625" style="6507" customWidth="1"/>
    <col min="11522" max="11522" width="34.44140625" style="6507" customWidth="1"/>
    <col min="11523" max="11523" width="18.109375" style="6507" customWidth="1"/>
    <col min="11524" max="11776" width="9.109375" style="6507"/>
    <col min="11777" max="11777" width="38.44140625" style="6507" customWidth="1"/>
    <col min="11778" max="11778" width="34.44140625" style="6507" customWidth="1"/>
    <col min="11779" max="11779" width="18.109375" style="6507" customWidth="1"/>
    <col min="11780" max="12032" width="9.109375" style="6507"/>
    <col min="12033" max="12033" width="38.44140625" style="6507" customWidth="1"/>
    <col min="12034" max="12034" width="34.44140625" style="6507" customWidth="1"/>
    <col min="12035" max="12035" width="18.109375" style="6507" customWidth="1"/>
    <col min="12036" max="12288" width="9.109375" style="6507"/>
    <col min="12289" max="12289" width="38.44140625" style="6507" customWidth="1"/>
    <col min="12290" max="12290" width="34.44140625" style="6507" customWidth="1"/>
    <col min="12291" max="12291" width="18.109375" style="6507" customWidth="1"/>
    <col min="12292" max="12544" width="9.109375" style="6507"/>
    <col min="12545" max="12545" width="38.44140625" style="6507" customWidth="1"/>
    <col min="12546" max="12546" width="34.44140625" style="6507" customWidth="1"/>
    <col min="12547" max="12547" width="18.109375" style="6507" customWidth="1"/>
    <col min="12548" max="12800" width="9.109375" style="6507"/>
    <col min="12801" max="12801" width="38.44140625" style="6507" customWidth="1"/>
    <col min="12802" max="12802" width="34.44140625" style="6507" customWidth="1"/>
    <col min="12803" max="12803" width="18.109375" style="6507" customWidth="1"/>
    <col min="12804" max="13056" width="9.109375" style="6507"/>
    <col min="13057" max="13057" width="38.44140625" style="6507" customWidth="1"/>
    <col min="13058" max="13058" width="34.44140625" style="6507" customWidth="1"/>
    <col min="13059" max="13059" width="18.109375" style="6507" customWidth="1"/>
    <col min="13060" max="13312" width="9.109375" style="6507"/>
    <col min="13313" max="13313" width="38.44140625" style="6507" customWidth="1"/>
    <col min="13314" max="13314" width="34.44140625" style="6507" customWidth="1"/>
    <col min="13315" max="13315" width="18.109375" style="6507" customWidth="1"/>
    <col min="13316" max="13568" width="9.109375" style="6507"/>
    <col min="13569" max="13569" width="38.44140625" style="6507" customWidth="1"/>
    <col min="13570" max="13570" width="34.44140625" style="6507" customWidth="1"/>
    <col min="13571" max="13571" width="18.109375" style="6507" customWidth="1"/>
    <col min="13572" max="13824" width="9.109375" style="6507"/>
    <col min="13825" max="13825" width="38.44140625" style="6507" customWidth="1"/>
    <col min="13826" max="13826" width="34.44140625" style="6507" customWidth="1"/>
    <col min="13827" max="13827" width="18.109375" style="6507" customWidth="1"/>
    <col min="13828" max="14080" width="9.109375" style="6507"/>
    <col min="14081" max="14081" width="38.44140625" style="6507" customWidth="1"/>
    <col min="14082" max="14082" width="34.44140625" style="6507" customWidth="1"/>
    <col min="14083" max="14083" width="18.109375" style="6507" customWidth="1"/>
    <col min="14084" max="14336" width="9.109375" style="6507"/>
    <col min="14337" max="14337" width="38.44140625" style="6507" customWidth="1"/>
    <col min="14338" max="14338" width="34.44140625" style="6507" customWidth="1"/>
    <col min="14339" max="14339" width="18.109375" style="6507" customWidth="1"/>
    <col min="14340" max="14592" width="9.109375" style="6507"/>
    <col min="14593" max="14593" width="38.44140625" style="6507" customWidth="1"/>
    <col min="14594" max="14594" width="34.44140625" style="6507" customWidth="1"/>
    <col min="14595" max="14595" width="18.109375" style="6507" customWidth="1"/>
    <col min="14596" max="14848" width="9.109375" style="6507"/>
    <col min="14849" max="14849" width="38.44140625" style="6507" customWidth="1"/>
    <col min="14850" max="14850" width="34.44140625" style="6507" customWidth="1"/>
    <col min="14851" max="14851" width="18.109375" style="6507" customWidth="1"/>
    <col min="14852" max="15104" width="9.109375" style="6507"/>
    <col min="15105" max="15105" width="38.44140625" style="6507" customWidth="1"/>
    <col min="15106" max="15106" width="34.44140625" style="6507" customWidth="1"/>
    <col min="15107" max="15107" width="18.109375" style="6507" customWidth="1"/>
    <col min="15108" max="15360" width="9.109375" style="6507"/>
    <col min="15361" max="15361" width="38.44140625" style="6507" customWidth="1"/>
    <col min="15362" max="15362" width="34.44140625" style="6507" customWidth="1"/>
    <col min="15363" max="15363" width="18.109375" style="6507" customWidth="1"/>
    <col min="15364" max="15616" width="9.109375" style="6507"/>
    <col min="15617" max="15617" width="38.44140625" style="6507" customWidth="1"/>
    <col min="15618" max="15618" width="34.44140625" style="6507" customWidth="1"/>
    <col min="15619" max="15619" width="18.109375" style="6507" customWidth="1"/>
    <col min="15620" max="15872" width="9.109375" style="6507"/>
    <col min="15873" max="15873" width="38.44140625" style="6507" customWidth="1"/>
    <col min="15874" max="15874" width="34.44140625" style="6507" customWidth="1"/>
    <col min="15875" max="15875" width="18.109375" style="6507" customWidth="1"/>
    <col min="15876" max="16128" width="9.109375" style="6507"/>
    <col min="16129" max="16129" width="38.44140625" style="6507" customWidth="1"/>
    <col min="16130" max="16130" width="34.44140625" style="6507" customWidth="1"/>
    <col min="16131" max="16131" width="18.109375" style="6507" customWidth="1"/>
    <col min="16132" max="16384" width="9.109375" style="6507"/>
  </cols>
  <sheetData>
    <row r="1" spans="1:3">
      <c r="A1" s="15460" t="s">
        <v>732</v>
      </c>
      <c r="B1" s="15460"/>
      <c r="C1" s="15460"/>
    </row>
    <row r="2" spans="1:3" ht="9" customHeight="1" thickBot="1">
      <c r="A2" s="15461"/>
      <c r="B2" s="15461"/>
      <c r="C2" s="15461"/>
    </row>
    <row r="3" spans="1:3" s="6511" customFormat="1" ht="28.8">
      <c r="A3" s="6508" t="s">
        <v>733</v>
      </c>
      <c r="B3" s="6509" t="s">
        <v>734</v>
      </c>
      <c r="C3" s="6510" t="s">
        <v>10459</v>
      </c>
    </row>
    <row r="4" spans="1:3" s="6537" customFormat="1">
      <c r="A4" s="6534">
        <v>1</v>
      </c>
      <c r="B4" s="6535">
        <v>2</v>
      </c>
      <c r="C4" s="6536">
        <v>3</v>
      </c>
    </row>
    <row r="5" spans="1:3">
      <c r="A5" s="6512" t="s">
        <v>735</v>
      </c>
      <c r="B5" s="6513"/>
      <c r="C5" s="6514"/>
    </row>
    <row r="6" spans="1:3">
      <c r="A6" s="6512" t="s">
        <v>736</v>
      </c>
      <c r="B6" s="6513" t="s">
        <v>737</v>
      </c>
      <c r="C6" s="6515">
        <f>summary!P7</f>
        <v>193122366.75</v>
      </c>
    </row>
    <row r="7" spans="1:3">
      <c r="A7" s="6516"/>
      <c r="B7" s="6517" t="s">
        <v>9134</v>
      </c>
      <c r="C7" s="6518">
        <f>summary!P8</f>
        <v>31617360.699999999</v>
      </c>
    </row>
    <row r="8" spans="1:3">
      <c r="A8" s="6516"/>
      <c r="B8" s="6519" t="s">
        <v>10327</v>
      </c>
      <c r="C8" s="6518">
        <f>summary!P23</f>
        <v>37066652.515000001</v>
      </c>
    </row>
    <row r="9" spans="1:3">
      <c r="A9" s="6512"/>
      <c r="B9" s="6520" t="s">
        <v>1724</v>
      </c>
      <c r="C9" s="6515">
        <f>summary!P9</f>
        <v>12932067.545</v>
      </c>
    </row>
    <row r="10" spans="1:3">
      <c r="A10" s="6516"/>
      <c r="B10" s="6519" t="s">
        <v>10317</v>
      </c>
      <c r="C10" s="6518">
        <f>summary!P10</f>
        <v>14111286.055</v>
      </c>
    </row>
    <row r="11" spans="1:3">
      <c r="A11" s="6516"/>
      <c r="B11" s="6519" t="s">
        <v>10318</v>
      </c>
      <c r="C11" s="6518">
        <f>summary!P11</f>
        <v>14478983.664999999</v>
      </c>
    </row>
    <row r="12" spans="1:3">
      <c r="A12" s="6516"/>
      <c r="B12" s="6517" t="s">
        <v>678</v>
      </c>
      <c r="C12" s="6515">
        <f>summary!P13</f>
        <v>6938721.1849999996</v>
      </c>
    </row>
    <row r="13" spans="1:3">
      <c r="A13" s="6516" t="s">
        <v>738</v>
      </c>
      <c r="B13" s="6517" t="s">
        <v>739</v>
      </c>
      <c r="C13" s="6515">
        <f>summary!P14</f>
        <v>138655923.11000001</v>
      </c>
    </row>
    <row r="14" spans="1:3">
      <c r="A14" s="6516" t="s">
        <v>740</v>
      </c>
      <c r="B14" s="6517" t="s">
        <v>741</v>
      </c>
      <c r="C14" s="6515">
        <f>summary!P17</f>
        <v>69172235.795000002</v>
      </c>
    </row>
    <row r="15" spans="1:3">
      <c r="A15" s="6516" t="s">
        <v>742</v>
      </c>
      <c r="B15" s="6517" t="s">
        <v>743</v>
      </c>
      <c r="C15" s="6515">
        <f>summary!P20</f>
        <v>38222211.170000002</v>
      </c>
    </row>
    <row r="16" spans="1:3">
      <c r="A16" s="6516" t="s">
        <v>744</v>
      </c>
      <c r="B16" s="6517" t="s">
        <v>745</v>
      </c>
      <c r="C16" s="6515">
        <f>summary!P16</f>
        <v>25426031.060000002</v>
      </c>
    </row>
    <row r="17" spans="1:3">
      <c r="A17" s="6516" t="s">
        <v>746</v>
      </c>
      <c r="B17" s="6517" t="s">
        <v>747</v>
      </c>
      <c r="C17" s="6515">
        <f>summary!P19</f>
        <v>28127514.195</v>
      </c>
    </row>
    <row r="18" spans="1:3">
      <c r="A18" s="6516" t="s">
        <v>748</v>
      </c>
      <c r="B18" s="6517" t="s">
        <v>749</v>
      </c>
      <c r="C18" s="6515">
        <f>summary!P21</f>
        <v>20481925.670000002</v>
      </c>
    </row>
    <row r="19" spans="1:3">
      <c r="A19" s="6516" t="s">
        <v>750</v>
      </c>
      <c r="B19" s="6517" t="s">
        <v>751</v>
      </c>
      <c r="C19" s="6515">
        <f>summary!P22</f>
        <v>13243406.73</v>
      </c>
    </row>
    <row r="20" spans="1:3">
      <c r="A20" s="6516" t="s">
        <v>752</v>
      </c>
      <c r="B20" s="6517" t="s">
        <v>753</v>
      </c>
      <c r="C20" s="6515">
        <f>summary!P15</f>
        <v>20539551.170000002</v>
      </c>
    </row>
    <row r="21" spans="1:3">
      <c r="A21" s="6516" t="s">
        <v>754</v>
      </c>
      <c r="B21" s="6517" t="s">
        <v>755</v>
      </c>
      <c r="C21" s="6515">
        <f>summary!P18</f>
        <v>13282391.75</v>
      </c>
    </row>
    <row r="22" spans="1:3" s="5066" customFormat="1">
      <c r="A22" s="6521" t="s">
        <v>756</v>
      </c>
      <c r="B22" s="6522"/>
      <c r="C22" s="6523">
        <f>SUM(C6:C21)</f>
        <v>677418629.06499994</v>
      </c>
    </row>
    <row r="23" spans="1:3">
      <c r="A23" s="6516" t="s">
        <v>757</v>
      </c>
      <c r="B23" s="6517"/>
      <c r="C23" s="6515"/>
    </row>
    <row r="24" spans="1:3">
      <c r="A24" s="6516"/>
      <c r="B24" s="6517" t="s">
        <v>758</v>
      </c>
      <c r="C24" s="6515">
        <f>SUM(summary!P31:P40)</f>
        <v>533730561.91000003</v>
      </c>
    </row>
    <row r="25" spans="1:3">
      <c r="A25" s="6516" t="s">
        <v>759</v>
      </c>
      <c r="B25" s="6517" t="s">
        <v>760</v>
      </c>
      <c r="C25" s="6515">
        <f>summary!P30</f>
        <v>115584293.205</v>
      </c>
    </row>
    <row r="26" spans="1:3">
      <c r="A26" s="6516" t="s">
        <v>761</v>
      </c>
      <c r="B26" s="6517" t="s">
        <v>762</v>
      </c>
      <c r="C26" s="6515">
        <f>summary!P28</f>
        <v>34816616.344999999</v>
      </c>
    </row>
    <row r="27" spans="1:3">
      <c r="A27" s="6516" t="s">
        <v>763</v>
      </c>
      <c r="B27" s="6517" t="s">
        <v>764</v>
      </c>
      <c r="C27" s="6515">
        <f>summary!P41</f>
        <v>59831707.409999996</v>
      </c>
    </row>
    <row r="28" spans="1:3">
      <c r="A28" s="6516" t="s">
        <v>765</v>
      </c>
      <c r="B28" s="6517" t="s">
        <v>766</v>
      </c>
      <c r="C28" s="6515">
        <f>summary!P27</f>
        <v>14038232.545</v>
      </c>
    </row>
    <row r="29" spans="1:3">
      <c r="A29" s="6516" t="s">
        <v>767</v>
      </c>
      <c r="B29" s="6517" t="s">
        <v>768</v>
      </c>
      <c r="C29" s="6515">
        <f>summary!P29</f>
        <v>0</v>
      </c>
    </row>
    <row r="30" spans="1:3" s="5066" customFormat="1">
      <c r="A30" s="6521" t="s">
        <v>756</v>
      </c>
      <c r="B30" s="6522"/>
      <c r="C30" s="6524">
        <f>SUM(C24:C29)</f>
        <v>758001411.41499996</v>
      </c>
    </row>
    <row r="31" spans="1:3">
      <c r="A31" s="6516" t="s">
        <v>3047</v>
      </c>
      <c r="B31" s="6517"/>
      <c r="C31" s="6515"/>
    </row>
    <row r="32" spans="1:3">
      <c r="A32" s="6516" t="s">
        <v>769</v>
      </c>
      <c r="B32" s="6517" t="s">
        <v>770</v>
      </c>
      <c r="C32" s="6515">
        <f>summary!P52</f>
        <v>131245498.105</v>
      </c>
    </row>
    <row r="33" spans="1:3">
      <c r="A33" s="6516" t="s">
        <v>771</v>
      </c>
      <c r="B33" s="6517" t="s">
        <v>772</v>
      </c>
      <c r="C33" s="6515">
        <f>summary!P50</f>
        <v>38665294.579999998</v>
      </c>
    </row>
    <row r="34" spans="1:3">
      <c r="A34" s="6516" t="s">
        <v>773</v>
      </c>
      <c r="B34" s="6517" t="s">
        <v>774</v>
      </c>
      <c r="C34" s="6515">
        <f>summary!P53</f>
        <v>49958615.599999994</v>
      </c>
    </row>
    <row r="35" spans="1:3">
      <c r="A35" s="6516" t="s">
        <v>775</v>
      </c>
      <c r="B35" s="6517" t="s">
        <v>776</v>
      </c>
      <c r="C35" s="6515">
        <f>summary!P51</f>
        <v>42208022.905000001</v>
      </c>
    </row>
    <row r="36" spans="1:3">
      <c r="A36" s="6516" t="s">
        <v>9339</v>
      </c>
      <c r="B36" s="6517" t="s">
        <v>777</v>
      </c>
      <c r="C36" s="6515">
        <f>summary!P47</f>
        <v>6085401.21</v>
      </c>
    </row>
    <row r="37" spans="1:3">
      <c r="A37" s="6516" t="s">
        <v>778</v>
      </c>
      <c r="B37" s="6517" t="s">
        <v>779</v>
      </c>
      <c r="C37" s="6515">
        <f>summary!P49</f>
        <v>4125376.5050000004</v>
      </c>
    </row>
    <row r="38" spans="1:3">
      <c r="A38" s="6516" t="s">
        <v>780</v>
      </c>
      <c r="B38" s="6517" t="s">
        <v>781</v>
      </c>
      <c r="C38" s="6515">
        <f>summary!P48</f>
        <v>8852336.120000001</v>
      </c>
    </row>
    <row r="39" spans="1:3">
      <c r="A39" s="6516" t="s">
        <v>782</v>
      </c>
      <c r="B39" s="6517" t="s">
        <v>783</v>
      </c>
      <c r="C39" s="6515">
        <f>summary!P45</f>
        <v>12399044.775</v>
      </c>
    </row>
    <row r="40" spans="1:3" s="5066" customFormat="1">
      <c r="A40" s="6521" t="s">
        <v>756</v>
      </c>
      <c r="B40" s="6522"/>
      <c r="C40" s="6524">
        <f>SUM(C32:C39)</f>
        <v>293539589.80000001</v>
      </c>
    </row>
    <row r="41" spans="1:3">
      <c r="A41" s="6516" t="s">
        <v>784</v>
      </c>
      <c r="B41" s="6517"/>
      <c r="C41" s="6514"/>
    </row>
    <row r="42" spans="1:3">
      <c r="A42" s="6516" t="s">
        <v>785</v>
      </c>
      <c r="B42" s="6517"/>
      <c r="C42" s="6514"/>
    </row>
    <row r="43" spans="1:3">
      <c r="A43" s="6516" t="s">
        <v>786</v>
      </c>
      <c r="B43" s="6517" t="s">
        <v>737</v>
      </c>
      <c r="C43" s="6515">
        <f>summary!J63</f>
        <v>22180000</v>
      </c>
    </row>
    <row r="44" spans="1:3">
      <c r="A44" s="6516" t="s">
        <v>787</v>
      </c>
      <c r="B44" s="6517" t="s">
        <v>737</v>
      </c>
      <c r="C44" s="6515">
        <f>summary!J61</f>
        <v>404379576.20000005</v>
      </c>
    </row>
    <row r="45" spans="1:3">
      <c r="A45" s="6516" t="s">
        <v>788</v>
      </c>
      <c r="B45" s="6517" t="s">
        <v>737</v>
      </c>
      <c r="C45" s="6515">
        <f>summary!J62</f>
        <v>120267144.05000001</v>
      </c>
    </row>
    <row r="46" spans="1:3">
      <c r="A46" s="6516" t="s">
        <v>789</v>
      </c>
      <c r="B46" s="6517"/>
      <c r="C46" s="6515"/>
    </row>
    <row r="47" spans="1:3">
      <c r="A47" s="6516" t="s">
        <v>790</v>
      </c>
      <c r="B47" s="6517" t="s">
        <v>737</v>
      </c>
      <c r="C47" s="6515">
        <f>summary!J64</f>
        <v>0</v>
      </c>
    </row>
    <row r="48" spans="1:3" s="5066" customFormat="1">
      <c r="A48" s="6521" t="s">
        <v>791</v>
      </c>
      <c r="B48" s="6522"/>
      <c r="C48" s="6524">
        <f>SUM(C43:C47)</f>
        <v>546826720.25</v>
      </c>
    </row>
    <row r="49" spans="1:9" s="6528" customFormat="1">
      <c r="A49" s="6525" t="s">
        <v>792</v>
      </c>
      <c r="B49" s="6526" t="s">
        <v>737</v>
      </c>
      <c r="C49" s="6527">
        <f>summary!P76</f>
        <v>199415787.5</v>
      </c>
    </row>
    <row r="50" spans="1:9" s="5066" customFormat="1" ht="15.75" customHeight="1" thickBot="1">
      <c r="A50" s="6529" t="s">
        <v>220</v>
      </c>
      <c r="B50" s="6530"/>
      <c r="C50" s="6531">
        <f>SUM(C49,C48,C40,C30,C22)</f>
        <v>2475202138.0299997</v>
      </c>
    </row>
    <row r="51" spans="1:9" s="2665" customFormat="1" ht="15.75" hidden="1" customHeight="1">
      <c r="A51" s="6505" t="s">
        <v>10171</v>
      </c>
      <c r="B51" s="2665" t="s">
        <v>10172</v>
      </c>
      <c r="G51" s="6505"/>
    </row>
    <row r="52" spans="1:9" s="6504" customFormat="1" ht="15.75" hidden="1" customHeight="1">
      <c r="A52" s="2662"/>
      <c r="B52" s="2662"/>
      <c r="C52" s="2662"/>
      <c r="D52" s="2662"/>
      <c r="E52" s="2662"/>
      <c r="F52" s="2662"/>
      <c r="G52" s="2662"/>
      <c r="H52" s="2662"/>
      <c r="I52" s="2662"/>
    </row>
    <row r="53" spans="1:9" ht="15.75" hidden="1" customHeight="1">
      <c r="A53" s="6532"/>
      <c r="B53" s="6533"/>
      <c r="C53" s="6533"/>
    </row>
    <row r="54" spans="1:9" s="2663" customFormat="1" ht="15.75" hidden="1" customHeight="1">
      <c r="A54" s="6229" t="s">
        <v>10107</v>
      </c>
      <c r="B54" s="15459" t="s">
        <v>5182</v>
      </c>
      <c r="C54" s="15459"/>
      <c r="D54" s="2662"/>
      <c r="E54" s="2662"/>
    </row>
    <row r="55" spans="1:9" s="2667" customFormat="1" ht="15.75" hidden="1" customHeight="1">
      <c r="A55" s="6506" t="s">
        <v>10343</v>
      </c>
      <c r="B55" s="2666" t="s">
        <v>10164</v>
      </c>
      <c r="E55" s="2666"/>
      <c r="H55" s="2666"/>
      <c r="I55" s="2666"/>
    </row>
    <row r="56" spans="1:9" ht="15.75" hidden="1" customHeight="1"/>
  </sheetData>
  <mergeCells count="3">
    <mergeCell ref="B54:C54"/>
    <mergeCell ref="A1:C1"/>
    <mergeCell ref="A2:C2"/>
  </mergeCells>
  <printOptions horizontalCentered="1"/>
  <pageMargins left="0.5" right="0.25" top="0.5" bottom="1.5" header="0.5" footer="0.25"/>
  <pageSetup paperSize="5" scale="95" firstPageNumber="404" orientation="portrait" useFirstPageNumber="1" verticalDpi="300" r:id="rId1"/>
  <headerFooter alignWithMargins="0"/>
</worksheet>
</file>

<file path=xl/worksheets/sheet201.xml><?xml version="1.0" encoding="utf-8"?>
<worksheet xmlns="http://schemas.openxmlformats.org/spreadsheetml/2006/main" xmlns:r="http://schemas.openxmlformats.org/officeDocument/2006/relationships">
  <sheetPr codeName="Sheet150">
    <tabColor rgb="FF7030A0"/>
  </sheetPr>
  <dimension ref="A1:I31"/>
  <sheetViews>
    <sheetView workbookViewId="0">
      <selection activeCell="D9" sqref="D9"/>
    </sheetView>
  </sheetViews>
  <sheetFormatPr defaultRowHeight="14.4"/>
  <cols>
    <col min="1" max="1" width="36.88671875" style="6507" customWidth="1"/>
    <col min="2" max="2" width="19" style="6538" customWidth="1"/>
    <col min="3" max="3" width="21" style="6538" customWidth="1"/>
    <col min="4" max="4" width="20.109375" style="6507" customWidth="1"/>
    <col min="5" max="256" width="9.109375" style="6507"/>
    <col min="257" max="257" width="38.88671875" style="6507" customWidth="1"/>
    <col min="258" max="258" width="19" style="6507" customWidth="1"/>
    <col min="259" max="259" width="17.88671875" style="6507" customWidth="1"/>
    <col min="260" max="260" width="17.109375" style="6507" customWidth="1"/>
    <col min="261" max="512" width="9.109375" style="6507"/>
    <col min="513" max="513" width="38.88671875" style="6507" customWidth="1"/>
    <col min="514" max="514" width="19" style="6507" customWidth="1"/>
    <col min="515" max="515" width="17.88671875" style="6507" customWidth="1"/>
    <col min="516" max="516" width="17.109375" style="6507" customWidth="1"/>
    <col min="517" max="768" width="9.109375" style="6507"/>
    <col min="769" max="769" width="38.88671875" style="6507" customWidth="1"/>
    <col min="770" max="770" width="19" style="6507" customWidth="1"/>
    <col min="771" max="771" width="17.88671875" style="6507" customWidth="1"/>
    <col min="772" max="772" width="17.109375" style="6507" customWidth="1"/>
    <col min="773" max="1024" width="9.109375" style="6507"/>
    <col min="1025" max="1025" width="38.88671875" style="6507" customWidth="1"/>
    <col min="1026" max="1026" width="19" style="6507" customWidth="1"/>
    <col min="1027" max="1027" width="17.88671875" style="6507" customWidth="1"/>
    <col min="1028" max="1028" width="17.109375" style="6507" customWidth="1"/>
    <col min="1029" max="1280" width="9.109375" style="6507"/>
    <col min="1281" max="1281" width="38.88671875" style="6507" customWidth="1"/>
    <col min="1282" max="1282" width="19" style="6507" customWidth="1"/>
    <col min="1283" max="1283" width="17.88671875" style="6507" customWidth="1"/>
    <col min="1284" max="1284" width="17.109375" style="6507" customWidth="1"/>
    <col min="1285" max="1536" width="9.109375" style="6507"/>
    <col min="1537" max="1537" width="38.88671875" style="6507" customWidth="1"/>
    <col min="1538" max="1538" width="19" style="6507" customWidth="1"/>
    <col min="1539" max="1539" width="17.88671875" style="6507" customWidth="1"/>
    <col min="1540" max="1540" width="17.109375" style="6507" customWidth="1"/>
    <col min="1541" max="1792" width="9.109375" style="6507"/>
    <col min="1793" max="1793" width="38.88671875" style="6507" customWidth="1"/>
    <col min="1794" max="1794" width="19" style="6507" customWidth="1"/>
    <col min="1795" max="1795" width="17.88671875" style="6507" customWidth="1"/>
    <col min="1796" max="1796" width="17.109375" style="6507" customWidth="1"/>
    <col min="1797" max="2048" width="9.109375" style="6507"/>
    <col min="2049" max="2049" width="38.88671875" style="6507" customWidth="1"/>
    <col min="2050" max="2050" width="19" style="6507" customWidth="1"/>
    <col min="2051" max="2051" width="17.88671875" style="6507" customWidth="1"/>
    <col min="2052" max="2052" width="17.109375" style="6507" customWidth="1"/>
    <col min="2053" max="2304" width="9.109375" style="6507"/>
    <col min="2305" max="2305" width="38.88671875" style="6507" customWidth="1"/>
    <col min="2306" max="2306" width="19" style="6507" customWidth="1"/>
    <col min="2307" max="2307" width="17.88671875" style="6507" customWidth="1"/>
    <col min="2308" max="2308" width="17.109375" style="6507" customWidth="1"/>
    <col min="2309" max="2560" width="9.109375" style="6507"/>
    <col min="2561" max="2561" width="38.88671875" style="6507" customWidth="1"/>
    <col min="2562" max="2562" width="19" style="6507" customWidth="1"/>
    <col min="2563" max="2563" width="17.88671875" style="6507" customWidth="1"/>
    <col min="2564" max="2564" width="17.109375" style="6507" customWidth="1"/>
    <col min="2565" max="2816" width="9.109375" style="6507"/>
    <col min="2817" max="2817" width="38.88671875" style="6507" customWidth="1"/>
    <col min="2818" max="2818" width="19" style="6507" customWidth="1"/>
    <col min="2819" max="2819" width="17.88671875" style="6507" customWidth="1"/>
    <col min="2820" max="2820" width="17.109375" style="6507" customWidth="1"/>
    <col min="2821" max="3072" width="9.109375" style="6507"/>
    <col min="3073" max="3073" width="38.88671875" style="6507" customWidth="1"/>
    <col min="3074" max="3074" width="19" style="6507" customWidth="1"/>
    <col min="3075" max="3075" width="17.88671875" style="6507" customWidth="1"/>
    <col min="3076" max="3076" width="17.109375" style="6507" customWidth="1"/>
    <col min="3077" max="3328" width="9.109375" style="6507"/>
    <col min="3329" max="3329" width="38.88671875" style="6507" customWidth="1"/>
    <col min="3330" max="3330" width="19" style="6507" customWidth="1"/>
    <col min="3331" max="3331" width="17.88671875" style="6507" customWidth="1"/>
    <col min="3332" max="3332" width="17.109375" style="6507" customWidth="1"/>
    <col min="3333" max="3584" width="9.109375" style="6507"/>
    <col min="3585" max="3585" width="38.88671875" style="6507" customWidth="1"/>
    <col min="3586" max="3586" width="19" style="6507" customWidth="1"/>
    <col min="3587" max="3587" width="17.88671875" style="6507" customWidth="1"/>
    <col min="3588" max="3588" width="17.109375" style="6507" customWidth="1"/>
    <col min="3589" max="3840" width="9.109375" style="6507"/>
    <col min="3841" max="3841" width="38.88671875" style="6507" customWidth="1"/>
    <col min="3842" max="3842" width="19" style="6507" customWidth="1"/>
    <col min="3843" max="3843" width="17.88671875" style="6507" customWidth="1"/>
    <col min="3844" max="3844" width="17.109375" style="6507" customWidth="1"/>
    <col min="3845" max="4096" width="9.109375" style="6507"/>
    <col min="4097" max="4097" width="38.88671875" style="6507" customWidth="1"/>
    <col min="4098" max="4098" width="19" style="6507" customWidth="1"/>
    <col min="4099" max="4099" width="17.88671875" style="6507" customWidth="1"/>
    <col min="4100" max="4100" width="17.109375" style="6507" customWidth="1"/>
    <col min="4101" max="4352" width="9.109375" style="6507"/>
    <col min="4353" max="4353" width="38.88671875" style="6507" customWidth="1"/>
    <col min="4354" max="4354" width="19" style="6507" customWidth="1"/>
    <col min="4355" max="4355" width="17.88671875" style="6507" customWidth="1"/>
    <col min="4356" max="4356" width="17.109375" style="6507" customWidth="1"/>
    <col min="4357" max="4608" width="9.109375" style="6507"/>
    <col min="4609" max="4609" width="38.88671875" style="6507" customWidth="1"/>
    <col min="4610" max="4610" width="19" style="6507" customWidth="1"/>
    <col min="4611" max="4611" width="17.88671875" style="6507" customWidth="1"/>
    <col min="4612" max="4612" width="17.109375" style="6507" customWidth="1"/>
    <col min="4613" max="4864" width="9.109375" style="6507"/>
    <col min="4865" max="4865" width="38.88671875" style="6507" customWidth="1"/>
    <col min="4866" max="4866" width="19" style="6507" customWidth="1"/>
    <col min="4867" max="4867" width="17.88671875" style="6507" customWidth="1"/>
    <col min="4868" max="4868" width="17.109375" style="6507" customWidth="1"/>
    <col min="4869" max="5120" width="9.109375" style="6507"/>
    <col min="5121" max="5121" width="38.88671875" style="6507" customWidth="1"/>
    <col min="5122" max="5122" width="19" style="6507" customWidth="1"/>
    <col min="5123" max="5123" width="17.88671875" style="6507" customWidth="1"/>
    <col min="5124" max="5124" width="17.109375" style="6507" customWidth="1"/>
    <col min="5125" max="5376" width="9.109375" style="6507"/>
    <col min="5377" max="5377" width="38.88671875" style="6507" customWidth="1"/>
    <col min="5378" max="5378" width="19" style="6507" customWidth="1"/>
    <col min="5379" max="5379" width="17.88671875" style="6507" customWidth="1"/>
    <col min="5380" max="5380" width="17.109375" style="6507" customWidth="1"/>
    <col min="5381" max="5632" width="9.109375" style="6507"/>
    <col min="5633" max="5633" width="38.88671875" style="6507" customWidth="1"/>
    <col min="5634" max="5634" width="19" style="6507" customWidth="1"/>
    <col min="5635" max="5635" width="17.88671875" style="6507" customWidth="1"/>
    <col min="5636" max="5636" width="17.109375" style="6507" customWidth="1"/>
    <col min="5637" max="5888" width="9.109375" style="6507"/>
    <col min="5889" max="5889" width="38.88671875" style="6507" customWidth="1"/>
    <col min="5890" max="5890" width="19" style="6507" customWidth="1"/>
    <col min="5891" max="5891" width="17.88671875" style="6507" customWidth="1"/>
    <col min="5892" max="5892" width="17.109375" style="6507" customWidth="1"/>
    <col min="5893" max="6144" width="9.109375" style="6507"/>
    <col min="6145" max="6145" width="38.88671875" style="6507" customWidth="1"/>
    <col min="6146" max="6146" width="19" style="6507" customWidth="1"/>
    <col min="6147" max="6147" width="17.88671875" style="6507" customWidth="1"/>
    <col min="6148" max="6148" width="17.109375" style="6507" customWidth="1"/>
    <col min="6149" max="6400" width="9.109375" style="6507"/>
    <col min="6401" max="6401" width="38.88671875" style="6507" customWidth="1"/>
    <col min="6402" max="6402" width="19" style="6507" customWidth="1"/>
    <col min="6403" max="6403" width="17.88671875" style="6507" customWidth="1"/>
    <col min="6404" max="6404" width="17.109375" style="6507" customWidth="1"/>
    <col min="6405" max="6656" width="9.109375" style="6507"/>
    <col min="6657" max="6657" width="38.88671875" style="6507" customWidth="1"/>
    <col min="6658" max="6658" width="19" style="6507" customWidth="1"/>
    <col min="6659" max="6659" width="17.88671875" style="6507" customWidth="1"/>
    <col min="6660" max="6660" width="17.109375" style="6507" customWidth="1"/>
    <col min="6661" max="6912" width="9.109375" style="6507"/>
    <col min="6913" max="6913" width="38.88671875" style="6507" customWidth="1"/>
    <col min="6914" max="6914" width="19" style="6507" customWidth="1"/>
    <col min="6915" max="6915" width="17.88671875" style="6507" customWidth="1"/>
    <col min="6916" max="6916" width="17.109375" style="6507" customWidth="1"/>
    <col min="6917" max="7168" width="9.109375" style="6507"/>
    <col min="7169" max="7169" width="38.88671875" style="6507" customWidth="1"/>
    <col min="7170" max="7170" width="19" style="6507" customWidth="1"/>
    <col min="7171" max="7171" width="17.88671875" style="6507" customWidth="1"/>
    <col min="7172" max="7172" width="17.109375" style="6507" customWidth="1"/>
    <col min="7173" max="7424" width="9.109375" style="6507"/>
    <col min="7425" max="7425" width="38.88671875" style="6507" customWidth="1"/>
    <col min="7426" max="7426" width="19" style="6507" customWidth="1"/>
    <col min="7427" max="7427" width="17.88671875" style="6507" customWidth="1"/>
    <col min="7428" max="7428" width="17.109375" style="6507" customWidth="1"/>
    <col min="7429" max="7680" width="9.109375" style="6507"/>
    <col min="7681" max="7681" width="38.88671875" style="6507" customWidth="1"/>
    <col min="7682" max="7682" width="19" style="6507" customWidth="1"/>
    <col min="7683" max="7683" width="17.88671875" style="6507" customWidth="1"/>
    <col min="7684" max="7684" width="17.109375" style="6507" customWidth="1"/>
    <col min="7685" max="7936" width="9.109375" style="6507"/>
    <col min="7937" max="7937" width="38.88671875" style="6507" customWidth="1"/>
    <col min="7938" max="7938" width="19" style="6507" customWidth="1"/>
    <col min="7939" max="7939" width="17.88671875" style="6507" customWidth="1"/>
    <col min="7940" max="7940" width="17.109375" style="6507" customWidth="1"/>
    <col min="7941" max="8192" width="9.109375" style="6507"/>
    <col min="8193" max="8193" width="38.88671875" style="6507" customWidth="1"/>
    <col min="8194" max="8194" width="19" style="6507" customWidth="1"/>
    <col min="8195" max="8195" width="17.88671875" style="6507" customWidth="1"/>
    <col min="8196" max="8196" width="17.109375" style="6507" customWidth="1"/>
    <col min="8197" max="8448" width="9.109375" style="6507"/>
    <col min="8449" max="8449" width="38.88671875" style="6507" customWidth="1"/>
    <col min="8450" max="8450" width="19" style="6507" customWidth="1"/>
    <col min="8451" max="8451" width="17.88671875" style="6507" customWidth="1"/>
    <col min="8452" max="8452" width="17.109375" style="6507" customWidth="1"/>
    <col min="8453" max="8704" width="9.109375" style="6507"/>
    <col min="8705" max="8705" width="38.88671875" style="6507" customWidth="1"/>
    <col min="8706" max="8706" width="19" style="6507" customWidth="1"/>
    <col min="8707" max="8707" width="17.88671875" style="6507" customWidth="1"/>
    <col min="8708" max="8708" width="17.109375" style="6507" customWidth="1"/>
    <col min="8709" max="8960" width="9.109375" style="6507"/>
    <col min="8961" max="8961" width="38.88671875" style="6507" customWidth="1"/>
    <col min="8962" max="8962" width="19" style="6507" customWidth="1"/>
    <col min="8963" max="8963" width="17.88671875" style="6507" customWidth="1"/>
    <col min="8964" max="8964" width="17.109375" style="6507" customWidth="1"/>
    <col min="8965" max="9216" width="9.109375" style="6507"/>
    <col min="9217" max="9217" width="38.88671875" style="6507" customWidth="1"/>
    <col min="9218" max="9218" width="19" style="6507" customWidth="1"/>
    <col min="9219" max="9219" width="17.88671875" style="6507" customWidth="1"/>
    <col min="9220" max="9220" width="17.109375" style="6507" customWidth="1"/>
    <col min="9221" max="9472" width="9.109375" style="6507"/>
    <col min="9473" max="9473" width="38.88671875" style="6507" customWidth="1"/>
    <col min="9474" max="9474" width="19" style="6507" customWidth="1"/>
    <col min="9475" max="9475" width="17.88671875" style="6507" customWidth="1"/>
    <col min="9476" max="9476" width="17.109375" style="6507" customWidth="1"/>
    <col min="9477" max="9728" width="9.109375" style="6507"/>
    <col min="9729" max="9729" width="38.88671875" style="6507" customWidth="1"/>
    <col min="9730" max="9730" width="19" style="6507" customWidth="1"/>
    <col min="9731" max="9731" width="17.88671875" style="6507" customWidth="1"/>
    <col min="9732" max="9732" width="17.109375" style="6507" customWidth="1"/>
    <col min="9733" max="9984" width="9.109375" style="6507"/>
    <col min="9985" max="9985" width="38.88671875" style="6507" customWidth="1"/>
    <col min="9986" max="9986" width="19" style="6507" customWidth="1"/>
    <col min="9987" max="9987" width="17.88671875" style="6507" customWidth="1"/>
    <col min="9988" max="9988" width="17.109375" style="6507" customWidth="1"/>
    <col min="9989" max="10240" width="9.109375" style="6507"/>
    <col min="10241" max="10241" width="38.88671875" style="6507" customWidth="1"/>
    <col min="10242" max="10242" width="19" style="6507" customWidth="1"/>
    <col min="10243" max="10243" width="17.88671875" style="6507" customWidth="1"/>
    <col min="10244" max="10244" width="17.109375" style="6507" customWidth="1"/>
    <col min="10245" max="10496" width="9.109375" style="6507"/>
    <col min="10497" max="10497" width="38.88671875" style="6507" customWidth="1"/>
    <col min="10498" max="10498" width="19" style="6507" customWidth="1"/>
    <col min="10499" max="10499" width="17.88671875" style="6507" customWidth="1"/>
    <col min="10500" max="10500" width="17.109375" style="6507" customWidth="1"/>
    <col min="10501" max="10752" width="9.109375" style="6507"/>
    <col min="10753" max="10753" width="38.88671875" style="6507" customWidth="1"/>
    <col min="10754" max="10754" width="19" style="6507" customWidth="1"/>
    <col min="10755" max="10755" width="17.88671875" style="6507" customWidth="1"/>
    <col min="10756" max="10756" width="17.109375" style="6507" customWidth="1"/>
    <col min="10757" max="11008" width="9.109375" style="6507"/>
    <col min="11009" max="11009" width="38.88671875" style="6507" customWidth="1"/>
    <col min="11010" max="11010" width="19" style="6507" customWidth="1"/>
    <col min="11011" max="11011" width="17.88671875" style="6507" customWidth="1"/>
    <col min="11012" max="11012" width="17.109375" style="6507" customWidth="1"/>
    <col min="11013" max="11264" width="9.109375" style="6507"/>
    <col min="11265" max="11265" width="38.88671875" style="6507" customWidth="1"/>
    <col min="11266" max="11266" width="19" style="6507" customWidth="1"/>
    <col min="11267" max="11267" width="17.88671875" style="6507" customWidth="1"/>
    <col min="11268" max="11268" width="17.109375" style="6507" customWidth="1"/>
    <col min="11269" max="11520" width="9.109375" style="6507"/>
    <col min="11521" max="11521" width="38.88671875" style="6507" customWidth="1"/>
    <col min="11522" max="11522" width="19" style="6507" customWidth="1"/>
    <col min="11523" max="11523" width="17.88671875" style="6507" customWidth="1"/>
    <col min="11524" max="11524" width="17.109375" style="6507" customWidth="1"/>
    <col min="11525" max="11776" width="9.109375" style="6507"/>
    <col min="11777" max="11777" width="38.88671875" style="6507" customWidth="1"/>
    <col min="11778" max="11778" width="19" style="6507" customWidth="1"/>
    <col min="11779" max="11779" width="17.88671875" style="6507" customWidth="1"/>
    <col min="11780" max="11780" width="17.109375" style="6507" customWidth="1"/>
    <col min="11781" max="12032" width="9.109375" style="6507"/>
    <col min="12033" max="12033" width="38.88671875" style="6507" customWidth="1"/>
    <col min="12034" max="12034" width="19" style="6507" customWidth="1"/>
    <col min="12035" max="12035" width="17.88671875" style="6507" customWidth="1"/>
    <col min="12036" max="12036" width="17.109375" style="6507" customWidth="1"/>
    <col min="12037" max="12288" width="9.109375" style="6507"/>
    <col min="12289" max="12289" width="38.88671875" style="6507" customWidth="1"/>
    <col min="12290" max="12290" width="19" style="6507" customWidth="1"/>
    <col min="12291" max="12291" width="17.88671875" style="6507" customWidth="1"/>
    <col min="12292" max="12292" width="17.109375" style="6507" customWidth="1"/>
    <col min="12293" max="12544" width="9.109375" style="6507"/>
    <col min="12545" max="12545" width="38.88671875" style="6507" customWidth="1"/>
    <col min="12546" max="12546" width="19" style="6507" customWidth="1"/>
    <col min="12547" max="12547" width="17.88671875" style="6507" customWidth="1"/>
    <col min="12548" max="12548" width="17.109375" style="6507" customWidth="1"/>
    <col min="12549" max="12800" width="9.109375" style="6507"/>
    <col min="12801" max="12801" width="38.88671875" style="6507" customWidth="1"/>
    <col min="12802" max="12802" width="19" style="6507" customWidth="1"/>
    <col min="12803" max="12803" width="17.88671875" style="6507" customWidth="1"/>
    <col min="12804" max="12804" width="17.109375" style="6507" customWidth="1"/>
    <col min="12805" max="13056" width="9.109375" style="6507"/>
    <col min="13057" max="13057" width="38.88671875" style="6507" customWidth="1"/>
    <col min="13058" max="13058" width="19" style="6507" customWidth="1"/>
    <col min="13059" max="13059" width="17.88671875" style="6507" customWidth="1"/>
    <col min="13060" max="13060" width="17.109375" style="6507" customWidth="1"/>
    <col min="13061" max="13312" width="9.109375" style="6507"/>
    <col min="13313" max="13313" width="38.88671875" style="6507" customWidth="1"/>
    <col min="13314" max="13314" width="19" style="6507" customWidth="1"/>
    <col min="13315" max="13315" width="17.88671875" style="6507" customWidth="1"/>
    <col min="13316" max="13316" width="17.109375" style="6507" customWidth="1"/>
    <col min="13317" max="13568" width="9.109375" style="6507"/>
    <col min="13569" max="13569" width="38.88671875" style="6507" customWidth="1"/>
    <col min="13570" max="13570" width="19" style="6507" customWidth="1"/>
    <col min="13571" max="13571" width="17.88671875" style="6507" customWidth="1"/>
    <col min="13572" max="13572" width="17.109375" style="6507" customWidth="1"/>
    <col min="13573" max="13824" width="9.109375" style="6507"/>
    <col min="13825" max="13825" width="38.88671875" style="6507" customWidth="1"/>
    <col min="13826" max="13826" width="19" style="6507" customWidth="1"/>
    <col min="13827" max="13827" width="17.88671875" style="6507" customWidth="1"/>
    <col min="13828" max="13828" width="17.109375" style="6507" customWidth="1"/>
    <col min="13829" max="14080" width="9.109375" style="6507"/>
    <col min="14081" max="14081" width="38.88671875" style="6507" customWidth="1"/>
    <col min="14082" max="14082" width="19" style="6507" customWidth="1"/>
    <col min="14083" max="14083" width="17.88671875" style="6507" customWidth="1"/>
    <col min="14084" max="14084" width="17.109375" style="6507" customWidth="1"/>
    <col min="14085" max="14336" width="9.109375" style="6507"/>
    <col min="14337" max="14337" width="38.88671875" style="6507" customWidth="1"/>
    <col min="14338" max="14338" width="19" style="6507" customWidth="1"/>
    <col min="14339" max="14339" width="17.88671875" style="6507" customWidth="1"/>
    <col min="14340" max="14340" width="17.109375" style="6507" customWidth="1"/>
    <col min="14341" max="14592" width="9.109375" style="6507"/>
    <col min="14593" max="14593" width="38.88671875" style="6507" customWidth="1"/>
    <col min="14594" max="14594" width="19" style="6507" customWidth="1"/>
    <col min="14595" max="14595" width="17.88671875" style="6507" customWidth="1"/>
    <col min="14596" max="14596" width="17.109375" style="6507" customWidth="1"/>
    <col min="14597" max="14848" width="9.109375" style="6507"/>
    <col min="14849" max="14849" width="38.88671875" style="6507" customWidth="1"/>
    <col min="14850" max="14850" width="19" style="6507" customWidth="1"/>
    <col min="14851" max="14851" width="17.88671875" style="6507" customWidth="1"/>
    <col min="14852" max="14852" width="17.109375" style="6507" customWidth="1"/>
    <col min="14853" max="15104" width="9.109375" style="6507"/>
    <col min="15105" max="15105" width="38.88671875" style="6507" customWidth="1"/>
    <col min="15106" max="15106" width="19" style="6507" customWidth="1"/>
    <col min="15107" max="15107" width="17.88671875" style="6507" customWidth="1"/>
    <col min="15108" max="15108" width="17.109375" style="6507" customWidth="1"/>
    <col min="15109" max="15360" width="9.109375" style="6507"/>
    <col min="15361" max="15361" width="38.88671875" style="6507" customWidth="1"/>
    <col min="15362" max="15362" width="19" style="6507" customWidth="1"/>
    <col min="15363" max="15363" width="17.88671875" style="6507" customWidth="1"/>
    <col min="15364" max="15364" width="17.109375" style="6507" customWidth="1"/>
    <col min="15365" max="15616" width="9.109375" style="6507"/>
    <col min="15617" max="15617" width="38.88671875" style="6507" customWidth="1"/>
    <col min="15618" max="15618" width="19" style="6507" customWidth="1"/>
    <col min="15619" max="15619" width="17.88671875" style="6507" customWidth="1"/>
    <col min="15620" max="15620" width="17.109375" style="6507" customWidth="1"/>
    <col min="15621" max="15872" width="9.109375" style="6507"/>
    <col min="15873" max="15873" width="38.88671875" style="6507" customWidth="1"/>
    <col min="15874" max="15874" width="19" style="6507" customWidth="1"/>
    <col min="15875" max="15875" width="17.88671875" style="6507" customWidth="1"/>
    <col min="15876" max="15876" width="17.109375" style="6507" customWidth="1"/>
    <col min="15877" max="16128" width="9.109375" style="6507"/>
    <col min="16129" max="16129" width="38.88671875" style="6507" customWidth="1"/>
    <col min="16130" max="16130" width="19" style="6507" customWidth="1"/>
    <col min="16131" max="16131" width="17.88671875" style="6507" customWidth="1"/>
    <col min="16132" max="16132" width="17.109375" style="6507" customWidth="1"/>
    <col min="16133" max="16384" width="9.109375" style="6507"/>
  </cols>
  <sheetData>
    <row r="1" spans="1:4" ht="18.75" customHeight="1"/>
    <row r="2" spans="1:4">
      <c r="A2" s="15461" t="s">
        <v>793</v>
      </c>
      <c r="B2" s="15461"/>
      <c r="C2" s="15461"/>
      <c r="D2" s="15461"/>
    </row>
    <row r="3" spans="1:4">
      <c r="A3" s="15461" t="s">
        <v>794</v>
      </c>
      <c r="B3" s="15461"/>
      <c r="C3" s="15461"/>
      <c r="D3" s="15461"/>
    </row>
    <row r="4" spans="1:4">
      <c r="A4" s="15461" t="s">
        <v>795</v>
      </c>
      <c r="B4" s="15461"/>
      <c r="C4" s="15461"/>
      <c r="D4" s="15461"/>
    </row>
    <row r="5" spans="1:4" ht="23.25" customHeight="1" thickBot="1">
      <c r="A5" s="15461"/>
      <c r="B5" s="15461"/>
      <c r="C5" s="15461"/>
      <c r="D5" s="15461"/>
    </row>
    <row r="6" spans="1:4" s="6542" customFormat="1">
      <c r="A6" s="6539" t="s">
        <v>796</v>
      </c>
      <c r="B6" s="6540" t="s">
        <v>10456</v>
      </c>
      <c r="C6" s="6540" t="s">
        <v>10457</v>
      </c>
      <c r="D6" s="6541" t="s">
        <v>10458</v>
      </c>
    </row>
    <row r="7" spans="1:4" s="6537" customFormat="1">
      <c r="A7" s="6534">
        <v>1</v>
      </c>
      <c r="B7" s="6557">
        <v>2</v>
      </c>
      <c r="C7" s="6557">
        <v>3</v>
      </c>
      <c r="D7" s="6536">
        <v>4</v>
      </c>
    </row>
    <row r="8" spans="1:4" ht="30.75" customHeight="1">
      <c r="A8" s="6512" t="s">
        <v>797</v>
      </c>
      <c r="B8" s="6543"/>
      <c r="C8" s="6544"/>
      <c r="D8" s="6545"/>
    </row>
    <row r="9" spans="1:4">
      <c r="A9" s="6546" t="s">
        <v>10460</v>
      </c>
      <c r="B9" s="6544">
        <v>187489337</v>
      </c>
      <c r="C9" s="6544">
        <v>187584184</v>
      </c>
      <c r="D9" s="6515">
        <f>summary!C24</f>
        <v>285715344.23499995</v>
      </c>
    </row>
    <row r="10" spans="1:4">
      <c r="A10" s="6547" t="s">
        <v>10461</v>
      </c>
      <c r="B10" s="6544">
        <v>212725974</v>
      </c>
      <c r="C10" s="6544">
        <v>233619080</v>
      </c>
      <c r="D10" s="6515">
        <f>summary!G24</f>
        <v>295287634</v>
      </c>
    </row>
    <row r="11" spans="1:4">
      <c r="A11" s="6547" t="s">
        <v>10462</v>
      </c>
      <c r="B11" s="6544">
        <v>5976500</v>
      </c>
      <c r="C11" s="6544">
        <v>9807030</v>
      </c>
      <c r="D11" s="6515">
        <f>summary!J24</f>
        <v>19802036</v>
      </c>
    </row>
    <row r="12" spans="1:4" ht="24" customHeight="1">
      <c r="A12" s="6512" t="s">
        <v>798</v>
      </c>
      <c r="B12" s="6544"/>
      <c r="C12" s="6544"/>
      <c r="D12" s="6515"/>
    </row>
    <row r="13" spans="1:4">
      <c r="A13" s="6546" t="s">
        <v>10460</v>
      </c>
      <c r="B13" s="6544">
        <v>102031938</v>
      </c>
      <c r="C13" s="6544">
        <v>101392063</v>
      </c>
      <c r="D13" s="6515">
        <f>summary!C54</f>
        <v>150206492.27500001</v>
      </c>
    </row>
    <row r="14" spans="1:4">
      <c r="A14" s="6547" t="s">
        <v>10461</v>
      </c>
      <c r="B14" s="6544">
        <v>46300115</v>
      </c>
      <c r="C14" s="6544">
        <v>57564900</v>
      </c>
      <c r="D14" s="6515">
        <f>summary!G54</f>
        <v>116275795</v>
      </c>
    </row>
    <row r="15" spans="1:4">
      <c r="A15" s="6547" t="s">
        <v>10462</v>
      </c>
      <c r="B15" s="6544">
        <v>2389870</v>
      </c>
      <c r="C15" s="6544">
        <v>4143000</v>
      </c>
      <c r="D15" s="6515">
        <f>summary!J54</f>
        <v>6962827</v>
      </c>
    </row>
    <row r="16" spans="1:4" ht="23.25" customHeight="1">
      <c r="A16" s="6512" t="s">
        <v>799</v>
      </c>
      <c r="B16" s="6544"/>
      <c r="C16" s="6544"/>
      <c r="D16" s="6515"/>
    </row>
    <row r="17" spans="1:9">
      <c r="A17" s="6546" t="s">
        <v>10460</v>
      </c>
      <c r="B17" s="6544">
        <v>231835544</v>
      </c>
      <c r="C17" s="6544">
        <v>231938890</v>
      </c>
      <c r="D17" s="6515">
        <f>summary!C42</f>
        <v>342283038.91500008</v>
      </c>
    </row>
    <row r="18" spans="1:9">
      <c r="A18" s="6547" t="s">
        <v>10461</v>
      </c>
      <c r="B18" s="6544">
        <v>162306956</v>
      </c>
      <c r="C18" s="6544">
        <v>174075050</v>
      </c>
      <c r="D18" s="6515">
        <f>summary!G42</f>
        <v>343542885</v>
      </c>
    </row>
    <row r="19" spans="1:9">
      <c r="A19" s="6547" t="s">
        <v>10462</v>
      </c>
      <c r="B19" s="6544">
        <v>3151000</v>
      </c>
      <c r="C19" s="6544">
        <v>5218000</v>
      </c>
      <c r="D19" s="6515">
        <f>summary!J42</f>
        <v>14154487.5</v>
      </c>
    </row>
    <row r="20" spans="1:9" ht="24" customHeight="1">
      <c r="A20" s="6512" t="s">
        <v>800</v>
      </c>
      <c r="B20" s="6544"/>
      <c r="C20" s="6544"/>
      <c r="D20" s="6515"/>
    </row>
    <row r="21" spans="1:9">
      <c r="A21" s="6558" t="s">
        <v>801</v>
      </c>
      <c r="B21" s="6544">
        <v>312112237</v>
      </c>
      <c r="C21" s="6544">
        <v>406558872</v>
      </c>
      <c r="D21" s="6515">
        <f>'BESF Table 1'!L209</f>
        <v>379206127.5</v>
      </c>
    </row>
    <row r="22" spans="1:9" s="6550" customFormat="1">
      <c r="A22" s="6558" t="s">
        <v>802</v>
      </c>
      <c r="B22" s="6548">
        <v>979882</v>
      </c>
      <c r="C22" s="6548">
        <v>337800</v>
      </c>
      <c r="D22" s="6549">
        <f>'BESF Table 1'!L210</f>
        <v>0</v>
      </c>
    </row>
    <row r="23" spans="1:9" ht="15" thickBot="1">
      <c r="A23" s="6559" t="s">
        <v>731</v>
      </c>
      <c r="B23" s="6551">
        <v>247963359</v>
      </c>
      <c r="C23" s="6551">
        <v>282504624</v>
      </c>
      <c r="D23" s="6552">
        <f>'BESF Table 1'!L211</f>
        <v>404379576.20000005</v>
      </c>
    </row>
    <row r="24" spans="1:9" s="6556" customFormat="1" ht="24.75" customHeight="1" thickBot="1">
      <c r="A24" s="6560" t="s">
        <v>220</v>
      </c>
      <c r="B24" s="6553">
        <f>SUM(B9:B23)</f>
        <v>1515262712</v>
      </c>
      <c r="C24" s="6554">
        <f>SUM(C9:C23)</f>
        <v>1694743493</v>
      </c>
      <c r="D24" s="6555">
        <f>SUM(D9:D23)</f>
        <v>2357816243.625</v>
      </c>
    </row>
    <row r="25" spans="1:9" ht="14.25" customHeight="1"/>
    <row r="26" spans="1:9" s="2665" customFormat="1" ht="14.25" hidden="1" customHeight="1">
      <c r="A26" s="6505" t="s">
        <v>9177</v>
      </c>
      <c r="C26" s="2665" t="s">
        <v>3485</v>
      </c>
    </row>
    <row r="27" spans="1:9" s="6504" customFormat="1" ht="14.25" hidden="1" customHeight="1">
      <c r="A27" s="2662"/>
      <c r="C27" s="2662"/>
      <c r="D27" s="2662"/>
    </row>
    <row r="28" spans="1:9" s="6504" customFormat="1" ht="14.25" hidden="1" customHeight="1">
      <c r="A28" s="2662"/>
      <c r="C28" s="2662"/>
      <c r="D28" s="2662"/>
    </row>
    <row r="29" spans="1:9" s="2663" customFormat="1" ht="14.25" hidden="1" customHeight="1">
      <c r="A29" s="6229" t="s">
        <v>10107</v>
      </c>
      <c r="C29" s="15459" t="s">
        <v>5182</v>
      </c>
      <c r="D29" s="15459"/>
      <c r="E29" s="2662"/>
    </row>
    <row r="30" spans="1:9" s="2667" customFormat="1" ht="14.25" hidden="1" customHeight="1">
      <c r="A30" s="6506" t="s">
        <v>10347</v>
      </c>
      <c r="C30" s="15462" t="s">
        <v>737</v>
      </c>
      <c r="D30" s="15462"/>
      <c r="E30" s="2666"/>
      <c r="H30" s="2666"/>
      <c r="I30" s="2666"/>
    </row>
    <row r="31" spans="1:9" ht="14.25" customHeight="1">
      <c r="A31" s="6532"/>
      <c r="C31" s="6533"/>
      <c r="D31" s="6533"/>
    </row>
  </sheetData>
  <mergeCells count="6">
    <mergeCell ref="C29:D29"/>
    <mergeCell ref="C30:D30"/>
    <mergeCell ref="A2:D2"/>
    <mergeCell ref="A3:D3"/>
    <mergeCell ref="A4:D4"/>
    <mergeCell ref="A5:D5"/>
  </mergeCells>
  <pageMargins left="0.5" right="0.25" top="0.5" bottom="1.5" header="0.5" footer="0.25"/>
  <pageSetup paperSize="5" firstPageNumber="405" orientation="portrait" useFirstPageNumber="1" verticalDpi="300" r:id="rId1"/>
  <headerFooter alignWithMargins="0"/>
</worksheet>
</file>

<file path=xl/worksheets/sheet202.xml><?xml version="1.0" encoding="utf-8"?>
<worksheet xmlns="http://schemas.openxmlformats.org/spreadsheetml/2006/main" xmlns:r="http://schemas.openxmlformats.org/officeDocument/2006/relationships">
  <sheetPr codeName="Sheet151">
    <tabColor rgb="FF7030A0"/>
  </sheetPr>
  <dimension ref="A1:H48"/>
  <sheetViews>
    <sheetView showGridLines="0" workbookViewId="0">
      <selection activeCell="B3" sqref="B3:C3"/>
    </sheetView>
  </sheetViews>
  <sheetFormatPr defaultRowHeight="14.4"/>
  <cols>
    <col min="1" max="1" width="33.88671875" style="6561" customWidth="1"/>
    <col min="2" max="2" width="6.44140625" style="9992" customWidth="1"/>
    <col min="3" max="3" width="16.109375" style="9993" customWidth="1"/>
    <col min="4" max="4" width="6" style="9992" customWidth="1"/>
    <col min="5" max="5" width="16.109375" style="9993" customWidth="1"/>
    <col min="6" max="6" width="5.88671875" style="9994" customWidth="1"/>
    <col min="7" max="7" width="15.88671875" style="9993" customWidth="1"/>
    <col min="8" max="256" width="9.109375" style="6561"/>
    <col min="257" max="257" width="32.44140625" style="6561" customWidth="1"/>
    <col min="258" max="258" width="4.88671875" style="6561" customWidth="1"/>
    <col min="259" max="259" width="11.44140625" style="6561" customWidth="1"/>
    <col min="260" max="260" width="7.109375" style="6561" customWidth="1"/>
    <col min="261" max="261" width="16.44140625" style="6561" customWidth="1"/>
    <col min="262" max="262" width="7.44140625" style="6561" customWidth="1"/>
    <col min="263" max="263" width="16.44140625" style="6561" customWidth="1"/>
    <col min="264" max="512" width="9.109375" style="6561"/>
    <col min="513" max="513" width="32.44140625" style="6561" customWidth="1"/>
    <col min="514" max="514" width="4.88671875" style="6561" customWidth="1"/>
    <col min="515" max="515" width="11.44140625" style="6561" customWidth="1"/>
    <col min="516" max="516" width="7.109375" style="6561" customWidth="1"/>
    <col min="517" max="517" width="16.44140625" style="6561" customWidth="1"/>
    <col min="518" max="518" width="7.44140625" style="6561" customWidth="1"/>
    <col min="519" max="519" width="16.44140625" style="6561" customWidth="1"/>
    <col min="520" max="768" width="9.109375" style="6561"/>
    <col min="769" max="769" width="32.44140625" style="6561" customWidth="1"/>
    <col min="770" max="770" width="4.88671875" style="6561" customWidth="1"/>
    <col min="771" max="771" width="11.44140625" style="6561" customWidth="1"/>
    <col min="772" max="772" width="7.109375" style="6561" customWidth="1"/>
    <col min="773" max="773" width="16.44140625" style="6561" customWidth="1"/>
    <col min="774" max="774" width="7.44140625" style="6561" customWidth="1"/>
    <col min="775" max="775" width="16.44140625" style="6561" customWidth="1"/>
    <col min="776" max="1024" width="9.109375" style="6561"/>
    <col min="1025" max="1025" width="32.44140625" style="6561" customWidth="1"/>
    <col min="1026" max="1026" width="4.88671875" style="6561" customWidth="1"/>
    <col min="1027" max="1027" width="11.44140625" style="6561" customWidth="1"/>
    <col min="1028" max="1028" width="7.109375" style="6561" customWidth="1"/>
    <col min="1029" max="1029" width="16.44140625" style="6561" customWidth="1"/>
    <col min="1030" max="1030" width="7.44140625" style="6561" customWidth="1"/>
    <col min="1031" max="1031" width="16.44140625" style="6561" customWidth="1"/>
    <col min="1032" max="1280" width="9.109375" style="6561"/>
    <col min="1281" max="1281" width="32.44140625" style="6561" customWidth="1"/>
    <col min="1282" max="1282" width="4.88671875" style="6561" customWidth="1"/>
    <col min="1283" max="1283" width="11.44140625" style="6561" customWidth="1"/>
    <col min="1284" max="1284" width="7.109375" style="6561" customWidth="1"/>
    <col min="1285" max="1285" width="16.44140625" style="6561" customWidth="1"/>
    <col min="1286" max="1286" width="7.44140625" style="6561" customWidth="1"/>
    <col min="1287" max="1287" width="16.44140625" style="6561" customWidth="1"/>
    <col min="1288" max="1536" width="9.109375" style="6561"/>
    <col min="1537" max="1537" width="32.44140625" style="6561" customWidth="1"/>
    <col min="1538" max="1538" width="4.88671875" style="6561" customWidth="1"/>
    <col min="1539" max="1539" width="11.44140625" style="6561" customWidth="1"/>
    <col min="1540" max="1540" width="7.109375" style="6561" customWidth="1"/>
    <col min="1541" max="1541" width="16.44140625" style="6561" customWidth="1"/>
    <col min="1542" max="1542" width="7.44140625" style="6561" customWidth="1"/>
    <col min="1543" max="1543" width="16.44140625" style="6561" customWidth="1"/>
    <col min="1544" max="1792" width="9.109375" style="6561"/>
    <col min="1793" max="1793" width="32.44140625" style="6561" customWidth="1"/>
    <col min="1794" max="1794" width="4.88671875" style="6561" customWidth="1"/>
    <col min="1795" max="1795" width="11.44140625" style="6561" customWidth="1"/>
    <col min="1796" max="1796" width="7.109375" style="6561" customWidth="1"/>
    <col min="1797" max="1797" width="16.44140625" style="6561" customWidth="1"/>
    <col min="1798" max="1798" width="7.44140625" style="6561" customWidth="1"/>
    <col min="1799" max="1799" width="16.44140625" style="6561" customWidth="1"/>
    <col min="1800" max="2048" width="9.109375" style="6561"/>
    <col min="2049" max="2049" width="32.44140625" style="6561" customWidth="1"/>
    <col min="2050" max="2050" width="4.88671875" style="6561" customWidth="1"/>
    <col min="2051" max="2051" width="11.44140625" style="6561" customWidth="1"/>
    <col min="2052" max="2052" width="7.109375" style="6561" customWidth="1"/>
    <col min="2053" max="2053" width="16.44140625" style="6561" customWidth="1"/>
    <col min="2054" max="2054" width="7.44140625" style="6561" customWidth="1"/>
    <col min="2055" max="2055" width="16.44140625" style="6561" customWidth="1"/>
    <col min="2056" max="2304" width="9.109375" style="6561"/>
    <col min="2305" max="2305" width="32.44140625" style="6561" customWidth="1"/>
    <col min="2306" max="2306" width="4.88671875" style="6561" customWidth="1"/>
    <col min="2307" max="2307" width="11.44140625" style="6561" customWidth="1"/>
    <col min="2308" max="2308" width="7.109375" style="6561" customWidth="1"/>
    <col min="2309" max="2309" width="16.44140625" style="6561" customWidth="1"/>
    <col min="2310" max="2310" width="7.44140625" style="6561" customWidth="1"/>
    <col min="2311" max="2311" width="16.44140625" style="6561" customWidth="1"/>
    <col min="2312" max="2560" width="9.109375" style="6561"/>
    <col min="2561" max="2561" width="32.44140625" style="6561" customWidth="1"/>
    <col min="2562" max="2562" width="4.88671875" style="6561" customWidth="1"/>
    <col min="2563" max="2563" width="11.44140625" style="6561" customWidth="1"/>
    <col min="2564" max="2564" width="7.109375" style="6561" customWidth="1"/>
    <col min="2565" max="2565" width="16.44140625" style="6561" customWidth="1"/>
    <col min="2566" max="2566" width="7.44140625" style="6561" customWidth="1"/>
    <col min="2567" max="2567" width="16.44140625" style="6561" customWidth="1"/>
    <col min="2568" max="2816" width="9.109375" style="6561"/>
    <col min="2817" max="2817" width="32.44140625" style="6561" customWidth="1"/>
    <col min="2818" max="2818" width="4.88671875" style="6561" customWidth="1"/>
    <col min="2819" max="2819" width="11.44140625" style="6561" customWidth="1"/>
    <col min="2820" max="2820" width="7.109375" style="6561" customWidth="1"/>
    <col min="2821" max="2821" width="16.44140625" style="6561" customWidth="1"/>
    <col min="2822" max="2822" width="7.44140625" style="6561" customWidth="1"/>
    <col min="2823" max="2823" width="16.44140625" style="6561" customWidth="1"/>
    <col min="2824" max="3072" width="9.109375" style="6561"/>
    <col min="3073" max="3073" width="32.44140625" style="6561" customWidth="1"/>
    <col min="3074" max="3074" width="4.88671875" style="6561" customWidth="1"/>
    <col min="3075" max="3075" width="11.44140625" style="6561" customWidth="1"/>
    <col min="3076" max="3076" width="7.109375" style="6561" customWidth="1"/>
    <col min="3077" max="3077" width="16.44140625" style="6561" customWidth="1"/>
    <col min="3078" max="3078" width="7.44140625" style="6561" customWidth="1"/>
    <col min="3079" max="3079" width="16.44140625" style="6561" customWidth="1"/>
    <col min="3080" max="3328" width="9.109375" style="6561"/>
    <col min="3329" max="3329" width="32.44140625" style="6561" customWidth="1"/>
    <col min="3330" max="3330" width="4.88671875" style="6561" customWidth="1"/>
    <col min="3331" max="3331" width="11.44140625" style="6561" customWidth="1"/>
    <col min="3332" max="3332" width="7.109375" style="6561" customWidth="1"/>
    <col min="3333" max="3333" width="16.44140625" style="6561" customWidth="1"/>
    <col min="3334" max="3334" width="7.44140625" style="6561" customWidth="1"/>
    <col min="3335" max="3335" width="16.44140625" style="6561" customWidth="1"/>
    <col min="3336" max="3584" width="9.109375" style="6561"/>
    <col min="3585" max="3585" width="32.44140625" style="6561" customWidth="1"/>
    <col min="3586" max="3586" width="4.88671875" style="6561" customWidth="1"/>
    <col min="3587" max="3587" width="11.44140625" style="6561" customWidth="1"/>
    <col min="3588" max="3588" width="7.109375" style="6561" customWidth="1"/>
    <col min="3589" max="3589" width="16.44140625" style="6561" customWidth="1"/>
    <col min="3590" max="3590" width="7.44140625" style="6561" customWidth="1"/>
    <col min="3591" max="3591" width="16.44140625" style="6561" customWidth="1"/>
    <col min="3592" max="3840" width="9.109375" style="6561"/>
    <col min="3841" max="3841" width="32.44140625" style="6561" customWidth="1"/>
    <col min="3842" max="3842" width="4.88671875" style="6561" customWidth="1"/>
    <col min="3843" max="3843" width="11.44140625" style="6561" customWidth="1"/>
    <col min="3844" max="3844" width="7.109375" style="6561" customWidth="1"/>
    <col min="3845" max="3845" width="16.44140625" style="6561" customWidth="1"/>
    <col min="3846" max="3846" width="7.44140625" style="6561" customWidth="1"/>
    <col min="3847" max="3847" width="16.44140625" style="6561" customWidth="1"/>
    <col min="3848" max="4096" width="9.109375" style="6561"/>
    <col min="4097" max="4097" width="32.44140625" style="6561" customWidth="1"/>
    <col min="4098" max="4098" width="4.88671875" style="6561" customWidth="1"/>
    <col min="4099" max="4099" width="11.44140625" style="6561" customWidth="1"/>
    <col min="4100" max="4100" width="7.109375" style="6561" customWidth="1"/>
    <col min="4101" max="4101" width="16.44140625" style="6561" customWidth="1"/>
    <col min="4102" max="4102" width="7.44140625" style="6561" customWidth="1"/>
    <col min="4103" max="4103" width="16.44140625" style="6561" customWidth="1"/>
    <col min="4104" max="4352" width="9.109375" style="6561"/>
    <col min="4353" max="4353" width="32.44140625" style="6561" customWidth="1"/>
    <col min="4354" max="4354" width="4.88671875" style="6561" customWidth="1"/>
    <col min="4355" max="4355" width="11.44140625" style="6561" customWidth="1"/>
    <col min="4356" max="4356" width="7.109375" style="6561" customWidth="1"/>
    <col min="4357" max="4357" width="16.44140625" style="6561" customWidth="1"/>
    <col min="4358" max="4358" width="7.44140625" style="6561" customWidth="1"/>
    <col min="4359" max="4359" width="16.44140625" style="6561" customWidth="1"/>
    <col min="4360" max="4608" width="9.109375" style="6561"/>
    <col min="4609" max="4609" width="32.44140625" style="6561" customWidth="1"/>
    <col min="4610" max="4610" width="4.88671875" style="6561" customWidth="1"/>
    <col min="4611" max="4611" width="11.44140625" style="6561" customWidth="1"/>
    <col min="4612" max="4612" width="7.109375" style="6561" customWidth="1"/>
    <col min="4613" max="4613" width="16.44140625" style="6561" customWidth="1"/>
    <col min="4614" max="4614" width="7.44140625" style="6561" customWidth="1"/>
    <col min="4615" max="4615" width="16.44140625" style="6561" customWidth="1"/>
    <col min="4616" max="4864" width="9.109375" style="6561"/>
    <col min="4865" max="4865" width="32.44140625" style="6561" customWidth="1"/>
    <col min="4866" max="4866" width="4.88671875" style="6561" customWidth="1"/>
    <col min="4867" max="4867" width="11.44140625" style="6561" customWidth="1"/>
    <col min="4868" max="4868" width="7.109375" style="6561" customWidth="1"/>
    <col min="4869" max="4869" width="16.44140625" style="6561" customWidth="1"/>
    <col min="4870" max="4870" width="7.44140625" style="6561" customWidth="1"/>
    <col min="4871" max="4871" width="16.44140625" style="6561" customWidth="1"/>
    <col min="4872" max="5120" width="9.109375" style="6561"/>
    <col min="5121" max="5121" width="32.44140625" style="6561" customWidth="1"/>
    <col min="5122" max="5122" width="4.88671875" style="6561" customWidth="1"/>
    <col min="5123" max="5123" width="11.44140625" style="6561" customWidth="1"/>
    <col min="5124" max="5124" width="7.109375" style="6561" customWidth="1"/>
    <col min="5125" max="5125" width="16.44140625" style="6561" customWidth="1"/>
    <col min="5126" max="5126" width="7.44140625" style="6561" customWidth="1"/>
    <col min="5127" max="5127" width="16.44140625" style="6561" customWidth="1"/>
    <col min="5128" max="5376" width="9.109375" style="6561"/>
    <col min="5377" max="5377" width="32.44140625" style="6561" customWidth="1"/>
    <col min="5378" max="5378" width="4.88671875" style="6561" customWidth="1"/>
    <col min="5379" max="5379" width="11.44140625" style="6561" customWidth="1"/>
    <col min="5380" max="5380" width="7.109375" style="6561" customWidth="1"/>
    <col min="5381" max="5381" width="16.44140625" style="6561" customWidth="1"/>
    <col min="5382" max="5382" width="7.44140625" style="6561" customWidth="1"/>
    <col min="5383" max="5383" width="16.44140625" style="6561" customWidth="1"/>
    <col min="5384" max="5632" width="9.109375" style="6561"/>
    <col min="5633" max="5633" width="32.44140625" style="6561" customWidth="1"/>
    <col min="5634" max="5634" width="4.88671875" style="6561" customWidth="1"/>
    <col min="5635" max="5635" width="11.44140625" style="6561" customWidth="1"/>
    <col min="5636" max="5636" width="7.109375" style="6561" customWidth="1"/>
    <col min="5637" max="5637" width="16.44140625" style="6561" customWidth="1"/>
    <col min="5638" max="5638" width="7.44140625" style="6561" customWidth="1"/>
    <col min="5639" max="5639" width="16.44140625" style="6561" customWidth="1"/>
    <col min="5640" max="5888" width="9.109375" style="6561"/>
    <col min="5889" max="5889" width="32.44140625" style="6561" customWidth="1"/>
    <col min="5890" max="5890" width="4.88671875" style="6561" customWidth="1"/>
    <col min="5891" max="5891" width="11.44140625" style="6561" customWidth="1"/>
    <col min="5892" max="5892" width="7.109375" style="6561" customWidth="1"/>
    <col min="5893" max="5893" width="16.44140625" style="6561" customWidth="1"/>
    <col min="5894" max="5894" width="7.44140625" style="6561" customWidth="1"/>
    <col min="5895" max="5895" width="16.44140625" style="6561" customWidth="1"/>
    <col min="5896" max="6144" width="9.109375" style="6561"/>
    <col min="6145" max="6145" width="32.44140625" style="6561" customWidth="1"/>
    <col min="6146" max="6146" width="4.88671875" style="6561" customWidth="1"/>
    <col min="6147" max="6147" width="11.44140625" style="6561" customWidth="1"/>
    <col min="6148" max="6148" width="7.109375" style="6561" customWidth="1"/>
    <col min="6149" max="6149" width="16.44140625" style="6561" customWidth="1"/>
    <col min="6150" max="6150" width="7.44140625" style="6561" customWidth="1"/>
    <col min="6151" max="6151" width="16.44140625" style="6561" customWidth="1"/>
    <col min="6152" max="6400" width="9.109375" style="6561"/>
    <col min="6401" max="6401" width="32.44140625" style="6561" customWidth="1"/>
    <col min="6402" max="6402" width="4.88671875" style="6561" customWidth="1"/>
    <col min="6403" max="6403" width="11.44140625" style="6561" customWidth="1"/>
    <col min="6404" max="6404" width="7.109375" style="6561" customWidth="1"/>
    <col min="6405" max="6405" width="16.44140625" style="6561" customWidth="1"/>
    <col min="6406" max="6406" width="7.44140625" style="6561" customWidth="1"/>
    <col min="6407" max="6407" width="16.44140625" style="6561" customWidth="1"/>
    <col min="6408" max="6656" width="9.109375" style="6561"/>
    <col min="6657" max="6657" width="32.44140625" style="6561" customWidth="1"/>
    <col min="6658" max="6658" width="4.88671875" style="6561" customWidth="1"/>
    <col min="6659" max="6659" width="11.44140625" style="6561" customWidth="1"/>
    <col min="6660" max="6660" width="7.109375" style="6561" customWidth="1"/>
    <col min="6661" max="6661" width="16.44140625" style="6561" customWidth="1"/>
    <col min="6662" max="6662" width="7.44140625" style="6561" customWidth="1"/>
    <col min="6663" max="6663" width="16.44140625" style="6561" customWidth="1"/>
    <col min="6664" max="6912" width="9.109375" style="6561"/>
    <col min="6913" max="6913" width="32.44140625" style="6561" customWidth="1"/>
    <col min="6914" max="6914" width="4.88671875" style="6561" customWidth="1"/>
    <col min="6915" max="6915" width="11.44140625" style="6561" customWidth="1"/>
    <col min="6916" max="6916" width="7.109375" style="6561" customWidth="1"/>
    <col min="6917" max="6917" width="16.44140625" style="6561" customWidth="1"/>
    <col min="6918" max="6918" width="7.44140625" style="6561" customWidth="1"/>
    <col min="6919" max="6919" width="16.44140625" style="6561" customWidth="1"/>
    <col min="6920" max="7168" width="9.109375" style="6561"/>
    <col min="7169" max="7169" width="32.44140625" style="6561" customWidth="1"/>
    <col min="7170" max="7170" width="4.88671875" style="6561" customWidth="1"/>
    <col min="7171" max="7171" width="11.44140625" style="6561" customWidth="1"/>
    <col min="7172" max="7172" width="7.109375" style="6561" customWidth="1"/>
    <col min="7173" max="7173" width="16.44140625" style="6561" customWidth="1"/>
    <col min="7174" max="7174" width="7.44140625" style="6561" customWidth="1"/>
    <col min="7175" max="7175" width="16.44140625" style="6561" customWidth="1"/>
    <col min="7176" max="7424" width="9.109375" style="6561"/>
    <col min="7425" max="7425" width="32.44140625" style="6561" customWidth="1"/>
    <col min="7426" max="7426" width="4.88671875" style="6561" customWidth="1"/>
    <col min="7427" max="7427" width="11.44140625" style="6561" customWidth="1"/>
    <col min="7428" max="7428" width="7.109375" style="6561" customWidth="1"/>
    <col min="7429" max="7429" width="16.44140625" style="6561" customWidth="1"/>
    <col min="7430" max="7430" width="7.44140625" style="6561" customWidth="1"/>
    <col min="7431" max="7431" width="16.44140625" style="6561" customWidth="1"/>
    <col min="7432" max="7680" width="9.109375" style="6561"/>
    <col min="7681" max="7681" width="32.44140625" style="6561" customWidth="1"/>
    <col min="7682" max="7682" width="4.88671875" style="6561" customWidth="1"/>
    <col min="7683" max="7683" width="11.44140625" style="6561" customWidth="1"/>
    <col min="7684" max="7684" width="7.109375" style="6561" customWidth="1"/>
    <col min="7685" max="7685" width="16.44140625" style="6561" customWidth="1"/>
    <col min="7686" max="7686" width="7.44140625" style="6561" customWidth="1"/>
    <col min="7687" max="7687" width="16.44140625" style="6561" customWidth="1"/>
    <col min="7688" max="7936" width="9.109375" style="6561"/>
    <col min="7937" max="7937" width="32.44140625" style="6561" customWidth="1"/>
    <col min="7938" max="7938" width="4.88671875" style="6561" customWidth="1"/>
    <col min="7939" max="7939" width="11.44140625" style="6561" customWidth="1"/>
    <col min="7940" max="7940" width="7.109375" style="6561" customWidth="1"/>
    <col min="7941" max="7941" width="16.44140625" style="6561" customWidth="1"/>
    <col min="7942" max="7942" width="7.44140625" style="6561" customWidth="1"/>
    <col min="7943" max="7943" width="16.44140625" style="6561" customWidth="1"/>
    <col min="7944" max="8192" width="9.109375" style="6561"/>
    <col min="8193" max="8193" width="32.44140625" style="6561" customWidth="1"/>
    <col min="8194" max="8194" width="4.88671875" style="6561" customWidth="1"/>
    <col min="8195" max="8195" width="11.44140625" style="6561" customWidth="1"/>
    <col min="8196" max="8196" width="7.109375" style="6561" customWidth="1"/>
    <col min="8197" max="8197" width="16.44140625" style="6561" customWidth="1"/>
    <col min="8198" max="8198" width="7.44140625" style="6561" customWidth="1"/>
    <col min="8199" max="8199" width="16.44140625" style="6561" customWidth="1"/>
    <col min="8200" max="8448" width="9.109375" style="6561"/>
    <col min="8449" max="8449" width="32.44140625" style="6561" customWidth="1"/>
    <col min="8450" max="8450" width="4.88671875" style="6561" customWidth="1"/>
    <col min="8451" max="8451" width="11.44140625" style="6561" customWidth="1"/>
    <col min="8452" max="8452" width="7.109375" style="6561" customWidth="1"/>
    <col min="8453" max="8453" width="16.44140625" style="6561" customWidth="1"/>
    <col min="8454" max="8454" width="7.44140625" style="6561" customWidth="1"/>
    <col min="8455" max="8455" width="16.44140625" style="6561" customWidth="1"/>
    <col min="8456" max="8704" width="9.109375" style="6561"/>
    <col min="8705" max="8705" width="32.44140625" style="6561" customWidth="1"/>
    <col min="8706" max="8706" width="4.88671875" style="6561" customWidth="1"/>
    <col min="8707" max="8707" width="11.44140625" style="6561" customWidth="1"/>
    <col min="8708" max="8708" width="7.109375" style="6561" customWidth="1"/>
    <col min="8709" max="8709" width="16.44140625" style="6561" customWidth="1"/>
    <col min="8710" max="8710" width="7.44140625" style="6561" customWidth="1"/>
    <col min="8711" max="8711" width="16.44140625" style="6561" customWidth="1"/>
    <col min="8712" max="8960" width="9.109375" style="6561"/>
    <col min="8961" max="8961" width="32.44140625" style="6561" customWidth="1"/>
    <col min="8962" max="8962" width="4.88671875" style="6561" customWidth="1"/>
    <col min="8963" max="8963" width="11.44140625" style="6561" customWidth="1"/>
    <col min="8964" max="8964" width="7.109375" style="6561" customWidth="1"/>
    <col min="8965" max="8965" width="16.44140625" style="6561" customWidth="1"/>
    <col min="8966" max="8966" width="7.44140625" style="6561" customWidth="1"/>
    <col min="8967" max="8967" width="16.44140625" style="6561" customWidth="1"/>
    <col min="8968" max="9216" width="9.109375" style="6561"/>
    <col min="9217" max="9217" width="32.44140625" style="6561" customWidth="1"/>
    <col min="9218" max="9218" width="4.88671875" style="6561" customWidth="1"/>
    <col min="9219" max="9219" width="11.44140625" style="6561" customWidth="1"/>
    <col min="9220" max="9220" width="7.109375" style="6561" customWidth="1"/>
    <col min="9221" max="9221" width="16.44140625" style="6561" customWidth="1"/>
    <col min="9222" max="9222" width="7.44140625" style="6561" customWidth="1"/>
    <col min="9223" max="9223" width="16.44140625" style="6561" customWidth="1"/>
    <col min="9224" max="9472" width="9.109375" style="6561"/>
    <col min="9473" max="9473" width="32.44140625" style="6561" customWidth="1"/>
    <col min="9474" max="9474" width="4.88671875" style="6561" customWidth="1"/>
    <col min="9475" max="9475" width="11.44140625" style="6561" customWidth="1"/>
    <col min="9476" max="9476" width="7.109375" style="6561" customWidth="1"/>
    <col min="9477" max="9477" width="16.44140625" style="6561" customWidth="1"/>
    <col min="9478" max="9478" width="7.44140625" style="6561" customWidth="1"/>
    <col min="9479" max="9479" width="16.44140625" style="6561" customWidth="1"/>
    <col min="9480" max="9728" width="9.109375" style="6561"/>
    <col min="9729" max="9729" width="32.44140625" style="6561" customWidth="1"/>
    <col min="9730" max="9730" width="4.88671875" style="6561" customWidth="1"/>
    <col min="9731" max="9731" width="11.44140625" style="6561" customWidth="1"/>
    <col min="9732" max="9732" width="7.109375" style="6561" customWidth="1"/>
    <col min="9733" max="9733" width="16.44140625" style="6561" customWidth="1"/>
    <col min="9734" max="9734" width="7.44140625" style="6561" customWidth="1"/>
    <col min="9735" max="9735" width="16.44140625" style="6561" customWidth="1"/>
    <col min="9736" max="9984" width="9.109375" style="6561"/>
    <col min="9985" max="9985" width="32.44140625" style="6561" customWidth="1"/>
    <col min="9986" max="9986" width="4.88671875" style="6561" customWidth="1"/>
    <col min="9987" max="9987" width="11.44140625" style="6561" customWidth="1"/>
    <col min="9988" max="9988" width="7.109375" style="6561" customWidth="1"/>
    <col min="9989" max="9989" width="16.44140625" style="6561" customWidth="1"/>
    <col min="9990" max="9990" width="7.44140625" style="6561" customWidth="1"/>
    <col min="9991" max="9991" width="16.44140625" style="6561" customWidth="1"/>
    <col min="9992" max="10240" width="9.109375" style="6561"/>
    <col min="10241" max="10241" width="32.44140625" style="6561" customWidth="1"/>
    <col min="10242" max="10242" width="4.88671875" style="6561" customWidth="1"/>
    <col min="10243" max="10243" width="11.44140625" style="6561" customWidth="1"/>
    <col min="10244" max="10244" width="7.109375" style="6561" customWidth="1"/>
    <col min="10245" max="10245" width="16.44140625" style="6561" customWidth="1"/>
    <col min="10246" max="10246" width="7.44140625" style="6561" customWidth="1"/>
    <col min="10247" max="10247" width="16.44140625" style="6561" customWidth="1"/>
    <col min="10248" max="10496" width="9.109375" style="6561"/>
    <col min="10497" max="10497" width="32.44140625" style="6561" customWidth="1"/>
    <col min="10498" max="10498" width="4.88671875" style="6561" customWidth="1"/>
    <col min="10499" max="10499" width="11.44140625" style="6561" customWidth="1"/>
    <col min="10500" max="10500" width="7.109375" style="6561" customWidth="1"/>
    <col min="10501" max="10501" width="16.44140625" style="6561" customWidth="1"/>
    <col min="10502" max="10502" width="7.44140625" style="6561" customWidth="1"/>
    <col min="10503" max="10503" width="16.44140625" style="6561" customWidth="1"/>
    <col min="10504" max="10752" width="9.109375" style="6561"/>
    <col min="10753" max="10753" width="32.44140625" style="6561" customWidth="1"/>
    <col min="10754" max="10754" width="4.88671875" style="6561" customWidth="1"/>
    <col min="10755" max="10755" width="11.44140625" style="6561" customWidth="1"/>
    <col min="10756" max="10756" width="7.109375" style="6561" customWidth="1"/>
    <col min="10757" max="10757" width="16.44140625" style="6561" customWidth="1"/>
    <col min="10758" max="10758" width="7.44140625" style="6561" customWidth="1"/>
    <col min="10759" max="10759" width="16.44140625" style="6561" customWidth="1"/>
    <col min="10760" max="11008" width="9.109375" style="6561"/>
    <col min="11009" max="11009" width="32.44140625" style="6561" customWidth="1"/>
    <col min="11010" max="11010" width="4.88671875" style="6561" customWidth="1"/>
    <col min="11011" max="11011" width="11.44140625" style="6561" customWidth="1"/>
    <col min="11012" max="11012" width="7.109375" style="6561" customWidth="1"/>
    <col min="11013" max="11013" width="16.44140625" style="6561" customWidth="1"/>
    <col min="11014" max="11014" width="7.44140625" style="6561" customWidth="1"/>
    <col min="11015" max="11015" width="16.44140625" style="6561" customWidth="1"/>
    <col min="11016" max="11264" width="9.109375" style="6561"/>
    <col min="11265" max="11265" width="32.44140625" style="6561" customWidth="1"/>
    <col min="11266" max="11266" width="4.88671875" style="6561" customWidth="1"/>
    <col min="11267" max="11267" width="11.44140625" style="6561" customWidth="1"/>
    <col min="11268" max="11268" width="7.109375" style="6561" customWidth="1"/>
    <col min="11269" max="11269" width="16.44140625" style="6561" customWidth="1"/>
    <col min="11270" max="11270" width="7.44140625" style="6561" customWidth="1"/>
    <col min="11271" max="11271" width="16.44140625" style="6561" customWidth="1"/>
    <col min="11272" max="11520" width="9.109375" style="6561"/>
    <col min="11521" max="11521" width="32.44140625" style="6561" customWidth="1"/>
    <col min="11522" max="11522" width="4.88671875" style="6561" customWidth="1"/>
    <col min="11523" max="11523" width="11.44140625" style="6561" customWidth="1"/>
    <col min="11524" max="11524" width="7.109375" style="6561" customWidth="1"/>
    <col min="11525" max="11525" width="16.44140625" style="6561" customWidth="1"/>
    <col min="11526" max="11526" width="7.44140625" style="6561" customWidth="1"/>
    <col min="11527" max="11527" width="16.44140625" style="6561" customWidth="1"/>
    <col min="11528" max="11776" width="9.109375" style="6561"/>
    <col min="11777" max="11777" width="32.44140625" style="6561" customWidth="1"/>
    <col min="11778" max="11778" width="4.88671875" style="6561" customWidth="1"/>
    <col min="11779" max="11779" width="11.44140625" style="6561" customWidth="1"/>
    <col min="11780" max="11780" width="7.109375" style="6561" customWidth="1"/>
    <col min="11781" max="11781" width="16.44140625" style="6561" customWidth="1"/>
    <col min="11782" max="11782" width="7.44140625" style="6561" customWidth="1"/>
    <col min="11783" max="11783" width="16.44140625" style="6561" customWidth="1"/>
    <col min="11784" max="12032" width="9.109375" style="6561"/>
    <col min="12033" max="12033" width="32.44140625" style="6561" customWidth="1"/>
    <col min="12034" max="12034" width="4.88671875" style="6561" customWidth="1"/>
    <col min="12035" max="12035" width="11.44140625" style="6561" customWidth="1"/>
    <col min="12036" max="12036" width="7.109375" style="6561" customWidth="1"/>
    <col min="12037" max="12037" width="16.44140625" style="6561" customWidth="1"/>
    <col min="12038" max="12038" width="7.44140625" style="6561" customWidth="1"/>
    <col min="12039" max="12039" width="16.44140625" style="6561" customWidth="1"/>
    <col min="12040" max="12288" width="9.109375" style="6561"/>
    <col min="12289" max="12289" width="32.44140625" style="6561" customWidth="1"/>
    <col min="12290" max="12290" width="4.88671875" style="6561" customWidth="1"/>
    <col min="12291" max="12291" width="11.44140625" style="6561" customWidth="1"/>
    <col min="12292" max="12292" width="7.109375" style="6561" customWidth="1"/>
    <col min="12293" max="12293" width="16.44140625" style="6561" customWidth="1"/>
    <col min="12294" max="12294" width="7.44140625" style="6561" customWidth="1"/>
    <col min="12295" max="12295" width="16.44140625" style="6561" customWidth="1"/>
    <col min="12296" max="12544" width="9.109375" style="6561"/>
    <col min="12545" max="12545" width="32.44140625" style="6561" customWidth="1"/>
    <col min="12546" max="12546" width="4.88671875" style="6561" customWidth="1"/>
    <col min="12547" max="12547" width="11.44140625" style="6561" customWidth="1"/>
    <col min="12548" max="12548" width="7.109375" style="6561" customWidth="1"/>
    <col min="12549" max="12549" width="16.44140625" style="6561" customWidth="1"/>
    <col min="12550" max="12550" width="7.44140625" style="6561" customWidth="1"/>
    <col min="12551" max="12551" width="16.44140625" style="6561" customWidth="1"/>
    <col min="12552" max="12800" width="9.109375" style="6561"/>
    <col min="12801" max="12801" width="32.44140625" style="6561" customWidth="1"/>
    <col min="12802" max="12802" width="4.88671875" style="6561" customWidth="1"/>
    <col min="12803" max="12803" width="11.44140625" style="6561" customWidth="1"/>
    <col min="12804" max="12804" width="7.109375" style="6561" customWidth="1"/>
    <col min="12805" max="12805" width="16.44140625" style="6561" customWidth="1"/>
    <col min="12806" max="12806" width="7.44140625" style="6561" customWidth="1"/>
    <col min="12807" max="12807" width="16.44140625" style="6561" customWidth="1"/>
    <col min="12808" max="13056" width="9.109375" style="6561"/>
    <col min="13057" max="13057" width="32.44140625" style="6561" customWidth="1"/>
    <col min="13058" max="13058" width="4.88671875" style="6561" customWidth="1"/>
    <col min="13059" max="13059" width="11.44140625" style="6561" customWidth="1"/>
    <col min="13060" max="13060" width="7.109375" style="6561" customWidth="1"/>
    <col min="13061" max="13061" width="16.44140625" style="6561" customWidth="1"/>
    <col min="13062" max="13062" width="7.44140625" style="6561" customWidth="1"/>
    <col min="13063" max="13063" width="16.44140625" style="6561" customWidth="1"/>
    <col min="13064" max="13312" width="9.109375" style="6561"/>
    <col min="13313" max="13313" width="32.44140625" style="6561" customWidth="1"/>
    <col min="13314" max="13314" width="4.88671875" style="6561" customWidth="1"/>
    <col min="13315" max="13315" width="11.44140625" style="6561" customWidth="1"/>
    <col min="13316" max="13316" width="7.109375" style="6561" customWidth="1"/>
    <col min="13317" max="13317" width="16.44140625" style="6561" customWidth="1"/>
    <col min="13318" max="13318" width="7.44140625" style="6561" customWidth="1"/>
    <col min="13319" max="13319" width="16.44140625" style="6561" customWidth="1"/>
    <col min="13320" max="13568" width="9.109375" style="6561"/>
    <col min="13569" max="13569" width="32.44140625" style="6561" customWidth="1"/>
    <col min="13570" max="13570" width="4.88671875" style="6561" customWidth="1"/>
    <col min="13571" max="13571" width="11.44140625" style="6561" customWidth="1"/>
    <col min="13572" max="13572" width="7.109375" style="6561" customWidth="1"/>
    <col min="13573" max="13573" width="16.44140625" style="6561" customWidth="1"/>
    <col min="13574" max="13574" width="7.44140625" style="6561" customWidth="1"/>
    <col min="13575" max="13575" width="16.44140625" style="6561" customWidth="1"/>
    <col min="13576" max="13824" width="9.109375" style="6561"/>
    <col min="13825" max="13825" width="32.44140625" style="6561" customWidth="1"/>
    <col min="13826" max="13826" width="4.88671875" style="6561" customWidth="1"/>
    <col min="13827" max="13827" width="11.44140625" style="6561" customWidth="1"/>
    <col min="13828" max="13828" width="7.109375" style="6561" customWidth="1"/>
    <col min="13829" max="13829" width="16.44140625" style="6561" customWidth="1"/>
    <col min="13830" max="13830" width="7.44140625" style="6561" customWidth="1"/>
    <col min="13831" max="13831" width="16.44140625" style="6561" customWidth="1"/>
    <col min="13832" max="14080" width="9.109375" style="6561"/>
    <col min="14081" max="14081" width="32.44140625" style="6561" customWidth="1"/>
    <col min="14082" max="14082" width="4.88671875" style="6561" customWidth="1"/>
    <col min="14083" max="14083" width="11.44140625" style="6561" customWidth="1"/>
    <col min="14084" max="14084" width="7.109375" style="6561" customWidth="1"/>
    <col min="14085" max="14085" width="16.44140625" style="6561" customWidth="1"/>
    <col min="14086" max="14086" width="7.44140625" style="6561" customWidth="1"/>
    <col min="14087" max="14087" width="16.44140625" style="6561" customWidth="1"/>
    <col min="14088" max="14336" width="9.109375" style="6561"/>
    <col min="14337" max="14337" width="32.44140625" style="6561" customWidth="1"/>
    <col min="14338" max="14338" width="4.88671875" style="6561" customWidth="1"/>
    <col min="14339" max="14339" width="11.44140625" style="6561" customWidth="1"/>
    <col min="14340" max="14340" width="7.109375" style="6561" customWidth="1"/>
    <col min="14341" max="14341" width="16.44140625" style="6561" customWidth="1"/>
    <col min="14342" max="14342" width="7.44140625" style="6561" customWidth="1"/>
    <col min="14343" max="14343" width="16.44140625" style="6561" customWidth="1"/>
    <col min="14344" max="14592" width="9.109375" style="6561"/>
    <col min="14593" max="14593" width="32.44140625" style="6561" customWidth="1"/>
    <col min="14594" max="14594" width="4.88671875" style="6561" customWidth="1"/>
    <col min="14595" max="14595" width="11.44140625" style="6561" customWidth="1"/>
    <col min="14596" max="14596" width="7.109375" style="6561" customWidth="1"/>
    <col min="14597" max="14597" width="16.44140625" style="6561" customWidth="1"/>
    <col min="14598" max="14598" width="7.44140625" style="6561" customWidth="1"/>
    <col min="14599" max="14599" width="16.44140625" style="6561" customWidth="1"/>
    <col min="14600" max="14848" width="9.109375" style="6561"/>
    <col min="14849" max="14849" width="32.44140625" style="6561" customWidth="1"/>
    <col min="14850" max="14850" width="4.88671875" style="6561" customWidth="1"/>
    <col min="14851" max="14851" width="11.44140625" style="6561" customWidth="1"/>
    <col min="14852" max="14852" width="7.109375" style="6561" customWidth="1"/>
    <col min="14853" max="14853" width="16.44140625" style="6561" customWidth="1"/>
    <col min="14854" max="14854" width="7.44140625" style="6561" customWidth="1"/>
    <col min="14855" max="14855" width="16.44140625" style="6561" customWidth="1"/>
    <col min="14856" max="15104" width="9.109375" style="6561"/>
    <col min="15105" max="15105" width="32.44140625" style="6561" customWidth="1"/>
    <col min="15106" max="15106" width="4.88671875" style="6561" customWidth="1"/>
    <col min="15107" max="15107" width="11.44140625" style="6561" customWidth="1"/>
    <col min="15108" max="15108" width="7.109375" style="6561" customWidth="1"/>
    <col min="15109" max="15109" width="16.44140625" style="6561" customWidth="1"/>
    <col min="15110" max="15110" width="7.44140625" style="6561" customWidth="1"/>
    <col min="15111" max="15111" width="16.44140625" style="6561" customWidth="1"/>
    <col min="15112" max="15360" width="9.109375" style="6561"/>
    <col min="15361" max="15361" width="32.44140625" style="6561" customWidth="1"/>
    <col min="15362" max="15362" width="4.88671875" style="6561" customWidth="1"/>
    <col min="15363" max="15363" width="11.44140625" style="6561" customWidth="1"/>
    <col min="15364" max="15364" width="7.109375" style="6561" customWidth="1"/>
    <col min="15365" max="15365" width="16.44140625" style="6561" customWidth="1"/>
    <col min="15366" max="15366" width="7.44140625" style="6561" customWidth="1"/>
    <col min="15367" max="15367" width="16.44140625" style="6561" customWidth="1"/>
    <col min="15368" max="15616" width="9.109375" style="6561"/>
    <col min="15617" max="15617" width="32.44140625" style="6561" customWidth="1"/>
    <col min="15618" max="15618" width="4.88671875" style="6561" customWidth="1"/>
    <col min="15619" max="15619" width="11.44140625" style="6561" customWidth="1"/>
    <col min="15620" max="15620" width="7.109375" style="6561" customWidth="1"/>
    <col min="15621" max="15621" width="16.44140625" style="6561" customWidth="1"/>
    <col min="15622" max="15622" width="7.44140625" style="6561" customWidth="1"/>
    <col min="15623" max="15623" width="16.44140625" style="6561" customWidth="1"/>
    <col min="15624" max="15872" width="9.109375" style="6561"/>
    <col min="15873" max="15873" width="32.44140625" style="6561" customWidth="1"/>
    <col min="15874" max="15874" width="4.88671875" style="6561" customWidth="1"/>
    <col min="15875" max="15875" width="11.44140625" style="6561" customWidth="1"/>
    <col min="15876" max="15876" width="7.109375" style="6561" customWidth="1"/>
    <col min="15877" max="15877" width="16.44140625" style="6561" customWidth="1"/>
    <col min="15878" max="15878" width="7.44140625" style="6561" customWidth="1"/>
    <col min="15879" max="15879" width="16.44140625" style="6561" customWidth="1"/>
    <col min="15880" max="16128" width="9.109375" style="6561"/>
    <col min="16129" max="16129" width="32.44140625" style="6561" customWidth="1"/>
    <col min="16130" max="16130" width="4.88671875" style="6561" customWidth="1"/>
    <col min="16131" max="16131" width="11.44140625" style="6561" customWidth="1"/>
    <col min="16132" max="16132" width="7.109375" style="6561" customWidth="1"/>
    <col min="16133" max="16133" width="16.44140625" style="6561" customWidth="1"/>
    <col min="16134" max="16134" width="7.44140625" style="6561" customWidth="1"/>
    <col min="16135" max="16135" width="16.44140625" style="6561" customWidth="1"/>
    <col min="16136" max="16384" width="9.109375" style="6561"/>
  </cols>
  <sheetData>
    <row r="1" spans="1:7" s="6533" customFormat="1" ht="26.25" customHeight="1">
      <c r="A1" s="15463" t="s">
        <v>803</v>
      </c>
      <c r="B1" s="15463"/>
      <c r="C1" s="15463"/>
      <c r="D1" s="15463"/>
      <c r="E1" s="15463"/>
      <c r="F1" s="15463"/>
      <c r="G1" s="15463"/>
    </row>
    <row r="2" spans="1:7" s="9991" customFormat="1" ht="26.25" customHeight="1" thickBot="1">
      <c r="A2" s="9996"/>
      <c r="B2" s="9996"/>
      <c r="C2" s="9997">
        <v>2019</v>
      </c>
      <c r="D2" s="9996"/>
      <c r="E2" s="9996"/>
      <c r="F2" s="9996"/>
      <c r="G2" s="9996"/>
    </row>
    <row r="3" spans="1:7" s="9958" customFormat="1" ht="32.25" customHeight="1">
      <c r="A3" s="15464" t="s">
        <v>460</v>
      </c>
      <c r="B3" s="15466" t="s">
        <v>12210</v>
      </c>
      <c r="C3" s="15467"/>
      <c r="D3" s="15466" t="s">
        <v>12209</v>
      </c>
      <c r="E3" s="15467"/>
      <c r="F3" s="15468" t="s">
        <v>11319</v>
      </c>
      <c r="G3" s="15469"/>
    </row>
    <row r="4" spans="1:7" s="6569" customFormat="1" ht="28.8">
      <c r="A4" s="15465"/>
      <c r="B4" s="6565" t="s">
        <v>804</v>
      </c>
      <c r="C4" s="6566" t="s">
        <v>805</v>
      </c>
      <c r="D4" s="6565" t="s">
        <v>804</v>
      </c>
      <c r="E4" s="6566" t="s">
        <v>805</v>
      </c>
      <c r="F4" s="6567" t="s">
        <v>804</v>
      </c>
      <c r="G4" s="6568" t="s">
        <v>805</v>
      </c>
    </row>
    <row r="5" spans="1:7" s="9963" customFormat="1">
      <c r="A5" s="9959">
        <v>1</v>
      </c>
      <c r="B5" s="9960">
        <v>4</v>
      </c>
      <c r="C5" s="9961">
        <v>5</v>
      </c>
      <c r="D5" s="9960">
        <v>4</v>
      </c>
      <c r="E5" s="9961">
        <v>5</v>
      </c>
      <c r="F5" s="9961">
        <v>6</v>
      </c>
      <c r="G5" s="9962">
        <v>7</v>
      </c>
    </row>
    <row r="6" spans="1:7" s="9969" customFormat="1" ht="18" customHeight="1">
      <c r="A6" s="9964"/>
      <c r="B6" s="9965"/>
      <c r="C6" s="9966"/>
      <c r="D6" s="9965"/>
      <c r="E6" s="9966"/>
      <c r="F6" s="9967"/>
      <c r="G6" s="9968"/>
    </row>
    <row r="7" spans="1:7" ht="18" customHeight="1">
      <c r="A7" s="9970" t="s">
        <v>806</v>
      </c>
      <c r="B7" s="9971"/>
      <c r="C7" s="9972"/>
      <c r="D7" s="9971"/>
      <c r="E7" s="9972"/>
      <c r="F7" s="9973"/>
      <c r="G7" s="9974"/>
    </row>
    <row r="8" spans="1:7" ht="18" customHeight="1">
      <c r="A8" s="9970"/>
      <c r="B8" s="9971"/>
      <c r="C8" s="9972"/>
      <c r="D8" s="9971"/>
      <c r="E8" s="9972"/>
      <c r="F8" s="9973"/>
      <c r="G8" s="9974"/>
    </row>
    <row r="9" spans="1:7" ht="18" customHeight="1">
      <c r="A9" s="9970" t="s">
        <v>807</v>
      </c>
      <c r="B9" s="9971">
        <v>40</v>
      </c>
      <c r="C9" s="9975">
        <v>46151244</v>
      </c>
      <c r="D9" s="9971">
        <v>40</v>
      </c>
      <c r="E9" s="9975">
        <v>53978028</v>
      </c>
      <c r="F9" s="9973">
        <f>'2019- STAFFING'!B55</f>
        <v>40</v>
      </c>
      <c r="G9" s="9974">
        <f>'2019- STAFFING'!C55</f>
        <v>53978028</v>
      </c>
    </row>
    <row r="10" spans="1:7" ht="18" customHeight="1">
      <c r="A10" s="9970"/>
      <c r="B10" s="9971"/>
      <c r="C10" s="9975"/>
      <c r="D10" s="9971"/>
      <c r="E10" s="9975"/>
      <c r="F10" s="9973"/>
      <c r="G10" s="9974"/>
    </row>
    <row r="11" spans="1:7" ht="18" customHeight="1">
      <c r="A11" s="9970" t="s">
        <v>808</v>
      </c>
      <c r="B11" s="9971">
        <v>0</v>
      </c>
      <c r="C11" s="9975">
        <v>0</v>
      </c>
      <c r="D11" s="9971">
        <v>0</v>
      </c>
      <c r="E11" s="9975">
        <v>0</v>
      </c>
      <c r="F11" s="9973">
        <f>'2019- STAFFING'!D55</f>
        <v>0</v>
      </c>
      <c r="G11" s="9974">
        <f>'2019- STAFFING'!E55</f>
        <v>0</v>
      </c>
    </row>
    <row r="12" spans="1:7" ht="18" customHeight="1">
      <c r="A12" s="9970"/>
      <c r="B12" s="9971"/>
      <c r="C12" s="9975"/>
      <c r="D12" s="9971"/>
      <c r="E12" s="9975"/>
      <c r="F12" s="9973"/>
      <c r="G12" s="9974"/>
    </row>
    <row r="13" spans="1:7" ht="18" customHeight="1">
      <c r="A13" s="9970" t="s">
        <v>809</v>
      </c>
      <c r="B13" s="9971">
        <v>138</v>
      </c>
      <c r="C13" s="9975">
        <v>52790664</v>
      </c>
      <c r="D13" s="9971">
        <v>161</v>
      </c>
      <c r="E13" s="9975">
        <v>66519204</v>
      </c>
      <c r="F13" s="9973">
        <f>'2019- STAFFING'!F55</f>
        <v>161</v>
      </c>
      <c r="G13" s="9974">
        <f>'2019- STAFFING'!G55</f>
        <v>66519204</v>
      </c>
    </row>
    <row r="14" spans="1:7" ht="18" customHeight="1">
      <c r="A14" s="9970"/>
      <c r="B14" s="9971"/>
      <c r="C14" s="9975"/>
      <c r="D14" s="9971"/>
      <c r="E14" s="9975"/>
      <c r="F14" s="9973"/>
      <c r="G14" s="9974"/>
    </row>
    <row r="15" spans="1:7" ht="18" customHeight="1">
      <c r="A15" s="9970" t="s">
        <v>810</v>
      </c>
      <c r="B15" s="9971">
        <v>663</v>
      </c>
      <c r="C15" s="9975">
        <v>158679228</v>
      </c>
      <c r="D15" s="9971">
        <v>688</v>
      </c>
      <c r="E15" s="9975">
        <v>173171964</v>
      </c>
      <c r="F15" s="9973">
        <f>'2019- STAFFING'!H55</f>
        <v>688</v>
      </c>
      <c r="G15" s="9974">
        <f>'2019- STAFFING'!I55</f>
        <v>173171964</v>
      </c>
    </row>
    <row r="16" spans="1:7" ht="18" customHeight="1">
      <c r="A16" s="9970"/>
      <c r="B16" s="9971"/>
      <c r="C16" s="9975"/>
      <c r="D16" s="9971"/>
      <c r="E16" s="9975"/>
      <c r="F16" s="9973"/>
      <c r="G16" s="9974"/>
    </row>
    <row r="17" spans="1:8" ht="18" customHeight="1">
      <c r="A17" s="9976" t="s">
        <v>811</v>
      </c>
      <c r="B17" s="9977">
        <v>397</v>
      </c>
      <c r="C17" s="9998">
        <v>72902280</v>
      </c>
      <c r="D17" s="9977">
        <v>441</v>
      </c>
      <c r="E17" s="9998">
        <v>85525236</v>
      </c>
      <c r="F17" s="9999">
        <f>'2019- STAFFING'!J55</f>
        <v>440</v>
      </c>
      <c r="G17" s="9986">
        <f>'2019- STAFFING'!K55</f>
        <v>84675312</v>
      </c>
    </row>
    <row r="18" spans="1:8" ht="18" customHeight="1">
      <c r="A18" s="9976"/>
      <c r="B18" s="9978"/>
      <c r="C18" s="9998"/>
      <c r="D18" s="9978"/>
      <c r="E18" s="9998"/>
      <c r="F18" s="9999"/>
      <c r="G18" s="10000"/>
    </row>
    <row r="19" spans="1:8" s="6562" customFormat="1" ht="18" customHeight="1">
      <c r="A19" s="9952" t="s">
        <v>10463</v>
      </c>
      <c r="B19" s="9954">
        <f t="shared" ref="B19:G19" si="0">SUM(B9:B18)</f>
        <v>1238</v>
      </c>
      <c r="C19" s="10001">
        <f t="shared" si="0"/>
        <v>330523416</v>
      </c>
      <c r="D19" s="9954">
        <f t="shared" si="0"/>
        <v>1330</v>
      </c>
      <c r="E19" s="10001">
        <f t="shared" si="0"/>
        <v>379194432</v>
      </c>
      <c r="F19" s="10002">
        <f t="shared" si="0"/>
        <v>1329</v>
      </c>
      <c r="G19" s="10003">
        <f t="shared" si="0"/>
        <v>378344508</v>
      </c>
    </row>
    <row r="20" spans="1:8" ht="18" customHeight="1">
      <c r="A20" s="9976"/>
      <c r="B20" s="9979"/>
      <c r="C20" s="10004"/>
      <c r="D20" s="10005"/>
      <c r="E20" s="10004"/>
      <c r="F20" s="10005"/>
      <c r="G20" s="10006"/>
    </row>
    <row r="21" spans="1:8" ht="18" customHeight="1">
      <c r="A21" s="9953" t="s">
        <v>812</v>
      </c>
      <c r="B21" s="9955">
        <v>333</v>
      </c>
      <c r="C21" s="10007">
        <v>94606677</v>
      </c>
      <c r="D21" s="9955">
        <v>337</v>
      </c>
      <c r="E21" s="10007">
        <v>89486748</v>
      </c>
      <c r="F21" s="9979">
        <f>'2019- STAFFING'!O55</f>
        <v>338</v>
      </c>
      <c r="G21" s="10008">
        <f>'2019- STAFFING'!N55</f>
        <v>90336672</v>
      </c>
      <c r="H21" s="6563"/>
    </row>
    <row r="22" spans="1:8" ht="18" customHeight="1" thickBot="1">
      <c r="A22" s="9980"/>
      <c r="B22" s="9981"/>
      <c r="C22" s="10009"/>
      <c r="D22" s="10010"/>
      <c r="E22" s="10009"/>
      <c r="F22" s="10010"/>
      <c r="G22" s="10011"/>
    </row>
    <row r="23" spans="1:8" s="6556" customFormat="1" ht="24.9" customHeight="1" thickBot="1">
      <c r="A23" s="9982" t="s">
        <v>10464</v>
      </c>
      <c r="B23" s="9983">
        <f>SUM(B19:B22)</f>
        <v>1571</v>
      </c>
      <c r="C23" s="10012">
        <f>SUM(C19:C22)</f>
        <v>425130093</v>
      </c>
      <c r="D23" s="9983">
        <f>SUM(D19:D22)</f>
        <v>1667</v>
      </c>
      <c r="E23" s="10012">
        <f>SUM(E19:E22)</f>
        <v>468681180</v>
      </c>
      <c r="F23" s="10013">
        <f>F21+F19</f>
        <v>1667</v>
      </c>
      <c r="G23" s="10014">
        <f>SUM(G19:G21)</f>
        <v>468681180</v>
      </c>
    </row>
    <row r="24" spans="1:8" ht="18" customHeight="1" thickBot="1">
      <c r="A24" s="10015"/>
      <c r="B24" s="10016"/>
      <c r="C24" s="10017"/>
      <c r="D24" s="10016"/>
      <c r="E24" s="10017"/>
      <c r="F24" s="10016"/>
      <c r="G24" s="10018"/>
    </row>
    <row r="25" spans="1:8" ht="18" customHeight="1">
      <c r="A25" s="9984" t="s">
        <v>3160</v>
      </c>
      <c r="B25" s="9978"/>
      <c r="C25" s="9998"/>
      <c r="D25" s="9978"/>
      <c r="E25" s="9998"/>
      <c r="F25" s="9978"/>
      <c r="G25" s="10019"/>
    </row>
    <row r="26" spans="1:8" ht="18" customHeight="1">
      <c r="A26" s="9984"/>
      <c r="B26" s="9978"/>
      <c r="C26" s="9998"/>
      <c r="D26" s="9978"/>
      <c r="E26" s="9998"/>
      <c r="F26" s="9978"/>
      <c r="G26" s="10019"/>
    </row>
    <row r="27" spans="1:8" ht="18" customHeight="1">
      <c r="A27" s="9984" t="s">
        <v>3163</v>
      </c>
      <c r="B27" s="9978"/>
      <c r="C27" s="9998"/>
      <c r="D27" s="9978"/>
      <c r="E27" s="9998"/>
      <c r="F27" s="9978"/>
      <c r="G27" s="10019"/>
    </row>
    <row r="28" spans="1:8" ht="18" customHeight="1">
      <c r="A28" s="9984" t="s">
        <v>3161</v>
      </c>
      <c r="B28" s="9978">
        <v>1</v>
      </c>
      <c r="C28" s="9998">
        <v>772992</v>
      </c>
      <c r="D28" s="9978">
        <v>1</v>
      </c>
      <c r="E28" s="9998">
        <v>1000872</v>
      </c>
      <c r="F28" s="9978">
        <f>'staffing-SP'!B85</f>
        <v>1</v>
      </c>
      <c r="G28" s="9986">
        <f>'staffing-SP'!F85</f>
        <v>1000872</v>
      </c>
    </row>
    <row r="29" spans="1:8" ht="18" customHeight="1">
      <c r="A29" s="9984" t="s">
        <v>3162</v>
      </c>
      <c r="B29" s="9978">
        <v>18</v>
      </c>
      <c r="C29" s="9998">
        <v>3934872</v>
      </c>
      <c r="D29" s="9978">
        <v>18</v>
      </c>
      <c r="E29" s="9998">
        <v>4154328</v>
      </c>
      <c r="F29" s="9978">
        <f>'staffing-SP'!B86</f>
        <v>18</v>
      </c>
      <c r="G29" s="9986">
        <f>'staffing-SP'!F86</f>
        <v>4154328</v>
      </c>
    </row>
    <row r="30" spans="1:8" ht="18" customHeight="1">
      <c r="A30" s="9984"/>
      <c r="B30" s="9978"/>
      <c r="C30" s="9998"/>
      <c r="D30" s="9978"/>
      <c r="E30" s="9998"/>
      <c r="F30" s="9978"/>
      <c r="G30" s="10020"/>
    </row>
    <row r="31" spans="1:8" ht="18" customHeight="1">
      <c r="A31" s="9956" t="s">
        <v>813</v>
      </c>
      <c r="B31" s="10021">
        <f>SUM(B28:B30)</f>
        <v>19</v>
      </c>
      <c r="C31" s="10007">
        <f>SUM(C27:C29)</f>
        <v>4707864</v>
      </c>
      <c r="D31" s="10021">
        <f>SUM(D28:D30)</f>
        <v>19</v>
      </c>
      <c r="E31" s="10007">
        <f>SUM(E27:E29)</f>
        <v>5155200</v>
      </c>
      <c r="F31" s="9955">
        <f>SUM(F28:F29)</f>
        <v>19</v>
      </c>
      <c r="G31" s="10022">
        <f>SUM(G28:G29)</f>
        <v>5155200</v>
      </c>
    </row>
    <row r="32" spans="1:8" ht="18" customHeight="1">
      <c r="A32" s="10023" t="s">
        <v>814</v>
      </c>
      <c r="B32" s="10024"/>
      <c r="C32" s="10024"/>
      <c r="D32" s="10024"/>
      <c r="E32" s="10024"/>
      <c r="F32" s="10024"/>
      <c r="G32" s="10025"/>
    </row>
    <row r="33" spans="1:7" ht="23.25" hidden="1" customHeight="1">
      <c r="A33" s="9984" t="s">
        <v>3162</v>
      </c>
      <c r="B33" s="9978">
        <v>0</v>
      </c>
      <c r="C33" s="9985">
        <v>0</v>
      </c>
      <c r="D33" s="9978">
        <v>0</v>
      </c>
      <c r="E33" s="9985">
        <v>0</v>
      </c>
      <c r="F33" s="9978">
        <v>0</v>
      </c>
      <c r="G33" s="9986">
        <v>0</v>
      </c>
    </row>
    <row r="34" spans="1:7" s="9991" customFormat="1" ht="23.25" customHeight="1" thickBot="1">
      <c r="A34" s="9987"/>
      <c r="B34" s="9988"/>
      <c r="C34" s="9989"/>
      <c r="D34" s="9988"/>
      <c r="E34" s="9989"/>
      <c r="F34" s="9988"/>
      <c r="G34" s="9990"/>
    </row>
    <row r="35" spans="1:7" s="6556" customFormat="1" ht="23.25" customHeight="1" thickBot="1">
      <c r="A35" s="10026" t="s">
        <v>3067</v>
      </c>
      <c r="B35" s="9983">
        <f>SUM(B31:B33)</f>
        <v>19</v>
      </c>
      <c r="C35" s="10012">
        <f>SUM(C31:C33)</f>
        <v>4707864</v>
      </c>
      <c r="D35" s="9983">
        <f>SUM(D31:D33)</f>
        <v>19</v>
      </c>
      <c r="E35" s="10012">
        <f>SUM(E31:E33)</f>
        <v>5155200</v>
      </c>
      <c r="F35" s="9983">
        <f>SUM(F31:F33)</f>
        <v>19</v>
      </c>
      <c r="G35" s="10014">
        <f>G33+G31</f>
        <v>5155200</v>
      </c>
    </row>
    <row r="36" spans="1:7">
      <c r="A36" s="9984"/>
      <c r="B36" s="9978"/>
      <c r="C36" s="9998"/>
      <c r="D36" s="9978"/>
      <c r="E36" s="9998"/>
      <c r="F36" s="9978"/>
      <c r="G36" s="10019"/>
    </row>
    <row r="37" spans="1:7" s="6556" customFormat="1" ht="29.4" thickBot="1">
      <c r="A37" s="9957" t="s">
        <v>815</v>
      </c>
      <c r="B37" s="10027">
        <f t="shared" ref="B37:G37" si="1">B35+B23</f>
        <v>1590</v>
      </c>
      <c r="C37" s="10028">
        <f t="shared" si="1"/>
        <v>429837957</v>
      </c>
      <c r="D37" s="10027">
        <f t="shared" si="1"/>
        <v>1686</v>
      </c>
      <c r="E37" s="10028">
        <f t="shared" si="1"/>
        <v>473836380</v>
      </c>
      <c r="F37" s="10027">
        <f t="shared" si="1"/>
        <v>1686</v>
      </c>
      <c r="G37" s="10029">
        <f t="shared" si="1"/>
        <v>473836380</v>
      </c>
    </row>
    <row r="38" spans="1:7" ht="16.5" customHeight="1"/>
    <row r="39" spans="1:7" s="5652" customFormat="1" ht="16.5" hidden="1" customHeight="1">
      <c r="D39" s="3370" t="s">
        <v>9177</v>
      </c>
    </row>
    <row r="40" spans="1:7" s="9947" customFormat="1" ht="16.5" hidden="1" customHeight="1">
      <c r="D40" s="3371"/>
      <c r="E40" s="3371"/>
      <c r="F40" s="3371"/>
    </row>
    <row r="41" spans="1:7" s="9947" customFormat="1" ht="16.5" hidden="1" customHeight="1">
      <c r="D41" s="3371"/>
      <c r="E41" s="3371"/>
      <c r="F41" s="3371"/>
    </row>
    <row r="42" spans="1:7" s="5652" customFormat="1" ht="16.5" hidden="1" customHeight="1">
      <c r="B42" s="3371"/>
      <c r="C42" s="3371"/>
      <c r="D42" s="13980" t="s">
        <v>10108</v>
      </c>
      <c r="E42" s="13980"/>
      <c r="F42" s="13980"/>
      <c r="G42" s="13980"/>
    </row>
    <row r="43" spans="1:7" s="9995" customFormat="1" ht="16.5" hidden="1" customHeight="1">
      <c r="B43" s="5653"/>
      <c r="C43" s="5653"/>
      <c r="D43" s="13984" t="s">
        <v>10465</v>
      </c>
      <c r="E43" s="13984"/>
      <c r="F43" s="13984"/>
      <c r="G43" s="13984"/>
    </row>
    <row r="44" spans="1:7" s="9992" customFormat="1" ht="16.5" customHeight="1">
      <c r="A44" s="6561"/>
      <c r="B44" s="6561"/>
      <c r="C44" s="6561"/>
      <c r="D44" s="6561"/>
      <c r="E44" s="6561"/>
      <c r="F44" s="6561"/>
      <c r="G44" s="6561"/>
    </row>
    <row r="45" spans="1:7" ht="15.75" customHeight="1"/>
    <row r="46" spans="1:7" ht="15.75" customHeight="1"/>
    <row r="47" spans="1:7" ht="15.75" customHeight="1"/>
    <row r="48" spans="1:7" ht="15.75" customHeight="1"/>
  </sheetData>
  <mergeCells count="7">
    <mergeCell ref="D42:G42"/>
    <mergeCell ref="D43:G43"/>
    <mergeCell ref="A1:G1"/>
    <mergeCell ref="A3:A4"/>
    <mergeCell ref="B3:C3"/>
    <mergeCell ref="D3:E3"/>
    <mergeCell ref="F3:G3"/>
  </mergeCells>
  <pageMargins left="0.5" right="0.25" top="0.5" bottom="1.5" header="0.5" footer="0.25"/>
  <pageSetup paperSize="5" firstPageNumber="406" orientation="portrait" useFirstPageNumber="1" verticalDpi="300" r:id="rId1"/>
  <headerFooter alignWithMargins="0"/>
</worksheet>
</file>

<file path=xl/worksheets/sheet203.xml><?xml version="1.0" encoding="utf-8"?>
<worksheet xmlns="http://schemas.openxmlformats.org/spreadsheetml/2006/main" xmlns:r="http://schemas.openxmlformats.org/officeDocument/2006/relationships">
  <sheetPr codeName="Sheet152">
    <tabColor rgb="FF7030A0"/>
  </sheetPr>
  <dimension ref="A1:I27"/>
  <sheetViews>
    <sheetView topLeftCell="A10" workbookViewId="0">
      <selection activeCell="D123" activeCellId="1" sqref="B115 D123"/>
    </sheetView>
  </sheetViews>
  <sheetFormatPr defaultRowHeight="14.4"/>
  <cols>
    <col min="1" max="1" width="48.88671875" style="6564" customWidth="1"/>
    <col min="2" max="2" width="26.109375" style="6564" customWidth="1"/>
    <col min="3" max="3" width="22" style="6564" customWidth="1"/>
    <col min="4" max="256" width="9.109375" style="6564"/>
    <col min="257" max="257" width="45.88671875" style="6564" customWidth="1"/>
    <col min="258" max="258" width="23.44140625" style="6564" customWidth="1"/>
    <col min="259" max="259" width="20.88671875" style="6564" customWidth="1"/>
    <col min="260" max="512" width="9.109375" style="6564"/>
    <col min="513" max="513" width="45.88671875" style="6564" customWidth="1"/>
    <col min="514" max="514" width="23.44140625" style="6564" customWidth="1"/>
    <col min="515" max="515" width="20.88671875" style="6564" customWidth="1"/>
    <col min="516" max="768" width="9.109375" style="6564"/>
    <col min="769" max="769" width="45.88671875" style="6564" customWidth="1"/>
    <col min="770" max="770" width="23.44140625" style="6564" customWidth="1"/>
    <col min="771" max="771" width="20.88671875" style="6564" customWidth="1"/>
    <col min="772" max="1024" width="9.109375" style="6564"/>
    <col min="1025" max="1025" width="45.88671875" style="6564" customWidth="1"/>
    <col min="1026" max="1026" width="23.44140625" style="6564" customWidth="1"/>
    <col min="1027" max="1027" width="20.88671875" style="6564" customWidth="1"/>
    <col min="1028" max="1280" width="9.109375" style="6564"/>
    <col min="1281" max="1281" width="45.88671875" style="6564" customWidth="1"/>
    <col min="1282" max="1282" width="23.44140625" style="6564" customWidth="1"/>
    <col min="1283" max="1283" width="20.88671875" style="6564" customWidth="1"/>
    <col min="1284" max="1536" width="9.109375" style="6564"/>
    <col min="1537" max="1537" width="45.88671875" style="6564" customWidth="1"/>
    <col min="1538" max="1538" width="23.44140625" style="6564" customWidth="1"/>
    <col min="1539" max="1539" width="20.88671875" style="6564" customWidth="1"/>
    <col min="1540" max="1792" width="9.109375" style="6564"/>
    <col min="1793" max="1793" width="45.88671875" style="6564" customWidth="1"/>
    <col min="1794" max="1794" width="23.44140625" style="6564" customWidth="1"/>
    <col min="1795" max="1795" width="20.88671875" style="6564" customWidth="1"/>
    <col min="1796" max="2048" width="9.109375" style="6564"/>
    <col min="2049" max="2049" width="45.88671875" style="6564" customWidth="1"/>
    <col min="2050" max="2050" width="23.44140625" style="6564" customWidth="1"/>
    <col min="2051" max="2051" width="20.88671875" style="6564" customWidth="1"/>
    <col min="2052" max="2304" width="9.109375" style="6564"/>
    <col min="2305" max="2305" width="45.88671875" style="6564" customWidth="1"/>
    <col min="2306" max="2306" width="23.44140625" style="6564" customWidth="1"/>
    <col min="2307" max="2307" width="20.88671875" style="6564" customWidth="1"/>
    <col min="2308" max="2560" width="9.109375" style="6564"/>
    <col min="2561" max="2561" width="45.88671875" style="6564" customWidth="1"/>
    <col min="2562" max="2562" width="23.44140625" style="6564" customWidth="1"/>
    <col min="2563" max="2563" width="20.88671875" style="6564" customWidth="1"/>
    <col min="2564" max="2816" width="9.109375" style="6564"/>
    <col min="2817" max="2817" width="45.88671875" style="6564" customWidth="1"/>
    <col min="2818" max="2818" width="23.44140625" style="6564" customWidth="1"/>
    <col min="2819" max="2819" width="20.88671875" style="6564" customWidth="1"/>
    <col min="2820" max="3072" width="9.109375" style="6564"/>
    <col min="3073" max="3073" width="45.88671875" style="6564" customWidth="1"/>
    <col min="3074" max="3074" width="23.44140625" style="6564" customWidth="1"/>
    <col min="3075" max="3075" width="20.88671875" style="6564" customWidth="1"/>
    <col min="3076" max="3328" width="9.109375" style="6564"/>
    <col min="3329" max="3329" width="45.88671875" style="6564" customWidth="1"/>
    <col min="3330" max="3330" width="23.44140625" style="6564" customWidth="1"/>
    <col min="3331" max="3331" width="20.88671875" style="6564" customWidth="1"/>
    <col min="3332" max="3584" width="9.109375" style="6564"/>
    <col min="3585" max="3585" width="45.88671875" style="6564" customWidth="1"/>
    <col min="3586" max="3586" width="23.44140625" style="6564" customWidth="1"/>
    <col min="3587" max="3587" width="20.88671875" style="6564" customWidth="1"/>
    <col min="3588" max="3840" width="9.109375" style="6564"/>
    <col min="3841" max="3841" width="45.88671875" style="6564" customWidth="1"/>
    <col min="3842" max="3842" width="23.44140625" style="6564" customWidth="1"/>
    <col min="3843" max="3843" width="20.88671875" style="6564" customWidth="1"/>
    <col min="3844" max="4096" width="9.109375" style="6564"/>
    <col min="4097" max="4097" width="45.88671875" style="6564" customWidth="1"/>
    <col min="4098" max="4098" width="23.44140625" style="6564" customWidth="1"/>
    <col min="4099" max="4099" width="20.88671875" style="6564" customWidth="1"/>
    <col min="4100" max="4352" width="9.109375" style="6564"/>
    <col min="4353" max="4353" width="45.88671875" style="6564" customWidth="1"/>
    <col min="4354" max="4354" width="23.44140625" style="6564" customWidth="1"/>
    <col min="4355" max="4355" width="20.88671875" style="6564" customWidth="1"/>
    <col min="4356" max="4608" width="9.109375" style="6564"/>
    <col min="4609" max="4609" width="45.88671875" style="6564" customWidth="1"/>
    <col min="4610" max="4610" width="23.44140625" style="6564" customWidth="1"/>
    <col min="4611" max="4611" width="20.88671875" style="6564" customWidth="1"/>
    <col min="4612" max="4864" width="9.109375" style="6564"/>
    <col min="4865" max="4865" width="45.88671875" style="6564" customWidth="1"/>
    <col min="4866" max="4866" width="23.44140625" style="6564" customWidth="1"/>
    <col min="4867" max="4867" width="20.88671875" style="6564" customWidth="1"/>
    <col min="4868" max="5120" width="9.109375" style="6564"/>
    <col min="5121" max="5121" width="45.88671875" style="6564" customWidth="1"/>
    <col min="5122" max="5122" width="23.44140625" style="6564" customWidth="1"/>
    <col min="5123" max="5123" width="20.88671875" style="6564" customWidth="1"/>
    <col min="5124" max="5376" width="9.109375" style="6564"/>
    <col min="5377" max="5377" width="45.88671875" style="6564" customWidth="1"/>
    <col min="5378" max="5378" width="23.44140625" style="6564" customWidth="1"/>
    <col min="5379" max="5379" width="20.88671875" style="6564" customWidth="1"/>
    <col min="5380" max="5632" width="9.109375" style="6564"/>
    <col min="5633" max="5633" width="45.88671875" style="6564" customWidth="1"/>
    <col min="5634" max="5634" width="23.44140625" style="6564" customWidth="1"/>
    <col min="5635" max="5635" width="20.88671875" style="6564" customWidth="1"/>
    <col min="5636" max="5888" width="9.109375" style="6564"/>
    <col min="5889" max="5889" width="45.88671875" style="6564" customWidth="1"/>
    <col min="5890" max="5890" width="23.44140625" style="6564" customWidth="1"/>
    <col min="5891" max="5891" width="20.88671875" style="6564" customWidth="1"/>
    <col min="5892" max="6144" width="9.109375" style="6564"/>
    <col min="6145" max="6145" width="45.88671875" style="6564" customWidth="1"/>
    <col min="6146" max="6146" width="23.44140625" style="6564" customWidth="1"/>
    <col min="6147" max="6147" width="20.88671875" style="6564" customWidth="1"/>
    <col min="6148" max="6400" width="9.109375" style="6564"/>
    <col min="6401" max="6401" width="45.88671875" style="6564" customWidth="1"/>
    <col min="6402" max="6402" width="23.44140625" style="6564" customWidth="1"/>
    <col min="6403" max="6403" width="20.88671875" style="6564" customWidth="1"/>
    <col min="6404" max="6656" width="9.109375" style="6564"/>
    <col min="6657" max="6657" width="45.88671875" style="6564" customWidth="1"/>
    <col min="6658" max="6658" width="23.44140625" style="6564" customWidth="1"/>
    <col min="6659" max="6659" width="20.88671875" style="6564" customWidth="1"/>
    <col min="6660" max="6912" width="9.109375" style="6564"/>
    <col min="6913" max="6913" width="45.88671875" style="6564" customWidth="1"/>
    <col min="6914" max="6914" width="23.44140625" style="6564" customWidth="1"/>
    <col min="6915" max="6915" width="20.88671875" style="6564" customWidth="1"/>
    <col min="6916" max="7168" width="9.109375" style="6564"/>
    <col min="7169" max="7169" width="45.88671875" style="6564" customWidth="1"/>
    <col min="7170" max="7170" width="23.44140625" style="6564" customWidth="1"/>
    <col min="7171" max="7171" width="20.88671875" style="6564" customWidth="1"/>
    <col min="7172" max="7424" width="9.109375" style="6564"/>
    <col min="7425" max="7425" width="45.88671875" style="6564" customWidth="1"/>
    <col min="7426" max="7426" width="23.44140625" style="6564" customWidth="1"/>
    <col min="7427" max="7427" width="20.88671875" style="6564" customWidth="1"/>
    <col min="7428" max="7680" width="9.109375" style="6564"/>
    <col min="7681" max="7681" width="45.88671875" style="6564" customWidth="1"/>
    <col min="7682" max="7682" width="23.44140625" style="6564" customWidth="1"/>
    <col min="7683" max="7683" width="20.88671875" style="6564" customWidth="1"/>
    <col min="7684" max="7936" width="9.109375" style="6564"/>
    <col min="7937" max="7937" width="45.88671875" style="6564" customWidth="1"/>
    <col min="7938" max="7938" width="23.44140625" style="6564" customWidth="1"/>
    <col min="7939" max="7939" width="20.88671875" style="6564" customWidth="1"/>
    <col min="7940" max="8192" width="9.109375" style="6564"/>
    <col min="8193" max="8193" width="45.88671875" style="6564" customWidth="1"/>
    <col min="8194" max="8194" width="23.44140625" style="6564" customWidth="1"/>
    <col min="8195" max="8195" width="20.88671875" style="6564" customWidth="1"/>
    <col min="8196" max="8448" width="9.109375" style="6564"/>
    <col min="8449" max="8449" width="45.88671875" style="6564" customWidth="1"/>
    <col min="8450" max="8450" width="23.44140625" style="6564" customWidth="1"/>
    <col min="8451" max="8451" width="20.88671875" style="6564" customWidth="1"/>
    <col min="8452" max="8704" width="9.109375" style="6564"/>
    <col min="8705" max="8705" width="45.88671875" style="6564" customWidth="1"/>
    <col min="8706" max="8706" width="23.44140625" style="6564" customWidth="1"/>
    <col min="8707" max="8707" width="20.88671875" style="6564" customWidth="1"/>
    <col min="8708" max="8960" width="9.109375" style="6564"/>
    <col min="8961" max="8961" width="45.88671875" style="6564" customWidth="1"/>
    <col min="8962" max="8962" width="23.44140625" style="6564" customWidth="1"/>
    <col min="8963" max="8963" width="20.88671875" style="6564" customWidth="1"/>
    <col min="8964" max="9216" width="9.109375" style="6564"/>
    <col min="9217" max="9217" width="45.88671875" style="6564" customWidth="1"/>
    <col min="9218" max="9218" width="23.44140625" style="6564" customWidth="1"/>
    <col min="9219" max="9219" width="20.88671875" style="6564" customWidth="1"/>
    <col min="9220" max="9472" width="9.109375" style="6564"/>
    <col min="9473" max="9473" width="45.88671875" style="6564" customWidth="1"/>
    <col min="9474" max="9474" width="23.44140625" style="6564" customWidth="1"/>
    <col min="9475" max="9475" width="20.88671875" style="6564" customWidth="1"/>
    <col min="9476" max="9728" width="9.109375" style="6564"/>
    <col min="9729" max="9729" width="45.88671875" style="6564" customWidth="1"/>
    <col min="9730" max="9730" width="23.44140625" style="6564" customWidth="1"/>
    <col min="9731" max="9731" width="20.88671875" style="6564" customWidth="1"/>
    <col min="9732" max="9984" width="9.109375" style="6564"/>
    <col min="9985" max="9985" width="45.88671875" style="6564" customWidth="1"/>
    <col min="9986" max="9986" width="23.44140625" style="6564" customWidth="1"/>
    <col min="9987" max="9987" width="20.88671875" style="6564" customWidth="1"/>
    <col min="9988" max="10240" width="9.109375" style="6564"/>
    <col min="10241" max="10241" width="45.88671875" style="6564" customWidth="1"/>
    <col min="10242" max="10242" width="23.44140625" style="6564" customWidth="1"/>
    <col min="10243" max="10243" width="20.88671875" style="6564" customWidth="1"/>
    <col min="10244" max="10496" width="9.109375" style="6564"/>
    <col min="10497" max="10497" width="45.88671875" style="6564" customWidth="1"/>
    <col min="10498" max="10498" width="23.44140625" style="6564" customWidth="1"/>
    <col min="10499" max="10499" width="20.88671875" style="6564" customWidth="1"/>
    <col min="10500" max="10752" width="9.109375" style="6564"/>
    <col min="10753" max="10753" width="45.88671875" style="6564" customWidth="1"/>
    <col min="10754" max="10754" width="23.44140625" style="6564" customWidth="1"/>
    <col min="10755" max="10755" width="20.88671875" style="6564" customWidth="1"/>
    <col min="10756" max="11008" width="9.109375" style="6564"/>
    <col min="11009" max="11009" width="45.88671875" style="6564" customWidth="1"/>
    <col min="11010" max="11010" width="23.44140625" style="6564" customWidth="1"/>
    <col min="11011" max="11011" width="20.88671875" style="6564" customWidth="1"/>
    <col min="11012" max="11264" width="9.109375" style="6564"/>
    <col min="11265" max="11265" width="45.88671875" style="6564" customWidth="1"/>
    <col min="11266" max="11266" width="23.44140625" style="6564" customWidth="1"/>
    <col min="11267" max="11267" width="20.88671875" style="6564" customWidth="1"/>
    <col min="11268" max="11520" width="9.109375" style="6564"/>
    <col min="11521" max="11521" width="45.88671875" style="6564" customWidth="1"/>
    <col min="11522" max="11522" width="23.44140625" style="6564" customWidth="1"/>
    <col min="11523" max="11523" width="20.88671875" style="6564" customWidth="1"/>
    <col min="11524" max="11776" width="9.109375" style="6564"/>
    <col min="11777" max="11777" width="45.88671875" style="6564" customWidth="1"/>
    <col min="11778" max="11778" width="23.44140625" style="6564" customWidth="1"/>
    <col min="11779" max="11779" width="20.88671875" style="6564" customWidth="1"/>
    <col min="11780" max="12032" width="9.109375" style="6564"/>
    <col min="12033" max="12033" width="45.88671875" style="6564" customWidth="1"/>
    <col min="12034" max="12034" width="23.44140625" style="6564" customWidth="1"/>
    <col min="12035" max="12035" width="20.88671875" style="6564" customWidth="1"/>
    <col min="12036" max="12288" width="9.109375" style="6564"/>
    <col min="12289" max="12289" width="45.88671875" style="6564" customWidth="1"/>
    <col min="12290" max="12290" width="23.44140625" style="6564" customWidth="1"/>
    <col min="12291" max="12291" width="20.88671875" style="6564" customWidth="1"/>
    <col min="12292" max="12544" width="9.109375" style="6564"/>
    <col min="12545" max="12545" width="45.88671875" style="6564" customWidth="1"/>
    <col min="12546" max="12546" width="23.44140625" style="6564" customWidth="1"/>
    <col min="12547" max="12547" width="20.88671875" style="6564" customWidth="1"/>
    <col min="12548" max="12800" width="9.109375" style="6564"/>
    <col min="12801" max="12801" width="45.88671875" style="6564" customWidth="1"/>
    <col min="12802" max="12802" width="23.44140625" style="6564" customWidth="1"/>
    <col min="12803" max="12803" width="20.88671875" style="6564" customWidth="1"/>
    <col min="12804" max="13056" width="9.109375" style="6564"/>
    <col min="13057" max="13057" width="45.88671875" style="6564" customWidth="1"/>
    <col min="13058" max="13058" width="23.44140625" style="6564" customWidth="1"/>
    <col min="13059" max="13059" width="20.88671875" style="6564" customWidth="1"/>
    <col min="13060" max="13312" width="9.109375" style="6564"/>
    <col min="13313" max="13313" width="45.88671875" style="6564" customWidth="1"/>
    <col min="13314" max="13314" width="23.44140625" style="6564" customWidth="1"/>
    <col min="13315" max="13315" width="20.88671875" style="6564" customWidth="1"/>
    <col min="13316" max="13568" width="9.109375" style="6564"/>
    <col min="13569" max="13569" width="45.88671875" style="6564" customWidth="1"/>
    <col min="13570" max="13570" width="23.44140625" style="6564" customWidth="1"/>
    <col min="13571" max="13571" width="20.88671875" style="6564" customWidth="1"/>
    <col min="13572" max="13824" width="9.109375" style="6564"/>
    <col min="13825" max="13825" width="45.88671875" style="6564" customWidth="1"/>
    <col min="13826" max="13826" width="23.44140625" style="6564" customWidth="1"/>
    <col min="13827" max="13827" width="20.88671875" style="6564" customWidth="1"/>
    <col min="13828" max="14080" width="9.109375" style="6564"/>
    <col min="14081" max="14081" width="45.88671875" style="6564" customWidth="1"/>
    <col min="14082" max="14082" width="23.44140625" style="6564" customWidth="1"/>
    <col min="14083" max="14083" width="20.88671875" style="6564" customWidth="1"/>
    <col min="14084" max="14336" width="9.109375" style="6564"/>
    <col min="14337" max="14337" width="45.88671875" style="6564" customWidth="1"/>
    <col min="14338" max="14338" width="23.44140625" style="6564" customWidth="1"/>
    <col min="14339" max="14339" width="20.88671875" style="6564" customWidth="1"/>
    <col min="14340" max="14592" width="9.109375" style="6564"/>
    <col min="14593" max="14593" width="45.88671875" style="6564" customWidth="1"/>
    <col min="14594" max="14594" width="23.44140625" style="6564" customWidth="1"/>
    <col min="14595" max="14595" width="20.88671875" style="6564" customWidth="1"/>
    <col min="14596" max="14848" width="9.109375" style="6564"/>
    <col min="14849" max="14849" width="45.88671875" style="6564" customWidth="1"/>
    <col min="14850" max="14850" width="23.44140625" style="6564" customWidth="1"/>
    <col min="14851" max="14851" width="20.88671875" style="6564" customWidth="1"/>
    <col min="14852" max="15104" width="9.109375" style="6564"/>
    <col min="15105" max="15105" width="45.88671875" style="6564" customWidth="1"/>
    <col min="15106" max="15106" width="23.44140625" style="6564" customWidth="1"/>
    <col min="15107" max="15107" width="20.88671875" style="6564" customWidth="1"/>
    <col min="15108" max="15360" width="9.109375" style="6564"/>
    <col min="15361" max="15361" width="45.88671875" style="6564" customWidth="1"/>
    <col min="15362" max="15362" width="23.44140625" style="6564" customWidth="1"/>
    <col min="15363" max="15363" width="20.88671875" style="6564" customWidth="1"/>
    <col min="15364" max="15616" width="9.109375" style="6564"/>
    <col min="15617" max="15617" width="45.88671875" style="6564" customWidth="1"/>
    <col min="15618" max="15618" width="23.44140625" style="6564" customWidth="1"/>
    <col min="15619" max="15619" width="20.88671875" style="6564" customWidth="1"/>
    <col min="15620" max="15872" width="9.109375" style="6564"/>
    <col min="15873" max="15873" width="45.88671875" style="6564" customWidth="1"/>
    <col min="15874" max="15874" width="23.44140625" style="6564" customWidth="1"/>
    <col min="15875" max="15875" width="20.88671875" style="6564" customWidth="1"/>
    <col min="15876" max="16128" width="9.109375" style="6564"/>
    <col min="16129" max="16129" width="45.88671875" style="6564" customWidth="1"/>
    <col min="16130" max="16130" width="23.44140625" style="6564" customWidth="1"/>
    <col min="16131" max="16131" width="20.88671875" style="6564" customWidth="1"/>
    <col min="16132" max="16384" width="9.109375" style="6564"/>
  </cols>
  <sheetData>
    <row r="1" spans="1:3" ht="18" customHeight="1"/>
    <row r="2" spans="1:3">
      <c r="A2" s="15461" t="s">
        <v>816</v>
      </c>
      <c r="B2" s="15461"/>
      <c r="C2" s="15461"/>
    </row>
    <row r="3" spans="1:3">
      <c r="A3" s="15461" t="s">
        <v>817</v>
      </c>
      <c r="B3" s="15461"/>
      <c r="C3" s="15461"/>
    </row>
    <row r="4" spans="1:3" ht="29.25" customHeight="1" thickBot="1">
      <c r="A4" s="15470"/>
      <c r="B4" s="15470"/>
      <c r="C4" s="15470"/>
    </row>
    <row r="5" spans="1:3" s="6573" customFormat="1">
      <c r="A5" s="6570" t="s">
        <v>460</v>
      </c>
      <c r="B5" s="6571" t="s">
        <v>818</v>
      </c>
      <c r="C5" s="6572" t="s">
        <v>819</v>
      </c>
    </row>
    <row r="6" spans="1:3" s="6606" customFormat="1">
      <c r="A6" s="6603">
        <v>1</v>
      </c>
      <c r="B6" s="6604">
        <v>2</v>
      </c>
      <c r="C6" s="6605">
        <v>3</v>
      </c>
    </row>
    <row r="7" spans="1:3" s="6577" customFormat="1" ht="36.75" customHeight="1">
      <c r="A7" s="6574" t="s">
        <v>820</v>
      </c>
      <c r="B7" s="6575"/>
      <c r="C7" s="6576"/>
    </row>
    <row r="8" spans="1:3">
      <c r="A8" s="6578" t="s">
        <v>4834</v>
      </c>
      <c r="B8" s="6579" t="s">
        <v>821</v>
      </c>
      <c r="C8" s="6580">
        <f>summary!C56+summary!C55</f>
        <v>29729493.324999772</v>
      </c>
    </row>
    <row r="9" spans="1:3">
      <c r="A9" s="6578"/>
      <c r="B9" s="6581"/>
      <c r="C9" s="6580"/>
    </row>
    <row r="10" spans="1:3" s="6533" customFormat="1" ht="18" customHeight="1">
      <c r="A10" s="6582" t="s">
        <v>822</v>
      </c>
      <c r="B10" s="6583" t="s">
        <v>10466</v>
      </c>
      <c r="C10" s="6584">
        <f>B11*20%</f>
        <v>481068576.20000005</v>
      </c>
    </row>
    <row r="11" spans="1:3" ht="20.25" customHeight="1">
      <c r="A11" s="6578"/>
      <c r="B11" s="6585">
        <f>'LGBRPS-2'!L19</f>
        <v>2405342881</v>
      </c>
      <c r="C11" s="6586"/>
    </row>
    <row r="12" spans="1:3" s="6561" customFormat="1" ht="28.5" customHeight="1">
      <c r="A12" s="6587" t="s">
        <v>823</v>
      </c>
      <c r="B12" s="6588"/>
      <c r="C12" s="6589"/>
    </row>
    <row r="13" spans="1:3" ht="23.25" customHeight="1">
      <c r="A13" s="6578" t="s">
        <v>824</v>
      </c>
      <c r="B13" s="6590" t="s">
        <v>4833</v>
      </c>
      <c r="C13" s="6580">
        <f>B14*20%+0.4</f>
        <v>404379576.60000002</v>
      </c>
    </row>
    <row r="14" spans="1:3" ht="23.25" customHeight="1">
      <c r="A14" s="6591"/>
      <c r="B14" s="6592">
        <f>'BESF Table 1'!L67</f>
        <v>2021897881</v>
      </c>
      <c r="C14" s="6593"/>
    </row>
    <row r="15" spans="1:3" s="6533" customFormat="1" ht="21.75" customHeight="1">
      <c r="A15" s="6582" t="s">
        <v>825</v>
      </c>
      <c r="B15" s="6594" t="s">
        <v>3159</v>
      </c>
      <c r="C15" s="6595">
        <f>summary!J62</f>
        <v>120267144.05000001</v>
      </c>
    </row>
    <row r="16" spans="1:3" ht="20.25" customHeight="1">
      <c r="A16" s="6591"/>
      <c r="B16" s="6596">
        <f>B11</f>
        <v>2405342881</v>
      </c>
      <c r="C16" s="6580"/>
    </row>
    <row r="17" spans="1:9">
      <c r="A17" s="6578" t="s">
        <v>826</v>
      </c>
      <c r="B17" s="6579" t="s">
        <v>827</v>
      </c>
      <c r="C17" s="6580">
        <f>summary!J63</f>
        <v>22180000</v>
      </c>
    </row>
    <row r="18" spans="1:9" ht="25.5" customHeight="1">
      <c r="A18" s="6597" t="s">
        <v>10467</v>
      </c>
      <c r="B18" s="6598" t="s">
        <v>9</v>
      </c>
      <c r="C18" s="6586"/>
    </row>
    <row r="19" spans="1:9" s="6556" customFormat="1" ht="29.25" customHeight="1" thickBot="1">
      <c r="A19" s="6599" t="s">
        <v>220</v>
      </c>
      <c r="B19" s="6600"/>
      <c r="C19" s="6601">
        <f>SUM(C8:C18)</f>
        <v>1057624790.1749997</v>
      </c>
    </row>
    <row r="20" spans="1:9" ht="16.5" customHeight="1">
      <c r="A20" s="6602" t="s">
        <v>9</v>
      </c>
    </row>
    <row r="21" spans="1:9" s="2665" customFormat="1" ht="16.5" hidden="1" customHeight="1">
      <c r="A21" s="6505" t="s">
        <v>9177</v>
      </c>
      <c r="B21" s="2665" t="s">
        <v>3485</v>
      </c>
    </row>
    <row r="22" spans="1:9" s="6504" customFormat="1" ht="16.5" hidden="1" customHeight="1">
      <c r="A22" s="2662"/>
      <c r="B22" s="2662"/>
      <c r="E22" s="2662"/>
      <c r="F22" s="2662"/>
    </row>
    <row r="23" spans="1:9" s="6504" customFormat="1" ht="16.5" hidden="1" customHeight="1">
      <c r="A23" s="2662"/>
      <c r="B23" s="2662"/>
      <c r="E23" s="2662"/>
      <c r="F23" s="2662"/>
    </row>
    <row r="24" spans="1:9" s="2663" customFormat="1" ht="16.5" hidden="1" customHeight="1">
      <c r="A24" s="6229" t="s">
        <v>10107</v>
      </c>
      <c r="B24" s="15459" t="s">
        <v>5182</v>
      </c>
      <c r="C24" s="15459"/>
      <c r="D24" s="2662"/>
      <c r="E24" s="2662"/>
    </row>
    <row r="25" spans="1:9" s="2667" customFormat="1" ht="16.5" hidden="1" customHeight="1">
      <c r="A25" s="6506" t="s">
        <v>10468</v>
      </c>
      <c r="B25" s="15462" t="s">
        <v>737</v>
      </c>
      <c r="C25" s="15462"/>
      <c r="D25" s="2666"/>
      <c r="E25" s="2666"/>
      <c r="H25" s="2666"/>
      <c r="I25" s="2666"/>
    </row>
    <row r="26" spans="1:9" s="6602" customFormat="1" ht="16.5" customHeight="1">
      <c r="B26" s="15471"/>
      <c r="C26" s="15471"/>
    </row>
    <row r="27" spans="1:9" ht="18.75" customHeight="1"/>
  </sheetData>
  <mergeCells count="6">
    <mergeCell ref="A2:C2"/>
    <mergeCell ref="A3:C3"/>
    <mergeCell ref="A4:C4"/>
    <mergeCell ref="B26:C26"/>
    <mergeCell ref="B24:C24"/>
    <mergeCell ref="B25:C25"/>
  </mergeCells>
  <printOptions horizontalCentered="1"/>
  <pageMargins left="0.5" right="0.25" top="0.5" bottom="1.5" header="0.5" footer="0.25"/>
  <pageSetup paperSize="5" firstPageNumber="407" orientation="portrait" useFirstPageNumber="1" verticalDpi="300" r:id="rId1"/>
  <headerFooter alignWithMargins="0"/>
</worksheet>
</file>

<file path=xl/worksheets/sheet204.xml><?xml version="1.0" encoding="utf-8"?>
<worksheet xmlns="http://schemas.openxmlformats.org/spreadsheetml/2006/main" xmlns:r="http://schemas.openxmlformats.org/officeDocument/2006/relationships">
  <sheetPr codeName="Sheet153">
    <tabColor rgb="FF7030A0"/>
  </sheetPr>
  <dimension ref="A1:O35"/>
  <sheetViews>
    <sheetView topLeftCell="B1" workbookViewId="0">
      <selection activeCell="A26" sqref="A26:XFD31"/>
    </sheetView>
  </sheetViews>
  <sheetFormatPr defaultRowHeight="13.8"/>
  <cols>
    <col min="1" max="1" width="23.44140625" style="8422" customWidth="1"/>
    <col min="2" max="2" width="13.88671875" style="8467" customWidth="1"/>
    <col min="3" max="3" width="6.44140625" style="8438" customWidth="1"/>
    <col min="4" max="4" width="14.109375" style="8422" customWidth="1"/>
    <col min="5" max="5" width="18.109375" style="8422" customWidth="1"/>
    <col min="6" max="6" width="13.109375" style="8422" customWidth="1"/>
    <col min="7" max="7" width="13.88671875" style="8422" customWidth="1"/>
    <col min="8" max="8" width="14.33203125" style="8427" customWidth="1"/>
    <col min="9" max="10" width="13.44140625" style="8422" customWidth="1"/>
    <col min="11" max="11" width="13.109375" style="8427" customWidth="1"/>
    <col min="12" max="12" width="11.44140625" style="8422" hidden="1" customWidth="1"/>
    <col min="13" max="13" width="15" style="8423" customWidth="1"/>
    <col min="14" max="14" width="1.44140625" style="8422" hidden="1" customWidth="1"/>
    <col min="15" max="257" width="9.109375" style="8422"/>
    <col min="258" max="258" width="18.109375" style="8422" customWidth="1"/>
    <col min="259" max="259" width="10.109375" style="8422" customWidth="1"/>
    <col min="260" max="260" width="4.44140625" style="8422" customWidth="1"/>
    <col min="261" max="261" width="13.109375" style="8422" customWidth="1"/>
    <col min="262" max="262" width="12.88671875" style="8422" customWidth="1"/>
    <col min="263" max="264" width="11.44140625" style="8422" customWidth="1"/>
    <col min="265" max="265" width="12.44140625" style="8422" customWidth="1"/>
    <col min="266" max="266" width="11.88671875" style="8422" customWidth="1"/>
    <col min="267" max="267" width="11.44140625" style="8422" customWidth="1"/>
    <col min="268" max="268" width="12.109375" style="8422" customWidth="1"/>
    <col min="269" max="269" width="12.44140625" style="8422" customWidth="1"/>
    <col min="270" max="270" width="14.44140625" style="8422" customWidth="1"/>
    <col min="271" max="513" width="9.109375" style="8422"/>
    <col min="514" max="514" width="18.109375" style="8422" customWidth="1"/>
    <col min="515" max="515" width="10.109375" style="8422" customWidth="1"/>
    <col min="516" max="516" width="4.44140625" style="8422" customWidth="1"/>
    <col min="517" max="517" width="13.109375" style="8422" customWidth="1"/>
    <col min="518" max="518" width="12.88671875" style="8422" customWidth="1"/>
    <col min="519" max="520" width="11.44140625" style="8422" customWidth="1"/>
    <col min="521" max="521" width="12.44140625" style="8422" customWidth="1"/>
    <col min="522" max="522" width="11.88671875" style="8422" customWidth="1"/>
    <col min="523" max="523" width="11.44140625" style="8422" customWidth="1"/>
    <col min="524" max="524" width="12.109375" style="8422" customWidth="1"/>
    <col min="525" max="525" width="12.44140625" style="8422" customWidth="1"/>
    <col min="526" max="526" width="14.44140625" style="8422" customWidth="1"/>
    <col min="527" max="769" width="9.109375" style="8422"/>
    <col min="770" max="770" width="18.109375" style="8422" customWidth="1"/>
    <col min="771" max="771" width="10.109375" style="8422" customWidth="1"/>
    <col min="772" max="772" width="4.44140625" style="8422" customWidth="1"/>
    <col min="773" max="773" width="13.109375" style="8422" customWidth="1"/>
    <col min="774" max="774" width="12.88671875" style="8422" customWidth="1"/>
    <col min="775" max="776" width="11.44140625" style="8422" customWidth="1"/>
    <col min="777" max="777" width="12.44140625" style="8422" customWidth="1"/>
    <col min="778" max="778" width="11.88671875" style="8422" customWidth="1"/>
    <col min="779" max="779" width="11.44140625" style="8422" customWidth="1"/>
    <col min="780" max="780" width="12.109375" style="8422" customWidth="1"/>
    <col min="781" max="781" width="12.44140625" style="8422" customWidth="1"/>
    <col min="782" max="782" width="14.44140625" style="8422" customWidth="1"/>
    <col min="783" max="1025" width="9.109375" style="8422"/>
    <col min="1026" max="1026" width="18.109375" style="8422" customWidth="1"/>
    <col min="1027" max="1027" width="10.109375" style="8422" customWidth="1"/>
    <col min="1028" max="1028" width="4.44140625" style="8422" customWidth="1"/>
    <col min="1029" max="1029" width="13.109375" style="8422" customWidth="1"/>
    <col min="1030" max="1030" width="12.88671875" style="8422" customWidth="1"/>
    <col min="1031" max="1032" width="11.44140625" style="8422" customWidth="1"/>
    <col min="1033" max="1033" width="12.44140625" style="8422" customWidth="1"/>
    <col min="1034" max="1034" width="11.88671875" style="8422" customWidth="1"/>
    <col min="1035" max="1035" width="11.44140625" style="8422" customWidth="1"/>
    <col min="1036" max="1036" width="12.109375" style="8422" customWidth="1"/>
    <col min="1037" max="1037" width="12.44140625" style="8422" customWidth="1"/>
    <col min="1038" max="1038" width="14.44140625" style="8422" customWidth="1"/>
    <col min="1039" max="1281" width="9.109375" style="8422"/>
    <col min="1282" max="1282" width="18.109375" style="8422" customWidth="1"/>
    <col min="1283" max="1283" width="10.109375" style="8422" customWidth="1"/>
    <col min="1284" max="1284" width="4.44140625" style="8422" customWidth="1"/>
    <col min="1285" max="1285" width="13.109375" style="8422" customWidth="1"/>
    <col min="1286" max="1286" width="12.88671875" style="8422" customWidth="1"/>
    <col min="1287" max="1288" width="11.44140625" style="8422" customWidth="1"/>
    <col min="1289" max="1289" width="12.44140625" style="8422" customWidth="1"/>
    <col min="1290" max="1290" width="11.88671875" style="8422" customWidth="1"/>
    <col min="1291" max="1291" width="11.44140625" style="8422" customWidth="1"/>
    <col min="1292" max="1292" width="12.109375" style="8422" customWidth="1"/>
    <col min="1293" max="1293" width="12.44140625" style="8422" customWidth="1"/>
    <col min="1294" max="1294" width="14.44140625" style="8422" customWidth="1"/>
    <col min="1295" max="1537" width="9.109375" style="8422"/>
    <col min="1538" max="1538" width="18.109375" style="8422" customWidth="1"/>
    <col min="1539" max="1539" width="10.109375" style="8422" customWidth="1"/>
    <col min="1540" max="1540" width="4.44140625" style="8422" customWidth="1"/>
    <col min="1541" max="1541" width="13.109375" style="8422" customWidth="1"/>
    <col min="1542" max="1542" width="12.88671875" style="8422" customWidth="1"/>
    <col min="1543" max="1544" width="11.44140625" style="8422" customWidth="1"/>
    <col min="1545" max="1545" width="12.44140625" style="8422" customWidth="1"/>
    <col min="1546" max="1546" width="11.88671875" style="8422" customWidth="1"/>
    <col min="1547" max="1547" width="11.44140625" style="8422" customWidth="1"/>
    <col min="1548" max="1548" width="12.109375" style="8422" customWidth="1"/>
    <col min="1549" max="1549" width="12.44140625" style="8422" customWidth="1"/>
    <col min="1550" max="1550" width="14.44140625" style="8422" customWidth="1"/>
    <col min="1551" max="1793" width="9.109375" style="8422"/>
    <col min="1794" max="1794" width="18.109375" style="8422" customWidth="1"/>
    <col min="1795" max="1795" width="10.109375" style="8422" customWidth="1"/>
    <col min="1796" max="1796" width="4.44140625" style="8422" customWidth="1"/>
    <col min="1797" max="1797" width="13.109375" style="8422" customWidth="1"/>
    <col min="1798" max="1798" width="12.88671875" style="8422" customWidth="1"/>
    <col min="1799" max="1800" width="11.44140625" style="8422" customWidth="1"/>
    <col min="1801" max="1801" width="12.44140625" style="8422" customWidth="1"/>
    <col min="1802" max="1802" width="11.88671875" style="8422" customWidth="1"/>
    <col min="1803" max="1803" width="11.44140625" style="8422" customWidth="1"/>
    <col min="1804" max="1804" width="12.109375" style="8422" customWidth="1"/>
    <col min="1805" max="1805" width="12.44140625" style="8422" customWidth="1"/>
    <col min="1806" max="1806" width="14.44140625" style="8422" customWidth="1"/>
    <col min="1807" max="2049" width="9.109375" style="8422"/>
    <col min="2050" max="2050" width="18.109375" style="8422" customWidth="1"/>
    <col min="2051" max="2051" width="10.109375" style="8422" customWidth="1"/>
    <col min="2052" max="2052" width="4.44140625" style="8422" customWidth="1"/>
    <col min="2053" max="2053" width="13.109375" style="8422" customWidth="1"/>
    <col min="2054" max="2054" width="12.88671875" style="8422" customWidth="1"/>
    <col min="2055" max="2056" width="11.44140625" style="8422" customWidth="1"/>
    <col min="2057" max="2057" width="12.44140625" style="8422" customWidth="1"/>
    <col min="2058" max="2058" width="11.88671875" style="8422" customWidth="1"/>
    <col min="2059" max="2059" width="11.44140625" style="8422" customWidth="1"/>
    <col min="2060" max="2060" width="12.109375" style="8422" customWidth="1"/>
    <col min="2061" max="2061" width="12.44140625" style="8422" customWidth="1"/>
    <col min="2062" max="2062" width="14.44140625" style="8422" customWidth="1"/>
    <col min="2063" max="2305" width="9.109375" style="8422"/>
    <col min="2306" max="2306" width="18.109375" style="8422" customWidth="1"/>
    <col min="2307" max="2307" width="10.109375" style="8422" customWidth="1"/>
    <col min="2308" max="2308" width="4.44140625" style="8422" customWidth="1"/>
    <col min="2309" max="2309" width="13.109375" style="8422" customWidth="1"/>
    <col min="2310" max="2310" width="12.88671875" style="8422" customWidth="1"/>
    <col min="2311" max="2312" width="11.44140625" style="8422" customWidth="1"/>
    <col min="2313" max="2313" width="12.44140625" style="8422" customWidth="1"/>
    <col min="2314" max="2314" width="11.88671875" style="8422" customWidth="1"/>
    <col min="2315" max="2315" width="11.44140625" style="8422" customWidth="1"/>
    <col min="2316" max="2316" width="12.109375" style="8422" customWidth="1"/>
    <col min="2317" max="2317" width="12.44140625" style="8422" customWidth="1"/>
    <col min="2318" max="2318" width="14.44140625" style="8422" customWidth="1"/>
    <col min="2319" max="2561" width="9.109375" style="8422"/>
    <col min="2562" max="2562" width="18.109375" style="8422" customWidth="1"/>
    <col min="2563" max="2563" width="10.109375" style="8422" customWidth="1"/>
    <col min="2564" max="2564" width="4.44140625" style="8422" customWidth="1"/>
    <col min="2565" max="2565" width="13.109375" style="8422" customWidth="1"/>
    <col min="2566" max="2566" width="12.88671875" style="8422" customWidth="1"/>
    <col min="2567" max="2568" width="11.44140625" style="8422" customWidth="1"/>
    <col min="2569" max="2569" width="12.44140625" style="8422" customWidth="1"/>
    <col min="2570" max="2570" width="11.88671875" style="8422" customWidth="1"/>
    <col min="2571" max="2571" width="11.44140625" style="8422" customWidth="1"/>
    <col min="2572" max="2572" width="12.109375" style="8422" customWidth="1"/>
    <col min="2573" max="2573" width="12.44140625" style="8422" customWidth="1"/>
    <col min="2574" max="2574" width="14.44140625" style="8422" customWidth="1"/>
    <col min="2575" max="2817" width="9.109375" style="8422"/>
    <col min="2818" max="2818" width="18.109375" style="8422" customWidth="1"/>
    <col min="2819" max="2819" width="10.109375" style="8422" customWidth="1"/>
    <col min="2820" max="2820" width="4.44140625" style="8422" customWidth="1"/>
    <col min="2821" max="2821" width="13.109375" style="8422" customWidth="1"/>
    <col min="2822" max="2822" width="12.88671875" style="8422" customWidth="1"/>
    <col min="2823" max="2824" width="11.44140625" style="8422" customWidth="1"/>
    <col min="2825" max="2825" width="12.44140625" style="8422" customWidth="1"/>
    <col min="2826" max="2826" width="11.88671875" style="8422" customWidth="1"/>
    <col min="2827" max="2827" width="11.44140625" style="8422" customWidth="1"/>
    <col min="2828" max="2828" width="12.109375" style="8422" customWidth="1"/>
    <col min="2829" max="2829" width="12.44140625" style="8422" customWidth="1"/>
    <col min="2830" max="2830" width="14.44140625" style="8422" customWidth="1"/>
    <col min="2831" max="3073" width="9.109375" style="8422"/>
    <col min="3074" max="3074" width="18.109375" style="8422" customWidth="1"/>
    <col min="3075" max="3075" width="10.109375" style="8422" customWidth="1"/>
    <col min="3076" max="3076" width="4.44140625" style="8422" customWidth="1"/>
    <col min="3077" max="3077" width="13.109375" style="8422" customWidth="1"/>
    <col min="3078" max="3078" width="12.88671875" style="8422" customWidth="1"/>
    <col min="3079" max="3080" width="11.44140625" style="8422" customWidth="1"/>
    <col min="3081" max="3081" width="12.44140625" style="8422" customWidth="1"/>
    <col min="3082" max="3082" width="11.88671875" style="8422" customWidth="1"/>
    <col min="3083" max="3083" width="11.44140625" style="8422" customWidth="1"/>
    <col min="3084" max="3084" width="12.109375" style="8422" customWidth="1"/>
    <col min="3085" max="3085" width="12.44140625" style="8422" customWidth="1"/>
    <col min="3086" max="3086" width="14.44140625" style="8422" customWidth="1"/>
    <col min="3087" max="3329" width="9.109375" style="8422"/>
    <col min="3330" max="3330" width="18.109375" style="8422" customWidth="1"/>
    <col min="3331" max="3331" width="10.109375" style="8422" customWidth="1"/>
    <col min="3332" max="3332" width="4.44140625" style="8422" customWidth="1"/>
    <col min="3333" max="3333" width="13.109375" style="8422" customWidth="1"/>
    <col min="3334" max="3334" width="12.88671875" style="8422" customWidth="1"/>
    <col min="3335" max="3336" width="11.44140625" style="8422" customWidth="1"/>
    <col min="3337" max="3337" width="12.44140625" style="8422" customWidth="1"/>
    <col min="3338" max="3338" width="11.88671875" style="8422" customWidth="1"/>
    <col min="3339" max="3339" width="11.44140625" style="8422" customWidth="1"/>
    <col min="3340" max="3340" width="12.109375" style="8422" customWidth="1"/>
    <col min="3341" max="3341" width="12.44140625" style="8422" customWidth="1"/>
    <col min="3342" max="3342" width="14.44140625" style="8422" customWidth="1"/>
    <col min="3343" max="3585" width="9.109375" style="8422"/>
    <col min="3586" max="3586" width="18.109375" style="8422" customWidth="1"/>
    <col min="3587" max="3587" width="10.109375" style="8422" customWidth="1"/>
    <col min="3588" max="3588" width="4.44140625" style="8422" customWidth="1"/>
    <col min="3589" max="3589" width="13.109375" style="8422" customWidth="1"/>
    <col min="3590" max="3590" width="12.88671875" style="8422" customWidth="1"/>
    <col min="3591" max="3592" width="11.44140625" style="8422" customWidth="1"/>
    <col min="3593" max="3593" width="12.44140625" style="8422" customWidth="1"/>
    <col min="3594" max="3594" width="11.88671875" style="8422" customWidth="1"/>
    <col min="3595" max="3595" width="11.44140625" style="8422" customWidth="1"/>
    <col min="3596" max="3596" width="12.109375" style="8422" customWidth="1"/>
    <col min="3597" max="3597" width="12.44140625" style="8422" customWidth="1"/>
    <col min="3598" max="3598" width="14.44140625" style="8422" customWidth="1"/>
    <col min="3599" max="3841" width="9.109375" style="8422"/>
    <col min="3842" max="3842" width="18.109375" style="8422" customWidth="1"/>
    <col min="3843" max="3843" width="10.109375" style="8422" customWidth="1"/>
    <col min="3844" max="3844" width="4.44140625" style="8422" customWidth="1"/>
    <col min="3845" max="3845" width="13.109375" style="8422" customWidth="1"/>
    <col min="3846" max="3846" width="12.88671875" style="8422" customWidth="1"/>
    <col min="3847" max="3848" width="11.44140625" style="8422" customWidth="1"/>
    <col min="3849" max="3849" width="12.44140625" style="8422" customWidth="1"/>
    <col min="3850" max="3850" width="11.88671875" style="8422" customWidth="1"/>
    <col min="3851" max="3851" width="11.44140625" style="8422" customWidth="1"/>
    <col min="3852" max="3852" width="12.109375" style="8422" customWidth="1"/>
    <col min="3853" max="3853" width="12.44140625" style="8422" customWidth="1"/>
    <col min="3854" max="3854" width="14.44140625" style="8422" customWidth="1"/>
    <col min="3855" max="4097" width="9.109375" style="8422"/>
    <col min="4098" max="4098" width="18.109375" style="8422" customWidth="1"/>
    <col min="4099" max="4099" width="10.109375" style="8422" customWidth="1"/>
    <col min="4100" max="4100" width="4.44140625" style="8422" customWidth="1"/>
    <col min="4101" max="4101" width="13.109375" style="8422" customWidth="1"/>
    <col min="4102" max="4102" width="12.88671875" style="8422" customWidth="1"/>
    <col min="4103" max="4104" width="11.44140625" style="8422" customWidth="1"/>
    <col min="4105" max="4105" width="12.44140625" style="8422" customWidth="1"/>
    <col min="4106" max="4106" width="11.88671875" style="8422" customWidth="1"/>
    <col min="4107" max="4107" width="11.44140625" style="8422" customWidth="1"/>
    <col min="4108" max="4108" width="12.109375" style="8422" customWidth="1"/>
    <col min="4109" max="4109" width="12.44140625" style="8422" customWidth="1"/>
    <col min="4110" max="4110" width="14.44140625" style="8422" customWidth="1"/>
    <col min="4111" max="4353" width="9.109375" style="8422"/>
    <col min="4354" max="4354" width="18.109375" style="8422" customWidth="1"/>
    <col min="4355" max="4355" width="10.109375" style="8422" customWidth="1"/>
    <col min="4356" max="4356" width="4.44140625" style="8422" customWidth="1"/>
    <col min="4357" max="4357" width="13.109375" style="8422" customWidth="1"/>
    <col min="4358" max="4358" width="12.88671875" style="8422" customWidth="1"/>
    <col min="4359" max="4360" width="11.44140625" style="8422" customWidth="1"/>
    <col min="4361" max="4361" width="12.44140625" style="8422" customWidth="1"/>
    <col min="4362" max="4362" width="11.88671875" style="8422" customWidth="1"/>
    <col min="4363" max="4363" width="11.44140625" style="8422" customWidth="1"/>
    <col min="4364" max="4364" width="12.109375" style="8422" customWidth="1"/>
    <col min="4365" max="4365" width="12.44140625" style="8422" customWidth="1"/>
    <col min="4366" max="4366" width="14.44140625" style="8422" customWidth="1"/>
    <col min="4367" max="4609" width="9.109375" style="8422"/>
    <col min="4610" max="4610" width="18.109375" style="8422" customWidth="1"/>
    <col min="4611" max="4611" width="10.109375" style="8422" customWidth="1"/>
    <col min="4612" max="4612" width="4.44140625" style="8422" customWidth="1"/>
    <col min="4613" max="4613" width="13.109375" style="8422" customWidth="1"/>
    <col min="4614" max="4614" width="12.88671875" style="8422" customWidth="1"/>
    <col min="4615" max="4616" width="11.44140625" style="8422" customWidth="1"/>
    <col min="4617" max="4617" width="12.44140625" style="8422" customWidth="1"/>
    <col min="4618" max="4618" width="11.88671875" style="8422" customWidth="1"/>
    <col min="4619" max="4619" width="11.44140625" style="8422" customWidth="1"/>
    <col min="4620" max="4620" width="12.109375" style="8422" customWidth="1"/>
    <col min="4621" max="4621" width="12.44140625" style="8422" customWidth="1"/>
    <col min="4622" max="4622" width="14.44140625" style="8422" customWidth="1"/>
    <col min="4623" max="4865" width="9.109375" style="8422"/>
    <col min="4866" max="4866" width="18.109375" style="8422" customWidth="1"/>
    <col min="4867" max="4867" width="10.109375" style="8422" customWidth="1"/>
    <col min="4868" max="4868" width="4.44140625" style="8422" customWidth="1"/>
    <col min="4869" max="4869" width="13.109375" style="8422" customWidth="1"/>
    <col min="4870" max="4870" width="12.88671875" style="8422" customWidth="1"/>
    <col min="4871" max="4872" width="11.44140625" style="8422" customWidth="1"/>
    <col min="4873" max="4873" width="12.44140625" style="8422" customWidth="1"/>
    <col min="4874" max="4874" width="11.88671875" style="8422" customWidth="1"/>
    <col min="4875" max="4875" width="11.44140625" style="8422" customWidth="1"/>
    <col min="4876" max="4876" width="12.109375" style="8422" customWidth="1"/>
    <col min="4877" max="4877" width="12.44140625" style="8422" customWidth="1"/>
    <col min="4878" max="4878" width="14.44140625" style="8422" customWidth="1"/>
    <col min="4879" max="5121" width="9.109375" style="8422"/>
    <col min="5122" max="5122" width="18.109375" style="8422" customWidth="1"/>
    <col min="5123" max="5123" width="10.109375" style="8422" customWidth="1"/>
    <col min="5124" max="5124" width="4.44140625" style="8422" customWidth="1"/>
    <col min="5125" max="5125" width="13.109375" style="8422" customWidth="1"/>
    <col min="5126" max="5126" width="12.88671875" style="8422" customWidth="1"/>
    <col min="5127" max="5128" width="11.44140625" style="8422" customWidth="1"/>
    <col min="5129" max="5129" width="12.44140625" style="8422" customWidth="1"/>
    <col min="5130" max="5130" width="11.88671875" style="8422" customWidth="1"/>
    <col min="5131" max="5131" width="11.44140625" style="8422" customWidth="1"/>
    <col min="5132" max="5132" width="12.109375" style="8422" customWidth="1"/>
    <col min="5133" max="5133" width="12.44140625" style="8422" customWidth="1"/>
    <col min="5134" max="5134" width="14.44140625" style="8422" customWidth="1"/>
    <col min="5135" max="5377" width="9.109375" style="8422"/>
    <col min="5378" max="5378" width="18.109375" style="8422" customWidth="1"/>
    <col min="5379" max="5379" width="10.109375" style="8422" customWidth="1"/>
    <col min="5380" max="5380" width="4.44140625" style="8422" customWidth="1"/>
    <col min="5381" max="5381" width="13.109375" style="8422" customWidth="1"/>
    <col min="5382" max="5382" width="12.88671875" style="8422" customWidth="1"/>
    <col min="5383" max="5384" width="11.44140625" style="8422" customWidth="1"/>
    <col min="5385" max="5385" width="12.44140625" style="8422" customWidth="1"/>
    <col min="5386" max="5386" width="11.88671875" style="8422" customWidth="1"/>
    <col min="5387" max="5387" width="11.44140625" style="8422" customWidth="1"/>
    <col min="5388" max="5388" width="12.109375" style="8422" customWidth="1"/>
    <col min="5389" max="5389" width="12.44140625" style="8422" customWidth="1"/>
    <col min="5390" max="5390" width="14.44140625" style="8422" customWidth="1"/>
    <col min="5391" max="5633" width="9.109375" style="8422"/>
    <col min="5634" max="5634" width="18.109375" style="8422" customWidth="1"/>
    <col min="5635" max="5635" width="10.109375" style="8422" customWidth="1"/>
    <col min="5636" max="5636" width="4.44140625" style="8422" customWidth="1"/>
    <col min="5637" max="5637" width="13.109375" style="8422" customWidth="1"/>
    <col min="5638" max="5638" width="12.88671875" style="8422" customWidth="1"/>
    <col min="5639" max="5640" width="11.44140625" style="8422" customWidth="1"/>
    <col min="5641" max="5641" width="12.44140625" style="8422" customWidth="1"/>
    <col min="5642" max="5642" width="11.88671875" style="8422" customWidth="1"/>
    <col min="5643" max="5643" width="11.44140625" style="8422" customWidth="1"/>
    <col min="5644" max="5644" width="12.109375" style="8422" customWidth="1"/>
    <col min="5645" max="5645" width="12.44140625" style="8422" customWidth="1"/>
    <col min="5646" max="5646" width="14.44140625" style="8422" customWidth="1"/>
    <col min="5647" max="5889" width="9.109375" style="8422"/>
    <col min="5890" max="5890" width="18.109375" style="8422" customWidth="1"/>
    <col min="5891" max="5891" width="10.109375" style="8422" customWidth="1"/>
    <col min="5892" max="5892" width="4.44140625" style="8422" customWidth="1"/>
    <col min="5893" max="5893" width="13.109375" style="8422" customWidth="1"/>
    <col min="5894" max="5894" width="12.88671875" style="8422" customWidth="1"/>
    <col min="5895" max="5896" width="11.44140625" style="8422" customWidth="1"/>
    <col min="5897" max="5897" width="12.44140625" style="8422" customWidth="1"/>
    <col min="5898" max="5898" width="11.88671875" style="8422" customWidth="1"/>
    <col min="5899" max="5899" width="11.44140625" style="8422" customWidth="1"/>
    <col min="5900" max="5900" width="12.109375" style="8422" customWidth="1"/>
    <col min="5901" max="5901" width="12.44140625" style="8422" customWidth="1"/>
    <col min="5902" max="5902" width="14.44140625" style="8422" customWidth="1"/>
    <col min="5903" max="6145" width="9.109375" style="8422"/>
    <col min="6146" max="6146" width="18.109375" style="8422" customWidth="1"/>
    <col min="6147" max="6147" width="10.109375" style="8422" customWidth="1"/>
    <col min="6148" max="6148" width="4.44140625" style="8422" customWidth="1"/>
    <col min="6149" max="6149" width="13.109375" style="8422" customWidth="1"/>
    <col min="6150" max="6150" width="12.88671875" style="8422" customWidth="1"/>
    <col min="6151" max="6152" width="11.44140625" style="8422" customWidth="1"/>
    <col min="6153" max="6153" width="12.44140625" style="8422" customWidth="1"/>
    <col min="6154" max="6154" width="11.88671875" style="8422" customWidth="1"/>
    <col min="6155" max="6155" width="11.44140625" style="8422" customWidth="1"/>
    <col min="6156" max="6156" width="12.109375" style="8422" customWidth="1"/>
    <col min="6157" max="6157" width="12.44140625" style="8422" customWidth="1"/>
    <col min="6158" max="6158" width="14.44140625" style="8422" customWidth="1"/>
    <col min="6159" max="6401" width="9.109375" style="8422"/>
    <col min="6402" max="6402" width="18.109375" style="8422" customWidth="1"/>
    <col min="6403" max="6403" width="10.109375" style="8422" customWidth="1"/>
    <col min="6404" max="6404" width="4.44140625" style="8422" customWidth="1"/>
    <col min="6405" max="6405" width="13.109375" style="8422" customWidth="1"/>
    <col min="6406" max="6406" width="12.88671875" style="8422" customWidth="1"/>
    <col min="6407" max="6408" width="11.44140625" style="8422" customWidth="1"/>
    <col min="6409" max="6409" width="12.44140625" style="8422" customWidth="1"/>
    <col min="6410" max="6410" width="11.88671875" style="8422" customWidth="1"/>
    <col min="6411" max="6411" width="11.44140625" style="8422" customWidth="1"/>
    <col min="6412" max="6412" width="12.109375" style="8422" customWidth="1"/>
    <col min="6413" max="6413" width="12.44140625" style="8422" customWidth="1"/>
    <col min="6414" max="6414" width="14.44140625" style="8422" customWidth="1"/>
    <col min="6415" max="6657" width="9.109375" style="8422"/>
    <col min="6658" max="6658" width="18.109375" style="8422" customWidth="1"/>
    <col min="6659" max="6659" width="10.109375" style="8422" customWidth="1"/>
    <col min="6660" max="6660" width="4.44140625" style="8422" customWidth="1"/>
    <col min="6661" max="6661" width="13.109375" style="8422" customWidth="1"/>
    <col min="6662" max="6662" width="12.88671875" style="8422" customWidth="1"/>
    <col min="6663" max="6664" width="11.44140625" style="8422" customWidth="1"/>
    <col min="6665" max="6665" width="12.44140625" style="8422" customWidth="1"/>
    <col min="6666" max="6666" width="11.88671875" style="8422" customWidth="1"/>
    <col min="6667" max="6667" width="11.44140625" style="8422" customWidth="1"/>
    <col min="6668" max="6668" width="12.109375" style="8422" customWidth="1"/>
    <col min="6669" max="6669" width="12.44140625" style="8422" customWidth="1"/>
    <col min="6670" max="6670" width="14.44140625" style="8422" customWidth="1"/>
    <col min="6671" max="6913" width="9.109375" style="8422"/>
    <col min="6914" max="6914" width="18.109375" style="8422" customWidth="1"/>
    <col min="6915" max="6915" width="10.109375" style="8422" customWidth="1"/>
    <col min="6916" max="6916" width="4.44140625" style="8422" customWidth="1"/>
    <col min="6917" max="6917" width="13.109375" style="8422" customWidth="1"/>
    <col min="6918" max="6918" width="12.88671875" style="8422" customWidth="1"/>
    <col min="6919" max="6920" width="11.44140625" style="8422" customWidth="1"/>
    <col min="6921" max="6921" width="12.44140625" style="8422" customWidth="1"/>
    <col min="6922" max="6922" width="11.88671875" style="8422" customWidth="1"/>
    <col min="6923" max="6923" width="11.44140625" style="8422" customWidth="1"/>
    <col min="6924" max="6924" width="12.109375" style="8422" customWidth="1"/>
    <col min="6925" max="6925" width="12.44140625" style="8422" customWidth="1"/>
    <col min="6926" max="6926" width="14.44140625" style="8422" customWidth="1"/>
    <col min="6927" max="7169" width="9.109375" style="8422"/>
    <col min="7170" max="7170" width="18.109375" style="8422" customWidth="1"/>
    <col min="7171" max="7171" width="10.109375" style="8422" customWidth="1"/>
    <col min="7172" max="7172" width="4.44140625" style="8422" customWidth="1"/>
    <col min="7173" max="7173" width="13.109375" style="8422" customWidth="1"/>
    <col min="7174" max="7174" width="12.88671875" style="8422" customWidth="1"/>
    <col min="7175" max="7176" width="11.44140625" style="8422" customWidth="1"/>
    <col min="7177" max="7177" width="12.44140625" style="8422" customWidth="1"/>
    <col min="7178" max="7178" width="11.88671875" style="8422" customWidth="1"/>
    <col min="7179" max="7179" width="11.44140625" style="8422" customWidth="1"/>
    <col min="7180" max="7180" width="12.109375" style="8422" customWidth="1"/>
    <col min="7181" max="7181" width="12.44140625" style="8422" customWidth="1"/>
    <col min="7182" max="7182" width="14.44140625" style="8422" customWidth="1"/>
    <col min="7183" max="7425" width="9.109375" style="8422"/>
    <col min="7426" max="7426" width="18.109375" style="8422" customWidth="1"/>
    <col min="7427" max="7427" width="10.109375" style="8422" customWidth="1"/>
    <col min="7428" max="7428" width="4.44140625" style="8422" customWidth="1"/>
    <col min="7429" max="7429" width="13.109375" style="8422" customWidth="1"/>
    <col min="7430" max="7430" width="12.88671875" style="8422" customWidth="1"/>
    <col min="7431" max="7432" width="11.44140625" style="8422" customWidth="1"/>
    <col min="7433" max="7433" width="12.44140625" style="8422" customWidth="1"/>
    <col min="7434" max="7434" width="11.88671875" style="8422" customWidth="1"/>
    <col min="7435" max="7435" width="11.44140625" style="8422" customWidth="1"/>
    <col min="7436" max="7436" width="12.109375" style="8422" customWidth="1"/>
    <col min="7437" max="7437" width="12.44140625" style="8422" customWidth="1"/>
    <col min="7438" max="7438" width="14.44140625" style="8422" customWidth="1"/>
    <col min="7439" max="7681" width="9.109375" style="8422"/>
    <col min="7682" max="7682" width="18.109375" style="8422" customWidth="1"/>
    <col min="7683" max="7683" width="10.109375" style="8422" customWidth="1"/>
    <col min="7684" max="7684" width="4.44140625" style="8422" customWidth="1"/>
    <col min="7685" max="7685" width="13.109375" style="8422" customWidth="1"/>
    <col min="7686" max="7686" width="12.88671875" style="8422" customWidth="1"/>
    <col min="7687" max="7688" width="11.44140625" style="8422" customWidth="1"/>
    <col min="7689" max="7689" width="12.44140625" style="8422" customWidth="1"/>
    <col min="7690" max="7690" width="11.88671875" style="8422" customWidth="1"/>
    <col min="7691" max="7691" width="11.44140625" style="8422" customWidth="1"/>
    <col min="7692" max="7692" width="12.109375" style="8422" customWidth="1"/>
    <col min="7693" max="7693" width="12.44140625" style="8422" customWidth="1"/>
    <col min="7694" max="7694" width="14.44140625" style="8422" customWidth="1"/>
    <col min="7695" max="7937" width="9.109375" style="8422"/>
    <col min="7938" max="7938" width="18.109375" style="8422" customWidth="1"/>
    <col min="7939" max="7939" width="10.109375" style="8422" customWidth="1"/>
    <col min="7940" max="7940" width="4.44140625" style="8422" customWidth="1"/>
    <col min="7941" max="7941" width="13.109375" style="8422" customWidth="1"/>
    <col min="7942" max="7942" width="12.88671875" style="8422" customWidth="1"/>
    <col min="7943" max="7944" width="11.44140625" style="8422" customWidth="1"/>
    <col min="7945" max="7945" width="12.44140625" style="8422" customWidth="1"/>
    <col min="7946" max="7946" width="11.88671875" style="8422" customWidth="1"/>
    <col min="7947" max="7947" width="11.44140625" style="8422" customWidth="1"/>
    <col min="7948" max="7948" width="12.109375" style="8422" customWidth="1"/>
    <col min="7949" max="7949" width="12.44140625" style="8422" customWidth="1"/>
    <col min="7950" max="7950" width="14.44140625" style="8422" customWidth="1"/>
    <col min="7951" max="8193" width="9.109375" style="8422"/>
    <col min="8194" max="8194" width="18.109375" style="8422" customWidth="1"/>
    <col min="8195" max="8195" width="10.109375" style="8422" customWidth="1"/>
    <col min="8196" max="8196" width="4.44140625" style="8422" customWidth="1"/>
    <col min="8197" max="8197" width="13.109375" style="8422" customWidth="1"/>
    <col min="8198" max="8198" width="12.88671875" style="8422" customWidth="1"/>
    <col min="8199" max="8200" width="11.44140625" style="8422" customWidth="1"/>
    <col min="8201" max="8201" width="12.44140625" style="8422" customWidth="1"/>
    <col min="8202" max="8202" width="11.88671875" style="8422" customWidth="1"/>
    <col min="8203" max="8203" width="11.44140625" style="8422" customWidth="1"/>
    <col min="8204" max="8204" width="12.109375" style="8422" customWidth="1"/>
    <col min="8205" max="8205" width="12.44140625" style="8422" customWidth="1"/>
    <col min="8206" max="8206" width="14.44140625" style="8422" customWidth="1"/>
    <col min="8207" max="8449" width="9.109375" style="8422"/>
    <col min="8450" max="8450" width="18.109375" style="8422" customWidth="1"/>
    <col min="8451" max="8451" width="10.109375" style="8422" customWidth="1"/>
    <col min="8452" max="8452" width="4.44140625" style="8422" customWidth="1"/>
    <col min="8453" max="8453" width="13.109375" style="8422" customWidth="1"/>
    <col min="8454" max="8454" width="12.88671875" style="8422" customWidth="1"/>
    <col min="8455" max="8456" width="11.44140625" style="8422" customWidth="1"/>
    <col min="8457" max="8457" width="12.44140625" style="8422" customWidth="1"/>
    <col min="8458" max="8458" width="11.88671875" style="8422" customWidth="1"/>
    <col min="8459" max="8459" width="11.44140625" style="8422" customWidth="1"/>
    <col min="8460" max="8460" width="12.109375" style="8422" customWidth="1"/>
    <col min="8461" max="8461" width="12.44140625" style="8422" customWidth="1"/>
    <col min="8462" max="8462" width="14.44140625" style="8422" customWidth="1"/>
    <col min="8463" max="8705" width="9.109375" style="8422"/>
    <col min="8706" max="8706" width="18.109375" style="8422" customWidth="1"/>
    <col min="8707" max="8707" width="10.109375" style="8422" customWidth="1"/>
    <col min="8708" max="8708" width="4.44140625" style="8422" customWidth="1"/>
    <col min="8709" max="8709" width="13.109375" style="8422" customWidth="1"/>
    <col min="8710" max="8710" width="12.88671875" style="8422" customWidth="1"/>
    <col min="8711" max="8712" width="11.44140625" style="8422" customWidth="1"/>
    <col min="8713" max="8713" width="12.44140625" style="8422" customWidth="1"/>
    <col min="8714" max="8714" width="11.88671875" style="8422" customWidth="1"/>
    <col min="8715" max="8715" width="11.44140625" style="8422" customWidth="1"/>
    <col min="8716" max="8716" width="12.109375" style="8422" customWidth="1"/>
    <col min="8717" max="8717" width="12.44140625" style="8422" customWidth="1"/>
    <col min="8718" max="8718" width="14.44140625" style="8422" customWidth="1"/>
    <col min="8719" max="8961" width="9.109375" style="8422"/>
    <col min="8962" max="8962" width="18.109375" style="8422" customWidth="1"/>
    <col min="8963" max="8963" width="10.109375" style="8422" customWidth="1"/>
    <col min="8964" max="8964" width="4.44140625" style="8422" customWidth="1"/>
    <col min="8965" max="8965" width="13.109375" style="8422" customWidth="1"/>
    <col min="8966" max="8966" width="12.88671875" style="8422" customWidth="1"/>
    <col min="8967" max="8968" width="11.44140625" style="8422" customWidth="1"/>
    <col min="8969" max="8969" width="12.44140625" style="8422" customWidth="1"/>
    <col min="8970" max="8970" width="11.88671875" style="8422" customWidth="1"/>
    <col min="8971" max="8971" width="11.44140625" style="8422" customWidth="1"/>
    <col min="8972" max="8972" width="12.109375" style="8422" customWidth="1"/>
    <col min="8973" max="8973" width="12.44140625" style="8422" customWidth="1"/>
    <col min="8974" max="8974" width="14.44140625" style="8422" customWidth="1"/>
    <col min="8975" max="9217" width="9.109375" style="8422"/>
    <col min="9218" max="9218" width="18.109375" style="8422" customWidth="1"/>
    <col min="9219" max="9219" width="10.109375" style="8422" customWidth="1"/>
    <col min="9220" max="9220" width="4.44140625" style="8422" customWidth="1"/>
    <col min="9221" max="9221" width="13.109375" style="8422" customWidth="1"/>
    <col min="9222" max="9222" width="12.88671875" style="8422" customWidth="1"/>
    <col min="9223" max="9224" width="11.44140625" style="8422" customWidth="1"/>
    <col min="9225" max="9225" width="12.44140625" style="8422" customWidth="1"/>
    <col min="9226" max="9226" width="11.88671875" style="8422" customWidth="1"/>
    <col min="9227" max="9227" width="11.44140625" style="8422" customWidth="1"/>
    <col min="9228" max="9228" width="12.109375" style="8422" customWidth="1"/>
    <col min="9229" max="9229" width="12.44140625" style="8422" customWidth="1"/>
    <col min="9230" max="9230" width="14.44140625" style="8422" customWidth="1"/>
    <col min="9231" max="9473" width="9.109375" style="8422"/>
    <col min="9474" max="9474" width="18.109375" style="8422" customWidth="1"/>
    <col min="9475" max="9475" width="10.109375" style="8422" customWidth="1"/>
    <col min="9476" max="9476" width="4.44140625" style="8422" customWidth="1"/>
    <col min="9477" max="9477" width="13.109375" style="8422" customWidth="1"/>
    <col min="9478" max="9478" width="12.88671875" style="8422" customWidth="1"/>
    <col min="9479" max="9480" width="11.44140625" style="8422" customWidth="1"/>
    <col min="9481" max="9481" width="12.44140625" style="8422" customWidth="1"/>
    <col min="9482" max="9482" width="11.88671875" style="8422" customWidth="1"/>
    <col min="9483" max="9483" width="11.44140625" style="8422" customWidth="1"/>
    <col min="9484" max="9484" width="12.109375" style="8422" customWidth="1"/>
    <col min="9485" max="9485" width="12.44140625" style="8422" customWidth="1"/>
    <col min="9486" max="9486" width="14.44140625" style="8422" customWidth="1"/>
    <col min="9487" max="9729" width="9.109375" style="8422"/>
    <col min="9730" max="9730" width="18.109375" style="8422" customWidth="1"/>
    <col min="9731" max="9731" width="10.109375" style="8422" customWidth="1"/>
    <col min="9732" max="9732" width="4.44140625" style="8422" customWidth="1"/>
    <col min="9733" max="9733" width="13.109375" style="8422" customWidth="1"/>
    <col min="9734" max="9734" width="12.88671875" style="8422" customWidth="1"/>
    <col min="9735" max="9736" width="11.44140625" style="8422" customWidth="1"/>
    <col min="9737" max="9737" width="12.44140625" style="8422" customWidth="1"/>
    <col min="9738" max="9738" width="11.88671875" style="8422" customWidth="1"/>
    <col min="9739" max="9739" width="11.44140625" style="8422" customWidth="1"/>
    <col min="9740" max="9740" width="12.109375" style="8422" customWidth="1"/>
    <col min="9741" max="9741" width="12.44140625" style="8422" customWidth="1"/>
    <col min="9742" max="9742" width="14.44140625" style="8422" customWidth="1"/>
    <col min="9743" max="9985" width="9.109375" style="8422"/>
    <col min="9986" max="9986" width="18.109375" style="8422" customWidth="1"/>
    <col min="9987" max="9987" width="10.109375" style="8422" customWidth="1"/>
    <col min="9988" max="9988" width="4.44140625" style="8422" customWidth="1"/>
    <col min="9989" max="9989" width="13.109375" style="8422" customWidth="1"/>
    <col min="9990" max="9990" width="12.88671875" style="8422" customWidth="1"/>
    <col min="9991" max="9992" width="11.44140625" style="8422" customWidth="1"/>
    <col min="9993" max="9993" width="12.44140625" style="8422" customWidth="1"/>
    <col min="9994" max="9994" width="11.88671875" style="8422" customWidth="1"/>
    <col min="9995" max="9995" width="11.44140625" style="8422" customWidth="1"/>
    <col min="9996" max="9996" width="12.109375" style="8422" customWidth="1"/>
    <col min="9997" max="9997" width="12.44140625" style="8422" customWidth="1"/>
    <col min="9998" max="9998" width="14.44140625" style="8422" customWidth="1"/>
    <col min="9999" max="10241" width="9.109375" style="8422"/>
    <col min="10242" max="10242" width="18.109375" style="8422" customWidth="1"/>
    <col min="10243" max="10243" width="10.109375" style="8422" customWidth="1"/>
    <col min="10244" max="10244" width="4.44140625" style="8422" customWidth="1"/>
    <col min="10245" max="10245" width="13.109375" style="8422" customWidth="1"/>
    <col min="10246" max="10246" width="12.88671875" style="8422" customWidth="1"/>
    <col min="10247" max="10248" width="11.44140625" style="8422" customWidth="1"/>
    <col min="10249" max="10249" width="12.44140625" style="8422" customWidth="1"/>
    <col min="10250" max="10250" width="11.88671875" style="8422" customWidth="1"/>
    <col min="10251" max="10251" width="11.44140625" style="8422" customWidth="1"/>
    <col min="10252" max="10252" width="12.109375" style="8422" customWidth="1"/>
    <col min="10253" max="10253" width="12.44140625" style="8422" customWidth="1"/>
    <col min="10254" max="10254" width="14.44140625" style="8422" customWidth="1"/>
    <col min="10255" max="10497" width="9.109375" style="8422"/>
    <col min="10498" max="10498" width="18.109375" style="8422" customWidth="1"/>
    <col min="10499" max="10499" width="10.109375" style="8422" customWidth="1"/>
    <col min="10500" max="10500" width="4.44140625" style="8422" customWidth="1"/>
    <col min="10501" max="10501" width="13.109375" style="8422" customWidth="1"/>
    <col min="10502" max="10502" width="12.88671875" style="8422" customWidth="1"/>
    <col min="10503" max="10504" width="11.44140625" style="8422" customWidth="1"/>
    <col min="10505" max="10505" width="12.44140625" style="8422" customWidth="1"/>
    <col min="10506" max="10506" width="11.88671875" style="8422" customWidth="1"/>
    <col min="10507" max="10507" width="11.44140625" style="8422" customWidth="1"/>
    <col min="10508" max="10508" width="12.109375" style="8422" customWidth="1"/>
    <col min="10509" max="10509" width="12.44140625" style="8422" customWidth="1"/>
    <col min="10510" max="10510" width="14.44140625" style="8422" customWidth="1"/>
    <col min="10511" max="10753" width="9.109375" style="8422"/>
    <col min="10754" max="10754" width="18.109375" style="8422" customWidth="1"/>
    <col min="10755" max="10755" width="10.109375" style="8422" customWidth="1"/>
    <col min="10756" max="10756" width="4.44140625" style="8422" customWidth="1"/>
    <col min="10757" max="10757" width="13.109375" style="8422" customWidth="1"/>
    <col min="10758" max="10758" width="12.88671875" style="8422" customWidth="1"/>
    <col min="10759" max="10760" width="11.44140625" style="8422" customWidth="1"/>
    <col min="10761" max="10761" width="12.44140625" style="8422" customWidth="1"/>
    <col min="10762" max="10762" width="11.88671875" style="8422" customWidth="1"/>
    <col min="10763" max="10763" width="11.44140625" style="8422" customWidth="1"/>
    <col min="10764" max="10764" width="12.109375" style="8422" customWidth="1"/>
    <col min="10765" max="10765" width="12.44140625" style="8422" customWidth="1"/>
    <col min="10766" max="10766" width="14.44140625" style="8422" customWidth="1"/>
    <col min="10767" max="11009" width="9.109375" style="8422"/>
    <col min="11010" max="11010" width="18.109375" style="8422" customWidth="1"/>
    <col min="11011" max="11011" width="10.109375" style="8422" customWidth="1"/>
    <col min="11012" max="11012" width="4.44140625" style="8422" customWidth="1"/>
    <col min="11013" max="11013" width="13.109375" style="8422" customWidth="1"/>
    <col min="11014" max="11014" width="12.88671875" style="8422" customWidth="1"/>
    <col min="11015" max="11016" width="11.44140625" style="8422" customWidth="1"/>
    <col min="11017" max="11017" width="12.44140625" style="8422" customWidth="1"/>
    <col min="11018" max="11018" width="11.88671875" style="8422" customWidth="1"/>
    <col min="11019" max="11019" width="11.44140625" style="8422" customWidth="1"/>
    <col min="11020" max="11020" width="12.109375" style="8422" customWidth="1"/>
    <col min="11021" max="11021" width="12.44140625" style="8422" customWidth="1"/>
    <col min="11022" max="11022" width="14.44140625" style="8422" customWidth="1"/>
    <col min="11023" max="11265" width="9.109375" style="8422"/>
    <col min="11266" max="11266" width="18.109375" style="8422" customWidth="1"/>
    <col min="11267" max="11267" width="10.109375" style="8422" customWidth="1"/>
    <col min="11268" max="11268" width="4.44140625" style="8422" customWidth="1"/>
    <col min="11269" max="11269" width="13.109375" style="8422" customWidth="1"/>
    <col min="11270" max="11270" width="12.88671875" style="8422" customWidth="1"/>
    <col min="11271" max="11272" width="11.44140625" style="8422" customWidth="1"/>
    <col min="11273" max="11273" width="12.44140625" style="8422" customWidth="1"/>
    <col min="11274" max="11274" width="11.88671875" style="8422" customWidth="1"/>
    <col min="11275" max="11275" width="11.44140625" style="8422" customWidth="1"/>
    <col min="11276" max="11276" width="12.109375" style="8422" customWidth="1"/>
    <col min="11277" max="11277" width="12.44140625" style="8422" customWidth="1"/>
    <col min="11278" max="11278" width="14.44140625" style="8422" customWidth="1"/>
    <col min="11279" max="11521" width="9.109375" style="8422"/>
    <col min="11522" max="11522" width="18.109375" style="8422" customWidth="1"/>
    <col min="11523" max="11523" width="10.109375" style="8422" customWidth="1"/>
    <col min="11524" max="11524" width="4.44140625" style="8422" customWidth="1"/>
    <col min="11525" max="11525" width="13.109375" style="8422" customWidth="1"/>
    <col min="11526" max="11526" width="12.88671875" style="8422" customWidth="1"/>
    <col min="11527" max="11528" width="11.44140625" style="8422" customWidth="1"/>
    <col min="11529" max="11529" width="12.44140625" style="8422" customWidth="1"/>
    <col min="11530" max="11530" width="11.88671875" style="8422" customWidth="1"/>
    <col min="11531" max="11531" width="11.44140625" style="8422" customWidth="1"/>
    <col min="11532" max="11532" width="12.109375" style="8422" customWidth="1"/>
    <col min="11533" max="11533" width="12.44140625" style="8422" customWidth="1"/>
    <col min="11534" max="11534" width="14.44140625" style="8422" customWidth="1"/>
    <col min="11535" max="11777" width="9.109375" style="8422"/>
    <col min="11778" max="11778" width="18.109375" style="8422" customWidth="1"/>
    <col min="11779" max="11779" width="10.109375" style="8422" customWidth="1"/>
    <col min="11780" max="11780" width="4.44140625" style="8422" customWidth="1"/>
    <col min="11781" max="11781" width="13.109375" style="8422" customWidth="1"/>
    <col min="11782" max="11782" width="12.88671875" style="8422" customWidth="1"/>
    <col min="11783" max="11784" width="11.44140625" style="8422" customWidth="1"/>
    <col min="11785" max="11785" width="12.44140625" style="8422" customWidth="1"/>
    <col min="11786" max="11786" width="11.88671875" style="8422" customWidth="1"/>
    <col min="11787" max="11787" width="11.44140625" style="8422" customWidth="1"/>
    <col min="11788" max="11788" width="12.109375" style="8422" customWidth="1"/>
    <col min="11789" max="11789" width="12.44140625" style="8422" customWidth="1"/>
    <col min="11790" max="11790" width="14.44140625" style="8422" customWidth="1"/>
    <col min="11791" max="12033" width="9.109375" style="8422"/>
    <col min="12034" max="12034" width="18.109375" style="8422" customWidth="1"/>
    <col min="12035" max="12035" width="10.109375" style="8422" customWidth="1"/>
    <col min="12036" max="12036" width="4.44140625" style="8422" customWidth="1"/>
    <col min="12037" max="12037" width="13.109375" style="8422" customWidth="1"/>
    <col min="12038" max="12038" width="12.88671875" style="8422" customWidth="1"/>
    <col min="12039" max="12040" width="11.44140625" style="8422" customWidth="1"/>
    <col min="12041" max="12041" width="12.44140625" style="8422" customWidth="1"/>
    <col min="12042" max="12042" width="11.88671875" style="8422" customWidth="1"/>
    <col min="12043" max="12043" width="11.44140625" style="8422" customWidth="1"/>
    <col min="12044" max="12044" width="12.109375" style="8422" customWidth="1"/>
    <col min="12045" max="12045" width="12.44140625" style="8422" customWidth="1"/>
    <col min="12046" max="12046" width="14.44140625" style="8422" customWidth="1"/>
    <col min="12047" max="12289" width="9.109375" style="8422"/>
    <col min="12290" max="12290" width="18.109375" style="8422" customWidth="1"/>
    <col min="12291" max="12291" width="10.109375" style="8422" customWidth="1"/>
    <col min="12292" max="12292" width="4.44140625" style="8422" customWidth="1"/>
    <col min="12293" max="12293" width="13.109375" style="8422" customWidth="1"/>
    <col min="12294" max="12294" width="12.88671875" style="8422" customWidth="1"/>
    <col min="12295" max="12296" width="11.44140625" style="8422" customWidth="1"/>
    <col min="12297" max="12297" width="12.44140625" style="8422" customWidth="1"/>
    <col min="12298" max="12298" width="11.88671875" style="8422" customWidth="1"/>
    <col min="12299" max="12299" width="11.44140625" style="8422" customWidth="1"/>
    <col min="12300" max="12300" width="12.109375" style="8422" customWidth="1"/>
    <col min="12301" max="12301" width="12.44140625" style="8422" customWidth="1"/>
    <col min="12302" max="12302" width="14.44140625" style="8422" customWidth="1"/>
    <col min="12303" max="12545" width="9.109375" style="8422"/>
    <col min="12546" max="12546" width="18.109375" style="8422" customWidth="1"/>
    <col min="12547" max="12547" width="10.109375" style="8422" customWidth="1"/>
    <col min="12548" max="12548" width="4.44140625" style="8422" customWidth="1"/>
    <col min="12549" max="12549" width="13.109375" style="8422" customWidth="1"/>
    <col min="12550" max="12550" width="12.88671875" style="8422" customWidth="1"/>
    <col min="12551" max="12552" width="11.44140625" style="8422" customWidth="1"/>
    <col min="12553" max="12553" width="12.44140625" style="8422" customWidth="1"/>
    <col min="12554" max="12554" width="11.88671875" style="8422" customWidth="1"/>
    <col min="12555" max="12555" width="11.44140625" style="8422" customWidth="1"/>
    <col min="12556" max="12556" width="12.109375" style="8422" customWidth="1"/>
    <col min="12557" max="12557" width="12.44140625" style="8422" customWidth="1"/>
    <col min="12558" max="12558" width="14.44140625" style="8422" customWidth="1"/>
    <col min="12559" max="12801" width="9.109375" style="8422"/>
    <col min="12802" max="12802" width="18.109375" style="8422" customWidth="1"/>
    <col min="12803" max="12803" width="10.109375" style="8422" customWidth="1"/>
    <col min="12804" max="12804" width="4.44140625" style="8422" customWidth="1"/>
    <col min="12805" max="12805" width="13.109375" style="8422" customWidth="1"/>
    <col min="12806" max="12806" width="12.88671875" style="8422" customWidth="1"/>
    <col min="12807" max="12808" width="11.44140625" style="8422" customWidth="1"/>
    <col min="12809" max="12809" width="12.44140625" style="8422" customWidth="1"/>
    <col min="12810" max="12810" width="11.88671875" style="8422" customWidth="1"/>
    <col min="12811" max="12811" width="11.44140625" style="8422" customWidth="1"/>
    <col min="12812" max="12812" width="12.109375" style="8422" customWidth="1"/>
    <col min="12813" max="12813" width="12.44140625" style="8422" customWidth="1"/>
    <col min="12814" max="12814" width="14.44140625" style="8422" customWidth="1"/>
    <col min="12815" max="13057" width="9.109375" style="8422"/>
    <col min="13058" max="13058" width="18.109375" style="8422" customWidth="1"/>
    <col min="13059" max="13059" width="10.109375" style="8422" customWidth="1"/>
    <col min="13060" max="13060" width="4.44140625" style="8422" customWidth="1"/>
    <col min="13061" max="13061" width="13.109375" style="8422" customWidth="1"/>
    <col min="13062" max="13062" width="12.88671875" style="8422" customWidth="1"/>
    <col min="13063" max="13064" width="11.44140625" style="8422" customWidth="1"/>
    <col min="13065" max="13065" width="12.44140625" style="8422" customWidth="1"/>
    <col min="13066" max="13066" width="11.88671875" style="8422" customWidth="1"/>
    <col min="13067" max="13067" width="11.44140625" style="8422" customWidth="1"/>
    <col min="13068" max="13068" width="12.109375" style="8422" customWidth="1"/>
    <col min="13069" max="13069" width="12.44140625" style="8422" customWidth="1"/>
    <col min="13070" max="13070" width="14.44140625" style="8422" customWidth="1"/>
    <col min="13071" max="13313" width="9.109375" style="8422"/>
    <col min="13314" max="13314" width="18.109375" style="8422" customWidth="1"/>
    <col min="13315" max="13315" width="10.109375" style="8422" customWidth="1"/>
    <col min="13316" max="13316" width="4.44140625" style="8422" customWidth="1"/>
    <col min="13317" max="13317" width="13.109375" style="8422" customWidth="1"/>
    <col min="13318" max="13318" width="12.88671875" style="8422" customWidth="1"/>
    <col min="13319" max="13320" width="11.44140625" style="8422" customWidth="1"/>
    <col min="13321" max="13321" width="12.44140625" style="8422" customWidth="1"/>
    <col min="13322" max="13322" width="11.88671875" style="8422" customWidth="1"/>
    <col min="13323" max="13323" width="11.44140625" style="8422" customWidth="1"/>
    <col min="13324" max="13324" width="12.109375" style="8422" customWidth="1"/>
    <col min="13325" max="13325" width="12.44140625" style="8422" customWidth="1"/>
    <col min="13326" max="13326" width="14.44140625" style="8422" customWidth="1"/>
    <col min="13327" max="13569" width="9.109375" style="8422"/>
    <col min="13570" max="13570" width="18.109375" style="8422" customWidth="1"/>
    <col min="13571" max="13571" width="10.109375" style="8422" customWidth="1"/>
    <col min="13572" max="13572" width="4.44140625" style="8422" customWidth="1"/>
    <col min="13573" max="13573" width="13.109375" style="8422" customWidth="1"/>
    <col min="13574" max="13574" width="12.88671875" style="8422" customWidth="1"/>
    <col min="13575" max="13576" width="11.44140625" style="8422" customWidth="1"/>
    <col min="13577" max="13577" width="12.44140625" style="8422" customWidth="1"/>
    <col min="13578" max="13578" width="11.88671875" style="8422" customWidth="1"/>
    <col min="13579" max="13579" width="11.44140625" style="8422" customWidth="1"/>
    <col min="13580" max="13580" width="12.109375" style="8422" customWidth="1"/>
    <col min="13581" max="13581" width="12.44140625" style="8422" customWidth="1"/>
    <col min="13582" max="13582" width="14.44140625" style="8422" customWidth="1"/>
    <col min="13583" max="13825" width="9.109375" style="8422"/>
    <col min="13826" max="13826" width="18.109375" style="8422" customWidth="1"/>
    <col min="13827" max="13827" width="10.109375" style="8422" customWidth="1"/>
    <col min="13828" max="13828" width="4.44140625" style="8422" customWidth="1"/>
    <col min="13829" max="13829" width="13.109375" style="8422" customWidth="1"/>
    <col min="13830" max="13830" width="12.88671875" style="8422" customWidth="1"/>
    <col min="13831" max="13832" width="11.44140625" style="8422" customWidth="1"/>
    <col min="13833" max="13833" width="12.44140625" style="8422" customWidth="1"/>
    <col min="13834" max="13834" width="11.88671875" style="8422" customWidth="1"/>
    <col min="13835" max="13835" width="11.44140625" style="8422" customWidth="1"/>
    <col min="13836" max="13836" width="12.109375" style="8422" customWidth="1"/>
    <col min="13837" max="13837" width="12.44140625" style="8422" customWidth="1"/>
    <col min="13838" max="13838" width="14.44140625" style="8422" customWidth="1"/>
    <col min="13839" max="14081" width="9.109375" style="8422"/>
    <col min="14082" max="14082" width="18.109375" style="8422" customWidth="1"/>
    <col min="14083" max="14083" width="10.109375" style="8422" customWidth="1"/>
    <col min="14084" max="14084" width="4.44140625" style="8422" customWidth="1"/>
    <col min="14085" max="14085" width="13.109375" style="8422" customWidth="1"/>
    <col min="14086" max="14086" width="12.88671875" style="8422" customWidth="1"/>
    <col min="14087" max="14088" width="11.44140625" style="8422" customWidth="1"/>
    <col min="14089" max="14089" width="12.44140625" style="8422" customWidth="1"/>
    <col min="14090" max="14090" width="11.88671875" style="8422" customWidth="1"/>
    <col min="14091" max="14091" width="11.44140625" style="8422" customWidth="1"/>
    <col min="14092" max="14092" width="12.109375" style="8422" customWidth="1"/>
    <col min="14093" max="14093" width="12.44140625" style="8422" customWidth="1"/>
    <col min="14094" max="14094" width="14.44140625" style="8422" customWidth="1"/>
    <col min="14095" max="14337" width="9.109375" style="8422"/>
    <col min="14338" max="14338" width="18.109375" style="8422" customWidth="1"/>
    <col min="14339" max="14339" width="10.109375" style="8422" customWidth="1"/>
    <col min="14340" max="14340" width="4.44140625" style="8422" customWidth="1"/>
    <col min="14341" max="14341" width="13.109375" style="8422" customWidth="1"/>
    <col min="14342" max="14342" width="12.88671875" style="8422" customWidth="1"/>
    <col min="14343" max="14344" width="11.44140625" style="8422" customWidth="1"/>
    <col min="14345" max="14345" width="12.44140625" style="8422" customWidth="1"/>
    <col min="14346" max="14346" width="11.88671875" style="8422" customWidth="1"/>
    <col min="14347" max="14347" width="11.44140625" style="8422" customWidth="1"/>
    <col min="14348" max="14348" width="12.109375" style="8422" customWidth="1"/>
    <col min="14349" max="14349" width="12.44140625" style="8422" customWidth="1"/>
    <col min="14350" max="14350" width="14.44140625" style="8422" customWidth="1"/>
    <col min="14351" max="14593" width="9.109375" style="8422"/>
    <col min="14594" max="14594" width="18.109375" style="8422" customWidth="1"/>
    <col min="14595" max="14595" width="10.109375" style="8422" customWidth="1"/>
    <col min="14596" max="14596" width="4.44140625" style="8422" customWidth="1"/>
    <col min="14597" max="14597" width="13.109375" style="8422" customWidth="1"/>
    <col min="14598" max="14598" width="12.88671875" style="8422" customWidth="1"/>
    <col min="14599" max="14600" width="11.44140625" style="8422" customWidth="1"/>
    <col min="14601" max="14601" width="12.44140625" style="8422" customWidth="1"/>
    <col min="14602" max="14602" width="11.88671875" style="8422" customWidth="1"/>
    <col min="14603" max="14603" width="11.44140625" style="8422" customWidth="1"/>
    <col min="14604" max="14604" width="12.109375" style="8422" customWidth="1"/>
    <col min="14605" max="14605" width="12.44140625" style="8422" customWidth="1"/>
    <col min="14606" max="14606" width="14.44140625" style="8422" customWidth="1"/>
    <col min="14607" max="14849" width="9.109375" style="8422"/>
    <col min="14850" max="14850" width="18.109375" style="8422" customWidth="1"/>
    <col min="14851" max="14851" width="10.109375" style="8422" customWidth="1"/>
    <col min="14852" max="14852" width="4.44140625" style="8422" customWidth="1"/>
    <col min="14853" max="14853" width="13.109375" style="8422" customWidth="1"/>
    <col min="14854" max="14854" width="12.88671875" style="8422" customWidth="1"/>
    <col min="14855" max="14856" width="11.44140625" style="8422" customWidth="1"/>
    <col min="14857" max="14857" width="12.44140625" style="8422" customWidth="1"/>
    <col min="14858" max="14858" width="11.88671875" style="8422" customWidth="1"/>
    <col min="14859" max="14859" width="11.44140625" style="8422" customWidth="1"/>
    <col min="14860" max="14860" width="12.109375" style="8422" customWidth="1"/>
    <col min="14861" max="14861" width="12.44140625" style="8422" customWidth="1"/>
    <col min="14862" max="14862" width="14.44140625" style="8422" customWidth="1"/>
    <col min="14863" max="15105" width="9.109375" style="8422"/>
    <col min="15106" max="15106" width="18.109375" style="8422" customWidth="1"/>
    <col min="15107" max="15107" width="10.109375" style="8422" customWidth="1"/>
    <col min="15108" max="15108" width="4.44140625" style="8422" customWidth="1"/>
    <col min="15109" max="15109" width="13.109375" style="8422" customWidth="1"/>
    <col min="15110" max="15110" width="12.88671875" style="8422" customWidth="1"/>
    <col min="15111" max="15112" width="11.44140625" style="8422" customWidth="1"/>
    <col min="15113" max="15113" width="12.44140625" style="8422" customWidth="1"/>
    <col min="15114" max="15114" width="11.88671875" style="8422" customWidth="1"/>
    <col min="15115" max="15115" width="11.44140625" style="8422" customWidth="1"/>
    <col min="15116" max="15116" width="12.109375" style="8422" customWidth="1"/>
    <col min="15117" max="15117" width="12.44140625" style="8422" customWidth="1"/>
    <col min="15118" max="15118" width="14.44140625" style="8422" customWidth="1"/>
    <col min="15119" max="15361" width="9.109375" style="8422"/>
    <col min="15362" max="15362" width="18.109375" style="8422" customWidth="1"/>
    <col min="15363" max="15363" width="10.109375" style="8422" customWidth="1"/>
    <col min="15364" max="15364" width="4.44140625" style="8422" customWidth="1"/>
    <col min="15365" max="15365" width="13.109375" style="8422" customWidth="1"/>
    <col min="15366" max="15366" width="12.88671875" style="8422" customWidth="1"/>
    <col min="15367" max="15368" width="11.44140625" style="8422" customWidth="1"/>
    <col min="15369" max="15369" width="12.44140625" style="8422" customWidth="1"/>
    <col min="15370" max="15370" width="11.88671875" style="8422" customWidth="1"/>
    <col min="15371" max="15371" width="11.44140625" style="8422" customWidth="1"/>
    <col min="15372" max="15372" width="12.109375" style="8422" customWidth="1"/>
    <col min="15373" max="15373" width="12.44140625" style="8422" customWidth="1"/>
    <col min="15374" max="15374" width="14.44140625" style="8422" customWidth="1"/>
    <col min="15375" max="15617" width="9.109375" style="8422"/>
    <col min="15618" max="15618" width="18.109375" style="8422" customWidth="1"/>
    <col min="15619" max="15619" width="10.109375" style="8422" customWidth="1"/>
    <col min="15620" max="15620" width="4.44140625" style="8422" customWidth="1"/>
    <col min="15621" max="15621" width="13.109375" style="8422" customWidth="1"/>
    <col min="15622" max="15622" width="12.88671875" style="8422" customWidth="1"/>
    <col min="15623" max="15624" width="11.44140625" style="8422" customWidth="1"/>
    <col min="15625" max="15625" width="12.44140625" style="8422" customWidth="1"/>
    <col min="15626" max="15626" width="11.88671875" style="8422" customWidth="1"/>
    <col min="15627" max="15627" width="11.44140625" style="8422" customWidth="1"/>
    <col min="15628" max="15628" width="12.109375" style="8422" customWidth="1"/>
    <col min="15629" max="15629" width="12.44140625" style="8422" customWidth="1"/>
    <col min="15630" max="15630" width="14.44140625" style="8422" customWidth="1"/>
    <col min="15631" max="15873" width="9.109375" style="8422"/>
    <col min="15874" max="15874" width="18.109375" style="8422" customWidth="1"/>
    <col min="15875" max="15875" width="10.109375" style="8422" customWidth="1"/>
    <col min="15876" max="15876" width="4.44140625" style="8422" customWidth="1"/>
    <col min="15877" max="15877" width="13.109375" style="8422" customWidth="1"/>
    <col min="15878" max="15878" width="12.88671875" style="8422" customWidth="1"/>
    <col min="15879" max="15880" width="11.44140625" style="8422" customWidth="1"/>
    <col min="15881" max="15881" width="12.44140625" style="8422" customWidth="1"/>
    <col min="15882" max="15882" width="11.88671875" style="8422" customWidth="1"/>
    <col min="15883" max="15883" width="11.44140625" style="8422" customWidth="1"/>
    <col min="15884" max="15884" width="12.109375" style="8422" customWidth="1"/>
    <col min="15885" max="15885" width="12.44140625" style="8422" customWidth="1"/>
    <col min="15886" max="15886" width="14.44140625" style="8422" customWidth="1"/>
    <col min="15887" max="16129" width="9.109375" style="8422"/>
    <col min="16130" max="16130" width="18.109375" style="8422" customWidth="1"/>
    <col min="16131" max="16131" width="10.109375" style="8422" customWidth="1"/>
    <col min="16132" max="16132" width="4.44140625" style="8422" customWidth="1"/>
    <col min="16133" max="16133" width="13.109375" style="8422" customWidth="1"/>
    <col min="16134" max="16134" width="12.88671875" style="8422" customWidth="1"/>
    <col min="16135" max="16136" width="11.44140625" style="8422" customWidth="1"/>
    <col min="16137" max="16137" width="12.44140625" style="8422" customWidth="1"/>
    <col min="16138" max="16138" width="11.88671875" style="8422" customWidth="1"/>
    <col min="16139" max="16139" width="11.44140625" style="8422" customWidth="1"/>
    <col min="16140" max="16140" width="12.109375" style="8422" customWidth="1"/>
    <col min="16141" max="16141" width="12.44140625" style="8422" customWidth="1"/>
    <col min="16142" max="16142" width="14.44140625" style="8422" customWidth="1"/>
    <col min="16143" max="16384" width="9.109375" style="8422"/>
  </cols>
  <sheetData>
    <row r="1" spans="1:14" ht="15" customHeight="1">
      <c r="N1" s="8428"/>
    </row>
    <row r="2" spans="1:14" ht="15" customHeight="1"/>
    <row r="3" spans="1:14" s="8482" customFormat="1" ht="15" customHeight="1">
      <c r="A3" s="15474" t="s">
        <v>10851</v>
      </c>
      <c r="B3" s="15474"/>
      <c r="C3" s="15474"/>
      <c r="D3" s="15474"/>
      <c r="E3" s="15474"/>
      <c r="F3" s="15474"/>
      <c r="G3" s="15474"/>
      <c r="H3" s="15474"/>
      <c r="I3" s="15474"/>
      <c r="J3" s="15474"/>
      <c r="K3" s="15474"/>
      <c r="L3" s="15474"/>
      <c r="M3" s="15474"/>
      <c r="N3" s="8420"/>
    </row>
    <row r="4" spans="1:14" s="8482" customFormat="1" ht="15" customHeight="1">
      <c r="A4" s="15475" t="s">
        <v>11903</v>
      </c>
      <c r="B4" s="15475"/>
      <c r="C4" s="15475"/>
      <c r="D4" s="15475"/>
      <c r="E4" s="15475"/>
      <c r="F4" s="15475"/>
      <c r="G4" s="15475"/>
      <c r="H4" s="15475"/>
      <c r="I4" s="15475"/>
      <c r="J4" s="15475"/>
      <c r="K4" s="15475"/>
      <c r="L4" s="15475"/>
      <c r="M4" s="15475"/>
      <c r="N4" s="8421"/>
    </row>
    <row r="5" spans="1:14" s="8420" customFormat="1" ht="15" customHeight="1">
      <c r="A5" s="15475" t="s">
        <v>1625</v>
      </c>
      <c r="B5" s="15475"/>
      <c r="C5" s="15475"/>
      <c r="D5" s="15475"/>
      <c r="E5" s="15475"/>
      <c r="F5" s="15475"/>
      <c r="G5" s="15475"/>
      <c r="H5" s="15475"/>
      <c r="I5" s="15475"/>
      <c r="J5" s="15475"/>
      <c r="K5" s="15475"/>
      <c r="L5" s="15475"/>
      <c r="M5" s="15475"/>
      <c r="N5" s="8421"/>
    </row>
    <row r="6" spans="1:14" ht="15" customHeight="1" thickBot="1">
      <c r="A6" s="8429"/>
      <c r="B6" s="8468"/>
      <c r="C6" s="8439"/>
      <c r="D6" s="8429"/>
      <c r="E6" s="8429"/>
      <c r="F6" s="8429"/>
      <c r="G6" s="8429"/>
      <c r="H6" s="8429"/>
      <c r="I6" s="8429"/>
      <c r="J6" s="8429"/>
      <c r="K6" s="8429"/>
      <c r="L6" s="8429"/>
      <c r="M6" s="8430"/>
      <c r="N6" s="8429"/>
    </row>
    <row r="7" spans="1:14" s="8432" customFormat="1" ht="15" customHeight="1">
      <c r="A7" s="15476" t="s">
        <v>828</v>
      </c>
      <c r="B7" s="8469" t="s">
        <v>829</v>
      </c>
      <c r="C7" s="8443" t="s">
        <v>830</v>
      </c>
      <c r="D7" s="15478" t="s">
        <v>10861</v>
      </c>
      <c r="E7" s="15481" t="s">
        <v>10852</v>
      </c>
      <c r="F7" s="15480" t="s">
        <v>11901</v>
      </c>
      <c r="G7" s="15480"/>
      <c r="H7" s="15480"/>
      <c r="I7" s="15480" t="s">
        <v>11902</v>
      </c>
      <c r="J7" s="15480"/>
      <c r="K7" s="15480"/>
      <c r="L7" s="8444" t="s">
        <v>831</v>
      </c>
      <c r="M7" s="15483" t="s">
        <v>11392</v>
      </c>
      <c r="N7" s="8431"/>
    </row>
    <row r="8" spans="1:14" s="8432" customFormat="1" ht="15" customHeight="1">
      <c r="A8" s="15477"/>
      <c r="B8" s="8470"/>
      <c r="C8" s="8445"/>
      <c r="D8" s="15479"/>
      <c r="E8" s="15482"/>
      <c r="F8" s="8446" t="s">
        <v>833</v>
      </c>
      <c r="G8" s="8446" t="s">
        <v>832</v>
      </c>
      <c r="H8" s="8447" t="s">
        <v>458</v>
      </c>
      <c r="I8" s="8446" t="s">
        <v>833</v>
      </c>
      <c r="J8" s="8446" t="s">
        <v>832</v>
      </c>
      <c r="K8" s="8447" t="s">
        <v>458</v>
      </c>
      <c r="L8" s="8446" t="s">
        <v>832</v>
      </c>
      <c r="M8" s="15484"/>
      <c r="N8" s="8419" t="s">
        <v>458</v>
      </c>
    </row>
    <row r="9" spans="1:14" s="8484" customFormat="1" ht="15" customHeight="1">
      <c r="A9" s="8446"/>
      <c r="B9" s="8483"/>
      <c r="C9" s="8446"/>
      <c r="D9" s="8446"/>
      <c r="E9" s="8446"/>
      <c r="F9" s="8446"/>
      <c r="G9" s="8446"/>
      <c r="H9" s="8447"/>
      <c r="I9" s="8446"/>
      <c r="J9" s="8446"/>
      <c r="K9" s="8447"/>
      <c r="L9" s="8446"/>
      <c r="M9" s="8513"/>
      <c r="N9" s="8419"/>
    </row>
    <row r="10" spans="1:14" s="8485" customFormat="1" ht="15" customHeight="1">
      <c r="A10" s="8448"/>
      <c r="B10" s="8471"/>
      <c r="C10" s="8449"/>
      <c r="D10" s="8448"/>
      <c r="E10" s="8448"/>
      <c r="F10" s="8448"/>
      <c r="G10" s="8448"/>
      <c r="H10" s="8450"/>
      <c r="I10" s="8448"/>
      <c r="J10" s="8448"/>
      <c r="K10" s="8450"/>
      <c r="L10" s="8448"/>
      <c r="M10" s="8455"/>
      <c r="N10" s="8441"/>
    </row>
    <row r="11" spans="1:14" ht="15" hidden="1" customHeight="1">
      <c r="A11" s="8448" t="s">
        <v>10859</v>
      </c>
      <c r="B11" s="8471">
        <v>39972</v>
      </c>
      <c r="C11" s="8449" t="s">
        <v>10855</v>
      </c>
      <c r="D11" s="8452">
        <v>147460000</v>
      </c>
      <c r="E11" s="8452" t="s">
        <v>10853</v>
      </c>
      <c r="F11" s="8452"/>
      <c r="G11" s="8453"/>
      <c r="H11" s="8451">
        <f>SUM(F11:G11)</f>
        <v>0</v>
      </c>
      <c r="I11" s="8452"/>
      <c r="J11" s="8453"/>
      <c r="K11" s="8451"/>
      <c r="L11" s="8454"/>
      <c r="M11" s="8455"/>
      <c r="N11" s="8433"/>
    </row>
    <row r="12" spans="1:14" ht="15" hidden="1" customHeight="1">
      <c r="A12" s="8448" t="s">
        <v>10860</v>
      </c>
      <c r="B12" s="8471"/>
      <c r="C12" s="8449"/>
      <c r="D12" s="8452"/>
      <c r="E12" s="8452"/>
      <c r="F12" s="8452"/>
      <c r="G12" s="8452"/>
      <c r="H12" s="8451"/>
      <c r="I12" s="8452"/>
      <c r="J12" s="8452"/>
      <c r="K12" s="8451"/>
      <c r="L12" s="8456"/>
      <c r="M12" s="8455"/>
      <c r="N12" s="8433"/>
    </row>
    <row r="13" spans="1:14" ht="15" hidden="1" customHeight="1">
      <c r="A13" s="8448"/>
      <c r="B13" s="8471"/>
      <c r="C13" s="8449"/>
      <c r="D13" s="8452"/>
      <c r="E13" s="8452"/>
      <c r="F13" s="8452"/>
      <c r="G13" s="8452"/>
      <c r="H13" s="8451"/>
      <c r="I13" s="8452"/>
      <c r="J13" s="8452"/>
      <c r="K13" s="8451"/>
      <c r="L13" s="8456"/>
      <c r="M13" s="8455"/>
      <c r="N13" s="8433"/>
    </row>
    <row r="14" spans="1:14" ht="41.4">
      <c r="A14" s="9946" t="s">
        <v>11391</v>
      </c>
      <c r="B14" s="8471">
        <v>41348</v>
      </c>
      <c r="C14" s="8449" t="s">
        <v>10854</v>
      </c>
      <c r="D14" s="8452">
        <v>100000000</v>
      </c>
      <c r="E14" s="8457" t="s">
        <v>10856</v>
      </c>
      <c r="F14" s="8452">
        <v>11111111.119999999</v>
      </c>
      <c r="G14" s="8452">
        <v>1942757.44</v>
      </c>
      <c r="H14" s="8451">
        <f>SUM(F14:G14)</f>
        <v>13053868.559999999</v>
      </c>
      <c r="I14" s="8452">
        <v>11111111.119999999</v>
      </c>
      <c r="J14" s="8452">
        <v>1993041.67</v>
      </c>
      <c r="K14" s="9808">
        <f>SUM(I14:J14)</f>
        <v>13104152.789999999</v>
      </c>
      <c r="L14" s="8456">
        <v>0</v>
      </c>
      <c r="M14" s="8455">
        <v>36111111.060000002</v>
      </c>
      <c r="N14" s="8433">
        <v>0</v>
      </c>
    </row>
    <row r="15" spans="1:14">
      <c r="A15" s="8448"/>
      <c r="B15" s="8471"/>
      <c r="C15" s="8449"/>
      <c r="D15" s="8448"/>
      <c r="E15" s="8458" t="s">
        <v>10857</v>
      </c>
      <c r="F15" s="8448"/>
      <c r="G15" s="8448"/>
      <c r="H15" s="8450"/>
      <c r="I15" s="8448"/>
      <c r="J15" s="8448"/>
      <c r="K15" s="8450"/>
      <c r="L15" s="8448"/>
      <c r="M15" s="8455"/>
      <c r="N15" s="8434"/>
    </row>
    <row r="16" spans="1:14">
      <c r="A16" s="8448"/>
      <c r="B16" s="8471"/>
      <c r="C16" s="8449"/>
      <c r="D16" s="8448"/>
      <c r="E16" s="8448"/>
      <c r="F16" s="8448"/>
      <c r="G16" s="8448"/>
      <c r="H16" s="8450"/>
      <c r="I16" s="8448"/>
      <c r="J16" s="8448"/>
      <c r="K16" s="8450"/>
      <c r="L16" s="8448"/>
      <c r="M16" s="8455"/>
      <c r="N16" s="8434"/>
    </row>
    <row r="17" spans="1:15" s="8423" customFormat="1" ht="41.4">
      <c r="A17" s="9946" t="s">
        <v>11391</v>
      </c>
      <c r="B17" s="8471">
        <v>41348</v>
      </c>
      <c r="C17" s="8449" t="s">
        <v>10855</v>
      </c>
      <c r="D17" s="8455">
        <v>50000000</v>
      </c>
      <c r="E17" s="8457" t="s">
        <v>10856</v>
      </c>
      <c r="F17" s="8455">
        <v>7142857.1600000001</v>
      </c>
      <c r="G17" s="8455">
        <v>499096.74</v>
      </c>
      <c r="H17" s="8451">
        <f>SUM(F17:G17)</f>
        <v>7641953.9000000004</v>
      </c>
      <c r="I17" s="8455">
        <v>7142857.1600000001</v>
      </c>
      <c r="J17" s="8455">
        <v>289312.49</v>
      </c>
      <c r="K17" s="8459">
        <f>SUM(I17:J17)</f>
        <v>7432169.6500000004</v>
      </c>
      <c r="L17" s="8455">
        <v>9892183.9399999995</v>
      </c>
      <c r="M17" s="8455">
        <v>1785714.17</v>
      </c>
      <c r="N17" s="8435">
        <f>SUM(L17:M17)</f>
        <v>11677898.109999999</v>
      </c>
    </row>
    <row r="18" spans="1:15" s="8423" customFormat="1">
      <c r="A18" s="8448"/>
      <c r="B18" s="8472"/>
      <c r="C18" s="8460"/>
      <c r="D18" s="8455"/>
      <c r="E18" s="8461" t="s">
        <v>10858</v>
      </c>
      <c r="F18" s="8455"/>
      <c r="G18" s="8455"/>
      <c r="H18" s="8459"/>
      <c r="I18" s="8455"/>
      <c r="J18" s="8455"/>
      <c r="K18" s="8459"/>
      <c r="L18" s="8455"/>
      <c r="M18" s="8455"/>
      <c r="N18" s="8424"/>
      <c r="O18" s="8425"/>
    </row>
    <row r="19" spans="1:15" s="8423" customFormat="1">
      <c r="A19" s="8455"/>
      <c r="B19" s="8472"/>
      <c r="C19" s="8460"/>
      <c r="D19" s="8455"/>
      <c r="E19" s="8455"/>
      <c r="F19" s="8455"/>
      <c r="G19" s="8455"/>
      <c r="H19" s="8459"/>
      <c r="I19" s="8455"/>
      <c r="J19" s="8455"/>
      <c r="K19" s="8459"/>
      <c r="L19" s="8455"/>
      <c r="M19" s="8455"/>
      <c r="N19" s="8440"/>
    </row>
    <row r="20" spans="1:15" s="8423" customFormat="1" ht="41.4" hidden="1">
      <c r="A20" s="8448" t="s">
        <v>10859</v>
      </c>
      <c r="B20" s="8472"/>
      <c r="C20" s="8466" t="s">
        <v>10862</v>
      </c>
      <c r="D20" s="8455">
        <v>250000000</v>
      </c>
      <c r="E20" s="8457" t="s">
        <v>10856</v>
      </c>
      <c r="F20" s="8455"/>
      <c r="G20" s="8455"/>
      <c r="H20" s="8451">
        <f>SUM(F20:G20)</f>
        <v>0</v>
      </c>
      <c r="I20" s="8455"/>
      <c r="J20" s="8455"/>
      <c r="K20" s="8459">
        <f>SUM(I20:J20)</f>
        <v>0</v>
      </c>
      <c r="L20" s="8455"/>
      <c r="M20" s="8455"/>
      <c r="N20" s="8440"/>
    </row>
    <row r="21" spans="1:15" s="8423" customFormat="1" hidden="1">
      <c r="A21" s="8448" t="s">
        <v>10860</v>
      </c>
      <c r="B21" s="8472"/>
      <c r="C21" s="8460"/>
      <c r="D21" s="8455"/>
      <c r="E21" s="8455"/>
      <c r="F21" s="8455"/>
      <c r="G21" s="8455"/>
      <c r="H21" s="8459"/>
      <c r="I21" s="8455"/>
      <c r="J21" s="8455"/>
      <c r="K21" s="8459"/>
      <c r="L21" s="8455"/>
      <c r="M21" s="8455"/>
      <c r="N21" s="8440"/>
    </row>
    <row r="22" spans="1:15" hidden="1">
      <c r="A22" s="8448"/>
      <c r="B22" s="8471"/>
      <c r="C22" s="8449"/>
      <c r="D22" s="8448"/>
      <c r="E22" s="8448"/>
      <c r="F22" s="8448"/>
      <c r="G22" s="8448"/>
      <c r="H22" s="8450"/>
      <c r="I22" s="8448"/>
      <c r="J22" s="8448"/>
      <c r="K22" s="8450"/>
      <c r="L22" s="8448"/>
      <c r="M22" s="8455"/>
      <c r="N22" s="8441"/>
    </row>
    <row r="23" spans="1:15">
      <c r="A23" s="8448"/>
      <c r="B23" s="8471"/>
      <c r="C23" s="8449"/>
      <c r="D23" s="8448"/>
      <c r="E23" s="8448"/>
      <c r="F23" s="8448"/>
      <c r="G23" s="8448"/>
      <c r="H23" s="8450"/>
      <c r="I23" s="8448"/>
      <c r="J23" s="8448"/>
      <c r="K23" s="8450"/>
      <c r="L23" s="8448"/>
      <c r="M23" s="8455"/>
      <c r="N23" s="8441"/>
    </row>
    <row r="24" spans="1:15" s="8436" customFormat="1" ht="14.4" thickBot="1">
      <c r="A24" s="8462" t="s">
        <v>220</v>
      </c>
      <c r="B24" s="8473"/>
      <c r="C24" s="8462"/>
      <c r="D24" s="8463">
        <f>SUM(D11:D23)</f>
        <v>547460000</v>
      </c>
      <c r="E24" s="8463"/>
      <c r="F24" s="8464">
        <f>SUM(F11:F23)</f>
        <v>18253968.280000001</v>
      </c>
      <c r="G24" s="8464">
        <f>SUM(G11:G23)</f>
        <v>2441854.1799999997</v>
      </c>
      <c r="H24" s="8463">
        <f t="shared" ref="H24:N24" si="0">SUM(H11:H23)</f>
        <v>20695822.460000001</v>
      </c>
      <c r="I24" s="8464">
        <f t="shared" si="0"/>
        <v>18253968.280000001</v>
      </c>
      <c r="J24" s="8464">
        <f t="shared" si="0"/>
        <v>2282354.16</v>
      </c>
      <c r="K24" s="8463">
        <f t="shared" si="0"/>
        <v>20536322.439999998</v>
      </c>
      <c r="L24" s="8463">
        <f t="shared" si="0"/>
        <v>9892183.9399999995</v>
      </c>
      <c r="M24" s="8465">
        <f t="shared" si="0"/>
        <v>37896825.230000004</v>
      </c>
      <c r="N24" s="8442">
        <f t="shared" si="0"/>
        <v>11677898.109999999</v>
      </c>
    </row>
    <row r="25" spans="1:15" ht="15" customHeight="1"/>
    <row r="26" spans="1:15" s="8475" customFormat="1" ht="15" hidden="1" customHeight="1">
      <c r="A26" s="8478" t="s">
        <v>10863</v>
      </c>
      <c r="C26" s="8477"/>
      <c r="E26" s="8478"/>
      <c r="F26" s="8478"/>
      <c r="H26" s="8479"/>
      <c r="I26" s="8479"/>
      <c r="J26" s="8478"/>
      <c r="K26" s="8479"/>
      <c r="M26" s="8480"/>
    </row>
    <row r="27" spans="1:15" s="8475" customFormat="1" ht="15" hidden="1" customHeight="1">
      <c r="B27" s="8476"/>
      <c r="C27" s="8477"/>
      <c r="D27" s="8478"/>
      <c r="E27" s="8478"/>
      <c r="F27" s="8478"/>
      <c r="H27" s="8479"/>
      <c r="I27" s="8479"/>
      <c r="J27" s="8478"/>
      <c r="K27" s="8479"/>
      <c r="M27" s="8480"/>
    </row>
    <row r="28" spans="1:15" s="8475" customFormat="1" ht="15" hidden="1" customHeight="1">
      <c r="A28" s="8512" t="s">
        <v>3483</v>
      </c>
      <c r="B28" s="8478"/>
      <c r="C28" s="8478"/>
      <c r="F28" s="8478"/>
      <c r="G28" s="8475" t="s">
        <v>3485</v>
      </c>
      <c r="H28" s="8479"/>
      <c r="I28" s="8479"/>
      <c r="J28" s="8478"/>
      <c r="K28" s="8479"/>
      <c r="M28" s="8480"/>
    </row>
    <row r="29" spans="1:15" s="8475" customFormat="1" ht="15" hidden="1" customHeight="1">
      <c r="A29" s="8477"/>
      <c r="B29" s="8478"/>
      <c r="C29" s="8478"/>
      <c r="F29" s="8478"/>
      <c r="H29" s="8479"/>
      <c r="I29" s="8479"/>
      <c r="J29" s="8478"/>
      <c r="K29" s="8479"/>
      <c r="M29" s="8480"/>
    </row>
    <row r="30" spans="1:15" s="8479" customFormat="1" ht="15" hidden="1" customHeight="1">
      <c r="A30" s="8481"/>
      <c r="B30" s="15473" t="s">
        <v>9488</v>
      </c>
      <c r="C30" s="15473"/>
      <c r="H30" s="15473" t="s">
        <v>5182</v>
      </c>
      <c r="I30" s="15473"/>
      <c r="M30" s="8426"/>
    </row>
    <row r="31" spans="1:15" s="8475" customFormat="1" ht="15" hidden="1" customHeight="1">
      <c r="A31" s="8477"/>
      <c r="B31" s="15472" t="s">
        <v>747</v>
      </c>
      <c r="C31" s="15472"/>
      <c r="H31" s="15472" t="s">
        <v>737</v>
      </c>
      <c r="I31" s="15472"/>
      <c r="M31" s="8480"/>
    </row>
    <row r="32" spans="1:15" s="8427" customFormat="1" ht="15" customHeight="1">
      <c r="B32" s="8474"/>
      <c r="C32" s="8428"/>
      <c r="M32" s="8437"/>
    </row>
    <row r="33" ht="21.75" customHeight="1"/>
    <row r="34" ht="19.5" customHeight="1"/>
    <row r="35" ht="19.5" customHeight="1"/>
  </sheetData>
  <mergeCells count="13">
    <mergeCell ref="B31:C31"/>
    <mergeCell ref="B30:C30"/>
    <mergeCell ref="H30:I30"/>
    <mergeCell ref="H31:I31"/>
    <mergeCell ref="A3:M3"/>
    <mergeCell ref="A4:M4"/>
    <mergeCell ref="A7:A8"/>
    <mergeCell ref="D7:D8"/>
    <mergeCell ref="A5:M5"/>
    <mergeCell ref="F7:H7"/>
    <mergeCell ref="I7:K7"/>
    <mergeCell ref="E7:E8"/>
    <mergeCell ref="M7:M8"/>
  </mergeCells>
  <printOptions horizontalCentered="1"/>
  <pageMargins left="0.25" right="0.25" top="0.5" bottom="0.25" header="0.25" footer="0.25"/>
  <pageSetup paperSize="119" scale="90" orientation="landscape" r:id="rId1"/>
</worksheet>
</file>

<file path=xl/worksheets/sheet205.xml><?xml version="1.0" encoding="utf-8"?>
<worksheet xmlns="http://schemas.openxmlformats.org/spreadsheetml/2006/main" xmlns:r="http://schemas.openxmlformats.org/officeDocument/2006/relationships">
  <sheetPr codeName="Sheet199">
    <tabColor rgb="FFFF0000"/>
  </sheetPr>
  <dimension ref="A1:AH51"/>
  <sheetViews>
    <sheetView workbookViewId="0">
      <pane xSplit="1" ySplit="4" topLeftCell="N5" activePane="bottomRight" state="frozen"/>
      <selection activeCell="B15" sqref="B15:I15"/>
      <selection pane="topRight" activeCell="B15" sqref="B15:I15"/>
      <selection pane="bottomLeft" activeCell="B15" sqref="B15:I15"/>
      <selection pane="bottomRight" activeCell="X26" sqref="X26"/>
    </sheetView>
  </sheetViews>
  <sheetFormatPr defaultColWidth="12.109375" defaultRowHeight="15.6"/>
  <cols>
    <col min="1" max="1" width="10.44140625" style="1420" customWidth="1"/>
    <col min="2" max="2" width="4.109375" style="1470" customWidth="1"/>
    <col min="3" max="3" width="12.88671875" style="1420" customWidth="1"/>
    <col min="4" max="4" width="3.88671875" style="1470" customWidth="1"/>
    <col min="5" max="5" width="12.109375" style="1420" customWidth="1"/>
    <col min="6" max="6" width="4.109375" style="1470" customWidth="1"/>
    <col min="7" max="7" width="12.44140625" style="1420" customWidth="1"/>
    <col min="8" max="8" width="4.44140625" style="1470" customWidth="1"/>
    <col min="9" max="9" width="12.88671875" style="1420" customWidth="1"/>
    <col min="10" max="10" width="5.44140625" style="1470" customWidth="1"/>
    <col min="11" max="11" width="11.44140625" style="1420" customWidth="1"/>
    <col min="12" max="12" width="13.44140625" style="1420" customWidth="1"/>
    <col min="13" max="13" width="6.44140625" style="1464" customWidth="1"/>
    <col min="14" max="14" width="6" style="1470" customWidth="1"/>
    <col min="15" max="15" width="11.88671875" style="1420" customWidth="1"/>
    <col min="16" max="16" width="17.109375" style="1465" customWidth="1"/>
    <col min="17" max="17" width="0.88671875" style="1394" customWidth="1"/>
    <col min="18" max="18" width="4" style="1470" customWidth="1"/>
    <col min="19" max="19" width="11.109375" style="1420" customWidth="1"/>
    <col min="20" max="20" width="7" style="1420" customWidth="1"/>
    <col min="21" max="21" width="12.88671875" style="1420" customWidth="1"/>
    <col min="22" max="22" width="0.44140625" style="1394" customWidth="1"/>
    <col min="23" max="23" width="4.44140625" style="1466" customWidth="1"/>
    <col min="24" max="24" width="12.88671875" style="1420" customWidth="1"/>
    <col min="25" max="25" width="12.88671875" style="1467" customWidth="1"/>
    <col min="26" max="26" width="5.109375" style="1468" customWidth="1"/>
    <col min="27" max="27" width="5.88671875" style="1469" customWidth="1"/>
    <col min="28" max="28" width="13.88671875" style="1420" customWidth="1"/>
    <col min="29" max="16384" width="12.109375" style="1420"/>
  </cols>
  <sheetData>
    <row r="1" spans="1:33" s="1499" customFormat="1" ht="20.25" customHeight="1">
      <c r="A1" s="1491" t="s">
        <v>5030</v>
      </c>
      <c r="B1" s="1492"/>
      <c r="C1" s="1491"/>
      <c r="D1" s="1492"/>
      <c r="E1" s="1491"/>
      <c r="F1" s="1492"/>
      <c r="G1" s="1491"/>
      <c r="H1" s="1492"/>
      <c r="I1" s="1491"/>
      <c r="J1" s="1492"/>
      <c r="K1" s="1491"/>
      <c r="L1" s="1491"/>
      <c r="M1" s="1493"/>
      <c r="N1" s="1492"/>
      <c r="O1" s="1491"/>
      <c r="P1" s="1494"/>
      <c r="Q1" s="1491"/>
      <c r="R1" s="1492"/>
      <c r="S1" s="1491"/>
      <c r="T1" s="15487" t="s">
        <v>9</v>
      </c>
      <c r="U1" s="15487"/>
      <c r="V1" s="1495"/>
      <c r="W1" s="1496"/>
      <c r="X1" s="1495"/>
      <c r="Y1" s="1497"/>
      <c r="Z1" s="1498"/>
      <c r="AA1" s="1496"/>
    </row>
    <row r="2" spans="1:33" s="1394" customFormat="1" ht="6" hidden="1" customHeight="1">
      <c r="A2" s="1390"/>
      <c r="B2" s="1395"/>
      <c r="C2" s="1390"/>
      <c r="D2" s="1395"/>
      <c r="E2" s="1390"/>
      <c r="F2" s="1395"/>
      <c r="G2" s="1390"/>
      <c r="H2" s="1395"/>
      <c r="I2" s="1390"/>
      <c r="J2" s="1395"/>
      <c r="K2" s="1390"/>
      <c r="L2" s="1390"/>
      <c r="M2" s="1396"/>
      <c r="N2" s="1395"/>
      <c r="O2" s="1390"/>
      <c r="P2" s="1397"/>
      <c r="Q2" s="1390"/>
      <c r="R2" s="1395"/>
      <c r="S2" s="1390"/>
      <c r="T2" s="1390"/>
      <c r="U2" s="1390"/>
      <c r="V2" s="1390"/>
      <c r="W2" s="1391"/>
      <c r="X2" s="1390"/>
      <c r="Y2" s="1392"/>
      <c r="Z2" s="1393"/>
      <c r="AA2" s="1391"/>
    </row>
    <row r="3" spans="1:33" s="1404" customFormat="1" ht="13.2">
      <c r="A3" s="15485" t="s">
        <v>216</v>
      </c>
      <c r="B3" s="15485" t="s">
        <v>846</v>
      </c>
      <c r="C3" s="1398" t="s">
        <v>3049</v>
      </c>
      <c r="D3" s="15485" t="s">
        <v>846</v>
      </c>
      <c r="E3" s="1398" t="s">
        <v>3050</v>
      </c>
      <c r="F3" s="15485" t="s">
        <v>846</v>
      </c>
      <c r="G3" s="1398" t="s">
        <v>3051</v>
      </c>
      <c r="H3" s="15485" t="s">
        <v>846</v>
      </c>
      <c r="I3" s="1398" t="s">
        <v>3052</v>
      </c>
      <c r="J3" s="15485" t="s">
        <v>846</v>
      </c>
      <c r="K3" s="1398" t="s">
        <v>3053</v>
      </c>
      <c r="L3" s="1398" t="s">
        <v>220</v>
      </c>
      <c r="M3" s="15488" t="s">
        <v>4816</v>
      </c>
      <c r="N3" s="15485" t="s">
        <v>846</v>
      </c>
      <c r="O3" s="1398" t="s">
        <v>3054</v>
      </c>
      <c r="P3" s="1399" t="s">
        <v>220</v>
      </c>
      <c r="Q3" s="1400"/>
      <c r="R3" s="15485" t="s">
        <v>846</v>
      </c>
      <c r="S3" s="1398" t="s">
        <v>3055</v>
      </c>
      <c r="T3" s="1398" t="s">
        <v>3056</v>
      </c>
      <c r="U3" s="1398" t="s">
        <v>3057</v>
      </c>
      <c r="V3" s="1400"/>
      <c r="W3" s="15485" t="s">
        <v>846</v>
      </c>
      <c r="X3" s="1398" t="s">
        <v>3054</v>
      </c>
      <c r="Y3" s="1398" t="s">
        <v>220</v>
      </c>
      <c r="Z3" s="1401"/>
      <c r="AA3" s="1402"/>
      <c r="AB3" s="1403"/>
      <c r="AC3" s="1403"/>
      <c r="AD3" s="1403"/>
      <c r="AE3" s="1403"/>
      <c r="AF3" s="1403"/>
      <c r="AG3" s="1403"/>
    </row>
    <row r="4" spans="1:33" s="1409" customFormat="1" ht="13.2">
      <c r="A4" s="15486"/>
      <c r="B4" s="15486"/>
      <c r="C4" s="1405" t="s">
        <v>3058</v>
      </c>
      <c r="D4" s="15486"/>
      <c r="E4" s="1405" t="s">
        <v>3058</v>
      </c>
      <c r="F4" s="15486"/>
      <c r="G4" s="1405" t="s">
        <v>3059</v>
      </c>
      <c r="H4" s="15486"/>
      <c r="I4" s="1405" t="s">
        <v>3059</v>
      </c>
      <c r="J4" s="15486"/>
      <c r="K4" s="1405" t="s">
        <v>3060</v>
      </c>
      <c r="L4" s="1405" t="s">
        <v>3061</v>
      </c>
      <c r="M4" s="15489"/>
      <c r="N4" s="15486"/>
      <c r="O4" s="1405" t="s">
        <v>1034</v>
      </c>
      <c r="P4" s="1406" t="s">
        <v>3062</v>
      </c>
      <c r="Q4" s="1407"/>
      <c r="R4" s="15486"/>
      <c r="S4" s="1405"/>
      <c r="T4" s="1405"/>
      <c r="U4" s="1405" t="s">
        <v>3063</v>
      </c>
      <c r="V4" s="1407"/>
      <c r="W4" s="15486"/>
      <c r="X4" s="1405" t="s">
        <v>3064</v>
      </c>
      <c r="Y4" s="1405" t="s">
        <v>3063</v>
      </c>
      <c r="Z4" s="1401"/>
      <c r="AA4" s="1402"/>
      <c r="AB4" s="1408"/>
      <c r="AC4" s="1408"/>
      <c r="AD4" s="1408"/>
      <c r="AE4" s="1408"/>
      <c r="AF4" s="1408"/>
      <c r="AG4" s="1408"/>
    </row>
    <row r="5" spans="1:33" ht="6.75" customHeight="1">
      <c r="A5" s="1410"/>
      <c r="B5" s="1411"/>
      <c r="C5" s="1411"/>
      <c r="D5" s="1411"/>
      <c r="E5" s="1411"/>
      <c r="F5" s="1411"/>
      <c r="G5" s="1411"/>
      <c r="H5" s="1411"/>
      <c r="I5" s="1411"/>
      <c r="J5" s="1411"/>
      <c r="K5" s="1411"/>
      <c r="L5" s="1411"/>
      <c r="M5" s="1412"/>
      <c r="N5" s="1411"/>
      <c r="O5" s="1411"/>
      <c r="P5" s="1413"/>
      <c r="Q5" s="1414"/>
      <c r="R5" s="1411"/>
      <c r="S5" s="1411"/>
      <c r="T5" s="1411"/>
      <c r="U5" s="1411"/>
      <c r="V5" s="1414"/>
      <c r="W5" s="1415"/>
      <c r="X5" s="1411"/>
      <c r="Y5" s="1416"/>
      <c r="Z5" s="1417"/>
      <c r="AA5" s="1418"/>
      <c r="AB5" s="1419"/>
      <c r="AC5" s="1419"/>
      <c r="AD5" s="1419"/>
      <c r="AE5" s="1419"/>
      <c r="AF5" s="1419"/>
      <c r="AG5" s="1419"/>
    </row>
    <row r="6" spans="1:33" s="1394" customFormat="1" ht="14.4">
      <c r="A6" s="1471" t="s">
        <v>568</v>
      </c>
      <c r="B6" s="1472">
        <v>2</v>
      </c>
      <c r="C6" s="1473">
        <v>1643688</v>
      </c>
      <c r="D6" s="1472">
        <v>1</v>
      </c>
      <c r="E6" s="1473">
        <v>630564</v>
      </c>
      <c r="F6" s="1472">
        <f>SUM('staffing-GOV'!B18:B23)</f>
        <v>5</v>
      </c>
      <c r="G6" s="1473">
        <f>SUM('staffing-GOV'!F18:F23)</f>
        <v>2787324</v>
      </c>
      <c r="H6" s="1472">
        <f>SUM('staffing-GOV'!B27:B29)</f>
        <v>8</v>
      </c>
      <c r="I6" s="1445">
        <f>SUM('staffing-GOV'!F27:F30)</f>
        <v>1233060</v>
      </c>
      <c r="J6" s="1472">
        <f>SUM('staffing-GOV'!B35:B45)</f>
        <v>14</v>
      </c>
      <c r="K6" s="1473">
        <f>SUM('staffing-GOV'!F35:F46)</f>
        <v>2347248</v>
      </c>
      <c r="L6" s="1473">
        <f>C6+E6+G6+I6+K6</f>
        <v>8641884</v>
      </c>
      <c r="M6" s="1441">
        <f>B6+D6+F6+H6+J6</f>
        <v>30</v>
      </c>
      <c r="N6" s="1472">
        <f>'staffing-GOV'!B79</f>
        <v>4</v>
      </c>
      <c r="O6" s="1473">
        <f>'staffing-GOV'!F79</f>
        <v>548040</v>
      </c>
      <c r="P6" s="1442">
        <f>L6+O6</f>
        <v>9189924</v>
      </c>
      <c r="Q6" s="1473"/>
      <c r="R6" s="1472"/>
      <c r="S6" s="1474"/>
      <c r="T6" s="1473"/>
      <c r="U6" s="1473"/>
      <c r="V6" s="1474"/>
      <c r="W6" s="1440"/>
      <c r="X6" s="1473"/>
      <c r="Y6" s="1475">
        <v>0</v>
      </c>
      <c r="Z6" s="1476">
        <f>M6+N6</f>
        <v>34</v>
      </c>
      <c r="AA6" s="1477">
        <f>SUM(B6,D6,F6,H6,J6,N6)</f>
        <v>34</v>
      </c>
      <c r="AB6" s="1463"/>
      <c r="AC6" s="1463"/>
      <c r="AD6" s="1463"/>
      <c r="AE6" s="1463"/>
      <c r="AF6" s="1463"/>
      <c r="AG6" s="1463"/>
    </row>
    <row r="7" spans="1:33" s="1394" customFormat="1" ht="14.4">
      <c r="A7" s="1471" t="s">
        <v>678</v>
      </c>
      <c r="B7" s="1472"/>
      <c r="C7" s="1473"/>
      <c r="D7" s="1472"/>
      <c r="E7" s="1473"/>
      <c r="F7" s="1472"/>
      <c r="G7" s="1473"/>
      <c r="H7" s="1472">
        <v>1</v>
      </c>
      <c r="I7" s="1445">
        <v>301932</v>
      </c>
      <c r="J7" s="1472">
        <v>2</v>
      </c>
      <c r="K7" s="1473">
        <v>542688</v>
      </c>
      <c r="L7" s="1473">
        <f>C7+E7+G7+I7+K7</f>
        <v>844620</v>
      </c>
      <c r="M7" s="1441">
        <f t="shared" ref="M7:M16" si="0">B7+D7+F7+H7+J7</f>
        <v>3</v>
      </c>
      <c r="N7" s="1472">
        <f>'staffing-PIAO'!B37</f>
        <v>3</v>
      </c>
      <c r="O7" s="1473">
        <f>'staffing-PIAO'!F37</f>
        <v>630912</v>
      </c>
      <c r="P7" s="1442">
        <f>L7+O7</f>
        <v>1475532</v>
      </c>
      <c r="Q7" s="1473"/>
      <c r="R7" s="1472"/>
      <c r="S7" s="1474"/>
      <c r="T7" s="1473"/>
      <c r="U7" s="1473"/>
      <c r="V7" s="1474"/>
      <c r="W7" s="1440"/>
      <c r="X7" s="1473"/>
      <c r="Y7" s="1475"/>
      <c r="Z7" s="1476">
        <f t="shared" ref="Z7:Z16" si="1">M7+N7</f>
        <v>6</v>
      </c>
      <c r="AA7" s="1477">
        <f>M7+N7</f>
        <v>6</v>
      </c>
      <c r="AB7" s="1463"/>
      <c r="AC7" s="1463"/>
      <c r="AD7" s="1463"/>
      <c r="AE7" s="1463"/>
      <c r="AF7" s="1463"/>
      <c r="AG7" s="1463"/>
    </row>
    <row r="8" spans="1:33" s="1394" customFormat="1" ht="14.4">
      <c r="A8" s="1471" t="s">
        <v>569</v>
      </c>
      <c r="B8" s="1472">
        <v>15</v>
      </c>
      <c r="C8" s="1473">
        <v>11332308</v>
      </c>
      <c r="D8" s="1472"/>
      <c r="E8" s="1473"/>
      <c r="F8" s="1472">
        <v>2</v>
      </c>
      <c r="G8" s="1473">
        <v>788400</v>
      </c>
      <c r="H8" s="1472"/>
      <c r="I8" s="1473"/>
      <c r="J8" s="1472">
        <v>46</v>
      </c>
      <c r="K8" s="1473">
        <v>6620928</v>
      </c>
      <c r="L8" s="1473">
        <f t="shared" ref="L8:L15" si="2">C8+E8+G8+I8+K8</f>
        <v>18741636</v>
      </c>
      <c r="M8" s="1441">
        <f t="shared" si="0"/>
        <v>63</v>
      </c>
      <c r="N8" s="1472">
        <v>17</v>
      </c>
      <c r="O8" s="1473">
        <v>4652976</v>
      </c>
      <c r="P8" s="1442">
        <f t="shared" ref="P8:P16" si="3">L8+O8</f>
        <v>23394612</v>
      </c>
      <c r="Q8" s="1473"/>
      <c r="R8" s="1472">
        <v>18</v>
      </c>
      <c r="S8" s="1445">
        <v>4117020</v>
      </c>
      <c r="T8" s="1473"/>
      <c r="U8" s="1473">
        <f>S8+T8</f>
        <v>4117020</v>
      </c>
      <c r="V8" s="1474"/>
      <c r="W8" s="1440">
        <v>1</v>
      </c>
      <c r="X8" s="1473">
        <v>207060</v>
      </c>
      <c r="Y8" s="1475">
        <f>U8+X8</f>
        <v>4324080</v>
      </c>
      <c r="Z8" s="1476">
        <f>M8+N8</f>
        <v>80</v>
      </c>
      <c r="AA8" s="1477">
        <f>SUM(B8,D8,F8,H8,J8,N8)</f>
        <v>80</v>
      </c>
      <c r="AB8" s="1463"/>
      <c r="AC8" s="1463"/>
      <c r="AD8" s="1463"/>
      <c r="AE8" s="1463"/>
      <c r="AF8" s="1463"/>
      <c r="AG8" s="1463"/>
    </row>
    <row r="9" spans="1:33" s="1394" customFormat="1" ht="14.4">
      <c r="A9" s="1471" t="s">
        <v>570</v>
      </c>
      <c r="B9" s="1472"/>
      <c r="C9" s="1473"/>
      <c r="D9" s="1472"/>
      <c r="E9" s="1473"/>
      <c r="F9" s="1472"/>
      <c r="G9" s="1473"/>
      <c r="H9" s="1472"/>
      <c r="I9" s="1473"/>
      <c r="J9" s="1472">
        <v>20</v>
      </c>
      <c r="K9" s="1473">
        <v>3719136</v>
      </c>
      <c r="L9" s="1473">
        <f t="shared" si="2"/>
        <v>3719136</v>
      </c>
      <c r="M9" s="1441">
        <f t="shared" si="0"/>
        <v>20</v>
      </c>
      <c r="N9" s="1472">
        <f>'staffing-hrmo'!B50</f>
        <v>9</v>
      </c>
      <c r="O9" s="1473">
        <f>'staffing-hrmo'!F50</f>
        <v>2548872</v>
      </c>
      <c r="P9" s="1442">
        <f t="shared" si="3"/>
        <v>6268008</v>
      </c>
      <c r="Q9" s="1473"/>
      <c r="R9" s="1472"/>
      <c r="S9" s="1445"/>
      <c r="T9" s="1473"/>
      <c r="U9" s="1473"/>
      <c r="V9" s="1474"/>
      <c r="W9" s="1440"/>
      <c r="X9" s="1473"/>
      <c r="Y9" s="1475"/>
      <c r="Z9" s="1476">
        <f t="shared" si="1"/>
        <v>29</v>
      </c>
      <c r="AA9" s="1477">
        <f t="shared" ref="AA9:AA16" si="4">SUM(B9,D9,F9,H9,J9,N9)</f>
        <v>29</v>
      </c>
      <c r="AB9" s="1463"/>
      <c r="AC9" s="1463"/>
      <c r="AD9" s="1463"/>
      <c r="AE9" s="1463"/>
      <c r="AF9" s="1463"/>
      <c r="AG9" s="1463"/>
    </row>
    <row r="10" spans="1:33" s="1394" customFormat="1" ht="14.4">
      <c r="A10" s="1471" t="s">
        <v>571</v>
      </c>
      <c r="B10" s="1472">
        <v>1</v>
      </c>
      <c r="C10" s="1473">
        <v>703992</v>
      </c>
      <c r="D10" s="1472"/>
      <c r="E10" s="1473"/>
      <c r="F10" s="1472">
        <v>15</v>
      </c>
      <c r="G10" s="1473">
        <v>5070240</v>
      </c>
      <c r="H10" s="1472">
        <v>4</v>
      </c>
      <c r="I10" s="1473">
        <v>593280</v>
      </c>
      <c r="J10" s="1472">
        <v>11</v>
      </c>
      <c r="K10" s="1473">
        <v>1620888</v>
      </c>
      <c r="L10" s="1473">
        <f t="shared" si="2"/>
        <v>7988400</v>
      </c>
      <c r="M10" s="1441">
        <f t="shared" si="0"/>
        <v>31</v>
      </c>
      <c r="N10" s="1472">
        <v>10</v>
      </c>
      <c r="O10" s="1473">
        <v>2483388</v>
      </c>
      <c r="P10" s="1442">
        <f t="shared" si="3"/>
        <v>10471788</v>
      </c>
      <c r="Q10" s="1473"/>
      <c r="R10" s="1472"/>
      <c r="S10" s="1445"/>
      <c r="T10" s="1473"/>
      <c r="U10" s="1473"/>
      <c r="V10" s="1474"/>
      <c r="W10" s="1440"/>
      <c r="X10" s="1473"/>
      <c r="Y10" s="1475"/>
      <c r="Z10" s="1476">
        <f t="shared" si="1"/>
        <v>41</v>
      </c>
      <c r="AA10" s="1477">
        <f t="shared" si="4"/>
        <v>41</v>
      </c>
      <c r="AB10" s="1463"/>
      <c r="AC10" s="1463"/>
      <c r="AD10" s="1463"/>
      <c r="AE10" s="1463"/>
      <c r="AF10" s="1463"/>
      <c r="AG10" s="1463"/>
    </row>
    <row r="11" spans="1:33" s="1394" customFormat="1" ht="14.4">
      <c r="A11" s="1471" t="s">
        <v>572</v>
      </c>
      <c r="B11" s="1472">
        <f>'staffing-pgso'!B10+'staffing-pgso'!B11</f>
        <v>1</v>
      </c>
      <c r="C11" s="1473">
        <f>'staffing-pgso'!F10+'staffing-pgso'!F11</f>
        <v>1017204</v>
      </c>
      <c r="D11" s="1472"/>
      <c r="E11" s="1473"/>
      <c r="F11" s="1472">
        <f>'staffing-pgso'!B15+'staffing-pgso'!B16+'staffing-pgso'!B17+'staffing-pgso'!B18</f>
        <v>5</v>
      </c>
      <c r="G11" s="1473">
        <f>'staffing-pgso'!F15+'staffing-pgso'!F16+'staffing-pgso'!F17+'staffing-pgso'!F18</f>
        <v>2674308</v>
      </c>
      <c r="H11" s="1472">
        <f>SUM('staffing-pgso'!B21:B39)</f>
        <v>27</v>
      </c>
      <c r="I11" s="1473">
        <f>SUM('staffing-pgso'!F21:F39)</f>
        <v>4508160</v>
      </c>
      <c r="J11" s="1472">
        <f>SUM('staffing-pgso'!B42:B52)</f>
        <v>36</v>
      </c>
      <c r="K11" s="1473">
        <f>SUM('staffing-pgso'!F42:F52)</f>
        <v>6225192</v>
      </c>
      <c r="L11" s="1473">
        <f t="shared" si="2"/>
        <v>14424864</v>
      </c>
      <c r="M11" s="1441">
        <f>B11+D11+F11+H11+J11</f>
        <v>69</v>
      </c>
      <c r="N11" s="1472">
        <f>'staffing-pgso'!B80</f>
        <v>17</v>
      </c>
      <c r="O11" s="1473">
        <f>'staffing-pgso'!F80</f>
        <v>4261896</v>
      </c>
      <c r="P11" s="1442">
        <f t="shared" si="3"/>
        <v>18686760</v>
      </c>
      <c r="Q11" s="1473"/>
      <c r="R11" s="1472"/>
      <c r="S11" s="1445"/>
      <c r="T11" s="1473"/>
      <c r="U11" s="1473"/>
      <c r="V11" s="1474"/>
      <c r="W11" s="1440"/>
      <c r="X11" s="1473"/>
      <c r="Y11" s="1475"/>
      <c r="Z11" s="1476">
        <f t="shared" si="1"/>
        <v>86</v>
      </c>
      <c r="AA11" s="1477">
        <f t="shared" si="4"/>
        <v>86</v>
      </c>
      <c r="AB11" s="1463"/>
      <c r="AC11" s="1463"/>
      <c r="AD11" s="1463"/>
      <c r="AE11" s="1463"/>
      <c r="AF11" s="1463"/>
      <c r="AG11" s="1463"/>
    </row>
    <row r="12" spans="1:33" s="1394" customFormat="1" ht="14.4">
      <c r="A12" s="1471" t="s">
        <v>573</v>
      </c>
      <c r="B12" s="1472">
        <v>1</v>
      </c>
      <c r="C12" s="1473">
        <v>735492</v>
      </c>
      <c r="D12" s="1472"/>
      <c r="E12" s="1473"/>
      <c r="F12" s="1472"/>
      <c r="G12" s="1473"/>
      <c r="H12" s="1472"/>
      <c r="I12" s="1473"/>
      <c r="J12" s="1472">
        <f>SUM('staffing-pbmo'!B20:B29)</f>
        <v>15</v>
      </c>
      <c r="K12" s="1473">
        <v>4054020</v>
      </c>
      <c r="L12" s="1473">
        <f t="shared" si="2"/>
        <v>4789512</v>
      </c>
      <c r="M12" s="1441">
        <f t="shared" si="0"/>
        <v>16</v>
      </c>
      <c r="N12" s="1472">
        <v>3</v>
      </c>
      <c r="O12" s="1473">
        <v>556812</v>
      </c>
      <c r="P12" s="1442">
        <f t="shared" si="3"/>
        <v>5346324</v>
      </c>
      <c r="Q12" s="1473"/>
      <c r="R12" s="1472"/>
      <c r="S12" s="1445"/>
      <c r="T12" s="1473"/>
      <c r="U12" s="1473"/>
      <c r="V12" s="1474"/>
      <c r="W12" s="1440"/>
      <c r="X12" s="1473"/>
      <c r="Y12" s="1475"/>
      <c r="Z12" s="1476">
        <f t="shared" si="1"/>
        <v>19</v>
      </c>
      <c r="AA12" s="1477">
        <f t="shared" si="4"/>
        <v>19</v>
      </c>
      <c r="AB12" s="1463"/>
      <c r="AC12" s="1463"/>
      <c r="AD12" s="1463"/>
      <c r="AE12" s="1463"/>
      <c r="AF12" s="1463"/>
      <c r="AG12" s="1463"/>
    </row>
    <row r="13" spans="1:33" s="1394" customFormat="1" ht="14.4">
      <c r="A13" s="1471" t="s">
        <v>574</v>
      </c>
      <c r="B13" s="1472">
        <v>2</v>
      </c>
      <c r="C13" s="1473">
        <v>1367280</v>
      </c>
      <c r="D13" s="1472"/>
      <c r="E13" s="1473"/>
      <c r="F13" s="1472">
        <v>1</v>
      </c>
      <c r="G13" s="1473">
        <v>534720</v>
      </c>
      <c r="H13" s="1472">
        <v>22</v>
      </c>
      <c r="I13" s="1473">
        <v>4713852</v>
      </c>
      <c r="J13" s="1472">
        <v>17</v>
      </c>
      <c r="K13" s="1473">
        <v>2711724</v>
      </c>
      <c r="L13" s="1473">
        <f t="shared" si="2"/>
        <v>9327576</v>
      </c>
      <c r="M13" s="1441">
        <f t="shared" si="0"/>
        <v>42</v>
      </c>
      <c r="N13" s="1472">
        <v>7</v>
      </c>
      <c r="O13" s="1473">
        <v>1127832</v>
      </c>
      <c r="P13" s="1442">
        <f t="shared" si="3"/>
        <v>10455408</v>
      </c>
      <c r="Q13" s="1473"/>
      <c r="R13" s="1472"/>
      <c r="S13" s="1445"/>
      <c r="T13" s="1473"/>
      <c r="U13" s="1473"/>
      <c r="V13" s="1474"/>
      <c r="W13" s="1440"/>
      <c r="X13" s="1473"/>
      <c r="Y13" s="1475"/>
      <c r="Z13" s="1476">
        <f t="shared" si="1"/>
        <v>49</v>
      </c>
      <c r="AA13" s="1477">
        <f t="shared" si="4"/>
        <v>49</v>
      </c>
      <c r="AB13" s="1463"/>
      <c r="AC13" s="1463"/>
      <c r="AD13" s="1463"/>
      <c r="AE13" s="1463"/>
      <c r="AF13" s="1463"/>
      <c r="AG13" s="1463"/>
    </row>
    <row r="14" spans="1:33" s="1394" customFormat="1" ht="14.4">
      <c r="A14" s="1471" t="s">
        <v>575</v>
      </c>
      <c r="B14" s="1472">
        <v>2</v>
      </c>
      <c r="C14" s="1445">
        <v>1321944</v>
      </c>
      <c r="D14" s="1472"/>
      <c r="E14" s="1445"/>
      <c r="F14" s="1472">
        <v>2</v>
      </c>
      <c r="G14" s="1445">
        <v>1081200</v>
      </c>
      <c r="H14" s="1472">
        <v>19</v>
      </c>
      <c r="I14" s="1445">
        <v>3825888</v>
      </c>
      <c r="J14" s="1472">
        <v>19</v>
      </c>
      <c r="K14" s="1445">
        <v>3356100</v>
      </c>
      <c r="L14" s="1473">
        <f t="shared" si="2"/>
        <v>9585132</v>
      </c>
      <c r="M14" s="1441">
        <f>B14+D14+F14+H14+J14</f>
        <v>42</v>
      </c>
      <c r="N14" s="1472">
        <v>14</v>
      </c>
      <c r="O14" s="1445">
        <v>2515836</v>
      </c>
      <c r="P14" s="1442">
        <f t="shared" si="3"/>
        <v>12100968</v>
      </c>
      <c r="Q14" s="1445"/>
      <c r="R14" s="1472"/>
      <c r="S14" s="1445"/>
      <c r="T14" s="1445"/>
      <c r="U14" s="1445"/>
      <c r="V14" s="1445"/>
      <c r="W14" s="1446"/>
      <c r="X14" s="1445"/>
      <c r="Y14" s="1478"/>
      <c r="Z14" s="1476">
        <f t="shared" si="1"/>
        <v>56</v>
      </c>
      <c r="AA14" s="1477">
        <f t="shared" si="4"/>
        <v>56</v>
      </c>
      <c r="AB14" s="1463"/>
      <c r="AC14" s="1463"/>
      <c r="AD14" s="1463"/>
      <c r="AE14" s="1463"/>
      <c r="AF14" s="1463"/>
      <c r="AG14" s="1463"/>
    </row>
    <row r="15" spans="1:33" s="1394" customFormat="1" ht="14.4">
      <c r="A15" s="1471" t="s">
        <v>576</v>
      </c>
      <c r="B15" s="1472">
        <v>1</v>
      </c>
      <c r="C15" s="1445">
        <v>711744</v>
      </c>
      <c r="D15" s="1472"/>
      <c r="E15" s="1445"/>
      <c r="F15" s="1472">
        <v>6</v>
      </c>
      <c r="G15" s="1445">
        <v>2582412</v>
      </c>
      <c r="H15" s="1472">
        <v>7</v>
      </c>
      <c r="I15" s="1445">
        <v>1475304</v>
      </c>
      <c r="J15" s="1472">
        <v>10</v>
      </c>
      <c r="K15" s="1445">
        <v>1440264</v>
      </c>
      <c r="L15" s="1473">
        <f t="shared" si="2"/>
        <v>6209724</v>
      </c>
      <c r="M15" s="1441">
        <f t="shared" si="0"/>
        <v>24</v>
      </c>
      <c r="N15" s="1472">
        <v>5</v>
      </c>
      <c r="O15" s="1445">
        <v>1569252</v>
      </c>
      <c r="P15" s="1442">
        <f t="shared" si="3"/>
        <v>7778976</v>
      </c>
      <c r="Q15" s="1445"/>
      <c r="R15" s="1472"/>
      <c r="S15" s="1445"/>
      <c r="T15" s="1445"/>
      <c r="U15" s="1445"/>
      <c r="V15" s="1445"/>
      <c r="W15" s="1446"/>
      <c r="X15" s="1445"/>
      <c r="Y15" s="1478"/>
      <c r="Z15" s="1476">
        <f t="shared" si="1"/>
        <v>29</v>
      </c>
      <c r="AA15" s="1477">
        <f t="shared" si="4"/>
        <v>29</v>
      </c>
      <c r="AB15" s="1463"/>
      <c r="AC15" s="1463"/>
      <c r="AD15" s="1463"/>
      <c r="AE15" s="1463"/>
      <c r="AF15" s="1463"/>
      <c r="AG15" s="1463"/>
    </row>
    <row r="16" spans="1:33" s="1394" customFormat="1" ht="14.4">
      <c r="A16" s="1471" t="s">
        <v>577</v>
      </c>
      <c r="B16" s="1472">
        <v>1</v>
      </c>
      <c r="C16" s="1445">
        <v>696336</v>
      </c>
      <c r="D16" s="1472">
        <v>0</v>
      </c>
      <c r="E16" s="1445">
        <v>0</v>
      </c>
      <c r="F16" s="1472"/>
      <c r="G16" s="1445"/>
      <c r="H16" s="1472">
        <v>7</v>
      </c>
      <c r="I16" s="1445">
        <v>1958712</v>
      </c>
      <c r="J16" s="1472">
        <v>10</v>
      </c>
      <c r="K16" s="1445">
        <v>1355064</v>
      </c>
      <c r="L16" s="1473">
        <f>C16+E16+G16+I16+K16</f>
        <v>4010112</v>
      </c>
      <c r="M16" s="1441">
        <f t="shared" si="0"/>
        <v>18</v>
      </c>
      <c r="N16" s="1472">
        <v>4</v>
      </c>
      <c r="O16" s="1445">
        <v>1305516</v>
      </c>
      <c r="P16" s="1442">
        <f t="shared" si="3"/>
        <v>5315628</v>
      </c>
      <c r="Q16" s="1445"/>
      <c r="R16" s="1472"/>
      <c r="S16" s="1445"/>
      <c r="T16" s="1445"/>
      <c r="U16" s="1445"/>
      <c r="V16" s="1445"/>
      <c r="W16" s="1446"/>
      <c r="X16" s="1445"/>
      <c r="Y16" s="1478"/>
      <c r="Z16" s="1476">
        <f t="shared" si="1"/>
        <v>22</v>
      </c>
      <c r="AA16" s="1477">
        <f t="shared" si="4"/>
        <v>22</v>
      </c>
      <c r="AB16" s="1463"/>
      <c r="AC16" s="1463"/>
      <c r="AD16" s="1463"/>
      <c r="AE16" s="1463"/>
      <c r="AF16" s="1463"/>
      <c r="AG16" s="1463"/>
    </row>
    <row r="17" spans="1:33" ht="5.25" customHeight="1">
      <c r="A17" s="1421"/>
      <c r="B17" s="1416"/>
      <c r="C17" s="1410"/>
      <c r="D17" s="1416"/>
      <c r="E17" s="1410"/>
      <c r="F17" s="1416"/>
      <c r="G17" s="1410"/>
      <c r="H17" s="1416"/>
      <c r="I17" s="1410"/>
      <c r="J17" s="1416"/>
      <c r="K17" s="1410"/>
      <c r="L17" s="1410"/>
      <c r="M17" s="1422"/>
      <c r="N17" s="1416"/>
      <c r="O17" s="1410"/>
      <c r="P17" s="1423"/>
      <c r="Q17" s="1424"/>
      <c r="R17" s="1416"/>
      <c r="S17" s="1410"/>
      <c r="T17" s="1410"/>
      <c r="U17" s="1410"/>
      <c r="V17" s="1424"/>
      <c r="W17" s="1415"/>
      <c r="X17" s="1410"/>
      <c r="Y17" s="1421"/>
      <c r="Z17" s="1425"/>
      <c r="AA17" s="1418"/>
      <c r="AB17" s="1419"/>
      <c r="AC17" s="1419"/>
      <c r="AD17" s="1419"/>
      <c r="AE17" s="1419"/>
      <c r="AF17" s="1419"/>
      <c r="AG17" s="1419"/>
    </row>
    <row r="18" spans="1:33" ht="15" thickBot="1">
      <c r="A18" s="1426" t="s">
        <v>485</v>
      </c>
      <c r="B18" s="1427">
        <f>SUM(B6:B16)</f>
        <v>26</v>
      </c>
      <c r="C18" s="1428">
        <f>SUM(C6:C16)</f>
        <v>19529988</v>
      </c>
      <c r="D18" s="1427">
        <f>SUM(D6:D16)</f>
        <v>1</v>
      </c>
      <c r="E18" s="1428">
        <f t="shared" ref="E18:O18" si="5">SUM(E6:E16)</f>
        <v>630564</v>
      </c>
      <c r="F18" s="1427">
        <f>SUM(F6:F16)</f>
        <v>36</v>
      </c>
      <c r="G18" s="1428">
        <f t="shared" si="5"/>
        <v>15518604</v>
      </c>
      <c r="H18" s="1427">
        <f>SUM(H6:H16)</f>
        <v>95</v>
      </c>
      <c r="I18" s="1428">
        <f t="shared" si="5"/>
        <v>18610188</v>
      </c>
      <c r="J18" s="1427">
        <f>SUM(J6:J16)</f>
        <v>200</v>
      </c>
      <c r="K18" s="1428">
        <f t="shared" si="5"/>
        <v>33993252</v>
      </c>
      <c r="L18" s="1428">
        <f>SUM(L6:L16)</f>
        <v>88282596</v>
      </c>
      <c r="M18" s="1429"/>
      <c r="N18" s="1427">
        <f>SUM(N6:N16)</f>
        <v>93</v>
      </c>
      <c r="O18" s="1428">
        <f t="shared" si="5"/>
        <v>22201332</v>
      </c>
      <c r="P18" s="1430">
        <f>SUM(P6:P17)</f>
        <v>110483928</v>
      </c>
      <c r="Q18" s="1431"/>
      <c r="R18" s="1427">
        <f>SUM(R6:R16)</f>
        <v>18</v>
      </c>
      <c r="S18" s="1428">
        <f t="shared" ref="S18:Y18" si="6">SUM(S6:S16)</f>
        <v>4117020</v>
      </c>
      <c r="T18" s="1428">
        <f t="shared" si="6"/>
        <v>0</v>
      </c>
      <c r="U18" s="1428">
        <f t="shared" si="6"/>
        <v>4117020</v>
      </c>
      <c r="V18" s="1431"/>
      <c r="W18" s="1432">
        <f>SUM(W6:W16)</f>
        <v>1</v>
      </c>
      <c r="X18" s="1428">
        <f t="shared" si="6"/>
        <v>207060</v>
      </c>
      <c r="Y18" s="1428">
        <f t="shared" si="6"/>
        <v>4324080</v>
      </c>
      <c r="Z18" s="1433"/>
      <c r="AA18" s="1434"/>
      <c r="AB18" s="1435">
        <f>Y18+P18</f>
        <v>114808008</v>
      </c>
      <c r="AC18" s="1419"/>
      <c r="AD18" s="1419"/>
      <c r="AE18" s="1419"/>
      <c r="AF18" s="1419"/>
      <c r="AG18" s="1419"/>
    </row>
    <row r="19" spans="1:33" ht="5.25" customHeight="1" thickTop="1">
      <c r="A19" s="1416"/>
      <c r="B19" s="1416"/>
      <c r="C19" s="1436"/>
      <c r="D19" s="1416"/>
      <c r="E19" s="1436"/>
      <c r="F19" s="1416"/>
      <c r="G19" s="1436"/>
      <c r="H19" s="1416"/>
      <c r="I19" s="1436"/>
      <c r="J19" s="1416"/>
      <c r="K19" s="1436"/>
      <c r="L19" s="1436"/>
      <c r="M19" s="1437"/>
      <c r="N19" s="1416"/>
      <c r="O19" s="1436"/>
      <c r="P19" s="1438"/>
      <c r="Q19" s="1439"/>
      <c r="R19" s="1416"/>
      <c r="S19" s="1436"/>
      <c r="T19" s="1436"/>
      <c r="U19" s="1436"/>
      <c r="V19" s="1439"/>
      <c r="W19" s="1440"/>
      <c r="X19" s="1436"/>
      <c r="Y19" s="1436"/>
      <c r="Z19" s="1433"/>
      <c r="AA19" s="774"/>
      <c r="AB19" s="1419"/>
      <c r="AC19" s="1419"/>
      <c r="AD19" s="1419"/>
      <c r="AE19" s="1419"/>
      <c r="AF19" s="1419"/>
      <c r="AG19" s="1419"/>
    </row>
    <row r="20" spans="1:33" s="1394" customFormat="1" ht="14.4">
      <c r="A20" s="1471" t="s">
        <v>578</v>
      </c>
      <c r="B20" s="1472"/>
      <c r="C20" s="1479"/>
      <c r="D20" s="1472"/>
      <c r="E20" s="1479"/>
      <c r="F20" s="1472"/>
      <c r="G20" s="1479"/>
      <c r="H20" s="1472">
        <f>SUM('staffing-bemo'!B21:B30)</f>
        <v>8</v>
      </c>
      <c r="I20" s="1479">
        <f>SUM('staffing-bemo'!F21:F30)</f>
        <v>1861116</v>
      </c>
      <c r="J20" s="1472">
        <f>SUM('staffing-bemo'!B33:B33)</f>
        <v>2</v>
      </c>
      <c r="K20" s="1479">
        <f>SUM('staffing-bemo'!F33:F33)</f>
        <v>310896</v>
      </c>
      <c r="L20" s="1473">
        <f t="shared" ref="L20:L34" si="7">C20+E20+G20+I20+K20</f>
        <v>2172012</v>
      </c>
      <c r="M20" s="1441">
        <f t="shared" ref="M20:M34" si="8">B20+D20+F20+H20+J20</f>
        <v>10</v>
      </c>
      <c r="N20" s="1472">
        <f>'staffing-bemo'!B52</f>
        <v>10</v>
      </c>
      <c r="O20" s="1479">
        <f>'staffing-bemo'!F52</f>
        <v>2263548</v>
      </c>
      <c r="P20" s="1442">
        <f t="shared" ref="P20:P34" si="9">L20+O20</f>
        <v>4435560</v>
      </c>
      <c r="Q20" s="1479"/>
      <c r="R20" s="1472"/>
      <c r="S20" s="1479"/>
      <c r="T20" s="1479"/>
      <c r="U20" s="1479"/>
      <c r="V20" s="1479"/>
      <c r="W20" s="1444"/>
      <c r="X20" s="1480"/>
      <c r="Y20" s="1480"/>
      <c r="Z20" s="1476">
        <f t="shared" ref="Z20:Z34" si="10">M20+N20</f>
        <v>20</v>
      </c>
      <c r="AA20" s="1477">
        <f t="shared" ref="AA20:AA34" si="11">SUM(B20,D20,F20,H20,J20,N20)</f>
        <v>20</v>
      </c>
      <c r="AB20" s="1463"/>
      <c r="AC20" s="1463"/>
      <c r="AD20" s="1463"/>
      <c r="AE20" s="1463"/>
      <c r="AF20" s="1463"/>
      <c r="AG20" s="1463"/>
    </row>
    <row r="21" spans="1:33" s="1394" customFormat="1" ht="14.4">
      <c r="A21" s="1471" t="s">
        <v>1727</v>
      </c>
      <c r="B21" s="1472"/>
      <c r="C21" s="1479"/>
      <c r="D21" s="1472"/>
      <c r="E21" s="1479"/>
      <c r="F21" s="1472">
        <v>1</v>
      </c>
      <c r="G21" s="1479">
        <v>528900</v>
      </c>
      <c r="H21" s="1472">
        <v>20</v>
      </c>
      <c r="I21" s="1480">
        <v>3066384</v>
      </c>
      <c r="J21" s="1472">
        <f>SUM('staffing-bdj'!B21:B23)</f>
        <v>4</v>
      </c>
      <c r="K21" s="1479">
        <f>SUM('staffing-bdj'!F21:F23)</f>
        <v>585540</v>
      </c>
      <c r="L21" s="1473">
        <f t="shared" si="7"/>
        <v>4180824</v>
      </c>
      <c r="M21" s="1441">
        <f t="shared" si="8"/>
        <v>25</v>
      </c>
      <c r="N21" s="1472">
        <v>9</v>
      </c>
      <c r="O21" s="1479">
        <v>1615320</v>
      </c>
      <c r="P21" s="1442">
        <f t="shared" si="9"/>
        <v>5796144</v>
      </c>
      <c r="Q21" s="1480"/>
      <c r="R21" s="1472"/>
      <c r="S21" s="1479"/>
      <c r="T21" s="1479"/>
      <c r="U21" s="1479"/>
      <c r="V21" s="1479"/>
      <c r="W21" s="1444"/>
      <c r="X21" s="1480"/>
      <c r="Y21" s="1480"/>
      <c r="Z21" s="1476">
        <f t="shared" si="10"/>
        <v>34</v>
      </c>
      <c r="AA21" s="1477">
        <f t="shared" si="11"/>
        <v>34</v>
      </c>
      <c r="AB21" s="1463"/>
      <c r="AC21" s="1463"/>
      <c r="AD21" s="1463"/>
      <c r="AE21" s="1463"/>
      <c r="AF21" s="1463"/>
      <c r="AG21" s="1463"/>
    </row>
    <row r="22" spans="1:33" s="1394" customFormat="1" ht="14.4">
      <c r="A22" s="1471" t="s">
        <v>580</v>
      </c>
      <c r="B22" s="1472"/>
      <c r="C22" s="1445"/>
      <c r="D22" s="1472"/>
      <c r="E22" s="1445"/>
      <c r="F22" s="1472"/>
      <c r="G22" s="1445"/>
      <c r="H22" s="1472">
        <v>5</v>
      </c>
      <c r="I22" s="1445">
        <v>1225176</v>
      </c>
      <c r="J22" s="1472">
        <v>13</v>
      </c>
      <c r="K22" s="1445">
        <v>1526916</v>
      </c>
      <c r="L22" s="1473">
        <f t="shared" si="7"/>
        <v>2752092</v>
      </c>
      <c r="M22" s="1441">
        <f t="shared" si="8"/>
        <v>18</v>
      </c>
      <c r="N22" s="1472">
        <v>2</v>
      </c>
      <c r="O22" s="1445">
        <v>627924</v>
      </c>
      <c r="P22" s="1442">
        <f t="shared" si="9"/>
        <v>3380016</v>
      </c>
      <c r="Q22" s="1445"/>
      <c r="R22" s="1472"/>
      <c r="S22" s="1445"/>
      <c r="T22" s="1445"/>
      <c r="U22" s="1445"/>
      <c r="V22" s="1445"/>
      <c r="W22" s="1446"/>
      <c r="X22" s="1445"/>
      <c r="Y22" s="1478"/>
      <c r="Z22" s="1476">
        <f t="shared" si="10"/>
        <v>20</v>
      </c>
      <c r="AA22" s="1477">
        <f t="shared" si="11"/>
        <v>20</v>
      </c>
      <c r="AB22" s="1463"/>
      <c r="AC22" s="1463"/>
      <c r="AD22" s="1463"/>
      <c r="AE22" s="1463"/>
      <c r="AF22" s="1463"/>
      <c r="AG22" s="1463"/>
    </row>
    <row r="23" spans="1:33" s="1394" customFormat="1" ht="14.4">
      <c r="A23" s="1471" t="s">
        <v>581</v>
      </c>
      <c r="B23" s="1472">
        <v>2</v>
      </c>
      <c r="C23" s="1445">
        <v>1378584</v>
      </c>
      <c r="D23" s="1472"/>
      <c r="E23" s="1445"/>
      <c r="F23" s="1472">
        <v>1</v>
      </c>
      <c r="G23" s="1445">
        <v>659016</v>
      </c>
      <c r="H23" s="1472">
        <v>109</v>
      </c>
      <c r="I23" s="1445">
        <v>24980076</v>
      </c>
      <c r="J23" s="1472">
        <v>15</v>
      </c>
      <c r="K23" s="1445">
        <v>2976540</v>
      </c>
      <c r="L23" s="1473">
        <f t="shared" si="7"/>
        <v>29994216</v>
      </c>
      <c r="M23" s="1441">
        <f t="shared" si="8"/>
        <v>127</v>
      </c>
      <c r="N23" s="1472">
        <v>21</v>
      </c>
      <c r="O23" s="1445">
        <v>4713252</v>
      </c>
      <c r="P23" s="1442">
        <f t="shared" si="9"/>
        <v>34707468</v>
      </c>
      <c r="Q23" s="1445"/>
      <c r="R23" s="1472"/>
      <c r="S23" s="1445"/>
      <c r="T23" s="1445"/>
      <c r="U23" s="1445"/>
      <c r="V23" s="1445"/>
      <c r="W23" s="1446"/>
      <c r="X23" s="1445"/>
      <c r="Y23" s="1478"/>
      <c r="Z23" s="1476">
        <f t="shared" si="10"/>
        <v>148</v>
      </c>
      <c r="AA23" s="1477">
        <f>SUM(B23,D23,F23,H23,J23,N23)</f>
        <v>148</v>
      </c>
      <c r="AB23" s="1463"/>
      <c r="AC23" s="1463"/>
      <c r="AD23" s="1463"/>
      <c r="AE23" s="1463"/>
      <c r="AF23" s="1463"/>
      <c r="AG23" s="1463"/>
    </row>
    <row r="24" spans="1:33" s="1394" customFormat="1" ht="14.4">
      <c r="A24" s="1471" t="s">
        <v>582</v>
      </c>
      <c r="B24" s="1472">
        <v>1</v>
      </c>
      <c r="C24" s="1445">
        <v>673596</v>
      </c>
      <c r="D24" s="1472"/>
      <c r="E24" s="1445"/>
      <c r="F24" s="1472"/>
      <c r="G24" s="1445"/>
      <c r="H24" s="1472">
        <v>56</v>
      </c>
      <c r="I24" s="1445">
        <v>14575596</v>
      </c>
      <c r="J24" s="1472">
        <v>19</v>
      </c>
      <c r="K24" s="1445">
        <v>2912040</v>
      </c>
      <c r="L24" s="1473">
        <f t="shared" si="7"/>
        <v>18161232</v>
      </c>
      <c r="M24" s="1441">
        <f t="shared" si="8"/>
        <v>76</v>
      </c>
      <c r="N24" s="1472">
        <v>17</v>
      </c>
      <c r="O24" s="1445">
        <v>3562752</v>
      </c>
      <c r="P24" s="1442">
        <f t="shared" si="9"/>
        <v>21723984</v>
      </c>
      <c r="Q24" s="1445"/>
      <c r="R24" s="1472"/>
      <c r="S24" s="1445"/>
      <c r="T24" s="1445"/>
      <c r="U24" s="1445"/>
      <c r="V24" s="1445"/>
      <c r="W24" s="1446"/>
      <c r="X24" s="1445"/>
      <c r="Y24" s="1478"/>
      <c r="Z24" s="1476">
        <f t="shared" si="10"/>
        <v>93</v>
      </c>
      <c r="AA24" s="1477">
        <f t="shared" si="11"/>
        <v>93</v>
      </c>
      <c r="AB24" s="1463"/>
      <c r="AC24" s="1463"/>
      <c r="AD24" s="1463"/>
      <c r="AE24" s="1463"/>
      <c r="AF24" s="1463"/>
      <c r="AG24" s="1463"/>
    </row>
    <row r="25" spans="1:33" s="1394" customFormat="1" ht="14.4">
      <c r="A25" s="1471" t="s">
        <v>583</v>
      </c>
      <c r="B25" s="1472">
        <v>0</v>
      </c>
      <c r="C25" s="1445">
        <v>0</v>
      </c>
      <c r="D25" s="1472"/>
      <c r="E25" s="1445"/>
      <c r="F25" s="1472"/>
      <c r="G25" s="1445"/>
      <c r="H25" s="1472">
        <v>44</v>
      </c>
      <c r="I25" s="1445">
        <v>10060020</v>
      </c>
      <c r="J25" s="1472">
        <v>17</v>
      </c>
      <c r="K25" s="1445">
        <v>2482860</v>
      </c>
      <c r="L25" s="1473">
        <f t="shared" si="7"/>
        <v>12542880</v>
      </c>
      <c r="M25" s="1441">
        <f t="shared" si="8"/>
        <v>61</v>
      </c>
      <c r="N25" s="1472">
        <v>7</v>
      </c>
      <c r="O25" s="1445">
        <v>2472516</v>
      </c>
      <c r="P25" s="1442">
        <f t="shared" si="9"/>
        <v>15015396</v>
      </c>
      <c r="Q25" s="1445"/>
      <c r="R25" s="1472"/>
      <c r="S25" s="1445"/>
      <c r="T25" s="1445"/>
      <c r="U25" s="1445"/>
      <c r="V25" s="1445"/>
      <c r="W25" s="1446"/>
      <c r="X25" s="1445"/>
      <c r="Y25" s="1478"/>
      <c r="Z25" s="1476">
        <f t="shared" si="10"/>
        <v>68</v>
      </c>
      <c r="AA25" s="1477">
        <f>SUM(B25,D25,F25,H25,J25,N25)</f>
        <v>68</v>
      </c>
      <c r="AB25" s="1463"/>
      <c r="AC25" s="1463"/>
      <c r="AD25" s="1463"/>
      <c r="AE25" s="1463"/>
      <c r="AF25" s="1463"/>
      <c r="AG25" s="1463"/>
    </row>
    <row r="26" spans="1:33" s="1394" customFormat="1" ht="14.4">
      <c r="A26" s="1471" t="s">
        <v>584</v>
      </c>
      <c r="B26" s="1472">
        <v>1</v>
      </c>
      <c r="C26" s="1445">
        <v>623700</v>
      </c>
      <c r="D26" s="1472"/>
      <c r="E26" s="1445"/>
      <c r="F26" s="1472"/>
      <c r="G26" s="1445"/>
      <c r="H26" s="1472">
        <v>31</v>
      </c>
      <c r="I26" s="1445">
        <v>7837344</v>
      </c>
      <c r="J26" s="1472">
        <v>13</v>
      </c>
      <c r="K26" s="1445">
        <v>1835868</v>
      </c>
      <c r="L26" s="1473">
        <f t="shared" si="7"/>
        <v>10296912</v>
      </c>
      <c r="M26" s="1441">
        <f t="shared" si="8"/>
        <v>45</v>
      </c>
      <c r="N26" s="1472">
        <v>2</v>
      </c>
      <c r="O26" s="1445">
        <v>473148</v>
      </c>
      <c r="P26" s="1442">
        <f t="shared" si="9"/>
        <v>10770060</v>
      </c>
      <c r="Q26" s="1445"/>
      <c r="R26" s="1472"/>
      <c r="S26" s="1445"/>
      <c r="T26" s="1445"/>
      <c r="U26" s="1445"/>
      <c r="V26" s="1445"/>
      <c r="W26" s="1446"/>
      <c r="X26" s="1445"/>
      <c r="Y26" s="1478"/>
      <c r="Z26" s="1476">
        <f t="shared" si="10"/>
        <v>47</v>
      </c>
      <c r="AA26" s="1477">
        <f t="shared" si="11"/>
        <v>47</v>
      </c>
      <c r="AB26" s="1463"/>
      <c r="AC26" s="1463"/>
      <c r="AD26" s="1463"/>
      <c r="AE26" s="1463"/>
      <c r="AF26" s="1463"/>
      <c r="AG26" s="1463"/>
    </row>
    <row r="27" spans="1:33" s="1394" customFormat="1" ht="14.4">
      <c r="A27" s="1471" t="s">
        <v>585</v>
      </c>
      <c r="B27" s="1472">
        <v>1</v>
      </c>
      <c r="C27" s="1445">
        <v>610200</v>
      </c>
      <c r="D27" s="1472"/>
      <c r="E27" s="1445"/>
      <c r="F27" s="1472"/>
      <c r="G27" s="1445"/>
      <c r="H27" s="1472">
        <v>31</v>
      </c>
      <c r="I27" s="1445">
        <v>7550364</v>
      </c>
      <c r="J27" s="1472">
        <v>13</v>
      </c>
      <c r="K27" s="1445">
        <v>1903560</v>
      </c>
      <c r="L27" s="1473">
        <f t="shared" si="7"/>
        <v>10064124</v>
      </c>
      <c r="M27" s="1441">
        <f t="shared" si="8"/>
        <v>45</v>
      </c>
      <c r="N27" s="1472">
        <v>2</v>
      </c>
      <c r="O27" s="1445">
        <v>598728</v>
      </c>
      <c r="P27" s="1442">
        <f t="shared" si="9"/>
        <v>10662852</v>
      </c>
      <c r="Q27" s="1445"/>
      <c r="R27" s="1472"/>
      <c r="S27" s="1445"/>
      <c r="T27" s="1445"/>
      <c r="U27" s="1445"/>
      <c r="V27" s="1445"/>
      <c r="W27" s="1446"/>
      <c r="X27" s="1445"/>
      <c r="Y27" s="1478"/>
      <c r="Z27" s="1476">
        <f t="shared" si="10"/>
        <v>47</v>
      </c>
      <c r="AA27" s="1477">
        <f t="shared" si="11"/>
        <v>47</v>
      </c>
      <c r="AB27" s="1463"/>
      <c r="AC27" s="1463"/>
      <c r="AD27" s="1463"/>
      <c r="AE27" s="1463"/>
      <c r="AF27" s="1463"/>
      <c r="AG27" s="1463"/>
    </row>
    <row r="28" spans="1:33" s="1394" customFormat="1" ht="14.4">
      <c r="A28" s="1471" t="s">
        <v>586</v>
      </c>
      <c r="B28" s="1472">
        <v>1</v>
      </c>
      <c r="C28" s="1445">
        <v>616920</v>
      </c>
      <c r="D28" s="1472"/>
      <c r="E28" s="1445"/>
      <c r="F28" s="1472">
        <v>24</v>
      </c>
      <c r="G28" s="1445">
        <v>6449772</v>
      </c>
      <c r="H28" s="1472"/>
      <c r="I28" s="1445"/>
      <c r="J28" s="1472">
        <v>7</v>
      </c>
      <c r="K28" s="1445">
        <v>1147728</v>
      </c>
      <c r="L28" s="1473">
        <f t="shared" si="7"/>
        <v>8214420</v>
      </c>
      <c r="M28" s="1441">
        <f t="shared" si="8"/>
        <v>32</v>
      </c>
      <c r="N28" s="1472">
        <v>2</v>
      </c>
      <c r="O28" s="1445">
        <v>598728</v>
      </c>
      <c r="P28" s="1442">
        <f t="shared" si="9"/>
        <v>8813148</v>
      </c>
      <c r="Q28" s="1445"/>
      <c r="R28" s="1472"/>
      <c r="S28" s="1445"/>
      <c r="T28" s="1445"/>
      <c r="U28" s="1445"/>
      <c r="V28" s="1445"/>
      <c r="W28" s="1446"/>
      <c r="X28" s="1445"/>
      <c r="Y28" s="1478"/>
      <c r="Z28" s="1476">
        <f t="shared" si="10"/>
        <v>34</v>
      </c>
      <c r="AA28" s="1477">
        <f t="shared" si="11"/>
        <v>34</v>
      </c>
      <c r="AB28" s="1463"/>
      <c r="AC28" s="1463"/>
      <c r="AD28" s="1463"/>
      <c r="AE28" s="1463"/>
      <c r="AF28" s="1463"/>
      <c r="AG28" s="1463"/>
    </row>
    <row r="29" spans="1:33" s="1394" customFormat="1" ht="14.4">
      <c r="A29" s="1471" t="s">
        <v>587</v>
      </c>
      <c r="B29" s="1472"/>
      <c r="C29" s="1445"/>
      <c r="D29" s="1472"/>
      <c r="E29" s="1445"/>
      <c r="F29" s="1472"/>
      <c r="G29" s="1445"/>
      <c r="H29" s="1472">
        <v>10</v>
      </c>
      <c r="I29" s="1445">
        <v>2591796</v>
      </c>
      <c r="J29" s="1472">
        <v>3</v>
      </c>
      <c r="K29" s="1445">
        <v>424668</v>
      </c>
      <c r="L29" s="1473">
        <f t="shared" si="7"/>
        <v>3016464</v>
      </c>
      <c r="M29" s="1441">
        <f t="shared" si="8"/>
        <v>13</v>
      </c>
      <c r="N29" s="1472">
        <v>2</v>
      </c>
      <c r="O29" s="1445">
        <v>268344</v>
      </c>
      <c r="P29" s="1442">
        <f t="shared" si="9"/>
        <v>3284808</v>
      </c>
      <c r="Q29" s="1445"/>
      <c r="R29" s="1472"/>
      <c r="S29" s="1445"/>
      <c r="T29" s="1445"/>
      <c r="U29" s="1445"/>
      <c r="V29" s="1445"/>
      <c r="W29" s="1446"/>
      <c r="X29" s="1445"/>
      <c r="Y29" s="1478"/>
      <c r="Z29" s="1476">
        <f t="shared" si="10"/>
        <v>15</v>
      </c>
      <c r="AA29" s="1477">
        <f t="shared" si="11"/>
        <v>15</v>
      </c>
      <c r="AB29" s="1463"/>
      <c r="AC29" s="1463"/>
      <c r="AD29" s="1463"/>
      <c r="AE29" s="1463"/>
      <c r="AF29" s="1463"/>
      <c r="AG29" s="1463"/>
    </row>
    <row r="30" spans="1:33" s="1394" customFormat="1" ht="14.4">
      <c r="A30" s="1471" t="s">
        <v>588</v>
      </c>
      <c r="B30" s="1472"/>
      <c r="C30" s="1445"/>
      <c r="D30" s="1472"/>
      <c r="E30" s="1445"/>
      <c r="F30" s="1472"/>
      <c r="G30" s="1445"/>
      <c r="H30" s="1472">
        <v>9</v>
      </c>
      <c r="I30" s="1445">
        <v>2118444</v>
      </c>
      <c r="J30" s="1472">
        <v>3</v>
      </c>
      <c r="K30" s="1445">
        <v>459432</v>
      </c>
      <c r="L30" s="1473">
        <f t="shared" si="7"/>
        <v>2577876</v>
      </c>
      <c r="M30" s="1441">
        <f t="shared" si="8"/>
        <v>12</v>
      </c>
      <c r="N30" s="1472">
        <v>3</v>
      </c>
      <c r="O30" s="1445">
        <v>732900</v>
      </c>
      <c r="P30" s="1442">
        <f t="shared" si="9"/>
        <v>3310776</v>
      </c>
      <c r="Q30" s="1445"/>
      <c r="R30" s="1472"/>
      <c r="S30" s="1445"/>
      <c r="T30" s="1445"/>
      <c r="U30" s="1445"/>
      <c r="V30" s="1445"/>
      <c r="W30" s="1446"/>
      <c r="X30" s="1445"/>
      <c r="Y30" s="1478"/>
      <c r="Z30" s="1476">
        <f t="shared" si="10"/>
        <v>15</v>
      </c>
      <c r="AA30" s="1477">
        <f t="shared" si="11"/>
        <v>15</v>
      </c>
      <c r="AB30" s="1463"/>
      <c r="AC30" s="1463"/>
      <c r="AD30" s="1463"/>
      <c r="AE30" s="1463"/>
      <c r="AF30" s="1463"/>
      <c r="AG30" s="1463"/>
    </row>
    <row r="31" spans="1:33" s="1394" customFormat="1" ht="14.4">
      <c r="A31" s="1471" t="s">
        <v>589</v>
      </c>
      <c r="B31" s="1472"/>
      <c r="C31" s="1445"/>
      <c r="D31" s="1472"/>
      <c r="E31" s="1445"/>
      <c r="F31" s="1472"/>
      <c r="G31" s="1445"/>
      <c r="H31" s="1472">
        <v>9</v>
      </c>
      <c r="I31" s="1445">
        <v>2148048</v>
      </c>
      <c r="J31" s="1472">
        <v>4</v>
      </c>
      <c r="K31" s="1445">
        <v>573180</v>
      </c>
      <c r="L31" s="1473">
        <f t="shared" si="7"/>
        <v>2721228</v>
      </c>
      <c r="M31" s="1441">
        <f t="shared" si="8"/>
        <v>13</v>
      </c>
      <c r="N31" s="1472">
        <v>2</v>
      </c>
      <c r="O31" s="1445">
        <v>598728</v>
      </c>
      <c r="P31" s="1442">
        <f t="shared" si="9"/>
        <v>3319956</v>
      </c>
      <c r="Q31" s="1445"/>
      <c r="R31" s="1472"/>
      <c r="S31" s="1445"/>
      <c r="T31" s="1445"/>
      <c r="U31" s="1445"/>
      <c r="V31" s="1445"/>
      <c r="W31" s="1446"/>
      <c r="X31" s="1445"/>
      <c r="Y31" s="1478"/>
      <c r="Z31" s="1476">
        <f t="shared" si="10"/>
        <v>15</v>
      </c>
      <c r="AA31" s="1477">
        <f t="shared" si="11"/>
        <v>15</v>
      </c>
      <c r="AB31" s="1463"/>
      <c r="AC31" s="1463"/>
      <c r="AD31" s="1463"/>
      <c r="AE31" s="1463"/>
      <c r="AF31" s="1463"/>
      <c r="AG31" s="1463"/>
    </row>
    <row r="32" spans="1:33" s="1394" customFormat="1" ht="14.4">
      <c r="A32" s="1471" t="s">
        <v>590</v>
      </c>
      <c r="B32" s="1472"/>
      <c r="C32" s="1445"/>
      <c r="D32" s="1472"/>
      <c r="E32" s="1445"/>
      <c r="F32" s="1472">
        <v>1</v>
      </c>
      <c r="G32" s="1445">
        <v>564996</v>
      </c>
      <c r="H32" s="1472">
        <v>15</v>
      </c>
      <c r="I32" s="1445">
        <v>3428148</v>
      </c>
      <c r="J32" s="1472">
        <v>3</v>
      </c>
      <c r="K32" s="1445">
        <v>429096</v>
      </c>
      <c r="L32" s="1473">
        <f t="shared" si="7"/>
        <v>4422240</v>
      </c>
      <c r="M32" s="1441">
        <f t="shared" si="8"/>
        <v>19</v>
      </c>
      <c r="N32" s="1472">
        <v>4</v>
      </c>
      <c r="O32" s="1445">
        <v>1043904</v>
      </c>
      <c r="P32" s="1442">
        <f t="shared" si="9"/>
        <v>5466144</v>
      </c>
      <c r="Q32" s="1445"/>
      <c r="R32" s="1472"/>
      <c r="S32" s="1445"/>
      <c r="T32" s="1445"/>
      <c r="U32" s="1445"/>
      <c r="V32" s="1445"/>
      <c r="W32" s="1446"/>
      <c r="X32" s="1445"/>
      <c r="Y32" s="1478"/>
      <c r="Z32" s="1476">
        <f t="shared" si="10"/>
        <v>23</v>
      </c>
      <c r="AA32" s="1477">
        <f t="shared" si="11"/>
        <v>23</v>
      </c>
      <c r="AB32" s="1463"/>
      <c r="AC32" s="1463"/>
      <c r="AD32" s="1463"/>
      <c r="AE32" s="1463"/>
      <c r="AF32" s="1463"/>
      <c r="AG32" s="1463"/>
    </row>
    <row r="33" spans="1:34" s="1394" customFormat="1" ht="14.4">
      <c r="A33" s="1471" t="s">
        <v>591</v>
      </c>
      <c r="B33" s="1472"/>
      <c r="C33" s="1445"/>
      <c r="D33" s="1472"/>
      <c r="E33" s="1445"/>
      <c r="F33" s="1472"/>
      <c r="G33" s="1445"/>
      <c r="H33" s="1472">
        <v>12</v>
      </c>
      <c r="I33" s="1445">
        <v>2709984</v>
      </c>
      <c r="J33" s="1472">
        <v>4</v>
      </c>
      <c r="K33" s="1445">
        <v>534144</v>
      </c>
      <c r="L33" s="1473">
        <f t="shared" si="7"/>
        <v>3244128</v>
      </c>
      <c r="M33" s="1441">
        <f t="shared" si="8"/>
        <v>16</v>
      </c>
      <c r="N33" s="1472">
        <v>4</v>
      </c>
      <c r="O33" s="1445">
        <v>1349592</v>
      </c>
      <c r="P33" s="1442">
        <f t="shared" si="9"/>
        <v>4593720</v>
      </c>
      <c r="Q33" s="1445"/>
      <c r="R33" s="1472"/>
      <c r="S33" s="1445"/>
      <c r="T33" s="1445"/>
      <c r="U33" s="1445"/>
      <c r="V33" s="1445"/>
      <c r="W33" s="1446"/>
      <c r="X33" s="1445"/>
      <c r="Y33" s="1478"/>
      <c r="Z33" s="1476">
        <f t="shared" si="10"/>
        <v>20</v>
      </c>
      <c r="AA33" s="1477">
        <f t="shared" si="11"/>
        <v>20</v>
      </c>
      <c r="AB33" s="1463"/>
      <c r="AC33" s="1463"/>
      <c r="AD33" s="1463"/>
      <c r="AE33" s="1463"/>
      <c r="AF33" s="1463"/>
      <c r="AG33" s="1463"/>
    </row>
    <row r="34" spans="1:34" s="1394" customFormat="1" ht="14.4">
      <c r="A34" s="1471" t="s">
        <v>592</v>
      </c>
      <c r="B34" s="1472"/>
      <c r="C34" s="1445"/>
      <c r="D34" s="1472"/>
      <c r="E34" s="1445"/>
      <c r="F34" s="1472">
        <v>1</v>
      </c>
      <c r="G34" s="1445">
        <v>610200</v>
      </c>
      <c r="H34" s="1472">
        <v>20</v>
      </c>
      <c r="I34" s="1445">
        <v>3217332</v>
      </c>
      <c r="J34" s="1472">
        <v>5</v>
      </c>
      <c r="K34" s="1445">
        <v>620340</v>
      </c>
      <c r="L34" s="1473">
        <f t="shared" si="7"/>
        <v>4447872</v>
      </c>
      <c r="M34" s="1441">
        <f t="shared" si="8"/>
        <v>26</v>
      </c>
      <c r="N34" s="1472">
        <v>4</v>
      </c>
      <c r="O34" s="1445">
        <v>1242324</v>
      </c>
      <c r="P34" s="1442">
        <f t="shared" si="9"/>
        <v>5690196</v>
      </c>
      <c r="Q34" s="1445"/>
      <c r="R34" s="1472"/>
      <c r="S34" s="1445"/>
      <c r="T34" s="1445"/>
      <c r="U34" s="1445"/>
      <c r="V34" s="1445"/>
      <c r="W34" s="1446"/>
      <c r="X34" s="1445"/>
      <c r="Y34" s="1478"/>
      <c r="Z34" s="1476">
        <f t="shared" si="10"/>
        <v>30</v>
      </c>
      <c r="AA34" s="1477">
        <f t="shared" si="11"/>
        <v>30</v>
      </c>
      <c r="AB34" s="1463"/>
      <c r="AC34" s="1463"/>
      <c r="AD34" s="1463"/>
      <c r="AE34" s="1463"/>
      <c r="AF34" s="1463"/>
      <c r="AG34" s="1463"/>
    </row>
    <row r="35" spans="1:34" s="1394" customFormat="1" ht="1.5" customHeight="1">
      <c r="A35" s="1471"/>
      <c r="B35" s="1472"/>
      <c r="C35" s="1424" t="s">
        <v>9</v>
      </c>
      <c r="D35" s="1472"/>
      <c r="E35" s="1424"/>
      <c r="F35" s="1472"/>
      <c r="G35" s="1424"/>
      <c r="H35" s="1472"/>
      <c r="I35" s="1424"/>
      <c r="J35" s="1472"/>
      <c r="K35" s="1424"/>
      <c r="L35" s="1424"/>
      <c r="M35" s="1422"/>
      <c r="N35" s="1472"/>
      <c r="O35" s="1424"/>
      <c r="P35" s="1423"/>
      <c r="Q35" s="1424"/>
      <c r="R35" s="1472"/>
      <c r="S35" s="1424"/>
      <c r="T35" s="1424"/>
      <c r="U35" s="1424"/>
      <c r="V35" s="1424"/>
      <c r="W35" s="1415"/>
      <c r="X35" s="1424"/>
      <c r="Y35" s="1471"/>
      <c r="Z35" s="1481"/>
      <c r="AA35" s="1482"/>
      <c r="AB35" s="1463"/>
      <c r="AC35" s="1463"/>
      <c r="AD35" s="1463"/>
      <c r="AE35" s="1463"/>
      <c r="AF35" s="1463"/>
      <c r="AG35" s="1463"/>
    </row>
    <row r="36" spans="1:34" s="1394" customFormat="1" ht="15" thickBot="1">
      <c r="A36" s="1483" t="s">
        <v>485</v>
      </c>
      <c r="B36" s="1484">
        <f>SUM(B20:B34)</f>
        <v>6</v>
      </c>
      <c r="C36" s="1431">
        <f t="shared" ref="C36:Y36" si="12">SUM(C20:C35)</f>
        <v>3903000</v>
      </c>
      <c r="D36" s="1484">
        <f>SUM(D25:D34)</f>
        <v>0</v>
      </c>
      <c r="E36" s="1431">
        <f t="shared" si="12"/>
        <v>0</v>
      </c>
      <c r="F36" s="1484">
        <f>SUM(F20:F34)</f>
        <v>28</v>
      </c>
      <c r="G36" s="1431">
        <f t="shared" si="12"/>
        <v>8812884</v>
      </c>
      <c r="H36" s="1484">
        <f>SUM(H20:H34)</f>
        <v>379</v>
      </c>
      <c r="I36" s="1431">
        <f t="shared" si="12"/>
        <v>87369828</v>
      </c>
      <c r="J36" s="1484">
        <f>SUM(J20:J34)</f>
        <v>125</v>
      </c>
      <c r="K36" s="1431">
        <f t="shared" si="12"/>
        <v>18722808</v>
      </c>
      <c r="L36" s="1431">
        <f t="shared" si="12"/>
        <v>118808520</v>
      </c>
      <c r="M36" s="1429"/>
      <c r="N36" s="1484">
        <f>SUM(N20:N34)</f>
        <v>91</v>
      </c>
      <c r="O36" s="1431">
        <f t="shared" si="12"/>
        <v>22161708</v>
      </c>
      <c r="P36" s="1430">
        <f t="shared" si="12"/>
        <v>140970228</v>
      </c>
      <c r="Q36" s="1431"/>
      <c r="R36" s="1484">
        <f>SUM(R25:R34)</f>
        <v>0</v>
      </c>
      <c r="S36" s="1431">
        <f t="shared" si="12"/>
        <v>0</v>
      </c>
      <c r="T36" s="1431">
        <f t="shared" si="12"/>
        <v>0</v>
      </c>
      <c r="U36" s="1431">
        <f t="shared" si="12"/>
        <v>0</v>
      </c>
      <c r="V36" s="1431"/>
      <c r="W36" s="1432"/>
      <c r="X36" s="1431">
        <f t="shared" si="12"/>
        <v>0</v>
      </c>
      <c r="Y36" s="1431">
        <f t="shared" si="12"/>
        <v>0</v>
      </c>
      <c r="Z36" s="1485"/>
      <c r="AA36" s="1486"/>
      <c r="AB36" s="1463"/>
      <c r="AC36" s="1463"/>
      <c r="AD36" s="1463"/>
      <c r="AE36" s="1463"/>
      <c r="AF36" s="1463"/>
      <c r="AG36" s="1463"/>
    </row>
    <row r="37" spans="1:34" s="1394" customFormat="1" ht="6" customHeight="1" thickTop="1">
      <c r="A37" s="1471"/>
      <c r="B37" s="1472"/>
      <c r="C37" s="1424"/>
      <c r="D37" s="1472"/>
      <c r="E37" s="1424"/>
      <c r="F37" s="1472"/>
      <c r="G37" s="1424" t="s">
        <v>9</v>
      </c>
      <c r="H37" s="1472"/>
      <c r="I37" s="1424"/>
      <c r="J37" s="1472"/>
      <c r="K37" s="1424"/>
      <c r="L37" s="1424"/>
      <c r="M37" s="1422"/>
      <c r="N37" s="1472"/>
      <c r="O37" s="1424"/>
      <c r="P37" s="1423"/>
      <c r="Q37" s="1424"/>
      <c r="R37" s="1472"/>
      <c r="S37" s="1424"/>
      <c r="T37" s="1424"/>
      <c r="U37" s="1424"/>
      <c r="V37" s="1424"/>
      <c r="W37" s="1415"/>
      <c r="X37" s="1424"/>
      <c r="Y37" s="1471"/>
      <c r="Z37" s="1481"/>
      <c r="AA37" s="1482"/>
      <c r="AB37" s="1463"/>
      <c r="AC37" s="1463"/>
      <c r="AD37" s="1463"/>
      <c r="AE37" s="1463"/>
      <c r="AF37" s="1463"/>
      <c r="AG37" s="1463"/>
    </row>
    <row r="38" spans="1:34" s="1394" customFormat="1" ht="14.4">
      <c r="A38" s="1471" t="s">
        <v>593</v>
      </c>
      <c r="B38" s="1472"/>
      <c r="C38" s="1443"/>
      <c r="D38" s="1472"/>
      <c r="E38" s="1443"/>
      <c r="F38" s="1472" t="e">
        <f>'staffing-bepo'!#REF!</f>
        <v>#REF!</v>
      </c>
      <c r="G38" s="1443" t="e">
        <f>'staffing-bepo'!#REF!</f>
        <v>#REF!</v>
      </c>
      <c r="H38" s="1472"/>
      <c r="I38" s="1443"/>
      <c r="J38" s="1472">
        <v>3</v>
      </c>
      <c r="K38" s="1443">
        <v>389148</v>
      </c>
      <c r="L38" s="1473" t="e">
        <f t="shared" ref="L38:L45" si="13">C38+E38+G38+I38+K38</f>
        <v>#REF!</v>
      </c>
      <c r="M38" s="1441" t="e">
        <f t="shared" ref="M38:M44" si="14">B38+D38+F38+H38+J38</f>
        <v>#REF!</v>
      </c>
      <c r="N38" s="1472">
        <f>'staffing-bepo'!B34</f>
        <v>0</v>
      </c>
      <c r="O38" s="1443">
        <f>'staffing-bepo'!G34</f>
        <v>0</v>
      </c>
      <c r="P38" s="1442" t="e">
        <f t="shared" ref="P38:P45" si="15">L38+O38</f>
        <v>#REF!</v>
      </c>
      <c r="Q38" s="1443"/>
      <c r="R38" s="1472">
        <v>0</v>
      </c>
      <c r="S38" s="1443"/>
      <c r="T38" s="1443"/>
      <c r="U38" s="1443"/>
      <c r="V38" s="1443"/>
      <c r="W38" s="1444"/>
      <c r="X38" s="1443"/>
      <c r="Y38" s="1487"/>
      <c r="Z38" s="1476" t="e">
        <f t="shared" ref="Z38:Z45" si="16">M38+N38</f>
        <v>#REF!</v>
      </c>
      <c r="AA38" s="1477" t="e">
        <f t="shared" ref="AA38:AA45" si="17">SUM(B38,D38,F38,H38,J38,N38)</f>
        <v>#REF!</v>
      </c>
      <c r="AB38" s="1463"/>
      <c r="AC38" s="1463"/>
      <c r="AD38" s="1463"/>
      <c r="AE38" s="1463"/>
      <c r="AF38" s="1463"/>
      <c r="AG38" s="1463"/>
    </row>
    <row r="39" spans="1:34" s="1394" customFormat="1" ht="14.4">
      <c r="A39" s="1471" t="s">
        <v>594</v>
      </c>
      <c r="B39" s="1472"/>
      <c r="C39" s="1443"/>
      <c r="D39" s="1472"/>
      <c r="E39" s="1443"/>
      <c r="F39" s="1472">
        <v>2</v>
      </c>
      <c r="G39" s="1443">
        <v>630972</v>
      </c>
      <c r="H39" s="1472"/>
      <c r="I39" s="1443"/>
      <c r="J39" s="1472">
        <f>'staffing-bipc'!B23</f>
        <v>2</v>
      </c>
      <c r="K39" s="1443">
        <f>'staffing-bipc'!F23</f>
        <v>275772</v>
      </c>
      <c r="L39" s="1473">
        <f t="shared" si="13"/>
        <v>906744</v>
      </c>
      <c r="M39" s="1441">
        <f t="shared" si="14"/>
        <v>4</v>
      </c>
      <c r="N39" s="1472"/>
      <c r="O39" s="1443"/>
      <c r="P39" s="1442">
        <f t="shared" si="15"/>
        <v>906744</v>
      </c>
      <c r="Q39" s="1443"/>
      <c r="R39" s="1472"/>
      <c r="S39" s="1443"/>
      <c r="T39" s="1443"/>
      <c r="U39" s="1443"/>
      <c r="V39" s="1443"/>
      <c r="W39" s="1444"/>
      <c r="X39" s="1443"/>
      <c r="Y39" s="1487"/>
      <c r="Z39" s="1476">
        <f t="shared" si="16"/>
        <v>4</v>
      </c>
      <c r="AA39" s="1477">
        <f t="shared" si="17"/>
        <v>4</v>
      </c>
      <c r="AB39" s="1463"/>
      <c r="AC39" s="1463"/>
      <c r="AD39" s="1463"/>
      <c r="AE39" s="1463"/>
      <c r="AF39" s="1463"/>
      <c r="AG39" s="1463"/>
    </row>
    <row r="40" spans="1:34" s="1394" customFormat="1" ht="14.4">
      <c r="A40" s="1471" t="s">
        <v>595</v>
      </c>
      <c r="B40" s="1472"/>
      <c r="C40" s="1443"/>
      <c r="D40" s="1472"/>
      <c r="E40" s="1443"/>
      <c r="F40" s="1472"/>
      <c r="G40" s="1443"/>
      <c r="H40" s="1472">
        <v>1</v>
      </c>
      <c r="I40" s="1443">
        <v>148596</v>
      </c>
      <c r="J40" s="1472">
        <v>1</v>
      </c>
      <c r="K40" s="1443">
        <v>312000</v>
      </c>
      <c r="L40" s="1473">
        <f t="shared" si="13"/>
        <v>460596</v>
      </c>
      <c r="M40" s="1441">
        <f t="shared" si="14"/>
        <v>2</v>
      </c>
      <c r="N40" s="1472">
        <v>1</v>
      </c>
      <c r="O40" s="1443">
        <v>192612</v>
      </c>
      <c r="P40" s="1442">
        <f t="shared" si="15"/>
        <v>653208</v>
      </c>
      <c r="Q40" s="1443"/>
      <c r="R40" s="1472"/>
      <c r="S40" s="1443"/>
      <c r="T40" s="1443"/>
      <c r="U40" s="1443"/>
      <c r="V40" s="1443"/>
      <c r="W40" s="1444"/>
      <c r="X40" s="1443"/>
      <c r="Y40" s="1487"/>
      <c r="Z40" s="1476">
        <f t="shared" si="16"/>
        <v>3</v>
      </c>
      <c r="AA40" s="1477">
        <f t="shared" si="17"/>
        <v>3</v>
      </c>
      <c r="AB40" s="1463"/>
      <c r="AC40" s="1463"/>
      <c r="AD40" s="1463"/>
      <c r="AE40" s="1463"/>
      <c r="AF40" s="1463"/>
      <c r="AG40" s="1463"/>
    </row>
    <row r="41" spans="1:34" s="1394" customFormat="1" ht="14.4">
      <c r="A41" s="1471" t="s">
        <v>596</v>
      </c>
      <c r="B41" s="1472"/>
      <c r="C41" s="1443"/>
      <c r="D41" s="1472"/>
      <c r="E41" s="1443"/>
      <c r="F41" s="1472"/>
      <c r="G41" s="1443"/>
      <c r="H41" s="1472"/>
      <c r="I41" s="1443"/>
      <c r="J41" s="1472"/>
      <c r="K41" s="1443"/>
      <c r="L41" s="1473">
        <f t="shared" si="13"/>
        <v>0</v>
      </c>
      <c r="M41" s="1441">
        <f t="shared" si="14"/>
        <v>0</v>
      </c>
      <c r="N41" s="1472"/>
      <c r="O41" s="1443"/>
      <c r="P41" s="1442">
        <f t="shared" si="15"/>
        <v>0</v>
      </c>
      <c r="Q41" s="1443"/>
      <c r="R41" s="1472"/>
      <c r="S41" s="1443"/>
      <c r="T41" s="1443"/>
      <c r="U41" s="1443"/>
      <c r="V41" s="1443"/>
      <c r="W41" s="1444"/>
      <c r="X41" s="1443"/>
      <c r="Y41" s="1487"/>
      <c r="Z41" s="1476">
        <f t="shared" si="16"/>
        <v>0</v>
      </c>
      <c r="AA41" s="1477">
        <f t="shared" si="17"/>
        <v>0</v>
      </c>
      <c r="AB41" s="1463"/>
      <c r="AC41" s="1463"/>
      <c r="AD41" s="1463"/>
      <c r="AE41" s="1463"/>
      <c r="AF41" s="1463"/>
      <c r="AG41" s="1463"/>
    </row>
    <row r="42" spans="1:34" s="1394" customFormat="1" ht="14.4">
      <c r="A42" s="1471" t="s">
        <v>598</v>
      </c>
      <c r="B42" s="1472">
        <v>1</v>
      </c>
      <c r="C42" s="1445">
        <v>727488</v>
      </c>
      <c r="D42" s="1472"/>
      <c r="E42" s="1445"/>
      <c r="F42" s="1472">
        <f>SUM('staffing-agri'!B14:B28)</f>
        <v>44</v>
      </c>
      <c r="G42" s="1445">
        <v>11195424</v>
      </c>
      <c r="H42" s="1472"/>
      <c r="I42" s="1445"/>
      <c r="J42" s="1472">
        <v>21</v>
      </c>
      <c r="K42" s="1445">
        <v>3147312</v>
      </c>
      <c r="L42" s="1473">
        <f t="shared" si="13"/>
        <v>15070224</v>
      </c>
      <c r="M42" s="1441">
        <f t="shared" si="14"/>
        <v>66</v>
      </c>
      <c r="N42" s="1472">
        <v>14</v>
      </c>
      <c r="O42" s="1445">
        <v>3120084</v>
      </c>
      <c r="P42" s="1442">
        <f t="shared" si="15"/>
        <v>18190308</v>
      </c>
      <c r="Q42" s="1445"/>
      <c r="R42" s="1472"/>
      <c r="S42" s="1445"/>
      <c r="T42" s="1445"/>
      <c r="U42" s="1445"/>
      <c r="V42" s="1445"/>
      <c r="W42" s="1446"/>
      <c r="X42" s="1445"/>
      <c r="Y42" s="1478"/>
      <c r="Z42" s="1476">
        <f t="shared" si="16"/>
        <v>80</v>
      </c>
      <c r="AA42" s="1477">
        <f t="shared" si="17"/>
        <v>80</v>
      </c>
      <c r="AB42" s="1463"/>
      <c r="AC42" s="1463"/>
      <c r="AD42" s="1463"/>
      <c r="AE42" s="1463"/>
      <c r="AF42" s="1463"/>
      <c r="AG42" s="1463"/>
    </row>
    <row r="43" spans="1:34" s="1394" customFormat="1" ht="14.4">
      <c r="A43" s="1471" t="s">
        <v>599</v>
      </c>
      <c r="B43" s="1472">
        <v>1</v>
      </c>
      <c r="C43" s="1445">
        <v>743580</v>
      </c>
      <c r="D43" s="1472"/>
      <c r="E43" s="1445"/>
      <c r="F43" s="1472">
        <v>17</v>
      </c>
      <c r="G43" s="1445">
        <v>4906020</v>
      </c>
      <c r="H43" s="1472">
        <v>24</v>
      </c>
      <c r="I43" s="1445">
        <v>3434520</v>
      </c>
      <c r="J43" s="1472">
        <v>4</v>
      </c>
      <c r="K43" s="1445">
        <v>604152</v>
      </c>
      <c r="L43" s="1473">
        <f t="shared" si="13"/>
        <v>9688272</v>
      </c>
      <c r="M43" s="1441">
        <f t="shared" si="14"/>
        <v>46</v>
      </c>
      <c r="N43" s="1472">
        <v>1</v>
      </c>
      <c r="O43" s="1445">
        <v>222588</v>
      </c>
      <c r="P43" s="1442">
        <f t="shared" si="15"/>
        <v>9910860</v>
      </c>
      <c r="Q43" s="1445"/>
      <c r="R43" s="1472"/>
      <c r="S43" s="1445"/>
      <c r="T43" s="1445"/>
      <c r="U43" s="1445"/>
      <c r="V43" s="1445"/>
      <c r="W43" s="1446"/>
      <c r="X43" s="1445"/>
      <c r="Y43" s="1478"/>
      <c r="Z43" s="1476">
        <f t="shared" si="16"/>
        <v>47</v>
      </c>
      <c r="AA43" s="1477">
        <f t="shared" si="17"/>
        <v>47</v>
      </c>
      <c r="AB43" s="1463"/>
      <c r="AC43" s="1463"/>
      <c r="AD43" s="1463"/>
      <c r="AE43" s="1463"/>
      <c r="AF43" s="1463"/>
      <c r="AG43" s="1463"/>
    </row>
    <row r="44" spans="1:34" s="1394" customFormat="1" ht="14.4">
      <c r="A44" s="1471" t="s">
        <v>600</v>
      </c>
      <c r="B44" s="1472">
        <v>1</v>
      </c>
      <c r="C44" s="1445">
        <v>696336</v>
      </c>
      <c r="D44" s="1472"/>
      <c r="E44" s="1445"/>
      <c r="F44" s="1472">
        <v>5</v>
      </c>
      <c r="G44" s="1445">
        <v>2604408</v>
      </c>
      <c r="H44" s="1472">
        <f>SUM('staffing-PEO'!B16:B34)</f>
        <v>97</v>
      </c>
      <c r="I44" s="1445">
        <f>SUM('staffing-PEO'!F16:F34)</f>
        <v>19693548</v>
      </c>
      <c r="J44" s="1472">
        <v>22</v>
      </c>
      <c r="K44" s="1445">
        <v>3272916</v>
      </c>
      <c r="L44" s="1473">
        <f t="shared" si="13"/>
        <v>26267208</v>
      </c>
      <c r="M44" s="1441">
        <f t="shared" si="14"/>
        <v>125</v>
      </c>
      <c r="N44" s="1472">
        <f>'staffing-PEO'!B67</f>
        <v>27</v>
      </c>
      <c r="O44" s="1445">
        <f>'staffing-PEO'!F67</f>
        <v>6491592</v>
      </c>
      <c r="P44" s="1442">
        <f t="shared" si="15"/>
        <v>32758800</v>
      </c>
      <c r="Q44" s="1445"/>
      <c r="R44" s="1472"/>
      <c r="S44" s="1445"/>
      <c r="T44" s="1445"/>
      <c r="U44" s="1445"/>
      <c r="V44" s="1445"/>
      <c r="W44" s="1446"/>
      <c r="X44" s="1445"/>
      <c r="Y44" s="1478"/>
      <c r="Z44" s="1476">
        <f t="shared" si="16"/>
        <v>152</v>
      </c>
      <c r="AA44" s="1477">
        <f t="shared" si="17"/>
        <v>152</v>
      </c>
      <c r="AB44" s="1463"/>
      <c r="AC44" s="1488"/>
      <c r="AD44" s="1463"/>
      <c r="AE44" s="1463"/>
      <c r="AF44" s="1463"/>
      <c r="AG44" s="1463"/>
    </row>
    <row r="45" spans="1:34" s="1394" customFormat="1" ht="14.4">
      <c r="A45" s="1471" t="s">
        <v>601</v>
      </c>
      <c r="B45" s="1472">
        <v>1</v>
      </c>
      <c r="C45" s="1445">
        <v>719568</v>
      </c>
      <c r="D45" s="1472"/>
      <c r="E45" s="1445"/>
      <c r="F45" s="1472">
        <v>8</v>
      </c>
      <c r="G45" s="1445">
        <v>3012204</v>
      </c>
      <c r="H45" s="1472">
        <v>50</v>
      </c>
      <c r="I45" s="1445">
        <v>7430088</v>
      </c>
      <c r="J45" s="1472">
        <v>10</v>
      </c>
      <c r="K45" s="1445">
        <v>1279176</v>
      </c>
      <c r="L45" s="1473">
        <f t="shared" si="13"/>
        <v>12441036</v>
      </c>
      <c r="M45" s="1441">
        <f>B45+D45+F45+H45+J45</f>
        <v>69</v>
      </c>
      <c r="N45" s="1472">
        <v>10</v>
      </c>
      <c r="O45" s="1445">
        <v>1742664</v>
      </c>
      <c r="P45" s="1442">
        <f t="shared" si="15"/>
        <v>14183700</v>
      </c>
      <c r="Q45" s="1445"/>
      <c r="R45" s="1472"/>
      <c r="S45" s="1445"/>
      <c r="T45" s="1445"/>
      <c r="U45" s="1445"/>
      <c r="V45" s="1445"/>
      <c r="W45" s="1446"/>
      <c r="X45" s="1445"/>
      <c r="Y45" s="1478"/>
      <c r="Z45" s="1476">
        <f t="shared" si="16"/>
        <v>79</v>
      </c>
      <c r="AA45" s="1477">
        <f t="shared" si="17"/>
        <v>79</v>
      </c>
      <c r="AB45" s="1463"/>
      <c r="AC45" s="1463"/>
      <c r="AD45" s="1463"/>
      <c r="AE45" s="1463"/>
      <c r="AF45" s="1463"/>
      <c r="AG45" s="1463"/>
    </row>
    <row r="46" spans="1:34" s="1394" customFormat="1" ht="6" customHeight="1">
      <c r="A46" s="1471"/>
      <c r="B46" s="1472"/>
      <c r="C46" s="1443"/>
      <c r="D46" s="1472"/>
      <c r="E46" s="1443"/>
      <c r="F46" s="1472"/>
      <c r="G46" s="1443"/>
      <c r="H46" s="1472"/>
      <c r="I46" s="1443"/>
      <c r="J46" s="1472"/>
      <c r="K46" s="1443"/>
      <c r="L46" s="1443"/>
      <c r="M46" s="1447"/>
      <c r="N46" s="1472"/>
      <c r="O46" s="1443"/>
      <c r="P46" s="1448"/>
      <c r="Q46" s="1443"/>
      <c r="R46" s="1472"/>
      <c r="S46" s="1443"/>
      <c r="T46" s="1443"/>
      <c r="U46" s="1443"/>
      <c r="V46" s="1443"/>
      <c r="W46" s="1444"/>
      <c r="X46" s="1443"/>
      <c r="Y46" s="1487"/>
      <c r="Z46" s="1489"/>
      <c r="AA46" s="1490"/>
      <c r="AB46" s="1463"/>
      <c r="AC46" s="1463"/>
      <c r="AD46" s="1463"/>
      <c r="AE46" s="1463"/>
      <c r="AF46" s="1463"/>
      <c r="AG46" s="1463"/>
    </row>
    <row r="47" spans="1:34" ht="15" thickBot="1">
      <c r="A47" s="1426" t="s">
        <v>485</v>
      </c>
      <c r="B47" s="1427">
        <f>SUM(B38:B45)</f>
        <v>4</v>
      </c>
      <c r="C47" s="1428">
        <f t="shared" ref="C47:X47" si="18">SUM(C38:C45)</f>
        <v>2886972</v>
      </c>
      <c r="D47" s="1427">
        <f>SUM(D36:D45)</f>
        <v>0</v>
      </c>
      <c r="E47" s="1428">
        <f t="shared" si="18"/>
        <v>0</v>
      </c>
      <c r="F47" s="1427" t="e">
        <f>SUM(F38:F45)</f>
        <v>#REF!</v>
      </c>
      <c r="G47" s="1428" t="e">
        <f t="shared" si="18"/>
        <v>#REF!</v>
      </c>
      <c r="H47" s="1427">
        <f>SUM(H38:H45)</f>
        <v>172</v>
      </c>
      <c r="I47" s="1428">
        <f t="shared" si="18"/>
        <v>30706752</v>
      </c>
      <c r="J47" s="1427">
        <f>SUM(J38:J45)</f>
        <v>63</v>
      </c>
      <c r="K47" s="1428">
        <f t="shared" si="18"/>
        <v>9280476</v>
      </c>
      <c r="L47" s="1428" t="e">
        <f t="shared" si="18"/>
        <v>#REF!</v>
      </c>
      <c r="M47" s="1429"/>
      <c r="N47" s="1427">
        <f>SUM(N38:N45)</f>
        <v>53</v>
      </c>
      <c r="O47" s="1428">
        <f t="shared" si="18"/>
        <v>11769540</v>
      </c>
      <c r="P47" s="1430" t="e">
        <f t="shared" si="18"/>
        <v>#REF!</v>
      </c>
      <c r="Q47" s="1431"/>
      <c r="R47" s="1427">
        <f>SUM(R36:R45)</f>
        <v>0</v>
      </c>
      <c r="S47" s="1428">
        <f t="shared" si="18"/>
        <v>0</v>
      </c>
      <c r="T47" s="1428">
        <f t="shared" si="18"/>
        <v>0</v>
      </c>
      <c r="U47" s="1428">
        <f t="shared" si="18"/>
        <v>0</v>
      </c>
      <c r="V47" s="1431"/>
      <c r="W47" s="1432"/>
      <c r="X47" s="1428">
        <f t="shared" si="18"/>
        <v>0</v>
      </c>
      <c r="Y47" s="1428">
        <f>SUM(Y38:Y45)</f>
        <v>0</v>
      </c>
      <c r="Z47" s="1433"/>
      <c r="AA47" s="1434"/>
      <c r="AB47" s="1420" t="s">
        <v>9</v>
      </c>
      <c r="AC47" s="1420" t="s">
        <v>9</v>
      </c>
      <c r="AD47" s="1420" t="s">
        <v>9</v>
      </c>
      <c r="AE47" s="1420" t="s">
        <v>9</v>
      </c>
      <c r="AF47" s="1420" t="s">
        <v>9</v>
      </c>
      <c r="AG47" s="1420" t="s">
        <v>9</v>
      </c>
      <c r="AH47" s="1420" t="s">
        <v>9</v>
      </c>
    </row>
    <row r="48" spans="1:34" ht="3" customHeight="1" thickTop="1" thickBot="1">
      <c r="A48" s="1449"/>
      <c r="B48" s="1450"/>
      <c r="C48" s="1449"/>
      <c r="D48" s="1450"/>
      <c r="E48" s="1449"/>
      <c r="F48" s="1450"/>
      <c r="G48" s="1449"/>
      <c r="H48" s="1450"/>
      <c r="I48" s="1449"/>
      <c r="J48" s="1450"/>
      <c r="K48" s="1449"/>
      <c r="L48" s="1449"/>
      <c r="M48" s="1451"/>
      <c r="N48" s="1450"/>
      <c r="O48" s="1449"/>
      <c r="P48" s="1452"/>
      <c r="Q48" s="1453"/>
      <c r="R48" s="1450"/>
      <c r="S48" s="1449"/>
      <c r="T48" s="1449"/>
      <c r="U48" s="1449"/>
      <c r="V48" s="1453"/>
      <c r="W48" s="1454"/>
      <c r="X48" s="1449"/>
      <c r="Y48" s="1455"/>
      <c r="Z48" s="1425"/>
      <c r="AA48" s="1418"/>
      <c r="AB48" s="1419"/>
      <c r="AC48" s="1419"/>
      <c r="AD48" s="1419"/>
      <c r="AE48" s="1419"/>
      <c r="AF48" s="1419"/>
      <c r="AG48" s="1419"/>
    </row>
    <row r="49" spans="1:33" thickTop="1" thickBot="1">
      <c r="A49" s="1456" t="s">
        <v>602</v>
      </c>
      <c r="B49" s="1457">
        <f>SUM(B18+B36+B47)</f>
        <v>36</v>
      </c>
      <c r="C49" s="1458">
        <f t="shared" ref="C49:X49" si="19">SUM(C18+C36+C47)</f>
        <v>26319960</v>
      </c>
      <c r="D49" s="1457">
        <f>SUM(D18+D36+D47)</f>
        <v>1</v>
      </c>
      <c r="E49" s="1458">
        <f t="shared" si="19"/>
        <v>630564</v>
      </c>
      <c r="F49" s="1457" t="e">
        <f>SUM(F18+F36+F47)</f>
        <v>#REF!</v>
      </c>
      <c r="G49" s="1458" t="e">
        <f t="shared" si="19"/>
        <v>#REF!</v>
      </c>
      <c r="H49" s="1457">
        <f t="shared" si="19"/>
        <v>646</v>
      </c>
      <c r="I49" s="1458">
        <f t="shared" si="19"/>
        <v>136686768</v>
      </c>
      <c r="J49" s="1457">
        <f>SUM(J18+J36+J47)</f>
        <v>388</v>
      </c>
      <c r="K49" s="1458">
        <f t="shared" si="19"/>
        <v>61996536</v>
      </c>
      <c r="L49" s="1458" t="e">
        <f t="shared" si="19"/>
        <v>#REF!</v>
      </c>
      <c r="M49" s="1459" t="e">
        <f>J49+H49+F49+D49+B49</f>
        <v>#REF!</v>
      </c>
      <c r="N49" s="1457">
        <f>SUM(N18+N36+N47)</f>
        <v>237</v>
      </c>
      <c r="O49" s="1458">
        <f t="shared" si="19"/>
        <v>56132580</v>
      </c>
      <c r="P49" s="1460" t="e">
        <f t="shared" si="19"/>
        <v>#REF!</v>
      </c>
      <c r="Q49" s="1461"/>
      <c r="R49" s="1457">
        <f>SUM(R18+R36+R47)</f>
        <v>18</v>
      </c>
      <c r="S49" s="1458">
        <f t="shared" si="19"/>
        <v>4117020</v>
      </c>
      <c r="T49" s="1458">
        <f t="shared" si="19"/>
        <v>0</v>
      </c>
      <c r="U49" s="1458">
        <f t="shared" si="19"/>
        <v>4117020</v>
      </c>
      <c r="V49" s="1461"/>
      <c r="W49" s="1462">
        <f>W47+W36+W18</f>
        <v>1</v>
      </c>
      <c r="X49" s="1458">
        <f t="shared" si="19"/>
        <v>207060</v>
      </c>
      <c r="Y49" s="1458">
        <f>SUM(Y18+Y36+Y47)</f>
        <v>4324080</v>
      </c>
      <c r="Z49" s="1433" t="e">
        <f>N49+J49+H49+F49+D49+B49</f>
        <v>#REF!</v>
      </c>
      <c r="AA49" s="1434" t="e">
        <f>SUM(AA6:AA45)</f>
        <v>#REF!</v>
      </c>
      <c r="AB49" s="1419"/>
      <c r="AC49" s="1419"/>
      <c r="AD49" s="1419"/>
      <c r="AE49" s="1419"/>
      <c r="AF49" s="1419"/>
      <c r="AG49" s="1419"/>
    </row>
    <row r="51" spans="1:33">
      <c r="P51" s="1551" t="e">
        <f>P49+Y49</f>
        <v>#REF!</v>
      </c>
      <c r="Z51" s="5128" t="e">
        <f>Z49+R49+W49</f>
        <v>#REF!</v>
      </c>
    </row>
  </sheetData>
  <mergeCells count="11">
    <mergeCell ref="W3:W4"/>
    <mergeCell ref="T1:U1"/>
    <mergeCell ref="A3:A4"/>
    <mergeCell ref="B3:B4"/>
    <mergeCell ref="D3:D4"/>
    <mergeCell ref="F3:F4"/>
    <mergeCell ref="H3:H4"/>
    <mergeCell ref="J3:J4"/>
    <mergeCell ref="M3:M4"/>
    <mergeCell ref="N3:N4"/>
    <mergeCell ref="R3:R4"/>
  </mergeCells>
  <pageMargins left="0.25" right="1.25" top="0.25" bottom="0.25" header="0.12" footer="0.05"/>
  <pageSetup paperSize="5" scale="95" orientation="landscape" verticalDpi="300" r:id="rId1"/>
</worksheet>
</file>

<file path=xl/worksheets/sheet206.xml><?xml version="1.0" encoding="utf-8"?>
<worksheet xmlns="http://schemas.openxmlformats.org/spreadsheetml/2006/main" xmlns:r="http://schemas.openxmlformats.org/officeDocument/2006/relationships">
  <sheetPr codeName="Sheet41">
    <tabColor rgb="FF7030A0"/>
  </sheetPr>
  <dimension ref="A1:F62"/>
  <sheetViews>
    <sheetView workbookViewId="0">
      <selection activeCell="F1" sqref="F1:L1048576"/>
    </sheetView>
  </sheetViews>
  <sheetFormatPr defaultColWidth="9.109375" defaultRowHeight="14.4"/>
  <cols>
    <col min="1" max="1" width="3.5546875" style="6460" customWidth="1"/>
    <col min="2" max="2" width="4.44140625" style="6500" customWidth="1"/>
    <col min="3" max="3" width="64.109375" style="6460" customWidth="1"/>
    <col min="4" max="4" width="3.44140625" style="6499" customWidth="1"/>
    <col min="5" max="5" width="26.44140625" style="6460" customWidth="1"/>
    <col min="6" max="6" width="17.109375" style="6460" hidden="1" customWidth="1"/>
    <col min="7" max="12" width="0" style="6460" hidden="1" customWidth="1"/>
    <col min="13" max="16384" width="9.109375" style="6460"/>
  </cols>
  <sheetData>
    <row r="1" spans="1:5" s="6458" customFormat="1" ht="15.75" customHeight="1">
      <c r="A1" s="6458" t="s">
        <v>10840</v>
      </c>
      <c r="B1" s="8209"/>
      <c r="D1" s="6459"/>
    </row>
    <row r="2" spans="1:5" s="6458" customFormat="1" ht="15.75" customHeight="1">
      <c r="B2" s="9810"/>
      <c r="D2" s="6459"/>
    </row>
    <row r="3" spans="1:5">
      <c r="A3" s="15493" t="s">
        <v>12087</v>
      </c>
      <c r="B3" s="15493"/>
      <c r="C3" s="15493"/>
      <c r="D3" s="15493"/>
      <c r="E3" s="15493"/>
    </row>
    <row r="4" spans="1:5">
      <c r="A4" s="15493" t="s">
        <v>463</v>
      </c>
      <c r="B4" s="15493"/>
      <c r="C4" s="15493"/>
      <c r="D4" s="15493"/>
      <c r="E4" s="15493"/>
    </row>
    <row r="7" spans="1:5" s="6458" customFormat="1">
      <c r="A7" s="6461" t="s">
        <v>2895</v>
      </c>
      <c r="B7" s="8230"/>
      <c r="C7" s="6462" t="s">
        <v>3088</v>
      </c>
      <c r="D7" s="6463"/>
      <c r="E7" s="6464"/>
    </row>
    <row r="8" spans="1:5" s="6458" customFormat="1">
      <c r="A8" s="6465"/>
      <c r="B8" s="8231"/>
      <c r="C8" s="6466"/>
      <c r="D8" s="6467"/>
      <c r="E8" s="6468"/>
    </row>
    <row r="9" spans="1:5">
      <c r="A9" s="6469"/>
      <c r="B9" s="8232">
        <v>1.1000000000000001</v>
      </c>
      <c r="C9" s="8225" t="s">
        <v>639</v>
      </c>
      <c r="D9" s="6470" t="s">
        <v>405</v>
      </c>
      <c r="E9" s="6471">
        <f>'lbr 1a'!C12</f>
        <v>485340836</v>
      </c>
    </row>
    <row r="10" spans="1:5">
      <c r="A10" s="6472"/>
      <c r="B10" s="8232">
        <v>1.2</v>
      </c>
      <c r="C10" s="8224" t="s">
        <v>10829</v>
      </c>
      <c r="D10" s="6474"/>
      <c r="E10" s="6471">
        <f>'lbr 1a'!C33</f>
        <v>58180900.319999993</v>
      </c>
    </row>
    <row r="11" spans="1:5">
      <c r="A11" s="6472"/>
      <c r="B11" s="8232">
        <v>1.3</v>
      </c>
      <c r="C11" s="8224" t="s">
        <v>10830</v>
      </c>
      <c r="D11" s="6474"/>
      <c r="E11" s="6471">
        <f>'lbr 1a'!C34</f>
        <v>2150400</v>
      </c>
    </row>
    <row r="12" spans="1:5">
      <c r="A12" s="6472"/>
      <c r="B12" s="8232">
        <v>1.4</v>
      </c>
      <c r="C12" s="8224" t="s">
        <v>10831</v>
      </c>
      <c r="D12" s="6474"/>
      <c r="E12" s="6471">
        <f>'lbr 1a'!C35</f>
        <v>5529354.1050000004</v>
      </c>
    </row>
    <row r="13" spans="1:5">
      <c r="A13" s="6472"/>
      <c r="B13" s="8232">
        <v>1.5</v>
      </c>
      <c r="C13" s="8224" t="s">
        <v>3125</v>
      </c>
      <c r="D13" s="6474"/>
      <c r="E13" s="6471">
        <f>'lbr 1a'!C36</f>
        <v>2150400</v>
      </c>
    </row>
    <row r="14" spans="1:5" hidden="1">
      <c r="A14" s="8220"/>
      <c r="B14" s="8232">
        <v>1.6</v>
      </c>
      <c r="C14" s="8223" t="s">
        <v>10529</v>
      </c>
      <c r="D14" s="8221"/>
      <c r="E14" s="8222">
        <f>'2019 ps worksheet'!M57</f>
        <v>0</v>
      </c>
    </row>
    <row r="15" spans="1:5">
      <c r="A15" s="6472"/>
      <c r="B15" s="8232">
        <v>1.6</v>
      </c>
      <c r="C15" s="8224" t="s">
        <v>10832</v>
      </c>
      <c r="D15" s="6474"/>
      <c r="E15" s="6471">
        <f>'lbr 1a'!C27</f>
        <v>80612806</v>
      </c>
    </row>
    <row r="16" spans="1:5">
      <c r="A16" s="6472"/>
      <c r="B16" s="8232">
        <v>1.7</v>
      </c>
      <c r="C16" s="8224" t="s">
        <v>647</v>
      </c>
      <c r="D16" s="6474"/>
      <c r="E16" s="6471">
        <f>'2019 ps worksheet'!J57</f>
        <v>8960000</v>
      </c>
    </row>
    <row r="17" spans="1:5">
      <c r="A17" s="6472"/>
      <c r="B17" s="8232">
        <v>1.8</v>
      </c>
      <c r="C17" s="8224" t="s">
        <v>10833</v>
      </c>
      <c r="D17" s="6474"/>
      <c r="E17" s="6471">
        <f>'lbr 1a'!C15</f>
        <v>43008000</v>
      </c>
    </row>
    <row r="18" spans="1:5">
      <c r="A18" s="6472"/>
      <c r="B18" s="8232">
        <v>1.9</v>
      </c>
      <c r="C18" s="8224" t="s">
        <v>651</v>
      </c>
      <c r="D18" s="6474"/>
      <c r="E18" s="6471">
        <f>'lbr 1a'!C26</f>
        <v>8960000</v>
      </c>
    </row>
    <row r="19" spans="1:5">
      <c r="A19" s="6472"/>
      <c r="B19" s="8233">
        <v>1.1000000000000001</v>
      </c>
      <c r="C19" s="8224" t="s">
        <v>10834</v>
      </c>
      <c r="D19" s="6474"/>
      <c r="E19" s="6471">
        <f>'lbr 1a'!C18</f>
        <v>10752000</v>
      </c>
    </row>
    <row r="20" spans="1:5">
      <c r="A20" s="6472"/>
      <c r="B20" s="8233">
        <v>1.1100000000000001</v>
      </c>
      <c r="C20" s="8224" t="s">
        <v>649</v>
      </c>
      <c r="D20" s="6474"/>
      <c r="E20" s="6471">
        <f>'lbr 1a'!C24</f>
        <v>46232979</v>
      </c>
    </row>
    <row r="21" spans="1:5">
      <c r="A21" s="6472"/>
      <c r="B21" s="8233">
        <v>1.1200000000000001</v>
      </c>
      <c r="C21" s="8224" t="s">
        <v>660</v>
      </c>
      <c r="D21" s="6474"/>
      <c r="E21" s="6471">
        <f>'lbr 1a'!C46</f>
        <v>1030000</v>
      </c>
    </row>
    <row r="22" spans="1:5">
      <c r="A22" s="6472"/>
      <c r="B22" s="8233">
        <v>1.1299999999999999</v>
      </c>
      <c r="C22" s="8224" t="s">
        <v>10835</v>
      </c>
      <c r="D22" s="6474"/>
      <c r="E22" s="6471">
        <f>'lbr 1a'!C19+'lbr 1a'!C20</f>
        <v>7686000</v>
      </c>
    </row>
    <row r="23" spans="1:5">
      <c r="A23" s="6472"/>
      <c r="B23" s="8233">
        <v>1.1399999999999999</v>
      </c>
      <c r="C23" s="8224" t="s">
        <v>10836</v>
      </c>
      <c r="D23" s="6475"/>
      <c r="E23" s="6476">
        <f>'lbr 1a'!C16</f>
        <v>4824000</v>
      </c>
    </row>
    <row r="24" spans="1:5">
      <c r="A24" s="6472"/>
      <c r="B24" s="8233">
        <v>1.1499999999999999</v>
      </c>
      <c r="C24" s="8224" t="s">
        <v>10837</v>
      </c>
      <c r="D24" s="6475"/>
      <c r="E24" s="6476">
        <f>'lbr 1a'!C17</f>
        <v>3042000</v>
      </c>
    </row>
    <row r="25" spans="1:5">
      <c r="A25" s="6472"/>
      <c r="B25" s="8233">
        <v>1.1599999999999999</v>
      </c>
      <c r="C25" s="8224" t="s">
        <v>10838</v>
      </c>
      <c r="D25" s="6475"/>
      <c r="E25" s="6476">
        <f>'lbr 1a'!C25</f>
        <v>3718200</v>
      </c>
    </row>
    <row r="26" spans="1:5">
      <c r="A26" s="6472"/>
      <c r="B26" s="8233">
        <v>1.17</v>
      </c>
      <c r="C26" s="13384" t="s">
        <v>12083</v>
      </c>
      <c r="D26" s="6477"/>
      <c r="E26" s="6478">
        <f>'lbr 1a'!C22</f>
        <v>5091000</v>
      </c>
    </row>
    <row r="27" spans="1:5">
      <c r="A27" s="6472"/>
      <c r="B27" s="8233">
        <v>1.18</v>
      </c>
      <c r="C27" s="8226" t="s">
        <v>10331</v>
      </c>
      <c r="D27" s="6477"/>
      <c r="E27" s="6479">
        <f>'lbr 1a'!C28</f>
        <v>936000</v>
      </c>
    </row>
    <row r="28" spans="1:5">
      <c r="A28" s="9941"/>
      <c r="B28" s="8233"/>
      <c r="C28" s="9942"/>
      <c r="D28" s="9943"/>
      <c r="E28" s="9944"/>
    </row>
    <row r="29" spans="1:5" hidden="1">
      <c r="A29" s="6472"/>
      <c r="B29" s="8233"/>
      <c r="C29" s="8226" t="s">
        <v>6645</v>
      </c>
      <c r="D29" s="6477"/>
      <c r="E29" s="6479">
        <f>'lbr 1a'!C47</f>
        <v>0</v>
      </c>
    </row>
    <row r="30" spans="1:5" ht="17.100000000000001" customHeight="1">
      <c r="A30" s="6472"/>
      <c r="B30" s="8233"/>
      <c r="C30" s="6480" t="s">
        <v>182</v>
      </c>
      <c r="D30" s="6482" t="s">
        <v>405</v>
      </c>
      <c r="E30" s="8229">
        <f>SUM(E9:E29)</f>
        <v>778204875.42499995</v>
      </c>
    </row>
    <row r="31" spans="1:5">
      <c r="A31" s="6472"/>
      <c r="B31" s="8234"/>
      <c r="C31" s="6473"/>
      <c r="D31" s="6475"/>
      <c r="E31" s="6476"/>
    </row>
    <row r="32" spans="1:5">
      <c r="A32" s="6472"/>
      <c r="B32" s="8234"/>
      <c r="C32" s="6473" t="s">
        <v>694</v>
      </c>
      <c r="D32" s="6475"/>
      <c r="E32" s="6476">
        <f>summary!C56</f>
        <v>18132528</v>
      </c>
    </row>
    <row r="33" spans="1:6">
      <c r="A33" s="6472"/>
      <c r="B33" s="8234"/>
      <c r="C33" s="6473" t="s">
        <v>695</v>
      </c>
      <c r="D33" s="6475"/>
      <c r="E33" s="6476">
        <f>summary!C55</f>
        <v>11596965.324999772</v>
      </c>
    </row>
    <row r="34" spans="1:6" s="6484" customFormat="1" ht="17.100000000000001" customHeight="1">
      <c r="A34" s="15490" t="s">
        <v>182</v>
      </c>
      <c r="B34" s="15491"/>
      <c r="C34" s="15492"/>
      <c r="D34" s="6482" t="s">
        <v>405</v>
      </c>
      <c r="E34" s="6483">
        <f>SUM(E32:E33)</f>
        <v>29729493.324999772</v>
      </c>
      <c r="F34" s="6494">
        <f>E34+E30</f>
        <v>807934368.74999976</v>
      </c>
    </row>
    <row r="35" spans="1:6" s="6484" customFormat="1" ht="14.25" customHeight="1">
      <c r="A35" s="6485"/>
      <c r="B35" s="8227"/>
      <c r="C35" s="6486"/>
      <c r="D35" s="6487"/>
      <c r="E35" s="6488"/>
    </row>
    <row r="36" spans="1:6" s="6458" customFormat="1">
      <c r="A36" s="6489" t="s">
        <v>3089</v>
      </c>
      <c r="B36" s="8231"/>
      <c r="C36" s="6490"/>
      <c r="D36" s="6467"/>
      <c r="E36" s="6468"/>
    </row>
    <row r="37" spans="1:6" s="6458" customFormat="1">
      <c r="A37" s="6489"/>
      <c r="B37" s="8231"/>
      <c r="C37" s="6490"/>
      <c r="D37" s="6467"/>
      <c r="E37" s="6468"/>
    </row>
    <row r="38" spans="1:6">
      <c r="A38" s="6472"/>
      <c r="B38" s="8234"/>
      <c r="C38" s="6473" t="s">
        <v>3090</v>
      </c>
      <c r="D38" s="6470" t="s">
        <v>405</v>
      </c>
      <c r="E38" s="6491">
        <f>summary!J61</f>
        <v>404379576.20000005</v>
      </c>
    </row>
    <row r="39" spans="1:6">
      <c r="A39" s="6472"/>
      <c r="B39" s="8234"/>
      <c r="C39" s="6473" t="s">
        <v>3091</v>
      </c>
      <c r="D39" s="6474"/>
      <c r="E39" s="6491">
        <f>summary!J63</f>
        <v>22180000</v>
      </c>
    </row>
    <row r="40" spans="1:6">
      <c r="A40" s="6472"/>
      <c r="B40" s="8234"/>
      <c r="C40" s="6473" t="s">
        <v>3092</v>
      </c>
      <c r="D40" s="6474"/>
      <c r="E40" s="6491">
        <f>'lbpf 3-GO'!K62</f>
        <v>623000</v>
      </c>
    </row>
    <row r="41" spans="1:6">
      <c r="A41" s="6472"/>
      <c r="B41" s="8234"/>
      <c r="C41" s="8224" t="s">
        <v>10841</v>
      </c>
      <c r="D41" s="6474"/>
      <c r="E41" s="6491">
        <f>summary!J62</f>
        <v>120267144.05000001</v>
      </c>
    </row>
    <row r="42" spans="1:6" ht="6" customHeight="1">
      <c r="A42" s="6472"/>
      <c r="B42" s="8234"/>
      <c r="C42" s="6473"/>
      <c r="D42" s="6474"/>
      <c r="E42" s="6492"/>
    </row>
    <row r="43" spans="1:6" s="6484" customFormat="1" ht="17.100000000000001" customHeight="1">
      <c r="A43" s="15490" t="s">
        <v>182</v>
      </c>
      <c r="B43" s="15491"/>
      <c r="C43" s="15492"/>
      <c r="D43" s="6482" t="s">
        <v>405</v>
      </c>
      <c r="E43" s="6481">
        <f>SUM(E38:E41)</f>
        <v>547449720.25</v>
      </c>
    </row>
    <row r="44" spans="1:6" s="6484" customFormat="1" ht="15.75" customHeight="1">
      <c r="A44" s="6485"/>
      <c r="B44" s="8227"/>
      <c r="C44" s="6486"/>
      <c r="D44" s="6487"/>
      <c r="E44" s="6488"/>
    </row>
    <row r="45" spans="1:6" s="6458" customFormat="1" hidden="1">
      <c r="A45" s="6489" t="s">
        <v>3093</v>
      </c>
      <c r="B45" s="8231"/>
      <c r="C45" s="6490"/>
      <c r="D45" s="6467"/>
      <c r="E45" s="6468"/>
    </row>
    <row r="46" spans="1:6" s="6458" customFormat="1" ht="10.5" hidden="1" customHeight="1">
      <c r="A46" s="6489"/>
      <c r="B46" s="8231"/>
      <c r="C46" s="6490"/>
      <c r="D46" s="6467"/>
      <c r="E46" s="6468"/>
    </row>
    <row r="47" spans="1:6" hidden="1">
      <c r="A47" s="6472"/>
      <c r="B47" s="8234"/>
      <c r="C47" s="6473"/>
      <c r="D47" s="6470"/>
      <c r="E47" s="6471"/>
    </row>
    <row r="48" spans="1:6" s="6484" customFormat="1" ht="20.25" hidden="1" customHeight="1">
      <c r="A48" s="15490" t="s">
        <v>182</v>
      </c>
      <c r="B48" s="15491"/>
      <c r="C48" s="15492"/>
      <c r="D48" s="6482" t="s">
        <v>405</v>
      </c>
      <c r="E48" s="6493">
        <f>SUM(E47:E47)</f>
        <v>0</v>
      </c>
      <c r="F48" s="6494"/>
    </row>
    <row r="49" spans="1:6" s="6484" customFormat="1" ht="9" hidden="1" customHeight="1">
      <c r="A49" s="6495"/>
      <c r="B49" s="8228"/>
      <c r="C49" s="6496"/>
      <c r="D49" s="6497"/>
      <c r="E49" s="6498"/>
      <c r="F49" s="6494"/>
    </row>
    <row r="50" spans="1:6" s="6484" customFormat="1" ht="17.100000000000001" customHeight="1">
      <c r="A50" s="15495" t="s">
        <v>893</v>
      </c>
      <c r="B50" s="15496"/>
      <c r="C50" s="15497"/>
      <c r="D50" s="6482" t="s">
        <v>405</v>
      </c>
      <c r="E50" s="6481">
        <f>E48+E43+E34+E30</f>
        <v>1355384088.9999998</v>
      </c>
    </row>
    <row r="51" spans="1:6" ht="15.75" customHeight="1"/>
    <row r="52" spans="1:6" s="6500" customFormat="1" ht="15.75" hidden="1" customHeight="1">
      <c r="A52" s="3372"/>
      <c r="B52" s="3372" t="s">
        <v>10839</v>
      </c>
      <c r="E52" s="6502"/>
      <c r="F52" s="6503"/>
    </row>
    <row r="53" spans="1:6" s="6500" customFormat="1" ht="15.75" hidden="1" customHeight="1">
      <c r="A53" s="3373"/>
      <c r="B53" s="8210"/>
      <c r="D53" s="6357"/>
      <c r="E53" s="6357"/>
      <c r="F53" s="6357"/>
    </row>
    <row r="54" spans="1:6" s="6500" customFormat="1" ht="15.75" hidden="1" customHeight="1">
      <c r="A54" s="3373"/>
      <c r="B54" s="8210"/>
      <c r="D54" s="6357"/>
    </row>
    <row r="55" spans="1:6" s="2663" customFormat="1" ht="15.75" hidden="1" customHeight="1">
      <c r="C55" s="5656" t="s">
        <v>12084</v>
      </c>
      <c r="D55" s="2662"/>
    </row>
    <row r="56" spans="1:6" s="2665" customFormat="1" ht="15.75" hidden="1" customHeight="1">
      <c r="C56" s="5657" t="s">
        <v>12085</v>
      </c>
      <c r="D56" s="2666"/>
    </row>
    <row r="57" spans="1:6" ht="15.75" hidden="1" customHeight="1">
      <c r="A57" s="6501"/>
    </row>
    <row r="58" spans="1:6" ht="15.75" hidden="1" customHeight="1">
      <c r="A58" s="6501"/>
    </row>
    <row r="59" spans="1:6" ht="15.75" hidden="1" customHeight="1">
      <c r="C59" s="9945" t="s">
        <v>11390</v>
      </c>
      <c r="E59" s="7931" t="s">
        <v>6919</v>
      </c>
    </row>
    <row r="60" spans="1:6" ht="15.75" hidden="1" customHeight="1">
      <c r="E60" s="7799"/>
    </row>
    <row r="61" spans="1:6" ht="15" hidden="1" customHeight="1">
      <c r="A61" s="15493" t="s">
        <v>12086</v>
      </c>
      <c r="B61" s="15493"/>
      <c r="C61" s="15493"/>
      <c r="D61" s="15493"/>
      <c r="E61" s="15493"/>
    </row>
    <row r="62" spans="1:6" hidden="1">
      <c r="A62" s="15494" t="s">
        <v>737</v>
      </c>
      <c r="B62" s="15494"/>
      <c r="C62" s="15494"/>
      <c r="D62" s="15494"/>
      <c r="E62" s="15494"/>
    </row>
  </sheetData>
  <mergeCells count="8">
    <mergeCell ref="A34:C34"/>
    <mergeCell ref="A3:E3"/>
    <mergeCell ref="A4:E4"/>
    <mergeCell ref="A61:E61"/>
    <mergeCell ref="A62:E62"/>
    <mergeCell ref="A50:C50"/>
    <mergeCell ref="A48:C48"/>
    <mergeCell ref="A43:C43"/>
  </mergeCells>
  <printOptions horizontalCentered="1"/>
  <pageMargins left="0.25" right="0.25" top="0.5" bottom="0.25" header="0.25" footer="0.25"/>
  <pageSetup paperSize="119" scale="95" firstPageNumber="8" orientation="portrait" useFirstPageNumber="1" r:id="rId1"/>
</worksheet>
</file>

<file path=xl/worksheets/sheet207.xml><?xml version="1.0" encoding="utf-8"?>
<worksheet xmlns="http://schemas.openxmlformats.org/spreadsheetml/2006/main" xmlns:r="http://schemas.openxmlformats.org/officeDocument/2006/relationships">
  <sheetPr codeName="Sheet42">
    <tabColor rgb="FF7030A0"/>
  </sheetPr>
  <dimension ref="A1:M148"/>
  <sheetViews>
    <sheetView showGridLines="0" workbookViewId="0">
      <selection activeCell="M131" sqref="M131"/>
    </sheetView>
  </sheetViews>
  <sheetFormatPr defaultColWidth="8" defaultRowHeight="15.6"/>
  <cols>
    <col min="1" max="1" width="2.109375" style="13386" customWidth="1"/>
    <col min="2" max="2" width="29.44140625" style="13386" customWidth="1"/>
    <col min="3" max="3" width="7.44140625" style="13387" customWidth="1"/>
    <col min="4" max="4" width="2.44140625" style="13386" customWidth="1"/>
    <col min="5" max="5" width="17.109375" style="13386" customWidth="1"/>
    <col min="6" max="6" width="2.44140625" style="13386" customWidth="1"/>
    <col min="7" max="7" width="16.109375" style="13386" customWidth="1"/>
    <col min="8" max="8" width="2.109375" style="13386" customWidth="1"/>
    <col min="9" max="9" width="17.109375" style="13386" customWidth="1"/>
    <col min="10" max="10" width="17.33203125" style="13387" customWidth="1"/>
    <col min="11" max="11" width="15.109375" style="13388" hidden="1" customWidth="1"/>
    <col min="12" max="12" width="10.88671875" style="13386" bestFit="1" customWidth="1"/>
    <col min="13" max="13" width="12.88671875" style="13386" bestFit="1" customWidth="1"/>
    <col min="14" max="14" width="8" style="13386"/>
    <col min="15" max="15" width="8" style="13386" customWidth="1"/>
    <col min="16" max="253" width="8" style="13386"/>
    <col min="254" max="254" width="2.88671875" style="13386" customWidth="1"/>
    <col min="255" max="255" width="33.44140625" style="13386" customWidth="1"/>
    <col min="256" max="256" width="6.44140625" style="13386" customWidth="1"/>
    <col min="257" max="257" width="1.88671875" style="13386" customWidth="1"/>
    <col min="258" max="258" width="15.109375" style="13386" customWidth="1"/>
    <col min="259" max="259" width="1.88671875" style="13386" customWidth="1"/>
    <col min="260" max="260" width="15.44140625" style="13386" customWidth="1"/>
    <col min="261" max="261" width="2" style="13386" customWidth="1"/>
    <col min="262" max="262" width="14.88671875" style="13386" customWidth="1"/>
    <col min="263" max="263" width="1.88671875" style="13386" customWidth="1"/>
    <col min="264" max="264" width="18.44140625" style="13386" customWidth="1"/>
    <col min="265" max="265" width="17.44140625" style="13386" customWidth="1"/>
    <col min="266" max="266" width="6.88671875" style="13386" customWidth="1"/>
    <col min="267" max="267" width="0" style="13386" hidden="1" customWidth="1"/>
    <col min="268" max="268" width="10.109375" style="13386" bestFit="1" customWidth="1"/>
    <col min="269" max="269" width="12.88671875" style="13386" bestFit="1" customWidth="1"/>
    <col min="270" max="270" width="8" style="13386"/>
    <col min="271" max="271" width="8" style="13386" customWidth="1"/>
    <col min="272" max="509" width="8" style="13386"/>
    <col min="510" max="510" width="2.88671875" style="13386" customWidth="1"/>
    <col min="511" max="511" width="33.44140625" style="13386" customWidth="1"/>
    <col min="512" max="512" width="6.44140625" style="13386" customWidth="1"/>
    <col min="513" max="513" width="1.88671875" style="13386" customWidth="1"/>
    <col min="514" max="514" width="15.109375" style="13386" customWidth="1"/>
    <col min="515" max="515" width="1.88671875" style="13386" customWidth="1"/>
    <col min="516" max="516" width="15.44140625" style="13386" customWidth="1"/>
    <col min="517" max="517" width="2" style="13386" customWidth="1"/>
    <col min="518" max="518" width="14.88671875" style="13386" customWidth="1"/>
    <col min="519" max="519" width="1.88671875" style="13386" customWidth="1"/>
    <col min="520" max="520" width="18.44140625" style="13386" customWidth="1"/>
    <col min="521" max="521" width="17.44140625" style="13386" customWidth="1"/>
    <col min="522" max="522" width="6.88671875" style="13386" customWidth="1"/>
    <col min="523" max="523" width="0" style="13386" hidden="1" customWidth="1"/>
    <col min="524" max="524" width="10.109375" style="13386" bestFit="1" customWidth="1"/>
    <col min="525" max="525" width="12.88671875" style="13386" bestFit="1" customWidth="1"/>
    <col min="526" max="526" width="8" style="13386"/>
    <col min="527" max="527" width="8" style="13386" customWidth="1"/>
    <col min="528" max="765" width="8" style="13386"/>
    <col min="766" max="766" width="2.88671875" style="13386" customWidth="1"/>
    <col min="767" max="767" width="33.44140625" style="13386" customWidth="1"/>
    <col min="768" max="768" width="6.44140625" style="13386" customWidth="1"/>
    <col min="769" max="769" width="1.88671875" style="13386" customWidth="1"/>
    <col min="770" max="770" width="15.109375" style="13386" customWidth="1"/>
    <col min="771" max="771" width="1.88671875" style="13386" customWidth="1"/>
    <col min="772" max="772" width="15.44140625" style="13386" customWidth="1"/>
    <col min="773" max="773" width="2" style="13386" customWidth="1"/>
    <col min="774" max="774" width="14.88671875" style="13386" customWidth="1"/>
    <col min="775" max="775" width="1.88671875" style="13386" customWidth="1"/>
    <col min="776" max="776" width="18.44140625" style="13386" customWidth="1"/>
    <col min="777" max="777" width="17.44140625" style="13386" customWidth="1"/>
    <col min="778" max="778" width="6.88671875" style="13386" customWidth="1"/>
    <col min="779" max="779" width="0" style="13386" hidden="1" customWidth="1"/>
    <col min="780" max="780" width="10.109375" style="13386" bestFit="1" customWidth="1"/>
    <col min="781" max="781" width="12.88671875" style="13386" bestFit="1" customWidth="1"/>
    <col min="782" max="782" width="8" style="13386"/>
    <col min="783" max="783" width="8" style="13386" customWidth="1"/>
    <col min="784" max="1021" width="8" style="13386"/>
    <col min="1022" max="1022" width="2.88671875" style="13386" customWidth="1"/>
    <col min="1023" max="1023" width="33.44140625" style="13386" customWidth="1"/>
    <col min="1024" max="1024" width="6.44140625" style="13386" customWidth="1"/>
    <col min="1025" max="1025" width="1.88671875" style="13386" customWidth="1"/>
    <col min="1026" max="1026" width="15.109375" style="13386" customWidth="1"/>
    <col min="1027" max="1027" width="1.88671875" style="13386" customWidth="1"/>
    <col min="1028" max="1028" width="15.44140625" style="13386" customWidth="1"/>
    <col min="1029" max="1029" width="2" style="13386" customWidth="1"/>
    <col min="1030" max="1030" width="14.88671875" style="13386" customWidth="1"/>
    <col min="1031" max="1031" width="1.88671875" style="13386" customWidth="1"/>
    <col min="1032" max="1032" width="18.44140625" style="13386" customWidth="1"/>
    <col min="1033" max="1033" width="17.44140625" style="13386" customWidth="1"/>
    <col min="1034" max="1034" width="6.88671875" style="13386" customWidth="1"/>
    <col min="1035" max="1035" width="0" style="13386" hidden="1" customWidth="1"/>
    <col min="1036" max="1036" width="10.109375" style="13386" bestFit="1" customWidth="1"/>
    <col min="1037" max="1037" width="12.88671875" style="13386" bestFit="1" customWidth="1"/>
    <col min="1038" max="1038" width="8" style="13386"/>
    <col min="1039" max="1039" width="8" style="13386" customWidth="1"/>
    <col min="1040" max="1277" width="8" style="13386"/>
    <col min="1278" max="1278" width="2.88671875" style="13386" customWidth="1"/>
    <col min="1279" max="1279" width="33.44140625" style="13386" customWidth="1"/>
    <col min="1280" max="1280" width="6.44140625" style="13386" customWidth="1"/>
    <col min="1281" max="1281" width="1.88671875" style="13386" customWidth="1"/>
    <col min="1282" max="1282" width="15.109375" style="13386" customWidth="1"/>
    <col min="1283" max="1283" width="1.88671875" style="13386" customWidth="1"/>
    <col min="1284" max="1284" width="15.44140625" style="13386" customWidth="1"/>
    <col min="1285" max="1285" width="2" style="13386" customWidth="1"/>
    <col min="1286" max="1286" width="14.88671875" style="13386" customWidth="1"/>
    <col min="1287" max="1287" width="1.88671875" style="13386" customWidth="1"/>
    <col min="1288" max="1288" width="18.44140625" style="13386" customWidth="1"/>
    <col min="1289" max="1289" width="17.44140625" style="13386" customWidth="1"/>
    <col min="1290" max="1290" width="6.88671875" style="13386" customWidth="1"/>
    <col min="1291" max="1291" width="0" style="13386" hidden="1" customWidth="1"/>
    <col min="1292" max="1292" width="10.109375" style="13386" bestFit="1" customWidth="1"/>
    <col min="1293" max="1293" width="12.88671875" style="13386" bestFit="1" customWidth="1"/>
    <col min="1294" max="1294" width="8" style="13386"/>
    <col min="1295" max="1295" width="8" style="13386" customWidth="1"/>
    <col min="1296" max="1533" width="8" style="13386"/>
    <col min="1534" max="1534" width="2.88671875" style="13386" customWidth="1"/>
    <col min="1535" max="1535" width="33.44140625" style="13386" customWidth="1"/>
    <col min="1536" max="1536" width="6.44140625" style="13386" customWidth="1"/>
    <col min="1537" max="1537" width="1.88671875" style="13386" customWidth="1"/>
    <col min="1538" max="1538" width="15.109375" style="13386" customWidth="1"/>
    <col min="1539" max="1539" width="1.88671875" style="13386" customWidth="1"/>
    <col min="1540" max="1540" width="15.44140625" style="13386" customWidth="1"/>
    <col min="1541" max="1541" width="2" style="13386" customWidth="1"/>
    <col min="1542" max="1542" width="14.88671875" style="13386" customWidth="1"/>
    <col min="1543" max="1543" width="1.88671875" style="13386" customWidth="1"/>
    <col min="1544" max="1544" width="18.44140625" style="13386" customWidth="1"/>
    <col min="1545" max="1545" width="17.44140625" style="13386" customWidth="1"/>
    <col min="1546" max="1546" width="6.88671875" style="13386" customWidth="1"/>
    <col min="1547" max="1547" width="0" style="13386" hidden="1" customWidth="1"/>
    <col min="1548" max="1548" width="10.109375" style="13386" bestFit="1" customWidth="1"/>
    <col min="1549" max="1549" width="12.88671875" style="13386" bestFit="1" customWidth="1"/>
    <col min="1550" max="1550" width="8" style="13386"/>
    <col min="1551" max="1551" width="8" style="13386" customWidth="1"/>
    <col min="1552" max="1789" width="8" style="13386"/>
    <col min="1790" max="1790" width="2.88671875" style="13386" customWidth="1"/>
    <col min="1791" max="1791" width="33.44140625" style="13386" customWidth="1"/>
    <col min="1792" max="1792" width="6.44140625" style="13386" customWidth="1"/>
    <col min="1793" max="1793" width="1.88671875" style="13386" customWidth="1"/>
    <col min="1794" max="1794" width="15.109375" style="13386" customWidth="1"/>
    <col min="1795" max="1795" width="1.88671875" style="13386" customWidth="1"/>
    <col min="1796" max="1796" width="15.44140625" style="13386" customWidth="1"/>
    <col min="1797" max="1797" width="2" style="13386" customWidth="1"/>
    <col min="1798" max="1798" width="14.88671875" style="13386" customWidth="1"/>
    <col min="1799" max="1799" width="1.88671875" style="13386" customWidth="1"/>
    <col min="1800" max="1800" width="18.44140625" style="13386" customWidth="1"/>
    <col min="1801" max="1801" width="17.44140625" style="13386" customWidth="1"/>
    <col min="1802" max="1802" width="6.88671875" style="13386" customWidth="1"/>
    <col min="1803" max="1803" width="0" style="13386" hidden="1" customWidth="1"/>
    <col min="1804" max="1804" width="10.109375" style="13386" bestFit="1" customWidth="1"/>
    <col min="1805" max="1805" width="12.88671875" style="13386" bestFit="1" customWidth="1"/>
    <col min="1806" max="1806" width="8" style="13386"/>
    <col min="1807" max="1807" width="8" style="13386" customWidth="1"/>
    <col min="1808" max="2045" width="8" style="13386"/>
    <col min="2046" max="2046" width="2.88671875" style="13386" customWidth="1"/>
    <col min="2047" max="2047" width="33.44140625" style="13386" customWidth="1"/>
    <col min="2048" max="2048" width="6.44140625" style="13386" customWidth="1"/>
    <col min="2049" max="2049" width="1.88671875" style="13386" customWidth="1"/>
    <col min="2050" max="2050" width="15.109375" style="13386" customWidth="1"/>
    <col min="2051" max="2051" width="1.88671875" style="13386" customWidth="1"/>
    <col min="2052" max="2052" width="15.44140625" style="13386" customWidth="1"/>
    <col min="2053" max="2053" width="2" style="13386" customWidth="1"/>
    <col min="2054" max="2054" width="14.88671875" style="13386" customWidth="1"/>
    <col min="2055" max="2055" width="1.88671875" style="13386" customWidth="1"/>
    <col min="2056" max="2056" width="18.44140625" style="13386" customWidth="1"/>
    <col min="2057" max="2057" width="17.44140625" style="13386" customWidth="1"/>
    <col min="2058" max="2058" width="6.88671875" style="13386" customWidth="1"/>
    <col min="2059" max="2059" width="0" style="13386" hidden="1" customWidth="1"/>
    <col min="2060" max="2060" width="10.109375" style="13386" bestFit="1" customWidth="1"/>
    <col min="2061" max="2061" width="12.88671875" style="13386" bestFit="1" customWidth="1"/>
    <col min="2062" max="2062" width="8" style="13386"/>
    <col min="2063" max="2063" width="8" style="13386" customWidth="1"/>
    <col min="2064" max="2301" width="8" style="13386"/>
    <col min="2302" max="2302" width="2.88671875" style="13386" customWidth="1"/>
    <col min="2303" max="2303" width="33.44140625" style="13386" customWidth="1"/>
    <col min="2304" max="2304" width="6.44140625" style="13386" customWidth="1"/>
    <col min="2305" max="2305" width="1.88671875" style="13386" customWidth="1"/>
    <col min="2306" max="2306" width="15.109375" style="13386" customWidth="1"/>
    <col min="2307" max="2307" width="1.88671875" style="13386" customWidth="1"/>
    <col min="2308" max="2308" width="15.44140625" style="13386" customWidth="1"/>
    <col min="2309" max="2309" width="2" style="13386" customWidth="1"/>
    <col min="2310" max="2310" width="14.88671875" style="13386" customWidth="1"/>
    <col min="2311" max="2311" width="1.88671875" style="13386" customWidth="1"/>
    <col min="2312" max="2312" width="18.44140625" style="13386" customWidth="1"/>
    <col min="2313" max="2313" width="17.44140625" style="13386" customWidth="1"/>
    <col min="2314" max="2314" width="6.88671875" style="13386" customWidth="1"/>
    <col min="2315" max="2315" width="0" style="13386" hidden="1" customWidth="1"/>
    <col min="2316" max="2316" width="10.109375" style="13386" bestFit="1" customWidth="1"/>
    <col min="2317" max="2317" width="12.88671875" style="13386" bestFit="1" customWidth="1"/>
    <col min="2318" max="2318" width="8" style="13386"/>
    <col min="2319" max="2319" width="8" style="13386" customWidth="1"/>
    <col min="2320" max="2557" width="8" style="13386"/>
    <col min="2558" max="2558" width="2.88671875" style="13386" customWidth="1"/>
    <col min="2559" max="2559" width="33.44140625" style="13386" customWidth="1"/>
    <col min="2560" max="2560" width="6.44140625" style="13386" customWidth="1"/>
    <col min="2561" max="2561" width="1.88671875" style="13386" customWidth="1"/>
    <col min="2562" max="2562" width="15.109375" style="13386" customWidth="1"/>
    <col min="2563" max="2563" width="1.88671875" style="13386" customWidth="1"/>
    <col min="2564" max="2564" width="15.44140625" style="13386" customWidth="1"/>
    <col min="2565" max="2565" width="2" style="13386" customWidth="1"/>
    <col min="2566" max="2566" width="14.88671875" style="13386" customWidth="1"/>
    <col min="2567" max="2567" width="1.88671875" style="13386" customWidth="1"/>
    <col min="2568" max="2568" width="18.44140625" style="13386" customWidth="1"/>
    <col min="2569" max="2569" width="17.44140625" style="13386" customWidth="1"/>
    <col min="2570" max="2570" width="6.88671875" style="13386" customWidth="1"/>
    <col min="2571" max="2571" width="0" style="13386" hidden="1" customWidth="1"/>
    <col min="2572" max="2572" width="10.109375" style="13386" bestFit="1" customWidth="1"/>
    <col min="2573" max="2573" width="12.88671875" style="13386" bestFit="1" customWidth="1"/>
    <col min="2574" max="2574" width="8" style="13386"/>
    <col min="2575" max="2575" width="8" style="13386" customWidth="1"/>
    <col min="2576" max="2813" width="8" style="13386"/>
    <col min="2814" max="2814" width="2.88671875" style="13386" customWidth="1"/>
    <col min="2815" max="2815" width="33.44140625" style="13386" customWidth="1"/>
    <col min="2816" max="2816" width="6.44140625" style="13386" customWidth="1"/>
    <col min="2817" max="2817" width="1.88671875" style="13386" customWidth="1"/>
    <col min="2818" max="2818" width="15.109375" style="13386" customWidth="1"/>
    <col min="2819" max="2819" width="1.88671875" style="13386" customWidth="1"/>
    <col min="2820" max="2820" width="15.44140625" style="13386" customWidth="1"/>
    <col min="2821" max="2821" width="2" style="13386" customWidth="1"/>
    <col min="2822" max="2822" width="14.88671875" style="13386" customWidth="1"/>
    <col min="2823" max="2823" width="1.88671875" style="13386" customWidth="1"/>
    <col min="2824" max="2824" width="18.44140625" style="13386" customWidth="1"/>
    <col min="2825" max="2825" width="17.44140625" style="13386" customWidth="1"/>
    <col min="2826" max="2826" width="6.88671875" style="13386" customWidth="1"/>
    <col min="2827" max="2827" width="0" style="13386" hidden="1" customWidth="1"/>
    <col min="2828" max="2828" width="10.109375" style="13386" bestFit="1" customWidth="1"/>
    <col min="2829" max="2829" width="12.88671875" style="13386" bestFit="1" customWidth="1"/>
    <col min="2830" max="2830" width="8" style="13386"/>
    <col min="2831" max="2831" width="8" style="13386" customWidth="1"/>
    <col min="2832" max="3069" width="8" style="13386"/>
    <col min="3070" max="3070" width="2.88671875" style="13386" customWidth="1"/>
    <col min="3071" max="3071" width="33.44140625" style="13386" customWidth="1"/>
    <col min="3072" max="3072" width="6.44140625" style="13386" customWidth="1"/>
    <col min="3073" max="3073" width="1.88671875" style="13386" customWidth="1"/>
    <col min="3074" max="3074" width="15.109375" style="13386" customWidth="1"/>
    <col min="3075" max="3075" width="1.88671875" style="13386" customWidth="1"/>
    <col min="3076" max="3076" width="15.44140625" style="13386" customWidth="1"/>
    <col min="3077" max="3077" width="2" style="13386" customWidth="1"/>
    <col min="3078" max="3078" width="14.88671875" style="13386" customWidth="1"/>
    <col min="3079" max="3079" width="1.88671875" style="13386" customWidth="1"/>
    <col min="3080" max="3080" width="18.44140625" style="13386" customWidth="1"/>
    <col min="3081" max="3081" width="17.44140625" style="13386" customWidth="1"/>
    <col min="3082" max="3082" width="6.88671875" style="13386" customWidth="1"/>
    <col min="3083" max="3083" width="0" style="13386" hidden="1" customWidth="1"/>
    <col min="3084" max="3084" width="10.109375" style="13386" bestFit="1" customWidth="1"/>
    <col min="3085" max="3085" width="12.88671875" style="13386" bestFit="1" customWidth="1"/>
    <col min="3086" max="3086" width="8" style="13386"/>
    <col min="3087" max="3087" width="8" style="13386" customWidth="1"/>
    <col min="3088" max="3325" width="8" style="13386"/>
    <col min="3326" max="3326" width="2.88671875" style="13386" customWidth="1"/>
    <col min="3327" max="3327" width="33.44140625" style="13386" customWidth="1"/>
    <col min="3328" max="3328" width="6.44140625" style="13386" customWidth="1"/>
    <col min="3329" max="3329" width="1.88671875" style="13386" customWidth="1"/>
    <col min="3330" max="3330" width="15.109375" style="13386" customWidth="1"/>
    <col min="3331" max="3331" width="1.88671875" style="13386" customWidth="1"/>
    <col min="3332" max="3332" width="15.44140625" style="13386" customWidth="1"/>
    <col min="3333" max="3333" width="2" style="13386" customWidth="1"/>
    <col min="3334" max="3334" width="14.88671875" style="13386" customWidth="1"/>
    <col min="3335" max="3335" width="1.88671875" style="13386" customWidth="1"/>
    <col min="3336" max="3336" width="18.44140625" style="13386" customWidth="1"/>
    <col min="3337" max="3337" width="17.44140625" style="13386" customWidth="1"/>
    <col min="3338" max="3338" width="6.88671875" style="13386" customWidth="1"/>
    <col min="3339" max="3339" width="0" style="13386" hidden="1" customWidth="1"/>
    <col min="3340" max="3340" width="10.109375" style="13386" bestFit="1" customWidth="1"/>
    <col min="3341" max="3341" width="12.88671875" style="13386" bestFit="1" customWidth="1"/>
    <col min="3342" max="3342" width="8" style="13386"/>
    <col min="3343" max="3343" width="8" style="13386" customWidth="1"/>
    <col min="3344" max="3581" width="8" style="13386"/>
    <col min="3582" max="3582" width="2.88671875" style="13386" customWidth="1"/>
    <col min="3583" max="3583" width="33.44140625" style="13386" customWidth="1"/>
    <col min="3584" max="3584" width="6.44140625" style="13386" customWidth="1"/>
    <col min="3585" max="3585" width="1.88671875" style="13386" customWidth="1"/>
    <col min="3586" max="3586" width="15.109375" style="13386" customWidth="1"/>
    <col min="3587" max="3587" width="1.88671875" style="13386" customWidth="1"/>
    <col min="3588" max="3588" width="15.44140625" style="13386" customWidth="1"/>
    <col min="3589" max="3589" width="2" style="13386" customWidth="1"/>
    <col min="3590" max="3590" width="14.88671875" style="13386" customWidth="1"/>
    <col min="3591" max="3591" width="1.88671875" style="13386" customWidth="1"/>
    <col min="3592" max="3592" width="18.44140625" style="13386" customWidth="1"/>
    <col min="3593" max="3593" width="17.44140625" style="13386" customWidth="1"/>
    <col min="3594" max="3594" width="6.88671875" style="13386" customWidth="1"/>
    <col min="3595" max="3595" width="0" style="13386" hidden="1" customWidth="1"/>
    <col min="3596" max="3596" width="10.109375" style="13386" bestFit="1" customWidth="1"/>
    <col min="3597" max="3597" width="12.88671875" style="13386" bestFit="1" customWidth="1"/>
    <col min="3598" max="3598" width="8" style="13386"/>
    <col min="3599" max="3599" width="8" style="13386" customWidth="1"/>
    <col min="3600" max="3837" width="8" style="13386"/>
    <col min="3838" max="3838" width="2.88671875" style="13386" customWidth="1"/>
    <col min="3839" max="3839" width="33.44140625" style="13386" customWidth="1"/>
    <col min="3840" max="3840" width="6.44140625" style="13386" customWidth="1"/>
    <col min="3841" max="3841" width="1.88671875" style="13386" customWidth="1"/>
    <col min="3842" max="3842" width="15.109375" style="13386" customWidth="1"/>
    <col min="3843" max="3843" width="1.88671875" style="13386" customWidth="1"/>
    <col min="3844" max="3844" width="15.44140625" style="13386" customWidth="1"/>
    <col min="3845" max="3845" width="2" style="13386" customWidth="1"/>
    <col min="3846" max="3846" width="14.88671875" style="13386" customWidth="1"/>
    <col min="3847" max="3847" width="1.88671875" style="13386" customWidth="1"/>
    <col min="3848" max="3848" width="18.44140625" style="13386" customWidth="1"/>
    <col min="3849" max="3849" width="17.44140625" style="13386" customWidth="1"/>
    <col min="3850" max="3850" width="6.88671875" style="13386" customWidth="1"/>
    <col min="3851" max="3851" width="0" style="13386" hidden="1" customWidth="1"/>
    <col min="3852" max="3852" width="10.109375" style="13386" bestFit="1" customWidth="1"/>
    <col min="3853" max="3853" width="12.88671875" style="13386" bestFit="1" customWidth="1"/>
    <col min="3854" max="3854" width="8" style="13386"/>
    <col min="3855" max="3855" width="8" style="13386" customWidth="1"/>
    <col min="3856" max="4093" width="8" style="13386"/>
    <col min="4094" max="4094" width="2.88671875" style="13386" customWidth="1"/>
    <col min="4095" max="4095" width="33.44140625" style="13386" customWidth="1"/>
    <col min="4096" max="4096" width="6.44140625" style="13386" customWidth="1"/>
    <col min="4097" max="4097" width="1.88671875" style="13386" customWidth="1"/>
    <col min="4098" max="4098" width="15.109375" style="13386" customWidth="1"/>
    <col min="4099" max="4099" width="1.88671875" style="13386" customWidth="1"/>
    <col min="4100" max="4100" width="15.44140625" style="13386" customWidth="1"/>
    <col min="4101" max="4101" width="2" style="13386" customWidth="1"/>
    <col min="4102" max="4102" width="14.88671875" style="13386" customWidth="1"/>
    <col min="4103" max="4103" width="1.88671875" style="13386" customWidth="1"/>
    <col min="4104" max="4104" width="18.44140625" style="13386" customWidth="1"/>
    <col min="4105" max="4105" width="17.44140625" style="13386" customWidth="1"/>
    <col min="4106" max="4106" width="6.88671875" style="13386" customWidth="1"/>
    <col min="4107" max="4107" width="0" style="13386" hidden="1" customWidth="1"/>
    <col min="4108" max="4108" width="10.109375" style="13386" bestFit="1" customWidth="1"/>
    <col min="4109" max="4109" width="12.88671875" style="13386" bestFit="1" customWidth="1"/>
    <col min="4110" max="4110" width="8" style="13386"/>
    <col min="4111" max="4111" width="8" style="13386" customWidth="1"/>
    <col min="4112" max="4349" width="8" style="13386"/>
    <col min="4350" max="4350" width="2.88671875" style="13386" customWidth="1"/>
    <col min="4351" max="4351" width="33.44140625" style="13386" customWidth="1"/>
    <col min="4352" max="4352" width="6.44140625" style="13386" customWidth="1"/>
    <col min="4353" max="4353" width="1.88671875" style="13386" customWidth="1"/>
    <col min="4354" max="4354" width="15.109375" style="13386" customWidth="1"/>
    <col min="4355" max="4355" width="1.88671875" style="13386" customWidth="1"/>
    <col min="4356" max="4356" width="15.44140625" style="13386" customWidth="1"/>
    <col min="4357" max="4357" width="2" style="13386" customWidth="1"/>
    <col min="4358" max="4358" width="14.88671875" style="13386" customWidth="1"/>
    <col min="4359" max="4359" width="1.88671875" style="13386" customWidth="1"/>
    <col min="4360" max="4360" width="18.44140625" style="13386" customWidth="1"/>
    <col min="4361" max="4361" width="17.44140625" style="13386" customWidth="1"/>
    <col min="4362" max="4362" width="6.88671875" style="13386" customWidth="1"/>
    <col min="4363" max="4363" width="0" style="13386" hidden="1" customWidth="1"/>
    <col min="4364" max="4364" width="10.109375" style="13386" bestFit="1" customWidth="1"/>
    <col min="4365" max="4365" width="12.88671875" style="13386" bestFit="1" customWidth="1"/>
    <col min="4366" max="4366" width="8" style="13386"/>
    <col min="4367" max="4367" width="8" style="13386" customWidth="1"/>
    <col min="4368" max="4605" width="8" style="13386"/>
    <col min="4606" max="4606" width="2.88671875" style="13386" customWidth="1"/>
    <col min="4607" max="4607" width="33.44140625" style="13386" customWidth="1"/>
    <col min="4608" max="4608" width="6.44140625" style="13386" customWidth="1"/>
    <col min="4609" max="4609" width="1.88671875" style="13386" customWidth="1"/>
    <col min="4610" max="4610" width="15.109375" style="13386" customWidth="1"/>
    <col min="4611" max="4611" width="1.88671875" style="13386" customWidth="1"/>
    <col min="4612" max="4612" width="15.44140625" style="13386" customWidth="1"/>
    <col min="4613" max="4613" width="2" style="13386" customWidth="1"/>
    <col min="4614" max="4614" width="14.88671875" style="13386" customWidth="1"/>
    <col min="4615" max="4615" width="1.88671875" style="13386" customWidth="1"/>
    <col min="4616" max="4616" width="18.44140625" style="13386" customWidth="1"/>
    <col min="4617" max="4617" width="17.44140625" style="13386" customWidth="1"/>
    <col min="4618" max="4618" width="6.88671875" style="13386" customWidth="1"/>
    <col min="4619" max="4619" width="0" style="13386" hidden="1" customWidth="1"/>
    <col min="4620" max="4620" width="10.109375" style="13386" bestFit="1" customWidth="1"/>
    <col min="4621" max="4621" width="12.88671875" style="13386" bestFit="1" customWidth="1"/>
    <col min="4622" max="4622" width="8" style="13386"/>
    <col min="4623" max="4623" width="8" style="13386" customWidth="1"/>
    <col min="4624" max="4861" width="8" style="13386"/>
    <col min="4862" max="4862" width="2.88671875" style="13386" customWidth="1"/>
    <col min="4863" max="4863" width="33.44140625" style="13386" customWidth="1"/>
    <col min="4864" max="4864" width="6.44140625" style="13386" customWidth="1"/>
    <col min="4865" max="4865" width="1.88671875" style="13386" customWidth="1"/>
    <col min="4866" max="4866" width="15.109375" style="13386" customWidth="1"/>
    <col min="4867" max="4867" width="1.88671875" style="13386" customWidth="1"/>
    <col min="4868" max="4868" width="15.44140625" style="13386" customWidth="1"/>
    <col min="4869" max="4869" width="2" style="13386" customWidth="1"/>
    <col min="4870" max="4870" width="14.88671875" style="13386" customWidth="1"/>
    <col min="4871" max="4871" width="1.88671875" style="13386" customWidth="1"/>
    <col min="4872" max="4872" width="18.44140625" style="13386" customWidth="1"/>
    <col min="4873" max="4873" width="17.44140625" style="13386" customWidth="1"/>
    <col min="4874" max="4874" width="6.88671875" style="13386" customWidth="1"/>
    <col min="4875" max="4875" width="0" style="13386" hidden="1" customWidth="1"/>
    <col min="4876" max="4876" width="10.109375" style="13386" bestFit="1" customWidth="1"/>
    <col min="4877" max="4877" width="12.88671875" style="13386" bestFit="1" customWidth="1"/>
    <col min="4878" max="4878" width="8" style="13386"/>
    <col min="4879" max="4879" width="8" style="13386" customWidth="1"/>
    <col min="4880" max="5117" width="8" style="13386"/>
    <col min="5118" max="5118" width="2.88671875" style="13386" customWidth="1"/>
    <col min="5119" max="5119" width="33.44140625" style="13386" customWidth="1"/>
    <col min="5120" max="5120" width="6.44140625" style="13386" customWidth="1"/>
    <col min="5121" max="5121" width="1.88671875" style="13386" customWidth="1"/>
    <col min="5122" max="5122" width="15.109375" style="13386" customWidth="1"/>
    <col min="5123" max="5123" width="1.88671875" style="13386" customWidth="1"/>
    <col min="5124" max="5124" width="15.44140625" style="13386" customWidth="1"/>
    <col min="5125" max="5125" width="2" style="13386" customWidth="1"/>
    <col min="5126" max="5126" width="14.88671875" style="13386" customWidth="1"/>
    <col min="5127" max="5127" width="1.88671875" style="13386" customWidth="1"/>
    <col min="5128" max="5128" width="18.44140625" style="13386" customWidth="1"/>
    <col min="5129" max="5129" width="17.44140625" style="13386" customWidth="1"/>
    <col min="5130" max="5130" width="6.88671875" style="13386" customWidth="1"/>
    <col min="5131" max="5131" width="0" style="13386" hidden="1" customWidth="1"/>
    <col min="5132" max="5132" width="10.109375" style="13386" bestFit="1" customWidth="1"/>
    <col min="5133" max="5133" width="12.88671875" style="13386" bestFit="1" customWidth="1"/>
    <col min="5134" max="5134" width="8" style="13386"/>
    <col min="5135" max="5135" width="8" style="13386" customWidth="1"/>
    <col min="5136" max="5373" width="8" style="13386"/>
    <col min="5374" max="5374" width="2.88671875" style="13386" customWidth="1"/>
    <col min="5375" max="5375" width="33.44140625" style="13386" customWidth="1"/>
    <col min="5376" max="5376" width="6.44140625" style="13386" customWidth="1"/>
    <col min="5377" max="5377" width="1.88671875" style="13386" customWidth="1"/>
    <col min="5378" max="5378" width="15.109375" style="13386" customWidth="1"/>
    <col min="5379" max="5379" width="1.88671875" style="13386" customWidth="1"/>
    <col min="5380" max="5380" width="15.44140625" style="13386" customWidth="1"/>
    <col min="5381" max="5381" width="2" style="13386" customWidth="1"/>
    <col min="5382" max="5382" width="14.88671875" style="13386" customWidth="1"/>
    <col min="5383" max="5383" width="1.88671875" style="13386" customWidth="1"/>
    <col min="5384" max="5384" width="18.44140625" style="13386" customWidth="1"/>
    <col min="5385" max="5385" width="17.44140625" style="13386" customWidth="1"/>
    <col min="5386" max="5386" width="6.88671875" style="13386" customWidth="1"/>
    <col min="5387" max="5387" width="0" style="13386" hidden="1" customWidth="1"/>
    <col min="5388" max="5388" width="10.109375" style="13386" bestFit="1" customWidth="1"/>
    <col min="5389" max="5389" width="12.88671875" style="13386" bestFit="1" customWidth="1"/>
    <col min="5390" max="5390" width="8" style="13386"/>
    <col min="5391" max="5391" width="8" style="13386" customWidth="1"/>
    <col min="5392" max="5629" width="8" style="13386"/>
    <col min="5630" max="5630" width="2.88671875" style="13386" customWidth="1"/>
    <col min="5631" max="5631" width="33.44140625" style="13386" customWidth="1"/>
    <col min="5632" max="5632" width="6.44140625" style="13386" customWidth="1"/>
    <col min="5633" max="5633" width="1.88671875" style="13386" customWidth="1"/>
    <col min="5634" max="5634" width="15.109375" style="13386" customWidth="1"/>
    <col min="5635" max="5635" width="1.88671875" style="13386" customWidth="1"/>
    <col min="5636" max="5636" width="15.44140625" style="13386" customWidth="1"/>
    <col min="5637" max="5637" width="2" style="13386" customWidth="1"/>
    <col min="5638" max="5638" width="14.88671875" style="13386" customWidth="1"/>
    <col min="5639" max="5639" width="1.88671875" style="13386" customWidth="1"/>
    <col min="5640" max="5640" width="18.44140625" style="13386" customWidth="1"/>
    <col min="5641" max="5641" width="17.44140625" style="13386" customWidth="1"/>
    <col min="5642" max="5642" width="6.88671875" style="13386" customWidth="1"/>
    <col min="5643" max="5643" width="0" style="13386" hidden="1" customWidth="1"/>
    <col min="5644" max="5644" width="10.109375" style="13386" bestFit="1" customWidth="1"/>
    <col min="5645" max="5645" width="12.88671875" style="13386" bestFit="1" customWidth="1"/>
    <col min="5646" max="5646" width="8" style="13386"/>
    <col min="5647" max="5647" width="8" style="13386" customWidth="1"/>
    <col min="5648" max="5885" width="8" style="13386"/>
    <col min="5886" max="5886" width="2.88671875" style="13386" customWidth="1"/>
    <col min="5887" max="5887" width="33.44140625" style="13386" customWidth="1"/>
    <col min="5888" max="5888" width="6.44140625" style="13386" customWidth="1"/>
    <col min="5889" max="5889" width="1.88671875" style="13386" customWidth="1"/>
    <col min="5890" max="5890" width="15.109375" style="13386" customWidth="1"/>
    <col min="5891" max="5891" width="1.88671875" style="13386" customWidth="1"/>
    <col min="5892" max="5892" width="15.44140625" style="13386" customWidth="1"/>
    <col min="5893" max="5893" width="2" style="13386" customWidth="1"/>
    <col min="5894" max="5894" width="14.88671875" style="13386" customWidth="1"/>
    <col min="5895" max="5895" width="1.88671875" style="13386" customWidth="1"/>
    <col min="5896" max="5896" width="18.44140625" style="13386" customWidth="1"/>
    <col min="5897" max="5897" width="17.44140625" style="13386" customWidth="1"/>
    <col min="5898" max="5898" width="6.88671875" style="13386" customWidth="1"/>
    <col min="5899" max="5899" width="0" style="13386" hidden="1" customWidth="1"/>
    <col min="5900" max="5900" width="10.109375" style="13386" bestFit="1" customWidth="1"/>
    <col min="5901" max="5901" width="12.88671875" style="13386" bestFit="1" customWidth="1"/>
    <col min="5902" max="5902" width="8" style="13386"/>
    <col min="5903" max="5903" width="8" style="13386" customWidth="1"/>
    <col min="5904" max="6141" width="8" style="13386"/>
    <col min="6142" max="6142" width="2.88671875" style="13386" customWidth="1"/>
    <col min="6143" max="6143" width="33.44140625" style="13386" customWidth="1"/>
    <col min="6144" max="6144" width="6.44140625" style="13386" customWidth="1"/>
    <col min="6145" max="6145" width="1.88671875" style="13386" customWidth="1"/>
    <col min="6146" max="6146" width="15.109375" style="13386" customWidth="1"/>
    <col min="6147" max="6147" width="1.88671875" style="13386" customWidth="1"/>
    <col min="6148" max="6148" width="15.44140625" style="13386" customWidth="1"/>
    <col min="6149" max="6149" width="2" style="13386" customWidth="1"/>
    <col min="6150" max="6150" width="14.88671875" style="13386" customWidth="1"/>
    <col min="6151" max="6151" width="1.88671875" style="13386" customWidth="1"/>
    <col min="6152" max="6152" width="18.44140625" style="13386" customWidth="1"/>
    <col min="6153" max="6153" width="17.44140625" style="13386" customWidth="1"/>
    <col min="6154" max="6154" width="6.88671875" style="13386" customWidth="1"/>
    <col min="6155" max="6155" width="0" style="13386" hidden="1" customWidth="1"/>
    <col min="6156" max="6156" width="10.109375" style="13386" bestFit="1" customWidth="1"/>
    <col min="6157" max="6157" width="12.88671875" style="13386" bestFit="1" customWidth="1"/>
    <col min="6158" max="6158" width="8" style="13386"/>
    <col min="6159" max="6159" width="8" style="13386" customWidth="1"/>
    <col min="6160" max="6397" width="8" style="13386"/>
    <col min="6398" max="6398" width="2.88671875" style="13386" customWidth="1"/>
    <col min="6399" max="6399" width="33.44140625" style="13386" customWidth="1"/>
    <col min="6400" max="6400" width="6.44140625" style="13386" customWidth="1"/>
    <col min="6401" max="6401" width="1.88671875" style="13386" customWidth="1"/>
    <col min="6402" max="6402" width="15.109375" style="13386" customWidth="1"/>
    <col min="6403" max="6403" width="1.88671875" style="13386" customWidth="1"/>
    <col min="6404" max="6404" width="15.44140625" style="13386" customWidth="1"/>
    <col min="6405" max="6405" width="2" style="13386" customWidth="1"/>
    <col min="6406" max="6406" width="14.88671875" style="13386" customWidth="1"/>
    <col min="6407" max="6407" width="1.88671875" style="13386" customWidth="1"/>
    <col min="6408" max="6408" width="18.44140625" style="13386" customWidth="1"/>
    <col min="6409" max="6409" width="17.44140625" style="13386" customWidth="1"/>
    <col min="6410" max="6410" width="6.88671875" style="13386" customWidth="1"/>
    <col min="6411" max="6411" width="0" style="13386" hidden="1" customWidth="1"/>
    <col min="6412" max="6412" width="10.109375" style="13386" bestFit="1" customWidth="1"/>
    <col min="6413" max="6413" width="12.88671875" style="13386" bestFit="1" customWidth="1"/>
    <col min="6414" max="6414" width="8" style="13386"/>
    <col min="6415" max="6415" width="8" style="13386" customWidth="1"/>
    <col min="6416" max="6653" width="8" style="13386"/>
    <col min="6654" max="6654" width="2.88671875" style="13386" customWidth="1"/>
    <col min="6655" max="6655" width="33.44140625" style="13386" customWidth="1"/>
    <col min="6656" max="6656" width="6.44140625" style="13386" customWidth="1"/>
    <col min="6657" max="6657" width="1.88671875" style="13386" customWidth="1"/>
    <col min="6658" max="6658" width="15.109375" style="13386" customWidth="1"/>
    <col min="6659" max="6659" width="1.88671875" style="13386" customWidth="1"/>
    <col min="6660" max="6660" width="15.44140625" style="13386" customWidth="1"/>
    <col min="6661" max="6661" width="2" style="13386" customWidth="1"/>
    <col min="6662" max="6662" width="14.88671875" style="13386" customWidth="1"/>
    <col min="6663" max="6663" width="1.88671875" style="13386" customWidth="1"/>
    <col min="6664" max="6664" width="18.44140625" style="13386" customWidth="1"/>
    <col min="6665" max="6665" width="17.44140625" style="13386" customWidth="1"/>
    <col min="6666" max="6666" width="6.88671875" style="13386" customWidth="1"/>
    <col min="6667" max="6667" width="0" style="13386" hidden="1" customWidth="1"/>
    <col min="6668" max="6668" width="10.109375" style="13386" bestFit="1" customWidth="1"/>
    <col min="6669" max="6669" width="12.88671875" style="13386" bestFit="1" customWidth="1"/>
    <col min="6670" max="6670" width="8" style="13386"/>
    <col min="6671" max="6671" width="8" style="13386" customWidth="1"/>
    <col min="6672" max="6909" width="8" style="13386"/>
    <col min="6910" max="6910" width="2.88671875" style="13386" customWidth="1"/>
    <col min="6911" max="6911" width="33.44140625" style="13386" customWidth="1"/>
    <col min="6912" max="6912" width="6.44140625" style="13386" customWidth="1"/>
    <col min="6913" max="6913" width="1.88671875" style="13386" customWidth="1"/>
    <col min="6914" max="6914" width="15.109375" style="13386" customWidth="1"/>
    <col min="6915" max="6915" width="1.88671875" style="13386" customWidth="1"/>
    <col min="6916" max="6916" width="15.44140625" style="13386" customWidth="1"/>
    <col min="6917" max="6917" width="2" style="13386" customWidth="1"/>
    <col min="6918" max="6918" width="14.88671875" style="13386" customWidth="1"/>
    <col min="6919" max="6919" width="1.88671875" style="13386" customWidth="1"/>
    <col min="6920" max="6920" width="18.44140625" style="13386" customWidth="1"/>
    <col min="6921" max="6921" width="17.44140625" style="13386" customWidth="1"/>
    <col min="6922" max="6922" width="6.88671875" style="13386" customWidth="1"/>
    <col min="6923" max="6923" width="0" style="13386" hidden="1" customWidth="1"/>
    <col min="6924" max="6924" width="10.109375" style="13386" bestFit="1" customWidth="1"/>
    <col min="6925" max="6925" width="12.88671875" style="13386" bestFit="1" customWidth="1"/>
    <col min="6926" max="6926" width="8" style="13386"/>
    <col min="6927" max="6927" width="8" style="13386" customWidth="1"/>
    <col min="6928" max="7165" width="8" style="13386"/>
    <col min="7166" max="7166" width="2.88671875" style="13386" customWidth="1"/>
    <col min="7167" max="7167" width="33.44140625" style="13386" customWidth="1"/>
    <col min="7168" max="7168" width="6.44140625" style="13386" customWidth="1"/>
    <col min="7169" max="7169" width="1.88671875" style="13386" customWidth="1"/>
    <col min="7170" max="7170" width="15.109375" style="13386" customWidth="1"/>
    <col min="7171" max="7171" width="1.88671875" style="13386" customWidth="1"/>
    <col min="7172" max="7172" width="15.44140625" style="13386" customWidth="1"/>
    <col min="7173" max="7173" width="2" style="13386" customWidth="1"/>
    <col min="7174" max="7174" width="14.88671875" style="13386" customWidth="1"/>
    <col min="7175" max="7175" width="1.88671875" style="13386" customWidth="1"/>
    <col min="7176" max="7176" width="18.44140625" style="13386" customWidth="1"/>
    <col min="7177" max="7177" width="17.44140625" style="13386" customWidth="1"/>
    <col min="7178" max="7178" width="6.88671875" style="13386" customWidth="1"/>
    <col min="7179" max="7179" width="0" style="13386" hidden="1" customWidth="1"/>
    <col min="7180" max="7180" width="10.109375" style="13386" bestFit="1" customWidth="1"/>
    <col min="7181" max="7181" width="12.88671875" style="13386" bestFit="1" customWidth="1"/>
    <col min="7182" max="7182" width="8" style="13386"/>
    <col min="7183" max="7183" width="8" style="13386" customWidth="1"/>
    <col min="7184" max="7421" width="8" style="13386"/>
    <col min="7422" max="7422" width="2.88671875" style="13386" customWidth="1"/>
    <col min="7423" max="7423" width="33.44140625" style="13386" customWidth="1"/>
    <col min="7424" max="7424" width="6.44140625" style="13386" customWidth="1"/>
    <col min="7425" max="7425" width="1.88671875" style="13386" customWidth="1"/>
    <col min="7426" max="7426" width="15.109375" style="13386" customWidth="1"/>
    <col min="7427" max="7427" width="1.88671875" style="13386" customWidth="1"/>
    <col min="7428" max="7428" width="15.44140625" style="13386" customWidth="1"/>
    <col min="7429" max="7429" width="2" style="13386" customWidth="1"/>
    <col min="7430" max="7430" width="14.88671875" style="13386" customWidth="1"/>
    <col min="7431" max="7431" width="1.88671875" style="13386" customWidth="1"/>
    <col min="7432" max="7432" width="18.44140625" style="13386" customWidth="1"/>
    <col min="7433" max="7433" width="17.44140625" style="13386" customWidth="1"/>
    <col min="7434" max="7434" width="6.88671875" style="13386" customWidth="1"/>
    <col min="7435" max="7435" width="0" style="13386" hidden="1" customWidth="1"/>
    <col min="7436" max="7436" width="10.109375" style="13386" bestFit="1" customWidth="1"/>
    <col min="7437" max="7437" width="12.88671875" style="13386" bestFit="1" customWidth="1"/>
    <col min="7438" max="7438" width="8" style="13386"/>
    <col min="7439" max="7439" width="8" style="13386" customWidth="1"/>
    <col min="7440" max="7677" width="8" style="13386"/>
    <col min="7678" max="7678" width="2.88671875" style="13386" customWidth="1"/>
    <col min="7679" max="7679" width="33.44140625" style="13386" customWidth="1"/>
    <col min="7680" max="7680" width="6.44140625" style="13386" customWidth="1"/>
    <col min="7681" max="7681" width="1.88671875" style="13386" customWidth="1"/>
    <col min="7682" max="7682" width="15.109375" style="13386" customWidth="1"/>
    <col min="7683" max="7683" width="1.88671875" style="13386" customWidth="1"/>
    <col min="7684" max="7684" width="15.44140625" style="13386" customWidth="1"/>
    <col min="7685" max="7685" width="2" style="13386" customWidth="1"/>
    <col min="7686" max="7686" width="14.88671875" style="13386" customWidth="1"/>
    <col min="7687" max="7687" width="1.88671875" style="13386" customWidth="1"/>
    <col min="7688" max="7688" width="18.44140625" style="13386" customWidth="1"/>
    <col min="7689" max="7689" width="17.44140625" style="13386" customWidth="1"/>
    <col min="7690" max="7690" width="6.88671875" style="13386" customWidth="1"/>
    <col min="7691" max="7691" width="0" style="13386" hidden="1" customWidth="1"/>
    <col min="7692" max="7692" width="10.109375" style="13386" bestFit="1" customWidth="1"/>
    <col min="7693" max="7693" width="12.88671875" style="13386" bestFit="1" customWidth="1"/>
    <col min="7694" max="7694" width="8" style="13386"/>
    <col min="7695" max="7695" width="8" style="13386" customWidth="1"/>
    <col min="7696" max="7933" width="8" style="13386"/>
    <col min="7934" max="7934" width="2.88671875" style="13386" customWidth="1"/>
    <col min="7935" max="7935" width="33.44140625" style="13386" customWidth="1"/>
    <col min="7936" max="7936" width="6.44140625" style="13386" customWidth="1"/>
    <col min="7937" max="7937" width="1.88671875" style="13386" customWidth="1"/>
    <col min="7938" max="7938" width="15.109375" style="13386" customWidth="1"/>
    <col min="7939" max="7939" width="1.88671875" style="13386" customWidth="1"/>
    <col min="7940" max="7940" width="15.44140625" style="13386" customWidth="1"/>
    <col min="7941" max="7941" width="2" style="13386" customWidth="1"/>
    <col min="7942" max="7942" width="14.88671875" style="13386" customWidth="1"/>
    <col min="7943" max="7943" width="1.88671875" style="13386" customWidth="1"/>
    <col min="7944" max="7944" width="18.44140625" style="13386" customWidth="1"/>
    <col min="7945" max="7945" width="17.44140625" style="13386" customWidth="1"/>
    <col min="7946" max="7946" width="6.88671875" style="13386" customWidth="1"/>
    <col min="7947" max="7947" width="0" style="13386" hidden="1" customWidth="1"/>
    <col min="7948" max="7948" width="10.109375" style="13386" bestFit="1" customWidth="1"/>
    <col min="7949" max="7949" width="12.88671875" style="13386" bestFit="1" customWidth="1"/>
    <col min="7950" max="7950" width="8" style="13386"/>
    <col min="7951" max="7951" width="8" style="13386" customWidth="1"/>
    <col min="7952" max="8189" width="8" style="13386"/>
    <col min="8190" max="8190" width="2.88671875" style="13386" customWidth="1"/>
    <col min="8191" max="8191" width="33.44140625" style="13386" customWidth="1"/>
    <col min="8192" max="8192" width="6.44140625" style="13386" customWidth="1"/>
    <col min="8193" max="8193" width="1.88671875" style="13386" customWidth="1"/>
    <col min="8194" max="8194" width="15.109375" style="13386" customWidth="1"/>
    <col min="8195" max="8195" width="1.88671875" style="13386" customWidth="1"/>
    <col min="8196" max="8196" width="15.44140625" style="13386" customWidth="1"/>
    <col min="8197" max="8197" width="2" style="13386" customWidth="1"/>
    <col min="8198" max="8198" width="14.88671875" style="13386" customWidth="1"/>
    <col min="8199" max="8199" width="1.88671875" style="13386" customWidth="1"/>
    <col min="8200" max="8200" width="18.44140625" style="13386" customWidth="1"/>
    <col min="8201" max="8201" width="17.44140625" style="13386" customWidth="1"/>
    <col min="8202" max="8202" width="6.88671875" style="13386" customWidth="1"/>
    <col min="8203" max="8203" width="0" style="13386" hidden="1" customWidth="1"/>
    <col min="8204" max="8204" width="10.109375" style="13386" bestFit="1" customWidth="1"/>
    <col min="8205" max="8205" width="12.88671875" style="13386" bestFit="1" customWidth="1"/>
    <col min="8206" max="8206" width="8" style="13386"/>
    <col min="8207" max="8207" width="8" style="13386" customWidth="1"/>
    <col min="8208" max="8445" width="8" style="13386"/>
    <col min="8446" max="8446" width="2.88671875" style="13386" customWidth="1"/>
    <col min="8447" max="8447" width="33.44140625" style="13386" customWidth="1"/>
    <col min="8448" max="8448" width="6.44140625" style="13386" customWidth="1"/>
    <col min="8449" max="8449" width="1.88671875" style="13386" customWidth="1"/>
    <col min="8450" max="8450" width="15.109375" style="13386" customWidth="1"/>
    <col min="8451" max="8451" width="1.88671875" style="13386" customWidth="1"/>
    <col min="8452" max="8452" width="15.44140625" style="13386" customWidth="1"/>
    <col min="8453" max="8453" width="2" style="13386" customWidth="1"/>
    <col min="8454" max="8454" width="14.88671875" style="13386" customWidth="1"/>
    <col min="8455" max="8455" width="1.88671875" style="13386" customWidth="1"/>
    <col min="8456" max="8456" width="18.44140625" style="13386" customWidth="1"/>
    <col min="8457" max="8457" width="17.44140625" style="13386" customWidth="1"/>
    <col min="8458" max="8458" width="6.88671875" style="13386" customWidth="1"/>
    <col min="8459" max="8459" width="0" style="13386" hidden="1" customWidth="1"/>
    <col min="8460" max="8460" width="10.109375" style="13386" bestFit="1" customWidth="1"/>
    <col min="8461" max="8461" width="12.88671875" style="13386" bestFit="1" customWidth="1"/>
    <col min="8462" max="8462" width="8" style="13386"/>
    <col min="8463" max="8463" width="8" style="13386" customWidth="1"/>
    <col min="8464" max="8701" width="8" style="13386"/>
    <col min="8702" max="8702" width="2.88671875" style="13386" customWidth="1"/>
    <col min="8703" max="8703" width="33.44140625" style="13386" customWidth="1"/>
    <col min="8704" max="8704" width="6.44140625" style="13386" customWidth="1"/>
    <col min="8705" max="8705" width="1.88671875" style="13386" customWidth="1"/>
    <col min="8706" max="8706" width="15.109375" style="13386" customWidth="1"/>
    <col min="8707" max="8707" width="1.88671875" style="13386" customWidth="1"/>
    <col min="8708" max="8708" width="15.44140625" style="13386" customWidth="1"/>
    <col min="8709" max="8709" width="2" style="13386" customWidth="1"/>
    <col min="8710" max="8710" width="14.88671875" style="13386" customWidth="1"/>
    <col min="8711" max="8711" width="1.88671875" style="13386" customWidth="1"/>
    <col min="8712" max="8712" width="18.44140625" style="13386" customWidth="1"/>
    <col min="8713" max="8713" width="17.44140625" style="13386" customWidth="1"/>
    <col min="8714" max="8714" width="6.88671875" style="13386" customWidth="1"/>
    <col min="8715" max="8715" width="0" style="13386" hidden="1" customWidth="1"/>
    <col min="8716" max="8716" width="10.109375" style="13386" bestFit="1" customWidth="1"/>
    <col min="8717" max="8717" width="12.88671875" style="13386" bestFit="1" customWidth="1"/>
    <col min="8718" max="8718" width="8" style="13386"/>
    <col min="8719" max="8719" width="8" style="13386" customWidth="1"/>
    <col min="8720" max="8957" width="8" style="13386"/>
    <col min="8958" max="8958" width="2.88671875" style="13386" customWidth="1"/>
    <col min="8959" max="8959" width="33.44140625" style="13386" customWidth="1"/>
    <col min="8960" max="8960" width="6.44140625" style="13386" customWidth="1"/>
    <col min="8961" max="8961" width="1.88671875" style="13386" customWidth="1"/>
    <col min="8962" max="8962" width="15.109375" style="13386" customWidth="1"/>
    <col min="8963" max="8963" width="1.88671875" style="13386" customWidth="1"/>
    <col min="8964" max="8964" width="15.44140625" style="13386" customWidth="1"/>
    <col min="8965" max="8965" width="2" style="13386" customWidth="1"/>
    <col min="8966" max="8966" width="14.88671875" style="13386" customWidth="1"/>
    <col min="8967" max="8967" width="1.88671875" style="13386" customWidth="1"/>
    <col min="8968" max="8968" width="18.44140625" style="13386" customWidth="1"/>
    <col min="8969" max="8969" width="17.44140625" style="13386" customWidth="1"/>
    <col min="8970" max="8970" width="6.88671875" style="13386" customWidth="1"/>
    <col min="8971" max="8971" width="0" style="13386" hidden="1" customWidth="1"/>
    <col min="8972" max="8972" width="10.109375" style="13386" bestFit="1" customWidth="1"/>
    <col min="8973" max="8973" width="12.88671875" style="13386" bestFit="1" customWidth="1"/>
    <col min="8974" max="8974" width="8" style="13386"/>
    <col min="8975" max="8975" width="8" style="13386" customWidth="1"/>
    <col min="8976" max="9213" width="8" style="13386"/>
    <col min="9214" max="9214" width="2.88671875" style="13386" customWidth="1"/>
    <col min="9215" max="9215" width="33.44140625" style="13386" customWidth="1"/>
    <col min="9216" max="9216" width="6.44140625" style="13386" customWidth="1"/>
    <col min="9217" max="9217" width="1.88671875" style="13386" customWidth="1"/>
    <col min="9218" max="9218" width="15.109375" style="13386" customWidth="1"/>
    <col min="9219" max="9219" width="1.88671875" style="13386" customWidth="1"/>
    <col min="9220" max="9220" width="15.44140625" style="13386" customWidth="1"/>
    <col min="9221" max="9221" width="2" style="13386" customWidth="1"/>
    <col min="9222" max="9222" width="14.88671875" style="13386" customWidth="1"/>
    <col min="9223" max="9223" width="1.88671875" style="13386" customWidth="1"/>
    <col min="9224" max="9224" width="18.44140625" style="13386" customWidth="1"/>
    <col min="9225" max="9225" width="17.44140625" style="13386" customWidth="1"/>
    <col min="9226" max="9226" width="6.88671875" style="13386" customWidth="1"/>
    <col min="9227" max="9227" width="0" style="13386" hidden="1" customWidth="1"/>
    <col min="9228" max="9228" width="10.109375" style="13386" bestFit="1" customWidth="1"/>
    <col min="9229" max="9229" width="12.88671875" style="13386" bestFit="1" customWidth="1"/>
    <col min="9230" max="9230" width="8" style="13386"/>
    <col min="9231" max="9231" width="8" style="13386" customWidth="1"/>
    <col min="9232" max="9469" width="8" style="13386"/>
    <col min="9470" max="9470" width="2.88671875" style="13386" customWidth="1"/>
    <col min="9471" max="9471" width="33.44140625" style="13386" customWidth="1"/>
    <col min="9472" max="9472" width="6.44140625" style="13386" customWidth="1"/>
    <col min="9473" max="9473" width="1.88671875" style="13386" customWidth="1"/>
    <col min="9474" max="9474" width="15.109375" style="13386" customWidth="1"/>
    <col min="9475" max="9475" width="1.88671875" style="13386" customWidth="1"/>
    <col min="9476" max="9476" width="15.44140625" style="13386" customWidth="1"/>
    <col min="9477" max="9477" width="2" style="13386" customWidth="1"/>
    <col min="9478" max="9478" width="14.88671875" style="13386" customWidth="1"/>
    <col min="9479" max="9479" width="1.88671875" style="13386" customWidth="1"/>
    <col min="9480" max="9480" width="18.44140625" style="13386" customWidth="1"/>
    <col min="9481" max="9481" width="17.44140625" style="13386" customWidth="1"/>
    <col min="9482" max="9482" width="6.88671875" style="13386" customWidth="1"/>
    <col min="9483" max="9483" width="0" style="13386" hidden="1" customWidth="1"/>
    <col min="9484" max="9484" width="10.109375" style="13386" bestFit="1" customWidth="1"/>
    <col min="9485" max="9485" width="12.88671875" style="13386" bestFit="1" customWidth="1"/>
    <col min="9486" max="9486" width="8" style="13386"/>
    <col min="9487" max="9487" width="8" style="13386" customWidth="1"/>
    <col min="9488" max="9725" width="8" style="13386"/>
    <col min="9726" max="9726" width="2.88671875" style="13386" customWidth="1"/>
    <col min="9727" max="9727" width="33.44140625" style="13386" customWidth="1"/>
    <col min="9728" max="9728" width="6.44140625" style="13386" customWidth="1"/>
    <col min="9729" max="9729" width="1.88671875" style="13386" customWidth="1"/>
    <col min="9730" max="9730" width="15.109375" style="13386" customWidth="1"/>
    <col min="9731" max="9731" width="1.88671875" style="13386" customWidth="1"/>
    <col min="9732" max="9732" width="15.44140625" style="13386" customWidth="1"/>
    <col min="9733" max="9733" width="2" style="13386" customWidth="1"/>
    <col min="9734" max="9734" width="14.88671875" style="13386" customWidth="1"/>
    <col min="9735" max="9735" width="1.88671875" style="13386" customWidth="1"/>
    <col min="9736" max="9736" width="18.44140625" style="13386" customWidth="1"/>
    <col min="9737" max="9737" width="17.44140625" style="13386" customWidth="1"/>
    <col min="9738" max="9738" width="6.88671875" style="13386" customWidth="1"/>
    <col min="9739" max="9739" width="0" style="13386" hidden="1" customWidth="1"/>
    <col min="9740" max="9740" width="10.109375" style="13386" bestFit="1" customWidth="1"/>
    <col min="9741" max="9741" width="12.88671875" style="13386" bestFit="1" customWidth="1"/>
    <col min="9742" max="9742" width="8" style="13386"/>
    <col min="9743" max="9743" width="8" style="13386" customWidth="1"/>
    <col min="9744" max="9981" width="8" style="13386"/>
    <col min="9982" max="9982" width="2.88671875" style="13386" customWidth="1"/>
    <col min="9983" max="9983" width="33.44140625" style="13386" customWidth="1"/>
    <col min="9984" max="9984" width="6.44140625" style="13386" customWidth="1"/>
    <col min="9985" max="9985" width="1.88671875" style="13386" customWidth="1"/>
    <col min="9986" max="9986" width="15.109375" style="13386" customWidth="1"/>
    <col min="9987" max="9987" width="1.88671875" style="13386" customWidth="1"/>
    <col min="9988" max="9988" width="15.44140625" style="13386" customWidth="1"/>
    <col min="9989" max="9989" width="2" style="13386" customWidth="1"/>
    <col min="9990" max="9990" width="14.88671875" style="13386" customWidth="1"/>
    <col min="9991" max="9991" width="1.88671875" style="13386" customWidth="1"/>
    <col min="9992" max="9992" width="18.44140625" style="13386" customWidth="1"/>
    <col min="9993" max="9993" width="17.44140625" style="13386" customWidth="1"/>
    <col min="9994" max="9994" width="6.88671875" style="13386" customWidth="1"/>
    <col min="9995" max="9995" width="0" style="13386" hidden="1" customWidth="1"/>
    <col min="9996" max="9996" width="10.109375" style="13386" bestFit="1" customWidth="1"/>
    <col min="9997" max="9997" width="12.88671875" style="13386" bestFit="1" customWidth="1"/>
    <col min="9998" max="9998" width="8" style="13386"/>
    <col min="9999" max="9999" width="8" style="13386" customWidth="1"/>
    <col min="10000" max="10237" width="8" style="13386"/>
    <col min="10238" max="10238" width="2.88671875" style="13386" customWidth="1"/>
    <col min="10239" max="10239" width="33.44140625" style="13386" customWidth="1"/>
    <col min="10240" max="10240" width="6.44140625" style="13386" customWidth="1"/>
    <col min="10241" max="10241" width="1.88671875" style="13386" customWidth="1"/>
    <col min="10242" max="10242" width="15.109375" style="13386" customWidth="1"/>
    <col min="10243" max="10243" width="1.88671875" style="13386" customWidth="1"/>
    <col min="10244" max="10244" width="15.44140625" style="13386" customWidth="1"/>
    <col min="10245" max="10245" width="2" style="13386" customWidth="1"/>
    <col min="10246" max="10246" width="14.88671875" style="13386" customWidth="1"/>
    <col min="10247" max="10247" width="1.88671875" style="13386" customWidth="1"/>
    <col min="10248" max="10248" width="18.44140625" style="13386" customWidth="1"/>
    <col min="10249" max="10249" width="17.44140625" style="13386" customWidth="1"/>
    <col min="10250" max="10250" width="6.88671875" style="13386" customWidth="1"/>
    <col min="10251" max="10251" width="0" style="13386" hidden="1" customWidth="1"/>
    <col min="10252" max="10252" width="10.109375" style="13386" bestFit="1" customWidth="1"/>
    <col min="10253" max="10253" width="12.88671875" style="13386" bestFit="1" customWidth="1"/>
    <col min="10254" max="10254" width="8" style="13386"/>
    <col min="10255" max="10255" width="8" style="13386" customWidth="1"/>
    <col min="10256" max="10493" width="8" style="13386"/>
    <col min="10494" max="10494" width="2.88671875" style="13386" customWidth="1"/>
    <col min="10495" max="10495" width="33.44140625" style="13386" customWidth="1"/>
    <col min="10496" max="10496" width="6.44140625" style="13386" customWidth="1"/>
    <col min="10497" max="10497" width="1.88671875" style="13386" customWidth="1"/>
    <col min="10498" max="10498" width="15.109375" style="13386" customWidth="1"/>
    <col min="10499" max="10499" width="1.88671875" style="13386" customWidth="1"/>
    <col min="10500" max="10500" width="15.44140625" style="13386" customWidth="1"/>
    <col min="10501" max="10501" width="2" style="13386" customWidth="1"/>
    <col min="10502" max="10502" width="14.88671875" style="13386" customWidth="1"/>
    <col min="10503" max="10503" width="1.88671875" style="13386" customWidth="1"/>
    <col min="10504" max="10504" width="18.44140625" style="13386" customWidth="1"/>
    <col min="10505" max="10505" width="17.44140625" style="13386" customWidth="1"/>
    <col min="10506" max="10506" width="6.88671875" style="13386" customWidth="1"/>
    <col min="10507" max="10507" width="0" style="13386" hidden="1" customWidth="1"/>
    <col min="10508" max="10508" width="10.109375" style="13386" bestFit="1" customWidth="1"/>
    <col min="10509" max="10509" width="12.88671875" style="13386" bestFit="1" customWidth="1"/>
    <col min="10510" max="10510" width="8" style="13386"/>
    <col min="10511" max="10511" width="8" style="13386" customWidth="1"/>
    <col min="10512" max="10749" width="8" style="13386"/>
    <col min="10750" max="10750" width="2.88671875" style="13386" customWidth="1"/>
    <col min="10751" max="10751" width="33.44140625" style="13386" customWidth="1"/>
    <col min="10752" max="10752" width="6.44140625" style="13386" customWidth="1"/>
    <col min="10753" max="10753" width="1.88671875" style="13386" customWidth="1"/>
    <col min="10754" max="10754" width="15.109375" style="13386" customWidth="1"/>
    <col min="10755" max="10755" width="1.88671875" style="13386" customWidth="1"/>
    <col min="10756" max="10756" width="15.44140625" style="13386" customWidth="1"/>
    <col min="10757" max="10757" width="2" style="13386" customWidth="1"/>
    <col min="10758" max="10758" width="14.88671875" style="13386" customWidth="1"/>
    <col min="10759" max="10759" width="1.88671875" style="13386" customWidth="1"/>
    <col min="10760" max="10760" width="18.44140625" style="13386" customWidth="1"/>
    <col min="10761" max="10761" width="17.44140625" style="13386" customWidth="1"/>
    <col min="10762" max="10762" width="6.88671875" style="13386" customWidth="1"/>
    <col min="10763" max="10763" width="0" style="13386" hidden="1" customWidth="1"/>
    <col min="10764" max="10764" width="10.109375" style="13386" bestFit="1" customWidth="1"/>
    <col min="10765" max="10765" width="12.88671875" style="13386" bestFit="1" customWidth="1"/>
    <col min="10766" max="10766" width="8" style="13386"/>
    <col min="10767" max="10767" width="8" style="13386" customWidth="1"/>
    <col min="10768" max="11005" width="8" style="13386"/>
    <col min="11006" max="11006" width="2.88671875" style="13386" customWidth="1"/>
    <col min="11007" max="11007" width="33.44140625" style="13386" customWidth="1"/>
    <col min="11008" max="11008" width="6.44140625" style="13386" customWidth="1"/>
    <col min="11009" max="11009" width="1.88671875" style="13386" customWidth="1"/>
    <col min="11010" max="11010" width="15.109375" style="13386" customWidth="1"/>
    <col min="11011" max="11011" width="1.88671875" style="13386" customWidth="1"/>
    <col min="11012" max="11012" width="15.44140625" style="13386" customWidth="1"/>
    <col min="11013" max="11013" width="2" style="13386" customWidth="1"/>
    <col min="11014" max="11014" width="14.88671875" style="13386" customWidth="1"/>
    <col min="11015" max="11015" width="1.88671875" style="13386" customWidth="1"/>
    <col min="11016" max="11016" width="18.44140625" style="13386" customWidth="1"/>
    <col min="11017" max="11017" width="17.44140625" style="13386" customWidth="1"/>
    <col min="11018" max="11018" width="6.88671875" style="13386" customWidth="1"/>
    <col min="11019" max="11019" width="0" style="13386" hidden="1" customWidth="1"/>
    <col min="11020" max="11020" width="10.109375" style="13386" bestFit="1" customWidth="1"/>
    <col min="11021" max="11021" width="12.88671875" style="13386" bestFit="1" customWidth="1"/>
    <col min="11022" max="11022" width="8" style="13386"/>
    <col min="11023" max="11023" width="8" style="13386" customWidth="1"/>
    <col min="11024" max="11261" width="8" style="13386"/>
    <col min="11262" max="11262" width="2.88671875" style="13386" customWidth="1"/>
    <col min="11263" max="11263" width="33.44140625" style="13386" customWidth="1"/>
    <col min="11264" max="11264" width="6.44140625" style="13386" customWidth="1"/>
    <col min="11265" max="11265" width="1.88671875" style="13386" customWidth="1"/>
    <col min="11266" max="11266" width="15.109375" style="13386" customWidth="1"/>
    <col min="11267" max="11267" width="1.88671875" style="13386" customWidth="1"/>
    <col min="11268" max="11268" width="15.44140625" style="13386" customWidth="1"/>
    <col min="11269" max="11269" width="2" style="13386" customWidth="1"/>
    <col min="11270" max="11270" width="14.88671875" style="13386" customWidth="1"/>
    <col min="11271" max="11271" width="1.88671875" style="13386" customWidth="1"/>
    <col min="11272" max="11272" width="18.44140625" style="13386" customWidth="1"/>
    <col min="11273" max="11273" width="17.44140625" style="13386" customWidth="1"/>
    <col min="11274" max="11274" width="6.88671875" style="13386" customWidth="1"/>
    <col min="11275" max="11275" width="0" style="13386" hidden="1" customWidth="1"/>
    <col min="11276" max="11276" width="10.109375" style="13386" bestFit="1" customWidth="1"/>
    <col min="11277" max="11277" width="12.88671875" style="13386" bestFit="1" customWidth="1"/>
    <col min="11278" max="11278" width="8" style="13386"/>
    <col min="11279" max="11279" width="8" style="13386" customWidth="1"/>
    <col min="11280" max="11517" width="8" style="13386"/>
    <col min="11518" max="11518" width="2.88671875" style="13386" customWidth="1"/>
    <col min="11519" max="11519" width="33.44140625" style="13386" customWidth="1"/>
    <col min="11520" max="11520" width="6.44140625" style="13386" customWidth="1"/>
    <col min="11521" max="11521" width="1.88671875" style="13386" customWidth="1"/>
    <col min="11522" max="11522" width="15.109375" style="13386" customWidth="1"/>
    <col min="11523" max="11523" width="1.88671875" style="13386" customWidth="1"/>
    <col min="11524" max="11524" width="15.44140625" style="13386" customWidth="1"/>
    <col min="11525" max="11525" width="2" style="13386" customWidth="1"/>
    <col min="11526" max="11526" width="14.88671875" style="13386" customWidth="1"/>
    <col min="11527" max="11527" width="1.88671875" style="13386" customWidth="1"/>
    <col min="11528" max="11528" width="18.44140625" style="13386" customWidth="1"/>
    <col min="11529" max="11529" width="17.44140625" style="13386" customWidth="1"/>
    <col min="11530" max="11530" width="6.88671875" style="13386" customWidth="1"/>
    <col min="11531" max="11531" width="0" style="13386" hidden="1" customWidth="1"/>
    <col min="11532" max="11532" width="10.109375" style="13386" bestFit="1" customWidth="1"/>
    <col min="11533" max="11533" width="12.88671875" style="13386" bestFit="1" customWidth="1"/>
    <col min="11534" max="11534" width="8" style="13386"/>
    <col min="11535" max="11535" width="8" style="13386" customWidth="1"/>
    <col min="11536" max="11773" width="8" style="13386"/>
    <col min="11774" max="11774" width="2.88671875" style="13386" customWidth="1"/>
    <col min="11775" max="11775" width="33.44140625" style="13386" customWidth="1"/>
    <col min="11776" max="11776" width="6.44140625" style="13386" customWidth="1"/>
    <col min="11777" max="11777" width="1.88671875" style="13386" customWidth="1"/>
    <col min="11778" max="11778" width="15.109375" style="13386" customWidth="1"/>
    <col min="11779" max="11779" width="1.88671875" style="13386" customWidth="1"/>
    <col min="11780" max="11780" width="15.44140625" style="13386" customWidth="1"/>
    <col min="11781" max="11781" width="2" style="13386" customWidth="1"/>
    <col min="11782" max="11782" width="14.88671875" style="13386" customWidth="1"/>
    <col min="11783" max="11783" width="1.88671875" style="13386" customWidth="1"/>
    <col min="11784" max="11784" width="18.44140625" style="13386" customWidth="1"/>
    <col min="11785" max="11785" width="17.44140625" style="13386" customWidth="1"/>
    <col min="11786" max="11786" width="6.88671875" style="13386" customWidth="1"/>
    <col min="11787" max="11787" width="0" style="13386" hidden="1" customWidth="1"/>
    <col min="11788" max="11788" width="10.109375" style="13386" bestFit="1" customWidth="1"/>
    <col min="11789" max="11789" width="12.88671875" style="13386" bestFit="1" customWidth="1"/>
    <col min="11790" max="11790" width="8" style="13386"/>
    <col min="11791" max="11791" width="8" style="13386" customWidth="1"/>
    <col min="11792" max="12029" width="8" style="13386"/>
    <col min="12030" max="12030" width="2.88671875" style="13386" customWidth="1"/>
    <col min="12031" max="12031" width="33.44140625" style="13386" customWidth="1"/>
    <col min="12032" max="12032" width="6.44140625" style="13386" customWidth="1"/>
    <col min="12033" max="12033" width="1.88671875" style="13386" customWidth="1"/>
    <col min="12034" max="12034" width="15.109375" style="13386" customWidth="1"/>
    <col min="12035" max="12035" width="1.88671875" style="13386" customWidth="1"/>
    <col min="12036" max="12036" width="15.44140625" style="13386" customWidth="1"/>
    <col min="12037" max="12037" width="2" style="13386" customWidth="1"/>
    <col min="12038" max="12038" width="14.88671875" style="13386" customWidth="1"/>
    <col min="12039" max="12039" width="1.88671875" style="13386" customWidth="1"/>
    <col min="12040" max="12040" width="18.44140625" style="13386" customWidth="1"/>
    <col min="12041" max="12041" width="17.44140625" style="13386" customWidth="1"/>
    <col min="12042" max="12042" width="6.88671875" style="13386" customWidth="1"/>
    <col min="12043" max="12043" width="0" style="13386" hidden="1" customWidth="1"/>
    <col min="12044" max="12044" width="10.109375" style="13386" bestFit="1" customWidth="1"/>
    <col min="12045" max="12045" width="12.88671875" style="13386" bestFit="1" customWidth="1"/>
    <col min="12046" max="12046" width="8" style="13386"/>
    <col min="12047" max="12047" width="8" style="13386" customWidth="1"/>
    <col min="12048" max="12285" width="8" style="13386"/>
    <col min="12286" max="12286" width="2.88671875" style="13386" customWidth="1"/>
    <col min="12287" max="12287" width="33.44140625" style="13386" customWidth="1"/>
    <col min="12288" max="12288" width="6.44140625" style="13386" customWidth="1"/>
    <col min="12289" max="12289" width="1.88671875" style="13386" customWidth="1"/>
    <col min="12290" max="12290" width="15.109375" style="13386" customWidth="1"/>
    <col min="12291" max="12291" width="1.88671875" style="13386" customWidth="1"/>
    <col min="12292" max="12292" width="15.44140625" style="13386" customWidth="1"/>
    <col min="12293" max="12293" width="2" style="13386" customWidth="1"/>
    <col min="12294" max="12294" width="14.88671875" style="13386" customWidth="1"/>
    <col min="12295" max="12295" width="1.88671875" style="13386" customWidth="1"/>
    <col min="12296" max="12296" width="18.44140625" style="13386" customWidth="1"/>
    <col min="12297" max="12297" width="17.44140625" style="13386" customWidth="1"/>
    <col min="12298" max="12298" width="6.88671875" style="13386" customWidth="1"/>
    <col min="12299" max="12299" width="0" style="13386" hidden="1" customWidth="1"/>
    <col min="12300" max="12300" width="10.109375" style="13386" bestFit="1" customWidth="1"/>
    <col min="12301" max="12301" width="12.88671875" style="13386" bestFit="1" customWidth="1"/>
    <col min="12302" max="12302" width="8" style="13386"/>
    <col min="12303" max="12303" width="8" style="13386" customWidth="1"/>
    <col min="12304" max="12541" width="8" style="13386"/>
    <col min="12542" max="12542" width="2.88671875" style="13386" customWidth="1"/>
    <col min="12543" max="12543" width="33.44140625" style="13386" customWidth="1"/>
    <col min="12544" max="12544" width="6.44140625" style="13386" customWidth="1"/>
    <col min="12545" max="12545" width="1.88671875" style="13386" customWidth="1"/>
    <col min="12546" max="12546" width="15.109375" style="13386" customWidth="1"/>
    <col min="12547" max="12547" width="1.88671875" style="13386" customWidth="1"/>
    <col min="12548" max="12548" width="15.44140625" style="13386" customWidth="1"/>
    <col min="12549" max="12549" width="2" style="13386" customWidth="1"/>
    <col min="12550" max="12550" width="14.88671875" style="13386" customWidth="1"/>
    <col min="12551" max="12551" width="1.88671875" style="13386" customWidth="1"/>
    <col min="12552" max="12552" width="18.44140625" style="13386" customWidth="1"/>
    <col min="12553" max="12553" width="17.44140625" style="13386" customWidth="1"/>
    <col min="12554" max="12554" width="6.88671875" style="13386" customWidth="1"/>
    <col min="12555" max="12555" width="0" style="13386" hidden="1" customWidth="1"/>
    <col min="12556" max="12556" width="10.109375" style="13386" bestFit="1" customWidth="1"/>
    <col min="12557" max="12557" width="12.88671875" style="13386" bestFit="1" customWidth="1"/>
    <col min="12558" max="12558" width="8" style="13386"/>
    <col min="12559" max="12559" width="8" style="13386" customWidth="1"/>
    <col min="12560" max="12797" width="8" style="13386"/>
    <col min="12798" max="12798" width="2.88671875" style="13386" customWidth="1"/>
    <col min="12799" max="12799" width="33.44140625" style="13386" customWidth="1"/>
    <col min="12800" max="12800" width="6.44140625" style="13386" customWidth="1"/>
    <col min="12801" max="12801" width="1.88671875" style="13386" customWidth="1"/>
    <col min="12802" max="12802" width="15.109375" style="13386" customWidth="1"/>
    <col min="12803" max="12803" width="1.88671875" style="13386" customWidth="1"/>
    <col min="12804" max="12804" width="15.44140625" style="13386" customWidth="1"/>
    <col min="12805" max="12805" width="2" style="13386" customWidth="1"/>
    <col min="12806" max="12806" width="14.88671875" style="13386" customWidth="1"/>
    <col min="12807" max="12807" width="1.88671875" style="13386" customWidth="1"/>
    <col min="12808" max="12808" width="18.44140625" style="13386" customWidth="1"/>
    <col min="12809" max="12809" width="17.44140625" style="13386" customWidth="1"/>
    <col min="12810" max="12810" width="6.88671875" style="13386" customWidth="1"/>
    <col min="12811" max="12811" width="0" style="13386" hidden="1" customWidth="1"/>
    <col min="12812" max="12812" width="10.109375" style="13386" bestFit="1" customWidth="1"/>
    <col min="12813" max="12813" width="12.88671875" style="13386" bestFit="1" customWidth="1"/>
    <col min="12814" max="12814" width="8" style="13386"/>
    <col min="12815" max="12815" width="8" style="13386" customWidth="1"/>
    <col min="12816" max="13053" width="8" style="13386"/>
    <col min="13054" max="13054" width="2.88671875" style="13386" customWidth="1"/>
    <col min="13055" max="13055" width="33.44140625" style="13386" customWidth="1"/>
    <col min="13056" max="13056" width="6.44140625" style="13386" customWidth="1"/>
    <col min="13057" max="13057" width="1.88671875" style="13386" customWidth="1"/>
    <col min="13058" max="13058" width="15.109375" style="13386" customWidth="1"/>
    <col min="13059" max="13059" width="1.88671875" style="13386" customWidth="1"/>
    <col min="13060" max="13060" width="15.44140625" style="13386" customWidth="1"/>
    <col min="13061" max="13061" width="2" style="13386" customWidth="1"/>
    <col min="13062" max="13062" width="14.88671875" style="13386" customWidth="1"/>
    <col min="13063" max="13063" width="1.88671875" style="13386" customWidth="1"/>
    <col min="13064" max="13064" width="18.44140625" style="13386" customWidth="1"/>
    <col min="13065" max="13065" width="17.44140625" style="13386" customWidth="1"/>
    <col min="13066" max="13066" width="6.88671875" style="13386" customWidth="1"/>
    <col min="13067" max="13067" width="0" style="13386" hidden="1" customWidth="1"/>
    <col min="13068" max="13068" width="10.109375" style="13386" bestFit="1" customWidth="1"/>
    <col min="13069" max="13069" width="12.88671875" style="13386" bestFit="1" customWidth="1"/>
    <col min="13070" max="13070" width="8" style="13386"/>
    <col min="13071" max="13071" width="8" style="13386" customWidth="1"/>
    <col min="13072" max="13309" width="8" style="13386"/>
    <col min="13310" max="13310" width="2.88671875" style="13386" customWidth="1"/>
    <col min="13311" max="13311" width="33.44140625" style="13386" customWidth="1"/>
    <col min="13312" max="13312" width="6.44140625" style="13386" customWidth="1"/>
    <col min="13313" max="13313" width="1.88671875" style="13386" customWidth="1"/>
    <col min="13314" max="13314" width="15.109375" style="13386" customWidth="1"/>
    <col min="13315" max="13315" width="1.88671875" style="13386" customWidth="1"/>
    <col min="13316" max="13316" width="15.44140625" style="13386" customWidth="1"/>
    <col min="13317" max="13317" width="2" style="13386" customWidth="1"/>
    <col min="13318" max="13318" width="14.88671875" style="13386" customWidth="1"/>
    <col min="13319" max="13319" width="1.88671875" style="13386" customWidth="1"/>
    <col min="13320" max="13320" width="18.44140625" style="13386" customWidth="1"/>
    <col min="13321" max="13321" width="17.44140625" style="13386" customWidth="1"/>
    <col min="13322" max="13322" width="6.88671875" style="13386" customWidth="1"/>
    <col min="13323" max="13323" width="0" style="13386" hidden="1" customWidth="1"/>
    <col min="13324" max="13324" width="10.109375" style="13386" bestFit="1" customWidth="1"/>
    <col min="13325" max="13325" width="12.88671875" style="13386" bestFit="1" customWidth="1"/>
    <col min="13326" max="13326" width="8" style="13386"/>
    <col min="13327" max="13327" width="8" style="13386" customWidth="1"/>
    <col min="13328" max="13565" width="8" style="13386"/>
    <col min="13566" max="13566" width="2.88671875" style="13386" customWidth="1"/>
    <col min="13567" max="13567" width="33.44140625" style="13386" customWidth="1"/>
    <col min="13568" max="13568" width="6.44140625" style="13386" customWidth="1"/>
    <col min="13569" max="13569" width="1.88671875" style="13386" customWidth="1"/>
    <col min="13570" max="13570" width="15.109375" style="13386" customWidth="1"/>
    <col min="13571" max="13571" width="1.88671875" style="13386" customWidth="1"/>
    <col min="13572" max="13572" width="15.44140625" style="13386" customWidth="1"/>
    <col min="13573" max="13573" width="2" style="13386" customWidth="1"/>
    <col min="13574" max="13574" width="14.88671875" style="13386" customWidth="1"/>
    <col min="13575" max="13575" width="1.88671875" style="13386" customWidth="1"/>
    <col min="13576" max="13576" width="18.44140625" style="13386" customWidth="1"/>
    <col min="13577" max="13577" width="17.44140625" style="13386" customWidth="1"/>
    <col min="13578" max="13578" width="6.88671875" style="13386" customWidth="1"/>
    <col min="13579" max="13579" width="0" style="13386" hidden="1" customWidth="1"/>
    <col min="13580" max="13580" width="10.109375" style="13386" bestFit="1" customWidth="1"/>
    <col min="13581" max="13581" width="12.88671875" style="13386" bestFit="1" customWidth="1"/>
    <col min="13582" max="13582" width="8" style="13386"/>
    <col min="13583" max="13583" width="8" style="13386" customWidth="1"/>
    <col min="13584" max="13821" width="8" style="13386"/>
    <col min="13822" max="13822" width="2.88671875" style="13386" customWidth="1"/>
    <col min="13823" max="13823" width="33.44140625" style="13386" customWidth="1"/>
    <col min="13824" max="13824" width="6.44140625" style="13386" customWidth="1"/>
    <col min="13825" max="13825" width="1.88671875" style="13386" customWidth="1"/>
    <col min="13826" max="13826" width="15.109375" style="13386" customWidth="1"/>
    <col min="13827" max="13827" width="1.88671875" style="13386" customWidth="1"/>
    <col min="13828" max="13828" width="15.44140625" style="13386" customWidth="1"/>
    <col min="13829" max="13829" width="2" style="13386" customWidth="1"/>
    <col min="13830" max="13830" width="14.88671875" style="13386" customWidth="1"/>
    <col min="13831" max="13831" width="1.88671875" style="13386" customWidth="1"/>
    <col min="13832" max="13832" width="18.44140625" style="13386" customWidth="1"/>
    <col min="13833" max="13833" width="17.44140625" style="13386" customWidth="1"/>
    <col min="13834" max="13834" width="6.88671875" style="13386" customWidth="1"/>
    <col min="13835" max="13835" width="0" style="13386" hidden="1" customWidth="1"/>
    <col min="13836" max="13836" width="10.109375" style="13386" bestFit="1" customWidth="1"/>
    <col min="13837" max="13837" width="12.88671875" style="13386" bestFit="1" customWidth="1"/>
    <col min="13838" max="13838" width="8" style="13386"/>
    <col min="13839" max="13839" width="8" style="13386" customWidth="1"/>
    <col min="13840" max="14077" width="8" style="13386"/>
    <col min="14078" max="14078" width="2.88671875" style="13386" customWidth="1"/>
    <col min="14079" max="14079" width="33.44140625" style="13386" customWidth="1"/>
    <col min="14080" max="14080" width="6.44140625" style="13386" customWidth="1"/>
    <col min="14081" max="14081" width="1.88671875" style="13386" customWidth="1"/>
    <col min="14082" max="14082" width="15.109375" style="13386" customWidth="1"/>
    <col min="14083" max="14083" width="1.88671875" style="13386" customWidth="1"/>
    <col min="14084" max="14084" width="15.44140625" style="13386" customWidth="1"/>
    <col min="14085" max="14085" width="2" style="13386" customWidth="1"/>
    <col min="14086" max="14086" width="14.88671875" style="13386" customWidth="1"/>
    <col min="14087" max="14087" width="1.88671875" style="13386" customWidth="1"/>
    <col min="14088" max="14088" width="18.44140625" style="13386" customWidth="1"/>
    <col min="14089" max="14089" width="17.44140625" style="13386" customWidth="1"/>
    <col min="14090" max="14090" width="6.88671875" style="13386" customWidth="1"/>
    <col min="14091" max="14091" width="0" style="13386" hidden="1" customWidth="1"/>
    <col min="14092" max="14092" width="10.109375" style="13386" bestFit="1" customWidth="1"/>
    <col min="14093" max="14093" width="12.88671875" style="13386" bestFit="1" customWidth="1"/>
    <col min="14094" max="14094" width="8" style="13386"/>
    <col min="14095" max="14095" width="8" style="13386" customWidth="1"/>
    <col min="14096" max="14333" width="8" style="13386"/>
    <col min="14334" max="14334" width="2.88671875" style="13386" customWidth="1"/>
    <col min="14335" max="14335" width="33.44140625" style="13386" customWidth="1"/>
    <col min="14336" max="14336" width="6.44140625" style="13386" customWidth="1"/>
    <col min="14337" max="14337" width="1.88671875" style="13386" customWidth="1"/>
    <col min="14338" max="14338" width="15.109375" style="13386" customWidth="1"/>
    <col min="14339" max="14339" width="1.88671875" style="13386" customWidth="1"/>
    <col min="14340" max="14340" width="15.44140625" style="13386" customWidth="1"/>
    <col min="14341" max="14341" width="2" style="13386" customWidth="1"/>
    <col min="14342" max="14342" width="14.88671875" style="13386" customWidth="1"/>
    <col min="14343" max="14343" width="1.88671875" style="13386" customWidth="1"/>
    <col min="14344" max="14344" width="18.44140625" style="13386" customWidth="1"/>
    <col min="14345" max="14345" width="17.44140625" style="13386" customWidth="1"/>
    <col min="14346" max="14346" width="6.88671875" style="13386" customWidth="1"/>
    <col min="14347" max="14347" width="0" style="13386" hidden="1" customWidth="1"/>
    <col min="14348" max="14348" width="10.109375" style="13386" bestFit="1" customWidth="1"/>
    <col min="14349" max="14349" width="12.88671875" style="13386" bestFit="1" customWidth="1"/>
    <col min="14350" max="14350" width="8" style="13386"/>
    <col min="14351" max="14351" width="8" style="13386" customWidth="1"/>
    <col min="14352" max="14589" width="8" style="13386"/>
    <col min="14590" max="14590" width="2.88671875" style="13386" customWidth="1"/>
    <col min="14591" max="14591" width="33.44140625" style="13386" customWidth="1"/>
    <col min="14592" max="14592" width="6.44140625" style="13386" customWidth="1"/>
    <col min="14593" max="14593" width="1.88671875" style="13386" customWidth="1"/>
    <col min="14594" max="14594" width="15.109375" style="13386" customWidth="1"/>
    <col min="14595" max="14595" width="1.88671875" style="13386" customWidth="1"/>
    <col min="14596" max="14596" width="15.44140625" style="13386" customWidth="1"/>
    <col min="14597" max="14597" width="2" style="13386" customWidth="1"/>
    <col min="14598" max="14598" width="14.88671875" style="13386" customWidth="1"/>
    <col min="14599" max="14599" width="1.88671875" style="13386" customWidth="1"/>
    <col min="14600" max="14600" width="18.44140625" style="13386" customWidth="1"/>
    <col min="14601" max="14601" width="17.44140625" style="13386" customWidth="1"/>
    <col min="14602" max="14602" width="6.88671875" style="13386" customWidth="1"/>
    <col min="14603" max="14603" width="0" style="13386" hidden="1" customWidth="1"/>
    <col min="14604" max="14604" width="10.109375" style="13386" bestFit="1" customWidth="1"/>
    <col min="14605" max="14605" width="12.88671875" style="13386" bestFit="1" customWidth="1"/>
    <col min="14606" max="14606" width="8" style="13386"/>
    <col min="14607" max="14607" width="8" style="13386" customWidth="1"/>
    <col min="14608" max="14845" width="8" style="13386"/>
    <col min="14846" max="14846" width="2.88671875" style="13386" customWidth="1"/>
    <col min="14847" max="14847" width="33.44140625" style="13386" customWidth="1"/>
    <col min="14848" max="14848" width="6.44140625" style="13386" customWidth="1"/>
    <col min="14849" max="14849" width="1.88671875" style="13386" customWidth="1"/>
    <col min="14850" max="14850" width="15.109375" style="13386" customWidth="1"/>
    <col min="14851" max="14851" width="1.88671875" style="13386" customWidth="1"/>
    <col min="14852" max="14852" width="15.44140625" style="13386" customWidth="1"/>
    <col min="14853" max="14853" width="2" style="13386" customWidth="1"/>
    <col min="14854" max="14854" width="14.88671875" style="13386" customWidth="1"/>
    <col min="14855" max="14855" width="1.88671875" style="13386" customWidth="1"/>
    <col min="14856" max="14856" width="18.44140625" style="13386" customWidth="1"/>
    <col min="14857" max="14857" width="17.44140625" style="13386" customWidth="1"/>
    <col min="14858" max="14858" width="6.88671875" style="13386" customWidth="1"/>
    <col min="14859" max="14859" width="0" style="13386" hidden="1" customWidth="1"/>
    <col min="14860" max="14860" width="10.109375" style="13386" bestFit="1" customWidth="1"/>
    <col min="14861" max="14861" width="12.88671875" style="13386" bestFit="1" customWidth="1"/>
    <col min="14862" max="14862" width="8" style="13386"/>
    <col min="14863" max="14863" width="8" style="13386" customWidth="1"/>
    <col min="14864" max="15101" width="8" style="13386"/>
    <col min="15102" max="15102" width="2.88671875" style="13386" customWidth="1"/>
    <col min="15103" max="15103" width="33.44140625" style="13386" customWidth="1"/>
    <col min="15104" max="15104" width="6.44140625" style="13386" customWidth="1"/>
    <col min="15105" max="15105" width="1.88671875" style="13386" customWidth="1"/>
    <col min="15106" max="15106" width="15.109375" style="13386" customWidth="1"/>
    <col min="15107" max="15107" width="1.88671875" style="13386" customWidth="1"/>
    <col min="15108" max="15108" width="15.44140625" style="13386" customWidth="1"/>
    <col min="15109" max="15109" width="2" style="13386" customWidth="1"/>
    <col min="15110" max="15110" width="14.88671875" style="13386" customWidth="1"/>
    <col min="15111" max="15111" width="1.88671875" style="13386" customWidth="1"/>
    <col min="15112" max="15112" width="18.44140625" style="13386" customWidth="1"/>
    <col min="15113" max="15113" width="17.44140625" style="13386" customWidth="1"/>
    <col min="15114" max="15114" width="6.88671875" style="13386" customWidth="1"/>
    <col min="15115" max="15115" width="0" style="13386" hidden="1" customWidth="1"/>
    <col min="15116" max="15116" width="10.109375" style="13386" bestFit="1" customWidth="1"/>
    <col min="15117" max="15117" width="12.88671875" style="13386" bestFit="1" customWidth="1"/>
    <col min="15118" max="15118" width="8" style="13386"/>
    <col min="15119" max="15119" width="8" style="13386" customWidth="1"/>
    <col min="15120" max="15357" width="8" style="13386"/>
    <col min="15358" max="15358" width="2.88671875" style="13386" customWidth="1"/>
    <col min="15359" max="15359" width="33.44140625" style="13386" customWidth="1"/>
    <col min="15360" max="15360" width="6.44140625" style="13386" customWidth="1"/>
    <col min="15361" max="15361" width="1.88671875" style="13386" customWidth="1"/>
    <col min="15362" max="15362" width="15.109375" style="13386" customWidth="1"/>
    <col min="15363" max="15363" width="1.88671875" style="13386" customWidth="1"/>
    <col min="15364" max="15364" width="15.44140625" style="13386" customWidth="1"/>
    <col min="15365" max="15365" width="2" style="13386" customWidth="1"/>
    <col min="15366" max="15366" width="14.88671875" style="13386" customWidth="1"/>
    <col min="15367" max="15367" width="1.88671875" style="13386" customWidth="1"/>
    <col min="15368" max="15368" width="18.44140625" style="13386" customWidth="1"/>
    <col min="15369" max="15369" width="17.44140625" style="13386" customWidth="1"/>
    <col min="15370" max="15370" width="6.88671875" style="13386" customWidth="1"/>
    <col min="15371" max="15371" width="0" style="13386" hidden="1" customWidth="1"/>
    <col min="15372" max="15372" width="10.109375" style="13386" bestFit="1" customWidth="1"/>
    <col min="15373" max="15373" width="12.88671875" style="13386" bestFit="1" customWidth="1"/>
    <col min="15374" max="15374" width="8" style="13386"/>
    <col min="15375" max="15375" width="8" style="13386" customWidth="1"/>
    <col min="15376" max="15613" width="8" style="13386"/>
    <col min="15614" max="15614" width="2.88671875" style="13386" customWidth="1"/>
    <col min="15615" max="15615" width="33.44140625" style="13386" customWidth="1"/>
    <col min="15616" max="15616" width="6.44140625" style="13386" customWidth="1"/>
    <col min="15617" max="15617" width="1.88671875" style="13386" customWidth="1"/>
    <col min="15618" max="15618" width="15.109375" style="13386" customWidth="1"/>
    <col min="15619" max="15619" width="1.88671875" style="13386" customWidth="1"/>
    <col min="15620" max="15620" width="15.44140625" style="13386" customWidth="1"/>
    <col min="15621" max="15621" width="2" style="13386" customWidth="1"/>
    <col min="15622" max="15622" width="14.88671875" style="13386" customWidth="1"/>
    <col min="15623" max="15623" width="1.88671875" style="13386" customWidth="1"/>
    <col min="15624" max="15624" width="18.44140625" style="13386" customWidth="1"/>
    <col min="15625" max="15625" width="17.44140625" style="13386" customWidth="1"/>
    <col min="15626" max="15626" width="6.88671875" style="13386" customWidth="1"/>
    <col min="15627" max="15627" width="0" style="13386" hidden="1" customWidth="1"/>
    <col min="15628" max="15628" width="10.109375" style="13386" bestFit="1" customWidth="1"/>
    <col min="15629" max="15629" width="12.88671875" style="13386" bestFit="1" customWidth="1"/>
    <col min="15630" max="15630" width="8" style="13386"/>
    <col min="15631" max="15631" width="8" style="13386" customWidth="1"/>
    <col min="15632" max="15869" width="8" style="13386"/>
    <col min="15870" max="15870" width="2.88671875" style="13386" customWidth="1"/>
    <col min="15871" max="15871" width="33.44140625" style="13386" customWidth="1"/>
    <col min="15872" max="15872" width="6.44140625" style="13386" customWidth="1"/>
    <col min="15873" max="15873" width="1.88671875" style="13386" customWidth="1"/>
    <col min="15874" max="15874" width="15.109375" style="13386" customWidth="1"/>
    <col min="15875" max="15875" width="1.88671875" style="13386" customWidth="1"/>
    <col min="15876" max="15876" width="15.44140625" style="13386" customWidth="1"/>
    <col min="15877" max="15877" width="2" style="13386" customWidth="1"/>
    <col min="15878" max="15878" width="14.88671875" style="13386" customWidth="1"/>
    <col min="15879" max="15879" width="1.88671875" style="13386" customWidth="1"/>
    <col min="15880" max="15880" width="18.44140625" style="13386" customWidth="1"/>
    <col min="15881" max="15881" width="17.44140625" style="13386" customWidth="1"/>
    <col min="15882" max="15882" width="6.88671875" style="13386" customWidth="1"/>
    <col min="15883" max="15883" width="0" style="13386" hidden="1" customWidth="1"/>
    <col min="15884" max="15884" width="10.109375" style="13386" bestFit="1" customWidth="1"/>
    <col min="15885" max="15885" width="12.88671875" style="13386" bestFit="1" customWidth="1"/>
    <col min="15886" max="15886" width="8" style="13386"/>
    <col min="15887" max="15887" width="8" style="13386" customWidth="1"/>
    <col min="15888" max="16125" width="8" style="13386"/>
    <col min="16126" max="16126" width="2.88671875" style="13386" customWidth="1"/>
    <col min="16127" max="16127" width="33.44140625" style="13386" customWidth="1"/>
    <col min="16128" max="16128" width="6.44140625" style="13386" customWidth="1"/>
    <col min="16129" max="16129" width="1.88671875" style="13386" customWidth="1"/>
    <col min="16130" max="16130" width="15.109375" style="13386" customWidth="1"/>
    <col min="16131" max="16131" width="1.88671875" style="13386" customWidth="1"/>
    <col min="16132" max="16132" width="15.44140625" style="13386" customWidth="1"/>
    <col min="16133" max="16133" width="2" style="13386" customWidth="1"/>
    <col min="16134" max="16134" width="14.88671875" style="13386" customWidth="1"/>
    <col min="16135" max="16135" width="1.88671875" style="13386" customWidth="1"/>
    <col min="16136" max="16136" width="18.44140625" style="13386" customWidth="1"/>
    <col min="16137" max="16137" width="17.44140625" style="13386" customWidth="1"/>
    <col min="16138" max="16138" width="6.88671875" style="13386" customWidth="1"/>
    <col min="16139" max="16139" width="0" style="13386" hidden="1" customWidth="1"/>
    <col min="16140" max="16140" width="10.109375" style="13386" bestFit="1" customWidth="1"/>
    <col min="16141" max="16141" width="12.88671875" style="13386" bestFit="1" customWidth="1"/>
    <col min="16142" max="16142" width="8" style="13386"/>
    <col min="16143" max="16143" width="8" style="13386" customWidth="1"/>
    <col min="16144" max="16384" width="8" style="13386"/>
  </cols>
  <sheetData>
    <row r="1" spans="1:13" ht="15" customHeight="1">
      <c r="A1" s="13386" t="s">
        <v>10828</v>
      </c>
    </row>
    <row r="2" spans="1:13">
      <c r="A2" s="15505" t="s">
        <v>12088</v>
      </c>
      <c r="B2" s="15505"/>
      <c r="C2" s="15505"/>
      <c r="D2" s="15505"/>
      <c r="E2" s="15505"/>
      <c r="F2" s="15505"/>
      <c r="G2" s="15505"/>
      <c r="H2" s="15505"/>
      <c r="I2" s="15505"/>
      <c r="J2" s="15505"/>
    </row>
    <row r="3" spans="1:13">
      <c r="A3" s="15506" t="s">
        <v>463</v>
      </c>
      <c r="B3" s="15506"/>
      <c r="C3" s="15506"/>
      <c r="D3" s="15506"/>
      <c r="E3" s="15506"/>
      <c r="F3" s="15506"/>
      <c r="G3" s="15506"/>
      <c r="H3" s="15506"/>
      <c r="I3" s="15506"/>
      <c r="J3" s="15506"/>
    </row>
    <row r="4" spans="1:13" s="13390" customFormat="1" ht="11.25" customHeight="1">
      <c r="A4" s="15506"/>
      <c r="B4" s="15506"/>
      <c r="C4" s="15506"/>
      <c r="D4" s="15506"/>
      <c r="E4" s="15506"/>
      <c r="F4" s="15506"/>
      <c r="G4" s="15506"/>
      <c r="H4" s="15506"/>
      <c r="I4" s="15506"/>
      <c r="J4" s="15506"/>
      <c r="K4" s="13389"/>
    </row>
    <row r="5" spans="1:13" s="13390" customFormat="1" ht="11.25" customHeight="1" thickBot="1">
      <c r="A5" s="13391"/>
      <c r="B5" s="13391"/>
      <c r="C5" s="13392"/>
      <c r="D5" s="13391"/>
      <c r="E5" s="13391"/>
      <c r="F5" s="13391"/>
      <c r="G5" s="13391"/>
      <c r="H5" s="13391"/>
      <c r="I5" s="13391"/>
      <c r="J5" s="13391"/>
      <c r="K5" s="13389"/>
    </row>
    <row r="6" spans="1:13" s="13397" customFormat="1" ht="15" customHeight="1">
      <c r="A6" s="13393"/>
      <c r="B6" s="13394"/>
      <c r="C6" s="13395" t="s">
        <v>103</v>
      </c>
      <c r="D6" s="15507" t="s">
        <v>3095</v>
      </c>
      <c r="E6" s="15507"/>
      <c r="F6" s="15507" t="s">
        <v>3096</v>
      </c>
      <c r="G6" s="15507"/>
      <c r="H6" s="15507" t="s">
        <v>3097</v>
      </c>
      <c r="I6" s="15507"/>
      <c r="J6" s="15498" t="s">
        <v>220</v>
      </c>
      <c r="K6" s="13396"/>
    </row>
    <row r="7" spans="1:13" s="13397" customFormat="1">
      <c r="A7" s="15501" t="s">
        <v>460</v>
      </c>
      <c r="B7" s="15502"/>
      <c r="C7" s="13398" t="s">
        <v>94</v>
      </c>
      <c r="D7" s="15508"/>
      <c r="E7" s="15508"/>
      <c r="F7" s="15508"/>
      <c r="G7" s="15508"/>
      <c r="H7" s="15508"/>
      <c r="I7" s="15508"/>
      <c r="J7" s="15499"/>
      <c r="K7" s="13396"/>
    </row>
    <row r="8" spans="1:13" s="13397" customFormat="1" ht="8.25" customHeight="1">
      <c r="A8" s="13399"/>
      <c r="B8" s="13400"/>
      <c r="C8" s="13401"/>
      <c r="D8" s="15509"/>
      <c r="E8" s="15509"/>
      <c r="F8" s="15509"/>
      <c r="G8" s="15509"/>
      <c r="H8" s="15509"/>
      <c r="I8" s="15509"/>
      <c r="J8" s="15500"/>
      <c r="K8" s="13396"/>
    </row>
    <row r="9" spans="1:13" ht="6.75" customHeight="1">
      <c r="A9" s="13402"/>
      <c r="B9" s="13403"/>
      <c r="C9" s="13404"/>
      <c r="D9" s="13405"/>
      <c r="E9" s="13406"/>
      <c r="F9" s="13405"/>
      <c r="G9" s="13407"/>
      <c r="H9" s="13405"/>
      <c r="I9" s="13406"/>
      <c r="J9" s="13408"/>
    </row>
    <row r="10" spans="1:13" hidden="1">
      <c r="A10" s="13409" t="s">
        <v>17</v>
      </c>
      <c r="B10" s="13410" t="s">
        <v>455</v>
      </c>
      <c r="C10" s="13411"/>
      <c r="D10" s="13412"/>
      <c r="E10" s="13413"/>
      <c r="F10" s="13412"/>
      <c r="G10" s="13414"/>
      <c r="H10" s="13412"/>
      <c r="I10" s="13415"/>
      <c r="J10" s="13416">
        <f>'receipts program'!M9</f>
        <v>105000000</v>
      </c>
    </row>
    <row r="11" spans="1:13" hidden="1">
      <c r="A11" s="13409" t="s">
        <v>51</v>
      </c>
      <c r="B11" s="13410" t="s">
        <v>454</v>
      </c>
      <c r="C11" s="13411"/>
      <c r="D11" s="13417"/>
      <c r="E11" s="13413"/>
      <c r="F11" s="13417"/>
      <c r="G11" s="13414"/>
      <c r="H11" s="13417"/>
      <c r="I11" s="13404"/>
      <c r="J11" s="13418"/>
    </row>
    <row r="12" spans="1:13" hidden="1">
      <c r="A12" s="13419"/>
      <c r="B12" s="13420" t="s">
        <v>453</v>
      </c>
      <c r="C12" s="13404"/>
      <c r="D12" s="13421"/>
      <c r="E12" s="13413"/>
      <c r="F12" s="13421"/>
      <c r="G12" s="13422"/>
      <c r="H12" s="13390"/>
      <c r="I12" s="13404"/>
      <c r="J12" s="13423">
        <f>'receipts program'!M35</f>
        <v>75295000</v>
      </c>
    </row>
    <row r="13" spans="1:13" s="13388" customFormat="1" hidden="1">
      <c r="A13" s="13419"/>
      <c r="B13" s="13420" t="s">
        <v>442</v>
      </c>
      <c r="C13" s="13404"/>
      <c r="D13" s="13421"/>
      <c r="E13" s="13413"/>
      <c r="F13" s="13421"/>
      <c r="G13" s="13422"/>
      <c r="H13" s="13390"/>
      <c r="I13" s="13413"/>
      <c r="J13" s="13423">
        <f>'receipts program'!M85</f>
        <v>319650000</v>
      </c>
      <c r="L13" s="13386"/>
      <c r="M13" s="13386"/>
    </row>
    <row r="14" spans="1:13" s="13388" customFormat="1" hidden="1">
      <c r="A14" s="13419"/>
      <c r="B14" s="13420" t="s">
        <v>3094</v>
      </c>
      <c r="C14" s="13404"/>
      <c r="D14" s="13421"/>
      <c r="E14" s="13413"/>
      <c r="F14" s="13421"/>
      <c r="G14" s="13422"/>
      <c r="H14" s="13390"/>
      <c r="I14" s="13413"/>
      <c r="J14" s="13423"/>
      <c r="L14" s="13386"/>
      <c r="M14" s="13386"/>
    </row>
    <row r="15" spans="1:13" hidden="1">
      <c r="A15" s="13419"/>
      <c r="B15" s="13424" t="s">
        <v>3107</v>
      </c>
      <c r="C15" s="13425"/>
      <c r="D15" s="13426"/>
      <c r="E15" s="13413"/>
      <c r="F15" s="13426"/>
      <c r="G15" s="13422"/>
      <c r="H15" s="13413"/>
      <c r="I15" s="13427"/>
      <c r="J15" s="13428">
        <f>'receipts program'!M88</f>
        <v>2021897881</v>
      </c>
    </row>
    <row r="16" spans="1:13" hidden="1">
      <c r="A16" s="13419"/>
      <c r="B16" s="13424" t="s">
        <v>3106</v>
      </c>
      <c r="C16" s="13425"/>
      <c r="D16" s="13421"/>
      <c r="E16" s="13413"/>
      <c r="F16" s="13421"/>
      <c r="G16" s="13422"/>
      <c r="H16" s="13390"/>
      <c r="I16" s="13429"/>
      <c r="J16" s="13430">
        <f>'receipts program'!M91</f>
        <v>5000000</v>
      </c>
    </row>
    <row r="17" spans="1:11" hidden="1">
      <c r="A17" s="13419"/>
      <c r="B17" s="13424" t="s">
        <v>10176</v>
      </c>
      <c r="C17" s="13425"/>
      <c r="D17" s="13421"/>
      <c r="E17" s="13413"/>
      <c r="F17" s="13421"/>
      <c r="G17" s="13422"/>
      <c r="H17" s="13390"/>
      <c r="I17" s="13429"/>
      <c r="J17" s="13431">
        <f>'receipts program'!M89</f>
        <v>150000</v>
      </c>
    </row>
    <row r="18" spans="1:11" s="13438" customFormat="1" hidden="1">
      <c r="A18" s="13432"/>
      <c r="B18" s="13420" t="s">
        <v>419</v>
      </c>
      <c r="C18" s="13404"/>
      <c r="D18" s="13433"/>
      <c r="E18" s="13434"/>
      <c r="F18" s="13433"/>
      <c r="G18" s="13435"/>
      <c r="H18" s="13436"/>
      <c r="I18" s="13434"/>
      <c r="J18" s="13416"/>
      <c r="K18" s="13437"/>
    </row>
    <row r="19" spans="1:11" hidden="1">
      <c r="A19" s="13419"/>
      <c r="B19" s="13424" t="s">
        <v>3105</v>
      </c>
      <c r="C19" s="13425"/>
      <c r="D19" s="13421"/>
      <c r="E19" s="13413"/>
      <c r="F19" s="13421"/>
      <c r="G19" s="13422"/>
      <c r="H19" s="13390"/>
      <c r="I19" s="13413"/>
      <c r="J19" s="13430">
        <f>'receipts program'!M97</f>
        <v>3000000</v>
      </c>
    </row>
    <row r="20" spans="1:11" s="13448" customFormat="1" ht="6" hidden="1" customHeight="1">
      <c r="A20" s="13439"/>
      <c r="B20" s="13440" t="s">
        <v>501</v>
      </c>
      <c r="C20" s="13441"/>
      <c r="D20" s="13442"/>
      <c r="E20" s="13443"/>
      <c r="F20" s="13442"/>
      <c r="G20" s="13444"/>
      <c r="H20" s="13445"/>
      <c r="I20" s="13443"/>
      <c r="J20" s="13446">
        <f>'receipts program'!M103</f>
        <v>0</v>
      </c>
      <c r="K20" s="13447"/>
    </row>
    <row r="21" spans="1:11" s="13448" customFormat="1" ht="6" hidden="1" customHeight="1" thickBot="1">
      <c r="A21" s="13439"/>
      <c r="B21" s="13449" t="s">
        <v>3104</v>
      </c>
      <c r="C21" s="13450"/>
      <c r="D21" s="13442"/>
      <c r="E21" s="13443"/>
      <c r="F21" s="13442"/>
      <c r="G21" s="13444"/>
      <c r="H21" s="13445"/>
      <c r="I21" s="13443"/>
      <c r="J21" s="13451">
        <f>SUM(J12:J20)</f>
        <v>2424992881</v>
      </c>
      <c r="K21" s="13447"/>
    </row>
    <row r="22" spans="1:11" ht="6" hidden="1" customHeight="1" thickBot="1">
      <c r="A22" s="13432" t="s">
        <v>681</v>
      </c>
      <c r="B22" s="13420"/>
      <c r="C22" s="13404"/>
      <c r="D22" s="13452"/>
      <c r="E22" s="13434"/>
      <c r="F22" s="13452"/>
      <c r="G22" s="13435"/>
      <c r="H22" s="13453"/>
      <c r="I22" s="13434"/>
      <c r="J22" s="13454">
        <f>J21+J10</f>
        <v>2529992881</v>
      </c>
    </row>
    <row r="23" spans="1:11" ht="6" hidden="1" customHeight="1">
      <c r="A23" s="13419"/>
      <c r="B23" s="13420"/>
      <c r="C23" s="13404"/>
      <c r="D23" s="13426"/>
      <c r="E23" s="13413"/>
      <c r="F23" s="13426"/>
      <c r="G23" s="13422"/>
      <c r="H23" s="13413"/>
      <c r="I23" s="13414"/>
      <c r="J23" s="13455"/>
    </row>
    <row r="24" spans="1:11" hidden="1">
      <c r="A24" s="13419"/>
      <c r="B24" s="13456" t="s">
        <v>682</v>
      </c>
      <c r="C24" s="13411"/>
      <c r="D24" s="13426"/>
      <c r="E24" s="13413"/>
      <c r="F24" s="13426"/>
      <c r="G24" s="13422"/>
      <c r="H24" s="13413"/>
      <c r="I24" s="13414"/>
      <c r="J24" s="13455">
        <v>0</v>
      </c>
    </row>
    <row r="25" spans="1:11" hidden="1">
      <c r="A25" s="13419"/>
      <c r="B25" s="13420" t="s">
        <v>683</v>
      </c>
      <c r="C25" s="13404"/>
      <c r="D25" s="13426"/>
      <c r="E25" s="13413"/>
      <c r="F25" s="13426"/>
      <c r="G25" s="13422"/>
      <c r="H25" s="13413"/>
      <c r="I25" s="13414"/>
      <c r="J25" s="13455">
        <v>0</v>
      </c>
    </row>
    <row r="26" spans="1:11" s="13438" customFormat="1" hidden="1">
      <c r="A26" s="13432"/>
      <c r="B26" s="13457" t="s">
        <v>327</v>
      </c>
      <c r="C26" s="13458"/>
      <c r="D26" s="13459"/>
      <c r="E26" s="13434"/>
      <c r="F26" s="13459"/>
      <c r="G26" s="13435"/>
      <c r="H26" s="13434"/>
      <c r="I26" s="13460"/>
      <c r="J26" s="13461">
        <v>0</v>
      </c>
      <c r="K26" s="13437"/>
    </row>
    <row r="27" spans="1:11" ht="6" hidden="1" customHeight="1" thickBot="1">
      <c r="A27" s="13419"/>
      <c r="B27" s="13420"/>
      <c r="C27" s="13404"/>
      <c r="D27" s="13426"/>
      <c r="E27" s="13413"/>
      <c r="F27" s="13426"/>
      <c r="G27" s="13422"/>
      <c r="H27" s="13413"/>
      <c r="I27" s="13414"/>
      <c r="J27" s="13462"/>
    </row>
    <row r="28" spans="1:11" ht="16.2" hidden="1" thickBot="1">
      <c r="A28" s="13419"/>
      <c r="B28" s="13456" t="s">
        <v>684</v>
      </c>
      <c r="C28" s="13411"/>
      <c r="D28" s="13452"/>
      <c r="E28" s="13434"/>
      <c r="F28" s="13452"/>
      <c r="G28" s="13435"/>
      <c r="H28" s="13453"/>
      <c r="I28" s="13460"/>
      <c r="J28" s="13454">
        <f>J22-J26</f>
        <v>2529992881</v>
      </c>
    </row>
    <row r="29" spans="1:11" ht="3" customHeight="1">
      <c r="A29" s="13409"/>
      <c r="B29" s="13403"/>
      <c r="C29" s="13404"/>
      <c r="D29" s="13463"/>
      <c r="E29" s="13413"/>
      <c r="F29" s="13463"/>
      <c r="G29" s="13413"/>
      <c r="H29" s="13463"/>
      <c r="I29" s="13414"/>
      <c r="J29" s="13462"/>
    </row>
    <row r="30" spans="1:11" hidden="1">
      <c r="A30" s="13409"/>
      <c r="B30" s="13410" t="s">
        <v>415</v>
      </c>
      <c r="C30" s="13411"/>
      <c r="D30" s="13463"/>
      <c r="E30" s="13413"/>
      <c r="F30" s="13463"/>
      <c r="G30" s="13413"/>
      <c r="H30" s="13463"/>
      <c r="I30" s="13414"/>
      <c r="J30" s="13462"/>
    </row>
    <row r="31" spans="1:11">
      <c r="A31" s="13409"/>
      <c r="B31" s="13403" t="s">
        <v>3103</v>
      </c>
      <c r="C31" s="13404"/>
      <c r="D31" s="13463"/>
      <c r="E31" s="13413"/>
      <c r="F31" s="13463"/>
      <c r="G31" s="13413"/>
      <c r="H31" s="13463"/>
      <c r="I31" s="13414"/>
      <c r="J31" s="13462"/>
    </row>
    <row r="32" spans="1:11">
      <c r="A32" s="13409"/>
      <c r="B32" s="13464" t="s">
        <v>687</v>
      </c>
      <c r="C32" s="13425"/>
      <c r="D32" s="13463"/>
      <c r="E32" s="13413"/>
      <c r="F32" s="13463"/>
      <c r="G32" s="13413"/>
      <c r="H32" s="13463"/>
      <c r="I32" s="13414"/>
      <c r="J32" s="13462"/>
    </row>
    <row r="33" spans="1:11">
      <c r="A33" s="13409"/>
      <c r="B33" s="13403" t="s">
        <v>639</v>
      </c>
      <c r="C33" s="13404"/>
      <c r="D33" s="13465" t="s">
        <v>405</v>
      </c>
      <c r="E33" s="13413">
        <f>'2019 ps worksheet'!B22</f>
        <v>172793160</v>
      </c>
      <c r="F33" s="13465" t="s">
        <v>405</v>
      </c>
      <c r="G33" s="13414">
        <f>'2019 ps worksheet'!B40</f>
        <v>197041248</v>
      </c>
      <c r="H33" s="13465" t="s">
        <v>405</v>
      </c>
      <c r="I33" s="13466">
        <f>'2019 ps worksheet'!B52</f>
        <v>98846772</v>
      </c>
      <c r="J33" s="13467">
        <f>E33+G33+I33</f>
        <v>468681180</v>
      </c>
      <c r="K33" s="13388">
        <v>276511716</v>
      </c>
    </row>
    <row r="34" spans="1:11">
      <c r="A34" s="13409"/>
      <c r="B34" s="13403" t="s">
        <v>688</v>
      </c>
      <c r="C34" s="13404"/>
      <c r="D34" s="13463"/>
      <c r="E34" s="13468">
        <f>'2019 ps worksheet'!C22</f>
        <v>16659656</v>
      </c>
      <c r="F34" s="13469"/>
      <c r="G34" s="13470">
        <f>'2019 ps worksheet'!C40</f>
        <v>0</v>
      </c>
      <c r="H34" s="13469"/>
      <c r="I34" s="13471">
        <f>'2019 ps worksheet'!C52</f>
        <v>0</v>
      </c>
      <c r="J34" s="13472">
        <f t="shared" ref="J34:J55" si="0">E34+G34+I34</f>
        <v>16659656</v>
      </c>
      <c r="K34" s="13388" t="e">
        <v>#REF!</v>
      </c>
    </row>
    <row r="35" spans="1:11">
      <c r="A35" s="13409"/>
      <c r="B35" s="13473" t="s">
        <v>689</v>
      </c>
      <c r="C35" s="13474"/>
      <c r="D35" s="13463"/>
      <c r="E35" s="13468">
        <f>'2019 ps worksheet'!D22</f>
        <v>17040000</v>
      </c>
      <c r="F35" s="13469"/>
      <c r="G35" s="13470">
        <f>'2019 ps worksheet'!D40</f>
        <v>15864000</v>
      </c>
      <c r="H35" s="13469"/>
      <c r="I35" s="13471">
        <f>'2019 ps worksheet'!D52</f>
        <v>10104000</v>
      </c>
      <c r="J35" s="13472">
        <f t="shared" si="0"/>
        <v>43008000</v>
      </c>
      <c r="K35" s="13388">
        <v>38916000</v>
      </c>
    </row>
    <row r="36" spans="1:11">
      <c r="A36" s="13409"/>
      <c r="B36" s="13403" t="s">
        <v>643</v>
      </c>
      <c r="C36" s="13404"/>
      <c r="D36" s="13463"/>
      <c r="E36" s="13468">
        <f>'2019 ps worksheet'!E22</f>
        <v>3252000</v>
      </c>
      <c r="F36" s="13469"/>
      <c r="G36" s="13470">
        <f>'2019 ps worksheet'!E40</f>
        <v>984000</v>
      </c>
      <c r="H36" s="13469"/>
      <c r="I36" s="13471">
        <f>'2019 ps worksheet'!E52</f>
        <v>588000</v>
      </c>
      <c r="J36" s="13472">
        <f t="shared" si="0"/>
        <v>4824000</v>
      </c>
      <c r="K36" s="13388">
        <v>3302400</v>
      </c>
    </row>
    <row r="37" spans="1:11">
      <c r="A37" s="13409"/>
      <c r="B37" s="13403" t="s">
        <v>644</v>
      </c>
      <c r="C37" s="13404"/>
      <c r="D37" s="13463"/>
      <c r="E37" s="13468">
        <f>'2019 ps worksheet'!F22</f>
        <v>1572000</v>
      </c>
      <c r="F37" s="13469"/>
      <c r="G37" s="13470">
        <f>'2019 ps worksheet'!F40</f>
        <v>984000</v>
      </c>
      <c r="H37" s="13469"/>
      <c r="I37" s="13471">
        <f>'2019 ps worksheet'!F52</f>
        <v>486000</v>
      </c>
      <c r="J37" s="13472">
        <f t="shared" si="0"/>
        <v>3042000</v>
      </c>
      <c r="K37" s="13388">
        <v>2343600</v>
      </c>
    </row>
    <row r="38" spans="1:11">
      <c r="A38" s="13402"/>
      <c r="B38" s="13473" t="s">
        <v>690</v>
      </c>
      <c r="C38" s="13474"/>
      <c r="D38" s="13463"/>
      <c r="E38" s="13468">
        <f>'2019 ps worksheet'!G22</f>
        <v>4260000</v>
      </c>
      <c r="F38" s="13469"/>
      <c r="G38" s="13470">
        <f>'2019 ps worksheet'!G40</f>
        <v>3966000</v>
      </c>
      <c r="H38" s="13469"/>
      <c r="I38" s="13471">
        <f>'2019 ps worksheet'!G52</f>
        <v>2526000</v>
      </c>
      <c r="J38" s="13472">
        <f t="shared" si="0"/>
        <v>10752000</v>
      </c>
      <c r="K38" s="13388">
        <v>6444000</v>
      </c>
    </row>
    <row r="39" spans="1:11">
      <c r="A39" s="13402"/>
      <c r="B39" s="13473" t="s">
        <v>691</v>
      </c>
      <c r="C39" s="13474"/>
      <c r="D39" s="13463"/>
      <c r="E39" s="13468">
        <f>'2019 ps worksheet'!H22</f>
        <v>0</v>
      </c>
      <c r="F39" s="13469"/>
      <c r="G39" s="13470">
        <f>'2019 ps worksheet'!H40</f>
        <v>6112800</v>
      </c>
      <c r="H39" s="13469"/>
      <c r="I39" s="13471">
        <f>'2019 ps worksheet'!H52</f>
        <v>475200</v>
      </c>
      <c r="J39" s="13472">
        <f t="shared" si="0"/>
        <v>6588000</v>
      </c>
      <c r="K39" s="13388">
        <v>10947600</v>
      </c>
    </row>
    <row r="40" spans="1:11">
      <c r="A40" s="13475"/>
      <c r="B40" s="13476" t="s">
        <v>11309</v>
      </c>
      <c r="C40" s="13474"/>
      <c r="D40" s="13477"/>
      <c r="E40" s="13468">
        <f>'2019 ps worksheet'!I22</f>
        <v>0</v>
      </c>
      <c r="F40" s="13478"/>
      <c r="G40" s="13479">
        <f>'2019 ps worksheet'!I40</f>
        <v>1018800</v>
      </c>
      <c r="H40" s="13478"/>
      <c r="I40" s="13480">
        <f>'2019 ps worksheet'!I52</f>
        <v>79200</v>
      </c>
      <c r="J40" s="13472">
        <f t="shared" si="0"/>
        <v>1098000</v>
      </c>
    </row>
    <row r="41" spans="1:11" ht="15" customHeight="1">
      <c r="A41" s="13402"/>
      <c r="B41" s="13473" t="s">
        <v>647</v>
      </c>
      <c r="C41" s="13474"/>
      <c r="D41" s="13463"/>
      <c r="E41" s="13468">
        <f>'2019 ps worksheet'!J22</f>
        <v>3550000</v>
      </c>
      <c r="F41" s="13469"/>
      <c r="G41" s="13470">
        <f>'2019 ps worksheet'!J40</f>
        <v>3305000</v>
      </c>
      <c r="H41" s="13469"/>
      <c r="I41" s="13471">
        <f>'2019 ps worksheet'!J52</f>
        <v>2105000</v>
      </c>
      <c r="J41" s="13472">
        <f t="shared" si="0"/>
        <v>8960000</v>
      </c>
      <c r="K41" s="13388">
        <v>3222000</v>
      </c>
    </row>
    <row r="42" spans="1:11" ht="12" customHeight="1">
      <c r="A42" s="13475"/>
      <c r="B42" s="13481" t="s">
        <v>673</v>
      </c>
      <c r="C42" s="13474"/>
      <c r="D42" s="13426"/>
      <c r="E42" s="13468">
        <f>'2019 ps worksheet'!L22</f>
        <v>1845000</v>
      </c>
      <c r="F42" s="13482"/>
      <c r="G42" s="13483">
        <f>'2019 ps worksheet'!L40</f>
        <v>1983000</v>
      </c>
      <c r="H42" s="13482"/>
      <c r="I42" s="13484">
        <f>'2019 ps worksheet'!L52</f>
        <v>1263000</v>
      </c>
      <c r="J42" s="13472">
        <f t="shared" si="0"/>
        <v>5091000</v>
      </c>
    </row>
    <row r="43" spans="1:11" hidden="1">
      <c r="A43" s="13475"/>
      <c r="B43" s="13485" t="s">
        <v>10268</v>
      </c>
      <c r="C43" s="13474"/>
      <c r="D43" s="13426"/>
      <c r="E43" s="13468">
        <f>'2019 ps worksheet'!K22</f>
        <v>0</v>
      </c>
      <c r="F43" s="13482"/>
      <c r="G43" s="13486">
        <f>'2019 ps worksheet'!K40</f>
        <v>0</v>
      </c>
      <c r="H43" s="13482"/>
      <c r="I43" s="13487">
        <f>'2019 ps worksheet'!K52</f>
        <v>0</v>
      </c>
      <c r="J43" s="13472">
        <f t="shared" si="0"/>
        <v>0</v>
      </c>
    </row>
    <row r="44" spans="1:11">
      <c r="A44" s="13475"/>
      <c r="B44" s="13485" t="s">
        <v>10331</v>
      </c>
      <c r="C44" s="13474"/>
      <c r="D44" s="13426"/>
      <c r="E44" s="13468">
        <f>'2019 ps worksheet'!X22</f>
        <v>936000</v>
      </c>
      <c r="F44" s="13482"/>
      <c r="G44" s="13486">
        <v>0</v>
      </c>
      <c r="H44" s="13482"/>
      <c r="I44" s="13487">
        <v>0</v>
      </c>
      <c r="J44" s="13472">
        <f t="shared" si="0"/>
        <v>936000</v>
      </c>
    </row>
    <row r="45" spans="1:11">
      <c r="A45" s="13402"/>
      <c r="B45" s="13403" t="s">
        <v>649</v>
      </c>
      <c r="C45" s="13404"/>
      <c r="D45" s="13463"/>
      <c r="E45" s="13468">
        <f>'2019 ps worksheet'!N22</f>
        <v>0</v>
      </c>
      <c r="F45" s="13469"/>
      <c r="G45" s="13470">
        <f>'2019 ps worksheet'!N40</f>
        <v>46172979</v>
      </c>
      <c r="H45" s="13469"/>
      <c r="I45" s="13471">
        <f>'2019 ps worksheet'!N52</f>
        <v>60000</v>
      </c>
      <c r="J45" s="13472">
        <f t="shared" si="0"/>
        <v>46232979</v>
      </c>
      <c r="K45" s="13388">
        <v>22923723</v>
      </c>
    </row>
    <row r="46" spans="1:11">
      <c r="A46" s="13402"/>
      <c r="B46" s="13403" t="s">
        <v>650</v>
      </c>
      <c r="C46" s="13404"/>
      <c r="D46" s="13463"/>
      <c r="E46" s="13468">
        <f>'2019 ps worksheet'!O22</f>
        <v>2394200</v>
      </c>
      <c r="F46" s="13469"/>
      <c r="G46" s="13470">
        <f>'2019 ps worksheet'!O40</f>
        <v>534000</v>
      </c>
      <c r="H46" s="13469"/>
      <c r="I46" s="13471">
        <f>'2019 ps worksheet'!O52</f>
        <v>790000</v>
      </c>
      <c r="J46" s="13472">
        <f t="shared" si="0"/>
        <v>3718200</v>
      </c>
      <c r="K46" s="13388">
        <v>1708800</v>
      </c>
    </row>
    <row r="47" spans="1:11">
      <c r="A47" s="13402"/>
      <c r="B47" s="13473" t="s">
        <v>651</v>
      </c>
      <c r="C47" s="13474"/>
      <c r="D47" s="13463"/>
      <c r="E47" s="13468">
        <f>'2019 ps worksheet'!P22</f>
        <v>3550000</v>
      </c>
      <c r="F47" s="13469"/>
      <c r="G47" s="13470">
        <f>'2019 ps worksheet'!P40</f>
        <v>3305000</v>
      </c>
      <c r="H47" s="13469"/>
      <c r="I47" s="13471">
        <f>'2019 ps worksheet'!P52</f>
        <v>2105000</v>
      </c>
      <c r="J47" s="13472">
        <f t="shared" si="0"/>
        <v>8960000</v>
      </c>
    </row>
    <row r="48" spans="1:11">
      <c r="A48" s="13402"/>
      <c r="B48" s="13473" t="s">
        <v>10819</v>
      </c>
      <c r="C48" s="13474"/>
      <c r="D48" s="13463"/>
      <c r="E48" s="13468">
        <f>'2019 ps worksheet'!Q22</f>
        <v>31298136</v>
      </c>
      <c r="F48" s="13469"/>
      <c r="G48" s="13470">
        <f>'2019 ps worksheet'!Q40</f>
        <v>32840208</v>
      </c>
      <c r="H48" s="13469"/>
      <c r="I48" s="13471">
        <f>'2019 ps worksheet'!Q52</f>
        <v>16474462</v>
      </c>
      <c r="J48" s="13472">
        <f t="shared" si="0"/>
        <v>80612806</v>
      </c>
    </row>
    <row r="49" spans="1:13">
      <c r="A49" s="13402"/>
      <c r="B49" s="13473" t="s">
        <v>692</v>
      </c>
      <c r="C49" s="13474"/>
      <c r="D49" s="13463"/>
      <c r="E49" s="13468">
        <f>'2019 ps worksheet'!R22</f>
        <v>22674337.920000002</v>
      </c>
      <c r="F49" s="13469"/>
      <c r="G49" s="13470">
        <f>'2019 ps worksheet'!R40</f>
        <v>23644949.759999994</v>
      </c>
      <c r="H49" s="13469"/>
      <c r="I49" s="13471">
        <f>'2019 ps worksheet'!R52</f>
        <v>11861612.639999999</v>
      </c>
      <c r="J49" s="13472">
        <f t="shared" si="0"/>
        <v>58180900.319999993</v>
      </c>
    </row>
    <row r="50" spans="1:13" ht="11.25" customHeight="1">
      <c r="A50" s="13402"/>
      <c r="B50" s="13473" t="s">
        <v>654</v>
      </c>
      <c r="C50" s="13474"/>
      <c r="D50" s="13463"/>
      <c r="E50" s="13468">
        <f>'2019 ps worksheet'!S22</f>
        <v>852000</v>
      </c>
      <c r="F50" s="13469"/>
      <c r="G50" s="13470">
        <f>'2019 ps worksheet'!S40</f>
        <v>793200</v>
      </c>
      <c r="H50" s="13469"/>
      <c r="I50" s="13471">
        <f>'2019 ps worksheet'!S52</f>
        <v>505200</v>
      </c>
      <c r="J50" s="13472">
        <f t="shared" si="0"/>
        <v>2150400</v>
      </c>
    </row>
    <row r="51" spans="1:13">
      <c r="A51" s="13402"/>
      <c r="B51" s="13473" t="s">
        <v>693</v>
      </c>
      <c r="C51" s="13474"/>
      <c r="D51" s="13463"/>
      <c r="E51" s="13468">
        <f>'2019 ps worksheet'!T22</f>
        <v>1936854.3150000002</v>
      </c>
      <c r="F51" s="13469"/>
      <c r="G51" s="13470">
        <f>'2019 ps worksheet'!T40</f>
        <v>2380654.1550000003</v>
      </c>
      <c r="H51" s="13469"/>
      <c r="I51" s="13471">
        <f>'2019 ps worksheet'!T52</f>
        <v>1211845.6350000002</v>
      </c>
      <c r="J51" s="13472">
        <f t="shared" si="0"/>
        <v>5529354.1050000004</v>
      </c>
    </row>
    <row r="52" spans="1:13" ht="13.5" customHeight="1">
      <c r="A52" s="13402"/>
      <c r="B52" s="13473" t="s">
        <v>656</v>
      </c>
      <c r="C52" s="13474"/>
      <c r="D52" s="13463"/>
      <c r="E52" s="13468">
        <f>'2019 ps worksheet'!U22</f>
        <v>852000</v>
      </c>
      <c r="F52" s="13469"/>
      <c r="G52" s="13470">
        <f>'2019 ps worksheet'!U40</f>
        <v>793200</v>
      </c>
      <c r="H52" s="13469"/>
      <c r="I52" s="13471">
        <f>'2019 ps worksheet'!U52</f>
        <v>505200</v>
      </c>
      <c r="J52" s="13472">
        <f t="shared" si="0"/>
        <v>2150400</v>
      </c>
    </row>
    <row r="53" spans="1:13" ht="13.5" customHeight="1">
      <c r="A53" s="13402"/>
      <c r="B53" s="13488" t="s">
        <v>3267</v>
      </c>
      <c r="C53" s="13474"/>
      <c r="D53" s="13489"/>
      <c r="E53" s="13468"/>
      <c r="F53" s="13490"/>
      <c r="G53" s="13491"/>
      <c r="H53" s="13490"/>
      <c r="I53" s="13492"/>
      <c r="J53" s="13493">
        <f>'2019 ps worksheet'!Z55</f>
        <v>18132528</v>
      </c>
    </row>
    <row r="54" spans="1:13" ht="13.5" customHeight="1">
      <c r="A54" s="13402"/>
      <c r="B54" s="13473" t="s">
        <v>3268</v>
      </c>
      <c r="C54" s="13474"/>
      <c r="D54" s="13463"/>
      <c r="E54" s="13468"/>
      <c r="F54" s="13469"/>
      <c r="G54" s="13470"/>
      <c r="H54" s="13469"/>
      <c r="I54" s="13471"/>
      <c r="J54" s="13493">
        <f>'2019 ps worksheet'!Z56</f>
        <v>11596965.324999772</v>
      </c>
      <c r="K54" s="13388">
        <v>10912759</v>
      </c>
    </row>
    <row r="55" spans="1:13" ht="13.5" customHeight="1" thickBot="1">
      <c r="A55" s="13402"/>
      <c r="B55" s="13473" t="s">
        <v>660</v>
      </c>
      <c r="C55" s="13474"/>
      <c r="D55" s="13463"/>
      <c r="E55" s="13468">
        <f>'2019 ps worksheet'!Y22</f>
        <v>250000</v>
      </c>
      <c r="F55" s="13469"/>
      <c r="G55" s="13470">
        <f>'2019 ps worksheet'!Y40</f>
        <v>560000</v>
      </c>
      <c r="H55" s="13469"/>
      <c r="I55" s="13471">
        <f>'2019 ps worksheet'!Y52</f>
        <v>220000</v>
      </c>
      <c r="J55" s="13472">
        <f t="shared" si="0"/>
        <v>1030000</v>
      </c>
    </row>
    <row r="56" spans="1:13" ht="20.25" customHeight="1" thickBot="1">
      <c r="A56" s="13402"/>
      <c r="B56" s="13410" t="s">
        <v>696</v>
      </c>
      <c r="C56" s="13411"/>
      <c r="D56" s="13494" t="s">
        <v>405</v>
      </c>
      <c r="E56" s="13495">
        <f>SUM(E33:E55)</f>
        <v>285715344.23500001</v>
      </c>
      <c r="F56" s="13494" t="s">
        <v>405</v>
      </c>
      <c r="G56" s="13495">
        <f>SUM(G33:G55)</f>
        <v>342283038.91499996</v>
      </c>
      <c r="H56" s="13494" t="s">
        <v>405</v>
      </c>
      <c r="I56" s="13496">
        <f>SUM(I33:I55)</f>
        <v>150206492.27499998</v>
      </c>
      <c r="J56" s="13497">
        <f>SUM(J33:J55)</f>
        <v>807934368.74999976</v>
      </c>
    </row>
    <row r="57" spans="1:13" ht="18.75" customHeight="1">
      <c r="A57" s="13402"/>
      <c r="B57" s="13464" t="s">
        <v>697</v>
      </c>
      <c r="C57" s="13425"/>
      <c r="D57" s="13463"/>
      <c r="E57" s="13413"/>
      <c r="F57" s="13463"/>
      <c r="G57" s="13413"/>
      <c r="H57" s="13463"/>
      <c r="I57" s="13413"/>
      <c r="J57" s="13418"/>
    </row>
    <row r="58" spans="1:13" s="13388" customFormat="1">
      <c r="A58" s="13402"/>
      <c r="B58" s="13403" t="s">
        <v>698</v>
      </c>
      <c r="C58" s="13404"/>
      <c r="D58" s="13463"/>
      <c r="E58" s="13468">
        <f>'2019 MOOE'!B24</f>
        <v>10278500</v>
      </c>
      <c r="F58" s="13469"/>
      <c r="G58" s="13468">
        <f>'2019 MOOE'!B42</f>
        <v>5184000</v>
      </c>
      <c r="H58" s="13469"/>
      <c r="I58" s="13498">
        <f>'2019 MOOE'!B54</f>
        <v>6985995</v>
      </c>
      <c r="J58" s="13472">
        <f t="shared" ref="J58:J65" si="1">E58+G58+I58</f>
        <v>22448495</v>
      </c>
      <c r="L58" s="13386"/>
      <c r="M58" s="13386"/>
    </row>
    <row r="59" spans="1:13" s="13388" customFormat="1">
      <c r="A59" s="13402"/>
      <c r="B59" s="13403" t="s">
        <v>699</v>
      </c>
      <c r="C59" s="13404"/>
      <c r="D59" s="13463"/>
      <c r="E59" s="13468">
        <f>'2019 MOOE'!C24</f>
        <v>10780500</v>
      </c>
      <c r="F59" s="13469"/>
      <c r="G59" s="13468">
        <f>'2019 MOOE'!C42</f>
        <v>4427400</v>
      </c>
      <c r="H59" s="13469"/>
      <c r="I59" s="13498">
        <f>'2019 MOOE'!C54</f>
        <v>2114187</v>
      </c>
      <c r="J59" s="13472">
        <f t="shared" si="1"/>
        <v>17322087</v>
      </c>
      <c r="L59" s="13386"/>
      <c r="M59" s="13386"/>
    </row>
    <row r="60" spans="1:13" s="13388" customFormat="1">
      <c r="A60" s="13402"/>
      <c r="B60" s="13473" t="s">
        <v>700</v>
      </c>
      <c r="C60" s="13474"/>
      <c r="D60" s="13463"/>
      <c r="E60" s="13468">
        <f>'2019 MOOE'!D24</f>
        <v>18846000</v>
      </c>
      <c r="F60" s="13469"/>
      <c r="G60" s="13468">
        <f>'2019 MOOE'!D42</f>
        <v>6145250</v>
      </c>
      <c r="H60" s="13469"/>
      <c r="I60" s="13498">
        <f>'2019 MOOE'!D54</f>
        <v>2256553</v>
      </c>
      <c r="J60" s="13472">
        <f t="shared" si="1"/>
        <v>27247803</v>
      </c>
      <c r="L60" s="13386"/>
      <c r="M60" s="13386"/>
    </row>
    <row r="61" spans="1:13" s="13388" customFormat="1">
      <c r="A61" s="13402"/>
      <c r="B61" s="13473" t="s">
        <v>701</v>
      </c>
      <c r="C61" s="13474"/>
      <c r="D61" s="13463"/>
      <c r="E61" s="13468">
        <f>'2019 MOOE'!E24</f>
        <v>8125000</v>
      </c>
      <c r="F61" s="13469"/>
      <c r="G61" s="13468">
        <f>'2019 MOOE'!E42</f>
        <v>611875</v>
      </c>
      <c r="H61" s="13469"/>
      <c r="I61" s="13471">
        <f>'2019 MOOE'!E54</f>
        <v>0</v>
      </c>
      <c r="J61" s="13472">
        <f t="shared" si="1"/>
        <v>8736875</v>
      </c>
      <c r="L61" s="13386"/>
      <c r="M61" s="13386"/>
    </row>
    <row r="62" spans="1:13" s="13388" customFormat="1">
      <c r="A62" s="13402"/>
      <c r="B62" s="13473" t="s">
        <v>702</v>
      </c>
      <c r="C62" s="13474"/>
      <c r="D62" s="13463"/>
      <c r="E62" s="13468">
        <f>'2019 MOOE'!F24</f>
        <v>0</v>
      </c>
      <c r="F62" s="13469"/>
      <c r="G62" s="13468">
        <f>'2019 MOOE'!F42</f>
        <v>0</v>
      </c>
      <c r="H62" s="13469"/>
      <c r="I62" s="13471">
        <f>'2019 MOOE'!F54</f>
        <v>600000</v>
      </c>
      <c r="J62" s="13472">
        <f t="shared" si="1"/>
        <v>600000</v>
      </c>
      <c r="L62" s="13386"/>
      <c r="M62" s="13386"/>
    </row>
    <row r="63" spans="1:13" s="13388" customFormat="1">
      <c r="A63" s="13402"/>
      <c r="B63" s="13473" t="s">
        <v>10824</v>
      </c>
      <c r="C63" s="13474"/>
      <c r="D63" s="13463"/>
      <c r="E63" s="13468">
        <f>'2019 MOOE'!G24</f>
        <v>0</v>
      </c>
      <c r="F63" s="13469"/>
      <c r="G63" s="13468">
        <f>'2019 MOOE'!G42</f>
        <v>28070000</v>
      </c>
      <c r="H63" s="13469"/>
      <c r="I63" s="13471">
        <f>'2019 MOOE'!G54</f>
        <v>0</v>
      </c>
      <c r="J63" s="13472">
        <f t="shared" si="1"/>
        <v>28070000</v>
      </c>
      <c r="L63" s="13386"/>
      <c r="M63" s="13386"/>
    </row>
    <row r="64" spans="1:13" s="13388" customFormat="1">
      <c r="A64" s="13402"/>
      <c r="B64" s="13473" t="s">
        <v>10825</v>
      </c>
      <c r="C64" s="13474"/>
      <c r="D64" s="13463"/>
      <c r="E64" s="13468">
        <v>0</v>
      </c>
      <c r="F64" s="13469"/>
      <c r="G64" s="13468">
        <f>'2019 MOOE'!H42</f>
        <v>67855000</v>
      </c>
      <c r="H64" s="13469"/>
      <c r="I64" s="13471">
        <v>0</v>
      </c>
      <c r="J64" s="13472">
        <f t="shared" si="1"/>
        <v>67855000</v>
      </c>
      <c r="L64" s="13386"/>
      <c r="M64" s="13386"/>
    </row>
    <row r="65" spans="1:13" s="13388" customFormat="1">
      <c r="A65" s="13402"/>
      <c r="B65" s="13473" t="s">
        <v>705</v>
      </c>
      <c r="C65" s="13474"/>
      <c r="D65" s="13463"/>
      <c r="E65" s="13468">
        <f>'2019 MOOE'!I24</f>
        <v>0</v>
      </c>
      <c r="F65" s="13469"/>
      <c r="G65" s="13468">
        <f>'2019 MOOE'!I42</f>
        <v>68884158</v>
      </c>
      <c r="H65" s="13469"/>
      <c r="I65" s="13471">
        <f>'2019 MOOE'!I54</f>
        <v>0</v>
      </c>
      <c r="J65" s="13472">
        <f t="shared" si="1"/>
        <v>68884158</v>
      </c>
      <c r="L65" s="13386"/>
      <c r="M65" s="13386"/>
    </row>
    <row r="66" spans="1:13" s="13388" customFormat="1">
      <c r="A66" s="13402"/>
      <c r="B66" s="13473" t="s">
        <v>706</v>
      </c>
      <c r="C66" s="13474"/>
      <c r="D66" s="13463"/>
      <c r="E66" s="13468">
        <f>'2019 MOOE'!J24</f>
        <v>18990000</v>
      </c>
      <c r="F66" s="13469"/>
      <c r="G66" s="13468">
        <f>'2019 MOOE'!J42</f>
        <v>4355500</v>
      </c>
      <c r="H66" s="13469"/>
      <c r="I66" s="13471">
        <f>'2019 MOOE'!J54</f>
        <v>24955000</v>
      </c>
      <c r="J66" s="13472">
        <f t="shared" ref="J66:J82" si="2">E66+G66+I66</f>
        <v>48300500</v>
      </c>
      <c r="L66" s="13386"/>
      <c r="M66" s="13386"/>
    </row>
    <row r="67" spans="1:13" s="13388" customFormat="1">
      <c r="A67" s="13402"/>
      <c r="B67" s="13473" t="s">
        <v>707</v>
      </c>
      <c r="C67" s="13474"/>
      <c r="D67" s="13463"/>
      <c r="E67" s="13468">
        <f>'2019 MOOE'!L24</f>
        <v>0</v>
      </c>
      <c r="F67" s="13469"/>
      <c r="G67" s="13468">
        <f>'2019 MOOE'!L42</f>
        <v>0</v>
      </c>
      <c r="H67" s="13469"/>
      <c r="I67" s="13471">
        <f>'2019 MOOE'!L54</f>
        <v>200000</v>
      </c>
      <c r="J67" s="13472">
        <f t="shared" si="2"/>
        <v>200000</v>
      </c>
      <c r="L67" s="13386"/>
      <c r="M67" s="13386"/>
    </row>
    <row r="68" spans="1:13" s="13388" customFormat="1">
      <c r="A68" s="13402"/>
      <c r="B68" s="13473" t="s">
        <v>708</v>
      </c>
      <c r="C68" s="13474"/>
      <c r="D68" s="13463"/>
      <c r="E68" s="13468">
        <f>'2019 MOOE'!K24</f>
        <v>640000</v>
      </c>
      <c r="F68" s="13469"/>
      <c r="G68" s="13468">
        <f>'2019 MOOE'!K42</f>
        <v>0</v>
      </c>
      <c r="H68" s="13469"/>
      <c r="I68" s="13471">
        <f>'2019 MOOE'!K54</f>
        <v>0</v>
      </c>
      <c r="J68" s="13472">
        <f t="shared" si="2"/>
        <v>640000</v>
      </c>
      <c r="L68" s="13386"/>
      <c r="M68" s="13386"/>
    </row>
    <row r="69" spans="1:13" s="13388" customFormat="1">
      <c r="A69" s="13402"/>
      <c r="B69" s="13473" t="s">
        <v>710</v>
      </c>
      <c r="C69" s="13474"/>
      <c r="D69" s="13463"/>
      <c r="E69" s="13468">
        <f>'2019 MOOE'!M24</f>
        <v>1445588</v>
      </c>
      <c r="F69" s="13469"/>
      <c r="G69" s="13468">
        <f>'2019 MOOE'!M42</f>
        <v>2285000</v>
      </c>
      <c r="H69" s="13469"/>
      <c r="I69" s="13471">
        <f>'2019 MOOE'!M54</f>
        <v>0</v>
      </c>
      <c r="J69" s="13472">
        <f t="shared" si="2"/>
        <v>3730588</v>
      </c>
      <c r="L69" s="13386"/>
      <c r="M69" s="13386"/>
    </row>
    <row r="70" spans="1:13" s="13388" customFormat="1">
      <c r="A70" s="13402"/>
      <c r="B70" s="13473" t="s">
        <v>711</v>
      </c>
      <c r="C70" s="13474"/>
      <c r="D70" s="13463"/>
      <c r="E70" s="13468">
        <f>'2019 MOOE'!N24</f>
        <v>14033530</v>
      </c>
      <c r="F70" s="13469"/>
      <c r="G70" s="13468">
        <f>'2019 MOOE'!N42</f>
        <v>10870000</v>
      </c>
      <c r="H70" s="13469"/>
      <c r="I70" s="13471">
        <f>'2019 MOOE'!N54</f>
        <v>0</v>
      </c>
      <c r="J70" s="13472">
        <f t="shared" si="2"/>
        <v>24903530</v>
      </c>
      <c r="L70" s="13386"/>
      <c r="M70" s="13386"/>
    </row>
    <row r="71" spans="1:13" s="13388" customFormat="1">
      <c r="A71" s="13402"/>
      <c r="B71" s="13473" t="s">
        <v>712</v>
      </c>
      <c r="C71" s="13474"/>
      <c r="D71" s="13463"/>
      <c r="E71" s="13468">
        <f>'2019 MOOE'!O24</f>
        <v>0</v>
      </c>
      <c r="F71" s="13469"/>
      <c r="G71" s="13468">
        <f>'2019 MOOE'!O42</f>
        <v>905000</v>
      </c>
      <c r="H71" s="13469"/>
      <c r="I71" s="13471">
        <f>'2019 MOOE'!O54</f>
        <v>0</v>
      </c>
      <c r="J71" s="13472">
        <f t="shared" si="2"/>
        <v>905000</v>
      </c>
      <c r="L71" s="13386"/>
      <c r="M71" s="13386"/>
    </row>
    <row r="72" spans="1:13" s="13388" customFormat="1">
      <c r="A72" s="13402"/>
      <c r="B72" s="13473" t="s">
        <v>713</v>
      </c>
      <c r="C72" s="13474"/>
      <c r="D72" s="13463"/>
      <c r="E72" s="13468">
        <f>'2019 MOOE'!P24</f>
        <v>300550</v>
      </c>
      <c r="F72" s="13469"/>
      <c r="G72" s="13468">
        <f>'2019 MOOE'!P42</f>
        <v>87250</v>
      </c>
      <c r="H72" s="13469"/>
      <c r="I72" s="13471">
        <f>'2019 MOOE'!P54</f>
        <v>35500</v>
      </c>
      <c r="J72" s="13472">
        <f t="shared" si="2"/>
        <v>423300</v>
      </c>
      <c r="L72" s="13386"/>
      <c r="M72" s="13386"/>
    </row>
    <row r="73" spans="1:13" s="13388" customFormat="1">
      <c r="A73" s="13402"/>
      <c r="B73" s="13473" t="s">
        <v>714</v>
      </c>
      <c r="C73" s="13474"/>
      <c r="D73" s="13463"/>
      <c r="E73" s="13468">
        <f>'2019 MOOE'!Q24+'2019 MOOE'!R24+'2019 MOOE'!T24</f>
        <v>7531216</v>
      </c>
      <c r="F73" s="13469"/>
      <c r="G73" s="13468">
        <f>'2019 MOOE'!Q42+'2019 MOOE'!R42+'2019 MOOE'!T42</f>
        <v>2207000</v>
      </c>
      <c r="H73" s="13469"/>
      <c r="I73" s="13471">
        <f>'2019 MOOE'!Q54+'2019 MOOE'!R54+'2019 MOOE'!T54</f>
        <v>1416071</v>
      </c>
      <c r="J73" s="13472">
        <f t="shared" si="2"/>
        <v>11154287</v>
      </c>
      <c r="L73" s="13386"/>
      <c r="M73" s="13386"/>
    </row>
    <row r="74" spans="1:13" s="13388" customFormat="1">
      <c r="A74" s="13475"/>
      <c r="B74" s="13499" t="s">
        <v>12090</v>
      </c>
      <c r="C74" s="13474"/>
      <c r="D74" s="13477"/>
      <c r="E74" s="13468">
        <f>'2019 MOOE'!S24</f>
        <v>0</v>
      </c>
      <c r="F74" s="13478"/>
      <c r="G74" s="13468">
        <f>'2019 MOOE'!S42</f>
        <v>800000</v>
      </c>
      <c r="H74" s="13478"/>
      <c r="I74" s="13500">
        <f>'2019 MOOE'!S54</f>
        <v>0</v>
      </c>
      <c r="J74" s="13472">
        <f t="shared" si="2"/>
        <v>800000</v>
      </c>
      <c r="L74" s="13386"/>
      <c r="M74" s="13386"/>
    </row>
    <row r="75" spans="1:13" s="13388" customFormat="1">
      <c r="A75" s="13402"/>
      <c r="B75" s="13473" t="s">
        <v>3044</v>
      </c>
      <c r="C75" s="13474"/>
      <c r="D75" s="13463"/>
      <c r="E75" s="13468">
        <f>'2019 MOOE'!U24</f>
        <v>1343400</v>
      </c>
      <c r="F75" s="13469"/>
      <c r="G75" s="13468">
        <f>'2019 MOOE'!U42</f>
        <v>19000</v>
      </c>
      <c r="H75" s="13469"/>
      <c r="I75" s="13471">
        <f>'2019 MOOE'!U54</f>
        <v>20104</v>
      </c>
      <c r="J75" s="13472">
        <f t="shared" si="2"/>
        <v>1382504</v>
      </c>
      <c r="L75" s="13386"/>
      <c r="M75" s="13386"/>
    </row>
    <row r="76" spans="1:13" s="13388" customFormat="1">
      <c r="A76" s="13475"/>
      <c r="B76" s="8021" t="s">
        <v>10996</v>
      </c>
      <c r="C76" s="13474"/>
      <c r="D76" s="13477"/>
      <c r="E76" s="13468">
        <f>'2019 MOOE'!V24</f>
        <v>1329000</v>
      </c>
      <c r="F76" s="13478"/>
      <c r="G76" s="13468">
        <v>0</v>
      </c>
      <c r="H76" s="13478"/>
      <c r="I76" s="13480">
        <v>0</v>
      </c>
      <c r="J76" s="13472">
        <f t="shared" si="2"/>
        <v>1329000</v>
      </c>
      <c r="L76" s="13386"/>
      <c r="M76" s="13386"/>
    </row>
    <row r="77" spans="1:13" s="13388" customFormat="1">
      <c r="A77" s="13402"/>
      <c r="B77" s="13473" t="s">
        <v>715</v>
      </c>
      <c r="C77" s="13474"/>
      <c r="D77" s="13463"/>
      <c r="E77" s="13468">
        <f>'2019 MOOE'!W24</f>
        <v>615000</v>
      </c>
      <c r="F77" s="13469"/>
      <c r="G77" s="13468">
        <f>'2019 MOOE'!W42</f>
        <v>0</v>
      </c>
      <c r="H77" s="13469"/>
      <c r="I77" s="13471">
        <f>'2019 MOOE'!W54</f>
        <v>0</v>
      </c>
      <c r="J77" s="13472">
        <f t="shared" si="2"/>
        <v>615000</v>
      </c>
      <c r="L77" s="13386"/>
      <c r="M77" s="13386"/>
    </row>
    <row r="78" spans="1:13" s="13388" customFormat="1">
      <c r="A78" s="13402"/>
      <c r="B78" s="13473" t="s">
        <v>716</v>
      </c>
      <c r="C78" s="13474"/>
      <c r="D78" s="13463"/>
      <c r="E78" s="13468">
        <f>'2019 MOOE'!X24</f>
        <v>1100000</v>
      </c>
      <c r="F78" s="13469"/>
      <c r="G78" s="13468">
        <f>'2019 MOOE'!X42</f>
        <v>0</v>
      </c>
      <c r="H78" s="13469"/>
      <c r="I78" s="13471">
        <f>'2019 MOOE'!X54</f>
        <v>0</v>
      </c>
      <c r="J78" s="13472">
        <f t="shared" si="2"/>
        <v>1100000</v>
      </c>
      <c r="L78" s="13386"/>
      <c r="M78" s="13386"/>
    </row>
    <row r="79" spans="1:13" s="13388" customFormat="1">
      <c r="A79" s="13402"/>
      <c r="B79" s="13473" t="s">
        <v>717</v>
      </c>
      <c r="C79" s="13474"/>
      <c r="D79" s="13463"/>
      <c r="E79" s="13468">
        <f>'2019 MOOE'!Y24</f>
        <v>35000</v>
      </c>
      <c r="F79" s="13469"/>
      <c r="G79" s="13468">
        <f>'2019 MOOE'!Y42</f>
        <v>39000</v>
      </c>
      <c r="H79" s="13469"/>
      <c r="I79" s="13471">
        <f>'2019 MOOE'!Y54</f>
        <v>10000</v>
      </c>
      <c r="J79" s="13501">
        <f t="shared" si="2"/>
        <v>84000</v>
      </c>
      <c r="L79" s="13386"/>
      <c r="M79" s="13386"/>
    </row>
    <row r="80" spans="1:13" s="13388" customFormat="1">
      <c r="A80" s="13475"/>
      <c r="B80" s="13502" t="s">
        <v>10163</v>
      </c>
      <c r="C80" s="13474"/>
      <c r="D80" s="13426"/>
      <c r="E80" s="13468"/>
      <c r="F80" s="13482"/>
      <c r="G80" s="13503">
        <f>'2019 MOOE'!BA56</f>
        <v>25000</v>
      </c>
      <c r="H80" s="13482"/>
      <c r="I80" s="13503"/>
      <c r="J80" s="13504">
        <f>E80+G80+I80</f>
        <v>25000</v>
      </c>
      <c r="L80" s="13386"/>
      <c r="M80" s="13386"/>
    </row>
    <row r="81" spans="1:13" s="13388" customFormat="1">
      <c r="A81" s="13402"/>
      <c r="B81" s="13473" t="s">
        <v>718</v>
      </c>
      <c r="C81" s="13474"/>
      <c r="D81" s="13463"/>
      <c r="E81" s="13468">
        <f>'2019 MOOE'!Z24</f>
        <v>12481800</v>
      </c>
      <c r="F81" s="13469"/>
      <c r="G81" s="13468">
        <f>'2019 MOOE'!Z42</f>
        <v>300000</v>
      </c>
      <c r="H81" s="13469"/>
      <c r="I81" s="13471">
        <f>'2019 MOOE'!Z54</f>
        <v>100000</v>
      </c>
      <c r="J81" s="13472">
        <f t="shared" si="2"/>
        <v>12881800</v>
      </c>
      <c r="L81" s="13386"/>
      <c r="M81" s="13386"/>
    </row>
    <row r="82" spans="1:13" s="13388" customFormat="1" ht="16.2" thickBot="1">
      <c r="A82" s="13402"/>
      <c r="B82" s="13473" t="s">
        <v>719</v>
      </c>
      <c r="C82" s="13474"/>
      <c r="D82" s="13463"/>
      <c r="E82" s="13468">
        <f>'2019 MOOE'!AA24</f>
        <v>353660</v>
      </c>
      <c r="F82" s="13469"/>
      <c r="G82" s="13468">
        <f>'2019 MOOE'!AA42</f>
        <v>5000</v>
      </c>
      <c r="H82" s="13469"/>
      <c r="I82" s="13471">
        <f>'2019 MOOE'!AA54</f>
        <v>50000</v>
      </c>
      <c r="J82" s="13472">
        <f t="shared" si="2"/>
        <v>408660</v>
      </c>
      <c r="L82" s="13386"/>
      <c r="M82" s="13386"/>
    </row>
    <row r="83" spans="1:13" s="13388" customFormat="1">
      <c r="A83" s="13505"/>
      <c r="B83" s="13506"/>
      <c r="C83" s="13507"/>
      <c r="D83" s="13508"/>
      <c r="E83" s="13509"/>
      <c r="F83" s="13509"/>
      <c r="G83" s="13509"/>
      <c r="H83" s="13509"/>
      <c r="I83" s="13510"/>
      <c r="J83" s="13510"/>
      <c r="L83" s="13386"/>
      <c r="M83" s="13386"/>
    </row>
    <row r="84" spans="1:13" s="13388" customFormat="1">
      <c r="A84" s="13390"/>
      <c r="B84" s="13511"/>
      <c r="C84" s="13474"/>
      <c r="D84" s="13413"/>
      <c r="E84" s="13468"/>
      <c r="F84" s="13468"/>
      <c r="G84" s="13468"/>
      <c r="H84" s="13468"/>
      <c r="I84" s="13498"/>
      <c r="J84" s="13498"/>
      <c r="L84" s="13386"/>
      <c r="M84" s="13386"/>
    </row>
    <row r="85" spans="1:13" s="13388" customFormat="1">
      <c r="A85" s="13390"/>
      <c r="B85" s="13511"/>
      <c r="C85" s="13474"/>
      <c r="D85" s="13413"/>
      <c r="E85" s="13468"/>
      <c r="F85" s="13468"/>
      <c r="G85" s="13468"/>
      <c r="H85" s="13468"/>
      <c r="I85" s="13498"/>
      <c r="J85" s="13498"/>
      <c r="L85" s="13386"/>
      <c r="M85" s="13386"/>
    </row>
    <row r="86" spans="1:13" s="13388" customFormat="1">
      <c r="A86" s="13390"/>
      <c r="B86" s="13511"/>
      <c r="C86" s="13474"/>
      <c r="D86" s="13413"/>
      <c r="E86" s="13468"/>
      <c r="F86" s="13468"/>
      <c r="G86" s="13468"/>
      <c r="H86" s="13468"/>
      <c r="I86" s="13498"/>
      <c r="J86" s="13498"/>
      <c r="L86" s="13386"/>
      <c r="M86" s="13386"/>
    </row>
    <row r="87" spans="1:13" s="13388" customFormat="1">
      <c r="A87" s="13390"/>
      <c r="B87" s="13511"/>
      <c r="C87" s="13474"/>
      <c r="D87" s="13413"/>
      <c r="E87" s="13468"/>
      <c r="F87" s="13468"/>
      <c r="G87" s="13468"/>
      <c r="H87" s="13468"/>
      <c r="I87" s="13498"/>
      <c r="J87" s="13498"/>
      <c r="L87" s="13386"/>
      <c r="M87" s="13386"/>
    </row>
    <row r="88" spans="1:13" s="13388" customFormat="1" ht="16.2" thickBot="1">
      <c r="A88" s="13390" t="s">
        <v>10177</v>
      </c>
      <c r="B88" s="13511"/>
      <c r="C88" s="13474"/>
      <c r="D88" s="13413"/>
      <c r="E88" s="13468"/>
      <c r="F88" s="13468"/>
      <c r="G88" s="13468"/>
      <c r="H88" s="13468"/>
      <c r="I88" s="13498"/>
      <c r="J88" s="13498"/>
      <c r="L88" s="13386"/>
      <c r="M88" s="13386"/>
    </row>
    <row r="89" spans="1:13" s="13388" customFormat="1">
      <c r="A89" s="13393"/>
      <c r="B89" s="13394"/>
      <c r="C89" s="13395" t="s">
        <v>103</v>
      </c>
      <c r="D89" s="15507" t="s">
        <v>3095</v>
      </c>
      <c r="E89" s="15507"/>
      <c r="F89" s="15507" t="s">
        <v>3096</v>
      </c>
      <c r="G89" s="15507"/>
      <c r="H89" s="15507" t="s">
        <v>3097</v>
      </c>
      <c r="I89" s="15507"/>
      <c r="J89" s="15498" t="s">
        <v>220</v>
      </c>
      <c r="L89" s="13386"/>
      <c r="M89" s="13386"/>
    </row>
    <row r="90" spans="1:13" s="13388" customFormat="1">
      <c r="A90" s="15501" t="s">
        <v>460</v>
      </c>
      <c r="B90" s="15502"/>
      <c r="C90" s="13398" t="s">
        <v>94</v>
      </c>
      <c r="D90" s="15508"/>
      <c r="E90" s="15508"/>
      <c r="F90" s="15508"/>
      <c r="G90" s="15508"/>
      <c r="H90" s="15508"/>
      <c r="I90" s="15508"/>
      <c r="J90" s="15499"/>
      <c r="L90" s="13386"/>
      <c r="M90" s="13386"/>
    </row>
    <row r="91" spans="1:13" s="13388" customFormat="1">
      <c r="A91" s="13399"/>
      <c r="B91" s="13400"/>
      <c r="C91" s="13401"/>
      <c r="D91" s="15509"/>
      <c r="E91" s="15509"/>
      <c r="F91" s="15509"/>
      <c r="G91" s="15509"/>
      <c r="H91" s="15509"/>
      <c r="I91" s="15509"/>
      <c r="J91" s="15500"/>
      <c r="L91" s="13386"/>
      <c r="M91" s="13386"/>
    </row>
    <row r="92" spans="1:13" s="13388" customFormat="1" ht="15" customHeight="1">
      <c r="A92" s="13402"/>
      <c r="B92" s="13473" t="s">
        <v>11310</v>
      </c>
      <c r="C92" s="13474"/>
      <c r="D92" s="13463"/>
      <c r="E92" s="13468">
        <f>'2019 MOOE'!AB24</f>
        <v>623000</v>
      </c>
      <c r="F92" s="13469">
        <v>0</v>
      </c>
      <c r="G92" s="13468">
        <v>0</v>
      </c>
      <c r="H92" s="13469"/>
      <c r="I92" s="13471">
        <v>0</v>
      </c>
      <c r="J92" s="13472">
        <f t="shared" ref="J92:J97" si="3">E92+G92+I92</f>
        <v>623000</v>
      </c>
      <c r="L92" s="13386"/>
      <c r="M92" s="13386"/>
    </row>
    <row r="93" spans="1:13" s="13388" customFormat="1">
      <c r="A93" s="13402"/>
      <c r="B93" s="13473" t="s">
        <v>720</v>
      </c>
      <c r="C93" s="13474"/>
      <c r="D93" s="13463"/>
      <c r="E93" s="13468">
        <f>'2019 MOOE'!AD24+'2019 MOOE'!AE24</f>
        <v>84977040</v>
      </c>
      <c r="F93" s="13469"/>
      <c r="G93" s="13468">
        <f>'2019 MOOE'!AD42+'2019 MOOE'!AE42</f>
        <v>97236400</v>
      </c>
      <c r="H93" s="13469"/>
      <c r="I93" s="13471">
        <f>'2019 MOOE'!AD54+'2019 MOOE'!AE54+'2019 MOOE'!AF54</f>
        <v>36098200</v>
      </c>
      <c r="J93" s="13472">
        <f t="shared" si="3"/>
        <v>218311640</v>
      </c>
      <c r="L93" s="13386"/>
      <c r="M93" s="13386"/>
    </row>
    <row r="94" spans="1:13" s="13388" customFormat="1">
      <c r="A94" s="13402"/>
      <c r="B94" s="13473" t="s">
        <v>721</v>
      </c>
      <c r="C94" s="13474"/>
      <c r="D94" s="13463"/>
      <c r="E94" s="13468">
        <f>'2019 MOOE'!AG24+'2019 MOOE'!AH24</f>
        <v>13000000</v>
      </c>
      <c r="F94" s="13469"/>
      <c r="G94" s="13468">
        <f>'2019 MOOE'!AG42+'2019 MOOE'!AH42</f>
        <v>16279052</v>
      </c>
      <c r="H94" s="13469"/>
      <c r="I94" s="13471">
        <f>'2019 MOOE'!AG54</f>
        <v>0</v>
      </c>
      <c r="J94" s="13472">
        <f t="shared" si="3"/>
        <v>29279052</v>
      </c>
      <c r="L94" s="13386"/>
      <c r="M94" s="13386"/>
    </row>
    <row r="95" spans="1:13" s="13388" customFormat="1">
      <c r="A95" s="13402"/>
      <c r="B95" s="13511" t="s">
        <v>722</v>
      </c>
      <c r="C95" s="13512"/>
      <c r="D95" s="13463"/>
      <c r="E95" s="13468">
        <f>'2019 MOOE'!AI24</f>
        <v>1850000</v>
      </c>
      <c r="F95" s="13469"/>
      <c r="G95" s="13468">
        <f>'2019 MOOE'!AI42</f>
        <v>625000</v>
      </c>
      <c r="H95" s="13469"/>
      <c r="I95" s="13471">
        <f>'2019 MOOE'!AI54</f>
        <v>513000</v>
      </c>
      <c r="J95" s="13472">
        <f t="shared" si="3"/>
        <v>2988000</v>
      </c>
      <c r="L95" s="13386"/>
      <c r="M95" s="13386"/>
    </row>
    <row r="96" spans="1:13" s="13388" customFormat="1">
      <c r="A96" s="13402"/>
      <c r="B96" s="13511" t="s">
        <v>723</v>
      </c>
      <c r="C96" s="13512"/>
      <c r="D96" s="13463"/>
      <c r="E96" s="13468">
        <f>'2019 MOOE'!AJ24</f>
        <v>0</v>
      </c>
      <c r="F96" s="13469"/>
      <c r="G96" s="13468">
        <f>'2019 MOOE'!AJ42</f>
        <v>1370000</v>
      </c>
      <c r="H96" s="13469"/>
      <c r="I96" s="13471">
        <f>'2019 MOOE'!AJ54</f>
        <v>0</v>
      </c>
      <c r="J96" s="13472">
        <f t="shared" si="3"/>
        <v>1370000</v>
      </c>
      <c r="L96" s="13386"/>
      <c r="M96" s="13386"/>
    </row>
    <row r="97" spans="1:13" s="13388" customFormat="1">
      <c r="A97" s="13402"/>
      <c r="B97" s="13511" t="s">
        <v>12226</v>
      </c>
      <c r="C97" s="13512"/>
      <c r="D97" s="13463"/>
      <c r="E97" s="13468">
        <f>'2019 MOOE'!AK24</f>
        <v>0</v>
      </c>
      <c r="F97" s="13469"/>
      <c r="G97" s="13468">
        <f>'2019 MOOE'!AK42</f>
        <v>3000</v>
      </c>
      <c r="H97" s="13469"/>
      <c r="I97" s="13471">
        <f>'2019 MOOE'!AK54</f>
        <v>50000</v>
      </c>
      <c r="J97" s="13472">
        <f t="shared" si="3"/>
        <v>53000</v>
      </c>
      <c r="L97" s="13386"/>
      <c r="M97" s="13386"/>
    </row>
    <row r="98" spans="1:13" s="13388" customFormat="1">
      <c r="A98" s="13402"/>
      <c r="B98" s="13511" t="s">
        <v>724</v>
      </c>
      <c r="C98" s="13512"/>
      <c r="D98" s="13463"/>
      <c r="E98" s="13468">
        <f>'2019 MOOE'!AL24</f>
        <v>0</v>
      </c>
      <c r="F98" s="13469"/>
      <c r="G98" s="13468">
        <f>'2019 MOOE'!AL42</f>
        <v>3000</v>
      </c>
      <c r="H98" s="13469"/>
      <c r="I98" s="13471">
        <f>'2019 MOOE'!AL54</f>
        <v>0</v>
      </c>
      <c r="J98" s="13472">
        <f t="shared" ref="J98:J112" si="4">E98+G98+I98</f>
        <v>3000</v>
      </c>
      <c r="L98" s="13386"/>
      <c r="M98" s="13386"/>
    </row>
    <row r="99" spans="1:13" s="13388" customFormat="1" hidden="1">
      <c r="A99" s="13402"/>
      <c r="B99" s="13511" t="s">
        <v>725</v>
      </c>
      <c r="C99" s="13512"/>
      <c r="D99" s="13463"/>
      <c r="E99" s="13468">
        <f>'2019 MOOE'!AM24</f>
        <v>0</v>
      </c>
      <c r="F99" s="13469"/>
      <c r="G99" s="13468">
        <f>'2019 MOOE'!AM42</f>
        <v>0</v>
      </c>
      <c r="H99" s="13469"/>
      <c r="I99" s="13471">
        <f>'2019 MOOE'!AM54</f>
        <v>0</v>
      </c>
      <c r="J99" s="13472">
        <f t="shared" si="4"/>
        <v>0</v>
      </c>
      <c r="L99" s="13386"/>
      <c r="M99" s="13386"/>
    </row>
    <row r="100" spans="1:13" s="13388" customFormat="1">
      <c r="A100" s="13402"/>
      <c r="B100" s="13511" t="s">
        <v>12227</v>
      </c>
      <c r="C100" s="13512"/>
      <c r="D100" s="13463"/>
      <c r="E100" s="13468">
        <f>'2019 MOOE'!AN24</f>
        <v>0</v>
      </c>
      <c r="F100" s="13469"/>
      <c r="G100" s="13468">
        <f>'2019 MOOE'!AN42</f>
        <v>0</v>
      </c>
      <c r="H100" s="13469"/>
      <c r="I100" s="13471">
        <f>'2019 MOOE'!AN54</f>
        <v>170000</v>
      </c>
      <c r="J100" s="13472">
        <f t="shared" si="4"/>
        <v>170000</v>
      </c>
      <c r="L100" s="13386"/>
      <c r="M100" s="13386"/>
    </row>
    <row r="101" spans="1:13" s="13388" customFormat="1">
      <c r="A101" s="13402"/>
      <c r="B101" s="13511" t="s">
        <v>10826</v>
      </c>
      <c r="C101" s="13512"/>
      <c r="D101" s="13463"/>
      <c r="E101" s="13468">
        <f>'2019 MOOE'!AO24</f>
        <v>3834300</v>
      </c>
      <c r="F101" s="13469"/>
      <c r="G101" s="13468">
        <f>'2019 MOOE'!AO42</f>
        <v>1618000</v>
      </c>
      <c r="H101" s="13469"/>
      <c r="I101" s="13471">
        <f>'2019 MOOE'!AO54</f>
        <v>13565100</v>
      </c>
      <c r="J101" s="13472">
        <f t="shared" si="4"/>
        <v>19017400</v>
      </c>
      <c r="L101" s="13386"/>
      <c r="M101" s="13386"/>
    </row>
    <row r="102" spans="1:13" s="13390" customFormat="1">
      <c r="A102" s="13402"/>
      <c r="B102" s="13511" t="s">
        <v>726</v>
      </c>
      <c r="C102" s="13512"/>
      <c r="D102" s="13463"/>
      <c r="E102" s="13468">
        <f>'2019 MOOE'!AP24</f>
        <v>12732500</v>
      </c>
      <c r="F102" s="13469"/>
      <c r="G102" s="13468">
        <f>'2019 MOOE'!AP42</f>
        <v>3262000</v>
      </c>
      <c r="H102" s="13469"/>
      <c r="I102" s="13471">
        <f>'2019 MOOE'!AP54</f>
        <v>2227000</v>
      </c>
      <c r="J102" s="13472">
        <f t="shared" si="4"/>
        <v>18221500</v>
      </c>
      <c r="K102" s="13389"/>
    </row>
    <row r="103" spans="1:13" s="13390" customFormat="1">
      <c r="A103" s="13402"/>
      <c r="B103" s="13511" t="s">
        <v>727</v>
      </c>
      <c r="C103" s="13512"/>
      <c r="D103" s="13463"/>
      <c r="E103" s="13468">
        <f>'2019 MOOE'!AQ24</f>
        <v>0</v>
      </c>
      <c r="F103" s="13469"/>
      <c r="G103" s="13468">
        <f>'2019 MOOE'!AQ42</f>
        <v>10000</v>
      </c>
      <c r="H103" s="13469"/>
      <c r="I103" s="13471">
        <f>'2019 MOOE'!AQ54</f>
        <v>23000</v>
      </c>
      <c r="J103" s="13472">
        <f t="shared" si="4"/>
        <v>33000</v>
      </c>
      <c r="K103" s="13389"/>
    </row>
    <row r="104" spans="1:13" s="13390" customFormat="1" ht="14.25" customHeight="1">
      <c r="A104" s="13402"/>
      <c r="B104" s="13511" t="s">
        <v>10648</v>
      </c>
      <c r="C104" s="13512"/>
      <c r="D104" s="13463"/>
      <c r="E104" s="13468">
        <f>'2019 MOOE'!AR24</f>
        <v>0</v>
      </c>
      <c r="F104" s="13469"/>
      <c r="G104" s="13468">
        <f>'2019 MOOE'!AR42</f>
        <v>0</v>
      </c>
      <c r="H104" s="13469"/>
      <c r="I104" s="13471">
        <f>'2019 MOOE'!BF54</f>
        <v>50000</v>
      </c>
      <c r="J104" s="13501">
        <f t="shared" si="4"/>
        <v>50000</v>
      </c>
      <c r="K104" s="13389"/>
    </row>
    <row r="105" spans="1:13" s="13390" customFormat="1" ht="14.25" customHeight="1">
      <c r="A105" s="13475"/>
      <c r="B105" s="13511" t="s">
        <v>11311</v>
      </c>
      <c r="C105" s="13513"/>
      <c r="D105" s="13477"/>
      <c r="E105" s="13468">
        <v>0</v>
      </c>
      <c r="F105" s="13478"/>
      <c r="G105" s="13468">
        <v>0</v>
      </c>
      <c r="H105" s="13478"/>
      <c r="I105" s="13480">
        <f>'2019 MOOE'!AR54</f>
        <v>22000000</v>
      </c>
      <c r="J105" s="13501">
        <f t="shared" si="4"/>
        <v>22000000</v>
      </c>
      <c r="K105" s="13389"/>
    </row>
    <row r="106" spans="1:13" s="13390" customFormat="1">
      <c r="A106" s="13402"/>
      <c r="B106" s="13511" t="s">
        <v>605</v>
      </c>
      <c r="C106" s="13512"/>
      <c r="D106" s="13463"/>
      <c r="E106" s="13468">
        <f>'2019 MOOE'!AS24</f>
        <v>34000000</v>
      </c>
      <c r="F106" s="13469"/>
      <c r="G106" s="13468">
        <f>'2019 MOOE'!AS42</f>
        <v>13650000</v>
      </c>
      <c r="H106" s="13469"/>
      <c r="I106" s="13471">
        <f>'2019 MOOE'!AS54</f>
        <v>0</v>
      </c>
      <c r="J106" s="13472">
        <f t="shared" si="4"/>
        <v>47650000</v>
      </c>
      <c r="K106" s="13389"/>
    </row>
    <row r="107" spans="1:13" s="13390" customFormat="1">
      <c r="A107" s="13402"/>
      <c r="B107" s="13511" t="s">
        <v>606</v>
      </c>
      <c r="C107" s="13512"/>
      <c r="D107" s="13463"/>
      <c r="E107" s="13468">
        <f>'2019 MOOE'!AT24</f>
        <v>14000000</v>
      </c>
      <c r="F107" s="13469"/>
      <c r="G107" s="13468">
        <f>'2019 MOOE'!AT42</f>
        <v>0</v>
      </c>
      <c r="H107" s="13469"/>
      <c r="I107" s="13471">
        <f>'2019 MOOE'!AT54</f>
        <v>0</v>
      </c>
      <c r="J107" s="13472">
        <f t="shared" si="4"/>
        <v>14000000</v>
      </c>
      <c r="K107" s="13389"/>
    </row>
    <row r="108" spans="1:13" s="13390" customFormat="1" hidden="1">
      <c r="A108" s="13402"/>
      <c r="B108" s="13511" t="s">
        <v>607</v>
      </c>
      <c r="C108" s="13512"/>
      <c r="D108" s="13463"/>
      <c r="E108" s="13468">
        <f>'2019 MOOE'!AU24</f>
        <v>0</v>
      </c>
      <c r="F108" s="13469"/>
      <c r="G108" s="13468">
        <f>'2019 MOOE'!AU42</f>
        <v>0</v>
      </c>
      <c r="H108" s="13469"/>
      <c r="I108" s="13471">
        <f>'2019 MOOE'!AU54</f>
        <v>0</v>
      </c>
      <c r="J108" s="13472">
        <f t="shared" si="4"/>
        <v>0</v>
      </c>
      <c r="K108" s="13389"/>
    </row>
    <row r="109" spans="1:13" s="13390" customFormat="1">
      <c r="A109" s="13402"/>
      <c r="B109" s="13511" t="s">
        <v>728</v>
      </c>
      <c r="C109" s="13512"/>
      <c r="D109" s="13463"/>
      <c r="E109" s="13468">
        <f>'2019 MOOE'!AV24</f>
        <v>0</v>
      </c>
      <c r="F109" s="13469"/>
      <c r="G109" s="13468">
        <f>'2019 MOOE'!AV42</f>
        <v>339000</v>
      </c>
      <c r="H109" s="13469"/>
      <c r="I109" s="13471">
        <f>'2019 MOOE'!AV54</f>
        <v>0</v>
      </c>
      <c r="J109" s="13472">
        <f t="shared" si="4"/>
        <v>339000</v>
      </c>
      <c r="K109" s="13389"/>
    </row>
    <row r="110" spans="1:13" s="13390" customFormat="1" ht="12" customHeight="1">
      <c r="A110" s="13402"/>
      <c r="B110" s="13511" t="s">
        <v>608</v>
      </c>
      <c r="C110" s="13512"/>
      <c r="D110" s="13463"/>
      <c r="E110" s="13468">
        <f>'2019 MOOE'!AW24</f>
        <v>344650</v>
      </c>
      <c r="F110" s="13469"/>
      <c r="G110" s="13468">
        <f>'2019 MOOE'!AW42</f>
        <v>307000</v>
      </c>
      <c r="H110" s="13469"/>
      <c r="I110" s="13471">
        <f>'2019 MOOE'!AW54</f>
        <v>82100</v>
      </c>
      <c r="J110" s="13472">
        <f t="shared" si="4"/>
        <v>733750</v>
      </c>
      <c r="K110" s="13389"/>
    </row>
    <row r="111" spans="1:13" s="13438" customFormat="1" ht="12" customHeight="1">
      <c r="A111" s="13402"/>
      <c r="B111" s="13511" t="s">
        <v>617</v>
      </c>
      <c r="C111" s="13512"/>
      <c r="D111" s="13463"/>
      <c r="E111" s="13468">
        <f>'2019 MOOE'!AX24</f>
        <v>2800000</v>
      </c>
      <c r="F111" s="13469"/>
      <c r="G111" s="13468">
        <f>'2019 MOOE'!AX42</f>
        <v>25000</v>
      </c>
      <c r="H111" s="13469"/>
      <c r="I111" s="13471">
        <f>'2019 MOOE'!AX54</f>
        <v>0</v>
      </c>
      <c r="J111" s="13472">
        <f t="shared" si="4"/>
        <v>2825000</v>
      </c>
      <c r="K111" s="13437"/>
    </row>
    <row r="112" spans="1:13" ht="12" customHeight="1">
      <c r="A112" s="13402"/>
      <c r="B112" s="13511" t="s">
        <v>729</v>
      </c>
      <c r="C112" s="13512"/>
      <c r="D112" s="13463"/>
      <c r="E112" s="13468">
        <f>'2019 MOOE'!AY24+'2019 MOOE'!AZ24</f>
        <v>18897400</v>
      </c>
      <c r="F112" s="13469"/>
      <c r="G112" s="13468">
        <f>'2019 MOOE'!AY42+'2019 MOOE'!AZ42</f>
        <v>5740000</v>
      </c>
      <c r="H112" s="13469"/>
      <c r="I112" s="13471">
        <f>'2019 MOOE'!AY54+'2019 MOOE'!AZ54+'2019 MOOE'!BD54+'2019 MOOE'!BE54</f>
        <v>2753985</v>
      </c>
      <c r="J112" s="13472">
        <f t="shared" si="4"/>
        <v>27391385</v>
      </c>
    </row>
    <row r="113" spans="1:10" ht="16.2" thickBot="1">
      <c r="A113" s="13514"/>
      <c r="B113" s="13515" t="s">
        <v>730</v>
      </c>
      <c r="C113" s="13516"/>
      <c r="D113" s="13517" t="s">
        <v>405</v>
      </c>
      <c r="E113" s="13518">
        <f>SUM(E91:E112,E58:E82)</f>
        <v>295287634</v>
      </c>
      <c r="F113" s="13519" t="s">
        <v>405</v>
      </c>
      <c r="G113" s="13520">
        <f>SUM(G91:G112,G58:G82)</f>
        <v>343542885</v>
      </c>
      <c r="H113" s="13521" t="s">
        <v>405</v>
      </c>
      <c r="I113" s="13520">
        <f>SUM(I91:I112,I58:I82)</f>
        <v>116275795</v>
      </c>
      <c r="J113" s="13522">
        <f>SUM(J91:J112,J58:J82)</f>
        <v>755106314</v>
      </c>
    </row>
    <row r="114" spans="1:10" ht="16.2" hidden="1" thickBot="1">
      <c r="A114" s="13514" t="s">
        <v>3102</v>
      </c>
      <c r="B114" s="13436"/>
      <c r="C114" s="13523"/>
      <c r="D114" s="13524"/>
      <c r="E114" s="13496">
        <f>E113+E56</f>
        <v>581002978.23500001</v>
      </c>
      <c r="F114" s="13524"/>
      <c r="G114" s="13496">
        <f>G113+G56</f>
        <v>685825923.91499996</v>
      </c>
      <c r="H114" s="13524"/>
      <c r="I114" s="13496">
        <f>I113+I56</f>
        <v>266482287.27499998</v>
      </c>
      <c r="J114" s="13525">
        <f>J113+J56</f>
        <v>1563040682.7499998</v>
      </c>
    </row>
    <row r="115" spans="1:10">
      <c r="A115" s="13402"/>
      <c r="B115" s="13390"/>
      <c r="C115" s="13526"/>
      <c r="D115" s="13463"/>
      <c r="E115" s="13414"/>
      <c r="F115" s="13463"/>
      <c r="G115" s="13414"/>
      <c r="H115" s="13463"/>
      <c r="I115" s="13414"/>
      <c r="J115" s="13467"/>
    </row>
    <row r="116" spans="1:10">
      <c r="A116" s="13527"/>
      <c r="B116" s="13436" t="s">
        <v>3108</v>
      </c>
      <c r="C116" s="13523"/>
      <c r="D116" s="13528"/>
      <c r="E116" s="13470"/>
      <c r="F116" s="13529"/>
      <c r="G116" s="13470"/>
      <c r="H116" s="13529"/>
      <c r="I116" s="13470"/>
      <c r="J116" s="13472"/>
    </row>
    <row r="117" spans="1:10">
      <c r="A117" s="13530"/>
      <c r="B117" s="13511" t="s">
        <v>9188</v>
      </c>
      <c r="C117" s="13531"/>
      <c r="D117" s="13532"/>
      <c r="E117" s="13533">
        <f>'2019- CO'!B22</f>
        <v>0</v>
      </c>
      <c r="F117" s="13534"/>
      <c r="G117" s="13533">
        <f>'2019- CO'!B40</f>
        <v>0</v>
      </c>
      <c r="H117" s="13534"/>
      <c r="I117" s="13533">
        <f>'2019- CO'!B53</f>
        <v>2210000</v>
      </c>
      <c r="J117" s="13535">
        <f>SUM(E117:I117)</f>
        <v>2210000</v>
      </c>
    </row>
    <row r="118" spans="1:10">
      <c r="A118" s="13530"/>
      <c r="B118" s="13511" t="s">
        <v>11696</v>
      </c>
      <c r="C118" s="13531"/>
      <c r="D118" s="13532"/>
      <c r="E118" s="13533">
        <f>'2019- CO'!C22</f>
        <v>35000</v>
      </c>
      <c r="F118" s="13534"/>
      <c r="G118" s="13533">
        <f>'2019- CO'!C40</f>
        <v>0</v>
      </c>
      <c r="H118" s="13534">
        <f>'2019- CO'!E53</f>
        <v>0</v>
      </c>
      <c r="I118" s="13533">
        <f>'2019- CO'!C53</f>
        <v>100000</v>
      </c>
      <c r="J118" s="13535">
        <f t="shared" ref="J118:J130" si="5">SUM(E118:I118)</f>
        <v>135000</v>
      </c>
    </row>
    <row r="119" spans="1:10">
      <c r="A119" s="13530"/>
      <c r="B119" s="13511" t="s">
        <v>4822</v>
      </c>
      <c r="C119" s="13512"/>
      <c r="D119" s="13532"/>
      <c r="E119" s="13533">
        <f>'2019- CO'!F22</f>
        <v>4311800</v>
      </c>
      <c r="F119" s="13534"/>
      <c r="G119" s="13533">
        <f>'2019- CO'!F40</f>
        <v>4100000</v>
      </c>
      <c r="H119" s="13534"/>
      <c r="I119" s="13533">
        <f>'2019- CO'!F53</f>
        <v>1000000</v>
      </c>
      <c r="J119" s="13535">
        <f t="shared" si="5"/>
        <v>9411800</v>
      </c>
    </row>
    <row r="120" spans="1:10">
      <c r="A120" s="13530"/>
      <c r="B120" s="13511" t="s">
        <v>176</v>
      </c>
      <c r="C120" s="13512"/>
      <c r="D120" s="13532"/>
      <c r="E120" s="13533">
        <f>'2019- CO'!G22</f>
        <v>2817000</v>
      </c>
      <c r="F120" s="13534"/>
      <c r="G120" s="13533">
        <f>'2019- CO'!G40</f>
        <v>1211895</v>
      </c>
      <c r="H120" s="13534"/>
      <c r="I120" s="13533">
        <f>'2019- CO'!G53</f>
        <v>1057227</v>
      </c>
      <c r="J120" s="13535">
        <f t="shared" si="5"/>
        <v>5086122</v>
      </c>
    </row>
    <row r="121" spans="1:10">
      <c r="A121" s="13530"/>
      <c r="B121" s="13511" t="s">
        <v>12089</v>
      </c>
      <c r="C121" s="13513"/>
      <c r="D121" s="13536"/>
      <c r="E121" s="13537">
        <f>'2019- CO'!H22</f>
        <v>0</v>
      </c>
      <c r="F121" s="13538"/>
      <c r="G121" s="13537">
        <f>'2019- CO'!H40</f>
        <v>760000</v>
      </c>
      <c r="H121" s="13538"/>
      <c r="I121" s="13537">
        <f>'2019- CO'!H53</f>
        <v>0</v>
      </c>
      <c r="J121" s="13535">
        <f t="shared" si="5"/>
        <v>760000</v>
      </c>
    </row>
    <row r="122" spans="1:10">
      <c r="A122" s="13530"/>
      <c r="B122" s="13511" t="s">
        <v>9958</v>
      </c>
      <c r="C122" s="13512"/>
      <c r="D122" s="13532"/>
      <c r="E122" s="13533">
        <f>'2019- CO'!I22</f>
        <v>3121436</v>
      </c>
      <c r="F122" s="13534"/>
      <c r="G122" s="13533">
        <f>'2019- CO'!I40</f>
        <v>648212.5</v>
      </c>
      <c r="H122" s="13534"/>
      <c r="I122" s="13533">
        <f>'2019- CO'!I53</f>
        <v>1125600</v>
      </c>
      <c r="J122" s="13535">
        <f t="shared" si="5"/>
        <v>4895248.5</v>
      </c>
    </row>
    <row r="123" spans="1:10">
      <c r="A123" s="13530"/>
      <c r="B123" s="13511" t="s">
        <v>116</v>
      </c>
      <c r="C123" s="13512"/>
      <c r="D123" s="13532"/>
      <c r="E123" s="13533">
        <f>'2019- CO'!J22</f>
        <v>5116800</v>
      </c>
      <c r="F123" s="13534"/>
      <c r="G123" s="13533">
        <f>'2019- CO'!J40</f>
        <v>1741400</v>
      </c>
      <c r="H123" s="13534"/>
      <c r="I123" s="13533">
        <f>'2019- CO'!J53</f>
        <v>785000</v>
      </c>
      <c r="J123" s="13535">
        <f t="shared" si="5"/>
        <v>7643200</v>
      </c>
    </row>
    <row r="124" spans="1:10">
      <c r="A124" s="13530"/>
      <c r="B124" s="13511" t="s">
        <v>10597</v>
      </c>
      <c r="C124" s="13512"/>
      <c r="D124" s="13532"/>
      <c r="E124" s="13533">
        <f>'2019- CO'!L22</f>
        <v>0</v>
      </c>
      <c r="F124" s="13534"/>
      <c r="G124" s="13533">
        <f>'2019- CO'!L40</f>
        <v>50000</v>
      </c>
      <c r="H124" s="13534"/>
      <c r="I124" s="13533">
        <f>'2019- CO'!L53</f>
        <v>0</v>
      </c>
      <c r="J124" s="13535">
        <f t="shared" si="5"/>
        <v>50000</v>
      </c>
    </row>
    <row r="125" spans="1:10">
      <c r="A125" s="13530"/>
      <c r="B125" s="13511" t="s">
        <v>10626</v>
      </c>
      <c r="C125" s="13513"/>
      <c r="D125" s="13536"/>
      <c r="E125" s="13479">
        <v>0</v>
      </c>
      <c r="F125" s="13538"/>
      <c r="G125" s="13479">
        <f>'2019- CO'!N40</f>
        <v>422000</v>
      </c>
      <c r="H125" s="13538"/>
      <c r="I125" s="13479">
        <v>0</v>
      </c>
      <c r="J125" s="13535">
        <f t="shared" si="5"/>
        <v>422000</v>
      </c>
    </row>
    <row r="126" spans="1:10">
      <c r="A126" s="13530"/>
      <c r="B126" s="13511" t="s">
        <v>9182</v>
      </c>
      <c r="C126" s="13512"/>
      <c r="D126" s="13532"/>
      <c r="E126" s="13533">
        <f>'2019- CO'!M22</f>
        <v>0</v>
      </c>
      <c r="F126" s="13534"/>
      <c r="G126" s="13533">
        <f>'2019- CO'!M40</f>
        <v>1201500</v>
      </c>
      <c r="H126" s="13534"/>
      <c r="I126" s="13533">
        <f>'2019- CO'!M53</f>
        <v>0</v>
      </c>
      <c r="J126" s="13535">
        <f t="shared" si="5"/>
        <v>1201500</v>
      </c>
    </row>
    <row r="127" spans="1:10">
      <c r="A127" s="13530"/>
      <c r="B127" s="13511" t="s">
        <v>9191</v>
      </c>
      <c r="C127" s="13512"/>
      <c r="D127" s="13532"/>
      <c r="E127" s="13533">
        <f>'2019- CO'!O22</f>
        <v>2300000</v>
      </c>
      <c r="F127" s="13534"/>
      <c r="G127" s="13533">
        <f>'2019- CO'!O40</f>
        <v>2369480</v>
      </c>
      <c r="H127" s="13534"/>
      <c r="I127" s="13533">
        <f>'2019- CO'!O53</f>
        <v>105000</v>
      </c>
      <c r="J127" s="13535">
        <f t="shared" si="5"/>
        <v>4774480</v>
      </c>
    </row>
    <row r="128" spans="1:10">
      <c r="A128" s="13530"/>
      <c r="B128" s="13511" t="s">
        <v>4813</v>
      </c>
      <c r="C128" s="13512"/>
      <c r="D128" s="13532"/>
      <c r="E128" s="13533">
        <f>'2019- CO'!P22</f>
        <v>2100000</v>
      </c>
      <c r="F128" s="13534"/>
      <c r="G128" s="13533">
        <f>'2019- CO'!P40</f>
        <v>1650000</v>
      </c>
      <c r="H128" s="13534"/>
      <c r="I128" s="13533">
        <f>'2019- CO'!P53</f>
        <v>580000</v>
      </c>
      <c r="J128" s="13535">
        <f t="shared" si="5"/>
        <v>4330000</v>
      </c>
    </row>
    <row r="129" spans="1:11">
      <c r="A129" s="13530"/>
      <c r="B129" s="13511" t="s">
        <v>11198</v>
      </c>
      <c r="C129" s="13513"/>
      <c r="D129" s="13536"/>
      <c r="E129" s="13479">
        <v>0</v>
      </c>
      <c r="F129" s="13538"/>
      <c r="G129" s="13479">
        <f>'2019- CO'!Q40</f>
        <v>0</v>
      </c>
      <c r="H129" s="13538"/>
      <c r="I129" s="13479">
        <v>0</v>
      </c>
      <c r="J129" s="13535">
        <f t="shared" si="5"/>
        <v>0</v>
      </c>
    </row>
    <row r="130" spans="1:11" ht="16.2" thickBot="1">
      <c r="A130" s="13530"/>
      <c r="B130" s="13511" t="s">
        <v>10598</v>
      </c>
      <c r="C130" s="13531"/>
      <c r="D130" s="13532"/>
      <c r="E130" s="13533">
        <f>'2019- CO'!R22</f>
        <v>0</v>
      </c>
      <c r="F130" s="13534"/>
      <c r="G130" s="13533">
        <f>'2019- CO'!R40</f>
        <v>0</v>
      </c>
      <c r="H130" s="13534"/>
      <c r="I130" s="13533">
        <f>'2019- CO'!R53</f>
        <v>0</v>
      </c>
      <c r="J130" s="13535">
        <f t="shared" si="5"/>
        <v>0</v>
      </c>
    </row>
    <row r="131" spans="1:11" s="13438" customFormat="1" ht="16.2" thickBot="1">
      <c r="A131" s="13539"/>
      <c r="B131" s="13515" t="s">
        <v>10827</v>
      </c>
      <c r="C131" s="13516"/>
      <c r="D131" s="13540"/>
      <c r="E131" s="13541">
        <f>SUM(E116:E130)</f>
        <v>19802036</v>
      </c>
      <c r="F131" s="13542"/>
      <c r="G131" s="13541">
        <f>SUM(G116:G130)</f>
        <v>14154487.5</v>
      </c>
      <c r="H131" s="13542"/>
      <c r="I131" s="13541">
        <f>SUM(I116:I130)</f>
        <v>6962827</v>
      </c>
      <c r="J131" s="13543">
        <f>SUM(J116:J130)</f>
        <v>40919350.5</v>
      </c>
      <c r="K131" s="13437"/>
    </row>
    <row r="132" spans="1:11" s="13448" customFormat="1" ht="20.25" customHeight="1">
      <c r="A132" s="13527"/>
      <c r="B132" s="13436" t="s">
        <v>3109</v>
      </c>
      <c r="C132" s="13523"/>
      <c r="D132" s="13463"/>
      <c r="E132" s="13533"/>
      <c r="F132" s="13544"/>
      <c r="G132" s="13533"/>
      <c r="H132" s="13544"/>
      <c r="I132" s="13533"/>
      <c r="J132" s="13535">
        <f>summary!P76+summary!M57</f>
        <v>379206127.5</v>
      </c>
      <c r="K132" s="13447"/>
    </row>
    <row r="133" spans="1:11" hidden="1">
      <c r="A133" s="13402"/>
      <c r="B133" s="13436" t="s">
        <v>409</v>
      </c>
      <c r="C133" s="13523"/>
      <c r="D133" s="13463"/>
      <c r="E133" s="13533"/>
      <c r="F133" s="13544"/>
      <c r="G133" s="13533"/>
      <c r="H133" s="13544"/>
      <c r="I133" s="13533"/>
      <c r="J133" s="13535">
        <f>summary!J64</f>
        <v>0</v>
      </c>
    </row>
    <row r="134" spans="1:11">
      <c r="A134" s="13402"/>
      <c r="B134" s="13515" t="s">
        <v>731</v>
      </c>
      <c r="C134" s="13516"/>
      <c r="D134" s="13463"/>
      <c r="E134" s="13533"/>
      <c r="F134" s="13544"/>
      <c r="G134" s="13533"/>
      <c r="H134" s="13544"/>
      <c r="I134" s="13533"/>
      <c r="J134" s="13535">
        <f>summary!J61</f>
        <v>404379576.20000005</v>
      </c>
    </row>
    <row r="135" spans="1:11">
      <c r="A135" s="13475"/>
      <c r="B135" s="13511" t="s">
        <v>10820</v>
      </c>
      <c r="C135" s="13516"/>
      <c r="D135" s="13545"/>
      <c r="E135" s="13533"/>
      <c r="F135" s="13544"/>
      <c r="G135" s="13533"/>
      <c r="H135" s="13544"/>
      <c r="I135" s="13533"/>
      <c r="J135" s="13546">
        <f>summary!J62</f>
        <v>120267144.05000001</v>
      </c>
    </row>
    <row r="136" spans="1:11" ht="16.2" thickBot="1">
      <c r="A136" s="13475"/>
      <c r="B136" s="13511" t="s">
        <v>10821</v>
      </c>
      <c r="C136" s="13516"/>
      <c r="D136" s="13545"/>
      <c r="E136" s="13547"/>
      <c r="F136" s="13548"/>
      <c r="G136" s="13547"/>
      <c r="H136" s="13548"/>
      <c r="I136" s="13547"/>
      <c r="J136" s="13549">
        <f>summary!J63</f>
        <v>22180000</v>
      </c>
    </row>
    <row r="137" spans="1:11" ht="21.75" customHeight="1" thickBot="1">
      <c r="A137" s="13550" t="s">
        <v>389</v>
      </c>
      <c r="B137" s="13551"/>
      <c r="C137" s="13552"/>
      <c r="D137" s="13553"/>
      <c r="E137" s="13568">
        <f>SUM(E131:E136)+E56+E113</f>
        <v>600805014.23500001</v>
      </c>
      <c r="F137" s="13570"/>
      <c r="G137" s="13568">
        <f>SUM(G131:G136)+G56+G113</f>
        <v>699980411.41499996</v>
      </c>
      <c r="H137" s="13570"/>
      <c r="I137" s="13568">
        <f>SUM(I131:I136)+I56+I113</f>
        <v>273445114.27499998</v>
      </c>
      <c r="J137" s="13569">
        <f>SUM(J131:J136)+J56+J113</f>
        <v>2529992881</v>
      </c>
    </row>
    <row r="138" spans="1:11" ht="15.75" customHeight="1"/>
    <row r="139" spans="1:11" s="13554" customFormat="1" ht="15.75" hidden="1" customHeight="1">
      <c r="B139" s="13555" t="s">
        <v>10822</v>
      </c>
      <c r="C139" s="9497"/>
      <c r="D139" s="13556"/>
      <c r="H139" s="13554" t="s">
        <v>10823</v>
      </c>
      <c r="I139" s="13557"/>
      <c r="J139" s="13558"/>
    </row>
    <row r="140" spans="1:11" s="13560" customFormat="1" ht="15.75" hidden="1" customHeight="1">
      <c r="A140" s="9497"/>
      <c r="B140" s="13559"/>
      <c r="C140" s="13559"/>
      <c r="D140" s="13559"/>
      <c r="E140" s="15504"/>
      <c r="F140" s="15504"/>
      <c r="G140" s="15504"/>
      <c r="H140" s="13987"/>
      <c r="I140" s="13987"/>
      <c r="J140" s="13987"/>
    </row>
    <row r="141" spans="1:11" s="13554" customFormat="1" ht="15.75" hidden="1" customHeight="1">
      <c r="A141" s="9497"/>
      <c r="B141" s="13559"/>
      <c r="C141" s="13559"/>
      <c r="D141" s="9497"/>
      <c r="E141" s="15510"/>
      <c r="F141" s="15510"/>
      <c r="G141" s="15510"/>
      <c r="H141" s="15503"/>
      <c r="I141" s="15503"/>
      <c r="J141" s="15503"/>
    </row>
    <row r="142" spans="1:11" s="13561" customFormat="1" ht="15.75" hidden="1" customHeight="1">
      <c r="B142" s="13562" t="s">
        <v>12067</v>
      </c>
      <c r="C142" s="13563"/>
      <c r="D142" s="13562"/>
      <c r="E142" s="15511" t="s">
        <v>12092</v>
      </c>
      <c r="F142" s="15511"/>
      <c r="G142" s="15511"/>
      <c r="H142" s="13564"/>
      <c r="I142" s="13564" t="s">
        <v>5182</v>
      </c>
      <c r="J142" s="13564"/>
      <c r="K142" s="13565"/>
    </row>
    <row r="143" spans="1:11" ht="15.75" hidden="1" customHeight="1">
      <c r="B143" s="13566" t="s">
        <v>10455</v>
      </c>
      <c r="D143" s="9497"/>
      <c r="H143" s="13567"/>
      <c r="I143" s="13567" t="s">
        <v>12091</v>
      </c>
      <c r="J143" s="13567"/>
    </row>
    <row r="144" spans="1:11" ht="15.75" customHeight="1"/>
    <row r="145" ht="15.75" customHeight="1"/>
    <row r="146" ht="12.75" customHeight="1"/>
    <row r="147" ht="12.75" customHeight="1"/>
    <row r="148" ht="12.75" customHeight="1"/>
  </sheetData>
  <mergeCells count="18">
    <mergeCell ref="E142:G142"/>
    <mergeCell ref="A2:J2"/>
    <mergeCell ref="A3:J3"/>
    <mergeCell ref="D6:E8"/>
    <mergeCell ref="F6:G8"/>
    <mergeCell ref="H6:I8"/>
    <mergeCell ref="J6:J8"/>
    <mergeCell ref="A7:B7"/>
    <mergeCell ref="A4:J4"/>
    <mergeCell ref="J89:J91"/>
    <mergeCell ref="A90:B90"/>
    <mergeCell ref="H140:J140"/>
    <mergeCell ref="H141:J141"/>
    <mergeCell ref="E140:G140"/>
    <mergeCell ref="E141:G141"/>
    <mergeCell ref="D89:E91"/>
    <mergeCell ref="F89:G91"/>
    <mergeCell ref="H89:I91"/>
  </mergeCells>
  <printOptions horizontalCentered="1"/>
  <pageMargins left="0.17" right="0.25" top="0.5" bottom="0.25" header="0.25" footer="0.25"/>
  <pageSetup paperSize="119" scale="90" firstPageNumber="9" orientation="portrait" useFirstPageNumber="1" r:id="rId1"/>
  <headerFooter alignWithMargins="0"/>
</worksheet>
</file>

<file path=xl/worksheets/sheet208.xml><?xml version="1.0" encoding="utf-8"?>
<worksheet xmlns="http://schemas.openxmlformats.org/spreadsheetml/2006/main" xmlns:r="http://schemas.openxmlformats.org/officeDocument/2006/relationships">
  <sheetPr codeName="Sheet156"/>
  <dimension ref="A1:Y118"/>
  <sheetViews>
    <sheetView topLeftCell="G28" workbookViewId="0">
      <selection activeCell="O85" sqref="O85"/>
    </sheetView>
  </sheetViews>
  <sheetFormatPr defaultColWidth="9.109375" defaultRowHeight="15.6"/>
  <cols>
    <col min="1" max="1" width="9.109375" style="117"/>
    <col min="2" max="2" width="12" style="117" customWidth="1"/>
    <col min="3" max="3" width="11.44140625" style="117" customWidth="1"/>
    <col min="4" max="4" width="12.88671875" style="117" customWidth="1"/>
    <col min="5" max="5" width="9.109375" style="117"/>
    <col min="6" max="6" width="12" style="117" customWidth="1"/>
    <col min="7" max="7" width="11.44140625" style="117" customWidth="1"/>
    <col min="8" max="8" width="13.88671875" style="117" customWidth="1"/>
    <col min="9" max="9" width="10.88671875" style="117" customWidth="1"/>
    <col min="10" max="11" width="9.109375" style="117"/>
    <col min="12" max="12" width="10.109375" style="117" customWidth="1"/>
    <col min="13" max="13" width="12.109375" style="117" customWidth="1"/>
    <col min="14" max="14" width="9.109375" style="117"/>
    <col min="15" max="15" width="10.44140625" style="117" customWidth="1"/>
    <col min="16" max="16" width="12.109375" style="117" customWidth="1"/>
    <col min="17" max="17" width="10.88671875" style="117" customWidth="1"/>
    <col min="18" max="18" width="9.109375" style="117"/>
    <col min="19" max="19" width="11.109375" style="117" customWidth="1"/>
    <col min="20" max="20" width="9.44140625" style="117" customWidth="1"/>
    <col min="21" max="21" width="11.88671875" style="117" customWidth="1"/>
    <col min="22" max="22" width="12.88671875" style="117" customWidth="1"/>
    <col min="23" max="23" width="10.44140625" style="117" customWidth="1"/>
    <col min="24" max="24" width="11.44140625" style="117" customWidth="1"/>
    <col min="25" max="25" width="13" style="117" customWidth="1"/>
    <col min="26" max="16384" width="9.109375" style="117"/>
  </cols>
  <sheetData>
    <row r="1" spans="1:25" ht="34.200000000000003">
      <c r="A1" s="15512" t="s">
        <v>529</v>
      </c>
      <c r="B1" s="15512"/>
      <c r="C1" s="15512"/>
      <c r="D1" s="15512"/>
      <c r="E1" s="15512"/>
      <c r="F1" s="15512"/>
      <c r="G1" s="15512"/>
      <c r="H1" s="15512"/>
      <c r="I1" s="15512"/>
      <c r="J1" s="15512"/>
      <c r="K1" s="15512"/>
      <c r="L1" s="15512"/>
      <c r="M1" s="15513" t="s">
        <v>9</v>
      </c>
      <c r="N1" s="15513"/>
      <c r="O1" s="116"/>
      <c r="P1" s="116"/>
      <c r="Q1" s="116"/>
      <c r="R1" s="116"/>
      <c r="S1" s="116"/>
      <c r="T1" s="116"/>
      <c r="U1" s="116"/>
      <c r="V1" s="116"/>
      <c r="W1" s="116"/>
      <c r="X1" s="116"/>
      <c r="Y1" s="116"/>
    </row>
    <row r="2" spans="1:25">
      <c r="A2" s="116"/>
      <c r="B2" s="116"/>
      <c r="C2" s="116"/>
      <c r="D2" s="116"/>
      <c r="E2" s="116"/>
      <c r="F2" s="116"/>
      <c r="G2" s="116"/>
      <c r="H2" s="116"/>
      <c r="I2" s="116"/>
      <c r="J2" s="116"/>
      <c r="K2" s="116"/>
      <c r="L2" s="116"/>
      <c r="M2" s="116"/>
      <c r="N2" s="116"/>
      <c r="O2" s="116"/>
      <c r="P2" s="116"/>
      <c r="Q2" s="116"/>
      <c r="R2" s="116"/>
      <c r="S2" s="116"/>
      <c r="T2" s="116"/>
      <c r="U2" s="116"/>
      <c r="V2" s="116"/>
      <c r="W2" s="116"/>
      <c r="X2" s="116"/>
      <c r="Y2" s="116"/>
    </row>
    <row r="3" spans="1:25" ht="16.2" thickBot="1">
      <c r="A3" s="118" t="s">
        <v>216</v>
      </c>
      <c r="B3" s="118" t="s">
        <v>530</v>
      </c>
      <c r="C3" s="118" t="s">
        <v>531</v>
      </c>
      <c r="D3" s="118" t="s">
        <v>532</v>
      </c>
      <c r="E3" s="118" t="s">
        <v>533</v>
      </c>
      <c r="F3" s="118" t="s">
        <v>534</v>
      </c>
      <c r="G3" s="118" t="s">
        <v>535</v>
      </c>
      <c r="H3" s="118" t="s">
        <v>536</v>
      </c>
      <c r="I3" s="118" t="s">
        <v>537</v>
      </c>
      <c r="J3" s="118" t="s">
        <v>538</v>
      </c>
      <c r="K3" s="118" t="s">
        <v>539</v>
      </c>
      <c r="L3" s="118" t="s">
        <v>540</v>
      </c>
      <c r="M3" s="118" t="s">
        <v>541</v>
      </c>
      <c r="N3" s="118" t="s">
        <v>542</v>
      </c>
      <c r="O3" s="118" t="s">
        <v>543</v>
      </c>
      <c r="P3" s="118" t="s">
        <v>544</v>
      </c>
      <c r="Q3" s="118" t="s">
        <v>545</v>
      </c>
      <c r="R3" s="118" t="s">
        <v>546</v>
      </c>
      <c r="S3" s="118" t="s">
        <v>547</v>
      </c>
      <c r="T3" s="118"/>
      <c r="U3" s="118" t="s">
        <v>548</v>
      </c>
      <c r="V3" s="118" t="s">
        <v>549</v>
      </c>
      <c r="W3" s="118" t="s">
        <v>550</v>
      </c>
      <c r="X3" s="118" t="s">
        <v>551</v>
      </c>
      <c r="Y3" s="118" t="s">
        <v>552</v>
      </c>
    </row>
    <row r="4" spans="1:25" ht="16.8" thickTop="1" thickBot="1">
      <c r="A4" s="119" t="s">
        <v>9</v>
      </c>
      <c r="B4" s="120" t="s">
        <v>553</v>
      </c>
      <c r="C4" s="120" t="s">
        <v>553</v>
      </c>
      <c r="D4" s="120" t="s">
        <v>554</v>
      </c>
      <c r="E4" s="120" t="s">
        <v>555</v>
      </c>
      <c r="F4" s="120" t="s">
        <v>553</v>
      </c>
      <c r="G4" s="120" t="s">
        <v>556</v>
      </c>
      <c r="H4" s="120" t="s">
        <v>557</v>
      </c>
      <c r="I4" s="120"/>
      <c r="J4" s="120" t="s">
        <v>558</v>
      </c>
      <c r="K4" s="120" t="s">
        <v>554</v>
      </c>
      <c r="L4" s="120" t="s">
        <v>553</v>
      </c>
      <c r="M4" s="120" t="s">
        <v>553</v>
      </c>
      <c r="N4" s="120" t="s">
        <v>559</v>
      </c>
      <c r="O4" s="120" t="s">
        <v>560</v>
      </c>
      <c r="P4" s="120" t="s">
        <v>553</v>
      </c>
      <c r="Q4" s="120" t="s">
        <v>561</v>
      </c>
      <c r="R4" s="120" t="s">
        <v>562</v>
      </c>
      <c r="S4" s="120" t="s">
        <v>553</v>
      </c>
      <c r="T4" s="120"/>
      <c r="U4" s="120" t="s">
        <v>563</v>
      </c>
      <c r="V4" s="120" t="s">
        <v>564</v>
      </c>
      <c r="W4" s="120" t="s">
        <v>565</v>
      </c>
      <c r="X4" s="120" t="s">
        <v>566</v>
      </c>
      <c r="Y4" s="120" t="s">
        <v>567</v>
      </c>
    </row>
    <row r="5" spans="1:25" ht="17.100000000000001" customHeight="1">
      <c r="A5" s="121"/>
      <c r="B5" s="122"/>
      <c r="C5" s="122"/>
      <c r="D5" s="122"/>
      <c r="E5" s="122"/>
      <c r="F5" s="122"/>
      <c r="G5" s="122"/>
      <c r="H5" s="122"/>
      <c r="I5" s="122"/>
      <c r="J5" s="122"/>
      <c r="K5" s="122"/>
      <c r="L5" s="122"/>
      <c r="M5" s="122"/>
      <c r="N5" s="122"/>
      <c r="O5" s="122"/>
      <c r="P5" s="122"/>
      <c r="Q5" s="122"/>
      <c r="R5" s="122"/>
      <c r="S5" s="122"/>
      <c r="T5" s="122"/>
      <c r="U5" s="122"/>
      <c r="V5" s="122"/>
      <c r="W5" s="122"/>
      <c r="X5" s="122"/>
      <c r="Y5" s="122"/>
    </row>
    <row r="6" spans="1:25" ht="17.100000000000001" customHeight="1">
      <c r="A6" s="123" t="s">
        <v>568</v>
      </c>
      <c r="B6" s="124">
        <v>1661067.34</v>
      </c>
      <c r="C6" s="124">
        <v>317366.5</v>
      </c>
      <c r="D6" s="124">
        <v>2826795.94</v>
      </c>
      <c r="E6" s="125">
        <v>0</v>
      </c>
      <c r="F6" s="124">
        <v>0</v>
      </c>
      <c r="G6" s="124">
        <v>0</v>
      </c>
      <c r="H6" s="124">
        <v>3859999.99</v>
      </c>
      <c r="I6" s="124">
        <v>0</v>
      </c>
      <c r="J6" s="124">
        <v>0</v>
      </c>
      <c r="K6" s="124">
        <v>0</v>
      </c>
      <c r="L6" s="126">
        <v>242233.49</v>
      </c>
      <c r="M6" s="124">
        <v>2563000</v>
      </c>
      <c r="N6" s="124">
        <v>50533</v>
      </c>
      <c r="O6" s="126">
        <v>864461</v>
      </c>
      <c r="P6" s="124">
        <v>655537</v>
      </c>
      <c r="Q6" s="124">
        <v>0</v>
      </c>
      <c r="R6" s="125">
        <v>0</v>
      </c>
      <c r="S6" s="126">
        <v>7570809.9000000004</v>
      </c>
      <c r="T6" s="126"/>
      <c r="U6" s="124">
        <v>1490450.03</v>
      </c>
      <c r="V6" s="126">
        <v>14295946.42</v>
      </c>
      <c r="W6" s="126">
        <v>39209.050000000003</v>
      </c>
      <c r="X6" s="126">
        <v>81649</v>
      </c>
      <c r="Y6" s="124">
        <v>2571006.89</v>
      </c>
    </row>
    <row r="7" spans="1:25" ht="17.100000000000001" customHeight="1">
      <c r="A7" s="123" t="s">
        <v>569</v>
      </c>
      <c r="B7" s="124">
        <v>632081.81000000006</v>
      </c>
      <c r="C7" s="124">
        <v>724237.35</v>
      </c>
      <c r="D7" s="124">
        <v>4203855.0999999996</v>
      </c>
      <c r="E7" s="124"/>
      <c r="F7" s="124"/>
      <c r="G7" s="124"/>
      <c r="H7" s="124">
        <v>3664311.88</v>
      </c>
      <c r="I7" s="124"/>
      <c r="J7" s="124"/>
      <c r="K7" s="124"/>
      <c r="L7" s="125"/>
      <c r="M7" s="124">
        <v>799999.23</v>
      </c>
      <c r="N7" s="124">
        <v>4939</v>
      </c>
      <c r="O7" s="126">
        <v>1367382.98</v>
      </c>
      <c r="P7" s="124">
        <v>72100</v>
      </c>
      <c r="Q7" s="124"/>
      <c r="R7" s="125">
        <v>50000</v>
      </c>
      <c r="S7" s="125">
        <v>1167871.8500000001</v>
      </c>
      <c r="T7" s="125"/>
      <c r="U7" s="125"/>
      <c r="V7" s="125">
        <v>17930270.789999999</v>
      </c>
      <c r="W7" s="125">
        <v>0</v>
      </c>
      <c r="X7" s="125">
        <v>29956.95</v>
      </c>
      <c r="Y7" s="124">
        <v>1384520.64</v>
      </c>
    </row>
    <row r="8" spans="1:25" ht="17.100000000000001" customHeight="1">
      <c r="A8" s="123" t="s">
        <v>570</v>
      </c>
      <c r="B8" s="124">
        <v>67080</v>
      </c>
      <c r="C8" s="124">
        <v>449352.5</v>
      </c>
      <c r="D8" s="124">
        <v>429653.1</v>
      </c>
      <c r="E8" s="124"/>
      <c r="F8" s="124"/>
      <c r="G8" s="124"/>
      <c r="H8" s="124">
        <v>79970</v>
      </c>
      <c r="I8" s="124"/>
      <c r="J8" s="124"/>
      <c r="K8" s="124"/>
      <c r="L8" s="125">
        <v>0</v>
      </c>
      <c r="M8" s="124">
        <v>105000</v>
      </c>
      <c r="N8" s="124">
        <v>3000</v>
      </c>
      <c r="O8" s="126">
        <v>85500</v>
      </c>
      <c r="P8" s="124">
        <v>10000</v>
      </c>
      <c r="Q8" s="124">
        <v>255280</v>
      </c>
      <c r="R8" s="125">
        <v>0</v>
      </c>
      <c r="S8" s="125"/>
      <c r="T8" s="125"/>
      <c r="U8" s="125"/>
      <c r="V8" s="125">
        <v>315520.61</v>
      </c>
      <c r="W8" s="125">
        <v>233339.2</v>
      </c>
      <c r="X8" s="125">
        <v>23161</v>
      </c>
      <c r="Y8" s="124">
        <v>80000</v>
      </c>
    </row>
    <row r="9" spans="1:25" ht="17.100000000000001" customHeight="1">
      <c r="A9" s="123" t="s">
        <v>571</v>
      </c>
      <c r="B9" s="124">
        <v>257100</v>
      </c>
      <c r="C9" s="124">
        <v>243409</v>
      </c>
      <c r="D9" s="124">
        <v>351935.4</v>
      </c>
      <c r="E9" s="124"/>
      <c r="F9" s="124"/>
      <c r="G9" s="124"/>
      <c r="H9" s="124">
        <v>329357.52</v>
      </c>
      <c r="I9" s="124">
        <v>0</v>
      </c>
      <c r="J9" s="124"/>
      <c r="K9" s="124"/>
      <c r="L9" s="125">
        <v>0</v>
      </c>
      <c r="M9" s="124">
        <v>318999.51</v>
      </c>
      <c r="N9" s="124">
        <v>5000</v>
      </c>
      <c r="O9" s="126">
        <v>221400</v>
      </c>
      <c r="P9" s="124"/>
      <c r="Q9" s="124"/>
      <c r="R9" s="125">
        <v>28698</v>
      </c>
      <c r="S9" s="125">
        <v>133115</v>
      </c>
      <c r="T9" s="125"/>
      <c r="U9" s="125"/>
      <c r="V9" s="125">
        <v>351005.73</v>
      </c>
      <c r="W9" s="125">
        <v>95047.25</v>
      </c>
      <c r="X9" s="125">
        <v>77968</v>
      </c>
      <c r="Y9" s="125">
        <v>99625.75</v>
      </c>
    </row>
    <row r="10" spans="1:25" ht="17.100000000000001" customHeight="1">
      <c r="A10" s="123" t="s">
        <v>572</v>
      </c>
      <c r="B10" s="124">
        <v>82400</v>
      </c>
      <c r="C10" s="124">
        <v>290435.36</v>
      </c>
      <c r="D10" s="124">
        <v>649354.54</v>
      </c>
      <c r="E10" s="124"/>
      <c r="F10" s="124"/>
      <c r="G10" s="124"/>
      <c r="H10" s="124">
        <v>819688.14</v>
      </c>
      <c r="I10" s="124"/>
      <c r="J10" s="124"/>
      <c r="K10" s="124"/>
      <c r="L10" s="125">
        <v>11308.71</v>
      </c>
      <c r="M10" s="124">
        <v>662000</v>
      </c>
      <c r="N10" s="124">
        <v>540</v>
      </c>
      <c r="O10" s="126">
        <v>107973.89</v>
      </c>
      <c r="P10" s="124"/>
      <c r="Q10" s="124"/>
      <c r="R10" s="125"/>
      <c r="S10" s="125"/>
      <c r="T10" s="125"/>
      <c r="U10" s="125"/>
      <c r="V10" s="125">
        <v>899956.12</v>
      </c>
      <c r="W10" s="125">
        <v>76136.600000000006</v>
      </c>
      <c r="X10" s="125">
        <v>99440.68</v>
      </c>
      <c r="Y10" s="125">
        <v>622820.30000000005</v>
      </c>
    </row>
    <row r="11" spans="1:25" ht="17.100000000000001" customHeight="1">
      <c r="A11" s="123" t="s">
        <v>573</v>
      </c>
      <c r="B11" s="124">
        <v>42870.75</v>
      </c>
      <c r="C11" s="124">
        <v>72529</v>
      </c>
      <c r="D11" s="124">
        <v>136145.04999999999</v>
      </c>
      <c r="E11" s="124"/>
      <c r="F11" s="124"/>
      <c r="G11" s="124"/>
      <c r="H11" s="124">
        <v>0</v>
      </c>
      <c r="I11" s="124"/>
      <c r="J11" s="124"/>
      <c r="K11" s="124"/>
      <c r="L11" s="125"/>
      <c r="M11" s="124">
        <v>185000</v>
      </c>
      <c r="N11" s="124">
        <v>1417.65</v>
      </c>
      <c r="O11" s="126">
        <v>52587.76</v>
      </c>
      <c r="P11" s="124"/>
      <c r="Q11" s="124"/>
      <c r="R11" s="125"/>
      <c r="S11" s="125"/>
      <c r="T11" s="125"/>
      <c r="U11" s="125"/>
      <c r="V11" s="125">
        <v>47070.75</v>
      </c>
      <c r="W11" s="125">
        <v>0</v>
      </c>
      <c r="X11" s="125">
        <v>22604</v>
      </c>
      <c r="Y11" s="125"/>
    </row>
    <row r="12" spans="1:25" ht="17.100000000000001" customHeight="1">
      <c r="A12" s="123" t="s">
        <v>574</v>
      </c>
      <c r="B12" s="124">
        <v>81776.25</v>
      </c>
      <c r="C12" s="124">
        <v>246112</v>
      </c>
      <c r="D12" s="124">
        <v>241690.88</v>
      </c>
      <c r="E12" s="124"/>
      <c r="F12" s="124"/>
      <c r="G12" s="124"/>
      <c r="H12" s="124">
        <v>0</v>
      </c>
      <c r="I12" s="124"/>
      <c r="J12" s="124"/>
      <c r="K12" s="124"/>
      <c r="L12" s="125"/>
      <c r="M12" s="124">
        <v>300000</v>
      </c>
      <c r="N12" s="124">
        <v>697</v>
      </c>
      <c r="O12" s="126">
        <v>68301.88</v>
      </c>
      <c r="P12" s="124"/>
      <c r="Q12" s="124"/>
      <c r="R12" s="125"/>
      <c r="S12" s="125"/>
      <c r="T12" s="125"/>
      <c r="U12" s="125"/>
      <c r="V12" s="125">
        <v>282904.36</v>
      </c>
      <c r="W12" s="125">
        <v>99583.91</v>
      </c>
      <c r="X12" s="125">
        <v>1000</v>
      </c>
      <c r="Y12" s="125">
        <v>0</v>
      </c>
    </row>
    <row r="13" spans="1:25" ht="17.100000000000001" customHeight="1">
      <c r="A13" s="123" t="s">
        <v>575</v>
      </c>
      <c r="B13" s="125">
        <v>244125.75</v>
      </c>
      <c r="C13" s="125">
        <v>142633.79</v>
      </c>
      <c r="D13" s="125">
        <v>370187.56</v>
      </c>
      <c r="E13" s="125">
        <v>62600</v>
      </c>
      <c r="F13" s="125"/>
      <c r="G13" s="125"/>
      <c r="H13" s="125">
        <v>160108.51</v>
      </c>
      <c r="I13" s="125"/>
      <c r="J13" s="125"/>
      <c r="K13" s="125"/>
      <c r="L13" s="125"/>
      <c r="M13" s="125">
        <v>726491.6</v>
      </c>
      <c r="N13" s="125">
        <v>4010</v>
      </c>
      <c r="O13" s="125">
        <v>114166.5</v>
      </c>
      <c r="P13" s="125">
        <v>318000</v>
      </c>
      <c r="Q13" s="125"/>
      <c r="R13" s="125"/>
      <c r="S13" s="125">
        <v>6507.75</v>
      </c>
      <c r="T13" s="125"/>
      <c r="U13" s="125"/>
      <c r="V13" s="125">
        <v>32221.17</v>
      </c>
      <c r="W13" s="125">
        <v>20296</v>
      </c>
      <c r="X13" s="125">
        <v>16167.64</v>
      </c>
      <c r="Y13" s="125">
        <v>56973.47</v>
      </c>
    </row>
    <row r="14" spans="1:25" ht="17.100000000000001" customHeight="1">
      <c r="A14" s="123" t="s">
        <v>576</v>
      </c>
      <c r="B14" s="125">
        <v>79070.789999999994</v>
      </c>
      <c r="C14" s="125">
        <v>138836.5</v>
      </c>
      <c r="D14" s="125">
        <v>282613.2</v>
      </c>
      <c r="E14" s="125"/>
      <c r="F14" s="125"/>
      <c r="G14" s="125"/>
      <c r="H14" s="125">
        <v>58521.919999999998</v>
      </c>
      <c r="I14" s="125">
        <v>0</v>
      </c>
      <c r="J14" s="125"/>
      <c r="K14" s="125"/>
      <c r="L14" s="125"/>
      <c r="M14" s="125">
        <v>252999.11</v>
      </c>
      <c r="N14" s="125">
        <v>1526</v>
      </c>
      <c r="O14" s="125">
        <v>80926.38</v>
      </c>
      <c r="P14" s="125"/>
      <c r="Q14" s="125"/>
      <c r="R14" s="125">
        <v>0</v>
      </c>
      <c r="S14" s="125"/>
      <c r="T14" s="125"/>
      <c r="U14" s="125"/>
      <c r="V14" s="125">
        <v>282461</v>
      </c>
      <c r="W14" s="125">
        <v>9365.2000000000007</v>
      </c>
      <c r="X14" s="125">
        <v>20000</v>
      </c>
      <c r="Y14" s="125">
        <v>80000</v>
      </c>
    </row>
    <row r="15" spans="1:25" ht="17.100000000000001" customHeight="1">
      <c r="A15" s="123" t="s">
        <v>577</v>
      </c>
      <c r="B15" s="125">
        <v>35616.25</v>
      </c>
      <c r="C15" s="125">
        <v>55529</v>
      </c>
      <c r="D15" s="125">
        <v>140620.29999999999</v>
      </c>
      <c r="E15" s="125"/>
      <c r="F15" s="125"/>
      <c r="G15" s="125"/>
      <c r="H15" s="125">
        <v>62182.84</v>
      </c>
      <c r="I15" s="125">
        <v>0</v>
      </c>
      <c r="J15" s="125"/>
      <c r="K15" s="125"/>
      <c r="L15" s="125"/>
      <c r="M15" s="125">
        <v>60000</v>
      </c>
      <c r="N15" s="125">
        <v>5950</v>
      </c>
      <c r="O15" s="125">
        <v>102312.83</v>
      </c>
      <c r="P15" s="125"/>
      <c r="Q15" s="125"/>
      <c r="R15" s="125"/>
      <c r="S15" s="125"/>
      <c r="T15" s="125"/>
      <c r="U15" s="125"/>
      <c r="V15" s="125">
        <v>2034976.65</v>
      </c>
      <c r="W15" s="125">
        <v>220</v>
      </c>
      <c r="X15" s="125">
        <v>25450</v>
      </c>
      <c r="Y15" s="125">
        <v>120000</v>
      </c>
    </row>
    <row r="16" spans="1:25" ht="17.100000000000001" customHeight="1">
      <c r="A16" s="123"/>
      <c r="B16" s="127"/>
      <c r="C16" s="127"/>
      <c r="D16" s="127"/>
      <c r="E16" s="127"/>
      <c r="F16" s="127"/>
      <c r="G16" s="127"/>
      <c r="H16" s="127"/>
      <c r="I16" s="127"/>
      <c r="J16" s="127"/>
      <c r="K16" s="127"/>
      <c r="L16" s="127"/>
      <c r="M16" s="127"/>
      <c r="N16" s="127"/>
      <c r="O16" s="127"/>
      <c r="P16" s="127"/>
      <c r="Q16" s="127"/>
      <c r="R16" s="127"/>
      <c r="S16" s="127"/>
      <c r="T16" s="127"/>
      <c r="U16" s="127"/>
      <c r="V16" s="127"/>
      <c r="W16" s="127"/>
      <c r="X16" s="127"/>
      <c r="Y16" s="127"/>
    </row>
    <row r="17" spans="1:25" ht="17.100000000000001" customHeight="1" thickBot="1">
      <c r="A17" s="128" t="s">
        <v>485</v>
      </c>
      <c r="B17" s="129">
        <f t="shared" ref="B17:I17" si="0">SUM(B6:B15)</f>
        <v>3183188.9400000004</v>
      </c>
      <c r="C17" s="129">
        <f t="shared" si="0"/>
        <v>2680441</v>
      </c>
      <c r="D17" s="129">
        <f t="shared" si="0"/>
        <v>9632851.0700000003</v>
      </c>
      <c r="E17" s="129">
        <f t="shared" si="0"/>
        <v>62600</v>
      </c>
      <c r="F17" s="129">
        <f t="shared" si="0"/>
        <v>0</v>
      </c>
      <c r="G17" s="129">
        <f t="shared" si="0"/>
        <v>0</v>
      </c>
      <c r="H17" s="129">
        <f t="shared" si="0"/>
        <v>9034140.8000000007</v>
      </c>
      <c r="I17" s="129">
        <f t="shared" si="0"/>
        <v>0</v>
      </c>
      <c r="J17" s="129"/>
      <c r="K17" s="129"/>
      <c r="L17" s="129">
        <f t="shared" ref="L17:Y17" si="1">SUM(L6:L15)</f>
        <v>253542.19999999998</v>
      </c>
      <c r="M17" s="129">
        <f t="shared" si="1"/>
        <v>5973489.4500000002</v>
      </c>
      <c r="N17" s="129">
        <f t="shared" si="1"/>
        <v>77612.649999999994</v>
      </c>
      <c r="O17" s="129">
        <f t="shared" si="1"/>
        <v>3065013.2199999997</v>
      </c>
      <c r="P17" s="129">
        <f t="shared" si="1"/>
        <v>1055637</v>
      </c>
      <c r="Q17" s="129">
        <f t="shared" si="1"/>
        <v>255280</v>
      </c>
      <c r="R17" s="129">
        <f t="shared" si="1"/>
        <v>78698</v>
      </c>
      <c r="S17" s="129">
        <f t="shared" si="1"/>
        <v>8878304.5</v>
      </c>
      <c r="T17" s="129"/>
      <c r="U17" s="129">
        <f t="shared" si="1"/>
        <v>1490450.03</v>
      </c>
      <c r="V17" s="129">
        <f t="shared" si="1"/>
        <v>36472333.600000001</v>
      </c>
      <c r="W17" s="129">
        <f t="shared" si="1"/>
        <v>573197.21</v>
      </c>
      <c r="X17" s="129">
        <f t="shared" si="1"/>
        <v>397397.27</v>
      </c>
      <c r="Y17" s="129">
        <f t="shared" si="1"/>
        <v>5014947.05</v>
      </c>
    </row>
    <row r="18" spans="1:25" ht="17.100000000000001" customHeight="1" thickTop="1">
      <c r="A18" s="130"/>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row>
    <row r="19" spans="1:25" ht="17.100000000000001" customHeight="1">
      <c r="A19" s="123" t="s">
        <v>578</v>
      </c>
      <c r="B19" s="132">
        <v>158994.45000000001</v>
      </c>
      <c r="C19" s="132">
        <v>56508.3</v>
      </c>
      <c r="D19" s="132">
        <v>147008.75</v>
      </c>
      <c r="E19" s="132"/>
      <c r="F19" s="132"/>
      <c r="G19" s="132"/>
      <c r="H19" s="132">
        <v>241612.44</v>
      </c>
      <c r="I19" s="132"/>
      <c r="J19" s="132"/>
      <c r="K19" s="132"/>
      <c r="L19" s="132">
        <v>943.2</v>
      </c>
      <c r="M19" s="132">
        <v>88000</v>
      </c>
      <c r="N19" s="132">
        <v>1820</v>
      </c>
      <c r="O19" s="132">
        <v>75410</v>
      </c>
      <c r="P19" s="133">
        <v>0</v>
      </c>
      <c r="Q19" s="133">
        <v>0</v>
      </c>
      <c r="R19" s="133">
        <v>0</v>
      </c>
      <c r="S19" s="133">
        <v>0</v>
      </c>
      <c r="T19" s="133"/>
      <c r="U19" s="133">
        <v>0</v>
      </c>
      <c r="V19" s="132">
        <v>868852.49</v>
      </c>
      <c r="W19" s="132">
        <v>10596.95</v>
      </c>
      <c r="X19" s="133">
        <v>0</v>
      </c>
      <c r="Y19" s="132">
        <v>102135.65</v>
      </c>
    </row>
    <row r="20" spans="1:25" ht="17.100000000000001" customHeight="1">
      <c r="A20" s="123" t="s">
        <v>579</v>
      </c>
      <c r="B20" s="132">
        <v>559920.68000000005</v>
      </c>
      <c r="C20" s="132">
        <v>279375</v>
      </c>
      <c r="D20" s="132">
        <v>189741.11</v>
      </c>
      <c r="E20" s="133"/>
      <c r="F20" s="132">
        <v>6690900</v>
      </c>
      <c r="G20" s="132">
        <v>0</v>
      </c>
      <c r="H20" s="132">
        <v>416731.35</v>
      </c>
      <c r="I20" s="132"/>
      <c r="J20" s="133"/>
      <c r="K20" s="133"/>
      <c r="L20" s="132">
        <v>569575</v>
      </c>
      <c r="M20" s="132">
        <v>383027.75</v>
      </c>
      <c r="N20" s="132"/>
      <c r="O20" s="132">
        <v>10000</v>
      </c>
      <c r="P20" s="133"/>
      <c r="Q20" s="133"/>
      <c r="R20" s="133"/>
      <c r="S20" s="133"/>
      <c r="T20" s="133"/>
      <c r="U20" s="133"/>
      <c r="V20" s="133"/>
      <c r="W20" s="132">
        <v>0</v>
      </c>
      <c r="X20" s="133"/>
      <c r="Y20" s="132">
        <v>274226.09999999998</v>
      </c>
    </row>
    <row r="21" spans="1:25" ht="17.100000000000001" customHeight="1">
      <c r="A21" s="123" t="s">
        <v>580</v>
      </c>
      <c r="B21" s="125">
        <v>57883.5</v>
      </c>
      <c r="C21" s="125">
        <v>18029</v>
      </c>
      <c r="D21" s="125">
        <v>94204.6</v>
      </c>
      <c r="E21" s="125"/>
      <c r="F21" s="125">
        <v>0</v>
      </c>
      <c r="G21" s="125"/>
      <c r="H21" s="125">
        <v>57420</v>
      </c>
      <c r="I21" s="125">
        <v>149752.5</v>
      </c>
      <c r="J21" s="125"/>
      <c r="K21" s="125"/>
      <c r="L21" s="125"/>
      <c r="M21" s="125">
        <v>267517.31</v>
      </c>
      <c r="N21" s="125">
        <v>469.4</v>
      </c>
      <c r="O21" s="125">
        <v>50075.46</v>
      </c>
      <c r="P21" s="125"/>
      <c r="Q21" s="125"/>
      <c r="R21" s="125">
        <v>0</v>
      </c>
      <c r="S21" s="125">
        <v>25885.87</v>
      </c>
      <c r="T21" s="125"/>
      <c r="U21" s="125"/>
      <c r="V21" s="125">
        <v>324984</v>
      </c>
      <c r="W21" s="125">
        <v>0</v>
      </c>
      <c r="X21" s="125">
        <v>10049.549999999999</v>
      </c>
      <c r="Y21" s="125">
        <v>65000</v>
      </c>
    </row>
    <row r="22" spans="1:25" ht="17.100000000000001" customHeight="1">
      <c r="A22" s="123" t="s">
        <v>581</v>
      </c>
      <c r="B22" s="125">
        <v>814738.05</v>
      </c>
      <c r="C22" s="125">
        <v>344929</v>
      </c>
      <c r="D22" s="125">
        <v>298477.03999999998</v>
      </c>
      <c r="E22" s="125">
        <v>0</v>
      </c>
      <c r="F22" s="125">
        <v>0</v>
      </c>
      <c r="G22" s="125">
        <v>394927.35</v>
      </c>
      <c r="H22" s="125">
        <v>242579.1</v>
      </c>
      <c r="I22" s="125"/>
      <c r="J22" s="125"/>
      <c r="K22" s="125"/>
      <c r="L22" s="125">
        <v>77931.899999999994</v>
      </c>
      <c r="M22" s="125">
        <v>468975.14</v>
      </c>
      <c r="N22" s="125">
        <v>180</v>
      </c>
      <c r="O22" s="125">
        <v>138655.89000000001</v>
      </c>
      <c r="P22" s="125"/>
      <c r="Q22" s="125"/>
      <c r="R22" s="125"/>
      <c r="S22" s="125"/>
      <c r="T22" s="125"/>
      <c r="U22" s="125"/>
      <c r="V22" s="125">
        <v>263896.86</v>
      </c>
      <c r="W22" s="125">
        <v>64545</v>
      </c>
      <c r="X22" s="125">
        <v>5351.25</v>
      </c>
      <c r="Y22" s="125">
        <v>287931.18</v>
      </c>
    </row>
    <row r="23" spans="1:25" ht="17.100000000000001" customHeight="1">
      <c r="A23" s="123" t="s">
        <v>582</v>
      </c>
      <c r="B23" s="125">
        <v>182252</v>
      </c>
      <c r="C23" s="125">
        <v>55770.9</v>
      </c>
      <c r="D23" s="125">
        <v>254329.45</v>
      </c>
      <c r="E23" s="125">
        <v>34996.199999999997</v>
      </c>
      <c r="F23" s="125">
        <v>831563.75</v>
      </c>
      <c r="G23" s="125">
        <v>3091937.8</v>
      </c>
      <c r="H23" s="125">
        <v>284415.49</v>
      </c>
      <c r="I23" s="125"/>
      <c r="J23" s="125"/>
      <c r="K23" s="125"/>
      <c r="L23" s="125">
        <v>556737.6</v>
      </c>
      <c r="M23" s="125">
        <v>1273271.3899999999</v>
      </c>
      <c r="N23" s="125">
        <v>198</v>
      </c>
      <c r="O23" s="125">
        <v>54308.2</v>
      </c>
      <c r="P23" s="125"/>
      <c r="Q23" s="125"/>
      <c r="R23" s="125"/>
      <c r="S23" s="125"/>
      <c r="T23" s="125"/>
      <c r="U23" s="125"/>
      <c r="V23" s="125">
        <v>1107770.1100000001</v>
      </c>
      <c r="W23" s="125">
        <v>8105</v>
      </c>
      <c r="X23" s="125">
        <v>189986.7</v>
      </c>
      <c r="Y23" s="125">
        <v>124719.7</v>
      </c>
    </row>
    <row r="24" spans="1:25" ht="17.100000000000001" customHeight="1">
      <c r="A24" s="123" t="s">
        <v>583</v>
      </c>
      <c r="B24" s="125">
        <v>100142.25</v>
      </c>
      <c r="C24" s="125">
        <v>46050.1</v>
      </c>
      <c r="D24" s="125">
        <v>189340.45</v>
      </c>
      <c r="E24" s="125">
        <v>47370</v>
      </c>
      <c r="F24" s="125">
        <v>714381.2</v>
      </c>
      <c r="G24" s="125">
        <v>1269132.3500000001</v>
      </c>
      <c r="H24" s="125">
        <v>211388.69</v>
      </c>
      <c r="I24" s="125"/>
      <c r="J24" s="125"/>
      <c r="K24" s="125"/>
      <c r="L24" s="125">
        <v>105795.2</v>
      </c>
      <c r="M24" s="125">
        <v>273281.98</v>
      </c>
      <c r="N24" s="125">
        <v>4484</v>
      </c>
      <c r="O24" s="125">
        <v>58833.47</v>
      </c>
      <c r="P24" s="125"/>
      <c r="Q24" s="125"/>
      <c r="R24" s="125"/>
      <c r="S24" s="125"/>
      <c r="T24" s="125"/>
      <c r="U24" s="125"/>
      <c r="V24" s="125">
        <v>685050.34</v>
      </c>
      <c r="W24" s="125">
        <v>46009</v>
      </c>
      <c r="X24" s="125">
        <v>0</v>
      </c>
      <c r="Y24" s="125">
        <v>142470.5</v>
      </c>
    </row>
    <row r="25" spans="1:25" ht="17.100000000000001" customHeight="1">
      <c r="A25" s="123" t="s">
        <v>584</v>
      </c>
      <c r="B25" s="125">
        <v>75154.25</v>
      </c>
      <c r="C25" s="125">
        <v>39887.9</v>
      </c>
      <c r="D25" s="125">
        <v>199997.7</v>
      </c>
      <c r="E25" s="125">
        <v>24240</v>
      </c>
      <c r="F25" s="125">
        <v>500096.9</v>
      </c>
      <c r="G25" s="125">
        <v>1615421.1</v>
      </c>
      <c r="H25" s="125">
        <v>97901</v>
      </c>
      <c r="I25" s="125"/>
      <c r="J25" s="125"/>
      <c r="K25" s="125"/>
      <c r="L25" s="125">
        <v>0</v>
      </c>
      <c r="M25" s="125">
        <v>480000</v>
      </c>
      <c r="N25" s="125">
        <v>543</v>
      </c>
      <c r="O25" s="125">
        <v>57774.080000000002</v>
      </c>
      <c r="P25" s="125"/>
      <c r="Q25" s="125"/>
      <c r="R25" s="125"/>
      <c r="S25" s="125"/>
      <c r="T25" s="125"/>
      <c r="U25" s="125"/>
      <c r="V25" s="125">
        <v>977262.82</v>
      </c>
      <c r="W25" s="125">
        <v>11400</v>
      </c>
      <c r="X25" s="125">
        <v>0</v>
      </c>
      <c r="Y25" s="125">
        <v>164405</v>
      </c>
    </row>
    <row r="26" spans="1:25" ht="17.100000000000001" customHeight="1">
      <c r="A26" s="123" t="s">
        <v>585</v>
      </c>
      <c r="B26" s="125">
        <v>50175</v>
      </c>
      <c r="C26" s="125">
        <v>18331.900000000001</v>
      </c>
      <c r="D26" s="125">
        <v>115051.4</v>
      </c>
      <c r="E26" s="125">
        <v>31182.75</v>
      </c>
      <c r="F26" s="125">
        <v>445181.97</v>
      </c>
      <c r="G26" s="125">
        <v>600000</v>
      </c>
      <c r="H26" s="125">
        <v>61679.3</v>
      </c>
      <c r="I26" s="125"/>
      <c r="J26" s="125"/>
      <c r="K26" s="125"/>
      <c r="L26" s="125">
        <v>141674</v>
      </c>
      <c r="M26" s="125">
        <v>240000</v>
      </c>
      <c r="N26" s="125">
        <v>282</v>
      </c>
      <c r="O26" s="125">
        <v>32098.59</v>
      </c>
      <c r="P26" s="125"/>
      <c r="Q26" s="125"/>
      <c r="R26" s="125"/>
      <c r="S26" s="125"/>
      <c r="T26" s="125"/>
      <c r="U26" s="125"/>
      <c r="V26" s="125">
        <v>770237.39</v>
      </c>
      <c r="W26" s="125">
        <v>6850</v>
      </c>
      <c r="X26" s="125">
        <v>0</v>
      </c>
      <c r="Y26" s="125">
        <v>22284</v>
      </c>
    </row>
    <row r="27" spans="1:25" ht="17.100000000000001" customHeight="1">
      <c r="A27" s="123" t="s">
        <v>586</v>
      </c>
      <c r="B27" s="125">
        <v>84357.5</v>
      </c>
      <c r="C27" s="125">
        <v>47000</v>
      </c>
      <c r="D27" s="125">
        <v>89500</v>
      </c>
      <c r="E27" s="125">
        <v>19380</v>
      </c>
      <c r="F27" s="125">
        <v>350000</v>
      </c>
      <c r="G27" s="125">
        <v>830000</v>
      </c>
      <c r="H27" s="125">
        <v>76872.2</v>
      </c>
      <c r="I27" s="125"/>
      <c r="J27" s="125"/>
      <c r="K27" s="125"/>
      <c r="L27" s="125">
        <v>26080.720000000001</v>
      </c>
      <c r="M27" s="125">
        <v>140000</v>
      </c>
      <c r="N27" s="125">
        <v>1267</v>
      </c>
      <c r="O27" s="125">
        <v>28735.09</v>
      </c>
      <c r="P27" s="125"/>
      <c r="Q27" s="125"/>
      <c r="R27" s="125">
        <v>0</v>
      </c>
      <c r="S27" s="125"/>
      <c r="T27" s="125"/>
      <c r="U27" s="125"/>
      <c r="V27" s="125">
        <v>1186891</v>
      </c>
      <c r="W27" s="125">
        <v>11060.96</v>
      </c>
      <c r="X27" s="125">
        <v>10000</v>
      </c>
      <c r="Y27" s="125">
        <v>40000</v>
      </c>
    </row>
    <row r="28" spans="1:25" ht="17.100000000000001" customHeight="1">
      <c r="A28" s="123" t="s">
        <v>587</v>
      </c>
      <c r="B28" s="125">
        <v>50236</v>
      </c>
      <c r="C28" s="125">
        <v>35982.9</v>
      </c>
      <c r="D28" s="125">
        <v>25317.5</v>
      </c>
      <c r="E28" s="125">
        <v>9680</v>
      </c>
      <c r="F28" s="125">
        <v>133832.57999999999</v>
      </c>
      <c r="G28" s="125">
        <v>119613.8</v>
      </c>
      <c r="H28" s="125">
        <v>4495.5</v>
      </c>
      <c r="I28" s="125"/>
      <c r="J28" s="125"/>
      <c r="K28" s="125"/>
      <c r="L28" s="125">
        <v>38400</v>
      </c>
      <c r="M28" s="125">
        <v>77753.100000000006</v>
      </c>
      <c r="N28" s="125">
        <v>1777</v>
      </c>
      <c r="O28" s="125">
        <v>10988.62</v>
      </c>
      <c r="P28" s="125"/>
      <c r="Q28" s="125"/>
      <c r="R28" s="125"/>
      <c r="S28" s="125">
        <v>0</v>
      </c>
      <c r="T28" s="125"/>
      <c r="U28" s="125"/>
      <c r="V28" s="125">
        <v>962111.65</v>
      </c>
      <c r="W28" s="125">
        <v>7725</v>
      </c>
      <c r="X28" s="125">
        <v>0</v>
      </c>
      <c r="Y28" s="125">
        <v>0</v>
      </c>
    </row>
    <row r="29" spans="1:25" ht="17.100000000000001" customHeight="1">
      <c r="A29" s="123" t="s">
        <v>588</v>
      </c>
      <c r="B29" s="125">
        <v>43978</v>
      </c>
      <c r="C29" s="125">
        <v>37682.9</v>
      </c>
      <c r="D29" s="125">
        <v>34675.699999999997</v>
      </c>
      <c r="E29" s="125">
        <v>16300</v>
      </c>
      <c r="F29" s="125">
        <v>145000</v>
      </c>
      <c r="G29" s="125">
        <v>133065.4</v>
      </c>
      <c r="H29" s="125">
        <v>61135.25</v>
      </c>
      <c r="I29" s="125"/>
      <c r="J29" s="125"/>
      <c r="K29" s="125"/>
      <c r="L29" s="125">
        <v>16222</v>
      </c>
      <c r="M29" s="125">
        <v>63000</v>
      </c>
      <c r="N29" s="125">
        <v>3000</v>
      </c>
      <c r="O29" s="125">
        <v>24927.98</v>
      </c>
      <c r="P29" s="125"/>
      <c r="Q29" s="125"/>
      <c r="R29" s="125"/>
      <c r="S29" s="125">
        <v>48000</v>
      </c>
      <c r="T29" s="125"/>
      <c r="U29" s="125"/>
      <c r="V29" s="125">
        <v>800222.92</v>
      </c>
      <c r="W29" s="125">
        <v>0</v>
      </c>
      <c r="X29" s="125">
        <v>0</v>
      </c>
      <c r="Y29" s="125">
        <v>1250</v>
      </c>
    </row>
    <row r="30" spans="1:25" ht="17.100000000000001" customHeight="1">
      <c r="A30" s="123" t="s">
        <v>589</v>
      </c>
      <c r="B30" s="125">
        <v>38287</v>
      </c>
      <c r="C30" s="125">
        <v>14053.9</v>
      </c>
      <c r="D30" s="125">
        <v>36420.699999999997</v>
      </c>
      <c r="E30" s="125">
        <v>15000</v>
      </c>
      <c r="F30" s="125">
        <v>199512.08</v>
      </c>
      <c r="G30" s="125">
        <v>223394.3</v>
      </c>
      <c r="H30" s="125">
        <v>41641.870000000003</v>
      </c>
      <c r="I30" s="125"/>
      <c r="J30" s="125"/>
      <c r="K30" s="125"/>
      <c r="L30" s="125">
        <v>0</v>
      </c>
      <c r="M30" s="125">
        <v>88000</v>
      </c>
      <c r="N30" s="125">
        <v>6000</v>
      </c>
      <c r="O30" s="125">
        <v>19577.830000000002</v>
      </c>
      <c r="P30" s="125"/>
      <c r="Q30" s="125"/>
      <c r="R30" s="125"/>
      <c r="S30" s="125">
        <v>24000</v>
      </c>
      <c r="T30" s="125"/>
      <c r="U30" s="125"/>
      <c r="V30" s="125">
        <v>1044972.36</v>
      </c>
      <c r="W30" s="125">
        <v>1525</v>
      </c>
      <c r="X30" s="125">
        <v>1125</v>
      </c>
      <c r="Y30" s="125">
        <v>2890</v>
      </c>
    </row>
    <row r="31" spans="1:25" ht="17.100000000000001" customHeight="1">
      <c r="A31" s="123" t="s">
        <v>590</v>
      </c>
      <c r="B31" s="125">
        <v>61303.5</v>
      </c>
      <c r="C31" s="125">
        <v>38472.9</v>
      </c>
      <c r="D31" s="125">
        <v>59852</v>
      </c>
      <c r="E31" s="125">
        <v>16698</v>
      </c>
      <c r="F31" s="125">
        <v>283334.3</v>
      </c>
      <c r="G31" s="125">
        <v>352070</v>
      </c>
      <c r="H31" s="125">
        <v>109000</v>
      </c>
      <c r="I31" s="125"/>
      <c r="J31" s="125"/>
      <c r="K31" s="125"/>
      <c r="L31" s="125">
        <v>0</v>
      </c>
      <c r="M31" s="125">
        <v>214813.55</v>
      </c>
      <c r="N31" s="125">
        <v>270</v>
      </c>
      <c r="O31" s="125">
        <v>28800</v>
      </c>
      <c r="P31" s="125"/>
      <c r="Q31" s="125"/>
      <c r="R31" s="125">
        <v>0</v>
      </c>
      <c r="S31" s="125">
        <v>47956.76</v>
      </c>
      <c r="T31" s="125"/>
      <c r="U31" s="125"/>
      <c r="V31" s="125">
        <v>1036406.24</v>
      </c>
      <c r="W31" s="125">
        <v>16420</v>
      </c>
      <c r="X31" s="125">
        <v>25269.200000000001</v>
      </c>
      <c r="Y31" s="125">
        <v>66000</v>
      </c>
    </row>
    <row r="32" spans="1:25" ht="17.100000000000001" customHeight="1">
      <c r="A32" s="123" t="s">
        <v>591</v>
      </c>
      <c r="B32" s="125">
        <v>106084</v>
      </c>
      <c r="C32" s="125">
        <v>67621.899999999994</v>
      </c>
      <c r="D32" s="125">
        <v>25326.55</v>
      </c>
      <c r="E32" s="125">
        <v>0</v>
      </c>
      <c r="F32" s="125">
        <v>44791.95</v>
      </c>
      <c r="G32" s="125">
        <v>114120.95</v>
      </c>
      <c r="H32" s="125">
        <v>39293</v>
      </c>
      <c r="I32" s="125"/>
      <c r="J32" s="125"/>
      <c r="K32" s="125"/>
      <c r="L32" s="125">
        <v>0</v>
      </c>
      <c r="M32" s="125">
        <v>80000</v>
      </c>
      <c r="N32" s="125">
        <v>0</v>
      </c>
      <c r="O32" s="125">
        <v>2633.49</v>
      </c>
      <c r="P32" s="125"/>
      <c r="Q32" s="125"/>
      <c r="R32" s="125">
        <v>0</v>
      </c>
      <c r="S32" s="125">
        <v>24000</v>
      </c>
      <c r="T32" s="125"/>
      <c r="U32" s="125"/>
      <c r="V32" s="125">
        <v>922916.25</v>
      </c>
      <c r="W32" s="125">
        <v>15750</v>
      </c>
      <c r="X32" s="125">
        <v>10550</v>
      </c>
      <c r="Y32" s="125">
        <v>2200</v>
      </c>
    </row>
    <row r="33" spans="1:25" ht="17.100000000000001" customHeight="1">
      <c r="A33" s="123" t="s">
        <v>592</v>
      </c>
      <c r="B33" s="125">
        <v>112762</v>
      </c>
      <c r="C33" s="125">
        <v>8529</v>
      </c>
      <c r="D33" s="125">
        <v>121366.1</v>
      </c>
      <c r="E33" s="125"/>
      <c r="F33" s="125"/>
      <c r="G33" s="125"/>
      <c r="H33" s="125">
        <v>78900</v>
      </c>
      <c r="I33" s="125"/>
      <c r="J33" s="125"/>
      <c r="K33" s="125"/>
      <c r="L33" s="125">
        <v>6947.99</v>
      </c>
      <c r="M33" s="125">
        <v>168867.86</v>
      </c>
      <c r="N33" s="125">
        <v>0</v>
      </c>
      <c r="O33" s="125">
        <v>35408.94</v>
      </c>
      <c r="P33" s="125"/>
      <c r="Q33" s="125"/>
      <c r="R33" s="125"/>
      <c r="S33" s="125"/>
      <c r="T33" s="125"/>
      <c r="U33" s="125"/>
      <c r="V33" s="125">
        <v>238835</v>
      </c>
      <c r="W33" s="125">
        <v>15358</v>
      </c>
      <c r="X33" s="125">
        <v>0</v>
      </c>
      <c r="Y33" s="125">
        <v>101596.12</v>
      </c>
    </row>
    <row r="34" spans="1:25" ht="17.100000000000001" customHeight="1">
      <c r="A34" s="123"/>
      <c r="B34" s="127" t="s">
        <v>9</v>
      </c>
      <c r="C34" s="127"/>
      <c r="D34" s="127"/>
      <c r="E34" s="127"/>
      <c r="F34" s="127"/>
      <c r="G34" s="127"/>
      <c r="H34" s="127"/>
      <c r="I34" s="127"/>
      <c r="J34" s="127"/>
      <c r="K34" s="127"/>
      <c r="L34" s="127"/>
      <c r="M34" s="127"/>
      <c r="N34" s="127"/>
      <c r="O34" s="127"/>
      <c r="P34" s="127"/>
      <c r="Q34" s="127"/>
      <c r="R34" s="127"/>
      <c r="S34" s="127"/>
      <c r="T34" s="127"/>
      <c r="U34" s="127"/>
      <c r="V34" s="127"/>
      <c r="W34" s="127"/>
      <c r="X34" s="127"/>
      <c r="Y34" s="127"/>
    </row>
    <row r="35" spans="1:25" ht="17.100000000000001" customHeight="1" thickBot="1">
      <c r="A35" s="128" t="s">
        <v>485</v>
      </c>
      <c r="B35" s="129">
        <f t="shared" ref="B35:Y35" si="2">SUM(B19:B34)</f>
        <v>2496268.1800000002</v>
      </c>
      <c r="C35" s="129">
        <f t="shared" si="2"/>
        <v>1108225.6000000001</v>
      </c>
      <c r="D35" s="129">
        <f t="shared" si="2"/>
        <v>1880609.0499999998</v>
      </c>
      <c r="E35" s="129">
        <f t="shared" si="2"/>
        <v>214846.95</v>
      </c>
      <c r="F35" s="129">
        <f t="shared" si="2"/>
        <v>10338594.73</v>
      </c>
      <c r="G35" s="129">
        <f t="shared" si="2"/>
        <v>8743683.0499999989</v>
      </c>
      <c r="H35" s="129">
        <f t="shared" si="2"/>
        <v>2025065.19</v>
      </c>
      <c r="I35" s="129">
        <f t="shared" si="2"/>
        <v>149752.5</v>
      </c>
      <c r="J35" s="129">
        <f t="shared" si="2"/>
        <v>0</v>
      </c>
      <c r="K35" s="129">
        <f t="shared" si="2"/>
        <v>0</v>
      </c>
      <c r="L35" s="129">
        <f t="shared" si="2"/>
        <v>1540307.6099999999</v>
      </c>
      <c r="M35" s="129">
        <f t="shared" si="2"/>
        <v>4306508.08</v>
      </c>
      <c r="N35" s="129">
        <f t="shared" si="2"/>
        <v>20290.400000000001</v>
      </c>
      <c r="O35" s="129">
        <f t="shared" si="2"/>
        <v>628227.64000000013</v>
      </c>
      <c r="P35" s="129">
        <f t="shared" si="2"/>
        <v>0</v>
      </c>
      <c r="Q35" s="129">
        <f t="shared" si="2"/>
        <v>0</v>
      </c>
      <c r="R35" s="129">
        <f t="shared" si="2"/>
        <v>0</v>
      </c>
      <c r="S35" s="129">
        <f t="shared" si="2"/>
        <v>169842.63</v>
      </c>
      <c r="T35" s="129"/>
      <c r="U35" s="129">
        <f t="shared" si="2"/>
        <v>0</v>
      </c>
      <c r="V35" s="129">
        <f t="shared" si="2"/>
        <v>11190409.43</v>
      </c>
      <c r="W35" s="129">
        <f t="shared" si="2"/>
        <v>215344.91</v>
      </c>
      <c r="X35" s="129">
        <f t="shared" si="2"/>
        <v>252331.7</v>
      </c>
      <c r="Y35" s="129">
        <f t="shared" si="2"/>
        <v>1397108.25</v>
      </c>
    </row>
    <row r="36" spans="1:25" ht="17.100000000000001" customHeight="1" thickTop="1">
      <c r="A36" s="123"/>
      <c r="B36" s="127"/>
      <c r="C36" s="127"/>
      <c r="D36" s="127" t="s">
        <v>9</v>
      </c>
      <c r="E36" s="127"/>
      <c r="F36" s="127"/>
      <c r="G36" s="127"/>
      <c r="H36" s="127"/>
      <c r="I36" s="127"/>
      <c r="J36" s="127"/>
      <c r="K36" s="127"/>
      <c r="L36" s="127"/>
      <c r="M36" s="127"/>
      <c r="N36" s="127"/>
      <c r="O36" s="127"/>
      <c r="P36" s="127"/>
      <c r="Q36" s="127"/>
      <c r="R36" s="127"/>
      <c r="S36" s="127"/>
      <c r="T36" s="127"/>
      <c r="U36" s="127"/>
      <c r="V36" s="127"/>
      <c r="W36" s="127"/>
      <c r="X36" s="127"/>
      <c r="Y36" s="127"/>
    </row>
    <row r="37" spans="1:25" ht="17.100000000000001" customHeight="1">
      <c r="A37" s="123" t="s">
        <v>593</v>
      </c>
      <c r="B37" s="134">
        <v>43322.25</v>
      </c>
      <c r="C37" s="134">
        <v>12900</v>
      </c>
      <c r="D37" s="134">
        <v>91346.17</v>
      </c>
      <c r="E37" s="134"/>
      <c r="F37" s="134"/>
      <c r="G37" s="134"/>
      <c r="H37" s="134"/>
      <c r="I37" s="134"/>
      <c r="J37" s="134"/>
      <c r="K37" s="134"/>
      <c r="L37" s="134"/>
      <c r="M37" s="134">
        <v>99999.11</v>
      </c>
      <c r="N37" s="134"/>
      <c r="O37" s="134">
        <v>179927.8</v>
      </c>
      <c r="P37" s="134"/>
      <c r="Q37" s="134"/>
      <c r="R37" s="134"/>
      <c r="S37" s="134"/>
      <c r="T37" s="134"/>
      <c r="U37" s="134"/>
      <c r="V37" s="134">
        <v>257458.5</v>
      </c>
      <c r="W37" s="134">
        <v>2810</v>
      </c>
      <c r="X37" s="134"/>
      <c r="Y37" s="134"/>
    </row>
    <row r="38" spans="1:25" ht="17.100000000000001" customHeight="1">
      <c r="A38" s="123" t="s">
        <v>594</v>
      </c>
      <c r="B38" s="134">
        <v>83930</v>
      </c>
      <c r="C38" s="134">
        <v>33611.25</v>
      </c>
      <c r="D38" s="134">
        <v>109131.88</v>
      </c>
      <c r="E38" s="134"/>
      <c r="F38" s="134"/>
      <c r="G38" s="134"/>
      <c r="H38" s="134"/>
      <c r="I38" s="134"/>
      <c r="J38" s="134"/>
      <c r="K38" s="134"/>
      <c r="L38" s="134">
        <v>3755.82</v>
      </c>
      <c r="M38" s="134">
        <v>50000</v>
      </c>
      <c r="N38" s="134"/>
      <c r="O38" s="134">
        <v>110046.28</v>
      </c>
      <c r="P38" s="134"/>
      <c r="Q38" s="134"/>
      <c r="R38" s="134"/>
      <c r="S38" s="134"/>
      <c r="T38" s="134"/>
      <c r="U38" s="134"/>
      <c r="V38" s="134">
        <v>367415.06</v>
      </c>
      <c r="W38" s="134">
        <v>22730</v>
      </c>
      <c r="X38" s="134"/>
      <c r="Y38" s="134">
        <v>80</v>
      </c>
    </row>
    <row r="39" spans="1:25" ht="17.100000000000001" customHeight="1">
      <c r="A39" s="123" t="s">
        <v>595</v>
      </c>
      <c r="B39" s="134">
        <v>60000</v>
      </c>
      <c r="C39" s="134">
        <v>0</v>
      </c>
      <c r="D39" s="134">
        <v>43057.3</v>
      </c>
      <c r="E39" s="134"/>
      <c r="F39" s="134"/>
      <c r="G39" s="134"/>
      <c r="H39" s="134">
        <v>79599.14</v>
      </c>
      <c r="I39" s="134"/>
      <c r="J39" s="134"/>
      <c r="K39" s="134"/>
      <c r="L39" s="134">
        <v>1810</v>
      </c>
      <c r="M39" s="134">
        <v>50000</v>
      </c>
      <c r="N39" s="134">
        <v>1107</v>
      </c>
      <c r="O39" s="134">
        <v>103177.64</v>
      </c>
      <c r="P39" s="134"/>
      <c r="Q39" s="134"/>
      <c r="R39" s="134"/>
      <c r="S39" s="134"/>
      <c r="T39" s="134"/>
      <c r="U39" s="134"/>
      <c r="V39" s="134">
        <v>314450.92</v>
      </c>
      <c r="W39" s="134">
        <v>2522</v>
      </c>
      <c r="X39" s="134"/>
      <c r="Y39" s="134">
        <v>64982.5</v>
      </c>
    </row>
    <row r="40" spans="1:25" ht="17.100000000000001" customHeight="1">
      <c r="A40" s="123" t="s">
        <v>596</v>
      </c>
      <c r="B40" s="134">
        <v>26298.959999999999</v>
      </c>
      <c r="C40" s="134">
        <v>0</v>
      </c>
      <c r="D40" s="134">
        <v>121563.3</v>
      </c>
      <c r="E40" s="134"/>
      <c r="F40" s="134"/>
      <c r="G40" s="134"/>
      <c r="H40" s="134"/>
      <c r="I40" s="134"/>
      <c r="J40" s="134"/>
      <c r="K40" s="134"/>
      <c r="L40" s="134">
        <v>0</v>
      </c>
      <c r="M40" s="134">
        <v>50000</v>
      </c>
      <c r="N40" s="134"/>
      <c r="O40" s="134">
        <v>38828.199999999997</v>
      </c>
      <c r="P40" s="134"/>
      <c r="Q40" s="134"/>
      <c r="R40" s="134"/>
      <c r="S40" s="134"/>
      <c r="T40" s="134"/>
      <c r="U40" s="134"/>
      <c r="V40" s="134">
        <v>504977.42</v>
      </c>
      <c r="W40" s="134">
        <v>0</v>
      </c>
      <c r="X40" s="134"/>
      <c r="Y40" s="134">
        <v>0</v>
      </c>
    </row>
    <row r="41" spans="1:25" ht="17.100000000000001" customHeight="1">
      <c r="A41" s="123" t="s">
        <v>597</v>
      </c>
      <c r="B41" s="134">
        <v>40750</v>
      </c>
      <c r="C41" s="134">
        <v>58830</v>
      </c>
      <c r="D41" s="134">
        <v>86735</v>
      </c>
      <c r="E41" s="134"/>
      <c r="F41" s="134"/>
      <c r="G41" s="134"/>
      <c r="H41" s="134">
        <v>0</v>
      </c>
      <c r="I41" s="134"/>
      <c r="J41" s="134"/>
      <c r="K41" s="134">
        <v>0</v>
      </c>
      <c r="L41" s="134"/>
      <c r="M41" s="134"/>
      <c r="N41" s="134"/>
      <c r="O41" s="134">
        <v>2087.44</v>
      </c>
      <c r="P41" s="134"/>
      <c r="Q41" s="134"/>
      <c r="R41" s="134"/>
      <c r="S41" s="134"/>
      <c r="T41" s="134"/>
      <c r="U41" s="134"/>
      <c r="V41" s="134">
        <v>157262.75</v>
      </c>
      <c r="W41" s="134"/>
      <c r="X41" s="134"/>
      <c r="Y41" s="134">
        <v>0</v>
      </c>
    </row>
    <row r="42" spans="1:25" ht="17.100000000000001" customHeight="1">
      <c r="A42" s="123" t="s">
        <v>598</v>
      </c>
      <c r="B42" s="125">
        <v>864870.07</v>
      </c>
      <c r="C42" s="125">
        <v>314149</v>
      </c>
      <c r="D42" s="125">
        <v>439899.3</v>
      </c>
      <c r="E42" s="125"/>
      <c r="F42" s="125"/>
      <c r="G42" s="125"/>
      <c r="H42" s="125">
        <v>354950.1</v>
      </c>
      <c r="I42" s="125"/>
      <c r="J42" s="125">
        <v>0</v>
      </c>
      <c r="K42" s="125">
        <v>266666.59999999998</v>
      </c>
      <c r="L42" s="125">
        <v>17689.53</v>
      </c>
      <c r="M42" s="125">
        <v>320771.25</v>
      </c>
      <c r="N42" s="125">
        <v>4790.8</v>
      </c>
      <c r="O42" s="125">
        <v>246454.96</v>
      </c>
      <c r="P42" s="125"/>
      <c r="Q42" s="125"/>
      <c r="R42" s="125"/>
      <c r="S42" s="125"/>
      <c r="T42" s="125"/>
      <c r="U42" s="125"/>
      <c r="V42" s="125">
        <v>464569.41</v>
      </c>
      <c r="W42" s="125">
        <v>11656.75</v>
      </c>
      <c r="X42" s="125">
        <v>39470</v>
      </c>
      <c r="Y42" s="125">
        <v>244605.5</v>
      </c>
    </row>
    <row r="43" spans="1:25" ht="17.100000000000001" customHeight="1">
      <c r="A43" s="123" t="s">
        <v>599</v>
      </c>
      <c r="B43" s="125">
        <v>461931.59</v>
      </c>
      <c r="C43" s="125">
        <v>166439</v>
      </c>
      <c r="D43" s="125">
        <v>292616.61</v>
      </c>
      <c r="E43" s="125"/>
      <c r="F43" s="125"/>
      <c r="G43" s="125"/>
      <c r="H43" s="125">
        <v>539878.54</v>
      </c>
      <c r="I43" s="125"/>
      <c r="J43" s="125">
        <v>548988</v>
      </c>
      <c r="K43" s="125">
        <v>49528</v>
      </c>
      <c r="L43" s="125">
        <v>18411.900000000001</v>
      </c>
      <c r="M43" s="125">
        <v>200216.11</v>
      </c>
      <c r="N43" s="125">
        <v>13366.94</v>
      </c>
      <c r="O43" s="125">
        <v>86050.5</v>
      </c>
      <c r="P43" s="125"/>
      <c r="Q43" s="125"/>
      <c r="R43" s="125"/>
      <c r="S43" s="125"/>
      <c r="T43" s="125"/>
      <c r="U43" s="125"/>
      <c r="V43" s="125">
        <v>720218.84</v>
      </c>
      <c r="W43" s="125">
        <v>500</v>
      </c>
      <c r="X43" s="125">
        <v>7669</v>
      </c>
      <c r="Y43" s="125">
        <v>448909</v>
      </c>
    </row>
    <row r="44" spans="1:25" ht="17.100000000000001" customHeight="1">
      <c r="A44" s="123" t="s">
        <v>600</v>
      </c>
      <c r="B44" s="125">
        <v>735076.25</v>
      </c>
      <c r="C44" s="125">
        <v>216533</v>
      </c>
      <c r="D44" s="125">
        <v>535387.5</v>
      </c>
      <c r="E44" s="125"/>
      <c r="F44" s="125"/>
      <c r="G44" s="125"/>
      <c r="H44" s="125">
        <v>403566.6</v>
      </c>
      <c r="I44" s="125"/>
      <c r="J44" s="125"/>
      <c r="K44" s="125"/>
      <c r="L44" s="125">
        <v>53437.46</v>
      </c>
      <c r="M44" s="125">
        <v>327507.48</v>
      </c>
      <c r="N44" s="125">
        <v>1384</v>
      </c>
      <c r="O44" s="125">
        <v>143788.73000000001</v>
      </c>
      <c r="P44" s="125"/>
      <c r="Q44" s="125"/>
      <c r="R44" s="125"/>
      <c r="S44" s="125"/>
      <c r="T44" s="125"/>
      <c r="U44" s="125"/>
      <c r="V44" s="125">
        <v>6376429.3300000001</v>
      </c>
      <c r="W44" s="125">
        <v>105917</v>
      </c>
      <c r="X44" s="125">
        <v>49528.25</v>
      </c>
      <c r="Y44" s="125">
        <v>485604.15</v>
      </c>
    </row>
    <row r="45" spans="1:25" ht="17.100000000000001" customHeight="1">
      <c r="A45" s="123" t="s">
        <v>601</v>
      </c>
      <c r="B45" s="125">
        <v>524960</v>
      </c>
      <c r="C45" s="125">
        <v>191104</v>
      </c>
      <c r="D45" s="125">
        <v>100431.6</v>
      </c>
      <c r="E45" s="125"/>
      <c r="F45" s="125"/>
      <c r="G45" s="125"/>
      <c r="H45" s="125">
        <v>35880</v>
      </c>
      <c r="I45" s="125"/>
      <c r="J45" s="125"/>
      <c r="K45" s="125"/>
      <c r="L45" s="125">
        <v>15212.01</v>
      </c>
      <c r="M45" s="125">
        <v>8509.06</v>
      </c>
      <c r="N45" s="125">
        <v>0</v>
      </c>
      <c r="O45" s="125">
        <v>59520.21</v>
      </c>
      <c r="P45" s="125"/>
      <c r="Q45" s="125"/>
      <c r="R45" s="125">
        <v>0</v>
      </c>
      <c r="S45" s="125"/>
      <c r="T45" s="125"/>
      <c r="U45" s="125"/>
      <c r="V45" s="125">
        <v>1604420.34</v>
      </c>
      <c r="W45" s="125">
        <v>32403</v>
      </c>
      <c r="X45" s="125">
        <v>945</v>
      </c>
      <c r="Y45" s="125">
        <v>0</v>
      </c>
    </row>
    <row r="46" spans="1:25" ht="17.100000000000001" customHeight="1">
      <c r="A46" s="123"/>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134"/>
    </row>
    <row r="47" spans="1:25" ht="17.100000000000001" customHeight="1" thickBot="1">
      <c r="A47" s="128" t="s">
        <v>485</v>
      </c>
      <c r="B47" s="129">
        <f t="shared" ref="B47:Y47" si="3">SUM(B37:B45)</f>
        <v>2841139.12</v>
      </c>
      <c r="C47" s="129">
        <f t="shared" si="3"/>
        <v>993566.25</v>
      </c>
      <c r="D47" s="129">
        <f t="shared" si="3"/>
        <v>1820168.6600000001</v>
      </c>
      <c r="E47" s="129">
        <f t="shared" si="3"/>
        <v>0</v>
      </c>
      <c r="F47" s="129">
        <f t="shared" si="3"/>
        <v>0</v>
      </c>
      <c r="G47" s="129">
        <f t="shared" si="3"/>
        <v>0</v>
      </c>
      <c r="H47" s="129">
        <f t="shared" si="3"/>
        <v>1413874.38</v>
      </c>
      <c r="I47" s="129">
        <f t="shared" si="3"/>
        <v>0</v>
      </c>
      <c r="J47" s="129">
        <f t="shared" si="3"/>
        <v>548988</v>
      </c>
      <c r="K47" s="129">
        <f t="shared" si="3"/>
        <v>316194.59999999998</v>
      </c>
      <c r="L47" s="129">
        <f t="shared" si="3"/>
        <v>110316.71999999999</v>
      </c>
      <c r="M47" s="129">
        <f t="shared" si="3"/>
        <v>1107003.01</v>
      </c>
      <c r="N47" s="129">
        <f t="shared" si="3"/>
        <v>20648.740000000002</v>
      </c>
      <c r="O47" s="129">
        <f t="shared" si="3"/>
        <v>969881.75999999989</v>
      </c>
      <c r="P47" s="129">
        <f t="shared" si="3"/>
        <v>0</v>
      </c>
      <c r="Q47" s="129">
        <f t="shared" si="3"/>
        <v>0</v>
      </c>
      <c r="R47" s="129">
        <f t="shared" si="3"/>
        <v>0</v>
      </c>
      <c r="S47" s="129">
        <f t="shared" si="3"/>
        <v>0</v>
      </c>
      <c r="T47" s="129"/>
      <c r="U47" s="129">
        <f t="shared" si="3"/>
        <v>0</v>
      </c>
      <c r="V47" s="129">
        <f t="shared" si="3"/>
        <v>10767202.57</v>
      </c>
      <c r="W47" s="129">
        <f t="shared" si="3"/>
        <v>178538.75</v>
      </c>
      <c r="X47" s="129">
        <f t="shared" si="3"/>
        <v>97612.25</v>
      </c>
      <c r="Y47" s="129">
        <f t="shared" si="3"/>
        <v>1244181.1499999999</v>
      </c>
    </row>
    <row r="48" spans="1:25" ht="17.100000000000001" customHeight="1" thickTop="1" thickBot="1">
      <c r="A48" s="135"/>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17.100000000000001" customHeight="1" thickTop="1" thickBot="1">
      <c r="A49" s="137" t="s">
        <v>602</v>
      </c>
      <c r="B49" s="138">
        <f t="shared" ref="B49:Y49" si="4">SUM(B17+B35+B47)</f>
        <v>8520596.2400000021</v>
      </c>
      <c r="C49" s="139">
        <f t="shared" si="4"/>
        <v>4782232.8499999996</v>
      </c>
      <c r="D49" s="138">
        <f t="shared" si="4"/>
        <v>13333628.780000001</v>
      </c>
      <c r="E49" s="138">
        <f t="shared" si="4"/>
        <v>277446.95</v>
      </c>
      <c r="F49" s="138">
        <f t="shared" si="4"/>
        <v>10338594.73</v>
      </c>
      <c r="G49" s="138">
        <f t="shared" si="4"/>
        <v>8743683.0499999989</v>
      </c>
      <c r="H49" s="138">
        <f t="shared" si="4"/>
        <v>12473080.370000001</v>
      </c>
      <c r="I49" s="138">
        <f t="shared" si="4"/>
        <v>149752.5</v>
      </c>
      <c r="J49" s="138">
        <f t="shared" si="4"/>
        <v>548988</v>
      </c>
      <c r="K49" s="138">
        <f t="shared" si="4"/>
        <v>316194.59999999998</v>
      </c>
      <c r="L49" s="138">
        <f t="shared" si="4"/>
        <v>1904166.5299999998</v>
      </c>
      <c r="M49" s="138">
        <f t="shared" si="4"/>
        <v>11387000.540000001</v>
      </c>
      <c r="N49" s="138">
        <f t="shared" si="4"/>
        <v>118551.79</v>
      </c>
      <c r="O49" s="138">
        <f t="shared" si="4"/>
        <v>4663122.62</v>
      </c>
      <c r="P49" s="138">
        <f t="shared" si="4"/>
        <v>1055637</v>
      </c>
      <c r="Q49" s="138">
        <f t="shared" si="4"/>
        <v>255280</v>
      </c>
      <c r="R49" s="138">
        <f t="shared" si="4"/>
        <v>78698</v>
      </c>
      <c r="S49" s="138">
        <f t="shared" si="4"/>
        <v>9048147.1300000008</v>
      </c>
      <c r="T49" s="138"/>
      <c r="U49" s="138">
        <f t="shared" si="4"/>
        <v>1490450.03</v>
      </c>
      <c r="V49" s="138">
        <f t="shared" si="4"/>
        <v>58429945.600000001</v>
      </c>
      <c r="W49" s="138">
        <f t="shared" si="4"/>
        <v>967080.87</v>
      </c>
      <c r="X49" s="138">
        <f t="shared" si="4"/>
        <v>747341.22</v>
      </c>
      <c r="Y49" s="138">
        <f t="shared" si="4"/>
        <v>7656236.4499999993</v>
      </c>
    </row>
    <row r="50" spans="1:25" ht="17.100000000000001" customHeight="1">
      <c r="A50" s="116"/>
      <c r="B50" s="116"/>
      <c r="C50" s="116"/>
      <c r="D50" s="116"/>
      <c r="E50" s="116"/>
      <c r="F50" s="116"/>
      <c r="G50" s="116"/>
      <c r="H50" s="116"/>
      <c r="I50" s="116" t="s">
        <v>9</v>
      </c>
      <c r="J50" s="116"/>
      <c r="K50" s="116"/>
      <c r="L50" s="116"/>
      <c r="M50" s="116"/>
      <c r="N50" s="116"/>
      <c r="O50" s="116"/>
      <c r="P50" s="116"/>
      <c r="Q50" s="116"/>
      <c r="R50" s="116"/>
      <c r="S50" s="116"/>
      <c r="T50" s="116"/>
      <c r="U50" s="116"/>
      <c r="V50" s="116"/>
      <c r="W50" s="116"/>
      <c r="X50" s="116"/>
      <c r="Y50" s="116"/>
    </row>
    <row r="51" spans="1:25" ht="17.100000000000001" customHeight="1"/>
    <row r="52" spans="1:25" ht="17.100000000000001" customHeight="1"/>
    <row r="53" spans="1:25" ht="17.100000000000001" customHeight="1"/>
    <row r="54" spans="1:25" ht="17.100000000000001" customHeight="1"/>
    <row r="55" spans="1:25" ht="17.100000000000001" customHeight="1"/>
    <row r="56" spans="1:25" ht="17.100000000000001" customHeight="1"/>
    <row r="57" spans="1:25" ht="17.100000000000001" customHeight="1"/>
    <row r="58" spans="1:25" ht="17.100000000000001" customHeight="1"/>
    <row r="59" spans="1:25" ht="17.100000000000001" customHeight="1"/>
    <row r="60" spans="1:25" ht="17.100000000000001" customHeight="1"/>
    <row r="61" spans="1:25" ht="17.100000000000001" customHeight="1"/>
    <row r="62" spans="1:25" ht="17.100000000000001" customHeight="1"/>
    <row r="63" spans="1:25" ht="17.100000000000001" customHeight="1"/>
    <row r="64" spans="1:25" ht="17.100000000000001" customHeight="1"/>
    <row r="65" spans="1:25" ht="17.100000000000001" customHeight="1"/>
    <row r="66" spans="1:25" ht="17.100000000000001" customHeight="1"/>
    <row r="67" spans="1:25" ht="17.100000000000001" customHeight="1"/>
    <row r="68" spans="1:25" ht="17.100000000000001" customHeight="1">
      <c r="A68" s="15512" t="s">
        <v>603</v>
      </c>
      <c r="B68" s="15512"/>
      <c r="C68" s="15512"/>
      <c r="D68" s="15512"/>
      <c r="E68" s="15512"/>
      <c r="F68" s="15512"/>
      <c r="G68" s="15512"/>
      <c r="H68" s="15512"/>
      <c r="I68" s="15512"/>
      <c r="J68" s="15512"/>
      <c r="K68" s="15512"/>
      <c r="L68" s="15512"/>
      <c r="M68" s="15513" t="s">
        <v>604</v>
      </c>
      <c r="N68" s="15513"/>
    </row>
    <row r="69" spans="1:25" ht="17.100000000000001" customHeight="1">
      <c r="A69" s="140"/>
      <c r="L69" s="141"/>
    </row>
    <row r="70" spans="1:25" ht="17.100000000000001" customHeight="1" thickBot="1">
      <c r="A70" s="142" t="s">
        <v>216</v>
      </c>
      <c r="B70" s="142" t="s">
        <v>605</v>
      </c>
      <c r="C70" s="142" t="s">
        <v>606</v>
      </c>
      <c r="D70" s="142" t="s">
        <v>607</v>
      </c>
      <c r="E70" s="142" t="s">
        <v>608</v>
      </c>
      <c r="F70" s="142" t="s">
        <v>609</v>
      </c>
      <c r="G70" s="142" t="s">
        <v>610</v>
      </c>
      <c r="H70" s="142" t="s">
        <v>609</v>
      </c>
      <c r="I70" s="142" t="s">
        <v>611</v>
      </c>
      <c r="J70" s="142" t="s">
        <v>612</v>
      </c>
      <c r="K70" s="142" t="s">
        <v>612</v>
      </c>
      <c r="L70" s="142" t="s">
        <v>613</v>
      </c>
      <c r="M70" s="142" t="s">
        <v>614</v>
      </c>
      <c r="N70" s="142" t="s">
        <v>615</v>
      </c>
      <c r="O70" s="142" t="s">
        <v>616</v>
      </c>
      <c r="P70" s="142" t="s">
        <v>617</v>
      </c>
      <c r="Q70" s="142" t="s">
        <v>618</v>
      </c>
      <c r="R70" s="142" t="s">
        <v>612</v>
      </c>
      <c r="S70" s="142" t="s">
        <v>619</v>
      </c>
      <c r="T70" s="142"/>
      <c r="U70" s="142" t="s">
        <v>612</v>
      </c>
      <c r="V70" s="142" t="s">
        <v>620</v>
      </c>
      <c r="W70" s="143" t="s">
        <v>621</v>
      </c>
      <c r="X70" s="142" t="s">
        <v>220</v>
      </c>
      <c r="Y70" s="142" t="s">
        <v>9</v>
      </c>
    </row>
    <row r="71" spans="1:25" ht="17.100000000000001" customHeight="1" thickTop="1" thickBot="1">
      <c r="A71" s="144"/>
      <c r="B71" s="145" t="s">
        <v>9</v>
      </c>
      <c r="C71" s="145" t="s">
        <v>9</v>
      </c>
      <c r="D71" s="145" t="s">
        <v>553</v>
      </c>
      <c r="E71" s="145" t="s">
        <v>622</v>
      </c>
      <c r="F71" s="145" t="s">
        <v>623</v>
      </c>
      <c r="G71" s="145" t="s">
        <v>624</v>
      </c>
      <c r="H71" s="145" t="s">
        <v>625</v>
      </c>
      <c r="I71" s="145" t="s">
        <v>9</v>
      </c>
      <c r="J71" s="145" t="s">
        <v>626</v>
      </c>
      <c r="K71" s="145" t="s">
        <v>627</v>
      </c>
      <c r="L71" s="145" t="s">
        <v>628</v>
      </c>
      <c r="M71" s="145" t="s">
        <v>563</v>
      </c>
      <c r="N71" s="145" t="s">
        <v>629</v>
      </c>
      <c r="O71" s="145" t="s">
        <v>630</v>
      </c>
      <c r="P71" s="145" t="s">
        <v>630</v>
      </c>
      <c r="Q71" s="145"/>
      <c r="R71" s="145" t="s">
        <v>631</v>
      </c>
      <c r="S71" s="145" t="s">
        <v>632</v>
      </c>
      <c r="T71" s="145" t="s">
        <v>633</v>
      </c>
      <c r="U71" s="145" t="s">
        <v>634</v>
      </c>
      <c r="V71" s="145" t="s">
        <v>635</v>
      </c>
      <c r="W71" s="146" t="s">
        <v>636</v>
      </c>
      <c r="X71" s="145" t="s">
        <v>9</v>
      </c>
      <c r="Y71" s="145" t="s">
        <v>9</v>
      </c>
    </row>
    <row r="72" spans="1:25" ht="17.100000000000001" customHeight="1">
      <c r="A72" s="147"/>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row>
    <row r="73" spans="1:25" ht="17.100000000000001" customHeight="1">
      <c r="A73" s="149" t="s">
        <v>568</v>
      </c>
      <c r="B73" s="150">
        <v>13978877.25</v>
      </c>
      <c r="C73" s="150">
        <v>7060213.9000000004</v>
      </c>
      <c r="D73" s="150">
        <v>159672.5</v>
      </c>
      <c r="E73" s="150">
        <v>19125</v>
      </c>
      <c r="F73" s="150">
        <v>18042686.920000002</v>
      </c>
      <c r="G73" s="150">
        <v>0</v>
      </c>
      <c r="H73" s="150">
        <v>0</v>
      </c>
      <c r="I73" s="150">
        <v>0</v>
      </c>
      <c r="J73" s="150">
        <v>0</v>
      </c>
      <c r="K73" s="150">
        <v>180671.5</v>
      </c>
      <c r="L73" s="150">
        <v>0</v>
      </c>
      <c r="M73" s="150">
        <v>0</v>
      </c>
      <c r="N73" s="150">
        <v>0</v>
      </c>
      <c r="O73" s="150">
        <v>0</v>
      </c>
      <c r="P73" s="150">
        <v>0</v>
      </c>
      <c r="Q73" s="150">
        <v>0</v>
      </c>
      <c r="R73" s="150">
        <v>0</v>
      </c>
      <c r="S73" s="150">
        <v>0</v>
      </c>
      <c r="T73" s="150"/>
      <c r="U73" s="150">
        <v>0</v>
      </c>
      <c r="V73" s="150">
        <v>0</v>
      </c>
      <c r="W73" s="150">
        <v>0</v>
      </c>
      <c r="X73" s="151">
        <f t="shared" ref="X73:X82" si="5">SUM(B6:Y6)+SUM(B73:W73)</f>
        <v>78531312.620000005</v>
      </c>
      <c r="Y73" s="150"/>
    </row>
    <row r="74" spans="1:25" ht="17.100000000000001" customHeight="1">
      <c r="A74" s="149" t="s">
        <v>569</v>
      </c>
      <c r="B74" s="150">
        <v>15863986.699999999</v>
      </c>
      <c r="C74" s="150"/>
      <c r="D74" s="150"/>
      <c r="E74" s="150">
        <v>6663.75</v>
      </c>
      <c r="F74" s="150">
        <v>5501944.3600000003</v>
      </c>
      <c r="G74" s="150"/>
      <c r="H74" s="150"/>
      <c r="I74" s="150"/>
      <c r="J74" s="150"/>
      <c r="K74" s="150">
        <v>90634.45</v>
      </c>
      <c r="L74" s="150"/>
      <c r="M74" s="150">
        <v>558624.5</v>
      </c>
      <c r="N74" s="150"/>
      <c r="O74" s="152"/>
      <c r="P74" s="152"/>
      <c r="Q74" s="152"/>
      <c r="R74" s="152"/>
      <c r="S74" s="150"/>
      <c r="T74" s="150"/>
      <c r="U74" s="152"/>
      <c r="V74" s="150"/>
      <c r="W74" s="150"/>
      <c r="X74" s="151">
        <f t="shared" si="5"/>
        <v>54053381.340000004</v>
      </c>
      <c r="Y74" s="150"/>
    </row>
    <row r="75" spans="1:25" ht="17.100000000000001" customHeight="1">
      <c r="A75" s="149" t="s">
        <v>570</v>
      </c>
      <c r="B75" s="153"/>
      <c r="C75" s="153"/>
      <c r="D75" s="153"/>
      <c r="E75" s="153">
        <v>500</v>
      </c>
      <c r="F75" s="153">
        <v>296451.90000000002</v>
      </c>
      <c r="G75" s="153"/>
      <c r="H75" s="153"/>
      <c r="I75" s="153"/>
      <c r="J75" s="153"/>
      <c r="K75" s="153"/>
      <c r="L75" s="153"/>
      <c r="M75" s="153"/>
      <c r="N75" s="150"/>
      <c r="O75" s="152">
        <v>7400</v>
      </c>
      <c r="P75" s="152"/>
      <c r="Q75" s="152"/>
      <c r="R75" s="152"/>
      <c r="S75" s="150"/>
      <c r="T75" s="150"/>
      <c r="U75" s="152"/>
      <c r="V75" s="150"/>
      <c r="W75" s="150"/>
      <c r="X75" s="151">
        <f t="shared" si="5"/>
        <v>2441208.31</v>
      </c>
      <c r="Y75" s="150"/>
    </row>
    <row r="76" spans="1:25" ht="17.100000000000001" customHeight="1">
      <c r="A76" s="149" t="s">
        <v>571</v>
      </c>
      <c r="B76" s="153"/>
      <c r="C76" s="153"/>
      <c r="D76" s="153"/>
      <c r="E76" s="153">
        <v>2062.5</v>
      </c>
      <c r="F76" s="153">
        <v>426585.4</v>
      </c>
      <c r="G76" s="153"/>
      <c r="H76" s="153"/>
      <c r="I76" s="153">
        <v>0</v>
      </c>
      <c r="J76" s="153"/>
      <c r="K76" s="153">
        <v>10493.1</v>
      </c>
      <c r="L76" s="153">
        <v>0</v>
      </c>
      <c r="M76" s="153"/>
      <c r="N76" s="150"/>
      <c r="O76" s="152">
        <v>8285.7999999999993</v>
      </c>
      <c r="P76" s="152"/>
      <c r="Q76" s="152">
        <v>0</v>
      </c>
      <c r="R76" s="152"/>
      <c r="S76" s="150"/>
      <c r="T76" s="150"/>
      <c r="U76" s="152"/>
      <c r="V76" s="150"/>
      <c r="W76" s="150"/>
      <c r="X76" s="151">
        <f t="shared" si="5"/>
        <v>2960087.96</v>
      </c>
      <c r="Y76" s="150"/>
    </row>
    <row r="77" spans="1:25" ht="17.100000000000001" customHeight="1">
      <c r="A77" s="149" t="s">
        <v>572</v>
      </c>
      <c r="B77" s="153"/>
      <c r="C77" s="153"/>
      <c r="D77" s="153"/>
      <c r="E77" s="153">
        <v>1500</v>
      </c>
      <c r="F77" s="153">
        <v>235479.88</v>
      </c>
      <c r="G77" s="153"/>
      <c r="H77" s="153"/>
      <c r="I77" s="153"/>
      <c r="J77" s="153"/>
      <c r="K77" s="153">
        <v>484260.57</v>
      </c>
      <c r="L77" s="153"/>
      <c r="M77" s="153">
        <v>4183152.44</v>
      </c>
      <c r="N77" s="150"/>
      <c r="O77" s="152"/>
      <c r="P77" s="152">
        <v>1700000</v>
      </c>
      <c r="Q77" s="152"/>
      <c r="R77" s="152"/>
      <c r="S77" s="150"/>
      <c r="T77" s="150"/>
      <c r="U77" s="152"/>
      <c r="V77" s="150"/>
      <c r="W77" s="150"/>
      <c r="X77" s="151">
        <f t="shared" si="5"/>
        <v>10926447.23</v>
      </c>
      <c r="Y77" s="150"/>
    </row>
    <row r="78" spans="1:25" ht="17.100000000000001" customHeight="1">
      <c r="A78" s="149" t="s">
        <v>573</v>
      </c>
      <c r="B78" s="153"/>
      <c r="C78" s="153"/>
      <c r="D78" s="153"/>
      <c r="E78" s="153">
        <v>0</v>
      </c>
      <c r="F78" s="153">
        <v>12315</v>
      </c>
      <c r="G78" s="153"/>
      <c r="H78" s="153"/>
      <c r="I78" s="153"/>
      <c r="J78" s="153"/>
      <c r="K78" s="153">
        <v>0</v>
      </c>
      <c r="L78" s="153">
        <v>0</v>
      </c>
      <c r="M78" s="153"/>
      <c r="N78" s="150"/>
      <c r="O78" s="152">
        <v>4500</v>
      </c>
      <c r="P78" s="152"/>
      <c r="Q78" s="152"/>
      <c r="R78" s="152"/>
      <c r="S78" s="150"/>
      <c r="T78" s="150"/>
      <c r="U78" s="152"/>
      <c r="V78" s="150"/>
      <c r="W78" s="150"/>
      <c r="X78" s="151">
        <f t="shared" si="5"/>
        <v>577039.96</v>
      </c>
      <c r="Y78" s="150"/>
    </row>
    <row r="79" spans="1:25" ht="17.100000000000001" customHeight="1">
      <c r="A79" s="149" t="s">
        <v>574</v>
      </c>
      <c r="B79" s="153"/>
      <c r="C79" s="153"/>
      <c r="D79" s="153"/>
      <c r="E79" s="153">
        <v>0</v>
      </c>
      <c r="F79" s="153">
        <v>113436.9</v>
      </c>
      <c r="G79" s="153"/>
      <c r="H79" s="153"/>
      <c r="I79" s="153"/>
      <c r="J79" s="153"/>
      <c r="K79" s="153">
        <v>0</v>
      </c>
      <c r="L79" s="153"/>
      <c r="M79" s="153"/>
      <c r="N79" s="150">
        <v>0</v>
      </c>
      <c r="O79" s="152"/>
      <c r="P79" s="152"/>
      <c r="Q79" s="152"/>
      <c r="R79" s="152"/>
      <c r="S79" s="150"/>
      <c r="T79" s="150"/>
      <c r="U79" s="152"/>
      <c r="V79" s="150"/>
      <c r="W79" s="150"/>
      <c r="X79" s="151">
        <f t="shared" si="5"/>
        <v>1435503.18</v>
      </c>
      <c r="Y79" s="150"/>
    </row>
    <row r="80" spans="1:25" ht="17.100000000000001" customHeight="1">
      <c r="A80" s="149" t="s">
        <v>575</v>
      </c>
      <c r="B80" s="153"/>
      <c r="C80" s="153"/>
      <c r="D80" s="153"/>
      <c r="E80" s="153">
        <v>64830</v>
      </c>
      <c r="F80" s="153">
        <v>62067.1</v>
      </c>
      <c r="G80" s="153"/>
      <c r="H80" s="153"/>
      <c r="I80" s="153"/>
      <c r="J80" s="153"/>
      <c r="K80" s="153">
        <v>0</v>
      </c>
      <c r="L80" s="153"/>
      <c r="M80" s="153"/>
      <c r="N80" s="150"/>
      <c r="O80" s="150"/>
      <c r="P80" s="150"/>
      <c r="Q80" s="150"/>
      <c r="R80" s="150"/>
      <c r="S80" s="150"/>
      <c r="T80" s="150"/>
      <c r="U80" s="150"/>
      <c r="V80" s="150"/>
      <c r="W80" s="150"/>
      <c r="X80" s="151">
        <f t="shared" si="5"/>
        <v>2401386.8400000003</v>
      </c>
      <c r="Y80" s="150"/>
    </row>
    <row r="81" spans="1:25" ht="17.100000000000001" customHeight="1">
      <c r="A81" s="149" t="s">
        <v>576</v>
      </c>
      <c r="B81" s="153"/>
      <c r="C81" s="153"/>
      <c r="D81" s="153"/>
      <c r="E81" s="153">
        <v>0</v>
      </c>
      <c r="F81" s="153">
        <v>34972.51</v>
      </c>
      <c r="G81" s="153"/>
      <c r="H81" s="153"/>
      <c r="I81" s="153"/>
      <c r="J81" s="153"/>
      <c r="K81" s="153"/>
      <c r="L81" s="153"/>
      <c r="M81" s="153"/>
      <c r="N81" s="150"/>
      <c r="O81" s="150"/>
      <c r="P81" s="150"/>
      <c r="Q81" s="150"/>
      <c r="R81" s="150"/>
      <c r="S81" s="150"/>
      <c r="T81" s="150"/>
      <c r="U81" s="150"/>
      <c r="V81" s="150"/>
      <c r="W81" s="150"/>
      <c r="X81" s="151">
        <f t="shared" si="5"/>
        <v>1321292.6099999999</v>
      </c>
      <c r="Y81" s="150"/>
    </row>
    <row r="82" spans="1:25" ht="17.100000000000001" customHeight="1">
      <c r="A82" s="149" t="s">
        <v>577</v>
      </c>
      <c r="B82" s="153"/>
      <c r="C82" s="153"/>
      <c r="D82" s="153"/>
      <c r="E82" s="153">
        <v>0</v>
      </c>
      <c r="F82" s="153">
        <v>38223.300000000003</v>
      </c>
      <c r="G82" s="153"/>
      <c r="H82" s="153"/>
      <c r="I82" s="153"/>
      <c r="J82" s="153"/>
      <c r="K82" s="153"/>
      <c r="L82" s="153"/>
      <c r="M82" s="153"/>
      <c r="N82" s="150"/>
      <c r="O82" s="150"/>
      <c r="P82" s="150"/>
      <c r="Q82" s="150"/>
      <c r="R82" s="150"/>
      <c r="S82" s="150"/>
      <c r="T82" s="150"/>
      <c r="U82" s="150"/>
      <c r="V82" s="150"/>
      <c r="W82" s="150"/>
      <c r="X82" s="151">
        <f t="shared" si="5"/>
        <v>2681081.17</v>
      </c>
      <c r="Y82" s="150"/>
    </row>
    <row r="83" spans="1:25" ht="17.100000000000001" customHeight="1">
      <c r="A83" s="154"/>
      <c r="B83" s="155"/>
      <c r="C83" s="155"/>
      <c r="D83" s="155"/>
      <c r="E83" s="155"/>
      <c r="F83" s="155"/>
      <c r="G83" s="155"/>
      <c r="H83" s="155"/>
      <c r="I83" s="155"/>
      <c r="J83" s="155"/>
      <c r="K83" s="155"/>
      <c r="L83" s="155"/>
      <c r="M83" s="155"/>
      <c r="N83" s="155"/>
      <c r="O83" s="155"/>
      <c r="P83" s="155"/>
      <c r="Q83" s="155"/>
      <c r="R83" s="155"/>
      <c r="S83" s="155"/>
      <c r="T83" s="155"/>
      <c r="U83" s="155"/>
      <c r="V83" s="155"/>
      <c r="W83" s="155"/>
      <c r="X83" s="154"/>
      <c r="Y83" s="155"/>
    </row>
    <row r="84" spans="1:25" ht="17.100000000000001" customHeight="1" thickBot="1">
      <c r="A84" s="142" t="s">
        <v>485</v>
      </c>
      <c r="B84" s="156">
        <f t="shared" ref="B84:P84" si="6">SUM(B73:B82)</f>
        <v>29842863.949999999</v>
      </c>
      <c r="C84" s="156">
        <f t="shared" si="6"/>
        <v>7060213.9000000004</v>
      </c>
      <c r="D84" s="156">
        <f t="shared" si="6"/>
        <v>159672.5</v>
      </c>
      <c r="E84" s="156">
        <f t="shared" si="6"/>
        <v>94681.25</v>
      </c>
      <c r="F84" s="156">
        <f t="shared" si="6"/>
        <v>24764163.27</v>
      </c>
      <c r="G84" s="156">
        <f t="shared" si="6"/>
        <v>0</v>
      </c>
      <c r="H84" s="156">
        <f t="shared" si="6"/>
        <v>0</v>
      </c>
      <c r="I84" s="156">
        <f t="shared" si="6"/>
        <v>0</v>
      </c>
      <c r="J84" s="156">
        <f t="shared" si="6"/>
        <v>0</v>
      </c>
      <c r="K84" s="156">
        <f t="shared" si="6"/>
        <v>766059.62</v>
      </c>
      <c r="L84" s="156">
        <f t="shared" si="6"/>
        <v>0</v>
      </c>
      <c r="M84" s="156">
        <f>SUM(M73:M82)</f>
        <v>4741776.9399999995</v>
      </c>
      <c r="N84" s="156">
        <f t="shared" si="6"/>
        <v>0</v>
      </c>
      <c r="O84" s="156">
        <f>SUM(O73:O82)</f>
        <v>20185.8</v>
      </c>
      <c r="P84" s="156">
        <f t="shared" si="6"/>
        <v>1700000</v>
      </c>
      <c r="Q84" s="156">
        <f t="shared" ref="Q84:X84" si="7">SUM(Q73:Q82)</f>
        <v>0</v>
      </c>
      <c r="R84" s="156">
        <f t="shared" si="7"/>
        <v>0</v>
      </c>
      <c r="S84" s="156">
        <f t="shared" si="7"/>
        <v>0</v>
      </c>
      <c r="T84" s="156">
        <f t="shared" si="7"/>
        <v>0</v>
      </c>
      <c r="U84" s="156">
        <f t="shared" si="7"/>
        <v>0</v>
      </c>
      <c r="V84" s="156">
        <f t="shared" si="7"/>
        <v>0</v>
      </c>
      <c r="W84" s="156">
        <f t="shared" si="7"/>
        <v>0</v>
      </c>
      <c r="X84" s="156">
        <f t="shared" si="7"/>
        <v>157328741.22000003</v>
      </c>
      <c r="Y84" s="156"/>
    </row>
    <row r="85" spans="1:25" ht="17.100000000000001" customHeight="1" thickTop="1">
      <c r="A85" s="154"/>
      <c r="B85" s="155"/>
      <c r="C85" s="155"/>
      <c r="D85" s="155"/>
      <c r="E85" s="155"/>
      <c r="F85" s="155"/>
      <c r="G85" s="155"/>
      <c r="H85" s="155"/>
      <c r="I85" s="155"/>
      <c r="J85" s="155"/>
      <c r="K85" s="155"/>
      <c r="L85" s="155"/>
      <c r="M85" s="155"/>
      <c r="N85" s="155"/>
      <c r="O85" s="155"/>
      <c r="P85" s="155"/>
      <c r="Q85" s="155"/>
      <c r="R85" s="155"/>
      <c r="S85" s="155"/>
      <c r="T85" s="155"/>
      <c r="U85" s="155"/>
      <c r="V85" s="155"/>
      <c r="W85" s="155"/>
      <c r="X85" s="154"/>
      <c r="Y85" s="155"/>
    </row>
    <row r="86" spans="1:25" ht="17.100000000000001" customHeight="1">
      <c r="A86" s="154" t="s">
        <v>578</v>
      </c>
      <c r="B86" s="157">
        <v>0</v>
      </c>
      <c r="C86" s="157">
        <v>0</v>
      </c>
      <c r="D86" s="157">
        <v>0</v>
      </c>
      <c r="E86" s="157">
        <v>2250</v>
      </c>
      <c r="F86" s="157">
        <v>438977.05</v>
      </c>
      <c r="G86" s="157">
        <v>0</v>
      </c>
      <c r="H86" s="157">
        <v>0</v>
      </c>
      <c r="I86" s="157">
        <v>0</v>
      </c>
      <c r="J86" s="157">
        <v>5000</v>
      </c>
      <c r="K86" s="157">
        <v>0</v>
      </c>
      <c r="L86" s="157">
        <v>13530</v>
      </c>
      <c r="M86" s="157">
        <v>0</v>
      </c>
      <c r="N86" s="157">
        <v>0</v>
      </c>
      <c r="O86" s="157">
        <v>0</v>
      </c>
      <c r="P86" s="157">
        <v>0</v>
      </c>
      <c r="Q86" s="157">
        <v>0</v>
      </c>
      <c r="R86" s="157">
        <v>0</v>
      </c>
      <c r="S86" s="157"/>
      <c r="T86" s="157"/>
      <c r="U86" s="157"/>
      <c r="V86" s="157">
        <v>0</v>
      </c>
      <c r="W86" s="157">
        <v>0</v>
      </c>
      <c r="X86" s="151">
        <f t="shared" ref="X86:X100" si="8">SUM(B19:Y19)+SUM(B86:W86)</f>
        <v>2211639.2799999998</v>
      </c>
      <c r="Y86" s="155"/>
    </row>
    <row r="87" spans="1:25" ht="17.100000000000001" customHeight="1">
      <c r="A87" s="154" t="s">
        <v>579</v>
      </c>
      <c r="B87" s="155"/>
      <c r="C87" s="155"/>
      <c r="D87" s="155"/>
      <c r="E87" s="157">
        <v>84.82</v>
      </c>
      <c r="F87" s="157">
        <v>173833.23</v>
      </c>
      <c r="G87" s="155"/>
      <c r="H87" s="155"/>
      <c r="I87" s="157">
        <v>130000</v>
      </c>
      <c r="J87" s="157">
        <v>0</v>
      </c>
      <c r="K87" s="157">
        <v>299423</v>
      </c>
      <c r="L87" s="155"/>
      <c r="M87" s="157">
        <v>4929009</v>
      </c>
      <c r="N87" s="155"/>
      <c r="O87" s="155"/>
      <c r="P87" s="155"/>
      <c r="Q87" s="155"/>
      <c r="R87" s="155"/>
      <c r="S87" s="155"/>
      <c r="T87" s="155"/>
      <c r="U87" s="155"/>
      <c r="V87" s="155"/>
      <c r="W87" s="155"/>
      <c r="X87" s="151">
        <f t="shared" si="8"/>
        <v>14905847.039999999</v>
      </c>
      <c r="Y87" s="155"/>
    </row>
    <row r="88" spans="1:25" ht="17.100000000000001" customHeight="1">
      <c r="A88" s="154" t="s">
        <v>580</v>
      </c>
      <c r="B88" s="153"/>
      <c r="C88" s="153"/>
      <c r="D88" s="153"/>
      <c r="E88" s="153">
        <v>600</v>
      </c>
      <c r="F88" s="153">
        <v>37373.5</v>
      </c>
      <c r="G88" s="153"/>
      <c r="H88" s="153"/>
      <c r="I88" s="153">
        <v>0</v>
      </c>
      <c r="J88" s="153"/>
      <c r="K88" s="153"/>
      <c r="L88" s="153"/>
      <c r="M88" s="153"/>
      <c r="N88" s="153">
        <v>0</v>
      </c>
      <c r="O88" s="153">
        <v>158260.4</v>
      </c>
      <c r="P88" s="153"/>
      <c r="Q88" s="153"/>
      <c r="R88" s="153">
        <v>0</v>
      </c>
      <c r="S88" s="150">
        <v>0</v>
      </c>
      <c r="T88" s="150"/>
      <c r="U88" s="150"/>
      <c r="V88" s="150"/>
      <c r="W88" s="150"/>
      <c r="X88" s="151">
        <f t="shared" si="8"/>
        <v>1317505.0899999999</v>
      </c>
      <c r="Y88" s="150"/>
    </row>
    <row r="89" spans="1:25" ht="17.100000000000001" customHeight="1">
      <c r="A89" s="154" t="s">
        <v>581</v>
      </c>
      <c r="B89" s="153"/>
      <c r="C89" s="153"/>
      <c r="D89" s="153"/>
      <c r="E89" s="153">
        <v>11386.5</v>
      </c>
      <c r="F89" s="153">
        <v>227869.93</v>
      </c>
      <c r="G89" s="153"/>
      <c r="H89" s="153"/>
      <c r="I89" s="153"/>
      <c r="J89" s="153"/>
      <c r="K89" s="153">
        <v>959</v>
      </c>
      <c r="L89" s="153"/>
      <c r="M89" s="153"/>
      <c r="N89" s="153"/>
      <c r="O89" s="153">
        <v>0</v>
      </c>
      <c r="P89" s="153">
        <v>0</v>
      </c>
      <c r="Q89" s="153"/>
      <c r="R89" s="153"/>
      <c r="S89" s="150"/>
      <c r="T89" s="150"/>
      <c r="U89" s="150"/>
      <c r="V89" s="150">
        <v>0</v>
      </c>
      <c r="W89" s="150"/>
      <c r="X89" s="151">
        <f t="shared" si="8"/>
        <v>3643333.1900000004</v>
      </c>
      <c r="Y89" s="150"/>
    </row>
    <row r="90" spans="1:25" ht="17.100000000000001" customHeight="1">
      <c r="A90" s="149" t="s">
        <v>582</v>
      </c>
      <c r="B90" s="153"/>
      <c r="C90" s="153"/>
      <c r="D90" s="153"/>
      <c r="E90" s="153">
        <v>8553.75</v>
      </c>
      <c r="F90" s="153">
        <v>99927.63</v>
      </c>
      <c r="G90" s="153"/>
      <c r="H90" s="153"/>
      <c r="I90" s="153"/>
      <c r="J90" s="153"/>
      <c r="K90" s="153"/>
      <c r="L90" s="153"/>
      <c r="M90" s="153">
        <v>479542.75</v>
      </c>
      <c r="N90" s="153"/>
      <c r="O90" s="153"/>
      <c r="P90" s="153"/>
      <c r="Q90" s="153"/>
      <c r="R90" s="153"/>
      <c r="S90" s="150">
        <v>50000</v>
      </c>
      <c r="T90" s="150"/>
      <c r="U90" s="150">
        <v>110000</v>
      </c>
      <c r="V90" s="150">
        <v>10000</v>
      </c>
      <c r="W90" s="153">
        <v>0</v>
      </c>
      <c r="X90" s="151">
        <f t="shared" si="8"/>
        <v>8808386.4199999999</v>
      </c>
      <c r="Y90" s="153">
        <v>0</v>
      </c>
    </row>
    <row r="91" spans="1:25" ht="17.100000000000001" customHeight="1">
      <c r="A91" s="149" t="s">
        <v>583</v>
      </c>
      <c r="B91" s="153"/>
      <c r="C91" s="153"/>
      <c r="D91" s="153"/>
      <c r="E91" s="153">
        <v>2796</v>
      </c>
      <c r="F91" s="153">
        <v>235353</v>
      </c>
      <c r="G91" s="153"/>
      <c r="H91" s="153"/>
      <c r="I91" s="153"/>
      <c r="J91" s="153"/>
      <c r="K91" s="153"/>
      <c r="L91" s="153"/>
      <c r="M91" s="153"/>
      <c r="N91" s="153"/>
      <c r="O91" s="153"/>
      <c r="P91" s="153"/>
      <c r="Q91" s="153"/>
      <c r="R91" s="153"/>
      <c r="S91" s="150">
        <v>61000</v>
      </c>
      <c r="T91" s="150"/>
      <c r="U91" s="150">
        <v>234898.61</v>
      </c>
      <c r="V91" s="150">
        <v>8100</v>
      </c>
      <c r="W91" s="153">
        <v>0</v>
      </c>
      <c r="X91" s="151">
        <f t="shared" si="8"/>
        <v>4435877.1400000006</v>
      </c>
      <c r="Y91" s="153">
        <v>0</v>
      </c>
    </row>
    <row r="92" spans="1:25" ht="17.100000000000001" customHeight="1">
      <c r="A92" s="149" t="s">
        <v>584</v>
      </c>
      <c r="B92" s="153"/>
      <c r="C92" s="153"/>
      <c r="D92" s="153"/>
      <c r="E92" s="153">
        <v>10009.5</v>
      </c>
      <c r="F92" s="153">
        <v>51386</v>
      </c>
      <c r="G92" s="153"/>
      <c r="H92" s="153"/>
      <c r="I92" s="153"/>
      <c r="J92" s="153"/>
      <c r="K92" s="153"/>
      <c r="L92" s="153"/>
      <c r="M92" s="153"/>
      <c r="N92" s="153"/>
      <c r="O92" s="153"/>
      <c r="P92" s="153"/>
      <c r="Q92" s="153"/>
      <c r="R92" s="153"/>
      <c r="S92" s="150">
        <v>20000</v>
      </c>
      <c r="T92" s="150"/>
      <c r="U92" s="150">
        <v>36567.599999999999</v>
      </c>
      <c r="V92" s="150">
        <v>8850</v>
      </c>
      <c r="W92" s="153">
        <v>0</v>
      </c>
      <c r="X92" s="151">
        <f t="shared" si="8"/>
        <v>4370896.8499999996</v>
      </c>
      <c r="Y92" s="153">
        <v>0</v>
      </c>
    </row>
    <row r="93" spans="1:25" ht="17.100000000000001" customHeight="1">
      <c r="A93" s="149" t="s">
        <v>585</v>
      </c>
      <c r="B93" s="153"/>
      <c r="C93" s="153"/>
      <c r="D93" s="153"/>
      <c r="E93" s="153">
        <v>4087.5</v>
      </c>
      <c r="F93" s="153">
        <v>198609.78</v>
      </c>
      <c r="G93" s="153"/>
      <c r="H93" s="153"/>
      <c r="I93" s="153"/>
      <c r="J93" s="153"/>
      <c r="K93" s="153"/>
      <c r="L93" s="153"/>
      <c r="M93" s="153"/>
      <c r="N93" s="153"/>
      <c r="O93" s="153"/>
      <c r="P93" s="153">
        <v>0</v>
      </c>
      <c r="Q93" s="153"/>
      <c r="R93" s="153"/>
      <c r="S93" s="150">
        <v>14361</v>
      </c>
      <c r="T93" s="150"/>
      <c r="U93" s="150">
        <v>36580.75</v>
      </c>
      <c r="V93" s="150">
        <v>8000</v>
      </c>
      <c r="W93" s="153">
        <v>0</v>
      </c>
      <c r="X93" s="151">
        <f t="shared" si="8"/>
        <v>2796667.33</v>
      </c>
      <c r="Y93" s="153">
        <v>0</v>
      </c>
    </row>
    <row r="94" spans="1:25" ht="17.100000000000001" customHeight="1">
      <c r="A94" s="149" t="s">
        <v>586</v>
      </c>
      <c r="B94" s="153"/>
      <c r="C94" s="153"/>
      <c r="D94" s="153"/>
      <c r="E94" s="153">
        <v>6900</v>
      </c>
      <c r="F94" s="153">
        <v>149999.97</v>
      </c>
      <c r="G94" s="153"/>
      <c r="H94" s="153"/>
      <c r="I94" s="153">
        <v>0</v>
      </c>
      <c r="J94" s="153"/>
      <c r="K94" s="153"/>
      <c r="L94" s="153"/>
      <c r="M94" s="153"/>
      <c r="N94" s="153"/>
      <c r="O94" s="153"/>
      <c r="P94" s="153">
        <v>0</v>
      </c>
      <c r="Q94" s="153"/>
      <c r="R94" s="153"/>
      <c r="S94" s="150">
        <v>24570</v>
      </c>
      <c r="T94" s="150"/>
      <c r="U94" s="150">
        <v>163662.32999999999</v>
      </c>
      <c r="V94" s="150">
        <v>9000</v>
      </c>
      <c r="W94" s="153">
        <v>0</v>
      </c>
      <c r="X94" s="151">
        <f t="shared" si="8"/>
        <v>3295276.7699999996</v>
      </c>
      <c r="Y94" s="153">
        <v>0</v>
      </c>
    </row>
    <row r="95" spans="1:25" ht="17.100000000000001" customHeight="1">
      <c r="A95" s="149" t="s">
        <v>587</v>
      </c>
      <c r="B95" s="153"/>
      <c r="C95" s="153"/>
      <c r="D95" s="153"/>
      <c r="E95" s="153">
        <v>1650</v>
      </c>
      <c r="F95" s="153">
        <v>29959.79</v>
      </c>
      <c r="G95" s="153"/>
      <c r="H95" s="153"/>
      <c r="I95" s="153"/>
      <c r="J95" s="153"/>
      <c r="K95" s="153"/>
      <c r="L95" s="153"/>
      <c r="M95" s="153"/>
      <c r="N95" s="153"/>
      <c r="O95" s="153"/>
      <c r="P95" s="153"/>
      <c r="Q95" s="153"/>
      <c r="R95" s="153"/>
      <c r="S95" s="150">
        <v>3140</v>
      </c>
      <c r="T95" s="150">
        <v>1881</v>
      </c>
      <c r="U95" s="150">
        <v>17926.599999999999</v>
      </c>
      <c r="V95" s="150">
        <v>7655</v>
      </c>
      <c r="W95" s="153">
        <v>0</v>
      </c>
      <c r="X95" s="151">
        <f t="shared" si="8"/>
        <v>1540126.0399999998</v>
      </c>
      <c r="Y95" s="153">
        <v>0</v>
      </c>
    </row>
    <row r="96" spans="1:25" ht="17.100000000000001" customHeight="1">
      <c r="A96" s="149" t="s">
        <v>588</v>
      </c>
      <c r="B96" s="153"/>
      <c r="C96" s="153"/>
      <c r="D96" s="153"/>
      <c r="E96" s="153">
        <v>675</v>
      </c>
      <c r="F96" s="153">
        <v>85140.479999999996</v>
      </c>
      <c r="G96" s="153"/>
      <c r="H96" s="153"/>
      <c r="I96" s="153"/>
      <c r="J96" s="153"/>
      <c r="K96" s="153"/>
      <c r="L96" s="153"/>
      <c r="M96" s="153"/>
      <c r="N96" s="153"/>
      <c r="O96" s="153"/>
      <c r="P96" s="153">
        <v>0</v>
      </c>
      <c r="Q96" s="153"/>
      <c r="R96" s="153"/>
      <c r="S96" s="150">
        <v>12668</v>
      </c>
      <c r="T96" s="150"/>
      <c r="U96" s="150">
        <v>23785</v>
      </c>
      <c r="V96" s="150">
        <v>6800</v>
      </c>
      <c r="W96" s="153">
        <v>0</v>
      </c>
      <c r="X96" s="151">
        <f t="shared" si="8"/>
        <v>1557528.63</v>
      </c>
      <c r="Y96" s="153">
        <v>0</v>
      </c>
    </row>
    <row r="97" spans="1:25" ht="17.100000000000001" customHeight="1">
      <c r="A97" s="149" t="s">
        <v>589</v>
      </c>
      <c r="B97" s="153"/>
      <c r="C97" s="153"/>
      <c r="D97" s="153"/>
      <c r="E97" s="153">
        <v>1500</v>
      </c>
      <c r="F97" s="153">
        <v>60805.38</v>
      </c>
      <c r="G97" s="153"/>
      <c r="H97" s="153"/>
      <c r="I97" s="153"/>
      <c r="J97" s="153"/>
      <c r="K97" s="153"/>
      <c r="L97" s="153"/>
      <c r="M97" s="153"/>
      <c r="N97" s="153"/>
      <c r="O97" s="153"/>
      <c r="P97" s="153">
        <v>0</v>
      </c>
      <c r="Q97" s="153"/>
      <c r="R97" s="153"/>
      <c r="S97" s="150">
        <v>6873</v>
      </c>
      <c r="T97" s="150"/>
      <c r="U97" s="150">
        <v>9480.1</v>
      </c>
      <c r="V97" s="150">
        <v>5400</v>
      </c>
      <c r="W97" s="153">
        <v>0</v>
      </c>
      <c r="X97" s="151">
        <f t="shared" si="8"/>
        <v>1840458.52</v>
      </c>
      <c r="Y97" s="153">
        <v>0</v>
      </c>
    </row>
    <row r="98" spans="1:25" ht="17.100000000000001" customHeight="1">
      <c r="A98" s="149" t="s">
        <v>590</v>
      </c>
      <c r="B98" s="153"/>
      <c r="C98" s="153"/>
      <c r="D98" s="153"/>
      <c r="E98" s="153">
        <v>1984.5</v>
      </c>
      <c r="F98" s="153">
        <v>105615</v>
      </c>
      <c r="G98" s="153"/>
      <c r="H98" s="153"/>
      <c r="I98" s="153"/>
      <c r="J98" s="153"/>
      <c r="K98" s="153"/>
      <c r="L98" s="153"/>
      <c r="M98" s="153"/>
      <c r="N98" s="153"/>
      <c r="O98" s="153"/>
      <c r="P98" s="153"/>
      <c r="Q98" s="153"/>
      <c r="R98" s="153"/>
      <c r="S98" s="150">
        <v>15699</v>
      </c>
      <c r="T98" s="150"/>
      <c r="U98" s="150">
        <v>41289.26</v>
      </c>
      <c r="V98" s="150">
        <v>4950</v>
      </c>
      <c r="W98" s="153">
        <v>0</v>
      </c>
      <c r="X98" s="151">
        <f t="shared" si="8"/>
        <v>2526204.21</v>
      </c>
      <c r="Y98" s="153">
        <v>0</v>
      </c>
    </row>
    <row r="99" spans="1:25" ht="17.100000000000001" customHeight="1">
      <c r="A99" s="149" t="s">
        <v>591</v>
      </c>
      <c r="B99" s="153"/>
      <c r="C99" s="153"/>
      <c r="D99" s="153"/>
      <c r="E99" s="153">
        <v>450</v>
      </c>
      <c r="F99" s="153">
        <v>52094.400000000001</v>
      </c>
      <c r="G99" s="153"/>
      <c r="H99" s="153"/>
      <c r="I99" s="153"/>
      <c r="J99" s="153"/>
      <c r="K99" s="153"/>
      <c r="L99" s="153"/>
      <c r="M99" s="153"/>
      <c r="N99" s="153"/>
      <c r="O99" s="153"/>
      <c r="P99" s="153"/>
      <c r="Q99" s="153"/>
      <c r="R99" s="153"/>
      <c r="S99" s="150">
        <v>6685</v>
      </c>
      <c r="T99" s="150"/>
      <c r="U99" s="150">
        <v>2922.5</v>
      </c>
      <c r="V99" s="150">
        <v>8000</v>
      </c>
      <c r="W99" s="153">
        <v>0</v>
      </c>
      <c r="X99" s="151">
        <f t="shared" si="8"/>
        <v>1525439.9899999998</v>
      </c>
      <c r="Y99" s="153">
        <v>0</v>
      </c>
    </row>
    <row r="100" spans="1:25" ht="17.100000000000001" customHeight="1">
      <c r="A100" s="149" t="s">
        <v>592</v>
      </c>
      <c r="B100" s="153">
        <v>1415909</v>
      </c>
      <c r="C100" s="153"/>
      <c r="D100" s="153"/>
      <c r="E100" s="153">
        <v>5000</v>
      </c>
      <c r="F100" s="153">
        <v>166528.51</v>
      </c>
      <c r="G100" s="153"/>
      <c r="H100" s="153"/>
      <c r="I100" s="153"/>
      <c r="J100" s="153"/>
      <c r="K100" s="153">
        <v>103305.95</v>
      </c>
      <c r="L100" s="153"/>
      <c r="M100" s="153"/>
      <c r="N100" s="153"/>
      <c r="O100" s="153"/>
      <c r="P100" s="153"/>
      <c r="Q100" s="153"/>
      <c r="R100" s="153"/>
      <c r="S100" s="150"/>
      <c r="T100" s="150"/>
      <c r="U100" s="150"/>
      <c r="V100" s="150"/>
      <c r="W100" s="150">
        <v>0</v>
      </c>
      <c r="X100" s="151">
        <f t="shared" si="8"/>
        <v>2579314.4699999997</v>
      </c>
      <c r="Y100" s="150"/>
    </row>
    <row r="101" spans="1:25" ht="17.100000000000001" customHeight="1">
      <c r="A101" s="154"/>
      <c r="B101" s="157"/>
      <c r="C101" s="157"/>
      <c r="D101" s="157"/>
      <c r="E101" s="157"/>
      <c r="F101" s="157"/>
      <c r="G101" s="157"/>
      <c r="H101" s="157"/>
      <c r="I101" s="157"/>
      <c r="J101" s="157"/>
      <c r="K101" s="157"/>
      <c r="L101" s="157"/>
      <c r="M101" s="157"/>
      <c r="N101" s="157"/>
      <c r="O101" s="157"/>
      <c r="P101" s="157"/>
      <c r="Q101" s="157"/>
      <c r="R101" s="157"/>
      <c r="S101" s="155"/>
      <c r="T101" s="155"/>
      <c r="U101" s="155"/>
      <c r="V101" s="155"/>
      <c r="W101" s="155"/>
      <c r="X101" s="154"/>
      <c r="Y101" s="155"/>
    </row>
    <row r="102" spans="1:25" ht="17.100000000000001" customHeight="1" thickBot="1">
      <c r="A102" s="142" t="s">
        <v>485</v>
      </c>
      <c r="B102" s="156">
        <f t="shared" ref="B102:X102" si="9">SUM(B86:B100)</f>
        <v>1415909</v>
      </c>
      <c r="C102" s="156">
        <f t="shared" si="9"/>
        <v>0</v>
      </c>
      <c r="D102" s="156">
        <f t="shared" si="9"/>
        <v>0</v>
      </c>
      <c r="E102" s="156">
        <f t="shared" si="9"/>
        <v>57927.57</v>
      </c>
      <c r="F102" s="156">
        <f t="shared" si="9"/>
        <v>2113473.6499999994</v>
      </c>
      <c r="G102" s="156">
        <f t="shared" si="9"/>
        <v>0</v>
      </c>
      <c r="H102" s="156">
        <f t="shared" si="9"/>
        <v>0</v>
      </c>
      <c r="I102" s="156">
        <f t="shared" si="9"/>
        <v>130000</v>
      </c>
      <c r="J102" s="156">
        <f t="shared" si="9"/>
        <v>5000</v>
      </c>
      <c r="K102" s="156">
        <f t="shared" si="9"/>
        <v>403687.95</v>
      </c>
      <c r="L102" s="156">
        <f t="shared" si="9"/>
        <v>13530</v>
      </c>
      <c r="M102" s="156">
        <f t="shared" si="9"/>
        <v>5408551.75</v>
      </c>
      <c r="N102" s="156">
        <f t="shared" si="9"/>
        <v>0</v>
      </c>
      <c r="O102" s="156">
        <f t="shared" si="9"/>
        <v>158260.4</v>
      </c>
      <c r="P102" s="156">
        <f t="shared" si="9"/>
        <v>0</v>
      </c>
      <c r="Q102" s="156">
        <f t="shared" si="9"/>
        <v>0</v>
      </c>
      <c r="R102" s="156">
        <f t="shared" si="9"/>
        <v>0</v>
      </c>
      <c r="S102" s="156">
        <f t="shared" si="9"/>
        <v>214996</v>
      </c>
      <c r="T102" s="156">
        <f t="shared" si="9"/>
        <v>1881</v>
      </c>
      <c r="U102" s="156">
        <f t="shared" si="9"/>
        <v>677112.74999999988</v>
      </c>
      <c r="V102" s="156">
        <f>SUM(V86:V100)</f>
        <v>76755</v>
      </c>
      <c r="W102" s="156">
        <f t="shared" si="9"/>
        <v>0</v>
      </c>
      <c r="X102" s="156">
        <f t="shared" si="9"/>
        <v>57354500.970000006</v>
      </c>
      <c r="Y102" s="156" t="s">
        <v>9</v>
      </c>
    </row>
    <row r="103" spans="1:25" ht="17.100000000000001" customHeight="1" thickTop="1">
      <c r="A103" s="158"/>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row>
    <row r="104" spans="1:25" ht="17.100000000000001" customHeight="1">
      <c r="A104" s="149" t="s">
        <v>593</v>
      </c>
      <c r="B104" s="157"/>
      <c r="C104" s="157"/>
      <c r="D104" s="157"/>
      <c r="E104" s="157"/>
      <c r="F104" s="157">
        <v>1094444.8400000001</v>
      </c>
      <c r="G104" s="157"/>
      <c r="H104" s="157"/>
      <c r="I104" s="157"/>
      <c r="J104" s="157"/>
      <c r="K104" s="157"/>
      <c r="L104" s="157"/>
      <c r="M104" s="157">
        <v>0</v>
      </c>
      <c r="N104" s="157"/>
      <c r="O104" s="157"/>
      <c r="P104" s="157"/>
      <c r="Q104" s="157"/>
      <c r="R104" s="157"/>
      <c r="S104" s="157"/>
      <c r="T104" s="157"/>
      <c r="U104" s="157"/>
      <c r="V104" s="157"/>
      <c r="W104" s="157"/>
      <c r="X104" s="151">
        <f t="shared" ref="X104:X112" si="10">SUM(B37:Y37)+SUM(B104:W104)</f>
        <v>1782208.67</v>
      </c>
      <c r="Y104" s="157"/>
    </row>
    <row r="105" spans="1:25" ht="17.100000000000001" customHeight="1">
      <c r="A105" s="149" t="s">
        <v>594</v>
      </c>
      <c r="B105" s="157"/>
      <c r="C105" s="157"/>
      <c r="D105" s="157"/>
      <c r="E105" s="157"/>
      <c r="F105" s="157">
        <v>142229.06</v>
      </c>
      <c r="G105" s="157"/>
      <c r="H105" s="157"/>
      <c r="I105" s="157"/>
      <c r="J105" s="157"/>
      <c r="K105" s="157"/>
      <c r="L105" s="157"/>
      <c r="M105" s="157"/>
      <c r="N105" s="157"/>
      <c r="O105" s="157"/>
      <c r="P105" s="157"/>
      <c r="Q105" s="157"/>
      <c r="R105" s="157"/>
      <c r="S105" s="157"/>
      <c r="T105" s="157"/>
      <c r="U105" s="157"/>
      <c r="V105" s="157"/>
      <c r="W105" s="157"/>
      <c r="X105" s="151">
        <f t="shared" si="10"/>
        <v>922929.35000000009</v>
      </c>
      <c r="Y105" s="157"/>
    </row>
    <row r="106" spans="1:25" ht="17.100000000000001" customHeight="1">
      <c r="A106" s="149" t="s">
        <v>595</v>
      </c>
      <c r="B106" s="157"/>
      <c r="C106" s="157"/>
      <c r="D106" s="157"/>
      <c r="E106" s="157"/>
      <c r="F106" s="157">
        <v>35147.019999999997</v>
      </c>
      <c r="G106" s="157"/>
      <c r="H106" s="157"/>
      <c r="I106" s="157"/>
      <c r="J106" s="157">
        <v>22600</v>
      </c>
      <c r="K106" s="157">
        <v>0</v>
      </c>
      <c r="L106" s="157">
        <v>0</v>
      </c>
      <c r="M106" s="157">
        <v>0</v>
      </c>
      <c r="N106" s="157"/>
      <c r="O106" s="157"/>
      <c r="P106" s="157"/>
      <c r="Q106" s="157"/>
      <c r="R106" s="157"/>
      <c r="S106" s="157"/>
      <c r="T106" s="157"/>
      <c r="U106" s="157"/>
      <c r="V106" s="157"/>
      <c r="W106" s="157"/>
      <c r="X106" s="151">
        <f t="shared" si="10"/>
        <v>778453.52</v>
      </c>
      <c r="Y106" s="157"/>
    </row>
    <row r="107" spans="1:25" ht="17.100000000000001" customHeight="1">
      <c r="A107" s="149" t="s">
        <v>596</v>
      </c>
      <c r="B107" s="157"/>
      <c r="C107" s="157"/>
      <c r="D107" s="157"/>
      <c r="E107" s="157"/>
      <c r="F107" s="157">
        <v>172723.51</v>
      </c>
      <c r="G107" s="157"/>
      <c r="H107" s="157"/>
      <c r="I107" s="157"/>
      <c r="J107" s="157" t="s">
        <v>9</v>
      </c>
      <c r="K107" s="157"/>
      <c r="L107" s="157">
        <v>8023</v>
      </c>
      <c r="M107" s="157"/>
      <c r="N107" s="157"/>
      <c r="O107" s="157"/>
      <c r="P107" s="157"/>
      <c r="Q107" s="157"/>
      <c r="R107" s="157"/>
      <c r="S107" s="157"/>
      <c r="T107" s="157"/>
      <c r="U107" s="157"/>
      <c r="V107" s="157"/>
      <c r="W107" s="157"/>
      <c r="X107" s="151">
        <f t="shared" si="10"/>
        <v>922414.39</v>
      </c>
      <c r="Y107" s="157"/>
    </row>
    <row r="108" spans="1:25" ht="17.100000000000001" customHeight="1">
      <c r="A108" s="149" t="s">
        <v>597</v>
      </c>
      <c r="B108" s="157"/>
      <c r="C108" s="157"/>
      <c r="D108" s="157"/>
      <c r="E108" s="157">
        <v>0</v>
      </c>
      <c r="F108" s="157">
        <v>6475</v>
      </c>
      <c r="G108" s="157"/>
      <c r="H108" s="157"/>
      <c r="I108" s="157"/>
      <c r="J108" s="157"/>
      <c r="K108" s="157"/>
      <c r="L108" s="157"/>
      <c r="M108" s="157"/>
      <c r="N108" s="157"/>
      <c r="O108" s="157"/>
      <c r="P108" s="157"/>
      <c r="Q108" s="157"/>
      <c r="R108" s="157"/>
      <c r="S108" s="157"/>
      <c r="T108" s="157"/>
      <c r="U108" s="157"/>
      <c r="V108" s="157"/>
      <c r="W108" s="157"/>
      <c r="X108" s="151">
        <f t="shared" si="10"/>
        <v>352140.19</v>
      </c>
      <c r="Y108" s="157"/>
    </row>
    <row r="109" spans="1:25" ht="17.100000000000001" customHeight="1">
      <c r="A109" s="149" t="s">
        <v>598</v>
      </c>
      <c r="B109" s="157"/>
      <c r="C109" s="157"/>
      <c r="D109" s="157"/>
      <c r="E109" s="157">
        <v>17625</v>
      </c>
      <c r="F109" s="157">
        <v>157793.73000000001</v>
      </c>
      <c r="G109" s="157"/>
      <c r="H109" s="157"/>
      <c r="I109" s="157"/>
      <c r="J109" s="157"/>
      <c r="K109" s="157">
        <v>86875</v>
      </c>
      <c r="L109" s="157"/>
      <c r="M109" s="157"/>
      <c r="N109" s="157"/>
      <c r="O109" s="157"/>
      <c r="P109" s="157"/>
      <c r="Q109" s="157"/>
      <c r="R109" s="157"/>
      <c r="S109" s="157"/>
      <c r="T109" s="157"/>
      <c r="U109" s="157"/>
      <c r="V109" s="157"/>
      <c r="W109" s="157"/>
      <c r="X109" s="151">
        <f t="shared" si="10"/>
        <v>3852836.9999999995</v>
      </c>
      <c r="Y109" s="157"/>
    </row>
    <row r="110" spans="1:25" ht="17.100000000000001" customHeight="1">
      <c r="A110" s="149" t="s">
        <v>599</v>
      </c>
      <c r="B110" s="153">
        <v>0</v>
      </c>
      <c r="C110" s="153">
        <v>0</v>
      </c>
      <c r="D110" s="153">
        <v>0</v>
      </c>
      <c r="E110" s="153">
        <v>5000</v>
      </c>
      <c r="F110" s="153">
        <v>10000</v>
      </c>
      <c r="G110" s="153"/>
      <c r="H110" s="153"/>
      <c r="I110" s="153"/>
      <c r="J110" s="153"/>
      <c r="K110" s="153">
        <v>6595</v>
      </c>
      <c r="L110" s="153">
        <v>10000</v>
      </c>
      <c r="M110" s="153"/>
      <c r="N110" s="153"/>
      <c r="O110" s="153">
        <v>13908</v>
      </c>
      <c r="P110" s="153"/>
      <c r="Q110" s="153"/>
      <c r="R110" s="153"/>
      <c r="S110" s="153"/>
      <c r="T110" s="153"/>
      <c r="U110" s="153"/>
      <c r="V110" s="153"/>
      <c r="W110" s="153"/>
      <c r="X110" s="151">
        <f t="shared" si="10"/>
        <v>3600227.03</v>
      </c>
      <c r="Y110" s="153"/>
    </row>
    <row r="111" spans="1:25" ht="17.100000000000001" customHeight="1">
      <c r="A111" s="149" t="s">
        <v>600</v>
      </c>
      <c r="B111" s="153">
        <v>0</v>
      </c>
      <c r="C111" s="153">
        <v>0</v>
      </c>
      <c r="D111" s="153">
        <v>0</v>
      </c>
      <c r="E111" s="153">
        <v>2088.75</v>
      </c>
      <c r="F111" s="153">
        <v>98491.16</v>
      </c>
      <c r="G111" s="153">
        <v>30964233.16</v>
      </c>
      <c r="H111" s="153"/>
      <c r="I111" s="153"/>
      <c r="J111" s="153"/>
      <c r="K111" s="153">
        <v>204194.76</v>
      </c>
      <c r="L111" s="153"/>
      <c r="M111" s="153"/>
      <c r="N111" s="153"/>
      <c r="O111" s="153"/>
      <c r="P111" s="153"/>
      <c r="Q111" s="153"/>
      <c r="R111" s="153"/>
      <c r="S111" s="153"/>
      <c r="T111" s="153"/>
      <c r="U111" s="153"/>
      <c r="V111" s="153"/>
      <c r="W111" s="153"/>
      <c r="X111" s="151">
        <f t="shared" si="10"/>
        <v>40703167.579999998</v>
      </c>
      <c r="Y111" s="153"/>
    </row>
    <row r="112" spans="1:25" ht="17.100000000000001" customHeight="1">
      <c r="A112" s="149" t="s">
        <v>601</v>
      </c>
      <c r="B112" s="153">
        <v>0</v>
      </c>
      <c r="C112" s="153">
        <v>0</v>
      </c>
      <c r="D112" s="153">
        <v>0</v>
      </c>
      <c r="E112" s="153">
        <v>500</v>
      </c>
      <c r="F112" s="153">
        <v>22661.25</v>
      </c>
      <c r="G112" s="153"/>
      <c r="H112" s="153"/>
      <c r="I112" s="153"/>
      <c r="J112" s="153">
        <v>0</v>
      </c>
      <c r="K112" s="153"/>
      <c r="L112" s="153">
        <v>0</v>
      </c>
      <c r="M112" s="153"/>
      <c r="N112" s="153"/>
      <c r="O112" s="153">
        <v>0</v>
      </c>
      <c r="P112" s="153"/>
      <c r="Q112" s="153"/>
      <c r="R112" s="153">
        <v>180989.7</v>
      </c>
      <c r="S112" s="153"/>
      <c r="T112" s="153"/>
      <c r="U112" s="153"/>
      <c r="V112" s="153"/>
      <c r="W112" s="153"/>
      <c r="X112" s="151">
        <f t="shared" si="10"/>
        <v>2777536.1700000004</v>
      </c>
      <c r="Y112" s="153"/>
    </row>
    <row r="113" spans="1:25" ht="17.100000000000001" customHeight="1">
      <c r="A113" s="154"/>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4"/>
      <c r="Y113" s="155"/>
    </row>
    <row r="114" spans="1:25" ht="17.100000000000001" customHeight="1" thickBot="1">
      <c r="A114" s="142" t="s">
        <v>485</v>
      </c>
      <c r="B114" s="156">
        <f t="shared" ref="B114:Q114" si="11">SUM(B104:B112)</f>
        <v>0</v>
      </c>
      <c r="C114" s="156">
        <f t="shared" si="11"/>
        <v>0</v>
      </c>
      <c r="D114" s="156">
        <f t="shared" si="11"/>
        <v>0</v>
      </c>
      <c r="E114" s="156">
        <f t="shared" si="11"/>
        <v>25213.75</v>
      </c>
      <c r="F114" s="156">
        <f t="shared" si="11"/>
        <v>1739965.57</v>
      </c>
      <c r="G114" s="156">
        <f t="shared" si="11"/>
        <v>30964233.16</v>
      </c>
      <c r="H114" s="156">
        <f t="shared" si="11"/>
        <v>0</v>
      </c>
      <c r="I114" s="156">
        <f t="shared" si="11"/>
        <v>0</v>
      </c>
      <c r="J114" s="156">
        <f t="shared" si="11"/>
        <v>22600</v>
      </c>
      <c r="K114" s="156">
        <f t="shared" si="11"/>
        <v>297664.76</v>
      </c>
      <c r="L114" s="156">
        <f t="shared" si="11"/>
        <v>18023</v>
      </c>
      <c r="M114" s="156">
        <f t="shared" si="11"/>
        <v>0</v>
      </c>
      <c r="N114" s="156">
        <f t="shared" si="11"/>
        <v>0</v>
      </c>
      <c r="O114" s="156">
        <f t="shared" si="11"/>
        <v>13908</v>
      </c>
      <c r="P114" s="156">
        <f t="shared" si="11"/>
        <v>0</v>
      </c>
      <c r="Q114" s="156">
        <f t="shared" si="11"/>
        <v>0</v>
      </c>
      <c r="R114" s="156">
        <f>SUM(R110:R112)</f>
        <v>180989.7</v>
      </c>
      <c r="S114" s="156">
        <f>SUM(S104:S112)</f>
        <v>0</v>
      </c>
      <c r="T114" s="156"/>
      <c r="U114" s="156">
        <f>SUM(U104:U112)</f>
        <v>0</v>
      </c>
      <c r="V114" s="156">
        <f>SUM(V104:V112)</f>
        <v>0</v>
      </c>
      <c r="W114" s="156">
        <f>SUM(W104:W112)</f>
        <v>0</v>
      </c>
      <c r="X114" s="156">
        <f>SUM(X104:X112)</f>
        <v>55691913.899999999</v>
      </c>
      <c r="Y114" s="156" t="s">
        <v>9</v>
      </c>
    </row>
    <row r="115" spans="1:25" ht="17.100000000000001" customHeight="1" thickTop="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row>
    <row r="116" spans="1:25" ht="17.100000000000001" customHeight="1" thickBot="1">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row>
    <row r="117" spans="1:25" ht="17.100000000000001" customHeight="1" thickTop="1" thickBot="1">
      <c r="A117" s="145" t="s">
        <v>602</v>
      </c>
      <c r="B117" s="161">
        <f t="shared" ref="B117:I117" si="12">SUM(B84+B102+B114)</f>
        <v>31258772.949999999</v>
      </c>
      <c r="C117" s="161">
        <f t="shared" si="12"/>
        <v>7060213.9000000004</v>
      </c>
      <c r="D117" s="161">
        <f t="shared" si="12"/>
        <v>159672.5</v>
      </c>
      <c r="E117" s="161">
        <f t="shared" si="12"/>
        <v>177822.57</v>
      </c>
      <c r="F117" s="161">
        <f t="shared" si="12"/>
        <v>28617602.489999998</v>
      </c>
      <c r="G117" s="161">
        <f t="shared" si="12"/>
        <v>30964233.16</v>
      </c>
      <c r="H117" s="161">
        <f t="shared" si="12"/>
        <v>0</v>
      </c>
      <c r="I117" s="161">
        <f t="shared" si="12"/>
        <v>130000</v>
      </c>
      <c r="J117" s="161">
        <f t="shared" ref="J117:X117" si="13">SUM(J84+J102+J114)</f>
        <v>27600</v>
      </c>
      <c r="K117" s="161">
        <f t="shared" si="13"/>
        <v>1467412.33</v>
      </c>
      <c r="L117" s="161">
        <f t="shared" si="13"/>
        <v>31553</v>
      </c>
      <c r="M117" s="161">
        <f t="shared" si="13"/>
        <v>10150328.689999999</v>
      </c>
      <c r="N117" s="161">
        <f t="shared" si="13"/>
        <v>0</v>
      </c>
      <c r="O117" s="161">
        <f>SUM(O84+O102+O114)</f>
        <v>192354.19999999998</v>
      </c>
      <c r="P117" s="161">
        <f t="shared" si="13"/>
        <v>1700000</v>
      </c>
      <c r="Q117" s="161">
        <f t="shared" si="13"/>
        <v>0</v>
      </c>
      <c r="R117" s="161">
        <f t="shared" si="13"/>
        <v>180989.7</v>
      </c>
      <c r="S117" s="161">
        <f t="shared" si="13"/>
        <v>214996</v>
      </c>
      <c r="T117" s="161">
        <f t="shared" si="13"/>
        <v>1881</v>
      </c>
      <c r="U117" s="161">
        <f t="shared" si="13"/>
        <v>677112.74999999988</v>
      </c>
      <c r="V117" s="161">
        <f t="shared" si="13"/>
        <v>76755</v>
      </c>
      <c r="W117" s="161">
        <f t="shared" si="13"/>
        <v>0</v>
      </c>
      <c r="X117" s="161">
        <f t="shared" si="13"/>
        <v>270375156.09000003</v>
      </c>
      <c r="Y117" s="161" t="s">
        <v>9</v>
      </c>
    </row>
    <row r="118" spans="1:25">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row>
  </sheetData>
  <mergeCells count="4">
    <mergeCell ref="A1:L1"/>
    <mergeCell ref="M1:N1"/>
    <mergeCell ref="A68:L68"/>
    <mergeCell ref="M68:N68"/>
  </mergeCells>
  <pageMargins left="0.25" right="1.25" top="0.75" bottom="0.75" header="0.3" footer="0.3"/>
  <pageSetup paperSize="5" orientation="landscape" verticalDpi="300" r:id="rId1"/>
</worksheet>
</file>

<file path=xl/worksheets/sheet209.xml><?xml version="1.0" encoding="utf-8"?>
<worksheet xmlns="http://schemas.openxmlformats.org/spreadsheetml/2006/main" xmlns:r="http://schemas.openxmlformats.org/officeDocument/2006/relationships">
  <sheetPr codeName="Sheet157"/>
  <dimension ref="A2:Y49"/>
  <sheetViews>
    <sheetView workbookViewId="0">
      <pane ySplit="4" topLeftCell="A26" activePane="bottomLeft" state="frozen"/>
      <selection pane="bottomLeft" activeCell="E3" sqref="E3"/>
    </sheetView>
  </sheetViews>
  <sheetFormatPr defaultColWidth="9.109375" defaultRowHeight="15.6"/>
  <cols>
    <col min="1" max="1" width="9.109375" style="117"/>
    <col min="2" max="2" width="15.109375" style="117" customWidth="1"/>
    <col min="3" max="3" width="14.44140625" style="117" customWidth="1"/>
    <col min="4" max="4" width="13.88671875" style="117" customWidth="1"/>
    <col min="5" max="5" width="1" style="117" customWidth="1"/>
    <col min="6" max="6" width="15" style="117" customWidth="1"/>
    <col min="7" max="7" width="13.88671875" style="117" customWidth="1"/>
    <col min="8" max="8" width="14" style="117" customWidth="1"/>
    <col min="9" max="9" width="13.44140625" style="117" customWidth="1"/>
    <col min="10" max="10" width="13.88671875" style="117" customWidth="1"/>
    <col min="11" max="11" width="13.109375" style="117" customWidth="1"/>
    <col min="12" max="12" width="12.88671875" style="117" customWidth="1"/>
    <col min="13" max="13" width="13.109375" style="117" customWidth="1"/>
    <col min="14" max="14" width="12.88671875" style="117" customWidth="1"/>
    <col min="15" max="15" width="13.109375" style="117" customWidth="1"/>
    <col min="16" max="16" width="13.44140625" style="117" customWidth="1"/>
    <col min="17" max="17" width="12.88671875" style="117" customWidth="1"/>
    <col min="18" max="18" width="13.44140625" style="117" customWidth="1"/>
    <col min="19" max="19" width="12.88671875" style="117" customWidth="1"/>
    <col min="20" max="20" width="5.109375" style="117" customWidth="1"/>
    <col min="21" max="21" width="12.88671875" style="117" hidden="1" customWidth="1"/>
    <col min="22" max="22" width="12.88671875" style="117" customWidth="1"/>
    <col min="23" max="23" width="13.109375" style="117" customWidth="1"/>
    <col min="24" max="24" width="14.109375" style="117" customWidth="1"/>
    <col min="25" max="16384" width="9.109375" style="117"/>
  </cols>
  <sheetData>
    <row r="2" spans="1:25">
      <c r="B2" s="163" t="s">
        <v>637</v>
      </c>
    </row>
    <row r="3" spans="1:25" ht="16.2" thickBot="1">
      <c r="A3" s="164" t="s">
        <v>638</v>
      </c>
      <c r="B3" s="164" t="s">
        <v>639</v>
      </c>
      <c r="C3" s="164" t="s">
        <v>640</v>
      </c>
      <c r="D3" s="164" t="s">
        <v>641</v>
      </c>
      <c r="E3" s="164" t="s">
        <v>642</v>
      </c>
      <c r="F3" s="164" t="s">
        <v>643</v>
      </c>
      <c r="G3" s="164" t="s">
        <v>644</v>
      </c>
      <c r="H3" s="164" t="s">
        <v>645</v>
      </c>
      <c r="I3" s="164" t="s">
        <v>646</v>
      </c>
      <c r="J3" s="164" t="s">
        <v>647</v>
      </c>
      <c r="K3" s="164" t="s">
        <v>648</v>
      </c>
      <c r="L3" s="164" t="s">
        <v>649</v>
      </c>
      <c r="M3" s="164" t="s">
        <v>650</v>
      </c>
      <c r="N3" s="164" t="s">
        <v>651</v>
      </c>
      <c r="O3" s="164" t="s">
        <v>652</v>
      </c>
      <c r="P3" s="164" t="s">
        <v>653</v>
      </c>
      <c r="Q3" s="164" t="s">
        <v>654</v>
      </c>
      <c r="R3" s="164" t="s">
        <v>655</v>
      </c>
      <c r="S3" s="164" t="s">
        <v>656</v>
      </c>
      <c r="T3" s="164" t="s">
        <v>657</v>
      </c>
      <c r="U3" s="164" t="s">
        <v>658</v>
      </c>
      <c r="V3" s="164" t="s">
        <v>659</v>
      </c>
      <c r="W3" s="164" t="s">
        <v>660</v>
      </c>
      <c r="X3" s="164" t="s">
        <v>661</v>
      </c>
      <c r="Y3" s="162"/>
    </row>
    <row r="4" spans="1:25" ht="16.8" thickTop="1" thickBot="1">
      <c r="A4" s="165"/>
      <c r="B4" s="166">
        <v>701</v>
      </c>
      <c r="C4" s="166" t="s">
        <v>662</v>
      </c>
      <c r="D4" s="166">
        <v>711</v>
      </c>
      <c r="E4" s="166">
        <v>712</v>
      </c>
      <c r="F4" s="166">
        <v>713</v>
      </c>
      <c r="G4" s="166">
        <v>714</v>
      </c>
      <c r="H4" s="166">
        <v>715</v>
      </c>
      <c r="I4" s="166">
        <v>717</v>
      </c>
      <c r="J4" s="166" t="s">
        <v>25</v>
      </c>
      <c r="K4" s="166" t="s">
        <v>9</v>
      </c>
      <c r="L4" s="166"/>
      <c r="M4" s="166">
        <v>723</v>
      </c>
      <c r="N4" s="166">
        <v>724</v>
      </c>
      <c r="O4" s="166">
        <v>725</v>
      </c>
      <c r="P4" s="166">
        <v>731</v>
      </c>
      <c r="Q4" s="166">
        <v>732</v>
      </c>
      <c r="R4" s="166">
        <v>733</v>
      </c>
      <c r="S4" s="166">
        <v>734</v>
      </c>
      <c r="T4" s="166">
        <v>740</v>
      </c>
      <c r="U4" s="166">
        <v>742</v>
      </c>
      <c r="V4" s="166" t="s">
        <v>663</v>
      </c>
      <c r="W4" s="166" t="s">
        <v>133</v>
      </c>
      <c r="X4" s="167" t="s">
        <v>9</v>
      </c>
      <c r="Y4" s="162"/>
    </row>
    <row r="5" spans="1:25">
      <c r="A5" s="168"/>
      <c r="B5" s="169"/>
      <c r="C5" s="169"/>
      <c r="D5" s="169"/>
      <c r="E5" s="169"/>
      <c r="F5" s="169"/>
      <c r="G5" s="169"/>
      <c r="H5" s="169"/>
      <c r="I5" s="169"/>
      <c r="J5" s="169"/>
      <c r="K5" s="169"/>
      <c r="L5" s="169"/>
      <c r="M5" s="169"/>
      <c r="N5" s="169"/>
      <c r="O5" s="169"/>
      <c r="P5" s="169"/>
      <c r="Q5" s="169"/>
      <c r="R5" s="169"/>
      <c r="S5" s="169"/>
      <c r="T5" s="169"/>
      <c r="U5" s="169"/>
      <c r="V5" s="169"/>
      <c r="W5" s="169"/>
      <c r="X5" s="170"/>
      <c r="Y5" s="162"/>
    </row>
    <row r="6" spans="1:25">
      <c r="A6" s="171" t="s">
        <v>568</v>
      </c>
      <c r="B6" s="172">
        <v>8166112.21</v>
      </c>
      <c r="C6" s="172">
        <v>3126149.64</v>
      </c>
      <c r="D6" s="172">
        <v>2291937.71</v>
      </c>
      <c r="E6" s="172"/>
      <c r="F6" s="172">
        <v>290000</v>
      </c>
      <c r="G6" s="172">
        <v>166700</v>
      </c>
      <c r="H6" s="172">
        <v>424000</v>
      </c>
      <c r="I6" s="172">
        <v>159666.66</v>
      </c>
      <c r="J6" s="172">
        <v>1852000</v>
      </c>
      <c r="K6" s="172">
        <v>0</v>
      </c>
      <c r="L6" s="172"/>
      <c r="M6" s="172">
        <v>250284.39</v>
      </c>
      <c r="N6" s="172">
        <v>482500</v>
      </c>
      <c r="O6" s="173">
        <v>941130</v>
      </c>
      <c r="P6" s="172">
        <v>1352883.07</v>
      </c>
      <c r="Q6" s="172">
        <v>118762.5</v>
      </c>
      <c r="R6" s="172">
        <v>130787.5</v>
      </c>
      <c r="S6" s="172">
        <v>86460.65</v>
      </c>
      <c r="T6" s="172">
        <v>0</v>
      </c>
      <c r="U6" s="172">
        <v>0</v>
      </c>
      <c r="V6" s="172">
        <v>470000</v>
      </c>
      <c r="W6" s="172">
        <v>45000</v>
      </c>
      <c r="X6" s="174">
        <f t="shared" ref="X6:X15" si="0">SUM(B6:W6)</f>
        <v>20354374.329999998</v>
      </c>
      <c r="Y6" s="162"/>
    </row>
    <row r="7" spans="1:25">
      <c r="A7" s="171" t="s">
        <v>569</v>
      </c>
      <c r="B7" s="172">
        <v>13251618.039999999</v>
      </c>
      <c r="C7" s="172">
        <v>2601349.9900000002</v>
      </c>
      <c r="D7" s="172">
        <v>2016226.24</v>
      </c>
      <c r="E7" s="172"/>
      <c r="F7" s="172">
        <v>1100850</v>
      </c>
      <c r="G7" s="172">
        <v>75600</v>
      </c>
      <c r="H7" s="172">
        <v>344000</v>
      </c>
      <c r="I7" s="172">
        <v>116000</v>
      </c>
      <c r="J7" s="172">
        <v>1620000</v>
      </c>
      <c r="K7" s="172"/>
      <c r="L7" s="172"/>
      <c r="M7" s="172">
        <v>60707.58</v>
      </c>
      <c r="N7" s="172">
        <v>444750</v>
      </c>
      <c r="O7" s="173">
        <v>1466989.25</v>
      </c>
      <c r="P7" s="172">
        <v>1867552.58</v>
      </c>
      <c r="Q7" s="172">
        <v>104845.62</v>
      </c>
      <c r="R7" s="172">
        <v>166032.17000000001</v>
      </c>
      <c r="S7" s="172">
        <v>91822.48</v>
      </c>
      <c r="T7" s="172"/>
      <c r="U7" s="172">
        <v>0</v>
      </c>
      <c r="V7" s="172">
        <v>255000</v>
      </c>
      <c r="W7" s="172">
        <v>95000</v>
      </c>
      <c r="X7" s="174">
        <f t="shared" si="0"/>
        <v>25678343.950000003</v>
      </c>
      <c r="Y7" s="162"/>
    </row>
    <row r="8" spans="1:25">
      <c r="A8" s="171" t="s">
        <v>570</v>
      </c>
      <c r="B8" s="172">
        <v>3384276.99</v>
      </c>
      <c r="C8" s="172"/>
      <c r="D8" s="172">
        <v>563930.29</v>
      </c>
      <c r="E8" s="172"/>
      <c r="F8" s="172">
        <v>33000</v>
      </c>
      <c r="G8" s="172">
        <v>33000</v>
      </c>
      <c r="H8" s="172">
        <v>100000</v>
      </c>
      <c r="I8" s="172">
        <v>46000</v>
      </c>
      <c r="J8" s="172">
        <v>480000</v>
      </c>
      <c r="K8" s="172"/>
      <c r="L8" s="172"/>
      <c r="M8" s="172">
        <v>0</v>
      </c>
      <c r="N8" s="172">
        <v>120000</v>
      </c>
      <c r="O8" s="173">
        <v>283250</v>
      </c>
      <c r="P8" s="172">
        <v>410219.77</v>
      </c>
      <c r="Q8" s="172">
        <v>28742.86</v>
      </c>
      <c r="R8" s="172">
        <v>41175</v>
      </c>
      <c r="S8" s="172">
        <v>26822.51</v>
      </c>
      <c r="T8" s="172"/>
      <c r="U8" s="172">
        <v>0</v>
      </c>
      <c r="V8" s="172">
        <v>120000</v>
      </c>
      <c r="W8" s="172">
        <v>25000</v>
      </c>
      <c r="X8" s="174">
        <f t="shared" si="0"/>
        <v>5695417.4200000009</v>
      </c>
      <c r="Y8" s="162"/>
    </row>
    <row r="9" spans="1:25">
      <c r="A9" s="171" t="s">
        <v>571</v>
      </c>
      <c r="B9" s="172">
        <v>5563657.96</v>
      </c>
      <c r="C9" s="172">
        <v>0</v>
      </c>
      <c r="D9" s="172">
        <v>726136.38</v>
      </c>
      <c r="E9" s="172"/>
      <c r="F9" s="172">
        <v>75600</v>
      </c>
      <c r="G9" s="172">
        <v>75600</v>
      </c>
      <c r="H9" s="172">
        <v>108000</v>
      </c>
      <c r="I9" s="172">
        <v>54000</v>
      </c>
      <c r="J9" s="172">
        <v>620000</v>
      </c>
      <c r="K9" s="172"/>
      <c r="L9" s="172"/>
      <c r="M9" s="172">
        <v>26979.03</v>
      </c>
      <c r="N9" s="172">
        <v>155000</v>
      </c>
      <c r="O9" s="173">
        <v>469837</v>
      </c>
      <c r="P9" s="172">
        <v>667638.96</v>
      </c>
      <c r="Q9" s="172">
        <v>36000</v>
      </c>
      <c r="R9" s="172">
        <v>66525</v>
      </c>
      <c r="S9" s="172">
        <v>34078.57</v>
      </c>
      <c r="T9" s="172"/>
      <c r="U9" s="172"/>
      <c r="V9" s="172">
        <v>150000</v>
      </c>
      <c r="W9" s="172">
        <v>0</v>
      </c>
      <c r="X9" s="174">
        <f t="shared" si="0"/>
        <v>8829052.9000000004</v>
      </c>
      <c r="Y9" s="162"/>
    </row>
    <row r="10" spans="1:25">
      <c r="A10" s="171" t="s">
        <v>572</v>
      </c>
      <c r="B10" s="172">
        <v>15685501.01</v>
      </c>
      <c r="C10" s="172">
        <v>0</v>
      </c>
      <c r="D10" s="172">
        <v>2856478.21</v>
      </c>
      <c r="E10" s="172"/>
      <c r="F10" s="172">
        <v>141600</v>
      </c>
      <c r="G10" s="172">
        <v>129000</v>
      </c>
      <c r="H10" s="172">
        <v>484000</v>
      </c>
      <c r="I10" s="172">
        <v>213666.66</v>
      </c>
      <c r="J10" s="172">
        <v>2480000</v>
      </c>
      <c r="K10" s="172"/>
      <c r="L10" s="172"/>
      <c r="M10" s="172">
        <v>63356</v>
      </c>
      <c r="N10" s="172">
        <v>625000</v>
      </c>
      <c r="O10" s="173">
        <v>1369484</v>
      </c>
      <c r="P10" s="172">
        <v>1896754.17</v>
      </c>
      <c r="Q10" s="172">
        <v>144300</v>
      </c>
      <c r="R10" s="172">
        <v>187312.5</v>
      </c>
      <c r="S10" s="172">
        <v>130113.88</v>
      </c>
      <c r="T10" s="172"/>
      <c r="U10" s="172"/>
      <c r="V10" s="172">
        <v>610000</v>
      </c>
      <c r="W10" s="172">
        <v>120000</v>
      </c>
      <c r="X10" s="174">
        <f t="shared" si="0"/>
        <v>27136566.429999996</v>
      </c>
      <c r="Y10" s="162"/>
    </row>
    <row r="11" spans="1:25">
      <c r="A11" s="171" t="s">
        <v>573</v>
      </c>
      <c r="B11" s="172">
        <v>3602745.32</v>
      </c>
      <c r="C11" s="172"/>
      <c r="D11" s="172">
        <v>442000.02</v>
      </c>
      <c r="E11" s="172"/>
      <c r="F11" s="172">
        <v>75600</v>
      </c>
      <c r="G11" s="172">
        <v>75600</v>
      </c>
      <c r="H11" s="172">
        <v>76000</v>
      </c>
      <c r="I11" s="172">
        <v>36000</v>
      </c>
      <c r="J11" s="172">
        <v>360000</v>
      </c>
      <c r="K11" s="172"/>
      <c r="L11" s="172"/>
      <c r="M11" s="172">
        <v>43742.61</v>
      </c>
      <c r="N11" s="172">
        <v>94000</v>
      </c>
      <c r="O11" s="173">
        <v>304280.59999999998</v>
      </c>
      <c r="P11" s="172">
        <v>431695.63</v>
      </c>
      <c r="Q11" s="172">
        <v>22200</v>
      </c>
      <c r="R11" s="172">
        <v>42763</v>
      </c>
      <c r="S11" s="172">
        <v>21130.06</v>
      </c>
      <c r="T11" s="172"/>
      <c r="U11" s="172"/>
      <c r="V11" s="172">
        <v>85000</v>
      </c>
      <c r="W11" s="172">
        <v>25000</v>
      </c>
      <c r="X11" s="174">
        <f t="shared" si="0"/>
        <v>5737757.2399999993</v>
      </c>
      <c r="Y11" s="162"/>
    </row>
    <row r="12" spans="1:25">
      <c r="A12" s="171" t="s">
        <v>574</v>
      </c>
      <c r="B12" s="172">
        <v>7478892.4400000004</v>
      </c>
      <c r="C12" s="172"/>
      <c r="D12" s="172">
        <v>1086220.01</v>
      </c>
      <c r="E12" s="172"/>
      <c r="F12" s="172">
        <v>130600</v>
      </c>
      <c r="G12" s="172">
        <v>130600</v>
      </c>
      <c r="H12" s="172">
        <v>184000</v>
      </c>
      <c r="I12" s="172">
        <v>92000</v>
      </c>
      <c r="J12" s="172">
        <v>900000</v>
      </c>
      <c r="K12" s="172"/>
      <c r="L12" s="172"/>
      <c r="M12" s="172">
        <v>660841.28</v>
      </c>
      <c r="N12" s="172">
        <v>232500</v>
      </c>
      <c r="O12" s="173">
        <v>630573</v>
      </c>
      <c r="P12" s="172">
        <v>897493.08</v>
      </c>
      <c r="Q12" s="172">
        <v>54400</v>
      </c>
      <c r="R12" s="172">
        <v>87650</v>
      </c>
      <c r="S12" s="172">
        <v>52187.72</v>
      </c>
      <c r="T12" s="172"/>
      <c r="U12" s="172"/>
      <c r="V12" s="172">
        <v>215000</v>
      </c>
      <c r="W12" s="172">
        <v>60000</v>
      </c>
      <c r="X12" s="174">
        <f t="shared" si="0"/>
        <v>12892957.530000001</v>
      </c>
      <c r="Y12" s="162"/>
    </row>
    <row r="13" spans="1:25">
      <c r="A13" s="171" t="s">
        <v>575</v>
      </c>
      <c r="B13" s="172">
        <v>6777307.7800000003</v>
      </c>
      <c r="C13" s="172"/>
      <c r="D13" s="172">
        <v>949565.02</v>
      </c>
      <c r="E13" s="172"/>
      <c r="F13" s="172">
        <v>141600</v>
      </c>
      <c r="G13" s="172">
        <v>141600</v>
      </c>
      <c r="H13" s="172">
        <v>144000</v>
      </c>
      <c r="I13" s="172">
        <v>84000</v>
      </c>
      <c r="J13" s="172">
        <v>820000</v>
      </c>
      <c r="K13" s="172"/>
      <c r="L13" s="172"/>
      <c r="M13" s="172">
        <v>2149.21</v>
      </c>
      <c r="N13" s="172">
        <v>207500</v>
      </c>
      <c r="O13" s="173">
        <v>584074</v>
      </c>
      <c r="P13" s="172">
        <v>814812.5</v>
      </c>
      <c r="Q13" s="172">
        <v>47737.5</v>
      </c>
      <c r="R13" s="172">
        <v>81525</v>
      </c>
      <c r="S13" s="172">
        <v>44824.03</v>
      </c>
      <c r="T13" s="172"/>
      <c r="U13" s="172"/>
      <c r="V13" s="172">
        <v>195000</v>
      </c>
      <c r="W13" s="172">
        <v>35000</v>
      </c>
      <c r="X13" s="174">
        <f t="shared" si="0"/>
        <v>11070695.040000001</v>
      </c>
      <c r="Y13" s="162"/>
    </row>
    <row r="14" spans="1:25">
      <c r="A14" s="171" t="s">
        <v>576</v>
      </c>
      <c r="B14" s="172">
        <v>4500910.3899999997</v>
      </c>
      <c r="C14" s="172"/>
      <c r="D14" s="172">
        <v>559598.25</v>
      </c>
      <c r="E14" s="172"/>
      <c r="F14" s="172">
        <v>140000</v>
      </c>
      <c r="G14" s="172">
        <v>140000</v>
      </c>
      <c r="H14" s="172">
        <v>88000</v>
      </c>
      <c r="I14" s="172">
        <v>38000</v>
      </c>
      <c r="J14" s="172">
        <v>500000</v>
      </c>
      <c r="K14" s="172"/>
      <c r="L14" s="172"/>
      <c r="M14" s="172">
        <v>20989.13</v>
      </c>
      <c r="N14" s="172">
        <v>125000</v>
      </c>
      <c r="O14" s="173">
        <v>396390</v>
      </c>
      <c r="P14" s="172">
        <v>545599.99</v>
      </c>
      <c r="Q14" s="172">
        <v>28500</v>
      </c>
      <c r="R14" s="172">
        <v>54425</v>
      </c>
      <c r="S14" s="172">
        <v>26749.77</v>
      </c>
      <c r="T14" s="172"/>
      <c r="U14" s="172"/>
      <c r="V14" s="172">
        <v>115000</v>
      </c>
      <c r="W14" s="172">
        <v>20000</v>
      </c>
      <c r="X14" s="174">
        <f t="shared" si="0"/>
        <v>7299162.5299999993</v>
      </c>
      <c r="Y14" s="162"/>
    </row>
    <row r="15" spans="1:25">
      <c r="A15" s="171" t="s">
        <v>577</v>
      </c>
      <c r="B15" s="172">
        <v>2748285.6</v>
      </c>
      <c r="C15" s="172">
        <v>0</v>
      </c>
      <c r="D15" s="172">
        <v>413000</v>
      </c>
      <c r="E15" s="172"/>
      <c r="F15" s="172">
        <v>141600</v>
      </c>
      <c r="G15" s="172">
        <v>141600</v>
      </c>
      <c r="H15" s="172">
        <v>76000</v>
      </c>
      <c r="I15" s="172">
        <v>34000</v>
      </c>
      <c r="J15" s="172">
        <v>360000</v>
      </c>
      <c r="K15" s="172"/>
      <c r="L15" s="172"/>
      <c r="M15" s="172"/>
      <c r="N15" s="172">
        <v>95000</v>
      </c>
      <c r="O15" s="173">
        <v>252670.5</v>
      </c>
      <c r="P15" s="172">
        <v>332177.67</v>
      </c>
      <c r="Q15" s="172">
        <v>20930</v>
      </c>
      <c r="R15" s="172">
        <v>32150</v>
      </c>
      <c r="S15" s="172">
        <v>19164.46</v>
      </c>
      <c r="T15" s="172"/>
      <c r="U15" s="172"/>
      <c r="V15" s="172">
        <v>95000</v>
      </c>
      <c r="W15" s="172">
        <v>15000</v>
      </c>
      <c r="X15" s="174">
        <f t="shared" si="0"/>
        <v>4776578.2299999995</v>
      </c>
      <c r="Y15" s="162"/>
    </row>
    <row r="16" spans="1:25" ht="16.2" thickBot="1">
      <c r="A16" s="164" t="s">
        <v>9</v>
      </c>
      <c r="B16" s="173"/>
      <c r="C16" s="173"/>
      <c r="D16" s="173"/>
      <c r="E16" s="173"/>
      <c r="F16" s="173"/>
      <c r="G16" s="173"/>
      <c r="H16" s="173"/>
      <c r="I16" s="173"/>
      <c r="J16" s="173"/>
      <c r="K16" s="173"/>
      <c r="L16" s="173"/>
      <c r="M16" s="173"/>
      <c r="N16" s="173"/>
      <c r="O16" s="173"/>
      <c r="P16" s="173"/>
      <c r="Q16" s="173"/>
      <c r="R16" s="173"/>
      <c r="S16" s="173"/>
      <c r="T16" s="173"/>
      <c r="U16" s="173"/>
      <c r="V16" s="173"/>
      <c r="W16" s="173"/>
      <c r="X16" s="174" t="s">
        <v>9</v>
      </c>
      <c r="Y16" s="162"/>
    </row>
    <row r="17" spans="1:25" ht="16.8" thickTop="1" thickBot="1">
      <c r="A17" s="164" t="s">
        <v>485</v>
      </c>
      <c r="B17" s="175">
        <f t="shared" ref="B17:W17" si="1">SUM(B6:B15)</f>
        <v>71159307.739999995</v>
      </c>
      <c r="C17" s="175">
        <f t="shared" si="1"/>
        <v>5727499.6300000008</v>
      </c>
      <c r="D17" s="175">
        <f t="shared" si="1"/>
        <v>11905092.129999999</v>
      </c>
      <c r="E17" s="175">
        <f t="shared" si="1"/>
        <v>0</v>
      </c>
      <c r="F17" s="175">
        <f t="shared" si="1"/>
        <v>2270450</v>
      </c>
      <c r="G17" s="175">
        <f t="shared" si="1"/>
        <v>1109300</v>
      </c>
      <c r="H17" s="175">
        <f t="shared" si="1"/>
        <v>2028000</v>
      </c>
      <c r="I17" s="175">
        <f t="shared" si="1"/>
        <v>873333.32000000007</v>
      </c>
      <c r="J17" s="175">
        <f t="shared" si="1"/>
        <v>9992000</v>
      </c>
      <c r="K17" s="175">
        <f t="shared" si="1"/>
        <v>0</v>
      </c>
      <c r="L17" s="175">
        <f t="shared" si="1"/>
        <v>0</v>
      </c>
      <c r="M17" s="175">
        <f t="shared" si="1"/>
        <v>1129049.23</v>
      </c>
      <c r="N17" s="175">
        <f t="shared" si="1"/>
        <v>2581250</v>
      </c>
      <c r="O17" s="175">
        <f t="shared" si="1"/>
        <v>6698678.3499999996</v>
      </c>
      <c r="P17" s="175">
        <f t="shared" si="1"/>
        <v>9216827.4199999999</v>
      </c>
      <c r="Q17" s="175">
        <f t="shared" si="1"/>
        <v>606418.48</v>
      </c>
      <c r="R17" s="175">
        <f t="shared" si="1"/>
        <v>890345.17</v>
      </c>
      <c r="S17" s="175">
        <f t="shared" si="1"/>
        <v>533354.13</v>
      </c>
      <c r="T17" s="175">
        <f t="shared" si="1"/>
        <v>0</v>
      </c>
      <c r="U17" s="175">
        <f t="shared" si="1"/>
        <v>0</v>
      </c>
      <c r="V17" s="175">
        <f t="shared" si="1"/>
        <v>2310000</v>
      </c>
      <c r="W17" s="175">
        <f t="shared" si="1"/>
        <v>440000</v>
      </c>
      <c r="X17" s="176">
        <f>SUM(X6:X16)</f>
        <v>129470905.60000001</v>
      </c>
      <c r="Y17" s="162"/>
    </row>
    <row r="18" spans="1:25" ht="16.2" thickTop="1">
      <c r="A18" s="171" t="s">
        <v>9</v>
      </c>
      <c r="B18" s="177"/>
      <c r="C18" s="177"/>
      <c r="D18" s="177"/>
      <c r="E18" s="177"/>
      <c r="F18" s="177"/>
      <c r="G18" s="177"/>
      <c r="H18" s="177"/>
      <c r="I18" s="177"/>
      <c r="J18" s="177"/>
      <c r="K18" s="177"/>
      <c r="L18" s="177"/>
      <c r="M18" s="177"/>
      <c r="N18" s="177"/>
      <c r="O18" s="177"/>
      <c r="P18" s="177"/>
      <c r="Q18" s="177"/>
      <c r="R18" s="177"/>
      <c r="S18" s="177"/>
      <c r="T18" s="177"/>
      <c r="U18" s="177"/>
      <c r="V18" s="177"/>
      <c r="W18" s="177"/>
      <c r="X18" s="174" t="s">
        <v>9</v>
      </c>
      <c r="Y18" s="162"/>
    </row>
    <row r="19" spans="1:25">
      <c r="A19" s="171" t="s">
        <v>578</v>
      </c>
      <c r="B19" s="178">
        <v>2385308.2400000002</v>
      </c>
      <c r="C19" s="178">
        <v>0</v>
      </c>
      <c r="D19" s="178">
        <v>325000.01</v>
      </c>
      <c r="E19" s="178"/>
      <c r="F19" s="178">
        <v>0</v>
      </c>
      <c r="G19" s="178"/>
      <c r="H19" s="178">
        <v>48000</v>
      </c>
      <c r="I19" s="178">
        <v>4000</v>
      </c>
      <c r="J19" s="178">
        <v>280000</v>
      </c>
      <c r="K19" s="178">
        <v>0</v>
      </c>
      <c r="L19" s="178">
        <v>0</v>
      </c>
      <c r="M19" s="178">
        <v>0</v>
      </c>
      <c r="N19" s="178">
        <v>70000</v>
      </c>
      <c r="O19" s="173">
        <v>207851</v>
      </c>
      <c r="P19" s="178">
        <v>286920.01</v>
      </c>
      <c r="Q19" s="178">
        <v>16300</v>
      </c>
      <c r="R19" s="178">
        <v>29337.5</v>
      </c>
      <c r="S19" s="178">
        <v>15985.02</v>
      </c>
      <c r="T19" s="178"/>
      <c r="U19" s="178">
        <v>0</v>
      </c>
      <c r="V19" s="178">
        <v>70000</v>
      </c>
      <c r="W19" s="178">
        <v>5000</v>
      </c>
      <c r="X19" s="174">
        <f t="shared" ref="X19:X33" si="2">SUM(B19:W19)</f>
        <v>3743701.78</v>
      </c>
      <c r="Y19" s="162"/>
    </row>
    <row r="20" spans="1:25">
      <c r="A20" s="171" t="s">
        <v>579</v>
      </c>
      <c r="B20" s="178">
        <v>3800551.45</v>
      </c>
      <c r="C20" s="172"/>
      <c r="D20" s="178">
        <v>651055.44999999995</v>
      </c>
      <c r="E20" s="178"/>
      <c r="F20" s="178"/>
      <c r="G20" s="178"/>
      <c r="H20" s="178">
        <v>112000</v>
      </c>
      <c r="I20" s="178">
        <v>42000</v>
      </c>
      <c r="J20" s="178">
        <v>560000</v>
      </c>
      <c r="K20" s="178">
        <v>0</v>
      </c>
      <c r="L20" s="178"/>
      <c r="M20" s="178">
        <v>496985</v>
      </c>
      <c r="N20" s="178">
        <v>142500</v>
      </c>
      <c r="O20" s="173">
        <v>325028.5</v>
      </c>
      <c r="P20" s="178">
        <v>467970.59</v>
      </c>
      <c r="Q20" s="178">
        <v>33000</v>
      </c>
      <c r="R20" s="178">
        <v>43925</v>
      </c>
      <c r="S20" s="178">
        <v>33443.379999999997</v>
      </c>
      <c r="T20" s="178"/>
      <c r="U20" s="178">
        <v>0</v>
      </c>
      <c r="V20" s="178">
        <v>140000</v>
      </c>
      <c r="W20" s="178">
        <v>60000</v>
      </c>
      <c r="X20" s="174">
        <f t="shared" si="2"/>
        <v>6908459.3700000001</v>
      </c>
      <c r="Y20" s="162"/>
    </row>
    <row r="21" spans="1:25">
      <c r="A21" s="171" t="s">
        <v>580</v>
      </c>
      <c r="B21" s="178">
        <v>1899974.8</v>
      </c>
      <c r="C21" s="178"/>
      <c r="D21" s="178">
        <v>384000</v>
      </c>
      <c r="E21" s="178"/>
      <c r="F21" s="178"/>
      <c r="G21" s="178"/>
      <c r="H21" s="178">
        <v>64000</v>
      </c>
      <c r="I21" s="178">
        <v>32000</v>
      </c>
      <c r="J21" s="178">
        <v>320000</v>
      </c>
      <c r="K21" s="178"/>
      <c r="L21" s="178"/>
      <c r="M21" s="178">
        <v>94818.95</v>
      </c>
      <c r="N21" s="178">
        <v>80000</v>
      </c>
      <c r="O21" s="173">
        <v>158332</v>
      </c>
      <c r="P21" s="178">
        <v>227996.97</v>
      </c>
      <c r="Q21" s="178">
        <v>19200</v>
      </c>
      <c r="R21" s="178">
        <v>22550</v>
      </c>
      <c r="S21" s="178">
        <v>16059.32</v>
      </c>
      <c r="T21" s="178"/>
      <c r="U21" s="178"/>
      <c r="V21" s="178">
        <v>80000</v>
      </c>
      <c r="W21" s="178">
        <v>45000</v>
      </c>
      <c r="X21" s="174">
        <f t="shared" si="2"/>
        <v>3443932.04</v>
      </c>
      <c r="Y21" s="162"/>
    </row>
    <row r="22" spans="1:25">
      <c r="A22" s="171" t="s">
        <v>581</v>
      </c>
      <c r="B22" s="178">
        <v>21973227.390000001</v>
      </c>
      <c r="C22" s="172"/>
      <c r="D22" s="178">
        <v>3034290.55</v>
      </c>
      <c r="E22" s="178"/>
      <c r="F22" s="178">
        <v>141600</v>
      </c>
      <c r="G22" s="178">
        <v>141600</v>
      </c>
      <c r="H22" s="178">
        <v>488000</v>
      </c>
      <c r="I22" s="178">
        <v>240000</v>
      </c>
      <c r="J22" s="178">
        <v>2680000</v>
      </c>
      <c r="K22" s="178">
        <v>2342184.25</v>
      </c>
      <c r="L22" s="178">
        <v>4464047.22</v>
      </c>
      <c r="M22" s="178">
        <v>0</v>
      </c>
      <c r="N22" s="178">
        <v>635000</v>
      </c>
      <c r="O22" s="173">
        <v>1889895</v>
      </c>
      <c r="P22" s="178">
        <v>2577595.88</v>
      </c>
      <c r="Q22" s="178">
        <v>171012.5</v>
      </c>
      <c r="R22" s="178">
        <v>253266.7</v>
      </c>
      <c r="S22" s="178">
        <v>176969.57</v>
      </c>
      <c r="T22" s="178"/>
      <c r="U22" s="178"/>
      <c r="V22" s="178">
        <v>620000</v>
      </c>
      <c r="W22" s="178">
        <v>140000</v>
      </c>
      <c r="X22" s="174">
        <f t="shared" si="2"/>
        <v>41968689.06000001</v>
      </c>
      <c r="Y22" s="162"/>
    </row>
    <row r="23" spans="1:25">
      <c r="A23" s="171" t="s">
        <v>582</v>
      </c>
      <c r="B23" s="178">
        <v>15064218.16</v>
      </c>
      <c r="C23" s="178">
        <v>18200</v>
      </c>
      <c r="D23" s="178">
        <v>2041441.25</v>
      </c>
      <c r="E23" s="178"/>
      <c r="F23" s="178">
        <v>66000</v>
      </c>
      <c r="G23" s="178">
        <v>0</v>
      </c>
      <c r="H23" s="178">
        <v>348000</v>
      </c>
      <c r="I23" s="178">
        <v>174000</v>
      </c>
      <c r="J23" s="178">
        <v>1591243.67</v>
      </c>
      <c r="K23" s="178">
        <v>1580720</v>
      </c>
      <c r="L23" s="178">
        <v>2899702.18</v>
      </c>
      <c r="M23" s="178"/>
      <c r="N23" s="178">
        <v>436625</v>
      </c>
      <c r="O23" s="173">
        <v>1281426.2</v>
      </c>
      <c r="P23" s="178">
        <v>1809138.03</v>
      </c>
      <c r="Q23" s="178">
        <v>102775</v>
      </c>
      <c r="R23" s="178">
        <v>183150</v>
      </c>
      <c r="S23" s="178">
        <v>97574.91</v>
      </c>
      <c r="T23" s="178"/>
      <c r="U23" s="178"/>
      <c r="V23" s="178">
        <v>410000</v>
      </c>
      <c r="W23" s="178">
        <v>40000</v>
      </c>
      <c r="X23" s="174">
        <f t="shared" si="2"/>
        <v>28144214.399999999</v>
      </c>
      <c r="Y23" s="162"/>
    </row>
    <row r="24" spans="1:25">
      <c r="A24" s="171" t="s">
        <v>583</v>
      </c>
      <c r="B24" s="178">
        <v>10257126.039999999</v>
      </c>
      <c r="C24" s="178">
        <v>0</v>
      </c>
      <c r="D24" s="178">
        <v>1485573.97</v>
      </c>
      <c r="E24" s="178"/>
      <c r="F24" s="178">
        <v>48000</v>
      </c>
      <c r="G24" s="178">
        <v>48000</v>
      </c>
      <c r="H24" s="178">
        <v>248000</v>
      </c>
      <c r="I24" s="178">
        <v>114000</v>
      </c>
      <c r="J24" s="178">
        <v>1260000</v>
      </c>
      <c r="K24" s="178">
        <v>1163770</v>
      </c>
      <c r="L24" s="178">
        <v>2142815.08</v>
      </c>
      <c r="M24" s="178"/>
      <c r="N24" s="178">
        <v>315000</v>
      </c>
      <c r="O24" s="173">
        <v>863941</v>
      </c>
      <c r="P24" s="178">
        <v>1234051.8700000001</v>
      </c>
      <c r="Q24" s="178">
        <v>74600</v>
      </c>
      <c r="R24" s="178">
        <v>124037.5</v>
      </c>
      <c r="S24" s="178">
        <v>69214.399999999994</v>
      </c>
      <c r="T24" s="178"/>
      <c r="U24" s="178"/>
      <c r="V24" s="178">
        <v>315000</v>
      </c>
      <c r="W24" s="178">
        <v>15000</v>
      </c>
      <c r="X24" s="174">
        <f t="shared" si="2"/>
        <v>19778129.859999999</v>
      </c>
      <c r="Y24" s="162"/>
    </row>
    <row r="25" spans="1:25">
      <c r="A25" s="171" t="s">
        <v>584</v>
      </c>
      <c r="B25" s="178">
        <v>7689918.7699999996</v>
      </c>
      <c r="C25" s="178">
        <v>0</v>
      </c>
      <c r="D25" s="178">
        <v>1089545.46</v>
      </c>
      <c r="E25" s="178"/>
      <c r="F25" s="178">
        <v>48000</v>
      </c>
      <c r="G25" s="178">
        <v>48000</v>
      </c>
      <c r="H25" s="178">
        <v>184000</v>
      </c>
      <c r="I25" s="178">
        <v>85333.32</v>
      </c>
      <c r="J25" s="178">
        <v>900000</v>
      </c>
      <c r="K25" s="178">
        <v>848425</v>
      </c>
      <c r="L25" s="178">
        <v>1473744.46</v>
      </c>
      <c r="M25" s="178"/>
      <c r="N25" s="178">
        <v>230000</v>
      </c>
      <c r="O25" s="173">
        <v>653788</v>
      </c>
      <c r="P25" s="178">
        <v>922976.27</v>
      </c>
      <c r="Q25" s="178">
        <v>55000</v>
      </c>
      <c r="R25" s="178">
        <v>92737.5</v>
      </c>
      <c r="S25" s="178">
        <v>50254.6</v>
      </c>
      <c r="T25" s="178"/>
      <c r="U25" s="178"/>
      <c r="V25" s="178">
        <v>225000</v>
      </c>
      <c r="W25" s="178">
        <v>30000</v>
      </c>
      <c r="X25" s="174">
        <f t="shared" si="2"/>
        <v>14626723.380000001</v>
      </c>
      <c r="Y25" s="162"/>
    </row>
    <row r="26" spans="1:25">
      <c r="A26" s="171" t="s">
        <v>585</v>
      </c>
      <c r="B26" s="178">
        <v>7789751.7999999998</v>
      </c>
      <c r="C26" s="178">
        <v>0</v>
      </c>
      <c r="D26" s="178">
        <v>1105727.33</v>
      </c>
      <c r="E26" s="178"/>
      <c r="F26" s="178">
        <v>48000</v>
      </c>
      <c r="G26" s="178">
        <v>48000</v>
      </c>
      <c r="H26" s="178">
        <v>188000</v>
      </c>
      <c r="I26" s="178">
        <v>77999.600000000006</v>
      </c>
      <c r="J26" s="178">
        <v>740000</v>
      </c>
      <c r="K26" s="178">
        <v>855515</v>
      </c>
      <c r="L26" s="178">
        <v>1452607.22</v>
      </c>
      <c r="M26" s="178"/>
      <c r="N26" s="178">
        <v>230000</v>
      </c>
      <c r="O26" s="173">
        <v>637272.5</v>
      </c>
      <c r="P26" s="178">
        <v>935911.79</v>
      </c>
      <c r="Q26" s="178">
        <v>55400</v>
      </c>
      <c r="R26" s="178">
        <v>92612.5</v>
      </c>
      <c r="S26" s="178">
        <v>51928.39</v>
      </c>
      <c r="T26" s="178"/>
      <c r="U26" s="178"/>
      <c r="V26" s="178">
        <v>230000</v>
      </c>
      <c r="W26" s="178">
        <v>25000</v>
      </c>
      <c r="X26" s="174">
        <f t="shared" si="2"/>
        <v>14563726.129999999</v>
      </c>
      <c r="Y26" s="162"/>
    </row>
    <row r="27" spans="1:25">
      <c r="A27" s="171" t="s">
        <v>664</v>
      </c>
      <c r="B27" s="178">
        <v>5993008.6399999997</v>
      </c>
      <c r="C27" s="178">
        <v>31750</v>
      </c>
      <c r="D27" s="178">
        <v>768000</v>
      </c>
      <c r="E27" s="178"/>
      <c r="F27" s="178">
        <v>48000</v>
      </c>
      <c r="G27" s="178">
        <v>48000</v>
      </c>
      <c r="H27" s="178">
        <v>128000</v>
      </c>
      <c r="I27" s="178">
        <v>60000</v>
      </c>
      <c r="J27" s="178">
        <v>640000</v>
      </c>
      <c r="K27" s="178">
        <v>583425</v>
      </c>
      <c r="L27" s="178">
        <v>1231383.5</v>
      </c>
      <c r="M27" s="178">
        <v>0</v>
      </c>
      <c r="N27" s="178">
        <v>160000</v>
      </c>
      <c r="O27" s="173">
        <v>508072</v>
      </c>
      <c r="P27" s="178">
        <v>722971.03</v>
      </c>
      <c r="Q27" s="178">
        <v>38400</v>
      </c>
      <c r="R27" s="178">
        <v>72075</v>
      </c>
      <c r="S27" s="178">
        <v>36190.300000000003</v>
      </c>
      <c r="T27" s="178"/>
      <c r="U27" s="178"/>
      <c r="V27" s="178">
        <v>160000</v>
      </c>
      <c r="W27" s="178">
        <v>25000</v>
      </c>
      <c r="X27" s="174">
        <f t="shared" si="2"/>
        <v>11254275.470000001</v>
      </c>
      <c r="Y27" s="162"/>
    </row>
    <row r="28" spans="1:25">
      <c r="A28" s="171" t="s">
        <v>587</v>
      </c>
      <c r="B28" s="178">
        <v>1924253.52</v>
      </c>
      <c r="C28" s="178">
        <v>0</v>
      </c>
      <c r="D28" s="178">
        <v>290545.46000000002</v>
      </c>
      <c r="E28" s="178"/>
      <c r="F28" s="178"/>
      <c r="G28" s="178"/>
      <c r="H28" s="178">
        <v>52000</v>
      </c>
      <c r="I28" s="178">
        <v>21999</v>
      </c>
      <c r="J28" s="178">
        <v>240000</v>
      </c>
      <c r="K28" s="178">
        <v>232600</v>
      </c>
      <c r="L28" s="178">
        <v>380017.81</v>
      </c>
      <c r="M28" s="178"/>
      <c r="N28" s="178">
        <v>62500</v>
      </c>
      <c r="O28" s="173">
        <v>166933.5</v>
      </c>
      <c r="P28" s="178">
        <v>230910.42</v>
      </c>
      <c r="Q28" s="178">
        <v>14600</v>
      </c>
      <c r="R28" s="178">
        <v>23275</v>
      </c>
      <c r="S28" s="178">
        <v>13371.3</v>
      </c>
      <c r="T28" s="178"/>
      <c r="U28" s="178"/>
      <c r="V28" s="178">
        <v>60000</v>
      </c>
      <c r="W28" s="178">
        <v>5000</v>
      </c>
      <c r="X28" s="174">
        <f t="shared" si="2"/>
        <v>3718006.01</v>
      </c>
      <c r="Y28" s="162"/>
    </row>
    <row r="29" spans="1:25">
      <c r="A29" s="171" t="s">
        <v>665</v>
      </c>
      <c r="B29" s="178">
        <v>2280352.94</v>
      </c>
      <c r="C29" s="178">
        <v>31242</v>
      </c>
      <c r="D29" s="178">
        <v>338636.36</v>
      </c>
      <c r="E29" s="178"/>
      <c r="F29" s="178"/>
      <c r="G29" s="178"/>
      <c r="H29" s="178">
        <v>64000</v>
      </c>
      <c r="I29" s="178">
        <v>25000</v>
      </c>
      <c r="J29" s="178">
        <v>260000</v>
      </c>
      <c r="K29" s="178">
        <v>261355</v>
      </c>
      <c r="L29" s="178">
        <v>446382.5</v>
      </c>
      <c r="M29" s="178"/>
      <c r="N29" s="178">
        <v>72500</v>
      </c>
      <c r="O29" s="173">
        <v>194583</v>
      </c>
      <c r="P29" s="178">
        <v>277584.34999999998</v>
      </c>
      <c r="Q29" s="178">
        <v>17000</v>
      </c>
      <c r="R29" s="178">
        <v>28087.5</v>
      </c>
      <c r="S29" s="178">
        <v>16062.45</v>
      </c>
      <c r="T29" s="178"/>
      <c r="U29" s="178"/>
      <c r="V29" s="178">
        <v>65000</v>
      </c>
      <c r="W29" s="178">
        <v>0</v>
      </c>
      <c r="X29" s="174">
        <f t="shared" si="2"/>
        <v>4377786.0999999996</v>
      </c>
      <c r="Y29" s="162"/>
    </row>
    <row r="30" spans="1:25">
      <c r="A30" s="171" t="s">
        <v>666</v>
      </c>
      <c r="B30" s="178">
        <v>2290036.81</v>
      </c>
      <c r="C30" s="178">
        <v>0</v>
      </c>
      <c r="D30" s="178">
        <v>311000</v>
      </c>
      <c r="E30" s="178"/>
      <c r="F30" s="178"/>
      <c r="G30" s="178"/>
      <c r="H30" s="178">
        <v>56000</v>
      </c>
      <c r="I30" s="178">
        <v>24000</v>
      </c>
      <c r="J30" s="178">
        <v>260000</v>
      </c>
      <c r="K30" s="178">
        <v>242600</v>
      </c>
      <c r="L30" s="178">
        <v>436572.6</v>
      </c>
      <c r="M30" s="178"/>
      <c r="N30" s="178">
        <v>65000</v>
      </c>
      <c r="O30" s="173">
        <v>191258</v>
      </c>
      <c r="P30" s="178">
        <v>274804.43</v>
      </c>
      <c r="Q30" s="178">
        <v>15600</v>
      </c>
      <c r="R30" s="178">
        <v>27725</v>
      </c>
      <c r="S30" s="178">
        <v>14842.08</v>
      </c>
      <c r="T30" s="178"/>
      <c r="U30" s="178"/>
      <c r="V30" s="178">
        <v>65000</v>
      </c>
      <c r="W30" s="178">
        <v>5000</v>
      </c>
      <c r="X30" s="174">
        <f t="shared" si="2"/>
        <v>4279438.92</v>
      </c>
      <c r="Y30" s="162"/>
    </row>
    <row r="31" spans="1:25">
      <c r="A31" s="171" t="s">
        <v>667</v>
      </c>
      <c r="B31" s="178">
        <v>3635432.85</v>
      </c>
      <c r="C31" s="178">
        <v>39116</v>
      </c>
      <c r="D31" s="178">
        <v>495909.11</v>
      </c>
      <c r="E31" s="178"/>
      <c r="F31" s="178"/>
      <c r="G31" s="178"/>
      <c r="H31" s="178">
        <v>88000</v>
      </c>
      <c r="I31" s="178">
        <v>40000</v>
      </c>
      <c r="J31" s="178">
        <v>400000</v>
      </c>
      <c r="K31" s="178">
        <v>376715</v>
      </c>
      <c r="L31" s="178">
        <v>693541.35</v>
      </c>
      <c r="M31" s="178"/>
      <c r="N31" s="178">
        <v>102500</v>
      </c>
      <c r="O31" s="173">
        <v>305331.5</v>
      </c>
      <c r="P31" s="178">
        <v>441622.26</v>
      </c>
      <c r="Q31" s="178">
        <v>24900</v>
      </c>
      <c r="R31" s="178">
        <v>43837.5</v>
      </c>
      <c r="S31" s="178">
        <v>23444.91</v>
      </c>
      <c r="T31" s="178"/>
      <c r="U31" s="178"/>
      <c r="V31" s="178">
        <v>100000</v>
      </c>
      <c r="W31" s="178">
        <v>35000</v>
      </c>
      <c r="X31" s="174">
        <f t="shared" si="2"/>
        <v>6845350.4799999995</v>
      </c>
      <c r="Y31" s="162"/>
    </row>
    <row r="32" spans="1:25">
      <c r="A32" s="171" t="s">
        <v>591</v>
      </c>
      <c r="B32" s="178">
        <v>2449364.58</v>
      </c>
      <c r="C32" s="178">
        <v>0</v>
      </c>
      <c r="D32" s="178">
        <v>371806.91</v>
      </c>
      <c r="E32" s="178"/>
      <c r="F32" s="178">
        <v>0</v>
      </c>
      <c r="G32" s="178"/>
      <c r="H32" s="178">
        <v>68000</v>
      </c>
      <c r="I32" s="178">
        <v>28000</v>
      </c>
      <c r="J32" s="178">
        <v>300000</v>
      </c>
      <c r="K32" s="178">
        <v>286795</v>
      </c>
      <c r="L32" s="178">
        <v>469147.2</v>
      </c>
      <c r="M32" s="178"/>
      <c r="N32" s="178">
        <v>77500</v>
      </c>
      <c r="O32" s="173">
        <v>206118.5</v>
      </c>
      <c r="P32" s="178">
        <v>296826.48</v>
      </c>
      <c r="Q32" s="178">
        <v>18700</v>
      </c>
      <c r="R32" s="178">
        <v>29512.5</v>
      </c>
      <c r="S32" s="178">
        <v>17516.66</v>
      </c>
      <c r="T32" s="178"/>
      <c r="U32" s="178"/>
      <c r="V32" s="178">
        <v>75000</v>
      </c>
      <c r="W32" s="178">
        <v>0</v>
      </c>
      <c r="X32" s="174">
        <f t="shared" si="2"/>
        <v>4694287.83</v>
      </c>
      <c r="Y32" s="162"/>
    </row>
    <row r="33" spans="1:25">
      <c r="A33" s="171" t="s">
        <v>592</v>
      </c>
      <c r="B33" s="178">
        <v>3545707.64</v>
      </c>
      <c r="C33" s="178"/>
      <c r="D33" s="178">
        <v>600545.48</v>
      </c>
      <c r="E33" s="178"/>
      <c r="F33" s="178">
        <v>108600</v>
      </c>
      <c r="G33" s="178">
        <v>108600</v>
      </c>
      <c r="H33" s="178">
        <v>104000</v>
      </c>
      <c r="I33" s="178">
        <v>46000</v>
      </c>
      <c r="J33" s="178">
        <v>500000</v>
      </c>
      <c r="K33" s="178"/>
      <c r="L33" s="178"/>
      <c r="M33" s="178"/>
      <c r="N33" s="178">
        <v>130000</v>
      </c>
      <c r="O33" s="173">
        <v>306634</v>
      </c>
      <c r="P33" s="178">
        <v>425485.41</v>
      </c>
      <c r="Q33" s="178">
        <v>30225</v>
      </c>
      <c r="R33" s="178">
        <v>40687.5</v>
      </c>
      <c r="S33" s="178">
        <v>28201.11</v>
      </c>
      <c r="T33" s="178"/>
      <c r="U33" s="178"/>
      <c r="V33" s="178">
        <v>125000</v>
      </c>
      <c r="W33" s="178">
        <v>20000</v>
      </c>
      <c r="X33" s="174">
        <f t="shared" si="2"/>
        <v>6119686.1400000006</v>
      </c>
      <c r="Y33" s="162"/>
    </row>
    <row r="34" spans="1:25" ht="16.2" thickBot="1">
      <c r="A34" s="164" t="s">
        <v>9</v>
      </c>
      <c r="B34" s="177"/>
      <c r="C34" s="177"/>
      <c r="D34" s="177"/>
      <c r="E34" s="177"/>
      <c r="F34" s="177"/>
      <c r="G34" s="177"/>
      <c r="H34" s="177"/>
      <c r="I34" s="177"/>
      <c r="J34" s="177"/>
      <c r="K34" s="177"/>
      <c r="L34" s="177"/>
      <c r="M34" s="177"/>
      <c r="N34" s="177"/>
      <c r="O34" s="177"/>
      <c r="P34" s="177"/>
      <c r="Q34" s="177"/>
      <c r="R34" s="177"/>
      <c r="S34" s="177"/>
      <c r="T34" s="177"/>
      <c r="U34" s="177"/>
      <c r="V34" s="177"/>
      <c r="W34" s="177"/>
      <c r="X34" s="174" t="s">
        <v>9</v>
      </c>
      <c r="Y34" s="162"/>
    </row>
    <row r="35" spans="1:25" ht="16.8" thickTop="1" thickBot="1">
      <c r="A35" s="164" t="s">
        <v>485</v>
      </c>
      <c r="B35" s="175">
        <f t="shared" ref="B35:W35" si="3">SUM(B19:B33)</f>
        <v>92978233.629999995</v>
      </c>
      <c r="C35" s="175">
        <f t="shared" si="3"/>
        <v>120308</v>
      </c>
      <c r="D35" s="175">
        <f t="shared" si="3"/>
        <v>13293077.34</v>
      </c>
      <c r="E35" s="175">
        <f t="shared" si="3"/>
        <v>0</v>
      </c>
      <c r="F35" s="175">
        <f t="shared" si="3"/>
        <v>508200</v>
      </c>
      <c r="G35" s="175">
        <f t="shared" si="3"/>
        <v>442200</v>
      </c>
      <c r="H35" s="175">
        <f t="shared" si="3"/>
        <v>2240000</v>
      </c>
      <c r="I35" s="175">
        <f t="shared" si="3"/>
        <v>1014331.92</v>
      </c>
      <c r="J35" s="175">
        <f t="shared" si="3"/>
        <v>10931243.67</v>
      </c>
      <c r="K35" s="175">
        <f t="shared" si="3"/>
        <v>8774104.25</v>
      </c>
      <c r="L35" s="175">
        <f t="shared" si="3"/>
        <v>16089961.120000001</v>
      </c>
      <c r="M35" s="175">
        <f t="shared" si="3"/>
        <v>591803.94999999995</v>
      </c>
      <c r="N35" s="175">
        <f t="shared" si="3"/>
        <v>2809125</v>
      </c>
      <c r="O35" s="175">
        <f t="shared" si="3"/>
        <v>7896464.7000000002</v>
      </c>
      <c r="P35" s="175">
        <f t="shared" si="3"/>
        <v>11132765.789999999</v>
      </c>
      <c r="Q35" s="175">
        <f t="shared" si="3"/>
        <v>686712.5</v>
      </c>
      <c r="R35" s="175">
        <f t="shared" si="3"/>
        <v>1106816.7</v>
      </c>
      <c r="S35" s="175">
        <f t="shared" si="3"/>
        <v>661058.4</v>
      </c>
      <c r="T35" s="175">
        <f t="shared" si="3"/>
        <v>0</v>
      </c>
      <c r="U35" s="175">
        <f t="shared" si="3"/>
        <v>0</v>
      </c>
      <c r="V35" s="175">
        <f t="shared" si="3"/>
        <v>2740000</v>
      </c>
      <c r="W35" s="175">
        <f t="shared" si="3"/>
        <v>450000</v>
      </c>
      <c r="X35" s="176">
        <f>SUM(X19:X34)</f>
        <v>174466406.96999997</v>
      </c>
      <c r="Y35" s="162"/>
    </row>
    <row r="36" spans="1:25" ht="16.2" thickTop="1">
      <c r="A36" s="171" t="s">
        <v>9</v>
      </c>
      <c r="B36" s="177"/>
      <c r="C36" s="177"/>
      <c r="D36" s="177"/>
      <c r="E36" s="177"/>
      <c r="F36" s="177"/>
      <c r="G36" s="177"/>
      <c r="H36" s="177"/>
      <c r="I36" s="177"/>
      <c r="J36" s="177"/>
      <c r="K36" s="177"/>
      <c r="L36" s="177"/>
      <c r="M36" s="177"/>
      <c r="N36" s="177"/>
      <c r="O36" s="177"/>
      <c r="P36" s="177"/>
      <c r="Q36" s="177"/>
      <c r="R36" s="177"/>
      <c r="S36" s="177"/>
      <c r="T36" s="177"/>
      <c r="U36" s="177"/>
      <c r="V36" s="177"/>
      <c r="W36" s="177"/>
      <c r="X36" s="174" t="s">
        <v>9</v>
      </c>
      <c r="Y36" s="162"/>
    </row>
    <row r="37" spans="1:25">
      <c r="A37" s="171" t="s">
        <v>593</v>
      </c>
      <c r="B37" s="173">
        <v>334829.75</v>
      </c>
      <c r="C37" s="173">
        <v>0</v>
      </c>
      <c r="D37" s="173">
        <v>78000</v>
      </c>
      <c r="E37" s="173"/>
      <c r="F37" s="173">
        <v>0</v>
      </c>
      <c r="G37" s="173">
        <v>0</v>
      </c>
      <c r="H37" s="173">
        <v>16000</v>
      </c>
      <c r="I37" s="173">
        <v>8000</v>
      </c>
      <c r="J37" s="173">
        <v>60000</v>
      </c>
      <c r="K37" s="173">
        <v>0</v>
      </c>
      <c r="L37" s="173">
        <v>0</v>
      </c>
      <c r="M37" s="173">
        <v>0</v>
      </c>
      <c r="N37" s="173">
        <v>15000</v>
      </c>
      <c r="O37" s="173">
        <v>25469</v>
      </c>
      <c r="P37" s="173">
        <v>43056.6</v>
      </c>
      <c r="Q37" s="173">
        <v>3900</v>
      </c>
      <c r="R37" s="173">
        <v>3962.5</v>
      </c>
      <c r="S37" s="173">
        <v>3339.1</v>
      </c>
      <c r="T37" s="173"/>
      <c r="U37" s="173">
        <v>0</v>
      </c>
      <c r="V37" s="173">
        <v>10000</v>
      </c>
      <c r="W37" s="173">
        <v>0</v>
      </c>
      <c r="X37" s="174">
        <f t="shared" ref="X37:X44" si="4">SUM(B37:W37)</f>
        <v>601556.94999999995</v>
      </c>
      <c r="Y37" s="162"/>
    </row>
    <row r="38" spans="1:25">
      <c r="A38" s="171" t="s">
        <v>594</v>
      </c>
      <c r="B38" s="173">
        <v>427968.2</v>
      </c>
      <c r="C38" s="173">
        <v>0</v>
      </c>
      <c r="D38" s="173">
        <v>42000</v>
      </c>
      <c r="E38" s="173"/>
      <c r="F38" s="173"/>
      <c r="G38" s="173"/>
      <c r="H38" s="173">
        <v>4000</v>
      </c>
      <c r="I38" s="173">
        <v>2000</v>
      </c>
      <c r="J38" s="173">
        <v>40000</v>
      </c>
      <c r="K38" s="173">
        <v>0</v>
      </c>
      <c r="L38" s="173"/>
      <c r="M38" s="173">
        <v>0</v>
      </c>
      <c r="N38" s="173">
        <v>10000</v>
      </c>
      <c r="O38" s="173">
        <v>39239</v>
      </c>
      <c r="P38" s="173">
        <v>51356.18</v>
      </c>
      <c r="Q38" s="173">
        <v>2137.5</v>
      </c>
      <c r="R38" s="173">
        <v>5287.5</v>
      </c>
      <c r="S38" s="173">
        <v>2100</v>
      </c>
      <c r="T38" s="173"/>
      <c r="U38" s="173">
        <v>0</v>
      </c>
      <c r="V38" s="173">
        <v>10000</v>
      </c>
      <c r="W38" s="173">
        <v>5000</v>
      </c>
      <c r="X38" s="174">
        <f t="shared" si="4"/>
        <v>641088.38</v>
      </c>
      <c r="Y38" s="162"/>
    </row>
    <row r="39" spans="1:25">
      <c r="A39" s="171" t="s">
        <v>595</v>
      </c>
      <c r="B39" s="173">
        <v>509579</v>
      </c>
      <c r="C39" s="173">
        <v>0</v>
      </c>
      <c r="D39" s="173">
        <v>70000</v>
      </c>
      <c r="E39" s="173"/>
      <c r="F39" s="173"/>
      <c r="G39" s="173"/>
      <c r="H39" s="173">
        <v>0</v>
      </c>
      <c r="I39" s="173">
        <v>0</v>
      </c>
      <c r="J39" s="173">
        <v>40000</v>
      </c>
      <c r="K39" s="173">
        <v>0</v>
      </c>
      <c r="L39" s="173"/>
      <c r="M39" s="173">
        <v>0</v>
      </c>
      <c r="N39" s="173">
        <v>7500</v>
      </c>
      <c r="O39" s="173">
        <v>21450.5</v>
      </c>
      <c r="P39" s="173">
        <v>61149.48</v>
      </c>
      <c r="Q39" s="173">
        <v>3500</v>
      </c>
      <c r="R39" s="173">
        <v>6050</v>
      </c>
      <c r="S39" s="173">
        <v>3457.06</v>
      </c>
      <c r="T39" s="173"/>
      <c r="U39" s="173">
        <v>0</v>
      </c>
      <c r="V39" s="173">
        <v>15000</v>
      </c>
      <c r="W39" s="173">
        <v>0</v>
      </c>
      <c r="X39" s="174">
        <f t="shared" si="4"/>
        <v>737686.04</v>
      </c>
      <c r="Y39" s="162"/>
    </row>
    <row r="40" spans="1:25">
      <c r="A40" s="171" t="s">
        <v>597</v>
      </c>
      <c r="B40" s="173">
        <v>1969432</v>
      </c>
      <c r="C40" s="173">
        <v>0</v>
      </c>
      <c r="D40" s="173">
        <v>294000</v>
      </c>
      <c r="E40" s="173"/>
      <c r="F40" s="173">
        <v>0</v>
      </c>
      <c r="G40" s="173">
        <v>0</v>
      </c>
      <c r="H40" s="173">
        <v>52000</v>
      </c>
      <c r="I40" s="173">
        <v>24000</v>
      </c>
      <c r="J40" s="173">
        <v>240000</v>
      </c>
      <c r="K40" s="173">
        <v>0</v>
      </c>
      <c r="L40" s="173">
        <v>0</v>
      </c>
      <c r="M40" s="173">
        <v>0</v>
      </c>
      <c r="N40" s="173">
        <v>65000</v>
      </c>
      <c r="O40" s="173">
        <v>186366.5</v>
      </c>
      <c r="P40" s="173">
        <v>236305.17</v>
      </c>
      <c r="Q40" s="173">
        <v>14700</v>
      </c>
      <c r="R40" s="173">
        <v>23537.5</v>
      </c>
      <c r="S40" s="173">
        <v>14630.28</v>
      </c>
      <c r="T40" s="173"/>
      <c r="U40" s="173">
        <v>0</v>
      </c>
      <c r="V40" s="173">
        <v>60000</v>
      </c>
      <c r="W40" s="173">
        <v>15000</v>
      </c>
      <c r="X40" s="174">
        <f t="shared" si="4"/>
        <v>3194971.4499999997</v>
      </c>
      <c r="Y40" s="162"/>
    </row>
    <row r="41" spans="1:25">
      <c r="A41" s="171" t="s">
        <v>598</v>
      </c>
      <c r="B41" s="172">
        <v>10435461.18</v>
      </c>
      <c r="C41" s="172"/>
      <c r="D41" s="172">
        <v>1559649.25</v>
      </c>
      <c r="E41" s="172"/>
      <c r="F41" s="172">
        <v>75600</v>
      </c>
      <c r="G41" s="172">
        <v>75600</v>
      </c>
      <c r="H41" s="172">
        <v>268000</v>
      </c>
      <c r="I41" s="172">
        <v>118000</v>
      </c>
      <c r="J41" s="172">
        <v>1240000</v>
      </c>
      <c r="K41" s="172"/>
      <c r="L41" s="172"/>
      <c r="M41" s="172"/>
      <c r="N41" s="172">
        <v>325000</v>
      </c>
      <c r="O41" s="173">
        <v>866190.5</v>
      </c>
      <c r="P41" s="172">
        <v>1255269.6599999999</v>
      </c>
      <c r="Q41" s="172">
        <v>78200</v>
      </c>
      <c r="R41" s="172">
        <v>125287.5</v>
      </c>
      <c r="S41" s="172">
        <v>75011.929999999993</v>
      </c>
      <c r="T41" s="172"/>
      <c r="U41" s="172"/>
      <c r="V41" s="172">
        <v>305000</v>
      </c>
      <c r="W41" s="172">
        <v>20000</v>
      </c>
      <c r="X41" s="174">
        <f t="shared" si="4"/>
        <v>16822270.02</v>
      </c>
      <c r="Y41" s="162"/>
    </row>
    <row r="42" spans="1:25">
      <c r="A42" s="171" t="s">
        <v>599</v>
      </c>
      <c r="B42" s="172">
        <v>6518913.8099999996</v>
      </c>
      <c r="C42" s="172"/>
      <c r="D42" s="172">
        <v>1025272.86</v>
      </c>
      <c r="E42" s="172"/>
      <c r="F42" s="172">
        <v>75600</v>
      </c>
      <c r="G42" s="172">
        <v>75600</v>
      </c>
      <c r="H42" s="172">
        <v>172000</v>
      </c>
      <c r="I42" s="172">
        <v>66000</v>
      </c>
      <c r="J42" s="172">
        <v>900000</v>
      </c>
      <c r="K42" s="172">
        <v>19550</v>
      </c>
      <c r="L42" s="172">
        <v>59874</v>
      </c>
      <c r="M42" s="172"/>
      <c r="N42" s="172">
        <v>227500</v>
      </c>
      <c r="O42" s="173">
        <v>612693.5</v>
      </c>
      <c r="P42" s="172">
        <v>848916.92</v>
      </c>
      <c r="Q42" s="172">
        <v>51800</v>
      </c>
      <c r="R42" s="172">
        <v>84150</v>
      </c>
      <c r="S42" s="172">
        <v>49192.33</v>
      </c>
      <c r="T42" s="172"/>
      <c r="U42" s="172"/>
      <c r="V42" s="172">
        <v>220000</v>
      </c>
      <c r="W42" s="172">
        <v>40000</v>
      </c>
      <c r="X42" s="174">
        <f t="shared" si="4"/>
        <v>11047063.42</v>
      </c>
      <c r="Y42" s="162"/>
    </row>
    <row r="43" spans="1:25">
      <c r="A43" s="171" t="s">
        <v>600</v>
      </c>
      <c r="B43" s="172">
        <v>16396037.369999999</v>
      </c>
      <c r="C43" s="172">
        <v>651493.67000000004</v>
      </c>
      <c r="D43" s="172">
        <v>3040266.31</v>
      </c>
      <c r="E43" s="172"/>
      <c r="F43" s="172">
        <v>103100</v>
      </c>
      <c r="G43" s="172">
        <v>103100</v>
      </c>
      <c r="H43" s="172">
        <v>524000</v>
      </c>
      <c r="I43" s="172">
        <v>214000</v>
      </c>
      <c r="J43" s="172">
        <v>2440000</v>
      </c>
      <c r="K43" s="172"/>
      <c r="L43" s="172"/>
      <c r="M43" s="172">
        <v>32995.86</v>
      </c>
      <c r="N43" s="172">
        <v>660000</v>
      </c>
      <c r="O43" s="173">
        <v>1498360</v>
      </c>
      <c r="P43" s="172">
        <v>2062782.3</v>
      </c>
      <c r="Q43" s="172">
        <v>153300</v>
      </c>
      <c r="R43" s="172">
        <v>204700</v>
      </c>
      <c r="S43" s="172">
        <v>136015.73000000001</v>
      </c>
      <c r="T43" s="172"/>
      <c r="U43" s="172"/>
      <c r="V43" s="172">
        <v>605000</v>
      </c>
      <c r="W43" s="172">
        <v>180000</v>
      </c>
      <c r="X43" s="174">
        <f t="shared" si="4"/>
        <v>29005151.239999998</v>
      </c>
      <c r="Y43" s="162"/>
    </row>
    <row r="44" spans="1:25">
      <c r="A44" s="171" t="s">
        <v>668</v>
      </c>
      <c r="B44" s="172">
        <v>10004320.640000001</v>
      </c>
      <c r="C44" s="172">
        <v>0</v>
      </c>
      <c r="D44" s="172">
        <v>1709180.23</v>
      </c>
      <c r="E44" s="172"/>
      <c r="F44" s="172">
        <v>75600</v>
      </c>
      <c r="G44" s="172">
        <v>75600</v>
      </c>
      <c r="H44" s="172">
        <v>296000</v>
      </c>
      <c r="I44" s="172">
        <v>114000</v>
      </c>
      <c r="J44" s="172">
        <v>1480000</v>
      </c>
      <c r="K44" s="172"/>
      <c r="L44" s="172"/>
      <c r="M44" s="172"/>
      <c r="N44" s="172">
        <v>370000</v>
      </c>
      <c r="O44" s="173">
        <v>864137</v>
      </c>
      <c r="P44" s="172">
        <v>1205414.8799999999</v>
      </c>
      <c r="Q44" s="172">
        <v>85000</v>
      </c>
      <c r="R44" s="172">
        <v>120037.5</v>
      </c>
      <c r="S44" s="172">
        <v>81175.240000000005</v>
      </c>
      <c r="T44" s="172"/>
      <c r="U44" s="172"/>
      <c r="V44" s="172">
        <v>365000</v>
      </c>
      <c r="W44" s="172">
        <v>90000</v>
      </c>
      <c r="X44" s="174">
        <f t="shared" si="4"/>
        <v>16935465.490000002</v>
      </c>
      <c r="Y44" s="162"/>
    </row>
    <row r="45" spans="1:25">
      <c r="A45" s="171"/>
      <c r="B45" s="177"/>
      <c r="C45" s="177"/>
      <c r="D45" s="177"/>
      <c r="E45" s="177"/>
      <c r="F45" s="177"/>
      <c r="G45" s="177"/>
      <c r="H45" s="177"/>
      <c r="I45" s="177"/>
      <c r="J45" s="177"/>
      <c r="K45" s="177"/>
      <c r="L45" s="177"/>
      <c r="M45" s="177"/>
      <c r="N45" s="177"/>
      <c r="O45" s="173">
        <f>(B45/12)</f>
        <v>0</v>
      </c>
      <c r="P45" s="177"/>
      <c r="Q45" s="177"/>
      <c r="R45" s="177"/>
      <c r="S45" s="177" t="s">
        <v>9</v>
      </c>
      <c r="T45" s="177"/>
      <c r="U45" s="177"/>
      <c r="V45" s="177"/>
      <c r="W45" s="177"/>
      <c r="X45" s="174" t="s">
        <v>9</v>
      </c>
      <c r="Y45" s="162"/>
    </row>
    <row r="46" spans="1:25" ht="16.2" thickBot="1">
      <c r="A46" s="164" t="s">
        <v>485</v>
      </c>
      <c r="B46" s="175">
        <f t="shared" ref="B46:W46" si="5">SUM(B37:B44)</f>
        <v>46596541.949999996</v>
      </c>
      <c r="C46" s="175">
        <f t="shared" si="5"/>
        <v>651493.67000000004</v>
      </c>
      <c r="D46" s="175">
        <f t="shared" si="5"/>
        <v>7818368.6500000004</v>
      </c>
      <c r="E46" s="175">
        <f t="shared" si="5"/>
        <v>0</v>
      </c>
      <c r="F46" s="175">
        <f t="shared" si="5"/>
        <v>329900</v>
      </c>
      <c r="G46" s="175">
        <f t="shared" si="5"/>
        <v>329900</v>
      </c>
      <c r="H46" s="175">
        <f t="shared" si="5"/>
        <v>1332000</v>
      </c>
      <c r="I46" s="175">
        <f t="shared" si="5"/>
        <v>546000</v>
      </c>
      <c r="J46" s="175">
        <f t="shared" si="5"/>
        <v>6440000</v>
      </c>
      <c r="K46" s="175">
        <f t="shared" si="5"/>
        <v>19550</v>
      </c>
      <c r="L46" s="175">
        <f t="shared" si="5"/>
        <v>59874</v>
      </c>
      <c r="M46" s="175">
        <f t="shared" si="5"/>
        <v>32995.86</v>
      </c>
      <c r="N46" s="175">
        <f t="shared" si="5"/>
        <v>1680000</v>
      </c>
      <c r="O46" s="175">
        <f t="shared" si="5"/>
        <v>4113906</v>
      </c>
      <c r="P46" s="175">
        <f t="shared" si="5"/>
        <v>5764251.1899999995</v>
      </c>
      <c r="Q46" s="175">
        <f t="shared" si="5"/>
        <v>392537.5</v>
      </c>
      <c r="R46" s="175">
        <f t="shared" si="5"/>
        <v>573012.5</v>
      </c>
      <c r="S46" s="175">
        <f t="shared" si="5"/>
        <v>364921.67000000004</v>
      </c>
      <c r="T46" s="175">
        <f t="shared" si="5"/>
        <v>0</v>
      </c>
      <c r="U46" s="175">
        <f t="shared" si="5"/>
        <v>0</v>
      </c>
      <c r="V46" s="175">
        <f t="shared" si="5"/>
        <v>1590000</v>
      </c>
      <c r="W46" s="175">
        <f t="shared" si="5"/>
        <v>350000</v>
      </c>
      <c r="X46" s="174">
        <f>SUM(X37:X44)</f>
        <v>78985252.99000001</v>
      </c>
      <c r="Y46" s="162"/>
    </row>
    <row r="47" spans="1:25" ht="16.2" thickTop="1">
      <c r="A47" s="177"/>
      <c r="B47" s="177"/>
      <c r="C47" s="177"/>
      <c r="D47" s="177"/>
      <c r="E47" s="177"/>
      <c r="F47" s="177"/>
      <c r="G47" s="177"/>
      <c r="H47" s="177"/>
      <c r="I47" s="177"/>
      <c r="J47" s="177"/>
      <c r="K47" s="177"/>
      <c r="L47" s="177"/>
      <c r="M47" s="177"/>
      <c r="N47" s="177"/>
      <c r="O47" s="177"/>
      <c r="P47" s="177"/>
      <c r="Q47" s="177"/>
      <c r="R47" s="177"/>
      <c r="S47" s="177"/>
      <c r="T47" s="177"/>
      <c r="U47" s="177"/>
      <c r="V47" s="177"/>
      <c r="W47" s="177"/>
      <c r="X47" s="174" t="s">
        <v>9</v>
      </c>
      <c r="Y47" s="162"/>
    </row>
    <row r="48" spans="1:25" ht="16.2" thickBot="1">
      <c r="B48" s="179"/>
      <c r="C48" s="179"/>
      <c r="D48" s="179"/>
      <c r="E48" s="179"/>
      <c r="F48" s="179"/>
      <c r="G48" s="179"/>
      <c r="H48" s="179"/>
      <c r="I48" s="179"/>
      <c r="J48" s="179"/>
      <c r="K48" s="179"/>
      <c r="L48" s="179"/>
      <c r="M48" s="179"/>
      <c r="N48" s="179"/>
      <c r="O48" s="179"/>
      <c r="P48" s="179"/>
      <c r="Q48" s="179"/>
      <c r="R48" s="179"/>
      <c r="S48" s="179"/>
      <c r="T48" s="179"/>
      <c r="U48" s="179"/>
      <c r="V48" s="179"/>
      <c r="W48" s="179"/>
      <c r="X48" s="180" t="s">
        <v>9</v>
      </c>
      <c r="Y48" s="162"/>
    </row>
    <row r="49" spans="1:25" ht="16.2" thickTop="1">
      <c r="A49" s="163" t="s">
        <v>669</v>
      </c>
      <c r="B49" s="181">
        <f t="shared" ref="B49:W49" si="6">SUM(B17+B35+B46)</f>
        <v>210734083.31999999</v>
      </c>
      <c r="C49" s="181">
        <f t="shared" si="6"/>
        <v>6499301.3000000007</v>
      </c>
      <c r="D49" s="181">
        <f t="shared" si="6"/>
        <v>33016538.119999997</v>
      </c>
      <c r="E49" s="181">
        <f t="shared" si="6"/>
        <v>0</v>
      </c>
      <c r="F49" s="181">
        <f t="shared" si="6"/>
        <v>3108550</v>
      </c>
      <c r="G49" s="181">
        <f t="shared" si="6"/>
        <v>1881400</v>
      </c>
      <c r="H49" s="181">
        <f t="shared" si="6"/>
        <v>5600000</v>
      </c>
      <c r="I49" s="181">
        <f t="shared" si="6"/>
        <v>2433665.2400000002</v>
      </c>
      <c r="J49" s="181">
        <f t="shared" si="6"/>
        <v>27363243.670000002</v>
      </c>
      <c r="K49" s="181">
        <f t="shared" si="6"/>
        <v>8793654.25</v>
      </c>
      <c r="L49" s="181">
        <f t="shared" si="6"/>
        <v>16149835.120000001</v>
      </c>
      <c r="M49" s="181">
        <f t="shared" si="6"/>
        <v>1753849.04</v>
      </c>
      <c r="N49" s="181">
        <f t="shared" si="6"/>
        <v>7070375</v>
      </c>
      <c r="O49" s="181">
        <f t="shared" si="6"/>
        <v>18709049.050000001</v>
      </c>
      <c r="P49" s="181">
        <f t="shared" si="6"/>
        <v>26113844.399999999</v>
      </c>
      <c r="Q49" s="181">
        <f t="shared" si="6"/>
        <v>1685668.48</v>
      </c>
      <c r="R49" s="181">
        <f t="shared" si="6"/>
        <v>2570174.37</v>
      </c>
      <c r="S49" s="181">
        <f t="shared" si="6"/>
        <v>1559334.2000000002</v>
      </c>
      <c r="T49" s="181">
        <f t="shared" si="6"/>
        <v>0</v>
      </c>
      <c r="U49" s="181">
        <f t="shared" si="6"/>
        <v>0</v>
      </c>
      <c r="V49" s="181">
        <f t="shared" si="6"/>
        <v>6640000</v>
      </c>
      <c r="W49" s="181">
        <f t="shared" si="6"/>
        <v>1240000</v>
      </c>
      <c r="X49" s="181">
        <f>SUM(B49:W49)</f>
        <v>382922565.56000006</v>
      </c>
      <c r="Y49" s="162"/>
    </row>
  </sheetData>
  <pageMargins left="0.7" right="0.7" top="0.75" bottom="0.75" header="0.3" footer="0.3"/>
  <pageSetup paperSize="66" orientation="landscape" horizontalDpi="120" verticalDpi="144" r:id="rId1"/>
</worksheet>
</file>

<file path=xl/worksheets/sheet21.xml><?xml version="1.0" encoding="utf-8"?>
<worksheet xmlns="http://schemas.openxmlformats.org/spreadsheetml/2006/main" xmlns:r="http://schemas.openxmlformats.org/officeDocument/2006/relationships">
  <sheetPr codeName="Sheet147">
    <tabColor rgb="FF7030A0"/>
  </sheetPr>
  <dimension ref="A2:N135"/>
  <sheetViews>
    <sheetView showGridLines="0" topLeftCell="A16" workbookViewId="0">
      <selection activeCell="A22" sqref="A22"/>
    </sheetView>
  </sheetViews>
  <sheetFormatPr defaultColWidth="8" defaultRowHeight="14.4"/>
  <cols>
    <col min="1" max="1" width="2.88671875" style="6359" customWidth="1"/>
    <col min="2" max="2" width="32.109375" style="6359" customWidth="1"/>
    <col min="3" max="3" width="7" style="6361" customWidth="1"/>
    <col min="4" max="4" width="1.88671875" style="6780" customWidth="1"/>
    <col min="5" max="5" width="16.109375" style="6780" customWidth="1"/>
    <col min="6" max="6" width="1.88671875" style="6359" customWidth="1"/>
    <col min="7" max="7" width="15.44140625" style="6780" customWidth="1"/>
    <col min="8" max="8" width="2" style="6780" customWidth="1"/>
    <col min="9" max="9" width="16.44140625" style="6780" customWidth="1"/>
    <col min="10" max="10" width="1.88671875" style="6780" customWidth="1"/>
    <col min="11" max="11" width="17.33203125" style="6780" customWidth="1"/>
    <col min="12" max="12" width="8" style="6359"/>
    <col min="13" max="13" width="20.5546875" style="6359" customWidth="1"/>
    <col min="14" max="16384" width="8" style="6359"/>
  </cols>
  <sheetData>
    <row r="2" spans="1:11" ht="15" customHeight="1">
      <c r="A2" s="14136" t="s">
        <v>461</v>
      </c>
      <c r="B2" s="14136"/>
      <c r="C2" s="14136"/>
      <c r="D2" s="14136"/>
      <c r="E2" s="14136"/>
      <c r="F2" s="14136"/>
      <c r="G2" s="14136"/>
      <c r="H2" s="14136"/>
      <c r="I2" s="14136"/>
      <c r="J2" s="14136"/>
      <c r="K2" s="14136"/>
    </row>
    <row r="3" spans="1:11">
      <c r="B3" s="6360"/>
      <c r="D3" s="6720"/>
      <c r="E3" s="6720"/>
      <c r="F3" s="6360"/>
      <c r="G3" s="6720"/>
      <c r="H3" s="6720"/>
      <c r="I3" s="6720"/>
      <c r="J3" s="6720"/>
      <c r="K3" s="6720"/>
    </row>
    <row r="4" spans="1:11" s="6365" customFormat="1">
      <c r="A4" s="6362"/>
      <c r="B4" s="6363"/>
      <c r="C4" s="6364"/>
      <c r="D4" s="6721"/>
      <c r="E4" s="6721" t="s">
        <v>10</v>
      </c>
      <c r="F4" s="14137" t="s">
        <v>11215</v>
      </c>
      <c r="G4" s="14138"/>
      <c r="H4" s="14138"/>
      <c r="I4" s="14138"/>
      <c r="J4" s="14138"/>
      <c r="K4" s="14139"/>
    </row>
    <row r="5" spans="1:11" s="6365" customFormat="1" ht="16.2">
      <c r="A5" s="14140" t="s">
        <v>460</v>
      </c>
      <c r="B5" s="14141"/>
      <c r="C5" s="6366" t="s">
        <v>459</v>
      </c>
      <c r="D5" s="6722"/>
      <c r="E5" s="6723" t="s">
        <v>10844</v>
      </c>
      <c r="F5" s="14142" t="s">
        <v>10553</v>
      </c>
      <c r="G5" s="14143"/>
      <c r="H5" s="14142" t="s">
        <v>10552</v>
      </c>
      <c r="I5" s="14143"/>
      <c r="J5" s="14142" t="s">
        <v>458</v>
      </c>
      <c r="K5" s="14143"/>
    </row>
    <row r="6" spans="1:11" s="6365" customFormat="1">
      <c r="A6" s="6367"/>
      <c r="B6" s="6368"/>
      <c r="C6" s="6369" t="s">
        <v>94</v>
      </c>
      <c r="D6" s="6724"/>
      <c r="E6" s="6724" t="s">
        <v>457</v>
      </c>
      <c r="F6" s="14144" t="s">
        <v>457</v>
      </c>
      <c r="G6" s="14145"/>
      <c r="H6" s="14144" t="s">
        <v>456</v>
      </c>
      <c r="I6" s="14145"/>
      <c r="J6" s="14144"/>
      <c r="K6" s="14145"/>
    </row>
    <row r="7" spans="1:11">
      <c r="A7" s="6370"/>
      <c r="B7" s="6371"/>
      <c r="C7" s="6372"/>
      <c r="D7" s="6725"/>
      <c r="E7" s="6725"/>
      <c r="F7" s="6370"/>
      <c r="G7" s="6725"/>
      <c r="H7" s="6743"/>
      <c r="I7" s="6936"/>
      <c r="J7" s="6743"/>
      <c r="K7" s="6936"/>
    </row>
    <row r="8" spans="1:11">
      <c r="A8" s="6374" t="s">
        <v>17</v>
      </c>
      <c r="B8" s="6375" t="s">
        <v>455</v>
      </c>
      <c r="C8" s="6372"/>
      <c r="D8" s="6726" t="s">
        <v>405</v>
      </c>
      <c r="E8" s="6727">
        <f>'receipts program'!D9</f>
        <v>115000000</v>
      </c>
      <c r="F8" s="6376" t="s">
        <v>405</v>
      </c>
      <c r="G8" s="6728">
        <f>'BESF Table 1'!G10</f>
        <v>295000000</v>
      </c>
      <c r="H8" s="6769" t="s">
        <v>405</v>
      </c>
      <c r="I8" s="6727">
        <f>K8-G8</f>
        <v>0</v>
      </c>
      <c r="J8" s="6769" t="s">
        <v>405</v>
      </c>
      <c r="K8" s="6937">
        <f>'BESF Table 1'!K10</f>
        <v>295000000</v>
      </c>
    </row>
    <row r="9" spans="1:11">
      <c r="A9" s="6374" t="s">
        <v>51</v>
      </c>
      <c r="B9" s="6375" t="s">
        <v>454</v>
      </c>
      <c r="C9" s="6372"/>
      <c r="D9" s="6725"/>
      <c r="E9" s="6728"/>
      <c r="F9" s="6370"/>
      <c r="G9" s="6728"/>
      <c r="H9" s="6743"/>
      <c r="I9" s="6727"/>
      <c r="J9" s="6743"/>
      <c r="K9" s="6938"/>
    </row>
    <row r="10" spans="1:11" s="6381" customFormat="1" ht="3" customHeight="1">
      <c r="A10" s="6377"/>
      <c r="B10" s="6378" t="s">
        <v>9</v>
      </c>
      <c r="C10" s="6379"/>
      <c r="D10" s="6729"/>
      <c r="E10" s="6730"/>
      <c r="F10" s="6380"/>
      <c r="G10" s="6730"/>
      <c r="H10" s="6939"/>
      <c r="I10" s="6940"/>
      <c r="J10" s="6939"/>
      <c r="K10" s="6941"/>
    </row>
    <row r="11" spans="1:11">
      <c r="A11" s="6374"/>
      <c r="B11" s="6375" t="s">
        <v>453</v>
      </c>
      <c r="C11" s="6372"/>
      <c r="D11" s="6725"/>
      <c r="E11" s="6728"/>
      <c r="F11" s="6370"/>
      <c r="G11" s="6728"/>
      <c r="H11" s="6743"/>
      <c r="I11" s="6727"/>
      <c r="J11" s="6743"/>
      <c r="K11" s="6938"/>
    </row>
    <row r="12" spans="1:11">
      <c r="A12" s="6374"/>
      <c r="B12" s="6382" t="s">
        <v>452</v>
      </c>
      <c r="C12" s="6372"/>
      <c r="D12" s="6725"/>
      <c r="E12" s="6728"/>
      <c r="F12" s="6370"/>
      <c r="G12" s="6728"/>
      <c r="H12" s="6743"/>
      <c r="I12" s="6727"/>
      <c r="J12" s="6743"/>
      <c r="K12" s="6938"/>
    </row>
    <row r="13" spans="1:11">
      <c r="A13" s="6374"/>
      <c r="B13" s="6371" t="s">
        <v>451</v>
      </c>
      <c r="C13" s="6372">
        <v>588</v>
      </c>
      <c r="D13" s="6726"/>
      <c r="E13" s="6728">
        <f>'STATEMENT OF RECEIPTS'!F15</f>
        <v>29140372.300000001</v>
      </c>
      <c r="F13" s="6376"/>
      <c r="G13" s="6728">
        <f>'BESF Table 1'!G15</f>
        <v>28244749.710000001</v>
      </c>
      <c r="H13" s="6769"/>
      <c r="I13" s="6727">
        <f>K13-G13</f>
        <v>2755250.2899999991</v>
      </c>
      <c r="J13" s="6769"/>
      <c r="K13" s="6942">
        <f>'BESF Table 1'!K15</f>
        <v>31000000</v>
      </c>
    </row>
    <row r="14" spans="1:11" s="5132" customFormat="1">
      <c r="A14" s="6374"/>
      <c r="B14" s="6371" t="s">
        <v>450</v>
      </c>
      <c r="C14" s="6372" t="s">
        <v>449</v>
      </c>
      <c r="D14" s="6725"/>
      <c r="E14" s="6728">
        <f>'STATEMENT OF RECEIPTS'!F16</f>
        <v>12750576.800000001</v>
      </c>
      <c r="F14" s="6370"/>
      <c r="G14" s="6728">
        <f>'BESF Table 1'!G16</f>
        <v>8050093.25</v>
      </c>
      <c r="H14" s="6743"/>
      <c r="I14" s="6727">
        <f>K14-G14</f>
        <v>4149906.75</v>
      </c>
      <c r="J14" s="6743"/>
      <c r="K14" s="6942">
        <f>'BESF Table 1'!K16</f>
        <v>12200000</v>
      </c>
    </row>
    <row r="15" spans="1:11" s="5132" customFormat="1">
      <c r="A15" s="6374"/>
      <c r="B15" s="6371" t="s">
        <v>448</v>
      </c>
      <c r="C15" s="6372" t="s">
        <v>447</v>
      </c>
      <c r="D15" s="6731"/>
      <c r="E15" s="6728">
        <f>'STATEMENT OF RECEIPTS'!F17</f>
        <v>7381140.79</v>
      </c>
      <c r="F15" s="6383"/>
      <c r="G15" s="6728">
        <f>'BESF Table 1'!G17</f>
        <v>4667986.54</v>
      </c>
      <c r="H15" s="6731"/>
      <c r="I15" s="6766">
        <f>K15-G15</f>
        <v>832013.46</v>
      </c>
      <c r="J15" s="6731"/>
      <c r="K15" s="6943">
        <f>'BESF Table 1'!K17</f>
        <v>5500000</v>
      </c>
    </row>
    <row r="16" spans="1:11" s="5132" customFormat="1" ht="2.25" customHeight="1">
      <c r="A16" s="6374"/>
      <c r="B16" s="6371"/>
      <c r="C16" s="6372"/>
      <c r="D16" s="6732"/>
      <c r="E16" s="6733"/>
      <c r="F16" s="6384"/>
      <c r="G16" s="6733"/>
      <c r="H16" s="6732"/>
      <c r="I16" s="6944"/>
      <c r="J16" s="6732"/>
      <c r="K16" s="6944"/>
    </row>
    <row r="17" spans="1:11" s="5132" customFormat="1" ht="15" customHeight="1">
      <c r="A17" s="6374"/>
      <c r="B17" s="6385" t="s">
        <v>182</v>
      </c>
      <c r="C17" s="6372"/>
      <c r="D17" s="6734" t="s">
        <v>405</v>
      </c>
      <c r="E17" s="6735">
        <f>SUM(E13:E15)</f>
        <v>49272089.890000001</v>
      </c>
      <c r="F17" s="6386" t="s">
        <v>405</v>
      </c>
      <c r="G17" s="6735">
        <f>SUM(G13:G15)</f>
        <v>40962829.5</v>
      </c>
      <c r="H17" s="6734" t="s">
        <v>405</v>
      </c>
      <c r="I17" s="6735">
        <f>SUM(I13:I15)</f>
        <v>7737170.4999999991</v>
      </c>
      <c r="J17" s="6734" t="s">
        <v>405</v>
      </c>
      <c r="K17" s="6945">
        <f>SUM(K13:K15)</f>
        <v>48700000</v>
      </c>
    </row>
    <row r="18" spans="1:11" s="5132" customFormat="1" ht="2.25" customHeight="1">
      <c r="A18" s="6374"/>
      <c r="B18" s="6371"/>
      <c r="C18" s="6372"/>
      <c r="D18" s="6736"/>
      <c r="E18" s="6737"/>
      <c r="F18" s="6387"/>
      <c r="G18" s="6737"/>
      <c r="H18" s="6736"/>
      <c r="I18" s="6946"/>
      <c r="J18" s="6736"/>
      <c r="K18" s="6946"/>
    </row>
    <row r="19" spans="1:11" s="5132" customFormat="1">
      <c r="A19" s="6374"/>
      <c r="B19" s="6382" t="s">
        <v>446</v>
      </c>
      <c r="C19" s="6372"/>
      <c r="D19" s="6725"/>
      <c r="E19" s="6728"/>
      <c r="F19" s="6370"/>
      <c r="G19" s="6728"/>
      <c r="H19" s="6743"/>
      <c r="I19" s="6727"/>
      <c r="J19" s="6743"/>
      <c r="K19" s="6727"/>
    </row>
    <row r="20" spans="1:11" s="5132" customFormat="1">
      <c r="A20" s="6374"/>
      <c r="B20" s="6371" t="s">
        <v>445</v>
      </c>
      <c r="C20" s="6372">
        <v>584</v>
      </c>
      <c r="D20" s="6725"/>
      <c r="E20" s="6728">
        <f>'STATEMENT OF RECEIPTS'!F20</f>
        <v>2092598.67</v>
      </c>
      <c r="F20" s="6370"/>
      <c r="G20" s="6728">
        <f>'BESF Table 1'!G22</f>
        <v>2268973.94</v>
      </c>
      <c r="H20" s="6743"/>
      <c r="I20" s="6727">
        <f t="shared" ref="I20:I29" si="0">K20-G20</f>
        <v>-268973.93999999994</v>
      </c>
      <c r="J20" s="6743"/>
      <c r="K20" s="6942">
        <f>'BESF Table 1'!K22</f>
        <v>2000000</v>
      </c>
    </row>
    <row r="21" spans="1:11" s="5132" customFormat="1">
      <c r="A21" s="6374"/>
      <c r="B21" s="6371" t="s">
        <v>3148</v>
      </c>
      <c r="C21" s="6372">
        <v>593</v>
      </c>
      <c r="D21" s="6725"/>
      <c r="E21" s="6728">
        <f>'STATEMENT OF RECEIPTS'!F21</f>
        <v>1522365.2</v>
      </c>
      <c r="F21" s="6370"/>
      <c r="G21" s="6728">
        <f>'BESF Table 1'!G23</f>
        <v>1307967.53</v>
      </c>
      <c r="H21" s="6743"/>
      <c r="I21" s="6727">
        <f t="shared" si="0"/>
        <v>492032.47</v>
      </c>
      <c r="J21" s="6743"/>
      <c r="K21" s="6942">
        <f>'BESF Table 1'!K23</f>
        <v>1800000</v>
      </c>
    </row>
    <row r="22" spans="1:11" s="5132" customFormat="1">
      <c r="A22" s="6374"/>
      <c r="B22" s="6371" t="s">
        <v>444</v>
      </c>
      <c r="C22" s="6372">
        <v>581</v>
      </c>
      <c r="D22" s="6725"/>
      <c r="E22" s="6728">
        <f>'STATEMENT OF RECEIPTS'!F22</f>
        <v>614656.18000000005</v>
      </c>
      <c r="F22" s="6370"/>
      <c r="G22" s="6728">
        <f>'BESF Table 1'!G24</f>
        <v>380391.05</v>
      </c>
      <c r="H22" s="6743"/>
      <c r="I22" s="6727">
        <f t="shared" si="0"/>
        <v>419608.95</v>
      </c>
      <c r="J22" s="6743"/>
      <c r="K22" s="6942">
        <f>'BESF Table 1'!K24</f>
        <v>800000</v>
      </c>
    </row>
    <row r="23" spans="1:11" s="5132" customFormat="1">
      <c r="A23" s="6374"/>
      <c r="B23" s="6371" t="s">
        <v>3152</v>
      </c>
      <c r="C23" s="6372">
        <v>592</v>
      </c>
      <c r="D23" s="6725"/>
      <c r="E23" s="6728">
        <f>'STATEMENT OF RECEIPTS'!F23</f>
        <v>2044205.2</v>
      </c>
      <c r="F23" s="6370"/>
      <c r="G23" s="6728">
        <f>'BESF Table 1'!G25</f>
        <v>2025655.85</v>
      </c>
      <c r="H23" s="6743"/>
      <c r="I23" s="6727">
        <f t="shared" si="0"/>
        <v>-25655.850000000093</v>
      </c>
      <c r="J23" s="6743"/>
      <c r="K23" s="6942">
        <f>'BESF Table 1'!K25</f>
        <v>2000000</v>
      </c>
    </row>
    <row r="24" spans="1:11" s="5132" customFormat="1">
      <c r="A24" s="6374"/>
      <c r="B24" s="9807" t="s">
        <v>11509</v>
      </c>
      <c r="C24" s="6372">
        <v>587</v>
      </c>
      <c r="D24" s="6725"/>
      <c r="E24" s="6728">
        <f>'STATEMENT OF RECEIPTS'!F24</f>
        <v>12966194.949999999</v>
      </c>
      <c r="F24" s="6370"/>
      <c r="G24" s="6728">
        <f>'BESF Table 1'!G26</f>
        <v>5624964.2400000002</v>
      </c>
      <c r="H24" s="6743"/>
      <c r="I24" s="6727">
        <f t="shared" si="0"/>
        <v>-24964.240000000224</v>
      </c>
      <c r="J24" s="6743"/>
      <c r="K24" s="6942">
        <f>'BESF Table 1'!K26</f>
        <v>5600000</v>
      </c>
    </row>
    <row r="25" spans="1:11" s="5132" customFormat="1">
      <c r="A25" s="6388"/>
      <c r="B25" s="6389" t="s">
        <v>10175</v>
      </c>
      <c r="C25" s="6390"/>
      <c r="D25" s="6725"/>
      <c r="E25" s="6728">
        <f>'receipts program'!D30</f>
        <v>0</v>
      </c>
      <c r="F25" s="6383"/>
      <c r="G25" s="6728">
        <f>'BESF Table 1'!G27</f>
        <v>0</v>
      </c>
      <c r="H25" s="6731"/>
      <c r="I25" s="6727">
        <f t="shared" si="0"/>
        <v>800000</v>
      </c>
      <c r="J25" s="6731"/>
      <c r="K25" s="6947">
        <f>'BESF Table 1'!K27</f>
        <v>800000</v>
      </c>
    </row>
    <row r="26" spans="1:11" s="5132" customFormat="1">
      <c r="A26" s="6374"/>
      <c r="B26" s="6371" t="s">
        <v>3149</v>
      </c>
      <c r="C26" s="6372">
        <v>582</v>
      </c>
      <c r="D26" s="6725"/>
      <c r="E26" s="6728">
        <f>'STATEMENT OF RECEIPTS'!F25</f>
        <v>20042</v>
      </c>
      <c r="F26" s="6370"/>
      <c r="G26" s="6728">
        <f>'BESF Table 1'!G28</f>
        <v>12713.35</v>
      </c>
      <c r="H26" s="6743"/>
      <c r="I26" s="6727">
        <f t="shared" si="0"/>
        <v>12286.65</v>
      </c>
      <c r="J26" s="6743"/>
      <c r="K26" s="6942">
        <f>'BESF Table 1'!K28</f>
        <v>25000</v>
      </c>
    </row>
    <row r="27" spans="1:11" s="5132" customFormat="1">
      <c r="A27" s="6374"/>
      <c r="B27" s="6371" t="s">
        <v>3134</v>
      </c>
      <c r="C27" s="6372">
        <v>564</v>
      </c>
      <c r="D27" s="6731"/>
      <c r="E27" s="6728">
        <f>'STATEMENT OF RECEIPTS'!F26</f>
        <v>316765.8</v>
      </c>
      <c r="F27" s="6383"/>
      <c r="G27" s="6728">
        <f>'BESF Table 1'!G29</f>
        <v>369857.2</v>
      </c>
      <c r="H27" s="6731"/>
      <c r="I27" s="6727">
        <f t="shared" si="0"/>
        <v>-169857.2</v>
      </c>
      <c r="J27" s="6731"/>
      <c r="K27" s="6948">
        <f>'BESF Table 1'!K29</f>
        <v>200000</v>
      </c>
    </row>
    <row r="28" spans="1:11" s="5132" customFormat="1" hidden="1">
      <c r="A28" s="6388"/>
      <c r="B28" s="6391" t="s">
        <v>9202</v>
      </c>
      <c r="C28" s="6390"/>
      <c r="D28" s="6731"/>
      <c r="E28" s="6728">
        <f>'receipts program'!D29</f>
        <v>0</v>
      </c>
      <c r="F28" s="6383"/>
      <c r="G28" s="6728"/>
      <c r="H28" s="6731"/>
      <c r="I28" s="6727">
        <f t="shared" si="0"/>
        <v>0</v>
      </c>
      <c r="J28" s="6731"/>
      <c r="K28" s="6948"/>
    </row>
    <row r="29" spans="1:11" s="5132" customFormat="1" ht="15" customHeight="1">
      <c r="A29" s="6374"/>
      <c r="B29" s="6371" t="s">
        <v>3338</v>
      </c>
      <c r="C29" s="6372"/>
      <c r="D29" s="6731"/>
      <c r="E29" s="6728">
        <f>'STATEMENT OF RECEIPTS'!F29</f>
        <v>445839.94</v>
      </c>
      <c r="F29" s="6383"/>
      <c r="G29" s="6728">
        <f>'BESF Table 1'!G31</f>
        <v>234216</v>
      </c>
      <c r="H29" s="6731"/>
      <c r="I29" s="6727">
        <f t="shared" si="0"/>
        <v>-84216</v>
      </c>
      <c r="J29" s="6731"/>
      <c r="K29" s="6766">
        <f>'BESF Table 1'!K31</f>
        <v>150000</v>
      </c>
    </row>
    <row r="30" spans="1:11" s="5132" customFormat="1" ht="15" customHeight="1">
      <c r="A30" s="6374"/>
      <c r="B30" s="6385" t="s">
        <v>182</v>
      </c>
      <c r="C30" s="6372"/>
      <c r="D30" s="6734" t="s">
        <v>405</v>
      </c>
      <c r="E30" s="6735">
        <f>SUM(E20:E29)</f>
        <v>20022667.940000001</v>
      </c>
      <c r="F30" s="6386" t="s">
        <v>405</v>
      </c>
      <c r="G30" s="6735">
        <f>SUM(G20:G29)</f>
        <v>12224739.159999998</v>
      </c>
      <c r="H30" s="6734" t="s">
        <v>405</v>
      </c>
      <c r="I30" s="6735">
        <f>SUM(I20:I29)</f>
        <v>1150260.8399999996</v>
      </c>
      <c r="J30" s="6734" t="s">
        <v>405</v>
      </c>
      <c r="K30" s="6945">
        <f>SUM(K20:K29)</f>
        <v>13375000</v>
      </c>
    </row>
    <row r="31" spans="1:11" s="5132" customFormat="1" ht="3" customHeight="1">
      <c r="A31" s="6374"/>
      <c r="B31" s="6371"/>
      <c r="C31" s="6372"/>
      <c r="D31" s="6738"/>
      <c r="E31" s="6739"/>
      <c r="F31" s="6392"/>
      <c r="G31" s="6739"/>
      <c r="H31" s="6949"/>
      <c r="I31" s="6950"/>
      <c r="J31" s="6949"/>
      <c r="K31" s="6950"/>
    </row>
    <row r="32" spans="1:11" s="5132" customFormat="1" ht="2.25" customHeight="1">
      <c r="A32" s="6374"/>
      <c r="B32" s="6371"/>
      <c r="C32" s="6372"/>
      <c r="D32" s="6725"/>
      <c r="E32" s="6728"/>
      <c r="F32" s="6370"/>
      <c r="G32" s="6728"/>
      <c r="H32" s="6743"/>
      <c r="I32" s="6727"/>
      <c r="J32" s="6743"/>
      <c r="K32" s="6727"/>
    </row>
    <row r="33" spans="1:11" s="5132" customFormat="1" ht="15" customHeight="1">
      <c r="A33" s="6374"/>
      <c r="B33" s="6393" t="s">
        <v>443</v>
      </c>
      <c r="C33" s="6372"/>
      <c r="D33" s="6726" t="s">
        <v>405</v>
      </c>
      <c r="E33" s="6740">
        <f>E17+E30</f>
        <v>69294757.829999998</v>
      </c>
      <c r="F33" s="6376" t="s">
        <v>405</v>
      </c>
      <c r="G33" s="6740">
        <f>G17+G30</f>
        <v>53187568.659999996</v>
      </c>
      <c r="H33" s="6769" t="s">
        <v>405</v>
      </c>
      <c r="I33" s="6740">
        <f>I17+I30</f>
        <v>8887431.339999998</v>
      </c>
      <c r="J33" s="6769" t="s">
        <v>405</v>
      </c>
      <c r="K33" s="6770">
        <f>K17+K30</f>
        <v>62075000</v>
      </c>
    </row>
    <row r="34" spans="1:11" s="5132" customFormat="1" ht="3" customHeight="1" thickBot="1">
      <c r="A34" s="6374"/>
      <c r="B34" s="6371"/>
      <c r="C34" s="6372"/>
      <c r="D34" s="6741"/>
      <c r="E34" s="6742"/>
      <c r="F34" s="6394"/>
      <c r="G34" s="6742"/>
      <c r="H34" s="6741"/>
      <c r="I34" s="6772"/>
      <c r="J34" s="6741"/>
      <c r="K34" s="6727"/>
    </row>
    <row r="35" spans="1:11" s="5132" customFormat="1">
      <c r="A35" s="6374"/>
      <c r="B35" s="6375" t="s">
        <v>442</v>
      </c>
      <c r="C35" s="6372"/>
      <c r="D35" s="6725"/>
      <c r="E35" s="6728"/>
      <c r="F35" s="6370"/>
      <c r="G35" s="6728"/>
      <c r="H35" s="6743"/>
      <c r="I35" s="6727"/>
      <c r="J35" s="6743"/>
      <c r="K35" s="6951"/>
    </row>
    <row r="36" spans="1:11" s="5132" customFormat="1">
      <c r="A36" s="6374"/>
      <c r="B36" s="6382" t="s">
        <v>441</v>
      </c>
      <c r="C36" s="6372"/>
      <c r="D36" s="6725"/>
      <c r="E36" s="6728"/>
      <c r="F36" s="6370"/>
      <c r="G36" s="6728"/>
      <c r="H36" s="6743"/>
      <c r="I36" s="6727"/>
      <c r="J36" s="6743"/>
      <c r="K36" s="6727"/>
    </row>
    <row r="37" spans="1:11" s="5132" customFormat="1" hidden="1">
      <c r="A37" s="6388"/>
      <c r="B37" s="6391" t="s">
        <v>3135</v>
      </c>
      <c r="C37" s="6390"/>
      <c r="D37" s="6725"/>
      <c r="E37" s="6728">
        <f>'receipts program'!D39</f>
        <v>0</v>
      </c>
      <c r="F37" s="6383"/>
      <c r="G37" s="6728"/>
      <c r="H37" s="6731"/>
      <c r="I37" s="6774"/>
      <c r="J37" s="6731"/>
      <c r="K37" s="6774"/>
    </row>
    <row r="38" spans="1:11" s="5132" customFormat="1">
      <c r="A38" s="6374"/>
      <c r="B38" s="6371" t="s">
        <v>3136</v>
      </c>
      <c r="C38" s="6372">
        <v>631</v>
      </c>
      <c r="D38" s="6726"/>
      <c r="E38" s="6728">
        <f>'STATEMENT OF RECEIPTS'!F35</f>
        <v>145373138.99000001</v>
      </c>
      <c r="F38" s="6376"/>
      <c r="G38" s="6728">
        <f>'BESF Table 1'!G40</f>
        <v>38013664.020000003</v>
      </c>
      <c r="H38" s="6769"/>
      <c r="I38" s="6727">
        <f>K38-G38</f>
        <v>197986335.97999999</v>
      </c>
      <c r="J38" s="6769"/>
      <c r="K38" s="6942">
        <f>'BESF Table 1'!K40</f>
        <v>236000000</v>
      </c>
    </row>
    <row r="39" spans="1:11" s="5132" customFormat="1">
      <c r="A39" s="6374"/>
      <c r="B39" s="6371" t="s">
        <v>3137</v>
      </c>
      <c r="C39" s="6372">
        <v>613</v>
      </c>
      <c r="D39" s="6743"/>
      <c r="E39" s="6728">
        <f>'STATEMENT OF RECEIPTS'!F36</f>
        <v>3926680.14</v>
      </c>
      <c r="F39" s="6370"/>
      <c r="G39" s="6728">
        <f>'BESF Table 1'!G41</f>
        <v>3384779.5</v>
      </c>
      <c r="H39" s="6743"/>
      <c r="I39" s="6727">
        <f>K39-G39</f>
        <v>3615220.5</v>
      </c>
      <c r="J39" s="6743"/>
      <c r="K39" s="6952">
        <f>'BESF Table 1'!K41</f>
        <v>7000000</v>
      </c>
    </row>
    <row r="40" spans="1:11" s="5132" customFormat="1" ht="15" customHeight="1">
      <c r="A40" s="6374"/>
      <c r="B40" s="6385" t="s">
        <v>182</v>
      </c>
      <c r="C40" s="6372"/>
      <c r="D40" s="6734" t="s">
        <v>405</v>
      </c>
      <c r="E40" s="6735">
        <f>SUM(E37:E39)</f>
        <v>149299819.13</v>
      </c>
      <c r="F40" s="6386" t="s">
        <v>405</v>
      </c>
      <c r="G40" s="6735">
        <f>SUM(G38:G39)</f>
        <v>41398443.520000003</v>
      </c>
      <c r="H40" s="6734" t="s">
        <v>405</v>
      </c>
      <c r="I40" s="6735">
        <f>SUM(I38:I39)</f>
        <v>201601556.47999999</v>
      </c>
      <c r="J40" s="6734" t="s">
        <v>405</v>
      </c>
      <c r="K40" s="6945">
        <f>SUM(K38:K39)</f>
        <v>243000000</v>
      </c>
    </row>
    <row r="41" spans="1:11" s="5132" customFormat="1" ht="2.25" customHeight="1">
      <c r="A41" s="6374"/>
      <c r="B41" s="6371"/>
      <c r="C41" s="6395"/>
      <c r="D41" s="6736"/>
      <c r="E41" s="6737"/>
      <c r="F41" s="6387"/>
      <c r="G41" s="6737"/>
      <c r="H41" s="6736"/>
      <c r="I41" s="6946"/>
      <c r="J41" s="6736"/>
      <c r="K41" s="6946"/>
    </row>
    <row r="42" spans="1:11">
      <c r="A42" s="6374"/>
      <c r="B42" s="6371" t="s">
        <v>440</v>
      </c>
      <c r="C42" s="6372" t="s">
        <v>439</v>
      </c>
      <c r="D42" s="6725"/>
      <c r="E42" s="6728">
        <f>'STATEMENT OF RECEIPTS'!F39</f>
        <v>1954843.04</v>
      </c>
      <c r="F42" s="6383"/>
      <c r="G42" s="6728">
        <f>'BESF Table 1'!G47</f>
        <v>957577.28</v>
      </c>
      <c r="H42" s="6731"/>
      <c r="I42" s="6766">
        <f>K42-G42</f>
        <v>2042422.72</v>
      </c>
      <c r="J42" s="6731"/>
      <c r="K42" s="6953">
        <f>'BESF Table 1'!K47</f>
        <v>3000000</v>
      </c>
    </row>
    <row r="43" spans="1:11">
      <c r="A43" s="6374"/>
      <c r="B43" s="6371" t="s">
        <v>438</v>
      </c>
      <c r="C43" s="6372">
        <v>642</v>
      </c>
      <c r="D43" s="6725"/>
      <c r="E43" s="6728">
        <f>'STATEMENT OF RECEIPTS'!F40</f>
        <v>1698436.95</v>
      </c>
      <c r="F43" s="6370"/>
      <c r="G43" s="6728">
        <f>'BESF Table 1'!G48</f>
        <v>1146284.4099999999</v>
      </c>
      <c r="H43" s="6743"/>
      <c r="I43" s="6727">
        <f>K43-G43</f>
        <v>-1066284.4099999999</v>
      </c>
      <c r="J43" s="6743"/>
      <c r="K43" s="6954">
        <f>'BESF Table 1'!K48</f>
        <v>80000</v>
      </c>
    </row>
    <row r="44" spans="1:11">
      <c r="A44" s="6374"/>
      <c r="B44" s="6371" t="s">
        <v>436</v>
      </c>
      <c r="C44" s="6372" t="s">
        <v>435</v>
      </c>
      <c r="D44" s="6725"/>
      <c r="E44" s="6728">
        <f>'STATEMENT OF RECEIPTS'!F42</f>
        <v>7633066.7699999996</v>
      </c>
      <c r="F44" s="6370"/>
      <c r="G44" s="6728">
        <f>'BESF Table 1'!G49</f>
        <v>5406677.9400000004</v>
      </c>
      <c r="H44" s="6743"/>
      <c r="I44" s="6727">
        <f>K44-G44</f>
        <v>3093322.0599999996</v>
      </c>
      <c r="J44" s="6743"/>
      <c r="K44" s="6954">
        <f>'BESF Table 1'!K49</f>
        <v>8500000</v>
      </c>
    </row>
    <row r="45" spans="1:11">
      <c r="A45" s="6374"/>
      <c r="B45" s="6371" t="s">
        <v>434</v>
      </c>
      <c r="C45" s="6372">
        <v>642.4</v>
      </c>
      <c r="D45" s="6725"/>
      <c r="E45" s="6728">
        <f>'STATEMENT OF RECEIPTS'!F43</f>
        <v>1206920</v>
      </c>
      <c r="F45" s="6370"/>
      <c r="G45" s="6728">
        <f>'BESF Table 1'!G50</f>
        <v>657536</v>
      </c>
      <c r="H45" s="6743"/>
      <c r="I45" s="6727">
        <f>K45-G45</f>
        <v>1342464</v>
      </c>
      <c r="J45" s="6743"/>
      <c r="K45" s="6954">
        <f>'BESF Table 1'!K50</f>
        <v>2000000</v>
      </c>
    </row>
    <row r="46" spans="1:11" ht="12.75" customHeight="1">
      <c r="A46" s="6374"/>
      <c r="B46" s="6396" t="s">
        <v>10583</v>
      </c>
      <c r="C46" s="6372">
        <v>649</v>
      </c>
      <c r="D46" s="6725"/>
      <c r="E46" s="6728">
        <f>'STATEMENT OF RECEIPTS'!F45</f>
        <v>7904224.5</v>
      </c>
      <c r="F46" s="6383"/>
      <c r="G46" s="6766">
        <f>'BESF Table 1'!G52</f>
        <v>4177895</v>
      </c>
      <c r="H46" s="6725"/>
      <c r="I46" s="6727">
        <f>K46-G46</f>
        <v>-2177895</v>
      </c>
      <c r="J46" s="6731"/>
      <c r="K46" s="6953">
        <f>'BESF Table 1'!K52</f>
        <v>2000000</v>
      </c>
    </row>
    <row r="47" spans="1:11" s="6399" customFormat="1" ht="15" customHeight="1">
      <c r="A47" s="6397"/>
      <c r="B47" s="6385" t="s">
        <v>182</v>
      </c>
      <c r="C47" s="6372"/>
      <c r="D47" s="6744" t="s">
        <v>405</v>
      </c>
      <c r="E47" s="6745">
        <f>SUM(E42:E46)</f>
        <v>20397491.259999998</v>
      </c>
      <c r="F47" s="6398" t="s">
        <v>405</v>
      </c>
      <c r="G47" s="6745">
        <f>SUM(G42:G46)</f>
        <v>12345970.630000001</v>
      </c>
      <c r="H47" s="6955" t="s">
        <v>405</v>
      </c>
      <c r="I47" s="6745">
        <f>SUM(I42:I46)</f>
        <v>3234029.3699999992</v>
      </c>
      <c r="J47" s="6744" t="s">
        <v>405</v>
      </c>
      <c r="K47" s="6745">
        <f>SUM(K42:K46)</f>
        <v>15580000</v>
      </c>
    </row>
    <row r="48" spans="1:11">
      <c r="A48" s="6370"/>
      <c r="B48" s="6371" t="s">
        <v>433</v>
      </c>
      <c r="C48" s="6372"/>
      <c r="D48" s="6725"/>
      <c r="E48" s="6725"/>
      <c r="F48" s="6370"/>
      <c r="G48" s="6936"/>
      <c r="H48" s="6725"/>
      <c r="I48" s="6725"/>
      <c r="J48" s="6743"/>
      <c r="K48" s="6936"/>
    </row>
    <row r="49" spans="1:11">
      <c r="A49" s="6374"/>
      <c r="B49" s="6371" t="s">
        <v>3150</v>
      </c>
      <c r="C49" s="6372">
        <v>664</v>
      </c>
      <c r="D49" s="6725"/>
      <c r="E49" s="6728">
        <f>'STATEMENT OF RECEIPTS'!F48</f>
        <v>4990011.33</v>
      </c>
      <c r="F49" s="6370"/>
      <c r="G49" s="6727">
        <f>'BESF Table 1'!G55</f>
        <v>2374484.77</v>
      </c>
      <c r="H49" s="6725"/>
      <c r="I49" s="6727">
        <f>K49-G49</f>
        <v>3625515.23</v>
      </c>
      <c r="J49" s="6743"/>
      <c r="K49" s="6942">
        <f>'BESF Table 1'!K55</f>
        <v>6000000</v>
      </c>
    </row>
    <row r="50" spans="1:11">
      <c r="A50" s="6374"/>
      <c r="B50" s="6371" t="s">
        <v>432</v>
      </c>
      <c r="C50" s="6372" t="s">
        <v>9</v>
      </c>
      <c r="D50" s="6725"/>
      <c r="E50" s="6728">
        <f>'STATEMENT OF RECEIPTS'!F49</f>
        <v>170500</v>
      </c>
      <c r="F50" s="6370"/>
      <c r="G50" s="6727">
        <f>'BESF Table 1'!G56</f>
        <v>59000</v>
      </c>
      <c r="H50" s="6725"/>
      <c r="I50" s="6727">
        <f>K50-G50</f>
        <v>141000</v>
      </c>
      <c r="J50" s="6743"/>
      <c r="K50" s="6942">
        <f>'BESF Table 1'!K56</f>
        <v>200000</v>
      </c>
    </row>
    <row r="51" spans="1:11" s="6404" customFormat="1" ht="15" customHeight="1">
      <c r="A51" s="6400"/>
      <c r="B51" s="6401" t="s">
        <v>182</v>
      </c>
      <c r="C51" s="6402"/>
      <c r="D51" s="6746" t="s">
        <v>405</v>
      </c>
      <c r="E51" s="6747">
        <f>E49+E50</f>
        <v>5160511.33</v>
      </c>
      <c r="F51" s="6403" t="s">
        <v>405</v>
      </c>
      <c r="G51" s="6956">
        <f>SUM(G49:G50)</f>
        <v>2433484.77</v>
      </c>
      <c r="H51" s="6957" t="s">
        <v>405</v>
      </c>
      <c r="I51" s="6747">
        <f>SUM(I49:I50)</f>
        <v>3766515.23</v>
      </c>
      <c r="J51" s="6746" t="s">
        <v>405</v>
      </c>
      <c r="K51" s="6956">
        <f>SUM(K49:K50)</f>
        <v>6200000</v>
      </c>
    </row>
    <row r="52" spans="1:11" ht="12.75" customHeight="1">
      <c r="A52" s="6370"/>
      <c r="B52" s="6371" t="s">
        <v>430</v>
      </c>
      <c r="C52" s="6372"/>
      <c r="D52" s="6725"/>
      <c r="E52" s="6725"/>
      <c r="F52" s="6370"/>
      <c r="G52" s="6936"/>
      <c r="H52" s="6725"/>
      <c r="I52" s="6725"/>
      <c r="J52" s="6743"/>
      <c r="K52" s="6936"/>
    </row>
    <row r="53" spans="1:11">
      <c r="A53" s="6405"/>
      <c r="B53" s="6371" t="s">
        <v>3151</v>
      </c>
      <c r="C53" s="6372">
        <v>678</v>
      </c>
      <c r="D53" s="6725"/>
      <c r="E53" s="6728">
        <f>'STATEMENT OF RECEIPTS'!F52</f>
        <v>3411526.82</v>
      </c>
      <c r="F53" s="6370"/>
      <c r="G53" s="6727">
        <f>'BESF Table 1'!G59</f>
        <v>1081436.44</v>
      </c>
      <c r="H53" s="6725"/>
      <c r="I53" s="6727">
        <f>K53-G53</f>
        <v>2018563.56</v>
      </c>
      <c r="J53" s="6743"/>
      <c r="K53" s="6942">
        <f>'BESF Table 1'!K59</f>
        <v>3100000</v>
      </c>
    </row>
    <row r="54" spans="1:11">
      <c r="A54" s="6405"/>
      <c r="B54" s="6371" t="s">
        <v>429</v>
      </c>
      <c r="C54" s="6372" t="s">
        <v>428</v>
      </c>
      <c r="D54" s="6725"/>
      <c r="E54" s="6728">
        <f>'STATEMENT OF RECEIPTS'!F54</f>
        <v>0</v>
      </c>
      <c r="F54" s="6370"/>
      <c r="G54" s="6727">
        <v>0</v>
      </c>
      <c r="H54" s="6725"/>
      <c r="I54" s="6727">
        <f>K54-G54</f>
        <v>0</v>
      </c>
      <c r="J54" s="6743"/>
      <c r="K54" s="6942">
        <f>'BESF Table 1'!K61</f>
        <v>0</v>
      </c>
    </row>
    <row r="55" spans="1:11">
      <c r="A55" s="6405"/>
      <c r="B55" s="6371" t="s">
        <v>427</v>
      </c>
      <c r="C55" s="6372" t="s">
        <v>3146</v>
      </c>
      <c r="D55" s="6725"/>
      <c r="E55" s="6728">
        <f>'STATEMENT OF RECEIPTS'!F55</f>
        <v>0</v>
      </c>
      <c r="F55" s="6370"/>
      <c r="G55" s="6727">
        <v>0</v>
      </c>
      <c r="H55" s="6725"/>
      <c r="I55" s="6727">
        <f>K55-G55</f>
        <v>0</v>
      </c>
      <c r="J55" s="6743"/>
      <c r="K55" s="6942">
        <f>'BESF Table 1'!K62</f>
        <v>0</v>
      </c>
    </row>
    <row r="56" spans="1:11" ht="15" customHeight="1">
      <c r="A56" s="6405"/>
      <c r="B56" s="6371" t="s">
        <v>426</v>
      </c>
      <c r="C56" s="6372" t="s">
        <v>495</v>
      </c>
      <c r="D56" s="6743"/>
      <c r="E56" s="6728">
        <v>0</v>
      </c>
      <c r="F56" s="6370"/>
      <c r="G56" s="6727">
        <v>0</v>
      </c>
      <c r="H56" s="6725"/>
      <c r="I56" s="6727">
        <f>K56-G56</f>
        <v>0</v>
      </c>
      <c r="J56" s="6743"/>
      <c r="K56" s="6958">
        <f>'BESF Table 1'!K63</f>
        <v>0</v>
      </c>
    </row>
    <row r="57" spans="1:11" ht="15.75" customHeight="1">
      <c r="A57" s="6405"/>
      <c r="B57" s="6371" t="s">
        <v>425</v>
      </c>
      <c r="C57" s="6372">
        <v>661</v>
      </c>
      <c r="D57" s="6731"/>
      <c r="E57" s="6728">
        <f>'STATEMENT OF RECEIPTS'!F53</f>
        <v>37875000</v>
      </c>
      <c r="F57" s="6383"/>
      <c r="G57" s="6766">
        <f>'BESF Table 1'!G60</f>
        <v>9000000</v>
      </c>
      <c r="H57" s="6725"/>
      <c r="I57" s="6766">
        <f>K57-G57</f>
        <v>21000000</v>
      </c>
      <c r="J57" s="6731"/>
      <c r="K57" s="6959">
        <f>'BESF Table 1'!K60</f>
        <v>30000000</v>
      </c>
    </row>
    <row r="58" spans="1:11" s="6399" customFormat="1" ht="15" customHeight="1">
      <c r="A58" s="6406"/>
      <c r="B58" s="6385" t="s">
        <v>182</v>
      </c>
      <c r="C58" s="6372"/>
      <c r="D58" s="6748" t="s">
        <v>405</v>
      </c>
      <c r="E58" s="6749">
        <f>SUM(E53:E57)</f>
        <v>41286526.82</v>
      </c>
      <c r="F58" s="6407" t="s">
        <v>405</v>
      </c>
      <c r="G58" s="6749">
        <f>SUM(G53:G57)</f>
        <v>10081436.439999999</v>
      </c>
      <c r="H58" s="6748" t="s">
        <v>405</v>
      </c>
      <c r="I58" s="6749">
        <f>SUM(I53:I57)</f>
        <v>23018563.559999999</v>
      </c>
      <c r="J58" s="6960" t="s">
        <v>405</v>
      </c>
      <c r="K58" s="6749">
        <f>SUM(K53:K57)</f>
        <v>33100000</v>
      </c>
    </row>
    <row r="59" spans="1:11" ht="15" customHeight="1">
      <c r="A59" s="6370"/>
      <c r="B59" s="6393" t="s">
        <v>424</v>
      </c>
      <c r="C59" s="6372"/>
      <c r="D59" s="6726" t="s">
        <v>405</v>
      </c>
      <c r="E59" s="6750">
        <f>E40+E47+E58+E51</f>
        <v>216144348.53999999</v>
      </c>
      <c r="F59" s="6408" t="s">
        <v>405</v>
      </c>
      <c r="G59" s="6750">
        <f>G40+G47+G58+G51</f>
        <v>66259335.360000007</v>
      </c>
      <c r="H59" s="6961" t="s">
        <v>405</v>
      </c>
      <c r="I59" s="6750">
        <f>I40+I47+I58+I51</f>
        <v>231620664.63999999</v>
      </c>
      <c r="J59" s="6961" t="s">
        <v>405</v>
      </c>
      <c r="K59" s="6770">
        <f>K40+K47+K58+K51</f>
        <v>297880000</v>
      </c>
    </row>
    <row r="60" spans="1:11" s="6412" customFormat="1" ht="12.75" customHeight="1">
      <c r="A60" s="6409"/>
      <c r="B60" s="6375" t="s">
        <v>423</v>
      </c>
      <c r="C60" s="6410"/>
      <c r="D60" s="6751"/>
      <c r="E60" s="6752"/>
      <c r="F60" s="6411"/>
      <c r="G60" s="6752"/>
      <c r="H60" s="6962"/>
      <c r="I60" s="6752"/>
      <c r="J60" s="6962"/>
      <c r="K60" s="6963"/>
    </row>
    <row r="61" spans="1:11">
      <c r="A61" s="6374"/>
      <c r="B61" s="6371" t="s">
        <v>422</v>
      </c>
      <c r="C61" s="6372">
        <v>665</v>
      </c>
      <c r="D61" s="6743"/>
      <c r="E61" s="6728">
        <f>'STATEMENT OF RECEIPTS'!F79</f>
        <v>1713520553</v>
      </c>
      <c r="F61" s="6413"/>
      <c r="G61" s="6728">
        <f>'BESF Table 1'!G67</f>
        <v>919147110</v>
      </c>
      <c r="H61" s="6964"/>
      <c r="I61" s="6727">
        <f>K61-G61</f>
        <v>918895372</v>
      </c>
      <c r="J61" s="6728"/>
      <c r="K61" s="6965">
        <f>'BESF Table 1'!K67</f>
        <v>1838042482</v>
      </c>
    </row>
    <row r="62" spans="1:11">
      <c r="A62" s="6374"/>
      <c r="B62" s="6371" t="s">
        <v>4835</v>
      </c>
      <c r="C62" s="6372" t="s">
        <v>3147</v>
      </c>
      <c r="D62" s="6743"/>
      <c r="E62" s="6728">
        <f>'STATEMENT OF RECEIPTS'!F82</f>
        <v>3977795.2</v>
      </c>
      <c r="F62" s="6370"/>
      <c r="G62" s="6728">
        <f>'BESF Table 1'!G69</f>
        <v>2520868.37</v>
      </c>
      <c r="H62" s="6731"/>
      <c r="I62" s="6727">
        <f>K62-G62</f>
        <v>-520868.37000000011</v>
      </c>
      <c r="J62" s="6725"/>
      <c r="K62" s="6966">
        <f>'BESF Table 1'!K69</f>
        <v>2000000</v>
      </c>
    </row>
    <row r="63" spans="1:11">
      <c r="A63" s="6374"/>
      <c r="B63" s="6371" t="s">
        <v>9198</v>
      </c>
      <c r="C63" s="6372"/>
      <c r="D63" s="6743"/>
      <c r="E63" s="6728">
        <f>'STATEMENT OF RECEIPTS'!F80</f>
        <v>0</v>
      </c>
      <c r="F63" s="6370"/>
      <c r="G63" s="6728">
        <f>'BESF Table 1'!G70</f>
        <v>70541.440000000002</v>
      </c>
      <c r="H63" s="6731"/>
      <c r="I63" s="6727">
        <f>K63-G63</f>
        <v>79458.559999999998</v>
      </c>
      <c r="J63" s="6725"/>
      <c r="K63" s="6727">
        <f>'BESF Table 1'!L70</f>
        <v>150000</v>
      </c>
    </row>
    <row r="64" spans="1:11" hidden="1">
      <c r="A64" s="6388"/>
      <c r="B64" s="6415" t="s">
        <v>9190</v>
      </c>
      <c r="C64" s="6390"/>
      <c r="D64" s="6731"/>
      <c r="E64" s="6728">
        <f>'receipts program'!D90</f>
        <v>0</v>
      </c>
      <c r="F64" s="6383"/>
      <c r="G64" s="6728"/>
      <c r="H64" s="6731"/>
      <c r="I64" s="6762"/>
      <c r="J64" s="6725"/>
      <c r="K64" s="6762"/>
    </row>
    <row r="65" spans="1:11" hidden="1">
      <c r="A65" s="6388"/>
      <c r="B65" s="6415" t="s">
        <v>9195</v>
      </c>
      <c r="C65" s="6390"/>
      <c r="D65" s="6731"/>
      <c r="E65" s="6728">
        <f>'receipts program'!D92</f>
        <v>0</v>
      </c>
      <c r="F65" s="6383"/>
      <c r="G65" s="6728"/>
      <c r="H65" s="6731"/>
      <c r="I65" s="6762"/>
      <c r="J65" s="6725"/>
      <c r="K65" s="6762"/>
    </row>
    <row r="66" spans="1:11" ht="15" customHeight="1">
      <c r="A66" s="6374"/>
      <c r="B66" s="6385" t="s">
        <v>182</v>
      </c>
      <c r="C66" s="6372"/>
      <c r="D66" s="6734" t="s">
        <v>405</v>
      </c>
      <c r="E66" s="6735">
        <f>SUM(E61:E65)</f>
        <v>1717498348.2</v>
      </c>
      <c r="F66" s="6386" t="s">
        <v>405</v>
      </c>
      <c r="G66" s="6735">
        <f>SUM(G61:G63)</f>
        <v>921738519.81000006</v>
      </c>
      <c r="H66" s="6734" t="s">
        <v>405</v>
      </c>
      <c r="I66" s="6945">
        <f>SUM(I61:I63)</f>
        <v>918453962.18999994</v>
      </c>
      <c r="J66" s="6967" t="s">
        <v>405</v>
      </c>
      <c r="K66" s="6945">
        <f>SUM(K61:K63)</f>
        <v>1840192482</v>
      </c>
    </row>
    <row r="67" spans="1:11" s="6420" customFormat="1">
      <c r="A67" s="6416"/>
      <c r="B67" s="6375" t="s">
        <v>419</v>
      </c>
      <c r="C67" s="6417"/>
      <c r="D67" s="6753"/>
      <c r="E67" s="6740"/>
      <c r="F67" s="6418"/>
      <c r="G67" s="6740"/>
      <c r="H67" s="6753"/>
      <c r="I67" s="6968"/>
      <c r="J67" s="6969"/>
      <c r="K67" s="6968"/>
    </row>
    <row r="68" spans="1:11" ht="18.75" customHeight="1">
      <c r="A68" s="6374"/>
      <c r="B68" s="6371" t="s">
        <v>418</v>
      </c>
      <c r="C68" s="6372">
        <v>682</v>
      </c>
      <c r="D68" s="6743"/>
      <c r="E68" s="6728">
        <v>0</v>
      </c>
      <c r="F68" s="6370"/>
      <c r="G68" s="6728">
        <v>0</v>
      </c>
      <c r="H68" s="6731"/>
      <c r="I68" s="6727">
        <f>K68-G68</f>
        <v>1000000</v>
      </c>
      <c r="J68" s="6725"/>
      <c r="K68" s="6727">
        <f>'BESF Table 1'!K74</f>
        <v>1000000</v>
      </c>
    </row>
    <row r="69" spans="1:11" s="6404" customFormat="1">
      <c r="A69" s="6400"/>
      <c r="B69" s="6401" t="s">
        <v>182</v>
      </c>
      <c r="C69" s="6402"/>
      <c r="D69" s="6734" t="s">
        <v>405</v>
      </c>
      <c r="E69" s="6754">
        <f>SUM(E68:E68)</f>
        <v>0</v>
      </c>
      <c r="F69" s="6386" t="s">
        <v>405</v>
      </c>
      <c r="G69" s="6754">
        <v>0</v>
      </c>
      <c r="H69" s="6734" t="s">
        <v>405</v>
      </c>
      <c r="I69" s="6970">
        <f>SUM(I68:I68)</f>
        <v>1000000</v>
      </c>
      <c r="J69" s="6967" t="s">
        <v>405</v>
      </c>
      <c r="K69" s="6970">
        <f>SUM(K68:K68)</f>
        <v>1000000</v>
      </c>
    </row>
    <row r="70" spans="1:11" ht="23.25" customHeight="1">
      <c r="A70" s="6388"/>
      <c r="B70" s="6421" t="s">
        <v>417</v>
      </c>
      <c r="C70" s="6372"/>
      <c r="D70" s="6755" t="s">
        <v>405</v>
      </c>
      <c r="E70" s="6728">
        <f>'receipts program'!D101</f>
        <v>0</v>
      </c>
      <c r="F70" s="6422" t="s">
        <v>405</v>
      </c>
      <c r="G70" s="6728">
        <v>0</v>
      </c>
      <c r="H70" s="6755" t="s">
        <v>405</v>
      </c>
      <c r="I70" s="6766">
        <f>K70-G70</f>
        <v>440000000</v>
      </c>
      <c r="J70" s="6726" t="s">
        <v>405</v>
      </c>
      <c r="K70" s="6766">
        <f>'BESF Table 1'!K77</f>
        <v>440000000</v>
      </c>
    </row>
    <row r="71" spans="1:11" ht="15" customHeight="1" thickBot="1">
      <c r="A71" s="6388"/>
      <c r="B71" s="6423" t="s">
        <v>327</v>
      </c>
      <c r="C71" s="6372"/>
      <c r="D71" s="6756"/>
      <c r="E71" s="6757">
        <f>E70</f>
        <v>0</v>
      </c>
      <c r="F71" s="6424"/>
      <c r="G71" s="6757">
        <f>SUM(G70)</f>
        <v>0</v>
      </c>
      <c r="H71" s="6971"/>
      <c r="I71" s="6757">
        <f>SUM(I70)</f>
        <v>440000000</v>
      </c>
      <c r="J71" s="6971"/>
      <c r="K71" s="6972">
        <f>SUM(K70)</f>
        <v>440000000</v>
      </c>
    </row>
    <row r="72" spans="1:11" ht="15" customHeight="1" thickBot="1">
      <c r="A72" s="6383"/>
      <c r="B72" s="6419" t="s">
        <v>416</v>
      </c>
      <c r="C72" s="6390"/>
      <c r="D72" s="6758" t="s">
        <v>405</v>
      </c>
      <c r="E72" s="6759">
        <f>E71+E69+E66+E59+E33</f>
        <v>2002937454.5699999</v>
      </c>
      <c r="F72" s="6425" t="s">
        <v>405</v>
      </c>
      <c r="G72" s="6759">
        <f>G71+G69+G66+G59+G33</f>
        <v>1041185423.83</v>
      </c>
      <c r="H72" s="6973" t="s">
        <v>405</v>
      </c>
      <c r="I72" s="6759">
        <f>I71+I69+I66+I59+I33</f>
        <v>1599962058.1699998</v>
      </c>
      <c r="J72" s="6973" t="s">
        <v>405</v>
      </c>
      <c r="K72" s="6974">
        <f>K71+K69+K66+K59+K33</f>
        <v>2641147482</v>
      </c>
    </row>
    <row r="73" spans="1:11" ht="15" customHeight="1">
      <c r="A73" s="6383"/>
      <c r="B73" s="6419"/>
      <c r="C73" s="6390"/>
      <c r="D73" s="6760"/>
      <c r="E73" s="6761"/>
      <c r="F73" s="6426"/>
      <c r="G73" s="6761"/>
      <c r="H73" s="6975"/>
      <c r="I73" s="6761"/>
      <c r="J73" s="6975"/>
      <c r="K73" s="6976"/>
    </row>
    <row r="74" spans="1:11" s="5132" customFormat="1" ht="15.75" customHeight="1">
      <c r="A74" s="6418" t="s">
        <v>10450</v>
      </c>
      <c r="B74" s="6427"/>
      <c r="C74" s="6390"/>
      <c r="D74" s="6725"/>
      <c r="E74" s="6728">
        <f>'receipts program'!D107</f>
        <v>0</v>
      </c>
      <c r="F74" s="6414"/>
      <c r="G74" s="6728"/>
      <c r="H74" s="6964"/>
      <c r="I74" s="6728"/>
      <c r="J74" s="6964"/>
      <c r="K74" s="6766">
        <f>G74+I74</f>
        <v>0</v>
      </c>
    </row>
    <row r="75" spans="1:11" s="5132" customFormat="1" ht="15.75" customHeight="1" thickBot="1">
      <c r="A75" s="6428"/>
      <c r="B75" s="6415" t="s">
        <v>9197</v>
      </c>
      <c r="C75" s="6390"/>
      <c r="D75" s="6731"/>
      <c r="E75" s="6762">
        <f>'receipts program'!D108</f>
        <v>0</v>
      </c>
      <c r="F75" s="6414"/>
      <c r="G75" s="6728"/>
      <c r="H75" s="6964"/>
      <c r="I75" s="6728"/>
      <c r="J75" s="6964"/>
      <c r="K75" s="6762">
        <f>G75+I75</f>
        <v>0</v>
      </c>
    </row>
    <row r="76" spans="1:11" ht="15.75" customHeight="1" thickBot="1">
      <c r="A76" s="14146" t="s">
        <v>416</v>
      </c>
      <c r="B76" s="14147"/>
      <c r="C76" s="6429"/>
      <c r="D76" s="6758" t="s">
        <v>405</v>
      </c>
      <c r="E76" s="6759">
        <f>E72+E8+E74+E75</f>
        <v>2117937454.5699999</v>
      </c>
      <c r="F76" s="6425" t="s">
        <v>405</v>
      </c>
      <c r="G76" s="6759">
        <f>G71+G69+G66+G59+G33+G8</f>
        <v>1336185423.8299999</v>
      </c>
      <c r="H76" s="6973" t="s">
        <v>405</v>
      </c>
      <c r="I76" s="6759">
        <f>I71+I69+I66+I59+I33+I8</f>
        <v>1599962058.1699998</v>
      </c>
      <c r="J76" s="6973" t="s">
        <v>405</v>
      </c>
      <c r="K76" s="6974">
        <f>K71+K69+K66+K59+K33+K8</f>
        <v>2936147482</v>
      </c>
    </row>
    <row r="77" spans="1:11" ht="15.75" customHeight="1">
      <c r="A77" s="6430"/>
      <c r="B77" s="6431"/>
      <c r="C77" s="6432"/>
      <c r="D77" s="6763"/>
      <c r="E77" s="6764"/>
      <c r="F77" s="6433"/>
      <c r="G77" s="6764"/>
      <c r="H77" s="6764"/>
      <c r="I77" s="6764"/>
      <c r="J77" s="6764"/>
      <c r="K77" s="6764"/>
    </row>
    <row r="78" spans="1:11" ht="15.75" customHeight="1">
      <c r="A78" s="6430"/>
      <c r="B78" s="6431"/>
      <c r="C78" s="6432"/>
      <c r="D78" s="6763"/>
      <c r="E78" s="6764"/>
      <c r="F78" s="6433"/>
      <c r="G78" s="6764"/>
      <c r="H78" s="6764"/>
      <c r="I78" s="6764"/>
      <c r="J78" s="6764"/>
      <c r="K78" s="6764"/>
    </row>
    <row r="79" spans="1:11" ht="15.75" customHeight="1">
      <c r="A79" s="6430" t="s">
        <v>3236</v>
      </c>
      <c r="B79" s="6431"/>
      <c r="C79" s="6432"/>
      <c r="D79" s="6763"/>
      <c r="E79" s="6764"/>
      <c r="F79" s="6433"/>
      <c r="G79" s="6764"/>
      <c r="H79" s="6764"/>
      <c r="I79" s="6764"/>
      <c r="J79" s="6764"/>
      <c r="K79" s="6764"/>
    </row>
    <row r="80" spans="1:11" ht="15" customHeight="1">
      <c r="A80" s="6362"/>
      <c r="B80" s="6363"/>
      <c r="C80" s="6364"/>
      <c r="D80" s="6721"/>
      <c r="E80" s="6721" t="s">
        <v>10</v>
      </c>
      <c r="F80" s="14148" t="s">
        <v>10844</v>
      </c>
      <c r="G80" s="14149"/>
      <c r="H80" s="14149"/>
      <c r="I80" s="14149"/>
      <c r="J80" s="14149"/>
      <c r="K80" s="14150"/>
    </row>
    <row r="81" spans="1:13" ht="15" customHeight="1">
      <c r="A81" s="14140" t="s">
        <v>460</v>
      </c>
      <c r="B81" s="14141"/>
      <c r="C81" s="6366" t="s">
        <v>459</v>
      </c>
      <c r="D81" s="6722"/>
      <c r="E81" s="6723" t="s">
        <v>10844</v>
      </c>
      <c r="F81" s="14142" t="s">
        <v>10553</v>
      </c>
      <c r="G81" s="14143"/>
      <c r="H81" s="14142" t="s">
        <v>10552</v>
      </c>
      <c r="I81" s="14143"/>
      <c r="J81" s="14142" t="s">
        <v>458</v>
      </c>
      <c r="K81" s="14143"/>
    </row>
    <row r="82" spans="1:13" ht="15" customHeight="1">
      <c r="A82" s="6367"/>
      <c r="B82" s="6368"/>
      <c r="C82" s="6369" t="s">
        <v>94</v>
      </c>
      <c r="D82" s="6724"/>
      <c r="E82" s="6724" t="s">
        <v>457</v>
      </c>
      <c r="F82" s="14144" t="s">
        <v>457</v>
      </c>
      <c r="G82" s="14145"/>
      <c r="H82" s="14144" t="s">
        <v>456</v>
      </c>
      <c r="I82" s="14145"/>
      <c r="J82" s="14144"/>
      <c r="K82" s="14145"/>
    </row>
    <row r="83" spans="1:13">
      <c r="A83" s="6430"/>
      <c r="B83" s="6431"/>
      <c r="C83" s="6434"/>
      <c r="D83" s="6763"/>
      <c r="E83" s="6764"/>
      <c r="F83" s="6435"/>
      <c r="G83" s="6977"/>
      <c r="H83" s="6764"/>
      <c r="I83" s="6764"/>
      <c r="J83" s="6978"/>
      <c r="K83" s="6977"/>
    </row>
    <row r="84" spans="1:13">
      <c r="A84" s="6374" t="s">
        <v>53</v>
      </c>
      <c r="B84" s="6375" t="s">
        <v>415</v>
      </c>
      <c r="C84" s="6372"/>
      <c r="D84" s="6725"/>
      <c r="E84" s="6728"/>
      <c r="F84" s="6413"/>
      <c r="G84" s="6728"/>
      <c r="H84" s="6979"/>
      <c r="I84" s="6728"/>
      <c r="J84" s="6979"/>
      <c r="K84" s="6727"/>
    </row>
    <row r="85" spans="1:13">
      <c r="A85" s="6370"/>
      <c r="B85" s="6373"/>
      <c r="C85" s="6372"/>
      <c r="D85" s="6743"/>
      <c r="E85" s="6727"/>
      <c r="F85" s="6413"/>
      <c r="G85" s="6727"/>
      <c r="H85" s="6979"/>
      <c r="I85" s="6727"/>
      <c r="J85" s="6979"/>
      <c r="K85" s="6727"/>
    </row>
    <row r="86" spans="1:13" ht="17.100000000000001" customHeight="1">
      <c r="A86" s="6370"/>
      <c r="B86" s="6373" t="s">
        <v>414</v>
      </c>
      <c r="C86" s="6372"/>
      <c r="D86" s="6765" t="s">
        <v>405</v>
      </c>
      <c r="E86" s="6727">
        <f>'WS-CO 2017'!R21</f>
        <v>423122081.66000003</v>
      </c>
      <c r="F86" s="6436" t="s">
        <v>405</v>
      </c>
      <c r="G86" s="6727">
        <f>'WS-PS ACTUAL JUNE 2018'!Z22+'WS-MOOE ACTUAL JUNE 2018'!BY23+'WS-CO ACTUAL JUNE 2018'!AD22</f>
        <v>183985166.66999999</v>
      </c>
      <c r="H86" s="6765" t="s">
        <v>405</v>
      </c>
      <c r="I86" s="6727">
        <f>K86-G86</f>
        <v>290082041.57000005</v>
      </c>
      <c r="J86" s="6765" t="s">
        <v>405</v>
      </c>
      <c r="K86" s="6727">
        <f>213326939.24+250754193+9986076</f>
        <v>474067208.24000001</v>
      </c>
    </row>
    <row r="87" spans="1:13" ht="17.100000000000001" customHeight="1">
      <c r="A87" s="6370"/>
      <c r="B87" s="6373" t="s">
        <v>413</v>
      </c>
      <c r="C87" s="6372"/>
      <c r="D87" s="6743"/>
      <c r="E87" s="6727">
        <f>'WS-CO 2017'!R51</f>
        <v>155362462.16999999</v>
      </c>
      <c r="F87" s="6413"/>
      <c r="G87" s="6727">
        <f>'WS-PS ACTUAL JUNE 2018'!Z52+'WS-MOOE ACTUAL JUNE 2018'!BY53+'WS-CO ACTUAL JUNE 2018'!AD49</f>
        <v>74746990.739999995</v>
      </c>
      <c r="H87" s="6979"/>
      <c r="I87" s="6727">
        <f>K87-G87</f>
        <v>97627948.260000005</v>
      </c>
      <c r="J87" s="6979"/>
      <c r="K87" s="6727">
        <f>109291674+58628265+4455000</f>
        <v>172374939</v>
      </c>
    </row>
    <row r="88" spans="1:13" ht="17.100000000000001" customHeight="1">
      <c r="A88" s="6370"/>
      <c r="B88" s="6373" t="s">
        <v>412</v>
      </c>
      <c r="C88" s="6372"/>
      <c r="D88" s="6743"/>
      <c r="E88" s="6727">
        <f>'WS-CO 2017'!R39</f>
        <v>439833684.50999993</v>
      </c>
      <c r="F88" s="6413"/>
      <c r="G88" s="6727">
        <f>'WS-PS ACTUAL JUNE 2018'!Z40+'WS-MOOE ACTUAL JUNE 2018'!BY41+'WS-CO ACTUAL JUNE 2018'!AD38</f>
        <v>183318716.94000003</v>
      </c>
      <c r="H88" s="6979"/>
      <c r="I88" s="6727">
        <f>K88-G88</f>
        <v>277328579.05999994</v>
      </c>
      <c r="J88" s="6979"/>
      <c r="K88" s="6727">
        <f>240698496+214348800+5600000</f>
        <v>460647296</v>
      </c>
    </row>
    <row r="89" spans="1:13" s="5132" customFormat="1" ht="17.100000000000001" customHeight="1">
      <c r="A89" s="6370"/>
      <c r="B89" s="6373" t="s">
        <v>411</v>
      </c>
      <c r="C89" s="6372"/>
      <c r="D89" s="6765"/>
      <c r="E89" s="6727"/>
      <c r="F89" s="6436"/>
      <c r="G89" s="6980"/>
      <c r="H89" s="6743"/>
      <c r="I89" s="6980"/>
      <c r="J89" s="6765"/>
      <c r="K89" s="6727"/>
    </row>
    <row r="90" spans="1:13" s="5132" customFormat="1" ht="17.100000000000001" customHeight="1">
      <c r="A90" s="6370"/>
      <c r="B90" s="6373" t="s">
        <v>410</v>
      </c>
      <c r="C90" s="6372"/>
      <c r="D90" s="6743"/>
      <c r="E90" s="6727">
        <f>246595543.73-0.01</f>
        <v>246595543.72</v>
      </c>
      <c r="F90" s="6413"/>
      <c r="G90" s="6727">
        <f>'BESF Table 1'!G209</f>
        <v>0</v>
      </c>
      <c r="H90" s="6979"/>
      <c r="I90" s="6727">
        <f>K90-G90</f>
        <v>951336845</v>
      </c>
      <c r="J90" s="6979"/>
      <c r="K90" s="6727">
        <f>'BESF Table 1'!K209</f>
        <v>951336845</v>
      </c>
      <c r="M90" s="5132">
        <f>SUM(E86:E89)</f>
        <v>1018318228.3399999</v>
      </c>
    </row>
    <row r="91" spans="1:13" s="5132" customFormat="1" ht="17.100000000000001" customHeight="1">
      <c r="A91" s="6370"/>
      <c r="B91" s="6373" t="s">
        <v>409</v>
      </c>
      <c r="C91" s="6372"/>
      <c r="D91" s="6743"/>
      <c r="E91" s="6727">
        <f>'BESF Table 1'!E210</f>
        <v>0</v>
      </c>
      <c r="F91" s="6413"/>
      <c r="G91" s="6727">
        <f>'BESF Table 1'!G210</f>
        <v>0</v>
      </c>
      <c r="H91" s="6979"/>
      <c r="I91" s="6727">
        <f>K91-G91</f>
        <v>0</v>
      </c>
      <c r="J91" s="6979"/>
      <c r="K91" s="6727">
        <f>'BESF Table 1'!K210</f>
        <v>0</v>
      </c>
    </row>
    <row r="92" spans="1:13" s="5132" customFormat="1" ht="17.100000000000001" customHeight="1">
      <c r="A92" s="6370"/>
      <c r="B92" s="6431" t="s">
        <v>671</v>
      </c>
      <c r="C92" s="6372"/>
      <c r="D92" s="6731"/>
      <c r="E92" s="6766">
        <f>'BESF Table 1'!E211</f>
        <v>87123525.909999996</v>
      </c>
      <c r="F92" s="6414"/>
      <c r="G92" s="6766">
        <f>'BESF Table 1'!G211</f>
        <v>0</v>
      </c>
      <c r="H92" s="6964"/>
      <c r="I92" s="6766">
        <f>K92-G92</f>
        <v>367608496.40000004</v>
      </c>
      <c r="J92" s="6964"/>
      <c r="K92" s="6766">
        <f>'BESF Table 1'!K211</f>
        <v>367608496.40000004</v>
      </c>
    </row>
    <row r="93" spans="1:13" s="5132" customFormat="1" ht="17.100000000000001" customHeight="1">
      <c r="A93" s="10442"/>
      <c r="B93" s="6431" t="s">
        <v>11700</v>
      </c>
      <c r="C93" s="10443"/>
      <c r="D93" s="10444"/>
      <c r="E93" s="10445">
        <f>'BESF Table 1'!E212</f>
        <v>45135896.700000003</v>
      </c>
      <c r="F93" s="10446"/>
      <c r="G93" s="10445"/>
      <c r="H93" s="10447"/>
      <c r="I93" s="10445"/>
      <c r="J93" s="10447"/>
      <c r="K93" s="10445"/>
    </row>
    <row r="94" spans="1:13" s="5132" customFormat="1" ht="17.100000000000001" customHeight="1">
      <c r="A94" s="10442"/>
      <c r="B94" s="6431" t="s">
        <v>11701</v>
      </c>
      <c r="C94" s="10443"/>
      <c r="D94" s="10444"/>
      <c r="E94" s="10445">
        <f>'BESF Table 1'!E213</f>
        <v>22180000</v>
      </c>
      <c r="F94" s="10446"/>
      <c r="G94" s="10445"/>
      <c r="H94" s="10447"/>
      <c r="I94" s="10445"/>
      <c r="J94" s="10447"/>
      <c r="K94" s="10445"/>
    </row>
    <row r="95" spans="1:13" s="5132" customFormat="1" ht="15" customHeight="1" thickBot="1">
      <c r="A95" s="6383"/>
      <c r="B95" s="6431"/>
      <c r="C95" s="6390"/>
      <c r="D95" s="6767"/>
      <c r="E95" s="6768"/>
      <c r="F95" s="6437"/>
      <c r="G95" s="6768"/>
      <c r="H95" s="6981"/>
      <c r="I95" s="6768"/>
      <c r="J95" s="6981"/>
      <c r="K95" s="6768"/>
    </row>
    <row r="96" spans="1:13">
      <c r="A96" s="6370"/>
      <c r="B96" s="6373"/>
      <c r="C96" s="6372"/>
      <c r="D96" s="6731"/>
      <c r="E96" s="6766"/>
      <c r="F96" s="6414"/>
      <c r="G96" s="6766"/>
      <c r="H96" s="6964"/>
      <c r="I96" s="6766"/>
      <c r="J96" s="6964"/>
      <c r="K96" s="6766"/>
    </row>
    <row r="97" spans="1:11">
      <c r="A97" s="6370"/>
      <c r="B97" s="6419" t="s">
        <v>408</v>
      </c>
      <c r="C97" s="6372"/>
      <c r="D97" s="6769" t="s">
        <v>405</v>
      </c>
      <c r="E97" s="6770">
        <f>SUM(E86:E94)</f>
        <v>1419353194.6700001</v>
      </c>
      <c r="F97" s="6438"/>
      <c r="G97" s="6770">
        <f>SUM(G86:G96)</f>
        <v>442050874.35000002</v>
      </c>
      <c r="H97" s="6982"/>
      <c r="I97" s="6770">
        <f>SUM(I86:I95)</f>
        <v>1983983910.29</v>
      </c>
      <c r="J97" s="6982"/>
      <c r="K97" s="6770">
        <f>SUM(K86:K96)</f>
        <v>2426034784.6399999</v>
      </c>
    </row>
    <row r="98" spans="1:11" ht="15" thickBot="1">
      <c r="A98" s="6370"/>
      <c r="B98" s="6419"/>
      <c r="C98" s="6372"/>
      <c r="D98" s="6771"/>
      <c r="E98" s="6772"/>
      <c r="F98" s="6439"/>
      <c r="G98" s="6772"/>
      <c r="H98" s="6983"/>
      <c r="I98" s="6772"/>
      <c r="J98" s="6983"/>
      <c r="K98" s="6772"/>
    </row>
    <row r="99" spans="1:11" ht="17.100000000000001" customHeight="1">
      <c r="A99" s="6440" t="s">
        <v>9327</v>
      </c>
      <c r="B99" s="6419"/>
      <c r="C99" s="6434"/>
      <c r="D99" s="6773"/>
      <c r="E99" s="6774"/>
      <c r="F99" s="6441"/>
      <c r="G99" s="6774"/>
      <c r="H99" s="6984"/>
      <c r="I99" s="6774"/>
      <c r="J99" s="6984"/>
      <c r="K99" s="6774"/>
    </row>
    <row r="100" spans="1:11" ht="17.100000000000001" customHeight="1">
      <c r="A100" s="6442"/>
      <c r="B100" s="6373" t="s">
        <v>9328</v>
      </c>
      <c r="C100" s="6434"/>
      <c r="D100" s="6773"/>
      <c r="E100" s="6774">
        <f>'BESF Table 1'!E218</f>
        <v>517615323.47000003</v>
      </c>
      <c r="F100" s="6441"/>
      <c r="G100" s="6774"/>
      <c r="H100" s="6984"/>
      <c r="I100" s="6774"/>
      <c r="J100" s="6984"/>
      <c r="K100" s="6774"/>
    </row>
    <row r="101" spans="1:11" ht="17.100000000000001" customHeight="1">
      <c r="A101" s="6442"/>
      <c r="B101" s="6373" t="s">
        <v>11699</v>
      </c>
      <c r="C101" s="6434"/>
      <c r="D101" s="6773"/>
      <c r="E101" s="6774">
        <f>'BESF Table 1'!E219</f>
        <v>70000000</v>
      </c>
      <c r="F101" s="6441"/>
      <c r="G101" s="6774"/>
      <c r="H101" s="6984"/>
      <c r="I101" s="6774"/>
      <c r="J101" s="6984"/>
      <c r="K101" s="6774"/>
    </row>
    <row r="102" spans="1:11">
      <c r="A102" s="6383"/>
      <c r="B102" s="6373"/>
      <c r="C102" s="6390"/>
      <c r="D102" s="6755"/>
      <c r="E102" s="6766"/>
      <c r="F102" s="6443"/>
      <c r="G102" s="6766"/>
      <c r="H102" s="6985"/>
      <c r="I102" s="6766"/>
      <c r="J102" s="6985"/>
      <c r="K102" s="6766"/>
    </row>
    <row r="103" spans="1:11" s="6420" customFormat="1" ht="19.5" customHeight="1">
      <c r="A103" s="6440"/>
      <c r="B103" s="6444" t="s">
        <v>182</v>
      </c>
      <c r="C103" s="6445"/>
      <c r="D103" s="6734"/>
      <c r="E103" s="6775">
        <f>SUM(E100:E102)</f>
        <v>587615323.47000003</v>
      </c>
      <c r="F103" s="6446"/>
      <c r="G103" s="6775"/>
      <c r="H103" s="6986"/>
      <c r="I103" s="6775"/>
      <c r="J103" s="6986"/>
      <c r="K103" s="6775"/>
    </row>
    <row r="104" spans="1:11" ht="15" thickBot="1">
      <c r="A104" s="6442"/>
      <c r="B104" s="6419"/>
      <c r="C104" s="6434"/>
      <c r="D104" s="6773"/>
      <c r="E104" s="6774"/>
      <c r="F104" s="6441"/>
      <c r="G104" s="6774"/>
      <c r="H104" s="6984"/>
      <c r="I104" s="6774"/>
      <c r="J104" s="6984"/>
      <c r="K104" s="6774"/>
    </row>
    <row r="105" spans="1:11" s="5132" customFormat="1">
      <c r="A105" s="6447"/>
      <c r="B105" s="6448"/>
      <c r="C105" s="6449"/>
      <c r="D105" s="6776"/>
      <c r="E105" s="6777"/>
      <c r="F105" s="6450"/>
      <c r="G105" s="6777"/>
      <c r="H105" s="6987"/>
      <c r="I105" s="6777"/>
      <c r="J105" s="6987"/>
      <c r="K105" s="6777"/>
    </row>
    <row r="106" spans="1:11">
      <c r="A106" s="6451"/>
      <c r="B106" s="6419" t="s">
        <v>406</v>
      </c>
      <c r="C106" s="6452"/>
      <c r="D106" s="6769" t="s">
        <v>405</v>
      </c>
      <c r="E106" s="6770">
        <f>E76-E97-E103</f>
        <v>110968936.42999983</v>
      </c>
      <c r="F106" s="6438" t="s">
        <v>405</v>
      </c>
      <c r="G106" s="6770">
        <f>G76-G97</f>
        <v>894134549.4799999</v>
      </c>
      <c r="H106" s="6982" t="s">
        <v>405</v>
      </c>
      <c r="I106" s="6770">
        <f>I76-I97</f>
        <v>-384021852.12000012</v>
      </c>
      <c r="J106" s="6982" t="s">
        <v>405</v>
      </c>
      <c r="K106" s="6770">
        <f>K76-K97</f>
        <v>510112697.36000013</v>
      </c>
    </row>
    <row r="107" spans="1:11" ht="15" thickBot="1">
      <c r="A107" s="6453"/>
      <c r="B107" s="6454"/>
      <c r="C107" s="6455"/>
      <c r="D107" s="6778"/>
      <c r="E107" s="6779"/>
      <c r="F107" s="6456"/>
      <c r="G107" s="6779"/>
      <c r="H107" s="6988"/>
      <c r="I107" s="6779"/>
      <c r="J107" s="6988"/>
      <c r="K107" s="6779"/>
    </row>
    <row r="108" spans="1:11" ht="12.75" customHeight="1" thickTop="1"/>
    <row r="109" spans="1:11" s="5161" customFormat="1" ht="12.75" hidden="1" customHeight="1">
      <c r="A109" s="5157" t="s">
        <v>9177</v>
      </c>
      <c r="B109" s="5162"/>
      <c r="C109" s="5162"/>
      <c r="D109" s="6711"/>
      <c r="E109" s="6711"/>
      <c r="F109" s="5642"/>
      <c r="G109" s="6714"/>
      <c r="H109" s="6714"/>
      <c r="I109" s="6714"/>
      <c r="J109" s="6714"/>
      <c r="K109" s="6989"/>
    </row>
    <row r="110" spans="1:11" s="5161" customFormat="1" ht="12.75" hidden="1" customHeight="1">
      <c r="A110" s="5162"/>
      <c r="B110" s="5133"/>
      <c r="C110" s="5162"/>
      <c r="D110" s="6711"/>
      <c r="E110" s="6711"/>
      <c r="F110" s="5642"/>
      <c r="G110" s="6714"/>
      <c r="H110" s="6990"/>
      <c r="I110" s="6714"/>
      <c r="J110" s="6714"/>
      <c r="K110" s="6989"/>
    </row>
    <row r="111" spans="1:11" s="5163" customFormat="1" ht="12.75" hidden="1" customHeight="1">
      <c r="A111" s="5162"/>
      <c r="B111" s="5133"/>
      <c r="C111" s="5162"/>
      <c r="D111" s="6711"/>
      <c r="E111" s="6711"/>
      <c r="F111" s="5642"/>
      <c r="G111" s="6714"/>
      <c r="H111" s="6990"/>
      <c r="I111" s="6714"/>
      <c r="J111" s="6714"/>
      <c r="K111" s="6989"/>
    </row>
    <row r="112" spans="1:11" s="5161" customFormat="1" ht="12.75" hidden="1" customHeight="1">
      <c r="A112" s="5162"/>
      <c r="B112" s="5133"/>
      <c r="C112" s="5162"/>
      <c r="D112" s="6711"/>
      <c r="E112" s="6711"/>
      <c r="F112" s="5642"/>
      <c r="G112" s="6714"/>
      <c r="H112" s="6990"/>
      <c r="I112" s="6714"/>
      <c r="J112" s="6714"/>
      <c r="K112" s="6989"/>
    </row>
    <row r="113" spans="1:14" s="5161" customFormat="1" ht="12.75" hidden="1" customHeight="1">
      <c r="A113" s="5159" t="s">
        <v>9173</v>
      </c>
      <c r="B113" s="5159"/>
      <c r="C113" s="5159" t="s">
        <v>10452</v>
      </c>
      <c r="D113" s="6713"/>
      <c r="E113" s="6710"/>
      <c r="F113" s="5641"/>
      <c r="G113" s="6713"/>
      <c r="H113" s="6712"/>
      <c r="I113" s="6990" t="s">
        <v>10454</v>
      </c>
      <c r="J113" s="6712"/>
      <c r="K113" s="6991"/>
    </row>
    <row r="114" spans="1:14" s="5163" customFormat="1" ht="12.75" hidden="1" customHeight="1">
      <c r="A114" s="5162" t="s">
        <v>9174</v>
      </c>
      <c r="B114" s="5157"/>
      <c r="C114" s="5162" t="s">
        <v>10453</v>
      </c>
      <c r="D114" s="6781"/>
      <c r="E114" s="6711"/>
      <c r="F114" s="5161"/>
      <c r="G114" s="6781"/>
      <c r="H114" s="6714"/>
      <c r="I114" s="6992" t="s">
        <v>9187</v>
      </c>
      <c r="J114" s="6714"/>
      <c r="K114" s="6993"/>
    </row>
    <row r="115" spans="1:14" s="5161" customFormat="1" ht="12.75" hidden="1" customHeight="1">
      <c r="A115" s="5162"/>
      <c r="B115" s="5157"/>
      <c r="C115" s="5157"/>
      <c r="D115" s="6711"/>
      <c r="E115" s="6711"/>
      <c r="F115" s="5642"/>
      <c r="G115" s="6994"/>
      <c r="H115" s="6995"/>
      <c r="I115" s="6994"/>
      <c r="J115" s="6994"/>
      <c r="K115" s="6993"/>
    </row>
    <row r="116" spans="1:14" s="5161" customFormat="1" ht="12.75" hidden="1" customHeight="1">
      <c r="A116" s="5162"/>
      <c r="B116" s="5157"/>
      <c r="C116" s="5157"/>
      <c r="D116" s="6711"/>
      <c r="E116" s="6711"/>
      <c r="F116" s="5642"/>
      <c r="G116" s="6994"/>
      <c r="H116" s="6995"/>
      <c r="I116" s="6994"/>
      <c r="J116" s="6994"/>
      <c r="K116" s="6993"/>
    </row>
    <row r="117" spans="1:14" s="5161" customFormat="1" ht="12.75" hidden="1" customHeight="1">
      <c r="A117" s="5162"/>
      <c r="B117" s="5157"/>
      <c r="C117" s="5157"/>
      <c r="D117" s="6711" t="s">
        <v>9</v>
      </c>
      <c r="E117" s="6711"/>
      <c r="F117" s="5642"/>
      <c r="G117" s="6994"/>
      <c r="H117" s="6995"/>
      <c r="I117" s="6994"/>
      <c r="J117" s="6994"/>
      <c r="K117" s="6993"/>
    </row>
    <row r="118" spans="1:14" s="5161" customFormat="1" ht="12.75" hidden="1" customHeight="1">
      <c r="A118" s="5131"/>
      <c r="B118" s="5165"/>
      <c r="C118" s="5131"/>
      <c r="D118" s="6782"/>
      <c r="E118" s="6782"/>
      <c r="F118" s="5131"/>
      <c r="G118" s="6782"/>
      <c r="H118" s="6782"/>
      <c r="I118" s="6782"/>
      <c r="J118" s="6782"/>
      <c r="K118" s="6996"/>
    </row>
    <row r="119" spans="1:14" s="5161" customFormat="1" ht="12.75" hidden="1" customHeight="1">
      <c r="A119" s="5133"/>
      <c r="B119" s="6607" t="s">
        <v>10470</v>
      </c>
      <c r="C119" s="6608" t="s">
        <v>10475</v>
      </c>
      <c r="D119" s="6713"/>
      <c r="E119" s="6715"/>
      <c r="F119" s="6608"/>
      <c r="G119" s="6713"/>
      <c r="H119" s="6715"/>
      <c r="I119" s="14151" t="s">
        <v>9163</v>
      </c>
      <c r="J119" s="14151"/>
      <c r="K119" s="14151"/>
    </row>
    <row r="120" spans="1:14" s="5161" customFormat="1" ht="12.75" hidden="1" customHeight="1">
      <c r="A120" s="5133"/>
      <c r="B120" s="6089" t="s">
        <v>747</v>
      </c>
      <c r="C120" s="6609" t="s">
        <v>10476</v>
      </c>
      <c r="D120" s="6713"/>
      <c r="E120" s="6716"/>
      <c r="F120" s="6609"/>
      <c r="G120" s="6713"/>
      <c r="H120" s="6997"/>
      <c r="I120" s="14152" t="s">
        <v>10472</v>
      </c>
      <c r="J120" s="14152"/>
      <c r="K120" s="14152"/>
    </row>
    <row r="121" spans="1:14" s="5161" customFormat="1" ht="12.75" hidden="1" customHeight="1">
      <c r="A121" s="5133"/>
      <c r="B121" s="5162"/>
      <c r="C121" s="5162"/>
      <c r="D121" s="6711"/>
      <c r="E121" s="6717"/>
      <c r="F121" s="5133"/>
      <c r="G121" s="6717"/>
      <c r="H121" s="6713"/>
      <c r="I121" s="6717"/>
      <c r="J121" s="6717"/>
      <c r="K121" s="6998"/>
    </row>
    <row r="122" spans="1:14" s="5161" customFormat="1" ht="12.75" hidden="1" customHeight="1">
      <c r="A122" s="5133"/>
      <c r="B122" s="5162"/>
      <c r="C122" s="5162"/>
      <c r="D122" s="6711"/>
      <c r="E122" s="6717"/>
      <c r="F122" s="5133"/>
      <c r="G122" s="6717"/>
      <c r="H122" s="6713"/>
      <c r="I122" s="6717"/>
      <c r="J122" s="6717"/>
      <c r="K122" s="6998"/>
    </row>
    <row r="123" spans="1:14" s="5161" customFormat="1" ht="12.75" hidden="1" customHeight="1">
      <c r="A123" s="5133"/>
      <c r="B123" s="5162"/>
      <c r="C123" s="5162"/>
      <c r="D123" s="6711"/>
      <c r="E123" s="6717"/>
      <c r="F123" s="5133"/>
      <c r="G123" s="6717"/>
      <c r="H123" s="6713"/>
      <c r="I123" s="6717"/>
      <c r="J123" s="6717"/>
      <c r="K123" s="6998"/>
    </row>
    <row r="124" spans="1:14" s="5133" customFormat="1" ht="12.75" hidden="1" customHeight="1">
      <c r="A124" s="14134" t="s">
        <v>9161</v>
      </c>
      <c r="B124" s="14134"/>
      <c r="C124" s="14134"/>
      <c r="D124" s="14134"/>
      <c r="E124" s="14134"/>
      <c r="F124" s="14134"/>
      <c r="G124" s="14134"/>
      <c r="H124" s="14134"/>
      <c r="I124" s="14134"/>
      <c r="J124" s="14134"/>
      <c r="K124" s="14134"/>
      <c r="N124" s="5132"/>
    </row>
    <row r="125" spans="1:14" s="5133" customFormat="1" ht="12.75" hidden="1" customHeight="1">
      <c r="A125" s="14135" t="s">
        <v>10451</v>
      </c>
      <c r="B125" s="14135"/>
      <c r="C125" s="14135"/>
      <c r="D125" s="14135"/>
      <c r="E125" s="14135"/>
      <c r="F125" s="14135"/>
      <c r="G125" s="14135"/>
      <c r="H125" s="14135"/>
      <c r="I125" s="14135"/>
      <c r="J125" s="14135"/>
      <c r="K125" s="14135"/>
      <c r="N125" s="5132"/>
    </row>
    <row r="126" spans="1:14" s="5133" customFormat="1" ht="12.75" hidden="1" customHeight="1">
      <c r="D126" s="6717"/>
      <c r="E126" s="6717"/>
      <c r="G126" s="6717"/>
      <c r="H126" s="6717"/>
      <c r="I126" s="6717"/>
      <c r="J126" s="6717"/>
      <c r="K126" s="6998"/>
      <c r="N126" s="5132"/>
    </row>
    <row r="127" spans="1:14" s="5133" customFormat="1" ht="12.75" hidden="1" customHeight="1">
      <c r="D127" s="6717"/>
      <c r="E127" s="6717"/>
      <c r="G127" s="6717"/>
      <c r="H127" s="6717"/>
      <c r="I127" s="6717"/>
      <c r="J127" s="6717"/>
      <c r="K127" s="6998"/>
      <c r="N127" s="5132"/>
    </row>
    <row r="128" spans="1:14" s="5133" customFormat="1" ht="12.75" hidden="1" customHeight="1">
      <c r="B128" s="5133" t="s">
        <v>9176</v>
      </c>
      <c r="C128" s="5131"/>
      <c r="D128" s="6717"/>
      <c r="E128" s="6717"/>
      <c r="G128" s="6717"/>
      <c r="H128" s="6717"/>
      <c r="I128" s="6717"/>
      <c r="J128" s="6717"/>
      <c r="K128" s="6998"/>
      <c r="N128" s="5132"/>
    </row>
    <row r="129" spans="1:14" s="5133" customFormat="1" ht="12.75" hidden="1" customHeight="1">
      <c r="C129" s="5131"/>
      <c r="D129" s="6717"/>
      <c r="E129" s="6717"/>
      <c r="G129" s="6717"/>
      <c r="H129" s="6717"/>
      <c r="I129" s="6717"/>
      <c r="J129" s="6717"/>
      <c r="K129" s="6998"/>
      <c r="N129" s="5132"/>
    </row>
    <row r="130" spans="1:14" s="5133" customFormat="1" ht="12.75" hidden="1" customHeight="1">
      <c r="A130" s="14134" t="s">
        <v>5182</v>
      </c>
      <c r="B130" s="14134"/>
      <c r="C130" s="14134"/>
      <c r="D130" s="14134"/>
      <c r="E130" s="14134"/>
      <c r="F130" s="14134"/>
      <c r="G130" s="14134"/>
      <c r="H130" s="14134"/>
      <c r="I130" s="14134"/>
      <c r="J130" s="14134"/>
      <c r="K130" s="14134"/>
      <c r="N130" s="5132"/>
    </row>
    <row r="131" spans="1:14" s="5131" customFormat="1" ht="12.75" hidden="1" customHeight="1">
      <c r="A131" s="5133"/>
      <c r="B131" s="5133"/>
      <c r="C131" s="5133"/>
      <c r="D131" s="6717" t="s">
        <v>6980</v>
      </c>
      <c r="E131" s="6717"/>
      <c r="F131" s="5133"/>
      <c r="G131" s="6717"/>
      <c r="H131" s="6717"/>
      <c r="I131" s="6717"/>
      <c r="J131" s="6717"/>
      <c r="K131" s="6998"/>
      <c r="N131" s="5130"/>
    </row>
    <row r="132" spans="1:14" s="5133" customFormat="1" ht="12.75" customHeight="1">
      <c r="B132" s="6457"/>
      <c r="D132" s="6717"/>
      <c r="E132" s="6717">
        <f>SUM(E90:E94)</f>
        <v>401034966.32999998</v>
      </c>
      <c r="G132" s="6717"/>
      <c r="H132" s="6717"/>
      <c r="I132" s="6999"/>
      <c r="J132" s="6717"/>
      <c r="K132" s="7000"/>
      <c r="N132" s="5132"/>
    </row>
    <row r="133" spans="1:14" s="5133" customFormat="1" ht="12.75" customHeight="1">
      <c r="D133" s="6717"/>
      <c r="E133" s="6717"/>
      <c r="G133" s="6717"/>
      <c r="H133" s="6717"/>
      <c r="I133" s="6999"/>
      <c r="J133" s="6717"/>
      <c r="K133" s="7000"/>
      <c r="N133" s="5132"/>
    </row>
    <row r="134" spans="1:14" ht="12.75" customHeight="1"/>
    <row r="135" spans="1:14" ht="12.75" customHeight="1"/>
  </sheetData>
  <mergeCells count="21">
    <mergeCell ref="I120:K120"/>
    <mergeCell ref="H81:I81"/>
    <mergeCell ref="J81:K82"/>
    <mergeCell ref="F82:G82"/>
    <mergeCell ref="H82:I82"/>
    <mergeCell ref="A124:K124"/>
    <mergeCell ref="A125:K125"/>
    <mergeCell ref="A130:K130"/>
    <mergeCell ref="A2:K2"/>
    <mergeCell ref="F4:K4"/>
    <mergeCell ref="A5:B5"/>
    <mergeCell ref="F5:G5"/>
    <mergeCell ref="H5:I5"/>
    <mergeCell ref="J5:K6"/>
    <mergeCell ref="F6:G6"/>
    <mergeCell ref="H6:I6"/>
    <mergeCell ref="A76:B76"/>
    <mergeCell ref="F80:K80"/>
    <mergeCell ref="A81:B81"/>
    <mergeCell ref="F81:G81"/>
    <mergeCell ref="I119:K119"/>
  </mergeCells>
  <pageMargins left="0.25" right="0.25" top="0.5" bottom="1.5" header="0.5" footer="0.25"/>
  <pageSetup paperSize="5" scale="90" firstPageNumber="5" orientation="portrait" useFirstPageNumber="1" verticalDpi="300" r:id="rId1"/>
  <drawing r:id="rId2"/>
</worksheet>
</file>

<file path=xl/worksheets/sheet210.xml><?xml version="1.0" encoding="utf-8"?>
<worksheet xmlns="http://schemas.openxmlformats.org/spreadsheetml/2006/main" xmlns:r="http://schemas.openxmlformats.org/officeDocument/2006/relationships">
  <sheetPr codeName="Sheet204"/>
  <dimension ref="B1:J21"/>
  <sheetViews>
    <sheetView showGridLines="0" workbookViewId="0">
      <selection activeCell="P3" sqref="P3"/>
    </sheetView>
  </sheetViews>
  <sheetFormatPr defaultColWidth="8" defaultRowHeight="13.2"/>
  <cols>
    <col min="1" max="1" width="0.109375" style="776" customWidth="1"/>
    <col min="2" max="2" width="28.109375" style="776" customWidth="1"/>
    <col min="3" max="3" width="14.88671875" style="776" customWidth="1"/>
    <col min="4" max="4" width="14.44140625" style="776" customWidth="1"/>
    <col min="5" max="5" width="4.88671875" style="776" customWidth="1"/>
    <col min="6" max="6" width="2.88671875" style="776" customWidth="1"/>
    <col min="7" max="7" width="5.109375" style="776" customWidth="1"/>
    <col min="8" max="8" width="8" style="776" customWidth="1"/>
    <col min="9" max="9" width="7.88671875" style="776" customWidth="1"/>
    <col min="10" max="10" width="8" style="776" customWidth="1"/>
    <col min="11" max="11" width="5.88671875" style="776" customWidth="1"/>
    <col min="12" max="12" width="3.109375" style="776" customWidth="1"/>
    <col min="13" max="13" width="3.88671875" style="776" customWidth="1"/>
    <col min="14" max="256" width="8" style="776"/>
    <col min="257" max="260" width="8" style="776" customWidth="1"/>
    <col min="261" max="261" width="26.109375" style="776" bestFit="1" customWidth="1"/>
    <col min="262" max="263" width="16.44140625" style="776" customWidth="1"/>
    <col min="264" max="266" width="8" style="776" customWidth="1"/>
    <col min="267" max="267" width="5.88671875" style="776" customWidth="1"/>
    <col min="268" max="268" width="3.109375" style="776" customWidth="1"/>
    <col min="269" max="269" width="3.88671875" style="776" customWidth="1"/>
    <col min="270" max="512" width="8" style="776"/>
    <col min="513" max="516" width="8" style="776" customWidth="1"/>
    <col min="517" max="517" width="26.109375" style="776" bestFit="1" customWidth="1"/>
    <col min="518" max="519" width="16.44140625" style="776" customWidth="1"/>
    <col min="520" max="522" width="8" style="776" customWidth="1"/>
    <col min="523" max="523" width="5.88671875" style="776" customWidth="1"/>
    <col min="524" max="524" width="3.109375" style="776" customWidth="1"/>
    <col min="525" max="525" width="3.88671875" style="776" customWidth="1"/>
    <col min="526" max="768" width="8" style="776"/>
    <col min="769" max="772" width="8" style="776" customWidth="1"/>
    <col min="773" max="773" width="26.109375" style="776" bestFit="1" customWidth="1"/>
    <col min="774" max="775" width="16.44140625" style="776" customWidth="1"/>
    <col min="776" max="778" width="8" style="776" customWidth="1"/>
    <col min="779" max="779" width="5.88671875" style="776" customWidth="1"/>
    <col min="780" max="780" width="3.109375" style="776" customWidth="1"/>
    <col min="781" max="781" width="3.88671875" style="776" customWidth="1"/>
    <col min="782" max="1024" width="8" style="776"/>
    <col min="1025" max="1028" width="8" style="776" customWidth="1"/>
    <col min="1029" max="1029" width="26.109375" style="776" bestFit="1" customWidth="1"/>
    <col min="1030" max="1031" width="16.44140625" style="776" customWidth="1"/>
    <col min="1032" max="1034" width="8" style="776" customWidth="1"/>
    <col min="1035" max="1035" width="5.88671875" style="776" customWidth="1"/>
    <col min="1036" max="1036" width="3.109375" style="776" customWidth="1"/>
    <col min="1037" max="1037" width="3.88671875" style="776" customWidth="1"/>
    <col min="1038" max="1280" width="8" style="776"/>
    <col min="1281" max="1284" width="8" style="776" customWidth="1"/>
    <col min="1285" max="1285" width="26.109375" style="776" bestFit="1" customWidth="1"/>
    <col min="1286" max="1287" width="16.44140625" style="776" customWidth="1"/>
    <col min="1288" max="1290" width="8" style="776" customWidth="1"/>
    <col min="1291" max="1291" width="5.88671875" style="776" customWidth="1"/>
    <col min="1292" max="1292" width="3.109375" style="776" customWidth="1"/>
    <col min="1293" max="1293" width="3.88671875" style="776" customWidth="1"/>
    <col min="1294" max="1536" width="8" style="776"/>
    <col min="1537" max="1540" width="8" style="776" customWidth="1"/>
    <col min="1541" max="1541" width="26.109375" style="776" bestFit="1" customWidth="1"/>
    <col min="1542" max="1543" width="16.44140625" style="776" customWidth="1"/>
    <col min="1544" max="1546" width="8" style="776" customWidth="1"/>
    <col min="1547" max="1547" width="5.88671875" style="776" customWidth="1"/>
    <col min="1548" max="1548" width="3.109375" style="776" customWidth="1"/>
    <col min="1549" max="1549" width="3.88671875" style="776" customWidth="1"/>
    <col min="1550" max="1792" width="8" style="776"/>
    <col min="1793" max="1796" width="8" style="776" customWidth="1"/>
    <col min="1797" max="1797" width="26.109375" style="776" bestFit="1" customWidth="1"/>
    <col min="1798" max="1799" width="16.44140625" style="776" customWidth="1"/>
    <col min="1800" max="1802" width="8" style="776" customWidth="1"/>
    <col min="1803" max="1803" width="5.88671875" style="776" customWidth="1"/>
    <col min="1804" max="1804" width="3.109375" style="776" customWidth="1"/>
    <col min="1805" max="1805" width="3.88671875" style="776" customWidth="1"/>
    <col min="1806" max="2048" width="8" style="776"/>
    <col min="2049" max="2052" width="8" style="776" customWidth="1"/>
    <col min="2053" max="2053" width="26.109375" style="776" bestFit="1" customWidth="1"/>
    <col min="2054" max="2055" width="16.44140625" style="776" customWidth="1"/>
    <col min="2056" max="2058" width="8" style="776" customWidth="1"/>
    <col min="2059" max="2059" width="5.88671875" style="776" customWidth="1"/>
    <col min="2060" max="2060" width="3.109375" style="776" customWidth="1"/>
    <col min="2061" max="2061" width="3.88671875" style="776" customWidth="1"/>
    <col min="2062" max="2304" width="8" style="776"/>
    <col min="2305" max="2308" width="8" style="776" customWidth="1"/>
    <col min="2309" max="2309" width="26.109375" style="776" bestFit="1" customWidth="1"/>
    <col min="2310" max="2311" width="16.44140625" style="776" customWidth="1"/>
    <col min="2312" max="2314" width="8" style="776" customWidth="1"/>
    <col min="2315" max="2315" width="5.88671875" style="776" customWidth="1"/>
    <col min="2316" max="2316" width="3.109375" style="776" customWidth="1"/>
    <col min="2317" max="2317" width="3.88671875" style="776" customWidth="1"/>
    <col min="2318" max="2560" width="8" style="776"/>
    <col min="2561" max="2564" width="8" style="776" customWidth="1"/>
    <col min="2565" max="2565" width="26.109375" style="776" bestFit="1" customWidth="1"/>
    <col min="2566" max="2567" width="16.44140625" style="776" customWidth="1"/>
    <col min="2568" max="2570" width="8" style="776" customWidth="1"/>
    <col min="2571" max="2571" width="5.88671875" style="776" customWidth="1"/>
    <col min="2572" max="2572" width="3.109375" style="776" customWidth="1"/>
    <col min="2573" max="2573" width="3.88671875" style="776" customWidth="1"/>
    <col min="2574" max="2816" width="8" style="776"/>
    <col min="2817" max="2820" width="8" style="776" customWidth="1"/>
    <col min="2821" max="2821" width="26.109375" style="776" bestFit="1" customWidth="1"/>
    <col min="2822" max="2823" width="16.44140625" style="776" customWidth="1"/>
    <col min="2824" max="2826" width="8" style="776" customWidth="1"/>
    <col min="2827" max="2827" width="5.88671875" style="776" customWidth="1"/>
    <col min="2828" max="2828" width="3.109375" style="776" customWidth="1"/>
    <col min="2829" max="2829" width="3.88671875" style="776" customWidth="1"/>
    <col min="2830" max="3072" width="8" style="776"/>
    <col min="3073" max="3076" width="8" style="776" customWidth="1"/>
    <col min="3077" max="3077" width="26.109375" style="776" bestFit="1" customWidth="1"/>
    <col min="3078" max="3079" width="16.44140625" style="776" customWidth="1"/>
    <col min="3080" max="3082" width="8" style="776" customWidth="1"/>
    <col min="3083" max="3083" width="5.88671875" style="776" customWidth="1"/>
    <col min="3084" max="3084" width="3.109375" style="776" customWidth="1"/>
    <col min="3085" max="3085" width="3.88671875" style="776" customWidth="1"/>
    <col min="3086" max="3328" width="8" style="776"/>
    <col min="3329" max="3332" width="8" style="776" customWidth="1"/>
    <col min="3333" max="3333" width="26.109375" style="776" bestFit="1" customWidth="1"/>
    <col min="3334" max="3335" width="16.44140625" style="776" customWidth="1"/>
    <col min="3336" max="3338" width="8" style="776" customWidth="1"/>
    <col min="3339" max="3339" width="5.88671875" style="776" customWidth="1"/>
    <col min="3340" max="3340" width="3.109375" style="776" customWidth="1"/>
    <col min="3341" max="3341" width="3.88671875" style="776" customWidth="1"/>
    <col min="3342" max="3584" width="8" style="776"/>
    <col min="3585" max="3588" width="8" style="776" customWidth="1"/>
    <col min="3589" max="3589" width="26.109375" style="776" bestFit="1" customWidth="1"/>
    <col min="3590" max="3591" width="16.44140625" style="776" customWidth="1"/>
    <col min="3592" max="3594" width="8" style="776" customWidth="1"/>
    <col min="3595" max="3595" width="5.88671875" style="776" customWidth="1"/>
    <col min="3596" max="3596" width="3.109375" style="776" customWidth="1"/>
    <col min="3597" max="3597" width="3.88671875" style="776" customWidth="1"/>
    <col min="3598" max="3840" width="8" style="776"/>
    <col min="3841" max="3844" width="8" style="776" customWidth="1"/>
    <col min="3845" max="3845" width="26.109375" style="776" bestFit="1" customWidth="1"/>
    <col min="3846" max="3847" width="16.44140625" style="776" customWidth="1"/>
    <col min="3848" max="3850" width="8" style="776" customWidth="1"/>
    <col min="3851" max="3851" width="5.88671875" style="776" customWidth="1"/>
    <col min="3852" max="3852" width="3.109375" style="776" customWidth="1"/>
    <col min="3853" max="3853" width="3.88671875" style="776" customWidth="1"/>
    <col min="3854" max="4096" width="8" style="776"/>
    <col min="4097" max="4100" width="8" style="776" customWidth="1"/>
    <col min="4101" max="4101" width="26.109375" style="776" bestFit="1" customWidth="1"/>
    <col min="4102" max="4103" width="16.44140625" style="776" customWidth="1"/>
    <col min="4104" max="4106" width="8" style="776" customWidth="1"/>
    <col min="4107" max="4107" width="5.88671875" style="776" customWidth="1"/>
    <col min="4108" max="4108" width="3.109375" style="776" customWidth="1"/>
    <col min="4109" max="4109" width="3.88671875" style="776" customWidth="1"/>
    <col min="4110" max="4352" width="8" style="776"/>
    <col min="4353" max="4356" width="8" style="776" customWidth="1"/>
    <col min="4357" max="4357" width="26.109375" style="776" bestFit="1" customWidth="1"/>
    <col min="4358" max="4359" width="16.44140625" style="776" customWidth="1"/>
    <col min="4360" max="4362" width="8" style="776" customWidth="1"/>
    <col min="4363" max="4363" width="5.88671875" style="776" customWidth="1"/>
    <col min="4364" max="4364" width="3.109375" style="776" customWidth="1"/>
    <col min="4365" max="4365" width="3.88671875" style="776" customWidth="1"/>
    <col min="4366" max="4608" width="8" style="776"/>
    <col min="4609" max="4612" width="8" style="776" customWidth="1"/>
    <col min="4613" max="4613" width="26.109375" style="776" bestFit="1" customWidth="1"/>
    <col min="4614" max="4615" width="16.44140625" style="776" customWidth="1"/>
    <col min="4616" max="4618" width="8" style="776" customWidth="1"/>
    <col min="4619" max="4619" width="5.88671875" style="776" customWidth="1"/>
    <col min="4620" max="4620" width="3.109375" style="776" customWidth="1"/>
    <col min="4621" max="4621" width="3.88671875" style="776" customWidth="1"/>
    <col min="4622" max="4864" width="8" style="776"/>
    <col min="4865" max="4868" width="8" style="776" customWidth="1"/>
    <col min="4869" max="4869" width="26.109375" style="776" bestFit="1" customWidth="1"/>
    <col min="4870" max="4871" width="16.44140625" style="776" customWidth="1"/>
    <col min="4872" max="4874" width="8" style="776" customWidth="1"/>
    <col min="4875" max="4875" width="5.88671875" style="776" customWidth="1"/>
    <col min="4876" max="4876" width="3.109375" style="776" customWidth="1"/>
    <col min="4877" max="4877" width="3.88671875" style="776" customWidth="1"/>
    <col min="4878" max="5120" width="8" style="776"/>
    <col min="5121" max="5124" width="8" style="776" customWidth="1"/>
    <col min="5125" max="5125" width="26.109375" style="776" bestFit="1" customWidth="1"/>
    <col min="5126" max="5127" width="16.44140625" style="776" customWidth="1"/>
    <col min="5128" max="5130" width="8" style="776" customWidth="1"/>
    <col min="5131" max="5131" width="5.88671875" style="776" customWidth="1"/>
    <col min="5132" max="5132" width="3.109375" style="776" customWidth="1"/>
    <col min="5133" max="5133" width="3.88671875" style="776" customWidth="1"/>
    <col min="5134" max="5376" width="8" style="776"/>
    <col min="5377" max="5380" width="8" style="776" customWidth="1"/>
    <col min="5381" max="5381" width="26.109375" style="776" bestFit="1" customWidth="1"/>
    <col min="5382" max="5383" width="16.44140625" style="776" customWidth="1"/>
    <col min="5384" max="5386" width="8" style="776" customWidth="1"/>
    <col min="5387" max="5387" width="5.88671875" style="776" customWidth="1"/>
    <col min="5388" max="5388" width="3.109375" style="776" customWidth="1"/>
    <col min="5389" max="5389" width="3.88671875" style="776" customWidth="1"/>
    <col min="5390" max="5632" width="8" style="776"/>
    <col min="5633" max="5636" width="8" style="776" customWidth="1"/>
    <col min="5637" max="5637" width="26.109375" style="776" bestFit="1" customWidth="1"/>
    <col min="5638" max="5639" width="16.44140625" style="776" customWidth="1"/>
    <col min="5640" max="5642" width="8" style="776" customWidth="1"/>
    <col min="5643" max="5643" width="5.88671875" style="776" customWidth="1"/>
    <col min="5644" max="5644" width="3.109375" style="776" customWidth="1"/>
    <col min="5645" max="5645" width="3.88671875" style="776" customWidth="1"/>
    <col min="5646" max="5888" width="8" style="776"/>
    <col min="5889" max="5892" width="8" style="776" customWidth="1"/>
    <col min="5893" max="5893" width="26.109375" style="776" bestFit="1" customWidth="1"/>
    <col min="5894" max="5895" width="16.44140625" style="776" customWidth="1"/>
    <col min="5896" max="5898" width="8" style="776" customWidth="1"/>
    <col min="5899" max="5899" width="5.88671875" style="776" customWidth="1"/>
    <col min="5900" max="5900" width="3.109375" style="776" customWidth="1"/>
    <col min="5901" max="5901" width="3.88671875" style="776" customWidth="1"/>
    <col min="5902" max="6144" width="8" style="776"/>
    <col min="6145" max="6148" width="8" style="776" customWidth="1"/>
    <col min="6149" max="6149" width="26.109375" style="776" bestFit="1" customWidth="1"/>
    <col min="6150" max="6151" width="16.44140625" style="776" customWidth="1"/>
    <col min="6152" max="6154" width="8" style="776" customWidth="1"/>
    <col min="6155" max="6155" width="5.88671875" style="776" customWidth="1"/>
    <col min="6156" max="6156" width="3.109375" style="776" customWidth="1"/>
    <col min="6157" max="6157" width="3.88671875" style="776" customWidth="1"/>
    <col min="6158" max="6400" width="8" style="776"/>
    <col min="6401" max="6404" width="8" style="776" customWidth="1"/>
    <col min="6405" max="6405" width="26.109375" style="776" bestFit="1" customWidth="1"/>
    <col min="6406" max="6407" width="16.44140625" style="776" customWidth="1"/>
    <col min="6408" max="6410" width="8" style="776" customWidth="1"/>
    <col min="6411" max="6411" width="5.88671875" style="776" customWidth="1"/>
    <col min="6412" max="6412" width="3.109375" style="776" customWidth="1"/>
    <col min="6413" max="6413" width="3.88671875" style="776" customWidth="1"/>
    <col min="6414" max="6656" width="8" style="776"/>
    <col min="6657" max="6660" width="8" style="776" customWidth="1"/>
    <col min="6661" max="6661" width="26.109375" style="776" bestFit="1" customWidth="1"/>
    <col min="6662" max="6663" width="16.44140625" style="776" customWidth="1"/>
    <col min="6664" max="6666" width="8" style="776" customWidth="1"/>
    <col min="6667" max="6667" width="5.88671875" style="776" customWidth="1"/>
    <col min="6668" max="6668" width="3.109375" style="776" customWidth="1"/>
    <col min="6669" max="6669" width="3.88671875" style="776" customWidth="1"/>
    <col min="6670" max="6912" width="8" style="776"/>
    <col min="6913" max="6916" width="8" style="776" customWidth="1"/>
    <col min="6917" max="6917" width="26.109375" style="776" bestFit="1" customWidth="1"/>
    <col min="6918" max="6919" width="16.44140625" style="776" customWidth="1"/>
    <col min="6920" max="6922" width="8" style="776" customWidth="1"/>
    <col min="6923" max="6923" width="5.88671875" style="776" customWidth="1"/>
    <col min="6924" max="6924" width="3.109375" style="776" customWidth="1"/>
    <col min="6925" max="6925" width="3.88671875" style="776" customWidth="1"/>
    <col min="6926" max="7168" width="8" style="776"/>
    <col min="7169" max="7172" width="8" style="776" customWidth="1"/>
    <col min="7173" max="7173" width="26.109375" style="776" bestFit="1" customWidth="1"/>
    <col min="7174" max="7175" width="16.44140625" style="776" customWidth="1"/>
    <col min="7176" max="7178" width="8" style="776" customWidth="1"/>
    <col min="7179" max="7179" width="5.88671875" style="776" customWidth="1"/>
    <col min="7180" max="7180" width="3.109375" style="776" customWidth="1"/>
    <col min="7181" max="7181" width="3.88671875" style="776" customWidth="1"/>
    <col min="7182" max="7424" width="8" style="776"/>
    <col min="7425" max="7428" width="8" style="776" customWidth="1"/>
    <col min="7429" max="7429" width="26.109375" style="776" bestFit="1" customWidth="1"/>
    <col min="7430" max="7431" width="16.44140625" style="776" customWidth="1"/>
    <col min="7432" max="7434" width="8" style="776" customWidth="1"/>
    <col min="7435" max="7435" width="5.88671875" style="776" customWidth="1"/>
    <col min="7436" max="7436" width="3.109375" style="776" customWidth="1"/>
    <col min="7437" max="7437" width="3.88671875" style="776" customWidth="1"/>
    <col min="7438" max="7680" width="8" style="776"/>
    <col min="7681" max="7684" width="8" style="776" customWidth="1"/>
    <col min="7685" max="7685" width="26.109375" style="776" bestFit="1" customWidth="1"/>
    <col min="7686" max="7687" width="16.44140625" style="776" customWidth="1"/>
    <col min="7688" max="7690" width="8" style="776" customWidth="1"/>
    <col min="7691" max="7691" width="5.88671875" style="776" customWidth="1"/>
    <col min="7692" max="7692" width="3.109375" style="776" customWidth="1"/>
    <col min="7693" max="7693" width="3.88671875" style="776" customWidth="1"/>
    <col min="7694" max="7936" width="8" style="776"/>
    <col min="7937" max="7940" width="8" style="776" customWidth="1"/>
    <col min="7941" max="7941" width="26.109375" style="776" bestFit="1" customWidth="1"/>
    <col min="7942" max="7943" width="16.44140625" style="776" customWidth="1"/>
    <col min="7944" max="7946" width="8" style="776" customWidth="1"/>
    <col min="7947" max="7947" width="5.88671875" style="776" customWidth="1"/>
    <col min="7948" max="7948" width="3.109375" style="776" customWidth="1"/>
    <col min="7949" max="7949" width="3.88671875" style="776" customWidth="1"/>
    <col min="7950" max="8192" width="8" style="776"/>
    <col min="8193" max="8196" width="8" style="776" customWidth="1"/>
    <col min="8197" max="8197" width="26.109375" style="776" bestFit="1" customWidth="1"/>
    <col min="8198" max="8199" width="16.44140625" style="776" customWidth="1"/>
    <col min="8200" max="8202" width="8" style="776" customWidth="1"/>
    <col min="8203" max="8203" width="5.88671875" style="776" customWidth="1"/>
    <col min="8204" max="8204" width="3.109375" style="776" customWidth="1"/>
    <col min="8205" max="8205" width="3.88671875" style="776" customWidth="1"/>
    <col min="8206" max="8448" width="8" style="776"/>
    <col min="8449" max="8452" width="8" style="776" customWidth="1"/>
    <col min="8453" max="8453" width="26.109375" style="776" bestFit="1" customWidth="1"/>
    <col min="8454" max="8455" width="16.44140625" style="776" customWidth="1"/>
    <col min="8456" max="8458" width="8" style="776" customWidth="1"/>
    <col min="8459" max="8459" width="5.88671875" style="776" customWidth="1"/>
    <col min="8460" max="8460" width="3.109375" style="776" customWidth="1"/>
    <col min="8461" max="8461" width="3.88671875" style="776" customWidth="1"/>
    <col min="8462" max="8704" width="8" style="776"/>
    <col min="8705" max="8708" width="8" style="776" customWidth="1"/>
    <col min="8709" max="8709" width="26.109375" style="776" bestFit="1" customWidth="1"/>
    <col min="8710" max="8711" width="16.44140625" style="776" customWidth="1"/>
    <col min="8712" max="8714" width="8" style="776" customWidth="1"/>
    <col min="8715" max="8715" width="5.88671875" style="776" customWidth="1"/>
    <col min="8716" max="8716" width="3.109375" style="776" customWidth="1"/>
    <col min="8717" max="8717" width="3.88671875" style="776" customWidth="1"/>
    <col min="8718" max="8960" width="8" style="776"/>
    <col min="8961" max="8964" width="8" style="776" customWidth="1"/>
    <col min="8965" max="8965" width="26.109375" style="776" bestFit="1" customWidth="1"/>
    <col min="8966" max="8967" width="16.44140625" style="776" customWidth="1"/>
    <col min="8968" max="8970" width="8" style="776" customWidth="1"/>
    <col min="8971" max="8971" width="5.88671875" style="776" customWidth="1"/>
    <col min="8972" max="8972" width="3.109375" style="776" customWidth="1"/>
    <col min="8973" max="8973" width="3.88671875" style="776" customWidth="1"/>
    <col min="8974" max="9216" width="8" style="776"/>
    <col min="9217" max="9220" width="8" style="776" customWidth="1"/>
    <col min="9221" max="9221" width="26.109375" style="776" bestFit="1" customWidth="1"/>
    <col min="9222" max="9223" width="16.44140625" style="776" customWidth="1"/>
    <col min="9224" max="9226" width="8" style="776" customWidth="1"/>
    <col min="9227" max="9227" width="5.88671875" style="776" customWidth="1"/>
    <col min="9228" max="9228" width="3.109375" style="776" customWidth="1"/>
    <col min="9229" max="9229" width="3.88671875" style="776" customWidth="1"/>
    <col min="9230" max="9472" width="8" style="776"/>
    <col min="9473" max="9476" width="8" style="776" customWidth="1"/>
    <col min="9477" max="9477" width="26.109375" style="776" bestFit="1" customWidth="1"/>
    <col min="9478" max="9479" width="16.44140625" style="776" customWidth="1"/>
    <col min="9480" max="9482" width="8" style="776" customWidth="1"/>
    <col min="9483" max="9483" width="5.88671875" style="776" customWidth="1"/>
    <col min="9484" max="9484" width="3.109375" style="776" customWidth="1"/>
    <col min="9485" max="9485" width="3.88671875" style="776" customWidth="1"/>
    <col min="9486" max="9728" width="8" style="776"/>
    <col min="9729" max="9732" width="8" style="776" customWidth="1"/>
    <col min="9733" max="9733" width="26.109375" style="776" bestFit="1" customWidth="1"/>
    <col min="9734" max="9735" width="16.44140625" style="776" customWidth="1"/>
    <col min="9736" max="9738" width="8" style="776" customWidth="1"/>
    <col min="9739" max="9739" width="5.88671875" style="776" customWidth="1"/>
    <col min="9740" max="9740" width="3.109375" style="776" customWidth="1"/>
    <col min="9741" max="9741" width="3.88671875" style="776" customWidth="1"/>
    <col min="9742" max="9984" width="8" style="776"/>
    <col min="9985" max="9988" width="8" style="776" customWidth="1"/>
    <col min="9989" max="9989" width="26.109375" style="776" bestFit="1" customWidth="1"/>
    <col min="9990" max="9991" width="16.44140625" style="776" customWidth="1"/>
    <col min="9992" max="9994" width="8" style="776" customWidth="1"/>
    <col min="9995" max="9995" width="5.88671875" style="776" customWidth="1"/>
    <col min="9996" max="9996" width="3.109375" style="776" customWidth="1"/>
    <col min="9997" max="9997" width="3.88671875" style="776" customWidth="1"/>
    <col min="9998" max="10240" width="8" style="776"/>
    <col min="10241" max="10244" width="8" style="776" customWidth="1"/>
    <col min="10245" max="10245" width="26.109375" style="776" bestFit="1" customWidth="1"/>
    <col min="10246" max="10247" width="16.44140625" style="776" customWidth="1"/>
    <col min="10248" max="10250" width="8" style="776" customWidth="1"/>
    <col min="10251" max="10251" width="5.88671875" style="776" customWidth="1"/>
    <col min="10252" max="10252" width="3.109375" style="776" customWidth="1"/>
    <col min="10253" max="10253" width="3.88671875" style="776" customWidth="1"/>
    <col min="10254" max="10496" width="8" style="776"/>
    <col min="10497" max="10500" width="8" style="776" customWidth="1"/>
    <col min="10501" max="10501" width="26.109375" style="776" bestFit="1" customWidth="1"/>
    <col min="10502" max="10503" width="16.44140625" style="776" customWidth="1"/>
    <col min="10504" max="10506" width="8" style="776" customWidth="1"/>
    <col min="10507" max="10507" width="5.88671875" style="776" customWidth="1"/>
    <col min="10508" max="10508" width="3.109375" style="776" customWidth="1"/>
    <col min="10509" max="10509" width="3.88671875" style="776" customWidth="1"/>
    <col min="10510" max="10752" width="8" style="776"/>
    <col min="10753" max="10756" width="8" style="776" customWidth="1"/>
    <col min="10757" max="10757" width="26.109375" style="776" bestFit="1" customWidth="1"/>
    <col min="10758" max="10759" width="16.44140625" style="776" customWidth="1"/>
    <col min="10760" max="10762" width="8" style="776" customWidth="1"/>
    <col min="10763" max="10763" width="5.88671875" style="776" customWidth="1"/>
    <col min="10764" max="10764" width="3.109375" style="776" customWidth="1"/>
    <col min="10765" max="10765" width="3.88671875" style="776" customWidth="1"/>
    <col min="10766" max="11008" width="8" style="776"/>
    <col min="11009" max="11012" width="8" style="776" customWidth="1"/>
    <col min="11013" max="11013" width="26.109375" style="776" bestFit="1" customWidth="1"/>
    <col min="11014" max="11015" width="16.44140625" style="776" customWidth="1"/>
    <col min="11016" max="11018" width="8" style="776" customWidth="1"/>
    <col min="11019" max="11019" width="5.88671875" style="776" customWidth="1"/>
    <col min="11020" max="11020" width="3.109375" style="776" customWidth="1"/>
    <col min="11021" max="11021" width="3.88671875" style="776" customWidth="1"/>
    <col min="11022" max="11264" width="8" style="776"/>
    <col min="11265" max="11268" width="8" style="776" customWidth="1"/>
    <col min="11269" max="11269" width="26.109375" style="776" bestFit="1" customWidth="1"/>
    <col min="11270" max="11271" width="16.44140625" style="776" customWidth="1"/>
    <col min="11272" max="11274" width="8" style="776" customWidth="1"/>
    <col min="11275" max="11275" width="5.88671875" style="776" customWidth="1"/>
    <col min="11276" max="11276" width="3.109375" style="776" customWidth="1"/>
    <col min="11277" max="11277" width="3.88671875" style="776" customWidth="1"/>
    <col min="11278" max="11520" width="8" style="776"/>
    <col min="11521" max="11524" width="8" style="776" customWidth="1"/>
    <col min="11525" max="11525" width="26.109375" style="776" bestFit="1" customWidth="1"/>
    <col min="11526" max="11527" width="16.44140625" style="776" customWidth="1"/>
    <col min="11528" max="11530" width="8" style="776" customWidth="1"/>
    <col min="11531" max="11531" width="5.88671875" style="776" customWidth="1"/>
    <col min="11532" max="11532" width="3.109375" style="776" customWidth="1"/>
    <col min="11533" max="11533" width="3.88671875" style="776" customWidth="1"/>
    <col min="11534" max="11776" width="8" style="776"/>
    <col min="11777" max="11780" width="8" style="776" customWidth="1"/>
    <col min="11781" max="11781" width="26.109375" style="776" bestFit="1" customWidth="1"/>
    <col min="11782" max="11783" width="16.44140625" style="776" customWidth="1"/>
    <col min="11784" max="11786" width="8" style="776" customWidth="1"/>
    <col min="11787" max="11787" width="5.88671875" style="776" customWidth="1"/>
    <col min="11788" max="11788" width="3.109375" style="776" customWidth="1"/>
    <col min="11789" max="11789" width="3.88671875" style="776" customWidth="1"/>
    <col min="11790" max="12032" width="8" style="776"/>
    <col min="12033" max="12036" width="8" style="776" customWidth="1"/>
    <col min="12037" max="12037" width="26.109375" style="776" bestFit="1" customWidth="1"/>
    <col min="12038" max="12039" width="16.44140625" style="776" customWidth="1"/>
    <col min="12040" max="12042" width="8" style="776" customWidth="1"/>
    <col min="12043" max="12043" width="5.88671875" style="776" customWidth="1"/>
    <col min="12044" max="12044" width="3.109375" style="776" customWidth="1"/>
    <col min="12045" max="12045" width="3.88671875" style="776" customWidth="1"/>
    <col min="12046" max="12288" width="8" style="776"/>
    <col min="12289" max="12292" width="8" style="776" customWidth="1"/>
    <col min="12293" max="12293" width="26.109375" style="776" bestFit="1" customWidth="1"/>
    <col min="12294" max="12295" width="16.44140625" style="776" customWidth="1"/>
    <col min="12296" max="12298" width="8" style="776" customWidth="1"/>
    <col min="12299" max="12299" width="5.88671875" style="776" customWidth="1"/>
    <col min="12300" max="12300" width="3.109375" style="776" customWidth="1"/>
    <col min="12301" max="12301" width="3.88671875" style="776" customWidth="1"/>
    <col min="12302" max="12544" width="8" style="776"/>
    <col min="12545" max="12548" width="8" style="776" customWidth="1"/>
    <col min="12549" max="12549" width="26.109375" style="776" bestFit="1" customWidth="1"/>
    <col min="12550" max="12551" width="16.44140625" style="776" customWidth="1"/>
    <col min="12552" max="12554" width="8" style="776" customWidth="1"/>
    <col min="12555" max="12555" width="5.88671875" style="776" customWidth="1"/>
    <col min="12556" max="12556" width="3.109375" style="776" customWidth="1"/>
    <col min="12557" max="12557" width="3.88671875" style="776" customWidth="1"/>
    <col min="12558" max="12800" width="8" style="776"/>
    <col min="12801" max="12804" width="8" style="776" customWidth="1"/>
    <col min="12805" max="12805" width="26.109375" style="776" bestFit="1" customWidth="1"/>
    <col min="12806" max="12807" width="16.44140625" style="776" customWidth="1"/>
    <col min="12808" max="12810" width="8" style="776" customWidth="1"/>
    <col min="12811" max="12811" width="5.88671875" style="776" customWidth="1"/>
    <col min="12812" max="12812" width="3.109375" style="776" customWidth="1"/>
    <col min="12813" max="12813" width="3.88671875" style="776" customWidth="1"/>
    <col min="12814" max="13056" width="8" style="776"/>
    <col min="13057" max="13060" width="8" style="776" customWidth="1"/>
    <col min="13061" max="13061" width="26.109375" style="776" bestFit="1" customWidth="1"/>
    <col min="13062" max="13063" width="16.44140625" style="776" customWidth="1"/>
    <col min="13064" max="13066" width="8" style="776" customWidth="1"/>
    <col min="13067" max="13067" width="5.88671875" style="776" customWidth="1"/>
    <col min="13068" max="13068" width="3.109375" style="776" customWidth="1"/>
    <col min="13069" max="13069" width="3.88671875" style="776" customWidth="1"/>
    <col min="13070" max="13312" width="8" style="776"/>
    <col min="13313" max="13316" width="8" style="776" customWidth="1"/>
    <col min="13317" max="13317" width="26.109375" style="776" bestFit="1" customWidth="1"/>
    <col min="13318" max="13319" width="16.44140625" style="776" customWidth="1"/>
    <col min="13320" max="13322" width="8" style="776" customWidth="1"/>
    <col min="13323" max="13323" width="5.88671875" style="776" customWidth="1"/>
    <col min="13324" max="13324" width="3.109375" style="776" customWidth="1"/>
    <col min="13325" max="13325" width="3.88671875" style="776" customWidth="1"/>
    <col min="13326" max="13568" width="8" style="776"/>
    <col min="13569" max="13572" width="8" style="776" customWidth="1"/>
    <col min="13573" max="13573" width="26.109375" style="776" bestFit="1" customWidth="1"/>
    <col min="13574" max="13575" width="16.44140625" style="776" customWidth="1"/>
    <col min="13576" max="13578" width="8" style="776" customWidth="1"/>
    <col min="13579" max="13579" width="5.88671875" style="776" customWidth="1"/>
    <col min="13580" max="13580" width="3.109375" style="776" customWidth="1"/>
    <col min="13581" max="13581" width="3.88671875" style="776" customWidth="1"/>
    <col min="13582" max="13824" width="8" style="776"/>
    <col min="13825" max="13828" width="8" style="776" customWidth="1"/>
    <col min="13829" max="13829" width="26.109375" style="776" bestFit="1" customWidth="1"/>
    <col min="13830" max="13831" width="16.44140625" style="776" customWidth="1"/>
    <col min="13832" max="13834" width="8" style="776" customWidth="1"/>
    <col min="13835" max="13835" width="5.88671875" style="776" customWidth="1"/>
    <col min="13836" max="13836" width="3.109375" style="776" customWidth="1"/>
    <col min="13837" max="13837" width="3.88671875" style="776" customWidth="1"/>
    <col min="13838" max="14080" width="8" style="776"/>
    <col min="14081" max="14084" width="8" style="776" customWidth="1"/>
    <col min="14085" max="14085" width="26.109375" style="776" bestFit="1" customWidth="1"/>
    <col min="14086" max="14087" width="16.44140625" style="776" customWidth="1"/>
    <col min="14088" max="14090" width="8" style="776" customWidth="1"/>
    <col min="14091" max="14091" width="5.88671875" style="776" customWidth="1"/>
    <col min="14092" max="14092" width="3.109375" style="776" customWidth="1"/>
    <col min="14093" max="14093" width="3.88671875" style="776" customWidth="1"/>
    <col min="14094" max="14336" width="8" style="776"/>
    <col min="14337" max="14340" width="8" style="776" customWidth="1"/>
    <col min="14341" max="14341" width="26.109375" style="776" bestFit="1" customWidth="1"/>
    <col min="14342" max="14343" width="16.44140625" style="776" customWidth="1"/>
    <col min="14344" max="14346" width="8" style="776" customWidth="1"/>
    <col min="14347" max="14347" width="5.88671875" style="776" customWidth="1"/>
    <col min="14348" max="14348" width="3.109375" style="776" customWidth="1"/>
    <col min="14349" max="14349" width="3.88671875" style="776" customWidth="1"/>
    <col min="14350" max="14592" width="8" style="776"/>
    <col min="14593" max="14596" width="8" style="776" customWidth="1"/>
    <col min="14597" max="14597" width="26.109375" style="776" bestFit="1" customWidth="1"/>
    <col min="14598" max="14599" width="16.44140625" style="776" customWidth="1"/>
    <col min="14600" max="14602" width="8" style="776" customWidth="1"/>
    <col min="14603" max="14603" width="5.88671875" style="776" customWidth="1"/>
    <col min="14604" max="14604" width="3.109375" style="776" customWidth="1"/>
    <col min="14605" max="14605" width="3.88671875" style="776" customWidth="1"/>
    <col min="14606" max="14848" width="8" style="776"/>
    <col min="14849" max="14852" width="8" style="776" customWidth="1"/>
    <col min="14853" max="14853" width="26.109375" style="776" bestFit="1" customWidth="1"/>
    <col min="14854" max="14855" width="16.44140625" style="776" customWidth="1"/>
    <col min="14856" max="14858" width="8" style="776" customWidth="1"/>
    <col min="14859" max="14859" width="5.88671875" style="776" customWidth="1"/>
    <col min="14860" max="14860" width="3.109375" style="776" customWidth="1"/>
    <col min="14861" max="14861" width="3.88671875" style="776" customWidth="1"/>
    <col min="14862" max="15104" width="8" style="776"/>
    <col min="15105" max="15108" width="8" style="776" customWidth="1"/>
    <col min="15109" max="15109" width="26.109375" style="776" bestFit="1" customWidth="1"/>
    <col min="15110" max="15111" width="16.44140625" style="776" customWidth="1"/>
    <col min="15112" max="15114" width="8" style="776" customWidth="1"/>
    <col min="15115" max="15115" width="5.88671875" style="776" customWidth="1"/>
    <col min="15116" max="15116" width="3.109375" style="776" customWidth="1"/>
    <col min="15117" max="15117" width="3.88671875" style="776" customWidth="1"/>
    <col min="15118" max="15360" width="8" style="776"/>
    <col min="15361" max="15364" width="8" style="776" customWidth="1"/>
    <col min="15365" max="15365" width="26.109375" style="776" bestFit="1" customWidth="1"/>
    <col min="15366" max="15367" width="16.44140625" style="776" customWidth="1"/>
    <col min="15368" max="15370" width="8" style="776" customWidth="1"/>
    <col min="15371" max="15371" width="5.88671875" style="776" customWidth="1"/>
    <col min="15372" max="15372" width="3.109375" style="776" customWidth="1"/>
    <col min="15373" max="15373" width="3.88671875" style="776" customWidth="1"/>
    <col min="15374" max="15616" width="8" style="776"/>
    <col min="15617" max="15620" width="8" style="776" customWidth="1"/>
    <col min="15621" max="15621" width="26.109375" style="776" bestFit="1" customWidth="1"/>
    <col min="15622" max="15623" width="16.44140625" style="776" customWidth="1"/>
    <col min="15624" max="15626" width="8" style="776" customWidth="1"/>
    <col min="15627" max="15627" width="5.88671875" style="776" customWidth="1"/>
    <col min="15628" max="15628" width="3.109375" style="776" customWidth="1"/>
    <col min="15629" max="15629" width="3.88671875" style="776" customWidth="1"/>
    <col min="15630" max="15872" width="8" style="776"/>
    <col min="15873" max="15876" width="8" style="776" customWidth="1"/>
    <col min="15877" max="15877" width="26.109375" style="776" bestFit="1" customWidth="1"/>
    <col min="15878" max="15879" width="16.44140625" style="776" customWidth="1"/>
    <col min="15880" max="15882" width="8" style="776" customWidth="1"/>
    <col min="15883" max="15883" width="5.88671875" style="776" customWidth="1"/>
    <col min="15884" max="15884" width="3.109375" style="776" customWidth="1"/>
    <col min="15885" max="15885" width="3.88671875" style="776" customWidth="1"/>
    <col min="15886" max="16128" width="8" style="776"/>
    <col min="16129" max="16132" width="8" style="776" customWidth="1"/>
    <col min="16133" max="16133" width="26.109375" style="776" bestFit="1" customWidth="1"/>
    <col min="16134" max="16135" width="16.44140625" style="776" customWidth="1"/>
    <col min="16136" max="16138" width="8" style="776" customWidth="1"/>
    <col min="16139" max="16139" width="5.88671875" style="776" customWidth="1"/>
    <col min="16140" max="16140" width="3.109375" style="776" customWidth="1"/>
    <col min="16141" max="16141" width="3.88671875" style="776" customWidth="1"/>
    <col min="16142" max="16384" width="8" style="776"/>
  </cols>
  <sheetData>
    <row r="1" spans="2:10" ht="37.5" customHeight="1">
      <c r="B1" s="15514" t="s">
        <v>10469</v>
      </c>
      <c r="C1" s="15514"/>
      <c r="D1" s="15514"/>
      <c r="E1" s="15514"/>
      <c r="F1" s="15514"/>
      <c r="G1" s="15514"/>
      <c r="H1" s="15514"/>
      <c r="I1" s="15514"/>
      <c r="J1" s="15514"/>
    </row>
    <row r="2" spans="2:10" ht="37.5" customHeight="1">
      <c r="B2" s="5662"/>
      <c r="C2" s="5662"/>
      <c r="D2" s="5662"/>
      <c r="E2" s="5662"/>
      <c r="F2" s="5662"/>
      <c r="G2" s="5662"/>
      <c r="H2" s="5662"/>
      <c r="I2" s="5662"/>
      <c r="J2" s="5662"/>
    </row>
    <row r="3" spans="2:10" ht="336" customHeight="1"/>
    <row r="4" spans="2:10" ht="96.75" customHeight="1"/>
    <row r="6" spans="2:10" ht="27" customHeight="1"/>
    <row r="7" spans="2:10" ht="15.75" customHeight="1"/>
    <row r="8" spans="2:10" s="794" customFormat="1" ht="12" customHeight="1">
      <c r="B8" s="819"/>
      <c r="C8" s="820">
        <v>2015</v>
      </c>
      <c r="D8" s="820">
        <v>2016</v>
      </c>
    </row>
    <row r="9" spans="2:10" s="794" customFormat="1" ht="15" customHeight="1">
      <c r="B9" s="819" t="s">
        <v>217</v>
      </c>
      <c r="C9" s="821">
        <v>520915137</v>
      </c>
      <c r="D9" s="821">
        <f>summary!C57</f>
        <v>807934368.74999976</v>
      </c>
    </row>
    <row r="10" spans="2:10" s="794" customFormat="1" ht="13.5" customHeight="1">
      <c r="B10" s="819" t="s">
        <v>218</v>
      </c>
      <c r="C10" s="822">
        <v>465259030</v>
      </c>
      <c r="D10" s="822">
        <f>summary!G57</f>
        <v>755106314</v>
      </c>
    </row>
    <row r="11" spans="2:10" s="794" customFormat="1" ht="14.25" customHeight="1">
      <c r="B11" s="819" t="s">
        <v>219</v>
      </c>
      <c r="C11" s="822">
        <v>19168030</v>
      </c>
      <c r="D11" s="822">
        <f>summary!J57</f>
        <v>40919350.5</v>
      </c>
    </row>
    <row r="12" spans="2:10" s="794" customFormat="1" ht="14.25" customHeight="1">
      <c r="B12" s="1607" t="s">
        <v>4970</v>
      </c>
      <c r="C12" s="1608">
        <v>86614000</v>
      </c>
      <c r="D12" s="1608">
        <f>summary!M57</f>
        <v>179790340</v>
      </c>
    </row>
    <row r="13" spans="2:10" s="794" customFormat="1" ht="15" customHeight="1">
      <c r="B13" s="819" t="s">
        <v>2543</v>
      </c>
      <c r="C13" s="822">
        <v>282504624</v>
      </c>
      <c r="D13" s="822">
        <f>summary!J61</f>
        <v>404379576.20000005</v>
      </c>
    </row>
    <row r="14" spans="2:10" s="794" customFormat="1" ht="23.25" customHeight="1">
      <c r="B14" s="823" t="s">
        <v>3069</v>
      </c>
      <c r="C14" s="822">
        <v>81716504.400000006</v>
      </c>
      <c r="D14" s="822">
        <f>summary!J62</f>
        <v>120267144.05000001</v>
      </c>
    </row>
    <row r="15" spans="2:10" s="794" customFormat="1" ht="13.5" customHeight="1">
      <c r="B15" s="819" t="s">
        <v>3070</v>
      </c>
      <c r="C15" s="822">
        <v>11090000</v>
      </c>
      <c r="D15" s="822">
        <f>summary!J63</f>
        <v>22180000</v>
      </c>
    </row>
    <row r="16" spans="2:10" s="794" customFormat="1" ht="14.25" customHeight="1">
      <c r="B16" s="819" t="s">
        <v>3081</v>
      </c>
      <c r="C16" s="822">
        <v>337800</v>
      </c>
      <c r="D16" s="822">
        <f>summary!J64</f>
        <v>0</v>
      </c>
    </row>
    <row r="17" spans="2:4" s="794" customFormat="1" ht="14.25" customHeight="1">
      <c r="B17" s="819" t="s">
        <v>3072</v>
      </c>
      <c r="C17" s="822">
        <v>7843150</v>
      </c>
      <c r="D17" s="822">
        <f>summary!J68</f>
        <v>10645087.5</v>
      </c>
    </row>
    <row r="18" spans="2:4" s="794" customFormat="1" ht="14.25" customHeight="1">
      <c r="B18" s="819" t="s">
        <v>1683</v>
      </c>
      <c r="C18" s="822">
        <v>77621500</v>
      </c>
      <c r="D18" s="822">
        <f>summary!J69</f>
        <v>84600000</v>
      </c>
    </row>
    <row r="19" spans="2:4" s="794" customFormat="1" ht="24.75" customHeight="1">
      <c r="B19" s="823" t="s">
        <v>9692</v>
      </c>
      <c r="C19" s="822">
        <v>17291217.600000001</v>
      </c>
      <c r="D19" s="822">
        <f>summary!J71+'nonoff '!K465</f>
        <v>40829493.324999772</v>
      </c>
    </row>
    <row r="20" spans="2:4" s="794" customFormat="1" ht="14.25" customHeight="1">
      <c r="B20" s="819" t="s">
        <v>1685</v>
      </c>
      <c r="C20" s="822">
        <v>124382500</v>
      </c>
      <c r="D20" s="822">
        <f>summary!J70</f>
        <v>93070700</v>
      </c>
    </row>
    <row r="21" spans="2:4" s="826" customFormat="1" ht="19.5" customHeight="1">
      <c r="B21" s="824" t="s">
        <v>458</v>
      </c>
      <c r="C21" s="825">
        <f>SUM(C9:C20)</f>
        <v>1694743493</v>
      </c>
      <c r="D21" s="825">
        <f>SUM(D9:D20)</f>
        <v>2559722374.3249998</v>
      </c>
    </row>
  </sheetData>
  <mergeCells count="1">
    <mergeCell ref="B1:J1"/>
  </mergeCells>
  <printOptions horizontalCentered="1"/>
  <pageMargins left="0.5" right="0.25" top="0.75" bottom="1" header="0.5" footer="0.25"/>
  <pageSetup paperSize="5" firstPageNumber="409" orientation="portrait" useFirstPageNumber="1" verticalDpi="300" r:id="rId1"/>
  <headerFooter alignWithMargins="0"/>
  <drawing r:id="rId2"/>
</worksheet>
</file>

<file path=xl/worksheets/sheet211.xml><?xml version="1.0" encoding="utf-8"?>
<worksheet xmlns="http://schemas.openxmlformats.org/spreadsheetml/2006/main" xmlns:r="http://schemas.openxmlformats.org/officeDocument/2006/relationships">
  <sheetPr codeName="Sheet205"/>
  <dimension ref="B1:O36"/>
  <sheetViews>
    <sheetView topLeftCell="A21" workbookViewId="0">
      <selection activeCell="P3" sqref="P3"/>
    </sheetView>
  </sheetViews>
  <sheetFormatPr defaultColWidth="8" defaultRowHeight="13.2"/>
  <cols>
    <col min="1" max="1" width="8" style="776" customWidth="1"/>
    <col min="2" max="2" width="30.109375" style="776" customWidth="1"/>
    <col min="3" max="3" width="23.109375" style="776" customWidth="1"/>
    <col min="4" max="6" width="8" style="776"/>
    <col min="7" max="7" width="11.109375" style="776" customWidth="1"/>
    <col min="8" max="256" width="8" style="776"/>
    <col min="257" max="257" width="8" style="776" customWidth="1"/>
    <col min="258" max="258" width="30.109375" style="776" customWidth="1"/>
    <col min="259" max="259" width="23.109375" style="776" customWidth="1"/>
    <col min="260" max="512" width="8" style="776"/>
    <col min="513" max="513" width="8" style="776" customWidth="1"/>
    <col min="514" max="514" width="30.109375" style="776" customWidth="1"/>
    <col min="515" max="515" width="23.109375" style="776" customWidth="1"/>
    <col min="516" max="768" width="8" style="776"/>
    <col min="769" max="769" width="8" style="776" customWidth="1"/>
    <col min="770" max="770" width="30.109375" style="776" customWidth="1"/>
    <col min="771" max="771" width="23.109375" style="776" customWidth="1"/>
    <col min="772" max="1024" width="8" style="776"/>
    <col min="1025" max="1025" width="8" style="776" customWidth="1"/>
    <col min="1026" max="1026" width="30.109375" style="776" customWidth="1"/>
    <col min="1027" max="1027" width="23.109375" style="776" customWidth="1"/>
    <col min="1028" max="1280" width="8" style="776"/>
    <col min="1281" max="1281" width="8" style="776" customWidth="1"/>
    <col min="1282" max="1282" width="30.109375" style="776" customWidth="1"/>
    <col min="1283" max="1283" width="23.109375" style="776" customWidth="1"/>
    <col min="1284" max="1536" width="8" style="776"/>
    <col min="1537" max="1537" width="8" style="776" customWidth="1"/>
    <col min="1538" max="1538" width="30.109375" style="776" customWidth="1"/>
    <col min="1539" max="1539" width="23.109375" style="776" customWidth="1"/>
    <col min="1540" max="1792" width="8" style="776"/>
    <col min="1793" max="1793" width="8" style="776" customWidth="1"/>
    <col min="1794" max="1794" width="30.109375" style="776" customWidth="1"/>
    <col min="1795" max="1795" width="23.109375" style="776" customWidth="1"/>
    <col min="1796" max="2048" width="8" style="776"/>
    <col min="2049" max="2049" width="8" style="776" customWidth="1"/>
    <col min="2050" max="2050" width="30.109375" style="776" customWidth="1"/>
    <col min="2051" max="2051" width="23.109375" style="776" customWidth="1"/>
    <col min="2052" max="2304" width="8" style="776"/>
    <col min="2305" max="2305" width="8" style="776" customWidth="1"/>
    <col min="2306" max="2306" width="30.109375" style="776" customWidth="1"/>
    <col min="2307" max="2307" width="23.109375" style="776" customWidth="1"/>
    <col min="2308" max="2560" width="8" style="776"/>
    <col min="2561" max="2561" width="8" style="776" customWidth="1"/>
    <col min="2562" max="2562" width="30.109375" style="776" customWidth="1"/>
    <col min="2563" max="2563" width="23.109375" style="776" customWidth="1"/>
    <col min="2564" max="2816" width="8" style="776"/>
    <col min="2817" max="2817" width="8" style="776" customWidth="1"/>
    <col min="2818" max="2818" width="30.109375" style="776" customWidth="1"/>
    <col min="2819" max="2819" width="23.109375" style="776" customWidth="1"/>
    <col min="2820" max="3072" width="8" style="776"/>
    <col min="3073" max="3073" width="8" style="776" customWidth="1"/>
    <col min="3074" max="3074" width="30.109375" style="776" customWidth="1"/>
    <col min="3075" max="3075" width="23.109375" style="776" customWidth="1"/>
    <col min="3076" max="3328" width="8" style="776"/>
    <col min="3329" max="3329" width="8" style="776" customWidth="1"/>
    <col min="3330" max="3330" width="30.109375" style="776" customWidth="1"/>
    <col min="3331" max="3331" width="23.109375" style="776" customWidth="1"/>
    <col min="3332" max="3584" width="8" style="776"/>
    <col min="3585" max="3585" width="8" style="776" customWidth="1"/>
    <col min="3586" max="3586" width="30.109375" style="776" customWidth="1"/>
    <col min="3587" max="3587" width="23.109375" style="776" customWidth="1"/>
    <col min="3588" max="3840" width="8" style="776"/>
    <col min="3841" max="3841" width="8" style="776" customWidth="1"/>
    <col min="3842" max="3842" width="30.109375" style="776" customWidth="1"/>
    <col min="3843" max="3843" width="23.109375" style="776" customWidth="1"/>
    <col min="3844" max="4096" width="8" style="776"/>
    <col min="4097" max="4097" width="8" style="776" customWidth="1"/>
    <col min="4098" max="4098" width="30.109375" style="776" customWidth="1"/>
    <col min="4099" max="4099" width="23.109375" style="776" customWidth="1"/>
    <col min="4100" max="4352" width="8" style="776"/>
    <col min="4353" max="4353" width="8" style="776" customWidth="1"/>
    <col min="4354" max="4354" width="30.109375" style="776" customWidth="1"/>
    <col min="4355" max="4355" width="23.109375" style="776" customWidth="1"/>
    <col min="4356" max="4608" width="8" style="776"/>
    <col min="4609" max="4609" width="8" style="776" customWidth="1"/>
    <col min="4610" max="4610" width="30.109375" style="776" customWidth="1"/>
    <col min="4611" max="4611" width="23.109375" style="776" customWidth="1"/>
    <col min="4612" max="4864" width="8" style="776"/>
    <col min="4865" max="4865" width="8" style="776" customWidth="1"/>
    <col min="4866" max="4866" width="30.109375" style="776" customWidth="1"/>
    <col min="4867" max="4867" width="23.109375" style="776" customWidth="1"/>
    <col min="4868" max="5120" width="8" style="776"/>
    <col min="5121" max="5121" width="8" style="776" customWidth="1"/>
    <col min="5122" max="5122" width="30.109375" style="776" customWidth="1"/>
    <col min="5123" max="5123" width="23.109375" style="776" customWidth="1"/>
    <col min="5124" max="5376" width="8" style="776"/>
    <col min="5377" max="5377" width="8" style="776" customWidth="1"/>
    <col min="5378" max="5378" width="30.109375" style="776" customWidth="1"/>
    <col min="5379" max="5379" width="23.109375" style="776" customWidth="1"/>
    <col min="5380" max="5632" width="8" style="776"/>
    <col min="5633" max="5633" width="8" style="776" customWidth="1"/>
    <col min="5634" max="5634" width="30.109375" style="776" customWidth="1"/>
    <col min="5635" max="5635" width="23.109375" style="776" customWidth="1"/>
    <col min="5636" max="5888" width="8" style="776"/>
    <col min="5889" max="5889" width="8" style="776" customWidth="1"/>
    <col min="5890" max="5890" width="30.109375" style="776" customWidth="1"/>
    <col min="5891" max="5891" width="23.109375" style="776" customWidth="1"/>
    <col min="5892" max="6144" width="8" style="776"/>
    <col min="6145" max="6145" width="8" style="776" customWidth="1"/>
    <col min="6146" max="6146" width="30.109375" style="776" customWidth="1"/>
    <col min="6147" max="6147" width="23.109375" style="776" customWidth="1"/>
    <col min="6148" max="6400" width="8" style="776"/>
    <col min="6401" max="6401" width="8" style="776" customWidth="1"/>
    <col min="6402" max="6402" width="30.109375" style="776" customWidth="1"/>
    <col min="6403" max="6403" width="23.109375" style="776" customWidth="1"/>
    <col min="6404" max="6656" width="8" style="776"/>
    <col min="6657" max="6657" width="8" style="776" customWidth="1"/>
    <col min="6658" max="6658" width="30.109375" style="776" customWidth="1"/>
    <col min="6659" max="6659" width="23.109375" style="776" customWidth="1"/>
    <col min="6660" max="6912" width="8" style="776"/>
    <col min="6913" max="6913" width="8" style="776" customWidth="1"/>
    <col min="6914" max="6914" width="30.109375" style="776" customWidth="1"/>
    <col min="6915" max="6915" width="23.109375" style="776" customWidth="1"/>
    <col min="6916" max="7168" width="8" style="776"/>
    <col min="7169" max="7169" width="8" style="776" customWidth="1"/>
    <col min="7170" max="7170" width="30.109375" style="776" customWidth="1"/>
    <col min="7171" max="7171" width="23.109375" style="776" customWidth="1"/>
    <col min="7172" max="7424" width="8" style="776"/>
    <col min="7425" max="7425" width="8" style="776" customWidth="1"/>
    <col min="7426" max="7426" width="30.109375" style="776" customWidth="1"/>
    <col min="7427" max="7427" width="23.109375" style="776" customWidth="1"/>
    <col min="7428" max="7680" width="8" style="776"/>
    <col min="7681" max="7681" width="8" style="776" customWidth="1"/>
    <col min="7682" max="7682" width="30.109375" style="776" customWidth="1"/>
    <col min="7683" max="7683" width="23.109375" style="776" customWidth="1"/>
    <col min="7684" max="7936" width="8" style="776"/>
    <col min="7937" max="7937" width="8" style="776" customWidth="1"/>
    <col min="7938" max="7938" width="30.109375" style="776" customWidth="1"/>
    <col min="7939" max="7939" width="23.109375" style="776" customWidth="1"/>
    <col min="7940" max="8192" width="8" style="776"/>
    <col min="8193" max="8193" width="8" style="776" customWidth="1"/>
    <col min="8194" max="8194" width="30.109375" style="776" customWidth="1"/>
    <col min="8195" max="8195" width="23.109375" style="776" customWidth="1"/>
    <col min="8196" max="8448" width="8" style="776"/>
    <col min="8449" max="8449" width="8" style="776" customWidth="1"/>
    <col min="8450" max="8450" width="30.109375" style="776" customWidth="1"/>
    <col min="8451" max="8451" width="23.109375" style="776" customWidth="1"/>
    <col min="8452" max="8704" width="8" style="776"/>
    <col min="8705" max="8705" width="8" style="776" customWidth="1"/>
    <col min="8706" max="8706" width="30.109375" style="776" customWidth="1"/>
    <col min="8707" max="8707" width="23.109375" style="776" customWidth="1"/>
    <col min="8708" max="8960" width="8" style="776"/>
    <col min="8961" max="8961" width="8" style="776" customWidth="1"/>
    <col min="8962" max="8962" width="30.109375" style="776" customWidth="1"/>
    <col min="8963" max="8963" width="23.109375" style="776" customWidth="1"/>
    <col min="8964" max="9216" width="8" style="776"/>
    <col min="9217" max="9217" width="8" style="776" customWidth="1"/>
    <col min="9218" max="9218" width="30.109375" style="776" customWidth="1"/>
    <col min="9219" max="9219" width="23.109375" style="776" customWidth="1"/>
    <col min="9220" max="9472" width="8" style="776"/>
    <col min="9473" max="9473" width="8" style="776" customWidth="1"/>
    <col min="9474" max="9474" width="30.109375" style="776" customWidth="1"/>
    <col min="9475" max="9475" width="23.109375" style="776" customWidth="1"/>
    <col min="9476" max="9728" width="8" style="776"/>
    <col min="9729" max="9729" width="8" style="776" customWidth="1"/>
    <col min="9730" max="9730" width="30.109375" style="776" customWidth="1"/>
    <col min="9731" max="9731" width="23.109375" style="776" customWidth="1"/>
    <col min="9732" max="9984" width="8" style="776"/>
    <col min="9985" max="9985" width="8" style="776" customWidth="1"/>
    <col min="9986" max="9986" width="30.109375" style="776" customWidth="1"/>
    <col min="9987" max="9987" width="23.109375" style="776" customWidth="1"/>
    <col min="9988" max="10240" width="8" style="776"/>
    <col min="10241" max="10241" width="8" style="776" customWidth="1"/>
    <col min="10242" max="10242" width="30.109375" style="776" customWidth="1"/>
    <col min="10243" max="10243" width="23.109375" style="776" customWidth="1"/>
    <col min="10244" max="10496" width="8" style="776"/>
    <col min="10497" max="10497" width="8" style="776" customWidth="1"/>
    <col min="10498" max="10498" width="30.109375" style="776" customWidth="1"/>
    <col min="10499" max="10499" width="23.109375" style="776" customWidth="1"/>
    <col min="10500" max="10752" width="8" style="776"/>
    <col min="10753" max="10753" width="8" style="776" customWidth="1"/>
    <col min="10754" max="10754" width="30.109375" style="776" customWidth="1"/>
    <col min="10755" max="10755" width="23.109375" style="776" customWidth="1"/>
    <col min="10756" max="11008" width="8" style="776"/>
    <col min="11009" max="11009" width="8" style="776" customWidth="1"/>
    <col min="11010" max="11010" width="30.109375" style="776" customWidth="1"/>
    <col min="11011" max="11011" width="23.109375" style="776" customWidth="1"/>
    <col min="11012" max="11264" width="8" style="776"/>
    <col min="11265" max="11265" width="8" style="776" customWidth="1"/>
    <col min="11266" max="11266" width="30.109375" style="776" customWidth="1"/>
    <col min="11267" max="11267" width="23.109375" style="776" customWidth="1"/>
    <col min="11268" max="11520" width="8" style="776"/>
    <col min="11521" max="11521" width="8" style="776" customWidth="1"/>
    <col min="11522" max="11522" width="30.109375" style="776" customWidth="1"/>
    <col min="11523" max="11523" width="23.109375" style="776" customWidth="1"/>
    <col min="11524" max="11776" width="8" style="776"/>
    <col min="11777" max="11777" width="8" style="776" customWidth="1"/>
    <col min="11778" max="11778" width="30.109375" style="776" customWidth="1"/>
    <col min="11779" max="11779" width="23.109375" style="776" customWidth="1"/>
    <col min="11780" max="12032" width="8" style="776"/>
    <col min="12033" max="12033" width="8" style="776" customWidth="1"/>
    <col min="12034" max="12034" width="30.109375" style="776" customWidth="1"/>
    <col min="12035" max="12035" width="23.109375" style="776" customWidth="1"/>
    <col min="12036" max="12288" width="8" style="776"/>
    <col min="12289" max="12289" width="8" style="776" customWidth="1"/>
    <col min="12290" max="12290" width="30.109375" style="776" customWidth="1"/>
    <col min="12291" max="12291" width="23.109375" style="776" customWidth="1"/>
    <col min="12292" max="12544" width="8" style="776"/>
    <col min="12545" max="12545" width="8" style="776" customWidth="1"/>
    <col min="12546" max="12546" width="30.109375" style="776" customWidth="1"/>
    <col min="12547" max="12547" width="23.109375" style="776" customWidth="1"/>
    <col min="12548" max="12800" width="8" style="776"/>
    <col min="12801" max="12801" width="8" style="776" customWidth="1"/>
    <col min="12802" max="12802" width="30.109375" style="776" customWidth="1"/>
    <col min="12803" max="12803" width="23.109375" style="776" customWidth="1"/>
    <col min="12804" max="13056" width="8" style="776"/>
    <col min="13057" max="13057" width="8" style="776" customWidth="1"/>
    <col min="13058" max="13058" width="30.109375" style="776" customWidth="1"/>
    <col min="13059" max="13059" width="23.109375" style="776" customWidth="1"/>
    <col min="13060" max="13312" width="8" style="776"/>
    <col min="13313" max="13313" width="8" style="776" customWidth="1"/>
    <col min="13314" max="13314" width="30.109375" style="776" customWidth="1"/>
    <col min="13315" max="13315" width="23.109375" style="776" customWidth="1"/>
    <col min="13316" max="13568" width="8" style="776"/>
    <col min="13569" max="13569" width="8" style="776" customWidth="1"/>
    <col min="13570" max="13570" width="30.109375" style="776" customWidth="1"/>
    <col min="13571" max="13571" width="23.109375" style="776" customWidth="1"/>
    <col min="13572" max="13824" width="8" style="776"/>
    <col min="13825" max="13825" width="8" style="776" customWidth="1"/>
    <col min="13826" max="13826" width="30.109375" style="776" customWidth="1"/>
    <col min="13827" max="13827" width="23.109375" style="776" customWidth="1"/>
    <col min="13828" max="14080" width="8" style="776"/>
    <col min="14081" max="14081" width="8" style="776" customWidth="1"/>
    <col min="14082" max="14082" width="30.109375" style="776" customWidth="1"/>
    <col min="14083" max="14083" width="23.109375" style="776" customWidth="1"/>
    <col min="14084" max="14336" width="8" style="776"/>
    <col min="14337" max="14337" width="8" style="776" customWidth="1"/>
    <col min="14338" max="14338" width="30.109375" style="776" customWidth="1"/>
    <col min="14339" max="14339" width="23.109375" style="776" customWidth="1"/>
    <col min="14340" max="14592" width="8" style="776"/>
    <col min="14593" max="14593" width="8" style="776" customWidth="1"/>
    <col min="14594" max="14594" width="30.109375" style="776" customWidth="1"/>
    <col min="14595" max="14595" width="23.109375" style="776" customWidth="1"/>
    <col min="14596" max="14848" width="8" style="776"/>
    <col min="14849" max="14849" width="8" style="776" customWidth="1"/>
    <col min="14850" max="14850" width="30.109375" style="776" customWidth="1"/>
    <col min="14851" max="14851" width="23.109375" style="776" customWidth="1"/>
    <col min="14852" max="15104" width="8" style="776"/>
    <col min="15105" max="15105" width="8" style="776" customWidth="1"/>
    <col min="15106" max="15106" width="30.109375" style="776" customWidth="1"/>
    <col min="15107" max="15107" width="23.109375" style="776" customWidth="1"/>
    <col min="15108" max="15360" width="8" style="776"/>
    <col min="15361" max="15361" width="8" style="776" customWidth="1"/>
    <col min="15362" max="15362" width="30.109375" style="776" customWidth="1"/>
    <col min="15363" max="15363" width="23.109375" style="776" customWidth="1"/>
    <col min="15364" max="15616" width="8" style="776"/>
    <col min="15617" max="15617" width="8" style="776" customWidth="1"/>
    <col min="15618" max="15618" width="30.109375" style="776" customWidth="1"/>
    <col min="15619" max="15619" width="23.109375" style="776" customWidth="1"/>
    <col min="15620" max="15872" width="8" style="776"/>
    <col min="15873" max="15873" width="8" style="776" customWidth="1"/>
    <col min="15874" max="15874" width="30.109375" style="776" customWidth="1"/>
    <col min="15875" max="15875" width="23.109375" style="776" customWidth="1"/>
    <col min="15876" max="16128" width="8" style="776"/>
    <col min="16129" max="16129" width="8" style="776" customWidth="1"/>
    <col min="16130" max="16130" width="30.109375" style="776" customWidth="1"/>
    <col min="16131" max="16131" width="23.109375" style="776" customWidth="1"/>
    <col min="16132" max="16384" width="8" style="776"/>
  </cols>
  <sheetData>
    <row r="1" spans="11:15" ht="15">
      <c r="K1" s="775"/>
      <c r="O1" s="777"/>
    </row>
    <row r="21" spans="2:3" ht="21.75" customHeight="1"/>
    <row r="22" spans="2:3" ht="28.5" customHeight="1"/>
    <row r="23" spans="2:3" ht="231.75" customHeight="1"/>
    <row r="24" spans="2:3">
      <c r="B24" s="778" t="s">
        <v>217</v>
      </c>
      <c r="C24" s="779">
        <f>summary!C57</f>
        <v>807934368.74999976</v>
      </c>
    </row>
    <row r="25" spans="2:3">
      <c r="B25" s="778" t="s">
        <v>218</v>
      </c>
      <c r="C25" s="780">
        <f>summary!G57</f>
        <v>755106314</v>
      </c>
    </row>
    <row r="26" spans="2:3">
      <c r="B26" s="778" t="s">
        <v>219</v>
      </c>
      <c r="C26" s="780">
        <f>summary!J57</f>
        <v>40919350.5</v>
      </c>
    </row>
    <row r="27" spans="2:3">
      <c r="B27" s="1609" t="s">
        <v>4970</v>
      </c>
      <c r="C27" s="1610">
        <f>summary!M57</f>
        <v>179790340</v>
      </c>
    </row>
    <row r="28" spans="2:3">
      <c r="B28" s="778" t="s">
        <v>2543</v>
      </c>
      <c r="C28" s="780">
        <f>summary!J61</f>
        <v>404379576.20000005</v>
      </c>
    </row>
    <row r="29" spans="2:3" ht="26.4">
      <c r="B29" s="781" t="s">
        <v>3069</v>
      </c>
      <c r="C29" s="780">
        <f>summary!J62</f>
        <v>120267144.05000001</v>
      </c>
    </row>
    <row r="30" spans="2:3">
      <c r="B30" s="778" t="s">
        <v>3070</v>
      </c>
      <c r="C30" s="780">
        <f>summary!J63</f>
        <v>22180000</v>
      </c>
    </row>
    <row r="31" spans="2:3" hidden="1">
      <c r="B31" s="778" t="s">
        <v>3071</v>
      </c>
      <c r="C31" s="780">
        <f>summary!J64</f>
        <v>0</v>
      </c>
    </row>
    <row r="32" spans="2:3">
      <c r="B32" s="778" t="s">
        <v>3072</v>
      </c>
      <c r="C32" s="780">
        <f>summary!J68</f>
        <v>10645087.5</v>
      </c>
    </row>
    <row r="33" spans="2:3">
      <c r="B33" s="778" t="s">
        <v>1683</v>
      </c>
      <c r="C33" s="780">
        <f>summary!J69</f>
        <v>84600000</v>
      </c>
    </row>
    <row r="34" spans="2:3" ht="26.25" customHeight="1">
      <c r="B34" s="782" t="s">
        <v>9692</v>
      </c>
      <c r="C34" s="780">
        <f>summary!J71+'nonoff '!K465</f>
        <v>40829493.324999772</v>
      </c>
    </row>
    <row r="35" spans="2:3">
      <c r="B35" s="782" t="s">
        <v>3073</v>
      </c>
      <c r="C35" s="780">
        <f>summary!J70</f>
        <v>93070700</v>
      </c>
    </row>
    <row r="36" spans="2:3">
      <c r="B36" s="783" t="s">
        <v>220</v>
      </c>
      <c r="C36" s="779">
        <f>SUM(C24:C35)</f>
        <v>2559722374.3249998</v>
      </c>
    </row>
  </sheetData>
  <pageMargins left="0.5" right="0.25" top="0.75" bottom="0.5" header="0.5" footer="0.25"/>
  <pageSetup paperSize="5" firstPageNumber="410" orientation="portrait" useFirstPageNumber="1" verticalDpi="300" r:id="rId1"/>
  <headerFooter alignWithMargins="0"/>
  <drawing r:id="rId2"/>
</worksheet>
</file>

<file path=xl/worksheets/sheet212.xml><?xml version="1.0" encoding="utf-8"?>
<worksheet xmlns="http://schemas.openxmlformats.org/spreadsheetml/2006/main" xmlns:r="http://schemas.openxmlformats.org/officeDocument/2006/relationships">
  <sheetPr codeName="Sheet206"/>
  <dimension ref="B24:C41"/>
  <sheetViews>
    <sheetView workbookViewId="0">
      <selection activeCell="P3" sqref="P3"/>
    </sheetView>
  </sheetViews>
  <sheetFormatPr defaultColWidth="8" defaultRowHeight="13.2"/>
  <cols>
    <col min="1" max="1" width="8" style="776" customWidth="1"/>
    <col min="2" max="2" width="41.109375" style="776" customWidth="1"/>
    <col min="3" max="3" width="21.44140625" style="776" customWidth="1"/>
    <col min="4" max="244" width="8" style="776"/>
    <col min="245" max="245" width="8" style="776" customWidth="1"/>
    <col min="246" max="246" width="30.109375" style="776" customWidth="1"/>
    <col min="247" max="247" width="21.44140625" style="776" customWidth="1"/>
    <col min="248" max="500" width="8" style="776"/>
    <col min="501" max="501" width="8" style="776" customWidth="1"/>
    <col min="502" max="502" width="30.109375" style="776" customWidth="1"/>
    <col min="503" max="503" width="21.44140625" style="776" customWidth="1"/>
    <col min="504" max="756" width="8" style="776"/>
    <col min="757" max="757" width="8" style="776" customWidth="1"/>
    <col min="758" max="758" width="30.109375" style="776" customWidth="1"/>
    <col min="759" max="759" width="21.44140625" style="776" customWidth="1"/>
    <col min="760" max="1012" width="8" style="776"/>
    <col min="1013" max="1013" width="8" style="776" customWidth="1"/>
    <col min="1014" max="1014" width="30.109375" style="776" customWidth="1"/>
    <col min="1015" max="1015" width="21.44140625" style="776" customWidth="1"/>
    <col min="1016" max="1268" width="8" style="776"/>
    <col min="1269" max="1269" width="8" style="776" customWidth="1"/>
    <col min="1270" max="1270" width="30.109375" style="776" customWidth="1"/>
    <col min="1271" max="1271" width="21.44140625" style="776" customWidth="1"/>
    <col min="1272" max="1524" width="8" style="776"/>
    <col min="1525" max="1525" width="8" style="776" customWidth="1"/>
    <col min="1526" max="1526" width="30.109375" style="776" customWidth="1"/>
    <col min="1527" max="1527" width="21.44140625" style="776" customWidth="1"/>
    <col min="1528" max="1780" width="8" style="776"/>
    <col min="1781" max="1781" width="8" style="776" customWidth="1"/>
    <col min="1782" max="1782" width="30.109375" style="776" customWidth="1"/>
    <col min="1783" max="1783" width="21.44140625" style="776" customWidth="1"/>
    <col min="1784" max="2036" width="8" style="776"/>
    <col min="2037" max="2037" width="8" style="776" customWidth="1"/>
    <col min="2038" max="2038" width="30.109375" style="776" customWidth="1"/>
    <col min="2039" max="2039" width="21.44140625" style="776" customWidth="1"/>
    <col min="2040" max="2292" width="8" style="776"/>
    <col min="2293" max="2293" width="8" style="776" customWidth="1"/>
    <col min="2294" max="2294" width="30.109375" style="776" customWidth="1"/>
    <col min="2295" max="2295" width="21.44140625" style="776" customWidth="1"/>
    <col min="2296" max="2548" width="8" style="776"/>
    <col min="2549" max="2549" width="8" style="776" customWidth="1"/>
    <col min="2550" max="2550" width="30.109375" style="776" customWidth="1"/>
    <col min="2551" max="2551" width="21.44140625" style="776" customWidth="1"/>
    <col min="2552" max="2804" width="8" style="776"/>
    <col min="2805" max="2805" width="8" style="776" customWidth="1"/>
    <col min="2806" max="2806" width="30.109375" style="776" customWidth="1"/>
    <col min="2807" max="2807" width="21.44140625" style="776" customWidth="1"/>
    <col min="2808" max="3060" width="8" style="776"/>
    <col min="3061" max="3061" width="8" style="776" customWidth="1"/>
    <col min="3062" max="3062" width="30.109375" style="776" customWidth="1"/>
    <col min="3063" max="3063" width="21.44140625" style="776" customWidth="1"/>
    <col min="3064" max="3316" width="8" style="776"/>
    <col min="3317" max="3317" width="8" style="776" customWidth="1"/>
    <col min="3318" max="3318" width="30.109375" style="776" customWidth="1"/>
    <col min="3319" max="3319" width="21.44140625" style="776" customWidth="1"/>
    <col min="3320" max="3572" width="8" style="776"/>
    <col min="3573" max="3573" width="8" style="776" customWidth="1"/>
    <col min="3574" max="3574" width="30.109375" style="776" customWidth="1"/>
    <col min="3575" max="3575" width="21.44140625" style="776" customWidth="1"/>
    <col min="3576" max="3828" width="8" style="776"/>
    <col min="3829" max="3829" width="8" style="776" customWidth="1"/>
    <col min="3830" max="3830" width="30.109375" style="776" customWidth="1"/>
    <col min="3831" max="3831" width="21.44140625" style="776" customWidth="1"/>
    <col min="3832" max="4084" width="8" style="776"/>
    <col min="4085" max="4085" width="8" style="776" customWidth="1"/>
    <col min="4086" max="4086" width="30.109375" style="776" customWidth="1"/>
    <col min="4087" max="4087" width="21.44140625" style="776" customWidth="1"/>
    <col min="4088" max="4340" width="8" style="776"/>
    <col min="4341" max="4341" width="8" style="776" customWidth="1"/>
    <col min="4342" max="4342" width="30.109375" style="776" customWidth="1"/>
    <col min="4343" max="4343" width="21.44140625" style="776" customWidth="1"/>
    <col min="4344" max="4596" width="8" style="776"/>
    <col min="4597" max="4597" width="8" style="776" customWidth="1"/>
    <col min="4598" max="4598" width="30.109375" style="776" customWidth="1"/>
    <col min="4599" max="4599" width="21.44140625" style="776" customWidth="1"/>
    <col min="4600" max="4852" width="8" style="776"/>
    <col min="4853" max="4853" width="8" style="776" customWidth="1"/>
    <col min="4854" max="4854" width="30.109375" style="776" customWidth="1"/>
    <col min="4855" max="4855" width="21.44140625" style="776" customWidth="1"/>
    <col min="4856" max="5108" width="8" style="776"/>
    <col min="5109" max="5109" width="8" style="776" customWidth="1"/>
    <col min="5110" max="5110" width="30.109375" style="776" customWidth="1"/>
    <col min="5111" max="5111" width="21.44140625" style="776" customWidth="1"/>
    <col min="5112" max="5364" width="8" style="776"/>
    <col min="5365" max="5365" width="8" style="776" customWidth="1"/>
    <col min="5366" max="5366" width="30.109375" style="776" customWidth="1"/>
    <col min="5367" max="5367" width="21.44140625" style="776" customWidth="1"/>
    <col min="5368" max="5620" width="8" style="776"/>
    <col min="5621" max="5621" width="8" style="776" customWidth="1"/>
    <col min="5622" max="5622" width="30.109375" style="776" customWidth="1"/>
    <col min="5623" max="5623" width="21.44140625" style="776" customWidth="1"/>
    <col min="5624" max="5876" width="8" style="776"/>
    <col min="5877" max="5877" width="8" style="776" customWidth="1"/>
    <col min="5878" max="5878" width="30.109375" style="776" customWidth="1"/>
    <col min="5879" max="5879" width="21.44140625" style="776" customWidth="1"/>
    <col min="5880" max="6132" width="8" style="776"/>
    <col min="6133" max="6133" width="8" style="776" customWidth="1"/>
    <col min="6134" max="6134" width="30.109375" style="776" customWidth="1"/>
    <col min="6135" max="6135" width="21.44140625" style="776" customWidth="1"/>
    <col min="6136" max="6388" width="8" style="776"/>
    <col min="6389" max="6389" width="8" style="776" customWidth="1"/>
    <col min="6390" max="6390" width="30.109375" style="776" customWidth="1"/>
    <col min="6391" max="6391" width="21.44140625" style="776" customWidth="1"/>
    <col min="6392" max="6644" width="8" style="776"/>
    <col min="6645" max="6645" width="8" style="776" customWidth="1"/>
    <col min="6646" max="6646" width="30.109375" style="776" customWidth="1"/>
    <col min="6647" max="6647" width="21.44140625" style="776" customWidth="1"/>
    <col min="6648" max="6900" width="8" style="776"/>
    <col min="6901" max="6901" width="8" style="776" customWidth="1"/>
    <col min="6902" max="6902" width="30.109375" style="776" customWidth="1"/>
    <col min="6903" max="6903" width="21.44140625" style="776" customWidth="1"/>
    <col min="6904" max="7156" width="8" style="776"/>
    <col min="7157" max="7157" width="8" style="776" customWidth="1"/>
    <col min="7158" max="7158" width="30.109375" style="776" customWidth="1"/>
    <col min="7159" max="7159" width="21.44140625" style="776" customWidth="1"/>
    <col min="7160" max="7412" width="8" style="776"/>
    <col min="7413" max="7413" width="8" style="776" customWidth="1"/>
    <col min="7414" max="7414" width="30.109375" style="776" customWidth="1"/>
    <col min="7415" max="7415" width="21.44140625" style="776" customWidth="1"/>
    <col min="7416" max="7668" width="8" style="776"/>
    <col min="7669" max="7669" width="8" style="776" customWidth="1"/>
    <col min="7670" max="7670" width="30.109375" style="776" customWidth="1"/>
    <col min="7671" max="7671" width="21.44140625" style="776" customWidth="1"/>
    <col min="7672" max="7924" width="8" style="776"/>
    <col min="7925" max="7925" width="8" style="776" customWidth="1"/>
    <col min="7926" max="7926" width="30.109375" style="776" customWidth="1"/>
    <col min="7927" max="7927" width="21.44140625" style="776" customWidth="1"/>
    <col min="7928" max="8180" width="8" style="776"/>
    <col min="8181" max="8181" width="8" style="776" customWidth="1"/>
    <col min="8182" max="8182" width="30.109375" style="776" customWidth="1"/>
    <col min="8183" max="8183" width="21.44140625" style="776" customWidth="1"/>
    <col min="8184" max="8436" width="8" style="776"/>
    <col min="8437" max="8437" width="8" style="776" customWidth="1"/>
    <col min="8438" max="8438" width="30.109375" style="776" customWidth="1"/>
    <col min="8439" max="8439" width="21.44140625" style="776" customWidth="1"/>
    <col min="8440" max="8692" width="8" style="776"/>
    <col min="8693" max="8693" width="8" style="776" customWidth="1"/>
    <col min="8694" max="8694" width="30.109375" style="776" customWidth="1"/>
    <col min="8695" max="8695" width="21.44140625" style="776" customWidth="1"/>
    <col min="8696" max="8948" width="8" style="776"/>
    <col min="8949" max="8949" width="8" style="776" customWidth="1"/>
    <col min="8950" max="8950" width="30.109375" style="776" customWidth="1"/>
    <col min="8951" max="8951" width="21.44140625" style="776" customWidth="1"/>
    <col min="8952" max="9204" width="8" style="776"/>
    <col min="9205" max="9205" width="8" style="776" customWidth="1"/>
    <col min="9206" max="9206" width="30.109375" style="776" customWidth="1"/>
    <col min="9207" max="9207" width="21.44140625" style="776" customWidth="1"/>
    <col min="9208" max="9460" width="8" style="776"/>
    <col min="9461" max="9461" width="8" style="776" customWidth="1"/>
    <col min="9462" max="9462" width="30.109375" style="776" customWidth="1"/>
    <col min="9463" max="9463" width="21.44140625" style="776" customWidth="1"/>
    <col min="9464" max="9716" width="8" style="776"/>
    <col min="9717" max="9717" width="8" style="776" customWidth="1"/>
    <col min="9718" max="9718" width="30.109375" style="776" customWidth="1"/>
    <col min="9719" max="9719" width="21.44140625" style="776" customWidth="1"/>
    <col min="9720" max="9972" width="8" style="776"/>
    <col min="9973" max="9973" width="8" style="776" customWidth="1"/>
    <col min="9974" max="9974" width="30.109375" style="776" customWidth="1"/>
    <col min="9975" max="9975" width="21.44140625" style="776" customWidth="1"/>
    <col min="9976" max="10228" width="8" style="776"/>
    <col min="10229" max="10229" width="8" style="776" customWidth="1"/>
    <col min="10230" max="10230" width="30.109375" style="776" customWidth="1"/>
    <col min="10231" max="10231" width="21.44140625" style="776" customWidth="1"/>
    <col min="10232" max="10484" width="8" style="776"/>
    <col min="10485" max="10485" width="8" style="776" customWidth="1"/>
    <col min="10486" max="10486" width="30.109375" style="776" customWidth="1"/>
    <col min="10487" max="10487" width="21.44140625" style="776" customWidth="1"/>
    <col min="10488" max="10740" width="8" style="776"/>
    <col min="10741" max="10741" width="8" style="776" customWidth="1"/>
    <col min="10742" max="10742" width="30.109375" style="776" customWidth="1"/>
    <col min="10743" max="10743" width="21.44140625" style="776" customWidth="1"/>
    <col min="10744" max="10996" width="8" style="776"/>
    <col min="10997" max="10997" width="8" style="776" customWidth="1"/>
    <col min="10998" max="10998" width="30.109375" style="776" customWidth="1"/>
    <col min="10999" max="10999" width="21.44140625" style="776" customWidth="1"/>
    <col min="11000" max="11252" width="8" style="776"/>
    <col min="11253" max="11253" width="8" style="776" customWidth="1"/>
    <col min="11254" max="11254" width="30.109375" style="776" customWidth="1"/>
    <col min="11255" max="11255" width="21.44140625" style="776" customWidth="1"/>
    <col min="11256" max="11508" width="8" style="776"/>
    <col min="11509" max="11509" width="8" style="776" customWidth="1"/>
    <col min="11510" max="11510" width="30.109375" style="776" customWidth="1"/>
    <col min="11511" max="11511" width="21.44140625" style="776" customWidth="1"/>
    <col min="11512" max="11764" width="8" style="776"/>
    <col min="11765" max="11765" width="8" style="776" customWidth="1"/>
    <col min="11766" max="11766" width="30.109375" style="776" customWidth="1"/>
    <col min="11767" max="11767" width="21.44140625" style="776" customWidth="1"/>
    <col min="11768" max="12020" width="8" style="776"/>
    <col min="12021" max="12021" width="8" style="776" customWidth="1"/>
    <col min="12022" max="12022" width="30.109375" style="776" customWidth="1"/>
    <col min="12023" max="12023" width="21.44140625" style="776" customWidth="1"/>
    <col min="12024" max="12276" width="8" style="776"/>
    <col min="12277" max="12277" width="8" style="776" customWidth="1"/>
    <col min="12278" max="12278" width="30.109375" style="776" customWidth="1"/>
    <col min="12279" max="12279" width="21.44140625" style="776" customWidth="1"/>
    <col min="12280" max="12532" width="8" style="776"/>
    <col min="12533" max="12533" width="8" style="776" customWidth="1"/>
    <col min="12534" max="12534" width="30.109375" style="776" customWidth="1"/>
    <col min="12535" max="12535" width="21.44140625" style="776" customWidth="1"/>
    <col min="12536" max="12788" width="8" style="776"/>
    <col min="12789" max="12789" width="8" style="776" customWidth="1"/>
    <col min="12790" max="12790" width="30.109375" style="776" customWidth="1"/>
    <col min="12791" max="12791" width="21.44140625" style="776" customWidth="1"/>
    <col min="12792" max="13044" width="8" style="776"/>
    <col min="13045" max="13045" width="8" style="776" customWidth="1"/>
    <col min="13046" max="13046" width="30.109375" style="776" customWidth="1"/>
    <col min="13047" max="13047" width="21.44140625" style="776" customWidth="1"/>
    <col min="13048" max="13300" width="8" style="776"/>
    <col min="13301" max="13301" width="8" style="776" customWidth="1"/>
    <col min="13302" max="13302" width="30.109375" style="776" customWidth="1"/>
    <col min="13303" max="13303" width="21.44140625" style="776" customWidth="1"/>
    <col min="13304" max="13556" width="8" style="776"/>
    <col min="13557" max="13557" width="8" style="776" customWidth="1"/>
    <col min="13558" max="13558" width="30.109375" style="776" customWidth="1"/>
    <col min="13559" max="13559" width="21.44140625" style="776" customWidth="1"/>
    <col min="13560" max="13812" width="8" style="776"/>
    <col min="13813" max="13813" width="8" style="776" customWidth="1"/>
    <col min="13814" max="13814" width="30.109375" style="776" customWidth="1"/>
    <col min="13815" max="13815" width="21.44140625" style="776" customWidth="1"/>
    <col min="13816" max="14068" width="8" style="776"/>
    <col min="14069" max="14069" width="8" style="776" customWidth="1"/>
    <col min="14070" max="14070" width="30.109375" style="776" customWidth="1"/>
    <col min="14071" max="14071" width="21.44140625" style="776" customWidth="1"/>
    <col min="14072" max="14324" width="8" style="776"/>
    <col min="14325" max="14325" width="8" style="776" customWidth="1"/>
    <col min="14326" max="14326" width="30.109375" style="776" customWidth="1"/>
    <col min="14327" max="14327" width="21.44140625" style="776" customWidth="1"/>
    <col min="14328" max="14580" width="8" style="776"/>
    <col min="14581" max="14581" width="8" style="776" customWidth="1"/>
    <col min="14582" max="14582" width="30.109375" style="776" customWidth="1"/>
    <col min="14583" max="14583" width="21.44140625" style="776" customWidth="1"/>
    <col min="14584" max="14836" width="8" style="776"/>
    <col min="14837" max="14837" width="8" style="776" customWidth="1"/>
    <col min="14838" max="14838" width="30.109375" style="776" customWidth="1"/>
    <col min="14839" max="14839" width="21.44140625" style="776" customWidth="1"/>
    <col min="14840" max="15092" width="8" style="776"/>
    <col min="15093" max="15093" width="8" style="776" customWidth="1"/>
    <col min="15094" max="15094" width="30.109375" style="776" customWidth="1"/>
    <col min="15095" max="15095" width="21.44140625" style="776" customWidth="1"/>
    <col min="15096" max="15348" width="8" style="776"/>
    <col min="15349" max="15349" width="8" style="776" customWidth="1"/>
    <col min="15350" max="15350" width="30.109375" style="776" customWidth="1"/>
    <col min="15351" max="15351" width="21.44140625" style="776" customWidth="1"/>
    <col min="15352" max="15604" width="8" style="776"/>
    <col min="15605" max="15605" width="8" style="776" customWidth="1"/>
    <col min="15606" max="15606" width="30.109375" style="776" customWidth="1"/>
    <col min="15607" max="15607" width="21.44140625" style="776" customWidth="1"/>
    <col min="15608" max="15860" width="8" style="776"/>
    <col min="15861" max="15861" width="8" style="776" customWidth="1"/>
    <col min="15862" max="15862" width="30.109375" style="776" customWidth="1"/>
    <col min="15863" max="15863" width="21.44140625" style="776" customWidth="1"/>
    <col min="15864" max="16116" width="8" style="776"/>
    <col min="16117" max="16117" width="8" style="776" customWidth="1"/>
    <col min="16118" max="16118" width="30.109375" style="776" customWidth="1"/>
    <col min="16119" max="16119" width="21.44140625" style="776" customWidth="1"/>
    <col min="16120" max="16384" width="8" style="776"/>
  </cols>
  <sheetData>
    <row r="24" spans="2:3" ht="167.25" customHeight="1"/>
    <row r="25" spans="2:3" ht="18" customHeight="1"/>
    <row r="26" spans="2:3" ht="17.25" customHeight="1">
      <c r="B26" s="15515" t="s">
        <v>3077</v>
      </c>
      <c r="C26" s="15515"/>
    </row>
    <row r="27" spans="2:3">
      <c r="B27" s="788" t="s">
        <v>3074</v>
      </c>
      <c r="C27" s="789">
        <f>summary!P24</f>
        <v>686610014.23500001</v>
      </c>
    </row>
    <row r="28" spans="2:3">
      <c r="B28" s="788" t="s">
        <v>3075</v>
      </c>
      <c r="C28" s="790">
        <f>summary!P42</f>
        <v>758001411.41499984</v>
      </c>
    </row>
    <row r="29" spans="2:3">
      <c r="B29" s="788" t="s">
        <v>3076</v>
      </c>
      <c r="C29" s="790">
        <f>summary!P54</f>
        <v>309409454.27499998</v>
      </c>
    </row>
    <row r="30" spans="2:3">
      <c r="B30" s="788" t="s">
        <v>2543</v>
      </c>
      <c r="C30" s="790">
        <f>summary!J61</f>
        <v>404379576.20000005</v>
      </c>
    </row>
    <row r="31" spans="2:3" ht="14.25" customHeight="1">
      <c r="B31" s="791" t="s">
        <v>3078</v>
      </c>
      <c r="C31" s="790">
        <f>summary!J62</f>
        <v>120267144.05000001</v>
      </c>
    </row>
    <row r="32" spans="2:3">
      <c r="B32" s="788" t="s">
        <v>3070</v>
      </c>
      <c r="C32" s="790">
        <f>summary!J63</f>
        <v>22180000</v>
      </c>
    </row>
    <row r="33" spans="2:3" hidden="1">
      <c r="B33" s="788" t="s">
        <v>3079</v>
      </c>
      <c r="C33" s="790">
        <f>summary!J64</f>
        <v>0</v>
      </c>
    </row>
    <row r="34" spans="2:3">
      <c r="B34" s="791" t="s">
        <v>9692</v>
      </c>
      <c r="C34" s="790">
        <f>summary!J71+'nonoff '!K465</f>
        <v>40829493.324999772</v>
      </c>
    </row>
    <row r="35" spans="2:3">
      <c r="B35" s="788" t="s">
        <v>325</v>
      </c>
      <c r="C35" s="790">
        <f>summary!J68</f>
        <v>10645087.5</v>
      </c>
    </row>
    <row r="36" spans="2:3">
      <c r="B36" s="788" t="s">
        <v>3080</v>
      </c>
      <c r="C36" s="790">
        <f>summary!J69</f>
        <v>84600000</v>
      </c>
    </row>
    <row r="37" spans="2:3">
      <c r="B37" s="788" t="s">
        <v>3073</v>
      </c>
      <c r="C37" s="790">
        <f>summary!J70</f>
        <v>93070700</v>
      </c>
    </row>
    <row r="38" spans="2:3">
      <c r="B38" s="792" t="s">
        <v>220</v>
      </c>
      <c r="C38" s="789">
        <f>SUM(C27:C37)</f>
        <v>2529992881</v>
      </c>
    </row>
    <row r="40" spans="2:3">
      <c r="B40" s="795"/>
    </row>
    <row r="41" spans="2:3">
      <c r="C41" s="793"/>
    </row>
  </sheetData>
  <mergeCells count="1">
    <mergeCell ref="B26:C26"/>
  </mergeCells>
  <pageMargins left="0.5" right="0.25" top="0.75" bottom="0.5" header="0.5" footer="0.25"/>
  <pageSetup paperSize="5" firstPageNumber="411" orientation="portrait" useFirstPageNumber="1" verticalDpi="300" r:id="rId1"/>
  <headerFooter alignWithMargins="0"/>
  <drawing r:id="rId2"/>
</worksheet>
</file>

<file path=xl/worksheets/sheet213.xml><?xml version="1.0" encoding="utf-8"?>
<worksheet xmlns="http://schemas.openxmlformats.org/spreadsheetml/2006/main" xmlns:r="http://schemas.openxmlformats.org/officeDocument/2006/relationships">
  <sheetPr codeName="Sheet207"/>
  <dimension ref="B28:D37"/>
  <sheetViews>
    <sheetView workbookViewId="0">
      <selection activeCell="P3" sqref="P3"/>
    </sheetView>
  </sheetViews>
  <sheetFormatPr defaultColWidth="8" defaultRowHeight="13.2"/>
  <cols>
    <col min="1" max="1" width="8.44140625" style="776" customWidth="1"/>
    <col min="2" max="2" width="16.44140625" style="776" customWidth="1"/>
    <col min="3" max="3" width="15.44140625" style="776" customWidth="1"/>
    <col min="4" max="4" width="15.109375" style="776" customWidth="1"/>
    <col min="5" max="5" width="5.44140625" style="776" customWidth="1"/>
    <col min="6" max="6" width="8" style="776" customWidth="1"/>
    <col min="7" max="7" width="3.44140625" style="776" customWidth="1"/>
    <col min="8" max="8" width="8" style="776" customWidth="1"/>
    <col min="9" max="9" width="5.88671875" style="776" customWidth="1"/>
    <col min="10" max="244" width="8" style="776"/>
    <col min="245" max="245" width="8.44140625" style="776" customWidth="1"/>
    <col min="246" max="246" width="16.44140625" style="776" customWidth="1"/>
    <col min="247" max="247" width="15.44140625" style="776" customWidth="1"/>
    <col min="248" max="248" width="15.109375" style="776" customWidth="1"/>
    <col min="249" max="249" width="5.44140625" style="776" customWidth="1"/>
    <col min="250" max="250" width="8" style="776" customWidth="1"/>
    <col min="251" max="251" width="3.44140625" style="776" customWidth="1"/>
    <col min="252" max="252" width="8" style="776" customWidth="1"/>
    <col min="253" max="253" width="5.88671875" style="776" customWidth="1"/>
    <col min="254" max="500" width="8" style="776"/>
    <col min="501" max="501" width="8.44140625" style="776" customWidth="1"/>
    <col min="502" max="502" width="16.44140625" style="776" customWidth="1"/>
    <col min="503" max="503" width="15.44140625" style="776" customWidth="1"/>
    <col min="504" max="504" width="15.109375" style="776" customWidth="1"/>
    <col min="505" max="505" width="5.44140625" style="776" customWidth="1"/>
    <col min="506" max="506" width="8" style="776" customWidth="1"/>
    <col min="507" max="507" width="3.44140625" style="776" customWidth="1"/>
    <col min="508" max="508" width="8" style="776" customWidth="1"/>
    <col min="509" max="509" width="5.88671875" style="776" customWidth="1"/>
    <col min="510" max="756" width="8" style="776"/>
    <col min="757" max="757" width="8.44140625" style="776" customWidth="1"/>
    <col min="758" max="758" width="16.44140625" style="776" customWidth="1"/>
    <col min="759" max="759" width="15.44140625" style="776" customWidth="1"/>
    <col min="760" max="760" width="15.109375" style="776" customWidth="1"/>
    <col min="761" max="761" width="5.44140625" style="776" customWidth="1"/>
    <col min="762" max="762" width="8" style="776" customWidth="1"/>
    <col min="763" max="763" width="3.44140625" style="776" customWidth="1"/>
    <col min="764" max="764" width="8" style="776" customWidth="1"/>
    <col min="765" max="765" width="5.88671875" style="776" customWidth="1"/>
    <col min="766" max="1012" width="8" style="776"/>
    <col min="1013" max="1013" width="8.44140625" style="776" customWidth="1"/>
    <col min="1014" max="1014" width="16.44140625" style="776" customWidth="1"/>
    <col min="1015" max="1015" width="15.44140625" style="776" customWidth="1"/>
    <col min="1016" max="1016" width="15.109375" style="776" customWidth="1"/>
    <col min="1017" max="1017" width="5.44140625" style="776" customWidth="1"/>
    <col min="1018" max="1018" width="8" style="776" customWidth="1"/>
    <col min="1019" max="1019" width="3.44140625" style="776" customWidth="1"/>
    <col min="1020" max="1020" width="8" style="776" customWidth="1"/>
    <col min="1021" max="1021" width="5.88671875" style="776" customWidth="1"/>
    <col min="1022" max="1268" width="8" style="776"/>
    <col min="1269" max="1269" width="8.44140625" style="776" customWidth="1"/>
    <col min="1270" max="1270" width="16.44140625" style="776" customWidth="1"/>
    <col min="1271" max="1271" width="15.44140625" style="776" customWidth="1"/>
    <col min="1272" max="1272" width="15.109375" style="776" customWidth="1"/>
    <col min="1273" max="1273" width="5.44140625" style="776" customWidth="1"/>
    <col min="1274" max="1274" width="8" style="776" customWidth="1"/>
    <col min="1275" max="1275" width="3.44140625" style="776" customWidth="1"/>
    <col min="1276" max="1276" width="8" style="776" customWidth="1"/>
    <col min="1277" max="1277" width="5.88671875" style="776" customWidth="1"/>
    <col min="1278" max="1524" width="8" style="776"/>
    <col min="1525" max="1525" width="8.44140625" style="776" customWidth="1"/>
    <col min="1526" max="1526" width="16.44140625" style="776" customWidth="1"/>
    <col min="1527" max="1527" width="15.44140625" style="776" customWidth="1"/>
    <col min="1528" max="1528" width="15.109375" style="776" customWidth="1"/>
    <col min="1529" max="1529" width="5.44140625" style="776" customWidth="1"/>
    <col min="1530" max="1530" width="8" style="776" customWidth="1"/>
    <col min="1531" max="1531" width="3.44140625" style="776" customWidth="1"/>
    <col min="1532" max="1532" width="8" style="776" customWidth="1"/>
    <col min="1533" max="1533" width="5.88671875" style="776" customWidth="1"/>
    <col min="1534" max="1780" width="8" style="776"/>
    <col min="1781" max="1781" width="8.44140625" style="776" customWidth="1"/>
    <col min="1782" max="1782" width="16.44140625" style="776" customWidth="1"/>
    <col min="1783" max="1783" width="15.44140625" style="776" customWidth="1"/>
    <col min="1784" max="1784" width="15.109375" style="776" customWidth="1"/>
    <col min="1785" max="1785" width="5.44140625" style="776" customWidth="1"/>
    <col min="1786" max="1786" width="8" style="776" customWidth="1"/>
    <col min="1787" max="1787" width="3.44140625" style="776" customWidth="1"/>
    <col min="1788" max="1788" width="8" style="776" customWidth="1"/>
    <col min="1789" max="1789" width="5.88671875" style="776" customWidth="1"/>
    <col min="1790" max="2036" width="8" style="776"/>
    <col min="2037" max="2037" width="8.44140625" style="776" customWidth="1"/>
    <col min="2038" max="2038" width="16.44140625" style="776" customWidth="1"/>
    <col min="2039" max="2039" width="15.44140625" style="776" customWidth="1"/>
    <col min="2040" max="2040" width="15.109375" style="776" customWidth="1"/>
    <col min="2041" max="2041" width="5.44140625" style="776" customWidth="1"/>
    <col min="2042" max="2042" width="8" style="776" customWidth="1"/>
    <col min="2043" max="2043" width="3.44140625" style="776" customWidth="1"/>
    <col min="2044" max="2044" width="8" style="776" customWidth="1"/>
    <col min="2045" max="2045" width="5.88671875" style="776" customWidth="1"/>
    <col min="2046" max="2292" width="8" style="776"/>
    <col min="2293" max="2293" width="8.44140625" style="776" customWidth="1"/>
    <col min="2294" max="2294" width="16.44140625" style="776" customWidth="1"/>
    <col min="2295" max="2295" width="15.44140625" style="776" customWidth="1"/>
    <col min="2296" max="2296" width="15.109375" style="776" customWidth="1"/>
    <col min="2297" max="2297" width="5.44140625" style="776" customWidth="1"/>
    <col min="2298" max="2298" width="8" style="776" customWidth="1"/>
    <col min="2299" max="2299" width="3.44140625" style="776" customWidth="1"/>
    <col min="2300" max="2300" width="8" style="776" customWidth="1"/>
    <col min="2301" max="2301" width="5.88671875" style="776" customWidth="1"/>
    <col min="2302" max="2548" width="8" style="776"/>
    <col min="2549" max="2549" width="8.44140625" style="776" customWidth="1"/>
    <col min="2550" max="2550" width="16.44140625" style="776" customWidth="1"/>
    <col min="2551" max="2551" width="15.44140625" style="776" customWidth="1"/>
    <col min="2552" max="2552" width="15.109375" style="776" customWidth="1"/>
    <col min="2553" max="2553" width="5.44140625" style="776" customWidth="1"/>
    <col min="2554" max="2554" width="8" style="776" customWidth="1"/>
    <col min="2555" max="2555" width="3.44140625" style="776" customWidth="1"/>
    <col min="2556" max="2556" width="8" style="776" customWidth="1"/>
    <col min="2557" max="2557" width="5.88671875" style="776" customWidth="1"/>
    <col min="2558" max="2804" width="8" style="776"/>
    <col min="2805" max="2805" width="8.44140625" style="776" customWidth="1"/>
    <col min="2806" max="2806" width="16.44140625" style="776" customWidth="1"/>
    <col min="2807" max="2807" width="15.44140625" style="776" customWidth="1"/>
    <col min="2808" max="2808" width="15.109375" style="776" customWidth="1"/>
    <col min="2809" max="2809" width="5.44140625" style="776" customWidth="1"/>
    <col min="2810" max="2810" width="8" style="776" customWidth="1"/>
    <col min="2811" max="2811" width="3.44140625" style="776" customWidth="1"/>
    <col min="2812" max="2812" width="8" style="776" customWidth="1"/>
    <col min="2813" max="2813" width="5.88671875" style="776" customWidth="1"/>
    <col min="2814" max="3060" width="8" style="776"/>
    <col min="3061" max="3061" width="8.44140625" style="776" customWidth="1"/>
    <col min="3062" max="3062" width="16.44140625" style="776" customWidth="1"/>
    <col min="3063" max="3063" width="15.44140625" style="776" customWidth="1"/>
    <col min="3064" max="3064" width="15.109375" style="776" customWidth="1"/>
    <col min="3065" max="3065" width="5.44140625" style="776" customWidth="1"/>
    <col min="3066" max="3066" width="8" style="776" customWidth="1"/>
    <col min="3067" max="3067" width="3.44140625" style="776" customWidth="1"/>
    <col min="3068" max="3068" width="8" style="776" customWidth="1"/>
    <col min="3069" max="3069" width="5.88671875" style="776" customWidth="1"/>
    <col min="3070" max="3316" width="8" style="776"/>
    <col min="3317" max="3317" width="8.44140625" style="776" customWidth="1"/>
    <col min="3318" max="3318" width="16.44140625" style="776" customWidth="1"/>
    <col min="3319" max="3319" width="15.44140625" style="776" customWidth="1"/>
    <col min="3320" max="3320" width="15.109375" style="776" customWidth="1"/>
    <col min="3321" max="3321" width="5.44140625" style="776" customWidth="1"/>
    <col min="3322" max="3322" width="8" style="776" customWidth="1"/>
    <col min="3323" max="3323" width="3.44140625" style="776" customWidth="1"/>
    <col min="3324" max="3324" width="8" style="776" customWidth="1"/>
    <col min="3325" max="3325" width="5.88671875" style="776" customWidth="1"/>
    <col min="3326" max="3572" width="8" style="776"/>
    <col min="3573" max="3573" width="8.44140625" style="776" customWidth="1"/>
    <col min="3574" max="3574" width="16.44140625" style="776" customWidth="1"/>
    <col min="3575" max="3575" width="15.44140625" style="776" customWidth="1"/>
    <col min="3576" max="3576" width="15.109375" style="776" customWidth="1"/>
    <col min="3577" max="3577" width="5.44140625" style="776" customWidth="1"/>
    <col min="3578" max="3578" width="8" style="776" customWidth="1"/>
    <col min="3579" max="3579" width="3.44140625" style="776" customWidth="1"/>
    <col min="3580" max="3580" width="8" style="776" customWidth="1"/>
    <col min="3581" max="3581" width="5.88671875" style="776" customWidth="1"/>
    <col min="3582" max="3828" width="8" style="776"/>
    <col min="3829" max="3829" width="8.44140625" style="776" customWidth="1"/>
    <col min="3830" max="3830" width="16.44140625" style="776" customWidth="1"/>
    <col min="3831" max="3831" width="15.44140625" style="776" customWidth="1"/>
    <col min="3832" max="3832" width="15.109375" style="776" customWidth="1"/>
    <col min="3833" max="3833" width="5.44140625" style="776" customWidth="1"/>
    <col min="3834" max="3834" width="8" style="776" customWidth="1"/>
    <col min="3835" max="3835" width="3.44140625" style="776" customWidth="1"/>
    <col min="3836" max="3836" width="8" style="776" customWidth="1"/>
    <col min="3837" max="3837" width="5.88671875" style="776" customWidth="1"/>
    <col min="3838" max="4084" width="8" style="776"/>
    <col min="4085" max="4085" width="8.44140625" style="776" customWidth="1"/>
    <col min="4086" max="4086" width="16.44140625" style="776" customWidth="1"/>
    <col min="4087" max="4087" width="15.44140625" style="776" customWidth="1"/>
    <col min="4088" max="4088" width="15.109375" style="776" customWidth="1"/>
    <col min="4089" max="4089" width="5.44140625" style="776" customWidth="1"/>
    <col min="4090" max="4090" width="8" style="776" customWidth="1"/>
    <col min="4091" max="4091" width="3.44140625" style="776" customWidth="1"/>
    <col min="4092" max="4092" width="8" style="776" customWidth="1"/>
    <col min="4093" max="4093" width="5.88671875" style="776" customWidth="1"/>
    <col min="4094" max="4340" width="8" style="776"/>
    <col min="4341" max="4341" width="8.44140625" style="776" customWidth="1"/>
    <col min="4342" max="4342" width="16.44140625" style="776" customWidth="1"/>
    <col min="4343" max="4343" width="15.44140625" style="776" customWidth="1"/>
    <col min="4344" max="4344" width="15.109375" style="776" customWidth="1"/>
    <col min="4345" max="4345" width="5.44140625" style="776" customWidth="1"/>
    <col min="4346" max="4346" width="8" style="776" customWidth="1"/>
    <col min="4347" max="4347" width="3.44140625" style="776" customWidth="1"/>
    <col min="4348" max="4348" width="8" style="776" customWidth="1"/>
    <col min="4349" max="4349" width="5.88671875" style="776" customWidth="1"/>
    <col min="4350" max="4596" width="8" style="776"/>
    <col min="4597" max="4597" width="8.44140625" style="776" customWidth="1"/>
    <col min="4598" max="4598" width="16.44140625" style="776" customWidth="1"/>
    <col min="4599" max="4599" width="15.44140625" style="776" customWidth="1"/>
    <col min="4600" max="4600" width="15.109375" style="776" customWidth="1"/>
    <col min="4601" max="4601" width="5.44140625" style="776" customWidth="1"/>
    <col min="4602" max="4602" width="8" style="776" customWidth="1"/>
    <col min="4603" max="4603" width="3.44140625" style="776" customWidth="1"/>
    <col min="4604" max="4604" width="8" style="776" customWidth="1"/>
    <col min="4605" max="4605" width="5.88671875" style="776" customWidth="1"/>
    <col min="4606" max="4852" width="8" style="776"/>
    <col min="4853" max="4853" width="8.44140625" style="776" customWidth="1"/>
    <col min="4854" max="4854" width="16.44140625" style="776" customWidth="1"/>
    <col min="4855" max="4855" width="15.44140625" style="776" customWidth="1"/>
    <col min="4856" max="4856" width="15.109375" style="776" customWidth="1"/>
    <col min="4857" max="4857" width="5.44140625" style="776" customWidth="1"/>
    <col min="4858" max="4858" width="8" style="776" customWidth="1"/>
    <col min="4859" max="4859" width="3.44140625" style="776" customWidth="1"/>
    <col min="4860" max="4860" width="8" style="776" customWidth="1"/>
    <col min="4861" max="4861" width="5.88671875" style="776" customWidth="1"/>
    <col min="4862" max="5108" width="8" style="776"/>
    <col min="5109" max="5109" width="8.44140625" style="776" customWidth="1"/>
    <col min="5110" max="5110" width="16.44140625" style="776" customWidth="1"/>
    <col min="5111" max="5111" width="15.44140625" style="776" customWidth="1"/>
    <col min="5112" max="5112" width="15.109375" style="776" customWidth="1"/>
    <col min="5113" max="5113" width="5.44140625" style="776" customWidth="1"/>
    <col min="5114" max="5114" width="8" style="776" customWidth="1"/>
    <col min="5115" max="5115" width="3.44140625" style="776" customWidth="1"/>
    <col min="5116" max="5116" width="8" style="776" customWidth="1"/>
    <col min="5117" max="5117" width="5.88671875" style="776" customWidth="1"/>
    <col min="5118" max="5364" width="8" style="776"/>
    <col min="5365" max="5365" width="8.44140625" style="776" customWidth="1"/>
    <col min="5366" max="5366" width="16.44140625" style="776" customWidth="1"/>
    <col min="5367" max="5367" width="15.44140625" style="776" customWidth="1"/>
    <col min="5368" max="5368" width="15.109375" style="776" customWidth="1"/>
    <col min="5369" max="5369" width="5.44140625" style="776" customWidth="1"/>
    <col min="5370" max="5370" width="8" style="776" customWidth="1"/>
    <col min="5371" max="5371" width="3.44140625" style="776" customWidth="1"/>
    <col min="5372" max="5372" width="8" style="776" customWidth="1"/>
    <col min="5373" max="5373" width="5.88671875" style="776" customWidth="1"/>
    <col min="5374" max="5620" width="8" style="776"/>
    <col min="5621" max="5621" width="8.44140625" style="776" customWidth="1"/>
    <col min="5622" max="5622" width="16.44140625" style="776" customWidth="1"/>
    <col min="5623" max="5623" width="15.44140625" style="776" customWidth="1"/>
    <col min="5624" max="5624" width="15.109375" style="776" customWidth="1"/>
    <col min="5625" max="5625" width="5.44140625" style="776" customWidth="1"/>
    <col min="5626" max="5626" width="8" style="776" customWidth="1"/>
    <col min="5627" max="5627" width="3.44140625" style="776" customWidth="1"/>
    <col min="5628" max="5628" width="8" style="776" customWidth="1"/>
    <col min="5629" max="5629" width="5.88671875" style="776" customWidth="1"/>
    <col min="5630" max="5876" width="8" style="776"/>
    <col min="5877" max="5877" width="8.44140625" style="776" customWidth="1"/>
    <col min="5878" max="5878" width="16.44140625" style="776" customWidth="1"/>
    <col min="5879" max="5879" width="15.44140625" style="776" customWidth="1"/>
    <col min="5880" max="5880" width="15.109375" style="776" customWidth="1"/>
    <col min="5881" max="5881" width="5.44140625" style="776" customWidth="1"/>
    <col min="5882" max="5882" width="8" style="776" customWidth="1"/>
    <col min="5883" max="5883" width="3.44140625" style="776" customWidth="1"/>
    <col min="5884" max="5884" width="8" style="776" customWidth="1"/>
    <col min="5885" max="5885" width="5.88671875" style="776" customWidth="1"/>
    <col min="5886" max="6132" width="8" style="776"/>
    <col min="6133" max="6133" width="8.44140625" style="776" customWidth="1"/>
    <col min="6134" max="6134" width="16.44140625" style="776" customWidth="1"/>
    <col min="6135" max="6135" width="15.44140625" style="776" customWidth="1"/>
    <col min="6136" max="6136" width="15.109375" style="776" customWidth="1"/>
    <col min="6137" max="6137" width="5.44140625" style="776" customWidth="1"/>
    <col min="6138" max="6138" width="8" style="776" customWidth="1"/>
    <col min="6139" max="6139" width="3.44140625" style="776" customWidth="1"/>
    <col min="6140" max="6140" width="8" style="776" customWidth="1"/>
    <col min="6141" max="6141" width="5.88671875" style="776" customWidth="1"/>
    <col min="6142" max="6388" width="8" style="776"/>
    <col min="6389" max="6389" width="8.44140625" style="776" customWidth="1"/>
    <col min="6390" max="6390" width="16.44140625" style="776" customWidth="1"/>
    <col min="6391" max="6391" width="15.44140625" style="776" customWidth="1"/>
    <col min="6392" max="6392" width="15.109375" style="776" customWidth="1"/>
    <col min="6393" max="6393" width="5.44140625" style="776" customWidth="1"/>
    <col min="6394" max="6394" width="8" style="776" customWidth="1"/>
    <col min="6395" max="6395" width="3.44140625" style="776" customWidth="1"/>
    <col min="6396" max="6396" width="8" style="776" customWidth="1"/>
    <col min="6397" max="6397" width="5.88671875" style="776" customWidth="1"/>
    <col min="6398" max="6644" width="8" style="776"/>
    <col min="6645" max="6645" width="8.44140625" style="776" customWidth="1"/>
    <col min="6646" max="6646" width="16.44140625" style="776" customWidth="1"/>
    <col min="6647" max="6647" width="15.44140625" style="776" customWidth="1"/>
    <col min="6648" max="6648" width="15.109375" style="776" customWidth="1"/>
    <col min="6649" max="6649" width="5.44140625" style="776" customWidth="1"/>
    <col min="6650" max="6650" width="8" style="776" customWidth="1"/>
    <col min="6651" max="6651" width="3.44140625" style="776" customWidth="1"/>
    <col min="6652" max="6652" width="8" style="776" customWidth="1"/>
    <col min="6653" max="6653" width="5.88671875" style="776" customWidth="1"/>
    <col min="6654" max="6900" width="8" style="776"/>
    <col min="6901" max="6901" width="8.44140625" style="776" customWidth="1"/>
    <col min="6902" max="6902" width="16.44140625" style="776" customWidth="1"/>
    <col min="6903" max="6903" width="15.44140625" style="776" customWidth="1"/>
    <col min="6904" max="6904" width="15.109375" style="776" customWidth="1"/>
    <col min="6905" max="6905" width="5.44140625" style="776" customWidth="1"/>
    <col min="6906" max="6906" width="8" style="776" customWidth="1"/>
    <col min="6907" max="6907" width="3.44140625" style="776" customWidth="1"/>
    <col min="6908" max="6908" width="8" style="776" customWidth="1"/>
    <col min="6909" max="6909" width="5.88671875" style="776" customWidth="1"/>
    <col min="6910" max="7156" width="8" style="776"/>
    <col min="7157" max="7157" width="8.44140625" style="776" customWidth="1"/>
    <col min="7158" max="7158" width="16.44140625" style="776" customWidth="1"/>
    <col min="7159" max="7159" width="15.44140625" style="776" customWidth="1"/>
    <col min="7160" max="7160" width="15.109375" style="776" customWidth="1"/>
    <col min="7161" max="7161" width="5.44140625" style="776" customWidth="1"/>
    <col min="7162" max="7162" width="8" style="776" customWidth="1"/>
    <col min="7163" max="7163" width="3.44140625" style="776" customWidth="1"/>
    <col min="7164" max="7164" width="8" style="776" customWidth="1"/>
    <col min="7165" max="7165" width="5.88671875" style="776" customWidth="1"/>
    <col min="7166" max="7412" width="8" style="776"/>
    <col min="7413" max="7413" width="8.44140625" style="776" customWidth="1"/>
    <col min="7414" max="7414" width="16.44140625" style="776" customWidth="1"/>
    <col min="7415" max="7415" width="15.44140625" style="776" customWidth="1"/>
    <col min="7416" max="7416" width="15.109375" style="776" customWidth="1"/>
    <col min="7417" max="7417" width="5.44140625" style="776" customWidth="1"/>
    <col min="7418" max="7418" width="8" style="776" customWidth="1"/>
    <col min="7419" max="7419" width="3.44140625" style="776" customWidth="1"/>
    <col min="7420" max="7420" width="8" style="776" customWidth="1"/>
    <col min="7421" max="7421" width="5.88671875" style="776" customWidth="1"/>
    <col min="7422" max="7668" width="8" style="776"/>
    <col min="7669" max="7669" width="8.44140625" style="776" customWidth="1"/>
    <col min="7670" max="7670" width="16.44140625" style="776" customWidth="1"/>
    <col min="7671" max="7671" width="15.44140625" style="776" customWidth="1"/>
    <col min="7672" max="7672" width="15.109375" style="776" customWidth="1"/>
    <col min="7673" max="7673" width="5.44140625" style="776" customWidth="1"/>
    <col min="7674" max="7674" width="8" style="776" customWidth="1"/>
    <col min="7675" max="7675" width="3.44140625" style="776" customWidth="1"/>
    <col min="7676" max="7676" width="8" style="776" customWidth="1"/>
    <col min="7677" max="7677" width="5.88671875" style="776" customWidth="1"/>
    <col min="7678" max="7924" width="8" style="776"/>
    <col min="7925" max="7925" width="8.44140625" style="776" customWidth="1"/>
    <col min="7926" max="7926" width="16.44140625" style="776" customWidth="1"/>
    <col min="7927" max="7927" width="15.44140625" style="776" customWidth="1"/>
    <col min="7928" max="7928" width="15.109375" style="776" customWidth="1"/>
    <col min="7929" max="7929" width="5.44140625" style="776" customWidth="1"/>
    <col min="7930" max="7930" width="8" style="776" customWidth="1"/>
    <col min="7931" max="7931" width="3.44140625" style="776" customWidth="1"/>
    <col min="7932" max="7932" width="8" style="776" customWidth="1"/>
    <col min="7933" max="7933" width="5.88671875" style="776" customWidth="1"/>
    <col min="7934" max="8180" width="8" style="776"/>
    <col min="8181" max="8181" width="8.44140625" style="776" customWidth="1"/>
    <col min="8182" max="8182" width="16.44140625" style="776" customWidth="1"/>
    <col min="8183" max="8183" width="15.44140625" style="776" customWidth="1"/>
    <col min="8184" max="8184" width="15.109375" style="776" customWidth="1"/>
    <col min="8185" max="8185" width="5.44140625" style="776" customWidth="1"/>
    <col min="8186" max="8186" width="8" style="776" customWidth="1"/>
    <col min="8187" max="8187" width="3.44140625" style="776" customWidth="1"/>
    <col min="8188" max="8188" width="8" style="776" customWidth="1"/>
    <col min="8189" max="8189" width="5.88671875" style="776" customWidth="1"/>
    <col min="8190" max="8436" width="8" style="776"/>
    <col min="8437" max="8437" width="8.44140625" style="776" customWidth="1"/>
    <col min="8438" max="8438" width="16.44140625" style="776" customWidth="1"/>
    <col min="8439" max="8439" width="15.44140625" style="776" customWidth="1"/>
    <col min="8440" max="8440" width="15.109375" style="776" customWidth="1"/>
    <col min="8441" max="8441" width="5.44140625" style="776" customWidth="1"/>
    <col min="8442" max="8442" width="8" style="776" customWidth="1"/>
    <col min="8443" max="8443" width="3.44140625" style="776" customWidth="1"/>
    <col min="8444" max="8444" width="8" style="776" customWidth="1"/>
    <col min="8445" max="8445" width="5.88671875" style="776" customWidth="1"/>
    <col min="8446" max="8692" width="8" style="776"/>
    <col min="8693" max="8693" width="8.44140625" style="776" customWidth="1"/>
    <col min="8694" max="8694" width="16.44140625" style="776" customWidth="1"/>
    <col min="8695" max="8695" width="15.44140625" style="776" customWidth="1"/>
    <col min="8696" max="8696" width="15.109375" style="776" customWidth="1"/>
    <col min="8697" max="8697" width="5.44140625" style="776" customWidth="1"/>
    <col min="8698" max="8698" width="8" style="776" customWidth="1"/>
    <col min="8699" max="8699" width="3.44140625" style="776" customWidth="1"/>
    <col min="8700" max="8700" width="8" style="776" customWidth="1"/>
    <col min="8701" max="8701" width="5.88671875" style="776" customWidth="1"/>
    <col min="8702" max="8948" width="8" style="776"/>
    <col min="8949" max="8949" width="8.44140625" style="776" customWidth="1"/>
    <col min="8950" max="8950" width="16.44140625" style="776" customWidth="1"/>
    <col min="8951" max="8951" width="15.44140625" style="776" customWidth="1"/>
    <col min="8952" max="8952" width="15.109375" style="776" customWidth="1"/>
    <col min="8953" max="8953" width="5.44140625" style="776" customWidth="1"/>
    <col min="8954" max="8954" width="8" style="776" customWidth="1"/>
    <col min="8955" max="8955" width="3.44140625" style="776" customWidth="1"/>
    <col min="8956" max="8956" width="8" style="776" customWidth="1"/>
    <col min="8957" max="8957" width="5.88671875" style="776" customWidth="1"/>
    <col min="8958" max="9204" width="8" style="776"/>
    <col min="9205" max="9205" width="8.44140625" style="776" customWidth="1"/>
    <col min="9206" max="9206" width="16.44140625" style="776" customWidth="1"/>
    <col min="9207" max="9207" width="15.44140625" style="776" customWidth="1"/>
    <col min="9208" max="9208" width="15.109375" style="776" customWidth="1"/>
    <col min="9209" max="9209" width="5.44140625" style="776" customWidth="1"/>
    <col min="9210" max="9210" width="8" style="776" customWidth="1"/>
    <col min="9211" max="9211" width="3.44140625" style="776" customWidth="1"/>
    <col min="9212" max="9212" width="8" style="776" customWidth="1"/>
    <col min="9213" max="9213" width="5.88671875" style="776" customWidth="1"/>
    <col min="9214" max="9460" width="8" style="776"/>
    <col min="9461" max="9461" width="8.44140625" style="776" customWidth="1"/>
    <col min="9462" max="9462" width="16.44140625" style="776" customWidth="1"/>
    <col min="9463" max="9463" width="15.44140625" style="776" customWidth="1"/>
    <col min="9464" max="9464" width="15.109375" style="776" customWidth="1"/>
    <col min="9465" max="9465" width="5.44140625" style="776" customWidth="1"/>
    <col min="9466" max="9466" width="8" style="776" customWidth="1"/>
    <col min="9467" max="9467" width="3.44140625" style="776" customWidth="1"/>
    <col min="9468" max="9468" width="8" style="776" customWidth="1"/>
    <col min="9469" max="9469" width="5.88671875" style="776" customWidth="1"/>
    <col min="9470" max="9716" width="8" style="776"/>
    <col min="9717" max="9717" width="8.44140625" style="776" customWidth="1"/>
    <col min="9718" max="9718" width="16.44140625" style="776" customWidth="1"/>
    <col min="9719" max="9719" width="15.44140625" style="776" customWidth="1"/>
    <col min="9720" max="9720" width="15.109375" style="776" customWidth="1"/>
    <col min="9721" max="9721" width="5.44140625" style="776" customWidth="1"/>
    <col min="9722" max="9722" width="8" style="776" customWidth="1"/>
    <col min="9723" max="9723" width="3.44140625" style="776" customWidth="1"/>
    <col min="9724" max="9724" width="8" style="776" customWidth="1"/>
    <col min="9725" max="9725" width="5.88671875" style="776" customWidth="1"/>
    <col min="9726" max="9972" width="8" style="776"/>
    <col min="9973" max="9973" width="8.44140625" style="776" customWidth="1"/>
    <col min="9974" max="9974" width="16.44140625" style="776" customWidth="1"/>
    <col min="9975" max="9975" width="15.44140625" style="776" customWidth="1"/>
    <col min="9976" max="9976" width="15.109375" style="776" customWidth="1"/>
    <col min="9977" max="9977" width="5.44140625" style="776" customWidth="1"/>
    <col min="9978" max="9978" width="8" style="776" customWidth="1"/>
    <col min="9979" max="9979" width="3.44140625" style="776" customWidth="1"/>
    <col min="9980" max="9980" width="8" style="776" customWidth="1"/>
    <col min="9981" max="9981" width="5.88671875" style="776" customWidth="1"/>
    <col min="9982" max="10228" width="8" style="776"/>
    <col min="10229" max="10229" width="8.44140625" style="776" customWidth="1"/>
    <col min="10230" max="10230" width="16.44140625" style="776" customWidth="1"/>
    <col min="10231" max="10231" width="15.44140625" style="776" customWidth="1"/>
    <col min="10232" max="10232" width="15.109375" style="776" customWidth="1"/>
    <col min="10233" max="10233" width="5.44140625" style="776" customWidth="1"/>
    <col min="10234" max="10234" width="8" style="776" customWidth="1"/>
    <col min="10235" max="10235" width="3.44140625" style="776" customWidth="1"/>
    <col min="10236" max="10236" width="8" style="776" customWidth="1"/>
    <col min="10237" max="10237" width="5.88671875" style="776" customWidth="1"/>
    <col min="10238" max="10484" width="8" style="776"/>
    <col min="10485" max="10485" width="8.44140625" style="776" customWidth="1"/>
    <col min="10486" max="10486" width="16.44140625" style="776" customWidth="1"/>
    <col min="10487" max="10487" width="15.44140625" style="776" customWidth="1"/>
    <col min="10488" max="10488" width="15.109375" style="776" customWidth="1"/>
    <col min="10489" max="10489" width="5.44140625" style="776" customWidth="1"/>
    <col min="10490" max="10490" width="8" style="776" customWidth="1"/>
    <col min="10491" max="10491" width="3.44140625" style="776" customWidth="1"/>
    <col min="10492" max="10492" width="8" style="776" customWidth="1"/>
    <col min="10493" max="10493" width="5.88671875" style="776" customWidth="1"/>
    <col min="10494" max="10740" width="8" style="776"/>
    <col min="10741" max="10741" width="8.44140625" style="776" customWidth="1"/>
    <col min="10742" max="10742" width="16.44140625" style="776" customWidth="1"/>
    <col min="10743" max="10743" width="15.44140625" style="776" customWidth="1"/>
    <col min="10744" max="10744" width="15.109375" style="776" customWidth="1"/>
    <col min="10745" max="10745" width="5.44140625" style="776" customWidth="1"/>
    <col min="10746" max="10746" width="8" style="776" customWidth="1"/>
    <col min="10747" max="10747" width="3.44140625" style="776" customWidth="1"/>
    <col min="10748" max="10748" width="8" style="776" customWidth="1"/>
    <col min="10749" max="10749" width="5.88671875" style="776" customWidth="1"/>
    <col min="10750" max="10996" width="8" style="776"/>
    <col min="10997" max="10997" width="8.44140625" style="776" customWidth="1"/>
    <col min="10998" max="10998" width="16.44140625" style="776" customWidth="1"/>
    <col min="10999" max="10999" width="15.44140625" style="776" customWidth="1"/>
    <col min="11000" max="11000" width="15.109375" style="776" customWidth="1"/>
    <col min="11001" max="11001" width="5.44140625" style="776" customWidth="1"/>
    <col min="11002" max="11002" width="8" style="776" customWidth="1"/>
    <col min="11003" max="11003" width="3.44140625" style="776" customWidth="1"/>
    <col min="11004" max="11004" width="8" style="776" customWidth="1"/>
    <col min="11005" max="11005" width="5.88671875" style="776" customWidth="1"/>
    <col min="11006" max="11252" width="8" style="776"/>
    <col min="11253" max="11253" width="8.44140625" style="776" customWidth="1"/>
    <col min="11254" max="11254" width="16.44140625" style="776" customWidth="1"/>
    <col min="11255" max="11255" width="15.44140625" style="776" customWidth="1"/>
    <col min="11256" max="11256" width="15.109375" style="776" customWidth="1"/>
    <col min="11257" max="11257" width="5.44140625" style="776" customWidth="1"/>
    <col min="11258" max="11258" width="8" style="776" customWidth="1"/>
    <col min="11259" max="11259" width="3.44140625" style="776" customWidth="1"/>
    <col min="11260" max="11260" width="8" style="776" customWidth="1"/>
    <col min="11261" max="11261" width="5.88671875" style="776" customWidth="1"/>
    <col min="11262" max="11508" width="8" style="776"/>
    <col min="11509" max="11509" width="8.44140625" style="776" customWidth="1"/>
    <col min="11510" max="11510" width="16.44140625" style="776" customWidth="1"/>
    <col min="11511" max="11511" width="15.44140625" style="776" customWidth="1"/>
    <col min="11512" max="11512" width="15.109375" style="776" customWidth="1"/>
    <col min="11513" max="11513" width="5.44140625" style="776" customWidth="1"/>
    <col min="11514" max="11514" width="8" style="776" customWidth="1"/>
    <col min="11515" max="11515" width="3.44140625" style="776" customWidth="1"/>
    <col min="11516" max="11516" width="8" style="776" customWidth="1"/>
    <col min="11517" max="11517" width="5.88671875" style="776" customWidth="1"/>
    <col min="11518" max="11764" width="8" style="776"/>
    <col min="11765" max="11765" width="8.44140625" style="776" customWidth="1"/>
    <col min="11766" max="11766" width="16.44140625" style="776" customWidth="1"/>
    <col min="11767" max="11767" width="15.44140625" style="776" customWidth="1"/>
    <col min="11768" max="11768" width="15.109375" style="776" customWidth="1"/>
    <col min="11769" max="11769" width="5.44140625" style="776" customWidth="1"/>
    <col min="11770" max="11770" width="8" style="776" customWidth="1"/>
    <col min="11771" max="11771" width="3.44140625" style="776" customWidth="1"/>
    <col min="11772" max="11772" width="8" style="776" customWidth="1"/>
    <col min="11773" max="11773" width="5.88671875" style="776" customWidth="1"/>
    <col min="11774" max="12020" width="8" style="776"/>
    <col min="12021" max="12021" width="8.44140625" style="776" customWidth="1"/>
    <col min="12022" max="12022" width="16.44140625" style="776" customWidth="1"/>
    <col min="12023" max="12023" width="15.44140625" style="776" customWidth="1"/>
    <col min="12024" max="12024" width="15.109375" style="776" customWidth="1"/>
    <col min="12025" max="12025" width="5.44140625" style="776" customWidth="1"/>
    <col min="12026" max="12026" width="8" style="776" customWidth="1"/>
    <col min="12027" max="12027" width="3.44140625" style="776" customWidth="1"/>
    <col min="12028" max="12028" width="8" style="776" customWidth="1"/>
    <col min="12029" max="12029" width="5.88671875" style="776" customWidth="1"/>
    <col min="12030" max="12276" width="8" style="776"/>
    <col min="12277" max="12277" width="8.44140625" style="776" customWidth="1"/>
    <col min="12278" max="12278" width="16.44140625" style="776" customWidth="1"/>
    <col min="12279" max="12279" width="15.44140625" style="776" customWidth="1"/>
    <col min="12280" max="12280" width="15.109375" style="776" customWidth="1"/>
    <col min="12281" max="12281" width="5.44140625" style="776" customWidth="1"/>
    <col min="12282" max="12282" width="8" style="776" customWidth="1"/>
    <col min="12283" max="12283" width="3.44140625" style="776" customWidth="1"/>
    <col min="12284" max="12284" width="8" style="776" customWidth="1"/>
    <col min="12285" max="12285" width="5.88671875" style="776" customWidth="1"/>
    <col min="12286" max="12532" width="8" style="776"/>
    <col min="12533" max="12533" width="8.44140625" style="776" customWidth="1"/>
    <col min="12534" max="12534" width="16.44140625" style="776" customWidth="1"/>
    <col min="12535" max="12535" width="15.44140625" style="776" customWidth="1"/>
    <col min="12536" max="12536" width="15.109375" style="776" customWidth="1"/>
    <col min="12537" max="12537" width="5.44140625" style="776" customWidth="1"/>
    <col min="12538" max="12538" width="8" style="776" customWidth="1"/>
    <col min="12539" max="12539" width="3.44140625" style="776" customWidth="1"/>
    <col min="12540" max="12540" width="8" style="776" customWidth="1"/>
    <col min="12541" max="12541" width="5.88671875" style="776" customWidth="1"/>
    <col min="12542" max="12788" width="8" style="776"/>
    <col min="12789" max="12789" width="8.44140625" style="776" customWidth="1"/>
    <col min="12790" max="12790" width="16.44140625" style="776" customWidth="1"/>
    <col min="12791" max="12791" width="15.44140625" style="776" customWidth="1"/>
    <col min="12792" max="12792" width="15.109375" style="776" customWidth="1"/>
    <col min="12793" max="12793" width="5.44140625" style="776" customWidth="1"/>
    <col min="12794" max="12794" width="8" style="776" customWidth="1"/>
    <col min="12795" max="12795" width="3.44140625" style="776" customWidth="1"/>
    <col min="12796" max="12796" width="8" style="776" customWidth="1"/>
    <col min="12797" max="12797" width="5.88671875" style="776" customWidth="1"/>
    <col min="12798" max="13044" width="8" style="776"/>
    <col min="13045" max="13045" width="8.44140625" style="776" customWidth="1"/>
    <col min="13046" max="13046" width="16.44140625" style="776" customWidth="1"/>
    <col min="13047" max="13047" width="15.44140625" style="776" customWidth="1"/>
    <col min="13048" max="13048" width="15.109375" style="776" customWidth="1"/>
    <col min="13049" max="13049" width="5.44140625" style="776" customWidth="1"/>
    <col min="13050" max="13050" width="8" style="776" customWidth="1"/>
    <col min="13051" max="13051" width="3.44140625" style="776" customWidth="1"/>
    <col min="13052" max="13052" width="8" style="776" customWidth="1"/>
    <col min="13053" max="13053" width="5.88671875" style="776" customWidth="1"/>
    <col min="13054" max="13300" width="8" style="776"/>
    <col min="13301" max="13301" width="8.44140625" style="776" customWidth="1"/>
    <col min="13302" max="13302" width="16.44140625" style="776" customWidth="1"/>
    <col min="13303" max="13303" width="15.44140625" style="776" customWidth="1"/>
    <col min="13304" max="13304" width="15.109375" style="776" customWidth="1"/>
    <col min="13305" max="13305" width="5.44140625" style="776" customWidth="1"/>
    <col min="13306" max="13306" width="8" style="776" customWidth="1"/>
    <col min="13307" max="13307" width="3.44140625" style="776" customWidth="1"/>
    <col min="13308" max="13308" width="8" style="776" customWidth="1"/>
    <col min="13309" max="13309" width="5.88671875" style="776" customWidth="1"/>
    <col min="13310" max="13556" width="8" style="776"/>
    <col min="13557" max="13557" width="8.44140625" style="776" customWidth="1"/>
    <col min="13558" max="13558" width="16.44140625" style="776" customWidth="1"/>
    <col min="13559" max="13559" width="15.44140625" style="776" customWidth="1"/>
    <col min="13560" max="13560" width="15.109375" style="776" customWidth="1"/>
    <col min="13561" max="13561" width="5.44140625" style="776" customWidth="1"/>
    <col min="13562" max="13562" width="8" style="776" customWidth="1"/>
    <col min="13563" max="13563" width="3.44140625" style="776" customWidth="1"/>
    <col min="13564" max="13564" width="8" style="776" customWidth="1"/>
    <col min="13565" max="13565" width="5.88671875" style="776" customWidth="1"/>
    <col min="13566" max="13812" width="8" style="776"/>
    <col min="13813" max="13813" width="8.44140625" style="776" customWidth="1"/>
    <col min="13814" max="13814" width="16.44140625" style="776" customWidth="1"/>
    <col min="13815" max="13815" width="15.44140625" style="776" customWidth="1"/>
    <col min="13816" max="13816" width="15.109375" style="776" customWidth="1"/>
    <col min="13817" max="13817" width="5.44140625" style="776" customWidth="1"/>
    <col min="13818" max="13818" width="8" style="776" customWidth="1"/>
    <col min="13819" max="13819" width="3.44140625" style="776" customWidth="1"/>
    <col min="13820" max="13820" width="8" style="776" customWidth="1"/>
    <col min="13821" max="13821" width="5.88671875" style="776" customWidth="1"/>
    <col min="13822" max="14068" width="8" style="776"/>
    <col min="14069" max="14069" width="8.44140625" style="776" customWidth="1"/>
    <col min="14070" max="14070" width="16.44140625" style="776" customWidth="1"/>
    <col min="14071" max="14071" width="15.44140625" style="776" customWidth="1"/>
    <col min="14072" max="14072" width="15.109375" style="776" customWidth="1"/>
    <col min="14073" max="14073" width="5.44140625" style="776" customWidth="1"/>
    <col min="14074" max="14074" width="8" style="776" customWidth="1"/>
    <col min="14075" max="14075" width="3.44140625" style="776" customWidth="1"/>
    <col min="14076" max="14076" width="8" style="776" customWidth="1"/>
    <col min="14077" max="14077" width="5.88671875" style="776" customWidth="1"/>
    <col min="14078" max="14324" width="8" style="776"/>
    <col min="14325" max="14325" width="8.44140625" style="776" customWidth="1"/>
    <col min="14326" max="14326" width="16.44140625" style="776" customWidth="1"/>
    <col min="14327" max="14327" width="15.44140625" style="776" customWidth="1"/>
    <col min="14328" max="14328" width="15.109375" style="776" customWidth="1"/>
    <col min="14329" max="14329" width="5.44140625" style="776" customWidth="1"/>
    <col min="14330" max="14330" width="8" style="776" customWidth="1"/>
    <col min="14331" max="14331" width="3.44140625" style="776" customWidth="1"/>
    <col min="14332" max="14332" width="8" style="776" customWidth="1"/>
    <col min="14333" max="14333" width="5.88671875" style="776" customWidth="1"/>
    <col min="14334" max="14580" width="8" style="776"/>
    <col min="14581" max="14581" width="8.44140625" style="776" customWidth="1"/>
    <col min="14582" max="14582" width="16.44140625" style="776" customWidth="1"/>
    <col min="14583" max="14583" width="15.44140625" style="776" customWidth="1"/>
    <col min="14584" max="14584" width="15.109375" style="776" customWidth="1"/>
    <col min="14585" max="14585" width="5.44140625" style="776" customWidth="1"/>
    <col min="14586" max="14586" width="8" style="776" customWidth="1"/>
    <col min="14587" max="14587" width="3.44140625" style="776" customWidth="1"/>
    <col min="14588" max="14588" width="8" style="776" customWidth="1"/>
    <col min="14589" max="14589" width="5.88671875" style="776" customWidth="1"/>
    <col min="14590" max="14836" width="8" style="776"/>
    <col min="14837" max="14837" width="8.44140625" style="776" customWidth="1"/>
    <col min="14838" max="14838" width="16.44140625" style="776" customWidth="1"/>
    <col min="14839" max="14839" width="15.44140625" style="776" customWidth="1"/>
    <col min="14840" max="14840" width="15.109375" style="776" customWidth="1"/>
    <col min="14841" max="14841" width="5.44140625" style="776" customWidth="1"/>
    <col min="14842" max="14842" width="8" style="776" customWidth="1"/>
    <col min="14843" max="14843" width="3.44140625" style="776" customWidth="1"/>
    <col min="14844" max="14844" width="8" style="776" customWidth="1"/>
    <col min="14845" max="14845" width="5.88671875" style="776" customWidth="1"/>
    <col min="14846" max="15092" width="8" style="776"/>
    <col min="15093" max="15093" width="8.44140625" style="776" customWidth="1"/>
    <col min="15094" max="15094" width="16.44140625" style="776" customWidth="1"/>
    <col min="15095" max="15095" width="15.44140625" style="776" customWidth="1"/>
    <col min="15096" max="15096" width="15.109375" style="776" customWidth="1"/>
    <col min="15097" max="15097" width="5.44140625" style="776" customWidth="1"/>
    <col min="15098" max="15098" width="8" style="776" customWidth="1"/>
    <col min="15099" max="15099" width="3.44140625" style="776" customWidth="1"/>
    <col min="15100" max="15100" width="8" style="776" customWidth="1"/>
    <col min="15101" max="15101" width="5.88671875" style="776" customWidth="1"/>
    <col min="15102" max="15348" width="8" style="776"/>
    <col min="15349" max="15349" width="8.44140625" style="776" customWidth="1"/>
    <col min="15350" max="15350" width="16.44140625" style="776" customWidth="1"/>
    <col min="15351" max="15351" width="15.44140625" style="776" customWidth="1"/>
    <col min="15352" max="15352" width="15.109375" style="776" customWidth="1"/>
    <col min="15353" max="15353" width="5.44140625" style="776" customWidth="1"/>
    <col min="15354" max="15354" width="8" style="776" customWidth="1"/>
    <col min="15355" max="15355" width="3.44140625" style="776" customWidth="1"/>
    <col min="15356" max="15356" width="8" style="776" customWidth="1"/>
    <col min="15357" max="15357" width="5.88671875" style="776" customWidth="1"/>
    <col min="15358" max="15604" width="8" style="776"/>
    <col min="15605" max="15605" width="8.44140625" style="776" customWidth="1"/>
    <col min="15606" max="15606" width="16.44140625" style="776" customWidth="1"/>
    <col min="15607" max="15607" width="15.44140625" style="776" customWidth="1"/>
    <col min="15608" max="15608" width="15.109375" style="776" customWidth="1"/>
    <col min="15609" max="15609" width="5.44140625" style="776" customWidth="1"/>
    <col min="15610" max="15610" width="8" style="776" customWidth="1"/>
    <col min="15611" max="15611" width="3.44140625" style="776" customWidth="1"/>
    <col min="15612" max="15612" width="8" style="776" customWidth="1"/>
    <col min="15613" max="15613" width="5.88671875" style="776" customWidth="1"/>
    <col min="15614" max="15860" width="8" style="776"/>
    <col min="15861" max="15861" width="8.44140625" style="776" customWidth="1"/>
    <col min="15862" max="15862" width="16.44140625" style="776" customWidth="1"/>
    <col min="15863" max="15863" width="15.44140625" style="776" customWidth="1"/>
    <col min="15864" max="15864" width="15.109375" style="776" customWidth="1"/>
    <col min="15865" max="15865" width="5.44140625" style="776" customWidth="1"/>
    <col min="15866" max="15866" width="8" style="776" customWidth="1"/>
    <col min="15867" max="15867" width="3.44140625" style="776" customWidth="1"/>
    <col min="15868" max="15868" width="8" style="776" customWidth="1"/>
    <col min="15869" max="15869" width="5.88671875" style="776" customWidth="1"/>
    <col min="15870" max="16116" width="8" style="776"/>
    <col min="16117" max="16117" width="8.44140625" style="776" customWidth="1"/>
    <col min="16118" max="16118" width="16.44140625" style="776" customWidth="1"/>
    <col min="16119" max="16119" width="15.44140625" style="776" customWidth="1"/>
    <col min="16120" max="16120" width="15.109375" style="776" customWidth="1"/>
    <col min="16121" max="16121" width="5.44140625" style="776" customWidth="1"/>
    <col min="16122" max="16122" width="8" style="776" customWidth="1"/>
    <col min="16123" max="16123" width="3.44140625" style="776" customWidth="1"/>
    <col min="16124" max="16124" width="8" style="776" customWidth="1"/>
    <col min="16125" max="16125" width="5.88671875" style="776" customWidth="1"/>
    <col min="16126" max="16384" width="8" style="776"/>
  </cols>
  <sheetData>
    <row r="28" spans="2:4" ht="73.5" customHeight="1"/>
    <row r="30" spans="2:4" ht="45.75" customHeight="1">
      <c r="B30" s="784" t="s">
        <v>3074</v>
      </c>
      <c r="C30" s="784" t="s">
        <v>3075</v>
      </c>
      <c r="D30" s="784" t="s">
        <v>3076</v>
      </c>
    </row>
    <row r="31" spans="2:4">
      <c r="B31" s="786">
        <f>summary!C24</f>
        <v>285715344.23499995</v>
      </c>
      <c r="C31" s="786">
        <f>summary!C42</f>
        <v>342283038.91500008</v>
      </c>
      <c r="D31" s="786">
        <f>summary!C54</f>
        <v>150206492.27500001</v>
      </c>
    </row>
    <row r="35" ht="0.75" customHeight="1"/>
    <row r="36" ht="24.75" customHeight="1"/>
    <row r="37" ht="18.75" customHeight="1"/>
  </sheetData>
  <pageMargins left="0.5" right="0.25" top="0.75" bottom="0.5" header="0.5" footer="0.25"/>
  <pageSetup paperSize="5" firstPageNumber="412" orientation="portrait" useFirstPageNumber="1" verticalDpi="300" r:id="rId1"/>
  <headerFooter alignWithMargins="0"/>
  <drawing r:id="rId2"/>
</worksheet>
</file>

<file path=xl/worksheets/sheet214.xml><?xml version="1.0" encoding="utf-8"?>
<worksheet xmlns="http://schemas.openxmlformats.org/spreadsheetml/2006/main" xmlns:r="http://schemas.openxmlformats.org/officeDocument/2006/relationships">
  <sheetPr codeName="Sheet208"/>
  <dimension ref="B1:P32"/>
  <sheetViews>
    <sheetView topLeftCell="A4" workbookViewId="0">
      <selection activeCell="P3" sqref="P3"/>
    </sheetView>
  </sheetViews>
  <sheetFormatPr defaultColWidth="8" defaultRowHeight="13.2"/>
  <cols>
    <col min="1" max="1" width="8" style="776" customWidth="1"/>
    <col min="2" max="2" width="22.88671875" style="776" customWidth="1"/>
    <col min="3" max="4" width="19.44140625" style="776" customWidth="1"/>
    <col min="5" max="6" width="8" style="776" customWidth="1"/>
    <col min="7" max="7" width="5.109375" style="776" customWidth="1"/>
    <col min="8" max="8" width="8" style="776" customWidth="1"/>
    <col min="9" max="9" width="4.109375" style="776" customWidth="1"/>
    <col min="10" max="10" width="6.109375" style="776" customWidth="1"/>
    <col min="11" max="256" width="8" style="776"/>
    <col min="257" max="257" width="8" style="776" customWidth="1"/>
    <col min="258" max="258" width="22.88671875" style="776" customWidth="1"/>
    <col min="259" max="260" width="19.44140625" style="776" customWidth="1"/>
    <col min="261" max="262" width="8" style="776" customWidth="1"/>
    <col min="263" max="263" width="5.109375" style="776" customWidth="1"/>
    <col min="264" max="264" width="8" style="776" customWidth="1"/>
    <col min="265" max="265" width="4.109375" style="776" customWidth="1"/>
    <col min="266" max="266" width="6.109375" style="776" customWidth="1"/>
    <col min="267" max="512" width="8" style="776"/>
    <col min="513" max="513" width="8" style="776" customWidth="1"/>
    <col min="514" max="514" width="22.88671875" style="776" customWidth="1"/>
    <col min="515" max="516" width="19.44140625" style="776" customWidth="1"/>
    <col min="517" max="518" width="8" style="776" customWidth="1"/>
    <col min="519" max="519" width="5.109375" style="776" customWidth="1"/>
    <col min="520" max="520" width="8" style="776" customWidth="1"/>
    <col min="521" max="521" width="4.109375" style="776" customWidth="1"/>
    <col min="522" max="522" width="6.109375" style="776" customWidth="1"/>
    <col min="523" max="768" width="8" style="776"/>
    <col min="769" max="769" width="8" style="776" customWidth="1"/>
    <col min="770" max="770" width="22.88671875" style="776" customWidth="1"/>
    <col min="771" max="772" width="19.44140625" style="776" customWidth="1"/>
    <col min="773" max="774" width="8" style="776" customWidth="1"/>
    <col min="775" max="775" width="5.109375" style="776" customWidth="1"/>
    <col min="776" max="776" width="8" style="776" customWidth="1"/>
    <col min="777" max="777" width="4.109375" style="776" customWidth="1"/>
    <col min="778" max="778" width="6.109375" style="776" customWidth="1"/>
    <col min="779" max="1024" width="8" style="776"/>
    <col min="1025" max="1025" width="8" style="776" customWidth="1"/>
    <col min="1026" max="1026" width="22.88671875" style="776" customWidth="1"/>
    <col min="1027" max="1028" width="19.44140625" style="776" customWidth="1"/>
    <col min="1029" max="1030" width="8" style="776" customWidth="1"/>
    <col min="1031" max="1031" width="5.109375" style="776" customWidth="1"/>
    <col min="1032" max="1032" width="8" style="776" customWidth="1"/>
    <col min="1033" max="1033" width="4.109375" style="776" customWidth="1"/>
    <col min="1034" max="1034" width="6.109375" style="776" customWidth="1"/>
    <col min="1035" max="1280" width="8" style="776"/>
    <col min="1281" max="1281" width="8" style="776" customWidth="1"/>
    <col min="1282" max="1282" width="22.88671875" style="776" customWidth="1"/>
    <col min="1283" max="1284" width="19.44140625" style="776" customWidth="1"/>
    <col min="1285" max="1286" width="8" style="776" customWidth="1"/>
    <col min="1287" max="1287" width="5.109375" style="776" customWidth="1"/>
    <col min="1288" max="1288" width="8" style="776" customWidth="1"/>
    <col min="1289" max="1289" width="4.109375" style="776" customWidth="1"/>
    <col min="1290" max="1290" width="6.109375" style="776" customWidth="1"/>
    <col min="1291" max="1536" width="8" style="776"/>
    <col min="1537" max="1537" width="8" style="776" customWidth="1"/>
    <col min="1538" max="1538" width="22.88671875" style="776" customWidth="1"/>
    <col min="1539" max="1540" width="19.44140625" style="776" customWidth="1"/>
    <col min="1541" max="1542" width="8" style="776" customWidth="1"/>
    <col min="1543" max="1543" width="5.109375" style="776" customWidth="1"/>
    <col min="1544" max="1544" width="8" style="776" customWidth="1"/>
    <col min="1545" max="1545" width="4.109375" style="776" customWidth="1"/>
    <col min="1546" max="1546" width="6.109375" style="776" customWidth="1"/>
    <col min="1547" max="1792" width="8" style="776"/>
    <col min="1793" max="1793" width="8" style="776" customWidth="1"/>
    <col min="1794" max="1794" width="22.88671875" style="776" customWidth="1"/>
    <col min="1795" max="1796" width="19.44140625" style="776" customWidth="1"/>
    <col min="1797" max="1798" width="8" style="776" customWidth="1"/>
    <col min="1799" max="1799" width="5.109375" style="776" customWidth="1"/>
    <col min="1800" max="1800" width="8" style="776" customWidth="1"/>
    <col min="1801" max="1801" width="4.109375" style="776" customWidth="1"/>
    <col min="1802" max="1802" width="6.109375" style="776" customWidth="1"/>
    <col min="1803" max="2048" width="8" style="776"/>
    <col min="2049" max="2049" width="8" style="776" customWidth="1"/>
    <col min="2050" max="2050" width="22.88671875" style="776" customWidth="1"/>
    <col min="2051" max="2052" width="19.44140625" style="776" customWidth="1"/>
    <col min="2053" max="2054" width="8" style="776" customWidth="1"/>
    <col min="2055" max="2055" width="5.109375" style="776" customWidth="1"/>
    <col min="2056" max="2056" width="8" style="776" customWidth="1"/>
    <col min="2057" max="2057" width="4.109375" style="776" customWidth="1"/>
    <col min="2058" max="2058" width="6.109375" style="776" customWidth="1"/>
    <col min="2059" max="2304" width="8" style="776"/>
    <col min="2305" max="2305" width="8" style="776" customWidth="1"/>
    <col min="2306" max="2306" width="22.88671875" style="776" customWidth="1"/>
    <col min="2307" max="2308" width="19.44140625" style="776" customWidth="1"/>
    <col min="2309" max="2310" width="8" style="776" customWidth="1"/>
    <col min="2311" max="2311" width="5.109375" style="776" customWidth="1"/>
    <col min="2312" max="2312" width="8" style="776" customWidth="1"/>
    <col min="2313" max="2313" width="4.109375" style="776" customWidth="1"/>
    <col min="2314" max="2314" width="6.109375" style="776" customWidth="1"/>
    <col min="2315" max="2560" width="8" style="776"/>
    <col min="2561" max="2561" width="8" style="776" customWidth="1"/>
    <col min="2562" max="2562" width="22.88671875" style="776" customWidth="1"/>
    <col min="2563" max="2564" width="19.44140625" style="776" customWidth="1"/>
    <col min="2565" max="2566" width="8" style="776" customWidth="1"/>
    <col min="2567" max="2567" width="5.109375" style="776" customWidth="1"/>
    <col min="2568" max="2568" width="8" style="776" customWidth="1"/>
    <col min="2569" max="2569" width="4.109375" style="776" customWidth="1"/>
    <col min="2570" max="2570" width="6.109375" style="776" customWidth="1"/>
    <col min="2571" max="2816" width="8" style="776"/>
    <col min="2817" max="2817" width="8" style="776" customWidth="1"/>
    <col min="2818" max="2818" width="22.88671875" style="776" customWidth="1"/>
    <col min="2819" max="2820" width="19.44140625" style="776" customWidth="1"/>
    <col min="2821" max="2822" width="8" style="776" customWidth="1"/>
    <col min="2823" max="2823" width="5.109375" style="776" customWidth="1"/>
    <col min="2824" max="2824" width="8" style="776" customWidth="1"/>
    <col min="2825" max="2825" width="4.109375" style="776" customWidth="1"/>
    <col min="2826" max="2826" width="6.109375" style="776" customWidth="1"/>
    <col min="2827" max="3072" width="8" style="776"/>
    <col min="3073" max="3073" width="8" style="776" customWidth="1"/>
    <col min="3074" max="3074" width="22.88671875" style="776" customWidth="1"/>
    <col min="3075" max="3076" width="19.44140625" style="776" customWidth="1"/>
    <col min="3077" max="3078" width="8" style="776" customWidth="1"/>
    <col min="3079" max="3079" width="5.109375" style="776" customWidth="1"/>
    <col min="3080" max="3080" width="8" style="776" customWidth="1"/>
    <col min="3081" max="3081" width="4.109375" style="776" customWidth="1"/>
    <col min="3082" max="3082" width="6.109375" style="776" customWidth="1"/>
    <col min="3083" max="3328" width="8" style="776"/>
    <col min="3329" max="3329" width="8" style="776" customWidth="1"/>
    <col min="3330" max="3330" width="22.88671875" style="776" customWidth="1"/>
    <col min="3331" max="3332" width="19.44140625" style="776" customWidth="1"/>
    <col min="3333" max="3334" width="8" style="776" customWidth="1"/>
    <col min="3335" max="3335" width="5.109375" style="776" customWidth="1"/>
    <col min="3336" max="3336" width="8" style="776" customWidth="1"/>
    <col min="3337" max="3337" width="4.109375" style="776" customWidth="1"/>
    <col min="3338" max="3338" width="6.109375" style="776" customWidth="1"/>
    <col min="3339" max="3584" width="8" style="776"/>
    <col min="3585" max="3585" width="8" style="776" customWidth="1"/>
    <col min="3586" max="3586" width="22.88671875" style="776" customWidth="1"/>
    <col min="3587" max="3588" width="19.44140625" style="776" customWidth="1"/>
    <col min="3589" max="3590" width="8" style="776" customWidth="1"/>
    <col min="3591" max="3591" width="5.109375" style="776" customWidth="1"/>
    <col min="3592" max="3592" width="8" style="776" customWidth="1"/>
    <col min="3593" max="3593" width="4.109375" style="776" customWidth="1"/>
    <col min="3594" max="3594" width="6.109375" style="776" customWidth="1"/>
    <col min="3595" max="3840" width="8" style="776"/>
    <col min="3841" max="3841" width="8" style="776" customWidth="1"/>
    <col min="3842" max="3842" width="22.88671875" style="776" customWidth="1"/>
    <col min="3843" max="3844" width="19.44140625" style="776" customWidth="1"/>
    <col min="3845" max="3846" width="8" style="776" customWidth="1"/>
    <col min="3847" max="3847" width="5.109375" style="776" customWidth="1"/>
    <col min="3848" max="3848" width="8" style="776" customWidth="1"/>
    <col min="3849" max="3849" width="4.109375" style="776" customWidth="1"/>
    <col min="3850" max="3850" width="6.109375" style="776" customWidth="1"/>
    <col min="3851" max="4096" width="8" style="776"/>
    <col min="4097" max="4097" width="8" style="776" customWidth="1"/>
    <col min="4098" max="4098" width="22.88671875" style="776" customWidth="1"/>
    <col min="4099" max="4100" width="19.44140625" style="776" customWidth="1"/>
    <col min="4101" max="4102" width="8" style="776" customWidth="1"/>
    <col min="4103" max="4103" width="5.109375" style="776" customWidth="1"/>
    <col min="4104" max="4104" width="8" style="776" customWidth="1"/>
    <col min="4105" max="4105" width="4.109375" style="776" customWidth="1"/>
    <col min="4106" max="4106" width="6.109375" style="776" customWidth="1"/>
    <col min="4107" max="4352" width="8" style="776"/>
    <col min="4353" max="4353" width="8" style="776" customWidth="1"/>
    <col min="4354" max="4354" width="22.88671875" style="776" customWidth="1"/>
    <col min="4355" max="4356" width="19.44140625" style="776" customWidth="1"/>
    <col min="4357" max="4358" width="8" style="776" customWidth="1"/>
    <col min="4359" max="4359" width="5.109375" style="776" customWidth="1"/>
    <col min="4360" max="4360" width="8" style="776" customWidth="1"/>
    <col min="4361" max="4361" width="4.109375" style="776" customWidth="1"/>
    <col min="4362" max="4362" width="6.109375" style="776" customWidth="1"/>
    <col min="4363" max="4608" width="8" style="776"/>
    <col min="4609" max="4609" width="8" style="776" customWidth="1"/>
    <col min="4610" max="4610" width="22.88671875" style="776" customWidth="1"/>
    <col min="4611" max="4612" width="19.44140625" style="776" customWidth="1"/>
    <col min="4613" max="4614" width="8" style="776" customWidth="1"/>
    <col min="4615" max="4615" width="5.109375" style="776" customWidth="1"/>
    <col min="4616" max="4616" width="8" style="776" customWidth="1"/>
    <col min="4617" max="4617" width="4.109375" style="776" customWidth="1"/>
    <col min="4618" max="4618" width="6.109375" style="776" customWidth="1"/>
    <col min="4619" max="4864" width="8" style="776"/>
    <col min="4865" max="4865" width="8" style="776" customWidth="1"/>
    <col min="4866" max="4866" width="22.88671875" style="776" customWidth="1"/>
    <col min="4867" max="4868" width="19.44140625" style="776" customWidth="1"/>
    <col min="4869" max="4870" width="8" style="776" customWidth="1"/>
    <col min="4871" max="4871" width="5.109375" style="776" customWidth="1"/>
    <col min="4872" max="4872" width="8" style="776" customWidth="1"/>
    <col min="4873" max="4873" width="4.109375" style="776" customWidth="1"/>
    <col min="4874" max="4874" width="6.109375" style="776" customWidth="1"/>
    <col min="4875" max="5120" width="8" style="776"/>
    <col min="5121" max="5121" width="8" style="776" customWidth="1"/>
    <col min="5122" max="5122" width="22.88671875" style="776" customWidth="1"/>
    <col min="5123" max="5124" width="19.44140625" style="776" customWidth="1"/>
    <col min="5125" max="5126" width="8" style="776" customWidth="1"/>
    <col min="5127" max="5127" width="5.109375" style="776" customWidth="1"/>
    <col min="5128" max="5128" width="8" style="776" customWidth="1"/>
    <col min="5129" max="5129" width="4.109375" style="776" customWidth="1"/>
    <col min="5130" max="5130" width="6.109375" style="776" customWidth="1"/>
    <col min="5131" max="5376" width="8" style="776"/>
    <col min="5377" max="5377" width="8" style="776" customWidth="1"/>
    <col min="5378" max="5378" width="22.88671875" style="776" customWidth="1"/>
    <col min="5379" max="5380" width="19.44140625" style="776" customWidth="1"/>
    <col min="5381" max="5382" width="8" style="776" customWidth="1"/>
    <col min="5383" max="5383" width="5.109375" style="776" customWidth="1"/>
    <col min="5384" max="5384" width="8" style="776" customWidth="1"/>
    <col min="5385" max="5385" width="4.109375" style="776" customWidth="1"/>
    <col min="5386" max="5386" width="6.109375" style="776" customWidth="1"/>
    <col min="5387" max="5632" width="8" style="776"/>
    <col min="5633" max="5633" width="8" style="776" customWidth="1"/>
    <col min="5634" max="5634" width="22.88671875" style="776" customWidth="1"/>
    <col min="5635" max="5636" width="19.44140625" style="776" customWidth="1"/>
    <col min="5637" max="5638" width="8" style="776" customWidth="1"/>
    <col min="5639" max="5639" width="5.109375" style="776" customWidth="1"/>
    <col min="5640" max="5640" width="8" style="776" customWidth="1"/>
    <col min="5641" max="5641" width="4.109375" style="776" customWidth="1"/>
    <col min="5642" max="5642" width="6.109375" style="776" customWidth="1"/>
    <col min="5643" max="5888" width="8" style="776"/>
    <col min="5889" max="5889" width="8" style="776" customWidth="1"/>
    <col min="5890" max="5890" width="22.88671875" style="776" customWidth="1"/>
    <col min="5891" max="5892" width="19.44140625" style="776" customWidth="1"/>
    <col min="5893" max="5894" width="8" style="776" customWidth="1"/>
    <col min="5895" max="5895" width="5.109375" style="776" customWidth="1"/>
    <col min="5896" max="5896" width="8" style="776" customWidth="1"/>
    <col min="5897" max="5897" width="4.109375" style="776" customWidth="1"/>
    <col min="5898" max="5898" width="6.109375" style="776" customWidth="1"/>
    <col min="5899" max="6144" width="8" style="776"/>
    <col min="6145" max="6145" width="8" style="776" customWidth="1"/>
    <col min="6146" max="6146" width="22.88671875" style="776" customWidth="1"/>
    <col min="6147" max="6148" width="19.44140625" style="776" customWidth="1"/>
    <col min="6149" max="6150" width="8" style="776" customWidth="1"/>
    <col min="6151" max="6151" width="5.109375" style="776" customWidth="1"/>
    <col min="6152" max="6152" width="8" style="776" customWidth="1"/>
    <col min="6153" max="6153" width="4.109375" style="776" customWidth="1"/>
    <col min="6154" max="6154" width="6.109375" style="776" customWidth="1"/>
    <col min="6155" max="6400" width="8" style="776"/>
    <col min="6401" max="6401" width="8" style="776" customWidth="1"/>
    <col min="6402" max="6402" width="22.88671875" style="776" customWidth="1"/>
    <col min="6403" max="6404" width="19.44140625" style="776" customWidth="1"/>
    <col min="6405" max="6406" width="8" style="776" customWidth="1"/>
    <col min="6407" max="6407" width="5.109375" style="776" customWidth="1"/>
    <col min="6408" max="6408" width="8" style="776" customWidth="1"/>
    <col min="6409" max="6409" width="4.109375" style="776" customWidth="1"/>
    <col min="6410" max="6410" width="6.109375" style="776" customWidth="1"/>
    <col min="6411" max="6656" width="8" style="776"/>
    <col min="6657" max="6657" width="8" style="776" customWidth="1"/>
    <col min="6658" max="6658" width="22.88671875" style="776" customWidth="1"/>
    <col min="6659" max="6660" width="19.44140625" style="776" customWidth="1"/>
    <col min="6661" max="6662" width="8" style="776" customWidth="1"/>
    <col min="6663" max="6663" width="5.109375" style="776" customWidth="1"/>
    <col min="6664" max="6664" width="8" style="776" customWidth="1"/>
    <col min="6665" max="6665" width="4.109375" style="776" customWidth="1"/>
    <col min="6666" max="6666" width="6.109375" style="776" customWidth="1"/>
    <col min="6667" max="6912" width="8" style="776"/>
    <col min="6913" max="6913" width="8" style="776" customWidth="1"/>
    <col min="6914" max="6914" width="22.88671875" style="776" customWidth="1"/>
    <col min="6915" max="6916" width="19.44140625" style="776" customWidth="1"/>
    <col min="6917" max="6918" width="8" style="776" customWidth="1"/>
    <col min="6919" max="6919" width="5.109375" style="776" customWidth="1"/>
    <col min="6920" max="6920" width="8" style="776" customWidth="1"/>
    <col min="6921" max="6921" width="4.109375" style="776" customWidth="1"/>
    <col min="6922" max="6922" width="6.109375" style="776" customWidth="1"/>
    <col min="6923" max="7168" width="8" style="776"/>
    <col min="7169" max="7169" width="8" style="776" customWidth="1"/>
    <col min="7170" max="7170" width="22.88671875" style="776" customWidth="1"/>
    <col min="7171" max="7172" width="19.44140625" style="776" customWidth="1"/>
    <col min="7173" max="7174" width="8" style="776" customWidth="1"/>
    <col min="7175" max="7175" width="5.109375" style="776" customWidth="1"/>
    <col min="7176" max="7176" width="8" style="776" customWidth="1"/>
    <col min="7177" max="7177" width="4.109375" style="776" customWidth="1"/>
    <col min="7178" max="7178" width="6.109375" style="776" customWidth="1"/>
    <col min="7179" max="7424" width="8" style="776"/>
    <col min="7425" max="7425" width="8" style="776" customWidth="1"/>
    <col min="7426" max="7426" width="22.88671875" style="776" customWidth="1"/>
    <col min="7427" max="7428" width="19.44140625" style="776" customWidth="1"/>
    <col min="7429" max="7430" width="8" style="776" customWidth="1"/>
    <col min="7431" max="7431" width="5.109375" style="776" customWidth="1"/>
    <col min="7432" max="7432" width="8" style="776" customWidth="1"/>
    <col min="7433" max="7433" width="4.109375" style="776" customWidth="1"/>
    <col min="7434" max="7434" width="6.109375" style="776" customWidth="1"/>
    <col min="7435" max="7680" width="8" style="776"/>
    <col min="7681" max="7681" width="8" style="776" customWidth="1"/>
    <col min="7682" max="7682" width="22.88671875" style="776" customWidth="1"/>
    <col min="7683" max="7684" width="19.44140625" style="776" customWidth="1"/>
    <col min="7685" max="7686" width="8" style="776" customWidth="1"/>
    <col min="7687" max="7687" width="5.109375" style="776" customWidth="1"/>
    <col min="7688" max="7688" width="8" style="776" customWidth="1"/>
    <col min="7689" max="7689" width="4.109375" style="776" customWidth="1"/>
    <col min="7690" max="7690" width="6.109375" style="776" customWidth="1"/>
    <col min="7691" max="7936" width="8" style="776"/>
    <col min="7937" max="7937" width="8" style="776" customWidth="1"/>
    <col min="7938" max="7938" width="22.88671875" style="776" customWidth="1"/>
    <col min="7939" max="7940" width="19.44140625" style="776" customWidth="1"/>
    <col min="7941" max="7942" width="8" style="776" customWidth="1"/>
    <col min="7943" max="7943" width="5.109375" style="776" customWidth="1"/>
    <col min="7944" max="7944" width="8" style="776" customWidth="1"/>
    <col min="7945" max="7945" width="4.109375" style="776" customWidth="1"/>
    <col min="7946" max="7946" width="6.109375" style="776" customWidth="1"/>
    <col min="7947" max="8192" width="8" style="776"/>
    <col min="8193" max="8193" width="8" style="776" customWidth="1"/>
    <col min="8194" max="8194" width="22.88671875" style="776" customWidth="1"/>
    <col min="8195" max="8196" width="19.44140625" style="776" customWidth="1"/>
    <col min="8197" max="8198" width="8" style="776" customWidth="1"/>
    <col min="8199" max="8199" width="5.109375" style="776" customWidth="1"/>
    <col min="8200" max="8200" width="8" style="776" customWidth="1"/>
    <col min="8201" max="8201" width="4.109375" style="776" customWidth="1"/>
    <col min="8202" max="8202" width="6.109375" style="776" customWidth="1"/>
    <col min="8203" max="8448" width="8" style="776"/>
    <col min="8449" max="8449" width="8" style="776" customWidth="1"/>
    <col min="8450" max="8450" width="22.88671875" style="776" customWidth="1"/>
    <col min="8451" max="8452" width="19.44140625" style="776" customWidth="1"/>
    <col min="8453" max="8454" width="8" style="776" customWidth="1"/>
    <col min="8455" max="8455" width="5.109375" style="776" customWidth="1"/>
    <col min="8456" max="8456" width="8" style="776" customWidth="1"/>
    <col min="8457" max="8457" width="4.109375" style="776" customWidth="1"/>
    <col min="8458" max="8458" width="6.109375" style="776" customWidth="1"/>
    <col min="8459" max="8704" width="8" style="776"/>
    <col min="8705" max="8705" width="8" style="776" customWidth="1"/>
    <col min="8706" max="8706" width="22.88671875" style="776" customWidth="1"/>
    <col min="8707" max="8708" width="19.44140625" style="776" customWidth="1"/>
    <col min="8709" max="8710" width="8" style="776" customWidth="1"/>
    <col min="8711" max="8711" width="5.109375" style="776" customWidth="1"/>
    <col min="8712" max="8712" width="8" style="776" customWidth="1"/>
    <col min="8713" max="8713" width="4.109375" style="776" customWidth="1"/>
    <col min="8714" max="8714" width="6.109375" style="776" customWidth="1"/>
    <col min="8715" max="8960" width="8" style="776"/>
    <col min="8961" max="8961" width="8" style="776" customWidth="1"/>
    <col min="8962" max="8962" width="22.88671875" style="776" customWidth="1"/>
    <col min="8963" max="8964" width="19.44140625" style="776" customWidth="1"/>
    <col min="8965" max="8966" width="8" style="776" customWidth="1"/>
    <col min="8967" max="8967" width="5.109375" style="776" customWidth="1"/>
    <col min="8968" max="8968" width="8" style="776" customWidth="1"/>
    <col min="8969" max="8969" width="4.109375" style="776" customWidth="1"/>
    <col min="8970" max="8970" width="6.109375" style="776" customWidth="1"/>
    <col min="8971" max="9216" width="8" style="776"/>
    <col min="9217" max="9217" width="8" style="776" customWidth="1"/>
    <col min="9218" max="9218" width="22.88671875" style="776" customWidth="1"/>
    <col min="9219" max="9220" width="19.44140625" style="776" customWidth="1"/>
    <col min="9221" max="9222" width="8" style="776" customWidth="1"/>
    <col min="9223" max="9223" width="5.109375" style="776" customWidth="1"/>
    <col min="9224" max="9224" width="8" style="776" customWidth="1"/>
    <col min="9225" max="9225" width="4.109375" style="776" customWidth="1"/>
    <col min="9226" max="9226" width="6.109375" style="776" customWidth="1"/>
    <col min="9227" max="9472" width="8" style="776"/>
    <col min="9473" max="9473" width="8" style="776" customWidth="1"/>
    <col min="9474" max="9474" width="22.88671875" style="776" customWidth="1"/>
    <col min="9475" max="9476" width="19.44140625" style="776" customWidth="1"/>
    <col min="9477" max="9478" width="8" style="776" customWidth="1"/>
    <col min="9479" max="9479" width="5.109375" style="776" customWidth="1"/>
    <col min="9480" max="9480" width="8" style="776" customWidth="1"/>
    <col min="9481" max="9481" width="4.109375" style="776" customWidth="1"/>
    <col min="9482" max="9482" width="6.109375" style="776" customWidth="1"/>
    <col min="9483" max="9728" width="8" style="776"/>
    <col min="9729" max="9729" width="8" style="776" customWidth="1"/>
    <col min="9730" max="9730" width="22.88671875" style="776" customWidth="1"/>
    <col min="9731" max="9732" width="19.44140625" style="776" customWidth="1"/>
    <col min="9733" max="9734" width="8" style="776" customWidth="1"/>
    <col min="9735" max="9735" width="5.109375" style="776" customWidth="1"/>
    <col min="9736" max="9736" width="8" style="776" customWidth="1"/>
    <col min="9737" max="9737" width="4.109375" style="776" customWidth="1"/>
    <col min="9738" max="9738" width="6.109375" style="776" customWidth="1"/>
    <col min="9739" max="9984" width="8" style="776"/>
    <col min="9985" max="9985" width="8" style="776" customWidth="1"/>
    <col min="9986" max="9986" width="22.88671875" style="776" customWidth="1"/>
    <col min="9987" max="9988" width="19.44140625" style="776" customWidth="1"/>
    <col min="9989" max="9990" width="8" style="776" customWidth="1"/>
    <col min="9991" max="9991" width="5.109375" style="776" customWidth="1"/>
    <col min="9992" max="9992" width="8" style="776" customWidth="1"/>
    <col min="9993" max="9993" width="4.109375" style="776" customWidth="1"/>
    <col min="9994" max="9994" width="6.109375" style="776" customWidth="1"/>
    <col min="9995" max="10240" width="8" style="776"/>
    <col min="10241" max="10241" width="8" style="776" customWidth="1"/>
    <col min="10242" max="10242" width="22.88671875" style="776" customWidth="1"/>
    <col min="10243" max="10244" width="19.44140625" style="776" customWidth="1"/>
    <col min="10245" max="10246" width="8" style="776" customWidth="1"/>
    <col min="10247" max="10247" width="5.109375" style="776" customWidth="1"/>
    <col min="10248" max="10248" width="8" style="776" customWidth="1"/>
    <col min="10249" max="10249" width="4.109375" style="776" customWidth="1"/>
    <col min="10250" max="10250" width="6.109375" style="776" customWidth="1"/>
    <col min="10251" max="10496" width="8" style="776"/>
    <col min="10497" max="10497" width="8" style="776" customWidth="1"/>
    <col min="10498" max="10498" width="22.88671875" style="776" customWidth="1"/>
    <col min="10499" max="10500" width="19.44140625" style="776" customWidth="1"/>
    <col min="10501" max="10502" width="8" style="776" customWidth="1"/>
    <col min="10503" max="10503" width="5.109375" style="776" customWidth="1"/>
    <col min="10504" max="10504" width="8" style="776" customWidth="1"/>
    <col min="10505" max="10505" width="4.109375" style="776" customWidth="1"/>
    <col min="10506" max="10506" width="6.109375" style="776" customWidth="1"/>
    <col min="10507" max="10752" width="8" style="776"/>
    <col min="10753" max="10753" width="8" style="776" customWidth="1"/>
    <col min="10754" max="10754" width="22.88671875" style="776" customWidth="1"/>
    <col min="10755" max="10756" width="19.44140625" style="776" customWidth="1"/>
    <col min="10757" max="10758" width="8" style="776" customWidth="1"/>
    <col min="10759" max="10759" width="5.109375" style="776" customWidth="1"/>
    <col min="10760" max="10760" width="8" style="776" customWidth="1"/>
    <col min="10761" max="10761" width="4.109375" style="776" customWidth="1"/>
    <col min="10762" max="10762" width="6.109375" style="776" customWidth="1"/>
    <col min="10763" max="11008" width="8" style="776"/>
    <col min="11009" max="11009" width="8" style="776" customWidth="1"/>
    <col min="11010" max="11010" width="22.88671875" style="776" customWidth="1"/>
    <col min="11011" max="11012" width="19.44140625" style="776" customWidth="1"/>
    <col min="11013" max="11014" width="8" style="776" customWidth="1"/>
    <col min="11015" max="11015" width="5.109375" style="776" customWidth="1"/>
    <col min="11016" max="11016" width="8" style="776" customWidth="1"/>
    <col min="11017" max="11017" width="4.109375" style="776" customWidth="1"/>
    <col min="11018" max="11018" width="6.109375" style="776" customWidth="1"/>
    <col min="11019" max="11264" width="8" style="776"/>
    <col min="11265" max="11265" width="8" style="776" customWidth="1"/>
    <col min="11266" max="11266" width="22.88671875" style="776" customWidth="1"/>
    <col min="11267" max="11268" width="19.44140625" style="776" customWidth="1"/>
    <col min="11269" max="11270" width="8" style="776" customWidth="1"/>
    <col min="11271" max="11271" width="5.109375" style="776" customWidth="1"/>
    <col min="11272" max="11272" width="8" style="776" customWidth="1"/>
    <col min="11273" max="11273" width="4.109375" style="776" customWidth="1"/>
    <col min="11274" max="11274" width="6.109375" style="776" customWidth="1"/>
    <col min="11275" max="11520" width="8" style="776"/>
    <col min="11521" max="11521" width="8" style="776" customWidth="1"/>
    <col min="11522" max="11522" width="22.88671875" style="776" customWidth="1"/>
    <col min="11523" max="11524" width="19.44140625" style="776" customWidth="1"/>
    <col min="11525" max="11526" width="8" style="776" customWidth="1"/>
    <col min="11527" max="11527" width="5.109375" style="776" customWidth="1"/>
    <col min="11528" max="11528" width="8" style="776" customWidth="1"/>
    <col min="11529" max="11529" width="4.109375" style="776" customWidth="1"/>
    <col min="11530" max="11530" width="6.109375" style="776" customWidth="1"/>
    <col min="11531" max="11776" width="8" style="776"/>
    <col min="11777" max="11777" width="8" style="776" customWidth="1"/>
    <col min="11778" max="11778" width="22.88671875" style="776" customWidth="1"/>
    <col min="11779" max="11780" width="19.44140625" style="776" customWidth="1"/>
    <col min="11781" max="11782" width="8" style="776" customWidth="1"/>
    <col min="11783" max="11783" width="5.109375" style="776" customWidth="1"/>
    <col min="11784" max="11784" width="8" style="776" customWidth="1"/>
    <col min="11785" max="11785" width="4.109375" style="776" customWidth="1"/>
    <col min="11786" max="11786" width="6.109375" style="776" customWidth="1"/>
    <col min="11787" max="12032" width="8" style="776"/>
    <col min="12033" max="12033" width="8" style="776" customWidth="1"/>
    <col min="12034" max="12034" width="22.88671875" style="776" customWidth="1"/>
    <col min="12035" max="12036" width="19.44140625" style="776" customWidth="1"/>
    <col min="12037" max="12038" width="8" style="776" customWidth="1"/>
    <col min="12039" max="12039" width="5.109375" style="776" customWidth="1"/>
    <col min="12040" max="12040" width="8" style="776" customWidth="1"/>
    <col min="12041" max="12041" width="4.109375" style="776" customWidth="1"/>
    <col min="12042" max="12042" width="6.109375" style="776" customWidth="1"/>
    <col min="12043" max="12288" width="8" style="776"/>
    <col min="12289" max="12289" width="8" style="776" customWidth="1"/>
    <col min="12290" max="12290" width="22.88671875" style="776" customWidth="1"/>
    <col min="12291" max="12292" width="19.44140625" style="776" customWidth="1"/>
    <col min="12293" max="12294" width="8" style="776" customWidth="1"/>
    <col min="12295" max="12295" width="5.109375" style="776" customWidth="1"/>
    <col min="12296" max="12296" width="8" style="776" customWidth="1"/>
    <col min="12297" max="12297" width="4.109375" style="776" customWidth="1"/>
    <col min="12298" max="12298" width="6.109375" style="776" customWidth="1"/>
    <col min="12299" max="12544" width="8" style="776"/>
    <col min="12545" max="12545" width="8" style="776" customWidth="1"/>
    <col min="12546" max="12546" width="22.88671875" style="776" customWidth="1"/>
    <col min="12547" max="12548" width="19.44140625" style="776" customWidth="1"/>
    <col min="12549" max="12550" width="8" style="776" customWidth="1"/>
    <col min="12551" max="12551" width="5.109375" style="776" customWidth="1"/>
    <col min="12552" max="12552" width="8" style="776" customWidth="1"/>
    <col min="12553" max="12553" width="4.109375" style="776" customWidth="1"/>
    <col min="12554" max="12554" width="6.109375" style="776" customWidth="1"/>
    <col min="12555" max="12800" width="8" style="776"/>
    <col min="12801" max="12801" width="8" style="776" customWidth="1"/>
    <col min="12802" max="12802" width="22.88671875" style="776" customWidth="1"/>
    <col min="12803" max="12804" width="19.44140625" style="776" customWidth="1"/>
    <col min="12805" max="12806" width="8" style="776" customWidth="1"/>
    <col min="12807" max="12807" width="5.109375" style="776" customWidth="1"/>
    <col min="12808" max="12808" width="8" style="776" customWidth="1"/>
    <col min="12809" max="12809" width="4.109375" style="776" customWidth="1"/>
    <col min="12810" max="12810" width="6.109375" style="776" customWidth="1"/>
    <col min="12811" max="13056" width="8" style="776"/>
    <col min="13057" max="13057" width="8" style="776" customWidth="1"/>
    <col min="13058" max="13058" width="22.88671875" style="776" customWidth="1"/>
    <col min="13059" max="13060" width="19.44140625" style="776" customWidth="1"/>
    <col min="13061" max="13062" width="8" style="776" customWidth="1"/>
    <col min="13063" max="13063" width="5.109375" style="776" customWidth="1"/>
    <col min="13064" max="13064" width="8" style="776" customWidth="1"/>
    <col min="13065" max="13065" width="4.109375" style="776" customWidth="1"/>
    <col min="13066" max="13066" width="6.109375" style="776" customWidth="1"/>
    <col min="13067" max="13312" width="8" style="776"/>
    <col min="13313" max="13313" width="8" style="776" customWidth="1"/>
    <col min="13314" max="13314" width="22.88671875" style="776" customWidth="1"/>
    <col min="13315" max="13316" width="19.44140625" style="776" customWidth="1"/>
    <col min="13317" max="13318" width="8" style="776" customWidth="1"/>
    <col min="13319" max="13319" width="5.109375" style="776" customWidth="1"/>
    <col min="13320" max="13320" width="8" style="776" customWidth="1"/>
    <col min="13321" max="13321" width="4.109375" style="776" customWidth="1"/>
    <col min="13322" max="13322" width="6.109375" style="776" customWidth="1"/>
    <col min="13323" max="13568" width="8" style="776"/>
    <col min="13569" max="13569" width="8" style="776" customWidth="1"/>
    <col min="13570" max="13570" width="22.88671875" style="776" customWidth="1"/>
    <col min="13571" max="13572" width="19.44140625" style="776" customWidth="1"/>
    <col min="13573" max="13574" width="8" style="776" customWidth="1"/>
    <col min="13575" max="13575" width="5.109375" style="776" customWidth="1"/>
    <col min="13576" max="13576" width="8" style="776" customWidth="1"/>
    <col min="13577" max="13577" width="4.109375" style="776" customWidth="1"/>
    <col min="13578" max="13578" width="6.109375" style="776" customWidth="1"/>
    <col min="13579" max="13824" width="8" style="776"/>
    <col min="13825" max="13825" width="8" style="776" customWidth="1"/>
    <col min="13826" max="13826" width="22.88671875" style="776" customWidth="1"/>
    <col min="13827" max="13828" width="19.44140625" style="776" customWidth="1"/>
    <col min="13829" max="13830" width="8" style="776" customWidth="1"/>
    <col min="13831" max="13831" width="5.109375" style="776" customWidth="1"/>
    <col min="13832" max="13832" width="8" style="776" customWidth="1"/>
    <col min="13833" max="13833" width="4.109375" style="776" customWidth="1"/>
    <col min="13834" max="13834" width="6.109375" style="776" customWidth="1"/>
    <col min="13835" max="14080" width="8" style="776"/>
    <col min="14081" max="14081" width="8" style="776" customWidth="1"/>
    <col min="14082" max="14082" width="22.88671875" style="776" customWidth="1"/>
    <col min="14083" max="14084" width="19.44140625" style="776" customWidth="1"/>
    <col min="14085" max="14086" width="8" style="776" customWidth="1"/>
    <col min="14087" max="14087" width="5.109375" style="776" customWidth="1"/>
    <col min="14088" max="14088" width="8" style="776" customWidth="1"/>
    <col min="14089" max="14089" width="4.109375" style="776" customWidth="1"/>
    <col min="14090" max="14090" width="6.109375" style="776" customWidth="1"/>
    <col min="14091" max="14336" width="8" style="776"/>
    <col min="14337" max="14337" width="8" style="776" customWidth="1"/>
    <col min="14338" max="14338" width="22.88671875" style="776" customWidth="1"/>
    <col min="14339" max="14340" width="19.44140625" style="776" customWidth="1"/>
    <col min="14341" max="14342" width="8" style="776" customWidth="1"/>
    <col min="14343" max="14343" width="5.109375" style="776" customWidth="1"/>
    <col min="14344" max="14344" width="8" style="776" customWidth="1"/>
    <col min="14345" max="14345" width="4.109375" style="776" customWidth="1"/>
    <col min="14346" max="14346" width="6.109375" style="776" customWidth="1"/>
    <col min="14347" max="14592" width="8" style="776"/>
    <col min="14593" max="14593" width="8" style="776" customWidth="1"/>
    <col min="14594" max="14594" width="22.88671875" style="776" customWidth="1"/>
    <col min="14595" max="14596" width="19.44140625" style="776" customWidth="1"/>
    <col min="14597" max="14598" width="8" style="776" customWidth="1"/>
    <col min="14599" max="14599" width="5.109375" style="776" customWidth="1"/>
    <col min="14600" max="14600" width="8" style="776" customWidth="1"/>
    <col min="14601" max="14601" width="4.109375" style="776" customWidth="1"/>
    <col min="14602" max="14602" width="6.109375" style="776" customWidth="1"/>
    <col min="14603" max="14848" width="8" style="776"/>
    <col min="14849" max="14849" width="8" style="776" customWidth="1"/>
    <col min="14850" max="14850" width="22.88671875" style="776" customWidth="1"/>
    <col min="14851" max="14852" width="19.44140625" style="776" customWidth="1"/>
    <col min="14853" max="14854" width="8" style="776" customWidth="1"/>
    <col min="14855" max="14855" width="5.109375" style="776" customWidth="1"/>
    <col min="14856" max="14856" width="8" style="776" customWidth="1"/>
    <col min="14857" max="14857" width="4.109375" style="776" customWidth="1"/>
    <col min="14858" max="14858" width="6.109375" style="776" customWidth="1"/>
    <col min="14859" max="15104" width="8" style="776"/>
    <col min="15105" max="15105" width="8" style="776" customWidth="1"/>
    <col min="15106" max="15106" width="22.88671875" style="776" customWidth="1"/>
    <col min="15107" max="15108" width="19.44140625" style="776" customWidth="1"/>
    <col min="15109" max="15110" width="8" style="776" customWidth="1"/>
    <col min="15111" max="15111" width="5.109375" style="776" customWidth="1"/>
    <col min="15112" max="15112" width="8" style="776" customWidth="1"/>
    <col min="15113" max="15113" width="4.109375" style="776" customWidth="1"/>
    <col min="15114" max="15114" width="6.109375" style="776" customWidth="1"/>
    <col min="15115" max="15360" width="8" style="776"/>
    <col min="15361" max="15361" width="8" style="776" customWidth="1"/>
    <col min="15362" max="15362" width="22.88671875" style="776" customWidth="1"/>
    <col min="15363" max="15364" width="19.44140625" style="776" customWidth="1"/>
    <col min="15365" max="15366" width="8" style="776" customWidth="1"/>
    <col min="15367" max="15367" width="5.109375" style="776" customWidth="1"/>
    <col min="15368" max="15368" width="8" style="776" customWidth="1"/>
    <col min="15369" max="15369" width="4.109375" style="776" customWidth="1"/>
    <col min="15370" max="15370" width="6.109375" style="776" customWidth="1"/>
    <col min="15371" max="15616" width="8" style="776"/>
    <col min="15617" max="15617" width="8" style="776" customWidth="1"/>
    <col min="15618" max="15618" width="22.88671875" style="776" customWidth="1"/>
    <col min="15619" max="15620" width="19.44140625" style="776" customWidth="1"/>
    <col min="15621" max="15622" width="8" style="776" customWidth="1"/>
    <col min="15623" max="15623" width="5.109375" style="776" customWidth="1"/>
    <col min="15624" max="15624" width="8" style="776" customWidth="1"/>
    <col min="15625" max="15625" width="4.109375" style="776" customWidth="1"/>
    <col min="15626" max="15626" width="6.109375" style="776" customWidth="1"/>
    <col min="15627" max="15872" width="8" style="776"/>
    <col min="15873" max="15873" width="8" style="776" customWidth="1"/>
    <col min="15874" max="15874" width="22.88671875" style="776" customWidth="1"/>
    <col min="15875" max="15876" width="19.44140625" style="776" customWidth="1"/>
    <col min="15877" max="15878" width="8" style="776" customWidth="1"/>
    <col min="15879" max="15879" width="5.109375" style="776" customWidth="1"/>
    <col min="15880" max="15880" width="8" style="776" customWidth="1"/>
    <col min="15881" max="15881" width="4.109375" style="776" customWidth="1"/>
    <col min="15882" max="15882" width="6.109375" style="776" customWidth="1"/>
    <col min="15883" max="16128" width="8" style="776"/>
    <col min="16129" max="16129" width="8" style="776" customWidth="1"/>
    <col min="16130" max="16130" width="22.88671875" style="776" customWidth="1"/>
    <col min="16131" max="16132" width="19.44140625" style="776" customWidth="1"/>
    <col min="16133" max="16134" width="8" style="776" customWidth="1"/>
    <col min="16135" max="16135" width="5.109375" style="776" customWidth="1"/>
    <col min="16136" max="16136" width="8" style="776" customWidth="1"/>
    <col min="16137" max="16137" width="4.109375" style="776" customWidth="1"/>
    <col min="16138" max="16138" width="6.109375" style="776" customWidth="1"/>
    <col min="16139" max="16384" width="8" style="776"/>
  </cols>
  <sheetData>
    <row r="1" spans="14:16" ht="15">
      <c r="N1" s="775"/>
      <c r="P1" s="777"/>
    </row>
    <row r="20" spans="2:4" ht="15.75" customHeight="1"/>
    <row r="28" spans="2:4" ht="75.75" customHeight="1"/>
    <row r="31" spans="2:4" ht="32.25" customHeight="1">
      <c r="B31" s="784" t="s">
        <v>3074</v>
      </c>
      <c r="C31" s="784" t="s">
        <v>3075</v>
      </c>
      <c r="D31" s="784" t="s">
        <v>3076</v>
      </c>
    </row>
    <row r="32" spans="2:4" ht="23.25" customHeight="1">
      <c r="B32" s="786">
        <f>summary!G24</f>
        <v>295287634</v>
      </c>
      <c r="C32" s="786">
        <f>summary!G42</f>
        <v>343542885</v>
      </c>
      <c r="D32" s="786">
        <f>summary!G54</f>
        <v>116275795</v>
      </c>
    </row>
  </sheetData>
  <pageMargins left="0.5" right="0.25" top="0.75" bottom="0.5" header="0.5" footer="0.25"/>
  <pageSetup paperSize="5" firstPageNumber="413" orientation="portrait" useFirstPageNumber="1" verticalDpi="300" r:id="rId1"/>
  <headerFooter alignWithMargins="0"/>
  <drawing r:id="rId2"/>
</worksheet>
</file>

<file path=xl/worksheets/sheet215.xml><?xml version="1.0" encoding="utf-8"?>
<worksheet xmlns="http://schemas.openxmlformats.org/spreadsheetml/2006/main" xmlns:r="http://schemas.openxmlformats.org/officeDocument/2006/relationships">
  <sheetPr codeName="Sheet209"/>
  <dimension ref="C1:R43"/>
  <sheetViews>
    <sheetView topLeftCell="A25" workbookViewId="0">
      <selection activeCell="P3" sqref="P3"/>
    </sheetView>
  </sheetViews>
  <sheetFormatPr defaultColWidth="8" defaultRowHeight="13.2"/>
  <cols>
    <col min="1" max="1" width="8" style="776"/>
    <col min="2" max="2" width="8" style="776" customWidth="1"/>
    <col min="3" max="3" width="18.109375" style="776" customWidth="1"/>
    <col min="4" max="4" width="14.44140625" style="776" customWidth="1"/>
    <col min="5" max="5" width="15.109375" style="776" customWidth="1"/>
    <col min="6" max="6" width="8.88671875" style="776" customWidth="1"/>
    <col min="7" max="7" width="9.44140625" style="776" customWidth="1"/>
    <col min="8" max="8" width="7.44140625" style="776" customWidth="1"/>
    <col min="9" max="9" width="8" style="776" customWidth="1"/>
    <col min="10" max="10" width="5.88671875" style="776" customWidth="1"/>
    <col min="11" max="11" width="8" style="776" customWidth="1"/>
    <col min="12" max="12" width="5.109375" style="776" customWidth="1"/>
    <col min="13" max="257" width="8" style="776"/>
    <col min="258" max="258" width="8" style="776" customWidth="1"/>
    <col min="259" max="259" width="18.109375" style="776" customWidth="1"/>
    <col min="260" max="260" width="14.44140625" style="776" customWidth="1"/>
    <col min="261" max="261" width="15.109375" style="776" customWidth="1"/>
    <col min="262" max="262" width="8.88671875" style="776" customWidth="1"/>
    <col min="263" max="263" width="9.44140625" style="776" customWidth="1"/>
    <col min="264" max="264" width="7.44140625" style="776" customWidth="1"/>
    <col min="265" max="265" width="8" style="776" customWidth="1"/>
    <col min="266" max="266" width="5.88671875" style="776" customWidth="1"/>
    <col min="267" max="267" width="8" style="776" customWidth="1"/>
    <col min="268" max="268" width="5.109375" style="776" customWidth="1"/>
    <col min="269" max="513" width="8" style="776"/>
    <col min="514" max="514" width="8" style="776" customWidth="1"/>
    <col min="515" max="515" width="18.109375" style="776" customWidth="1"/>
    <col min="516" max="516" width="14.44140625" style="776" customWidth="1"/>
    <col min="517" max="517" width="15.109375" style="776" customWidth="1"/>
    <col min="518" max="518" width="8.88671875" style="776" customWidth="1"/>
    <col min="519" max="519" width="9.44140625" style="776" customWidth="1"/>
    <col min="520" max="520" width="7.44140625" style="776" customWidth="1"/>
    <col min="521" max="521" width="8" style="776" customWidth="1"/>
    <col min="522" max="522" width="5.88671875" style="776" customWidth="1"/>
    <col min="523" max="523" width="8" style="776" customWidth="1"/>
    <col min="524" max="524" width="5.109375" style="776" customWidth="1"/>
    <col min="525" max="769" width="8" style="776"/>
    <col min="770" max="770" width="8" style="776" customWidth="1"/>
    <col min="771" max="771" width="18.109375" style="776" customWidth="1"/>
    <col min="772" max="772" width="14.44140625" style="776" customWidth="1"/>
    <col min="773" max="773" width="15.109375" style="776" customWidth="1"/>
    <col min="774" max="774" width="8.88671875" style="776" customWidth="1"/>
    <col min="775" max="775" width="9.44140625" style="776" customWidth="1"/>
    <col min="776" max="776" width="7.44140625" style="776" customWidth="1"/>
    <col min="777" max="777" width="8" style="776" customWidth="1"/>
    <col min="778" max="778" width="5.88671875" style="776" customWidth="1"/>
    <col min="779" max="779" width="8" style="776" customWidth="1"/>
    <col min="780" max="780" width="5.109375" style="776" customWidth="1"/>
    <col min="781" max="1025" width="8" style="776"/>
    <col min="1026" max="1026" width="8" style="776" customWidth="1"/>
    <col min="1027" max="1027" width="18.109375" style="776" customWidth="1"/>
    <col min="1028" max="1028" width="14.44140625" style="776" customWidth="1"/>
    <col min="1029" max="1029" width="15.109375" style="776" customWidth="1"/>
    <col min="1030" max="1030" width="8.88671875" style="776" customWidth="1"/>
    <col min="1031" max="1031" width="9.44140625" style="776" customWidth="1"/>
    <col min="1032" max="1032" width="7.44140625" style="776" customWidth="1"/>
    <col min="1033" max="1033" width="8" style="776" customWidth="1"/>
    <col min="1034" max="1034" width="5.88671875" style="776" customWidth="1"/>
    <col min="1035" max="1035" width="8" style="776" customWidth="1"/>
    <col min="1036" max="1036" width="5.109375" style="776" customWidth="1"/>
    <col min="1037" max="1281" width="8" style="776"/>
    <col min="1282" max="1282" width="8" style="776" customWidth="1"/>
    <col min="1283" max="1283" width="18.109375" style="776" customWidth="1"/>
    <col min="1284" max="1284" width="14.44140625" style="776" customWidth="1"/>
    <col min="1285" max="1285" width="15.109375" style="776" customWidth="1"/>
    <col min="1286" max="1286" width="8.88671875" style="776" customWidth="1"/>
    <col min="1287" max="1287" width="9.44140625" style="776" customWidth="1"/>
    <col min="1288" max="1288" width="7.44140625" style="776" customWidth="1"/>
    <col min="1289" max="1289" width="8" style="776" customWidth="1"/>
    <col min="1290" max="1290" width="5.88671875" style="776" customWidth="1"/>
    <col min="1291" max="1291" width="8" style="776" customWidth="1"/>
    <col min="1292" max="1292" width="5.109375" style="776" customWidth="1"/>
    <col min="1293" max="1537" width="8" style="776"/>
    <col min="1538" max="1538" width="8" style="776" customWidth="1"/>
    <col min="1539" max="1539" width="18.109375" style="776" customWidth="1"/>
    <col min="1540" max="1540" width="14.44140625" style="776" customWidth="1"/>
    <col min="1541" max="1541" width="15.109375" style="776" customWidth="1"/>
    <col min="1542" max="1542" width="8.88671875" style="776" customWidth="1"/>
    <col min="1543" max="1543" width="9.44140625" style="776" customWidth="1"/>
    <col min="1544" max="1544" width="7.44140625" style="776" customWidth="1"/>
    <col min="1545" max="1545" width="8" style="776" customWidth="1"/>
    <col min="1546" max="1546" width="5.88671875" style="776" customWidth="1"/>
    <col min="1547" max="1547" width="8" style="776" customWidth="1"/>
    <col min="1548" max="1548" width="5.109375" style="776" customWidth="1"/>
    <col min="1549" max="1793" width="8" style="776"/>
    <col min="1794" max="1794" width="8" style="776" customWidth="1"/>
    <col min="1795" max="1795" width="18.109375" style="776" customWidth="1"/>
    <col min="1796" max="1796" width="14.44140625" style="776" customWidth="1"/>
    <col min="1797" max="1797" width="15.109375" style="776" customWidth="1"/>
    <col min="1798" max="1798" width="8.88671875" style="776" customWidth="1"/>
    <col min="1799" max="1799" width="9.44140625" style="776" customWidth="1"/>
    <col min="1800" max="1800" width="7.44140625" style="776" customWidth="1"/>
    <col min="1801" max="1801" width="8" style="776" customWidth="1"/>
    <col min="1802" max="1802" width="5.88671875" style="776" customWidth="1"/>
    <col min="1803" max="1803" width="8" style="776" customWidth="1"/>
    <col min="1804" max="1804" width="5.109375" style="776" customWidth="1"/>
    <col min="1805" max="2049" width="8" style="776"/>
    <col min="2050" max="2050" width="8" style="776" customWidth="1"/>
    <col min="2051" max="2051" width="18.109375" style="776" customWidth="1"/>
    <col min="2052" max="2052" width="14.44140625" style="776" customWidth="1"/>
    <col min="2053" max="2053" width="15.109375" style="776" customWidth="1"/>
    <col min="2054" max="2054" width="8.88671875" style="776" customWidth="1"/>
    <col min="2055" max="2055" width="9.44140625" style="776" customWidth="1"/>
    <col min="2056" max="2056" width="7.44140625" style="776" customWidth="1"/>
    <col min="2057" max="2057" width="8" style="776" customWidth="1"/>
    <col min="2058" max="2058" width="5.88671875" style="776" customWidth="1"/>
    <col min="2059" max="2059" width="8" style="776" customWidth="1"/>
    <col min="2060" max="2060" width="5.109375" style="776" customWidth="1"/>
    <col min="2061" max="2305" width="8" style="776"/>
    <col min="2306" max="2306" width="8" style="776" customWidth="1"/>
    <col min="2307" max="2307" width="18.109375" style="776" customWidth="1"/>
    <col min="2308" max="2308" width="14.44140625" style="776" customWidth="1"/>
    <col min="2309" max="2309" width="15.109375" style="776" customWidth="1"/>
    <col min="2310" max="2310" width="8.88671875" style="776" customWidth="1"/>
    <col min="2311" max="2311" width="9.44140625" style="776" customWidth="1"/>
    <col min="2312" max="2312" width="7.44140625" style="776" customWidth="1"/>
    <col min="2313" max="2313" width="8" style="776" customWidth="1"/>
    <col min="2314" max="2314" width="5.88671875" style="776" customWidth="1"/>
    <col min="2315" max="2315" width="8" style="776" customWidth="1"/>
    <col min="2316" max="2316" width="5.109375" style="776" customWidth="1"/>
    <col min="2317" max="2561" width="8" style="776"/>
    <col min="2562" max="2562" width="8" style="776" customWidth="1"/>
    <col min="2563" max="2563" width="18.109375" style="776" customWidth="1"/>
    <col min="2564" max="2564" width="14.44140625" style="776" customWidth="1"/>
    <col min="2565" max="2565" width="15.109375" style="776" customWidth="1"/>
    <col min="2566" max="2566" width="8.88671875" style="776" customWidth="1"/>
    <col min="2567" max="2567" width="9.44140625" style="776" customWidth="1"/>
    <col min="2568" max="2568" width="7.44140625" style="776" customWidth="1"/>
    <col min="2569" max="2569" width="8" style="776" customWidth="1"/>
    <col min="2570" max="2570" width="5.88671875" style="776" customWidth="1"/>
    <col min="2571" max="2571" width="8" style="776" customWidth="1"/>
    <col min="2572" max="2572" width="5.109375" style="776" customWidth="1"/>
    <col min="2573" max="2817" width="8" style="776"/>
    <col min="2818" max="2818" width="8" style="776" customWidth="1"/>
    <col min="2819" max="2819" width="18.109375" style="776" customWidth="1"/>
    <col min="2820" max="2820" width="14.44140625" style="776" customWidth="1"/>
    <col min="2821" max="2821" width="15.109375" style="776" customWidth="1"/>
    <col min="2822" max="2822" width="8.88671875" style="776" customWidth="1"/>
    <col min="2823" max="2823" width="9.44140625" style="776" customWidth="1"/>
    <col min="2824" max="2824" width="7.44140625" style="776" customWidth="1"/>
    <col min="2825" max="2825" width="8" style="776" customWidth="1"/>
    <col min="2826" max="2826" width="5.88671875" style="776" customWidth="1"/>
    <col min="2827" max="2827" width="8" style="776" customWidth="1"/>
    <col min="2828" max="2828" width="5.109375" style="776" customWidth="1"/>
    <col min="2829" max="3073" width="8" style="776"/>
    <col min="3074" max="3074" width="8" style="776" customWidth="1"/>
    <col min="3075" max="3075" width="18.109375" style="776" customWidth="1"/>
    <col min="3076" max="3076" width="14.44140625" style="776" customWidth="1"/>
    <col min="3077" max="3077" width="15.109375" style="776" customWidth="1"/>
    <col min="3078" max="3078" width="8.88671875" style="776" customWidth="1"/>
    <col min="3079" max="3079" width="9.44140625" style="776" customWidth="1"/>
    <col min="3080" max="3080" width="7.44140625" style="776" customWidth="1"/>
    <col min="3081" max="3081" width="8" style="776" customWidth="1"/>
    <col min="3082" max="3082" width="5.88671875" style="776" customWidth="1"/>
    <col min="3083" max="3083" width="8" style="776" customWidth="1"/>
    <col min="3084" max="3084" width="5.109375" style="776" customWidth="1"/>
    <col min="3085" max="3329" width="8" style="776"/>
    <col min="3330" max="3330" width="8" style="776" customWidth="1"/>
    <col min="3331" max="3331" width="18.109375" style="776" customWidth="1"/>
    <col min="3332" max="3332" width="14.44140625" style="776" customWidth="1"/>
    <col min="3333" max="3333" width="15.109375" style="776" customWidth="1"/>
    <col min="3334" max="3334" width="8.88671875" style="776" customWidth="1"/>
    <col min="3335" max="3335" width="9.44140625" style="776" customWidth="1"/>
    <col min="3336" max="3336" width="7.44140625" style="776" customWidth="1"/>
    <col min="3337" max="3337" width="8" style="776" customWidth="1"/>
    <col min="3338" max="3338" width="5.88671875" style="776" customWidth="1"/>
    <col min="3339" max="3339" width="8" style="776" customWidth="1"/>
    <col min="3340" max="3340" width="5.109375" style="776" customWidth="1"/>
    <col min="3341" max="3585" width="8" style="776"/>
    <col min="3586" max="3586" width="8" style="776" customWidth="1"/>
    <col min="3587" max="3587" width="18.109375" style="776" customWidth="1"/>
    <col min="3588" max="3588" width="14.44140625" style="776" customWidth="1"/>
    <col min="3589" max="3589" width="15.109375" style="776" customWidth="1"/>
    <col min="3590" max="3590" width="8.88671875" style="776" customWidth="1"/>
    <col min="3591" max="3591" width="9.44140625" style="776" customWidth="1"/>
    <col min="3592" max="3592" width="7.44140625" style="776" customWidth="1"/>
    <col min="3593" max="3593" width="8" style="776" customWidth="1"/>
    <col min="3594" max="3594" width="5.88671875" style="776" customWidth="1"/>
    <col min="3595" max="3595" width="8" style="776" customWidth="1"/>
    <col min="3596" max="3596" width="5.109375" style="776" customWidth="1"/>
    <col min="3597" max="3841" width="8" style="776"/>
    <col min="3842" max="3842" width="8" style="776" customWidth="1"/>
    <col min="3843" max="3843" width="18.109375" style="776" customWidth="1"/>
    <col min="3844" max="3844" width="14.44140625" style="776" customWidth="1"/>
    <col min="3845" max="3845" width="15.109375" style="776" customWidth="1"/>
    <col min="3846" max="3846" width="8.88671875" style="776" customWidth="1"/>
    <col min="3847" max="3847" width="9.44140625" style="776" customWidth="1"/>
    <col min="3848" max="3848" width="7.44140625" style="776" customWidth="1"/>
    <col min="3849" max="3849" width="8" style="776" customWidth="1"/>
    <col min="3850" max="3850" width="5.88671875" style="776" customWidth="1"/>
    <col min="3851" max="3851" width="8" style="776" customWidth="1"/>
    <col min="3852" max="3852" width="5.109375" style="776" customWidth="1"/>
    <col min="3853" max="4097" width="8" style="776"/>
    <col min="4098" max="4098" width="8" style="776" customWidth="1"/>
    <col min="4099" max="4099" width="18.109375" style="776" customWidth="1"/>
    <col min="4100" max="4100" width="14.44140625" style="776" customWidth="1"/>
    <col min="4101" max="4101" width="15.109375" style="776" customWidth="1"/>
    <col min="4102" max="4102" width="8.88671875" style="776" customWidth="1"/>
    <col min="4103" max="4103" width="9.44140625" style="776" customWidth="1"/>
    <col min="4104" max="4104" width="7.44140625" style="776" customWidth="1"/>
    <col min="4105" max="4105" width="8" style="776" customWidth="1"/>
    <col min="4106" max="4106" width="5.88671875" style="776" customWidth="1"/>
    <col min="4107" max="4107" width="8" style="776" customWidth="1"/>
    <col min="4108" max="4108" width="5.109375" style="776" customWidth="1"/>
    <col min="4109" max="4353" width="8" style="776"/>
    <col min="4354" max="4354" width="8" style="776" customWidth="1"/>
    <col min="4355" max="4355" width="18.109375" style="776" customWidth="1"/>
    <col min="4356" max="4356" width="14.44140625" style="776" customWidth="1"/>
    <col min="4357" max="4357" width="15.109375" style="776" customWidth="1"/>
    <col min="4358" max="4358" width="8.88671875" style="776" customWidth="1"/>
    <col min="4359" max="4359" width="9.44140625" style="776" customWidth="1"/>
    <col min="4360" max="4360" width="7.44140625" style="776" customWidth="1"/>
    <col min="4361" max="4361" width="8" style="776" customWidth="1"/>
    <col min="4362" max="4362" width="5.88671875" style="776" customWidth="1"/>
    <col min="4363" max="4363" width="8" style="776" customWidth="1"/>
    <col min="4364" max="4364" width="5.109375" style="776" customWidth="1"/>
    <col min="4365" max="4609" width="8" style="776"/>
    <col min="4610" max="4610" width="8" style="776" customWidth="1"/>
    <col min="4611" max="4611" width="18.109375" style="776" customWidth="1"/>
    <col min="4612" max="4612" width="14.44140625" style="776" customWidth="1"/>
    <col min="4613" max="4613" width="15.109375" style="776" customWidth="1"/>
    <col min="4614" max="4614" width="8.88671875" style="776" customWidth="1"/>
    <col min="4615" max="4615" width="9.44140625" style="776" customWidth="1"/>
    <col min="4616" max="4616" width="7.44140625" style="776" customWidth="1"/>
    <col min="4617" max="4617" width="8" style="776" customWidth="1"/>
    <col min="4618" max="4618" width="5.88671875" style="776" customWidth="1"/>
    <col min="4619" max="4619" width="8" style="776" customWidth="1"/>
    <col min="4620" max="4620" width="5.109375" style="776" customWidth="1"/>
    <col min="4621" max="4865" width="8" style="776"/>
    <col min="4866" max="4866" width="8" style="776" customWidth="1"/>
    <col min="4867" max="4867" width="18.109375" style="776" customWidth="1"/>
    <col min="4868" max="4868" width="14.44140625" style="776" customWidth="1"/>
    <col min="4869" max="4869" width="15.109375" style="776" customWidth="1"/>
    <col min="4870" max="4870" width="8.88671875" style="776" customWidth="1"/>
    <col min="4871" max="4871" width="9.44140625" style="776" customWidth="1"/>
    <col min="4872" max="4872" width="7.44140625" style="776" customWidth="1"/>
    <col min="4873" max="4873" width="8" style="776" customWidth="1"/>
    <col min="4874" max="4874" width="5.88671875" style="776" customWidth="1"/>
    <col min="4875" max="4875" width="8" style="776" customWidth="1"/>
    <col min="4876" max="4876" width="5.109375" style="776" customWidth="1"/>
    <col min="4877" max="5121" width="8" style="776"/>
    <col min="5122" max="5122" width="8" style="776" customWidth="1"/>
    <col min="5123" max="5123" width="18.109375" style="776" customWidth="1"/>
    <col min="5124" max="5124" width="14.44140625" style="776" customWidth="1"/>
    <col min="5125" max="5125" width="15.109375" style="776" customWidth="1"/>
    <col min="5126" max="5126" width="8.88671875" style="776" customWidth="1"/>
    <col min="5127" max="5127" width="9.44140625" style="776" customWidth="1"/>
    <col min="5128" max="5128" width="7.44140625" style="776" customWidth="1"/>
    <col min="5129" max="5129" width="8" style="776" customWidth="1"/>
    <col min="5130" max="5130" width="5.88671875" style="776" customWidth="1"/>
    <col min="5131" max="5131" width="8" style="776" customWidth="1"/>
    <col min="5132" max="5132" width="5.109375" style="776" customWidth="1"/>
    <col min="5133" max="5377" width="8" style="776"/>
    <col min="5378" max="5378" width="8" style="776" customWidth="1"/>
    <col min="5379" max="5379" width="18.109375" style="776" customWidth="1"/>
    <col min="5380" max="5380" width="14.44140625" style="776" customWidth="1"/>
    <col min="5381" max="5381" width="15.109375" style="776" customWidth="1"/>
    <col min="5382" max="5382" width="8.88671875" style="776" customWidth="1"/>
    <col min="5383" max="5383" width="9.44140625" style="776" customWidth="1"/>
    <col min="5384" max="5384" width="7.44140625" style="776" customWidth="1"/>
    <col min="5385" max="5385" width="8" style="776" customWidth="1"/>
    <col min="5386" max="5386" width="5.88671875" style="776" customWidth="1"/>
    <col min="5387" max="5387" width="8" style="776" customWidth="1"/>
    <col min="5388" max="5388" width="5.109375" style="776" customWidth="1"/>
    <col min="5389" max="5633" width="8" style="776"/>
    <col min="5634" max="5634" width="8" style="776" customWidth="1"/>
    <col min="5635" max="5635" width="18.109375" style="776" customWidth="1"/>
    <col min="5636" max="5636" width="14.44140625" style="776" customWidth="1"/>
    <col min="5637" max="5637" width="15.109375" style="776" customWidth="1"/>
    <col min="5638" max="5638" width="8.88671875" style="776" customWidth="1"/>
    <col min="5639" max="5639" width="9.44140625" style="776" customWidth="1"/>
    <col min="5640" max="5640" width="7.44140625" style="776" customWidth="1"/>
    <col min="5641" max="5641" width="8" style="776" customWidth="1"/>
    <col min="5642" max="5642" width="5.88671875" style="776" customWidth="1"/>
    <col min="5643" max="5643" width="8" style="776" customWidth="1"/>
    <col min="5644" max="5644" width="5.109375" style="776" customWidth="1"/>
    <col min="5645" max="5889" width="8" style="776"/>
    <col min="5890" max="5890" width="8" style="776" customWidth="1"/>
    <col min="5891" max="5891" width="18.109375" style="776" customWidth="1"/>
    <col min="5892" max="5892" width="14.44140625" style="776" customWidth="1"/>
    <col min="5893" max="5893" width="15.109375" style="776" customWidth="1"/>
    <col min="5894" max="5894" width="8.88671875" style="776" customWidth="1"/>
    <col min="5895" max="5895" width="9.44140625" style="776" customWidth="1"/>
    <col min="5896" max="5896" width="7.44140625" style="776" customWidth="1"/>
    <col min="5897" max="5897" width="8" style="776" customWidth="1"/>
    <col min="5898" max="5898" width="5.88671875" style="776" customWidth="1"/>
    <col min="5899" max="5899" width="8" style="776" customWidth="1"/>
    <col min="5900" max="5900" width="5.109375" style="776" customWidth="1"/>
    <col min="5901" max="6145" width="8" style="776"/>
    <col min="6146" max="6146" width="8" style="776" customWidth="1"/>
    <col min="6147" max="6147" width="18.109375" style="776" customWidth="1"/>
    <col min="6148" max="6148" width="14.44140625" style="776" customWidth="1"/>
    <col min="6149" max="6149" width="15.109375" style="776" customWidth="1"/>
    <col min="6150" max="6150" width="8.88671875" style="776" customWidth="1"/>
    <col min="6151" max="6151" width="9.44140625" style="776" customWidth="1"/>
    <col min="6152" max="6152" width="7.44140625" style="776" customWidth="1"/>
    <col min="6153" max="6153" width="8" style="776" customWidth="1"/>
    <col min="6154" max="6154" width="5.88671875" style="776" customWidth="1"/>
    <col min="6155" max="6155" width="8" style="776" customWidth="1"/>
    <col min="6156" max="6156" width="5.109375" style="776" customWidth="1"/>
    <col min="6157" max="6401" width="8" style="776"/>
    <col min="6402" max="6402" width="8" style="776" customWidth="1"/>
    <col min="6403" max="6403" width="18.109375" style="776" customWidth="1"/>
    <col min="6404" max="6404" width="14.44140625" style="776" customWidth="1"/>
    <col min="6405" max="6405" width="15.109375" style="776" customWidth="1"/>
    <col min="6406" max="6406" width="8.88671875" style="776" customWidth="1"/>
    <col min="6407" max="6407" width="9.44140625" style="776" customWidth="1"/>
    <col min="6408" max="6408" width="7.44140625" style="776" customWidth="1"/>
    <col min="6409" max="6409" width="8" style="776" customWidth="1"/>
    <col min="6410" max="6410" width="5.88671875" style="776" customWidth="1"/>
    <col min="6411" max="6411" width="8" style="776" customWidth="1"/>
    <col min="6412" max="6412" width="5.109375" style="776" customWidth="1"/>
    <col min="6413" max="6657" width="8" style="776"/>
    <col min="6658" max="6658" width="8" style="776" customWidth="1"/>
    <col min="6659" max="6659" width="18.109375" style="776" customWidth="1"/>
    <col min="6660" max="6660" width="14.44140625" style="776" customWidth="1"/>
    <col min="6661" max="6661" width="15.109375" style="776" customWidth="1"/>
    <col min="6662" max="6662" width="8.88671875" style="776" customWidth="1"/>
    <col min="6663" max="6663" width="9.44140625" style="776" customWidth="1"/>
    <col min="6664" max="6664" width="7.44140625" style="776" customWidth="1"/>
    <col min="6665" max="6665" width="8" style="776" customWidth="1"/>
    <col min="6666" max="6666" width="5.88671875" style="776" customWidth="1"/>
    <col min="6667" max="6667" width="8" style="776" customWidth="1"/>
    <col min="6668" max="6668" width="5.109375" style="776" customWidth="1"/>
    <col min="6669" max="6913" width="8" style="776"/>
    <col min="6914" max="6914" width="8" style="776" customWidth="1"/>
    <col min="6915" max="6915" width="18.109375" style="776" customWidth="1"/>
    <col min="6916" max="6916" width="14.44140625" style="776" customWidth="1"/>
    <col min="6917" max="6917" width="15.109375" style="776" customWidth="1"/>
    <col min="6918" max="6918" width="8.88671875" style="776" customWidth="1"/>
    <col min="6919" max="6919" width="9.44140625" style="776" customWidth="1"/>
    <col min="6920" max="6920" width="7.44140625" style="776" customWidth="1"/>
    <col min="6921" max="6921" width="8" style="776" customWidth="1"/>
    <col min="6922" max="6922" width="5.88671875" style="776" customWidth="1"/>
    <col min="6923" max="6923" width="8" style="776" customWidth="1"/>
    <col min="6924" max="6924" width="5.109375" style="776" customWidth="1"/>
    <col min="6925" max="7169" width="8" style="776"/>
    <col min="7170" max="7170" width="8" style="776" customWidth="1"/>
    <col min="7171" max="7171" width="18.109375" style="776" customWidth="1"/>
    <col min="7172" max="7172" width="14.44140625" style="776" customWidth="1"/>
    <col min="7173" max="7173" width="15.109375" style="776" customWidth="1"/>
    <col min="7174" max="7174" width="8.88671875" style="776" customWidth="1"/>
    <col min="7175" max="7175" width="9.44140625" style="776" customWidth="1"/>
    <col min="7176" max="7176" width="7.44140625" style="776" customWidth="1"/>
    <col min="7177" max="7177" width="8" style="776" customWidth="1"/>
    <col min="7178" max="7178" width="5.88671875" style="776" customWidth="1"/>
    <col min="7179" max="7179" width="8" style="776" customWidth="1"/>
    <col min="7180" max="7180" width="5.109375" style="776" customWidth="1"/>
    <col min="7181" max="7425" width="8" style="776"/>
    <col min="7426" max="7426" width="8" style="776" customWidth="1"/>
    <col min="7427" max="7427" width="18.109375" style="776" customWidth="1"/>
    <col min="7428" max="7428" width="14.44140625" style="776" customWidth="1"/>
    <col min="7429" max="7429" width="15.109375" style="776" customWidth="1"/>
    <col min="7430" max="7430" width="8.88671875" style="776" customWidth="1"/>
    <col min="7431" max="7431" width="9.44140625" style="776" customWidth="1"/>
    <col min="7432" max="7432" width="7.44140625" style="776" customWidth="1"/>
    <col min="7433" max="7433" width="8" style="776" customWidth="1"/>
    <col min="7434" max="7434" width="5.88671875" style="776" customWidth="1"/>
    <col min="7435" max="7435" width="8" style="776" customWidth="1"/>
    <col min="7436" max="7436" width="5.109375" style="776" customWidth="1"/>
    <col min="7437" max="7681" width="8" style="776"/>
    <col min="7682" max="7682" width="8" style="776" customWidth="1"/>
    <col min="7683" max="7683" width="18.109375" style="776" customWidth="1"/>
    <col min="7684" max="7684" width="14.44140625" style="776" customWidth="1"/>
    <col min="7685" max="7685" width="15.109375" style="776" customWidth="1"/>
    <col min="7686" max="7686" width="8.88671875" style="776" customWidth="1"/>
    <col min="7687" max="7687" width="9.44140625" style="776" customWidth="1"/>
    <col min="7688" max="7688" width="7.44140625" style="776" customWidth="1"/>
    <col min="7689" max="7689" width="8" style="776" customWidth="1"/>
    <col min="7690" max="7690" width="5.88671875" style="776" customWidth="1"/>
    <col min="7691" max="7691" width="8" style="776" customWidth="1"/>
    <col min="7692" max="7692" width="5.109375" style="776" customWidth="1"/>
    <col min="7693" max="7937" width="8" style="776"/>
    <col min="7938" max="7938" width="8" style="776" customWidth="1"/>
    <col min="7939" max="7939" width="18.109375" style="776" customWidth="1"/>
    <col min="7940" max="7940" width="14.44140625" style="776" customWidth="1"/>
    <col min="7941" max="7941" width="15.109375" style="776" customWidth="1"/>
    <col min="7942" max="7942" width="8.88671875" style="776" customWidth="1"/>
    <col min="7943" max="7943" width="9.44140625" style="776" customWidth="1"/>
    <col min="7944" max="7944" width="7.44140625" style="776" customWidth="1"/>
    <col min="7945" max="7945" width="8" style="776" customWidth="1"/>
    <col min="7946" max="7946" width="5.88671875" style="776" customWidth="1"/>
    <col min="7947" max="7947" width="8" style="776" customWidth="1"/>
    <col min="7948" max="7948" width="5.109375" style="776" customWidth="1"/>
    <col min="7949" max="8193" width="8" style="776"/>
    <col min="8194" max="8194" width="8" style="776" customWidth="1"/>
    <col min="8195" max="8195" width="18.109375" style="776" customWidth="1"/>
    <col min="8196" max="8196" width="14.44140625" style="776" customWidth="1"/>
    <col min="8197" max="8197" width="15.109375" style="776" customWidth="1"/>
    <col min="8198" max="8198" width="8.88671875" style="776" customWidth="1"/>
    <col min="8199" max="8199" width="9.44140625" style="776" customWidth="1"/>
    <col min="8200" max="8200" width="7.44140625" style="776" customWidth="1"/>
    <col min="8201" max="8201" width="8" style="776" customWidth="1"/>
    <col min="8202" max="8202" width="5.88671875" style="776" customWidth="1"/>
    <col min="8203" max="8203" width="8" style="776" customWidth="1"/>
    <col min="8204" max="8204" width="5.109375" style="776" customWidth="1"/>
    <col min="8205" max="8449" width="8" style="776"/>
    <col min="8450" max="8450" width="8" style="776" customWidth="1"/>
    <col min="8451" max="8451" width="18.109375" style="776" customWidth="1"/>
    <col min="8452" max="8452" width="14.44140625" style="776" customWidth="1"/>
    <col min="8453" max="8453" width="15.109375" style="776" customWidth="1"/>
    <col min="8454" max="8454" width="8.88671875" style="776" customWidth="1"/>
    <col min="8455" max="8455" width="9.44140625" style="776" customWidth="1"/>
    <col min="8456" max="8456" width="7.44140625" style="776" customWidth="1"/>
    <col min="8457" max="8457" width="8" style="776" customWidth="1"/>
    <col min="8458" max="8458" width="5.88671875" style="776" customWidth="1"/>
    <col min="8459" max="8459" width="8" style="776" customWidth="1"/>
    <col min="8460" max="8460" width="5.109375" style="776" customWidth="1"/>
    <col min="8461" max="8705" width="8" style="776"/>
    <col min="8706" max="8706" width="8" style="776" customWidth="1"/>
    <col min="8707" max="8707" width="18.109375" style="776" customWidth="1"/>
    <col min="8708" max="8708" width="14.44140625" style="776" customWidth="1"/>
    <col min="8709" max="8709" width="15.109375" style="776" customWidth="1"/>
    <col min="8710" max="8710" width="8.88671875" style="776" customWidth="1"/>
    <col min="8711" max="8711" width="9.44140625" style="776" customWidth="1"/>
    <col min="8712" max="8712" width="7.44140625" style="776" customWidth="1"/>
    <col min="8713" max="8713" width="8" style="776" customWidth="1"/>
    <col min="8714" max="8714" width="5.88671875" style="776" customWidth="1"/>
    <col min="8715" max="8715" width="8" style="776" customWidth="1"/>
    <col min="8716" max="8716" width="5.109375" style="776" customWidth="1"/>
    <col min="8717" max="8961" width="8" style="776"/>
    <col min="8962" max="8962" width="8" style="776" customWidth="1"/>
    <col min="8963" max="8963" width="18.109375" style="776" customWidth="1"/>
    <col min="8964" max="8964" width="14.44140625" style="776" customWidth="1"/>
    <col min="8965" max="8965" width="15.109375" style="776" customWidth="1"/>
    <col min="8966" max="8966" width="8.88671875" style="776" customWidth="1"/>
    <col min="8967" max="8967" width="9.44140625" style="776" customWidth="1"/>
    <col min="8968" max="8968" width="7.44140625" style="776" customWidth="1"/>
    <col min="8969" max="8969" width="8" style="776" customWidth="1"/>
    <col min="8970" max="8970" width="5.88671875" style="776" customWidth="1"/>
    <col min="8971" max="8971" width="8" style="776" customWidth="1"/>
    <col min="8972" max="8972" width="5.109375" style="776" customWidth="1"/>
    <col min="8973" max="9217" width="8" style="776"/>
    <col min="9218" max="9218" width="8" style="776" customWidth="1"/>
    <col min="9219" max="9219" width="18.109375" style="776" customWidth="1"/>
    <col min="9220" max="9220" width="14.44140625" style="776" customWidth="1"/>
    <col min="9221" max="9221" width="15.109375" style="776" customWidth="1"/>
    <col min="9222" max="9222" width="8.88671875" style="776" customWidth="1"/>
    <col min="9223" max="9223" width="9.44140625" style="776" customWidth="1"/>
    <col min="9224" max="9224" width="7.44140625" style="776" customWidth="1"/>
    <col min="9225" max="9225" width="8" style="776" customWidth="1"/>
    <col min="9226" max="9226" width="5.88671875" style="776" customWidth="1"/>
    <col min="9227" max="9227" width="8" style="776" customWidth="1"/>
    <col min="9228" max="9228" width="5.109375" style="776" customWidth="1"/>
    <col min="9229" max="9473" width="8" style="776"/>
    <col min="9474" max="9474" width="8" style="776" customWidth="1"/>
    <col min="9475" max="9475" width="18.109375" style="776" customWidth="1"/>
    <col min="9476" max="9476" width="14.44140625" style="776" customWidth="1"/>
    <col min="9477" max="9477" width="15.109375" style="776" customWidth="1"/>
    <col min="9478" max="9478" width="8.88671875" style="776" customWidth="1"/>
    <col min="9479" max="9479" width="9.44140625" style="776" customWidth="1"/>
    <col min="9480" max="9480" width="7.44140625" style="776" customWidth="1"/>
    <col min="9481" max="9481" width="8" style="776" customWidth="1"/>
    <col min="9482" max="9482" width="5.88671875" style="776" customWidth="1"/>
    <col min="9483" max="9483" width="8" style="776" customWidth="1"/>
    <col min="9484" max="9484" width="5.109375" style="776" customWidth="1"/>
    <col min="9485" max="9729" width="8" style="776"/>
    <col min="9730" max="9730" width="8" style="776" customWidth="1"/>
    <col min="9731" max="9731" width="18.109375" style="776" customWidth="1"/>
    <col min="9732" max="9732" width="14.44140625" style="776" customWidth="1"/>
    <col min="9733" max="9733" width="15.109375" style="776" customWidth="1"/>
    <col min="9734" max="9734" width="8.88671875" style="776" customWidth="1"/>
    <col min="9735" max="9735" width="9.44140625" style="776" customWidth="1"/>
    <col min="9736" max="9736" width="7.44140625" style="776" customWidth="1"/>
    <col min="9737" max="9737" width="8" style="776" customWidth="1"/>
    <col min="9738" max="9738" width="5.88671875" style="776" customWidth="1"/>
    <col min="9739" max="9739" width="8" style="776" customWidth="1"/>
    <col min="9740" max="9740" width="5.109375" style="776" customWidth="1"/>
    <col min="9741" max="9985" width="8" style="776"/>
    <col min="9986" max="9986" width="8" style="776" customWidth="1"/>
    <col min="9987" max="9987" width="18.109375" style="776" customWidth="1"/>
    <col min="9988" max="9988" width="14.44140625" style="776" customWidth="1"/>
    <col min="9989" max="9989" width="15.109375" style="776" customWidth="1"/>
    <col min="9990" max="9990" width="8.88671875" style="776" customWidth="1"/>
    <col min="9991" max="9991" width="9.44140625" style="776" customWidth="1"/>
    <col min="9992" max="9992" width="7.44140625" style="776" customWidth="1"/>
    <col min="9993" max="9993" width="8" style="776" customWidth="1"/>
    <col min="9994" max="9994" width="5.88671875" style="776" customWidth="1"/>
    <col min="9995" max="9995" width="8" style="776" customWidth="1"/>
    <col min="9996" max="9996" width="5.109375" style="776" customWidth="1"/>
    <col min="9997" max="10241" width="8" style="776"/>
    <col min="10242" max="10242" width="8" style="776" customWidth="1"/>
    <col min="10243" max="10243" width="18.109375" style="776" customWidth="1"/>
    <col min="10244" max="10244" width="14.44140625" style="776" customWidth="1"/>
    <col min="10245" max="10245" width="15.109375" style="776" customWidth="1"/>
    <col min="10246" max="10246" width="8.88671875" style="776" customWidth="1"/>
    <col min="10247" max="10247" width="9.44140625" style="776" customWidth="1"/>
    <col min="10248" max="10248" width="7.44140625" style="776" customWidth="1"/>
    <col min="10249" max="10249" width="8" style="776" customWidth="1"/>
    <col min="10250" max="10250" width="5.88671875" style="776" customWidth="1"/>
    <col min="10251" max="10251" width="8" style="776" customWidth="1"/>
    <col min="10252" max="10252" width="5.109375" style="776" customWidth="1"/>
    <col min="10253" max="10497" width="8" style="776"/>
    <col min="10498" max="10498" width="8" style="776" customWidth="1"/>
    <col min="10499" max="10499" width="18.109375" style="776" customWidth="1"/>
    <col min="10500" max="10500" width="14.44140625" style="776" customWidth="1"/>
    <col min="10501" max="10501" width="15.109375" style="776" customWidth="1"/>
    <col min="10502" max="10502" width="8.88671875" style="776" customWidth="1"/>
    <col min="10503" max="10503" width="9.44140625" style="776" customWidth="1"/>
    <col min="10504" max="10504" width="7.44140625" style="776" customWidth="1"/>
    <col min="10505" max="10505" width="8" style="776" customWidth="1"/>
    <col min="10506" max="10506" width="5.88671875" style="776" customWidth="1"/>
    <col min="10507" max="10507" width="8" style="776" customWidth="1"/>
    <col min="10508" max="10508" width="5.109375" style="776" customWidth="1"/>
    <col min="10509" max="10753" width="8" style="776"/>
    <col min="10754" max="10754" width="8" style="776" customWidth="1"/>
    <col min="10755" max="10755" width="18.109375" style="776" customWidth="1"/>
    <col min="10756" max="10756" width="14.44140625" style="776" customWidth="1"/>
    <col min="10757" max="10757" width="15.109375" style="776" customWidth="1"/>
    <col min="10758" max="10758" width="8.88671875" style="776" customWidth="1"/>
    <col min="10759" max="10759" width="9.44140625" style="776" customWidth="1"/>
    <col min="10760" max="10760" width="7.44140625" style="776" customWidth="1"/>
    <col min="10761" max="10761" width="8" style="776" customWidth="1"/>
    <col min="10762" max="10762" width="5.88671875" style="776" customWidth="1"/>
    <col min="10763" max="10763" width="8" style="776" customWidth="1"/>
    <col min="10764" max="10764" width="5.109375" style="776" customWidth="1"/>
    <col min="10765" max="11009" width="8" style="776"/>
    <col min="11010" max="11010" width="8" style="776" customWidth="1"/>
    <col min="11011" max="11011" width="18.109375" style="776" customWidth="1"/>
    <col min="11012" max="11012" width="14.44140625" style="776" customWidth="1"/>
    <col min="11013" max="11013" width="15.109375" style="776" customWidth="1"/>
    <col min="11014" max="11014" width="8.88671875" style="776" customWidth="1"/>
    <col min="11015" max="11015" width="9.44140625" style="776" customWidth="1"/>
    <col min="11016" max="11016" width="7.44140625" style="776" customWidth="1"/>
    <col min="11017" max="11017" width="8" style="776" customWidth="1"/>
    <col min="11018" max="11018" width="5.88671875" style="776" customWidth="1"/>
    <col min="11019" max="11019" width="8" style="776" customWidth="1"/>
    <col min="11020" max="11020" width="5.109375" style="776" customWidth="1"/>
    <col min="11021" max="11265" width="8" style="776"/>
    <col min="11266" max="11266" width="8" style="776" customWidth="1"/>
    <col min="11267" max="11267" width="18.109375" style="776" customWidth="1"/>
    <col min="11268" max="11268" width="14.44140625" style="776" customWidth="1"/>
    <col min="11269" max="11269" width="15.109375" style="776" customWidth="1"/>
    <col min="11270" max="11270" width="8.88671875" style="776" customWidth="1"/>
    <col min="11271" max="11271" width="9.44140625" style="776" customWidth="1"/>
    <col min="11272" max="11272" width="7.44140625" style="776" customWidth="1"/>
    <col min="11273" max="11273" width="8" style="776" customWidth="1"/>
    <col min="11274" max="11274" width="5.88671875" style="776" customWidth="1"/>
    <col min="11275" max="11275" width="8" style="776" customWidth="1"/>
    <col min="11276" max="11276" width="5.109375" style="776" customWidth="1"/>
    <col min="11277" max="11521" width="8" style="776"/>
    <col min="11522" max="11522" width="8" style="776" customWidth="1"/>
    <col min="11523" max="11523" width="18.109375" style="776" customWidth="1"/>
    <col min="11524" max="11524" width="14.44140625" style="776" customWidth="1"/>
    <col min="11525" max="11525" width="15.109375" style="776" customWidth="1"/>
    <col min="11526" max="11526" width="8.88671875" style="776" customWidth="1"/>
    <col min="11527" max="11527" width="9.44140625" style="776" customWidth="1"/>
    <col min="11528" max="11528" width="7.44140625" style="776" customWidth="1"/>
    <col min="11529" max="11529" width="8" style="776" customWidth="1"/>
    <col min="11530" max="11530" width="5.88671875" style="776" customWidth="1"/>
    <col min="11531" max="11531" width="8" style="776" customWidth="1"/>
    <col min="11532" max="11532" width="5.109375" style="776" customWidth="1"/>
    <col min="11533" max="11777" width="8" style="776"/>
    <col min="11778" max="11778" width="8" style="776" customWidth="1"/>
    <col min="11779" max="11779" width="18.109375" style="776" customWidth="1"/>
    <col min="11780" max="11780" width="14.44140625" style="776" customWidth="1"/>
    <col min="11781" max="11781" width="15.109375" style="776" customWidth="1"/>
    <col min="11782" max="11782" width="8.88671875" style="776" customWidth="1"/>
    <col min="11783" max="11783" width="9.44140625" style="776" customWidth="1"/>
    <col min="11784" max="11784" width="7.44140625" style="776" customWidth="1"/>
    <col min="11785" max="11785" width="8" style="776" customWidth="1"/>
    <col min="11786" max="11786" width="5.88671875" style="776" customWidth="1"/>
    <col min="11787" max="11787" width="8" style="776" customWidth="1"/>
    <col min="11788" max="11788" width="5.109375" style="776" customWidth="1"/>
    <col min="11789" max="12033" width="8" style="776"/>
    <col min="12034" max="12034" width="8" style="776" customWidth="1"/>
    <col min="12035" max="12035" width="18.109375" style="776" customWidth="1"/>
    <col min="12036" max="12036" width="14.44140625" style="776" customWidth="1"/>
    <col min="12037" max="12037" width="15.109375" style="776" customWidth="1"/>
    <col min="12038" max="12038" width="8.88671875" style="776" customWidth="1"/>
    <col min="12039" max="12039" width="9.44140625" style="776" customWidth="1"/>
    <col min="12040" max="12040" width="7.44140625" style="776" customWidth="1"/>
    <col min="12041" max="12041" width="8" style="776" customWidth="1"/>
    <col min="12042" max="12042" width="5.88671875" style="776" customWidth="1"/>
    <col min="12043" max="12043" width="8" style="776" customWidth="1"/>
    <col min="12044" max="12044" width="5.109375" style="776" customWidth="1"/>
    <col min="12045" max="12289" width="8" style="776"/>
    <col min="12290" max="12290" width="8" style="776" customWidth="1"/>
    <col min="12291" max="12291" width="18.109375" style="776" customWidth="1"/>
    <col min="12292" max="12292" width="14.44140625" style="776" customWidth="1"/>
    <col min="12293" max="12293" width="15.109375" style="776" customWidth="1"/>
    <col min="12294" max="12294" width="8.88671875" style="776" customWidth="1"/>
    <col min="12295" max="12295" width="9.44140625" style="776" customWidth="1"/>
    <col min="12296" max="12296" width="7.44140625" style="776" customWidth="1"/>
    <col min="12297" max="12297" width="8" style="776" customWidth="1"/>
    <col min="12298" max="12298" width="5.88671875" style="776" customWidth="1"/>
    <col min="12299" max="12299" width="8" style="776" customWidth="1"/>
    <col min="12300" max="12300" width="5.109375" style="776" customWidth="1"/>
    <col min="12301" max="12545" width="8" style="776"/>
    <col min="12546" max="12546" width="8" style="776" customWidth="1"/>
    <col min="12547" max="12547" width="18.109375" style="776" customWidth="1"/>
    <col min="12548" max="12548" width="14.44140625" style="776" customWidth="1"/>
    <col min="12549" max="12549" width="15.109375" style="776" customWidth="1"/>
    <col min="12550" max="12550" width="8.88671875" style="776" customWidth="1"/>
    <col min="12551" max="12551" width="9.44140625" style="776" customWidth="1"/>
    <col min="12552" max="12552" width="7.44140625" style="776" customWidth="1"/>
    <col min="12553" max="12553" width="8" style="776" customWidth="1"/>
    <col min="12554" max="12554" width="5.88671875" style="776" customWidth="1"/>
    <col min="12555" max="12555" width="8" style="776" customWidth="1"/>
    <col min="12556" max="12556" width="5.109375" style="776" customWidth="1"/>
    <col min="12557" max="12801" width="8" style="776"/>
    <col min="12802" max="12802" width="8" style="776" customWidth="1"/>
    <col min="12803" max="12803" width="18.109375" style="776" customWidth="1"/>
    <col min="12804" max="12804" width="14.44140625" style="776" customWidth="1"/>
    <col min="12805" max="12805" width="15.109375" style="776" customWidth="1"/>
    <col min="12806" max="12806" width="8.88671875" style="776" customWidth="1"/>
    <col min="12807" max="12807" width="9.44140625" style="776" customWidth="1"/>
    <col min="12808" max="12808" width="7.44140625" style="776" customWidth="1"/>
    <col min="12809" max="12809" width="8" style="776" customWidth="1"/>
    <col min="12810" max="12810" width="5.88671875" style="776" customWidth="1"/>
    <col min="12811" max="12811" width="8" style="776" customWidth="1"/>
    <col min="12812" max="12812" width="5.109375" style="776" customWidth="1"/>
    <col min="12813" max="13057" width="8" style="776"/>
    <col min="13058" max="13058" width="8" style="776" customWidth="1"/>
    <col min="13059" max="13059" width="18.109375" style="776" customWidth="1"/>
    <col min="13060" max="13060" width="14.44140625" style="776" customWidth="1"/>
    <col min="13061" max="13061" width="15.109375" style="776" customWidth="1"/>
    <col min="13062" max="13062" width="8.88671875" style="776" customWidth="1"/>
    <col min="13063" max="13063" width="9.44140625" style="776" customWidth="1"/>
    <col min="13064" max="13064" width="7.44140625" style="776" customWidth="1"/>
    <col min="13065" max="13065" width="8" style="776" customWidth="1"/>
    <col min="13066" max="13066" width="5.88671875" style="776" customWidth="1"/>
    <col min="13067" max="13067" width="8" style="776" customWidth="1"/>
    <col min="13068" max="13068" width="5.109375" style="776" customWidth="1"/>
    <col min="13069" max="13313" width="8" style="776"/>
    <col min="13314" max="13314" width="8" style="776" customWidth="1"/>
    <col min="13315" max="13315" width="18.109375" style="776" customWidth="1"/>
    <col min="13316" max="13316" width="14.44140625" style="776" customWidth="1"/>
    <col min="13317" max="13317" width="15.109375" style="776" customWidth="1"/>
    <col min="13318" max="13318" width="8.88671875" style="776" customWidth="1"/>
    <col min="13319" max="13319" width="9.44140625" style="776" customWidth="1"/>
    <col min="13320" max="13320" width="7.44140625" style="776" customWidth="1"/>
    <col min="13321" max="13321" width="8" style="776" customWidth="1"/>
    <col min="13322" max="13322" width="5.88671875" style="776" customWidth="1"/>
    <col min="13323" max="13323" width="8" style="776" customWidth="1"/>
    <col min="13324" max="13324" width="5.109375" style="776" customWidth="1"/>
    <col min="13325" max="13569" width="8" style="776"/>
    <col min="13570" max="13570" width="8" style="776" customWidth="1"/>
    <col min="13571" max="13571" width="18.109375" style="776" customWidth="1"/>
    <col min="13572" max="13572" width="14.44140625" style="776" customWidth="1"/>
    <col min="13573" max="13573" width="15.109375" style="776" customWidth="1"/>
    <col min="13574" max="13574" width="8.88671875" style="776" customWidth="1"/>
    <col min="13575" max="13575" width="9.44140625" style="776" customWidth="1"/>
    <col min="13576" max="13576" width="7.44140625" style="776" customWidth="1"/>
    <col min="13577" max="13577" width="8" style="776" customWidth="1"/>
    <col min="13578" max="13578" width="5.88671875" style="776" customWidth="1"/>
    <col min="13579" max="13579" width="8" style="776" customWidth="1"/>
    <col min="13580" max="13580" width="5.109375" style="776" customWidth="1"/>
    <col min="13581" max="13825" width="8" style="776"/>
    <col min="13826" max="13826" width="8" style="776" customWidth="1"/>
    <col min="13827" max="13827" width="18.109375" style="776" customWidth="1"/>
    <col min="13828" max="13828" width="14.44140625" style="776" customWidth="1"/>
    <col min="13829" max="13829" width="15.109375" style="776" customWidth="1"/>
    <col min="13830" max="13830" width="8.88671875" style="776" customWidth="1"/>
    <col min="13831" max="13831" width="9.44140625" style="776" customWidth="1"/>
    <col min="13832" max="13832" width="7.44140625" style="776" customWidth="1"/>
    <col min="13833" max="13833" width="8" style="776" customWidth="1"/>
    <col min="13834" max="13834" width="5.88671875" style="776" customWidth="1"/>
    <col min="13835" max="13835" width="8" style="776" customWidth="1"/>
    <col min="13836" max="13836" width="5.109375" style="776" customWidth="1"/>
    <col min="13837" max="14081" width="8" style="776"/>
    <col min="14082" max="14082" width="8" style="776" customWidth="1"/>
    <col min="14083" max="14083" width="18.109375" style="776" customWidth="1"/>
    <col min="14084" max="14084" width="14.44140625" style="776" customWidth="1"/>
    <col min="14085" max="14085" width="15.109375" style="776" customWidth="1"/>
    <col min="14086" max="14086" width="8.88671875" style="776" customWidth="1"/>
    <col min="14087" max="14087" width="9.44140625" style="776" customWidth="1"/>
    <col min="14088" max="14088" width="7.44140625" style="776" customWidth="1"/>
    <col min="14089" max="14089" width="8" style="776" customWidth="1"/>
    <col min="14090" max="14090" width="5.88671875" style="776" customWidth="1"/>
    <col min="14091" max="14091" width="8" style="776" customWidth="1"/>
    <col min="14092" max="14092" width="5.109375" style="776" customWidth="1"/>
    <col min="14093" max="14337" width="8" style="776"/>
    <col min="14338" max="14338" width="8" style="776" customWidth="1"/>
    <col min="14339" max="14339" width="18.109375" style="776" customWidth="1"/>
    <col min="14340" max="14340" width="14.44140625" style="776" customWidth="1"/>
    <col min="14341" max="14341" width="15.109375" style="776" customWidth="1"/>
    <col min="14342" max="14342" width="8.88671875" style="776" customWidth="1"/>
    <col min="14343" max="14343" width="9.44140625" style="776" customWidth="1"/>
    <col min="14344" max="14344" width="7.44140625" style="776" customWidth="1"/>
    <col min="14345" max="14345" width="8" style="776" customWidth="1"/>
    <col min="14346" max="14346" width="5.88671875" style="776" customWidth="1"/>
    <col min="14347" max="14347" width="8" style="776" customWidth="1"/>
    <col min="14348" max="14348" width="5.109375" style="776" customWidth="1"/>
    <col min="14349" max="14593" width="8" style="776"/>
    <col min="14594" max="14594" width="8" style="776" customWidth="1"/>
    <col min="14595" max="14595" width="18.109375" style="776" customWidth="1"/>
    <col min="14596" max="14596" width="14.44140625" style="776" customWidth="1"/>
    <col min="14597" max="14597" width="15.109375" style="776" customWidth="1"/>
    <col min="14598" max="14598" width="8.88671875" style="776" customWidth="1"/>
    <col min="14599" max="14599" width="9.44140625" style="776" customWidth="1"/>
    <col min="14600" max="14600" width="7.44140625" style="776" customWidth="1"/>
    <col min="14601" max="14601" width="8" style="776" customWidth="1"/>
    <col min="14602" max="14602" width="5.88671875" style="776" customWidth="1"/>
    <col min="14603" max="14603" width="8" style="776" customWidth="1"/>
    <col min="14604" max="14604" width="5.109375" style="776" customWidth="1"/>
    <col min="14605" max="14849" width="8" style="776"/>
    <col min="14850" max="14850" width="8" style="776" customWidth="1"/>
    <col min="14851" max="14851" width="18.109375" style="776" customWidth="1"/>
    <col min="14852" max="14852" width="14.44140625" style="776" customWidth="1"/>
    <col min="14853" max="14853" width="15.109375" style="776" customWidth="1"/>
    <col min="14854" max="14854" width="8.88671875" style="776" customWidth="1"/>
    <col min="14855" max="14855" width="9.44140625" style="776" customWidth="1"/>
    <col min="14856" max="14856" width="7.44140625" style="776" customWidth="1"/>
    <col min="14857" max="14857" width="8" style="776" customWidth="1"/>
    <col min="14858" max="14858" width="5.88671875" style="776" customWidth="1"/>
    <col min="14859" max="14859" width="8" style="776" customWidth="1"/>
    <col min="14860" max="14860" width="5.109375" style="776" customWidth="1"/>
    <col min="14861" max="15105" width="8" style="776"/>
    <col min="15106" max="15106" width="8" style="776" customWidth="1"/>
    <col min="15107" max="15107" width="18.109375" style="776" customWidth="1"/>
    <col min="15108" max="15108" width="14.44140625" style="776" customWidth="1"/>
    <col min="15109" max="15109" width="15.109375" style="776" customWidth="1"/>
    <col min="15110" max="15110" width="8.88671875" style="776" customWidth="1"/>
    <col min="15111" max="15111" width="9.44140625" style="776" customWidth="1"/>
    <col min="15112" max="15112" width="7.44140625" style="776" customWidth="1"/>
    <col min="15113" max="15113" width="8" style="776" customWidth="1"/>
    <col min="15114" max="15114" width="5.88671875" style="776" customWidth="1"/>
    <col min="15115" max="15115" width="8" style="776" customWidth="1"/>
    <col min="15116" max="15116" width="5.109375" style="776" customWidth="1"/>
    <col min="15117" max="15361" width="8" style="776"/>
    <col min="15362" max="15362" width="8" style="776" customWidth="1"/>
    <col min="15363" max="15363" width="18.109375" style="776" customWidth="1"/>
    <col min="15364" max="15364" width="14.44140625" style="776" customWidth="1"/>
    <col min="15365" max="15365" width="15.109375" style="776" customWidth="1"/>
    <col min="15366" max="15366" width="8.88671875" style="776" customWidth="1"/>
    <col min="15367" max="15367" width="9.44140625" style="776" customWidth="1"/>
    <col min="15368" max="15368" width="7.44140625" style="776" customWidth="1"/>
    <col min="15369" max="15369" width="8" style="776" customWidth="1"/>
    <col min="15370" max="15370" width="5.88671875" style="776" customWidth="1"/>
    <col min="15371" max="15371" width="8" style="776" customWidth="1"/>
    <col min="15372" max="15372" width="5.109375" style="776" customWidth="1"/>
    <col min="15373" max="15617" width="8" style="776"/>
    <col min="15618" max="15618" width="8" style="776" customWidth="1"/>
    <col min="15619" max="15619" width="18.109375" style="776" customWidth="1"/>
    <col min="15620" max="15620" width="14.44140625" style="776" customWidth="1"/>
    <col min="15621" max="15621" width="15.109375" style="776" customWidth="1"/>
    <col min="15622" max="15622" width="8.88671875" style="776" customWidth="1"/>
    <col min="15623" max="15623" width="9.44140625" style="776" customWidth="1"/>
    <col min="15624" max="15624" width="7.44140625" style="776" customWidth="1"/>
    <col min="15625" max="15625" width="8" style="776" customWidth="1"/>
    <col min="15626" max="15626" width="5.88671875" style="776" customWidth="1"/>
    <col min="15627" max="15627" width="8" style="776" customWidth="1"/>
    <col min="15628" max="15628" width="5.109375" style="776" customWidth="1"/>
    <col min="15629" max="15873" width="8" style="776"/>
    <col min="15874" max="15874" width="8" style="776" customWidth="1"/>
    <col min="15875" max="15875" width="18.109375" style="776" customWidth="1"/>
    <col min="15876" max="15876" width="14.44140625" style="776" customWidth="1"/>
    <col min="15877" max="15877" width="15.109375" style="776" customWidth="1"/>
    <col min="15878" max="15878" width="8.88671875" style="776" customWidth="1"/>
    <col min="15879" max="15879" width="9.44140625" style="776" customWidth="1"/>
    <col min="15880" max="15880" width="7.44140625" style="776" customWidth="1"/>
    <col min="15881" max="15881" width="8" style="776" customWidth="1"/>
    <col min="15882" max="15882" width="5.88671875" style="776" customWidth="1"/>
    <col min="15883" max="15883" width="8" style="776" customWidth="1"/>
    <col min="15884" max="15884" width="5.109375" style="776" customWidth="1"/>
    <col min="15885" max="16129" width="8" style="776"/>
    <col min="16130" max="16130" width="8" style="776" customWidth="1"/>
    <col min="16131" max="16131" width="18.109375" style="776" customWidth="1"/>
    <col min="16132" max="16132" width="14.44140625" style="776" customWidth="1"/>
    <col min="16133" max="16133" width="15.109375" style="776" customWidth="1"/>
    <col min="16134" max="16134" width="8.88671875" style="776" customWidth="1"/>
    <col min="16135" max="16135" width="9.44140625" style="776" customWidth="1"/>
    <col min="16136" max="16136" width="7.44140625" style="776" customWidth="1"/>
    <col min="16137" max="16137" width="8" style="776" customWidth="1"/>
    <col min="16138" max="16138" width="5.88671875" style="776" customWidth="1"/>
    <col min="16139" max="16139" width="8" style="776" customWidth="1"/>
    <col min="16140" max="16140" width="5.109375" style="776" customWidth="1"/>
    <col min="16141" max="16384" width="8" style="776"/>
  </cols>
  <sheetData>
    <row r="1" spans="14:18" ht="15">
      <c r="N1" s="775"/>
      <c r="R1" s="777"/>
    </row>
    <row r="42" spans="3:6" ht="45" customHeight="1">
      <c r="C42" s="784" t="s">
        <v>3074</v>
      </c>
      <c r="D42" s="784" t="s">
        <v>3075</v>
      </c>
      <c r="E42" s="784" t="s">
        <v>3076</v>
      </c>
      <c r="F42" s="785"/>
    </row>
    <row r="43" spans="3:6" ht="23.25" customHeight="1">
      <c r="C43" s="786">
        <f>summary!J24</f>
        <v>19802036</v>
      </c>
      <c r="D43" s="786">
        <f>summary!J42</f>
        <v>14154487.5</v>
      </c>
      <c r="E43" s="786">
        <f>summary!J54</f>
        <v>6962827</v>
      </c>
      <c r="F43" s="787"/>
    </row>
  </sheetData>
  <pageMargins left="0.5" right="0.25" top="0.75" bottom="0.5" header="0.75" footer="0.25"/>
  <pageSetup paperSize="136" firstPageNumber="414" orientation="portrait" useFirstPageNumber="1" verticalDpi="300" r:id="rId1"/>
  <headerFooter alignWithMargins="0"/>
  <drawing r:id="rId2"/>
</worksheet>
</file>

<file path=xl/worksheets/sheet216.xml><?xml version="1.0" encoding="utf-8"?>
<worksheet xmlns="http://schemas.openxmlformats.org/spreadsheetml/2006/main" xmlns:r="http://schemas.openxmlformats.org/officeDocument/2006/relationships">
  <sheetPr codeName="Sheet4">
    <tabColor rgb="FF7030A0"/>
  </sheetPr>
  <dimension ref="A1:E59"/>
  <sheetViews>
    <sheetView showGridLines="0" topLeftCell="A43" workbookViewId="0">
      <selection activeCell="C22" sqref="C22"/>
    </sheetView>
  </sheetViews>
  <sheetFormatPr defaultRowHeight="14.1" customHeight="1"/>
  <cols>
    <col min="1" max="1" width="37" style="1814" customWidth="1"/>
    <col min="2" max="2" width="28.109375" style="1814" customWidth="1"/>
    <col min="3" max="3" width="23" style="1814" customWidth="1"/>
    <col min="4" max="4" width="9.109375" style="1814"/>
    <col min="5" max="5" width="15.44140625" style="1814" bestFit="1" customWidth="1"/>
    <col min="6" max="256" width="9.109375" style="1814"/>
    <col min="257" max="257" width="34.88671875" style="1814" customWidth="1"/>
    <col min="258" max="258" width="28.109375" style="1814" customWidth="1"/>
    <col min="259" max="259" width="23" style="1814" customWidth="1"/>
    <col min="260" max="512" width="9.109375" style="1814"/>
    <col min="513" max="513" width="34.88671875" style="1814" customWidth="1"/>
    <col min="514" max="514" width="28.109375" style="1814" customWidth="1"/>
    <col min="515" max="515" width="23" style="1814" customWidth="1"/>
    <col min="516" max="768" width="9.109375" style="1814"/>
    <col min="769" max="769" width="34.88671875" style="1814" customWidth="1"/>
    <col min="770" max="770" width="28.109375" style="1814" customWidth="1"/>
    <col min="771" max="771" width="23" style="1814" customWidth="1"/>
    <col min="772" max="1024" width="9.109375" style="1814"/>
    <col min="1025" max="1025" width="34.88671875" style="1814" customWidth="1"/>
    <col min="1026" max="1026" width="28.109375" style="1814" customWidth="1"/>
    <col min="1027" max="1027" width="23" style="1814" customWidth="1"/>
    <col min="1028" max="1280" width="9.109375" style="1814"/>
    <col min="1281" max="1281" width="34.88671875" style="1814" customWidth="1"/>
    <col min="1282" max="1282" width="28.109375" style="1814" customWidth="1"/>
    <col min="1283" max="1283" width="23" style="1814" customWidth="1"/>
    <col min="1284" max="1536" width="9.109375" style="1814"/>
    <col min="1537" max="1537" width="34.88671875" style="1814" customWidth="1"/>
    <col min="1538" max="1538" width="28.109375" style="1814" customWidth="1"/>
    <col min="1539" max="1539" width="23" style="1814" customWidth="1"/>
    <col min="1540" max="1792" width="9.109375" style="1814"/>
    <col min="1793" max="1793" width="34.88671875" style="1814" customWidth="1"/>
    <col min="1794" max="1794" width="28.109375" style="1814" customWidth="1"/>
    <col min="1795" max="1795" width="23" style="1814" customWidth="1"/>
    <col min="1796" max="2048" width="9.109375" style="1814"/>
    <col min="2049" max="2049" width="34.88671875" style="1814" customWidth="1"/>
    <col min="2050" max="2050" width="28.109375" style="1814" customWidth="1"/>
    <col min="2051" max="2051" width="23" style="1814" customWidth="1"/>
    <col min="2052" max="2304" width="9.109375" style="1814"/>
    <col min="2305" max="2305" width="34.88671875" style="1814" customWidth="1"/>
    <col min="2306" max="2306" width="28.109375" style="1814" customWidth="1"/>
    <col min="2307" max="2307" width="23" style="1814" customWidth="1"/>
    <col min="2308" max="2560" width="9.109375" style="1814"/>
    <col min="2561" max="2561" width="34.88671875" style="1814" customWidth="1"/>
    <col min="2562" max="2562" width="28.109375" style="1814" customWidth="1"/>
    <col min="2563" max="2563" width="23" style="1814" customWidth="1"/>
    <col min="2564" max="2816" width="9.109375" style="1814"/>
    <col min="2817" max="2817" width="34.88671875" style="1814" customWidth="1"/>
    <col min="2818" max="2818" width="28.109375" style="1814" customWidth="1"/>
    <col min="2819" max="2819" width="23" style="1814" customWidth="1"/>
    <col min="2820" max="3072" width="9.109375" style="1814"/>
    <col min="3073" max="3073" width="34.88671875" style="1814" customWidth="1"/>
    <col min="3074" max="3074" width="28.109375" style="1814" customWidth="1"/>
    <col min="3075" max="3075" width="23" style="1814" customWidth="1"/>
    <col min="3076" max="3328" width="9.109375" style="1814"/>
    <col min="3329" max="3329" width="34.88671875" style="1814" customWidth="1"/>
    <col min="3330" max="3330" width="28.109375" style="1814" customWidth="1"/>
    <col min="3331" max="3331" width="23" style="1814" customWidth="1"/>
    <col min="3332" max="3584" width="9.109375" style="1814"/>
    <col min="3585" max="3585" width="34.88671875" style="1814" customWidth="1"/>
    <col min="3586" max="3586" width="28.109375" style="1814" customWidth="1"/>
    <col min="3587" max="3587" width="23" style="1814" customWidth="1"/>
    <col min="3588" max="3840" width="9.109375" style="1814"/>
    <col min="3841" max="3841" width="34.88671875" style="1814" customWidth="1"/>
    <col min="3842" max="3842" width="28.109375" style="1814" customWidth="1"/>
    <col min="3843" max="3843" width="23" style="1814" customWidth="1"/>
    <col min="3844" max="4096" width="9.109375" style="1814"/>
    <col min="4097" max="4097" width="34.88671875" style="1814" customWidth="1"/>
    <col min="4098" max="4098" width="28.109375" style="1814" customWidth="1"/>
    <col min="4099" max="4099" width="23" style="1814" customWidth="1"/>
    <col min="4100" max="4352" width="9.109375" style="1814"/>
    <col min="4353" max="4353" width="34.88671875" style="1814" customWidth="1"/>
    <col min="4354" max="4354" width="28.109375" style="1814" customWidth="1"/>
    <col min="4355" max="4355" width="23" style="1814" customWidth="1"/>
    <col min="4356" max="4608" width="9.109375" style="1814"/>
    <col min="4609" max="4609" width="34.88671875" style="1814" customWidth="1"/>
    <col min="4610" max="4610" width="28.109375" style="1814" customWidth="1"/>
    <col min="4611" max="4611" width="23" style="1814" customWidth="1"/>
    <col min="4612" max="4864" width="9.109375" style="1814"/>
    <col min="4865" max="4865" width="34.88671875" style="1814" customWidth="1"/>
    <col min="4866" max="4866" width="28.109375" style="1814" customWidth="1"/>
    <col min="4867" max="4867" width="23" style="1814" customWidth="1"/>
    <col min="4868" max="5120" width="9.109375" style="1814"/>
    <col min="5121" max="5121" width="34.88671875" style="1814" customWidth="1"/>
    <col min="5122" max="5122" width="28.109375" style="1814" customWidth="1"/>
    <col min="5123" max="5123" width="23" style="1814" customWidth="1"/>
    <col min="5124" max="5376" width="9.109375" style="1814"/>
    <col min="5377" max="5377" width="34.88671875" style="1814" customWidth="1"/>
    <col min="5378" max="5378" width="28.109375" style="1814" customWidth="1"/>
    <col min="5379" max="5379" width="23" style="1814" customWidth="1"/>
    <col min="5380" max="5632" width="9.109375" style="1814"/>
    <col min="5633" max="5633" width="34.88671875" style="1814" customWidth="1"/>
    <col min="5634" max="5634" width="28.109375" style="1814" customWidth="1"/>
    <col min="5635" max="5635" width="23" style="1814" customWidth="1"/>
    <col min="5636" max="5888" width="9.109375" style="1814"/>
    <col min="5889" max="5889" width="34.88671875" style="1814" customWidth="1"/>
    <col min="5890" max="5890" width="28.109375" style="1814" customWidth="1"/>
    <col min="5891" max="5891" width="23" style="1814" customWidth="1"/>
    <col min="5892" max="6144" width="9.109375" style="1814"/>
    <col min="6145" max="6145" width="34.88671875" style="1814" customWidth="1"/>
    <col min="6146" max="6146" width="28.109375" style="1814" customWidth="1"/>
    <col min="6147" max="6147" width="23" style="1814" customWidth="1"/>
    <col min="6148" max="6400" width="9.109375" style="1814"/>
    <col min="6401" max="6401" width="34.88671875" style="1814" customWidth="1"/>
    <col min="6402" max="6402" width="28.109375" style="1814" customWidth="1"/>
    <col min="6403" max="6403" width="23" style="1814" customWidth="1"/>
    <col min="6404" max="6656" width="9.109375" style="1814"/>
    <col min="6657" max="6657" width="34.88671875" style="1814" customWidth="1"/>
    <col min="6658" max="6658" width="28.109375" style="1814" customWidth="1"/>
    <col min="6659" max="6659" width="23" style="1814" customWidth="1"/>
    <col min="6660" max="6912" width="9.109375" style="1814"/>
    <col min="6913" max="6913" width="34.88671875" style="1814" customWidth="1"/>
    <col min="6914" max="6914" width="28.109375" style="1814" customWidth="1"/>
    <col min="6915" max="6915" width="23" style="1814" customWidth="1"/>
    <col min="6916" max="7168" width="9.109375" style="1814"/>
    <col min="7169" max="7169" width="34.88671875" style="1814" customWidth="1"/>
    <col min="7170" max="7170" width="28.109375" style="1814" customWidth="1"/>
    <col min="7171" max="7171" width="23" style="1814" customWidth="1"/>
    <col min="7172" max="7424" width="9.109375" style="1814"/>
    <col min="7425" max="7425" width="34.88671875" style="1814" customWidth="1"/>
    <col min="7426" max="7426" width="28.109375" style="1814" customWidth="1"/>
    <col min="7427" max="7427" width="23" style="1814" customWidth="1"/>
    <col min="7428" max="7680" width="9.109375" style="1814"/>
    <col min="7681" max="7681" width="34.88671875" style="1814" customWidth="1"/>
    <col min="7682" max="7682" width="28.109375" style="1814" customWidth="1"/>
    <col min="7683" max="7683" width="23" style="1814" customWidth="1"/>
    <col min="7684" max="7936" width="9.109375" style="1814"/>
    <col min="7937" max="7937" width="34.88671875" style="1814" customWidth="1"/>
    <col min="7938" max="7938" width="28.109375" style="1814" customWidth="1"/>
    <col min="7939" max="7939" width="23" style="1814" customWidth="1"/>
    <col min="7940" max="8192" width="9.109375" style="1814"/>
    <col min="8193" max="8193" width="34.88671875" style="1814" customWidth="1"/>
    <col min="8194" max="8194" width="28.109375" style="1814" customWidth="1"/>
    <col min="8195" max="8195" width="23" style="1814" customWidth="1"/>
    <col min="8196" max="8448" width="9.109375" style="1814"/>
    <col min="8449" max="8449" width="34.88671875" style="1814" customWidth="1"/>
    <col min="8450" max="8450" width="28.109375" style="1814" customWidth="1"/>
    <col min="8451" max="8451" width="23" style="1814" customWidth="1"/>
    <col min="8452" max="8704" width="9.109375" style="1814"/>
    <col min="8705" max="8705" width="34.88671875" style="1814" customWidth="1"/>
    <col min="8706" max="8706" width="28.109375" style="1814" customWidth="1"/>
    <col min="8707" max="8707" width="23" style="1814" customWidth="1"/>
    <col min="8708" max="8960" width="9.109375" style="1814"/>
    <col min="8961" max="8961" width="34.88671875" style="1814" customWidth="1"/>
    <col min="8962" max="8962" width="28.109375" style="1814" customWidth="1"/>
    <col min="8963" max="8963" width="23" style="1814" customWidth="1"/>
    <col min="8964" max="9216" width="9.109375" style="1814"/>
    <col min="9217" max="9217" width="34.88671875" style="1814" customWidth="1"/>
    <col min="9218" max="9218" width="28.109375" style="1814" customWidth="1"/>
    <col min="9219" max="9219" width="23" style="1814" customWidth="1"/>
    <col min="9220" max="9472" width="9.109375" style="1814"/>
    <col min="9473" max="9473" width="34.88671875" style="1814" customWidth="1"/>
    <col min="9474" max="9474" width="28.109375" style="1814" customWidth="1"/>
    <col min="9475" max="9475" width="23" style="1814" customWidth="1"/>
    <col min="9476" max="9728" width="9.109375" style="1814"/>
    <col min="9729" max="9729" width="34.88671875" style="1814" customWidth="1"/>
    <col min="9730" max="9730" width="28.109375" style="1814" customWidth="1"/>
    <col min="9731" max="9731" width="23" style="1814" customWidth="1"/>
    <col min="9732" max="9984" width="9.109375" style="1814"/>
    <col min="9985" max="9985" width="34.88671875" style="1814" customWidth="1"/>
    <col min="9986" max="9986" width="28.109375" style="1814" customWidth="1"/>
    <col min="9987" max="9987" width="23" style="1814" customWidth="1"/>
    <col min="9988" max="10240" width="9.109375" style="1814"/>
    <col min="10241" max="10241" width="34.88671875" style="1814" customWidth="1"/>
    <col min="10242" max="10242" width="28.109375" style="1814" customWidth="1"/>
    <col min="10243" max="10243" width="23" style="1814" customWidth="1"/>
    <col min="10244" max="10496" width="9.109375" style="1814"/>
    <col min="10497" max="10497" width="34.88671875" style="1814" customWidth="1"/>
    <col min="10498" max="10498" width="28.109375" style="1814" customWidth="1"/>
    <col min="10499" max="10499" width="23" style="1814" customWidth="1"/>
    <col min="10500" max="10752" width="9.109375" style="1814"/>
    <col min="10753" max="10753" width="34.88671875" style="1814" customWidth="1"/>
    <col min="10754" max="10754" width="28.109375" style="1814" customWidth="1"/>
    <col min="10755" max="10755" width="23" style="1814" customWidth="1"/>
    <col min="10756" max="11008" width="9.109375" style="1814"/>
    <col min="11009" max="11009" width="34.88671875" style="1814" customWidth="1"/>
    <col min="11010" max="11010" width="28.109375" style="1814" customWidth="1"/>
    <col min="11011" max="11011" width="23" style="1814" customWidth="1"/>
    <col min="11012" max="11264" width="9.109375" style="1814"/>
    <col min="11265" max="11265" width="34.88671875" style="1814" customWidth="1"/>
    <col min="11266" max="11266" width="28.109375" style="1814" customWidth="1"/>
    <col min="11267" max="11267" width="23" style="1814" customWidth="1"/>
    <col min="11268" max="11520" width="9.109375" style="1814"/>
    <col min="11521" max="11521" width="34.88671875" style="1814" customWidth="1"/>
    <col min="11522" max="11522" width="28.109375" style="1814" customWidth="1"/>
    <col min="11523" max="11523" width="23" style="1814" customWidth="1"/>
    <col min="11524" max="11776" width="9.109375" style="1814"/>
    <col min="11777" max="11777" width="34.88671875" style="1814" customWidth="1"/>
    <col min="11778" max="11778" width="28.109375" style="1814" customWidth="1"/>
    <col min="11779" max="11779" width="23" style="1814" customWidth="1"/>
    <col min="11780" max="12032" width="9.109375" style="1814"/>
    <col min="12033" max="12033" width="34.88671875" style="1814" customWidth="1"/>
    <col min="12034" max="12034" width="28.109375" style="1814" customWidth="1"/>
    <col min="12035" max="12035" width="23" style="1814" customWidth="1"/>
    <col min="12036" max="12288" width="9.109375" style="1814"/>
    <col min="12289" max="12289" width="34.88671875" style="1814" customWidth="1"/>
    <col min="12290" max="12290" width="28.109375" style="1814" customWidth="1"/>
    <col min="12291" max="12291" width="23" style="1814" customWidth="1"/>
    <col min="12292" max="12544" width="9.109375" style="1814"/>
    <col min="12545" max="12545" width="34.88671875" style="1814" customWidth="1"/>
    <col min="12546" max="12546" width="28.109375" style="1814" customWidth="1"/>
    <col min="12547" max="12547" width="23" style="1814" customWidth="1"/>
    <col min="12548" max="12800" width="9.109375" style="1814"/>
    <col min="12801" max="12801" width="34.88671875" style="1814" customWidth="1"/>
    <col min="12802" max="12802" width="28.109375" style="1814" customWidth="1"/>
    <col min="12803" max="12803" width="23" style="1814" customWidth="1"/>
    <col min="12804" max="13056" width="9.109375" style="1814"/>
    <col min="13057" max="13057" width="34.88671875" style="1814" customWidth="1"/>
    <col min="13058" max="13058" width="28.109375" style="1814" customWidth="1"/>
    <col min="13059" max="13059" width="23" style="1814" customWidth="1"/>
    <col min="13060" max="13312" width="9.109375" style="1814"/>
    <col min="13313" max="13313" width="34.88671875" style="1814" customWidth="1"/>
    <col min="13314" max="13314" width="28.109375" style="1814" customWidth="1"/>
    <col min="13315" max="13315" width="23" style="1814" customWidth="1"/>
    <col min="13316" max="13568" width="9.109375" style="1814"/>
    <col min="13569" max="13569" width="34.88671875" style="1814" customWidth="1"/>
    <col min="13570" max="13570" width="28.109375" style="1814" customWidth="1"/>
    <col min="13571" max="13571" width="23" style="1814" customWidth="1"/>
    <col min="13572" max="13824" width="9.109375" style="1814"/>
    <col min="13825" max="13825" width="34.88671875" style="1814" customWidth="1"/>
    <col min="13826" max="13826" width="28.109375" style="1814" customWidth="1"/>
    <col min="13827" max="13827" width="23" style="1814" customWidth="1"/>
    <col min="13828" max="14080" width="9.109375" style="1814"/>
    <col min="14081" max="14081" width="34.88671875" style="1814" customWidth="1"/>
    <col min="14082" max="14082" width="28.109375" style="1814" customWidth="1"/>
    <col min="14083" max="14083" width="23" style="1814" customWidth="1"/>
    <col min="14084" max="14336" width="9.109375" style="1814"/>
    <col min="14337" max="14337" width="34.88671875" style="1814" customWidth="1"/>
    <col min="14338" max="14338" width="28.109375" style="1814" customWidth="1"/>
    <col min="14339" max="14339" width="23" style="1814" customWidth="1"/>
    <col min="14340" max="14592" width="9.109375" style="1814"/>
    <col min="14593" max="14593" width="34.88671875" style="1814" customWidth="1"/>
    <col min="14594" max="14594" width="28.109375" style="1814" customWidth="1"/>
    <col min="14595" max="14595" width="23" style="1814" customWidth="1"/>
    <col min="14596" max="14848" width="9.109375" style="1814"/>
    <col min="14849" max="14849" width="34.88671875" style="1814" customWidth="1"/>
    <col min="14850" max="14850" width="28.109375" style="1814" customWidth="1"/>
    <col min="14851" max="14851" width="23" style="1814" customWidth="1"/>
    <col min="14852" max="15104" width="9.109375" style="1814"/>
    <col min="15105" max="15105" width="34.88671875" style="1814" customWidth="1"/>
    <col min="15106" max="15106" width="28.109375" style="1814" customWidth="1"/>
    <col min="15107" max="15107" width="23" style="1814" customWidth="1"/>
    <col min="15108" max="15360" width="9.109375" style="1814"/>
    <col min="15361" max="15361" width="34.88671875" style="1814" customWidth="1"/>
    <col min="15362" max="15362" width="28.109375" style="1814" customWidth="1"/>
    <col min="15363" max="15363" width="23" style="1814" customWidth="1"/>
    <col min="15364" max="15616" width="9.109375" style="1814"/>
    <col min="15617" max="15617" width="34.88671875" style="1814" customWidth="1"/>
    <col min="15618" max="15618" width="28.109375" style="1814" customWidth="1"/>
    <col min="15619" max="15619" width="23" style="1814" customWidth="1"/>
    <col min="15620" max="15872" width="9.109375" style="1814"/>
    <col min="15873" max="15873" width="34.88671875" style="1814" customWidth="1"/>
    <col min="15874" max="15874" width="28.109375" style="1814" customWidth="1"/>
    <col min="15875" max="15875" width="23" style="1814" customWidth="1"/>
    <col min="15876" max="16128" width="9.109375" style="1814"/>
    <col min="16129" max="16129" width="34.88671875" style="1814" customWidth="1"/>
    <col min="16130" max="16130" width="28.109375" style="1814" customWidth="1"/>
    <col min="16131" max="16131" width="23" style="1814" customWidth="1"/>
    <col min="16132" max="16384" width="9.109375" style="1814"/>
  </cols>
  <sheetData>
    <row r="1" spans="1:3" ht="14.1" customHeight="1">
      <c r="A1" s="1813" t="s">
        <v>1624</v>
      </c>
    </row>
    <row r="2" spans="1:3" ht="14.1" customHeight="1">
      <c r="A2" s="15516" t="s">
        <v>11698</v>
      </c>
      <c r="B2" s="15516"/>
      <c r="C2" s="15516"/>
    </row>
    <row r="3" spans="1:3" ht="14.1" customHeight="1" thickBot="1"/>
    <row r="4" spans="1:3" ht="14.1" customHeight="1">
      <c r="A4" s="1815" t="s">
        <v>9</v>
      </c>
      <c r="B4" s="1816" t="s">
        <v>9</v>
      </c>
      <c r="C4" s="1817" t="s">
        <v>9</v>
      </c>
    </row>
    <row r="5" spans="1:3" ht="14.1" customHeight="1" thickBot="1">
      <c r="A5" s="1818" t="s">
        <v>460</v>
      </c>
      <c r="B5" s="1819" t="s">
        <v>532</v>
      </c>
      <c r="C5" s="1820" t="s">
        <v>458</v>
      </c>
    </row>
    <row r="6" spans="1:3" ht="14.1" customHeight="1">
      <c r="A6" s="2672"/>
      <c r="B6" s="2673" t="s">
        <v>1625</v>
      </c>
      <c r="C6" s="1821"/>
    </row>
    <row r="7" spans="1:3" ht="14.1" customHeight="1">
      <c r="A7" s="2674" t="s">
        <v>1626</v>
      </c>
      <c r="B7" s="2675"/>
      <c r="C7" s="1822"/>
    </row>
    <row r="8" spans="1:3" ht="14.1" customHeight="1">
      <c r="A8" s="2676" t="s">
        <v>1627</v>
      </c>
      <c r="B8" s="2675"/>
      <c r="C8" s="1822">
        <f>'2019 ps worksheet'!B57</f>
        <v>468681180</v>
      </c>
    </row>
    <row r="9" spans="1:3" ht="14.1" hidden="1" customHeight="1">
      <c r="A9" s="2676" t="s">
        <v>1628</v>
      </c>
      <c r="B9" s="2675"/>
      <c r="C9" s="1822">
        <v>0</v>
      </c>
    </row>
    <row r="10" spans="1:3" ht="14.1" customHeight="1">
      <c r="A10" s="2676" t="s">
        <v>1629</v>
      </c>
      <c r="B10" s="2675"/>
      <c r="C10" s="1822">
        <f>'2019 ps worksheet'!C57</f>
        <v>16659656</v>
      </c>
    </row>
    <row r="11" spans="1:3" ht="14.1" hidden="1" customHeight="1">
      <c r="A11" s="2676" t="s">
        <v>1630</v>
      </c>
      <c r="B11" s="2675"/>
      <c r="C11" s="2678"/>
    </row>
    <row r="12" spans="1:3" ht="14.1" customHeight="1">
      <c r="A12" s="2676" t="s">
        <v>1631</v>
      </c>
      <c r="B12" s="2675"/>
      <c r="C12" s="2681">
        <f>SUM(C8:C11)</f>
        <v>485340836</v>
      </c>
    </row>
    <row r="13" spans="1:3" ht="14.1" customHeight="1">
      <c r="A13" s="2676"/>
      <c r="B13" s="2675"/>
      <c r="C13" s="2680"/>
    </row>
    <row r="14" spans="1:3" ht="14.1" customHeight="1">
      <c r="A14" s="2674" t="s">
        <v>1632</v>
      </c>
      <c r="B14" s="2675"/>
      <c r="C14" s="1822"/>
    </row>
    <row r="15" spans="1:3" ht="14.1" customHeight="1">
      <c r="A15" s="2676" t="s">
        <v>1633</v>
      </c>
      <c r="B15" s="2675"/>
      <c r="C15" s="1822">
        <f>'2019 ps worksheet'!D57</f>
        <v>43008000</v>
      </c>
    </row>
    <row r="16" spans="1:3" ht="14.1" customHeight="1">
      <c r="A16" s="2676" t="s">
        <v>1634</v>
      </c>
      <c r="B16" s="2675"/>
      <c r="C16" s="1822">
        <f>'2019 ps worksheet'!E57</f>
        <v>4824000</v>
      </c>
    </row>
    <row r="17" spans="1:3" ht="14.1" customHeight="1">
      <c r="A17" s="2676" t="s">
        <v>1635</v>
      </c>
      <c r="B17" s="2675"/>
      <c r="C17" s="1822">
        <f>'2019 ps worksheet'!F57</f>
        <v>3042000</v>
      </c>
    </row>
    <row r="18" spans="1:3" ht="14.1" customHeight="1">
      <c r="A18" s="2676" t="s">
        <v>1636</v>
      </c>
      <c r="B18" s="2675"/>
      <c r="C18" s="1822">
        <f>'2019 ps worksheet'!G57</f>
        <v>10752000</v>
      </c>
    </row>
    <row r="19" spans="1:3" ht="15" customHeight="1">
      <c r="A19" s="2676" t="s">
        <v>1637</v>
      </c>
      <c r="B19" s="2675"/>
      <c r="C19" s="1822">
        <f>'2019 ps worksheet'!H57</f>
        <v>6588000</v>
      </c>
    </row>
    <row r="20" spans="1:3" ht="15" customHeight="1">
      <c r="A20" s="2676" t="s">
        <v>11307</v>
      </c>
      <c r="B20" s="9809"/>
      <c r="C20" s="2678">
        <f>'2019 ps worksheet'!I57</f>
        <v>1098000</v>
      </c>
    </row>
    <row r="21" spans="1:3" ht="15" customHeight="1">
      <c r="A21" s="2676" t="s">
        <v>11308</v>
      </c>
      <c r="B21" s="2675"/>
      <c r="C21" s="1822">
        <f>'2019 ps worksheet'!J57</f>
        <v>8960000</v>
      </c>
    </row>
    <row r="22" spans="1:3" ht="15" customHeight="1">
      <c r="A22" s="2676" t="s">
        <v>1642</v>
      </c>
      <c r="B22" s="2675"/>
      <c r="C22" s="1822">
        <f>'2019 ps worksheet'!L57</f>
        <v>5091000</v>
      </c>
    </row>
    <row r="23" spans="1:3" ht="15" customHeight="1">
      <c r="A23" s="2676" t="s">
        <v>10446</v>
      </c>
      <c r="B23" s="6358"/>
      <c r="C23" s="2678">
        <f>'2019 ps worksheet'!K57</f>
        <v>0</v>
      </c>
    </row>
    <row r="24" spans="1:3" ht="14.1" customHeight="1">
      <c r="A24" s="2676" t="s">
        <v>1638</v>
      </c>
      <c r="B24" s="2675"/>
      <c r="C24" s="1822">
        <f>'2019 ps worksheet'!N57</f>
        <v>46232979</v>
      </c>
    </row>
    <row r="25" spans="1:3" ht="14.1" customHeight="1">
      <c r="A25" s="2676" t="s">
        <v>1639</v>
      </c>
      <c r="B25" s="2675"/>
      <c r="C25" s="1822">
        <f>'2019 ps worksheet'!O57</f>
        <v>3718200</v>
      </c>
    </row>
    <row r="26" spans="1:3" ht="14.1" customHeight="1">
      <c r="A26" s="2676" t="s">
        <v>1641</v>
      </c>
      <c r="B26" s="2675"/>
      <c r="C26" s="1822">
        <f>'2019 ps worksheet'!P57</f>
        <v>8960000</v>
      </c>
    </row>
    <row r="27" spans="1:3" ht="14.1" customHeight="1">
      <c r="A27" s="2676" t="s">
        <v>1640</v>
      </c>
      <c r="B27" s="2675"/>
      <c r="C27" s="2678">
        <f>'2019 ps worksheet'!Q57</f>
        <v>80612806</v>
      </c>
    </row>
    <row r="28" spans="1:3" ht="14.1" customHeight="1">
      <c r="A28" s="2676" t="s">
        <v>10444</v>
      </c>
      <c r="B28" s="6358"/>
      <c r="C28" s="2678">
        <f>'2019 ps worksheet'!X57</f>
        <v>936000</v>
      </c>
    </row>
    <row r="29" spans="1:3" ht="14.1" customHeight="1">
      <c r="A29" s="2676" t="s">
        <v>1631</v>
      </c>
      <c r="B29" s="2675"/>
      <c r="C29" s="2681">
        <f>SUM(C15:C28)</f>
        <v>223822985</v>
      </c>
    </row>
    <row r="30" spans="1:3" ht="14.1" customHeight="1">
      <c r="A30" s="2676"/>
      <c r="B30" s="2675"/>
      <c r="C30" s="2680"/>
    </row>
    <row r="31" spans="1:3" ht="14.1" customHeight="1">
      <c r="A31" s="2674" t="s">
        <v>1643</v>
      </c>
      <c r="B31" s="2675"/>
      <c r="C31" s="1821"/>
    </row>
    <row r="32" spans="1:3" ht="14.1" customHeight="1">
      <c r="A32" s="2674" t="s">
        <v>1644</v>
      </c>
      <c r="B32" s="2675"/>
      <c r="C32" s="1821"/>
    </row>
    <row r="33" spans="1:3" ht="14.1" customHeight="1">
      <c r="A33" s="2676" t="s">
        <v>1645</v>
      </c>
      <c r="B33" s="2675"/>
      <c r="C33" s="1822">
        <f>'2019 ps worksheet'!R57</f>
        <v>58180900.319999993</v>
      </c>
    </row>
    <row r="34" spans="1:3" ht="14.1" customHeight="1">
      <c r="A34" s="2676" t="s">
        <v>1646</v>
      </c>
      <c r="B34" s="2675"/>
      <c r="C34" s="1822">
        <f>'2019 ps worksheet'!S57</f>
        <v>2150400</v>
      </c>
    </row>
    <row r="35" spans="1:3" ht="14.1" customHeight="1">
      <c r="A35" s="2676" t="s">
        <v>1647</v>
      </c>
      <c r="B35" s="2675"/>
      <c r="C35" s="1822">
        <f>'2019 ps worksheet'!T57</f>
        <v>5529354.1050000004</v>
      </c>
    </row>
    <row r="36" spans="1:3" ht="14.1" customHeight="1">
      <c r="A36" s="2676" t="s">
        <v>1648</v>
      </c>
      <c r="B36" s="2675"/>
      <c r="C36" s="2678">
        <f>'2019 ps worksheet'!U57</f>
        <v>2150400</v>
      </c>
    </row>
    <row r="37" spans="1:3" ht="14.1" customHeight="1">
      <c r="A37" s="2676" t="s">
        <v>1631</v>
      </c>
      <c r="B37" s="2675"/>
      <c r="C37" s="2681">
        <f>SUM(C33:C36)</f>
        <v>68011054.424999997</v>
      </c>
    </row>
    <row r="38" spans="1:3" ht="14.1" customHeight="1">
      <c r="A38" s="2676"/>
      <c r="B38" s="2675"/>
      <c r="C38" s="2680"/>
    </row>
    <row r="39" spans="1:3" ht="14.1" customHeight="1">
      <c r="A39" s="2674" t="s">
        <v>1649</v>
      </c>
      <c r="B39" s="2675"/>
      <c r="C39" s="1822"/>
    </row>
    <row r="40" spans="1:3" ht="15" customHeight="1">
      <c r="A40" s="2674" t="s">
        <v>1650</v>
      </c>
      <c r="B40" s="2675"/>
      <c r="C40" s="1822"/>
    </row>
    <row r="41" spans="1:3" ht="15" hidden="1" customHeight="1">
      <c r="A41" s="2676" t="s">
        <v>1651</v>
      </c>
      <c r="B41" s="2675"/>
      <c r="C41" s="1822"/>
    </row>
    <row r="42" spans="1:3" ht="15" hidden="1" customHeight="1">
      <c r="A42" s="2676" t="s">
        <v>1652</v>
      </c>
      <c r="B42" s="2675"/>
      <c r="C42" s="1822">
        <v>0</v>
      </c>
    </row>
    <row r="43" spans="1:3" ht="15" customHeight="1">
      <c r="A43" s="2676" t="s">
        <v>1653</v>
      </c>
      <c r="B43" s="2675"/>
      <c r="C43" s="1822">
        <f>'nonoff '!K460</f>
        <v>18132528</v>
      </c>
    </row>
    <row r="44" spans="1:3" ht="15" hidden="1" customHeight="1">
      <c r="A44" s="2676" t="s">
        <v>1654</v>
      </c>
      <c r="B44" s="2675"/>
      <c r="C44" s="1822">
        <v>0</v>
      </c>
    </row>
    <row r="45" spans="1:3" ht="15" customHeight="1">
      <c r="A45" s="2676" t="s">
        <v>4702</v>
      </c>
      <c r="B45" s="2675"/>
      <c r="C45" s="1822">
        <f>'2019 ps worksheet'!Z56</f>
        <v>11596965.324999772</v>
      </c>
    </row>
    <row r="46" spans="1:3" ht="14.1" customHeight="1">
      <c r="A46" s="2676" t="s">
        <v>4701</v>
      </c>
      <c r="B46" s="2675"/>
      <c r="C46" s="2678">
        <f>'2019 ps worksheet'!Y57</f>
        <v>1030000</v>
      </c>
    </row>
    <row r="47" spans="1:3" ht="14.1" customHeight="1">
      <c r="A47" s="2676" t="s">
        <v>10445</v>
      </c>
      <c r="B47" s="6358"/>
      <c r="C47" s="2678">
        <f>'2019 ps worksheet'!W57</f>
        <v>0</v>
      </c>
    </row>
    <row r="48" spans="1:3" ht="14.1" customHeight="1">
      <c r="A48" s="2676" t="s">
        <v>1631</v>
      </c>
      <c r="B48" s="2675"/>
      <c r="C48" s="2681">
        <f>SUM(C42:C47)</f>
        <v>30759493.324999772</v>
      </c>
    </row>
    <row r="49" spans="1:5" ht="14.1" customHeight="1" thickBot="1">
      <c r="A49" s="1823"/>
      <c r="B49" s="2677"/>
      <c r="C49" s="2679"/>
    </row>
    <row r="50" spans="1:5" ht="30" customHeight="1" thickBot="1">
      <c r="A50" s="2669" t="s">
        <v>2151</v>
      </c>
      <c r="B50" s="2670"/>
      <c r="C50" s="2671">
        <f>SUM(C12+C29+C37+C48)</f>
        <v>807934368.74999976</v>
      </c>
      <c r="E50" s="1824"/>
    </row>
    <row r="51" spans="1:5" ht="13.5" customHeight="1">
      <c r="A51" s="1825"/>
      <c r="B51" s="1825"/>
      <c r="C51" s="1825"/>
    </row>
    <row r="52" spans="1:5" ht="13.5" hidden="1" customHeight="1">
      <c r="A52" s="2664" t="s">
        <v>9177</v>
      </c>
      <c r="B52" s="2668" t="s">
        <v>3485</v>
      </c>
      <c r="D52" s="2665"/>
      <c r="E52" s="2665"/>
    </row>
    <row r="53" spans="1:5" s="1826" customFormat="1" ht="13.5" hidden="1" customHeight="1">
      <c r="A53" s="2662"/>
      <c r="B53" s="2662"/>
      <c r="D53" s="2662"/>
      <c r="E53" s="2662"/>
    </row>
    <row r="54" spans="1:5" s="1827" customFormat="1" ht="13.5" hidden="1" customHeight="1">
      <c r="A54" s="2662"/>
      <c r="B54" s="2662"/>
      <c r="D54" s="2662"/>
      <c r="E54" s="2662"/>
    </row>
    <row r="55" spans="1:5" s="5652" customFormat="1" ht="13.5" hidden="1" customHeight="1">
      <c r="A55" s="5656" t="s">
        <v>10165</v>
      </c>
      <c r="C55" s="5643"/>
      <c r="D55" s="2662"/>
      <c r="E55" s="2662"/>
    </row>
    <row r="56" spans="1:5" s="5652" customFormat="1" ht="13.5" hidden="1" customHeight="1">
      <c r="A56" s="5657" t="s">
        <v>10443</v>
      </c>
      <c r="C56" s="5644"/>
      <c r="D56" s="2666"/>
      <c r="E56" s="2667"/>
    </row>
    <row r="57" spans="1:5" ht="13.5" customHeight="1"/>
    <row r="58" spans="1:5" ht="18" customHeight="1"/>
    <row r="59" spans="1:5" ht="18" customHeight="1"/>
  </sheetData>
  <mergeCells count="1">
    <mergeCell ref="A2:C2"/>
  </mergeCells>
  <printOptions horizontalCentered="1"/>
  <pageMargins left="0.5" right="0.25" top="0.5" bottom="1.5" header="0.5" footer="0.25"/>
  <pageSetup paperSize="5" orientation="portrait" r:id="rId1"/>
  <headerFooter alignWithMargins="0"/>
</worksheet>
</file>

<file path=xl/worksheets/sheet217.xml><?xml version="1.0" encoding="utf-8"?>
<worksheet xmlns="http://schemas.openxmlformats.org/spreadsheetml/2006/main" xmlns:r="http://schemas.openxmlformats.org/officeDocument/2006/relationships">
  <sheetPr codeName="Sheet225"/>
  <dimension ref="A1:AF127"/>
  <sheetViews>
    <sheetView showGridLines="0" topLeftCell="A37" zoomScale="90" zoomScaleNormal="90" workbookViewId="0">
      <selection activeCell="F17" sqref="F17"/>
    </sheetView>
  </sheetViews>
  <sheetFormatPr defaultColWidth="10.33203125" defaultRowHeight="15" customHeight="1"/>
  <cols>
    <col min="1" max="1" width="13.33203125" style="9844" customWidth="1"/>
    <col min="2" max="2" width="8.6640625" style="9844" customWidth="1"/>
    <col min="3" max="3" width="32.88671875" style="9865" customWidth="1"/>
    <col min="4" max="4" width="8.6640625" style="9844" customWidth="1"/>
    <col min="5" max="5" width="2.109375" style="9843" customWidth="1"/>
    <col min="6" max="6" width="37.5546875" style="9844" customWidth="1"/>
    <col min="7" max="7" width="8.6640625" style="9844" customWidth="1"/>
    <col min="8" max="8" width="15.88671875" style="9867" hidden="1" customWidth="1"/>
    <col min="9" max="9" width="5" style="9844" hidden="1" customWidth="1"/>
    <col min="10" max="10" width="5.88671875" style="9866" hidden="1" customWidth="1"/>
    <col min="11" max="11" width="2.33203125" style="9844" customWidth="1"/>
    <col min="12" max="12" width="12.6640625" style="9844" hidden="1" customWidth="1"/>
    <col min="13" max="13" width="3.88671875" style="9844" hidden="1" customWidth="1"/>
    <col min="14" max="14" width="15.109375" style="9844" hidden="1" customWidth="1"/>
    <col min="15" max="15" width="14.88671875" style="9844" hidden="1" customWidth="1"/>
    <col min="16" max="16" width="13.5546875" style="9844" hidden="1" customWidth="1"/>
    <col min="17" max="17" width="13" style="9844" hidden="1" customWidth="1"/>
    <col min="18" max="18" width="11.44140625" style="9844" hidden="1" customWidth="1"/>
    <col min="19" max="19" width="14.44140625" style="9844" hidden="1" customWidth="1"/>
    <col min="20" max="20" width="16.33203125" style="9844" hidden="1" customWidth="1"/>
    <col min="21" max="21" width="13.109375" style="9844" hidden="1" customWidth="1"/>
    <col min="22" max="22" width="11.6640625" style="9844" hidden="1" customWidth="1"/>
    <col min="23" max="23" width="11.44140625" style="9844" hidden="1" customWidth="1"/>
    <col min="24" max="24" width="12" style="9844" hidden="1" customWidth="1"/>
    <col min="25" max="25" width="12.6640625" style="9844" hidden="1" customWidth="1"/>
    <col min="26" max="26" width="13.5546875" style="9844" hidden="1" customWidth="1"/>
    <col min="27" max="27" width="16.109375" style="9844" hidden="1" customWidth="1"/>
    <col min="28" max="31" width="0" style="9844" hidden="1" customWidth="1"/>
    <col min="32" max="32" width="11" style="9864" hidden="1" customWidth="1"/>
    <col min="33" max="16384" width="10.33203125" style="9844"/>
  </cols>
  <sheetData>
    <row r="1" spans="1:32" ht="15" customHeight="1">
      <c r="A1" s="15521" t="s">
        <v>11387</v>
      </c>
      <c r="B1" s="15521"/>
      <c r="C1" s="15521"/>
      <c r="D1" s="15521"/>
      <c r="E1" s="15521"/>
      <c r="F1" s="15521"/>
      <c r="G1" s="15521"/>
      <c r="H1" s="10186"/>
      <c r="I1" s="10186"/>
      <c r="J1" s="10186"/>
      <c r="K1" s="10186"/>
    </row>
    <row r="2" spans="1:32" ht="15" customHeight="1">
      <c r="A2" s="15522">
        <v>2018</v>
      </c>
      <c r="B2" s="15522"/>
      <c r="C2" s="15522"/>
      <c r="D2" s="15522"/>
      <c r="E2" s="15522"/>
      <c r="F2" s="15522"/>
      <c r="G2" s="15522"/>
      <c r="H2" s="10187"/>
      <c r="I2" s="10187"/>
      <c r="J2" s="10187"/>
      <c r="K2" s="10187"/>
    </row>
    <row r="3" spans="1:32" s="9923" customFormat="1" ht="15" customHeight="1">
      <c r="A3" s="15519" t="s">
        <v>11381</v>
      </c>
      <c r="B3" s="9926"/>
      <c r="C3" s="15517" t="s">
        <v>11380</v>
      </c>
      <c r="D3" s="15518"/>
      <c r="E3" s="10188"/>
      <c r="F3" s="9930" t="s">
        <v>11320</v>
      </c>
      <c r="G3" s="9926"/>
      <c r="H3" s="9929"/>
      <c r="I3" s="9926"/>
      <c r="J3" s="9928"/>
      <c r="K3" s="9927"/>
      <c r="AF3" s="9924"/>
    </row>
    <row r="4" spans="1:32" s="9923" customFormat="1" ht="15" customHeight="1">
      <c r="A4" s="15520"/>
      <c r="B4" s="9874" t="s">
        <v>11379</v>
      </c>
      <c r="C4" s="9874" t="s">
        <v>1088</v>
      </c>
      <c r="D4" s="9874" t="s">
        <v>11321</v>
      </c>
      <c r="E4" s="10188"/>
      <c r="F4" s="9874" t="s">
        <v>1088</v>
      </c>
      <c r="G4" s="9874" t="s">
        <v>11321</v>
      </c>
      <c r="H4" s="9877"/>
      <c r="J4" s="9925"/>
      <c r="K4" s="9874"/>
      <c r="AF4" s="9924"/>
    </row>
    <row r="5" spans="1:32" ht="15" customHeight="1">
      <c r="A5" s="9847" t="s">
        <v>591</v>
      </c>
      <c r="B5" s="9852"/>
      <c r="C5" s="9885"/>
      <c r="D5" s="9852"/>
      <c r="E5" s="9852"/>
      <c r="F5" s="9856" t="s">
        <v>11333</v>
      </c>
      <c r="G5" s="9852" t="s">
        <v>11334</v>
      </c>
      <c r="H5" s="9911">
        <v>417372</v>
      </c>
      <c r="I5" s="9883">
        <v>1</v>
      </c>
      <c r="J5" s="9866">
        <f>SUM(I5:I6)</f>
        <v>2</v>
      </c>
      <c r="K5" s="9852"/>
    </row>
    <row r="6" spans="1:32" ht="15" customHeight="1">
      <c r="A6" s="9846"/>
      <c r="B6" s="9852"/>
      <c r="C6" s="9885"/>
      <c r="D6" s="9852"/>
      <c r="E6" s="9852"/>
      <c r="F6" s="9848" t="s">
        <v>11335</v>
      </c>
      <c r="G6" s="9852" t="s">
        <v>873</v>
      </c>
      <c r="H6" s="9911">
        <v>242148</v>
      </c>
      <c r="I6" s="9883">
        <v>1</v>
      </c>
      <c r="K6" s="9852"/>
    </row>
    <row r="7" spans="1:32" ht="15" customHeight="1">
      <c r="A7" s="9846"/>
      <c r="B7" s="9852"/>
      <c r="C7" s="9885"/>
      <c r="D7" s="9852"/>
      <c r="E7" s="9852"/>
      <c r="F7" s="9848"/>
      <c r="G7" s="9852"/>
      <c r="H7" s="9911"/>
      <c r="I7" s="9883"/>
      <c r="K7" s="9852"/>
    </row>
    <row r="8" spans="1:32" ht="15" customHeight="1">
      <c r="A8" s="9847" t="s">
        <v>590</v>
      </c>
      <c r="B8" s="9895"/>
      <c r="C8" s="9896"/>
      <c r="D8" s="9895"/>
      <c r="E8" s="9852"/>
      <c r="F8" s="9898" t="s">
        <v>11335</v>
      </c>
      <c r="G8" s="9895" t="s">
        <v>873</v>
      </c>
      <c r="H8" s="9897">
        <v>242148</v>
      </c>
      <c r="I8" s="9890">
        <v>1</v>
      </c>
      <c r="J8" s="9889">
        <f>SUM(I8:I10)</f>
        <v>3</v>
      </c>
      <c r="K8" s="9895"/>
    </row>
    <row r="9" spans="1:32" ht="15" customHeight="1">
      <c r="A9" s="9846"/>
      <c r="B9" s="9852"/>
      <c r="C9" s="9885"/>
      <c r="D9" s="9852"/>
      <c r="E9" s="9852"/>
      <c r="F9" s="9848" t="s">
        <v>11335</v>
      </c>
      <c r="G9" s="9852" t="s">
        <v>873</v>
      </c>
      <c r="H9" s="9911">
        <v>242148</v>
      </c>
      <c r="I9" s="9883">
        <v>1</v>
      </c>
      <c r="J9" s="9882"/>
      <c r="K9" s="9852"/>
    </row>
    <row r="10" spans="1:32" ht="15" customHeight="1">
      <c r="A10" s="9846"/>
      <c r="B10" s="9852"/>
      <c r="C10" s="9885"/>
      <c r="D10" s="9852"/>
      <c r="E10" s="9852"/>
      <c r="F10" s="9848" t="s">
        <v>11335</v>
      </c>
      <c r="G10" s="9852" t="s">
        <v>873</v>
      </c>
      <c r="H10" s="9911">
        <v>242148</v>
      </c>
      <c r="I10" s="9883">
        <v>1</v>
      </c>
      <c r="J10" s="9882"/>
      <c r="K10" s="9852"/>
    </row>
    <row r="11" spans="1:32" ht="15" customHeight="1">
      <c r="A11" s="9854"/>
      <c r="B11" s="9859"/>
      <c r="C11" s="9893"/>
      <c r="D11" s="9859"/>
      <c r="E11" s="9852"/>
      <c r="F11" s="9858"/>
      <c r="G11" s="9859"/>
      <c r="H11" s="9894"/>
      <c r="I11" s="9880"/>
      <c r="J11" s="9879"/>
      <c r="K11" s="9859"/>
    </row>
    <row r="12" spans="1:32" ht="15" customHeight="1">
      <c r="A12" s="9846" t="s">
        <v>589</v>
      </c>
      <c r="B12" s="9852"/>
      <c r="C12" s="9885"/>
      <c r="D12" s="9852"/>
      <c r="E12" s="9852"/>
      <c r="F12" s="9848" t="s">
        <v>11335</v>
      </c>
      <c r="G12" s="9852" t="s">
        <v>873</v>
      </c>
      <c r="H12" s="9911">
        <v>242148</v>
      </c>
      <c r="I12" s="9883">
        <v>1</v>
      </c>
      <c r="J12" s="9866">
        <f>SUM(I12:I14)</f>
        <v>3</v>
      </c>
      <c r="K12" s="9852"/>
    </row>
    <row r="13" spans="1:32" ht="15" customHeight="1">
      <c r="A13" s="9846"/>
      <c r="B13" s="9852"/>
      <c r="C13" s="9885"/>
      <c r="D13" s="9852"/>
      <c r="E13" s="9852"/>
      <c r="F13" s="9848" t="s">
        <v>11335</v>
      </c>
      <c r="G13" s="9852" t="s">
        <v>873</v>
      </c>
      <c r="H13" s="9911">
        <v>242148</v>
      </c>
      <c r="I13" s="9883">
        <v>1</v>
      </c>
      <c r="K13" s="9852"/>
    </row>
    <row r="14" spans="1:32" ht="15" customHeight="1">
      <c r="A14" s="9846"/>
      <c r="B14" s="9852"/>
      <c r="C14" s="9885"/>
      <c r="D14" s="9852"/>
      <c r="E14" s="9852"/>
      <c r="F14" s="9848" t="s">
        <v>11335</v>
      </c>
      <c r="G14" s="9852" t="s">
        <v>873</v>
      </c>
      <c r="H14" s="9911">
        <v>242148</v>
      </c>
      <c r="I14" s="9883">
        <v>1</v>
      </c>
      <c r="K14" s="9852"/>
    </row>
    <row r="15" spans="1:32" ht="15" customHeight="1">
      <c r="A15" s="9846"/>
      <c r="B15" s="9852"/>
      <c r="C15" s="9885"/>
      <c r="D15" s="9852"/>
      <c r="E15" s="9852"/>
      <c r="F15" s="9848"/>
      <c r="G15" s="9852"/>
      <c r="H15" s="9911"/>
      <c r="I15" s="9883"/>
      <c r="K15" s="9852"/>
    </row>
    <row r="16" spans="1:32" ht="15" customHeight="1">
      <c r="A16" s="9847" t="s">
        <v>588</v>
      </c>
      <c r="B16" s="9895"/>
      <c r="C16" s="9896"/>
      <c r="D16" s="9895"/>
      <c r="E16" s="9852"/>
      <c r="F16" s="9898" t="s">
        <v>11327</v>
      </c>
      <c r="G16" s="9895" t="s">
        <v>873</v>
      </c>
      <c r="H16" s="9897">
        <v>242148</v>
      </c>
      <c r="I16" s="9890">
        <v>1</v>
      </c>
      <c r="J16" s="9889">
        <f>SUM(I16:I19)</f>
        <v>4</v>
      </c>
      <c r="K16" s="9895"/>
    </row>
    <row r="17" spans="1:32" s="9866" customFormat="1" ht="15" customHeight="1">
      <c r="A17" s="9846"/>
      <c r="B17" s="9852"/>
      <c r="C17" s="9885"/>
      <c r="D17" s="9852"/>
      <c r="E17" s="9852"/>
      <c r="F17" s="9848" t="s">
        <v>11333</v>
      </c>
      <c r="G17" s="9852" t="s">
        <v>11334</v>
      </c>
      <c r="H17" s="9911">
        <v>417372</v>
      </c>
      <c r="I17" s="9883">
        <v>1</v>
      </c>
      <c r="J17" s="9882"/>
      <c r="K17" s="9852"/>
      <c r="L17" s="9844"/>
      <c r="M17" s="9844"/>
      <c r="N17" s="9844"/>
      <c r="O17" s="9844"/>
      <c r="P17" s="9844"/>
      <c r="Q17" s="9844"/>
      <c r="R17" s="9844"/>
      <c r="S17" s="9844"/>
      <c r="T17" s="9844"/>
      <c r="U17" s="9844"/>
      <c r="V17" s="9844"/>
      <c r="W17" s="9844"/>
      <c r="X17" s="9844"/>
      <c r="Y17" s="9844"/>
      <c r="Z17" s="9844"/>
      <c r="AA17" s="9844"/>
      <c r="AF17" s="9920"/>
    </row>
    <row r="18" spans="1:32" s="9866" customFormat="1" ht="15" customHeight="1">
      <c r="A18" s="9846"/>
      <c r="B18" s="9852"/>
      <c r="C18" s="9885"/>
      <c r="D18" s="9852"/>
      <c r="E18" s="9852"/>
      <c r="F18" s="9848" t="s">
        <v>11335</v>
      </c>
      <c r="G18" s="9852" t="s">
        <v>873</v>
      </c>
      <c r="H18" s="9911">
        <v>242148</v>
      </c>
      <c r="I18" s="9883">
        <v>1</v>
      </c>
      <c r="J18" s="9882"/>
      <c r="K18" s="9852"/>
      <c r="L18" s="9844"/>
      <c r="M18" s="9844"/>
      <c r="N18" s="9844"/>
      <c r="O18" s="9844"/>
      <c r="P18" s="9844"/>
      <c r="Q18" s="9844"/>
      <c r="R18" s="9844"/>
      <c r="S18" s="9844"/>
      <c r="T18" s="9844"/>
      <c r="U18" s="9844"/>
      <c r="V18" s="9844"/>
      <c r="W18" s="9844"/>
      <c r="X18" s="9844"/>
      <c r="Y18" s="9844"/>
      <c r="Z18" s="9844"/>
      <c r="AA18" s="9844"/>
      <c r="AF18" s="9920"/>
    </row>
    <row r="19" spans="1:32" s="9866" customFormat="1" ht="15" customHeight="1">
      <c r="A19" s="9846"/>
      <c r="B19" s="9852"/>
      <c r="C19" s="9885"/>
      <c r="D19" s="9852"/>
      <c r="E19" s="9852"/>
      <c r="F19" s="9848" t="s">
        <v>11335</v>
      </c>
      <c r="G19" s="9852" t="s">
        <v>873</v>
      </c>
      <c r="H19" s="9911">
        <v>242148</v>
      </c>
      <c r="I19" s="9883">
        <v>1</v>
      </c>
      <c r="J19" s="9882"/>
      <c r="K19" s="9852"/>
      <c r="L19" s="9844"/>
      <c r="M19" s="9844"/>
      <c r="N19" s="9844"/>
      <c r="O19" s="9844"/>
      <c r="P19" s="9844"/>
      <c r="Q19" s="9844"/>
      <c r="R19" s="9844"/>
      <c r="S19" s="9844"/>
      <c r="T19" s="9844"/>
      <c r="U19" s="9844"/>
      <c r="V19" s="9844"/>
      <c r="W19" s="9844"/>
      <c r="X19" s="9844"/>
      <c r="Y19" s="9844"/>
      <c r="Z19" s="9844"/>
      <c r="AA19" s="9844"/>
      <c r="AF19" s="9920"/>
    </row>
    <row r="20" spans="1:32" s="9866" customFormat="1" ht="15" customHeight="1">
      <c r="A20" s="9854"/>
      <c r="B20" s="9859"/>
      <c r="C20" s="9893"/>
      <c r="D20" s="9859"/>
      <c r="E20" s="9852"/>
      <c r="F20" s="9858"/>
      <c r="G20" s="9859"/>
      <c r="H20" s="9894"/>
      <c r="I20" s="9880"/>
      <c r="J20" s="9879"/>
      <c r="K20" s="9859"/>
      <c r="L20" s="9844"/>
      <c r="M20" s="9844"/>
      <c r="N20" s="9844"/>
      <c r="O20" s="9844"/>
      <c r="P20" s="9844"/>
      <c r="Q20" s="9844"/>
      <c r="R20" s="9844"/>
      <c r="S20" s="9844"/>
      <c r="T20" s="9844"/>
      <c r="U20" s="9844"/>
      <c r="V20" s="9844"/>
      <c r="W20" s="9844"/>
      <c r="X20" s="9844"/>
      <c r="Y20" s="9844"/>
      <c r="Z20" s="9844"/>
      <c r="AA20" s="9844"/>
      <c r="AF20" s="9920"/>
    </row>
    <row r="21" spans="1:32" ht="15" customHeight="1">
      <c r="A21" s="9846" t="s">
        <v>587</v>
      </c>
      <c r="B21" s="9852"/>
      <c r="C21" s="9885"/>
      <c r="D21" s="9852"/>
      <c r="E21" s="9852"/>
      <c r="F21" s="9848" t="s">
        <v>11333</v>
      </c>
      <c r="G21" s="9852" t="s">
        <v>11334</v>
      </c>
      <c r="H21" s="9911">
        <v>417372</v>
      </c>
      <c r="I21" s="9883">
        <v>1</v>
      </c>
      <c r="J21" s="9866">
        <f>SUM(I21:I23)</f>
        <v>3</v>
      </c>
      <c r="K21" s="9852"/>
    </row>
    <row r="22" spans="1:32" ht="15" customHeight="1">
      <c r="A22" s="9846"/>
      <c r="B22" s="9852"/>
      <c r="C22" s="9885"/>
      <c r="D22" s="9852"/>
      <c r="E22" s="9852"/>
      <c r="F22" s="9848" t="s">
        <v>11335</v>
      </c>
      <c r="G22" s="9852" t="s">
        <v>873</v>
      </c>
      <c r="H22" s="9911">
        <v>242148</v>
      </c>
      <c r="I22" s="9883">
        <v>1</v>
      </c>
      <c r="K22" s="9852"/>
    </row>
    <row r="23" spans="1:32" ht="15" customHeight="1">
      <c r="A23" s="9846"/>
      <c r="B23" s="9852"/>
      <c r="C23" s="9885"/>
      <c r="D23" s="9852"/>
      <c r="E23" s="9852"/>
      <c r="F23" s="9848" t="s">
        <v>11335</v>
      </c>
      <c r="G23" s="9852" t="s">
        <v>873</v>
      </c>
      <c r="H23" s="9911">
        <v>242148</v>
      </c>
      <c r="I23" s="9883">
        <v>1</v>
      </c>
      <c r="K23" s="9852"/>
    </row>
    <row r="24" spans="1:32" ht="15" customHeight="1">
      <c r="A24" s="9846"/>
      <c r="B24" s="9852"/>
      <c r="C24" s="9885"/>
      <c r="D24" s="9852"/>
      <c r="E24" s="9852"/>
      <c r="F24" s="9848"/>
      <c r="G24" s="9852"/>
      <c r="H24" s="9911"/>
      <c r="I24" s="9883"/>
      <c r="K24" s="9852"/>
    </row>
    <row r="25" spans="1:32" ht="15" customHeight="1">
      <c r="A25" s="9847" t="s">
        <v>586</v>
      </c>
      <c r="B25" s="9895"/>
      <c r="C25" s="9896"/>
      <c r="D25" s="9895"/>
      <c r="E25" s="9852"/>
      <c r="F25" s="9898" t="s">
        <v>11335</v>
      </c>
      <c r="G25" s="9895" t="s">
        <v>873</v>
      </c>
      <c r="H25" s="9897">
        <v>242148</v>
      </c>
      <c r="I25" s="9890">
        <v>1</v>
      </c>
      <c r="J25" s="9889">
        <f>SUM(I25:I27)</f>
        <v>3</v>
      </c>
      <c r="K25" s="9895"/>
    </row>
    <row r="26" spans="1:32" ht="15" customHeight="1">
      <c r="A26" s="9846"/>
      <c r="B26" s="9852"/>
      <c r="C26" s="9885"/>
      <c r="D26" s="9852"/>
      <c r="E26" s="9852"/>
      <c r="F26" s="9848" t="s">
        <v>11335</v>
      </c>
      <c r="G26" s="9852" t="s">
        <v>873</v>
      </c>
      <c r="H26" s="9911">
        <v>242148</v>
      </c>
      <c r="I26" s="9883">
        <v>1</v>
      </c>
      <c r="J26" s="9882"/>
      <c r="K26" s="9852"/>
    </row>
    <row r="27" spans="1:32" ht="15" customHeight="1">
      <c r="A27" s="9846"/>
      <c r="B27" s="9852"/>
      <c r="C27" s="9885"/>
      <c r="D27" s="9852"/>
      <c r="E27" s="9852"/>
      <c r="F27" s="9848" t="s">
        <v>11335</v>
      </c>
      <c r="G27" s="9852" t="s">
        <v>873</v>
      </c>
      <c r="H27" s="9911">
        <v>242148</v>
      </c>
      <c r="I27" s="9883">
        <v>1</v>
      </c>
      <c r="J27" s="9882"/>
      <c r="K27" s="9852"/>
    </row>
    <row r="28" spans="1:32" ht="15" customHeight="1">
      <c r="A28" s="9854"/>
      <c r="B28" s="9859"/>
      <c r="C28" s="9893"/>
      <c r="D28" s="9859"/>
      <c r="E28" s="9852"/>
      <c r="F28" s="9858"/>
      <c r="G28" s="9859"/>
      <c r="H28" s="9894"/>
      <c r="I28" s="9880"/>
      <c r="J28" s="9879"/>
      <c r="K28" s="9859"/>
    </row>
    <row r="29" spans="1:32" ht="15" customHeight="1">
      <c r="A29" s="9846" t="s">
        <v>585</v>
      </c>
      <c r="B29" s="9852"/>
      <c r="C29" s="9885"/>
      <c r="D29" s="9852"/>
      <c r="E29" s="9852"/>
      <c r="F29" s="9848" t="s">
        <v>11335</v>
      </c>
      <c r="G29" s="9852" t="s">
        <v>873</v>
      </c>
      <c r="H29" s="9911">
        <v>242148</v>
      </c>
      <c r="I29" s="9883">
        <v>1</v>
      </c>
      <c r="J29" s="9866">
        <f>SUM(I29:I31)</f>
        <v>3</v>
      </c>
      <c r="K29" s="9852"/>
    </row>
    <row r="30" spans="1:32" ht="15" customHeight="1">
      <c r="A30" s="9846"/>
      <c r="B30" s="9852"/>
      <c r="C30" s="9885"/>
      <c r="D30" s="9852"/>
      <c r="E30" s="9852"/>
      <c r="F30" s="9848" t="s">
        <v>11335</v>
      </c>
      <c r="G30" s="9852" t="s">
        <v>873</v>
      </c>
      <c r="H30" s="9911">
        <v>242148</v>
      </c>
      <c r="I30" s="9883">
        <v>1</v>
      </c>
      <c r="K30" s="9852"/>
    </row>
    <row r="31" spans="1:32" ht="15" customHeight="1">
      <c r="A31" s="9846"/>
      <c r="B31" s="9852"/>
      <c r="C31" s="9885"/>
      <c r="D31" s="9852"/>
      <c r="E31" s="9852"/>
      <c r="F31" s="9848" t="s">
        <v>11339</v>
      </c>
      <c r="G31" s="9852" t="s">
        <v>11340</v>
      </c>
      <c r="H31" s="9918">
        <v>457020</v>
      </c>
      <c r="I31" s="9883">
        <v>1</v>
      </c>
      <c r="K31" s="9852"/>
    </row>
    <row r="32" spans="1:32" ht="15" customHeight="1">
      <c r="A32" s="9846"/>
      <c r="B32" s="9852"/>
      <c r="C32" s="9885"/>
      <c r="D32" s="9852"/>
      <c r="E32" s="9852"/>
      <c r="F32" s="9848"/>
      <c r="G32" s="9852"/>
      <c r="H32" s="9918"/>
      <c r="I32" s="9883"/>
      <c r="K32" s="9852"/>
    </row>
    <row r="33" spans="1:32" ht="15" customHeight="1">
      <c r="A33" s="9847" t="s">
        <v>584</v>
      </c>
      <c r="B33" s="9895"/>
      <c r="C33" s="9896"/>
      <c r="D33" s="9895"/>
      <c r="E33" s="9852"/>
      <c r="F33" s="9922" t="s">
        <v>11327</v>
      </c>
      <c r="G33" s="9895" t="s">
        <v>913</v>
      </c>
      <c r="H33" s="9897">
        <v>224616</v>
      </c>
      <c r="I33" s="9890">
        <v>1</v>
      </c>
      <c r="J33" s="9889">
        <f>SUM(I33:I35)</f>
        <v>3</v>
      </c>
      <c r="K33" s="9895"/>
    </row>
    <row r="34" spans="1:32" ht="15" customHeight="1">
      <c r="A34" s="9846"/>
      <c r="B34" s="9852"/>
      <c r="C34" s="9885"/>
      <c r="D34" s="9852"/>
      <c r="E34" s="9852"/>
      <c r="F34" s="9851" t="s">
        <v>11341</v>
      </c>
      <c r="G34" s="9852" t="s">
        <v>11342</v>
      </c>
      <c r="H34" s="9911">
        <v>564444</v>
      </c>
      <c r="I34" s="9883">
        <v>1</v>
      </c>
      <c r="J34" s="9882"/>
      <c r="K34" s="9852"/>
    </row>
    <row r="35" spans="1:32" ht="15" customHeight="1">
      <c r="A35" s="9846"/>
      <c r="B35" s="9852"/>
      <c r="C35" s="9885"/>
      <c r="D35" s="9852"/>
      <c r="E35" s="9852"/>
      <c r="F35" s="9848" t="s">
        <v>11335</v>
      </c>
      <c r="G35" s="9852" t="s">
        <v>873</v>
      </c>
      <c r="H35" s="9911">
        <v>242148</v>
      </c>
      <c r="I35" s="9883">
        <v>1</v>
      </c>
      <c r="J35" s="9882"/>
      <c r="K35" s="9852"/>
    </row>
    <row r="36" spans="1:32" ht="15" customHeight="1">
      <c r="A36" s="9854"/>
      <c r="B36" s="9859"/>
      <c r="C36" s="9893"/>
      <c r="D36" s="9859"/>
      <c r="E36" s="9852"/>
      <c r="F36" s="9858"/>
      <c r="G36" s="9859"/>
      <c r="H36" s="9894"/>
      <c r="I36" s="9880"/>
      <c r="J36" s="9879"/>
      <c r="K36" s="9859"/>
    </row>
    <row r="37" spans="1:32" ht="15" customHeight="1">
      <c r="A37" s="9846" t="s">
        <v>583</v>
      </c>
      <c r="B37" s="9852"/>
      <c r="C37" s="9885"/>
      <c r="D37" s="9852"/>
      <c r="E37" s="9852"/>
      <c r="F37" s="9851" t="s">
        <v>11341</v>
      </c>
      <c r="G37" s="9852" t="s">
        <v>11342</v>
      </c>
      <c r="H37" s="9911">
        <v>564444</v>
      </c>
      <c r="I37" s="9883">
        <v>1</v>
      </c>
      <c r="J37" s="9866">
        <f>SUM(I37:I39)</f>
        <v>3</v>
      </c>
      <c r="K37" s="9852"/>
    </row>
    <row r="38" spans="1:32" ht="15" customHeight="1">
      <c r="A38" s="9846"/>
      <c r="B38" s="9852"/>
      <c r="C38" s="9885"/>
      <c r="D38" s="9852"/>
      <c r="E38" s="9852"/>
      <c r="F38" s="9856" t="s">
        <v>11333</v>
      </c>
      <c r="G38" s="9852" t="s">
        <v>11334</v>
      </c>
      <c r="H38" s="9911">
        <v>417372</v>
      </c>
      <c r="I38" s="9883">
        <v>1</v>
      </c>
      <c r="K38" s="9852"/>
    </row>
    <row r="39" spans="1:32" ht="15" customHeight="1">
      <c r="A39" s="9846"/>
      <c r="B39" s="9852"/>
      <c r="C39" s="9885"/>
      <c r="D39" s="9852"/>
      <c r="E39" s="9852"/>
      <c r="F39" s="9848" t="s">
        <v>11327</v>
      </c>
      <c r="G39" s="9852" t="s">
        <v>873</v>
      </c>
      <c r="H39" s="9911">
        <v>242148</v>
      </c>
      <c r="I39" s="9883">
        <v>1</v>
      </c>
      <c r="K39" s="9852"/>
    </row>
    <row r="40" spans="1:32" ht="15" customHeight="1">
      <c r="A40" s="9846"/>
      <c r="B40" s="9852"/>
      <c r="C40" s="9885"/>
      <c r="D40" s="9852"/>
      <c r="E40" s="9852"/>
      <c r="F40" s="9848"/>
      <c r="G40" s="9852"/>
      <c r="H40" s="9911"/>
      <c r="I40" s="9883"/>
      <c r="K40" s="9852"/>
    </row>
    <row r="41" spans="1:32" ht="15" customHeight="1">
      <c r="A41" s="9847" t="s">
        <v>582</v>
      </c>
      <c r="B41" s="9895"/>
      <c r="C41" s="9896"/>
      <c r="D41" s="9895"/>
      <c r="E41" s="9852"/>
      <c r="F41" s="9898" t="s">
        <v>11336</v>
      </c>
      <c r="G41" s="9895" t="s">
        <v>873</v>
      </c>
      <c r="H41" s="9921">
        <v>242148</v>
      </c>
      <c r="I41" s="9890">
        <v>1</v>
      </c>
      <c r="J41" s="9889">
        <f>SUM(I41:I48)</f>
        <v>8</v>
      </c>
      <c r="K41" s="9895"/>
    </row>
    <row r="42" spans="1:32" s="9866" customFormat="1" ht="15" customHeight="1">
      <c r="A42" s="9846"/>
      <c r="B42" s="9852"/>
      <c r="C42" s="9885"/>
      <c r="D42" s="9852"/>
      <c r="E42" s="9852"/>
      <c r="F42" s="9848" t="s">
        <v>11327</v>
      </c>
      <c r="G42" s="9852" t="s">
        <v>913</v>
      </c>
      <c r="H42" s="9911">
        <v>224616</v>
      </c>
      <c r="I42" s="9883">
        <v>1</v>
      </c>
      <c r="J42" s="9882"/>
      <c r="K42" s="9852"/>
      <c r="L42" s="9844"/>
      <c r="M42" s="9844"/>
      <c r="N42" s="9844"/>
      <c r="O42" s="9844"/>
      <c r="P42" s="9844"/>
      <c r="Q42" s="9844"/>
      <c r="R42" s="9844"/>
      <c r="S42" s="9844"/>
      <c r="T42" s="9844"/>
      <c r="U42" s="9844"/>
      <c r="V42" s="9844"/>
      <c r="W42" s="9844"/>
      <c r="X42" s="9844"/>
      <c r="Y42" s="9844"/>
      <c r="Z42" s="9844"/>
      <c r="AA42" s="9844"/>
      <c r="AF42" s="9920"/>
    </row>
    <row r="43" spans="1:32" s="9866" customFormat="1" ht="15" customHeight="1">
      <c r="A43" s="9846"/>
      <c r="B43" s="9852"/>
      <c r="C43" s="9885"/>
      <c r="D43" s="9852"/>
      <c r="E43" s="9852"/>
      <c r="F43" s="9848" t="s">
        <v>11333</v>
      </c>
      <c r="G43" s="9852" t="s">
        <v>11334</v>
      </c>
      <c r="H43" s="9911">
        <v>417372</v>
      </c>
      <c r="I43" s="9883">
        <v>1</v>
      </c>
      <c r="J43" s="9882"/>
      <c r="K43" s="9852"/>
      <c r="L43" s="9844"/>
      <c r="M43" s="9844"/>
      <c r="N43" s="9844"/>
      <c r="O43" s="9844"/>
      <c r="P43" s="9844"/>
      <c r="Q43" s="9844"/>
      <c r="R43" s="9844"/>
      <c r="S43" s="9844"/>
      <c r="T43" s="9844"/>
      <c r="U43" s="9844"/>
      <c r="V43" s="9844"/>
      <c r="W43" s="9844"/>
      <c r="X43" s="9844"/>
      <c r="Y43" s="9844"/>
      <c r="Z43" s="9844"/>
      <c r="AA43" s="9844"/>
      <c r="AF43" s="9920"/>
    </row>
    <row r="44" spans="1:32" s="9866" customFormat="1" ht="15" customHeight="1">
      <c r="A44" s="9846"/>
      <c r="B44" s="9852"/>
      <c r="C44" s="9885"/>
      <c r="D44" s="9852"/>
      <c r="E44" s="9852"/>
      <c r="F44" s="9856" t="s">
        <v>11335</v>
      </c>
      <c r="G44" s="9852" t="s">
        <v>873</v>
      </c>
      <c r="H44" s="9911">
        <v>242148</v>
      </c>
      <c r="I44" s="9883">
        <v>1</v>
      </c>
      <c r="J44" s="9882"/>
      <c r="K44" s="9852"/>
      <c r="L44" s="9844"/>
      <c r="M44" s="9844"/>
      <c r="N44" s="9844"/>
      <c r="O44" s="9844"/>
      <c r="P44" s="9844"/>
      <c r="Q44" s="9844"/>
      <c r="R44" s="9844"/>
      <c r="S44" s="9844"/>
      <c r="T44" s="9844"/>
      <c r="U44" s="9844"/>
      <c r="V44" s="9844"/>
      <c r="W44" s="9844"/>
      <c r="X44" s="9844"/>
      <c r="Y44" s="9844"/>
      <c r="Z44" s="9844"/>
      <c r="AA44" s="9844"/>
      <c r="AF44" s="9920"/>
    </row>
    <row r="45" spans="1:32" s="9866" customFormat="1" ht="15" customHeight="1">
      <c r="A45" s="9846"/>
      <c r="B45" s="9852"/>
      <c r="C45" s="9885"/>
      <c r="D45" s="9852"/>
      <c r="E45" s="9852"/>
      <c r="F45" s="9856" t="s">
        <v>11335</v>
      </c>
      <c r="G45" s="9852" t="s">
        <v>873</v>
      </c>
      <c r="H45" s="9911">
        <v>242148</v>
      </c>
      <c r="I45" s="9883">
        <v>1</v>
      </c>
      <c r="J45" s="9882"/>
      <c r="K45" s="9852"/>
      <c r="L45" s="9844"/>
      <c r="M45" s="9844"/>
      <c r="N45" s="9844"/>
      <c r="O45" s="9844"/>
      <c r="P45" s="9844"/>
      <c r="Q45" s="9844"/>
      <c r="R45" s="9844"/>
      <c r="S45" s="9844"/>
      <c r="T45" s="9844"/>
      <c r="U45" s="9844"/>
      <c r="V45" s="9844"/>
      <c r="W45" s="9844"/>
      <c r="X45" s="9844"/>
      <c r="Y45" s="9844"/>
      <c r="Z45" s="9844"/>
      <c r="AA45" s="9844"/>
      <c r="AF45" s="9920"/>
    </row>
    <row r="46" spans="1:32" s="9866" customFormat="1" ht="15" customHeight="1">
      <c r="A46" s="9846"/>
      <c r="B46" s="9852"/>
      <c r="C46" s="9885"/>
      <c r="D46" s="9852"/>
      <c r="E46" s="9852"/>
      <c r="F46" s="9856" t="s">
        <v>11335</v>
      </c>
      <c r="G46" s="9852" t="s">
        <v>873</v>
      </c>
      <c r="H46" s="9911">
        <v>242148</v>
      </c>
      <c r="I46" s="9883">
        <v>1</v>
      </c>
      <c r="J46" s="9882"/>
      <c r="K46" s="9852"/>
      <c r="L46" s="9844"/>
      <c r="M46" s="9844"/>
      <c r="N46" s="9844"/>
      <c r="O46" s="9844"/>
      <c r="P46" s="9844"/>
      <c r="Q46" s="9844"/>
      <c r="R46" s="9844"/>
      <c r="S46" s="9844"/>
      <c r="T46" s="9844"/>
      <c r="U46" s="9844"/>
      <c r="V46" s="9844"/>
      <c r="W46" s="9844"/>
      <c r="X46" s="9844"/>
      <c r="Y46" s="9844"/>
      <c r="Z46" s="9844"/>
      <c r="AA46" s="9844"/>
      <c r="AF46" s="9920"/>
    </row>
    <row r="47" spans="1:32" s="9866" customFormat="1" ht="15" customHeight="1">
      <c r="A47" s="9846"/>
      <c r="B47" s="9852"/>
      <c r="C47" s="9885"/>
      <c r="D47" s="9852"/>
      <c r="E47" s="9852"/>
      <c r="F47" s="9856" t="s">
        <v>11335</v>
      </c>
      <c r="G47" s="9852" t="s">
        <v>873</v>
      </c>
      <c r="H47" s="9911">
        <v>242148</v>
      </c>
      <c r="I47" s="9883">
        <v>1</v>
      </c>
      <c r="J47" s="9882"/>
      <c r="K47" s="9852"/>
      <c r="L47" s="9844"/>
      <c r="M47" s="9844"/>
      <c r="N47" s="9844"/>
      <c r="O47" s="9844"/>
      <c r="P47" s="9844"/>
      <c r="Q47" s="9844"/>
      <c r="R47" s="9844"/>
      <c r="S47" s="9844"/>
      <c r="T47" s="9844"/>
      <c r="U47" s="9844"/>
      <c r="V47" s="9844"/>
      <c r="W47" s="9844"/>
      <c r="X47" s="9844"/>
      <c r="Y47" s="9844"/>
      <c r="Z47" s="9844"/>
      <c r="AA47" s="9844"/>
      <c r="AF47" s="9920"/>
    </row>
    <row r="48" spans="1:32" ht="15" customHeight="1">
      <c r="A48" s="9846"/>
      <c r="B48" s="9852"/>
      <c r="C48" s="9885"/>
      <c r="D48" s="9852"/>
      <c r="E48" s="9852"/>
      <c r="F48" s="9848" t="s">
        <v>11339</v>
      </c>
      <c r="G48" s="9852" t="s">
        <v>11340</v>
      </c>
      <c r="H48" s="9918">
        <v>457020</v>
      </c>
      <c r="I48" s="9883">
        <v>1</v>
      </c>
      <c r="J48" s="9882"/>
      <c r="K48" s="9852"/>
    </row>
    <row r="49" spans="1:32" ht="15" customHeight="1">
      <c r="A49" s="9854"/>
      <c r="B49" s="9859"/>
      <c r="C49" s="9893"/>
      <c r="D49" s="9859"/>
      <c r="E49" s="9852"/>
      <c r="F49" s="9858"/>
      <c r="G49" s="9859"/>
      <c r="H49" s="9919"/>
      <c r="I49" s="9880"/>
      <c r="J49" s="9879"/>
      <c r="K49" s="9859"/>
    </row>
    <row r="50" spans="1:32" ht="15" customHeight="1">
      <c r="A50" s="9846" t="s">
        <v>581</v>
      </c>
      <c r="B50" s="9852" t="s">
        <v>11378</v>
      </c>
      <c r="C50" s="9885" t="s">
        <v>10396</v>
      </c>
      <c r="D50" s="9852" t="s">
        <v>876</v>
      </c>
      <c r="E50" s="9852"/>
      <c r="F50" s="9856" t="s">
        <v>11343</v>
      </c>
      <c r="G50" s="9852" t="s">
        <v>11344</v>
      </c>
      <c r="H50" s="9911">
        <v>505188</v>
      </c>
      <c r="I50" s="9883">
        <v>1</v>
      </c>
      <c r="J50" s="9866">
        <f>SUM(I50:I52)</f>
        <v>3</v>
      </c>
      <c r="K50" s="9852"/>
      <c r="AF50" s="9864">
        <v>167676</v>
      </c>
    </row>
    <row r="51" spans="1:32" ht="15" customHeight="1">
      <c r="A51" s="9846"/>
      <c r="B51" s="9852" t="s">
        <v>11377</v>
      </c>
      <c r="C51" s="9885" t="s">
        <v>10396</v>
      </c>
      <c r="D51" s="9852" t="s">
        <v>876</v>
      </c>
      <c r="E51" s="9852"/>
      <c r="F51" s="9856" t="s">
        <v>11341</v>
      </c>
      <c r="G51" s="9852" t="s">
        <v>11342</v>
      </c>
      <c r="H51" s="9911">
        <v>564444</v>
      </c>
      <c r="I51" s="9883">
        <v>1</v>
      </c>
      <c r="K51" s="9852"/>
      <c r="AF51" s="9864">
        <v>176772</v>
      </c>
    </row>
    <row r="52" spans="1:32" ht="15" customHeight="1">
      <c r="A52" s="9846"/>
      <c r="B52" s="9857">
        <v>698</v>
      </c>
      <c r="C52" s="9885" t="s">
        <v>10396</v>
      </c>
      <c r="D52" s="9852" t="s">
        <v>876</v>
      </c>
      <c r="E52" s="9852"/>
      <c r="F52" s="9851" t="s">
        <v>11345</v>
      </c>
      <c r="G52" s="9857">
        <v>25</v>
      </c>
      <c r="H52" s="9918">
        <v>989268</v>
      </c>
      <c r="I52" s="9883">
        <v>1</v>
      </c>
      <c r="K52" s="9857"/>
      <c r="AF52" s="9864">
        <v>167676</v>
      </c>
    </row>
    <row r="53" spans="1:32" ht="15" customHeight="1">
      <c r="A53" s="9846"/>
      <c r="B53" s="9857">
        <v>706</v>
      </c>
      <c r="C53" s="9885" t="s">
        <v>10396</v>
      </c>
      <c r="D53" s="9852" t="s">
        <v>876</v>
      </c>
      <c r="E53" s="9852"/>
      <c r="F53" s="9851"/>
      <c r="G53" s="9857"/>
      <c r="H53" s="9918"/>
      <c r="I53" s="9883"/>
      <c r="K53" s="9857"/>
      <c r="AF53" s="9864">
        <v>176772</v>
      </c>
    </row>
    <row r="54" spans="1:32" ht="15" customHeight="1">
      <c r="A54" s="9846"/>
      <c r="B54" s="9857"/>
      <c r="C54" s="9856"/>
      <c r="D54" s="9857"/>
      <c r="E54" s="9857"/>
      <c r="F54" s="9851"/>
      <c r="G54" s="9857"/>
      <c r="H54" s="9918"/>
      <c r="I54" s="9883"/>
      <c r="K54" s="9857"/>
    </row>
    <row r="55" spans="1:32" ht="15" customHeight="1">
      <c r="A55" s="9847" t="s">
        <v>600</v>
      </c>
      <c r="B55" s="9895" t="s">
        <v>11376</v>
      </c>
      <c r="C55" s="9905" t="s">
        <v>859</v>
      </c>
      <c r="D55" s="9895" t="s">
        <v>876</v>
      </c>
      <c r="E55" s="9852"/>
      <c r="F55" s="9898" t="s">
        <v>865</v>
      </c>
      <c r="G55" s="9895" t="s">
        <v>884</v>
      </c>
      <c r="H55" s="9897">
        <v>126120</v>
      </c>
      <c r="I55" s="9890">
        <v>1</v>
      </c>
      <c r="J55" s="9889">
        <f>SUM(I55:I57)</f>
        <v>3</v>
      </c>
      <c r="K55" s="9895"/>
      <c r="L55" s="9899"/>
      <c r="AF55" s="9864">
        <v>166212</v>
      </c>
    </row>
    <row r="56" spans="1:32" ht="15" customHeight="1">
      <c r="A56" s="9846"/>
      <c r="B56" s="9852" t="s">
        <v>11375</v>
      </c>
      <c r="C56" s="9849" t="s">
        <v>11325</v>
      </c>
      <c r="D56" s="9852" t="s">
        <v>888</v>
      </c>
      <c r="E56" s="9852"/>
      <c r="F56" s="9848" t="s">
        <v>865</v>
      </c>
      <c r="G56" s="9852" t="s">
        <v>884</v>
      </c>
      <c r="H56" s="9911">
        <v>126120</v>
      </c>
      <c r="I56" s="9883">
        <v>1</v>
      </c>
      <c r="J56" s="9882"/>
      <c r="K56" s="9852"/>
      <c r="L56" s="9899"/>
      <c r="AF56" s="9864">
        <v>145860</v>
      </c>
    </row>
    <row r="57" spans="1:32" ht="15" customHeight="1">
      <c r="A57" s="9846"/>
      <c r="B57" s="9852"/>
      <c r="C57" s="9885"/>
      <c r="D57" s="9852"/>
      <c r="E57" s="9852"/>
      <c r="F57" s="9848" t="s">
        <v>865</v>
      </c>
      <c r="G57" s="9852" t="s">
        <v>884</v>
      </c>
      <c r="H57" s="9911">
        <v>126120</v>
      </c>
      <c r="I57" s="9883">
        <v>1</v>
      </c>
      <c r="J57" s="9882"/>
      <c r="K57" s="9852"/>
      <c r="L57" s="9899"/>
    </row>
    <row r="58" spans="1:32" ht="15" customHeight="1">
      <c r="A58" s="9854"/>
      <c r="B58" s="9859"/>
      <c r="C58" s="9893"/>
      <c r="D58" s="9859"/>
      <c r="E58" s="9852"/>
      <c r="F58" s="9858"/>
      <c r="G58" s="9859"/>
      <c r="H58" s="9894"/>
      <c r="I58" s="9880"/>
      <c r="J58" s="9879"/>
      <c r="K58" s="9859"/>
      <c r="L58" s="9899"/>
    </row>
    <row r="59" spans="1:32" ht="15" customHeight="1">
      <c r="A59" s="9846" t="s">
        <v>3317</v>
      </c>
      <c r="B59" s="9852"/>
      <c r="C59" s="9885"/>
      <c r="D59" s="9852"/>
      <c r="E59" s="9852"/>
      <c r="F59" s="9856" t="s">
        <v>11346</v>
      </c>
      <c r="G59" s="9852" t="s">
        <v>888</v>
      </c>
      <c r="H59" s="9678">
        <v>152088</v>
      </c>
      <c r="I59" s="9883">
        <v>1</v>
      </c>
      <c r="J59" s="9866">
        <v>1</v>
      </c>
      <c r="K59" s="9852"/>
      <c r="L59" s="9899"/>
    </row>
    <row r="60" spans="1:32" ht="15" customHeight="1">
      <c r="A60" s="9846"/>
      <c r="B60" s="9852"/>
      <c r="C60" s="9885"/>
      <c r="D60" s="9852"/>
      <c r="E60" s="9852"/>
      <c r="F60" s="9856"/>
      <c r="G60" s="9852"/>
      <c r="H60" s="9678"/>
      <c r="I60" s="9883"/>
      <c r="K60" s="9852"/>
      <c r="L60" s="9899"/>
    </row>
    <row r="61" spans="1:32" ht="15" customHeight="1">
      <c r="A61" s="9847" t="s">
        <v>3316</v>
      </c>
      <c r="B61" s="9895"/>
      <c r="C61" s="9896"/>
      <c r="D61" s="9895"/>
      <c r="E61" s="9852"/>
      <c r="F61" s="9912" t="s">
        <v>877</v>
      </c>
      <c r="G61" s="9895" t="s">
        <v>11337</v>
      </c>
      <c r="H61" s="9917">
        <v>195384</v>
      </c>
      <c r="I61" s="9890">
        <v>1</v>
      </c>
      <c r="J61" s="9889">
        <f>SUM(I61:I61)</f>
        <v>1</v>
      </c>
      <c r="K61" s="9895"/>
      <c r="L61" s="9899"/>
    </row>
    <row r="62" spans="1:32" ht="15" customHeight="1">
      <c r="A62" s="9854"/>
      <c r="B62" s="9859"/>
      <c r="C62" s="9893"/>
      <c r="D62" s="9859"/>
      <c r="E62" s="9852"/>
      <c r="F62" s="9910"/>
      <c r="G62" s="9859"/>
      <c r="H62" s="9916"/>
      <c r="I62" s="9880"/>
      <c r="J62" s="9879"/>
      <c r="K62" s="9859"/>
      <c r="L62" s="9899"/>
    </row>
    <row r="63" spans="1:32" ht="15" customHeight="1">
      <c r="A63" s="9846" t="s">
        <v>2051</v>
      </c>
      <c r="B63" s="9852" t="s">
        <v>11374</v>
      </c>
      <c r="C63" s="9885" t="s">
        <v>11372</v>
      </c>
      <c r="D63" s="9852" t="s">
        <v>876</v>
      </c>
      <c r="E63" s="9852"/>
      <c r="F63" s="9848" t="s">
        <v>11347</v>
      </c>
      <c r="G63" s="9852" t="s">
        <v>884</v>
      </c>
      <c r="H63" s="9911">
        <v>126120</v>
      </c>
      <c r="I63" s="9883">
        <v>1</v>
      </c>
      <c r="J63" s="9915">
        <f>SUM(I63:I65)</f>
        <v>3</v>
      </c>
      <c r="K63" s="9852"/>
      <c r="L63" s="9899"/>
      <c r="AF63" s="9864">
        <v>176772</v>
      </c>
    </row>
    <row r="64" spans="1:32" ht="15" customHeight="1">
      <c r="A64" s="9846"/>
      <c r="B64" s="9852" t="s">
        <v>11373</v>
      </c>
      <c r="C64" s="9885" t="s">
        <v>11372</v>
      </c>
      <c r="D64" s="9852" t="s">
        <v>876</v>
      </c>
      <c r="E64" s="9852"/>
      <c r="F64" s="9848" t="s">
        <v>11347</v>
      </c>
      <c r="G64" s="9852" t="s">
        <v>884</v>
      </c>
      <c r="H64" s="9911">
        <v>126120</v>
      </c>
      <c r="I64" s="9883">
        <v>1</v>
      </c>
      <c r="K64" s="9852"/>
      <c r="L64" s="9899"/>
      <c r="AF64" s="9864">
        <v>166212</v>
      </c>
    </row>
    <row r="65" spans="1:32" ht="15" customHeight="1">
      <c r="A65" s="9846"/>
      <c r="B65" s="9852"/>
      <c r="C65" s="9885"/>
      <c r="D65" s="9852"/>
      <c r="E65" s="9852"/>
      <c r="F65" s="9848" t="s">
        <v>11347</v>
      </c>
      <c r="G65" s="9852" t="s">
        <v>884</v>
      </c>
      <c r="H65" s="9911">
        <v>126120</v>
      </c>
      <c r="I65" s="9883">
        <v>1</v>
      </c>
      <c r="K65" s="9852"/>
      <c r="L65" s="9899"/>
    </row>
    <row r="66" spans="1:32" ht="15" customHeight="1">
      <c r="A66" s="9846"/>
      <c r="B66" s="9852"/>
      <c r="C66" s="9885"/>
      <c r="D66" s="9852"/>
      <c r="E66" s="9852"/>
      <c r="F66" s="9848"/>
      <c r="G66" s="9852"/>
      <c r="H66" s="9911"/>
      <c r="I66" s="9883"/>
      <c r="K66" s="9852"/>
      <c r="L66" s="9899"/>
    </row>
    <row r="67" spans="1:32" ht="15" customHeight="1">
      <c r="A67" s="9847" t="s">
        <v>10327</v>
      </c>
      <c r="B67" s="9904"/>
      <c r="C67" s="9905"/>
      <c r="D67" s="9904"/>
      <c r="E67" s="9860"/>
      <c r="F67" s="9892" t="s">
        <v>11383</v>
      </c>
      <c r="G67" s="9904">
        <v>18</v>
      </c>
      <c r="H67" s="9914">
        <v>457020</v>
      </c>
      <c r="I67" s="9890">
        <v>1</v>
      </c>
      <c r="J67" s="9889">
        <v>1</v>
      </c>
      <c r="K67" s="9904"/>
      <c r="L67" s="9899"/>
    </row>
    <row r="68" spans="1:32" ht="15" customHeight="1">
      <c r="A68" s="9854"/>
      <c r="B68" s="9863"/>
      <c r="C68" s="9878"/>
      <c r="D68" s="9863"/>
      <c r="E68" s="9860"/>
      <c r="F68" s="9862" t="s">
        <v>11384</v>
      </c>
      <c r="G68" s="9863"/>
      <c r="H68" s="9913"/>
      <c r="I68" s="9880"/>
      <c r="J68" s="9879"/>
      <c r="K68" s="9863"/>
      <c r="L68" s="9899"/>
    </row>
    <row r="69" spans="1:32" ht="15" customHeight="1">
      <c r="A69" s="9847" t="s">
        <v>678</v>
      </c>
      <c r="B69" s="9895"/>
      <c r="C69" s="9896"/>
      <c r="D69" s="9895"/>
      <c r="E69" s="9852"/>
      <c r="F69" s="9898" t="s">
        <v>11348</v>
      </c>
      <c r="G69" s="9895" t="s">
        <v>11349</v>
      </c>
      <c r="H69" s="9897">
        <v>348120</v>
      </c>
      <c r="I69" s="9890">
        <v>1</v>
      </c>
      <c r="J69" s="9889">
        <f>SUM(I69:I70)</f>
        <v>2</v>
      </c>
      <c r="K69" s="9895"/>
    </row>
    <row r="70" spans="1:32" ht="15" customHeight="1">
      <c r="A70" s="9846"/>
      <c r="B70" s="9852"/>
      <c r="C70" s="9885"/>
      <c r="D70" s="9852"/>
      <c r="E70" s="9852"/>
      <c r="F70" s="9848" t="s">
        <v>11348</v>
      </c>
      <c r="G70" s="9852" t="s">
        <v>11349</v>
      </c>
      <c r="H70" s="9911">
        <v>348120</v>
      </c>
      <c r="I70" s="9883">
        <v>1</v>
      </c>
      <c r="J70" s="9882"/>
      <c r="K70" s="9852"/>
    </row>
    <row r="71" spans="1:32" ht="15" customHeight="1">
      <c r="A71" s="9854"/>
      <c r="B71" s="9859"/>
      <c r="C71" s="9893"/>
      <c r="D71" s="9859"/>
      <c r="E71" s="9852"/>
      <c r="F71" s="9858"/>
      <c r="G71" s="9859"/>
      <c r="H71" s="9894"/>
      <c r="I71" s="9880"/>
      <c r="J71" s="9879"/>
      <c r="K71" s="9859"/>
    </row>
    <row r="72" spans="1:32" ht="15" customHeight="1">
      <c r="A72" s="9847" t="s">
        <v>574</v>
      </c>
      <c r="B72" s="9895"/>
      <c r="C72" s="9896"/>
      <c r="D72" s="9895"/>
      <c r="E72" s="9852"/>
      <c r="F72" s="9898" t="s">
        <v>11350</v>
      </c>
      <c r="G72" s="9895" t="s">
        <v>929</v>
      </c>
      <c r="H72" s="9897">
        <v>381180</v>
      </c>
      <c r="I72" s="9890">
        <v>1</v>
      </c>
      <c r="J72" s="9889">
        <f>SUM(I72:I73)</f>
        <v>2</v>
      </c>
      <c r="K72" s="9895"/>
    </row>
    <row r="73" spans="1:32" ht="15" customHeight="1">
      <c r="A73" s="9846"/>
      <c r="B73" s="9852"/>
      <c r="C73" s="9885"/>
      <c r="D73" s="9852"/>
      <c r="E73" s="9852"/>
      <c r="F73" s="9848" t="s">
        <v>11323</v>
      </c>
      <c r="G73" s="9852" t="s">
        <v>932</v>
      </c>
      <c r="H73" s="9911">
        <v>265788</v>
      </c>
      <c r="I73" s="9883">
        <v>1</v>
      </c>
      <c r="J73" s="9882"/>
      <c r="K73" s="9852"/>
    </row>
    <row r="74" spans="1:32" ht="15" customHeight="1">
      <c r="A74" s="9854"/>
      <c r="B74" s="9859"/>
      <c r="C74" s="9893"/>
      <c r="D74" s="9859"/>
      <c r="E74" s="9852"/>
      <c r="F74" s="9858"/>
      <c r="G74" s="9859"/>
      <c r="H74" s="9894"/>
      <c r="I74" s="9880"/>
      <c r="J74" s="9879"/>
      <c r="K74" s="9859"/>
    </row>
    <row r="75" spans="1:32" s="9843" customFormat="1" ht="15" customHeight="1">
      <c r="A75" s="9846" t="s">
        <v>3314</v>
      </c>
      <c r="B75" s="9852"/>
      <c r="C75" s="9885"/>
      <c r="D75" s="9852"/>
      <c r="E75" s="9852"/>
      <c r="F75" s="9856" t="s">
        <v>865</v>
      </c>
      <c r="G75" s="9852" t="s">
        <v>884</v>
      </c>
      <c r="H75" s="9911">
        <v>126120</v>
      </c>
      <c r="I75" s="9883">
        <v>1</v>
      </c>
      <c r="J75" s="9882">
        <f>SUM(I75)</f>
        <v>1</v>
      </c>
      <c r="K75" s="9852"/>
      <c r="AF75" s="9853"/>
    </row>
    <row r="76" spans="1:32" s="9843" customFormat="1" ht="15" customHeight="1">
      <c r="A76" s="9846"/>
      <c r="B76" s="9852"/>
      <c r="C76" s="9885"/>
      <c r="D76" s="9852"/>
      <c r="E76" s="9852"/>
      <c r="F76" s="9856"/>
      <c r="G76" s="9852"/>
      <c r="H76" s="9911"/>
      <c r="I76" s="9883"/>
      <c r="J76" s="9882"/>
      <c r="K76" s="9852"/>
      <c r="AF76" s="9853"/>
    </row>
    <row r="77" spans="1:32" ht="15" customHeight="1">
      <c r="A77" s="9847" t="s">
        <v>3313</v>
      </c>
      <c r="B77" s="9895" t="s">
        <v>11371</v>
      </c>
      <c r="C77" s="9896" t="s">
        <v>11370</v>
      </c>
      <c r="D77" s="9895" t="s">
        <v>5794</v>
      </c>
      <c r="E77" s="9852"/>
      <c r="F77" s="9912" t="s">
        <v>865</v>
      </c>
      <c r="G77" s="9895" t="s">
        <v>884</v>
      </c>
      <c r="H77" s="9897">
        <v>126120</v>
      </c>
      <c r="I77" s="9890">
        <v>1</v>
      </c>
      <c r="J77" s="9889">
        <f>SUM(I77:I79)</f>
        <v>3</v>
      </c>
      <c r="K77" s="9895"/>
      <c r="AF77" s="9864">
        <v>165588</v>
      </c>
    </row>
    <row r="78" spans="1:32" ht="15" customHeight="1">
      <c r="A78" s="9846"/>
      <c r="B78" s="9852" t="s">
        <v>11369</v>
      </c>
      <c r="C78" s="9885" t="s">
        <v>11368</v>
      </c>
      <c r="D78" s="9852" t="s">
        <v>11337</v>
      </c>
      <c r="E78" s="9852"/>
      <c r="F78" s="9856" t="s">
        <v>865</v>
      </c>
      <c r="G78" s="9852" t="s">
        <v>884</v>
      </c>
      <c r="H78" s="9911">
        <v>126120</v>
      </c>
      <c r="I78" s="9883">
        <v>1</v>
      </c>
      <c r="J78" s="9882"/>
      <c r="K78" s="9852"/>
      <c r="AF78" s="9864">
        <v>189816</v>
      </c>
    </row>
    <row r="79" spans="1:32" ht="15" customHeight="1">
      <c r="A79" s="9846"/>
      <c r="B79" s="9852"/>
      <c r="C79" s="9885"/>
      <c r="D79" s="9852"/>
      <c r="E79" s="9852"/>
      <c r="F79" s="9856" t="s">
        <v>865</v>
      </c>
      <c r="G79" s="9852" t="s">
        <v>884</v>
      </c>
      <c r="H79" s="9911">
        <v>126120</v>
      </c>
      <c r="I79" s="9883">
        <v>1</v>
      </c>
      <c r="J79" s="9882"/>
      <c r="K79" s="9852"/>
    </row>
    <row r="80" spans="1:32" ht="15" customHeight="1">
      <c r="A80" s="9854"/>
      <c r="B80" s="9859"/>
      <c r="C80" s="9893"/>
      <c r="D80" s="9859"/>
      <c r="E80" s="9852"/>
      <c r="F80" s="9910"/>
      <c r="G80" s="9859"/>
      <c r="H80" s="9894"/>
      <c r="I80" s="9880"/>
      <c r="J80" s="9879"/>
      <c r="K80" s="9859"/>
    </row>
    <row r="81" spans="1:32" ht="15" customHeight="1">
      <c r="A81" s="9846" t="s">
        <v>4823</v>
      </c>
      <c r="B81" s="9861" t="s">
        <v>11367</v>
      </c>
      <c r="C81" s="9849" t="s">
        <v>11325</v>
      </c>
      <c r="D81" s="9861" t="s">
        <v>888</v>
      </c>
      <c r="E81" s="9861"/>
      <c r="F81" s="9849" t="s">
        <v>11338</v>
      </c>
      <c r="G81" s="9861" t="s">
        <v>920</v>
      </c>
      <c r="H81" s="9884">
        <v>134400</v>
      </c>
      <c r="I81" s="9883">
        <v>1</v>
      </c>
      <c r="J81" s="9866">
        <f>SUM(I81:I82)</f>
        <v>2</v>
      </c>
      <c r="K81" s="9861"/>
      <c r="AF81" s="9864">
        <v>145860</v>
      </c>
    </row>
    <row r="82" spans="1:32" ht="15" customHeight="1">
      <c r="A82" s="9846"/>
      <c r="B82" s="9861" t="s">
        <v>11366</v>
      </c>
      <c r="C82" s="9849" t="s">
        <v>11325</v>
      </c>
      <c r="D82" s="9861" t="s">
        <v>888</v>
      </c>
      <c r="E82" s="9861"/>
      <c r="F82" s="9849" t="s">
        <v>11338</v>
      </c>
      <c r="G82" s="9861" t="s">
        <v>920</v>
      </c>
      <c r="H82" s="9884">
        <v>134400</v>
      </c>
      <c r="I82" s="9883">
        <v>1</v>
      </c>
      <c r="K82" s="9861"/>
      <c r="AF82" s="9864">
        <v>145860</v>
      </c>
    </row>
    <row r="83" spans="1:32" ht="15" customHeight="1">
      <c r="A83" s="9846"/>
      <c r="B83" s="9861"/>
      <c r="C83" s="9849"/>
      <c r="D83" s="9861"/>
      <c r="E83" s="9861"/>
      <c r="F83" s="9849"/>
      <c r="G83" s="9861"/>
      <c r="H83" s="9884"/>
      <c r="I83" s="9883"/>
      <c r="K83" s="9861"/>
    </row>
    <row r="84" spans="1:32" ht="15" customHeight="1">
      <c r="A84" s="9847" t="s">
        <v>10390</v>
      </c>
      <c r="B84" s="9908"/>
      <c r="C84" s="9909"/>
      <c r="D84" s="9908"/>
      <c r="E84" s="10189"/>
      <c r="F84" s="9898" t="s">
        <v>11339</v>
      </c>
      <c r="G84" s="9908">
        <v>18</v>
      </c>
      <c r="H84" s="9891">
        <v>457020</v>
      </c>
      <c r="I84" s="9890">
        <v>1</v>
      </c>
      <c r="J84" s="9889">
        <f>SUM(I84)</f>
        <v>1</v>
      </c>
      <c r="K84" s="9908"/>
    </row>
    <row r="85" spans="1:32" ht="15" customHeight="1">
      <c r="A85" s="9854"/>
      <c r="B85" s="9906"/>
      <c r="C85" s="9907"/>
      <c r="D85" s="9906"/>
      <c r="E85" s="10189"/>
      <c r="F85" s="9858"/>
      <c r="G85" s="9906"/>
      <c r="H85" s="9881"/>
      <c r="I85" s="9880"/>
      <c r="J85" s="9879"/>
      <c r="K85" s="9906"/>
    </row>
    <row r="86" spans="1:32" ht="15" customHeight="1">
      <c r="A86" s="9846" t="s">
        <v>595</v>
      </c>
      <c r="B86" s="9861"/>
      <c r="C86" s="9886"/>
      <c r="D86" s="9861"/>
      <c r="E86" s="9861"/>
      <c r="F86" s="9849" t="s">
        <v>11351</v>
      </c>
      <c r="G86" s="9861" t="s">
        <v>11340</v>
      </c>
      <c r="H86" s="9884">
        <v>457020</v>
      </c>
      <c r="I86" s="9883">
        <v>1</v>
      </c>
      <c r="J86" s="9866">
        <f>SUM(I86:I86)</f>
        <v>1</v>
      </c>
      <c r="K86" s="9861"/>
    </row>
    <row r="87" spans="1:32" ht="15" customHeight="1">
      <c r="A87" s="9846"/>
      <c r="B87" s="9861"/>
      <c r="C87" s="9886"/>
      <c r="D87" s="9861"/>
      <c r="E87" s="9861"/>
      <c r="F87" s="9849"/>
      <c r="G87" s="9861"/>
      <c r="H87" s="9884"/>
      <c r="I87" s="9883"/>
      <c r="K87" s="9861"/>
    </row>
    <row r="88" spans="1:32" ht="15" customHeight="1">
      <c r="A88" s="9847" t="s">
        <v>594</v>
      </c>
      <c r="B88" s="9904"/>
      <c r="C88" s="9905"/>
      <c r="D88" s="9904"/>
      <c r="E88" s="9860"/>
      <c r="F88" s="9892" t="s">
        <v>11352</v>
      </c>
      <c r="G88" s="9904">
        <v>11</v>
      </c>
      <c r="H88" s="9891">
        <v>242148</v>
      </c>
      <c r="I88" s="9890">
        <v>1</v>
      </c>
      <c r="J88" s="9889">
        <f>SUM(I88:I89)</f>
        <v>2</v>
      </c>
      <c r="K88" s="9904"/>
    </row>
    <row r="89" spans="1:32" ht="15" customHeight="1">
      <c r="A89" s="9846"/>
      <c r="B89" s="9861"/>
      <c r="C89" s="9886"/>
      <c r="D89" s="9861"/>
      <c r="E89" s="9861"/>
      <c r="F89" s="9849" t="s">
        <v>11353</v>
      </c>
      <c r="G89" s="9861" t="s">
        <v>873</v>
      </c>
      <c r="H89" s="9884">
        <v>242148</v>
      </c>
      <c r="I89" s="9883">
        <v>1</v>
      </c>
      <c r="J89" s="9882"/>
      <c r="K89" s="9861"/>
    </row>
    <row r="90" spans="1:32" s="9899" customFormat="1" ht="15" customHeight="1">
      <c r="A90" s="9855"/>
      <c r="B90" s="9901"/>
      <c r="C90" s="9902"/>
      <c r="D90" s="9901"/>
      <c r="E90" s="9861"/>
      <c r="F90" s="9863"/>
      <c r="G90" s="9901"/>
      <c r="H90" s="9903"/>
      <c r="I90" s="9880"/>
      <c r="J90" s="9879"/>
      <c r="K90" s="9901"/>
      <c r="N90" s="9899" t="s">
        <v>11365</v>
      </c>
      <c r="O90" s="9899" t="s">
        <v>10833</v>
      </c>
      <c r="P90" s="9899" t="s">
        <v>11329</v>
      </c>
      <c r="Q90" s="9899" t="s">
        <v>11330</v>
      </c>
      <c r="R90" s="9899" t="s">
        <v>10268</v>
      </c>
      <c r="S90" s="9899" t="s">
        <v>11364</v>
      </c>
      <c r="T90" s="9899" t="s">
        <v>11359</v>
      </c>
      <c r="U90" s="9899" t="s">
        <v>11332</v>
      </c>
      <c r="V90" s="9899" t="s">
        <v>656</v>
      </c>
      <c r="W90" s="9899" t="s">
        <v>11363</v>
      </c>
      <c r="X90" s="9899" t="s">
        <v>10969</v>
      </c>
      <c r="Y90" s="9899" t="s">
        <v>11358</v>
      </c>
      <c r="Z90" s="9899" t="s">
        <v>11357</v>
      </c>
      <c r="AF90" s="9900"/>
    </row>
    <row r="91" spans="1:32" ht="15" customHeight="1">
      <c r="A91" s="9846" t="s">
        <v>578</v>
      </c>
      <c r="B91" s="9861" t="s">
        <v>2652</v>
      </c>
      <c r="C91" s="9886" t="s">
        <v>10401</v>
      </c>
      <c r="D91" s="9861" t="s">
        <v>913</v>
      </c>
      <c r="E91" s="9861"/>
      <c r="F91" s="9850" t="s">
        <v>11338</v>
      </c>
      <c r="G91" s="9861" t="s">
        <v>920</v>
      </c>
      <c r="H91" s="9884">
        <v>134400</v>
      </c>
      <c r="I91" s="9883">
        <v>1</v>
      </c>
      <c r="J91" s="9866">
        <f>SUM(I91:I93)</f>
        <v>3</v>
      </c>
      <c r="K91" s="9861"/>
      <c r="L91" s="9844" t="s">
        <v>3098</v>
      </c>
      <c r="M91" s="9844" t="e">
        <f>J91+#REF!</f>
        <v>#REF!</v>
      </c>
      <c r="N91" s="9872" t="e">
        <f>H91+H92+#REF!</f>
        <v>#REF!</v>
      </c>
      <c r="O91" s="9844" t="e">
        <f>M91*24000</f>
        <v>#REF!</v>
      </c>
      <c r="P91" s="9844" t="e">
        <f>M91*5000</f>
        <v>#REF!</v>
      </c>
      <c r="Q91" s="9844" t="e">
        <f>P91</f>
        <v>#REF!</v>
      </c>
      <c r="R91" s="9872">
        <v>58292</v>
      </c>
      <c r="S91" s="9872" t="e">
        <f>N91/12*2</f>
        <v>#REF!</v>
      </c>
      <c r="T91" s="9872">
        <v>1526193</v>
      </c>
      <c r="U91" s="9844" t="e">
        <f>250*12*M91</f>
        <v>#REF!</v>
      </c>
      <c r="V91" s="9844" t="e">
        <f>1200*M91</f>
        <v>#REF!</v>
      </c>
      <c r="W91" s="9844" t="e">
        <f>V91</f>
        <v>#REF!</v>
      </c>
      <c r="X91" s="9872" t="e">
        <f>F117</f>
        <v>#REF!</v>
      </c>
      <c r="Y91" s="9872" t="e">
        <f>F118</f>
        <v>#REF!</v>
      </c>
      <c r="Z91" s="9872" t="e">
        <f>F119</f>
        <v>#REF!</v>
      </c>
      <c r="AA91" s="9872" t="e">
        <f>SUM(N91:Z91)</f>
        <v>#REF!</v>
      </c>
      <c r="AF91" s="9864">
        <v>233052</v>
      </c>
    </row>
    <row r="92" spans="1:32" ht="15" customHeight="1">
      <c r="A92" s="9846"/>
      <c r="B92" s="9861"/>
      <c r="C92" s="9886"/>
      <c r="D92" s="9861"/>
      <c r="E92" s="9861"/>
      <c r="F92" s="9850" t="s">
        <v>11338</v>
      </c>
      <c r="G92" s="9861" t="s">
        <v>920</v>
      </c>
      <c r="H92" s="9884">
        <v>134400</v>
      </c>
      <c r="I92" s="9883">
        <v>1</v>
      </c>
      <c r="K92" s="9861"/>
      <c r="L92" s="9844" t="s">
        <v>3100</v>
      </c>
      <c r="M92" s="9844">
        <f>J99+J97+J84+J81+J77+J75+J69+J67</f>
        <v>17</v>
      </c>
      <c r="N92" s="9872">
        <f>SUM(H99:H104,H97,H84,H81:H82,H77:H79,H75,H69:H70,H67)</f>
        <v>4771116</v>
      </c>
      <c r="O92" s="9844">
        <f>M92*24000</f>
        <v>408000</v>
      </c>
      <c r="P92" s="9844">
        <f>M92*5000</f>
        <v>85000</v>
      </c>
      <c r="Q92" s="9844">
        <f>P92</f>
        <v>85000</v>
      </c>
      <c r="R92" s="9872">
        <v>21792</v>
      </c>
      <c r="S92" s="9872">
        <f>N92/12*2</f>
        <v>795186</v>
      </c>
      <c r="T92" s="9872">
        <v>570547</v>
      </c>
      <c r="U92" s="9844">
        <f>250*12*M92</f>
        <v>51000</v>
      </c>
      <c r="V92" s="9844">
        <f>1200*M92</f>
        <v>20400</v>
      </c>
      <c r="W92" s="9844">
        <f>V92</f>
        <v>20400</v>
      </c>
      <c r="AA92" s="9872">
        <f>SUM(N92:Z92)</f>
        <v>6828441</v>
      </c>
    </row>
    <row r="93" spans="1:32" ht="15" customHeight="1">
      <c r="A93" s="9846"/>
      <c r="B93" s="9861"/>
      <c r="C93" s="9886"/>
      <c r="D93" s="9861"/>
      <c r="E93" s="9861"/>
      <c r="F93" s="9850" t="s">
        <v>11385</v>
      </c>
      <c r="G93" s="9861" t="s">
        <v>11354</v>
      </c>
      <c r="H93" s="9884">
        <v>704604</v>
      </c>
      <c r="I93" s="9883">
        <v>1</v>
      </c>
      <c r="K93" s="9861"/>
      <c r="T93" s="9872"/>
      <c r="AA93" s="9872"/>
    </row>
    <row r="94" spans="1:32" ht="15" customHeight="1">
      <c r="A94" s="9846"/>
      <c r="B94" s="9861"/>
      <c r="C94" s="9886"/>
      <c r="D94" s="9861"/>
      <c r="E94" s="9861"/>
      <c r="F94" s="9850" t="s">
        <v>11386</v>
      </c>
      <c r="G94" s="9861"/>
      <c r="H94" s="9884"/>
      <c r="I94" s="9883"/>
      <c r="K94" s="9861"/>
      <c r="L94" s="9844" t="s">
        <v>3099</v>
      </c>
      <c r="M94" s="9844">
        <f>J95+J88+J86+J63+J59+J55</f>
        <v>11</v>
      </c>
      <c r="N94" s="9872">
        <f>H95+H88+H89+H86+H65+H64+H63+H59+H57+H56+H55</f>
        <v>2198244</v>
      </c>
      <c r="O94" s="9844">
        <f>24000*M94</f>
        <v>264000</v>
      </c>
      <c r="P94" s="9844">
        <f>M94*5000</f>
        <v>55000</v>
      </c>
      <c r="Q94" s="9844">
        <f>P94</f>
        <v>55000</v>
      </c>
      <c r="R94" s="9872">
        <v>10075</v>
      </c>
      <c r="S94" s="9872">
        <f>N94/12*2</f>
        <v>366374</v>
      </c>
      <c r="T94" s="9872">
        <v>263789</v>
      </c>
      <c r="U94" s="9844">
        <f>250*12*M94</f>
        <v>33000</v>
      </c>
      <c r="V94" s="9844">
        <f>1200*M94</f>
        <v>13200</v>
      </c>
      <c r="W94" s="9844">
        <f>V94</f>
        <v>13200</v>
      </c>
      <c r="AA94" s="9872">
        <f>SUM(N94:Z94)</f>
        <v>3271882</v>
      </c>
    </row>
    <row r="95" spans="1:32" ht="15" customHeight="1">
      <c r="A95" s="9847" t="s">
        <v>593</v>
      </c>
      <c r="B95" s="9895"/>
      <c r="C95" s="9896"/>
      <c r="D95" s="9895"/>
      <c r="E95" s="9852"/>
      <c r="F95" s="9898" t="s">
        <v>11355</v>
      </c>
      <c r="G95" s="9895" t="s">
        <v>11349</v>
      </c>
      <c r="H95" s="9897">
        <v>348120</v>
      </c>
      <c r="I95" s="9890">
        <v>1</v>
      </c>
      <c r="J95" s="9889">
        <f>SUM(I95)</f>
        <v>1</v>
      </c>
      <c r="K95" s="9895"/>
      <c r="M95" s="9844" t="e">
        <f t="shared" ref="M95:AA95" si="0">SUM(M91:M94)</f>
        <v>#REF!</v>
      </c>
      <c r="N95" s="9872" t="e">
        <f t="shared" si="0"/>
        <v>#REF!</v>
      </c>
      <c r="O95" s="9872" t="e">
        <f t="shared" si="0"/>
        <v>#REF!</v>
      </c>
      <c r="P95" s="9872" t="e">
        <f t="shared" si="0"/>
        <v>#REF!</v>
      </c>
      <c r="Q95" s="9872" t="e">
        <f t="shared" si="0"/>
        <v>#REF!</v>
      </c>
      <c r="R95" s="9872">
        <f t="shared" si="0"/>
        <v>90159</v>
      </c>
      <c r="S95" s="9872" t="e">
        <f t="shared" si="0"/>
        <v>#REF!</v>
      </c>
      <c r="T95" s="9872">
        <f t="shared" si="0"/>
        <v>2360529</v>
      </c>
      <c r="U95" s="9872" t="e">
        <f t="shared" si="0"/>
        <v>#REF!</v>
      </c>
      <c r="V95" s="9872" t="e">
        <f t="shared" si="0"/>
        <v>#REF!</v>
      </c>
      <c r="W95" s="9872" t="e">
        <f t="shared" si="0"/>
        <v>#REF!</v>
      </c>
      <c r="X95" s="9872" t="e">
        <f t="shared" si="0"/>
        <v>#REF!</v>
      </c>
      <c r="Y95" s="9872" t="e">
        <f t="shared" si="0"/>
        <v>#REF!</v>
      </c>
      <c r="Z95" s="9872" t="e">
        <f t="shared" si="0"/>
        <v>#REF!</v>
      </c>
      <c r="AA95" s="9872" t="e">
        <f t="shared" si="0"/>
        <v>#REF!</v>
      </c>
    </row>
    <row r="96" spans="1:32" ht="15" customHeight="1">
      <c r="A96" s="9854"/>
      <c r="B96" s="9859"/>
      <c r="C96" s="9893"/>
      <c r="D96" s="9859"/>
      <c r="E96" s="9852"/>
      <c r="F96" s="9858"/>
      <c r="G96" s="9859"/>
      <c r="H96" s="9894"/>
      <c r="I96" s="9880"/>
      <c r="J96" s="9879"/>
      <c r="K96" s="9859"/>
      <c r="N96" s="9872"/>
      <c r="O96" s="9872"/>
      <c r="P96" s="9872"/>
      <c r="Q96" s="9872"/>
      <c r="R96" s="9872"/>
      <c r="S96" s="9872"/>
      <c r="T96" s="9872"/>
      <c r="U96" s="9872"/>
      <c r="V96" s="9872"/>
      <c r="W96" s="9872"/>
      <c r="X96" s="9872"/>
      <c r="Y96" s="9872"/>
      <c r="Z96" s="9872"/>
      <c r="AA96" s="9872"/>
    </row>
    <row r="97" spans="1:32" ht="15" customHeight="1">
      <c r="A97" s="9846" t="s">
        <v>10317</v>
      </c>
      <c r="B97" s="9860"/>
      <c r="C97" s="9849"/>
      <c r="D97" s="9860"/>
      <c r="E97" s="9860"/>
      <c r="F97" s="9850" t="s">
        <v>11339</v>
      </c>
      <c r="G97" s="9860">
        <v>18</v>
      </c>
      <c r="H97" s="9884">
        <v>457020</v>
      </c>
      <c r="I97" s="9883">
        <v>1</v>
      </c>
      <c r="J97" s="9866">
        <f>SUM(I97)</f>
        <v>1</v>
      </c>
      <c r="K97" s="9860"/>
    </row>
    <row r="98" spans="1:32" ht="15" customHeight="1">
      <c r="A98" s="9846"/>
      <c r="B98" s="9860"/>
      <c r="C98" s="9849"/>
      <c r="D98" s="9860"/>
      <c r="E98" s="9860"/>
      <c r="F98" s="9850"/>
      <c r="G98" s="9860"/>
      <c r="H98" s="9884"/>
      <c r="I98" s="9883"/>
      <c r="K98" s="9860"/>
    </row>
    <row r="99" spans="1:32" ht="15" customHeight="1">
      <c r="A99" s="9847" t="s">
        <v>568</v>
      </c>
      <c r="B99" s="9887" t="s">
        <v>11362</v>
      </c>
      <c r="C99" s="9888" t="s">
        <v>11322</v>
      </c>
      <c r="D99" s="9887" t="s">
        <v>5794</v>
      </c>
      <c r="E99" s="9861"/>
      <c r="F99" s="9892" t="s">
        <v>865</v>
      </c>
      <c r="G99" s="9887" t="s">
        <v>884</v>
      </c>
      <c r="H99" s="9891">
        <v>126120</v>
      </c>
      <c r="I99" s="9890">
        <v>1</v>
      </c>
      <c r="J99" s="9889">
        <f>SUM(I99:I104)</f>
        <v>6</v>
      </c>
      <c r="K99" s="9887"/>
      <c r="AF99" s="9864">
        <v>155700</v>
      </c>
    </row>
    <row r="100" spans="1:32" ht="15" customHeight="1">
      <c r="A100" s="9846"/>
      <c r="B100" s="9861"/>
      <c r="C100" s="9886"/>
      <c r="D100" s="9861"/>
      <c r="E100" s="9861"/>
      <c r="F100" s="9850" t="s">
        <v>865</v>
      </c>
      <c r="G100" s="9861" t="s">
        <v>884</v>
      </c>
      <c r="H100" s="9884">
        <v>126120</v>
      </c>
      <c r="I100" s="9883">
        <v>1</v>
      </c>
      <c r="J100" s="9882"/>
      <c r="K100" s="9861"/>
    </row>
    <row r="101" spans="1:32" ht="15" customHeight="1">
      <c r="A101" s="9846"/>
      <c r="B101" s="9861"/>
      <c r="C101" s="9886"/>
      <c r="D101" s="9861"/>
      <c r="E101" s="9861"/>
      <c r="F101" s="9850" t="s">
        <v>865</v>
      </c>
      <c r="G101" s="9861" t="s">
        <v>884</v>
      </c>
      <c r="H101" s="9884">
        <v>126120</v>
      </c>
      <c r="I101" s="9883">
        <v>1</v>
      </c>
      <c r="J101" s="9882"/>
      <c r="K101" s="9861"/>
    </row>
    <row r="102" spans="1:32" ht="15" customHeight="1">
      <c r="A102" s="9846"/>
      <c r="B102" s="9852"/>
      <c r="C102" s="9885"/>
      <c r="D102" s="9852"/>
      <c r="E102" s="9852"/>
      <c r="F102" s="9850" t="s">
        <v>11324</v>
      </c>
      <c r="G102" s="9852" t="s">
        <v>860</v>
      </c>
      <c r="H102" s="9678">
        <v>142968</v>
      </c>
      <c r="I102" s="9883">
        <v>1</v>
      </c>
      <c r="J102" s="9882"/>
      <c r="K102" s="9852"/>
    </row>
    <row r="103" spans="1:32" ht="15" customHeight="1">
      <c r="A103" s="9846"/>
      <c r="B103" s="9860"/>
      <c r="C103" s="9849"/>
      <c r="D103" s="9860"/>
      <c r="E103" s="9860"/>
      <c r="F103" s="9850" t="s">
        <v>11326</v>
      </c>
      <c r="G103" s="9860">
        <v>22</v>
      </c>
      <c r="H103" s="9884">
        <v>704604</v>
      </c>
      <c r="I103" s="9883">
        <v>1</v>
      </c>
      <c r="J103" s="9882"/>
      <c r="K103" s="9860"/>
    </row>
    <row r="104" spans="1:32" ht="15" customHeight="1">
      <c r="A104" s="9854"/>
      <c r="B104" s="9863"/>
      <c r="C104" s="9878"/>
      <c r="D104" s="9863"/>
      <c r="E104" s="9860"/>
      <c r="F104" s="9862" t="s">
        <v>11326</v>
      </c>
      <c r="G104" s="9863">
        <v>22</v>
      </c>
      <c r="H104" s="9881">
        <v>704604</v>
      </c>
      <c r="I104" s="9880">
        <v>1</v>
      </c>
      <c r="J104" s="9879"/>
      <c r="K104" s="9863"/>
    </row>
    <row r="105" spans="1:32" s="9845" customFormat="1" ht="19.5" customHeight="1">
      <c r="A105" s="9874" t="s">
        <v>220</v>
      </c>
      <c r="B105" s="9874"/>
      <c r="C105" s="9874">
        <v>14</v>
      </c>
      <c r="D105" s="9874"/>
      <c r="E105" s="10188"/>
      <c r="F105" s="9874">
        <v>72</v>
      </c>
      <c r="G105" s="9874"/>
      <c r="H105" s="9877">
        <f>SUM(H54:H104)</f>
        <v>8785116</v>
      </c>
      <c r="I105" s="9876">
        <f>SUM(I5:I104)</f>
        <v>72</v>
      </c>
      <c r="J105" s="9875">
        <f>SUM(J54:J104)</f>
        <v>34</v>
      </c>
      <c r="K105" s="9874"/>
      <c r="AF105" s="9873"/>
    </row>
    <row r="107" spans="1:32" ht="15" hidden="1" customHeight="1">
      <c r="A107" s="9844" t="s">
        <v>10833</v>
      </c>
      <c r="F107" s="9867">
        <f>J105*24000</f>
        <v>816000</v>
      </c>
      <c r="H107" s="9844"/>
    </row>
    <row r="108" spans="1:32" ht="15" hidden="1" customHeight="1">
      <c r="A108" s="9844" t="s">
        <v>11329</v>
      </c>
      <c r="F108" s="9867">
        <f>J105*5000</f>
        <v>170000</v>
      </c>
      <c r="H108" s="9844"/>
    </row>
    <row r="109" spans="1:32" ht="15" hidden="1" customHeight="1">
      <c r="A109" s="9844" t="s">
        <v>11330</v>
      </c>
      <c r="F109" s="9867">
        <f>F108</f>
        <v>170000</v>
      </c>
      <c r="H109" s="9844"/>
    </row>
    <row r="110" spans="1:32" ht="15" hidden="1" customHeight="1">
      <c r="A110" s="9844" t="s">
        <v>10268</v>
      </c>
      <c r="F110" s="9867">
        <v>90159</v>
      </c>
      <c r="G110" s="9844" t="s">
        <v>11361</v>
      </c>
      <c r="L110" s="9872"/>
      <c r="N110" s="9872"/>
    </row>
    <row r="111" spans="1:32" ht="15" hidden="1" customHeight="1">
      <c r="A111" s="9844" t="s">
        <v>11360</v>
      </c>
      <c r="F111" s="9867">
        <f>H105/12*2</f>
        <v>1464186</v>
      </c>
      <c r="H111" s="9844"/>
      <c r="L111" s="9872"/>
      <c r="N111" s="9872"/>
    </row>
    <row r="112" spans="1:32" ht="15" hidden="1" customHeight="1">
      <c r="A112" s="9844" t="s">
        <v>11359</v>
      </c>
      <c r="F112" s="9867">
        <v>2360529</v>
      </c>
    </row>
    <row r="113" spans="1:32" ht="15" hidden="1" customHeight="1">
      <c r="A113" s="9844" t="s">
        <v>11332</v>
      </c>
      <c r="F113" s="9867">
        <f>250*12*J105</f>
        <v>102000</v>
      </c>
      <c r="H113" s="9844"/>
    </row>
    <row r="114" spans="1:32" ht="15" hidden="1" customHeight="1">
      <c r="A114" s="9844" t="s">
        <v>656</v>
      </c>
      <c r="F114" s="9867">
        <f>1200*J105</f>
        <v>40800</v>
      </c>
      <c r="H114" s="9844"/>
    </row>
    <row r="115" spans="1:32" ht="15" hidden="1" customHeight="1">
      <c r="A115" s="9844" t="s">
        <v>11331</v>
      </c>
      <c r="F115" s="9867">
        <f>F114</f>
        <v>40800</v>
      </c>
      <c r="H115" s="9844"/>
    </row>
    <row r="116" spans="1:32" ht="15" hidden="1" customHeight="1">
      <c r="F116" s="9867"/>
    </row>
    <row r="117" spans="1:32" ht="15" hidden="1" customHeight="1">
      <c r="A117" s="9844" t="s">
        <v>10969</v>
      </c>
      <c r="F117" s="9867" t="e">
        <f>150*12*#REF!</f>
        <v>#REF!</v>
      </c>
      <c r="H117" s="9844"/>
    </row>
    <row r="118" spans="1:32" ht="15" hidden="1" customHeight="1">
      <c r="A118" s="9844" t="s">
        <v>11358</v>
      </c>
      <c r="F118" s="9867" t="e">
        <f>10800*#REF!</f>
        <v>#REF!</v>
      </c>
      <c r="H118" s="9844"/>
    </row>
    <row r="119" spans="1:32" ht="15" hidden="1" customHeight="1">
      <c r="A119" s="9844" t="s">
        <v>11357</v>
      </c>
      <c r="F119" s="9867" t="e">
        <f>25%*#REF!</f>
        <v>#REF!</v>
      </c>
      <c r="H119" s="9871" t="e">
        <f>SUM(F107:F119)</f>
        <v>#REF!</v>
      </c>
    </row>
    <row r="120" spans="1:32" ht="15" hidden="1" customHeight="1">
      <c r="B120" s="9868"/>
      <c r="C120" s="9869"/>
      <c r="D120" s="9868"/>
      <c r="E120" s="10190"/>
      <c r="G120" s="9868" t="s">
        <v>11356</v>
      </c>
      <c r="H120" s="9870" t="e">
        <f>SUM(H105:H119)</f>
        <v>#REF!</v>
      </c>
      <c r="K120" s="9868"/>
    </row>
    <row r="121" spans="1:32" ht="15" hidden="1" customHeight="1"/>
    <row r="123" spans="1:32" s="9934" customFormat="1" ht="15" customHeight="1">
      <c r="A123" s="9931" t="s">
        <v>3483</v>
      </c>
      <c r="D123" s="9931" t="s">
        <v>3485</v>
      </c>
      <c r="E123" s="9931"/>
      <c r="F123" s="9932"/>
      <c r="G123" s="9931"/>
      <c r="H123" s="9933"/>
      <c r="J123" s="9935"/>
      <c r="AF123" s="9936"/>
    </row>
    <row r="124" spans="1:32" s="9934" customFormat="1" ht="15" customHeight="1">
      <c r="A124" s="9931"/>
      <c r="D124" s="9931"/>
      <c r="E124" s="9931"/>
      <c r="F124" s="9932"/>
      <c r="G124" s="9931"/>
      <c r="H124" s="9933"/>
      <c r="J124" s="9935"/>
      <c r="AF124" s="9936"/>
    </row>
    <row r="125" spans="1:32" s="9934" customFormat="1" ht="15" customHeight="1">
      <c r="A125" s="9931"/>
      <c r="B125" s="9937" t="s">
        <v>9162</v>
      </c>
      <c r="D125" s="9931"/>
      <c r="E125" s="9931"/>
      <c r="F125" s="9938" t="s">
        <v>10667</v>
      </c>
      <c r="H125" s="9933"/>
      <c r="J125" s="9935"/>
      <c r="AF125" s="9936"/>
    </row>
    <row r="126" spans="1:32" s="9934" customFormat="1" ht="15" customHeight="1">
      <c r="A126" s="9931"/>
      <c r="B126" s="9939" t="s">
        <v>11328</v>
      </c>
      <c r="D126" s="9931"/>
      <c r="E126" s="9931"/>
      <c r="F126" s="9940" t="s">
        <v>11382</v>
      </c>
      <c r="H126" s="9933"/>
      <c r="J126" s="9935"/>
      <c r="AF126" s="9936"/>
    </row>
    <row r="127" spans="1:32" ht="15" customHeight="1">
      <c r="F127" s="9865"/>
    </row>
  </sheetData>
  <mergeCells count="4">
    <mergeCell ref="C3:D3"/>
    <mergeCell ref="A3:A4"/>
    <mergeCell ref="A1:G1"/>
    <mergeCell ref="A2:G2"/>
  </mergeCells>
  <printOptions horizontalCentered="1"/>
  <pageMargins left="0.5" right="0.25" top="0.75" bottom="0.5" header="0.3" footer="0.3"/>
  <pageSetup paperSize="136" scale="85" orientation="portrait" verticalDpi="300" r:id="rId1"/>
</worksheet>
</file>

<file path=xl/worksheets/sheet218.xml><?xml version="1.0" encoding="utf-8"?>
<worksheet xmlns="http://schemas.openxmlformats.org/spreadsheetml/2006/main" xmlns:r="http://schemas.openxmlformats.org/officeDocument/2006/relationships">
  <sheetPr codeName="Sheet167">
    <tabColor rgb="FFFF0000"/>
  </sheetPr>
  <dimension ref="A1:AG61"/>
  <sheetViews>
    <sheetView zoomScale="110" zoomScaleNormal="110" workbookViewId="0">
      <selection activeCell="H23" sqref="H23"/>
    </sheetView>
  </sheetViews>
  <sheetFormatPr defaultColWidth="12.109375" defaultRowHeight="14.1" customHeight="1"/>
  <cols>
    <col min="1" max="1" width="12.109375" style="13635"/>
    <col min="2" max="2" width="13.88671875" style="13635" customWidth="1"/>
    <col min="3" max="3" width="12.6640625" style="13635" customWidth="1"/>
    <col min="4" max="4" width="13.88671875" style="13635" customWidth="1"/>
    <col min="5" max="6" width="12.109375" style="13635"/>
    <col min="7" max="7" width="13.6640625" style="13635" customWidth="1"/>
    <col min="8" max="8" width="12.6640625" style="13635" customWidth="1"/>
    <col min="9" max="10" width="12.109375" style="13635"/>
    <col min="11" max="11" width="13.5546875" style="13635" customWidth="1"/>
    <col min="12" max="12" width="12.109375" style="13635" customWidth="1"/>
    <col min="13" max="13" width="12.109375" style="13635" hidden="1" customWidth="1"/>
    <col min="14" max="14" width="12.6640625" style="13635" customWidth="1"/>
    <col min="15" max="16" width="12.109375" style="13635"/>
    <col min="17" max="17" width="13" style="13635" customWidth="1"/>
    <col min="18" max="18" width="13.44140625" style="13635" customWidth="1"/>
    <col min="19" max="19" width="12.109375" style="13635"/>
    <col min="20" max="20" width="15.88671875" style="13635" bestFit="1" customWidth="1"/>
    <col min="21" max="21" width="12.109375" style="13635"/>
    <col min="22" max="23" width="12.109375" style="13635" customWidth="1"/>
    <col min="24" max="25" width="12.109375" style="13635"/>
    <col min="26" max="26" width="17.109375" style="13636" customWidth="1"/>
    <col min="27" max="27" width="12.109375" style="13635" hidden="1" customWidth="1"/>
    <col min="28" max="28" width="14.88671875" style="13635" hidden="1" customWidth="1"/>
    <col min="29" max="29" width="0" style="13635" hidden="1" customWidth="1"/>
    <col min="30" max="30" width="15.6640625" style="13635" hidden="1" customWidth="1"/>
    <col min="31" max="31" width="12.109375" style="13636" hidden="1" customWidth="1"/>
    <col min="32" max="32" width="15.5546875" style="13635" hidden="1" customWidth="1"/>
    <col min="33" max="33" width="12.109375" style="13635" hidden="1" customWidth="1"/>
    <col min="34" max="16384" width="12.109375" style="13635"/>
  </cols>
  <sheetData>
    <row r="1" spans="1:33" ht="11.1" customHeight="1">
      <c r="B1" s="13634" t="s">
        <v>11501</v>
      </c>
    </row>
    <row r="2" spans="1:33" ht="10.5" customHeight="1" thickBot="1">
      <c r="A2" s="13637" t="s">
        <v>638</v>
      </c>
      <c r="B2" s="13637" t="s">
        <v>639</v>
      </c>
      <c r="C2" s="13637" t="s">
        <v>640</v>
      </c>
      <c r="D2" s="13637" t="s">
        <v>641</v>
      </c>
      <c r="E2" s="13637" t="s">
        <v>643</v>
      </c>
      <c r="F2" s="13637" t="s">
        <v>644</v>
      </c>
      <c r="G2" s="13637" t="s">
        <v>645</v>
      </c>
      <c r="H2" s="13637" t="s">
        <v>648</v>
      </c>
      <c r="I2" s="13637" t="s">
        <v>10969</v>
      </c>
      <c r="J2" s="13637" t="s">
        <v>647</v>
      </c>
      <c r="K2" s="13637" t="s">
        <v>10268</v>
      </c>
      <c r="L2" s="13637" t="s">
        <v>673</v>
      </c>
      <c r="M2" s="13637" t="s">
        <v>10527</v>
      </c>
      <c r="N2" s="13637" t="s">
        <v>649</v>
      </c>
      <c r="O2" s="13637" t="s">
        <v>650</v>
      </c>
      <c r="P2" s="13637" t="s">
        <v>651</v>
      </c>
      <c r="Q2" s="13637" t="s">
        <v>652</v>
      </c>
      <c r="R2" s="13637" t="s">
        <v>653</v>
      </c>
      <c r="S2" s="13637" t="s">
        <v>654</v>
      </c>
      <c r="T2" s="13637" t="s">
        <v>655</v>
      </c>
      <c r="U2" s="13637" t="s">
        <v>656</v>
      </c>
      <c r="V2" s="13637" t="s">
        <v>658</v>
      </c>
      <c r="W2" s="13637" t="s">
        <v>10319</v>
      </c>
      <c r="X2" s="13637" t="s">
        <v>10326</v>
      </c>
      <c r="Y2" s="13637" t="s">
        <v>660</v>
      </c>
      <c r="Z2" s="13638" t="s">
        <v>661</v>
      </c>
      <c r="AA2" s="13637" t="s">
        <v>638</v>
      </c>
    </row>
    <row r="3" spans="1:33" ht="4.5" customHeight="1" thickTop="1" thickBot="1">
      <c r="A3" s="13639"/>
      <c r="B3" s="13640"/>
      <c r="C3" s="13640"/>
      <c r="D3" s="13640"/>
      <c r="E3" s="13640"/>
      <c r="F3" s="13640"/>
      <c r="G3" s="13640"/>
      <c r="H3" s="13640"/>
      <c r="I3" s="13640"/>
      <c r="J3" s="13640"/>
      <c r="K3" s="13640"/>
      <c r="L3" s="13640"/>
      <c r="M3" s="13640"/>
      <c r="N3" s="13640"/>
      <c r="O3" s="13640"/>
      <c r="P3" s="13640"/>
      <c r="Q3" s="13640"/>
      <c r="R3" s="13640"/>
      <c r="S3" s="13640"/>
      <c r="T3" s="13640"/>
      <c r="U3" s="13640"/>
      <c r="V3" s="13640"/>
      <c r="W3" s="13640"/>
      <c r="X3" s="13640"/>
      <c r="Y3" s="13640"/>
      <c r="Z3" s="13641"/>
      <c r="AA3" s="13639"/>
    </row>
    <row r="4" spans="1:33" ht="11.4" customHeight="1">
      <c r="A4" s="13642" t="s">
        <v>3100</v>
      </c>
      <c r="B4" s="13643"/>
      <c r="C4" s="13643"/>
      <c r="D4" s="13643"/>
      <c r="E4" s="13643"/>
      <c r="F4" s="13643"/>
      <c r="G4" s="13643"/>
      <c r="H4" s="13643"/>
      <c r="I4" s="13643"/>
      <c r="J4" s="13643"/>
      <c r="K4" s="13643"/>
      <c r="L4" s="13643"/>
      <c r="M4" s="13643"/>
      <c r="N4" s="13643"/>
      <c r="O4" s="13643"/>
      <c r="P4" s="13643"/>
      <c r="Q4" s="13643"/>
      <c r="R4" s="13643"/>
      <c r="S4" s="13643"/>
      <c r="T4" s="13643"/>
      <c r="U4" s="13643"/>
      <c r="V4" s="13643"/>
      <c r="W4" s="13643"/>
      <c r="X4" s="13643"/>
      <c r="Y4" s="13643"/>
      <c r="Z4" s="13644"/>
      <c r="AA4" s="13642" t="s">
        <v>3100</v>
      </c>
      <c r="AE4" s="13645" t="s">
        <v>11482</v>
      </c>
      <c r="AF4" s="13646" t="s">
        <v>11483</v>
      </c>
      <c r="AG4" s="13646" t="s">
        <v>11484</v>
      </c>
    </row>
    <row r="5" spans="1:33" ht="14.1" customHeight="1">
      <c r="A5" s="13647" t="s">
        <v>568</v>
      </c>
      <c r="B5" s="13648">
        <f>'lbpf 3-GO'!K13</f>
        <v>9087060</v>
      </c>
      <c r="C5" s="13648">
        <f>'lbpf 3-GO'!K14+'lbpf 3-GO'!K15</f>
        <v>5417816</v>
      </c>
      <c r="D5" s="13648">
        <f>'lbpf 3-GO'!K16</f>
        <v>2280000</v>
      </c>
      <c r="E5" s="13648">
        <f>'lbpf 3-GO'!K17</f>
        <v>132000</v>
      </c>
      <c r="F5" s="13648">
        <f>'lbpf 3-GO'!K18</f>
        <v>0</v>
      </c>
      <c r="G5" s="13648">
        <f>'lbpf 3-GO'!K19</f>
        <v>570000</v>
      </c>
      <c r="H5" s="13648"/>
      <c r="I5" s="13648">
        <v>0</v>
      </c>
      <c r="J5" s="13648">
        <f>'lbpf 3-GO'!K20</f>
        <v>475000</v>
      </c>
      <c r="K5" s="13648">
        <f>'lbpf 3-GO'!K25</f>
        <v>0</v>
      </c>
      <c r="L5" s="13648">
        <f>'lbpf 3-GO'!K26</f>
        <v>285000</v>
      </c>
      <c r="M5" s="13648">
        <v>0</v>
      </c>
      <c r="N5" s="13648"/>
      <c r="O5" s="13648">
        <f>'lbpf 3-GO'!K22</f>
        <v>700000</v>
      </c>
      <c r="P5" s="13648">
        <f>'lbpf 3-GO'!K24</f>
        <v>475000</v>
      </c>
      <c r="Q5" s="13649">
        <f>'lbpf 3-GO'!K23</f>
        <v>2334146</v>
      </c>
      <c r="R5" s="13648">
        <f>'lbpf 3-GO'!K27</f>
        <v>1680585.1199999999</v>
      </c>
      <c r="S5" s="13648">
        <f>'lbpf 3-GO'!K28</f>
        <v>114000</v>
      </c>
      <c r="T5" s="13648">
        <f>'lbpf 3-GO'!K29</f>
        <v>96759.63</v>
      </c>
      <c r="U5" s="13648">
        <f>'lbpf 3-GO'!K30</f>
        <v>114000</v>
      </c>
      <c r="V5" s="13648"/>
      <c r="W5" s="13648">
        <v>0</v>
      </c>
      <c r="X5" s="13648"/>
      <c r="Y5" s="13650">
        <f>'lbpf 3-GO'!K21</f>
        <v>10000</v>
      </c>
      <c r="Z5" s="13651">
        <f>SUM(B5:Y5)</f>
        <v>23771366.75</v>
      </c>
      <c r="AA5" s="13647" t="s">
        <v>568</v>
      </c>
      <c r="AB5" s="13652">
        <f>Z5-'lbpf 3-GO'!K32</f>
        <v>0</v>
      </c>
      <c r="AD5" s="13635" t="s">
        <v>643</v>
      </c>
      <c r="AE5" s="13636">
        <v>8500</v>
      </c>
      <c r="AF5" s="13636">
        <v>7500</v>
      </c>
      <c r="AG5" s="13636">
        <v>5000</v>
      </c>
    </row>
    <row r="6" spans="1:33" ht="14.1" customHeight="1">
      <c r="A6" s="13647" t="s">
        <v>9134</v>
      </c>
      <c r="B6" s="13648">
        <f>'lbpf 3-PADMO'!J11</f>
        <v>10547028</v>
      </c>
      <c r="C6" s="13648">
        <f>'lbpf 3-PADMO'!J12</f>
        <v>1322640</v>
      </c>
      <c r="D6" s="13648">
        <f>'lbpf 3-PADMO'!J13</f>
        <v>1680000</v>
      </c>
      <c r="E6" s="13648">
        <f>'lbpf 3-PADMO'!J14</f>
        <v>102000</v>
      </c>
      <c r="F6" s="13648">
        <f>'lbpf 3-PADMO'!J15</f>
        <v>0</v>
      </c>
      <c r="G6" s="13648">
        <f>'lbpf 3-PADMO'!J16</f>
        <v>420000</v>
      </c>
      <c r="H6" s="13648"/>
      <c r="I6" s="13648">
        <v>0</v>
      </c>
      <c r="J6" s="13648">
        <f>'lbpf 3-PADMO'!J17</f>
        <v>350000</v>
      </c>
      <c r="K6" s="13648">
        <f>'lbpf 3-PADMO'!J23</f>
        <v>0</v>
      </c>
      <c r="L6" s="13648">
        <f>'lbpf 3-PADMO'!J24</f>
        <v>210000</v>
      </c>
      <c r="M6" s="13648">
        <v>0</v>
      </c>
      <c r="N6" s="13648"/>
      <c r="O6" s="13648">
        <f>'lbpf 3-PADMO'!J20</f>
        <v>500000</v>
      </c>
      <c r="P6" s="13648">
        <f>'lbpf 3-PADMO'!J22</f>
        <v>350000</v>
      </c>
      <c r="Q6" s="13648">
        <f>'lbpf 3-PADMO'!J21</f>
        <v>1978278</v>
      </c>
      <c r="R6" s="13648">
        <f>'lbpf 3-PADMO'!J25</f>
        <v>1424360.16</v>
      </c>
      <c r="S6" s="13648">
        <f>'lbpf 3-PADMO'!J26</f>
        <v>84000</v>
      </c>
      <c r="T6" s="13648">
        <f>'lbpf 3-PADMO'!J27</f>
        <v>141054.54000000007</v>
      </c>
      <c r="U6" s="13648">
        <f>'lbpf 3-PADMO'!J28</f>
        <v>84000</v>
      </c>
      <c r="V6" s="13648">
        <v>0</v>
      </c>
      <c r="W6" s="13648">
        <v>0</v>
      </c>
      <c r="X6" s="13648">
        <f>'lbpf 3-PADMO'!J18</f>
        <v>936000</v>
      </c>
      <c r="Y6" s="13650">
        <f>'lbpf 3-PADMO'!J19</f>
        <v>5000</v>
      </c>
      <c r="Z6" s="13651">
        <f t="shared" ref="Z6:Z20" si="0">SUM(B6:Y6)</f>
        <v>20134360.699999999</v>
      </c>
      <c r="AA6" s="13647" t="s">
        <v>9134</v>
      </c>
      <c r="AD6" s="13635" t="s">
        <v>644</v>
      </c>
      <c r="AE6" s="13636">
        <v>8500</v>
      </c>
      <c r="AF6" s="13636">
        <v>7500</v>
      </c>
      <c r="AG6" s="13636">
        <v>5000</v>
      </c>
    </row>
    <row r="7" spans="1:33" ht="14.1" customHeight="1">
      <c r="A7" s="13647" t="s">
        <v>1724</v>
      </c>
      <c r="B7" s="13648">
        <f>'lbpf 3-BICTU'!K12</f>
        <v>3793776</v>
      </c>
      <c r="C7" s="13648"/>
      <c r="D7" s="13648">
        <f>'lbpf 3-BICTU'!K13</f>
        <v>408000</v>
      </c>
      <c r="E7" s="13648"/>
      <c r="F7" s="13648"/>
      <c r="G7" s="13648">
        <f>'lbpf 3-BICTU'!K14</f>
        <v>102000</v>
      </c>
      <c r="H7" s="13648"/>
      <c r="I7" s="13648">
        <v>0</v>
      </c>
      <c r="J7" s="13648">
        <f>'lbpf 3-BICTU'!K15</f>
        <v>85000</v>
      </c>
      <c r="K7" s="13648">
        <f>'lbpf 3-BICTU'!K19</f>
        <v>0</v>
      </c>
      <c r="L7" s="13648">
        <f>'lbpf 3-BICTU'!K20</f>
        <v>51000</v>
      </c>
      <c r="M7" s="13648">
        <v>0</v>
      </c>
      <c r="N7" s="13648"/>
      <c r="O7" s="13648"/>
      <c r="P7" s="13648">
        <f>'lbpf 3-BICTU'!K18</f>
        <v>85000</v>
      </c>
      <c r="Q7" s="13648">
        <f>'lbpf 3-BICTU'!K17</f>
        <v>632296</v>
      </c>
      <c r="R7" s="13648">
        <f>'lbpf 3-BICTU'!K21</f>
        <v>455253.12</v>
      </c>
      <c r="S7" s="13648">
        <f>'lbpf 3-BICTU'!K22</f>
        <v>20400</v>
      </c>
      <c r="T7" s="13648">
        <f>'lbpf 3-BICTU'!K23</f>
        <v>50002.425000000003</v>
      </c>
      <c r="U7" s="13648">
        <f>'lbpf 3-BICTU'!K24</f>
        <v>20400</v>
      </c>
      <c r="V7" s="13648"/>
      <c r="W7" s="13648">
        <v>0</v>
      </c>
      <c r="X7" s="13648"/>
      <c r="Y7" s="13650">
        <f>'lbpf 3-BICTU'!K16</f>
        <v>5000</v>
      </c>
      <c r="Z7" s="13651">
        <f t="shared" si="0"/>
        <v>5708127.5449999999</v>
      </c>
      <c r="AA7" s="13647" t="s">
        <v>1724</v>
      </c>
    </row>
    <row r="8" spans="1:33" ht="14.1" customHeight="1">
      <c r="A8" s="13647" t="s">
        <v>10317</v>
      </c>
      <c r="B8" s="13648">
        <f>'lbpf 3-EDCOM'!K12</f>
        <v>1238304</v>
      </c>
      <c r="C8" s="13648">
        <v>0</v>
      </c>
      <c r="D8" s="13648">
        <f>'lbpf 3-EDCOM'!K13</f>
        <v>96000</v>
      </c>
      <c r="E8" s="13648"/>
      <c r="F8" s="13648"/>
      <c r="G8" s="13648">
        <f>'lbpf 3-EDCOM'!K14</f>
        <v>24000</v>
      </c>
      <c r="H8" s="13648"/>
      <c r="I8" s="13648"/>
      <c r="J8" s="13648">
        <f>'lbpf 3-EDCOM'!K15</f>
        <v>20000</v>
      </c>
      <c r="K8" s="13648">
        <f>'lbpf 3-EDCOM'!K19</f>
        <v>0</v>
      </c>
      <c r="L8" s="13648">
        <f>'lbpf 3-EDCOM'!K20</f>
        <v>12000</v>
      </c>
      <c r="M8" s="13648">
        <v>0</v>
      </c>
      <c r="N8" s="13648"/>
      <c r="O8" s="13648"/>
      <c r="P8" s="13648">
        <f>'lbpf 3-EDCOM'!K18</f>
        <v>20000</v>
      </c>
      <c r="Q8" s="13648">
        <f>'lbpf 3-EDCOM'!K17</f>
        <v>206384</v>
      </c>
      <c r="R8" s="13648">
        <f>'lbpf 3-EDCOM'!K21</f>
        <v>148596.47999999998</v>
      </c>
      <c r="S8" s="13648">
        <f>'lbpf 3-EDCOM'!K22</f>
        <v>4800</v>
      </c>
      <c r="T8" s="13648">
        <f>'lbpf 3-EDCOM'!K23</f>
        <v>23521.574999999997</v>
      </c>
      <c r="U8" s="13648">
        <f>'lbpf 3-EDCOM'!K24</f>
        <v>4800</v>
      </c>
      <c r="V8" s="13648"/>
      <c r="W8" s="13648">
        <v>0</v>
      </c>
      <c r="X8" s="13648"/>
      <c r="Y8" s="13650">
        <f>'lbpf 3-EDCOM'!K16</f>
        <v>0</v>
      </c>
      <c r="Z8" s="13651">
        <f t="shared" si="0"/>
        <v>1798406.0549999999</v>
      </c>
      <c r="AA8" s="13647" t="s">
        <v>10317</v>
      </c>
      <c r="AD8" s="13635" t="s">
        <v>10833</v>
      </c>
      <c r="AE8" s="13636">
        <v>24000</v>
      </c>
      <c r="AF8" s="13635" t="s">
        <v>11486</v>
      </c>
    </row>
    <row r="9" spans="1:33" ht="14.1" customHeight="1">
      <c r="A9" s="13647" t="s">
        <v>10318</v>
      </c>
      <c r="B9" s="13648">
        <f>'lbpf 3-EDCENTER'!K12</f>
        <v>1570488</v>
      </c>
      <c r="C9" s="13648"/>
      <c r="D9" s="13648">
        <f>'lbpf 3-EDCENTER'!K13</f>
        <v>144000</v>
      </c>
      <c r="E9" s="13648"/>
      <c r="F9" s="13648"/>
      <c r="G9" s="13648">
        <f>'lbpf 3-EDCENTER'!K14</f>
        <v>36000</v>
      </c>
      <c r="H9" s="13648"/>
      <c r="I9" s="13648"/>
      <c r="J9" s="13648">
        <f>'lbpf 3-EDCENTER'!K15</f>
        <v>30000</v>
      </c>
      <c r="K9" s="13648">
        <f>'lbpf 3-EDCENTER'!K19</f>
        <v>0</v>
      </c>
      <c r="L9" s="13648">
        <f>'lbpf 3-EDCENTER'!K20</f>
        <v>18000</v>
      </c>
      <c r="M9" s="13648">
        <v>0</v>
      </c>
      <c r="N9" s="13648"/>
      <c r="O9" s="13648"/>
      <c r="P9" s="13648">
        <f>'lbpf 3-EDCENTER'!K18</f>
        <v>30000</v>
      </c>
      <c r="Q9" s="13648">
        <f>'lbpf 3-EDCENTER'!K17</f>
        <v>261748</v>
      </c>
      <c r="R9" s="13648">
        <f>'lbpf 3-EDCENTER'!K21</f>
        <v>188458.56</v>
      </c>
      <c r="S9" s="13648">
        <f>'lbpf 3-EDCENTER'!K22</f>
        <v>7200</v>
      </c>
      <c r="T9" s="13648">
        <f>'lbpf 3-EDCENTER'!K23</f>
        <v>14889.105</v>
      </c>
      <c r="U9" s="13648">
        <f>'lbpf 3-EDCENTER'!K24</f>
        <v>7200</v>
      </c>
      <c r="V9" s="13648"/>
      <c r="W9" s="13648">
        <v>0</v>
      </c>
      <c r="X9" s="13648"/>
      <c r="Y9" s="13650">
        <f>'lbpf 3-EDCENTER'!K16</f>
        <v>0</v>
      </c>
      <c r="Z9" s="13651">
        <f t="shared" si="0"/>
        <v>2307983.665</v>
      </c>
      <c r="AA9" s="13647" t="s">
        <v>10318</v>
      </c>
      <c r="AD9" s="13635" t="s">
        <v>11329</v>
      </c>
      <c r="AE9" s="13636">
        <v>6000</v>
      </c>
      <c r="AF9" s="13635" t="s">
        <v>11486</v>
      </c>
    </row>
    <row r="10" spans="1:33" ht="14.1" customHeight="1">
      <c r="A10" s="13647" t="s">
        <v>11193</v>
      </c>
      <c r="B10" s="13648">
        <f>'lbpf 3-PYDO'!K12</f>
        <v>822648</v>
      </c>
      <c r="C10" s="13648"/>
      <c r="D10" s="13648">
        <f>'lbpf 3-PYDO'!K13</f>
        <v>96000</v>
      </c>
      <c r="E10" s="13648"/>
      <c r="F10" s="13648"/>
      <c r="G10" s="13648">
        <f>'lbpf 3-PYDO'!K16</f>
        <v>24000</v>
      </c>
      <c r="H10" s="13648"/>
      <c r="I10" s="13648"/>
      <c r="J10" s="13648">
        <f>'lbpf 3-PYDO'!K17</f>
        <v>20000</v>
      </c>
      <c r="K10" s="13648">
        <f>'lbpf 3-PYDO'!K21</f>
        <v>0</v>
      </c>
      <c r="L10" s="13648">
        <f>'lbpf 3-PYDO'!K22</f>
        <v>12000</v>
      </c>
      <c r="M10" s="13648"/>
      <c r="N10" s="13648"/>
      <c r="O10" s="13648"/>
      <c r="P10" s="13648">
        <f>'lbpf 3-PYDO'!K20</f>
        <v>20000</v>
      </c>
      <c r="Q10" s="13648">
        <f>'lbpf 3-PYDO'!K19</f>
        <v>137108</v>
      </c>
      <c r="R10" s="13648">
        <f>'lbpf 3-PYDO'!K23</f>
        <v>98717.759999999995</v>
      </c>
      <c r="S10" s="13648">
        <f>'lbpf 3-PYDO'!K24</f>
        <v>4800</v>
      </c>
      <c r="T10" s="13648">
        <f>'lbpf 3-PYDO'!K25</f>
        <v>11311.41</v>
      </c>
      <c r="U10" s="13648">
        <f>'lbpf 3-PYDO'!K26</f>
        <v>4800</v>
      </c>
      <c r="V10" s="13648"/>
      <c r="W10" s="13648"/>
      <c r="X10" s="13648"/>
      <c r="Y10" s="13650"/>
      <c r="Z10" s="13651">
        <f t="shared" si="0"/>
        <v>1251385.17</v>
      </c>
      <c r="AA10" s="13647"/>
      <c r="AD10" s="13635" t="s">
        <v>11480</v>
      </c>
      <c r="AE10" s="13636" t="s">
        <v>11485</v>
      </c>
      <c r="AF10" s="13635" t="s">
        <v>11489</v>
      </c>
    </row>
    <row r="11" spans="1:33" ht="14.1" customHeight="1">
      <c r="A11" s="13647" t="s">
        <v>678</v>
      </c>
      <c r="B11" s="13648">
        <f>'lbpf 3-PIAO'!J12</f>
        <v>3886140</v>
      </c>
      <c r="C11" s="13648"/>
      <c r="D11" s="13648">
        <f>'lbpf 3-PIAO'!J13</f>
        <v>216000</v>
      </c>
      <c r="E11" s="13648">
        <f>'lbpf 3-PIAO'!J14</f>
        <v>102000</v>
      </c>
      <c r="F11" s="13648">
        <f>'lbpf 3-PIAO'!J15</f>
        <v>102000</v>
      </c>
      <c r="G11" s="13648">
        <f>'lbpf 3-PIAO'!J16</f>
        <v>54000</v>
      </c>
      <c r="H11" s="13648"/>
      <c r="I11" s="13648">
        <v>0</v>
      </c>
      <c r="J11" s="13648">
        <f>'lbpf 3-PIAO'!J17</f>
        <v>45000</v>
      </c>
      <c r="K11" s="13648">
        <f>'lbpf 3-PIAO'!J21</f>
        <v>0</v>
      </c>
      <c r="L11" s="13648">
        <f>'lbpf 3-PIAO'!J22</f>
        <v>27000</v>
      </c>
      <c r="M11" s="13648">
        <v>0</v>
      </c>
      <c r="N11" s="13648"/>
      <c r="O11" s="13648"/>
      <c r="P11" s="13648">
        <f>'lbpf 3-PIAO'!J20</f>
        <v>45000</v>
      </c>
      <c r="Q11" s="13649">
        <f>'lbpf 3-PIAO'!J19</f>
        <v>647690</v>
      </c>
      <c r="R11" s="13648">
        <f>'lbpf 3-PIAO'!J23</f>
        <v>466336.8</v>
      </c>
      <c r="S11" s="13648">
        <f>'lbpf 3-PIAO'!J24</f>
        <v>10800</v>
      </c>
      <c r="T11" s="13648">
        <f>'lbpf 3-PIAO'!J25</f>
        <v>41954.384999999995</v>
      </c>
      <c r="U11" s="13648">
        <f>'lbpf 3-PIAO'!J26</f>
        <v>10800</v>
      </c>
      <c r="V11" s="13648"/>
      <c r="W11" s="13648">
        <v>0</v>
      </c>
      <c r="X11" s="13648"/>
      <c r="Y11" s="13650">
        <f>'lbpf 3-PIAO'!J18</f>
        <v>0</v>
      </c>
      <c r="Z11" s="13651">
        <f t="shared" si="0"/>
        <v>5654721.1849999996</v>
      </c>
      <c r="AA11" s="13647" t="s">
        <v>678</v>
      </c>
      <c r="AD11" s="13635" t="s">
        <v>11330</v>
      </c>
      <c r="AE11" s="13636">
        <v>5000</v>
      </c>
      <c r="AF11" s="13635" t="s">
        <v>11486</v>
      </c>
    </row>
    <row r="12" spans="1:33" ht="14.1" customHeight="1">
      <c r="A12" s="13647" t="s">
        <v>569</v>
      </c>
      <c r="B12" s="13648">
        <f>'lbpf 3-SP'!K13</f>
        <v>37928940</v>
      </c>
      <c r="C12" s="13648">
        <f>'lbpf 3-SP'!K14+'lbpf 3-SP'!K15</f>
        <v>6319200</v>
      </c>
      <c r="D12" s="13648">
        <f>'lbpf 3-SP'!K16</f>
        <v>2736000</v>
      </c>
      <c r="E12" s="13648">
        <f>'lbpf 3-SP'!K17</f>
        <v>1548000</v>
      </c>
      <c r="F12" s="13648">
        <f>'lbpf 3-SP'!K18</f>
        <v>102000</v>
      </c>
      <c r="G12" s="13648">
        <f>'lbpf 3-SP'!K19</f>
        <v>684000</v>
      </c>
      <c r="H12" s="13648"/>
      <c r="I12" s="13648">
        <v>0</v>
      </c>
      <c r="J12" s="13648">
        <f>'lbpf 3-SP'!K20</f>
        <v>570000</v>
      </c>
      <c r="K12" s="13648">
        <f>'lbpf 3-SP'!K25</f>
        <v>0</v>
      </c>
      <c r="L12" s="13648">
        <f>'lbpf 3-SP'!K26</f>
        <v>57000</v>
      </c>
      <c r="M12" s="13648">
        <v>0</v>
      </c>
      <c r="N12" s="13648"/>
      <c r="O12" s="13648">
        <f>'lbpf 3-SP'!K22</f>
        <v>230000</v>
      </c>
      <c r="P12" s="13648">
        <f>'lbpf 3-SP'!K24</f>
        <v>570000</v>
      </c>
      <c r="Q12" s="13649">
        <f>'lbpf 3-SP'!K23</f>
        <v>7180690</v>
      </c>
      <c r="R12" s="13648">
        <f>'lbpf 3-SP'!K27</f>
        <v>5309776.8</v>
      </c>
      <c r="S12" s="13648">
        <f>'lbpf 3-SP'!K28</f>
        <v>136800</v>
      </c>
      <c r="T12" s="13648">
        <f>'lbpf 3-SP'!K29</f>
        <v>373166.31</v>
      </c>
      <c r="U12" s="13648">
        <f>'lbpf 3-SP'!K30</f>
        <v>136800</v>
      </c>
      <c r="V12" s="13648"/>
      <c r="W12" s="13648">
        <v>0</v>
      </c>
      <c r="X12" s="13648"/>
      <c r="Y12" s="13650">
        <f>'lbpf 3-SP'!K21</f>
        <v>35000</v>
      </c>
      <c r="Z12" s="13651">
        <f t="shared" si="0"/>
        <v>63917373.109999999</v>
      </c>
      <c r="AA12" s="13647" t="s">
        <v>569</v>
      </c>
      <c r="AD12" s="13635" t="s">
        <v>10268</v>
      </c>
      <c r="AE12" s="13653">
        <v>0.57499999999999996</v>
      </c>
      <c r="AF12" s="13635" t="s">
        <v>11506</v>
      </c>
    </row>
    <row r="13" spans="1:33" ht="14.1" customHeight="1">
      <c r="A13" s="13647" t="s">
        <v>570</v>
      </c>
      <c r="B13" s="13648">
        <f>'lbpf 3-PHRMD'!J12</f>
        <v>9696720</v>
      </c>
      <c r="C13" s="13648"/>
      <c r="D13" s="13648">
        <f>'lbpf 3-PHRMD'!J13</f>
        <v>816000</v>
      </c>
      <c r="E13" s="13648">
        <f>'lbpf 3-PHRMD'!J14</f>
        <v>102000</v>
      </c>
      <c r="F13" s="13648">
        <f>'lbpf 3-PHRMD'!J15</f>
        <v>102000</v>
      </c>
      <c r="G13" s="13648">
        <f>'lbpf 3-PHRMD'!J16</f>
        <v>204000</v>
      </c>
      <c r="H13" s="13648"/>
      <c r="I13" s="13648">
        <v>0</v>
      </c>
      <c r="J13" s="13648">
        <f>'lbpf 3-PHRMD'!J17</f>
        <v>170000</v>
      </c>
      <c r="K13" s="13648">
        <f>'lbpf 3-PHRMD'!J21</f>
        <v>0</v>
      </c>
      <c r="L13" s="13648">
        <f>'lbpf 3-PHRMD'!J22</f>
        <v>102000</v>
      </c>
      <c r="M13" s="13648">
        <v>0</v>
      </c>
      <c r="N13" s="13648"/>
      <c r="O13" s="13648"/>
      <c r="P13" s="13648">
        <f>'lbpf 3-PHRMD'!J20</f>
        <v>170000</v>
      </c>
      <c r="Q13" s="13649">
        <f>'lbpf 3-PHRMD'!J19</f>
        <v>1616120</v>
      </c>
      <c r="R13" s="13648">
        <f>'lbpf 3-PHRMD'!J23</f>
        <v>1163606.3999999999</v>
      </c>
      <c r="S13" s="13648">
        <f>'lbpf 3-PHRMD'!J24</f>
        <v>40800</v>
      </c>
      <c r="T13" s="13648">
        <f>'lbpf 3-PHRMD'!J25</f>
        <v>112354.77</v>
      </c>
      <c r="U13" s="13648">
        <f>'lbpf 3-PHRMD'!J26</f>
        <v>40800</v>
      </c>
      <c r="V13" s="13648"/>
      <c r="W13" s="13648">
        <v>0</v>
      </c>
      <c r="X13" s="13648"/>
      <c r="Y13" s="13650">
        <f>'lbpf 3-PHRMD'!J18</f>
        <v>10000</v>
      </c>
      <c r="Z13" s="13651">
        <f t="shared" si="0"/>
        <v>14346401.17</v>
      </c>
      <c r="AA13" s="13647" t="s">
        <v>570</v>
      </c>
      <c r="AD13" s="13635" t="s">
        <v>11359</v>
      </c>
      <c r="AE13" s="13654">
        <v>0.12</v>
      </c>
      <c r="AF13" s="13635" t="s">
        <v>11487</v>
      </c>
    </row>
    <row r="14" spans="1:33" ht="14.1" customHeight="1">
      <c r="A14" s="13647" t="s">
        <v>571</v>
      </c>
      <c r="B14" s="13648">
        <f>'lbpf 3-PPDO'!J12</f>
        <v>13046676</v>
      </c>
      <c r="C14" s="13648"/>
      <c r="D14" s="13648">
        <f>'lbpf 3-PPDO'!J13</f>
        <v>912000</v>
      </c>
      <c r="E14" s="13648">
        <f>'lbpf 3-PPDO'!J14</f>
        <v>102000</v>
      </c>
      <c r="F14" s="13648">
        <f>'lbpf 3-PPDO'!J15</f>
        <v>102000</v>
      </c>
      <c r="G14" s="13648">
        <f>'lbpf 3-PPDO'!J16</f>
        <v>228000</v>
      </c>
      <c r="H14" s="13648"/>
      <c r="I14" s="13648">
        <v>0</v>
      </c>
      <c r="J14" s="13648">
        <f>'lbpf 3-PPDO'!J17</f>
        <v>190000</v>
      </c>
      <c r="K14" s="13648">
        <f>'lbpf 3-PPDO'!J21</f>
        <v>0</v>
      </c>
      <c r="L14" s="13648">
        <f>'lbpf 3-PPDO'!J22</f>
        <v>114000</v>
      </c>
      <c r="M14" s="13648">
        <v>0</v>
      </c>
      <c r="N14" s="13648"/>
      <c r="O14" s="13648"/>
      <c r="P14" s="13648">
        <f>'lbpf 3-PPDO'!J20</f>
        <v>190000</v>
      </c>
      <c r="Q14" s="13649">
        <f>'lbpf 3-PPDO'!J19</f>
        <v>2174446</v>
      </c>
      <c r="R14" s="13648">
        <f>'lbpf 3-PPDO'!J23</f>
        <v>1565601.1199999999</v>
      </c>
      <c r="S14" s="13648">
        <f>'lbpf 3-PPDO'!J24</f>
        <v>45600</v>
      </c>
      <c r="T14" s="13648">
        <f>'lbpf 3-PPDO'!J25</f>
        <v>147911.93999999997</v>
      </c>
      <c r="U14" s="13648">
        <f>'lbpf 3-PPDO'!J26</f>
        <v>45600</v>
      </c>
      <c r="V14" s="13648"/>
      <c r="W14" s="13648">
        <v>0</v>
      </c>
      <c r="X14" s="13648"/>
      <c r="Y14" s="13650">
        <f>'lbpf 3-PPDO'!J18</f>
        <v>30000</v>
      </c>
      <c r="Z14" s="13651">
        <f t="shared" si="0"/>
        <v>18893835.060000002</v>
      </c>
      <c r="AA14" s="13647" t="s">
        <v>571</v>
      </c>
      <c r="AD14" s="13635" t="s">
        <v>11331</v>
      </c>
      <c r="AE14" s="13636">
        <v>1200</v>
      </c>
      <c r="AF14" s="13635" t="s">
        <v>11486</v>
      </c>
    </row>
    <row r="15" spans="1:33" ht="14.1" customHeight="1">
      <c r="A15" s="13647" t="s">
        <v>572</v>
      </c>
      <c r="B15" s="13648">
        <f>'lbpf 3-GSO '!J12</f>
        <v>18686760</v>
      </c>
      <c r="C15" s="13648"/>
      <c r="D15" s="13648">
        <f>'lbpf 3-GSO '!J13</f>
        <v>2064000</v>
      </c>
      <c r="E15" s="13648">
        <f>'lbpf 3-GSO '!J14</f>
        <v>192000</v>
      </c>
      <c r="F15" s="13648">
        <f>'lbpf 3-GSO '!J15</f>
        <v>192000</v>
      </c>
      <c r="G15" s="13648">
        <f>'lbpf 3-GSO '!J16</f>
        <v>516000</v>
      </c>
      <c r="H15" s="13648"/>
      <c r="I15" s="13648">
        <v>0</v>
      </c>
      <c r="J15" s="13648">
        <f>'lbpf 3-GSO '!J17</f>
        <v>430000</v>
      </c>
      <c r="K15" s="13648">
        <f>'lbpf 3-GSO '!J22</f>
        <v>0</v>
      </c>
      <c r="L15" s="13648">
        <f>'lbpf 3-GSO '!J23</f>
        <v>258000</v>
      </c>
      <c r="M15" s="13648">
        <v>0</v>
      </c>
      <c r="N15" s="13648"/>
      <c r="O15" s="13648">
        <f>'lbpf 3-GSO '!J19</f>
        <v>250000</v>
      </c>
      <c r="P15" s="13648">
        <f>'lbpf 3-GSO '!J21</f>
        <v>430000</v>
      </c>
      <c r="Q15" s="13649">
        <f>'lbpf 3-GSO '!J20</f>
        <v>3114460</v>
      </c>
      <c r="R15" s="13648">
        <f>'lbpf 3-GSO '!J24</f>
        <v>2242411.1999999997</v>
      </c>
      <c r="S15" s="13648">
        <f>'lbpf 3-GSO '!J25</f>
        <v>103200</v>
      </c>
      <c r="T15" s="13648">
        <f>'lbpf 3-GSO '!J26</f>
        <v>228086.595</v>
      </c>
      <c r="U15" s="13648">
        <f>'lbpf 3-GSO '!J27</f>
        <v>103200</v>
      </c>
      <c r="V15" s="13648"/>
      <c r="W15" s="13648">
        <v>0</v>
      </c>
      <c r="X15" s="13648"/>
      <c r="Y15" s="13650">
        <f>'lbpf 3-GSO '!J18</f>
        <v>70000</v>
      </c>
      <c r="Z15" s="13651">
        <f t="shared" si="0"/>
        <v>28880117.794999998</v>
      </c>
      <c r="AA15" s="13647" t="s">
        <v>572</v>
      </c>
      <c r="AD15" s="13635" t="s">
        <v>11332</v>
      </c>
      <c r="AE15" s="13636">
        <v>3600</v>
      </c>
      <c r="AF15" s="13635" t="s">
        <v>11486</v>
      </c>
    </row>
    <row r="16" spans="1:33" ht="14.1" customHeight="1">
      <c r="A16" s="13647" t="s">
        <v>573</v>
      </c>
      <c r="B16" s="13648">
        <f>'lbpf 3-PBMO'!J11</f>
        <v>7784604</v>
      </c>
      <c r="C16" s="13648"/>
      <c r="D16" s="13648">
        <f>'lbpf 3-PBMO'!J12</f>
        <v>552000</v>
      </c>
      <c r="E16" s="13648">
        <f>'lbpf 3-PBMO'!J13</f>
        <v>102000</v>
      </c>
      <c r="F16" s="13648">
        <f>'lbpf 3-PBMO'!J14</f>
        <v>102000</v>
      </c>
      <c r="G16" s="13648">
        <f>'lbpf 3-PBMO'!J15</f>
        <v>138000</v>
      </c>
      <c r="H16" s="13648"/>
      <c r="I16" s="13648">
        <v>0</v>
      </c>
      <c r="J16" s="13648">
        <f>'lbpf 3-PBMO'!J16</f>
        <v>115000</v>
      </c>
      <c r="K16" s="13648">
        <f>'lbpf 3-PBMO'!J21</f>
        <v>0</v>
      </c>
      <c r="L16" s="13648">
        <f>'lbpf 3-PBMO'!J22</f>
        <v>69000</v>
      </c>
      <c r="M16" s="13648">
        <v>0</v>
      </c>
      <c r="N16" s="13648"/>
      <c r="O16" s="13648">
        <f>'lbpf 3-PBMO'!J18</f>
        <v>100000</v>
      </c>
      <c r="P16" s="13648">
        <f>'lbpf 3-PBMO'!J20</f>
        <v>115000</v>
      </c>
      <c r="Q16" s="13649">
        <f>'lbpf 3-PBMO'!J19</f>
        <v>1297434</v>
      </c>
      <c r="R16" s="13648">
        <f>'lbpf 3-PBMO'!J23</f>
        <v>934152.48</v>
      </c>
      <c r="S16" s="13648">
        <f>'lbpf 3-PBMO'!J24</f>
        <v>27600</v>
      </c>
      <c r="T16" s="13648">
        <f>'lbpf 3-PBMO'!J25</f>
        <v>86565.27</v>
      </c>
      <c r="U16" s="13648">
        <f>'lbpf 3-PBMO'!J26</f>
        <v>27600</v>
      </c>
      <c r="V16" s="13648"/>
      <c r="W16" s="13648">
        <v>0</v>
      </c>
      <c r="X16" s="13648"/>
      <c r="Y16" s="13650">
        <f>'lbpf 3-PBMO'!J17</f>
        <v>10000</v>
      </c>
      <c r="Z16" s="13651">
        <f t="shared" si="0"/>
        <v>11460955.75</v>
      </c>
      <c r="AA16" s="13647" t="s">
        <v>573</v>
      </c>
      <c r="AD16" s="13635" t="s">
        <v>656</v>
      </c>
      <c r="AE16" s="13636">
        <v>1200</v>
      </c>
      <c r="AF16" s="13635" t="s">
        <v>11486</v>
      </c>
    </row>
    <row r="17" spans="1:32" ht="14.1" customHeight="1">
      <c r="A17" s="13647" t="s">
        <v>574</v>
      </c>
      <c r="B17" s="13648">
        <f>'lbpf 3-PAccO'!J11</f>
        <v>15898872</v>
      </c>
      <c r="C17" s="13648"/>
      <c r="D17" s="13648">
        <f>'lbpf 3-PAccO'!J12</f>
        <v>1224000</v>
      </c>
      <c r="E17" s="13648">
        <f>'lbpf 3-PAccO'!J13</f>
        <v>192000</v>
      </c>
      <c r="F17" s="13648">
        <f>'lbpf 3-PAccO'!J14</f>
        <v>192000</v>
      </c>
      <c r="G17" s="13648">
        <f>'lbpf 3-PAccO'!J15</f>
        <v>306000</v>
      </c>
      <c r="H17" s="13648"/>
      <c r="I17" s="13648">
        <v>0</v>
      </c>
      <c r="J17" s="13648">
        <f>'lbpf 3-PAccO'!J16</f>
        <v>255000</v>
      </c>
      <c r="K17" s="13648">
        <f>'lbpf 3-PAccO'!J21</f>
        <v>0</v>
      </c>
      <c r="L17" s="13648">
        <f>'lbpf 3-PAccO'!J22</f>
        <v>153000</v>
      </c>
      <c r="M17" s="13648">
        <v>0</v>
      </c>
      <c r="N17" s="13648"/>
      <c r="O17" s="13648">
        <f>'lbpf 3-PAccO'!J18</f>
        <v>500000</v>
      </c>
      <c r="P17" s="13648">
        <f>'lbpf 3-PAccO'!J20</f>
        <v>255000</v>
      </c>
      <c r="Q17" s="13649">
        <f>'lbpf 3-PAccO'!J19</f>
        <v>2649812</v>
      </c>
      <c r="R17" s="13648">
        <f>'lbpf 3-PAccO'!J23</f>
        <v>1907864.64</v>
      </c>
      <c r="S17" s="13648">
        <f>'lbpf 3-PAccO'!J24</f>
        <v>61200</v>
      </c>
      <c r="T17" s="13648">
        <f>'lbpf 3-PAccO'!J25</f>
        <v>184365.55499999999</v>
      </c>
      <c r="U17" s="13648">
        <f>'lbpf 3-PAccO'!J26</f>
        <v>61200</v>
      </c>
      <c r="V17" s="13648"/>
      <c r="W17" s="13648">
        <v>0</v>
      </c>
      <c r="X17" s="13648"/>
      <c r="Y17" s="13650">
        <f>'lbpf 3-PAccO'!J17</f>
        <v>25000</v>
      </c>
      <c r="Z17" s="13651">
        <f t="shared" si="0"/>
        <v>23865314.195</v>
      </c>
      <c r="AA17" s="13647" t="s">
        <v>574</v>
      </c>
      <c r="AD17" s="13635" t="s">
        <v>647</v>
      </c>
      <c r="AE17" s="13636">
        <v>5000</v>
      </c>
      <c r="AF17" s="13635" t="s">
        <v>11486</v>
      </c>
    </row>
    <row r="18" spans="1:32" ht="14.1" customHeight="1">
      <c r="A18" s="13647" t="s">
        <v>575</v>
      </c>
      <c r="B18" s="13648">
        <f>'lbpf 3-PTO'!J12</f>
        <v>16315284</v>
      </c>
      <c r="C18" s="13648"/>
      <c r="D18" s="13648">
        <f>'lbpf 3-PTO'!J13</f>
        <v>1440000</v>
      </c>
      <c r="E18" s="13648">
        <f>'lbpf 3-PTO'!J14</f>
        <v>192000</v>
      </c>
      <c r="F18" s="13648">
        <f>'lbpf 3-PTO'!J15</f>
        <v>192000</v>
      </c>
      <c r="G18" s="13648">
        <f>'lbpf 3-PTO'!J16</f>
        <v>360000</v>
      </c>
      <c r="H18" s="13648"/>
      <c r="I18" s="13648">
        <v>0</v>
      </c>
      <c r="J18" s="13648">
        <f>'lbpf 3-PTO'!J17</f>
        <v>300000</v>
      </c>
      <c r="K18" s="13648">
        <f>'lbpf 3-PTO'!J22</f>
        <v>0</v>
      </c>
      <c r="L18" s="13648">
        <f>'lbpf 3-PTO'!J23</f>
        <v>180000</v>
      </c>
      <c r="M18" s="13648">
        <v>0</v>
      </c>
      <c r="N18" s="13648"/>
      <c r="O18" s="13648">
        <f>'lbpf 3-PTO'!J19</f>
        <v>24200</v>
      </c>
      <c r="P18" s="13648">
        <f>'lbpf 3-PTO'!J21</f>
        <v>300000</v>
      </c>
      <c r="Q18" s="13649">
        <f>'lbpf 3-PTO'!J20</f>
        <v>2719214</v>
      </c>
      <c r="R18" s="13648">
        <f>'lbpf 3-PTO'!J24</f>
        <v>1957834.0799999998</v>
      </c>
      <c r="S18" s="13648">
        <f>'lbpf 3-PTO'!J25</f>
        <v>72000</v>
      </c>
      <c r="T18" s="13648">
        <f>'lbpf 3-PTO'!J26</f>
        <v>189279.09000000005</v>
      </c>
      <c r="U18" s="13648">
        <f>'lbpf 3-PTO'!J27</f>
        <v>72000</v>
      </c>
      <c r="V18" s="13648"/>
      <c r="W18" s="13648">
        <v>0</v>
      </c>
      <c r="X18" s="13648"/>
      <c r="Y18" s="13650">
        <f>'lbpf 3-PTO'!J18</f>
        <v>15000</v>
      </c>
      <c r="Z18" s="13651">
        <f t="shared" si="0"/>
        <v>24328811.169999998</v>
      </c>
      <c r="AA18" s="13647" t="s">
        <v>575</v>
      </c>
      <c r="AD18" s="13635" t="s">
        <v>11481</v>
      </c>
      <c r="AE18" s="13636">
        <v>3000</v>
      </c>
      <c r="AF18" s="13635" t="s">
        <v>11486</v>
      </c>
    </row>
    <row r="19" spans="1:32" ht="14.1" customHeight="1">
      <c r="A19" s="13647" t="s">
        <v>576</v>
      </c>
      <c r="B19" s="13648">
        <f>'lbpf 3-PAssO'!J12</f>
        <v>10275816</v>
      </c>
      <c r="C19" s="13648"/>
      <c r="D19" s="13648">
        <f>'lbpf 3-PAssO'!J13</f>
        <v>672000</v>
      </c>
      <c r="E19" s="13648">
        <f>'lbpf 3-PAssO'!J14</f>
        <v>192000</v>
      </c>
      <c r="F19" s="13648">
        <f>'lbpf 3-PAssO'!J15</f>
        <v>192000</v>
      </c>
      <c r="G19" s="13648">
        <f>'lbpf 3-PAssO'!J16</f>
        <v>168000</v>
      </c>
      <c r="H19" s="13648"/>
      <c r="I19" s="13648">
        <v>0</v>
      </c>
      <c r="J19" s="13648">
        <f>'lbpf 3-PAssO'!J17</f>
        <v>140000</v>
      </c>
      <c r="K19" s="13648">
        <f>'lbpf 3-PAssO'!J22</f>
        <v>0</v>
      </c>
      <c r="L19" s="13648">
        <f>'lbpf 3-PAssO'!J23</f>
        <v>84000</v>
      </c>
      <c r="M19" s="13648">
        <v>0</v>
      </c>
      <c r="N19" s="13648"/>
      <c r="O19" s="13648">
        <f>'lbpf 3-PAssO'!J19</f>
        <v>40000</v>
      </c>
      <c r="P19" s="13648">
        <f>'lbpf 3-PAssO'!J21</f>
        <v>140000</v>
      </c>
      <c r="Q19" s="13649">
        <f>'lbpf 3-PAssO'!J20</f>
        <v>1712636</v>
      </c>
      <c r="R19" s="13648">
        <f>'lbpf 3-PAssO'!J24</f>
        <v>1233097.92</v>
      </c>
      <c r="S19" s="13648">
        <f>'lbpf 3-PAssO'!J25</f>
        <v>33600</v>
      </c>
      <c r="T19" s="13648">
        <f>'lbpf 3-PAssO'!J26</f>
        <v>107175.74999999997</v>
      </c>
      <c r="U19" s="13648">
        <f>'lbpf 3-PAssO'!J27</f>
        <v>33600</v>
      </c>
      <c r="V19" s="13648"/>
      <c r="W19" s="13648">
        <v>0</v>
      </c>
      <c r="X19" s="13648"/>
      <c r="Y19" s="13650">
        <f>'lbpf 3-PAssO'!J18</f>
        <v>15000</v>
      </c>
      <c r="Z19" s="13651">
        <f>SUM(B19:Y19)</f>
        <v>15038925.67</v>
      </c>
      <c r="AA19" s="13647" t="s">
        <v>576</v>
      </c>
    </row>
    <row r="20" spans="1:32" ht="14.1" customHeight="1">
      <c r="A20" s="13647" t="s">
        <v>577</v>
      </c>
      <c r="B20" s="13648">
        <f>'lbpf 3-LEGAL'!J12</f>
        <v>5545164</v>
      </c>
      <c r="C20" s="13648"/>
      <c r="D20" s="13648">
        <f>'lbpf 3-LEGAL'!J13</f>
        <v>456000</v>
      </c>
      <c r="E20" s="13648">
        <f>'lbpf 3-LEGAL'!J14</f>
        <v>192000</v>
      </c>
      <c r="F20" s="13648">
        <f>'lbpf 3-LEGAL'!J15</f>
        <v>192000</v>
      </c>
      <c r="G20" s="13648">
        <f>'lbpf 3-LEGAL'!J16</f>
        <v>114000</v>
      </c>
      <c r="H20" s="13648"/>
      <c r="I20" s="13648">
        <v>0</v>
      </c>
      <c r="J20" s="13648">
        <f>'lbpf 3-LEGAL'!J18</f>
        <v>95000</v>
      </c>
      <c r="K20" s="13648">
        <f>'lbpf 3-LEGAL'!J22</f>
        <v>0</v>
      </c>
      <c r="L20" s="13648">
        <f>'lbpf 3-LEGAL'!J23</f>
        <v>57000</v>
      </c>
      <c r="M20" s="13648">
        <v>0</v>
      </c>
      <c r="N20" s="13648"/>
      <c r="O20" s="13648">
        <f>'lbpf 3-LEGAL'!J17</f>
        <v>50000</v>
      </c>
      <c r="P20" s="13648">
        <f>'lbpf 3-LEGAL'!J21</f>
        <v>95000</v>
      </c>
      <c r="Q20" s="13649">
        <f>'lbpf 3-LEGAL'!J20</f>
        <v>924194</v>
      </c>
      <c r="R20" s="13648">
        <f>'lbpf 3-LEGAL'!J24</f>
        <v>665419.67999999993</v>
      </c>
      <c r="S20" s="13648">
        <f>'lbpf 3-LEGAL'!J25</f>
        <v>22800</v>
      </c>
      <c r="T20" s="13648">
        <f>'lbpf 3-LEGAL'!J26</f>
        <v>56029.05</v>
      </c>
      <c r="U20" s="13648">
        <f>'lbpf 3-LEGAL'!J27</f>
        <v>22800</v>
      </c>
      <c r="V20" s="13648"/>
      <c r="W20" s="13648">
        <v>0</v>
      </c>
      <c r="X20" s="13648"/>
      <c r="Y20" s="13650">
        <f>'lbpf 3-LEGAL'!J19</f>
        <v>15000</v>
      </c>
      <c r="Z20" s="13651">
        <f t="shared" si="0"/>
        <v>8502406.7300000004</v>
      </c>
      <c r="AA20" s="13647" t="s">
        <v>577</v>
      </c>
      <c r="AD20" s="13635" t="s">
        <v>11357</v>
      </c>
      <c r="AE20" s="13654">
        <v>0.25</v>
      </c>
      <c r="AF20" s="13635" t="s">
        <v>11487</v>
      </c>
    </row>
    <row r="21" spans="1:32" ht="15.75" customHeight="1">
      <c r="A21" s="13655" t="s">
        <v>10327</v>
      </c>
      <c r="B21" s="13656">
        <f>'lbpf 3-PDRRMO'!K11</f>
        <v>6668880</v>
      </c>
      <c r="C21" s="13656">
        <f>'lbpf 3-PDRRMO'!K12</f>
        <v>3600000</v>
      </c>
      <c r="D21" s="13656">
        <f>'lbpf 3-PDRRMO'!K13</f>
        <v>1248000</v>
      </c>
      <c r="E21" s="13656">
        <f>'lbpf 3-PDRRMO'!K14</f>
        <v>102000</v>
      </c>
      <c r="F21" s="13656">
        <f>'lbpf 3-PDRRMO'!K15</f>
        <v>102000</v>
      </c>
      <c r="G21" s="13656">
        <f>'lbpf 3-PDRRMO'!K16</f>
        <v>312000</v>
      </c>
      <c r="H21" s="13656"/>
      <c r="I21" s="13656"/>
      <c r="J21" s="13656">
        <f>'lbpf 3-PDRRMO'!K17</f>
        <v>260000</v>
      </c>
      <c r="K21" s="13656">
        <f>'lbpf 3-PDRRMO'!K21</f>
        <v>0</v>
      </c>
      <c r="L21" s="13656">
        <f>'lbpf 3-PDRRMO'!K22</f>
        <v>156000</v>
      </c>
      <c r="M21" s="13656">
        <v>0</v>
      </c>
      <c r="N21" s="13656"/>
      <c r="O21" s="13656"/>
      <c r="P21" s="13656">
        <f>'lbpf 3-PDRRMO'!K20</f>
        <v>260000</v>
      </c>
      <c r="Q21" s="13656">
        <f>'lbpf 3-PDRRMO'!K19</f>
        <v>1711480</v>
      </c>
      <c r="R21" s="13656">
        <f>'lbpf 3-PDRRMO'!K23</f>
        <v>1232265.5999999999</v>
      </c>
      <c r="S21" s="13656">
        <f>'lbpf 3-PDRRMO'!K24</f>
        <v>62400</v>
      </c>
      <c r="T21" s="13656">
        <f>'lbpf 3-PDRRMO'!K25</f>
        <v>72426.915000000023</v>
      </c>
      <c r="U21" s="13656">
        <f>'lbpf 3-PDRRMO'!K26</f>
        <v>62400</v>
      </c>
      <c r="V21" s="13656"/>
      <c r="W21" s="13656">
        <v>0</v>
      </c>
      <c r="X21" s="13656"/>
      <c r="Y21" s="13657">
        <f>'lbpf 3-PDRRMO'!K18</f>
        <v>5000</v>
      </c>
      <c r="Z21" s="13658">
        <f>SUM(B21:Y21)</f>
        <v>15854852.514999999</v>
      </c>
      <c r="AA21" s="13655" t="s">
        <v>10327</v>
      </c>
      <c r="AD21" s="13635" t="s">
        <v>11358</v>
      </c>
      <c r="AE21" s="13636">
        <v>10800</v>
      </c>
      <c r="AF21" s="13635" t="s">
        <v>11486</v>
      </c>
    </row>
    <row r="22" spans="1:32" ht="14.1" customHeight="1">
      <c r="A22" s="13659" t="s">
        <v>485</v>
      </c>
      <c r="B22" s="13660">
        <f t="shared" ref="B22:Y22" si="1">SUM(B5:B21)</f>
        <v>172793160</v>
      </c>
      <c r="C22" s="13660">
        <f t="shared" si="1"/>
        <v>16659656</v>
      </c>
      <c r="D22" s="13660">
        <f t="shared" si="1"/>
        <v>17040000</v>
      </c>
      <c r="E22" s="13660">
        <f t="shared" si="1"/>
        <v>3252000</v>
      </c>
      <c r="F22" s="13660">
        <f t="shared" si="1"/>
        <v>1572000</v>
      </c>
      <c r="G22" s="13660">
        <f t="shared" si="1"/>
        <v>4260000</v>
      </c>
      <c r="H22" s="13660">
        <f t="shared" si="1"/>
        <v>0</v>
      </c>
      <c r="I22" s="13660">
        <f t="shared" si="1"/>
        <v>0</v>
      </c>
      <c r="J22" s="13660">
        <f t="shared" si="1"/>
        <v>3550000</v>
      </c>
      <c r="K22" s="13660">
        <f t="shared" si="1"/>
        <v>0</v>
      </c>
      <c r="L22" s="13660">
        <f t="shared" si="1"/>
        <v>1845000</v>
      </c>
      <c r="M22" s="13660">
        <f t="shared" si="1"/>
        <v>0</v>
      </c>
      <c r="N22" s="13660">
        <f t="shared" si="1"/>
        <v>0</v>
      </c>
      <c r="O22" s="13660">
        <f t="shared" si="1"/>
        <v>2394200</v>
      </c>
      <c r="P22" s="13660">
        <f t="shared" si="1"/>
        <v>3550000</v>
      </c>
      <c r="Q22" s="13660">
        <f t="shared" si="1"/>
        <v>31298136</v>
      </c>
      <c r="R22" s="13660">
        <f t="shared" si="1"/>
        <v>22674337.920000002</v>
      </c>
      <c r="S22" s="13660">
        <f t="shared" si="1"/>
        <v>852000</v>
      </c>
      <c r="T22" s="13660">
        <f t="shared" si="1"/>
        <v>1936854.3150000002</v>
      </c>
      <c r="U22" s="13660">
        <f t="shared" si="1"/>
        <v>852000</v>
      </c>
      <c r="V22" s="13660">
        <f t="shared" si="1"/>
        <v>0</v>
      </c>
      <c r="W22" s="13660">
        <f t="shared" si="1"/>
        <v>0</v>
      </c>
      <c r="X22" s="13660">
        <f t="shared" si="1"/>
        <v>936000</v>
      </c>
      <c r="Y22" s="13660">
        <f t="shared" si="1"/>
        <v>250000</v>
      </c>
      <c r="Z22" s="13661">
        <f>SUM(Z5:Z21)</f>
        <v>285715344.23499995</v>
      </c>
      <c r="AA22" s="13659" t="s">
        <v>485</v>
      </c>
      <c r="AB22" s="13662">
        <f>summary!C24</f>
        <v>285715344.23499995</v>
      </c>
      <c r="AD22" s="13635" t="s">
        <v>11488</v>
      </c>
      <c r="AE22" s="13636">
        <v>1800</v>
      </c>
      <c r="AF22" s="13635" t="s">
        <v>11486</v>
      </c>
    </row>
    <row r="23" spans="1:32" ht="11.4" customHeight="1">
      <c r="A23" s="13663" t="s">
        <v>3098</v>
      </c>
      <c r="B23" s="13664"/>
      <c r="C23" s="13664"/>
      <c r="D23" s="13664"/>
      <c r="E23" s="13664"/>
      <c r="F23" s="13664"/>
      <c r="G23" s="13664"/>
      <c r="H23" s="13664"/>
      <c r="I23" s="13664"/>
      <c r="J23" s="13664"/>
      <c r="K23" s="13664"/>
      <c r="L23" s="13664"/>
      <c r="M23" s="13664"/>
      <c r="N23" s="13664"/>
      <c r="O23" s="13664"/>
      <c r="P23" s="13664"/>
      <c r="Q23" s="13664"/>
      <c r="R23" s="13664"/>
      <c r="S23" s="13664"/>
      <c r="T23" s="13664"/>
      <c r="U23" s="13664"/>
      <c r="V23" s="13664"/>
      <c r="W23" s="13664"/>
      <c r="X23" s="13664"/>
      <c r="Y23" s="13664"/>
      <c r="Z23" s="13665" t="s">
        <v>9</v>
      </c>
      <c r="AA23" s="13663" t="s">
        <v>3098</v>
      </c>
    </row>
    <row r="24" spans="1:32" ht="14.1" customHeight="1">
      <c r="A24" s="13647" t="s">
        <v>578</v>
      </c>
      <c r="B24" s="13666">
        <f>'lbpf 3-BEMO'!J12</f>
        <v>6775764</v>
      </c>
      <c r="C24" s="13666"/>
      <c r="D24" s="13666">
        <f>'lbpf 3-BEMO'!J13</f>
        <v>624000</v>
      </c>
      <c r="E24" s="13666"/>
      <c r="F24" s="13666"/>
      <c r="G24" s="13666">
        <f>'lbpf 3-BEMO'!J14</f>
        <v>156000</v>
      </c>
      <c r="H24" s="13666"/>
      <c r="I24" s="13666">
        <v>0</v>
      </c>
      <c r="J24" s="13666">
        <f>'lbpf 3-BEMO'!J15</f>
        <v>130000</v>
      </c>
      <c r="K24" s="13666">
        <f>'lbpf 3-BEMO'!J19</f>
        <v>0</v>
      </c>
      <c r="L24" s="13666">
        <f>'lbpf 3-BEMO'!J20</f>
        <v>78000</v>
      </c>
      <c r="M24" s="13666">
        <v>0</v>
      </c>
      <c r="N24" s="13666"/>
      <c r="O24" s="13666"/>
      <c r="P24" s="13666">
        <f>'lbpf 3-BEMO'!J18</f>
        <v>130000</v>
      </c>
      <c r="Q24" s="13649">
        <f>'lbpf 3-BEMO'!J17</f>
        <v>1129294</v>
      </c>
      <c r="R24" s="13666">
        <f>'lbpf 3-BEMO'!J21</f>
        <v>813091.67999999993</v>
      </c>
      <c r="S24" s="13666">
        <f>'lbpf 3-BEMO'!J22</f>
        <v>31200</v>
      </c>
      <c r="T24" s="13666">
        <f>'lbpf 3-BEMO'!J23</f>
        <v>85202.865000000005</v>
      </c>
      <c r="U24" s="13666">
        <f>'lbpf 3-BEMO'!J24</f>
        <v>31200</v>
      </c>
      <c r="V24" s="13666"/>
      <c r="W24" s="13666">
        <v>0</v>
      </c>
      <c r="X24" s="13666"/>
      <c r="Y24" s="13666">
        <f>'lbpf 3-BEMO'!J16</f>
        <v>0</v>
      </c>
      <c r="Z24" s="13651">
        <f t="shared" ref="Z24:Z38" si="2">SUM(B24:Y24)</f>
        <v>9983752.5449999999</v>
      </c>
      <c r="AA24" s="13647" t="s">
        <v>578</v>
      </c>
    </row>
    <row r="25" spans="1:32" ht="14.1" customHeight="1">
      <c r="A25" s="13647" t="s">
        <v>1727</v>
      </c>
      <c r="B25" s="13666">
        <f>'lbpf 3-BDJ'!J13</f>
        <v>5680320</v>
      </c>
      <c r="C25" s="13648"/>
      <c r="D25" s="13666">
        <f>'lbpf 3-BDJ'!J14</f>
        <v>696000</v>
      </c>
      <c r="E25" s="13666"/>
      <c r="F25" s="13666"/>
      <c r="G25" s="13666">
        <f>'lbpf 3-BDJ'!J15</f>
        <v>174000</v>
      </c>
      <c r="H25" s="13666">
        <v>0</v>
      </c>
      <c r="I25" s="13666">
        <v>0</v>
      </c>
      <c r="J25" s="13666">
        <f>'lbpf 3-BDJ'!J16</f>
        <v>145000</v>
      </c>
      <c r="K25" s="13666">
        <f>'lbpf 3-BDJ'!J22</f>
        <v>0</v>
      </c>
      <c r="L25" s="13666">
        <f>'lbpf 3-BDJ'!J23</f>
        <v>87000</v>
      </c>
      <c r="M25" s="13666">
        <v>0</v>
      </c>
      <c r="N25" s="13666">
        <f>'lbpf 3-BDJ'!J17</f>
        <v>292320</v>
      </c>
      <c r="O25" s="13666">
        <f>'lbpf 3-BDJ'!J19</f>
        <v>324000</v>
      </c>
      <c r="P25" s="13666">
        <f>'lbpf 3-BDJ'!J21</f>
        <v>145000</v>
      </c>
      <c r="Q25" s="13649">
        <f>'lbpf 3-BDJ'!J20</f>
        <v>946720</v>
      </c>
      <c r="R25" s="13666">
        <f>'lbpf 3-BDJ'!J24</f>
        <v>681638.40000000002</v>
      </c>
      <c r="S25" s="13666">
        <f>'lbpf 3-BDJ'!J25</f>
        <v>34800</v>
      </c>
      <c r="T25" s="13666">
        <f>'lbpf 3-BDJ'!J26</f>
        <v>73017.944999999992</v>
      </c>
      <c r="U25" s="13666">
        <f>'lbpf 3-BDJ'!J27</f>
        <v>34800</v>
      </c>
      <c r="V25" s="13666">
        <v>0</v>
      </c>
      <c r="W25" s="13666">
        <v>0</v>
      </c>
      <c r="X25" s="13666"/>
      <c r="Y25" s="13666">
        <f>'lbpf 3-BDJ'!J18</f>
        <v>15000</v>
      </c>
      <c r="Z25" s="13651">
        <f t="shared" si="2"/>
        <v>9329616.3450000007</v>
      </c>
      <c r="AA25" s="13647" t="s">
        <v>1727</v>
      </c>
    </row>
    <row r="26" spans="1:32" ht="14.1" hidden="1" customHeight="1">
      <c r="A26" s="13647" t="s">
        <v>580</v>
      </c>
      <c r="B26" s="13666" t="str">
        <f>'lbpf 3-LIB'!H12</f>
        <v>INTEGRATED IN THE SANGGUNIANG PANLALAWIGAN BUDGET</v>
      </c>
      <c r="C26" s="13666"/>
      <c r="D26" s="13666">
        <f>'lbpf 3-LIB'!H13</f>
        <v>0</v>
      </c>
      <c r="E26" s="13666"/>
      <c r="F26" s="13666"/>
      <c r="G26" s="13666">
        <f>'lbpf 3-LIB'!H14</f>
        <v>0</v>
      </c>
      <c r="H26" s="13666"/>
      <c r="I26" s="13666">
        <f>'lbpf 3-LIB'!H15</f>
        <v>0</v>
      </c>
      <c r="J26" s="13666"/>
      <c r="K26" s="13666"/>
      <c r="L26" s="13666">
        <f>'lbpf 3-LIB'!H17</f>
        <v>0</v>
      </c>
      <c r="M26" s="13666"/>
      <c r="N26" s="13666"/>
      <c r="O26" s="13666">
        <f>'lbpf 3-LIB'!H19</f>
        <v>0</v>
      </c>
      <c r="P26" s="13666">
        <f>'lbpf 3-LIB'!H20</f>
        <v>0</v>
      </c>
      <c r="Q26" s="13649">
        <f>'lbpf 3-LIB'!H21</f>
        <v>0</v>
      </c>
      <c r="R26" s="13666">
        <f>'lbpf 3-LIB'!H22</f>
        <v>0</v>
      </c>
      <c r="S26" s="13666">
        <f>'lbpf 3-LIB'!H23</f>
        <v>0</v>
      </c>
      <c r="T26" s="13666">
        <f>'lbpf 3-LIB'!H24</f>
        <v>0</v>
      </c>
      <c r="U26" s="13666">
        <f>'lbpf 3-LIB'!H25</f>
        <v>0</v>
      </c>
      <c r="V26" s="13666">
        <v>0</v>
      </c>
      <c r="W26" s="13666">
        <f>'lbpf 3-LIB'!H26</f>
        <v>0</v>
      </c>
      <c r="X26" s="13666"/>
      <c r="Y26" s="13666">
        <f>'lbpf 3-LIB'!H27</f>
        <v>0</v>
      </c>
      <c r="Z26" s="13651">
        <f t="shared" si="2"/>
        <v>0</v>
      </c>
      <c r="AA26" s="13647" t="s">
        <v>580</v>
      </c>
    </row>
    <row r="27" spans="1:32" ht="14.1" customHeight="1">
      <c r="A27" s="13647" t="s">
        <v>581</v>
      </c>
      <c r="B27" s="13666">
        <f>'lbpf 3-PHO'!J11</f>
        <v>43407312</v>
      </c>
      <c r="C27" s="13648"/>
      <c r="D27" s="13666">
        <f>'lbpf 3-PHO'!J12</f>
        <v>3312000</v>
      </c>
      <c r="E27" s="13666">
        <f>'lbpf 3-PHO'!J13</f>
        <v>462000</v>
      </c>
      <c r="F27" s="13666">
        <f>'lbpf 3-PHO'!J13</f>
        <v>462000</v>
      </c>
      <c r="G27" s="13666">
        <f>'lbpf 3-PHO'!J15</f>
        <v>828000</v>
      </c>
      <c r="H27" s="13666">
        <f>'lbpf 3-PHO'!J16</f>
        <v>1458000</v>
      </c>
      <c r="I27" s="13666">
        <f>'lbpf 3-PHO'!J17</f>
        <v>243000</v>
      </c>
      <c r="J27" s="13666">
        <f>'lbpf 3-PHO'!J18</f>
        <v>690000</v>
      </c>
      <c r="K27" s="13666">
        <f>'lbpf 3-PHO'!J24</f>
        <v>0</v>
      </c>
      <c r="L27" s="13666">
        <f>'lbpf 3-PHO'!J25</f>
        <v>414000</v>
      </c>
      <c r="M27" s="13666">
        <v>0</v>
      </c>
      <c r="N27" s="13666">
        <f>'lbpf 3-PHO'!J19</f>
        <v>10752216</v>
      </c>
      <c r="O27" s="13666">
        <f>'lbpf 3-PHO'!J21</f>
        <v>10000</v>
      </c>
      <c r="P27" s="13666">
        <f>'lbpf 3-PHO'!J23</f>
        <v>690000</v>
      </c>
      <c r="Q27" s="13649">
        <f>'lbpf 3-PHO'!J22</f>
        <v>7234552</v>
      </c>
      <c r="R27" s="13666">
        <f>'lbpf 3-PHO'!J26</f>
        <v>5208877.4399999995</v>
      </c>
      <c r="S27" s="13666">
        <f>'lbpf 3-PHO'!J27</f>
        <v>165600</v>
      </c>
      <c r="T27" s="13666">
        <f>'lbpf 3-PHO'!J28</f>
        <v>525135.76499999978</v>
      </c>
      <c r="U27" s="13666">
        <f>'lbpf 3-PHO'!J29</f>
        <v>165600</v>
      </c>
      <c r="V27" s="13666"/>
      <c r="W27" s="13666">
        <v>0</v>
      </c>
      <c r="X27" s="13666"/>
      <c r="Y27" s="13666">
        <f>'lbpf 3-PHO'!J20</f>
        <v>130000</v>
      </c>
      <c r="Z27" s="13651">
        <f t="shared" si="2"/>
        <v>76158293.204999998</v>
      </c>
      <c r="AA27" s="13647" t="s">
        <v>581</v>
      </c>
    </row>
    <row r="28" spans="1:32" ht="14.1" customHeight="1">
      <c r="A28" s="13647" t="s">
        <v>582</v>
      </c>
      <c r="B28" s="13666">
        <f>'lbpf 3-HTALIBON'!J11</f>
        <v>31678908</v>
      </c>
      <c r="C28" s="13666"/>
      <c r="D28" s="13666">
        <f>'lbpf 3-HTALIBON'!J12</f>
        <v>2328000</v>
      </c>
      <c r="E28" s="13666">
        <f>'lbpf 3-HTALIBON'!J13</f>
        <v>90000</v>
      </c>
      <c r="F28" s="13666">
        <f>'lbpf 3-HTALIBON'!J14</f>
        <v>90000</v>
      </c>
      <c r="G28" s="13666">
        <f>'lbpf 3-HTALIBON'!J15</f>
        <v>582000</v>
      </c>
      <c r="H28" s="13666">
        <f>'lbpf 3-HTALIBON'!J16</f>
        <v>1047600</v>
      </c>
      <c r="I28" s="13666">
        <f>'lbpf 3-HTALIBON'!J17</f>
        <v>174600</v>
      </c>
      <c r="J28" s="13666">
        <f>'lbpf 3-HTALIBON'!J18</f>
        <v>485000</v>
      </c>
      <c r="K28" s="13666">
        <f>'lbpf 3-HTALIBON'!J23</f>
        <v>0</v>
      </c>
      <c r="L28" s="13666">
        <f>'lbpf 3-HTALIBON'!J24</f>
        <v>291000</v>
      </c>
      <c r="M28" s="13666">
        <v>0</v>
      </c>
      <c r="N28" s="13666">
        <f>'lbpf 3-HTALIBON'!J19</f>
        <v>7919727</v>
      </c>
      <c r="O28" s="13666">
        <v>0</v>
      </c>
      <c r="P28" s="13666">
        <f>'lbpf 3-HTALIBON'!J22</f>
        <v>485000</v>
      </c>
      <c r="Q28" s="13649">
        <f>'lbpf 3-HTALIBON'!J21</f>
        <v>5279818</v>
      </c>
      <c r="R28" s="13666">
        <f>'lbpf 3-HTALIBON'!J25</f>
        <v>3801468.96</v>
      </c>
      <c r="S28" s="13666">
        <f>'lbpf 3-HTALIBON'!J26</f>
        <v>116400</v>
      </c>
      <c r="T28" s="13666">
        <f>'lbpf 3-HTALIBON'!J27</f>
        <v>375837.33</v>
      </c>
      <c r="U28" s="13666">
        <f>'lbpf 3-HTALIBON'!J28</f>
        <v>116400</v>
      </c>
      <c r="V28" s="13666"/>
      <c r="W28" s="13666">
        <v>0</v>
      </c>
      <c r="X28" s="13666"/>
      <c r="Y28" s="13666">
        <f>'lbpf 3-HTALIBON'!J20</f>
        <v>55000</v>
      </c>
      <c r="Z28" s="13651">
        <f t="shared" si="2"/>
        <v>54916759.289999999</v>
      </c>
      <c r="AA28" s="13647" t="s">
        <v>582</v>
      </c>
    </row>
    <row r="29" spans="1:32" ht="14.1" customHeight="1">
      <c r="A29" s="13647" t="s">
        <v>583</v>
      </c>
      <c r="B29" s="13666">
        <f>'lbpf 3-HCARMEN'!J11</f>
        <v>20171244</v>
      </c>
      <c r="C29" s="13666"/>
      <c r="D29" s="13666">
        <f>'lbpf 3-HCARMEN'!J12</f>
        <v>1704000</v>
      </c>
      <c r="E29" s="13666">
        <f>'lbpf 3-HCARMEN'!J13</f>
        <v>60000</v>
      </c>
      <c r="F29" s="13666">
        <f>'lbpf 3-HCARMEN'!J14</f>
        <v>60000</v>
      </c>
      <c r="G29" s="13666">
        <f>'lbpf 3-HCARMEN'!J15</f>
        <v>426000</v>
      </c>
      <c r="H29" s="13666">
        <f>'lbpf 3-HCARMEN'!J16</f>
        <v>766800</v>
      </c>
      <c r="I29" s="13666">
        <f>'lbpf 3-HCARMEN'!J17</f>
        <v>127800</v>
      </c>
      <c r="J29" s="13666">
        <f>'lbpf 3-HCARMEN'!J18</f>
        <v>355000</v>
      </c>
      <c r="K29" s="13666">
        <f>'lbpf 3-HCARMEN'!J23</f>
        <v>0</v>
      </c>
      <c r="L29" s="13666">
        <f>'lbpf 3-HCARMEN'!J24</f>
        <v>213000</v>
      </c>
      <c r="M29" s="13666">
        <v>0</v>
      </c>
      <c r="N29" s="13666">
        <f>'lbpf 3-HCARMEN'!J19</f>
        <v>5042811</v>
      </c>
      <c r="O29" s="13666"/>
      <c r="P29" s="13666">
        <f>'lbpf 3-HCARMEN'!J22</f>
        <v>355000</v>
      </c>
      <c r="Q29" s="13649">
        <f>'lbpf 3-HCARMEN'!J21</f>
        <v>3361874</v>
      </c>
      <c r="R29" s="13666">
        <f>'lbpf 3-HCARMEN'!J25</f>
        <v>2420549.2799999998</v>
      </c>
      <c r="S29" s="13666">
        <f>'lbpf 3-HCARMEN'!J26</f>
        <v>85200</v>
      </c>
      <c r="T29" s="13666">
        <f>'lbpf 3-HCARMEN'!J27</f>
        <v>247851.78000000014</v>
      </c>
      <c r="U29" s="13666">
        <f>'lbpf 3-HCARMEN'!J28</f>
        <v>85200</v>
      </c>
      <c r="V29" s="13666"/>
      <c r="W29" s="13666">
        <v>0</v>
      </c>
      <c r="X29" s="13666"/>
      <c r="Y29" s="13666">
        <f>'lbpf 3-HCARMEN'!J20</f>
        <v>80000</v>
      </c>
      <c r="Z29" s="13651">
        <f t="shared" si="2"/>
        <v>35562330.060000002</v>
      </c>
      <c r="AA29" s="13647" t="s">
        <v>583</v>
      </c>
    </row>
    <row r="30" spans="1:32" ht="14.1" customHeight="1">
      <c r="A30" s="13647" t="s">
        <v>584</v>
      </c>
      <c r="B30" s="13666">
        <f>'lbpf 3-HJAGNA'!J11</f>
        <v>14536764</v>
      </c>
      <c r="C30" s="13666"/>
      <c r="D30" s="13666">
        <f>'lbpf 3-HJAGNA'!J12</f>
        <v>1152000</v>
      </c>
      <c r="E30" s="13666">
        <f>'lbpf 3-HJAGNA'!J13</f>
        <v>60000</v>
      </c>
      <c r="F30" s="13666">
        <f>'lbpf 3-HJAGNA'!J14</f>
        <v>60000</v>
      </c>
      <c r="G30" s="13666">
        <f>'lbpf 3-HJAGNA'!J15</f>
        <v>288000</v>
      </c>
      <c r="H30" s="13666">
        <f>'lbpf 3-HJAGNA'!J16</f>
        <v>518400</v>
      </c>
      <c r="I30" s="13666">
        <f>'lbpf 3-HJAGNA'!J17</f>
        <v>86400</v>
      </c>
      <c r="J30" s="13666">
        <f>'lbpf 3-HJAGNA'!J18</f>
        <v>240000</v>
      </c>
      <c r="K30" s="13666">
        <f>'lbpf 3-HJAGNA'!J23</f>
        <v>0</v>
      </c>
      <c r="L30" s="13666">
        <f>'lbpf 3-HJAGNA'!J24</f>
        <v>144000</v>
      </c>
      <c r="M30" s="13666">
        <v>0</v>
      </c>
      <c r="N30" s="13666">
        <f>'lbpf 3-HJAGNA'!J19</f>
        <v>3634191</v>
      </c>
      <c r="O30" s="13666"/>
      <c r="P30" s="13666">
        <f>'lbpf 3-HJAGNA'!J22</f>
        <v>240000</v>
      </c>
      <c r="Q30" s="13649">
        <f>'lbpf 3-HJAGNA'!J21</f>
        <v>2422794</v>
      </c>
      <c r="R30" s="13666">
        <f>'lbpf 3-HJAGNA'!J25</f>
        <v>1744411.68</v>
      </c>
      <c r="S30" s="13666">
        <f>'lbpf 3-HJAGNA'!J26</f>
        <v>57600</v>
      </c>
      <c r="T30" s="13666">
        <f>'lbpf 3-HJAGNA'!J27</f>
        <v>179427.10500000007</v>
      </c>
      <c r="U30" s="13666">
        <f>'lbpf 3-HJAGNA'!J28</f>
        <v>57600</v>
      </c>
      <c r="V30" s="13666"/>
      <c r="W30" s="13666">
        <v>0</v>
      </c>
      <c r="X30" s="13666"/>
      <c r="Y30" s="13666">
        <f>'lbpf 3-HJAGNA'!J20</f>
        <v>80000</v>
      </c>
      <c r="Z30" s="13651">
        <f t="shared" si="2"/>
        <v>25501587.785</v>
      </c>
      <c r="AA30" s="13647" t="s">
        <v>584</v>
      </c>
    </row>
    <row r="31" spans="1:32" ht="14.1" customHeight="1">
      <c r="A31" s="13647" t="s">
        <v>585</v>
      </c>
      <c r="B31" s="13666">
        <f>'lbpf 3-HLOON'!J11</f>
        <v>15102576</v>
      </c>
      <c r="C31" s="13666"/>
      <c r="D31" s="13666">
        <f>'lbpf 3-HLOON'!J12</f>
        <v>1248000</v>
      </c>
      <c r="E31" s="13666">
        <f>'lbpf 3-HLOON'!J13</f>
        <v>60000</v>
      </c>
      <c r="F31" s="13666">
        <f>'lbpf 3-HLOON'!J14</f>
        <v>60000</v>
      </c>
      <c r="G31" s="13666">
        <f>'lbpf 3-HLOON'!J15</f>
        <v>312000</v>
      </c>
      <c r="H31" s="13666">
        <f>'lbpf 3-HLOON'!J16</f>
        <v>561600</v>
      </c>
      <c r="I31" s="13666">
        <f>'lbpf 3-HLOON'!J17</f>
        <v>93600</v>
      </c>
      <c r="J31" s="13666">
        <f>'lbpf 3-HLOON'!J18</f>
        <v>260000</v>
      </c>
      <c r="K31" s="13666">
        <f>'lbpf 3-HLOON'!J23</f>
        <v>0</v>
      </c>
      <c r="L31" s="13666">
        <f>'lbpf 3-HLOON'!J24</f>
        <v>156000</v>
      </c>
      <c r="M31" s="13666">
        <v>0</v>
      </c>
      <c r="N31" s="13666">
        <f>'lbpf 3-HLOON'!J19</f>
        <v>3775644</v>
      </c>
      <c r="O31" s="13666"/>
      <c r="P31" s="13666">
        <f>'lbpf 3-HLOON'!J22</f>
        <v>260000</v>
      </c>
      <c r="Q31" s="13649">
        <f>'lbpf 3-HLOON'!J21</f>
        <v>2517096</v>
      </c>
      <c r="R31" s="13666">
        <f>'lbpf 3-HLOON'!J25</f>
        <v>1812309.1199999999</v>
      </c>
      <c r="S31" s="13666">
        <f>'lbpf 3-HLOON'!J26</f>
        <v>62400</v>
      </c>
      <c r="T31" s="13666">
        <f>'lbpf 3-HLOON'!J27</f>
        <v>193398.31500000012</v>
      </c>
      <c r="U31" s="13666">
        <f>'lbpf 3-HLOON'!J28</f>
        <v>62400</v>
      </c>
      <c r="V31" s="13666"/>
      <c r="W31" s="13666">
        <v>0</v>
      </c>
      <c r="X31" s="13666"/>
      <c r="Y31" s="13666">
        <f>'lbpf 3-HLOON'!J20</f>
        <v>90000</v>
      </c>
      <c r="Z31" s="13651">
        <f t="shared" si="2"/>
        <v>26627023.435000002</v>
      </c>
      <c r="AA31" s="13647" t="s">
        <v>585</v>
      </c>
    </row>
    <row r="32" spans="1:32" ht="14.1" customHeight="1">
      <c r="A32" s="13647" t="s">
        <v>664</v>
      </c>
      <c r="B32" s="13666">
        <f>'lbpf 3-HCATIGBIAN'!J12</f>
        <v>12860592</v>
      </c>
      <c r="C32" s="13666"/>
      <c r="D32" s="13666">
        <f>'lbpf 3-HCATIGBIAN'!J13</f>
        <v>936000</v>
      </c>
      <c r="E32" s="13666">
        <f>'lbpf 3-HCATIGBIAN'!J14</f>
        <v>60000</v>
      </c>
      <c r="F32" s="13666">
        <f>'lbpf 3-HCATIGBIAN'!J15</f>
        <v>60000</v>
      </c>
      <c r="G32" s="13666">
        <f>'lbpf 3-HCATIGBIAN'!J16</f>
        <v>234000</v>
      </c>
      <c r="H32" s="13666">
        <f>'lbpf 3-HCATIGBIAN'!J17</f>
        <v>421200</v>
      </c>
      <c r="I32" s="13666">
        <f>'lbpf 3-HCATIGBIAN'!J18</f>
        <v>70200</v>
      </c>
      <c r="J32" s="13666">
        <f>'lbpf 3-HCATIGBIAN'!J19</f>
        <v>195000</v>
      </c>
      <c r="K32" s="13666">
        <f>'lbpf 3-HCATIGBIAN'!J25</f>
        <v>0</v>
      </c>
      <c r="L32" s="13666">
        <f>'lbpf 3-HCATIGBIAN'!J26</f>
        <v>117000</v>
      </c>
      <c r="M32" s="13666">
        <v>0</v>
      </c>
      <c r="N32" s="13666">
        <f>'lbpf 3-HCATIGBIAN'!J20</f>
        <v>3215148</v>
      </c>
      <c r="O32" s="13666">
        <f>'lbpf 3-HCATIGBIAN'!J22</f>
        <v>30000</v>
      </c>
      <c r="P32" s="13666">
        <f>'lbpf 3-HCATIGBIAN'!J24</f>
        <v>195000</v>
      </c>
      <c r="Q32" s="13649">
        <f>'lbpf 3-HCATIGBIAN'!J23</f>
        <v>2143432</v>
      </c>
      <c r="R32" s="13666">
        <f>'lbpf 3-HCATIGBIAN'!J27</f>
        <v>1543271.04</v>
      </c>
      <c r="S32" s="13666">
        <f>'lbpf 3-HCATIGBIAN'!J28</f>
        <v>46800</v>
      </c>
      <c r="T32" s="13666">
        <f>'lbpf 3-HCATIGBIAN'!J29</f>
        <v>154005.55500000008</v>
      </c>
      <c r="U32" s="13666">
        <f>'lbpf 3-HCATIGBIAN'!J30</f>
        <v>46800</v>
      </c>
      <c r="V32" s="13666"/>
      <c r="W32" s="13666">
        <v>0</v>
      </c>
      <c r="X32" s="13666"/>
      <c r="Y32" s="13666">
        <f>'lbpf 3-HCATIGBIAN'!J21</f>
        <v>50000</v>
      </c>
      <c r="Z32" s="13651">
        <f t="shared" si="2"/>
        <v>22378448.594999999</v>
      </c>
      <c r="AA32" s="13647" t="s">
        <v>664</v>
      </c>
    </row>
    <row r="33" spans="1:28" ht="14.1" customHeight="1">
      <c r="A33" s="13647" t="s">
        <v>587</v>
      </c>
      <c r="B33" s="13666">
        <f>'lbpf 3-HCLARIN'!J12</f>
        <v>8169492</v>
      </c>
      <c r="C33" s="13666"/>
      <c r="D33" s="13666">
        <f>'lbpf 3-HCLARIN'!J13</f>
        <v>600000</v>
      </c>
      <c r="E33" s="13666"/>
      <c r="F33" s="13666"/>
      <c r="G33" s="13666">
        <f>'lbpf 3-HCLARIN'!J14</f>
        <v>150000</v>
      </c>
      <c r="H33" s="13666">
        <f>'lbpf 3-HCLARIN'!J15</f>
        <v>270000</v>
      </c>
      <c r="I33" s="13666">
        <f>'lbpf 3-HCLARIN'!J16</f>
        <v>45000</v>
      </c>
      <c r="J33" s="13666">
        <f>'lbpf 3-HCLARIN'!J17</f>
        <v>125000</v>
      </c>
      <c r="K33" s="13666">
        <f>'lbpf 3-HCLARIN'!J22</f>
        <v>0</v>
      </c>
      <c r="L33" s="13666">
        <f>'lbpf 3-HCLARIN'!J23</f>
        <v>75000</v>
      </c>
      <c r="M33" s="13666">
        <v>0</v>
      </c>
      <c r="N33" s="13666">
        <f>'lbpf 3-HCLARIN'!J18</f>
        <v>2042373</v>
      </c>
      <c r="O33" s="13666"/>
      <c r="P33" s="13666">
        <f>'lbpf 3-HCLARIN'!J21</f>
        <v>125000</v>
      </c>
      <c r="Q33" s="13649">
        <f>'lbpf 3-HCLARIN'!J20</f>
        <v>1361582</v>
      </c>
      <c r="R33" s="13666">
        <f>'lbpf 3-HCLARIN'!J24</f>
        <v>980339.03999999992</v>
      </c>
      <c r="S33" s="13666">
        <f>'lbpf 3-HCLARIN'!J25</f>
        <v>30000</v>
      </c>
      <c r="T33" s="13666">
        <f>'lbpf 3-HCLARIN'!J26</f>
        <v>87568.635000000009</v>
      </c>
      <c r="U33" s="13666">
        <f>'lbpf 3-HCLARIN'!J27</f>
        <v>30000</v>
      </c>
      <c r="V33" s="13666"/>
      <c r="W33" s="13666">
        <v>0</v>
      </c>
      <c r="X33" s="13666"/>
      <c r="Y33" s="13666">
        <f>'lbpf 3-HCLARIN'!J19</f>
        <v>10000</v>
      </c>
      <c r="Z33" s="13651">
        <f t="shared" si="2"/>
        <v>14101354.674999999</v>
      </c>
      <c r="AA33" s="13647" t="s">
        <v>587</v>
      </c>
    </row>
    <row r="34" spans="1:28" ht="14.1" customHeight="1">
      <c r="A34" s="13647" t="s">
        <v>665</v>
      </c>
      <c r="B34" s="13666">
        <f>'lbpf 3-HCANDIJAY'!J12</f>
        <v>6497916</v>
      </c>
      <c r="C34" s="13666"/>
      <c r="D34" s="13666">
        <f>'lbpf 3-HCANDIJAY'!J13</f>
        <v>528000</v>
      </c>
      <c r="E34" s="13666"/>
      <c r="F34" s="13666"/>
      <c r="G34" s="13666">
        <f>'lbpf 3-HCANDIJAY'!J14</f>
        <v>132000</v>
      </c>
      <c r="H34" s="13666">
        <f>'lbpf 3-HCANDIJAY'!J15</f>
        <v>237600</v>
      </c>
      <c r="I34" s="13666">
        <f>'lbpf 3-HCANDIJAY'!J16</f>
        <v>39600</v>
      </c>
      <c r="J34" s="13666">
        <f>'lbpf 3-HCANDIJAY'!J17</f>
        <v>110000</v>
      </c>
      <c r="K34" s="13666">
        <f>'lbpf 3-HCANDIJAY'!J22</f>
        <v>0</v>
      </c>
      <c r="L34" s="13666">
        <f>'lbpf 3-HCANDIJAY'!J23</f>
        <v>66000</v>
      </c>
      <c r="M34" s="13666">
        <v>0</v>
      </c>
      <c r="N34" s="13666">
        <f>'lbpf 3-HCANDIJAY'!J18</f>
        <v>1624479</v>
      </c>
      <c r="O34" s="13666"/>
      <c r="P34" s="13666">
        <f>'lbpf 3-HCANDIJAY'!J21</f>
        <v>110000</v>
      </c>
      <c r="Q34" s="13649">
        <f>'lbpf 3-HCANDIJAY'!J20</f>
        <v>1082986</v>
      </c>
      <c r="R34" s="13666">
        <f>'lbpf 3-HCANDIJAY'!J24</f>
        <v>779749.91999999993</v>
      </c>
      <c r="S34" s="13666">
        <f>'lbpf 3-HCANDIJAY'!J25</f>
        <v>26400</v>
      </c>
      <c r="T34" s="13666">
        <f>'lbpf 3-HCANDIJAY'!J26</f>
        <v>80475.45</v>
      </c>
      <c r="U34" s="13666">
        <f>'lbpf 3-HCANDIJAY'!J27</f>
        <v>26400</v>
      </c>
      <c r="V34" s="13666"/>
      <c r="W34" s="13666">
        <v>0</v>
      </c>
      <c r="X34" s="13666"/>
      <c r="Y34" s="13666">
        <f>'lbpf 3-HCANDIJAY'!J19</f>
        <v>5000</v>
      </c>
      <c r="Z34" s="13651">
        <f t="shared" si="2"/>
        <v>11346606.369999999</v>
      </c>
      <c r="AA34" s="13647" t="s">
        <v>665</v>
      </c>
    </row>
    <row r="35" spans="1:28" ht="14.1" customHeight="1">
      <c r="A35" s="13647" t="s">
        <v>666</v>
      </c>
      <c r="B35" s="13666">
        <f>'lbpf 3-HMARIBOJOC'!J12</f>
        <v>6598440</v>
      </c>
      <c r="C35" s="13666"/>
      <c r="D35" s="13666">
        <f>'lbpf 3-HMARIBOJOC'!J13</f>
        <v>552000</v>
      </c>
      <c r="E35" s="13666"/>
      <c r="F35" s="13666"/>
      <c r="G35" s="13666">
        <f>'lbpf 3-HMARIBOJOC'!J14</f>
        <v>138000</v>
      </c>
      <c r="H35" s="13666">
        <f>'lbpf 3-HMARIBOJOC'!J15</f>
        <v>248400</v>
      </c>
      <c r="I35" s="13666">
        <f>'lbpf 3-HMARIBOJOC'!J16</f>
        <v>41400</v>
      </c>
      <c r="J35" s="13666">
        <f>'lbpf 3-HMARIBOJOC'!J17</f>
        <v>115000</v>
      </c>
      <c r="K35" s="13666">
        <f>'lbpf 3-HMARIBOJOC'!J22</f>
        <v>0</v>
      </c>
      <c r="L35" s="13666">
        <f>'lbpf 3-HMARIBOJOC'!J23</f>
        <v>69000</v>
      </c>
      <c r="M35" s="13666">
        <v>0</v>
      </c>
      <c r="N35" s="13666">
        <f>'lbpf 3-HMARIBOJOC'!J18</f>
        <v>1649610</v>
      </c>
      <c r="O35" s="13666"/>
      <c r="P35" s="13666">
        <f>'lbpf 3-HMARIBOJOC'!J21</f>
        <v>115000</v>
      </c>
      <c r="Q35" s="13649">
        <f>'lbpf 3-HMARIBOJOC'!J20</f>
        <v>1099740</v>
      </c>
      <c r="R35" s="13666">
        <f>'lbpf 3-HMARIBOJOC'!J24</f>
        <v>791812.79999999993</v>
      </c>
      <c r="S35" s="13666">
        <f>'lbpf 3-HMARIBOJOC'!J25</f>
        <v>27600</v>
      </c>
      <c r="T35" s="13666">
        <f>'lbpf 3-HMARIBOJOC'!J26</f>
        <v>75694.080000000002</v>
      </c>
      <c r="U35" s="13666">
        <f>'lbpf 3-HMARIBOJOC'!J27</f>
        <v>27600</v>
      </c>
      <c r="V35" s="13666"/>
      <c r="W35" s="13666">
        <v>0</v>
      </c>
      <c r="X35" s="13666"/>
      <c r="Y35" s="13666">
        <f>'lbpf 3-HMARIBOJOC'!J19</f>
        <v>20000</v>
      </c>
      <c r="Z35" s="13651">
        <f t="shared" si="2"/>
        <v>11569296.880000001</v>
      </c>
      <c r="AA35" s="13647" t="s">
        <v>666</v>
      </c>
    </row>
    <row r="36" spans="1:28" ht="14.1" customHeight="1">
      <c r="A36" s="13647" t="s">
        <v>667</v>
      </c>
      <c r="B36" s="13666">
        <f>'lbpf 3-HINABANGA '!J12</f>
        <v>7959192</v>
      </c>
      <c r="C36" s="13666"/>
      <c r="D36" s="13666">
        <f>'lbpf 3-HINABANGA '!J13</f>
        <v>648000</v>
      </c>
      <c r="E36" s="13666"/>
      <c r="F36" s="13666"/>
      <c r="G36" s="13666">
        <f>'lbpf 3-HINABANGA '!J14</f>
        <v>162000</v>
      </c>
      <c r="H36" s="13666">
        <f>'lbpf 3-HINABANGA '!J15</f>
        <v>291600</v>
      </c>
      <c r="I36" s="13666">
        <f>'lbpf 3-HINABANGA '!J16</f>
        <v>48600</v>
      </c>
      <c r="J36" s="13666">
        <f>'lbpf 3-HINABANGA '!J17</f>
        <v>135000</v>
      </c>
      <c r="K36" s="13666">
        <f>'lbpf 3-HINABANGA '!J22</f>
        <v>0</v>
      </c>
      <c r="L36" s="13666">
        <f>'lbpf 3-HINABANGA '!J23</f>
        <v>81000</v>
      </c>
      <c r="M36" s="13666">
        <v>0</v>
      </c>
      <c r="N36" s="13666">
        <f>'lbpf 3-HINABANGA '!J18</f>
        <v>1989798</v>
      </c>
      <c r="O36" s="13666"/>
      <c r="P36" s="13666">
        <f>'lbpf 3-HINABANGA '!J21</f>
        <v>135000</v>
      </c>
      <c r="Q36" s="13649">
        <f>'lbpf 3-HINABANGA '!J20</f>
        <v>1326532</v>
      </c>
      <c r="R36" s="13666">
        <f>'lbpf 3-HINABANGA '!J24</f>
        <v>955103.03999999992</v>
      </c>
      <c r="S36" s="13666">
        <f>'lbpf 3-HINABANGA '!J25</f>
        <v>32400</v>
      </c>
      <c r="T36" s="13666">
        <f>'lbpf 3-HINABANGA '!J26</f>
        <v>97940.37000000001</v>
      </c>
      <c r="U36" s="13666">
        <f>'lbpf 3-HINABANGA '!J27</f>
        <v>32400</v>
      </c>
      <c r="V36" s="13666"/>
      <c r="W36" s="13666">
        <v>0</v>
      </c>
      <c r="X36" s="13666"/>
      <c r="Y36" s="13666">
        <f>'lbpf 3-HINABANGA '!J19</f>
        <v>15000</v>
      </c>
      <c r="Z36" s="13651">
        <f t="shared" si="2"/>
        <v>13909565.409999998</v>
      </c>
      <c r="AA36" s="13647" t="s">
        <v>667</v>
      </c>
    </row>
    <row r="37" spans="1:28" ht="14.1" customHeight="1">
      <c r="A37" s="13647" t="s">
        <v>591</v>
      </c>
      <c r="B37" s="13666">
        <f>'lbpf 3-HPGARCIA '!J11</f>
        <v>8232852</v>
      </c>
      <c r="C37" s="13666"/>
      <c r="D37" s="13666">
        <f>'lbpf 3-HPGARCIA '!J12</f>
        <v>648000</v>
      </c>
      <c r="E37" s="13666"/>
      <c r="F37" s="13666"/>
      <c r="G37" s="13666">
        <f>'lbpf 3-HPGARCIA '!J13</f>
        <v>162000</v>
      </c>
      <c r="H37" s="13666">
        <f>'lbpf 3-HPGARCIA '!J14</f>
        <v>291600</v>
      </c>
      <c r="I37" s="13666">
        <f>'lbpf 3-HPGARCIA '!J15</f>
        <v>48600</v>
      </c>
      <c r="J37" s="13666">
        <f>'lbpf 3-HPGARCIA '!J16</f>
        <v>135000</v>
      </c>
      <c r="K37" s="13666">
        <f>'lbpf 3-HPGARCIA '!J21</f>
        <v>0</v>
      </c>
      <c r="L37" s="13666">
        <f>'lbpf 3-HPGARCIA '!J22</f>
        <v>81000</v>
      </c>
      <c r="M37" s="13666">
        <v>0</v>
      </c>
      <c r="N37" s="13666">
        <f>'lbpf 3-HPGARCIA '!J17</f>
        <v>2058213</v>
      </c>
      <c r="O37" s="13666"/>
      <c r="P37" s="13666">
        <f>'lbpf 3-HPGARCIA '!J20</f>
        <v>135000</v>
      </c>
      <c r="Q37" s="13649">
        <f>'lbpf 3-HPGARCIA '!J19</f>
        <v>1372142</v>
      </c>
      <c r="R37" s="13666">
        <f>'lbpf 3-HPGARCIA '!J23</f>
        <v>987942.24</v>
      </c>
      <c r="S37" s="13666">
        <f>'lbpf 3-HPGARCIA '!J24</f>
        <v>32400</v>
      </c>
      <c r="T37" s="13666">
        <f>'lbpf 3-HPGARCIA '!J25</f>
        <v>98455.170000000013</v>
      </c>
      <c r="U37" s="13666">
        <f>'lbpf 3-HPGARCIA '!J26</f>
        <v>32400</v>
      </c>
      <c r="V37" s="13666"/>
      <c r="W37" s="13666">
        <v>0</v>
      </c>
      <c r="X37" s="13666"/>
      <c r="Y37" s="13666">
        <f>'lbpf 3-HPGARCIA '!J18</f>
        <v>5000</v>
      </c>
      <c r="Z37" s="13651">
        <f t="shared" si="2"/>
        <v>14320604.41</v>
      </c>
      <c r="AA37" s="13647" t="s">
        <v>591</v>
      </c>
    </row>
    <row r="38" spans="1:28" ht="14.1" customHeight="1">
      <c r="A38" s="13667" t="s">
        <v>592</v>
      </c>
      <c r="B38" s="13668">
        <f>'lbpf 3-PSWD'!J12</f>
        <v>9369876</v>
      </c>
      <c r="C38" s="13668"/>
      <c r="D38" s="13668">
        <f>'lbpf 3-PSWD'!J13</f>
        <v>888000</v>
      </c>
      <c r="E38" s="13668">
        <f>'lbpf 3-PSWD'!J14</f>
        <v>192000</v>
      </c>
      <c r="F38" s="13668">
        <f>'lbpf 3-PSWD'!J15</f>
        <v>192000</v>
      </c>
      <c r="G38" s="13668">
        <f>'lbpf 3-PSWD'!J16</f>
        <v>222000</v>
      </c>
      <c r="H38" s="13668"/>
      <c r="I38" s="13668">
        <v>0</v>
      </c>
      <c r="J38" s="13668">
        <f>'lbpf 3-PSWD'!J17</f>
        <v>185000</v>
      </c>
      <c r="K38" s="13668">
        <f>'lbpf 3-PSWD'!J23</f>
        <v>0</v>
      </c>
      <c r="L38" s="13668">
        <f>'lbpf 3-PSWD'!J24</f>
        <v>111000</v>
      </c>
      <c r="M38" s="13668">
        <v>0</v>
      </c>
      <c r="N38" s="13668">
        <f>'lbpf 3-PSWD'!J18</f>
        <v>2176449</v>
      </c>
      <c r="O38" s="13668">
        <f>'lbpf 3-PSWD'!J20</f>
        <v>170000</v>
      </c>
      <c r="P38" s="13668">
        <f>'lbpf 3-PSWD'!J22</f>
        <v>185000</v>
      </c>
      <c r="Q38" s="13669">
        <f>'lbpf 3-PSWD'!J21</f>
        <v>1561646</v>
      </c>
      <c r="R38" s="13668">
        <f>'lbpf 3-PSWD'!J25</f>
        <v>1124385.1199999999</v>
      </c>
      <c r="S38" s="13668">
        <f>'lbpf 3-PSWD'!J26</f>
        <v>44400</v>
      </c>
      <c r="T38" s="13668">
        <f>'lbpf 3-PSWD'!J27</f>
        <v>106643.79000000004</v>
      </c>
      <c r="U38" s="13668">
        <f>'lbpf 3-PSWD'!J28</f>
        <v>44400</v>
      </c>
      <c r="V38" s="13668"/>
      <c r="W38" s="13668">
        <v>0</v>
      </c>
      <c r="X38" s="13668"/>
      <c r="Y38" s="13668">
        <f>'lbpf 3-PSWD'!J19</f>
        <v>5000</v>
      </c>
      <c r="Z38" s="13670">
        <f t="shared" si="2"/>
        <v>16577799.91</v>
      </c>
      <c r="AA38" s="13667" t="s">
        <v>592</v>
      </c>
    </row>
    <row r="39" spans="1:28" ht="14.1" hidden="1" customHeight="1">
      <c r="A39" s="13671" t="s">
        <v>9</v>
      </c>
      <c r="B39" s="13672"/>
      <c r="C39" s="13672"/>
      <c r="D39" s="13672"/>
      <c r="E39" s="13672"/>
      <c r="F39" s="13672"/>
      <c r="G39" s="13672"/>
      <c r="H39" s="13672"/>
      <c r="I39" s="13672"/>
      <c r="J39" s="13673"/>
      <c r="K39" s="13673"/>
      <c r="L39" s="13672"/>
      <c r="M39" s="13674"/>
      <c r="N39" s="13672"/>
      <c r="O39" s="13672"/>
      <c r="P39" s="13672"/>
      <c r="Q39" s="13672"/>
      <c r="R39" s="13672"/>
      <c r="S39" s="13672"/>
      <c r="T39" s="13672"/>
      <c r="U39" s="13672"/>
      <c r="V39" s="13672"/>
      <c r="W39" s="13672"/>
      <c r="X39" s="13675"/>
      <c r="Y39" s="13672"/>
      <c r="Z39" s="13676">
        <f>SUM(B39:Y39)-V39-W39</f>
        <v>0</v>
      </c>
      <c r="AA39" s="13671" t="s">
        <v>9</v>
      </c>
    </row>
    <row r="40" spans="1:28" ht="11.4" customHeight="1">
      <c r="A40" s="13659" t="s">
        <v>485</v>
      </c>
      <c r="B40" s="13660">
        <f t="shared" ref="B40:Y40" si="3">SUM(B24:B38)</f>
        <v>197041248</v>
      </c>
      <c r="C40" s="13660">
        <f t="shared" si="3"/>
        <v>0</v>
      </c>
      <c r="D40" s="13660">
        <f t="shared" si="3"/>
        <v>15864000</v>
      </c>
      <c r="E40" s="13660">
        <f t="shared" si="3"/>
        <v>984000</v>
      </c>
      <c r="F40" s="13660">
        <f t="shared" si="3"/>
        <v>984000</v>
      </c>
      <c r="G40" s="13660">
        <f t="shared" si="3"/>
        <v>3966000</v>
      </c>
      <c r="H40" s="13660">
        <f>SUM(H24:H38)</f>
        <v>6112800</v>
      </c>
      <c r="I40" s="13660">
        <f t="shared" si="3"/>
        <v>1018800</v>
      </c>
      <c r="J40" s="13660">
        <f t="shared" si="3"/>
        <v>3305000</v>
      </c>
      <c r="K40" s="13660">
        <f t="shared" si="3"/>
        <v>0</v>
      </c>
      <c r="L40" s="13660">
        <f t="shared" si="3"/>
        <v>1983000</v>
      </c>
      <c r="M40" s="13660">
        <f t="shared" si="3"/>
        <v>0</v>
      </c>
      <c r="N40" s="13660">
        <f t="shared" si="3"/>
        <v>46172979</v>
      </c>
      <c r="O40" s="13660">
        <f t="shared" si="3"/>
        <v>534000</v>
      </c>
      <c r="P40" s="13660">
        <f t="shared" si="3"/>
        <v>3305000</v>
      </c>
      <c r="Q40" s="13660">
        <f t="shared" si="3"/>
        <v>32840208</v>
      </c>
      <c r="R40" s="13660">
        <f t="shared" si="3"/>
        <v>23644949.759999994</v>
      </c>
      <c r="S40" s="13660">
        <f t="shared" si="3"/>
        <v>793200</v>
      </c>
      <c r="T40" s="13660">
        <f t="shared" si="3"/>
        <v>2380654.1550000003</v>
      </c>
      <c r="U40" s="13660">
        <f t="shared" si="3"/>
        <v>793200</v>
      </c>
      <c r="V40" s="13660">
        <f t="shared" si="3"/>
        <v>0</v>
      </c>
      <c r="W40" s="13660">
        <f t="shared" si="3"/>
        <v>0</v>
      </c>
      <c r="X40" s="13660">
        <f t="shared" si="3"/>
        <v>0</v>
      </c>
      <c r="Y40" s="13660">
        <f t="shared" si="3"/>
        <v>560000</v>
      </c>
      <c r="Z40" s="13661">
        <f>SUM(Z24:Z39)</f>
        <v>342283038.91500008</v>
      </c>
      <c r="AA40" s="13659" t="s">
        <v>485</v>
      </c>
      <c r="AB40" s="13662">
        <f>summary!C42</f>
        <v>342283038.91500008</v>
      </c>
    </row>
    <row r="41" spans="1:28" ht="11.4" customHeight="1">
      <c r="A41" s="13663" t="s">
        <v>3099</v>
      </c>
      <c r="B41" s="13664"/>
      <c r="C41" s="13664"/>
      <c r="D41" s="13664"/>
      <c r="E41" s="13664"/>
      <c r="F41" s="13664"/>
      <c r="G41" s="13664"/>
      <c r="H41" s="13664"/>
      <c r="I41" s="13664"/>
      <c r="J41" s="13664"/>
      <c r="K41" s="13664"/>
      <c r="L41" s="13664"/>
      <c r="M41" s="13664"/>
      <c r="N41" s="13664"/>
      <c r="O41" s="13664"/>
      <c r="P41" s="13664"/>
      <c r="Q41" s="13664"/>
      <c r="R41" s="13664"/>
      <c r="S41" s="13664"/>
      <c r="T41" s="13664"/>
      <c r="U41" s="13664"/>
      <c r="V41" s="13664"/>
      <c r="W41" s="13664"/>
      <c r="X41" s="13664"/>
      <c r="Y41" s="13664"/>
      <c r="Z41" s="13665" t="s">
        <v>9</v>
      </c>
      <c r="AA41" s="13663" t="s">
        <v>3099</v>
      </c>
    </row>
    <row r="42" spans="1:28" ht="12.75" customHeight="1">
      <c r="A42" s="13647" t="s">
        <v>593</v>
      </c>
      <c r="B42" s="13649">
        <f>'lbpf 3-BEPO'!K12</f>
        <v>1216260</v>
      </c>
      <c r="C42" s="13649"/>
      <c r="D42" s="13649">
        <f>'lbpf 3-BEPO'!K13</f>
        <v>144000</v>
      </c>
      <c r="E42" s="13649"/>
      <c r="F42" s="13649"/>
      <c r="G42" s="13649">
        <f>'lbpf 3-BEPO'!K14</f>
        <v>36000</v>
      </c>
      <c r="H42" s="13649"/>
      <c r="I42" s="13649">
        <v>0</v>
      </c>
      <c r="J42" s="13649">
        <f>'lbpf 3-BEPO'!K15</f>
        <v>30000</v>
      </c>
      <c r="K42" s="13649">
        <f>'lbpf 3-BEPO'!K20</f>
        <v>0</v>
      </c>
      <c r="L42" s="13649">
        <f>'lbpf 3-BEPO'!K21</f>
        <v>18000</v>
      </c>
      <c r="M42" s="13649">
        <v>0</v>
      </c>
      <c r="N42" s="13649"/>
      <c r="O42" s="13649">
        <f>'lbpf 3-BEPO'!K17</f>
        <v>60000</v>
      </c>
      <c r="P42" s="13649">
        <f>'lbpf 3-BEPO'!K19</f>
        <v>30000</v>
      </c>
      <c r="Q42" s="13649">
        <f>'lbpf 3-BEPO'!K18</f>
        <v>202710</v>
      </c>
      <c r="R42" s="13649">
        <f>'lbpf 3-BEPO'!K22</f>
        <v>145951.19999999998</v>
      </c>
      <c r="S42" s="13649">
        <f>'lbpf 3-BEPO'!K23</f>
        <v>7200</v>
      </c>
      <c r="T42" s="13649">
        <f>'lbpf 3-BEPO'!K24</f>
        <v>16723.574999999997</v>
      </c>
      <c r="U42" s="13649">
        <f>'lbpf 3-BEPO'!K25</f>
        <v>7200</v>
      </c>
      <c r="V42" s="13649"/>
      <c r="W42" s="13649">
        <v>0</v>
      </c>
      <c r="X42" s="13649"/>
      <c r="Y42" s="13677">
        <f>'lbpf 3-BEPO'!K16</f>
        <v>0</v>
      </c>
      <c r="Z42" s="13651">
        <f t="shared" ref="Z42:Z50" si="4">SUM(B42:Y42)</f>
        <v>1914044.7749999999</v>
      </c>
      <c r="AA42" s="13647" t="s">
        <v>593</v>
      </c>
    </row>
    <row r="43" spans="1:28" ht="12.75" customHeight="1">
      <c r="A43" s="13647" t="s">
        <v>10813</v>
      </c>
      <c r="B43" s="13649">
        <f>'lbpf 3-PEEMU'!K12</f>
        <v>3094764</v>
      </c>
      <c r="C43" s="13649"/>
      <c r="D43" s="13649">
        <f>'lbpf 3-PEEMU'!K13</f>
        <v>264000</v>
      </c>
      <c r="E43" s="13649"/>
      <c r="F43" s="13649"/>
      <c r="G43" s="13649">
        <f>'lbpf 3-PEEMU'!K16</f>
        <v>66000</v>
      </c>
      <c r="H43" s="13649"/>
      <c r="I43" s="13649"/>
      <c r="J43" s="13649">
        <f>'lbpf 3-PEEMU'!K17</f>
        <v>55000</v>
      </c>
      <c r="K43" s="13649">
        <f>'lbpf 3-PEEMU'!K22</f>
        <v>0</v>
      </c>
      <c r="L43" s="13649">
        <f>'lbpf 3-PEEMU'!K23</f>
        <v>33000</v>
      </c>
      <c r="M43" s="13649">
        <v>0</v>
      </c>
      <c r="N43" s="13649"/>
      <c r="O43" s="13649">
        <f>'lbpf 3-PEEMU'!K19</f>
        <v>80000</v>
      </c>
      <c r="P43" s="13649">
        <f>'lbpf 3-PEEMU'!K21</f>
        <v>55000</v>
      </c>
      <c r="Q43" s="13649">
        <f>'lbpf 3-PEEMU'!K20</f>
        <v>515794</v>
      </c>
      <c r="R43" s="13649">
        <f>'lbpf 3-PEEMU'!K24</f>
        <v>371371.68</v>
      </c>
      <c r="S43" s="13649">
        <f>'lbpf 3-PEEMU'!K25</f>
        <v>13200</v>
      </c>
      <c r="T43" s="13649">
        <f>'lbpf 3-PEEMU'!K26</f>
        <v>36534.794999999998</v>
      </c>
      <c r="U43" s="13649">
        <f>'lbpf 3-PEEMU'!K27</f>
        <v>13200</v>
      </c>
      <c r="V43" s="13649"/>
      <c r="W43" s="13649"/>
      <c r="X43" s="13649"/>
      <c r="Y43" s="13677">
        <f>'lbpf 3-PEEMU'!K18</f>
        <v>0</v>
      </c>
      <c r="Z43" s="13651">
        <f t="shared" si="4"/>
        <v>4597864.4749999996</v>
      </c>
      <c r="AA43" s="13647" t="s">
        <v>10813</v>
      </c>
    </row>
    <row r="44" spans="1:28" ht="12.75" customHeight="1">
      <c r="A44" s="13647" t="s">
        <v>594</v>
      </c>
      <c r="B44" s="13649">
        <f>'lbpf 3-BIPC'!K12</f>
        <v>1988484</v>
      </c>
      <c r="C44" s="13649"/>
      <c r="D44" s="13649">
        <f>'lbpf 3-BIPC'!K13</f>
        <v>168000</v>
      </c>
      <c r="E44" s="13649"/>
      <c r="F44" s="13649"/>
      <c r="G44" s="13649">
        <f>'lbpf 3-BIPC'!K14</f>
        <v>42000</v>
      </c>
      <c r="H44" s="13649"/>
      <c r="I44" s="13649">
        <v>0</v>
      </c>
      <c r="J44" s="13649">
        <f>'lbpf 3-BIPC'!K15</f>
        <v>35000</v>
      </c>
      <c r="K44" s="13649">
        <f>'lbpf 3-BIPC'!K19</f>
        <v>0</v>
      </c>
      <c r="L44" s="13649">
        <f>'lbpf 3-BIPC'!K20</f>
        <v>21000</v>
      </c>
      <c r="M44" s="13649">
        <v>0</v>
      </c>
      <c r="N44" s="13649"/>
      <c r="O44" s="13649"/>
      <c r="P44" s="13649">
        <f>'lbpf 3-BIPC'!K18</f>
        <v>35000</v>
      </c>
      <c r="Q44" s="13649">
        <f>'lbpf 3-BIPC'!K17</f>
        <v>331414</v>
      </c>
      <c r="R44" s="13649">
        <f>'lbpf 3-BIPC'!K21</f>
        <v>238618.08</v>
      </c>
      <c r="S44" s="13649">
        <f>'lbpf 3-BIPC'!K22</f>
        <v>8400</v>
      </c>
      <c r="T44" s="13649">
        <f>'lbpf 3-BIPC'!K23</f>
        <v>22988.130000000005</v>
      </c>
      <c r="U44" s="13649">
        <f>'lbpf 3-BIPC'!K24</f>
        <v>8400</v>
      </c>
      <c r="V44" s="13649"/>
      <c r="W44" s="13649">
        <v>0</v>
      </c>
      <c r="X44" s="13649"/>
      <c r="Y44" s="13677">
        <f>'lbpf 3-BIPC'!K16</f>
        <v>0</v>
      </c>
      <c r="Z44" s="13651">
        <f t="shared" si="4"/>
        <v>2899304.21</v>
      </c>
      <c r="AA44" s="13647" t="s">
        <v>594</v>
      </c>
    </row>
    <row r="45" spans="1:28" ht="12.75" customHeight="1">
      <c r="A45" s="13647" t="s">
        <v>595</v>
      </c>
      <c r="B45" s="13649">
        <f>'lbpf 3-BTO'!K11</f>
        <v>1426140</v>
      </c>
      <c r="C45" s="13649"/>
      <c r="D45" s="13649">
        <f>'lbpf 3-BTO'!K12</f>
        <v>120000</v>
      </c>
      <c r="E45" s="13649"/>
      <c r="F45" s="13649"/>
      <c r="G45" s="13649">
        <f>'lbpf 3-BTO'!K13</f>
        <v>30000</v>
      </c>
      <c r="H45" s="13649"/>
      <c r="I45" s="13649">
        <v>0</v>
      </c>
      <c r="J45" s="13649">
        <f>'lbpf 3-BTO'!K14</f>
        <v>25000</v>
      </c>
      <c r="K45" s="13649">
        <f>'lbpf 3-BTO'!K18</f>
        <v>0</v>
      </c>
      <c r="L45" s="13649">
        <f>'lbpf 3-BTO'!K19</f>
        <v>15000</v>
      </c>
      <c r="M45" s="13649">
        <v>0</v>
      </c>
      <c r="N45" s="13649"/>
      <c r="O45" s="13649"/>
      <c r="P45" s="13649">
        <f>'lbpf 3-BTO'!K17</f>
        <v>25000</v>
      </c>
      <c r="Q45" s="13649">
        <f>'lbpf 3-BTO'!K16</f>
        <v>237690</v>
      </c>
      <c r="R45" s="13649">
        <f>'lbpf 3-BTO'!K20</f>
        <v>171136.8</v>
      </c>
      <c r="S45" s="13649">
        <f>'lbpf 3-BTO'!K21</f>
        <v>6000</v>
      </c>
      <c r="T45" s="13649">
        <f>'lbpf 3-BTO'!K22</f>
        <v>19504.32</v>
      </c>
      <c r="U45" s="13649">
        <f>'lbpf 3-BTO'!K23</f>
        <v>6000</v>
      </c>
      <c r="V45" s="13649"/>
      <c r="W45" s="13649">
        <v>0</v>
      </c>
      <c r="X45" s="13649"/>
      <c r="Y45" s="13677">
        <f>'lbpf 3-BTO'!K15</f>
        <v>0</v>
      </c>
      <c r="Z45" s="13651">
        <f t="shared" si="4"/>
        <v>2081471.12</v>
      </c>
      <c r="AA45" s="13647" t="s">
        <v>595</v>
      </c>
    </row>
    <row r="46" spans="1:28" ht="12.75" customHeight="1">
      <c r="A46" s="13647" t="s">
        <v>596</v>
      </c>
      <c r="B46" s="13649">
        <f>'lbpf 3-CCAD'!J12</f>
        <v>1534752</v>
      </c>
      <c r="C46" s="13649"/>
      <c r="D46" s="13649">
        <f>'lbpf 3-CCAD'!J13</f>
        <v>144000</v>
      </c>
      <c r="E46" s="13649"/>
      <c r="F46" s="13649"/>
      <c r="G46" s="13649">
        <f>'lbpf 3-CCAD'!J14</f>
        <v>36000</v>
      </c>
      <c r="H46" s="13649"/>
      <c r="I46" s="13649">
        <v>0</v>
      </c>
      <c r="J46" s="13649">
        <f>'lbpf 3-CCAD'!J15</f>
        <v>30000</v>
      </c>
      <c r="K46" s="13649">
        <f>'lbpf 3-CCAD'!J19</f>
        <v>0</v>
      </c>
      <c r="L46" s="13649">
        <f>'lbpf 3-CCAD'!J20</f>
        <v>18000</v>
      </c>
      <c r="M46" s="13649">
        <v>0</v>
      </c>
      <c r="N46" s="13649"/>
      <c r="O46" s="13649"/>
      <c r="P46" s="13649">
        <f>'lbpf 3-CCAD'!J18</f>
        <v>30000</v>
      </c>
      <c r="Q46" s="13649">
        <f>'lbpf 3-CCAD'!J17</f>
        <v>255792</v>
      </c>
      <c r="R46" s="13649">
        <f>'lbpf 3-CCAD'!J21</f>
        <v>184170.23999999999</v>
      </c>
      <c r="S46" s="13649">
        <f>'lbpf 3-CCAD'!J22</f>
        <v>7200</v>
      </c>
      <c r="T46" s="13649">
        <f>'lbpf 3-CCAD'!J23</f>
        <v>19262.264999999999</v>
      </c>
      <c r="U46" s="13649">
        <f>'lbpf 3-CCAD'!J24</f>
        <v>7200</v>
      </c>
      <c r="V46" s="13649"/>
      <c r="W46" s="13649">
        <v>0</v>
      </c>
      <c r="X46" s="13649"/>
      <c r="Y46" s="13677">
        <f>'lbpf 3-CCAD'!J16</f>
        <v>0</v>
      </c>
      <c r="Z46" s="13651">
        <f t="shared" si="4"/>
        <v>2266376.5050000004</v>
      </c>
      <c r="AA46" s="13647" t="s">
        <v>596</v>
      </c>
    </row>
    <row r="47" spans="1:28" ht="12.75" customHeight="1">
      <c r="A47" s="13647" t="s">
        <v>598</v>
      </c>
      <c r="B47" s="13648">
        <f>'lbpf 3-OPA'!J12</f>
        <v>22855608</v>
      </c>
      <c r="C47" s="13648"/>
      <c r="D47" s="13648">
        <f>'lbpf 3-OPA'!J13</f>
        <v>2424000</v>
      </c>
      <c r="E47" s="13648">
        <f>'lbpf 3-OPA'!J14</f>
        <v>192000</v>
      </c>
      <c r="F47" s="13648">
        <f>'lbpf 3-OPA'!J15</f>
        <v>192000</v>
      </c>
      <c r="G47" s="13648">
        <f>'lbpf 3-OPA'!J16</f>
        <v>606000</v>
      </c>
      <c r="H47" s="13648"/>
      <c r="I47" s="13648">
        <v>0</v>
      </c>
      <c r="J47" s="13648">
        <f>'lbpf 3-OPA'!J17</f>
        <v>505000</v>
      </c>
      <c r="K47" s="13648">
        <f>'lbpf 3-OPA'!J21</f>
        <v>0</v>
      </c>
      <c r="L47" s="13648">
        <f>'lbpf 3-OPA'!J22</f>
        <v>303000</v>
      </c>
      <c r="M47" s="13648">
        <v>0</v>
      </c>
      <c r="N47" s="13648"/>
      <c r="O47" s="13648"/>
      <c r="P47" s="13648">
        <f>'lbpf 3-OPA'!J20</f>
        <v>505000</v>
      </c>
      <c r="Q47" s="13649">
        <f>'lbpf 3-OPA'!J19</f>
        <v>3809268</v>
      </c>
      <c r="R47" s="13648">
        <f>'lbpf 3-OPA'!J23</f>
        <v>2742672.96</v>
      </c>
      <c r="S47" s="13648">
        <f>'lbpf 3-OPA'!J24</f>
        <v>121200</v>
      </c>
      <c r="T47" s="13648">
        <f>'lbpf 3-OPA'!J25</f>
        <v>279745.62</v>
      </c>
      <c r="U47" s="13648">
        <f>'lbpf 3-OPA'!J26</f>
        <v>121200</v>
      </c>
      <c r="V47" s="13648"/>
      <c r="W47" s="13648">
        <v>0</v>
      </c>
      <c r="X47" s="13648"/>
      <c r="Y47" s="13650">
        <f>'lbpf 3-OPA'!J18</f>
        <v>75000</v>
      </c>
      <c r="Z47" s="13651">
        <f t="shared" si="4"/>
        <v>34731694.579999998</v>
      </c>
      <c r="AA47" s="13647" t="s">
        <v>598</v>
      </c>
    </row>
    <row r="48" spans="1:28" ht="12.75" customHeight="1">
      <c r="A48" s="13647" t="s">
        <v>599</v>
      </c>
      <c r="B48" s="13648">
        <f>'lbpf 3-VET'!K12</f>
        <v>14098272</v>
      </c>
      <c r="C48" s="13648"/>
      <c r="D48" s="13648">
        <f>'lbpf 3-VET'!K13</f>
        <v>1296000</v>
      </c>
      <c r="E48" s="13648">
        <f>'lbpf 3-VET'!K14</f>
        <v>102000</v>
      </c>
      <c r="F48" s="13648">
        <f>'lbpf 3-VET'!K15</f>
        <v>102000</v>
      </c>
      <c r="G48" s="13648">
        <f>'lbpf 3-VET'!K16</f>
        <v>324000</v>
      </c>
      <c r="H48" s="13648">
        <f>'lbpf 3-VET'!K17</f>
        <v>475200</v>
      </c>
      <c r="I48" s="13648">
        <f>'lbpf 3-VET'!K18</f>
        <v>79200</v>
      </c>
      <c r="J48" s="13648">
        <f>'lbpf 3-VET'!K19</f>
        <v>270000</v>
      </c>
      <c r="K48" s="13648">
        <f>'lbpf 3-VET'!K24</f>
        <v>0</v>
      </c>
      <c r="L48" s="13648">
        <f>'lbpf 3-VET'!K25</f>
        <v>162000</v>
      </c>
      <c r="M48" s="13648">
        <v>0</v>
      </c>
      <c r="N48" s="13648">
        <f>'lbpf 3-VET'!K20</f>
        <v>60000</v>
      </c>
      <c r="O48" s="13648">
        <v>0</v>
      </c>
      <c r="P48" s="13648">
        <f>'lbpf 3-VET'!K23</f>
        <v>270000</v>
      </c>
      <c r="Q48" s="13649">
        <f>'lbpf 3-VET'!K22</f>
        <v>2349712</v>
      </c>
      <c r="R48" s="13648">
        <f>'lbpf 3-VET'!K26</f>
        <v>1691792.64</v>
      </c>
      <c r="S48" s="13648">
        <f>'lbpf 3-VET'!K27</f>
        <v>64800</v>
      </c>
      <c r="T48" s="13648">
        <f>'lbpf 3-VET'!K28</f>
        <v>179246.26499999996</v>
      </c>
      <c r="U48" s="13648">
        <f>'lbpf 3-VET'!K29</f>
        <v>64800</v>
      </c>
      <c r="V48" s="13648"/>
      <c r="W48" s="13648">
        <v>0</v>
      </c>
      <c r="X48" s="13648"/>
      <c r="Y48" s="13650">
        <f>'lbpf 3-VET'!K21</f>
        <v>10000</v>
      </c>
      <c r="Z48" s="13651">
        <f t="shared" si="4"/>
        <v>21599022.905000001</v>
      </c>
      <c r="AA48" s="13647" t="s">
        <v>599</v>
      </c>
    </row>
    <row r="49" spans="1:31" ht="12.75" customHeight="1">
      <c r="A49" s="13647" t="s">
        <v>600</v>
      </c>
      <c r="B49" s="13648">
        <f>'lbpf 3-PEO'!J12</f>
        <v>34882044</v>
      </c>
      <c r="C49" s="13648"/>
      <c r="D49" s="13648">
        <f>'lbpf 3-PEO'!J13</f>
        <v>3552000</v>
      </c>
      <c r="E49" s="13648">
        <f>'lbpf 3-PEO'!J14</f>
        <v>192000</v>
      </c>
      <c r="F49" s="13648">
        <f>'lbpf 3-PEO'!J15</f>
        <v>90000</v>
      </c>
      <c r="G49" s="13648">
        <f>'lbpf 3-PEO'!J16</f>
        <v>888000</v>
      </c>
      <c r="H49" s="13648"/>
      <c r="I49" s="13648">
        <v>0</v>
      </c>
      <c r="J49" s="13648">
        <f>'lbpf 3-PEO'!J17</f>
        <v>740000</v>
      </c>
      <c r="K49" s="13648">
        <f>'lbpf 3-PEO'!J22</f>
        <v>0</v>
      </c>
      <c r="L49" s="13648">
        <f>'lbpf 3-PEO'!J23</f>
        <v>444000</v>
      </c>
      <c r="M49" s="13648">
        <v>0</v>
      </c>
      <c r="N49" s="13648"/>
      <c r="O49" s="13648">
        <f>'lbpf 3-PEO'!J19</f>
        <v>500000</v>
      </c>
      <c r="P49" s="13648">
        <f>'lbpf 3-PEO'!J21</f>
        <v>740000</v>
      </c>
      <c r="Q49" s="13649">
        <f>'lbpf 3-PEO'!J20</f>
        <v>5813674</v>
      </c>
      <c r="R49" s="13648">
        <f>'lbpf 3-PEO'!J24</f>
        <v>4185845.28</v>
      </c>
      <c r="S49" s="13648">
        <f>'lbpf 3-PEO'!J25</f>
        <v>177600</v>
      </c>
      <c r="T49" s="13648">
        <f>'lbpf 3-PEO'!J26</f>
        <v>415734.82500000007</v>
      </c>
      <c r="U49" s="13648">
        <f>'lbpf 3-PEO'!J27</f>
        <v>177600</v>
      </c>
      <c r="V49" s="13648"/>
      <c r="W49" s="13648">
        <v>0</v>
      </c>
      <c r="X49" s="13648"/>
      <c r="Y49" s="13650">
        <f>'lbpf 3-PEO'!J18</f>
        <v>85000</v>
      </c>
      <c r="Z49" s="13651">
        <f t="shared" si="4"/>
        <v>52883498.105000004</v>
      </c>
      <c r="AA49" s="13647" t="s">
        <v>600</v>
      </c>
    </row>
    <row r="50" spans="1:31" ht="12.75" customHeight="1">
      <c r="A50" s="13667" t="s">
        <v>668</v>
      </c>
      <c r="B50" s="13678">
        <f>'lbpf 3-MOTORPOOL'!J11</f>
        <v>17750448</v>
      </c>
      <c r="C50" s="13678"/>
      <c r="D50" s="13678">
        <f>'lbpf 3-MOTORPOOL'!J12</f>
        <v>1992000</v>
      </c>
      <c r="E50" s="13678">
        <f>'lbpf 3-MOTORPOOL'!J13</f>
        <v>102000</v>
      </c>
      <c r="F50" s="13678">
        <f>'lbpf 3-MOTORPOOL'!J14</f>
        <v>102000</v>
      </c>
      <c r="G50" s="13678">
        <f>'lbpf 3-MOTORPOOL'!J15</f>
        <v>498000</v>
      </c>
      <c r="H50" s="13678"/>
      <c r="I50" s="13678">
        <v>0</v>
      </c>
      <c r="J50" s="13678">
        <f>'lbpf 3-MOTORPOOL'!J16</f>
        <v>415000</v>
      </c>
      <c r="K50" s="13678">
        <f>'lbpf 3-MOTORPOOL'!J21</f>
        <v>0</v>
      </c>
      <c r="L50" s="13678">
        <f>'lbpf 3-MOTORPOOL'!J22</f>
        <v>249000</v>
      </c>
      <c r="M50" s="13678">
        <v>0</v>
      </c>
      <c r="N50" s="13678"/>
      <c r="O50" s="13678">
        <f>'lbpf 3-MOTORPOOL'!J18</f>
        <v>150000</v>
      </c>
      <c r="P50" s="13678">
        <f>'lbpf 3-MOTORPOOL'!J20</f>
        <v>415000</v>
      </c>
      <c r="Q50" s="13669">
        <f>'lbpf 3-MOTORPOOL'!J19</f>
        <v>2958408</v>
      </c>
      <c r="R50" s="13678">
        <f>'lbpf 3-MOTORPOOL'!J23</f>
        <v>2130053.7599999998</v>
      </c>
      <c r="S50" s="13678">
        <f>'lbpf 3-MOTORPOOL'!J24</f>
        <v>99600</v>
      </c>
      <c r="T50" s="13678">
        <f>'lbpf 3-MOTORPOOL'!J25</f>
        <v>222105.84000000008</v>
      </c>
      <c r="U50" s="13678">
        <f>'lbpf 3-MOTORPOOL'!J26</f>
        <v>99600</v>
      </c>
      <c r="V50" s="13678"/>
      <c r="W50" s="13678">
        <v>0</v>
      </c>
      <c r="X50" s="13678"/>
      <c r="Y50" s="13679">
        <f>'lbpf 3-MOTORPOOL'!J17</f>
        <v>50000</v>
      </c>
      <c r="Z50" s="13670">
        <f t="shared" si="4"/>
        <v>27233215.599999998</v>
      </c>
      <c r="AA50" s="13667" t="s">
        <v>668</v>
      </c>
    </row>
    <row r="51" spans="1:31" ht="14.1" hidden="1" customHeight="1">
      <c r="A51" s="13680"/>
      <c r="B51" s="13672"/>
      <c r="C51" s="13672"/>
      <c r="D51" s="13672"/>
      <c r="E51" s="13672"/>
      <c r="F51" s="13672"/>
      <c r="G51" s="13672"/>
      <c r="H51" s="13672"/>
      <c r="I51" s="13672"/>
      <c r="J51" s="13673"/>
      <c r="K51" s="13673"/>
      <c r="L51" s="13672"/>
      <c r="M51" s="13674"/>
      <c r="N51" s="13672"/>
      <c r="O51" s="13672"/>
      <c r="P51" s="13672"/>
      <c r="Q51" s="13681">
        <f>(B51/12)</f>
        <v>0</v>
      </c>
      <c r="R51" s="13672"/>
      <c r="S51" s="13672"/>
      <c r="T51" s="13672"/>
      <c r="U51" s="13672" t="s">
        <v>9</v>
      </c>
      <c r="V51" s="13672"/>
      <c r="W51" s="13672"/>
      <c r="X51" s="13675"/>
      <c r="Y51" s="13672"/>
      <c r="Z51" s="13676" t="s">
        <v>9</v>
      </c>
      <c r="AA51" s="13680"/>
    </row>
    <row r="52" spans="1:31" ht="14.1" customHeight="1">
      <c r="A52" s="13682" t="s">
        <v>485</v>
      </c>
      <c r="B52" s="13683">
        <f t="shared" ref="B52:Z52" si="5">SUM(B42:B50)</f>
        <v>98846772</v>
      </c>
      <c r="C52" s="13683">
        <f t="shared" si="5"/>
        <v>0</v>
      </c>
      <c r="D52" s="13683">
        <f t="shared" si="5"/>
        <v>10104000</v>
      </c>
      <c r="E52" s="13683">
        <f t="shared" si="5"/>
        <v>588000</v>
      </c>
      <c r="F52" s="13683">
        <f t="shared" si="5"/>
        <v>486000</v>
      </c>
      <c r="G52" s="13683">
        <f t="shared" si="5"/>
        <v>2526000</v>
      </c>
      <c r="H52" s="13683">
        <f>SUM(H42:H50)</f>
        <v>475200</v>
      </c>
      <c r="I52" s="13683">
        <f t="shared" si="5"/>
        <v>79200</v>
      </c>
      <c r="J52" s="13683">
        <f t="shared" si="5"/>
        <v>2105000</v>
      </c>
      <c r="K52" s="13683">
        <f t="shared" si="5"/>
        <v>0</v>
      </c>
      <c r="L52" s="13683">
        <f t="shared" si="5"/>
        <v>1263000</v>
      </c>
      <c r="M52" s="13683">
        <f t="shared" si="5"/>
        <v>0</v>
      </c>
      <c r="N52" s="13683">
        <f t="shared" si="5"/>
        <v>60000</v>
      </c>
      <c r="O52" s="13683">
        <f>SUM(O42:O50)</f>
        <v>790000</v>
      </c>
      <c r="P52" s="13683">
        <f t="shared" si="5"/>
        <v>2105000</v>
      </c>
      <c r="Q52" s="13683">
        <f t="shared" si="5"/>
        <v>16474462</v>
      </c>
      <c r="R52" s="13683">
        <f t="shared" si="5"/>
        <v>11861612.639999999</v>
      </c>
      <c r="S52" s="13683">
        <f t="shared" si="5"/>
        <v>505200</v>
      </c>
      <c r="T52" s="13683">
        <f t="shared" si="5"/>
        <v>1211845.6350000002</v>
      </c>
      <c r="U52" s="13683">
        <f t="shared" si="5"/>
        <v>505200</v>
      </c>
      <c r="V52" s="13683">
        <f t="shared" si="5"/>
        <v>0</v>
      </c>
      <c r="W52" s="13683">
        <f t="shared" si="5"/>
        <v>0</v>
      </c>
      <c r="X52" s="13683">
        <f t="shared" si="5"/>
        <v>0</v>
      </c>
      <c r="Y52" s="13683">
        <f t="shared" si="5"/>
        <v>220000</v>
      </c>
      <c r="Z52" s="13684">
        <f t="shared" si="5"/>
        <v>150206492.27500001</v>
      </c>
      <c r="AA52" s="13682" t="s">
        <v>485</v>
      </c>
      <c r="AB52" s="13662">
        <f>summary!C54</f>
        <v>150206492.27500001</v>
      </c>
    </row>
    <row r="53" spans="1:31" ht="11.1" customHeight="1" thickBot="1">
      <c r="A53" s="13685"/>
      <c r="B53" s="13686"/>
      <c r="C53" s="13686"/>
      <c r="D53" s="13686"/>
      <c r="E53" s="13686"/>
      <c r="F53" s="13686"/>
      <c r="G53" s="13686"/>
      <c r="H53" s="13686"/>
      <c r="I53" s="13686"/>
      <c r="J53" s="13687"/>
      <c r="K53" s="13687"/>
      <c r="L53" s="13686"/>
      <c r="M53" s="13687"/>
      <c r="N53" s="13686"/>
      <c r="O53" s="13686"/>
      <c r="P53" s="13686"/>
      <c r="Q53" s="13686"/>
      <c r="R53" s="13686"/>
      <c r="S53" s="13686"/>
      <c r="T53" s="13686"/>
      <c r="U53" s="13686"/>
      <c r="V53" s="13686"/>
      <c r="W53" s="13686"/>
      <c r="X53" s="13687"/>
      <c r="Y53" s="13686"/>
      <c r="Z53" s="13688">
        <f>Z52+Z40+Z22</f>
        <v>778204875.42499995</v>
      </c>
      <c r="AA53" s="13685"/>
      <c r="AB53" s="13662">
        <f>summary!C57</f>
        <v>807934368.74999976</v>
      </c>
    </row>
    <row r="54" spans="1:31" ht="14.1" customHeight="1" thickTop="1">
      <c r="A54" s="13689" t="s">
        <v>3270</v>
      </c>
      <c r="B54" s="13675"/>
      <c r="C54" s="13675"/>
      <c r="D54" s="13675"/>
      <c r="E54" s="13675"/>
      <c r="F54" s="13675"/>
      <c r="G54" s="13675"/>
      <c r="H54" s="13675"/>
      <c r="I54" s="13675"/>
      <c r="J54" s="13673"/>
      <c r="K54" s="13673"/>
      <c r="L54" s="13675"/>
      <c r="M54" s="13674"/>
      <c r="N54" s="13675"/>
      <c r="O54" s="13675"/>
      <c r="P54" s="13675"/>
      <c r="Q54" s="13675"/>
      <c r="R54" s="13675"/>
      <c r="S54" s="13675"/>
      <c r="T54" s="13675"/>
      <c r="U54" s="13675"/>
      <c r="V54" s="13675"/>
      <c r="W54" s="13675"/>
      <c r="X54" s="13675"/>
      <c r="Y54" s="13675"/>
      <c r="Z54" s="13690"/>
      <c r="AA54" s="13689" t="s">
        <v>3270</v>
      </c>
    </row>
    <row r="55" spans="1:31" s="13634" customFormat="1" ht="11.25" customHeight="1">
      <c r="A55" s="13689" t="s">
        <v>694</v>
      </c>
      <c r="B55" s="13680"/>
      <c r="C55" s="13680"/>
      <c r="D55" s="13680"/>
      <c r="E55" s="13680"/>
      <c r="F55" s="13680"/>
      <c r="G55" s="13680"/>
      <c r="H55" s="13680"/>
      <c r="I55" s="13680"/>
      <c r="J55" s="13691"/>
      <c r="K55" s="13691"/>
      <c r="L55" s="13680"/>
      <c r="M55" s="13692"/>
      <c r="N55" s="13680"/>
      <c r="O55" s="13680"/>
      <c r="P55" s="13680"/>
      <c r="Q55" s="13680"/>
      <c r="R55" s="13680"/>
      <c r="S55" s="13680"/>
      <c r="T55" s="13680"/>
      <c r="U55" s="13680"/>
      <c r="V55" s="13693"/>
      <c r="W55" s="13693"/>
      <c r="X55" s="13690"/>
      <c r="Y55" s="13680"/>
      <c r="Z55" s="13768">
        <f>summary!C56</f>
        <v>18132528</v>
      </c>
      <c r="AA55" s="13689" t="s">
        <v>694</v>
      </c>
      <c r="AE55" s="13694"/>
    </row>
    <row r="56" spans="1:31" s="13634" customFormat="1" ht="11.25" customHeight="1">
      <c r="A56" s="13689" t="s">
        <v>695</v>
      </c>
      <c r="B56" s="13691"/>
      <c r="C56" s="13691"/>
      <c r="D56" s="13691"/>
      <c r="E56" s="13691"/>
      <c r="F56" s="13691"/>
      <c r="G56" s="13691"/>
      <c r="H56" s="13691"/>
      <c r="I56" s="13691"/>
      <c r="J56" s="13691"/>
      <c r="K56" s="13691"/>
      <c r="L56" s="13691"/>
      <c r="M56" s="13692"/>
      <c r="N56" s="13691"/>
      <c r="O56" s="13691"/>
      <c r="P56" s="13691"/>
      <c r="Q56" s="13691"/>
      <c r="R56" s="13691"/>
      <c r="S56" s="13691"/>
      <c r="T56" s="13691"/>
      <c r="U56" s="13691"/>
      <c r="V56" s="13695"/>
      <c r="W56" s="13695"/>
      <c r="X56" s="13690"/>
      <c r="Y56" s="13691"/>
      <c r="Z56" s="13769">
        <f>summary!C55</f>
        <v>11596965.324999772</v>
      </c>
      <c r="AA56" s="13689" t="s">
        <v>695</v>
      </c>
      <c r="AE56" s="13694"/>
    </row>
    <row r="57" spans="1:31" ht="14.1" customHeight="1" thickBot="1">
      <c r="A57" s="13696" t="s">
        <v>669</v>
      </c>
      <c r="B57" s="13697">
        <f>SUM(B22+B40+B52)</f>
        <v>468681180</v>
      </c>
      <c r="C57" s="13697">
        <f t="shared" ref="C57:U57" si="6">SUM(C22+C40+C52)</f>
        <v>16659656</v>
      </c>
      <c r="D57" s="13697">
        <f t="shared" si="6"/>
        <v>43008000</v>
      </c>
      <c r="E57" s="13697">
        <f t="shared" si="6"/>
        <v>4824000</v>
      </c>
      <c r="F57" s="13697">
        <f t="shared" si="6"/>
        <v>3042000</v>
      </c>
      <c r="G57" s="13697">
        <f t="shared" si="6"/>
        <v>10752000</v>
      </c>
      <c r="H57" s="13697">
        <f t="shared" si="6"/>
        <v>6588000</v>
      </c>
      <c r="I57" s="13697">
        <f t="shared" si="6"/>
        <v>1098000</v>
      </c>
      <c r="J57" s="13697">
        <f t="shared" si="6"/>
        <v>8960000</v>
      </c>
      <c r="K57" s="13697">
        <f t="shared" si="6"/>
        <v>0</v>
      </c>
      <c r="L57" s="13697">
        <f t="shared" si="6"/>
        <v>5091000</v>
      </c>
      <c r="M57" s="13697">
        <f>SUM(M22+M40+M52)</f>
        <v>0</v>
      </c>
      <c r="N57" s="13697">
        <f t="shared" si="6"/>
        <v>46232979</v>
      </c>
      <c r="O57" s="13697">
        <f t="shared" si="6"/>
        <v>3718200</v>
      </c>
      <c r="P57" s="13697">
        <f t="shared" si="6"/>
        <v>8960000</v>
      </c>
      <c r="Q57" s="13697">
        <f>SUM(Q22+Q40+Q52)</f>
        <v>80612806</v>
      </c>
      <c r="R57" s="13697">
        <f t="shared" si="6"/>
        <v>58180900.319999993</v>
      </c>
      <c r="S57" s="13697">
        <f t="shared" si="6"/>
        <v>2150400</v>
      </c>
      <c r="T57" s="13697">
        <f t="shared" si="6"/>
        <v>5529354.1050000004</v>
      </c>
      <c r="U57" s="13697">
        <f t="shared" si="6"/>
        <v>2150400</v>
      </c>
      <c r="V57" s="13697">
        <f>SUM(V22+V40+V52+V55)</f>
        <v>0</v>
      </c>
      <c r="W57" s="13697">
        <f>SUM(W22+W40+W52+W55)</f>
        <v>0</v>
      </c>
      <c r="X57" s="13697">
        <f>SUM(X22+X40+X52+X55)</f>
        <v>936000</v>
      </c>
      <c r="Y57" s="13697">
        <f>SUM(Y22+Y40+Y52)</f>
        <v>1030000</v>
      </c>
      <c r="Z57" s="13688">
        <f>Z53+Z55+Z56</f>
        <v>807934368.74999976</v>
      </c>
      <c r="AA57" s="13696" t="s">
        <v>669</v>
      </c>
    </row>
    <row r="58" spans="1:31" ht="14.1" customHeight="1" thickTop="1"/>
    <row r="60" spans="1:31" ht="21" customHeight="1">
      <c r="C60" s="13698"/>
      <c r="K60" s="15524">
        <f>K57/2</f>
        <v>0</v>
      </c>
      <c r="L60" s="15524"/>
      <c r="T60" s="13636">
        <f>T57/0.6</f>
        <v>9215590.1750000007</v>
      </c>
      <c r="Y60" s="15523" t="s">
        <v>694</v>
      </c>
      <c r="Z60" s="15523"/>
      <c r="AB60" s="13699">
        <f>SUM(Z61:Z69)</f>
        <v>0</v>
      </c>
    </row>
    <row r="61" spans="1:31" ht="14.1" customHeight="1">
      <c r="K61" s="13698">
        <f>K57-17000000</f>
        <v>-17000000</v>
      </c>
    </row>
  </sheetData>
  <mergeCells count="2">
    <mergeCell ref="Y60:Z60"/>
    <mergeCell ref="K60:L60"/>
  </mergeCells>
  <printOptions horizontalCentered="1"/>
  <pageMargins left="0.5" right="0.5" top="0.25" bottom="0" header="0" footer="0"/>
  <pageSetup paperSize="293" scale="80" pageOrder="overThenDown" orientation="landscape" verticalDpi="300" r:id="rId1"/>
</worksheet>
</file>

<file path=xl/worksheets/sheet219.xml><?xml version="1.0" encoding="utf-8"?>
<worksheet xmlns="http://schemas.openxmlformats.org/spreadsheetml/2006/main" xmlns:r="http://schemas.openxmlformats.org/officeDocument/2006/relationships">
  <sheetPr codeName="Sheet166">
    <tabColor rgb="FFFF0000"/>
  </sheetPr>
  <dimension ref="A1:BI59"/>
  <sheetViews>
    <sheetView workbookViewId="0">
      <selection activeCell="M4" sqref="M4"/>
    </sheetView>
  </sheetViews>
  <sheetFormatPr defaultColWidth="13.33203125" defaultRowHeight="14.1" customHeight="1"/>
  <cols>
    <col min="1" max="12" width="13.33203125" style="13702"/>
    <col min="13" max="13" width="14.44140625" style="13702" customWidth="1"/>
    <col min="14" max="14" width="13.5546875" style="13702" bestFit="1" customWidth="1"/>
    <col min="15" max="17" width="13.33203125" style="13702"/>
    <col min="18" max="18" width="13.33203125" style="13702" hidden="1" customWidth="1"/>
    <col min="19" max="19" width="13.33203125" style="13702" customWidth="1"/>
    <col min="20" max="24" width="13.33203125" style="13702"/>
    <col min="25" max="25" width="11.6640625" style="13702" customWidth="1"/>
    <col min="26" max="26" width="13.33203125" style="13702"/>
    <col min="27" max="27" width="12.5546875" style="13702" customWidth="1"/>
    <col min="28" max="28" width="13.33203125" style="13702"/>
    <col min="29" max="29" width="0" style="13702" hidden="1" customWidth="1"/>
    <col min="30" max="31" width="13.33203125" style="13702"/>
    <col min="32" max="32" width="0" style="13702" hidden="1" customWidth="1"/>
    <col min="33" max="46" width="13.33203125" style="13702"/>
    <col min="47" max="47" width="0" style="13702" hidden="1" customWidth="1"/>
    <col min="48" max="51" width="13.33203125" style="13702"/>
    <col min="52" max="52" width="0" style="13702" hidden="1" customWidth="1"/>
    <col min="53" max="53" width="13.33203125" style="13702"/>
    <col min="54" max="55" width="0" style="13702" hidden="1" customWidth="1"/>
    <col min="56" max="56" width="13.33203125" style="13702"/>
    <col min="57" max="57" width="0" style="13702" hidden="1" customWidth="1"/>
    <col min="58" max="59" width="13.33203125" style="13702"/>
    <col min="60" max="60" width="13.33203125" style="13702" hidden="1" customWidth="1"/>
    <col min="61" max="61" width="14.6640625" style="13702" hidden="1" customWidth="1"/>
    <col min="62" max="16384" width="13.33203125" style="13702"/>
  </cols>
  <sheetData>
    <row r="1" spans="1:60" s="13701" customFormat="1" ht="9.9" customHeight="1">
      <c r="A1" s="13700" t="s">
        <v>11691</v>
      </c>
      <c r="B1" s="13700"/>
      <c r="C1" s="13700"/>
      <c r="D1" s="13700"/>
      <c r="E1" s="13700"/>
      <c r="F1" s="13700"/>
      <c r="G1" s="13700"/>
      <c r="H1" s="13700"/>
      <c r="I1" s="13700"/>
      <c r="J1" s="13700"/>
      <c r="K1" s="13700"/>
      <c r="L1" s="13700"/>
      <c r="M1" s="13700"/>
      <c r="N1" s="1161" t="s">
        <v>9</v>
      </c>
      <c r="P1" s="1161"/>
      <c r="BH1" s="13700" t="s">
        <v>10530</v>
      </c>
    </row>
    <row r="2" spans="1:60" ht="2.25" customHeight="1">
      <c r="A2" s="13701"/>
      <c r="B2" s="13701"/>
      <c r="C2" s="13701"/>
      <c r="D2" s="13701"/>
      <c r="E2" s="13701"/>
      <c r="F2" s="13701"/>
      <c r="G2" s="13701"/>
      <c r="H2" s="13701"/>
      <c r="I2" s="13701"/>
      <c r="J2" s="13701"/>
      <c r="K2" s="13701"/>
      <c r="L2" s="13701"/>
      <c r="M2" s="13701"/>
      <c r="N2" s="13701"/>
      <c r="P2" s="13701"/>
      <c r="Q2" s="13701"/>
      <c r="R2" s="13701"/>
      <c r="S2" s="13701"/>
      <c r="T2" s="13701"/>
      <c r="U2" s="13701"/>
      <c r="V2" s="13701"/>
      <c r="W2" s="13701"/>
      <c r="X2" s="13701"/>
      <c r="Y2" s="13701"/>
      <c r="Z2" s="13701"/>
      <c r="AC2" s="13701"/>
      <c r="AD2" s="13701"/>
      <c r="AE2" s="13701"/>
      <c r="AF2" s="13701"/>
      <c r="AM2" s="13701"/>
      <c r="AO2" s="13701"/>
      <c r="AP2" s="13701"/>
      <c r="BH2" s="13701"/>
    </row>
    <row r="3" spans="1:60" ht="10.5" customHeight="1">
      <c r="A3" s="8847" t="s">
        <v>216</v>
      </c>
      <c r="B3" s="1258" t="s">
        <v>530</v>
      </c>
      <c r="C3" s="1258" t="s">
        <v>531</v>
      </c>
      <c r="D3" s="1258" t="s">
        <v>532</v>
      </c>
      <c r="E3" s="1258" t="s">
        <v>533</v>
      </c>
      <c r="F3" s="1258" t="s">
        <v>538</v>
      </c>
      <c r="G3" s="1258" t="s">
        <v>534</v>
      </c>
      <c r="H3" s="2682" t="s">
        <v>9179</v>
      </c>
      <c r="I3" s="1258" t="s">
        <v>535</v>
      </c>
      <c r="J3" s="1258" t="s">
        <v>536</v>
      </c>
      <c r="K3" s="1258" t="s">
        <v>537</v>
      </c>
      <c r="L3" s="1258" t="s">
        <v>539</v>
      </c>
      <c r="M3" s="1258" t="s">
        <v>540</v>
      </c>
      <c r="N3" s="1258" t="s">
        <v>677</v>
      </c>
      <c r="O3" s="15532" t="s">
        <v>10998</v>
      </c>
      <c r="P3" s="1258" t="s">
        <v>542</v>
      </c>
      <c r="Q3" s="1258" t="s">
        <v>543</v>
      </c>
      <c r="R3" s="1258" t="s">
        <v>543</v>
      </c>
      <c r="S3" s="10432" t="s">
        <v>11689</v>
      </c>
      <c r="T3" s="1258" t="s">
        <v>543</v>
      </c>
      <c r="U3" s="1258" t="s">
        <v>1726</v>
      </c>
      <c r="V3" s="15528" t="s">
        <v>10996</v>
      </c>
      <c r="W3" s="1258" t="s">
        <v>545</v>
      </c>
      <c r="X3" s="1258" t="s">
        <v>544</v>
      </c>
      <c r="Y3" s="1258" t="s">
        <v>546</v>
      </c>
      <c r="Z3" s="1258" t="s">
        <v>547</v>
      </c>
      <c r="AA3" s="1259" t="s">
        <v>616</v>
      </c>
      <c r="AB3" s="15530" t="s">
        <v>10997</v>
      </c>
      <c r="AC3" s="1258" t="s">
        <v>548</v>
      </c>
      <c r="AD3" s="1258" t="s">
        <v>549</v>
      </c>
      <c r="AE3" s="1258" t="s">
        <v>549</v>
      </c>
      <c r="AF3" s="1258" t="s">
        <v>549</v>
      </c>
      <c r="AG3" s="1259" t="s">
        <v>3346</v>
      </c>
      <c r="AH3" s="1259" t="s">
        <v>3347</v>
      </c>
      <c r="AI3" s="1259" t="s">
        <v>612</v>
      </c>
      <c r="AJ3" s="1259" t="s">
        <v>612</v>
      </c>
      <c r="AK3" s="1259" t="s">
        <v>612</v>
      </c>
      <c r="AL3" s="1259" t="s">
        <v>618</v>
      </c>
      <c r="AM3" s="1258" t="s">
        <v>550</v>
      </c>
      <c r="AN3" s="1259" t="s">
        <v>612</v>
      </c>
      <c r="AO3" s="1258" t="s">
        <v>551</v>
      </c>
      <c r="AP3" s="1258" t="s">
        <v>552</v>
      </c>
      <c r="AQ3" s="1259" t="s">
        <v>3324</v>
      </c>
      <c r="AR3" s="1259" t="s">
        <v>610</v>
      </c>
      <c r="AS3" s="1259" t="s">
        <v>605</v>
      </c>
      <c r="AT3" s="1259" t="s">
        <v>606</v>
      </c>
      <c r="AU3" s="1259" t="s">
        <v>10067</v>
      </c>
      <c r="AV3" s="1259" t="s">
        <v>620</v>
      </c>
      <c r="AW3" s="1259" t="s">
        <v>608</v>
      </c>
      <c r="AX3" s="1259" t="s">
        <v>617</v>
      </c>
      <c r="AY3" s="1259" t="s">
        <v>609</v>
      </c>
      <c r="AZ3" s="1259" t="s">
        <v>609</v>
      </c>
      <c r="BA3" s="1259" t="s">
        <v>615</v>
      </c>
      <c r="BB3" s="1259" t="s">
        <v>4705</v>
      </c>
      <c r="BC3" s="1259" t="s">
        <v>621</v>
      </c>
      <c r="BD3" s="13703" t="s">
        <v>10815</v>
      </c>
      <c r="BE3" s="13703" t="s">
        <v>10674</v>
      </c>
      <c r="BF3" s="7152" t="s">
        <v>3323</v>
      </c>
      <c r="BG3" s="1259" t="s">
        <v>220</v>
      </c>
      <c r="BH3" s="15525" t="s">
        <v>216</v>
      </c>
    </row>
    <row r="4" spans="1:60" ht="10.5" customHeight="1">
      <c r="A4" s="8848"/>
      <c r="B4" s="1255" t="s">
        <v>553</v>
      </c>
      <c r="C4" s="1255" t="s">
        <v>553</v>
      </c>
      <c r="D4" s="1255" t="s">
        <v>554</v>
      </c>
      <c r="E4" s="1255" t="s">
        <v>555</v>
      </c>
      <c r="F4" s="1255" t="s">
        <v>558</v>
      </c>
      <c r="G4" s="1255" t="s">
        <v>553</v>
      </c>
      <c r="H4" s="2683" t="s">
        <v>9180</v>
      </c>
      <c r="I4" s="1255" t="s">
        <v>556</v>
      </c>
      <c r="J4" s="1255" t="s">
        <v>557</v>
      </c>
      <c r="K4" s="1255"/>
      <c r="L4" s="1255" t="s">
        <v>554</v>
      </c>
      <c r="M4" s="1255" t="s">
        <v>553</v>
      </c>
      <c r="N4" s="1255" t="s">
        <v>553</v>
      </c>
      <c r="O4" s="15532"/>
      <c r="P4" s="1255" t="s">
        <v>559</v>
      </c>
      <c r="Q4" s="1255" t="s">
        <v>4703</v>
      </c>
      <c r="R4" s="1255" t="s">
        <v>3353</v>
      </c>
      <c r="S4" s="10433" t="s">
        <v>11690</v>
      </c>
      <c r="T4" s="1255" t="s">
        <v>3354</v>
      </c>
      <c r="U4" s="1255"/>
      <c r="V4" s="15529"/>
      <c r="W4" s="1255" t="s">
        <v>561</v>
      </c>
      <c r="X4" s="1255" t="s">
        <v>553</v>
      </c>
      <c r="Y4" s="1255" t="s">
        <v>562</v>
      </c>
      <c r="Z4" s="1255" t="s">
        <v>553</v>
      </c>
      <c r="AA4" s="1256" t="s">
        <v>630</v>
      </c>
      <c r="AB4" s="15531"/>
      <c r="AC4" s="1255" t="s">
        <v>563</v>
      </c>
      <c r="AD4" s="1255"/>
      <c r="AE4" s="2683" t="s">
        <v>10065</v>
      </c>
      <c r="AF4" s="2683" t="s">
        <v>10069</v>
      </c>
      <c r="AG4" s="1256" t="s">
        <v>563</v>
      </c>
      <c r="AH4" s="1256" t="s">
        <v>563</v>
      </c>
      <c r="AI4" s="1256" t="s">
        <v>627</v>
      </c>
      <c r="AJ4" s="1256" t="s">
        <v>634</v>
      </c>
      <c r="AK4" s="1256" t="s">
        <v>10068</v>
      </c>
      <c r="AL4" s="1256"/>
      <c r="AM4" s="1255" t="s">
        <v>565</v>
      </c>
      <c r="AN4" s="1256" t="s">
        <v>631</v>
      </c>
      <c r="AO4" s="1255" t="s">
        <v>4704</v>
      </c>
      <c r="AP4" s="1255" t="s">
        <v>567</v>
      </c>
      <c r="AQ4" s="1256" t="s">
        <v>628</v>
      </c>
      <c r="AR4" s="1256" t="s">
        <v>624</v>
      </c>
      <c r="AS4" s="1256" t="s">
        <v>9</v>
      </c>
      <c r="AT4" s="1256" t="s">
        <v>10066</v>
      </c>
      <c r="AU4" s="1256" t="s">
        <v>10066</v>
      </c>
      <c r="AV4" s="1256" t="s">
        <v>635</v>
      </c>
      <c r="AW4" s="1256" t="s">
        <v>622</v>
      </c>
      <c r="AX4" s="1256" t="s">
        <v>630</v>
      </c>
      <c r="AY4" s="1256" t="s">
        <v>623</v>
      </c>
      <c r="AZ4" s="1256" t="s">
        <v>625</v>
      </c>
      <c r="BA4" s="1256" t="s">
        <v>629</v>
      </c>
      <c r="BB4" s="1256" t="s">
        <v>633</v>
      </c>
      <c r="BC4" s="1256" t="s">
        <v>636</v>
      </c>
      <c r="BD4" s="8212" t="s">
        <v>10814</v>
      </c>
      <c r="BE4" s="8212" t="s">
        <v>10816</v>
      </c>
      <c r="BF4" s="7153" t="s">
        <v>10645</v>
      </c>
      <c r="BG4" s="1256" t="s">
        <v>9</v>
      </c>
      <c r="BH4" s="15526"/>
    </row>
    <row r="5" spans="1:60" s="13704" customFormat="1" ht="12" hidden="1" customHeight="1" thickBot="1">
      <c r="A5" s="8849"/>
      <c r="B5" s="1260"/>
      <c r="C5" s="1260"/>
      <c r="D5" s="1260"/>
      <c r="E5" s="1260"/>
      <c r="F5" s="1260"/>
      <c r="G5" s="1260"/>
      <c r="H5" s="2684"/>
      <c r="I5" s="1260"/>
      <c r="J5" s="1260"/>
      <c r="K5" s="1260"/>
      <c r="L5" s="1260"/>
      <c r="M5" s="1260"/>
      <c r="N5" s="1260"/>
      <c r="O5" s="1261"/>
      <c r="P5" s="1260"/>
      <c r="Q5" s="1260"/>
      <c r="R5" s="1260"/>
      <c r="S5" s="2684"/>
      <c r="T5" s="1260"/>
      <c r="U5" s="1260"/>
      <c r="V5" s="1260"/>
      <c r="W5" s="1260"/>
      <c r="X5" s="1260"/>
      <c r="Y5" s="1260"/>
      <c r="Z5" s="1260"/>
      <c r="AA5" s="1261"/>
      <c r="AB5" s="1261"/>
      <c r="AC5" s="1260"/>
      <c r="AD5" s="1260"/>
      <c r="AE5" s="1260"/>
      <c r="AF5" s="1260"/>
      <c r="AG5" s="1261"/>
      <c r="AH5" s="1261"/>
      <c r="AI5" s="1261"/>
      <c r="AJ5" s="1261"/>
      <c r="AK5" s="1261"/>
      <c r="AL5" s="1261"/>
      <c r="AM5" s="1260"/>
      <c r="AN5" s="1261"/>
      <c r="AO5" s="1260"/>
      <c r="AP5" s="1260"/>
      <c r="AQ5" s="1261"/>
      <c r="AR5" s="1261"/>
      <c r="AS5" s="1261"/>
      <c r="AT5" s="1261"/>
      <c r="AU5" s="1261"/>
      <c r="AV5" s="1261"/>
      <c r="AW5" s="1261"/>
      <c r="AX5" s="1261"/>
      <c r="AY5" s="1261"/>
      <c r="AZ5" s="1261"/>
      <c r="BA5" s="1261"/>
      <c r="BB5" s="1261">
        <v>765</v>
      </c>
      <c r="BC5" s="1261" t="s">
        <v>4700</v>
      </c>
      <c r="BD5" s="1261"/>
      <c r="BE5" s="1261"/>
      <c r="BF5" s="1261"/>
      <c r="BG5" s="1261"/>
      <c r="BH5" s="15527"/>
    </row>
    <row r="6" spans="1:60" s="13705" customFormat="1" ht="14.1" customHeight="1">
      <c r="A6" s="1254" t="s">
        <v>3100</v>
      </c>
      <c r="B6" s="1255"/>
      <c r="C6" s="1255"/>
      <c r="D6" s="1255"/>
      <c r="E6" s="1255"/>
      <c r="F6" s="1255"/>
      <c r="G6" s="1255"/>
      <c r="H6" s="2683"/>
      <c r="I6" s="1255"/>
      <c r="J6" s="1255"/>
      <c r="K6" s="1255"/>
      <c r="L6" s="1255"/>
      <c r="M6" s="1255"/>
      <c r="N6" s="1255"/>
      <c r="O6" s="1257"/>
      <c r="P6" s="1255"/>
      <c r="Q6" s="1255"/>
      <c r="R6" s="1255"/>
      <c r="S6" s="10433"/>
      <c r="T6" s="1255"/>
      <c r="U6" s="1255"/>
      <c r="V6" s="8829"/>
      <c r="W6" s="1255"/>
      <c r="X6" s="1255"/>
      <c r="Y6" s="1255"/>
      <c r="Z6" s="1255"/>
      <c r="AA6" s="1257"/>
      <c r="AB6" s="8213"/>
      <c r="AC6" s="1255"/>
      <c r="AD6" s="1255"/>
      <c r="AE6" s="2683"/>
      <c r="AF6" s="2683"/>
      <c r="AG6" s="1257"/>
      <c r="AH6" s="1257"/>
      <c r="AI6" s="1257"/>
      <c r="AJ6" s="1257"/>
      <c r="AK6" s="1257"/>
      <c r="AL6" s="1257"/>
      <c r="AM6" s="1255"/>
      <c r="AN6" s="1257"/>
      <c r="AO6" s="1255"/>
      <c r="AP6" s="1255"/>
      <c r="AQ6" s="1257"/>
      <c r="AR6" s="1257"/>
      <c r="AS6" s="1257"/>
      <c r="AT6" s="1257"/>
      <c r="AU6" s="1257"/>
      <c r="AV6" s="1257"/>
      <c r="AW6" s="1257"/>
      <c r="AX6" s="1257"/>
      <c r="AY6" s="1257"/>
      <c r="AZ6" s="1257"/>
      <c r="BA6" s="1257"/>
      <c r="BB6" s="1257"/>
      <c r="BC6" s="1257"/>
      <c r="BD6" s="8213"/>
      <c r="BE6" s="8213"/>
      <c r="BF6" s="7154"/>
      <c r="BG6" s="7061">
        <f t="shared" ref="BG6:BG23" si="0">SUM(B6:BF6)</f>
        <v>0</v>
      </c>
      <c r="BH6" s="1254" t="s">
        <v>3100</v>
      </c>
    </row>
    <row r="7" spans="1:60" ht="14.1" customHeight="1">
      <c r="A7" s="7070" t="s">
        <v>568</v>
      </c>
      <c r="B7" s="7079">
        <f>'lbpf 3-GO'!K44+'lbpf 3-GO'!K45</f>
        <v>2000000</v>
      </c>
      <c r="C7" s="7079">
        <f>'lbpf 3-GO'!K48</f>
        <v>1000000</v>
      </c>
      <c r="D7" s="7079">
        <f>'lbpf 3-GO'!K49</f>
        <v>6700000</v>
      </c>
      <c r="E7" s="7080"/>
      <c r="F7" s="7079"/>
      <c r="G7" s="7079"/>
      <c r="H7" s="7079"/>
      <c r="I7" s="7079"/>
      <c r="J7" s="7079">
        <f>'lbpf 3-GO'!K51</f>
        <v>6000000</v>
      </c>
      <c r="K7" s="7079"/>
      <c r="L7" s="7079"/>
      <c r="M7" s="7081">
        <f>'lbpf 3-GO'!K52</f>
        <v>0</v>
      </c>
      <c r="N7" s="7079">
        <f>'lbpf 3-GO'!K53</f>
        <v>0</v>
      </c>
      <c r="O7" s="7082"/>
      <c r="P7" s="7079">
        <f>'lbpf 3-GO'!K54</f>
        <v>100000</v>
      </c>
      <c r="Q7" s="7081">
        <f>'lbpf 3-GO'!K55</f>
        <v>1000000</v>
      </c>
      <c r="R7" s="7081">
        <f>'lbpf 3-GO'!K57</f>
        <v>0</v>
      </c>
      <c r="S7" s="10434"/>
      <c r="T7" s="7081">
        <f>'lbpf 3-GO'!K58</f>
        <v>50000</v>
      </c>
      <c r="U7" s="7081">
        <f>'lbpf 3-GO'!K59</f>
        <v>18000</v>
      </c>
      <c r="V7" s="8830"/>
      <c r="W7" s="7079"/>
      <c r="X7" s="7079">
        <f>'lbpf 3-GO'!K74</f>
        <v>300000</v>
      </c>
      <c r="Y7" s="7080">
        <f>'lbpf 3-GO'!K75</f>
        <v>0</v>
      </c>
      <c r="Z7" s="7081">
        <f>'lbpf 3-GO'!K76</f>
        <v>10000000</v>
      </c>
      <c r="AA7" s="7082"/>
      <c r="AB7" s="8214">
        <f>'lbpf 3-GO'!K62</f>
        <v>623000</v>
      </c>
      <c r="AC7" s="7079"/>
      <c r="AD7" s="7081">
        <f>'lbpf 3-GO'!K64</f>
        <v>24000000</v>
      </c>
      <c r="AE7" s="7081">
        <f>'lbpf 3-GO'!K63</f>
        <v>10000000</v>
      </c>
      <c r="AF7" s="7081"/>
      <c r="AG7" s="7082"/>
      <c r="AH7" s="7082"/>
      <c r="AI7" s="7082">
        <f>'lbpf 3-GO'!K67</f>
        <v>100000</v>
      </c>
      <c r="AJ7" s="7082"/>
      <c r="AK7" s="7082">
        <f>'lbpf 3-GO'!K68</f>
        <v>0</v>
      </c>
      <c r="AL7" s="7082"/>
      <c r="AM7" s="7081">
        <f>'lbpf 3-GO'!K69</f>
        <v>0</v>
      </c>
      <c r="AN7" s="7082"/>
      <c r="AO7" s="7081">
        <f>'lbpf 3-GO'!K70</f>
        <v>300000</v>
      </c>
      <c r="AP7" s="7079">
        <f>'lbpf 3-GO'!K71</f>
        <v>5000000</v>
      </c>
      <c r="AQ7" s="7082"/>
      <c r="AR7" s="7082"/>
      <c r="AS7" s="7082">
        <f>'lbpf 3-GO'!K77</f>
        <v>34000000</v>
      </c>
      <c r="AT7" s="7082">
        <f>'lbpf 3-GO'!K60</f>
        <v>14000000</v>
      </c>
      <c r="AU7" s="7082"/>
      <c r="AV7" s="7082"/>
      <c r="AW7" s="7082">
        <f>'lbpf 3-GO'!K73</f>
        <v>60000</v>
      </c>
      <c r="AX7" s="7082"/>
      <c r="AY7" s="7082">
        <f>'lbpf 3-GO'!K101+'lbpf 3-GO'!K103</f>
        <v>4300000</v>
      </c>
      <c r="AZ7" s="7082">
        <f>'lbpf 3-GO'!K104</f>
        <v>0</v>
      </c>
      <c r="BA7" s="7082"/>
      <c r="BB7" s="7082"/>
      <c r="BC7" s="7082"/>
      <c r="BD7" s="8214"/>
      <c r="BE7" s="8214"/>
      <c r="BF7" s="7155"/>
      <c r="BG7" s="7061">
        <f t="shared" si="0"/>
        <v>119551000</v>
      </c>
      <c r="BH7" s="192" t="s">
        <v>568</v>
      </c>
    </row>
    <row r="8" spans="1:60" ht="14.1" customHeight="1">
      <c r="A8" s="7057" t="s">
        <v>9134</v>
      </c>
      <c r="B8" s="7064">
        <f>'lbpf 3-PADMO'!J45+'lbpf 3-PADMO'!J47+'lbpf 3-PADMO'!J48</f>
        <v>150000</v>
      </c>
      <c r="C8" s="7064">
        <f>'lbpf 3-PADMO'!J49+'lbpf 3-PADMO'!J51</f>
        <v>280000</v>
      </c>
      <c r="D8" s="7064">
        <f>'lbpf 3-PADMO'!J52+'lbpf 3-PADMO'!J54+'lbpf 3-PADMO'!J55+'lbpf 3-PADMO'!J56</f>
        <v>500000</v>
      </c>
      <c r="E8" s="7063">
        <v>0</v>
      </c>
      <c r="F8" s="7064">
        <v>0</v>
      </c>
      <c r="G8" s="7064">
        <v>0</v>
      </c>
      <c r="H8" s="7064"/>
      <c r="I8" s="7064">
        <v>0</v>
      </c>
      <c r="J8" s="7064">
        <f>'lbpf 3-PADMO'!J57+'lbpf 3-PADMO'!J60</f>
        <v>150000</v>
      </c>
      <c r="K8" s="7064">
        <v>0</v>
      </c>
      <c r="L8" s="7064">
        <v>0</v>
      </c>
      <c r="M8" s="7083">
        <f>'lbpf 3-PADMO'!J61</f>
        <v>0</v>
      </c>
      <c r="N8" s="7064">
        <f>'lbpf 3-PADMO'!J62</f>
        <v>0</v>
      </c>
      <c r="O8" s="7077">
        <v>0</v>
      </c>
      <c r="P8" s="7064">
        <f>'lbpf 3-PADMO'!J63</f>
        <v>5000</v>
      </c>
      <c r="Q8" s="7083">
        <f>'lbpf 3-PADMO'!J65+'lbpf 3-PADMO'!J66</f>
        <v>230000</v>
      </c>
      <c r="R8" s="7083">
        <f>'lbpf 3-PADMO'!J67+'lbpf 3-PADMO'!J69</f>
        <v>0</v>
      </c>
      <c r="S8" s="7083"/>
      <c r="T8" s="7083">
        <f>'lbpf 3-PADMO'!J70</f>
        <v>50000</v>
      </c>
      <c r="U8" s="7083"/>
      <c r="V8" s="7083"/>
      <c r="W8" s="7064"/>
      <c r="X8" s="7064">
        <f>'lbpf 3-PADMO'!J71</f>
        <v>300000</v>
      </c>
      <c r="Y8" s="7063">
        <v>0</v>
      </c>
      <c r="Z8" s="7083">
        <v>0</v>
      </c>
      <c r="AA8" s="7077"/>
      <c r="AB8" s="7077"/>
      <c r="AC8" s="7064">
        <v>0</v>
      </c>
      <c r="AD8" s="7083">
        <f>SUM('lbpf 3-PADMO'!J72:J74)</f>
        <v>743000</v>
      </c>
      <c r="AE8" s="7083">
        <f>SUM('lbpf 3-PADMO'!J75)</f>
        <v>0</v>
      </c>
      <c r="AF8" s="7083"/>
      <c r="AG8" s="7077"/>
      <c r="AH8" s="7077">
        <f>'lbpf 3-PADMO'!J76</f>
        <v>8000000</v>
      </c>
      <c r="AI8" s="7077">
        <f>SUM('lbpf 3-PADMO'!J77:J77)</f>
        <v>100000</v>
      </c>
      <c r="AJ8" s="7077"/>
      <c r="AK8" s="7077"/>
      <c r="AL8" s="7077"/>
      <c r="AM8" s="7083">
        <v>0</v>
      </c>
      <c r="AN8" s="7077"/>
      <c r="AO8" s="7083">
        <f>'lbpf 3-PADMO'!J79</f>
        <v>150000</v>
      </c>
      <c r="AP8" s="7064">
        <f>'lbpf 3-PADMO'!J81</f>
        <v>100000</v>
      </c>
      <c r="AQ8" s="7077"/>
      <c r="AR8" s="7077"/>
      <c r="AS8" s="7077"/>
      <c r="AT8" s="7077"/>
      <c r="AU8" s="7077"/>
      <c r="AV8" s="7077"/>
      <c r="AW8" s="7077">
        <f>'lbpf 3-PADMO'!J82</f>
        <v>50000</v>
      </c>
      <c r="AX8" s="7077"/>
      <c r="AY8" s="7077">
        <f>SUM('lbpf 3-PADMO'!J83:J85)</f>
        <v>350000</v>
      </c>
      <c r="AZ8" s="7077"/>
      <c r="BA8" s="7077"/>
      <c r="BB8" s="7077"/>
      <c r="BC8" s="7077"/>
      <c r="BD8" s="7077"/>
      <c r="BE8" s="7077"/>
      <c r="BF8" s="7077"/>
      <c r="BG8" s="7061">
        <f t="shared" si="0"/>
        <v>11158000</v>
      </c>
      <c r="BH8" s="2643" t="s">
        <v>9134</v>
      </c>
    </row>
    <row r="9" spans="1:60" ht="14.1" customHeight="1">
      <c r="A9" s="7057" t="s">
        <v>1724</v>
      </c>
      <c r="B9" s="7064">
        <f>'lbpf 3-BICTU'!K43</f>
        <v>100000</v>
      </c>
      <c r="C9" s="7064">
        <f>'lbpf 3-BICTU'!K44</f>
        <v>1000000</v>
      </c>
      <c r="D9" s="7064">
        <f>'lbpf 3-BICTU'!K45</f>
        <v>200000</v>
      </c>
      <c r="E9" s="7063"/>
      <c r="F9" s="7064"/>
      <c r="G9" s="7064"/>
      <c r="H9" s="7064"/>
      <c r="I9" s="7064"/>
      <c r="J9" s="7064">
        <f>'lbpf 3-BICTU'!K46</f>
        <v>100000</v>
      </c>
      <c r="K9" s="7064"/>
      <c r="L9" s="7064"/>
      <c r="M9" s="7083"/>
      <c r="N9" s="7064">
        <f>'lbpf 3-BICTU'!K47</f>
        <v>0</v>
      </c>
      <c r="O9" s="7077"/>
      <c r="P9" s="7064"/>
      <c r="Q9" s="7083"/>
      <c r="R9" s="7083"/>
      <c r="S9" s="7083"/>
      <c r="T9" s="7083">
        <f>'lbpf 3-BICTU'!K49</f>
        <v>1500000</v>
      </c>
      <c r="U9" s="7083"/>
      <c r="V9" s="7083"/>
      <c r="W9" s="7064"/>
      <c r="X9" s="7064"/>
      <c r="Y9" s="7063"/>
      <c r="Z9" s="7083"/>
      <c r="AA9" s="7077"/>
      <c r="AB9" s="7077"/>
      <c r="AC9" s="7064"/>
      <c r="AD9" s="7083">
        <f>'lbpf 3-BICTU'!K51</f>
        <v>682440</v>
      </c>
      <c r="AE9" s="7083">
        <f>'lbpf 3-BICTU'!K50</f>
        <v>1900000</v>
      </c>
      <c r="AF9" s="7083"/>
      <c r="AG9" s="7077"/>
      <c r="AH9" s="7077"/>
      <c r="AI9" s="7077"/>
      <c r="AJ9" s="7077"/>
      <c r="AK9" s="7077"/>
      <c r="AL9" s="7077"/>
      <c r="AM9" s="7083"/>
      <c r="AN9" s="7077"/>
      <c r="AO9" s="7083">
        <f>'lbpf 3-BICTU'!K52</f>
        <v>650000</v>
      </c>
      <c r="AP9" s="7064">
        <f>'lbpf 3-BICTU'!K54</f>
        <v>50000</v>
      </c>
      <c r="AQ9" s="7077"/>
      <c r="AR9" s="7077"/>
      <c r="AS9" s="7077"/>
      <c r="AT9" s="7077"/>
      <c r="AU9" s="7077"/>
      <c r="AV9" s="7077"/>
      <c r="AW9" s="7077">
        <f>'lbpf 3-BICTU'!K55</f>
        <v>1500</v>
      </c>
      <c r="AX9" s="7077"/>
      <c r="AY9" s="7077">
        <f>'lbpf 3-BICTU'!K56</f>
        <v>50000</v>
      </c>
      <c r="AZ9" s="7077"/>
      <c r="BA9" s="7077"/>
      <c r="BB9" s="7077"/>
      <c r="BC9" s="7077"/>
      <c r="BD9" s="7077"/>
      <c r="BE9" s="7077"/>
      <c r="BF9" s="7077"/>
      <c r="BG9" s="7061">
        <f t="shared" si="0"/>
        <v>6233940</v>
      </c>
      <c r="BH9" s="192" t="s">
        <v>1724</v>
      </c>
    </row>
    <row r="10" spans="1:60" ht="14.1" customHeight="1">
      <c r="A10" s="7057" t="s">
        <v>10317</v>
      </c>
      <c r="B10" s="7064">
        <f>'lbpf 3-EDCOM'!K43</f>
        <v>90000</v>
      </c>
      <c r="C10" s="7064">
        <f>'lbpf 3-EDCOM'!K44</f>
        <v>77600</v>
      </c>
      <c r="D10" s="7064">
        <f>'lbpf 3-EDCOM'!K45</f>
        <v>300000</v>
      </c>
      <c r="E10" s="7063"/>
      <c r="F10" s="7064"/>
      <c r="G10" s="7064"/>
      <c r="H10" s="7064"/>
      <c r="I10" s="7064"/>
      <c r="J10" s="7064">
        <f>'lbpf 3-EDCOM'!K46</f>
        <v>0</v>
      </c>
      <c r="K10" s="7064"/>
      <c r="L10" s="7064"/>
      <c r="M10" s="7083">
        <f>'lbpf 3-EDCOM'!K47</f>
        <v>0</v>
      </c>
      <c r="N10" s="7064">
        <f>'lbpf 3-EDCOM'!K48</f>
        <v>0</v>
      </c>
      <c r="O10" s="7077"/>
      <c r="P10" s="7064">
        <f>'lbpf 3-EDCOM'!K49</f>
        <v>0</v>
      </c>
      <c r="Q10" s="7083">
        <f>'lbpf 3-EDCOM'!K50</f>
        <v>114000</v>
      </c>
      <c r="R10" s="7083"/>
      <c r="S10" s="7083"/>
      <c r="T10" s="7083"/>
      <c r="U10" s="7083">
        <f>'lbpf 3-EDCOM'!K51</f>
        <v>20000</v>
      </c>
      <c r="V10" s="7083"/>
      <c r="W10" s="7064"/>
      <c r="X10" s="7064"/>
      <c r="Y10" s="7063"/>
      <c r="Z10" s="7083">
        <f>'lbpf 3-EDCOM'!K57</f>
        <v>417000</v>
      </c>
      <c r="AA10" s="7077">
        <f>'lbpf 3-EDCOM'!K58</f>
        <v>15660</v>
      </c>
      <c r="AB10" s="7077"/>
      <c r="AC10" s="7064"/>
      <c r="AD10" s="7083">
        <f>'lbpf 3-EDCOM'!K53</f>
        <v>970720</v>
      </c>
      <c r="AE10" s="7083">
        <f>'lbpf 3-EDCOM'!K52</f>
        <v>1080000</v>
      </c>
      <c r="AF10" s="7083"/>
      <c r="AG10" s="7077"/>
      <c r="AH10" s="7077"/>
      <c r="AI10" s="7077">
        <f>'lbpf 3-EDCOM'!K54</f>
        <v>0</v>
      </c>
      <c r="AJ10" s="7077"/>
      <c r="AK10" s="7077"/>
      <c r="AL10" s="7077"/>
      <c r="AM10" s="7083"/>
      <c r="AN10" s="7077"/>
      <c r="AO10" s="7083">
        <f>'lbpf 3-EDCOM'!K55</f>
        <v>15000</v>
      </c>
      <c r="AP10" s="7064"/>
      <c r="AQ10" s="7077"/>
      <c r="AR10" s="7077"/>
      <c r="AS10" s="7077"/>
      <c r="AT10" s="7077"/>
      <c r="AU10" s="7077"/>
      <c r="AV10" s="7077"/>
      <c r="AW10" s="7077">
        <f>'lbpf 3-EDCOM'!K56</f>
        <v>0</v>
      </c>
      <c r="AX10" s="7077"/>
      <c r="AY10" s="7077">
        <f>'lbpf 3-EDCOM'!K59</f>
        <v>112900</v>
      </c>
      <c r="AZ10" s="7077"/>
      <c r="BA10" s="7077"/>
      <c r="BB10" s="7077"/>
      <c r="BC10" s="7077"/>
      <c r="BD10" s="7077"/>
      <c r="BE10" s="7077"/>
      <c r="BF10" s="7077"/>
      <c r="BG10" s="7061">
        <f t="shared" si="0"/>
        <v>3212880</v>
      </c>
      <c r="BH10" s="2643" t="s">
        <v>10317</v>
      </c>
    </row>
    <row r="11" spans="1:60" ht="14.1" customHeight="1">
      <c r="A11" s="7057" t="s">
        <v>10318</v>
      </c>
      <c r="B11" s="7064">
        <f>'lbpf 3-EDCENTER'!K44</f>
        <v>24000</v>
      </c>
      <c r="C11" s="7064">
        <f>'lbpf 3-EDCENTER'!K45</f>
        <v>0</v>
      </c>
      <c r="D11" s="7064">
        <f>'lbpf 3-EDCENTER'!K46</f>
        <v>76000</v>
      </c>
      <c r="E11" s="7063"/>
      <c r="F11" s="7064"/>
      <c r="G11" s="7064"/>
      <c r="H11" s="7064"/>
      <c r="I11" s="7064"/>
      <c r="J11" s="7064">
        <f>'lbpf 3-EDCENTER'!K47</f>
        <v>0</v>
      </c>
      <c r="K11" s="7064"/>
      <c r="L11" s="7064"/>
      <c r="M11" s="7083">
        <f>'lbpf 3-EDCENTER'!K48</f>
        <v>0</v>
      </c>
      <c r="N11" s="7064">
        <f>'lbpf 3-EDCENTER'!K49</f>
        <v>0</v>
      </c>
      <c r="O11" s="7077"/>
      <c r="P11" s="7064">
        <f>'lbpf 3-EDCENTER'!K50</f>
        <v>0</v>
      </c>
      <c r="Q11" s="7083">
        <f>'lbpf 3-EDCENTER'!K51</f>
        <v>36000</v>
      </c>
      <c r="R11" s="7083">
        <f>'lbpf 3-EDCENTER'!K52</f>
        <v>0</v>
      </c>
      <c r="S11" s="7083"/>
      <c r="T11" s="7083"/>
      <c r="U11" s="7083"/>
      <c r="V11" s="7083"/>
      <c r="W11" s="7064"/>
      <c r="X11" s="7064"/>
      <c r="Y11" s="7063"/>
      <c r="Z11" s="7083"/>
      <c r="AA11" s="7077"/>
      <c r="AB11" s="7077"/>
      <c r="AC11" s="7064"/>
      <c r="AD11" s="7083">
        <f>'lbpf 3-EDCENTER'!K53</f>
        <v>0</v>
      </c>
      <c r="AE11" s="7083">
        <f>'lbpf 3-EDCENTER'!K56</f>
        <v>0</v>
      </c>
      <c r="AF11" s="7083"/>
      <c r="AG11" s="7077"/>
      <c r="AH11" s="7077"/>
      <c r="AI11" s="7077">
        <f>'lbpf 3-EDCENTER'!K57</f>
        <v>0</v>
      </c>
      <c r="AJ11" s="7077"/>
      <c r="AK11" s="7077"/>
      <c r="AL11" s="7077"/>
      <c r="AM11" s="7083"/>
      <c r="AN11" s="7077"/>
      <c r="AO11" s="7083">
        <f>'lbpf 3-EDCENTER'!K58</f>
        <v>0</v>
      </c>
      <c r="AP11" s="7064"/>
      <c r="AQ11" s="7077"/>
      <c r="AR11" s="7077"/>
      <c r="AS11" s="7077"/>
      <c r="AT11" s="7077"/>
      <c r="AU11" s="7077"/>
      <c r="AV11" s="7077"/>
      <c r="AW11" s="7077">
        <f>'lbpf 3-EDCENTER'!K59</f>
        <v>0</v>
      </c>
      <c r="AX11" s="7077"/>
      <c r="AY11" s="7077">
        <f>'lbpf 3-EDCENTER'!K60</f>
        <v>0</v>
      </c>
      <c r="AZ11" s="7077"/>
      <c r="BA11" s="7077"/>
      <c r="BB11" s="7077"/>
      <c r="BC11" s="7077"/>
      <c r="BD11" s="7077"/>
      <c r="BE11" s="7077"/>
      <c r="BF11" s="7077"/>
      <c r="BG11" s="7061">
        <f t="shared" si="0"/>
        <v>136000</v>
      </c>
      <c r="BH11" s="2643" t="s">
        <v>10318</v>
      </c>
    </row>
    <row r="12" spans="1:60" ht="14.1" customHeight="1">
      <c r="A12" s="7057" t="s">
        <v>11193</v>
      </c>
      <c r="B12" s="7064">
        <f>'lbpf 3-PYDO'!K46</f>
        <v>80000</v>
      </c>
      <c r="C12" s="7064">
        <f>'lbpf 3-PYDO'!K47</f>
        <v>50000</v>
      </c>
      <c r="D12" s="7064">
        <f>'lbpf 3-PYDO'!K48</f>
        <v>110000</v>
      </c>
      <c r="E12" s="7063"/>
      <c r="F12" s="7064"/>
      <c r="G12" s="7064"/>
      <c r="H12" s="7064"/>
      <c r="I12" s="7064"/>
      <c r="J12" s="7064"/>
      <c r="K12" s="7064"/>
      <c r="L12" s="7064"/>
      <c r="M12" s="7083"/>
      <c r="N12" s="7064"/>
      <c r="O12" s="7077"/>
      <c r="P12" s="7064"/>
      <c r="Q12" s="7083">
        <f>'lbpf 3-PYDO'!K53</f>
        <v>50000</v>
      </c>
      <c r="R12" s="7083"/>
      <c r="S12" s="7083"/>
      <c r="T12" s="7083"/>
      <c r="U12" s="7083"/>
      <c r="V12" s="7083"/>
      <c r="W12" s="7064">
        <f>'lbpf 3-PYDO'!K58</f>
        <v>300000</v>
      </c>
      <c r="X12" s="7064"/>
      <c r="Y12" s="7063"/>
      <c r="Z12" s="7083"/>
      <c r="AA12" s="7077"/>
      <c r="AB12" s="7077"/>
      <c r="AC12" s="7064"/>
      <c r="AD12" s="7083">
        <f>'lbpf 3-PYDO'!K59</f>
        <v>300000</v>
      </c>
      <c r="AE12" s="7083"/>
      <c r="AF12" s="7083"/>
      <c r="AG12" s="7077"/>
      <c r="AH12" s="7077"/>
      <c r="AI12" s="7077"/>
      <c r="AJ12" s="7077"/>
      <c r="AK12" s="7077"/>
      <c r="AL12" s="7077"/>
      <c r="AM12" s="7083"/>
      <c r="AN12" s="7077"/>
      <c r="AO12" s="7083">
        <f>'lbpf 3-PYDO'!K64</f>
        <v>150000</v>
      </c>
      <c r="AP12" s="7064"/>
      <c r="AQ12" s="7077"/>
      <c r="AR12" s="7077"/>
      <c r="AS12" s="7077"/>
      <c r="AT12" s="7077"/>
      <c r="AU12" s="7077"/>
      <c r="AV12" s="7077"/>
      <c r="AW12" s="7077"/>
      <c r="AX12" s="7077"/>
      <c r="AY12" s="7077">
        <f>'lbpf 3-PYDO'!K67</f>
        <v>100000</v>
      </c>
      <c r="AZ12" s="7077"/>
      <c r="BA12" s="7077"/>
      <c r="BB12" s="7077"/>
      <c r="BC12" s="7077"/>
      <c r="BD12" s="7077"/>
      <c r="BE12" s="7077"/>
      <c r="BF12" s="7077"/>
      <c r="BG12" s="7061">
        <f t="shared" si="0"/>
        <v>1140000</v>
      </c>
      <c r="BH12" s="8211" t="s">
        <v>11193</v>
      </c>
    </row>
    <row r="13" spans="1:60" ht="14.1" customHeight="1">
      <c r="A13" s="7057" t="s">
        <v>678</v>
      </c>
      <c r="B13" s="7064">
        <f>'lbpf 3-PIAO'!J43</f>
        <v>159500</v>
      </c>
      <c r="C13" s="7064">
        <f>'lbpf 3-PIAO'!J44</f>
        <v>283000</v>
      </c>
      <c r="D13" s="7064">
        <f>'lbpf 3-PIAO'!J45</f>
        <v>55000</v>
      </c>
      <c r="E13" s="7063"/>
      <c r="F13" s="7064"/>
      <c r="G13" s="7064"/>
      <c r="H13" s="7064"/>
      <c r="I13" s="7064"/>
      <c r="J13" s="7064">
        <f>'lbpf 3-PIAO'!J46</f>
        <v>0</v>
      </c>
      <c r="K13" s="7064"/>
      <c r="L13" s="7064"/>
      <c r="M13" s="7083"/>
      <c r="N13" s="7064">
        <f>'lbpf 3-PIAO'!J47</f>
        <v>0</v>
      </c>
      <c r="O13" s="7077"/>
      <c r="P13" s="7064"/>
      <c r="Q13" s="7083">
        <f>'lbpf 3-PIAO'!J48</f>
        <v>62500</v>
      </c>
      <c r="R13" s="7083">
        <f>'lbpf 3-PIAO'!J49</f>
        <v>0</v>
      </c>
      <c r="S13" s="7083"/>
      <c r="T13" s="7083"/>
      <c r="U13" s="7083"/>
      <c r="V13" s="7083"/>
      <c r="W13" s="7064"/>
      <c r="X13" s="7064"/>
      <c r="Y13" s="7063"/>
      <c r="Z13" s="7083"/>
      <c r="AA13" s="7077"/>
      <c r="AB13" s="7077"/>
      <c r="AC13" s="7064"/>
      <c r="AD13" s="7083">
        <f>'lbpf 3-PIAO'!J51</f>
        <v>197500</v>
      </c>
      <c r="AE13" s="7083">
        <f>'lbpf 3-PIAO'!J50</f>
        <v>396000</v>
      </c>
      <c r="AF13" s="7083"/>
      <c r="AG13" s="7077"/>
      <c r="AH13" s="7077"/>
      <c r="AI13" s="7077">
        <f>'lbpf 3-PIAO'!J52</f>
        <v>0</v>
      </c>
      <c r="AJ13" s="7077"/>
      <c r="AK13" s="7077"/>
      <c r="AL13" s="7077"/>
      <c r="AM13" s="7083"/>
      <c r="AN13" s="7077"/>
      <c r="AO13" s="7083">
        <f>'lbpf 3-PIAO'!J53</f>
        <v>11000</v>
      </c>
      <c r="AP13" s="7064">
        <v>0</v>
      </c>
      <c r="AQ13" s="7077"/>
      <c r="AR13" s="7077"/>
      <c r="AS13" s="7077"/>
      <c r="AT13" s="7077"/>
      <c r="AU13" s="7077"/>
      <c r="AV13" s="7077"/>
      <c r="AW13" s="7077"/>
      <c r="AX13" s="7077"/>
      <c r="AY13" s="7077">
        <f>'lbpf 3-PIAO'!J54</f>
        <v>69500</v>
      </c>
      <c r="AZ13" s="7077"/>
      <c r="BA13" s="7077"/>
      <c r="BB13" s="7077"/>
      <c r="BC13" s="7077"/>
      <c r="BD13" s="7077"/>
      <c r="BE13" s="7077"/>
      <c r="BF13" s="7077"/>
      <c r="BG13" s="7061">
        <f t="shared" si="0"/>
        <v>1234000</v>
      </c>
      <c r="BH13" s="192" t="s">
        <v>678</v>
      </c>
    </row>
    <row r="14" spans="1:60" ht="14.1" customHeight="1">
      <c r="A14" s="7057" t="s">
        <v>569</v>
      </c>
      <c r="B14" s="7064">
        <f>'lbpf 3-SP'!K45+'lbpf 3-SP'!K46+'lbpf 3-SP'!K47+'lbpf 3-SP'!K48</f>
        <v>5050000</v>
      </c>
      <c r="C14" s="7064">
        <f>'lbpf 3-SP'!K50+'lbpf 3-SP'!K52</f>
        <v>4591900</v>
      </c>
      <c r="D14" s="7064">
        <f>'lbpf 3-SP'!K54+'lbpf 3-SP'!K55+'lbpf 3-SP'!K56+'lbpf 3-SP'!K57</f>
        <v>6390000</v>
      </c>
      <c r="E14" s="7064"/>
      <c r="F14" s="7064"/>
      <c r="G14" s="7064"/>
      <c r="H14" s="7064"/>
      <c r="I14" s="7064"/>
      <c r="J14" s="7064">
        <f>'lbpf 3-SP'!K58</f>
        <v>8100000</v>
      </c>
      <c r="K14" s="7064">
        <f>'lbpf 3-SP'!K59</f>
        <v>510000</v>
      </c>
      <c r="L14" s="7064"/>
      <c r="M14" s="7063"/>
      <c r="N14" s="7064">
        <f>'lbpf 3-SP'!K61+'lbpf 3-SP'!K62</f>
        <v>0</v>
      </c>
      <c r="O14" s="7077"/>
      <c r="P14" s="7064">
        <f>'lbpf 3-SP'!K81+'lbpf 3-SP'!K82</f>
        <v>107350</v>
      </c>
      <c r="Q14" s="7083">
        <f>'lbpf 3-SP'!K84+'lbpf 3-SP'!K85+'lbpf 3-SP'!K86+'lbpf 3-SP'!K87</f>
        <v>2018000</v>
      </c>
      <c r="R14" s="7083">
        <f>'lbpf 3-SP'!K89</f>
        <v>0</v>
      </c>
      <c r="S14" s="7083"/>
      <c r="T14" s="7083"/>
      <c r="U14" s="7063">
        <f>'lbpf 3-SP'!K88</f>
        <v>1300000</v>
      </c>
      <c r="V14" s="7063">
        <f>'lbpf 3-SP'!K90</f>
        <v>1329000</v>
      </c>
      <c r="W14" s="7064"/>
      <c r="X14" s="7064">
        <f>'lbpf 3-SP'!K91</f>
        <v>200000</v>
      </c>
      <c r="Y14" s="7063">
        <f>'lbpf 3-SP'!K92</f>
        <v>0</v>
      </c>
      <c r="Z14" s="7063">
        <f>'lbpf 3-SP'!K94+'lbpf 3-SP'!K95</f>
        <v>2034800</v>
      </c>
      <c r="AA14" s="7084">
        <f>'lbpf 3-SP'!K96</f>
        <v>300000</v>
      </c>
      <c r="AB14" s="7084"/>
      <c r="AC14" s="7063"/>
      <c r="AD14" s="7063">
        <f>'lbpf 3-SP'!K98+'lbpf 3-SP'!K99+'lbpf 3-SP'!K100+'lbpf 3-SP'!K101</f>
        <v>20007200</v>
      </c>
      <c r="AE14" s="7063"/>
      <c r="AF14" s="7063"/>
      <c r="AG14" s="7077">
        <f>'lbpf 3-SP'!K102</f>
        <v>500000</v>
      </c>
      <c r="AH14" s="7077"/>
      <c r="AI14" s="7077">
        <f>'lbpf 3-SP'!K119</f>
        <v>500000</v>
      </c>
      <c r="AJ14" s="7084"/>
      <c r="AK14" s="7077"/>
      <c r="AL14" s="7084"/>
      <c r="AM14" s="7063">
        <f>'lbpf 3-SP'!K121+'lbpf 3-SP'!K122</f>
        <v>0</v>
      </c>
      <c r="AN14" s="7084"/>
      <c r="AO14" s="7063">
        <f>'lbpf 3-SP'!K124+'lbpf 3-SP'!K125</f>
        <v>958300</v>
      </c>
      <c r="AP14" s="7064">
        <f>'lbpf 3-SP'!K126</f>
        <v>3000000</v>
      </c>
      <c r="AQ14" s="7077"/>
      <c r="AR14" s="7077"/>
      <c r="AS14" s="7077"/>
      <c r="AT14" s="7077"/>
      <c r="AU14" s="7077"/>
      <c r="AV14" s="7077"/>
      <c r="AW14" s="7077">
        <f>'lbpf 3-SP'!K128+'lbpf 3-SP'!K129</f>
        <v>17000</v>
      </c>
      <c r="AX14" s="7084"/>
      <c r="AY14" s="7077">
        <f>SUM('lbpf 3-SP'!K131:K150)</f>
        <v>10325000</v>
      </c>
      <c r="AZ14" s="7077"/>
      <c r="BA14" s="7077"/>
      <c r="BB14" s="7077"/>
      <c r="BC14" s="7077"/>
      <c r="BD14" s="7077"/>
      <c r="BE14" s="7077"/>
      <c r="BF14" s="7077"/>
      <c r="BG14" s="7061">
        <f t="shared" si="0"/>
        <v>67238550</v>
      </c>
      <c r="BH14" s="192" t="s">
        <v>569</v>
      </c>
    </row>
    <row r="15" spans="1:60" ht="14.1" customHeight="1">
      <c r="A15" s="7057" t="s">
        <v>570</v>
      </c>
      <c r="B15" s="7064">
        <f>'lbpf 3-PHRMD'!J43</f>
        <v>210000</v>
      </c>
      <c r="C15" s="7064">
        <f>'lbpf 3-PHRMD'!J44</f>
        <v>525000</v>
      </c>
      <c r="D15" s="7064">
        <f>'lbpf 3-PHRMD'!J45</f>
        <v>1200000</v>
      </c>
      <c r="E15" s="7064"/>
      <c r="F15" s="7064"/>
      <c r="G15" s="7064"/>
      <c r="H15" s="7064"/>
      <c r="I15" s="7064"/>
      <c r="J15" s="7064">
        <f>'lbpf 3-PHRMD'!J46</f>
        <v>120000</v>
      </c>
      <c r="K15" s="7064">
        <f>'lbpf 3-PHRMD'!J47</f>
        <v>10000</v>
      </c>
      <c r="L15" s="7064"/>
      <c r="M15" s="7063">
        <f>'lbpf 3-PHRMD'!J48</f>
        <v>0</v>
      </c>
      <c r="N15" s="7064">
        <f>'lbpf 3-PHRMD'!J49</f>
        <v>0</v>
      </c>
      <c r="O15" s="7077"/>
      <c r="P15" s="7064">
        <f>'lbpf 3-PHRMD'!J50</f>
        <v>7000</v>
      </c>
      <c r="Q15" s="7083">
        <f>'lbpf 3-PHRMD'!J51</f>
        <v>80000</v>
      </c>
      <c r="R15" s="7083">
        <f>+'lbpf 3-PHRMD'!J52</f>
        <v>0</v>
      </c>
      <c r="S15" s="7083"/>
      <c r="T15" s="7083">
        <f>+'lbpf 3-PHRMD'!J53</f>
        <v>0</v>
      </c>
      <c r="U15" s="7063"/>
      <c r="V15" s="7063"/>
      <c r="W15" s="7064">
        <f>'lbpf 3-PHRMD'!J54</f>
        <v>315000</v>
      </c>
      <c r="X15" s="7064">
        <f>'lbpf 3-PHRMD'!J60</f>
        <v>0</v>
      </c>
      <c r="Y15" s="7063">
        <f>'lbpf 3-PHRMD'!J61</f>
        <v>15000</v>
      </c>
      <c r="Z15" s="7063"/>
      <c r="AA15" s="7084">
        <f>'lbpf 3-PHRMD'!J62</f>
        <v>8000</v>
      </c>
      <c r="AB15" s="7084"/>
      <c r="AC15" s="7063"/>
      <c r="AD15" s="7063">
        <f>'lbpf 3-PHRMD'!J55</f>
        <v>997500</v>
      </c>
      <c r="AE15" s="7063"/>
      <c r="AF15" s="7063"/>
      <c r="AG15" s="7065"/>
      <c r="AH15" s="7065"/>
      <c r="AI15" s="7065"/>
      <c r="AJ15" s="7084"/>
      <c r="AK15" s="7065"/>
      <c r="AL15" s="7084"/>
      <c r="AM15" s="7063">
        <f>'lbpf 3-PHRMD'!J56</f>
        <v>0</v>
      </c>
      <c r="AN15" s="7084"/>
      <c r="AO15" s="7063">
        <f>'lbpf 3-PHRMD'!J57</f>
        <v>80000</v>
      </c>
      <c r="AP15" s="7064">
        <f>'lbpf 3-PHRMD'!J58</f>
        <v>52500</v>
      </c>
      <c r="AQ15" s="7065"/>
      <c r="AR15" s="7065"/>
      <c r="AS15" s="7065"/>
      <c r="AT15" s="7065"/>
      <c r="AU15" s="7065"/>
      <c r="AV15" s="7077"/>
      <c r="AW15" s="7065">
        <f>'lbpf 3-PHRMD'!J59</f>
        <v>3150</v>
      </c>
      <c r="AX15" s="7084"/>
      <c r="AY15" s="7065">
        <f>'lbpf 3-PHRMD'!J63</f>
        <v>420000</v>
      </c>
      <c r="AZ15" s="7065"/>
      <c r="BA15" s="7077"/>
      <c r="BB15" s="7077"/>
      <c r="BC15" s="7077"/>
      <c r="BD15" s="7077"/>
      <c r="BE15" s="7077"/>
      <c r="BF15" s="7077"/>
      <c r="BG15" s="7061">
        <f t="shared" si="0"/>
        <v>4043150</v>
      </c>
      <c r="BH15" s="192" t="s">
        <v>570</v>
      </c>
    </row>
    <row r="16" spans="1:60" ht="14.1" customHeight="1">
      <c r="A16" s="7057" t="s">
        <v>571</v>
      </c>
      <c r="B16" s="7064">
        <f>'lbpf 3-PPDO'!J44</f>
        <v>450000</v>
      </c>
      <c r="C16" s="7064">
        <f>'lbpf 3-PPDO'!J45</f>
        <v>368000</v>
      </c>
      <c r="D16" s="7064">
        <f>'lbpf 3-PPDO'!J46</f>
        <v>460000</v>
      </c>
      <c r="E16" s="7064"/>
      <c r="F16" s="7064"/>
      <c r="G16" s="7064"/>
      <c r="H16" s="7064"/>
      <c r="I16" s="7064"/>
      <c r="J16" s="7064">
        <f>'lbpf 3-PPDO'!J47</f>
        <v>450000</v>
      </c>
      <c r="K16" s="7064"/>
      <c r="L16" s="7064"/>
      <c r="M16" s="7063"/>
      <c r="N16" s="7064">
        <f>'lbpf 3-PPDO'!J48</f>
        <v>0</v>
      </c>
      <c r="O16" s="7077"/>
      <c r="P16" s="7064">
        <f>'lbpf 3-PPDO'!J49</f>
        <v>12000</v>
      </c>
      <c r="Q16" s="7083">
        <f>'lbpf 3-PPDO'!J50</f>
        <v>185000</v>
      </c>
      <c r="R16" s="7083">
        <f>+'lbpf 3-PPDO'!J51</f>
        <v>0</v>
      </c>
      <c r="S16" s="7083"/>
      <c r="T16" s="7083">
        <f>+'lbpf 3-PPDO'!J52</f>
        <v>184716</v>
      </c>
      <c r="U16" s="7063"/>
      <c r="V16" s="7063"/>
      <c r="W16" s="7064"/>
      <c r="X16" s="7064"/>
      <c r="Y16" s="7063">
        <f>'lbpf 3-PPDO'!J53</f>
        <v>0</v>
      </c>
      <c r="Z16" s="7063">
        <f>'lbpf 3-PPDO'!J54</f>
        <v>0</v>
      </c>
      <c r="AA16" s="7084">
        <f>'lbpf 3-PPDO'!J62</f>
        <v>10000</v>
      </c>
      <c r="AB16" s="7084"/>
      <c r="AC16" s="7063"/>
      <c r="AD16" s="7063">
        <f>'lbpf 3-PPDO'!J55</f>
        <v>180000</v>
      </c>
      <c r="AE16" s="7063">
        <f>'lbpf 3-PPDO'!J56</f>
        <v>823680</v>
      </c>
      <c r="AF16" s="7063"/>
      <c r="AG16" s="7065"/>
      <c r="AH16" s="7065"/>
      <c r="AI16" s="7065">
        <f>'lbpf 3-PPDO'!J57</f>
        <v>20000</v>
      </c>
      <c r="AJ16" s="7084"/>
      <c r="AK16" s="7065"/>
      <c r="AL16" s="7084"/>
      <c r="AM16" s="7063">
        <f>'lbpf 3-PPDO'!J58</f>
        <v>0</v>
      </c>
      <c r="AN16" s="7084"/>
      <c r="AO16" s="7063">
        <f>'lbpf 3-PPDO'!J59</f>
        <v>200000</v>
      </c>
      <c r="AP16" s="7063">
        <f>'lbpf 3-PPDO'!J60</f>
        <v>280000</v>
      </c>
      <c r="AQ16" s="7065"/>
      <c r="AR16" s="7065"/>
      <c r="AS16" s="7065"/>
      <c r="AT16" s="7065"/>
      <c r="AU16" s="7065"/>
      <c r="AV16" s="7077"/>
      <c r="AW16" s="7065">
        <f>'lbpf 3-PPDO'!J61</f>
        <v>7000</v>
      </c>
      <c r="AX16" s="7084"/>
      <c r="AY16" s="7065">
        <f>'lbpf 3-PPDO'!J63+'lbpf 3-PPDO'!J64+'lbpf 3-PPDO'!J66+'lbpf 3-PPDO'!J67</f>
        <v>680000</v>
      </c>
      <c r="AZ16" s="7065"/>
      <c r="BA16" s="7077"/>
      <c r="BB16" s="7077"/>
      <c r="BC16" s="7077"/>
      <c r="BD16" s="7077"/>
      <c r="BE16" s="7077"/>
      <c r="BF16" s="7077"/>
      <c r="BG16" s="7061">
        <f t="shared" si="0"/>
        <v>4310396</v>
      </c>
      <c r="BH16" s="192" t="s">
        <v>571</v>
      </c>
    </row>
    <row r="17" spans="1:60" ht="14.1" customHeight="1">
      <c r="A17" s="7057" t="s">
        <v>572</v>
      </c>
      <c r="B17" s="7064">
        <f>'lbpf 3-GSO '!J44</f>
        <v>575000</v>
      </c>
      <c r="C17" s="7064">
        <f>'lbpf 3-GSO '!J45</f>
        <v>780000</v>
      </c>
      <c r="D17" s="7064">
        <f>'lbpf 3-GSO '!J46</f>
        <v>800000</v>
      </c>
      <c r="E17" s="7064"/>
      <c r="F17" s="7064"/>
      <c r="G17" s="7064"/>
      <c r="H17" s="7064"/>
      <c r="I17" s="7064"/>
      <c r="J17" s="7064">
        <f>'lbpf 3-GSO '!J47</f>
        <v>1500000</v>
      </c>
      <c r="K17" s="7064"/>
      <c r="L17" s="7064"/>
      <c r="M17" s="7063">
        <f>'lbpf 3-GSO '!J48</f>
        <v>1445588</v>
      </c>
      <c r="N17" s="7064">
        <f>'lbpf 3-GSO '!J49</f>
        <v>14033530</v>
      </c>
      <c r="O17" s="7077"/>
      <c r="P17" s="7064">
        <f>'lbpf 3-GSO '!J50</f>
        <v>3000</v>
      </c>
      <c r="Q17" s="7083">
        <f>'lbpf 3-GSO '!J51</f>
        <v>95000</v>
      </c>
      <c r="R17" s="7083">
        <f>+'lbpf 3-GSO '!J52</f>
        <v>0</v>
      </c>
      <c r="S17" s="7083"/>
      <c r="T17" s="7083"/>
      <c r="U17" s="7063"/>
      <c r="V17" s="7063"/>
      <c r="W17" s="7064"/>
      <c r="X17" s="7064"/>
      <c r="Y17" s="7063"/>
      <c r="Z17" s="7063"/>
      <c r="AA17" s="7084"/>
      <c r="AB17" s="7084"/>
      <c r="AC17" s="7063"/>
      <c r="AD17" s="7063">
        <f>'lbpf 3-GSO '!J56</f>
        <v>4000000</v>
      </c>
      <c r="AE17" s="7063">
        <f>'lbpf 3-GSO '!J54</f>
        <v>800000</v>
      </c>
      <c r="AF17" s="7063"/>
      <c r="AG17" s="7065">
        <f>'lbpf 3-GSO '!J55</f>
        <v>4500000</v>
      </c>
      <c r="AH17" s="7065">
        <f>'lbpf 3-GSO '!J57</f>
        <v>0</v>
      </c>
      <c r="AI17" s="7065">
        <f>'lbpf 3-GSO '!J58+'lbpf 3-GSO '!J59</f>
        <v>1000000</v>
      </c>
      <c r="AJ17" s="7084"/>
      <c r="AK17" s="7065"/>
      <c r="AL17" s="7084"/>
      <c r="AM17" s="7063">
        <f>'lbpf 3-GSO '!J60</f>
        <v>0</v>
      </c>
      <c r="AN17" s="7084"/>
      <c r="AO17" s="7063">
        <f>'lbpf 3-GSO '!J61+'lbpf 3-GSO '!J63</f>
        <v>470000</v>
      </c>
      <c r="AP17" s="7063">
        <f>'lbpf 3-GSO '!J62</f>
        <v>1250000</v>
      </c>
      <c r="AQ17" s="7065"/>
      <c r="AR17" s="7065"/>
      <c r="AS17" s="7065"/>
      <c r="AT17" s="7065"/>
      <c r="AU17" s="7065"/>
      <c r="AV17" s="7077"/>
      <c r="AW17" s="7065">
        <f>'lbpf 3-GSO '!J64</f>
        <v>10000</v>
      </c>
      <c r="AX17" s="7084">
        <f>'lbpf 3-GSO '!J65</f>
        <v>2800000</v>
      </c>
      <c r="AY17" s="7065">
        <f>'lbpf 3-GSO '!J66+'lbpf 3-GSO '!J67+'lbpf 3-GSO '!J68</f>
        <v>1070000</v>
      </c>
      <c r="AZ17" s="7065"/>
      <c r="BA17" s="7077"/>
      <c r="BB17" s="7077"/>
      <c r="BC17" s="7077"/>
      <c r="BD17" s="7077"/>
      <c r="BE17" s="7077"/>
      <c r="BF17" s="7077"/>
      <c r="BG17" s="7061">
        <f t="shared" si="0"/>
        <v>35132118</v>
      </c>
      <c r="BH17" s="192" t="s">
        <v>572</v>
      </c>
    </row>
    <row r="18" spans="1:60" ht="14.1" customHeight="1">
      <c r="A18" s="7057" t="s">
        <v>573</v>
      </c>
      <c r="B18" s="7064">
        <f>'lbpf 3-PBMO'!J44</f>
        <v>100000</v>
      </c>
      <c r="C18" s="7064">
        <f>'lbpf 3-PBMO'!J45</f>
        <v>435000</v>
      </c>
      <c r="D18" s="7064">
        <f>'lbpf 3-PBMO'!J46</f>
        <v>170000</v>
      </c>
      <c r="E18" s="7064"/>
      <c r="F18" s="7064"/>
      <c r="G18" s="7064"/>
      <c r="H18" s="7064"/>
      <c r="I18" s="7064"/>
      <c r="J18" s="7064">
        <f>'lbpf 3-PBMO'!J47</f>
        <v>20000</v>
      </c>
      <c r="K18" s="7064"/>
      <c r="L18" s="7064"/>
      <c r="M18" s="7063"/>
      <c r="N18" s="7064">
        <f>'lbpf 3-PBMO'!J48</f>
        <v>0</v>
      </c>
      <c r="O18" s="7077"/>
      <c r="P18" s="7064">
        <f>'lbpf 3-PBMO'!J49</f>
        <v>4000</v>
      </c>
      <c r="Q18" s="7083">
        <f>'lbpf 3-PBMO'!J50</f>
        <v>75000</v>
      </c>
      <c r="R18" s="7083">
        <f>+'lbpf 3-PBMO'!J51</f>
        <v>0</v>
      </c>
      <c r="S18" s="7083"/>
      <c r="T18" s="7083">
        <f>'lbpf 3-PBMO'!J52</f>
        <v>0</v>
      </c>
      <c r="U18" s="7063"/>
      <c r="V18" s="7063"/>
      <c r="W18" s="7064"/>
      <c r="X18" s="7064"/>
      <c r="Y18" s="7063"/>
      <c r="Z18" s="7063"/>
      <c r="AA18" s="7084">
        <f>'lbpf 3-PBMO'!J58</f>
        <v>0</v>
      </c>
      <c r="AB18" s="7084"/>
      <c r="AC18" s="7063"/>
      <c r="AD18" s="7063">
        <f>'lbpf 3-PBMO'!J53</f>
        <v>380000</v>
      </c>
      <c r="AE18" s="7063"/>
      <c r="AF18" s="7063"/>
      <c r="AG18" s="7065"/>
      <c r="AH18" s="7065"/>
      <c r="AI18" s="7065">
        <f>'lbpf 3-PBMO'!J54</f>
        <v>10000</v>
      </c>
      <c r="AJ18" s="7084"/>
      <c r="AK18" s="7065"/>
      <c r="AL18" s="7084"/>
      <c r="AM18" s="7063"/>
      <c r="AN18" s="7084"/>
      <c r="AO18" s="7063">
        <f>'lbpf 3-PBMO'!J55</f>
        <v>20000</v>
      </c>
      <c r="AP18" s="7063">
        <f>'lbpf 3-PBMO'!J56</f>
        <v>30000</v>
      </c>
      <c r="AQ18" s="7065"/>
      <c r="AR18" s="7065"/>
      <c r="AS18" s="7065"/>
      <c r="AT18" s="7065"/>
      <c r="AU18" s="7065"/>
      <c r="AV18" s="7077"/>
      <c r="AW18" s="7065">
        <f>'lbpf 3-PBMO'!J57</f>
        <v>1000</v>
      </c>
      <c r="AX18" s="7084"/>
      <c r="AY18" s="7065">
        <f>'lbpf 3-PBMO'!J59</f>
        <v>80000</v>
      </c>
      <c r="AZ18" s="7065"/>
      <c r="BA18" s="7077"/>
      <c r="BB18" s="7077"/>
      <c r="BC18" s="7077"/>
      <c r="BD18" s="7077"/>
      <c r="BE18" s="7077"/>
      <c r="BF18" s="7077"/>
      <c r="BG18" s="7061">
        <f t="shared" si="0"/>
        <v>1325000</v>
      </c>
      <c r="BH18" s="192" t="s">
        <v>573</v>
      </c>
    </row>
    <row r="19" spans="1:60" ht="14.1" customHeight="1">
      <c r="A19" s="7057" t="s">
        <v>574</v>
      </c>
      <c r="B19" s="7064">
        <f>'lbpf 3-PAccO'!J45</f>
        <v>300000</v>
      </c>
      <c r="C19" s="7064">
        <f>'lbpf 3-PAccO'!J46</f>
        <v>300000</v>
      </c>
      <c r="D19" s="7064">
        <f>'lbpf 3-PAccO'!J47</f>
        <v>350000</v>
      </c>
      <c r="E19" s="7064"/>
      <c r="F19" s="7064"/>
      <c r="G19" s="7064"/>
      <c r="H19" s="7064"/>
      <c r="I19" s="7064"/>
      <c r="J19" s="7064"/>
      <c r="K19" s="7064"/>
      <c r="L19" s="7064"/>
      <c r="M19" s="7063"/>
      <c r="N19" s="7064">
        <f>'lbpf 3-PAccO'!J48</f>
        <v>0</v>
      </c>
      <c r="O19" s="7077"/>
      <c r="P19" s="7064">
        <f>'lbpf 3-PAccO'!J49</f>
        <v>1200</v>
      </c>
      <c r="Q19" s="7083">
        <f>'lbpf 3-PAccO'!J50</f>
        <v>130000</v>
      </c>
      <c r="R19" s="7083">
        <f>+'lbpf 3-PAccO'!J51</f>
        <v>0</v>
      </c>
      <c r="S19" s="7083"/>
      <c r="T19" s="7083"/>
      <c r="U19" s="7063">
        <f>'lbpf 3-PAccO'!J52</f>
        <v>0</v>
      </c>
      <c r="V19" s="7063"/>
      <c r="W19" s="7064"/>
      <c r="X19" s="7064"/>
      <c r="Y19" s="7063"/>
      <c r="Z19" s="7063"/>
      <c r="AA19" s="7084"/>
      <c r="AB19" s="7084"/>
      <c r="AC19" s="7063"/>
      <c r="AD19" s="7063">
        <f>'lbpf 3-PAccO'!J54</f>
        <v>500000</v>
      </c>
      <c r="AE19" s="7063">
        <f>'lbpf 3-PAccO'!J53</f>
        <v>480000</v>
      </c>
      <c r="AF19" s="7063"/>
      <c r="AG19" s="7065"/>
      <c r="AH19" s="7065"/>
      <c r="AI19" s="7065">
        <f>'lbpf 3-PAccO'!J55</f>
        <v>20000</v>
      </c>
      <c r="AJ19" s="7084"/>
      <c r="AK19" s="7065">
        <f>'lbpf 3-PAccO'!J56</f>
        <v>0</v>
      </c>
      <c r="AL19" s="7084"/>
      <c r="AM19" s="7063">
        <f>'lbpf 3-PAccO'!J57</f>
        <v>0</v>
      </c>
      <c r="AN19" s="7084"/>
      <c r="AO19" s="7063">
        <f>'lbpf 3-PAccO'!J58</f>
        <v>160000</v>
      </c>
      <c r="AP19" s="7063"/>
      <c r="AQ19" s="7065"/>
      <c r="AR19" s="7065"/>
      <c r="AS19" s="7065"/>
      <c r="AT19" s="7065"/>
      <c r="AU19" s="7065"/>
      <c r="AV19" s="7077"/>
      <c r="AW19" s="7065">
        <f>'lbpf 3-PAccO'!J59</f>
        <v>1000</v>
      </c>
      <c r="AX19" s="7084"/>
      <c r="AY19" s="7065">
        <f>'lbpf 3-PAccO'!J60+'lbpf 3-PAccO'!J61</f>
        <v>220000</v>
      </c>
      <c r="AZ19" s="7065"/>
      <c r="BA19" s="7077"/>
      <c r="BB19" s="7077"/>
      <c r="BC19" s="7077"/>
      <c r="BD19" s="7077"/>
      <c r="BE19" s="7077"/>
      <c r="BF19" s="7077"/>
      <c r="BG19" s="7061">
        <f t="shared" si="0"/>
        <v>2462200</v>
      </c>
      <c r="BH19" s="192" t="s">
        <v>574</v>
      </c>
    </row>
    <row r="20" spans="1:60" ht="14.1" customHeight="1">
      <c r="A20" s="7057" t="s">
        <v>575</v>
      </c>
      <c r="B20" s="7063">
        <f>'lbpf 3-PTO'!J44</f>
        <v>400000</v>
      </c>
      <c r="C20" s="7063">
        <f>'lbpf 3-PTO'!J45</f>
        <v>400000</v>
      </c>
      <c r="D20" s="7063">
        <f>'lbpf 3-PTO'!J46</f>
        <v>600000</v>
      </c>
      <c r="E20" s="7063">
        <f>'lbpf 3-PTO'!J48+'lbpf 3-PTO'!J47</f>
        <v>8125000</v>
      </c>
      <c r="F20" s="7063"/>
      <c r="G20" s="7063"/>
      <c r="H20" s="7063"/>
      <c r="I20" s="7063"/>
      <c r="J20" s="7063">
        <f>'lbpf 3-PTO'!J49</f>
        <v>400000</v>
      </c>
      <c r="K20" s="7063"/>
      <c r="L20" s="7063"/>
      <c r="M20" s="7063"/>
      <c r="N20" s="7063">
        <f>'lbpf 3-PTO'!J50</f>
        <v>0</v>
      </c>
      <c r="O20" s="7077"/>
      <c r="P20" s="7063">
        <f>'lbpf 3-PTO'!J51</f>
        <v>40000</v>
      </c>
      <c r="Q20" s="7063">
        <f>'lbpf 3-PTO'!J52</f>
        <v>141000</v>
      </c>
      <c r="R20" s="7063">
        <f>+'lbpf 3-PTO'!J53</f>
        <v>0</v>
      </c>
      <c r="S20" s="7063"/>
      <c r="T20" s="7063"/>
      <c r="U20" s="7063">
        <f>'lbpf 3-PTO'!J54</f>
        <v>5400</v>
      </c>
      <c r="V20" s="7063"/>
      <c r="W20" s="7063"/>
      <c r="X20" s="7063">
        <f>'lbpf 3-PTO'!J61</f>
        <v>300000</v>
      </c>
      <c r="Y20" s="7063"/>
      <c r="Z20" s="7063">
        <f>'lbpf 3-PTO'!J62</f>
        <v>30000</v>
      </c>
      <c r="AA20" s="7077">
        <f>'lbpf 3-PTO'!J63</f>
        <v>10000</v>
      </c>
      <c r="AB20" s="7077"/>
      <c r="AC20" s="7063"/>
      <c r="AD20" s="7063">
        <f>'lbpf 3-PTO'!J55</f>
        <v>730000</v>
      </c>
      <c r="AE20" s="7063"/>
      <c r="AF20" s="7063"/>
      <c r="AG20" s="7065"/>
      <c r="AH20" s="7065"/>
      <c r="AI20" s="7065">
        <f>'lbpf 3-PTO'!J56</f>
        <v>50000</v>
      </c>
      <c r="AJ20" s="7077"/>
      <c r="AK20" s="7065"/>
      <c r="AL20" s="7077"/>
      <c r="AM20" s="7063">
        <f>'lbpf 3-PTO'!J57</f>
        <v>0</v>
      </c>
      <c r="AN20" s="7077"/>
      <c r="AO20" s="7063">
        <f>'lbpf 3-PTO'!J58</f>
        <v>100000</v>
      </c>
      <c r="AP20" s="7063">
        <f>'lbpf 3-PTO'!J59</f>
        <v>250000</v>
      </c>
      <c r="AQ20" s="7065"/>
      <c r="AR20" s="7065"/>
      <c r="AS20" s="7065"/>
      <c r="AT20" s="7065"/>
      <c r="AU20" s="7065"/>
      <c r="AV20" s="7077"/>
      <c r="AW20" s="7065">
        <f>'lbpf 3-PTO'!J60</f>
        <v>190000</v>
      </c>
      <c r="AX20" s="7077"/>
      <c r="AY20" s="7065">
        <f>'lbpf 3-PTO'!J64</f>
        <v>100000</v>
      </c>
      <c r="AZ20" s="7065"/>
      <c r="BA20" s="7077"/>
      <c r="BB20" s="7077"/>
      <c r="BC20" s="7077"/>
      <c r="BD20" s="7077"/>
      <c r="BE20" s="7077"/>
      <c r="BF20" s="7077"/>
      <c r="BG20" s="7061">
        <f t="shared" si="0"/>
        <v>11871400</v>
      </c>
      <c r="BH20" s="192" t="s">
        <v>575</v>
      </c>
    </row>
    <row r="21" spans="1:60" ht="14.1" customHeight="1">
      <c r="A21" s="7057" t="s">
        <v>576</v>
      </c>
      <c r="B21" s="7063">
        <f>'lbpf 3-PAssO'!J44</f>
        <v>170000</v>
      </c>
      <c r="C21" s="7063">
        <f>'lbpf 3-PAssO'!J45</f>
        <v>190000</v>
      </c>
      <c r="D21" s="7063">
        <f>'lbpf 3-PAssO'!J46</f>
        <v>270000</v>
      </c>
      <c r="E21" s="7063"/>
      <c r="F21" s="7063"/>
      <c r="G21" s="7063"/>
      <c r="H21" s="7063"/>
      <c r="I21" s="7063"/>
      <c r="J21" s="7063">
        <f>'lbpf 3-PAssO'!J47</f>
        <v>150000</v>
      </c>
      <c r="K21" s="7063"/>
      <c r="L21" s="7063"/>
      <c r="M21" s="7063">
        <f>'lbpf 3-PAssO'!J48</f>
        <v>0</v>
      </c>
      <c r="N21" s="7063">
        <f>'lbpf 3-PAssO'!J49</f>
        <v>0</v>
      </c>
      <c r="O21" s="7077"/>
      <c r="P21" s="7063">
        <f>'lbpf 3-PAssO'!J50</f>
        <v>6000</v>
      </c>
      <c r="Q21" s="7063">
        <f>'lbpf 3-PAssO'!J51</f>
        <v>180000</v>
      </c>
      <c r="R21" s="7063"/>
      <c r="S21" s="7063"/>
      <c r="T21" s="7063"/>
      <c r="U21" s="7063"/>
      <c r="V21" s="7063"/>
      <c r="W21" s="7063"/>
      <c r="X21" s="7063"/>
      <c r="Y21" s="7063">
        <f>'lbpf 3-PAssO'!J58</f>
        <v>20000</v>
      </c>
      <c r="Z21" s="7063"/>
      <c r="AA21" s="7077">
        <f>'lbpf 3-PAssO'!J59</f>
        <v>10000</v>
      </c>
      <c r="AB21" s="7077"/>
      <c r="AC21" s="7063"/>
      <c r="AD21" s="7063">
        <f>'lbpf 3-PAssO'!J52</f>
        <v>1000000</v>
      </c>
      <c r="AE21" s="7063"/>
      <c r="AF21" s="7063"/>
      <c r="AG21" s="7065"/>
      <c r="AH21" s="7065"/>
      <c r="AI21" s="7065">
        <f>'lbpf 3-PAssO'!J53</f>
        <v>50000</v>
      </c>
      <c r="AJ21" s="7077"/>
      <c r="AK21" s="7065"/>
      <c r="AL21" s="7077"/>
      <c r="AM21" s="7063">
        <f>'lbpf 3-PAssO'!J54</f>
        <v>0</v>
      </c>
      <c r="AN21" s="7077"/>
      <c r="AO21" s="7063">
        <f>'lbpf 3-PAssO'!J55</f>
        <v>50000</v>
      </c>
      <c r="AP21" s="7063">
        <f>'lbpf 3-PAssO'!J56</f>
        <v>100000</v>
      </c>
      <c r="AQ21" s="7065"/>
      <c r="AR21" s="7065"/>
      <c r="AS21" s="7065"/>
      <c r="AT21" s="7065"/>
      <c r="AU21" s="7065"/>
      <c r="AV21" s="7077"/>
      <c r="AW21" s="7065">
        <f>'lbpf 3-PAssO'!J57</f>
        <v>2000</v>
      </c>
      <c r="AX21" s="7077"/>
      <c r="AY21" s="7065">
        <f>'lbpf 3-PAssO'!J60</f>
        <v>50000</v>
      </c>
      <c r="AZ21" s="7065"/>
      <c r="BA21" s="7077"/>
      <c r="BB21" s="7077"/>
      <c r="BC21" s="7077"/>
      <c r="BD21" s="7077"/>
      <c r="BE21" s="7077"/>
      <c r="BF21" s="7077"/>
      <c r="BG21" s="7061">
        <f t="shared" si="0"/>
        <v>2248000</v>
      </c>
      <c r="BH21" s="192" t="s">
        <v>576</v>
      </c>
    </row>
    <row r="22" spans="1:60" ht="14.1" customHeight="1">
      <c r="A22" s="7057" t="s">
        <v>577</v>
      </c>
      <c r="B22" s="7063">
        <f>'lbpf 3-LEGAL'!J44</f>
        <v>120000</v>
      </c>
      <c r="C22" s="7063">
        <f>'lbpf 3-LEGAL'!J45</f>
        <v>200000</v>
      </c>
      <c r="D22" s="7063">
        <f>'lbpf 3-LEGAL'!J46</f>
        <v>165000</v>
      </c>
      <c r="E22" s="7063"/>
      <c r="F22" s="7063"/>
      <c r="G22" s="7063"/>
      <c r="H22" s="7063"/>
      <c r="I22" s="7063"/>
      <c r="J22" s="7063">
        <f>'lbpf 3-LEGAL'!J47</f>
        <v>200000</v>
      </c>
      <c r="K22" s="7063">
        <f>'lbpf 3-LEGAL'!J48</f>
        <v>120000</v>
      </c>
      <c r="L22" s="7063"/>
      <c r="M22" s="7063">
        <f>'lbpf 3-LEGAL'!J50</f>
        <v>0</v>
      </c>
      <c r="N22" s="7063">
        <f>'lbpf 3-LEGAL'!J49</f>
        <v>0</v>
      </c>
      <c r="O22" s="7077"/>
      <c r="P22" s="7063">
        <f>'lbpf 3-LEGAL'!J51</f>
        <v>15000</v>
      </c>
      <c r="Q22" s="7063">
        <f>'lbpf 3-LEGAL'!J52</f>
        <v>100000</v>
      </c>
      <c r="R22" s="7063">
        <f>+'lbpf 3-LEGAL'!J53</f>
        <v>0</v>
      </c>
      <c r="S22" s="7063"/>
      <c r="T22" s="7063">
        <f>+'lbpf 3-LEGAL'!J54</f>
        <v>50000</v>
      </c>
      <c r="U22" s="7063"/>
      <c r="V22" s="7063"/>
      <c r="W22" s="7063"/>
      <c r="X22" s="7063"/>
      <c r="Y22" s="7063"/>
      <c r="Z22" s="7063"/>
      <c r="AA22" s="7077"/>
      <c r="AB22" s="7077"/>
      <c r="AC22" s="7063"/>
      <c r="AD22" s="7063">
        <f>'lbpf 3-LEGAL'!J56</f>
        <v>169000</v>
      </c>
      <c r="AE22" s="7063">
        <f>'lbpf 3-LEGAL'!J55</f>
        <v>2640000</v>
      </c>
      <c r="AF22" s="7063"/>
      <c r="AG22" s="7065"/>
      <c r="AH22" s="7065"/>
      <c r="AI22" s="7065"/>
      <c r="AJ22" s="7077"/>
      <c r="AK22" s="7065"/>
      <c r="AL22" s="7077"/>
      <c r="AM22" s="7063">
        <f>'lbpf 3-LEGAL'!J57</f>
        <v>0</v>
      </c>
      <c r="AN22" s="7077"/>
      <c r="AO22" s="7063">
        <f>'lbpf 3-LEGAL'!J58</f>
        <v>120000</v>
      </c>
      <c r="AP22" s="7063">
        <f>'lbpf 3-LEGAL'!J59</f>
        <v>120000</v>
      </c>
      <c r="AQ22" s="7065"/>
      <c r="AR22" s="7065"/>
      <c r="AS22" s="7065"/>
      <c r="AT22" s="7065"/>
      <c r="AU22" s="7065"/>
      <c r="AV22" s="7077"/>
      <c r="AW22" s="7065">
        <f>'lbpf 3-LEGAL'!J60</f>
        <v>2000</v>
      </c>
      <c r="AX22" s="7077"/>
      <c r="AY22" s="7065">
        <f>'lbpf 3-LEGAL'!J61</f>
        <v>70000</v>
      </c>
      <c r="AZ22" s="7065"/>
      <c r="BA22" s="7077"/>
      <c r="BB22" s="7077"/>
      <c r="BC22" s="7077"/>
      <c r="BD22" s="7077"/>
      <c r="BE22" s="7077"/>
      <c r="BF22" s="7077"/>
      <c r="BG22" s="7061">
        <f t="shared" si="0"/>
        <v>4091000</v>
      </c>
      <c r="BH22" s="192" t="s">
        <v>577</v>
      </c>
    </row>
    <row r="23" spans="1:60" s="13706" customFormat="1" ht="15" customHeight="1">
      <c r="A23" s="7151" t="s">
        <v>10327</v>
      </c>
      <c r="B23" s="7148">
        <f>'lbpf 3-PDRRMO'!K43</f>
        <v>300000</v>
      </c>
      <c r="C23" s="7148">
        <f>'lbpf 3-PDRRMO'!K44</f>
        <v>300000</v>
      </c>
      <c r="D23" s="7148">
        <f>'lbpf 3-PDRRMO'!K45</f>
        <v>500000</v>
      </c>
      <c r="E23" s="7148"/>
      <c r="F23" s="7148"/>
      <c r="G23" s="7148"/>
      <c r="H23" s="7148"/>
      <c r="I23" s="7148"/>
      <c r="J23" s="7148">
        <f>'lbpf 3-PDRRMO'!K48</f>
        <v>1800000</v>
      </c>
      <c r="K23" s="7148"/>
      <c r="L23" s="7148"/>
      <c r="M23" s="10700">
        <f>'lbpf 3-PDRRMO'!K47</f>
        <v>0</v>
      </c>
      <c r="N23" s="10700">
        <f>'lbpf 3-PDRRMO'!K46</f>
        <v>0</v>
      </c>
      <c r="O23" s="7149"/>
      <c r="P23" s="7148"/>
      <c r="Q23" s="7148">
        <f>'lbpf 3-PDRRMO'!K52</f>
        <v>600000</v>
      </c>
      <c r="R23" s="7148">
        <f>'lbpf 3-PDRRMO'!K53</f>
        <v>0</v>
      </c>
      <c r="S23" s="7148"/>
      <c r="T23" s="7148">
        <f>'lbpf 3-PDRRMO'!K54</f>
        <v>600000</v>
      </c>
      <c r="U23" s="7148"/>
      <c r="V23" s="7148"/>
      <c r="W23" s="7148"/>
      <c r="X23" s="7148"/>
      <c r="Y23" s="7148"/>
      <c r="Z23" s="7148"/>
      <c r="AA23" s="7149"/>
      <c r="AB23" s="7149"/>
      <c r="AC23" s="7148"/>
      <c r="AD23" s="7148">
        <f>'lbpf 3-PDRRMO'!K55</f>
        <v>12000000</v>
      </c>
      <c r="AE23" s="7148"/>
      <c r="AF23" s="7148"/>
      <c r="AG23" s="7149"/>
      <c r="AH23" s="7149"/>
      <c r="AI23" s="7149"/>
      <c r="AJ23" s="7149"/>
      <c r="AK23" s="7149"/>
      <c r="AL23" s="7149"/>
      <c r="AM23" s="7148">
        <v>0</v>
      </c>
      <c r="AN23" s="7149"/>
      <c r="AO23" s="7148">
        <f>'lbpf 3-PDRRMO'!K60</f>
        <v>400000</v>
      </c>
      <c r="AP23" s="7148">
        <f>'lbpf 3-PDRRMO'!K61</f>
        <v>2500000</v>
      </c>
      <c r="AQ23" s="7149"/>
      <c r="AR23" s="7149"/>
      <c r="AS23" s="7149"/>
      <c r="AT23" s="7149"/>
      <c r="AU23" s="7149"/>
      <c r="AV23" s="7149"/>
      <c r="AW23" s="7149"/>
      <c r="AX23" s="7149"/>
      <c r="AY23" s="7149">
        <f>'lbpf 3-PDRRMO'!K63+'lbpf 3-PDRRMO'!K64</f>
        <v>900000</v>
      </c>
      <c r="AZ23" s="7149"/>
      <c r="BA23" s="7149"/>
      <c r="BB23" s="7149"/>
      <c r="BC23" s="7149"/>
      <c r="BD23" s="7149"/>
      <c r="BE23" s="7149"/>
      <c r="BF23" s="7149"/>
      <c r="BG23" s="7061">
        <f t="shared" si="0"/>
        <v>19900000</v>
      </c>
      <c r="BH23" s="7150" t="s">
        <v>10327</v>
      </c>
    </row>
    <row r="24" spans="1:60" ht="14.1" customHeight="1" thickBot="1">
      <c r="A24" s="356" t="s">
        <v>485</v>
      </c>
      <c r="B24" s="366">
        <f t="shared" ref="B24:BF24" si="1">SUM(B7:B23)</f>
        <v>10278500</v>
      </c>
      <c r="C24" s="366">
        <f>SUM(C7:C23)</f>
        <v>10780500</v>
      </c>
      <c r="D24" s="366">
        <f t="shared" si="1"/>
        <v>18846000</v>
      </c>
      <c r="E24" s="366">
        <f t="shared" si="1"/>
        <v>8125000</v>
      </c>
      <c r="F24" s="366">
        <f t="shared" si="1"/>
        <v>0</v>
      </c>
      <c r="G24" s="366">
        <f t="shared" si="1"/>
        <v>0</v>
      </c>
      <c r="H24" s="366">
        <f t="shared" si="1"/>
        <v>0</v>
      </c>
      <c r="I24" s="366">
        <f t="shared" si="1"/>
        <v>0</v>
      </c>
      <c r="J24" s="366">
        <f t="shared" si="1"/>
        <v>18990000</v>
      </c>
      <c r="K24" s="366">
        <f t="shared" si="1"/>
        <v>640000</v>
      </c>
      <c r="L24" s="366">
        <f t="shared" si="1"/>
        <v>0</v>
      </c>
      <c r="M24" s="366">
        <f>SUM(M7:M23)</f>
        <v>1445588</v>
      </c>
      <c r="N24" s="366">
        <f>SUM(N7:N23)</f>
        <v>14033530</v>
      </c>
      <c r="O24" s="366">
        <f t="shared" si="1"/>
        <v>0</v>
      </c>
      <c r="P24" s="366">
        <f t="shared" si="1"/>
        <v>300550</v>
      </c>
      <c r="Q24" s="366">
        <f t="shared" si="1"/>
        <v>5096500</v>
      </c>
      <c r="R24" s="366">
        <f t="shared" si="1"/>
        <v>0</v>
      </c>
      <c r="S24" s="366">
        <f t="shared" si="1"/>
        <v>0</v>
      </c>
      <c r="T24" s="366">
        <f t="shared" si="1"/>
        <v>2434716</v>
      </c>
      <c r="U24" s="366">
        <f t="shared" si="1"/>
        <v>1343400</v>
      </c>
      <c r="V24" s="366">
        <f t="shared" si="1"/>
        <v>1329000</v>
      </c>
      <c r="W24" s="366">
        <f t="shared" si="1"/>
        <v>615000</v>
      </c>
      <c r="X24" s="366">
        <f t="shared" si="1"/>
        <v>1100000</v>
      </c>
      <c r="Y24" s="366">
        <f t="shared" si="1"/>
        <v>35000</v>
      </c>
      <c r="Z24" s="366">
        <f t="shared" si="1"/>
        <v>12481800</v>
      </c>
      <c r="AA24" s="366">
        <f t="shared" si="1"/>
        <v>353660</v>
      </c>
      <c r="AB24" s="366">
        <f t="shared" si="1"/>
        <v>623000</v>
      </c>
      <c r="AC24" s="366">
        <f t="shared" si="1"/>
        <v>0</v>
      </c>
      <c r="AD24" s="366">
        <f t="shared" si="1"/>
        <v>66857360</v>
      </c>
      <c r="AE24" s="366">
        <f t="shared" si="1"/>
        <v>18119680</v>
      </c>
      <c r="AF24" s="366">
        <f t="shared" si="1"/>
        <v>0</v>
      </c>
      <c r="AG24" s="366">
        <f t="shared" si="1"/>
        <v>5000000</v>
      </c>
      <c r="AH24" s="366">
        <f t="shared" si="1"/>
        <v>8000000</v>
      </c>
      <c r="AI24" s="366">
        <f t="shared" si="1"/>
        <v>1850000</v>
      </c>
      <c r="AJ24" s="366">
        <f t="shared" si="1"/>
        <v>0</v>
      </c>
      <c r="AK24" s="366">
        <f t="shared" si="1"/>
        <v>0</v>
      </c>
      <c r="AL24" s="366">
        <f t="shared" si="1"/>
        <v>0</v>
      </c>
      <c r="AM24" s="366">
        <f>SUM(AM7:AM23)</f>
        <v>0</v>
      </c>
      <c r="AN24" s="366">
        <f t="shared" si="1"/>
        <v>0</v>
      </c>
      <c r="AO24" s="366">
        <f t="shared" si="1"/>
        <v>3834300</v>
      </c>
      <c r="AP24" s="366">
        <f t="shared" si="1"/>
        <v>12732500</v>
      </c>
      <c r="AQ24" s="366">
        <f t="shared" si="1"/>
        <v>0</v>
      </c>
      <c r="AR24" s="366">
        <f t="shared" si="1"/>
        <v>0</v>
      </c>
      <c r="AS24" s="366">
        <f t="shared" si="1"/>
        <v>34000000</v>
      </c>
      <c r="AT24" s="366">
        <f t="shared" si="1"/>
        <v>14000000</v>
      </c>
      <c r="AU24" s="366">
        <f t="shared" si="1"/>
        <v>0</v>
      </c>
      <c r="AV24" s="366">
        <f t="shared" si="1"/>
        <v>0</v>
      </c>
      <c r="AW24" s="366">
        <f t="shared" si="1"/>
        <v>344650</v>
      </c>
      <c r="AX24" s="366">
        <f t="shared" si="1"/>
        <v>2800000</v>
      </c>
      <c r="AY24" s="366">
        <f t="shared" si="1"/>
        <v>18897400</v>
      </c>
      <c r="AZ24" s="366">
        <f t="shared" si="1"/>
        <v>0</v>
      </c>
      <c r="BA24" s="366">
        <f t="shared" si="1"/>
        <v>0</v>
      </c>
      <c r="BB24" s="366">
        <f t="shared" si="1"/>
        <v>0</v>
      </c>
      <c r="BC24" s="366">
        <f t="shared" si="1"/>
        <v>0</v>
      </c>
      <c r="BD24" s="366">
        <f t="shared" si="1"/>
        <v>0</v>
      </c>
      <c r="BE24" s="366">
        <f t="shared" si="1"/>
        <v>0</v>
      </c>
      <c r="BF24" s="366">
        <f t="shared" si="1"/>
        <v>0</v>
      </c>
      <c r="BG24" s="366">
        <f>SUM(BG7:BG23)</f>
        <v>295287634</v>
      </c>
      <c r="BH24" s="356" t="s">
        <v>485</v>
      </c>
    </row>
    <row r="25" spans="1:60" ht="14.1" customHeight="1" thickTop="1">
      <c r="A25" s="860" t="s">
        <v>3098</v>
      </c>
      <c r="B25" s="358"/>
      <c r="C25" s="358"/>
      <c r="D25" s="358"/>
      <c r="E25" s="358"/>
      <c r="F25" s="358"/>
      <c r="G25" s="358"/>
      <c r="H25" s="2686"/>
      <c r="I25" s="358"/>
      <c r="J25" s="358"/>
      <c r="K25" s="358"/>
      <c r="L25" s="358"/>
      <c r="M25" s="358"/>
      <c r="N25" s="358"/>
      <c r="O25" s="208"/>
      <c r="P25" s="358"/>
      <c r="Q25" s="358"/>
      <c r="R25" s="1263"/>
      <c r="S25" s="10435"/>
      <c r="T25" s="1263"/>
      <c r="U25" s="358"/>
      <c r="V25" s="8831"/>
      <c r="W25" s="358"/>
      <c r="X25" s="358"/>
      <c r="Y25" s="358"/>
      <c r="Z25" s="358"/>
      <c r="AA25" s="208"/>
      <c r="AB25" s="8215"/>
      <c r="AC25" s="358"/>
      <c r="AD25" s="358"/>
      <c r="AE25" s="2686"/>
      <c r="AF25" s="2686"/>
      <c r="AG25" s="208"/>
      <c r="AH25" s="1159"/>
      <c r="AI25" s="208"/>
      <c r="AJ25" s="208"/>
      <c r="AK25" s="208"/>
      <c r="AL25" s="208"/>
      <c r="AM25" s="358"/>
      <c r="AN25" s="208"/>
      <c r="AO25" s="358"/>
      <c r="AP25" s="358"/>
      <c r="AQ25" s="208"/>
      <c r="AR25" s="208"/>
      <c r="AS25" s="208"/>
      <c r="AT25" s="208"/>
      <c r="AU25" s="208"/>
      <c r="AV25" s="208"/>
      <c r="AW25" s="208"/>
      <c r="AX25" s="208"/>
      <c r="AY25" s="208"/>
      <c r="AZ25" s="208"/>
      <c r="BA25" s="208"/>
      <c r="BB25" s="208"/>
      <c r="BC25" s="208"/>
      <c r="BD25" s="8215"/>
      <c r="BE25" s="8215"/>
      <c r="BF25" s="7156"/>
      <c r="BG25" s="365"/>
      <c r="BH25" s="860" t="s">
        <v>3098</v>
      </c>
    </row>
    <row r="26" spans="1:60" ht="14.1" customHeight="1">
      <c r="A26" s="7070" t="s">
        <v>578</v>
      </c>
      <c r="B26" s="7071">
        <f>'lbpf 3-BEMO'!J44</f>
        <v>160000</v>
      </c>
      <c r="C26" s="7071">
        <f>'lbpf 3-BEMO'!J45</f>
        <v>100000</v>
      </c>
      <c r="D26" s="7071">
        <f>'lbpf 3-BEMO'!J46</f>
        <v>185000</v>
      </c>
      <c r="E26" s="7071"/>
      <c r="F26" s="7071"/>
      <c r="G26" s="7071"/>
      <c r="H26" s="7071"/>
      <c r="I26" s="7071"/>
      <c r="J26" s="7071">
        <f>'lbpf 3-BEMO'!J47</f>
        <v>315000</v>
      </c>
      <c r="K26" s="7071"/>
      <c r="L26" s="7071"/>
      <c r="M26" s="7071">
        <f>'lbpf 3-BEMO'!J48</f>
        <v>0</v>
      </c>
      <c r="N26" s="7071">
        <f>'lbpf 3-BEMO'!J49</f>
        <v>0</v>
      </c>
      <c r="O26" s="7072"/>
      <c r="P26" s="7071">
        <f>'lbpf 3-BEMO'!J50</f>
        <v>1000</v>
      </c>
      <c r="Q26" s="7071">
        <f>'lbpf 3-BEMO'!J51</f>
        <v>70000</v>
      </c>
      <c r="R26" s="7071">
        <f>'lbpf 3-BEMO'!J52</f>
        <v>0</v>
      </c>
      <c r="S26" s="10436"/>
      <c r="T26" s="7071"/>
      <c r="U26" s="7073"/>
      <c r="V26" s="8832"/>
      <c r="W26" s="7073"/>
      <c r="X26" s="7073"/>
      <c r="Y26" s="7073"/>
      <c r="Z26" s="7073"/>
      <c r="AA26" s="7072"/>
      <c r="AB26" s="8216"/>
      <c r="AC26" s="7073"/>
      <c r="AD26" s="7071">
        <f>'lbpf 3-BEMO'!J54</f>
        <v>680000</v>
      </c>
      <c r="AE26" s="7071">
        <f>'lbpf 3-BEMO'!J53</f>
        <v>525000</v>
      </c>
      <c r="AF26" s="7071"/>
      <c r="AG26" s="7072"/>
      <c r="AH26" s="7072"/>
      <c r="AI26" s="7072"/>
      <c r="AJ26" s="7072"/>
      <c r="AK26" s="7072">
        <f>'lbpf 3-BEMO'!J55</f>
        <v>3000</v>
      </c>
      <c r="AL26" s="7072">
        <f>'lbpf 3-BEMO'!J57</f>
        <v>3000</v>
      </c>
      <c r="AM26" s="7071">
        <f>'lbpf 3-BEMO'!J58</f>
        <v>0</v>
      </c>
      <c r="AN26" s="7072"/>
      <c r="AO26" s="7073"/>
      <c r="AP26" s="7071">
        <f>'lbpf 3-BEMO'!J56</f>
        <v>240000</v>
      </c>
      <c r="AQ26" s="7072">
        <f>'lbpf 3-BEMO'!J59</f>
        <v>10000</v>
      </c>
      <c r="AR26" s="7072"/>
      <c r="AS26" s="7072"/>
      <c r="AT26" s="7072"/>
      <c r="AU26" s="7072"/>
      <c r="AV26" s="7072"/>
      <c r="AW26" s="7072">
        <f>'lbpf 3-BEMO'!J60</f>
        <v>10000</v>
      </c>
      <c r="AX26" s="7072"/>
      <c r="AY26" s="7072">
        <f>'lbpf 3-BEMO'!J61+'lbpf 3-BEMO'!J63+'lbpf 3-BEMO'!J64</f>
        <v>150000</v>
      </c>
      <c r="AZ26" s="7072"/>
      <c r="BA26" s="7072"/>
      <c r="BB26" s="7072"/>
      <c r="BC26" s="7072"/>
      <c r="BD26" s="8216"/>
      <c r="BE26" s="8216"/>
      <c r="BF26" s="7157"/>
      <c r="BG26" s="7061">
        <f t="shared" ref="BG26:BG40" si="2">SUM(B26:BF26)</f>
        <v>2452000</v>
      </c>
      <c r="BH26" s="192" t="s">
        <v>578</v>
      </c>
    </row>
    <row r="27" spans="1:60" ht="14.1" customHeight="1">
      <c r="A27" s="7057" t="s">
        <v>1727</v>
      </c>
      <c r="B27" s="7074">
        <f>'lbpf 3-BDJ'!J44+'lbpf 3-BDJ'!J45</f>
        <v>1250000</v>
      </c>
      <c r="C27" s="7074">
        <f>'lbpf 3-BDJ'!J46</f>
        <v>350000</v>
      </c>
      <c r="D27" s="7074">
        <f>'lbpf 3-BDJ'!J47</f>
        <v>300000</v>
      </c>
      <c r="E27" s="7075"/>
      <c r="F27" s="7075"/>
      <c r="G27" s="7074">
        <f>'lbpf 3-BDJ'!J48</f>
        <v>13140000</v>
      </c>
      <c r="H27" s="7060">
        <f>'lbpf 3-BDJ'!J49</f>
        <v>50000</v>
      </c>
      <c r="I27" s="7074"/>
      <c r="J27" s="7074">
        <f>'lbpf 3-BDJ'!J50</f>
        <v>600000</v>
      </c>
      <c r="K27" s="7074"/>
      <c r="L27" s="7075"/>
      <c r="M27" s="7074">
        <f>'lbpf 3-BDJ'!J51</f>
        <v>600000</v>
      </c>
      <c r="N27" s="7074">
        <f>'lbpf 3-BDJ'!J52</f>
        <v>0</v>
      </c>
      <c r="O27" s="7076"/>
      <c r="P27" s="7074"/>
      <c r="Q27" s="7074">
        <f>'lbpf 3-BDJ'!J53</f>
        <v>80000</v>
      </c>
      <c r="R27" s="7074"/>
      <c r="S27" s="7074"/>
      <c r="T27" s="7074"/>
      <c r="U27" s="7075"/>
      <c r="V27" s="7075"/>
      <c r="W27" s="7075"/>
      <c r="X27" s="7075"/>
      <c r="Y27" s="7075"/>
      <c r="Z27" s="7075"/>
      <c r="AA27" s="7076"/>
      <c r="AB27" s="7076"/>
      <c r="AC27" s="7075"/>
      <c r="AD27" s="7075"/>
      <c r="AE27" s="7075"/>
      <c r="AF27" s="7075"/>
      <c r="AG27" s="7060"/>
      <c r="AH27" s="7060">
        <f>'lbpf 3-BDJ'!J57</f>
        <v>6775000</v>
      </c>
      <c r="AI27" s="7060">
        <f>'lbpf 3-BDJ'!J58</f>
        <v>500000</v>
      </c>
      <c r="AJ27" s="7076"/>
      <c r="AK27" s="7060">
        <f>'lbpf 3-BDJ'!J59</f>
        <v>0</v>
      </c>
      <c r="AL27" s="7076"/>
      <c r="AM27" s="7074"/>
      <c r="AN27" s="7076"/>
      <c r="AO27" s="7074">
        <f>'lbpf 3-BDJ'!J60</f>
        <v>150000</v>
      </c>
      <c r="AP27" s="7074">
        <f>'lbpf 3-BDJ'!J61</f>
        <v>600000</v>
      </c>
      <c r="AQ27" s="7076"/>
      <c r="AR27" s="7076"/>
      <c r="AS27" s="7076"/>
      <c r="AT27" s="7076"/>
      <c r="AU27" s="7076"/>
      <c r="AV27" s="7076"/>
      <c r="AW27" s="7060">
        <f>'lbpf 3-BDJ'!J62</f>
        <v>12000</v>
      </c>
      <c r="AX27" s="7076"/>
      <c r="AY27" s="7060">
        <f>'lbpf 3-BDJ'!J63</f>
        <v>200000</v>
      </c>
      <c r="AZ27" s="7076"/>
      <c r="BA27" s="7076"/>
      <c r="BB27" s="7076"/>
      <c r="BC27" s="7076"/>
      <c r="BD27" s="7076"/>
      <c r="BE27" s="7076"/>
      <c r="BF27" s="7076"/>
      <c r="BG27" s="7061">
        <f t="shared" si="2"/>
        <v>24607000</v>
      </c>
      <c r="BH27" s="192" t="s">
        <v>1727</v>
      </c>
    </row>
    <row r="28" spans="1:60" ht="13.5" hidden="1" customHeight="1">
      <c r="A28" s="7057" t="s">
        <v>580</v>
      </c>
      <c r="B28" s="7063" t="str">
        <f>'lbpf 3-LIB'!H34</f>
        <v>INTEGRATED IN THE SANGGUNIANG PANLALAWIGAN BUDGET</v>
      </c>
      <c r="C28" s="7063">
        <f>'lbpf 3-LIB'!H35</f>
        <v>0</v>
      </c>
      <c r="D28" s="7063">
        <f>'lbpf 3-LIB'!H36</f>
        <v>0</v>
      </c>
      <c r="E28" s="7063"/>
      <c r="F28" s="7063"/>
      <c r="G28" s="7063"/>
      <c r="H28" s="7063"/>
      <c r="I28" s="7063"/>
      <c r="J28" s="7063">
        <f>'lbpf 3-LIB'!H37</f>
        <v>0</v>
      </c>
      <c r="K28" s="7063">
        <f>'lbpf 3-LIB'!H38</f>
        <v>0</v>
      </c>
      <c r="L28" s="7063"/>
      <c r="M28" s="7063"/>
      <c r="N28" s="7063">
        <f>'lbpf 3-LIB'!H39</f>
        <v>0</v>
      </c>
      <c r="O28" s="7077"/>
      <c r="P28" s="7063">
        <f>'lbpf 3-LIB'!H40</f>
        <v>0</v>
      </c>
      <c r="Q28" s="7063">
        <f>'lbpf 3-LIB'!H41</f>
        <v>0</v>
      </c>
      <c r="R28" s="7063">
        <f>+'lbpf 3-LIB'!H42</f>
        <v>0</v>
      </c>
      <c r="S28" s="7063"/>
      <c r="T28" s="7063"/>
      <c r="U28" s="7063"/>
      <c r="V28" s="7063"/>
      <c r="W28" s="7063"/>
      <c r="X28" s="7063"/>
      <c r="Y28" s="7063">
        <f>'lbpf 3-LIB'!H43</f>
        <v>0</v>
      </c>
      <c r="Z28" s="7063">
        <f>'lbpf 3-LIB'!H44</f>
        <v>0</v>
      </c>
      <c r="AA28" s="7065">
        <f>'lbpf 3-LIB'!H45</f>
        <v>0</v>
      </c>
      <c r="AB28" s="7065"/>
      <c r="AC28" s="7063"/>
      <c r="AD28" s="7063">
        <f>'lbpf 3-LIB'!H46</f>
        <v>0</v>
      </c>
      <c r="AE28" s="7063"/>
      <c r="AF28" s="7063"/>
      <c r="AG28" s="7065"/>
      <c r="AH28" s="7065"/>
      <c r="AI28" s="7065"/>
      <c r="AJ28" s="7077"/>
      <c r="AK28" s="7065"/>
      <c r="AL28" s="7065"/>
      <c r="AM28" s="7063">
        <f>'lbpf 3-LIB'!H47</f>
        <v>0</v>
      </c>
      <c r="AN28" s="7065"/>
      <c r="AO28" s="7063">
        <f>'lbpf 3-LIB'!H48</f>
        <v>0</v>
      </c>
      <c r="AP28" s="7063">
        <f>'lbpf 3-LIB'!H49</f>
        <v>0</v>
      </c>
      <c r="AQ28" s="7065"/>
      <c r="AR28" s="7065"/>
      <c r="AS28" s="7065"/>
      <c r="AT28" s="7065"/>
      <c r="AU28" s="7065"/>
      <c r="AV28" s="7077"/>
      <c r="AW28" s="7065">
        <f>'lbpf 3-LIB'!H50</f>
        <v>0</v>
      </c>
      <c r="AX28" s="7065"/>
      <c r="AY28" s="7065">
        <f>'lbpf 3-LIB'!H51</f>
        <v>0</v>
      </c>
      <c r="AZ28" s="7065"/>
      <c r="BA28" s="7065"/>
      <c r="BB28" s="7077"/>
      <c r="BC28" s="7077"/>
      <c r="BD28" s="7077"/>
      <c r="BE28" s="7077"/>
      <c r="BF28" s="7077"/>
      <c r="BG28" s="7061">
        <f t="shared" si="2"/>
        <v>0</v>
      </c>
      <c r="BH28" s="192" t="s">
        <v>580</v>
      </c>
    </row>
    <row r="29" spans="1:60" ht="14.1" customHeight="1">
      <c r="A29" s="7057" t="s">
        <v>581</v>
      </c>
      <c r="B29" s="7063">
        <f>'lbpf 3-PHO'!J44</f>
        <v>1800000</v>
      </c>
      <c r="C29" s="7063">
        <f>'lbpf 3-PHO'!J45</f>
        <v>700000</v>
      </c>
      <c r="D29" s="7063">
        <f>'lbpf 3-PHO'!J46</f>
        <v>400000</v>
      </c>
      <c r="E29" s="7063"/>
      <c r="F29" s="7063"/>
      <c r="G29" s="7063"/>
      <c r="H29" s="7063"/>
      <c r="I29" s="7063">
        <f>'lbpf 3-PHO'!J47</f>
        <v>600000</v>
      </c>
      <c r="J29" s="7063">
        <f>'lbpf 3-PHO'!J50</f>
        <v>600000</v>
      </c>
      <c r="K29" s="7063"/>
      <c r="L29" s="7063"/>
      <c r="M29" s="7063">
        <f>'lbpf 3-PHO'!J51</f>
        <v>0</v>
      </c>
      <c r="N29" s="7063">
        <f>'lbpf 3-PHO'!J52</f>
        <v>0</v>
      </c>
      <c r="O29" s="7077"/>
      <c r="P29" s="7063">
        <f>'lbpf 3-PHO'!J53</f>
        <v>3000</v>
      </c>
      <c r="Q29" s="7063">
        <f>'lbpf 3-PHO'!J54</f>
        <v>235000</v>
      </c>
      <c r="R29" s="7063">
        <v>0</v>
      </c>
      <c r="S29" s="7063"/>
      <c r="T29" s="7063">
        <f>+'lbpf 3-PHO'!J55</f>
        <v>0</v>
      </c>
      <c r="U29" s="7063">
        <f>'lbpf 3-PHO'!J56</f>
        <v>7000</v>
      </c>
      <c r="V29" s="7063"/>
      <c r="W29" s="7063"/>
      <c r="X29" s="7063"/>
      <c r="Y29" s="7063">
        <f>'lbpf 3-PHO'!J57</f>
        <v>0</v>
      </c>
      <c r="Z29" s="7063">
        <f>'lbpf 3-PHO'!J58</f>
        <v>0</v>
      </c>
      <c r="AA29" s="7065">
        <f>'lbpf 3-PHO'!J59</f>
        <v>5000</v>
      </c>
      <c r="AB29" s="7065"/>
      <c r="AC29" s="7063"/>
      <c r="AD29" s="7063">
        <f>'lbpf 3-PHO'!J60</f>
        <v>730000</v>
      </c>
      <c r="AE29" s="7063"/>
      <c r="AF29" s="7063"/>
      <c r="AG29" s="7065"/>
      <c r="AH29" s="7065"/>
      <c r="AI29" s="7065">
        <f>'lbpf 3-PHO'!J61</f>
        <v>50000</v>
      </c>
      <c r="AJ29" s="7077"/>
      <c r="AK29" s="7065"/>
      <c r="AL29" s="7065"/>
      <c r="AM29" s="7063">
        <f>'lbpf 3-PHO'!J62</f>
        <v>0</v>
      </c>
      <c r="AN29" s="7065"/>
      <c r="AO29" s="7063">
        <f>'lbpf 3-PHO'!J63</f>
        <v>180000</v>
      </c>
      <c r="AP29" s="7063">
        <f>'lbpf 3-PHO'!J64</f>
        <v>500000</v>
      </c>
      <c r="AQ29" s="7065"/>
      <c r="AR29" s="7065"/>
      <c r="AS29" s="7065"/>
      <c r="AT29" s="7065"/>
      <c r="AU29" s="7065"/>
      <c r="AV29" s="7077"/>
      <c r="AW29" s="7065">
        <f>'lbpf 3-PHO'!J65</f>
        <v>25000</v>
      </c>
      <c r="AX29" s="7065"/>
      <c r="AY29" s="7065">
        <f>'lbpf 3-PHO'!J66</f>
        <v>390000</v>
      </c>
      <c r="AZ29" s="7065"/>
      <c r="BA29" s="7065"/>
      <c r="BB29" s="7077"/>
      <c r="BC29" s="7077"/>
      <c r="BD29" s="7077"/>
      <c r="BE29" s="7077"/>
      <c r="BF29" s="7077"/>
      <c r="BG29" s="7061">
        <f t="shared" si="2"/>
        <v>6225000</v>
      </c>
      <c r="BH29" s="192" t="s">
        <v>581</v>
      </c>
    </row>
    <row r="30" spans="1:60" ht="14.1" customHeight="1">
      <c r="A30" s="7057" t="s">
        <v>582</v>
      </c>
      <c r="B30" s="7063">
        <f>'lbpf 3-HTALIBON'!J44</f>
        <v>180000</v>
      </c>
      <c r="C30" s="7063">
        <f>'lbpf 3-HTALIBON'!J45</f>
        <v>386400</v>
      </c>
      <c r="D30" s="7063">
        <f>'lbpf 3-HTALIBON'!J46</f>
        <v>1260000</v>
      </c>
      <c r="E30" s="7063">
        <f>'lbpf 3-HTALIBON'!J47</f>
        <v>84000</v>
      </c>
      <c r="F30" s="7063"/>
      <c r="G30" s="7063">
        <f>'lbpf 3-HTALIBON'!J48</f>
        <v>3200000</v>
      </c>
      <c r="H30" s="7063">
        <f>'lbpf 3-HTALIBON'!J49</f>
        <v>14000000</v>
      </c>
      <c r="I30" s="7063">
        <f>'lbpf 3-HTALIBON'!J50</f>
        <v>17000000</v>
      </c>
      <c r="J30" s="7063">
        <f>'lbpf 3-HTALIBON'!J51</f>
        <v>400000</v>
      </c>
      <c r="K30" s="7063"/>
      <c r="L30" s="7063"/>
      <c r="M30" s="7063">
        <f>'lbpf 3-HTALIBON'!J53</f>
        <v>990000</v>
      </c>
      <c r="N30" s="7063">
        <f>'lbpf 3-HTALIBON'!J54</f>
        <v>3600000</v>
      </c>
      <c r="O30" s="7077">
        <f>'lbpf 3-HTALIBON'!J52</f>
        <v>275000</v>
      </c>
      <c r="P30" s="7063">
        <f>'lbpf 3-HTALIBON'!J55</f>
        <v>5250</v>
      </c>
      <c r="Q30" s="7063">
        <f>'lbpf 3-HTALIBON'!J56</f>
        <v>65000</v>
      </c>
      <c r="R30" s="7063">
        <f>+'lbpf 3-HTALIBON'!J57</f>
        <v>0</v>
      </c>
      <c r="S30" s="7063"/>
      <c r="T30" s="7063">
        <f>+'lbpf 3-HTALIBON'!J58</f>
        <v>900000</v>
      </c>
      <c r="U30" s="7063"/>
      <c r="V30" s="7063"/>
      <c r="W30" s="7063"/>
      <c r="X30" s="7063"/>
      <c r="Y30" s="7063"/>
      <c r="Z30" s="7063"/>
      <c r="AA30" s="7065"/>
      <c r="AB30" s="7065"/>
      <c r="AC30" s="7063"/>
      <c r="AD30" s="7063">
        <f>'lbpf 3-HTALIBON'!J59</f>
        <v>14000000</v>
      </c>
      <c r="AE30" s="7063">
        <f>'lbpf 3-HTALIBON'!J62</f>
        <v>5990000</v>
      </c>
      <c r="AF30" s="7063"/>
      <c r="AG30" s="7065">
        <f>'lbpf 3-HTALIBON'!J60</f>
        <v>1071630</v>
      </c>
      <c r="AH30" s="7065">
        <f>+'lbpf 3-HTALIBON'!J61</f>
        <v>982422</v>
      </c>
      <c r="AI30" s="7065"/>
      <c r="AJ30" s="7077">
        <f>'lbpf 3-HTALIBON'!J63</f>
        <v>260000</v>
      </c>
      <c r="AK30" s="7065"/>
      <c r="AL30" s="7065"/>
      <c r="AM30" s="7063">
        <f>'lbpf 3-HTALIBON'!J64</f>
        <v>0</v>
      </c>
      <c r="AN30" s="7065"/>
      <c r="AO30" s="7063">
        <f>'lbpf 3-HTALIBON'!J65</f>
        <v>250000</v>
      </c>
      <c r="AP30" s="7063">
        <f>'lbpf 3-HTALIBON'!J66</f>
        <v>250000</v>
      </c>
      <c r="AQ30" s="7065"/>
      <c r="AR30" s="7065"/>
      <c r="AS30" s="7065"/>
      <c r="AT30" s="7065"/>
      <c r="AU30" s="7065"/>
      <c r="AV30" s="7077">
        <f>'lbpf 3-HTALIBON'!J67</f>
        <v>40000</v>
      </c>
      <c r="AW30" s="7065">
        <f>'lbpf 3-HTALIBON'!J68</f>
        <v>20000</v>
      </c>
      <c r="AX30" s="7065"/>
      <c r="AY30" s="7065">
        <f>'lbpf 3-HTALIBON'!J69+'lbpf 3-HTALIBON'!J70</f>
        <v>630000</v>
      </c>
      <c r="AZ30" s="7065"/>
      <c r="BA30" s="7065"/>
      <c r="BB30" s="7077"/>
      <c r="BC30" s="7065"/>
      <c r="BD30" s="7065"/>
      <c r="BE30" s="7065"/>
      <c r="BF30" s="7065"/>
      <c r="BG30" s="7061">
        <f t="shared" si="2"/>
        <v>65839702</v>
      </c>
      <c r="BH30" s="192" t="s">
        <v>582</v>
      </c>
    </row>
    <row r="31" spans="1:60" ht="14.1" customHeight="1">
      <c r="A31" s="7057" t="s">
        <v>583</v>
      </c>
      <c r="B31" s="7063">
        <f>'lbpf 3-HCARMEN'!J44</f>
        <v>126000</v>
      </c>
      <c r="C31" s="7063">
        <f>'lbpf 3-HCARMEN'!J45</f>
        <v>342000</v>
      </c>
      <c r="D31" s="7063">
        <f>'lbpf 3-HCARMEN'!J46</f>
        <v>660000</v>
      </c>
      <c r="E31" s="7063">
        <f>'lbpf 3-HCARMEN'!J47</f>
        <v>90000</v>
      </c>
      <c r="F31" s="7063"/>
      <c r="G31" s="7063">
        <f>'lbpf 3-HCARMEN'!J48</f>
        <v>1650000</v>
      </c>
      <c r="H31" s="7063">
        <f>'lbpf 3-HCARMEN'!J49</f>
        <v>7700000</v>
      </c>
      <c r="I31" s="7063">
        <f>'lbpf 3-HCARMEN'!J50</f>
        <v>8150000</v>
      </c>
      <c r="J31" s="7063">
        <f>'lbpf 3-HCARMEN'!J51</f>
        <v>315000</v>
      </c>
      <c r="K31" s="7063"/>
      <c r="L31" s="7063"/>
      <c r="M31" s="7063">
        <f>'lbpf 3-HCARMEN'!J53</f>
        <v>100000</v>
      </c>
      <c r="N31" s="7063">
        <f>'lbpf 3-HCARMEN'!J54</f>
        <v>890000</v>
      </c>
      <c r="O31" s="7077">
        <f>'lbpf 3-HCARMEN'!J52</f>
        <v>180000</v>
      </c>
      <c r="P31" s="7063">
        <f>'lbpf 3-HCARMEN'!J55</f>
        <v>20000</v>
      </c>
      <c r="Q31" s="7063">
        <f>'lbpf 3-HCARMEN'!J56</f>
        <v>100000</v>
      </c>
      <c r="R31" s="7063">
        <f>+'lbpf 3-HCARMEN'!J57</f>
        <v>0</v>
      </c>
      <c r="S31" s="7063"/>
      <c r="T31" s="7063"/>
      <c r="U31" s="7063"/>
      <c r="V31" s="7063"/>
      <c r="W31" s="7063"/>
      <c r="X31" s="7063"/>
      <c r="Y31" s="7063"/>
      <c r="Z31" s="7063"/>
      <c r="AA31" s="7065"/>
      <c r="AB31" s="7065"/>
      <c r="AC31" s="7063"/>
      <c r="AD31" s="7063">
        <f>'lbpf 3-HCARMEN'!J59</f>
        <v>1600000</v>
      </c>
      <c r="AE31" s="7063">
        <f>'lbpf 3-HCARMEN'!J58</f>
        <v>5000000</v>
      </c>
      <c r="AF31" s="7063"/>
      <c r="AG31" s="7065">
        <f>'lbpf 3-HCARMEN'!J60</f>
        <v>500000</v>
      </c>
      <c r="AH31" s="7065">
        <f>'lbpf 3-HCARMEN'!J61</f>
        <v>540000</v>
      </c>
      <c r="AI31" s="7065"/>
      <c r="AJ31" s="7077">
        <f>'lbpf 3-HCARMEN'!J62</f>
        <v>300000</v>
      </c>
      <c r="AK31" s="7065"/>
      <c r="AL31" s="7065"/>
      <c r="AM31" s="7063">
        <f>'lbpf 3-HCARMEN'!J63</f>
        <v>0</v>
      </c>
      <c r="AN31" s="7065"/>
      <c r="AO31" s="7063">
        <f>'lbpf 3-HCARMEN'!J64</f>
        <v>85000</v>
      </c>
      <c r="AP31" s="7063">
        <f>'lbpf 3-HCARMEN'!J65</f>
        <v>300000</v>
      </c>
      <c r="AQ31" s="7065"/>
      <c r="AR31" s="7065"/>
      <c r="AS31" s="7065"/>
      <c r="AT31" s="7065"/>
      <c r="AU31" s="7065"/>
      <c r="AV31" s="7077">
        <f>'lbpf 3-HCARMEN'!J82</f>
        <v>14000</v>
      </c>
      <c r="AW31" s="7065">
        <f>'lbpf 3-HCARMEN'!J83</f>
        <v>20000</v>
      </c>
      <c r="AX31" s="7065"/>
      <c r="AY31" s="7065">
        <f>'lbpf 3-HCARMEN'!J84</f>
        <v>300000</v>
      </c>
      <c r="AZ31" s="7065"/>
      <c r="BA31" s="7065"/>
      <c r="BB31" s="7077"/>
      <c r="BC31" s="7065"/>
      <c r="BD31" s="7065"/>
      <c r="BE31" s="7065"/>
      <c r="BF31" s="7065"/>
      <c r="BG31" s="7061">
        <f t="shared" si="2"/>
        <v>28982000</v>
      </c>
      <c r="BH31" s="192" t="s">
        <v>583</v>
      </c>
    </row>
    <row r="32" spans="1:60" ht="14.1" customHeight="1">
      <c r="A32" s="7057" t="s">
        <v>584</v>
      </c>
      <c r="B32" s="7063">
        <f>'lbpf 3-HJAGNA'!J43</f>
        <v>200000</v>
      </c>
      <c r="C32" s="7063">
        <f>'lbpf 3-HJAGNA'!J44</f>
        <v>500000</v>
      </c>
      <c r="D32" s="7063">
        <f>'lbpf 3-HJAGNA'!J45</f>
        <v>1200000</v>
      </c>
      <c r="E32" s="7063">
        <f>'lbpf 3-HJAGNA'!J46</f>
        <v>100000</v>
      </c>
      <c r="F32" s="7063"/>
      <c r="G32" s="7063">
        <f>'lbpf 3-HJAGNA'!J47</f>
        <v>3500000</v>
      </c>
      <c r="H32" s="7063">
        <f>'lbpf 3-HJAGNA'!J48</f>
        <v>15000000</v>
      </c>
      <c r="I32" s="7063">
        <f>'lbpf 3-HJAGNA'!J49</f>
        <v>14500000</v>
      </c>
      <c r="J32" s="7063">
        <f>'lbpf 3-HJAGNA'!J50</f>
        <v>350000</v>
      </c>
      <c r="K32" s="7063"/>
      <c r="L32" s="7063"/>
      <c r="M32" s="7063">
        <f>'lbpf 3-HJAGNA'!J51</f>
        <v>50000</v>
      </c>
      <c r="N32" s="7063">
        <f>'lbpf 3-HJAGNA'!J52</f>
        <v>2600000</v>
      </c>
      <c r="O32" s="7077">
        <f>'lbpf 3-HJAGNA'!J53</f>
        <v>0</v>
      </c>
      <c r="P32" s="7063">
        <f>'lbpf 3-HJAGNA'!J54</f>
        <v>5000</v>
      </c>
      <c r="Q32" s="7063">
        <f>'lbpf 3-HJAGNA'!J55</f>
        <v>54000</v>
      </c>
      <c r="R32" s="7063">
        <f>+'lbpf 3-HJAGNA'!J56</f>
        <v>0</v>
      </c>
      <c r="S32" s="7063"/>
      <c r="T32" s="7063">
        <f>+'lbpf 3-HJAGNA'!J57</f>
        <v>60000</v>
      </c>
      <c r="U32" s="7063">
        <f>'lbpf 3-HJAGNA'!J58</f>
        <v>12000</v>
      </c>
      <c r="V32" s="7063"/>
      <c r="W32" s="7063"/>
      <c r="X32" s="7063"/>
      <c r="Y32" s="7063"/>
      <c r="Z32" s="7063"/>
      <c r="AA32" s="7065"/>
      <c r="AB32" s="7065"/>
      <c r="AC32" s="7063"/>
      <c r="AD32" s="7063">
        <f>'lbpf 3-HJAGNA'!J59</f>
        <v>6000000</v>
      </c>
      <c r="AE32" s="7063">
        <f>'lbpf 3-HJAGNA'!J60</f>
        <v>12000000</v>
      </c>
      <c r="AF32" s="7063"/>
      <c r="AG32" s="7065">
        <f>'lbpf 3-HJAGNA'!J61</f>
        <v>1100000</v>
      </c>
      <c r="AH32" s="7065">
        <f>'lbpf 3-HJAGNA'!J62</f>
        <v>1100000</v>
      </c>
      <c r="AI32" s="7065"/>
      <c r="AJ32" s="7077">
        <f>'lbpf 3-HJAGNA'!J63</f>
        <v>190000</v>
      </c>
      <c r="AK32" s="7065"/>
      <c r="AL32" s="7065"/>
      <c r="AM32" s="7063">
        <f>'lbpf 3-HJAGNA'!J64</f>
        <v>0</v>
      </c>
      <c r="AN32" s="7065"/>
      <c r="AO32" s="7063">
        <f>'lbpf 3-HJAGNA'!J65</f>
        <v>380000</v>
      </c>
      <c r="AP32" s="7063">
        <f>'lbpf 3-HJAGNA'!J66</f>
        <v>150000</v>
      </c>
      <c r="AQ32" s="7065"/>
      <c r="AR32" s="7065"/>
      <c r="AS32" s="7065"/>
      <c r="AT32" s="7065"/>
      <c r="AU32" s="7065"/>
      <c r="AV32" s="7077">
        <f>'lbpf 3-HJAGNA'!J67</f>
        <v>50000</v>
      </c>
      <c r="AW32" s="7065">
        <f>'lbpf 3-HJAGNA'!J68</f>
        <v>30000</v>
      </c>
      <c r="AX32" s="7065"/>
      <c r="AY32" s="7065">
        <f>'lbpf 3-HJAGNA'!J69</f>
        <v>1000000</v>
      </c>
      <c r="AZ32" s="7065"/>
      <c r="BA32" s="7065"/>
      <c r="BB32" s="7077"/>
      <c r="BC32" s="7065"/>
      <c r="BD32" s="7065"/>
      <c r="BE32" s="7065"/>
      <c r="BF32" s="7065"/>
      <c r="BG32" s="7061">
        <f t="shared" si="2"/>
        <v>60131000</v>
      </c>
      <c r="BH32" s="192" t="s">
        <v>584</v>
      </c>
    </row>
    <row r="33" spans="1:61" ht="14.1" customHeight="1">
      <c r="A33" s="7057" t="s">
        <v>585</v>
      </c>
      <c r="B33" s="7063">
        <f>'lbpf 3-HLOON'!J44</f>
        <v>200000</v>
      </c>
      <c r="C33" s="7063">
        <f>'lbpf 3-HLOON'!J45</f>
        <v>200000</v>
      </c>
      <c r="D33" s="7063">
        <f>'lbpf 3-HLOON'!J46</f>
        <v>330000</v>
      </c>
      <c r="E33" s="7063">
        <f>'lbpf 3-HLOON'!J47</f>
        <v>40000</v>
      </c>
      <c r="F33" s="7063"/>
      <c r="G33" s="7063">
        <f>'lbpf 3-HLOON'!J48</f>
        <v>830000</v>
      </c>
      <c r="H33" s="7063">
        <f>'lbpf 3-HLOON'!J49</f>
        <v>3000000</v>
      </c>
      <c r="I33" s="7063">
        <f>'lbpf 3-HLOON'!J50</f>
        <v>3500000</v>
      </c>
      <c r="J33" s="7063">
        <f>'lbpf 3-HLOON'!J51</f>
        <v>200000</v>
      </c>
      <c r="K33" s="7063"/>
      <c r="L33" s="7063"/>
      <c r="M33" s="7063">
        <f>'lbpf 3-HLOON'!J52</f>
        <v>220000</v>
      </c>
      <c r="N33" s="7063">
        <f>'lbpf 3-HLOON'!J53</f>
        <v>700000</v>
      </c>
      <c r="O33" s="7077">
        <f>'lbpf 3-HLOON'!J54</f>
        <v>0</v>
      </c>
      <c r="P33" s="7063">
        <f>'lbpf 3-HLOON'!J55</f>
        <v>10000</v>
      </c>
      <c r="Q33" s="7063">
        <f>'lbpf 3-HLOON'!J56</f>
        <v>68000</v>
      </c>
      <c r="R33" s="7063"/>
      <c r="S33" s="7063"/>
      <c r="T33" s="7063">
        <f>'lbpf 3-HLOON'!J57</f>
        <v>32000</v>
      </c>
      <c r="U33" s="7063"/>
      <c r="V33" s="7063"/>
      <c r="W33" s="7063"/>
      <c r="X33" s="7063"/>
      <c r="Y33" s="7063"/>
      <c r="Z33" s="7063"/>
      <c r="AA33" s="7065"/>
      <c r="AB33" s="7065"/>
      <c r="AC33" s="7063"/>
      <c r="AD33" s="7063">
        <f>'lbpf 3-HLOON'!J58</f>
        <v>1700000</v>
      </c>
      <c r="AE33" s="7063">
        <f>'lbpf 3-HLOON'!J59</f>
        <v>5100000</v>
      </c>
      <c r="AF33" s="7063"/>
      <c r="AG33" s="7065">
        <f>'lbpf 3-HLOON'!J60</f>
        <v>0</v>
      </c>
      <c r="AH33" s="7065">
        <f>'lbpf 3-HLOON'!J61</f>
        <v>500000</v>
      </c>
      <c r="AI33" s="7065"/>
      <c r="AJ33" s="7077">
        <f>'lbpf 3-HLOON'!J62</f>
        <v>100000</v>
      </c>
      <c r="AK33" s="7065"/>
      <c r="AL33" s="7065"/>
      <c r="AM33" s="7063"/>
      <c r="AN33" s="7065"/>
      <c r="AO33" s="7063">
        <f>'lbpf 3-HLOON'!J63</f>
        <v>100000</v>
      </c>
      <c r="AP33" s="7063">
        <f>'lbpf 3-HLOON'!J64</f>
        <v>100000</v>
      </c>
      <c r="AQ33" s="7065"/>
      <c r="AR33" s="7065"/>
      <c r="AS33" s="7065"/>
      <c r="AT33" s="7065"/>
      <c r="AU33" s="7065"/>
      <c r="AV33" s="7077">
        <f>'lbpf 3-HLOON'!J81</f>
        <v>25000</v>
      </c>
      <c r="AW33" s="7065">
        <f>'lbpf 3-HLOON'!J82</f>
        <v>20000</v>
      </c>
      <c r="AX33" s="7065">
        <f>'lbpf 3-HLOON'!J83</f>
        <v>10000</v>
      </c>
      <c r="AY33" s="7065">
        <f>'lbpf 3-HLOON'!J84</f>
        <v>850000</v>
      </c>
      <c r="AZ33" s="7065"/>
      <c r="BA33" s="7065"/>
      <c r="BB33" s="7077"/>
      <c r="BC33" s="7065"/>
      <c r="BD33" s="7065"/>
      <c r="BE33" s="7065"/>
      <c r="BF33" s="7065"/>
      <c r="BG33" s="7061">
        <f t="shared" si="2"/>
        <v>17835000</v>
      </c>
      <c r="BH33" s="192" t="s">
        <v>585</v>
      </c>
    </row>
    <row r="34" spans="1:61" ht="14.1" customHeight="1">
      <c r="A34" s="7057" t="s">
        <v>586</v>
      </c>
      <c r="B34" s="7063">
        <f>'lbpf 3-HCATIGBIAN'!J44</f>
        <v>180000</v>
      </c>
      <c r="C34" s="7063">
        <f>'lbpf 3-HCATIGBIAN'!J45</f>
        <v>200000</v>
      </c>
      <c r="D34" s="7063">
        <f>'lbpf 3-HCATIGBIAN'!J46</f>
        <v>300000</v>
      </c>
      <c r="E34" s="7063">
        <f>'lbpf 3-HCATIGBIAN'!J47</f>
        <v>50000</v>
      </c>
      <c r="F34" s="7063"/>
      <c r="G34" s="7063">
        <f>'lbpf 3-HCATIGBIAN'!J48</f>
        <v>1600000</v>
      </c>
      <c r="H34" s="7063">
        <f>'lbpf 3-HCATIGBIAN'!J49</f>
        <v>8500000</v>
      </c>
      <c r="I34" s="7063">
        <f>'lbpf 3-HCATIGBIAN'!J50</f>
        <v>6000000</v>
      </c>
      <c r="J34" s="7063">
        <f>'lbpf 3-HCATIGBIAN'!J51</f>
        <v>200000</v>
      </c>
      <c r="K34" s="7063"/>
      <c r="L34" s="7063"/>
      <c r="M34" s="7063">
        <f>'lbpf 3-HCATIGBIAN'!J52</f>
        <v>165000</v>
      </c>
      <c r="N34" s="7063">
        <f>'lbpf 3-HCATIGBIAN'!J53</f>
        <v>685000</v>
      </c>
      <c r="O34" s="7077">
        <f>'lbpf 3-HCATIGBIAN'!J54</f>
        <v>30000</v>
      </c>
      <c r="P34" s="7063">
        <f>'lbpf 3-HCATIGBIAN'!J55</f>
        <v>4000</v>
      </c>
      <c r="Q34" s="7063">
        <f>'lbpf 3-HCATIGBIAN'!J56</f>
        <v>54000</v>
      </c>
      <c r="R34" s="7063">
        <f>+'lbpf 3-HCATIGBIAN'!J57</f>
        <v>0</v>
      </c>
      <c r="S34" s="7063"/>
      <c r="T34" s="7063">
        <f>'lbpf 3-HCATIGBIAN'!J58</f>
        <v>36000</v>
      </c>
      <c r="U34" s="7063"/>
      <c r="V34" s="7063"/>
      <c r="W34" s="7063"/>
      <c r="X34" s="7063"/>
      <c r="Y34" s="7063">
        <f>'lbpf 3-HCATIGBIAN'!J59</f>
        <v>4000</v>
      </c>
      <c r="Z34" s="7063"/>
      <c r="AA34" s="7065"/>
      <c r="AB34" s="7065"/>
      <c r="AC34" s="7063"/>
      <c r="AD34" s="7063">
        <f>'lbpf 3-HCATIGBIAN'!J60</f>
        <v>2365000</v>
      </c>
      <c r="AE34" s="7063">
        <f>'lbpf 3-HCATIGBIAN'!J61</f>
        <v>5770000</v>
      </c>
      <c r="AF34" s="7063"/>
      <c r="AG34" s="7065">
        <f>'lbpf 3-HCATIGBIAN'!J62</f>
        <v>840000</v>
      </c>
      <c r="AH34" s="7065">
        <f>'lbpf 3-HCATIGBIAN'!J63</f>
        <v>910000</v>
      </c>
      <c r="AI34" s="7065"/>
      <c r="AJ34" s="7077">
        <f>'lbpf 3-HCATIGBIAN'!J64</f>
        <v>200000</v>
      </c>
      <c r="AK34" s="7065"/>
      <c r="AL34" s="7065"/>
      <c r="AM34" s="7063">
        <f>'lbpf 3-HCATIGBIAN'!J65</f>
        <v>0</v>
      </c>
      <c r="AN34" s="7065"/>
      <c r="AO34" s="7063">
        <f>'lbpf 3-HCATIGBIAN'!J79</f>
        <v>100000</v>
      </c>
      <c r="AP34" s="7063">
        <f>'lbpf 3-HCATIGBIAN'!J80</f>
        <v>150000</v>
      </c>
      <c r="AQ34" s="7065"/>
      <c r="AR34" s="7065"/>
      <c r="AS34" s="7065"/>
      <c r="AT34" s="7065"/>
      <c r="AU34" s="7065"/>
      <c r="AV34" s="7077">
        <f>'lbpf 3-HCATIGBIAN'!J81</f>
        <v>30000</v>
      </c>
      <c r="AW34" s="7065">
        <f>'lbpf 3-HCATIGBIAN'!J82</f>
        <v>25000</v>
      </c>
      <c r="AX34" s="7065"/>
      <c r="AY34" s="7065">
        <f>'lbpf 3-HCATIGBIAN'!J83</f>
        <v>300000</v>
      </c>
      <c r="AZ34" s="7065"/>
      <c r="BA34" s="7065"/>
      <c r="BB34" s="7077"/>
      <c r="BC34" s="7065"/>
      <c r="BD34" s="7065"/>
      <c r="BE34" s="7065"/>
      <c r="BF34" s="7065"/>
      <c r="BG34" s="7061">
        <f t="shared" si="2"/>
        <v>28698000</v>
      </c>
      <c r="BH34" s="192" t="s">
        <v>586</v>
      </c>
    </row>
    <row r="35" spans="1:61" ht="14.1" customHeight="1">
      <c r="A35" s="7057" t="s">
        <v>587</v>
      </c>
      <c r="B35" s="7063">
        <f>'lbpf 3-HCLARIN'!J44</f>
        <v>150000</v>
      </c>
      <c r="C35" s="7063">
        <f>'lbpf 3-HCLARIN'!J45</f>
        <v>200000</v>
      </c>
      <c r="D35" s="7063">
        <f>'lbpf 3-HCLARIN'!J46</f>
        <v>265000</v>
      </c>
      <c r="E35" s="7063">
        <f>'lbpf 3-HCLARIN'!J47</f>
        <v>70000</v>
      </c>
      <c r="F35" s="7063"/>
      <c r="G35" s="7063">
        <f>'lbpf 3-HCLARIN'!J48</f>
        <v>620000</v>
      </c>
      <c r="H35" s="7063">
        <f>'lbpf 3-HCLARIN'!J49</f>
        <v>4000000</v>
      </c>
      <c r="I35" s="7063">
        <f>'lbpf 3-HCLARIN'!J50</f>
        <v>4600000</v>
      </c>
      <c r="J35" s="7063">
        <f>'lbpf 3-HCLARIN'!J51</f>
        <v>300000</v>
      </c>
      <c r="K35" s="7063"/>
      <c r="L35" s="7063"/>
      <c r="M35" s="7063">
        <f>'lbpf 3-HCLARIN'!J54</f>
        <v>60000</v>
      </c>
      <c r="N35" s="7063">
        <f>'lbpf 3-HCLARIN'!J55</f>
        <v>380000</v>
      </c>
      <c r="O35" s="7077">
        <f>'lbpf 3-HCLARIN'!J52</f>
        <v>200000</v>
      </c>
      <c r="P35" s="7063">
        <f>'lbpf 3-HCLARIN'!J56</f>
        <v>8000</v>
      </c>
      <c r="Q35" s="7063">
        <f>'lbpf 3-HCLARIN'!J57</f>
        <v>90000</v>
      </c>
      <c r="R35" s="7063"/>
      <c r="S35" s="7063"/>
      <c r="T35" s="7063"/>
      <c r="U35" s="7063"/>
      <c r="V35" s="7063"/>
      <c r="W35" s="7063"/>
      <c r="X35" s="7063"/>
      <c r="Y35" s="7063"/>
      <c r="Z35" s="7063">
        <f>'lbpf 3-HCLARIN'!J59</f>
        <v>60000</v>
      </c>
      <c r="AA35" s="7065"/>
      <c r="AB35" s="7065"/>
      <c r="AC35" s="7063"/>
      <c r="AD35" s="7063">
        <f>'lbpf 3-HCLARIN'!J60</f>
        <v>1790000</v>
      </c>
      <c r="AE35" s="7063">
        <f>'lbpf 3-HCLARIN'!J61</f>
        <v>6400000</v>
      </c>
      <c r="AF35" s="7063"/>
      <c r="AG35" s="7065"/>
      <c r="AH35" s="7065">
        <f>'lbpf 3-HCLARIN'!J62</f>
        <v>432000</v>
      </c>
      <c r="AI35" s="7065"/>
      <c r="AJ35" s="7077">
        <f>'lbpf 3-HCLARIN'!J63</f>
        <v>70000</v>
      </c>
      <c r="AK35" s="7065"/>
      <c r="AL35" s="7065"/>
      <c r="AM35" s="7063"/>
      <c r="AN35" s="7065"/>
      <c r="AO35" s="7063">
        <f>'lbpf 3-HCLARIN'!J82</f>
        <v>53000</v>
      </c>
      <c r="AP35" s="7063">
        <f>'lbpf 3-HCLARIN'!J83</f>
        <v>252000</v>
      </c>
      <c r="AQ35" s="7065"/>
      <c r="AR35" s="7065"/>
      <c r="AS35" s="7065"/>
      <c r="AT35" s="7065"/>
      <c r="AU35" s="7065"/>
      <c r="AV35" s="7077">
        <f>'lbpf 3-HCLARIN'!J84</f>
        <v>30000</v>
      </c>
      <c r="AW35" s="7065">
        <f>'lbpf 3-HCLARIN'!J85</f>
        <v>60000</v>
      </c>
      <c r="AX35" s="7065"/>
      <c r="AY35" s="7065">
        <f>'lbpf 3-HCLARIN'!J86+'lbpf 3-HCLARIN'!J87</f>
        <v>100000</v>
      </c>
      <c r="AZ35" s="7065"/>
      <c r="BA35" s="7065"/>
      <c r="BB35" s="7077"/>
      <c r="BC35" s="7065"/>
      <c r="BD35" s="7065"/>
      <c r="BE35" s="7065"/>
      <c r="BF35" s="7065"/>
      <c r="BG35" s="7061">
        <f t="shared" si="2"/>
        <v>20190000</v>
      </c>
      <c r="BH35" s="192" t="s">
        <v>587</v>
      </c>
    </row>
    <row r="36" spans="1:61" ht="14.1" customHeight="1">
      <c r="A36" s="7057" t="s">
        <v>588</v>
      </c>
      <c r="B36" s="7063">
        <f>'lbpf 3-HCANDIJAY'!J44</f>
        <v>158000</v>
      </c>
      <c r="C36" s="7063">
        <f>'lbpf 3-HCANDIJAY'!J45</f>
        <v>149000</v>
      </c>
      <c r="D36" s="7063">
        <f>'lbpf 3-HCANDIJAY'!J46</f>
        <v>375250</v>
      </c>
      <c r="E36" s="7063">
        <f>'lbpf 3-HCANDIJAY'!J47</f>
        <v>61875</v>
      </c>
      <c r="F36" s="7063"/>
      <c r="G36" s="7063">
        <f>'lbpf 3-HCANDIJAY'!J48</f>
        <v>1200000</v>
      </c>
      <c r="H36" s="7063">
        <f>'lbpf 3-HCANDIJAY'!J49</f>
        <v>5650000</v>
      </c>
      <c r="I36" s="7063">
        <f>'lbpf 3-HCANDIJAY'!J50</f>
        <v>4784158</v>
      </c>
      <c r="J36" s="7063">
        <f>'lbpf 3-HCANDIJAY'!J51</f>
        <v>200500</v>
      </c>
      <c r="K36" s="7063"/>
      <c r="L36" s="7063"/>
      <c r="M36" s="7063">
        <f>'lbpf 3-HCANDIJAY'!J52</f>
        <v>15000</v>
      </c>
      <c r="N36" s="7063">
        <f>'lbpf 3-HCANDIJAY'!J53</f>
        <v>500000</v>
      </c>
      <c r="O36" s="7077">
        <f>'lbpf 3-HCANDIJAY'!J54</f>
        <v>40000</v>
      </c>
      <c r="P36" s="7063">
        <f>'lbpf 3-HCANDIJAY'!J55</f>
        <v>7000</v>
      </c>
      <c r="Q36" s="7063">
        <f>'lbpf 3-HCANDIJAY'!J56</f>
        <v>25000</v>
      </c>
      <c r="R36" s="7063"/>
      <c r="S36" s="7063"/>
      <c r="T36" s="7063">
        <f>'lbpf 3-HCANDIJAY'!J57</f>
        <v>17000</v>
      </c>
      <c r="U36" s="7063"/>
      <c r="V36" s="7063"/>
      <c r="W36" s="7063"/>
      <c r="X36" s="7063"/>
      <c r="Y36" s="7063"/>
      <c r="Z36" s="7063">
        <f>'lbpf 3-HCANDIJAY'!J58</f>
        <v>60000</v>
      </c>
      <c r="AA36" s="7065"/>
      <c r="AB36" s="7065"/>
      <c r="AC36" s="7063"/>
      <c r="AD36" s="7063">
        <f>'lbpf 3-HCANDIJAY'!J59</f>
        <v>3000000</v>
      </c>
      <c r="AE36" s="7063">
        <f>'lbpf 3-HCANDIJAY'!J60</f>
        <v>6800000</v>
      </c>
      <c r="AF36" s="7063"/>
      <c r="AG36" s="7065"/>
      <c r="AH36" s="7065"/>
      <c r="AI36" s="7065"/>
      <c r="AJ36" s="7077">
        <f>'lbpf 3-HCANDIJAY'!J61</f>
        <v>100000</v>
      </c>
      <c r="AK36" s="7065"/>
      <c r="AL36" s="7065"/>
      <c r="AM36" s="7063"/>
      <c r="AN36" s="7065"/>
      <c r="AO36" s="7063">
        <f>'lbpf 3-HCANDIJAY'!J62</f>
        <v>100000</v>
      </c>
      <c r="AP36" s="7063">
        <f>'lbpf 3-HCANDIJAY'!J63</f>
        <v>160000</v>
      </c>
      <c r="AQ36" s="7065"/>
      <c r="AR36" s="7065"/>
      <c r="AS36" s="7065"/>
      <c r="AT36" s="7065"/>
      <c r="AU36" s="7065"/>
      <c r="AV36" s="7077">
        <f>'lbpf 3-HCANDIJAY'!J64</f>
        <v>35000</v>
      </c>
      <c r="AW36" s="7065">
        <f>'lbpf 3-HCANDIJAY'!J80</f>
        <v>10000</v>
      </c>
      <c r="AX36" s="7065">
        <f>'lbpf 3-HCANDIJAY'!J81</f>
        <v>5000</v>
      </c>
      <c r="AY36" s="7065">
        <f>'lbpf 3-HCANDIJAY'!J82+'lbpf 3-HCANDIJAY'!J83</f>
        <v>750000</v>
      </c>
      <c r="AZ36" s="7065"/>
      <c r="BA36" s="7065"/>
      <c r="BB36" s="7077"/>
      <c r="BC36" s="7065"/>
      <c r="BD36" s="7065"/>
      <c r="BE36" s="7065"/>
      <c r="BF36" s="7065"/>
      <c r="BG36" s="7061">
        <f t="shared" si="2"/>
        <v>24202783</v>
      </c>
      <c r="BH36" s="192" t="s">
        <v>588</v>
      </c>
    </row>
    <row r="37" spans="1:61" ht="14.1" customHeight="1">
      <c r="A37" s="7057" t="s">
        <v>589</v>
      </c>
      <c r="B37" s="7063">
        <f>'lbpf 3-HMARIBOJOC'!J43</f>
        <v>120000</v>
      </c>
      <c r="C37" s="7063">
        <f>'lbpf 3-HMARIBOJOC'!J44</f>
        <v>150000</v>
      </c>
      <c r="D37" s="7063">
        <f>'lbpf 3-HMARIBOJOC'!J45</f>
        <v>120000</v>
      </c>
      <c r="E37" s="7063">
        <f>'lbpf 3-HMARIBOJOC'!J46</f>
        <v>36000</v>
      </c>
      <c r="F37" s="7063"/>
      <c r="G37" s="7063">
        <f>'lbpf 3-HMARIBOJOC'!J47</f>
        <v>850000</v>
      </c>
      <c r="H37" s="7063">
        <f>'lbpf 3-HMARIBOJOC'!J48</f>
        <v>3000000</v>
      </c>
      <c r="I37" s="7063">
        <f>'lbpf 3-HMARIBOJOC'!J49</f>
        <v>2000000</v>
      </c>
      <c r="J37" s="7063">
        <f>'lbpf 3-HMARIBOJOC'!J50</f>
        <v>110000</v>
      </c>
      <c r="K37" s="7063"/>
      <c r="L37" s="7063"/>
      <c r="M37" s="7063">
        <f>'lbpf 3-HMARIBOJOC'!J52</f>
        <v>25000</v>
      </c>
      <c r="N37" s="7063">
        <f>'lbpf 3-HMARIBOJOC'!J53</f>
        <v>365000</v>
      </c>
      <c r="O37" s="7077">
        <f>'lbpf 3-HMARIBOJOC'!J51</f>
        <v>30000</v>
      </c>
      <c r="P37" s="7063">
        <f>'lbpf 3-HMARIBOJOC'!J54</f>
        <v>6000</v>
      </c>
      <c r="Q37" s="7063">
        <f>'lbpf 3-HMARIBOJOC'!J55</f>
        <v>66000</v>
      </c>
      <c r="R37" s="7063">
        <f>+'lbpf 3-HMARIBOJOC'!J56</f>
        <v>0</v>
      </c>
      <c r="S37" s="7063"/>
      <c r="T37" s="7063">
        <f>+'lbpf 3-HMARIBOJOC'!J57</f>
        <v>30000</v>
      </c>
      <c r="U37" s="7063"/>
      <c r="V37" s="7063"/>
      <c r="W37" s="7063"/>
      <c r="X37" s="7063"/>
      <c r="Y37" s="7063">
        <f>'lbpf 3-HMARIBOJOC'!J86</f>
        <v>15000</v>
      </c>
      <c r="Z37" s="7063">
        <f>'lbpf 3-HMARIBOJOC'!J87</f>
        <v>60000</v>
      </c>
      <c r="AA37" s="7065"/>
      <c r="AB37" s="7065"/>
      <c r="AC37" s="7063"/>
      <c r="AD37" s="7063">
        <f>'lbpf 3-HMARIBOJOC'!J59</f>
        <v>1200000</v>
      </c>
      <c r="AE37" s="7063">
        <f>'lbpf 3-HMARIBOJOC'!J58</f>
        <v>4500000</v>
      </c>
      <c r="AF37" s="7063"/>
      <c r="AG37" s="7065">
        <f>'lbpf 3-HMARIBOJOC'!J60</f>
        <v>600000</v>
      </c>
      <c r="AH37" s="7065"/>
      <c r="AI37" s="7065"/>
      <c r="AJ37" s="7077">
        <f>'lbpf 3-HMARIBOJOC'!J61</f>
        <v>20000</v>
      </c>
      <c r="AK37" s="7065"/>
      <c r="AL37" s="7065"/>
      <c r="AM37" s="7063">
        <f>'lbpf 3-HMARIBOJOC'!J62</f>
        <v>0</v>
      </c>
      <c r="AN37" s="7065"/>
      <c r="AO37" s="7063">
        <f>'lbpf 3-HMARIBOJOC'!J63</f>
        <v>50000</v>
      </c>
      <c r="AP37" s="7063">
        <f>'lbpf 3-HMARIBOJOC'!J82</f>
        <v>50000</v>
      </c>
      <c r="AQ37" s="7065"/>
      <c r="AR37" s="7065"/>
      <c r="AS37" s="7065"/>
      <c r="AT37" s="7065"/>
      <c r="AU37" s="7065"/>
      <c r="AV37" s="7077">
        <f>'lbpf 3-HMARIBOJOC'!J85</f>
        <v>20000</v>
      </c>
      <c r="AW37" s="7065">
        <f>'lbpf 3-HMARIBOJOC'!J83</f>
        <v>10000</v>
      </c>
      <c r="AX37" s="7065">
        <f>'lbpf 3-HMARIBOJOC'!J84</f>
        <v>10000</v>
      </c>
      <c r="AY37" s="7065">
        <f>'lbpf 3-HMARIBOJOC'!J88</f>
        <v>200000</v>
      </c>
      <c r="AZ37" s="7065"/>
      <c r="BA37" s="7065"/>
      <c r="BB37" s="7077"/>
      <c r="BC37" s="7065"/>
      <c r="BD37" s="7065"/>
      <c r="BE37" s="7065"/>
      <c r="BF37" s="7065"/>
      <c r="BG37" s="7061">
        <f t="shared" si="2"/>
        <v>13643000</v>
      </c>
      <c r="BH37" s="192" t="s">
        <v>589</v>
      </c>
    </row>
    <row r="38" spans="1:61" ht="14.1" customHeight="1">
      <c r="A38" s="7057" t="s">
        <v>590</v>
      </c>
      <c r="B38" s="7063">
        <f>'lbpf 3-HINABANGA '!J43</f>
        <v>100000</v>
      </c>
      <c r="C38" s="7063">
        <f>'lbpf 3-HINABANGA '!J44</f>
        <v>200000</v>
      </c>
      <c r="D38" s="7063">
        <f>'lbpf 3-HINABANGA '!J45</f>
        <v>150000</v>
      </c>
      <c r="E38" s="7063">
        <f>'lbpf 3-HINABANGA '!J46</f>
        <v>40000</v>
      </c>
      <c r="F38" s="7063"/>
      <c r="G38" s="7063">
        <f>'lbpf 3-HINABANGA '!J47</f>
        <v>1000000</v>
      </c>
      <c r="H38" s="7063">
        <f>'lbpf 3-HINABANGA '!J49</f>
        <v>4705000</v>
      </c>
      <c r="I38" s="7063">
        <f>'lbpf 3-HINABANGA '!J48</f>
        <v>5500000</v>
      </c>
      <c r="J38" s="7063">
        <f>'lbpf 3-HINABANGA '!J50</f>
        <v>400000</v>
      </c>
      <c r="K38" s="7063"/>
      <c r="L38" s="7063"/>
      <c r="M38" s="7063"/>
      <c r="N38" s="7063">
        <f>'lbpf 3-HINABANGA '!J51</f>
        <v>700000</v>
      </c>
      <c r="O38" s="7077">
        <f>'lbpf 3-HINABANGA '!J52</f>
        <v>100000</v>
      </c>
      <c r="P38" s="7063">
        <f>'lbpf 3-HINABANGA '!J53</f>
        <v>5000</v>
      </c>
      <c r="Q38" s="7063">
        <f>'lbpf 3-HINABANGA '!J54</f>
        <v>40000</v>
      </c>
      <c r="R38" s="7063">
        <f>+'lbpf 3-HINABANGA '!J55</f>
        <v>0</v>
      </c>
      <c r="S38" s="7063">
        <f>'lbpf 3-HINABANGA '!J56</f>
        <v>800000</v>
      </c>
      <c r="T38" s="7063"/>
      <c r="U38" s="7063"/>
      <c r="V38" s="7063"/>
      <c r="W38" s="7063"/>
      <c r="X38" s="7063"/>
      <c r="Y38" s="7063"/>
      <c r="Z38" s="7063">
        <f>'lbpf 3-HINABANGA '!J57</f>
        <v>60000</v>
      </c>
      <c r="AA38" s="7065"/>
      <c r="AB38" s="7065"/>
      <c r="AC38" s="7063"/>
      <c r="AD38" s="7063">
        <f>'lbpf 3-HINABANGA '!J58</f>
        <v>1500000</v>
      </c>
      <c r="AE38" s="7063">
        <f>'lbpf 3-HINABANGA '!J59</f>
        <v>3360000</v>
      </c>
      <c r="AF38" s="7063"/>
      <c r="AG38" s="7065">
        <f>'lbpf 3-HINABANGA '!J61</f>
        <v>460000</v>
      </c>
      <c r="AH38" s="7065">
        <f>'lbpf 3-HINABANGA '!J60</f>
        <v>468000</v>
      </c>
      <c r="AI38" s="7065"/>
      <c r="AJ38" s="7077">
        <f>'lbpf 3-HINABANGA '!J62</f>
        <v>80000</v>
      </c>
      <c r="AK38" s="7065"/>
      <c r="AL38" s="7065"/>
      <c r="AM38" s="7063">
        <f>'lbpf 3-HINABANGA '!J63</f>
        <v>0</v>
      </c>
      <c r="AN38" s="7065"/>
      <c r="AO38" s="7063">
        <f>'lbpf 3-HINABANGA '!J64</f>
        <v>35000</v>
      </c>
      <c r="AP38" s="7063">
        <f>'lbpf 3-HINABANGA '!J65</f>
        <v>160000</v>
      </c>
      <c r="AQ38" s="7065"/>
      <c r="AR38" s="7065"/>
      <c r="AS38" s="7065"/>
      <c r="AT38" s="7065"/>
      <c r="AU38" s="7065"/>
      <c r="AV38" s="7077">
        <f>'lbpf 3-HINABANGA '!J66</f>
        <v>30000</v>
      </c>
      <c r="AW38" s="7065">
        <f>'lbpf 3-HINABANGA '!J67</f>
        <v>15000</v>
      </c>
      <c r="AX38" s="7065"/>
      <c r="AY38" s="7065">
        <f>'lbpf 3-HINABANGA '!J68</f>
        <v>320000</v>
      </c>
      <c r="AZ38" s="7065"/>
      <c r="BA38" s="7065"/>
      <c r="BB38" s="7077"/>
      <c r="BC38" s="7065"/>
      <c r="BD38" s="7065"/>
      <c r="BE38" s="7065"/>
      <c r="BF38" s="7065"/>
      <c r="BG38" s="7061">
        <f t="shared" si="2"/>
        <v>20228000</v>
      </c>
      <c r="BH38" s="192" t="s">
        <v>590</v>
      </c>
    </row>
    <row r="39" spans="1:61" ht="14.1" customHeight="1">
      <c r="A39" s="7057" t="s">
        <v>591</v>
      </c>
      <c r="B39" s="7063">
        <f>'lbpf 3-HPGARCIA '!J44</f>
        <v>280000</v>
      </c>
      <c r="C39" s="7063">
        <f>'lbpf 3-HPGARCIA '!J45</f>
        <v>300000</v>
      </c>
      <c r="D39" s="7063">
        <f>'lbpf 3-HPGARCIA '!J46</f>
        <v>250000</v>
      </c>
      <c r="E39" s="7063">
        <f>'lbpf 3-HPGARCIA '!J47</f>
        <v>40000</v>
      </c>
      <c r="F39" s="7063"/>
      <c r="G39" s="7063">
        <f>'lbpf 3-HPGARCIA '!J48</f>
        <v>480000</v>
      </c>
      <c r="H39" s="7063">
        <f>'lbpf 3-HPGARCIA '!J49</f>
        <v>2250000</v>
      </c>
      <c r="I39" s="7063">
        <f>'lbpf 3-HPGARCIA '!J50</f>
        <v>2250000</v>
      </c>
      <c r="J39" s="7063">
        <f>'lbpf 3-HPGARCIA '!J51</f>
        <v>200000</v>
      </c>
      <c r="K39" s="7063"/>
      <c r="L39" s="7063"/>
      <c r="M39" s="7063">
        <f>'lbpf 3-HPGARCIA '!J53</f>
        <v>60000</v>
      </c>
      <c r="N39" s="7063">
        <f>'lbpf 3-HPGARCIA '!J52</f>
        <v>450000</v>
      </c>
      <c r="O39" s="7077">
        <f>'lbpf 3-HPGARCIA '!J54</f>
        <v>50000</v>
      </c>
      <c r="P39" s="7063">
        <f>'lbpf 3-HPGARCIA '!J55</f>
        <v>3000</v>
      </c>
      <c r="Q39" s="7063">
        <f>'lbpf 3-HPGARCIA '!J56</f>
        <v>25000</v>
      </c>
      <c r="R39" s="7063">
        <f>'lbpf 3-HPGARCIA '!J57</f>
        <v>0</v>
      </c>
      <c r="S39" s="7063"/>
      <c r="T39" s="7063">
        <f>'lbpf 3-HPGARCIA '!J58</f>
        <v>20000</v>
      </c>
      <c r="U39" s="7063"/>
      <c r="V39" s="7063"/>
      <c r="W39" s="7063"/>
      <c r="X39" s="7063"/>
      <c r="Y39" s="7063">
        <f>'lbpf 3-HPGARCIA '!J59</f>
        <v>5000</v>
      </c>
      <c r="Z39" s="7063">
        <f>'lbpf 3-HPGARCIA '!J60</f>
        <v>60000</v>
      </c>
      <c r="AA39" s="7065"/>
      <c r="AB39" s="7065"/>
      <c r="AC39" s="7063"/>
      <c r="AD39" s="7063">
        <f>'lbpf 3-HPGARCIA '!J61</f>
        <v>2400000</v>
      </c>
      <c r="AE39" s="7063">
        <f>'lbpf 3-HPGARCIA '!J62</f>
        <v>3000000</v>
      </c>
      <c r="AF39" s="7063"/>
      <c r="AG39" s="7065"/>
      <c r="AH39" s="7065"/>
      <c r="AI39" s="7065"/>
      <c r="AJ39" s="7077">
        <f>'lbpf 3-HPGARCIA '!J63</f>
        <v>50000</v>
      </c>
      <c r="AK39" s="7065"/>
      <c r="AL39" s="7065"/>
      <c r="AM39" s="7063"/>
      <c r="AN39" s="7065"/>
      <c r="AO39" s="7063">
        <f>'lbpf 3-HPGARCIA '!J81</f>
        <v>100000</v>
      </c>
      <c r="AP39" s="7063">
        <f>'lbpf 3-HPGARCIA '!J82</f>
        <v>120000</v>
      </c>
      <c r="AQ39" s="7065"/>
      <c r="AR39" s="7065"/>
      <c r="AS39" s="7065"/>
      <c r="AT39" s="7065"/>
      <c r="AU39" s="7065"/>
      <c r="AV39" s="7077">
        <f>'lbpf 3-HPGARCIA '!J83</f>
        <v>65000</v>
      </c>
      <c r="AW39" s="7065">
        <f>'lbpf 3-HPGARCIA '!J84</f>
        <v>5000</v>
      </c>
      <c r="AX39" s="7065"/>
      <c r="AY39" s="7065">
        <f>'lbpf 3-HPGARCIA '!J85</f>
        <v>280000</v>
      </c>
      <c r="AZ39" s="7065"/>
      <c r="BA39" s="7065"/>
      <c r="BB39" s="7077"/>
      <c r="BC39" s="7065"/>
      <c r="BD39" s="7065"/>
      <c r="BE39" s="7065"/>
      <c r="BF39" s="7065"/>
      <c r="BG39" s="7061">
        <f t="shared" si="2"/>
        <v>12743000</v>
      </c>
      <c r="BH39" s="192" t="s">
        <v>591</v>
      </c>
    </row>
    <row r="40" spans="1:61" ht="14.1" customHeight="1">
      <c r="A40" s="7066" t="s">
        <v>592</v>
      </c>
      <c r="B40" s="7067">
        <f>'lbpf 3-PSWD'!J44</f>
        <v>280000</v>
      </c>
      <c r="C40" s="7067">
        <f>'lbpf 3-PSWD'!J45</f>
        <v>650000</v>
      </c>
      <c r="D40" s="7067">
        <f>'lbpf 3-PSWD'!J46</f>
        <v>350000</v>
      </c>
      <c r="E40" s="7067"/>
      <c r="F40" s="7067"/>
      <c r="G40" s="7067"/>
      <c r="H40" s="7067"/>
      <c r="I40" s="7067"/>
      <c r="J40" s="7067">
        <f>'lbpf 3-PSWD'!J47</f>
        <v>165000</v>
      </c>
      <c r="K40" s="7067"/>
      <c r="L40" s="7067"/>
      <c r="M40" s="7067">
        <f>'lbpf 3-PSWD'!J48</f>
        <v>0</v>
      </c>
      <c r="N40" s="7067">
        <f>'lbpf 3-PSWD'!J49</f>
        <v>0</v>
      </c>
      <c r="O40" s="7078"/>
      <c r="P40" s="7067">
        <f>'lbpf 3-PSWD'!J50</f>
        <v>10000</v>
      </c>
      <c r="Q40" s="7067">
        <f>'lbpf 3-PSWD'!J51</f>
        <v>90000</v>
      </c>
      <c r="R40" s="7067">
        <f>'lbpf 3-PSWD'!J52</f>
        <v>0</v>
      </c>
      <c r="S40" s="7067"/>
      <c r="T40" s="7067">
        <f>'lbpf 3-PSWD'!J53</f>
        <v>50000</v>
      </c>
      <c r="U40" s="7067"/>
      <c r="V40" s="7067"/>
      <c r="W40" s="7067"/>
      <c r="X40" s="7067"/>
      <c r="Y40" s="7067">
        <f>'lbpf 3-PSWD'!J62</f>
        <v>15000</v>
      </c>
      <c r="Z40" s="7067"/>
      <c r="AA40" s="7069"/>
      <c r="AB40" s="7069"/>
      <c r="AC40" s="7067"/>
      <c r="AD40" s="7067">
        <f>'lbpf 3-PSWD'!J55</f>
        <v>1346400</v>
      </c>
      <c r="AE40" s="7067">
        <f>'lbpf 3-PSWD'!J54</f>
        <v>480000</v>
      </c>
      <c r="AF40" s="7067"/>
      <c r="AG40" s="7069"/>
      <c r="AH40" s="7069"/>
      <c r="AI40" s="7069">
        <f>'lbpf 3-PSWD'!J56</f>
        <v>75000</v>
      </c>
      <c r="AJ40" s="7078"/>
      <c r="AK40" s="7069"/>
      <c r="AL40" s="7069"/>
      <c r="AM40" s="7067">
        <f>'lbpf 3-PSWD'!J57</f>
        <v>0</v>
      </c>
      <c r="AN40" s="7069"/>
      <c r="AO40" s="7067">
        <f>'lbpf 3-PSWD'!J58</f>
        <v>35000</v>
      </c>
      <c r="AP40" s="7067">
        <f>'lbpf 3-PSWD'!J59</f>
        <v>230000</v>
      </c>
      <c r="AQ40" s="7069"/>
      <c r="AR40" s="7069"/>
      <c r="AS40" s="7069">
        <f>'lbpf 3-PSWD'!J64+'lbpf 3-PSWD'!J60</f>
        <v>13650000</v>
      </c>
      <c r="AT40" s="7069"/>
      <c r="AU40" s="7069"/>
      <c r="AV40" s="7078"/>
      <c r="AW40" s="7069">
        <f>'lbpf 3-PSWD'!J61</f>
        <v>45000</v>
      </c>
      <c r="AX40" s="7069"/>
      <c r="AY40" s="7069">
        <f>'lbpf 3-PSWD'!J65</f>
        <v>270000</v>
      </c>
      <c r="AZ40" s="7069"/>
      <c r="BA40" s="7069">
        <f>'lbpf 3-PSWD'!J63</f>
        <v>25000</v>
      </c>
      <c r="BB40" s="7078"/>
      <c r="BC40" s="7078"/>
      <c r="BD40" s="7078"/>
      <c r="BE40" s="7078"/>
      <c r="BF40" s="7078"/>
      <c r="BG40" s="7061">
        <f t="shared" si="2"/>
        <v>17766400</v>
      </c>
      <c r="BH40" s="192" t="s">
        <v>592</v>
      </c>
    </row>
    <row r="41" spans="1:61" ht="14.1" hidden="1" customHeight="1">
      <c r="A41" s="192"/>
      <c r="B41" s="355" t="s">
        <v>9</v>
      </c>
      <c r="C41" s="355"/>
      <c r="D41" s="355"/>
      <c r="E41" s="355"/>
      <c r="F41" s="2685"/>
      <c r="G41" s="355"/>
      <c r="H41" s="2685"/>
      <c r="I41" s="355"/>
      <c r="J41" s="2685"/>
      <c r="K41" s="2685"/>
      <c r="L41" s="2685"/>
      <c r="M41" s="2685"/>
      <c r="N41" s="355"/>
      <c r="O41" s="208"/>
      <c r="P41" s="355"/>
      <c r="Q41" s="355"/>
      <c r="R41" s="1262"/>
      <c r="S41" s="10437"/>
      <c r="T41" s="1262"/>
      <c r="U41" s="355"/>
      <c r="V41" s="8833"/>
      <c r="W41" s="355"/>
      <c r="X41" s="355"/>
      <c r="Y41" s="355"/>
      <c r="Z41" s="355"/>
      <c r="AA41" s="207"/>
      <c r="AB41" s="8835"/>
      <c r="AC41" s="355"/>
      <c r="AD41" s="355"/>
      <c r="AE41" s="2685"/>
      <c r="AF41" s="2685"/>
      <c r="AG41" s="207"/>
      <c r="AH41" s="1160"/>
      <c r="AI41" s="207"/>
      <c r="AJ41" s="208"/>
      <c r="AK41" s="207"/>
      <c r="AL41" s="207"/>
      <c r="AM41" s="355"/>
      <c r="AN41" s="207"/>
      <c r="AO41" s="355"/>
      <c r="AP41" s="355"/>
      <c r="AQ41" s="207"/>
      <c r="AR41" s="207"/>
      <c r="AS41" s="207"/>
      <c r="AT41" s="207"/>
      <c r="AU41" s="207"/>
      <c r="AV41" s="208"/>
      <c r="AW41" s="207"/>
      <c r="AX41" s="207"/>
      <c r="AY41" s="207"/>
      <c r="AZ41" s="207"/>
      <c r="BA41" s="207"/>
      <c r="BB41" s="208"/>
      <c r="BC41" s="208"/>
      <c r="BD41" s="8215"/>
      <c r="BE41" s="8215"/>
      <c r="BF41" s="7156"/>
      <c r="BG41" s="365"/>
      <c r="BH41" s="192"/>
    </row>
    <row r="42" spans="1:61" ht="12.6" customHeight="1" thickBot="1">
      <c r="A42" s="356" t="s">
        <v>485</v>
      </c>
      <c r="B42" s="357">
        <f t="shared" ref="B42:AP42" si="3">SUM(B26:B41)</f>
        <v>5184000</v>
      </c>
      <c r="C42" s="357">
        <f t="shared" si="3"/>
        <v>4427400</v>
      </c>
      <c r="D42" s="357">
        <f t="shared" si="3"/>
        <v>6145250</v>
      </c>
      <c r="E42" s="357">
        <f t="shared" si="3"/>
        <v>611875</v>
      </c>
      <c r="F42" s="357">
        <f>SUM(F26:F41)</f>
        <v>0</v>
      </c>
      <c r="G42" s="357">
        <f t="shared" si="3"/>
        <v>28070000</v>
      </c>
      <c r="H42" s="357">
        <f t="shared" si="3"/>
        <v>67855000</v>
      </c>
      <c r="I42" s="357">
        <f t="shared" si="3"/>
        <v>68884158</v>
      </c>
      <c r="J42" s="357">
        <f t="shared" si="3"/>
        <v>4355500</v>
      </c>
      <c r="K42" s="357">
        <f t="shared" si="3"/>
        <v>0</v>
      </c>
      <c r="L42" s="357">
        <f t="shared" si="3"/>
        <v>0</v>
      </c>
      <c r="M42" s="357">
        <f t="shared" si="3"/>
        <v>2285000</v>
      </c>
      <c r="N42" s="357">
        <f t="shared" si="3"/>
        <v>10870000</v>
      </c>
      <c r="O42" s="366">
        <f>SUM(O26:O40)</f>
        <v>905000</v>
      </c>
      <c r="P42" s="357">
        <f t="shared" si="3"/>
        <v>87250</v>
      </c>
      <c r="Q42" s="357">
        <f t="shared" si="3"/>
        <v>1062000</v>
      </c>
      <c r="R42" s="357">
        <f t="shared" si="3"/>
        <v>0</v>
      </c>
      <c r="S42" s="357">
        <f t="shared" si="3"/>
        <v>800000</v>
      </c>
      <c r="T42" s="357">
        <f t="shared" si="3"/>
        <v>1145000</v>
      </c>
      <c r="U42" s="357">
        <f>SUM(U26:U41)</f>
        <v>19000</v>
      </c>
      <c r="V42" s="357">
        <f>SUM(V26:V41)</f>
        <v>0</v>
      </c>
      <c r="W42" s="357">
        <f>SUM(W26:W41)</f>
        <v>0</v>
      </c>
      <c r="X42" s="357">
        <f t="shared" si="3"/>
        <v>0</v>
      </c>
      <c r="Y42" s="357">
        <f t="shared" si="3"/>
        <v>39000</v>
      </c>
      <c r="Z42" s="357">
        <f t="shared" si="3"/>
        <v>300000</v>
      </c>
      <c r="AA42" s="366">
        <f>SUM(AA26:AA40)</f>
        <v>5000</v>
      </c>
      <c r="AB42" s="366">
        <f>SUM(AB26:AB40)</f>
        <v>0</v>
      </c>
      <c r="AC42" s="357">
        <f t="shared" si="3"/>
        <v>0</v>
      </c>
      <c r="AD42" s="357">
        <f t="shared" si="3"/>
        <v>38311400</v>
      </c>
      <c r="AE42" s="357">
        <f t="shared" si="3"/>
        <v>58925000</v>
      </c>
      <c r="AF42" s="357">
        <f t="shared" si="3"/>
        <v>0</v>
      </c>
      <c r="AG42" s="366">
        <f t="shared" ref="AG42:AL42" si="4">SUM(AG26:AG40)</f>
        <v>4571630</v>
      </c>
      <c r="AH42" s="366">
        <f t="shared" si="4"/>
        <v>11707422</v>
      </c>
      <c r="AI42" s="366">
        <f t="shared" si="4"/>
        <v>625000</v>
      </c>
      <c r="AJ42" s="366">
        <f t="shared" si="4"/>
        <v>1370000</v>
      </c>
      <c r="AK42" s="366">
        <f t="shared" si="4"/>
        <v>3000</v>
      </c>
      <c r="AL42" s="366">
        <f t="shared" si="4"/>
        <v>3000</v>
      </c>
      <c r="AM42" s="357">
        <f>SUM(AM26:AM41)</f>
        <v>0</v>
      </c>
      <c r="AN42" s="366">
        <f>SUM(AN26:AN40)</f>
        <v>0</v>
      </c>
      <c r="AO42" s="357">
        <f t="shared" si="3"/>
        <v>1618000</v>
      </c>
      <c r="AP42" s="357">
        <f t="shared" si="3"/>
        <v>3262000</v>
      </c>
      <c r="AQ42" s="366">
        <f>SUM(AQ26:AQ40)</f>
        <v>10000</v>
      </c>
      <c r="AR42" s="366">
        <f>SUM(AR26:AR40)</f>
        <v>0</v>
      </c>
      <c r="AS42" s="366">
        <f t="shared" ref="AS42:BG42" si="5">SUM(AS26:AS40)</f>
        <v>13650000</v>
      </c>
      <c r="AT42" s="366">
        <f t="shared" si="5"/>
        <v>0</v>
      </c>
      <c r="AU42" s="366">
        <f t="shared" si="5"/>
        <v>0</v>
      </c>
      <c r="AV42" s="366">
        <f>SUM(AV26:AV40)</f>
        <v>339000</v>
      </c>
      <c r="AW42" s="366">
        <f t="shared" si="5"/>
        <v>307000</v>
      </c>
      <c r="AX42" s="366">
        <f>SUM(AX26:AX40)</f>
        <v>25000</v>
      </c>
      <c r="AY42" s="366">
        <f t="shared" si="5"/>
        <v>5740000</v>
      </c>
      <c r="AZ42" s="366">
        <f t="shared" si="5"/>
        <v>0</v>
      </c>
      <c r="BA42" s="366">
        <f t="shared" si="5"/>
        <v>25000</v>
      </c>
      <c r="BB42" s="366">
        <f t="shared" si="5"/>
        <v>0</v>
      </c>
      <c r="BC42" s="366">
        <f t="shared" si="5"/>
        <v>0</v>
      </c>
      <c r="BD42" s="366">
        <f t="shared" si="5"/>
        <v>0</v>
      </c>
      <c r="BE42" s="366">
        <f t="shared" si="5"/>
        <v>0</v>
      </c>
      <c r="BF42" s="366">
        <f t="shared" si="5"/>
        <v>0</v>
      </c>
      <c r="BG42" s="366">
        <f t="shared" si="5"/>
        <v>343542885</v>
      </c>
      <c r="BH42" s="356" t="s">
        <v>485</v>
      </c>
    </row>
    <row r="43" spans="1:61" ht="12.6" customHeight="1" thickTop="1">
      <c r="A43" s="7054" t="s">
        <v>3099</v>
      </c>
      <c r="B43" s="7055"/>
      <c r="C43" s="7055"/>
      <c r="D43" s="7055" t="s">
        <v>9</v>
      </c>
      <c r="E43" s="7055"/>
      <c r="F43" s="7055"/>
      <c r="G43" s="7055"/>
      <c r="H43" s="7055"/>
      <c r="I43" s="7055"/>
      <c r="J43" s="7055"/>
      <c r="K43" s="7055"/>
      <c r="L43" s="7055"/>
      <c r="M43" s="7055"/>
      <c r="N43" s="7055"/>
      <c r="O43" s="7056"/>
      <c r="P43" s="7055"/>
      <c r="Q43" s="7055"/>
      <c r="R43" s="7055"/>
      <c r="S43" s="7055"/>
      <c r="T43" s="7055"/>
      <c r="U43" s="7055"/>
      <c r="V43" s="7055"/>
      <c r="W43" s="7055"/>
      <c r="X43" s="7055"/>
      <c r="Y43" s="7055"/>
      <c r="Z43" s="7055"/>
      <c r="AA43" s="7056"/>
      <c r="AB43" s="7056"/>
      <c r="AC43" s="7055"/>
      <c r="AD43" s="7055"/>
      <c r="AE43" s="7055"/>
      <c r="AF43" s="7055"/>
      <c r="AG43" s="7056"/>
      <c r="AH43" s="7056"/>
      <c r="AI43" s="7056"/>
      <c r="AJ43" s="7056"/>
      <c r="AK43" s="7056"/>
      <c r="AL43" s="7056"/>
      <c r="AM43" s="7055"/>
      <c r="AN43" s="7056"/>
      <c r="AO43" s="7055"/>
      <c r="AP43" s="7055"/>
      <c r="AQ43" s="7056"/>
      <c r="AR43" s="7056"/>
      <c r="AS43" s="7056"/>
      <c r="AT43" s="7056"/>
      <c r="AU43" s="7056"/>
      <c r="AV43" s="7056"/>
      <c r="AW43" s="7056"/>
      <c r="AX43" s="7056"/>
      <c r="AY43" s="7056"/>
      <c r="AZ43" s="7056"/>
      <c r="BA43" s="7056"/>
      <c r="BB43" s="7056"/>
      <c r="BC43" s="7056"/>
      <c r="BD43" s="7056"/>
      <c r="BE43" s="7056"/>
      <c r="BF43" s="7056"/>
      <c r="BG43" s="7056"/>
      <c r="BH43" s="192" t="s">
        <v>3099</v>
      </c>
    </row>
    <row r="44" spans="1:61" ht="12.6" customHeight="1">
      <c r="A44" s="7057" t="s">
        <v>593</v>
      </c>
      <c r="B44" s="7058">
        <f>'lbpf 3-BEPO'!K44</f>
        <v>120000</v>
      </c>
      <c r="C44" s="7058">
        <f>'lbpf 3-BEPO'!K45</f>
        <v>100000</v>
      </c>
      <c r="D44" s="7058">
        <f>'lbpf 3-BEPO'!K46</f>
        <v>150000</v>
      </c>
      <c r="E44" s="7058"/>
      <c r="F44" s="7058"/>
      <c r="G44" s="7058"/>
      <c r="H44" s="7058"/>
      <c r="I44" s="7058"/>
      <c r="J44" s="7058">
        <f>'lbpf 3-BEPO'!K47</f>
        <v>0</v>
      </c>
      <c r="K44" s="7058"/>
      <c r="L44" s="7058"/>
      <c r="M44" s="7059"/>
      <c r="N44" s="7058">
        <f>'lbpf 3-BEPO'!K48</f>
        <v>0</v>
      </c>
      <c r="O44" s="7060"/>
      <c r="P44" s="7058">
        <f>'lbpf 3-BEPO'!K49</f>
        <v>5000</v>
      </c>
      <c r="Q44" s="7058">
        <f>'lbpf 3-BEPO'!K50+'lbpf 3-BEPO'!K51</f>
        <v>170000</v>
      </c>
      <c r="R44" s="7058"/>
      <c r="S44" s="7058"/>
      <c r="T44" s="7058">
        <f>'lbpf 3-BEPO'!K52</f>
        <v>0</v>
      </c>
      <c r="U44" s="7058"/>
      <c r="V44" s="7058"/>
      <c r="W44" s="7058"/>
      <c r="X44" s="7058"/>
      <c r="Y44" s="7058">
        <f>'lbpf 3-BEPO'!K53</f>
        <v>10000</v>
      </c>
      <c r="Z44" s="7058">
        <f>'lbpf 3-BEPO'!K54</f>
        <v>50000</v>
      </c>
      <c r="AA44" s="7060">
        <f>'lbpf 3-BEPO'!K55</f>
        <v>10000</v>
      </c>
      <c r="AB44" s="7060"/>
      <c r="AC44" s="7058"/>
      <c r="AD44" s="7058">
        <f>'lbpf 3-BEPO'!K56</f>
        <v>680000</v>
      </c>
      <c r="AE44" s="7058"/>
      <c r="AF44" s="7058"/>
      <c r="AG44" s="7060"/>
      <c r="AH44" s="7060"/>
      <c r="AI44" s="7060"/>
      <c r="AJ44" s="7060"/>
      <c r="AK44" s="7060"/>
      <c r="AL44" s="7060"/>
      <c r="AM44" s="7058">
        <f>'lbpf 3-BEPO'!K57</f>
        <v>0</v>
      </c>
      <c r="AN44" s="7060"/>
      <c r="AO44" s="7058">
        <f>'lbpf 3-BEPO'!K58</f>
        <v>50000</v>
      </c>
      <c r="AP44" s="7058"/>
      <c r="AQ44" s="7060"/>
      <c r="AR44" s="7060"/>
      <c r="AS44" s="7060"/>
      <c r="AT44" s="7060"/>
      <c r="AU44" s="7060"/>
      <c r="AV44" s="7060"/>
      <c r="AW44" s="7060">
        <f>'lbpf 3-BEPO'!K60</f>
        <v>10000</v>
      </c>
      <c r="AX44" s="7060"/>
      <c r="AY44" s="7060">
        <f>SUM('lbpf 3-BEPO'!K61:K67)</f>
        <v>500000</v>
      </c>
      <c r="AZ44" s="7060">
        <f>'lbpf 3-BEPO'!K64</f>
        <v>0</v>
      </c>
      <c r="BA44" s="7060"/>
      <c r="BB44" s="7060"/>
      <c r="BC44" s="7060"/>
      <c r="BD44" s="7060"/>
      <c r="BE44" s="7060"/>
      <c r="BF44" s="7060"/>
      <c r="BG44" s="7061">
        <f>SUM(B44:BF44)</f>
        <v>1855000</v>
      </c>
      <c r="BH44" s="192" t="s">
        <v>593</v>
      </c>
    </row>
    <row r="45" spans="1:61" ht="12.6" customHeight="1">
      <c r="A45" s="7057" t="s">
        <v>10813</v>
      </c>
      <c r="B45" s="7058">
        <f>'lbpf 3-PEEMU'!K43</f>
        <v>150000</v>
      </c>
      <c r="C45" s="7058">
        <f>'lbpf 3-PEEMU'!K44</f>
        <v>250000</v>
      </c>
      <c r="D45" s="7058">
        <f>'lbpf 3-PEEMU'!K45</f>
        <v>150000</v>
      </c>
      <c r="E45" s="7058"/>
      <c r="F45" s="7058"/>
      <c r="G45" s="7058"/>
      <c r="H45" s="7058"/>
      <c r="I45" s="7058"/>
      <c r="J45" s="7058">
        <f>'lbpf 3-PEEMU'!K46</f>
        <v>50000</v>
      </c>
      <c r="K45" s="7058"/>
      <c r="L45" s="7058"/>
      <c r="M45" s="7059">
        <f>'lbpf 3-PEEMU'!K47</f>
        <v>0</v>
      </c>
      <c r="N45" s="7058">
        <f>'lbpf 3-PEEMU'!K48</f>
        <v>0</v>
      </c>
      <c r="O45" s="7060"/>
      <c r="P45" s="7058">
        <f>'lbpf 3-PEEMU'!K49</f>
        <v>5000</v>
      </c>
      <c r="Q45" s="7058">
        <f>'lbpf 3-PEEMU'!K50</f>
        <v>105000</v>
      </c>
      <c r="R45" s="7058">
        <f>'lbpf 3-PEEMU'!K51</f>
        <v>0</v>
      </c>
      <c r="S45" s="7058"/>
      <c r="T45" s="7058">
        <f>'lbpf 3-PEEMU'!K52</f>
        <v>40000</v>
      </c>
      <c r="U45" s="7058"/>
      <c r="V45" s="7058"/>
      <c r="W45" s="7058"/>
      <c r="X45" s="7058"/>
      <c r="Y45" s="7058"/>
      <c r="Z45" s="7058">
        <f>'lbpf 3-PEEMU'!K62</f>
        <v>50000</v>
      </c>
      <c r="AA45" s="7060">
        <f>'lbpf 3-PEEMU'!K63</f>
        <v>25000</v>
      </c>
      <c r="AB45" s="7060"/>
      <c r="AC45" s="7058"/>
      <c r="AD45" s="7058">
        <f>'lbpf 3-PEEMU'!K55</f>
        <v>1400000</v>
      </c>
      <c r="AE45" s="7058">
        <f>'lbpf 3-PEEMU'!K54</f>
        <v>432000</v>
      </c>
      <c r="AF45" s="7058"/>
      <c r="AG45" s="7060"/>
      <c r="AH45" s="7060"/>
      <c r="AI45" s="7060">
        <f>'lbpf 3-PEEMU'!K57</f>
        <v>0</v>
      </c>
      <c r="AJ45" s="7060"/>
      <c r="AK45" s="7060"/>
      <c r="AL45" s="7060"/>
      <c r="AM45" s="7060">
        <f>'lbpf 3-PEEMU'!K58</f>
        <v>0</v>
      </c>
      <c r="AN45" s="7060"/>
      <c r="AO45" s="7058">
        <f>'lbpf 3-PEEMU'!K59</f>
        <v>40000</v>
      </c>
      <c r="AP45" s="7058">
        <f>'lbpf 3-PEEMU'!K60</f>
        <v>50000</v>
      </c>
      <c r="AQ45" s="7060"/>
      <c r="AR45" s="7060"/>
      <c r="AS45" s="7060"/>
      <c r="AT45" s="7060"/>
      <c r="AU45" s="7060"/>
      <c r="AV45" s="7060"/>
      <c r="AW45" s="7060">
        <f>'lbpf 3-PEEMU'!K61</f>
        <v>20000</v>
      </c>
      <c r="AX45" s="7060"/>
      <c r="AY45" s="7060">
        <f>'lbpf 3-PEEMU'!K64</f>
        <v>100000</v>
      </c>
      <c r="AZ45" s="7060"/>
      <c r="BA45" s="7060"/>
      <c r="BB45" s="7060"/>
      <c r="BC45" s="7060"/>
      <c r="BD45" s="7060">
        <f>'lbpf 3-PEEMU'!K53</f>
        <v>100000</v>
      </c>
      <c r="BE45" s="7060">
        <f>'lbpf 3-PEEMU'!K65</f>
        <v>0</v>
      </c>
      <c r="BF45" s="7060"/>
      <c r="BG45" s="7061">
        <f>SUM(B45:BF45)</f>
        <v>2967000</v>
      </c>
      <c r="BH45" s="8211" t="s">
        <v>10813</v>
      </c>
      <c r="BI45" s="13707">
        <f>3283500-BG45</f>
        <v>316500</v>
      </c>
    </row>
    <row r="46" spans="1:61" ht="12.6" customHeight="1">
      <c r="A46" s="7057" t="s">
        <v>594</v>
      </c>
      <c r="B46" s="7058">
        <f>'lbpf 3-BIPC'!K44</f>
        <v>85995</v>
      </c>
      <c r="C46" s="7058">
        <f>'lbpf 3-BIPC'!K45</f>
        <v>204187</v>
      </c>
      <c r="D46" s="7058">
        <f>'lbpf 3-BIPC'!K46</f>
        <v>121553</v>
      </c>
      <c r="E46" s="7058"/>
      <c r="F46" s="7058"/>
      <c r="G46" s="7058"/>
      <c r="H46" s="7058"/>
      <c r="I46" s="7058"/>
      <c r="J46" s="7058"/>
      <c r="K46" s="7058"/>
      <c r="L46" s="7058"/>
      <c r="M46" s="7059">
        <f>'lbpf 3-BIPC'!K47</f>
        <v>0</v>
      </c>
      <c r="N46" s="7058">
        <f>'lbpf 3-BIPC'!K48</f>
        <v>0</v>
      </c>
      <c r="O46" s="7060"/>
      <c r="P46" s="7058"/>
      <c r="Q46" s="7058">
        <f>'lbpf 3-BIPC'!K49</f>
        <v>174671</v>
      </c>
      <c r="R46" s="7058">
        <f>'lbpf 3-BIPC'!K50</f>
        <v>0</v>
      </c>
      <c r="S46" s="7058"/>
      <c r="T46" s="7058"/>
      <c r="U46" s="7058">
        <f>'lbpf 3-BIPC'!K51</f>
        <v>8104</v>
      </c>
      <c r="V46" s="7058"/>
      <c r="W46" s="7058"/>
      <c r="X46" s="7058"/>
      <c r="Y46" s="7058"/>
      <c r="Z46" s="7058"/>
      <c r="AA46" s="7060"/>
      <c r="AB46" s="7060"/>
      <c r="AC46" s="7058"/>
      <c r="AD46" s="7058">
        <f>'lbpf 3-BIPC'!K53</f>
        <v>475200</v>
      </c>
      <c r="AE46" s="7058">
        <f>'lbpf 3-BIPC'!K52</f>
        <v>360000</v>
      </c>
      <c r="AF46" s="7058"/>
      <c r="AG46" s="7060"/>
      <c r="AH46" s="7060"/>
      <c r="AI46" s="7060">
        <f>'lbpf 3-BIPC'!K54</f>
        <v>0</v>
      </c>
      <c r="AJ46" s="7060"/>
      <c r="AK46" s="7060"/>
      <c r="AL46" s="7060"/>
      <c r="AM46" s="7058"/>
      <c r="AN46" s="7060"/>
      <c r="AO46" s="7058">
        <f>'lbpf 3-BIPC'!K55</f>
        <v>44100</v>
      </c>
      <c r="AP46" s="7058">
        <f>'lbpf 3-BIPC'!K56</f>
        <v>0</v>
      </c>
      <c r="AQ46" s="7060"/>
      <c r="AR46" s="7060"/>
      <c r="AS46" s="7060"/>
      <c r="AT46" s="7060"/>
      <c r="AU46" s="7060"/>
      <c r="AV46" s="7060"/>
      <c r="AW46" s="7060"/>
      <c r="AX46" s="7060"/>
      <c r="AY46" s="7060">
        <f>'lbpf 3-BIPC'!K57+'lbpf 3-BIPC'!K58</f>
        <v>181912</v>
      </c>
      <c r="AZ46" s="7060"/>
      <c r="BA46" s="7060"/>
      <c r="BB46" s="7060"/>
      <c r="BC46" s="7060"/>
      <c r="BD46" s="7060"/>
      <c r="BE46" s="7060"/>
      <c r="BF46" s="7060"/>
      <c r="BG46" s="7061">
        <f t="shared" ref="BG46:BG52" si="6">SUM(B46:BF46)</f>
        <v>1655722</v>
      </c>
      <c r="BH46" s="192" t="s">
        <v>594</v>
      </c>
    </row>
    <row r="47" spans="1:61" ht="12.6" customHeight="1">
      <c r="A47" s="7057" t="s">
        <v>595</v>
      </c>
      <c r="B47" s="7058">
        <f>'lbpf 3-BTO'!K44</f>
        <v>100000</v>
      </c>
      <c r="C47" s="7058">
        <f>'lbpf 3-BTO'!K45</f>
        <v>100000</v>
      </c>
      <c r="D47" s="7058">
        <f>'lbpf 3-BTO'!K46</f>
        <v>50000</v>
      </c>
      <c r="E47" s="7058"/>
      <c r="F47" s="7058"/>
      <c r="G47" s="7058"/>
      <c r="H47" s="7058"/>
      <c r="I47" s="7058"/>
      <c r="J47" s="7058">
        <f>'lbpf 3-BTO'!K47</f>
        <v>80000</v>
      </c>
      <c r="K47" s="7058"/>
      <c r="L47" s="7058"/>
      <c r="M47" s="7062">
        <f>'lbpf 3-BTO'!K48</f>
        <v>0</v>
      </c>
      <c r="N47" s="7058">
        <f>'lbpf 3-BTO'!K49</f>
        <v>0</v>
      </c>
      <c r="O47" s="7060"/>
      <c r="P47" s="7058">
        <f>'lbpf 3-BTO'!K50</f>
        <v>2000</v>
      </c>
      <c r="Q47" s="7058">
        <f>'lbpf 3-BTO'!K51</f>
        <v>50000</v>
      </c>
      <c r="R47" s="7058">
        <f>+'lbpf 3-BTO'!K52</f>
        <v>0</v>
      </c>
      <c r="S47" s="7058"/>
      <c r="T47" s="7058">
        <f>'lbpf 3-BTO'!K53</f>
        <v>25000</v>
      </c>
      <c r="U47" s="7058">
        <f>'lbpf 3-BTO'!K54</f>
        <v>6000</v>
      </c>
      <c r="V47" s="7058"/>
      <c r="W47" s="7058"/>
      <c r="X47" s="7058"/>
      <c r="Y47" s="7058"/>
      <c r="Z47" s="7058"/>
      <c r="AA47" s="7060"/>
      <c r="AB47" s="7060"/>
      <c r="AC47" s="7058"/>
      <c r="AD47" s="7058">
        <f>'lbpf 3-BTO'!K55</f>
        <v>1600000</v>
      </c>
      <c r="AE47" s="7058">
        <f>'lbpf 3-BTO'!K56</f>
        <v>396000</v>
      </c>
      <c r="AF47" s="7058"/>
      <c r="AG47" s="7060"/>
      <c r="AH47" s="7060"/>
      <c r="AI47" s="7060"/>
      <c r="AJ47" s="7060"/>
      <c r="AK47" s="7060">
        <f>'lbpf 3-BTO'!K57</f>
        <v>50000</v>
      </c>
      <c r="AL47" s="7060"/>
      <c r="AM47" s="7058">
        <f>'lbpf 3-BTO'!K58</f>
        <v>0</v>
      </c>
      <c r="AN47" s="7060"/>
      <c r="AO47" s="7058"/>
      <c r="AP47" s="7058">
        <f>'lbpf 3-BTO'!K59</f>
        <v>80000</v>
      </c>
      <c r="AQ47" s="7060"/>
      <c r="AR47" s="7060"/>
      <c r="AS47" s="7060"/>
      <c r="AT47" s="7060"/>
      <c r="AU47" s="7060"/>
      <c r="AV47" s="7060"/>
      <c r="AW47" s="7060">
        <f>'lbpf 3-BTO'!K60</f>
        <v>8000</v>
      </c>
      <c r="AX47" s="7060"/>
      <c r="AY47" s="7060">
        <f>'lbpf 3-BTO'!K61</f>
        <v>161300</v>
      </c>
      <c r="AZ47" s="7060"/>
      <c r="BA47" s="7060"/>
      <c r="BB47" s="7060"/>
      <c r="BC47" s="7060"/>
      <c r="BD47" s="7060"/>
      <c r="BE47" s="7060"/>
      <c r="BF47" s="7060"/>
      <c r="BG47" s="7061">
        <f t="shared" si="6"/>
        <v>2708300</v>
      </c>
      <c r="BH47" s="192" t="s">
        <v>595</v>
      </c>
    </row>
    <row r="48" spans="1:61" ht="12.6" customHeight="1">
      <c r="A48" s="7057" t="s">
        <v>596</v>
      </c>
      <c r="B48" s="7058">
        <f>'lbpf 3-CCAD'!J43</f>
        <v>80000</v>
      </c>
      <c r="C48" s="7058">
        <f>'lbpf 3-CCAD'!J44</f>
        <v>10000</v>
      </c>
      <c r="D48" s="7058">
        <f>'lbpf 3-CCAD'!J45</f>
        <v>100000</v>
      </c>
      <c r="E48" s="7058"/>
      <c r="F48" s="7058"/>
      <c r="G48" s="7058"/>
      <c r="H48" s="7058"/>
      <c r="I48" s="7058"/>
      <c r="J48" s="7058">
        <f>'lbpf 3-CCAD'!J46</f>
        <v>60000</v>
      </c>
      <c r="K48" s="7058"/>
      <c r="L48" s="7058"/>
      <c r="M48" s="7059"/>
      <c r="N48" s="7058">
        <f>'lbpf 3-CCAD'!J47</f>
        <v>0</v>
      </c>
      <c r="O48" s="7060"/>
      <c r="P48" s="7058"/>
      <c r="Q48" s="7058">
        <f>'lbpf 3-CCAD'!J48</f>
        <v>78000</v>
      </c>
      <c r="R48" s="7058">
        <f>+'lbpf 3-CCAD'!J49</f>
        <v>0</v>
      </c>
      <c r="S48" s="7058"/>
      <c r="T48" s="7058">
        <f>'lbpf 3-CCAD'!J50</f>
        <v>0</v>
      </c>
      <c r="U48" s="7058">
        <f>'lbpf 3-CCAD'!J51</f>
        <v>6000</v>
      </c>
      <c r="V48" s="7058"/>
      <c r="W48" s="7058"/>
      <c r="X48" s="7058"/>
      <c r="Y48" s="7058"/>
      <c r="Z48" s="7058"/>
      <c r="AA48" s="7060"/>
      <c r="AB48" s="7060"/>
      <c r="AC48" s="7058"/>
      <c r="AD48" s="7058">
        <f>'lbpf 3-CCAD'!J53</f>
        <v>450000</v>
      </c>
      <c r="AE48" s="7058">
        <f>'lbpf 3-CCAD'!J52</f>
        <v>500000</v>
      </c>
      <c r="AF48" s="7058"/>
      <c r="AG48" s="7060"/>
      <c r="AH48" s="7060"/>
      <c r="AI48" s="7060"/>
      <c r="AJ48" s="7060"/>
      <c r="AK48" s="7060"/>
      <c r="AL48" s="7060"/>
      <c r="AM48" s="7058"/>
      <c r="AN48" s="7060"/>
      <c r="AO48" s="7058">
        <f>'lbpf 3-CCAD'!J55</f>
        <v>5000</v>
      </c>
      <c r="AP48" s="7058">
        <f>'lbpf 3-CCAD'!J56</f>
        <v>10000</v>
      </c>
      <c r="AQ48" s="7060">
        <f>'lbpf 3-CCAD'!J57</f>
        <v>20000</v>
      </c>
      <c r="AR48" s="7060"/>
      <c r="AS48" s="7060"/>
      <c r="AT48" s="7060"/>
      <c r="AU48" s="7060"/>
      <c r="AV48" s="7060"/>
      <c r="AW48" s="7060">
        <f>'lbpf 3-CCAD'!J58</f>
        <v>5000</v>
      </c>
      <c r="AX48" s="7060"/>
      <c r="AY48" s="7060">
        <f>'lbpf 3-CCAD'!J59</f>
        <v>40000</v>
      </c>
      <c r="AZ48" s="7060"/>
      <c r="BA48" s="7060"/>
      <c r="BB48" s="7060"/>
      <c r="BC48" s="7060"/>
      <c r="BD48" s="7060"/>
      <c r="BE48" s="7060"/>
      <c r="BF48" s="7060">
        <f>'lbpf 3-CCAD'!J54</f>
        <v>50000</v>
      </c>
      <c r="BG48" s="7061">
        <f t="shared" si="6"/>
        <v>1414000</v>
      </c>
      <c r="BH48" s="192" t="s">
        <v>596</v>
      </c>
    </row>
    <row r="49" spans="1:61" ht="12.6" customHeight="1">
      <c r="A49" s="7057" t="s">
        <v>598</v>
      </c>
      <c r="B49" s="7063">
        <f>'lbpf 3-OPA'!J44</f>
        <v>1250000</v>
      </c>
      <c r="C49" s="7063">
        <f>'lbpf 3-OPA'!J45</f>
        <v>250000</v>
      </c>
      <c r="D49" s="7063">
        <f>'lbpf 3-OPA'!J46</f>
        <v>315000</v>
      </c>
      <c r="E49" s="7063"/>
      <c r="F49" s="7063"/>
      <c r="G49" s="7063"/>
      <c r="H49" s="7063"/>
      <c r="I49" s="7063"/>
      <c r="J49" s="7063">
        <f>'lbpf 3-OPA'!J47</f>
        <v>365000</v>
      </c>
      <c r="K49" s="7063"/>
      <c r="L49" s="7063">
        <f>'lbpf 3-OPA'!J48</f>
        <v>150000</v>
      </c>
      <c r="M49" s="7064">
        <f>'lbpf 3-OPA'!J49</f>
        <v>0</v>
      </c>
      <c r="N49" s="7063">
        <f>'lbpf 3-OPA'!J50</f>
        <v>0</v>
      </c>
      <c r="O49" s="7060"/>
      <c r="P49" s="7063">
        <f>'lbpf 3-OPA'!J51</f>
        <v>5500</v>
      </c>
      <c r="Q49" s="7063">
        <f>'lbpf 3-OPA'!J52</f>
        <v>280000</v>
      </c>
      <c r="R49" s="7063">
        <f>+'lbpf 3-OPA'!J53</f>
        <v>0</v>
      </c>
      <c r="S49" s="7063"/>
      <c r="T49" s="7063"/>
      <c r="U49" s="7063"/>
      <c r="V49" s="7063"/>
      <c r="W49" s="7063"/>
      <c r="X49" s="7063"/>
      <c r="Y49" s="7063"/>
      <c r="Z49" s="7063"/>
      <c r="AA49" s="7060"/>
      <c r="AB49" s="7060"/>
      <c r="AC49" s="7063"/>
      <c r="AD49" s="7063">
        <f>'lbpf 3-OPA'!J55</f>
        <v>465000</v>
      </c>
      <c r="AE49" s="7063"/>
      <c r="AF49" s="7063"/>
      <c r="AG49" s="7060"/>
      <c r="AH49" s="7060"/>
      <c r="AI49" s="7060">
        <f>'lbpf 3-OPA'!J56</f>
        <v>100000</v>
      </c>
      <c r="AJ49" s="7060"/>
      <c r="AK49" s="7060"/>
      <c r="AL49" s="7060"/>
      <c r="AM49" s="7063">
        <f>'lbpf 3-OPA'!J57</f>
        <v>0</v>
      </c>
      <c r="AN49" s="7060"/>
      <c r="AO49" s="7063">
        <f>'lbpf 3-OPA'!J58</f>
        <v>120000</v>
      </c>
      <c r="AP49" s="7063">
        <f>'lbpf 3-OPA'!J59</f>
        <v>260000</v>
      </c>
      <c r="AQ49" s="7060"/>
      <c r="AR49" s="7060"/>
      <c r="AS49" s="7060"/>
      <c r="AT49" s="7060"/>
      <c r="AU49" s="7060"/>
      <c r="AV49" s="7060"/>
      <c r="AW49" s="7060">
        <f>'lbpf 3-OPA'!J60</f>
        <v>23100</v>
      </c>
      <c r="AX49" s="7060"/>
      <c r="AY49" s="7060">
        <f>'lbpf 3-OPA'!J61+'lbpf 3-OPA'!J62</f>
        <v>300773</v>
      </c>
      <c r="AZ49" s="7060"/>
      <c r="BA49" s="7060"/>
      <c r="BB49" s="7060"/>
      <c r="BC49" s="7060"/>
      <c r="BD49" s="7060"/>
      <c r="BE49" s="7060"/>
      <c r="BF49" s="7060"/>
      <c r="BG49" s="7061">
        <f t="shared" si="6"/>
        <v>3884373</v>
      </c>
      <c r="BH49" s="192" t="s">
        <v>598</v>
      </c>
    </row>
    <row r="50" spans="1:61" ht="12.6" customHeight="1">
      <c r="A50" s="7057" t="s">
        <v>599</v>
      </c>
      <c r="B50" s="7063">
        <f>'lbpf 3-VET'!K45</f>
        <v>700000</v>
      </c>
      <c r="C50" s="7063">
        <f>'lbpf 3-VET'!K46</f>
        <v>200000</v>
      </c>
      <c r="D50" s="7063">
        <f>'lbpf 3-VET'!K47</f>
        <v>400000</v>
      </c>
      <c r="E50" s="7063"/>
      <c r="F50" s="7063">
        <f>'lbpf 3-VET'!K48</f>
        <v>600000</v>
      </c>
      <c r="G50" s="7063"/>
      <c r="H50" s="7063"/>
      <c r="I50" s="7063"/>
      <c r="J50" s="7063">
        <f>'lbpf 3-VET'!K49</f>
        <v>600000</v>
      </c>
      <c r="K50" s="7063"/>
      <c r="L50" s="7063">
        <f>'lbpf 3-VET'!K50</f>
        <v>50000</v>
      </c>
      <c r="M50" s="7064">
        <f>'lbpf 3-VET'!K51</f>
        <v>0</v>
      </c>
      <c r="N50" s="7063">
        <f>'lbpf 3-VET'!K52</f>
        <v>0</v>
      </c>
      <c r="O50" s="7065"/>
      <c r="P50" s="7063">
        <f>'lbpf 3-VET'!K53</f>
        <v>15000</v>
      </c>
      <c r="Q50" s="7063">
        <f>'lbpf 3-VET'!K54</f>
        <v>210000</v>
      </c>
      <c r="R50" s="7063">
        <f>'lbpf 3-VET'!K55</f>
        <v>0</v>
      </c>
      <c r="S50" s="7063"/>
      <c r="T50" s="7063"/>
      <c r="U50" s="7063"/>
      <c r="V50" s="7063"/>
      <c r="W50" s="7063"/>
      <c r="X50" s="7063"/>
      <c r="Y50" s="7063"/>
      <c r="Z50" s="7063"/>
      <c r="AA50" s="7065">
        <f>'lbpf 3-VET'!K56</f>
        <v>15000</v>
      </c>
      <c r="AB50" s="7065"/>
      <c r="AC50" s="7063"/>
      <c r="AD50" s="7063">
        <f>'lbpf 3-VET'!K57</f>
        <v>700000</v>
      </c>
      <c r="AE50" s="7063"/>
      <c r="AF50" s="7063"/>
      <c r="AG50" s="7065"/>
      <c r="AH50" s="7065"/>
      <c r="AI50" s="7065">
        <f>'lbpf 3-VET'!K58</f>
        <v>3000</v>
      </c>
      <c r="AJ50" s="7065"/>
      <c r="AK50" s="7065"/>
      <c r="AL50" s="7065"/>
      <c r="AM50" s="7063">
        <f>'lbpf 3-VET'!K59</f>
        <v>0</v>
      </c>
      <c r="AN50" s="7065"/>
      <c r="AO50" s="7063">
        <f>'lbpf 3-VET'!K60</f>
        <v>6000</v>
      </c>
      <c r="AP50" s="7063">
        <f>'lbpf 3-VET'!K61</f>
        <v>527000</v>
      </c>
      <c r="AQ50" s="7065">
        <f>'lbpf 3-VET'!K62</f>
        <v>3000</v>
      </c>
      <c r="AR50" s="7065"/>
      <c r="AS50" s="7065"/>
      <c r="AT50" s="7065"/>
      <c r="AU50" s="7065"/>
      <c r="AV50" s="7065"/>
      <c r="AW50" s="7065">
        <f>'lbpf 3-VET'!K63</f>
        <v>10000</v>
      </c>
      <c r="AX50" s="7065"/>
      <c r="AY50" s="7065">
        <f>'lbpf 3-VET'!K64</f>
        <v>670000</v>
      </c>
      <c r="AZ50" s="7065"/>
      <c r="BA50" s="7065"/>
      <c r="BB50" s="7065"/>
      <c r="BC50" s="7065"/>
      <c r="BD50" s="7065"/>
      <c r="BE50" s="7065"/>
      <c r="BF50" s="7065"/>
      <c r="BG50" s="7061">
        <f t="shared" si="6"/>
        <v>4709000</v>
      </c>
      <c r="BH50" s="192" t="s">
        <v>599</v>
      </c>
    </row>
    <row r="51" spans="1:61" ht="12.6" customHeight="1">
      <c r="A51" s="7057" t="s">
        <v>600</v>
      </c>
      <c r="B51" s="7063">
        <f>'lbpf 3-PEO'!J45</f>
        <v>3000000</v>
      </c>
      <c r="C51" s="7063">
        <f>'lbpf 3-PEO'!J46</f>
        <v>500000</v>
      </c>
      <c r="D51" s="7063">
        <f>'lbpf 3-PEO'!J47</f>
        <v>770000</v>
      </c>
      <c r="E51" s="7063"/>
      <c r="F51" s="7063"/>
      <c r="G51" s="7063"/>
      <c r="H51" s="7063"/>
      <c r="I51" s="7063"/>
      <c r="J51" s="7063">
        <f>'lbpf 3-PEO'!J48</f>
        <v>23000000</v>
      </c>
      <c r="K51" s="7063"/>
      <c r="L51" s="7063"/>
      <c r="M51" s="7064">
        <f>'lbpf 3-PEO'!J49</f>
        <v>0</v>
      </c>
      <c r="N51" s="7063">
        <f>'lbpf 3-PEO'!J50</f>
        <v>0</v>
      </c>
      <c r="O51" s="7065"/>
      <c r="P51" s="7063">
        <f>'lbpf 3-PEO'!J51</f>
        <v>3000</v>
      </c>
      <c r="Q51" s="7063">
        <f>'lbpf 3-PEO'!J52</f>
        <v>200000</v>
      </c>
      <c r="R51" s="7063">
        <f>'lbpf 3-PEO'!J53</f>
        <v>0</v>
      </c>
      <c r="S51" s="7063"/>
      <c r="T51" s="7063"/>
      <c r="U51" s="7063"/>
      <c r="V51" s="7063"/>
      <c r="W51" s="7063"/>
      <c r="X51" s="7063"/>
      <c r="Y51" s="7063"/>
      <c r="Z51" s="7063"/>
      <c r="AA51" s="7065"/>
      <c r="AB51" s="7065"/>
      <c r="AC51" s="7063"/>
      <c r="AD51" s="7063">
        <f>'lbpf 3-PEO'!J55+'lbpf 3-PEO'!J56</f>
        <v>18500000</v>
      </c>
      <c r="AE51" s="7063">
        <f>'lbpf 3-PEO'!J57</f>
        <v>5520000</v>
      </c>
      <c r="AF51" s="7063"/>
      <c r="AG51" s="7065"/>
      <c r="AH51" s="7065"/>
      <c r="AI51" s="7065">
        <f>'lbpf 3-PEO'!J58</f>
        <v>400000</v>
      </c>
      <c r="AJ51" s="7065"/>
      <c r="AK51" s="7065"/>
      <c r="AL51" s="7065"/>
      <c r="AM51" s="7063">
        <f>'lbpf 3-PEO'!J59</f>
        <v>0</v>
      </c>
      <c r="AN51" s="7065"/>
      <c r="AO51" s="7063">
        <f>'lbpf 3-PEO'!J60</f>
        <v>300000</v>
      </c>
      <c r="AP51" s="7063">
        <f>'lbpf 3-PEO'!J61</f>
        <v>1300000</v>
      </c>
      <c r="AQ51" s="7065"/>
      <c r="AR51" s="7065">
        <f>'lbpf 3-PEO'!J62</f>
        <v>22000000</v>
      </c>
      <c r="AS51" s="7065"/>
      <c r="AT51" s="7065"/>
      <c r="AU51" s="7065"/>
      <c r="AV51" s="7065"/>
      <c r="AW51" s="7065">
        <f>'lbpf 3-PEO'!J63</f>
        <v>4000</v>
      </c>
      <c r="AX51" s="7065"/>
      <c r="AY51" s="7065">
        <f>'lbpf 3-PEO'!J64+'lbpf 3-PEO'!J65</f>
        <v>500000</v>
      </c>
      <c r="AZ51" s="7065"/>
      <c r="BA51" s="7065"/>
      <c r="BB51" s="7065"/>
      <c r="BC51" s="7065"/>
      <c r="BD51" s="7065"/>
      <c r="BE51" s="7065"/>
      <c r="BF51" s="7065"/>
      <c r="BG51" s="7061">
        <f t="shared" si="6"/>
        <v>75997000</v>
      </c>
      <c r="BH51" s="192" t="s">
        <v>600</v>
      </c>
    </row>
    <row r="52" spans="1:61" ht="12.6" customHeight="1">
      <c r="A52" s="7066" t="s">
        <v>601</v>
      </c>
      <c r="B52" s="7067">
        <f>'lbpf 3-MOTORPOOL'!J45</f>
        <v>1500000</v>
      </c>
      <c r="C52" s="7067">
        <f>'lbpf 3-MOTORPOOL'!J46</f>
        <v>500000</v>
      </c>
      <c r="D52" s="7067">
        <f>'lbpf 3-MOTORPOOL'!J47</f>
        <v>200000</v>
      </c>
      <c r="E52" s="7067"/>
      <c r="F52" s="7067"/>
      <c r="G52" s="7067"/>
      <c r="H52" s="7067"/>
      <c r="I52" s="7067"/>
      <c r="J52" s="7067">
        <f>'lbpf 3-MOTORPOOL'!J48</f>
        <v>800000</v>
      </c>
      <c r="K52" s="7067"/>
      <c r="L52" s="7067"/>
      <c r="M52" s="7068">
        <f>'lbpf 3-MOTORPOOL'!J49</f>
        <v>0</v>
      </c>
      <c r="N52" s="7067">
        <f>'lbpf 3-MOTORPOOL'!J50</f>
        <v>0</v>
      </c>
      <c r="O52" s="7069"/>
      <c r="P52" s="7067"/>
      <c r="Q52" s="7067">
        <f>'lbpf 3-MOTORPOOL'!J51</f>
        <v>83400</v>
      </c>
      <c r="R52" s="7067">
        <f>+'lbpf 3-MOTORPOOL'!J52</f>
        <v>0</v>
      </c>
      <c r="S52" s="7067"/>
      <c r="T52" s="7067"/>
      <c r="U52" s="7067"/>
      <c r="V52" s="7067"/>
      <c r="W52" s="7067"/>
      <c r="X52" s="7067"/>
      <c r="Y52" s="7067">
        <f>'lbpf 3-MOTORPOOL'!J53</f>
        <v>0</v>
      </c>
      <c r="Z52" s="7067"/>
      <c r="AA52" s="7069"/>
      <c r="AB52" s="7069"/>
      <c r="AC52" s="7067"/>
      <c r="AD52" s="7067">
        <f>'lbpf 3-MOTORPOOL'!J54+'lbpf 3-MOTORPOOL'!J55</f>
        <v>4620000</v>
      </c>
      <c r="AE52" s="7067"/>
      <c r="AF52" s="7067"/>
      <c r="AG52" s="7069"/>
      <c r="AH52" s="7069"/>
      <c r="AI52" s="7069">
        <f>'lbpf 3-MOTORPOOL'!J56</f>
        <v>10000</v>
      </c>
      <c r="AJ52" s="7069"/>
      <c r="AK52" s="7069"/>
      <c r="AL52" s="7069"/>
      <c r="AM52" s="7067">
        <f>'lbpf 3-MOTORPOOL'!J57</f>
        <v>0</v>
      </c>
      <c r="AN52" s="7069">
        <f>'lbpf 3-MOTORPOOL'!J58</f>
        <v>170000</v>
      </c>
      <c r="AO52" s="7067">
        <f>'lbpf 3-MOTORPOOL'!J59</f>
        <v>13000000</v>
      </c>
      <c r="AP52" s="7067"/>
      <c r="AQ52" s="7069">
        <v>0</v>
      </c>
      <c r="AR52" s="7069"/>
      <c r="AS52" s="7069"/>
      <c r="AT52" s="7069"/>
      <c r="AU52" s="7069"/>
      <c r="AV52" s="7069"/>
      <c r="AW52" s="7069">
        <f>'lbpf 3-MOTORPOOL'!J60</f>
        <v>2000</v>
      </c>
      <c r="AX52" s="7069"/>
      <c r="AY52" s="7069">
        <f>'lbpf 3-MOTORPOOL'!J61</f>
        <v>200000</v>
      </c>
      <c r="AZ52" s="7069"/>
      <c r="BA52" s="7069"/>
      <c r="BB52" s="7069"/>
      <c r="BC52" s="7069"/>
      <c r="BD52" s="7069"/>
      <c r="BE52" s="7069"/>
      <c r="BF52" s="7069"/>
      <c r="BG52" s="7061">
        <f t="shared" si="6"/>
        <v>21085400</v>
      </c>
      <c r="BH52" s="192" t="s">
        <v>601</v>
      </c>
    </row>
    <row r="53" spans="1:61" ht="14.1" hidden="1" customHeight="1">
      <c r="A53" s="192"/>
      <c r="B53" s="359"/>
      <c r="C53" s="359"/>
      <c r="D53" s="359"/>
      <c r="E53" s="359"/>
      <c r="F53" s="2687"/>
      <c r="G53" s="359"/>
      <c r="H53" s="2687"/>
      <c r="I53" s="359"/>
      <c r="J53" s="2687"/>
      <c r="K53" s="2687"/>
      <c r="L53" s="2687"/>
      <c r="M53" s="2687"/>
      <c r="N53" s="359"/>
      <c r="O53" s="208"/>
      <c r="P53" s="359"/>
      <c r="Q53" s="359"/>
      <c r="R53" s="1264"/>
      <c r="S53" s="10438"/>
      <c r="T53" s="1264"/>
      <c r="U53" s="359"/>
      <c r="V53" s="8834"/>
      <c r="W53" s="359"/>
      <c r="X53" s="359"/>
      <c r="Y53" s="359"/>
      <c r="Z53" s="359"/>
      <c r="AA53" s="208"/>
      <c r="AB53" s="8215"/>
      <c r="AC53" s="359"/>
      <c r="AD53" s="359"/>
      <c r="AE53" s="2687"/>
      <c r="AF53" s="2687"/>
      <c r="AG53" s="208"/>
      <c r="AH53" s="1159"/>
      <c r="AI53" s="208"/>
      <c r="AJ53" s="208"/>
      <c r="AK53" s="208"/>
      <c r="AL53" s="208"/>
      <c r="AM53" s="359"/>
      <c r="AN53" s="208"/>
      <c r="AO53" s="359"/>
      <c r="AP53" s="359"/>
      <c r="AQ53" s="208"/>
      <c r="AR53" s="208"/>
      <c r="AS53" s="208"/>
      <c r="AT53" s="208"/>
      <c r="AU53" s="208"/>
      <c r="AV53" s="208"/>
      <c r="AW53" s="208"/>
      <c r="AX53" s="208"/>
      <c r="AY53" s="208"/>
      <c r="AZ53" s="208"/>
      <c r="BA53" s="208"/>
      <c r="BB53" s="208"/>
      <c r="BC53" s="208"/>
      <c r="BD53" s="8215"/>
      <c r="BE53" s="8215"/>
      <c r="BF53" s="7156"/>
      <c r="BG53" s="365"/>
      <c r="BH53" s="192"/>
    </row>
    <row r="54" spans="1:61" ht="14.1" customHeight="1" thickBot="1">
      <c r="A54" s="356" t="s">
        <v>485</v>
      </c>
      <c r="B54" s="357">
        <f t="shared" ref="B54:AP54" si="7">SUM(B44:B52)</f>
        <v>6985995</v>
      </c>
      <c r="C54" s="357">
        <f t="shared" si="7"/>
        <v>2114187</v>
      </c>
      <c r="D54" s="357">
        <f t="shared" si="7"/>
        <v>2256553</v>
      </c>
      <c r="E54" s="357">
        <f t="shared" si="7"/>
        <v>0</v>
      </c>
      <c r="F54" s="357">
        <f>SUM(F44:F52)</f>
        <v>600000</v>
      </c>
      <c r="G54" s="357">
        <f t="shared" si="7"/>
        <v>0</v>
      </c>
      <c r="H54" s="357">
        <f t="shared" si="7"/>
        <v>0</v>
      </c>
      <c r="I54" s="357">
        <f t="shared" si="7"/>
        <v>0</v>
      </c>
      <c r="J54" s="357">
        <f t="shared" si="7"/>
        <v>24955000</v>
      </c>
      <c r="K54" s="357">
        <f t="shared" si="7"/>
        <v>0</v>
      </c>
      <c r="L54" s="357">
        <f t="shared" si="7"/>
        <v>200000</v>
      </c>
      <c r="M54" s="357">
        <f t="shared" si="7"/>
        <v>0</v>
      </c>
      <c r="N54" s="357">
        <f t="shared" si="7"/>
        <v>0</v>
      </c>
      <c r="O54" s="366">
        <f>SUM(O44:O52)</f>
        <v>0</v>
      </c>
      <c r="P54" s="357">
        <f t="shared" si="7"/>
        <v>35500</v>
      </c>
      <c r="Q54" s="357">
        <f t="shared" si="7"/>
        <v>1351071</v>
      </c>
      <c r="R54" s="357">
        <f>SUM(R44:R52)</f>
        <v>0</v>
      </c>
      <c r="S54" s="357">
        <f>SUM(S44:S52)</f>
        <v>0</v>
      </c>
      <c r="T54" s="357">
        <f t="shared" si="7"/>
        <v>65000</v>
      </c>
      <c r="U54" s="357">
        <f>SUM(U44:U52)</f>
        <v>20104</v>
      </c>
      <c r="V54" s="357">
        <f>SUM(V44:V52)</f>
        <v>0</v>
      </c>
      <c r="W54" s="357">
        <f>SUM(W44:W52)</f>
        <v>0</v>
      </c>
      <c r="X54" s="357">
        <f t="shared" si="7"/>
        <v>0</v>
      </c>
      <c r="Y54" s="357">
        <f t="shared" si="7"/>
        <v>10000</v>
      </c>
      <c r="Z54" s="357">
        <f t="shared" si="7"/>
        <v>100000</v>
      </c>
      <c r="AA54" s="366">
        <f>SUM(AA44:AA52)</f>
        <v>50000</v>
      </c>
      <c r="AB54" s="366">
        <f>SUM(AB44:AB52)</f>
        <v>0</v>
      </c>
      <c r="AC54" s="357">
        <f t="shared" si="7"/>
        <v>0</v>
      </c>
      <c r="AD54" s="357">
        <f t="shared" si="7"/>
        <v>28890200</v>
      </c>
      <c r="AE54" s="357">
        <f>SUM(AE44:AE52)</f>
        <v>7208000</v>
      </c>
      <c r="AF54" s="357">
        <f>SUM(AF44:AF52)</f>
        <v>0</v>
      </c>
      <c r="AG54" s="366">
        <f t="shared" ref="AG54:AM54" si="8">SUM(AG44:AG52)</f>
        <v>0</v>
      </c>
      <c r="AH54" s="366">
        <f t="shared" si="8"/>
        <v>0</v>
      </c>
      <c r="AI54" s="366">
        <f t="shared" si="8"/>
        <v>513000</v>
      </c>
      <c r="AJ54" s="366">
        <f t="shared" si="8"/>
        <v>0</v>
      </c>
      <c r="AK54" s="366">
        <f t="shared" si="8"/>
        <v>50000</v>
      </c>
      <c r="AL54" s="366">
        <f t="shared" si="8"/>
        <v>0</v>
      </c>
      <c r="AM54" s="357">
        <f t="shared" si="8"/>
        <v>0</v>
      </c>
      <c r="AN54" s="366">
        <f>SUM(AN50:AN52)</f>
        <v>170000</v>
      </c>
      <c r="AO54" s="357">
        <f t="shared" si="7"/>
        <v>13565100</v>
      </c>
      <c r="AP54" s="357">
        <f t="shared" si="7"/>
        <v>2227000</v>
      </c>
      <c r="AQ54" s="366">
        <f>SUM(AQ44:AQ52)</f>
        <v>23000</v>
      </c>
      <c r="AR54" s="366">
        <f>SUM(AR44:AR52)</f>
        <v>22000000</v>
      </c>
      <c r="AS54" s="366">
        <f t="shared" ref="AS54:BB54" si="9">SUM(AS44:AS52)</f>
        <v>0</v>
      </c>
      <c r="AT54" s="366">
        <f t="shared" si="9"/>
        <v>0</v>
      </c>
      <c r="AU54" s="366">
        <f t="shared" si="9"/>
        <v>0</v>
      </c>
      <c r="AV54" s="366">
        <f>SUM(AV44:AV52)</f>
        <v>0</v>
      </c>
      <c r="AW54" s="366">
        <f t="shared" si="9"/>
        <v>82100</v>
      </c>
      <c r="AX54" s="366">
        <f>SUM(AX44:AX52)</f>
        <v>0</v>
      </c>
      <c r="AY54" s="366">
        <f t="shared" si="9"/>
        <v>2653985</v>
      </c>
      <c r="AZ54" s="366">
        <f t="shared" si="9"/>
        <v>0</v>
      </c>
      <c r="BA54" s="366">
        <f t="shared" si="9"/>
        <v>0</v>
      </c>
      <c r="BB54" s="366">
        <f t="shared" si="9"/>
        <v>0</v>
      </c>
      <c r="BC54" s="366">
        <f>SUM(BC44:BC52)</f>
        <v>0</v>
      </c>
      <c r="BD54" s="366">
        <f>SUM(BD44:BD52)</f>
        <v>100000</v>
      </c>
      <c r="BE54" s="366">
        <f>SUM(BE44:BE52)</f>
        <v>0</v>
      </c>
      <c r="BF54" s="366">
        <f>SUM(BF44:BF52)</f>
        <v>50000</v>
      </c>
      <c r="BG54" s="366">
        <f>SUM(BG44:BG52)</f>
        <v>116275795</v>
      </c>
      <c r="BH54" s="356" t="s">
        <v>485</v>
      </c>
    </row>
    <row r="55" spans="1:61" ht="14.1" hidden="1" customHeight="1" thickTop="1" thickBot="1">
      <c r="A55" s="360"/>
      <c r="B55" s="361"/>
      <c r="C55" s="361"/>
      <c r="D55" s="361"/>
      <c r="E55" s="361"/>
      <c r="F55" s="361"/>
      <c r="G55" s="361"/>
      <c r="H55" s="361"/>
      <c r="I55" s="361"/>
      <c r="J55" s="361"/>
      <c r="K55" s="361"/>
      <c r="L55" s="361"/>
      <c r="M55" s="361"/>
      <c r="N55" s="361"/>
      <c r="O55" s="367"/>
      <c r="P55" s="361"/>
      <c r="Q55" s="361"/>
      <c r="R55" s="361"/>
      <c r="S55" s="361"/>
      <c r="T55" s="361"/>
      <c r="U55" s="361"/>
      <c r="V55" s="361"/>
      <c r="W55" s="361"/>
      <c r="X55" s="361"/>
      <c r="Y55" s="361"/>
      <c r="Z55" s="361"/>
      <c r="AA55" s="367"/>
      <c r="AB55" s="367"/>
      <c r="AC55" s="361"/>
      <c r="AD55" s="361"/>
      <c r="AE55" s="361"/>
      <c r="AF55" s="361"/>
      <c r="AG55" s="367"/>
      <c r="AH55" s="367"/>
      <c r="AI55" s="367"/>
      <c r="AJ55" s="367"/>
      <c r="AK55" s="367"/>
      <c r="AL55" s="367"/>
      <c r="AM55" s="361"/>
      <c r="AN55" s="367"/>
      <c r="AO55" s="361"/>
      <c r="AP55" s="361"/>
      <c r="AQ55" s="367"/>
      <c r="AR55" s="367"/>
      <c r="AS55" s="367"/>
      <c r="AT55" s="367"/>
      <c r="AU55" s="367"/>
      <c r="AV55" s="367"/>
      <c r="AW55" s="367"/>
      <c r="AX55" s="367"/>
      <c r="AY55" s="367"/>
      <c r="AZ55" s="367"/>
      <c r="BA55" s="367"/>
      <c r="BB55" s="367"/>
      <c r="BC55" s="367"/>
      <c r="BD55" s="367"/>
      <c r="BE55" s="367"/>
      <c r="BF55" s="367"/>
      <c r="BG55" s="367"/>
      <c r="BH55" s="360"/>
    </row>
    <row r="56" spans="1:61" ht="14.1" customHeight="1" thickTop="1" thickBot="1">
      <c r="A56" s="362" t="s">
        <v>602</v>
      </c>
      <c r="B56" s="363">
        <f t="shared" ref="B56:T56" si="10">SUM(B24+B42+B54)</f>
        <v>22448495</v>
      </c>
      <c r="C56" s="364">
        <f t="shared" si="10"/>
        <v>17322087</v>
      </c>
      <c r="D56" s="363">
        <f t="shared" si="10"/>
        <v>27247803</v>
      </c>
      <c r="E56" s="363">
        <f t="shared" si="10"/>
        <v>8736875</v>
      </c>
      <c r="F56" s="4999">
        <f>SUM(F24+F42+F54)</f>
        <v>600000</v>
      </c>
      <c r="G56" s="363">
        <f t="shared" si="10"/>
        <v>28070000</v>
      </c>
      <c r="H56" s="363">
        <f t="shared" si="10"/>
        <v>67855000</v>
      </c>
      <c r="I56" s="363">
        <f t="shared" si="10"/>
        <v>68884158</v>
      </c>
      <c r="J56" s="4999">
        <f t="shared" si="10"/>
        <v>48300500</v>
      </c>
      <c r="K56" s="4999">
        <f t="shared" si="10"/>
        <v>640000</v>
      </c>
      <c r="L56" s="4999">
        <f t="shared" si="10"/>
        <v>200000</v>
      </c>
      <c r="M56" s="4999">
        <f t="shared" si="10"/>
        <v>3730588</v>
      </c>
      <c r="N56" s="363">
        <f t="shared" si="10"/>
        <v>24903530</v>
      </c>
      <c r="O56" s="368">
        <f t="shared" si="10"/>
        <v>905000</v>
      </c>
      <c r="P56" s="363">
        <f t="shared" si="10"/>
        <v>423300</v>
      </c>
      <c r="Q56" s="363">
        <f t="shared" si="10"/>
        <v>7509571</v>
      </c>
      <c r="R56" s="363">
        <f>SUM(R24+R42+R54)</f>
        <v>0</v>
      </c>
      <c r="S56" s="363">
        <f>SUM(S24+S42+S54)</f>
        <v>800000</v>
      </c>
      <c r="T56" s="363">
        <f t="shared" si="10"/>
        <v>3644716</v>
      </c>
      <c r="U56" s="363">
        <f t="shared" ref="U56:AF56" si="11">SUM(U24+U42+U54)</f>
        <v>1382504</v>
      </c>
      <c r="V56" s="363">
        <f t="shared" si="11"/>
        <v>1329000</v>
      </c>
      <c r="W56" s="363">
        <f t="shared" si="11"/>
        <v>615000</v>
      </c>
      <c r="X56" s="363">
        <f t="shared" si="11"/>
        <v>1100000</v>
      </c>
      <c r="Y56" s="363">
        <f t="shared" si="11"/>
        <v>84000</v>
      </c>
      <c r="Z56" s="363">
        <f t="shared" si="11"/>
        <v>12881800</v>
      </c>
      <c r="AA56" s="368">
        <f t="shared" si="11"/>
        <v>408660</v>
      </c>
      <c r="AB56" s="368">
        <f t="shared" si="11"/>
        <v>623000</v>
      </c>
      <c r="AC56" s="363">
        <f t="shared" si="11"/>
        <v>0</v>
      </c>
      <c r="AD56" s="363">
        <f t="shared" si="11"/>
        <v>134058960</v>
      </c>
      <c r="AE56" s="363">
        <f t="shared" si="11"/>
        <v>84252680</v>
      </c>
      <c r="AF56" s="363">
        <f t="shared" si="11"/>
        <v>0</v>
      </c>
      <c r="AG56" s="368">
        <f t="shared" ref="AG56:AN56" si="12">SUM(AG24+AG42+AG54)</f>
        <v>9571630</v>
      </c>
      <c r="AH56" s="368">
        <f t="shared" si="12"/>
        <v>19707422</v>
      </c>
      <c r="AI56" s="368">
        <f t="shared" si="12"/>
        <v>2988000</v>
      </c>
      <c r="AJ56" s="368">
        <f t="shared" si="12"/>
        <v>1370000</v>
      </c>
      <c r="AK56" s="368">
        <f t="shared" si="12"/>
        <v>53000</v>
      </c>
      <c r="AL56" s="368">
        <f t="shared" si="12"/>
        <v>3000</v>
      </c>
      <c r="AM56" s="363">
        <f t="shared" si="12"/>
        <v>0</v>
      </c>
      <c r="AN56" s="368">
        <f t="shared" si="12"/>
        <v>170000</v>
      </c>
      <c r="AO56" s="363">
        <f t="shared" ref="AO56:AZ56" si="13">SUM(AO24+AO42+AO54)</f>
        <v>19017400</v>
      </c>
      <c r="AP56" s="363">
        <f t="shared" si="13"/>
        <v>18221500</v>
      </c>
      <c r="AQ56" s="368">
        <f t="shared" si="13"/>
        <v>33000</v>
      </c>
      <c r="AR56" s="368">
        <f t="shared" si="13"/>
        <v>22000000</v>
      </c>
      <c r="AS56" s="368">
        <f t="shared" si="13"/>
        <v>47650000</v>
      </c>
      <c r="AT56" s="368">
        <f t="shared" si="13"/>
        <v>14000000</v>
      </c>
      <c r="AU56" s="368">
        <f t="shared" si="13"/>
        <v>0</v>
      </c>
      <c r="AV56" s="368">
        <f t="shared" si="13"/>
        <v>339000</v>
      </c>
      <c r="AW56" s="368">
        <f t="shared" si="13"/>
        <v>733750</v>
      </c>
      <c r="AX56" s="368">
        <f t="shared" si="13"/>
        <v>2825000</v>
      </c>
      <c r="AY56" s="368">
        <f t="shared" si="13"/>
        <v>27291385</v>
      </c>
      <c r="AZ56" s="368">
        <f t="shared" si="13"/>
        <v>0</v>
      </c>
      <c r="BA56" s="368">
        <f t="shared" ref="BA56:BF56" si="14">SUM(BA24+BA42+BA54)</f>
        <v>25000</v>
      </c>
      <c r="BB56" s="368">
        <f t="shared" si="14"/>
        <v>0</v>
      </c>
      <c r="BC56" s="368">
        <f t="shared" si="14"/>
        <v>0</v>
      </c>
      <c r="BD56" s="368">
        <f>SUM(BD24+BD42+BD54)</f>
        <v>100000</v>
      </c>
      <c r="BE56" s="368">
        <f>SUM(BE24+BE42+BE54)</f>
        <v>0</v>
      </c>
      <c r="BF56" s="368">
        <f t="shared" si="14"/>
        <v>50000</v>
      </c>
      <c r="BG56" s="368">
        <f>SUM(BG24+BG42+BG54)</f>
        <v>755106314</v>
      </c>
      <c r="BH56" s="362" t="s">
        <v>602</v>
      </c>
      <c r="BI56" s="8850"/>
    </row>
    <row r="57" spans="1:61" ht="14.1" hidden="1" customHeight="1">
      <c r="BG57" s="8850">
        <f>SUM(B56:BF56)</f>
        <v>755106314</v>
      </c>
    </row>
    <row r="59" spans="1:61" ht="14.1" customHeight="1">
      <c r="M59" s="13708">
        <f>M54+M24+M40+M26+M27+M29</f>
        <v>2045588</v>
      </c>
      <c r="N59" s="13708">
        <f>N54+N24+N40+N26+N27+N29</f>
        <v>14033530</v>
      </c>
    </row>
  </sheetData>
  <mergeCells count="4">
    <mergeCell ref="BH3:BH5"/>
    <mergeCell ref="V3:V4"/>
    <mergeCell ref="AB3:AB4"/>
    <mergeCell ref="O3:O4"/>
  </mergeCells>
  <pageMargins left="0.25" right="0.25" top="0" bottom="0.25" header="0.25" footer="0"/>
  <pageSetup paperSize="119" scale="85" pageOrder="overThenDown" orientation="landscape" r:id="rId1"/>
</worksheet>
</file>

<file path=xl/worksheets/sheet22.xml><?xml version="1.0" encoding="utf-8"?>
<worksheet xmlns="http://schemas.openxmlformats.org/spreadsheetml/2006/main" xmlns:r="http://schemas.openxmlformats.org/officeDocument/2006/relationships">
  <sheetPr codeName="Sheet148">
    <tabColor rgb="FF7030A0"/>
  </sheetPr>
  <dimension ref="A1:V252"/>
  <sheetViews>
    <sheetView showGridLines="0" workbookViewId="0">
      <selection activeCell="X16" sqref="X16"/>
    </sheetView>
  </sheetViews>
  <sheetFormatPr defaultColWidth="8" defaultRowHeight="13.8"/>
  <cols>
    <col min="1" max="1" width="2.88671875" style="12665" customWidth="1"/>
    <col min="2" max="2" width="29.5546875" style="12665" customWidth="1"/>
    <col min="3" max="3" width="5.109375" style="12666" customWidth="1"/>
    <col min="4" max="4" width="2" style="12667" customWidth="1"/>
    <col min="5" max="5" width="14.109375" style="12668" customWidth="1"/>
    <col min="6" max="6" width="1.88671875" style="12667" customWidth="1"/>
    <col min="7" max="7" width="13.5546875" style="12668" customWidth="1"/>
    <col min="8" max="8" width="2" style="12667" customWidth="1"/>
    <col min="9" max="9" width="13.88671875" style="12668" customWidth="1"/>
    <col min="10" max="10" width="1.88671875" style="12667" customWidth="1"/>
    <col min="11" max="11" width="14.33203125" style="12668" customWidth="1"/>
    <col min="12" max="12" width="14.44140625" style="12674" customWidth="1"/>
    <col min="13" max="13" width="6.5546875" style="13172" customWidth="1"/>
    <col min="14" max="14" width="15.109375" style="12671" hidden="1" customWidth="1"/>
    <col min="15" max="15" width="2.33203125" style="12671" customWidth="1"/>
    <col min="16" max="16" width="2.88671875" style="12672" hidden="1" customWidth="1"/>
    <col min="17" max="17" width="14.88671875" style="12673" hidden="1" customWidth="1"/>
    <col min="18" max="18" width="15.44140625" style="12665" hidden="1" customWidth="1"/>
    <col min="19" max="19" width="15.109375" style="12665" hidden="1" customWidth="1"/>
    <col min="20" max="20" width="8" style="12665" hidden="1" customWidth="1"/>
    <col min="21" max="21" width="0" style="12665" hidden="1" customWidth="1"/>
    <col min="22" max="22" width="18.5546875" style="12665" hidden="1" customWidth="1"/>
    <col min="23" max="257" width="8" style="12665"/>
    <col min="258" max="258" width="2.88671875" style="12665" customWidth="1"/>
    <col min="259" max="259" width="33.44140625" style="12665" customWidth="1"/>
    <col min="260" max="260" width="6.44140625" style="12665" customWidth="1"/>
    <col min="261" max="261" width="1.88671875" style="12665" customWidth="1"/>
    <col min="262" max="262" width="15.109375" style="12665" customWidth="1"/>
    <col min="263" max="263" width="1.88671875" style="12665" customWidth="1"/>
    <col min="264" max="264" width="15.44140625" style="12665" customWidth="1"/>
    <col min="265" max="265" width="2" style="12665" customWidth="1"/>
    <col min="266" max="266" width="14.88671875" style="12665" customWidth="1"/>
    <col min="267" max="267" width="1.88671875" style="12665" customWidth="1"/>
    <col min="268" max="268" width="18.44140625" style="12665" customWidth="1"/>
    <col min="269" max="269" width="17.44140625" style="12665" customWidth="1"/>
    <col min="270" max="270" width="6.88671875" style="12665" customWidth="1"/>
    <col min="271" max="271" width="0" style="12665" hidden="1" customWidth="1"/>
    <col min="272" max="272" width="10.109375" style="12665" bestFit="1" customWidth="1"/>
    <col min="273" max="273" width="12.88671875" style="12665" bestFit="1" customWidth="1"/>
    <col min="274" max="274" width="8" style="12665"/>
    <col min="275" max="275" width="8" style="12665" customWidth="1"/>
    <col min="276" max="513" width="8" style="12665"/>
    <col min="514" max="514" width="2.88671875" style="12665" customWidth="1"/>
    <col min="515" max="515" width="33.44140625" style="12665" customWidth="1"/>
    <col min="516" max="516" width="6.44140625" style="12665" customWidth="1"/>
    <col min="517" max="517" width="1.88671875" style="12665" customWidth="1"/>
    <col min="518" max="518" width="15.109375" style="12665" customWidth="1"/>
    <col min="519" max="519" width="1.88671875" style="12665" customWidth="1"/>
    <col min="520" max="520" width="15.44140625" style="12665" customWidth="1"/>
    <col min="521" max="521" width="2" style="12665" customWidth="1"/>
    <col min="522" max="522" width="14.88671875" style="12665" customWidth="1"/>
    <col min="523" max="523" width="1.88671875" style="12665" customWidth="1"/>
    <col min="524" max="524" width="18.44140625" style="12665" customWidth="1"/>
    <col min="525" max="525" width="17.44140625" style="12665" customWidth="1"/>
    <col min="526" max="526" width="6.88671875" style="12665" customWidth="1"/>
    <col min="527" max="527" width="0" style="12665" hidden="1" customWidth="1"/>
    <col min="528" max="528" width="10.109375" style="12665" bestFit="1" customWidth="1"/>
    <col min="529" max="529" width="12.88671875" style="12665" bestFit="1" customWidth="1"/>
    <col min="530" max="530" width="8" style="12665"/>
    <col min="531" max="531" width="8" style="12665" customWidth="1"/>
    <col min="532" max="769" width="8" style="12665"/>
    <col min="770" max="770" width="2.88671875" style="12665" customWidth="1"/>
    <col min="771" max="771" width="33.44140625" style="12665" customWidth="1"/>
    <col min="772" max="772" width="6.44140625" style="12665" customWidth="1"/>
    <col min="773" max="773" width="1.88671875" style="12665" customWidth="1"/>
    <col min="774" max="774" width="15.109375" style="12665" customWidth="1"/>
    <col min="775" max="775" width="1.88671875" style="12665" customWidth="1"/>
    <col min="776" max="776" width="15.44140625" style="12665" customWidth="1"/>
    <col min="777" max="777" width="2" style="12665" customWidth="1"/>
    <col min="778" max="778" width="14.88671875" style="12665" customWidth="1"/>
    <col min="779" max="779" width="1.88671875" style="12665" customWidth="1"/>
    <col min="780" max="780" width="18.44140625" style="12665" customWidth="1"/>
    <col min="781" max="781" width="17.44140625" style="12665" customWidth="1"/>
    <col min="782" max="782" width="6.88671875" style="12665" customWidth="1"/>
    <col min="783" max="783" width="0" style="12665" hidden="1" customWidth="1"/>
    <col min="784" max="784" width="10.109375" style="12665" bestFit="1" customWidth="1"/>
    <col min="785" max="785" width="12.88671875" style="12665" bestFit="1" customWidth="1"/>
    <col min="786" max="786" width="8" style="12665"/>
    <col min="787" max="787" width="8" style="12665" customWidth="1"/>
    <col min="788" max="1025" width="8" style="12665"/>
    <col min="1026" max="1026" width="2.88671875" style="12665" customWidth="1"/>
    <col min="1027" max="1027" width="33.44140625" style="12665" customWidth="1"/>
    <col min="1028" max="1028" width="6.44140625" style="12665" customWidth="1"/>
    <col min="1029" max="1029" width="1.88671875" style="12665" customWidth="1"/>
    <col min="1030" max="1030" width="15.109375" style="12665" customWidth="1"/>
    <col min="1031" max="1031" width="1.88671875" style="12665" customWidth="1"/>
    <col min="1032" max="1032" width="15.44140625" style="12665" customWidth="1"/>
    <col min="1033" max="1033" width="2" style="12665" customWidth="1"/>
    <col min="1034" max="1034" width="14.88671875" style="12665" customWidth="1"/>
    <col min="1035" max="1035" width="1.88671875" style="12665" customWidth="1"/>
    <col min="1036" max="1036" width="18.44140625" style="12665" customWidth="1"/>
    <col min="1037" max="1037" width="17.44140625" style="12665" customWidth="1"/>
    <col min="1038" max="1038" width="6.88671875" style="12665" customWidth="1"/>
    <col min="1039" max="1039" width="0" style="12665" hidden="1" customWidth="1"/>
    <col min="1040" max="1040" width="10.109375" style="12665" bestFit="1" customWidth="1"/>
    <col min="1041" max="1041" width="12.88671875" style="12665" bestFit="1" customWidth="1"/>
    <col min="1042" max="1042" width="8" style="12665"/>
    <col min="1043" max="1043" width="8" style="12665" customWidth="1"/>
    <col min="1044" max="1281" width="8" style="12665"/>
    <col min="1282" max="1282" width="2.88671875" style="12665" customWidth="1"/>
    <col min="1283" max="1283" width="33.44140625" style="12665" customWidth="1"/>
    <col min="1284" max="1284" width="6.44140625" style="12665" customWidth="1"/>
    <col min="1285" max="1285" width="1.88671875" style="12665" customWidth="1"/>
    <col min="1286" max="1286" width="15.109375" style="12665" customWidth="1"/>
    <col min="1287" max="1287" width="1.88671875" style="12665" customWidth="1"/>
    <col min="1288" max="1288" width="15.44140625" style="12665" customWidth="1"/>
    <col min="1289" max="1289" width="2" style="12665" customWidth="1"/>
    <col min="1290" max="1290" width="14.88671875" style="12665" customWidth="1"/>
    <col min="1291" max="1291" width="1.88671875" style="12665" customWidth="1"/>
    <col min="1292" max="1292" width="18.44140625" style="12665" customWidth="1"/>
    <col min="1293" max="1293" width="17.44140625" style="12665" customWidth="1"/>
    <col min="1294" max="1294" width="6.88671875" style="12665" customWidth="1"/>
    <col min="1295" max="1295" width="0" style="12665" hidden="1" customWidth="1"/>
    <col min="1296" max="1296" width="10.109375" style="12665" bestFit="1" customWidth="1"/>
    <col min="1297" max="1297" width="12.88671875" style="12665" bestFit="1" customWidth="1"/>
    <col min="1298" max="1298" width="8" style="12665"/>
    <col min="1299" max="1299" width="8" style="12665" customWidth="1"/>
    <col min="1300" max="1537" width="8" style="12665"/>
    <col min="1538" max="1538" width="2.88671875" style="12665" customWidth="1"/>
    <col min="1539" max="1539" width="33.44140625" style="12665" customWidth="1"/>
    <col min="1540" max="1540" width="6.44140625" style="12665" customWidth="1"/>
    <col min="1541" max="1541" width="1.88671875" style="12665" customWidth="1"/>
    <col min="1542" max="1542" width="15.109375" style="12665" customWidth="1"/>
    <col min="1543" max="1543" width="1.88671875" style="12665" customWidth="1"/>
    <col min="1544" max="1544" width="15.44140625" style="12665" customWidth="1"/>
    <col min="1545" max="1545" width="2" style="12665" customWidth="1"/>
    <col min="1546" max="1546" width="14.88671875" style="12665" customWidth="1"/>
    <col min="1547" max="1547" width="1.88671875" style="12665" customWidth="1"/>
    <col min="1548" max="1548" width="18.44140625" style="12665" customWidth="1"/>
    <col min="1549" max="1549" width="17.44140625" style="12665" customWidth="1"/>
    <col min="1550" max="1550" width="6.88671875" style="12665" customWidth="1"/>
    <col min="1551" max="1551" width="0" style="12665" hidden="1" customWidth="1"/>
    <col min="1552" max="1552" width="10.109375" style="12665" bestFit="1" customWidth="1"/>
    <col min="1553" max="1553" width="12.88671875" style="12665" bestFit="1" customWidth="1"/>
    <col min="1554" max="1554" width="8" style="12665"/>
    <col min="1555" max="1555" width="8" style="12665" customWidth="1"/>
    <col min="1556" max="1793" width="8" style="12665"/>
    <col min="1794" max="1794" width="2.88671875" style="12665" customWidth="1"/>
    <col min="1795" max="1795" width="33.44140625" style="12665" customWidth="1"/>
    <col min="1796" max="1796" width="6.44140625" style="12665" customWidth="1"/>
    <col min="1797" max="1797" width="1.88671875" style="12665" customWidth="1"/>
    <col min="1798" max="1798" width="15.109375" style="12665" customWidth="1"/>
    <col min="1799" max="1799" width="1.88671875" style="12665" customWidth="1"/>
    <col min="1800" max="1800" width="15.44140625" style="12665" customWidth="1"/>
    <col min="1801" max="1801" width="2" style="12665" customWidth="1"/>
    <col min="1802" max="1802" width="14.88671875" style="12665" customWidth="1"/>
    <col min="1803" max="1803" width="1.88671875" style="12665" customWidth="1"/>
    <col min="1804" max="1804" width="18.44140625" style="12665" customWidth="1"/>
    <col min="1805" max="1805" width="17.44140625" style="12665" customWidth="1"/>
    <col min="1806" max="1806" width="6.88671875" style="12665" customWidth="1"/>
    <col min="1807" max="1807" width="0" style="12665" hidden="1" customWidth="1"/>
    <col min="1808" max="1808" width="10.109375" style="12665" bestFit="1" customWidth="1"/>
    <col min="1809" max="1809" width="12.88671875" style="12665" bestFit="1" customWidth="1"/>
    <col min="1810" max="1810" width="8" style="12665"/>
    <col min="1811" max="1811" width="8" style="12665" customWidth="1"/>
    <col min="1812" max="2049" width="8" style="12665"/>
    <col min="2050" max="2050" width="2.88671875" style="12665" customWidth="1"/>
    <col min="2051" max="2051" width="33.44140625" style="12665" customWidth="1"/>
    <col min="2052" max="2052" width="6.44140625" style="12665" customWidth="1"/>
    <col min="2053" max="2053" width="1.88671875" style="12665" customWidth="1"/>
    <col min="2054" max="2054" width="15.109375" style="12665" customWidth="1"/>
    <col min="2055" max="2055" width="1.88671875" style="12665" customWidth="1"/>
    <col min="2056" max="2056" width="15.44140625" style="12665" customWidth="1"/>
    <col min="2057" max="2057" width="2" style="12665" customWidth="1"/>
    <col min="2058" max="2058" width="14.88671875" style="12665" customWidth="1"/>
    <col min="2059" max="2059" width="1.88671875" style="12665" customWidth="1"/>
    <col min="2060" max="2060" width="18.44140625" style="12665" customWidth="1"/>
    <col min="2061" max="2061" width="17.44140625" style="12665" customWidth="1"/>
    <col min="2062" max="2062" width="6.88671875" style="12665" customWidth="1"/>
    <col min="2063" max="2063" width="0" style="12665" hidden="1" customWidth="1"/>
    <col min="2064" max="2064" width="10.109375" style="12665" bestFit="1" customWidth="1"/>
    <col min="2065" max="2065" width="12.88671875" style="12665" bestFit="1" customWidth="1"/>
    <col min="2066" max="2066" width="8" style="12665"/>
    <col min="2067" max="2067" width="8" style="12665" customWidth="1"/>
    <col min="2068" max="2305" width="8" style="12665"/>
    <col min="2306" max="2306" width="2.88671875" style="12665" customWidth="1"/>
    <col min="2307" max="2307" width="33.44140625" style="12665" customWidth="1"/>
    <col min="2308" max="2308" width="6.44140625" style="12665" customWidth="1"/>
    <col min="2309" max="2309" width="1.88671875" style="12665" customWidth="1"/>
    <col min="2310" max="2310" width="15.109375" style="12665" customWidth="1"/>
    <col min="2311" max="2311" width="1.88671875" style="12665" customWidth="1"/>
    <col min="2312" max="2312" width="15.44140625" style="12665" customWidth="1"/>
    <col min="2313" max="2313" width="2" style="12665" customWidth="1"/>
    <col min="2314" max="2314" width="14.88671875" style="12665" customWidth="1"/>
    <col min="2315" max="2315" width="1.88671875" style="12665" customWidth="1"/>
    <col min="2316" max="2316" width="18.44140625" style="12665" customWidth="1"/>
    <col min="2317" max="2317" width="17.44140625" style="12665" customWidth="1"/>
    <col min="2318" max="2318" width="6.88671875" style="12665" customWidth="1"/>
    <col min="2319" max="2319" width="0" style="12665" hidden="1" customWidth="1"/>
    <col min="2320" max="2320" width="10.109375" style="12665" bestFit="1" customWidth="1"/>
    <col min="2321" max="2321" width="12.88671875" style="12665" bestFit="1" customWidth="1"/>
    <col min="2322" max="2322" width="8" style="12665"/>
    <col min="2323" max="2323" width="8" style="12665" customWidth="1"/>
    <col min="2324" max="2561" width="8" style="12665"/>
    <col min="2562" max="2562" width="2.88671875" style="12665" customWidth="1"/>
    <col min="2563" max="2563" width="33.44140625" style="12665" customWidth="1"/>
    <col min="2564" max="2564" width="6.44140625" style="12665" customWidth="1"/>
    <col min="2565" max="2565" width="1.88671875" style="12665" customWidth="1"/>
    <col min="2566" max="2566" width="15.109375" style="12665" customWidth="1"/>
    <col min="2567" max="2567" width="1.88671875" style="12665" customWidth="1"/>
    <col min="2568" max="2568" width="15.44140625" style="12665" customWidth="1"/>
    <col min="2569" max="2569" width="2" style="12665" customWidth="1"/>
    <col min="2570" max="2570" width="14.88671875" style="12665" customWidth="1"/>
    <col min="2571" max="2571" width="1.88671875" style="12665" customWidth="1"/>
    <col min="2572" max="2572" width="18.44140625" style="12665" customWidth="1"/>
    <col min="2573" max="2573" width="17.44140625" style="12665" customWidth="1"/>
    <col min="2574" max="2574" width="6.88671875" style="12665" customWidth="1"/>
    <col min="2575" max="2575" width="0" style="12665" hidden="1" customWidth="1"/>
    <col min="2576" max="2576" width="10.109375" style="12665" bestFit="1" customWidth="1"/>
    <col min="2577" max="2577" width="12.88671875" style="12665" bestFit="1" customWidth="1"/>
    <col min="2578" max="2578" width="8" style="12665"/>
    <col min="2579" max="2579" width="8" style="12665" customWidth="1"/>
    <col min="2580" max="2817" width="8" style="12665"/>
    <col min="2818" max="2818" width="2.88671875" style="12665" customWidth="1"/>
    <col min="2819" max="2819" width="33.44140625" style="12665" customWidth="1"/>
    <col min="2820" max="2820" width="6.44140625" style="12665" customWidth="1"/>
    <col min="2821" max="2821" width="1.88671875" style="12665" customWidth="1"/>
    <col min="2822" max="2822" width="15.109375" style="12665" customWidth="1"/>
    <col min="2823" max="2823" width="1.88671875" style="12665" customWidth="1"/>
    <col min="2824" max="2824" width="15.44140625" style="12665" customWidth="1"/>
    <col min="2825" max="2825" width="2" style="12665" customWidth="1"/>
    <col min="2826" max="2826" width="14.88671875" style="12665" customWidth="1"/>
    <col min="2827" max="2827" width="1.88671875" style="12665" customWidth="1"/>
    <col min="2828" max="2828" width="18.44140625" style="12665" customWidth="1"/>
    <col min="2829" max="2829" width="17.44140625" style="12665" customWidth="1"/>
    <col min="2830" max="2830" width="6.88671875" style="12665" customWidth="1"/>
    <col min="2831" max="2831" width="0" style="12665" hidden="1" customWidth="1"/>
    <col min="2832" max="2832" width="10.109375" style="12665" bestFit="1" customWidth="1"/>
    <col min="2833" max="2833" width="12.88671875" style="12665" bestFit="1" customWidth="1"/>
    <col min="2834" max="2834" width="8" style="12665"/>
    <col min="2835" max="2835" width="8" style="12665" customWidth="1"/>
    <col min="2836" max="3073" width="8" style="12665"/>
    <col min="3074" max="3074" width="2.88671875" style="12665" customWidth="1"/>
    <col min="3075" max="3075" width="33.44140625" style="12665" customWidth="1"/>
    <col min="3076" max="3076" width="6.44140625" style="12665" customWidth="1"/>
    <col min="3077" max="3077" width="1.88671875" style="12665" customWidth="1"/>
    <col min="3078" max="3078" width="15.109375" style="12665" customWidth="1"/>
    <col min="3079" max="3079" width="1.88671875" style="12665" customWidth="1"/>
    <col min="3080" max="3080" width="15.44140625" style="12665" customWidth="1"/>
    <col min="3081" max="3081" width="2" style="12665" customWidth="1"/>
    <col min="3082" max="3082" width="14.88671875" style="12665" customWidth="1"/>
    <col min="3083" max="3083" width="1.88671875" style="12665" customWidth="1"/>
    <col min="3084" max="3084" width="18.44140625" style="12665" customWidth="1"/>
    <col min="3085" max="3085" width="17.44140625" style="12665" customWidth="1"/>
    <col min="3086" max="3086" width="6.88671875" style="12665" customWidth="1"/>
    <col min="3087" max="3087" width="0" style="12665" hidden="1" customWidth="1"/>
    <col min="3088" max="3088" width="10.109375" style="12665" bestFit="1" customWidth="1"/>
    <col min="3089" max="3089" width="12.88671875" style="12665" bestFit="1" customWidth="1"/>
    <col min="3090" max="3090" width="8" style="12665"/>
    <col min="3091" max="3091" width="8" style="12665" customWidth="1"/>
    <col min="3092" max="3329" width="8" style="12665"/>
    <col min="3330" max="3330" width="2.88671875" style="12665" customWidth="1"/>
    <col min="3331" max="3331" width="33.44140625" style="12665" customWidth="1"/>
    <col min="3332" max="3332" width="6.44140625" style="12665" customWidth="1"/>
    <col min="3333" max="3333" width="1.88671875" style="12665" customWidth="1"/>
    <col min="3334" max="3334" width="15.109375" style="12665" customWidth="1"/>
    <col min="3335" max="3335" width="1.88671875" style="12665" customWidth="1"/>
    <col min="3336" max="3336" width="15.44140625" style="12665" customWidth="1"/>
    <col min="3337" max="3337" width="2" style="12665" customWidth="1"/>
    <col min="3338" max="3338" width="14.88671875" style="12665" customWidth="1"/>
    <col min="3339" max="3339" width="1.88671875" style="12665" customWidth="1"/>
    <col min="3340" max="3340" width="18.44140625" style="12665" customWidth="1"/>
    <col min="3341" max="3341" width="17.44140625" style="12665" customWidth="1"/>
    <col min="3342" max="3342" width="6.88671875" style="12665" customWidth="1"/>
    <col min="3343" max="3343" width="0" style="12665" hidden="1" customWidth="1"/>
    <col min="3344" max="3344" width="10.109375" style="12665" bestFit="1" customWidth="1"/>
    <col min="3345" max="3345" width="12.88671875" style="12665" bestFit="1" customWidth="1"/>
    <col min="3346" max="3346" width="8" style="12665"/>
    <col min="3347" max="3347" width="8" style="12665" customWidth="1"/>
    <col min="3348" max="3585" width="8" style="12665"/>
    <col min="3586" max="3586" width="2.88671875" style="12665" customWidth="1"/>
    <col min="3587" max="3587" width="33.44140625" style="12665" customWidth="1"/>
    <col min="3588" max="3588" width="6.44140625" style="12665" customWidth="1"/>
    <col min="3589" max="3589" width="1.88671875" style="12665" customWidth="1"/>
    <col min="3590" max="3590" width="15.109375" style="12665" customWidth="1"/>
    <col min="3591" max="3591" width="1.88671875" style="12665" customWidth="1"/>
    <col min="3592" max="3592" width="15.44140625" style="12665" customWidth="1"/>
    <col min="3593" max="3593" width="2" style="12665" customWidth="1"/>
    <col min="3594" max="3594" width="14.88671875" style="12665" customWidth="1"/>
    <col min="3595" max="3595" width="1.88671875" style="12665" customWidth="1"/>
    <col min="3596" max="3596" width="18.44140625" style="12665" customWidth="1"/>
    <col min="3597" max="3597" width="17.44140625" style="12665" customWidth="1"/>
    <col min="3598" max="3598" width="6.88671875" style="12665" customWidth="1"/>
    <col min="3599" max="3599" width="0" style="12665" hidden="1" customWidth="1"/>
    <col min="3600" max="3600" width="10.109375" style="12665" bestFit="1" customWidth="1"/>
    <col min="3601" max="3601" width="12.88671875" style="12665" bestFit="1" customWidth="1"/>
    <col min="3602" max="3602" width="8" style="12665"/>
    <col min="3603" max="3603" width="8" style="12665" customWidth="1"/>
    <col min="3604" max="3841" width="8" style="12665"/>
    <col min="3842" max="3842" width="2.88671875" style="12665" customWidth="1"/>
    <col min="3843" max="3843" width="33.44140625" style="12665" customWidth="1"/>
    <col min="3844" max="3844" width="6.44140625" style="12665" customWidth="1"/>
    <col min="3845" max="3845" width="1.88671875" style="12665" customWidth="1"/>
    <col min="3846" max="3846" width="15.109375" style="12665" customWidth="1"/>
    <col min="3847" max="3847" width="1.88671875" style="12665" customWidth="1"/>
    <col min="3848" max="3848" width="15.44140625" style="12665" customWidth="1"/>
    <col min="3849" max="3849" width="2" style="12665" customWidth="1"/>
    <col min="3850" max="3850" width="14.88671875" style="12665" customWidth="1"/>
    <col min="3851" max="3851" width="1.88671875" style="12665" customWidth="1"/>
    <col min="3852" max="3852" width="18.44140625" style="12665" customWidth="1"/>
    <col min="3853" max="3853" width="17.44140625" style="12665" customWidth="1"/>
    <col min="3854" max="3854" width="6.88671875" style="12665" customWidth="1"/>
    <col min="3855" max="3855" width="0" style="12665" hidden="1" customWidth="1"/>
    <col min="3856" max="3856" width="10.109375" style="12665" bestFit="1" customWidth="1"/>
    <col min="3857" max="3857" width="12.88671875" style="12665" bestFit="1" customWidth="1"/>
    <col min="3858" max="3858" width="8" style="12665"/>
    <col min="3859" max="3859" width="8" style="12665" customWidth="1"/>
    <col min="3860" max="4097" width="8" style="12665"/>
    <col min="4098" max="4098" width="2.88671875" style="12665" customWidth="1"/>
    <col min="4099" max="4099" width="33.44140625" style="12665" customWidth="1"/>
    <col min="4100" max="4100" width="6.44140625" style="12665" customWidth="1"/>
    <col min="4101" max="4101" width="1.88671875" style="12665" customWidth="1"/>
    <col min="4102" max="4102" width="15.109375" style="12665" customWidth="1"/>
    <col min="4103" max="4103" width="1.88671875" style="12665" customWidth="1"/>
    <col min="4104" max="4104" width="15.44140625" style="12665" customWidth="1"/>
    <col min="4105" max="4105" width="2" style="12665" customWidth="1"/>
    <col min="4106" max="4106" width="14.88671875" style="12665" customWidth="1"/>
    <col min="4107" max="4107" width="1.88671875" style="12665" customWidth="1"/>
    <col min="4108" max="4108" width="18.44140625" style="12665" customWidth="1"/>
    <col min="4109" max="4109" width="17.44140625" style="12665" customWidth="1"/>
    <col min="4110" max="4110" width="6.88671875" style="12665" customWidth="1"/>
    <col min="4111" max="4111" width="0" style="12665" hidden="1" customWidth="1"/>
    <col min="4112" max="4112" width="10.109375" style="12665" bestFit="1" customWidth="1"/>
    <col min="4113" max="4113" width="12.88671875" style="12665" bestFit="1" customWidth="1"/>
    <col min="4114" max="4114" width="8" style="12665"/>
    <col min="4115" max="4115" width="8" style="12665" customWidth="1"/>
    <col min="4116" max="4353" width="8" style="12665"/>
    <col min="4354" max="4354" width="2.88671875" style="12665" customWidth="1"/>
    <col min="4355" max="4355" width="33.44140625" style="12665" customWidth="1"/>
    <col min="4356" max="4356" width="6.44140625" style="12665" customWidth="1"/>
    <col min="4357" max="4357" width="1.88671875" style="12665" customWidth="1"/>
    <col min="4358" max="4358" width="15.109375" style="12665" customWidth="1"/>
    <col min="4359" max="4359" width="1.88671875" style="12665" customWidth="1"/>
    <col min="4360" max="4360" width="15.44140625" style="12665" customWidth="1"/>
    <col min="4361" max="4361" width="2" style="12665" customWidth="1"/>
    <col min="4362" max="4362" width="14.88671875" style="12665" customWidth="1"/>
    <col min="4363" max="4363" width="1.88671875" style="12665" customWidth="1"/>
    <col min="4364" max="4364" width="18.44140625" style="12665" customWidth="1"/>
    <col min="4365" max="4365" width="17.44140625" style="12665" customWidth="1"/>
    <col min="4366" max="4366" width="6.88671875" style="12665" customWidth="1"/>
    <col min="4367" max="4367" width="0" style="12665" hidden="1" customWidth="1"/>
    <col min="4368" max="4368" width="10.109375" style="12665" bestFit="1" customWidth="1"/>
    <col min="4369" max="4369" width="12.88671875" style="12665" bestFit="1" customWidth="1"/>
    <col min="4370" max="4370" width="8" style="12665"/>
    <col min="4371" max="4371" width="8" style="12665" customWidth="1"/>
    <col min="4372" max="4609" width="8" style="12665"/>
    <col min="4610" max="4610" width="2.88671875" style="12665" customWidth="1"/>
    <col min="4611" max="4611" width="33.44140625" style="12665" customWidth="1"/>
    <col min="4612" max="4612" width="6.44140625" style="12665" customWidth="1"/>
    <col min="4613" max="4613" width="1.88671875" style="12665" customWidth="1"/>
    <col min="4614" max="4614" width="15.109375" style="12665" customWidth="1"/>
    <col min="4615" max="4615" width="1.88671875" style="12665" customWidth="1"/>
    <col min="4616" max="4616" width="15.44140625" style="12665" customWidth="1"/>
    <col min="4617" max="4617" width="2" style="12665" customWidth="1"/>
    <col min="4618" max="4618" width="14.88671875" style="12665" customWidth="1"/>
    <col min="4619" max="4619" width="1.88671875" style="12665" customWidth="1"/>
    <col min="4620" max="4620" width="18.44140625" style="12665" customWidth="1"/>
    <col min="4621" max="4621" width="17.44140625" style="12665" customWidth="1"/>
    <col min="4622" max="4622" width="6.88671875" style="12665" customWidth="1"/>
    <col min="4623" max="4623" width="0" style="12665" hidden="1" customWidth="1"/>
    <col min="4624" max="4624" width="10.109375" style="12665" bestFit="1" customWidth="1"/>
    <col min="4625" max="4625" width="12.88671875" style="12665" bestFit="1" customWidth="1"/>
    <col min="4626" max="4626" width="8" style="12665"/>
    <col min="4627" max="4627" width="8" style="12665" customWidth="1"/>
    <col min="4628" max="4865" width="8" style="12665"/>
    <col min="4866" max="4866" width="2.88671875" style="12665" customWidth="1"/>
    <col min="4867" max="4867" width="33.44140625" style="12665" customWidth="1"/>
    <col min="4868" max="4868" width="6.44140625" style="12665" customWidth="1"/>
    <col min="4869" max="4869" width="1.88671875" style="12665" customWidth="1"/>
    <col min="4870" max="4870" width="15.109375" style="12665" customWidth="1"/>
    <col min="4871" max="4871" width="1.88671875" style="12665" customWidth="1"/>
    <col min="4872" max="4872" width="15.44140625" style="12665" customWidth="1"/>
    <col min="4873" max="4873" width="2" style="12665" customWidth="1"/>
    <col min="4874" max="4874" width="14.88671875" style="12665" customWidth="1"/>
    <col min="4875" max="4875" width="1.88671875" style="12665" customWidth="1"/>
    <col min="4876" max="4876" width="18.44140625" style="12665" customWidth="1"/>
    <col min="4877" max="4877" width="17.44140625" style="12665" customWidth="1"/>
    <col min="4878" max="4878" width="6.88671875" style="12665" customWidth="1"/>
    <col min="4879" max="4879" width="0" style="12665" hidden="1" customWidth="1"/>
    <col min="4880" max="4880" width="10.109375" style="12665" bestFit="1" customWidth="1"/>
    <col min="4881" max="4881" width="12.88671875" style="12665" bestFit="1" customWidth="1"/>
    <col min="4882" max="4882" width="8" style="12665"/>
    <col min="4883" max="4883" width="8" style="12665" customWidth="1"/>
    <col min="4884" max="5121" width="8" style="12665"/>
    <col min="5122" max="5122" width="2.88671875" style="12665" customWidth="1"/>
    <col min="5123" max="5123" width="33.44140625" style="12665" customWidth="1"/>
    <col min="5124" max="5124" width="6.44140625" style="12665" customWidth="1"/>
    <col min="5125" max="5125" width="1.88671875" style="12665" customWidth="1"/>
    <col min="5126" max="5126" width="15.109375" style="12665" customWidth="1"/>
    <col min="5127" max="5127" width="1.88671875" style="12665" customWidth="1"/>
    <col min="5128" max="5128" width="15.44140625" style="12665" customWidth="1"/>
    <col min="5129" max="5129" width="2" style="12665" customWidth="1"/>
    <col min="5130" max="5130" width="14.88671875" style="12665" customWidth="1"/>
    <col min="5131" max="5131" width="1.88671875" style="12665" customWidth="1"/>
    <col min="5132" max="5132" width="18.44140625" style="12665" customWidth="1"/>
    <col min="5133" max="5133" width="17.44140625" style="12665" customWidth="1"/>
    <col min="5134" max="5134" width="6.88671875" style="12665" customWidth="1"/>
    <col min="5135" max="5135" width="0" style="12665" hidden="1" customWidth="1"/>
    <col min="5136" max="5136" width="10.109375" style="12665" bestFit="1" customWidth="1"/>
    <col min="5137" max="5137" width="12.88671875" style="12665" bestFit="1" customWidth="1"/>
    <col min="5138" max="5138" width="8" style="12665"/>
    <col min="5139" max="5139" width="8" style="12665" customWidth="1"/>
    <col min="5140" max="5377" width="8" style="12665"/>
    <col min="5378" max="5378" width="2.88671875" style="12665" customWidth="1"/>
    <col min="5379" max="5379" width="33.44140625" style="12665" customWidth="1"/>
    <col min="5380" max="5380" width="6.44140625" style="12665" customWidth="1"/>
    <col min="5381" max="5381" width="1.88671875" style="12665" customWidth="1"/>
    <col min="5382" max="5382" width="15.109375" style="12665" customWidth="1"/>
    <col min="5383" max="5383" width="1.88671875" style="12665" customWidth="1"/>
    <col min="5384" max="5384" width="15.44140625" style="12665" customWidth="1"/>
    <col min="5385" max="5385" width="2" style="12665" customWidth="1"/>
    <col min="5386" max="5386" width="14.88671875" style="12665" customWidth="1"/>
    <col min="5387" max="5387" width="1.88671875" style="12665" customWidth="1"/>
    <col min="5388" max="5388" width="18.44140625" style="12665" customWidth="1"/>
    <col min="5389" max="5389" width="17.44140625" style="12665" customWidth="1"/>
    <col min="5390" max="5390" width="6.88671875" style="12665" customWidth="1"/>
    <col min="5391" max="5391" width="0" style="12665" hidden="1" customWidth="1"/>
    <col min="5392" max="5392" width="10.109375" style="12665" bestFit="1" customWidth="1"/>
    <col min="5393" max="5393" width="12.88671875" style="12665" bestFit="1" customWidth="1"/>
    <col min="5394" max="5394" width="8" style="12665"/>
    <col min="5395" max="5395" width="8" style="12665" customWidth="1"/>
    <col min="5396" max="5633" width="8" style="12665"/>
    <col min="5634" max="5634" width="2.88671875" style="12665" customWidth="1"/>
    <col min="5635" max="5635" width="33.44140625" style="12665" customWidth="1"/>
    <col min="5636" max="5636" width="6.44140625" style="12665" customWidth="1"/>
    <col min="5637" max="5637" width="1.88671875" style="12665" customWidth="1"/>
    <col min="5638" max="5638" width="15.109375" style="12665" customWidth="1"/>
    <col min="5639" max="5639" width="1.88671875" style="12665" customWidth="1"/>
    <col min="5640" max="5640" width="15.44140625" style="12665" customWidth="1"/>
    <col min="5641" max="5641" width="2" style="12665" customWidth="1"/>
    <col min="5642" max="5642" width="14.88671875" style="12665" customWidth="1"/>
    <col min="5643" max="5643" width="1.88671875" style="12665" customWidth="1"/>
    <col min="5644" max="5644" width="18.44140625" style="12665" customWidth="1"/>
    <col min="5645" max="5645" width="17.44140625" style="12665" customWidth="1"/>
    <col min="5646" max="5646" width="6.88671875" style="12665" customWidth="1"/>
    <col min="5647" max="5647" width="0" style="12665" hidden="1" customWidth="1"/>
    <col min="5648" max="5648" width="10.109375" style="12665" bestFit="1" customWidth="1"/>
    <col min="5649" max="5649" width="12.88671875" style="12665" bestFit="1" customWidth="1"/>
    <col min="5650" max="5650" width="8" style="12665"/>
    <col min="5651" max="5651" width="8" style="12665" customWidth="1"/>
    <col min="5652" max="5889" width="8" style="12665"/>
    <col min="5890" max="5890" width="2.88671875" style="12665" customWidth="1"/>
    <col min="5891" max="5891" width="33.44140625" style="12665" customWidth="1"/>
    <col min="5892" max="5892" width="6.44140625" style="12665" customWidth="1"/>
    <col min="5893" max="5893" width="1.88671875" style="12665" customWidth="1"/>
    <col min="5894" max="5894" width="15.109375" style="12665" customWidth="1"/>
    <col min="5895" max="5895" width="1.88671875" style="12665" customWidth="1"/>
    <col min="5896" max="5896" width="15.44140625" style="12665" customWidth="1"/>
    <col min="5897" max="5897" width="2" style="12665" customWidth="1"/>
    <col min="5898" max="5898" width="14.88671875" style="12665" customWidth="1"/>
    <col min="5899" max="5899" width="1.88671875" style="12665" customWidth="1"/>
    <col min="5900" max="5900" width="18.44140625" style="12665" customWidth="1"/>
    <col min="5901" max="5901" width="17.44140625" style="12665" customWidth="1"/>
    <col min="5902" max="5902" width="6.88671875" style="12665" customWidth="1"/>
    <col min="5903" max="5903" width="0" style="12665" hidden="1" customWidth="1"/>
    <col min="5904" max="5904" width="10.109375" style="12665" bestFit="1" customWidth="1"/>
    <col min="5905" max="5905" width="12.88671875" style="12665" bestFit="1" customWidth="1"/>
    <col min="5906" max="5906" width="8" style="12665"/>
    <col min="5907" max="5907" width="8" style="12665" customWidth="1"/>
    <col min="5908" max="6145" width="8" style="12665"/>
    <col min="6146" max="6146" width="2.88671875" style="12665" customWidth="1"/>
    <col min="6147" max="6147" width="33.44140625" style="12665" customWidth="1"/>
    <col min="6148" max="6148" width="6.44140625" style="12665" customWidth="1"/>
    <col min="6149" max="6149" width="1.88671875" style="12665" customWidth="1"/>
    <col min="6150" max="6150" width="15.109375" style="12665" customWidth="1"/>
    <col min="6151" max="6151" width="1.88671875" style="12665" customWidth="1"/>
    <col min="6152" max="6152" width="15.44140625" style="12665" customWidth="1"/>
    <col min="6153" max="6153" width="2" style="12665" customWidth="1"/>
    <col min="6154" max="6154" width="14.88671875" style="12665" customWidth="1"/>
    <col min="6155" max="6155" width="1.88671875" style="12665" customWidth="1"/>
    <col min="6156" max="6156" width="18.44140625" style="12665" customWidth="1"/>
    <col min="6157" max="6157" width="17.44140625" style="12665" customWidth="1"/>
    <col min="6158" max="6158" width="6.88671875" style="12665" customWidth="1"/>
    <col min="6159" max="6159" width="0" style="12665" hidden="1" customWidth="1"/>
    <col min="6160" max="6160" width="10.109375" style="12665" bestFit="1" customWidth="1"/>
    <col min="6161" max="6161" width="12.88671875" style="12665" bestFit="1" customWidth="1"/>
    <col min="6162" max="6162" width="8" style="12665"/>
    <col min="6163" max="6163" width="8" style="12665" customWidth="1"/>
    <col min="6164" max="6401" width="8" style="12665"/>
    <col min="6402" max="6402" width="2.88671875" style="12665" customWidth="1"/>
    <col min="6403" max="6403" width="33.44140625" style="12665" customWidth="1"/>
    <col min="6404" max="6404" width="6.44140625" style="12665" customWidth="1"/>
    <col min="6405" max="6405" width="1.88671875" style="12665" customWidth="1"/>
    <col min="6406" max="6406" width="15.109375" style="12665" customWidth="1"/>
    <col min="6407" max="6407" width="1.88671875" style="12665" customWidth="1"/>
    <col min="6408" max="6408" width="15.44140625" style="12665" customWidth="1"/>
    <col min="6409" max="6409" width="2" style="12665" customWidth="1"/>
    <col min="6410" max="6410" width="14.88671875" style="12665" customWidth="1"/>
    <col min="6411" max="6411" width="1.88671875" style="12665" customWidth="1"/>
    <col min="6412" max="6412" width="18.44140625" style="12665" customWidth="1"/>
    <col min="6413" max="6413" width="17.44140625" style="12665" customWidth="1"/>
    <col min="6414" max="6414" width="6.88671875" style="12665" customWidth="1"/>
    <col min="6415" max="6415" width="0" style="12665" hidden="1" customWidth="1"/>
    <col min="6416" max="6416" width="10.109375" style="12665" bestFit="1" customWidth="1"/>
    <col min="6417" max="6417" width="12.88671875" style="12665" bestFit="1" customWidth="1"/>
    <col min="6418" max="6418" width="8" style="12665"/>
    <col min="6419" max="6419" width="8" style="12665" customWidth="1"/>
    <col min="6420" max="6657" width="8" style="12665"/>
    <col min="6658" max="6658" width="2.88671875" style="12665" customWidth="1"/>
    <col min="6659" max="6659" width="33.44140625" style="12665" customWidth="1"/>
    <col min="6660" max="6660" width="6.44140625" style="12665" customWidth="1"/>
    <col min="6661" max="6661" width="1.88671875" style="12665" customWidth="1"/>
    <col min="6662" max="6662" width="15.109375" style="12665" customWidth="1"/>
    <col min="6663" max="6663" width="1.88671875" style="12665" customWidth="1"/>
    <col min="6664" max="6664" width="15.44140625" style="12665" customWidth="1"/>
    <col min="6665" max="6665" width="2" style="12665" customWidth="1"/>
    <col min="6666" max="6666" width="14.88671875" style="12665" customWidth="1"/>
    <col min="6667" max="6667" width="1.88671875" style="12665" customWidth="1"/>
    <col min="6668" max="6668" width="18.44140625" style="12665" customWidth="1"/>
    <col min="6669" max="6669" width="17.44140625" style="12665" customWidth="1"/>
    <col min="6670" max="6670" width="6.88671875" style="12665" customWidth="1"/>
    <col min="6671" max="6671" width="0" style="12665" hidden="1" customWidth="1"/>
    <col min="6672" max="6672" width="10.109375" style="12665" bestFit="1" customWidth="1"/>
    <col min="6673" max="6673" width="12.88671875" style="12665" bestFit="1" customWidth="1"/>
    <col min="6674" max="6674" width="8" style="12665"/>
    <col min="6675" max="6675" width="8" style="12665" customWidth="1"/>
    <col min="6676" max="6913" width="8" style="12665"/>
    <col min="6914" max="6914" width="2.88671875" style="12665" customWidth="1"/>
    <col min="6915" max="6915" width="33.44140625" style="12665" customWidth="1"/>
    <col min="6916" max="6916" width="6.44140625" style="12665" customWidth="1"/>
    <col min="6917" max="6917" width="1.88671875" style="12665" customWidth="1"/>
    <col min="6918" max="6918" width="15.109375" style="12665" customWidth="1"/>
    <col min="6919" max="6919" width="1.88671875" style="12665" customWidth="1"/>
    <col min="6920" max="6920" width="15.44140625" style="12665" customWidth="1"/>
    <col min="6921" max="6921" width="2" style="12665" customWidth="1"/>
    <col min="6922" max="6922" width="14.88671875" style="12665" customWidth="1"/>
    <col min="6923" max="6923" width="1.88671875" style="12665" customWidth="1"/>
    <col min="6924" max="6924" width="18.44140625" style="12665" customWidth="1"/>
    <col min="6925" max="6925" width="17.44140625" style="12665" customWidth="1"/>
    <col min="6926" max="6926" width="6.88671875" style="12665" customWidth="1"/>
    <col min="6927" max="6927" width="0" style="12665" hidden="1" customWidth="1"/>
    <col min="6928" max="6928" width="10.109375" style="12665" bestFit="1" customWidth="1"/>
    <col min="6929" max="6929" width="12.88671875" style="12665" bestFit="1" customWidth="1"/>
    <col min="6930" max="6930" width="8" style="12665"/>
    <col min="6931" max="6931" width="8" style="12665" customWidth="1"/>
    <col min="6932" max="7169" width="8" style="12665"/>
    <col min="7170" max="7170" width="2.88671875" style="12665" customWidth="1"/>
    <col min="7171" max="7171" width="33.44140625" style="12665" customWidth="1"/>
    <col min="7172" max="7172" width="6.44140625" style="12665" customWidth="1"/>
    <col min="7173" max="7173" width="1.88671875" style="12665" customWidth="1"/>
    <col min="7174" max="7174" width="15.109375" style="12665" customWidth="1"/>
    <col min="7175" max="7175" width="1.88671875" style="12665" customWidth="1"/>
    <col min="7176" max="7176" width="15.44140625" style="12665" customWidth="1"/>
    <col min="7177" max="7177" width="2" style="12665" customWidth="1"/>
    <col min="7178" max="7178" width="14.88671875" style="12665" customWidth="1"/>
    <col min="7179" max="7179" width="1.88671875" style="12665" customWidth="1"/>
    <col min="7180" max="7180" width="18.44140625" style="12665" customWidth="1"/>
    <col min="7181" max="7181" width="17.44140625" style="12665" customWidth="1"/>
    <col min="7182" max="7182" width="6.88671875" style="12665" customWidth="1"/>
    <col min="7183" max="7183" width="0" style="12665" hidden="1" customWidth="1"/>
    <col min="7184" max="7184" width="10.109375" style="12665" bestFit="1" customWidth="1"/>
    <col min="7185" max="7185" width="12.88671875" style="12665" bestFit="1" customWidth="1"/>
    <col min="7186" max="7186" width="8" style="12665"/>
    <col min="7187" max="7187" width="8" style="12665" customWidth="1"/>
    <col min="7188" max="7425" width="8" style="12665"/>
    <col min="7426" max="7426" width="2.88671875" style="12665" customWidth="1"/>
    <col min="7427" max="7427" width="33.44140625" style="12665" customWidth="1"/>
    <col min="7428" max="7428" width="6.44140625" style="12665" customWidth="1"/>
    <col min="7429" max="7429" width="1.88671875" style="12665" customWidth="1"/>
    <col min="7430" max="7430" width="15.109375" style="12665" customWidth="1"/>
    <col min="7431" max="7431" width="1.88671875" style="12665" customWidth="1"/>
    <col min="7432" max="7432" width="15.44140625" style="12665" customWidth="1"/>
    <col min="7433" max="7433" width="2" style="12665" customWidth="1"/>
    <col min="7434" max="7434" width="14.88671875" style="12665" customWidth="1"/>
    <col min="7435" max="7435" width="1.88671875" style="12665" customWidth="1"/>
    <col min="7436" max="7436" width="18.44140625" style="12665" customWidth="1"/>
    <col min="7437" max="7437" width="17.44140625" style="12665" customWidth="1"/>
    <col min="7438" max="7438" width="6.88671875" style="12665" customWidth="1"/>
    <col min="7439" max="7439" width="0" style="12665" hidden="1" customWidth="1"/>
    <col min="7440" max="7440" width="10.109375" style="12665" bestFit="1" customWidth="1"/>
    <col min="7441" max="7441" width="12.88671875" style="12665" bestFit="1" customWidth="1"/>
    <col min="7442" max="7442" width="8" style="12665"/>
    <col min="7443" max="7443" width="8" style="12665" customWidth="1"/>
    <col min="7444" max="7681" width="8" style="12665"/>
    <col min="7682" max="7682" width="2.88671875" style="12665" customWidth="1"/>
    <col min="7683" max="7683" width="33.44140625" style="12665" customWidth="1"/>
    <col min="7684" max="7684" width="6.44140625" style="12665" customWidth="1"/>
    <col min="7685" max="7685" width="1.88671875" style="12665" customWidth="1"/>
    <col min="7686" max="7686" width="15.109375" style="12665" customWidth="1"/>
    <col min="7687" max="7687" width="1.88671875" style="12665" customWidth="1"/>
    <col min="7688" max="7688" width="15.44140625" style="12665" customWidth="1"/>
    <col min="7689" max="7689" width="2" style="12665" customWidth="1"/>
    <col min="7690" max="7690" width="14.88671875" style="12665" customWidth="1"/>
    <col min="7691" max="7691" width="1.88671875" style="12665" customWidth="1"/>
    <col min="7692" max="7692" width="18.44140625" style="12665" customWidth="1"/>
    <col min="7693" max="7693" width="17.44140625" style="12665" customWidth="1"/>
    <col min="7694" max="7694" width="6.88671875" style="12665" customWidth="1"/>
    <col min="7695" max="7695" width="0" style="12665" hidden="1" customWidth="1"/>
    <col min="7696" max="7696" width="10.109375" style="12665" bestFit="1" customWidth="1"/>
    <col min="7697" max="7697" width="12.88671875" style="12665" bestFit="1" customWidth="1"/>
    <col min="7698" max="7698" width="8" style="12665"/>
    <col min="7699" max="7699" width="8" style="12665" customWidth="1"/>
    <col min="7700" max="7937" width="8" style="12665"/>
    <col min="7938" max="7938" width="2.88671875" style="12665" customWidth="1"/>
    <col min="7939" max="7939" width="33.44140625" style="12665" customWidth="1"/>
    <col min="7940" max="7940" width="6.44140625" style="12665" customWidth="1"/>
    <col min="7941" max="7941" width="1.88671875" style="12665" customWidth="1"/>
    <col min="7942" max="7942" width="15.109375" style="12665" customWidth="1"/>
    <col min="7943" max="7943" width="1.88671875" style="12665" customWidth="1"/>
    <col min="7944" max="7944" width="15.44140625" style="12665" customWidth="1"/>
    <col min="7945" max="7945" width="2" style="12665" customWidth="1"/>
    <col min="7946" max="7946" width="14.88671875" style="12665" customWidth="1"/>
    <col min="7947" max="7947" width="1.88671875" style="12665" customWidth="1"/>
    <col min="7948" max="7948" width="18.44140625" style="12665" customWidth="1"/>
    <col min="7949" max="7949" width="17.44140625" style="12665" customWidth="1"/>
    <col min="7950" max="7950" width="6.88671875" style="12665" customWidth="1"/>
    <col min="7951" max="7951" width="0" style="12665" hidden="1" customWidth="1"/>
    <col min="7952" max="7952" width="10.109375" style="12665" bestFit="1" customWidth="1"/>
    <col min="7953" max="7953" width="12.88671875" style="12665" bestFit="1" customWidth="1"/>
    <col min="7954" max="7954" width="8" style="12665"/>
    <col min="7955" max="7955" width="8" style="12665" customWidth="1"/>
    <col min="7956" max="8193" width="8" style="12665"/>
    <col min="8194" max="8194" width="2.88671875" style="12665" customWidth="1"/>
    <col min="8195" max="8195" width="33.44140625" style="12665" customWidth="1"/>
    <col min="8196" max="8196" width="6.44140625" style="12665" customWidth="1"/>
    <col min="8197" max="8197" width="1.88671875" style="12665" customWidth="1"/>
    <col min="8198" max="8198" width="15.109375" style="12665" customWidth="1"/>
    <col min="8199" max="8199" width="1.88671875" style="12665" customWidth="1"/>
    <col min="8200" max="8200" width="15.44140625" style="12665" customWidth="1"/>
    <col min="8201" max="8201" width="2" style="12665" customWidth="1"/>
    <col min="8202" max="8202" width="14.88671875" style="12665" customWidth="1"/>
    <col min="8203" max="8203" width="1.88671875" style="12665" customWidth="1"/>
    <col min="8204" max="8204" width="18.44140625" style="12665" customWidth="1"/>
    <col min="8205" max="8205" width="17.44140625" style="12665" customWidth="1"/>
    <col min="8206" max="8206" width="6.88671875" style="12665" customWidth="1"/>
    <col min="8207" max="8207" width="0" style="12665" hidden="1" customWidth="1"/>
    <col min="8208" max="8208" width="10.109375" style="12665" bestFit="1" customWidth="1"/>
    <col min="8209" max="8209" width="12.88671875" style="12665" bestFit="1" customWidth="1"/>
    <col min="8210" max="8210" width="8" style="12665"/>
    <col min="8211" max="8211" width="8" style="12665" customWidth="1"/>
    <col min="8212" max="8449" width="8" style="12665"/>
    <col min="8450" max="8450" width="2.88671875" style="12665" customWidth="1"/>
    <col min="8451" max="8451" width="33.44140625" style="12665" customWidth="1"/>
    <col min="8452" max="8452" width="6.44140625" style="12665" customWidth="1"/>
    <col min="8453" max="8453" width="1.88671875" style="12665" customWidth="1"/>
    <col min="8454" max="8454" width="15.109375" style="12665" customWidth="1"/>
    <col min="8455" max="8455" width="1.88671875" style="12665" customWidth="1"/>
    <col min="8456" max="8456" width="15.44140625" style="12665" customWidth="1"/>
    <col min="8457" max="8457" width="2" style="12665" customWidth="1"/>
    <col min="8458" max="8458" width="14.88671875" style="12665" customWidth="1"/>
    <col min="8459" max="8459" width="1.88671875" style="12665" customWidth="1"/>
    <col min="8460" max="8460" width="18.44140625" style="12665" customWidth="1"/>
    <col min="8461" max="8461" width="17.44140625" style="12665" customWidth="1"/>
    <col min="8462" max="8462" width="6.88671875" style="12665" customWidth="1"/>
    <col min="8463" max="8463" width="0" style="12665" hidden="1" customWidth="1"/>
    <col min="8464" max="8464" width="10.109375" style="12665" bestFit="1" customWidth="1"/>
    <col min="8465" max="8465" width="12.88671875" style="12665" bestFit="1" customWidth="1"/>
    <col min="8466" max="8466" width="8" style="12665"/>
    <col min="8467" max="8467" width="8" style="12665" customWidth="1"/>
    <col min="8468" max="8705" width="8" style="12665"/>
    <col min="8706" max="8706" width="2.88671875" style="12665" customWidth="1"/>
    <col min="8707" max="8707" width="33.44140625" style="12665" customWidth="1"/>
    <col min="8708" max="8708" width="6.44140625" style="12665" customWidth="1"/>
    <col min="8709" max="8709" width="1.88671875" style="12665" customWidth="1"/>
    <col min="8710" max="8710" width="15.109375" style="12665" customWidth="1"/>
    <col min="8711" max="8711" width="1.88671875" style="12665" customWidth="1"/>
    <col min="8712" max="8712" width="15.44140625" style="12665" customWidth="1"/>
    <col min="8713" max="8713" width="2" style="12665" customWidth="1"/>
    <col min="8714" max="8714" width="14.88671875" style="12665" customWidth="1"/>
    <col min="8715" max="8715" width="1.88671875" style="12665" customWidth="1"/>
    <col min="8716" max="8716" width="18.44140625" style="12665" customWidth="1"/>
    <col min="8717" max="8717" width="17.44140625" style="12665" customWidth="1"/>
    <col min="8718" max="8718" width="6.88671875" style="12665" customWidth="1"/>
    <col min="8719" max="8719" width="0" style="12665" hidden="1" customWidth="1"/>
    <col min="8720" max="8720" width="10.109375" style="12665" bestFit="1" customWidth="1"/>
    <col min="8721" max="8721" width="12.88671875" style="12665" bestFit="1" customWidth="1"/>
    <col min="8722" max="8722" width="8" style="12665"/>
    <col min="8723" max="8723" width="8" style="12665" customWidth="1"/>
    <col min="8724" max="8961" width="8" style="12665"/>
    <col min="8962" max="8962" width="2.88671875" style="12665" customWidth="1"/>
    <col min="8963" max="8963" width="33.44140625" style="12665" customWidth="1"/>
    <col min="8964" max="8964" width="6.44140625" style="12665" customWidth="1"/>
    <col min="8965" max="8965" width="1.88671875" style="12665" customWidth="1"/>
    <col min="8966" max="8966" width="15.109375" style="12665" customWidth="1"/>
    <col min="8967" max="8967" width="1.88671875" style="12665" customWidth="1"/>
    <col min="8968" max="8968" width="15.44140625" style="12665" customWidth="1"/>
    <col min="8969" max="8969" width="2" style="12665" customWidth="1"/>
    <col min="8970" max="8970" width="14.88671875" style="12665" customWidth="1"/>
    <col min="8971" max="8971" width="1.88671875" style="12665" customWidth="1"/>
    <col min="8972" max="8972" width="18.44140625" style="12665" customWidth="1"/>
    <col min="8973" max="8973" width="17.44140625" style="12665" customWidth="1"/>
    <col min="8974" max="8974" width="6.88671875" style="12665" customWidth="1"/>
    <col min="8975" max="8975" width="0" style="12665" hidden="1" customWidth="1"/>
    <col min="8976" max="8976" width="10.109375" style="12665" bestFit="1" customWidth="1"/>
    <col min="8977" max="8977" width="12.88671875" style="12665" bestFit="1" customWidth="1"/>
    <col min="8978" max="8978" width="8" style="12665"/>
    <col min="8979" max="8979" width="8" style="12665" customWidth="1"/>
    <col min="8980" max="9217" width="8" style="12665"/>
    <col min="9218" max="9218" width="2.88671875" style="12665" customWidth="1"/>
    <col min="9219" max="9219" width="33.44140625" style="12665" customWidth="1"/>
    <col min="9220" max="9220" width="6.44140625" style="12665" customWidth="1"/>
    <col min="9221" max="9221" width="1.88671875" style="12665" customWidth="1"/>
    <col min="9222" max="9222" width="15.109375" style="12665" customWidth="1"/>
    <col min="9223" max="9223" width="1.88671875" style="12665" customWidth="1"/>
    <col min="9224" max="9224" width="15.44140625" style="12665" customWidth="1"/>
    <col min="9225" max="9225" width="2" style="12665" customWidth="1"/>
    <col min="9226" max="9226" width="14.88671875" style="12665" customWidth="1"/>
    <col min="9227" max="9227" width="1.88671875" style="12665" customWidth="1"/>
    <col min="9228" max="9228" width="18.44140625" style="12665" customWidth="1"/>
    <col min="9229" max="9229" width="17.44140625" style="12665" customWidth="1"/>
    <col min="9230" max="9230" width="6.88671875" style="12665" customWidth="1"/>
    <col min="9231" max="9231" width="0" style="12665" hidden="1" customWidth="1"/>
    <col min="9232" max="9232" width="10.109375" style="12665" bestFit="1" customWidth="1"/>
    <col min="9233" max="9233" width="12.88671875" style="12665" bestFit="1" customWidth="1"/>
    <col min="9234" max="9234" width="8" style="12665"/>
    <col min="9235" max="9235" width="8" style="12665" customWidth="1"/>
    <col min="9236" max="9473" width="8" style="12665"/>
    <col min="9474" max="9474" width="2.88671875" style="12665" customWidth="1"/>
    <col min="9475" max="9475" width="33.44140625" style="12665" customWidth="1"/>
    <col min="9476" max="9476" width="6.44140625" style="12665" customWidth="1"/>
    <col min="9477" max="9477" width="1.88671875" style="12665" customWidth="1"/>
    <col min="9478" max="9478" width="15.109375" style="12665" customWidth="1"/>
    <col min="9479" max="9479" width="1.88671875" style="12665" customWidth="1"/>
    <col min="9480" max="9480" width="15.44140625" style="12665" customWidth="1"/>
    <col min="9481" max="9481" width="2" style="12665" customWidth="1"/>
    <col min="9482" max="9482" width="14.88671875" style="12665" customWidth="1"/>
    <col min="9483" max="9483" width="1.88671875" style="12665" customWidth="1"/>
    <col min="9484" max="9484" width="18.44140625" style="12665" customWidth="1"/>
    <col min="9485" max="9485" width="17.44140625" style="12665" customWidth="1"/>
    <col min="9486" max="9486" width="6.88671875" style="12665" customWidth="1"/>
    <col min="9487" max="9487" width="0" style="12665" hidden="1" customWidth="1"/>
    <col min="9488" max="9488" width="10.109375" style="12665" bestFit="1" customWidth="1"/>
    <col min="9489" max="9489" width="12.88671875" style="12665" bestFit="1" customWidth="1"/>
    <col min="9490" max="9490" width="8" style="12665"/>
    <col min="9491" max="9491" width="8" style="12665" customWidth="1"/>
    <col min="9492" max="9729" width="8" style="12665"/>
    <col min="9730" max="9730" width="2.88671875" style="12665" customWidth="1"/>
    <col min="9731" max="9731" width="33.44140625" style="12665" customWidth="1"/>
    <col min="9732" max="9732" width="6.44140625" style="12665" customWidth="1"/>
    <col min="9733" max="9733" width="1.88671875" style="12665" customWidth="1"/>
    <col min="9734" max="9734" width="15.109375" style="12665" customWidth="1"/>
    <col min="9735" max="9735" width="1.88671875" style="12665" customWidth="1"/>
    <col min="9736" max="9736" width="15.44140625" style="12665" customWidth="1"/>
    <col min="9737" max="9737" width="2" style="12665" customWidth="1"/>
    <col min="9738" max="9738" width="14.88671875" style="12665" customWidth="1"/>
    <col min="9739" max="9739" width="1.88671875" style="12665" customWidth="1"/>
    <col min="9740" max="9740" width="18.44140625" style="12665" customWidth="1"/>
    <col min="9741" max="9741" width="17.44140625" style="12665" customWidth="1"/>
    <col min="9742" max="9742" width="6.88671875" style="12665" customWidth="1"/>
    <col min="9743" max="9743" width="0" style="12665" hidden="1" customWidth="1"/>
    <col min="9744" max="9744" width="10.109375" style="12665" bestFit="1" customWidth="1"/>
    <col min="9745" max="9745" width="12.88671875" style="12665" bestFit="1" customWidth="1"/>
    <col min="9746" max="9746" width="8" style="12665"/>
    <col min="9747" max="9747" width="8" style="12665" customWidth="1"/>
    <col min="9748" max="9985" width="8" style="12665"/>
    <col min="9986" max="9986" width="2.88671875" style="12665" customWidth="1"/>
    <col min="9987" max="9987" width="33.44140625" style="12665" customWidth="1"/>
    <col min="9988" max="9988" width="6.44140625" style="12665" customWidth="1"/>
    <col min="9989" max="9989" width="1.88671875" style="12665" customWidth="1"/>
    <col min="9990" max="9990" width="15.109375" style="12665" customWidth="1"/>
    <col min="9991" max="9991" width="1.88671875" style="12665" customWidth="1"/>
    <col min="9992" max="9992" width="15.44140625" style="12665" customWidth="1"/>
    <col min="9993" max="9993" width="2" style="12665" customWidth="1"/>
    <col min="9994" max="9994" width="14.88671875" style="12665" customWidth="1"/>
    <col min="9995" max="9995" width="1.88671875" style="12665" customWidth="1"/>
    <col min="9996" max="9996" width="18.44140625" style="12665" customWidth="1"/>
    <col min="9997" max="9997" width="17.44140625" style="12665" customWidth="1"/>
    <col min="9998" max="9998" width="6.88671875" style="12665" customWidth="1"/>
    <col min="9999" max="9999" width="0" style="12665" hidden="1" customWidth="1"/>
    <col min="10000" max="10000" width="10.109375" style="12665" bestFit="1" customWidth="1"/>
    <col min="10001" max="10001" width="12.88671875" style="12665" bestFit="1" customWidth="1"/>
    <col min="10002" max="10002" width="8" style="12665"/>
    <col min="10003" max="10003" width="8" style="12665" customWidth="1"/>
    <col min="10004" max="10241" width="8" style="12665"/>
    <col min="10242" max="10242" width="2.88671875" style="12665" customWidth="1"/>
    <col min="10243" max="10243" width="33.44140625" style="12665" customWidth="1"/>
    <col min="10244" max="10244" width="6.44140625" style="12665" customWidth="1"/>
    <col min="10245" max="10245" width="1.88671875" style="12665" customWidth="1"/>
    <col min="10246" max="10246" width="15.109375" style="12665" customWidth="1"/>
    <col min="10247" max="10247" width="1.88671875" style="12665" customWidth="1"/>
    <col min="10248" max="10248" width="15.44140625" style="12665" customWidth="1"/>
    <col min="10249" max="10249" width="2" style="12665" customWidth="1"/>
    <col min="10250" max="10250" width="14.88671875" style="12665" customWidth="1"/>
    <col min="10251" max="10251" width="1.88671875" style="12665" customWidth="1"/>
    <col min="10252" max="10252" width="18.44140625" style="12665" customWidth="1"/>
    <col min="10253" max="10253" width="17.44140625" style="12665" customWidth="1"/>
    <col min="10254" max="10254" width="6.88671875" style="12665" customWidth="1"/>
    <col min="10255" max="10255" width="0" style="12665" hidden="1" customWidth="1"/>
    <col min="10256" max="10256" width="10.109375" style="12665" bestFit="1" customWidth="1"/>
    <col min="10257" max="10257" width="12.88671875" style="12665" bestFit="1" customWidth="1"/>
    <col min="10258" max="10258" width="8" style="12665"/>
    <col min="10259" max="10259" width="8" style="12665" customWidth="1"/>
    <col min="10260" max="10497" width="8" style="12665"/>
    <col min="10498" max="10498" width="2.88671875" style="12665" customWidth="1"/>
    <col min="10499" max="10499" width="33.44140625" style="12665" customWidth="1"/>
    <col min="10500" max="10500" width="6.44140625" style="12665" customWidth="1"/>
    <col min="10501" max="10501" width="1.88671875" style="12665" customWidth="1"/>
    <col min="10502" max="10502" width="15.109375" style="12665" customWidth="1"/>
    <col min="10503" max="10503" width="1.88671875" style="12665" customWidth="1"/>
    <col min="10504" max="10504" width="15.44140625" style="12665" customWidth="1"/>
    <col min="10505" max="10505" width="2" style="12665" customWidth="1"/>
    <col min="10506" max="10506" width="14.88671875" style="12665" customWidth="1"/>
    <col min="10507" max="10507" width="1.88671875" style="12665" customWidth="1"/>
    <col min="10508" max="10508" width="18.44140625" style="12665" customWidth="1"/>
    <col min="10509" max="10509" width="17.44140625" style="12665" customWidth="1"/>
    <col min="10510" max="10510" width="6.88671875" style="12665" customWidth="1"/>
    <col min="10511" max="10511" width="0" style="12665" hidden="1" customWidth="1"/>
    <col min="10512" max="10512" width="10.109375" style="12665" bestFit="1" customWidth="1"/>
    <col min="10513" max="10513" width="12.88671875" style="12665" bestFit="1" customWidth="1"/>
    <col min="10514" max="10514" width="8" style="12665"/>
    <col min="10515" max="10515" width="8" style="12665" customWidth="1"/>
    <col min="10516" max="10753" width="8" style="12665"/>
    <col min="10754" max="10754" width="2.88671875" style="12665" customWidth="1"/>
    <col min="10755" max="10755" width="33.44140625" style="12665" customWidth="1"/>
    <col min="10756" max="10756" width="6.44140625" style="12665" customWidth="1"/>
    <col min="10757" max="10757" width="1.88671875" style="12665" customWidth="1"/>
    <col min="10758" max="10758" width="15.109375" style="12665" customWidth="1"/>
    <col min="10759" max="10759" width="1.88671875" style="12665" customWidth="1"/>
    <col min="10760" max="10760" width="15.44140625" style="12665" customWidth="1"/>
    <col min="10761" max="10761" width="2" style="12665" customWidth="1"/>
    <col min="10762" max="10762" width="14.88671875" style="12665" customWidth="1"/>
    <col min="10763" max="10763" width="1.88671875" style="12665" customWidth="1"/>
    <col min="10764" max="10764" width="18.44140625" style="12665" customWidth="1"/>
    <col min="10765" max="10765" width="17.44140625" style="12665" customWidth="1"/>
    <col min="10766" max="10766" width="6.88671875" style="12665" customWidth="1"/>
    <col min="10767" max="10767" width="0" style="12665" hidden="1" customWidth="1"/>
    <col min="10768" max="10768" width="10.109375" style="12665" bestFit="1" customWidth="1"/>
    <col min="10769" max="10769" width="12.88671875" style="12665" bestFit="1" customWidth="1"/>
    <col min="10770" max="10770" width="8" style="12665"/>
    <col min="10771" max="10771" width="8" style="12665" customWidth="1"/>
    <col min="10772" max="11009" width="8" style="12665"/>
    <col min="11010" max="11010" width="2.88671875" style="12665" customWidth="1"/>
    <col min="11011" max="11011" width="33.44140625" style="12665" customWidth="1"/>
    <col min="11012" max="11012" width="6.44140625" style="12665" customWidth="1"/>
    <col min="11013" max="11013" width="1.88671875" style="12665" customWidth="1"/>
    <col min="11014" max="11014" width="15.109375" style="12665" customWidth="1"/>
    <col min="11015" max="11015" width="1.88671875" style="12665" customWidth="1"/>
    <col min="11016" max="11016" width="15.44140625" style="12665" customWidth="1"/>
    <col min="11017" max="11017" width="2" style="12665" customWidth="1"/>
    <col min="11018" max="11018" width="14.88671875" style="12665" customWidth="1"/>
    <col min="11019" max="11019" width="1.88671875" style="12665" customWidth="1"/>
    <col min="11020" max="11020" width="18.44140625" style="12665" customWidth="1"/>
    <col min="11021" max="11021" width="17.44140625" style="12665" customWidth="1"/>
    <col min="11022" max="11022" width="6.88671875" style="12665" customWidth="1"/>
    <col min="11023" max="11023" width="0" style="12665" hidden="1" customWidth="1"/>
    <col min="11024" max="11024" width="10.109375" style="12665" bestFit="1" customWidth="1"/>
    <col min="11025" max="11025" width="12.88671875" style="12665" bestFit="1" customWidth="1"/>
    <col min="11026" max="11026" width="8" style="12665"/>
    <col min="11027" max="11027" width="8" style="12665" customWidth="1"/>
    <col min="11028" max="11265" width="8" style="12665"/>
    <col min="11266" max="11266" width="2.88671875" style="12665" customWidth="1"/>
    <col min="11267" max="11267" width="33.44140625" style="12665" customWidth="1"/>
    <col min="11268" max="11268" width="6.44140625" style="12665" customWidth="1"/>
    <col min="11269" max="11269" width="1.88671875" style="12665" customWidth="1"/>
    <col min="11270" max="11270" width="15.109375" style="12665" customWidth="1"/>
    <col min="11271" max="11271" width="1.88671875" style="12665" customWidth="1"/>
    <col min="11272" max="11272" width="15.44140625" style="12665" customWidth="1"/>
    <col min="11273" max="11273" width="2" style="12665" customWidth="1"/>
    <col min="11274" max="11274" width="14.88671875" style="12665" customWidth="1"/>
    <col min="11275" max="11275" width="1.88671875" style="12665" customWidth="1"/>
    <col min="11276" max="11276" width="18.44140625" style="12665" customWidth="1"/>
    <col min="11277" max="11277" width="17.44140625" style="12665" customWidth="1"/>
    <col min="11278" max="11278" width="6.88671875" style="12665" customWidth="1"/>
    <col min="11279" max="11279" width="0" style="12665" hidden="1" customWidth="1"/>
    <col min="11280" max="11280" width="10.109375" style="12665" bestFit="1" customWidth="1"/>
    <col min="11281" max="11281" width="12.88671875" style="12665" bestFit="1" customWidth="1"/>
    <col min="11282" max="11282" width="8" style="12665"/>
    <col min="11283" max="11283" width="8" style="12665" customWidth="1"/>
    <col min="11284" max="11521" width="8" style="12665"/>
    <col min="11522" max="11522" width="2.88671875" style="12665" customWidth="1"/>
    <col min="11523" max="11523" width="33.44140625" style="12665" customWidth="1"/>
    <col min="11524" max="11524" width="6.44140625" style="12665" customWidth="1"/>
    <col min="11525" max="11525" width="1.88671875" style="12665" customWidth="1"/>
    <col min="11526" max="11526" width="15.109375" style="12665" customWidth="1"/>
    <col min="11527" max="11527" width="1.88671875" style="12665" customWidth="1"/>
    <col min="11528" max="11528" width="15.44140625" style="12665" customWidth="1"/>
    <col min="11529" max="11529" width="2" style="12665" customWidth="1"/>
    <col min="11530" max="11530" width="14.88671875" style="12665" customWidth="1"/>
    <col min="11531" max="11531" width="1.88671875" style="12665" customWidth="1"/>
    <col min="11532" max="11532" width="18.44140625" style="12665" customWidth="1"/>
    <col min="11533" max="11533" width="17.44140625" style="12665" customWidth="1"/>
    <col min="11534" max="11534" width="6.88671875" style="12665" customWidth="1"/>
    <col min="11535" max="11535" width="0" style="12665" hidden="1" customWidth="1"/>
    <col min="11536" max="11536" width="10.109375" style="12665" bestFit="1" customWidth="1"/>
    <col min="11537" max="11537" width="12.88671875" style="12665" bestFit="1" customWidth="1"/>
    <col min="11538" max="11538" width="8" style="12665"/>
    <col min="11539" max="11539" width="8" style="12665" customWidth="1"/>
    <col min="11540" max="11777" width="8" style="12665"/>
    <col min="11778" max="11778" width="2.88671875" style="12665" customWidth="1"/>
    <col min="11779" max="11779" width="33.44140625" style="12665" customWidth="1"/>
    <col min="11780" max="11780" width="6.44140625" style="12665" customWidth="1"/>
    <col min="11781" max="11781" width="1.88671875" style="12665" customWidth="1"/>
    <col min="11782" max="11782" width="15.109375" style="12665" customWidth="1"/>
    <col min="11783" max="11783" width="1.88671875" style="12665" customWidth="1"/>
    <col min="11784" max="11784" width="15.44140625" style="12665" customWidth="1"/>
    <col min="11785" max="11785" width="2" style="12665" customWidth="1"/>
    <col min="11786" max="11786" width="14.88671875" style="12665" customWidth="1"/>
    <col min="11787" max="11787" width="1.88671875" style="12665" customWidth="1"/>
    <col min="11788" max="11788" width="18.44140625" style="12665" customWidth="1"/>
    <col min="11789" max="11789" width="17.44140625" style="12665" customWidth="1"/>
    <col min="11790" max="11790" width="6.88671875" style="12665" customWidth="1"/>
    <col min="11791" max="11791" width="0" style="12665" hidden="1" customWidth="1"/>
    <col min="11792" max="11792" width="10.109375" style="12665" bestFit="1" customWidth="1"/>
    <col min="11793" max="11793" width="12.88671875" style="12665" bestFit="1" customWidth="1"/>
    <col min="11794" max="11794" width="8" style="12665"/>
    <col min="11795" max="11795" width="8" style="12665" customWidth="1"/>
    <col min="11796" max="12033" width="8" style="12665"/>
    <col min="12034" max="12034" width="2.88671875" style="12665" customWidth="1"/>
    <col min="12035" max="12035" width="33.44140625" style="12665" customWidth="1"/>
    <col min="12036" max="12036" width="6.44140625" style="12665" customWidth="1"/>
    <col min="12037" max="12037" width="1.88671875" style="12665" customWidth="1"/>
    <col min="12038" max="12038" width="15.109375" style="12665" customWidth="1"/>
    <col min="12039" max="12039" width="1.88671875" style="12665" customWidth="1"/>
    <col min="12040" max="12040" width="15.44140625" style="12665" customWidth="1"/>
    <col min="12041" max="12041" width="2" style="12665" customWidth="1"/>
    <col min="12042" max="12042" width="14.88671875" style="12665" customWidth="1"/>
    <col min="12043" max="12043" width="1.88671875" style="12665" customWidth="1"/>
    <col min="12044" max="12044" width="18.44140625" style="12665" customWidth="1"/>
    <col min="12045" max="12045" width="17.44140625" style="12665" customWidth="1"/>
    <col min="12046" max="12046" width="6.88671875" style="12665" customWidth="1"/>
    <col min="12047" max="12047" width="0" style="12665" hidden="1" customWidth="1"/>
    <col min="12048" max="12048" width="10.109375" style="12665" bestFit="1" customWidth="1"/>
    <col min="12049" max="12049" width="12.88671875" style="12665" bestFit="1" customWidth="1"/>
    <col min="12050" max="12050" width="8" style="12665"/>
    <col min="12051" max="12051" width="8" style="12665" customWidth="1"/>
    <col min="12052" max="12289" width="8" style="12665"/>
    <col min="12290" max="12290" width="2.88671875" style="12665" customWidth="1"/>
    <col min="12291" max="12291" width="33.44140625" style="12665" customWidth="1"/>
    <col min="12292" max="12292" width="6.44140625" style="12665" customWidth="1"/>
    <col min="12293" max="12293" width="1.88671875" style="12665" customWidth="1"/>
    <col min="12294" max="12294" width="15.109375" style="12665" customWidth="1"/>
    <col min="12295" max="12295" width="1.88671875" style="12665" customWidth="1"/>
    <col min="12296" max="12296" width="15.44140625" style="12665" customWidth="1"/>
    <col min="12297" max="12297" width="2" style="12665" customWidth="1"/>
    <col min="12298" max="12298" width="14.88671875" style="12665" customWidth="1"/>
    <col min="12299" max="12299" width="1.88671875" style="12665" customWidth="1"/>
    <col min="12300" max="12300" width="18.44140625" style="12665" customWidth="1"/>
    <col min="12301" max="12301" width="17.44140625" style="12665" customWidth="1"/>
    <col min="12302" max="12302" width="6.88671875" style="12665" customWidth="1"/>
    <col min="12303" max="12303" width="0" style="12665" hidden="1" customWidth="1"/>
    <col min="12304" max="12304" width="10.109375" style="12665" bestFit="1" customWidth="1"/>
    <col min="12305" max="12305" width="12.88671875" style="12665" bestFit="1" customWidth="1"/>
    <col min="12306" max="12306" width="8" style="12665"/>
    <col min="12307" max="12307" width="8" style="12665" customWidth="1"/>
    <col min="12308" max="12545" width="8" style="12665"/>
    <col min="12546" max="12546" width="2.88671875" style="12665" customWidth="1"/>
    <col min="12547" max="12547" width="33.44140625" style="12665" customWidth="1"/>
    <col min="12548" max="12548" width="6.44140625" style="12665" customWidth="1"/>
    <col min="12549" max="12549" width="1.88671875" style="12665" customWidth="1"/>
    <col min="12550" max="12550" width="15.109375" style="12665" customWidth="1"/>
    <col min="12551" max="12551" width="1.88671875" style="12665" customWidth="1"/>
    <col min="12552" max="12552" width="15.44140625" style="12665" customWidth="1"/>
    <col min="12553" max="12553" width="2" style="12665" customWidth="1"/>
    <col min="12554" max="12554" width="14.88671875" style="12665" customWidth="1"/>
    <col min="12555" max="12555" width="1.88671875" style="12665" customWidth="1"/>
    <col min="12556" max="12556" width="18.44140625" style="12665" customWidth="1"/>
    <col min="12557" max="12557" width="17.44140625" style="12665" customWidth="1"/>
    <col min="12558" max="12558" width="6.88671875" style="12665" customWidth="1"/>
    <col min="12559" max="12559" width="0" style="12665" hidden="1" customWidth="1"/>
    <col min="12560" max="12560" width="10.109375" style="12665" bestFit="1" customWidth="1"/>
    <col min="12561" max="12561" width="12.88671875" style="12665" bestFit="1" customWidth="1"/>
    <col min="12562" max="12562" width="8" style="12665"/>
    <col min="12563" max="12563" width="8" style="12665" customWidth="1"/>
    <col min="12564" max="12801" width="8" style="12665"/>
    <col min="12802" max="12802" width="2.88671875" style="12665" customWidth="1"/>
    <col min="12803" max="12803" width="33.44140625" style="12665" customWidth="1"/>
    <col min="12804" max="12804" width="6.44140625" style="12665" customWidth="1"/>
    <col min="12805" max="12805" width="1.88671875" style="12665" customWidth="1"/>
    <col min="12806" max="12806" width="15.109375" style="12665" customWidth="1"/>
    <col min="12807" max="12807" width="1.88671875" style="12665" customWidth="1"/>
    <col min="12808" max="12808" width="15.44140625" style="12665" customWidth="1"/>
    <col min="12809" max="12809" width="2" style="12665" customWidth="1"/>
    <col min="12810" max="12810" width="14.88671875" style="12665" customWidth="1"/>
    <col min="12811" max="12811" width="1.88671875" style="12665" customWidth="1"/>
    <col min="12812" max="12812" width="18.44140625" style="12665" customWidth="1"/>
    <col min="12813" max="12813" width="17.44140625" style="12665" customWidth="1"/>
    <col min="12814" max="12814" width="6.88671875" style="12665" customWidth="1"/>
    <col min="12815" max="12815" width="0" style="12665" hidden="1" customWidth="1"/>
    <col min="12816" max="12816" width="10.109375" style="12665" bestFit="1" customWidth="1"/>
    <col min="12817" max="12817" width="12.88671875" style="12665" bestFit="1" customWidth="1"/>
    <col min="12818" max="12818" width="8" style="12665"/>
    <col min="12819" max="12819" width="8" style="12665" customWidth="1"/>
    <col min="12820" max="13057" width="8" style="12665"/>
    <col min="13058" max="13058" width="2.88671875" style="12665" customWidth="1"/>
    <col min="13059" max="13059" width="33.44140625" style="12665" customWidth="1"/>
    <col min="13060" max="13060" width="6.44140625" style="12665" customWidth="1"/>
    <col min="13061" max="13061" width="1.88671875" style="12665" customWidth="1"/>
    <col min="13062" max="13062" width="15.109375" style="12665" customWidth="1"/>
    <col min="13063" max="13063" width="1.88671875" style="12665" customWidth="1"/>
    <col min="13064" max="13064" width="15.44140625" style="12665" customWidth="1"/>
    <col min="13065" max="13065" width="2" style="12665" customWidth="1"/>
    <col min="13066" max="13066" width="14.88671875" style="12665" customWidth="1"/>
    <col min="13067" max="13067" width="1.88671875" style="12665" customWidth="1"/>
    <col min="13068" max="13068" width="18.44140625" style="12665" customWidth="1"/>
    <col min="13069" max="13069" width="17.44140625" style="12665" customWidth="1"/>
    <col min="13070" max="13070" width="6.88671875" style="12665" customWidth="1"/>
    <col min="13071" max="13071" width="0" style="12665" hidden="1" customWidth="1"/>
    <col min="13072" max="13072" width="10.109375" style="12665" bestFit="1" customWidth="1"/>
    <col min="13073" max="13073" width="12.88671875" style="12665" bestFit="1" customWidth="1"/>
    <col min="13074" max="13074" width="8" style="12665"/>
    <col min="13075" max="13075" width="8" style="12665" customWidth="1"/>
    <col min="13076" max="13313" width="8" style="12665"/>
    <col min="13314" max="13314" width="2.88671875" style="12665" customWidth="1"/>
    <col min="13315" max="13315" width="33.44140625" style="12665" customWidth="1"/>
    <col min="13316" max="13316" width="6.44140625" style="12665" customWidth="1"/>
    <col min="13317" max="13317" width="1.88671875" style="12665" customWidth="1"/>
    <col min="13318" max="13318" width="15.109375" style="12665" customWidth="1"/>
    <col min="13319" max="13319" width="1.88671875" style="12665" customWidth="1"/>
    <col min="13320" max="13320" width="15.44140625" style="12665" customWidth="1"/>
    <col min="13321" max="13321" width="2" style="12665" customWidth="1"/>
    <col min="13322" max="13322" width="14.88671875" style="12665" customWidth="1"/>
    <col min="13323" max="13323" width="1.88671875" style="12665" customWidth="1"/>
    <col min="13324" max="13324" width="18.44140625" style="12665" customWidth="1"/>
    <col min="13325" max="13325" width="17.44140625" style="12665" customWidth="1"/>
    <col min="13326" max="13326" width="6.88671875" style="12665" customWidth="1"/>
    <col min="13327" max="13327" width="0" style="12665" hidden="1" customWidth="1"/>
    <col min="13328" max="13328" width="10.109375" style="12665" bestFit="1" customWidth="1"/>
    <col min="13329" max="13329" width="12.88671875" style="12665" bestFit="1" customWidth="1"/>
    <col min="13330" max="13330" width="8" style="12665"/>
    <col min="13331" max="13331" width="8" style="12665" customWidth="1"/>
    <col min="13332" max="13569" width="8" style="12665"/>
    <col min="13570" max="13570" width="2.88671875" style="12665" customWidth="1"/>
    <col min="13571" max="13571" width="33.44140625" style="12665" customWidth="1"/>
    <col min="13572" max="13572" width="6.44140625" style="12665" customWidth="1"/>
    <col min="13573" max="13573" width="1.88671875" style="12665" customWidth="1"/>
    <col min="13574" max="13574" width="15.109375" style="12665" customWidth="1"/>
    <col min="13575" max="13575" width="1.88671875" style="12665" customWidth="1"/>
    <col min="13576" max="13576" width="15.44140625" style="12665" customWidth="1"/>
    <col min="13577" max="13577" width="2" style="12665" customWidth="1"/>
    <col min="13578" max="13578" width="14.88671875" style="12665" customWidth="1"/>
    <col min="13579" max="13579" width="1.88671875" style="12665" customWidth="1"/>
    <col min="13580" max="13580" width="18.44140625" style="12665" customWidth="1"/>
    <col min="13581" max="13581" width="17.44140625" style="12665" customWidth="1"/>
    <col min="13582" max="13582" width="6.88671875" style="12665" customWidth="1"/>
    <col min="13583" max="13583" width="0" style="12665" hidden="1" customWidth="1"/>
    <col min="13584" max="13584" width="10.109375" style="12665" bestFit="1" customWidth="1"/>
    <col min="13585" max="13585" width="12.88671875" style="12665" bestFit="1" customWidth="1"/>
    <col min="13586" max="13586" width="8" style="12665"/>
    <col min="13587" max="13587" width="8" style="12665" customWidth="1"/>
    <col min="13588" max="13825" width="8" style="12665"/>
    <col min="13826" max="13826" width="2.88671875" style="12665" customWidth="1"/>
    <col min="13827" max="13827" width="33.44140625" style="12665" customWidth="1"/>
    <col min="13828" max="13828" width="6.44140625" style="12665" customWidth="1"/>
    <col min="13829" max="13829" width="1.88671875" style="12665" customWidth="1"/>
    <col min="13830" max="13830" width="15.109375" style="12665" customWidth="1"/>
    <col min="13831" max="13831" width="1.88671875" style="12665" customWidth="1"/>
    <col min="13832" max="13832" width="15.44140625" style="12665" customWidth="1"/>
    <col min="13833" max="13833" width="2" style="12665" customWidth="1"/>
    <col min="13834" max="13834" width="14.88671875" style="12665" customWidth="1"/>
    <col min="13835" max="13835" width="1.88671875" style="12665" customWidth="1"/>
    <col min="13836" max="13836" width="18.44140625" style="12665" customWidth="1"/>
    <col min="13837" max="13837" width="17.44140625" style="12665" customWidth="1"/>
    <col min="13838" max="13838" width="6.88671875" style="12665" customWidth="1"/>
    <col min="13839" max="13839" width="0" style="12665" hidden="1" customWidth="1"/>
    <col min="13840" max="13840" width="10.109375" style="12665" bestFit="1" customWidth="1"/>
    <col min="13841" max="13841" width="12.88671875" style="12665" bestFit="1" customWidth="1"/>
    <col min="13842" max="13842" width="8" style="12665"/>
    <col min="13843" max="13843" width="8" style="12665" customWidth="1"/>
    <col min="13844" max="14081" width="8" style="12665"/>
    <col min="14082" max="14082" width="2.88671875" style="12665" customWidth="1"/>
    <col min="14083" max="14083" width="33.44140625" style="12665" customWidth="1"/>
    <col min="14084" max="14084" width="6.44140625" style="12665" customWidth="1"/>
    <col min="14085" max="14085" width="1.88671875" style="12665" customWidth="1"/>
    <col min="14086" max="14086" width="15.109375" style="12665" customWidth="1"/>
    <col min="14087" max="14087" width="1.88671875" style="12665" customWidth="1"/>
    <col min="14088" max="14088" width="15.44140625" style="12665" customWidth="1"/>
    <col min="14089" max="14089" width="2" style="12665" customWidth="1"/>
    <col min="14090" max="14090" width="14.88671875" style="12665" customWidth="1"/>
    <col min="14091" max="14091" width="1.88671875" style="12665" customWidth="1"/>
    <col min="14092" max="14092" width="18.44140625" style="12665" customWidth="1"/>
    <col min="14093" max="14093" width="17.44140625" style="12665" customWidth="1"/>
    <col min="14094" max="14094" width="6.88671875" style="12665" customWidth="1"/>
    <col min="14095" max="14095" width="0" style="12665" hidden="1" customWidth="1"/>
    <col min="14096" max="14096" width="10.109375" style="12665" bestFit="1" customWidth="1"/>
    <col min="14097" max="14097" width="12.88671875" style="12665" bestFit="1" customWidth="1"/>
    <col min="14098" max="14098" width="8" style="12665"/>
    <col min="14099" max="14099" width="8" style="12665" customWidth="1"/>
    <col min="14100" max="14337" width="8" style="12665"/>
    <col min="14338" max="14338" width="2.88671875" style="12665" customWidth="1"/>
    <col min="14339" max="14339" width="33.44140625" style="12665" customWidth="1"/>
    <col min="14340" max="14340" width="6.44140625" style="12665" customWidth="1"/>
    <col min="14341" max="14341" width="1.88671875" style="12665" customWidth="1"/>
    <col min="14342" max="14342" width="15.109375" style="12665" customWidth="1"/>
    <col min="14343" max="14343" width="1.88671875" style="12665" customWidth="1"/>
    <col min="14344" max="14344" width="15.44140625" style="12665" customWidth="1"/>
    <col min="14345" max="14345" width="2" style="12665" customWidth="1"/>
    <col min="14346" max="14346" width="14.88671875" style="12665" customWidth="1"/>
    <col min="14347" max="14347" width="1.88671875" style="12665" customWidth="1"/>
    <col min="14348" max="14348" width="18.44140625" style="12665" customWidth="1"/>
    <col min="14349" max="14349" width="17.44140625" style="12665" customWidth="1"/>
    <col min="14350" max="14350" width="6.88671875" style="12665" customWidth="1"/>
    <col min="14351" max="14351" width="0" style="12665" hidden="1" customWidth="1"/>
    <col min="14352" max="14352" width="10.109375" style="12665" bestFit="1" customWidth="1"/>
    <col min="14353" max="14353" width="12.88671875" style="12665" bestFit="1" customWidth="1"/>
    <col min="14354" max="14354" width="8" style="12665"/>
    <col min="14355" max="14355" width="8" style="12665" customWidth="1"/>
    <col min="14356" max="14593" width="8" style="12665"/>
    <col min="14594" max="14594" width="2.88671875" style="12665" customWidth="1"/>
    <col min="14595" max="14595" width="33.44140625" style="12665" customWidth="1"/>
    <col min="14596" max="14596" width="6.44140625" style="12665" customWidth="1"/>
    <col min="14597" max="14597" width="1.88671875" style="12665" customWidth="1"/>
    <col min="14598" max="14598" width="15.109375" style="12665" customWidth="1"/>
    <col min="14599" max="14599" width="1.88671875" style="12665" customWidth="1"/>
    <col min="14600" max="14600" width="15.44140625" style="12665" customWidth="1"/>
    <col min="14601" max="14601" width="2" style="12665" customWidth="1"/>
    <col min="14602" max="14602" width="14.88671875" style="12665" customWidth="1"/>
    <col min="14603" max="14603" width="1.88671875" style="12665" customWidth="1"/>
    <col min="14604" max="14604" width="18.44140625" style="12665" customWidth="1"/>
    <col min="14605" max="14605" width="17.44140625" style="12665" customWidth="1"/>
    <col min="14606" max="14606" width="6.88671875" style="12665" customWidth="1"/>
    <col min="14607" max="14607" width="0" style="12665" hidden="1" customWidth="1"/>
    <col min="14608" max="14608" width="10.109375" style="12665" bestFit="1" customWidth="1"/>
    <col min="14609" max="14609" width="12.88671875" style="12665" bestFit="1" customWidth="1"/>
    <col min="14610" max="14610" width="8" style="12665"/>
    <col min="14611" max="14611" width="8" style="12665" customWidth="1"/>
    <col min="14612" max="14849" width="8" style="12665"/>
    <col min="14850" max="14850" width="2.88671875" style="12665" customWidth="1"/>
    <col min="14851" max="14851" width="33.44140625" style="12665" customWidth="1"/>
    <col min="14852" max="14852" width="6.44140625" style="12665" customWidth="1"/>
    <col min="14853" max="14853" width="1.88671875" style="12665" customWidth="1"/>
    <col min="14854" max="14854" width="15.109375" style="12665" customWidth="1"/>
    <col min="14855" max="14855" width="1.88671875" style="12665" customWidth="1"/>
    <col min="14856" max="14856" width="15.44140625" style="12665" customWidth="1"/>
    <col min="14857" max="14857" width="2" style="12665" customWidth="1"/>
    <col min="14858" max="14858" width="14.88671875" style="12665" customWidth="1"/>
    <col min="14859" max="14859" width="1.88671875" style="12665" customWidth="1"/>
    <col min="14860" max="14860" width="18.44140625" style="12665" customWidth="1"/>
    <col min="14861" max="14861" width="17.44140625" style="12665" customWidth="1"/>
    <col min="14862" max="14862" width="6.88671875" style="12665" customWidth="1"/>
    <col min="14863" max="14863" width="0" style="12665" hidden="1" customWidth="1"/>
    <col min="14864" max="14864" width="10.109375" style="12665" bestFit="1" customWidth="1"/>
    <col min="14865" max="14865" width="12.88671875" style="12665" bestFit="1" customWidth="1"/>
    <col min="14866" max="14866" width="8" style="12665"/>
    <col min="14867" max="14867" width="8" style="12665" customWidth="1"/>
    <col min="14868" max="15105" width="8" style="12665"/>
    <col min="15106" max="15106" width="2.88671875" style="12665" customWidth="1"/>
    <col min="15107" max="15107" width="33.44140625" style="12665" customWidth="1"/>
    <col min="15108" max="15108" width="6.44140625" style="12665" customWidth="1"/>
    <col min="15109" max="15109" width="1.88671875" style="12665" customWidth="1"/>
    <col min="15110" max="15110" width="15.109375" style="12665" customWidth="1"/>
    <col min="15111" max="15111" width="1.88671875" style="12665" customWidth="1"/>
    <col min="15112" max="15112" width="15.44140625" style="12665" customWidth="1"/>
    <col min="15113" max="15113" width="2" style="12665" customWidth="1"/>
    <col min="15114" max="15114" width="14.88671875" style="12665" customWidth="1"/>
    <col min="15115" max="15115" width="1.88671875" style="12665" customWidth="1"/>
    <col min="15116" max="15116" width="18.44140625" style="12665" customWidth="1"/>
    <col min="15117" max="15117" width="17.44140625" style="12665" customWidth="1"/>
    <col min="15118" max="15118" width="6.88671875" style="12665" customWidth="1"/>
    <col min="15119" max="15119" width="0" style="12665" hidden="1" customWidth="1"/>
    <col min="15120" max="15120" width="10.109375" style="12665" bestFit="1" customWidth="1"/>
    <col min="15121" max="15121" width="12.88671875" style="12665" bestFit="1" customWidth="1"/>
    <col min="15122" max="15122" width="8" style="12665"/>
    <col min="15123" max="15123" width="8" style="12665" customWidth="1"/>
    <col min="15124" max="15361" width="8" style="12665"/>
    <col min="15362" max="15362" width="2.88671875" style="12665" customWidth="1"/>
    <col min="15363" max="15363" width="33.44140625" style="12665" customWidth="1"/>
    <col min="15364" max="15364" width="6.44140625" style="12665" customWidth="1"/>
    <col min="15365" max="15365" width="1.88671875" style="12665" customWidth="1"/>
    <col min="15366" max="15366" width="15.109375" style="12665" customWidth="1"/>
    <col min="15367" max="15367" width="1.88671875" style="12665" customWidth="1"/>
    <col min="15368" max="15368" width="15.44140625" style="12665" customWidth="1"/>
    <col min="15369" max="15369" width="2" style="12665" customWidth="1"/>
    <col min="15370" max="15370" width="14.88671875" style="12665" customWidth="1"/>
    <col min="15371" max="15371" width="1.88671875" style="12665" customWidth="1"/>
    <col min="15372" max="15372" width="18.44140625" style="12665" customWidth="1"/>
    <col min="15373" max="15373" width="17.44140625" style="12665" customWidth="1"/>
    <col min="15374" max="15374" width="6.88671875" style="12665" customWidth="1"/>
    <col min="15375" max="15375" width="0" style="12665" hidden="1" customWidth="1"/>
    <col min="15376" max="15376" width="10.109375" style="12665" bestFit="1" customWidth="1"/>
    <col min="15377" max="15377" width="12.88671875" style="12665" bestFit="1" customWidth="1"/>
    <col min="15378" max="15378" width="8" style="12665"/>
    <col min="15379" max="15379" width="8" style="12665" customWidth="1"/>
    <col min="15380" max="15617" width="8" style="12665"/>
    <col min="15618" max="15618" width="2.88671875" style="12665" customWidth="1"/>
    <col min="15619" max="15619" width="33.44140625" style="12665" customWidth="1"/>
    <col min="15620" max="15620" width="6.44140625" style="12665" customWidth="1"/>
    <col min="15621" max="15621" width="1.88671875" style="12665" customWidth="1"/>
    <col min="15622" max="15622" width="15.109375" style="12665" customWidth="1"/>
    <col min="15623" max="15623" width="1.88671875" style="12665" customWidth="1"/>
    <col min="15624" max="15624" width="15.44140625" style="12665" customWidth="1"/>
    <col min="15625" max="15625" width="2" style="12665" customWidth="1"/>
    <col min="15626" max="15626" width="14.88671875" style="12665" customWidth="1"/>
    <col min="15627" max="15627" width="1.88671875" style="12665" customWidth="1"/>
    <col min="15628" max="15628" width="18.44140625" style="12665" customWidth="1"/>
    <col min="15629" max="15629" width="17.44140625" style="12665" customWidth="1"/>
    <col min="15630" max="15630" width="6.88671875" style="12665" customWidth="1"/>
    <col min="15631" max="15631" width="0" style="12665" hidden="1" customWidth="1"/>
    <col min="15632" max="15632" width="10.109375" style="12665" bestFit="1" customWidth="1"/>
    <col min="15633" max="15633" width="12.88671875" style="12665" bestFit="1" customWidth="1"/>
    <col min="15634" max="15634" width="8" style="12665"/>
    <col min="15635" max="15635" width="8" style="12665" customWidth="1"/>
    <col min="15636" max="15873" width="8" style="12665"/>
    <col min="15874" max="15874" width="2.88671875" style="12665" customWidth="1"/>
    <col min="15875" max="15875" width="33.44140625" style="12665" customWidth="1"/>
    <col min="15876" max="15876" width="6.44140625" style="12665" customWidth="1"/>
    <col min="15877" max="15877" width="1.88671875" style="12665" customWidth="1"/>
    <col min="15878" max="15878" width="15.109375" style="12665" customWidth="1"/>
    <col min="15879" max="15879" width="1.88671875" style="12665" customWidth="1"/>
    <col min="15880" max="15880" width="15.44140625" style="12665" customWidth="1"/>
    <col min="15881" max="15881" width="2" style="12665" customWidth="1"/>
    <col min="15882" max="15882" width="14.88671875" style="12665" customWidth="1"/>
    <col min="15883" max="15883" width="1.88671875" style="12665" customWidth="1"/>
    <col min="15884" max="15884" width="18.44140625" style="12665" customWidth="1"/>
    <col min="15885" max="15885" width="17.44140625" style="12665" customWidth="1"/>
    <col min="15886" max="15886" width="6.88671875" style="12665" customWidth="1"/>
    <col min="15887" max="15887" width="0" style="12665" hidden="1" customWidth="1"/>
    <col min="15888" max="15888" width="10.109375" style="12665" bestFit="1" customWidth="1"/>
    <col min="15889" max="15889" width="12.88671875" style="12665" bestFit="1" customWidth="1"/>
    <col min="15890" max="15890" width="8" style="12665"/>
    <col min="15891" max="15891" width="8" style="12665" customWidth="1"/>
    <col min="15892" max="16129" width="8" style="12665"/>
    <col min="16130" max="16130" width="2.88671875" style="12665" customWidth="1"/>
    <col min="16131" max="16131" width="33.44140625" style="12665" customWidth="1"/>
    <col min="16132" max="16132" width="6.44140625" style="12665" customWidth="1"/>
    <col min="16133" max="16133" width="1.88671875" style="12665" customWidth="1"/>
    <col min="16134" max="16134" width="15.109375" style="12665" customWidth="1"/>
    <col min="16135" max="16135" width="1.88671875" style="12665" customWidth="1"/>
    <col min="16136" max="16136" width="15.44140625" style="12665" customWidth="1"/>
    <col min="16137" max="16137" width="2" style="12665" customWidth="1"/>
    <col min="16138" max="16138" width="14.88671875" style="12665" customWidth="1"/>
    <col min="16139" max="16139" width="1.88671875" style="12665" customWidth="1"/>
    <col min="16140" max="16140" width="18.44140625" style="12665" customWidth="1"/>
    <col min="16141" max="16141" width="17.44140625" style="12665" customWidth="1"/>
    <col min="16142" max="16142" width="6.88671875" style="12665" customWidth="1"/>
    <col min="16143" max="16143" width="0" style="12665" hidden="1" customWidth="1"/>
    <col min="16144" max="16144" width="10.109375" style="12665" bestFit="1" customWidth="1"/>
    <col min="16145" max="16145" width="12.88671875" style="12665" bestFit="1" customWidth="1"/>
    <col min="16146" max="16146" width="8" style="12665"/>
    <col min="16147" max="16147" width="8" style="12665" customWidth="1"/>
    <col min="16148" max="16384" width="8" style="12665"/>
  </cols>
  <sheetData>
    <row r="1" spans="1:19" ht="14.4">
      <c r="A1" s="12664" t="s">
        <v>10842</v>
      </c>
      <c r="L1" s="12669"/>
      <c r="M1" s="12670"/>
    </row>
    <row r="2" spans="1:19" ht="14.4">
      <c r="A2" s="12664"/>
      <c r="L2" s="12669"/>
      <c r="M2" s="12670"/>
    </row>
    <row r="3" spans="1:19" ht="15" customHeight="1">
      <c r="A3" s="14170" t="s">
        <v>3216</v>
      </c>
      <c r="B3" s="14170"/>
      <c r="C3" s="14170"/>
      <c r="D3" s="14170"/>
      <c r="E3" s="14170"/>
      <c r="F3" s="14170"/>
      <c r="G3" s="14170"/>
      <c r="H3" s="14170"/>
      <c r="I3" s="14170"/>
      <c r="J3" s="14170"/>
      <c r="K3" s="14170"/>
      <c r="L3" s="14170"/>
      <c r="M3" s="14170"/>
    </row>
    <row r="4" spans="1:19">
      <c r="A4" s="14171" t="s">
        <v>463</v>
      </c>
      <c r="B4" s="14171"/>
      <c r="C4" s="14171"/>
      <c r="D4" s="14171"/>
      <c r="E4" s="14171"/>
      <c r="F4" s="14171"/>
      <c r="G4" s="14171"/>
      <c r="H4" s="14171"/>
      <c r="I4" s="14171"/>
      <c r="J4" s="14171"/>
      <c r="K4" s="14171"/>
      <c r="L4" s="14171"/>
      <c r="M4" s="14171"/>
    </row>
    <row r="5" spans="1:19" ht="23.4">
      <c r="A5" s="12665" t="s">
        <v>4960</v>
      </c>
      <c r="B5" s="12666"/>
      <c r="E5" s="12674"/>
      <c r="G5" s="12674"/>
      <c r="I5" s="12674"/>
      <c r="K5" s="12674"/>
      <c r="M5" s="12675"/>
    </row>
    <row r="6" spans="1:19" s="12685" customFormat="1">
      <c r="A6" s="12676"/>
      <c r="B6" s="12677"/>
      <c r="C6" s="12678"/>
      <c r="D6" s="12679"/>
      <c r="E6" s="12680" t="s">
        <v>10</v>
      </c>
      <c r="F6" s="14172" t="s">
        <v>11215</v>
      </c>
      <c r="G6" s="14173"/>
      <c r="H6" s="14173"/>
      <c r="I6" s="14173"/>
      <c r="J6" s="14173"/>
      <c r="K6" s="14174"/>
      <c r="L6" s="14175" t="s">
        <v>11518</v>
      </c>
      <c r="M6" s="12681" t="s">
        <v>465</v>
      </c>
      <c r="N6" s="12682"/>
      <c r="O6" s="12682"/>
      <c r="P6" s="12683"/>
      <c r="Q6" s="12684"/>
    </row>
    <row r="7" spans="1:19" s="12685" customFormat="1" ht="14.4">
      <c r="A7" s="14155" t="s">
        <v>460</v>
      </c>
      <c r="B7" s="14156"/>
      <c r="C7" s="12686" t="s">
        <v>459</v>
      </c>
      <c r="D7" s="12687"/>
      <c r="E7" s="12688" t="s">
        <v>10844</v>
      </c>
      <c r="F7" s="14157" t="s">
        <v>12077</v>
      </c>
      <c r="G7" s="14158"/>
      <c r="H7" s="14157" t="s">
        <v>12078</v>
      </c>
      <c r="I7" s="14158"/>
      <c r="J7" s="14159" t="s">
        <v>11477</v>
      </c>
      <c r="K7" s="14177"/>
      <c r="L7" s="14176"/>
      <c r="M7" s="12689" t="s">
        <v>469</v>
      </c>
      <c r="N7" s="12682"/>
      <c r="O7" s="12682"/>
      <c r="P7" s="12683"/>
      <c r="Q7" s="12684"/>
    </row>
    <row r="8" spans="1:19" s="12685" customFormat="1">
      <c r="A8" s="12690"/>
      <c r="B8" s="12691"/>
      <c r="C8" s="12692" t="s">
        <v>94</v>
      </c>
      <c r="D8" s="12693"/>
      <c r="E8" s="12694" t="s">
        <v>457</v>
      </c>
      <c r="F8" s="14163" t="s">
        <v>457</v>
      </c>
      <c r="G8" s="14164"/>
      <c r="H8" s="14163" t="s">
        <v>456</v>
      </c>
      <c r="I8" s="14164"/>
      <c r="J8" s="14161"/>
      <c r="K8" s="14178"/>
      <c r="L8" s="12695" t="s">
        <v>680</v>
      </c>
      <c r="M8" s="12696" t="s">
        <v>474</v>
      </c>
      <c r="N8" s="12682"/>
      <c r="O8" s="12682"/>
      <c r="P8" s="12683"/>
    </row>
    <row r="9" spans="1:19">
      <c r="A9" s="12697"/>
      <c r="B9" s="12698"/>
      <c r="C9" s="12699"/>
      <c r="D9" s="12700"/>
      <c r="E9" s="12701"/>
      <c r="F9" s="12702"/>
      <c r="G9" s="12701"/>
      <c r="H9" s="12702"/>
      <c r="I9" s="12703"/>
      <c r="J9" s="12702"/>
      <c r="K9" s="12701"/>
      <c r="L9" s="12704"/>
      <c r="M9" s="12705"/>
    </row>
    <row r="10" spans="1:19">
      <c r="A10" s="12706" t="s">
        <v>17</v>
      </c>
      <c r="B10" s="12707" t="s">
        <v>455</v>
      </c>
      <c r="C10" s="12708"/>
      <c r="D10" s="12709" t="s">
        <v>405</v>
      </c>
      <c r="E10" s="12710">
        <f>'receipts program'!D9</f>
        <v>115000000</v>
      </c>
      <c r="F10" s="12711" t="s">
        <v>405</v>
      </c>
      <c r="G10" s="12712">
        <v>295000000</v>
      </c>
      <c r="H10" s="12711" t="s">
        <v>405</v>
      </c>
      <c r="I10" s="12710">
        <f>K10-G10</f>
        <v>0</v>
      </c>
      <c r="J10" s="12711" t="s">
        <v>405</v>
      </c>
      <c r="K10" s="12713">
        <f>'receipts program'!F9</f>
        <v>295000000</v>
      </c>
      <c r="L10" s="12714">
        <f>'receipts program'!M9</f>
        <v>105000000</v>
      </c>
      <c r="M10" s="12715"/>
    </row>
    <row r="11" spans="1:19" ht="14.4" thickBot="1">
      <c r="A11" s="12706" t="s">
        <v>51</v>
      </c>
      <c r="B11" s="12707" t="s">
        <v>454</v>
      </c>
      <c r="C11" s="12708"/>
      <c r="D11" s="12700"/>
      <c r="E11" s="12712"/>
      <c r="F11" s="12702"/>
      <c r="G11" s="12712"/>
      <c r="H11" s="12702"/>
      <c r="I11" s="12710"/>
      <c r="J11" s="12702"/>
      <c r="K11" s="12716"/>
      <c r="L11" s="12704"/>
      <c r="M11" s="12715"/>
    </row>
    <row r="12" spans="1:19" s="12732" customFormat="1">
      <c r="A12" s="12717"/>
      <c r="B12" s="12718" t="s">
        <v>9</v>
      </c>
      <c r="C12" s="12719"/>
      <c r="D12" s="12720"/>
      <c r="E12" s="12721"/>
      <c r="F12" s="12722"/>
      <c r="G12" s="12721"/>
      <c r="H12" s="12722"/>
      <c r="I12" s="12723"/>
      <c r="J12" s="12722"/>
      <c r="K12" s="12724"/>
      <c r="L12" s="12725"/>
      <c r="M12" s="12726"/>
      <c r="N12" s="12727"/>
      <c r="O12" s="12727"/>
      <c r="P12" s="12728"/>
      <c r="Q12" s="12729"/>
      <c r="R12" s="12730" t="s">
        <v>9331</v>
      </c>
      <c r="S12" s="12731"/>
    </row>
    <row r="13" spans="1:19">
      <c r="A13" s="12706"/>
      <c r="B13" s="12707" t="s">
        <v>453</v>
      </c>
      <c r="C13" s="12708"/>
      <c r="D13" s="12700"/>
      <c r="E13" s="12712"/>
      <c r="F13" s="12702"/>
      <c r="G13" s="12712"/>
      <c r="H13" s="12702"/>
      <c r="I13" s="12710"/>
      <c r="J13" s="12702"/>
      <c r="K13" s="12733"/>
      <c r="L13" s="12704"/>
      <c r="M13" s="12715"/>
      <c r="P13" s="12734"/>
      <c r="Q13" s="12735" t="s">
        <v>11216</v>
      </c>
      <c r="R13" s="12736"/>
      <c r="S13" s="12737" t="s">
        <v>11217</v>
      </c>
    </row>
    <row r="14" spans="1:19">
      <c r="A14" s="12706"/>
      <c r="B14" s="12738" t="s">
        <v>452</v>
      </c>
      <c r="C14" s="12708"/>
      <c r="D14" s="12700"/>
      <c r="E14" s="12712"/>
      <c r="F14" s="12702"/>
      <c r="G14" s="12712"/>
      <c r="H14" s="12702"/>
      <c r="I14" s="12710"/>
      <c r="J14" s="12702"/>
      <c r="K14" s="12733"/>
      <c r="L14" s="12704"/>
      <c r="M14" s="12715"/>
      <c r="P14" s="12734" t="s">
        <v>481</v>
      </c>
      <c r="Q14" s="12739">
        <f>SUM(G15:G16,G22:G31,G39:G41,G47:G52,G55:G56,G59,G67,G69)</f>
        <v>1027446895.85</v>
      </c>
      <c r="R14" s="12739"/>
      <c r="S14" s="12740">
        <f>SUM(I15:I16,I22:I31,I39:I41,I47:I52,I55:I56,I59,I67,I69)</f>
        <v>1137050586.1500001</v>
      </c>
    </row>
    <row r="15" spans="1:19">
      <c r="A15" s="12706"/>
      <c r="B15" s="12741" t="s">
        <v>451</v>
      </c>
      <c r="C15" s="12708">
        <v>588</v>
      </c>
      <c r="D15" s="12709"/>
      <c r="E15" s="12712">
        <f>'receipts program'!D15</f>
        <v>29140372.300000001</v>
      </c>
      <c r="F15" s="12711"/>
      <c r="G15" s="12712">
        <v>28244749.710000001</v>
      </c>
      <c r="H15" s="12711"/>
      <c r="I15" s="12710">
        <f>K15-G15</f>
        <v>2755250.2899999991</v>
      </c>
      <c r="J15" s="12711"/>
      <c r="K15" s="12742">
        <f>'receipts program'!F15</f>
        <v>31000000</v>
      </c>
      <c r="L15" s="12743">
        <f>'receipts program'!M15</f>
        <v>32550000</v>
      </c>
      <c r="M15" s="12744" t="s">
        <v>481</v>
      </c>
      <c r="P15" s="12734" t="s">
        <v>484</v>
      </c>
      <c r="Q15" s="12739">
        <f>SUM(G17,G61:G63,G74:G75)+G70+G60</f>
        <v>13738527.98</v>
      </c>
      <c r="R15" s="12739"/>
      <c r="S15" s="12740">
        <f>SUM(I17,I61:I63,I74:I75)+I70+I60</f>
        <v>22811472.02</v>
      </c>
    </row>
    <row r="16" spans="1:19">
      <c r="A16" s="12706"/>
      <c r="B16" s="12741" t="s">
        <v>450</v>
      </c>
      <c r="C16" s="12708" t="s">
        <v>449</v>
      </c>
      <c r="D16" s="12700"/>
      <c r="E16" s="12712">
        <f>'receipts program'!D16</f>
        <v>12750576.800000001</v>
      </c>
      <c r="F16" s="12702"/>
      <c r="G16" s="12712">
        <v>8050093.25</v>
      </c>
      <c r="H16" s="12702"/>
      <c r="I16" s="12710">
        <f>K16-G16</f>
        <v>4149906.75</v>
      </c>
      <c r="J16" s="12702"/>
      <c r="K16" s="12742">
        <f>'receipts program'!F16</f>
        <v>12200000</v>
      </c>
      <c r="L16" s="12743">
        <f>'receipts program'!M16</f>
        <v>13420000</v>
      </c>
      <c r="M16" s="12744" t="s">
        <v>481</v>
      </c>
      <c r="P16" s="12734"/>
      <c r="Q16" s="12745">
        <f>SUM(Q14:Q15)</f>
        <v>1041185423.83</v>
      </c>
      <c r="R16" s="12746"/>
      <c r="S16" s="12747">
        <f>SUM(S14:S15)</f>
        <v>1159862058.1700001</v>
      </c>
    </row>
    <row r="17" spans="1:19">
      <c r="A17" s="12706"/>
      <c r="B17" s="12741" t="s">
        <v>448</v>
      </c>
      <c r="C17" s="12708" t="s">
        <v>447</v>
      </c>
      <c r="D17" s="12748"/>
      <c r="E17" s="12712">
        <f>'receipts program'!D17</f>
        <v>7381140.79</v>
      </c>
      <c r="F17" s="12702"/>
      <c r="G17" s="12712">
        <v>4667986.54</v>
      </c>
      <c r="H17" s="12702"/>
      <c r="I17" s="12710">
        <f>K17-G17</f>
        <v>832013.46</v>
      </c>
      <c r="J17" s="12702"/>
      <c r="K17" s="12749">
        <f>'receipts program'!F17</f>
        <v>5500000</v>
      </c>
      <c r="L17" s="12750">
        <f>'receipts program'!M17</f>
        <v>7500000</v>
      </c>
      <c r="M17" s="12744" t="s">
        <v>484</v>
      </c>
      <c r="P17" s="12734"/>
      <c r="Q17" s="12739"/>
      <c r="R17" s="12751">
        <f>SUM(Q16:S16)</f>
        <v>2201047482</v>
      </c>
      <c r="S17" s="12752"/>
    </row>
    <row r="18" spans="1:19">
      <c r="A18" s="12706"/>
      <c r="B18" s="12698"/>
      <c r="C18" s="12708"/>
      <c r="D18" s="12753"/>
      <c r="E18" s="12754"/>
      <c r="F18" s="12755"/>
      <c r="G18" s="12754"/>
      <c r="H18" s="12755"/>
      <c r="I18" s="12756"/>
      <c r="J18" s="12755"/>
      <c r="K18" s="12757"/>
      <c r="L18" s="12758"/>
      <c r="M18" s="12705"/>
      <c r="P18" s="12734"/>
      <c r="Q18" s="12739"/>
      <c r="R18" s="12759">
        <f>G10</f>
        <v>295000000</v>
      </c>
      <c r="S18" s="12760" t="s">
        <v>9199</v>
      </c>
    </row>
    <row r="19" spans="1:19" s="12685" customFormat="1">
      <c r="A19" s="12761"/>
      <c r="B19" s="12762" t="s">
        <v>327</v>
      </c>
      <c r="C19" s="12763"/>
      <c r="D19" s="12764" t="s">
        <v>405</v>
      </c>
      <c r="E19" s="12765">
        <f>SUM(E15:E17)</f>
        <v>49272089.890000001</v>
      </c>
      <c r="F19" s="12711" t="s">
        <v>405</v>
      </c>
      <c r="G19" s="12765">
        <f>SUM(G15:G17)</f>
        <v>40962829.5</v>
      </c>
      <c r="H19" s="12711" t="s">
        <v>405</v>
      </c>
      <c r="I19" s="12765">
        <f>SUM(I15:I17)</f>
        <v>7737170.4999999991</v>
      </c>
      <c r="J19" s="12711" t="s">
        <v>405</v>
      </c>
      <c r="K19" s="12766">
        <f>SUM(K15:K18)</f>
        <v>48700000</v>
      </c>
      <c r="L19" s="12714">
        <f>SUM(L15:L17)</f>
        <v>53470000</v>
      </c>
      <c r="M19" s="12705"/>
      <c r="N19" s="12682"/>
      <c r="O19" s="12682"/>
      <c r="P19" s="12767"/>
      <c r="Q19" s="12745"/>
      <c r="R19" s="12746">
        <f>SUM(R17:R18)</f>
        <v>2496047482</v>
      </c>
      <c r="S19" s="12747"/>
    </row>
    <row r="20" spans="1:19">
      <c r="A20" s="12706"/>
      <c r="B20" s="12698"/>
      <c r="C20" s="12708"/>
      <c r="D20" s="12768"/>
      <c r="E20" s="12769"/>
      <c r="F20" s="12770"/>
      <c r="G20" s="12769"/>
      <c r="H20" s="12770"/>
      <c r="I20" s="12771"/>
      <c r="J20" s="12770"/>
      <c r="K20" s="12772"/>
      <c r="L20" s="12773"/>
      <c r="M20" s="12705"/>
      <c r="P20" s="12734"/>
      <c r="Q20" s="12739"/>
      <c r="R20" s="12759">
        <f>K78</f>
        <v>440000000</v>
      </c>
      <c r="S20" s="12760" t="s">
        <v>11218</v>
      </c>
    </row>
    <row r="21" spans="1:19" ht="14.4" thickBot="1">
      <c r="A21" s="12706"/>
      <c r="B21" s="12738" t="s">
        <v>446</v>
      </c>
      <c r="C21" s="12708"/>
      <c r="D21" s="12700"/>
      <c r="E21" s="12712"/>
      <c r="F21" s="12702"/>
      <c r="G21" s="12712"/>
      <c r="H21" s="12702"/>
      <c r="I21" s="12710"/>
      <c r="J21" s="12702"/>
      <c r="K21" s="12712"/>
      <c r="L21" s="12704"/>
      <c r="M21" s="12715"/>
      <c r="P21" s="12774"/>
      <c r="Q21" s="12775" t="s">
        <v>11219</v>
      </c>
      <c r="R21" s="12776">
        <f>SUM(R19:R20)</f>
        <v>2936047482</v>
      </c>
      <c r="S21" s="12777"/>
    </row>
    <row r="22" spans="1:19">
      <c r="A22" s="12706"/>
      <c r="B22" s="12741" t="s">
        <v>445</v>
      </c>
      <c r="C22" s="12708">
        <v>584</v>
      </c>
      <c r="D22" s="12700"/>
      <c r="E22" s="12712">
        <f>'receipts program'!D22</f>
        <v>2092598.67</v>
      </c>
      <c r="F22" s="12702"/>
      <c r="G22" s="12712">
        <v>2268973.94</v>
      </c>
      <c r="H22" s="12702"/>
      <c r="I22" s="12710">
        <f t="shared" ref="I22:I31" si="0">K22-G22</f>
        <v>-268973.93999999994</v>
      </c>
      <c r="J22" s="12702"/>
      <c r="K22" s="12778">
        <v>2000000</v>
      </c>
      <c r="L22" s="12743">
        <f>'receipts program'!M22</f>
        <v>2450000</v>
      </c>
      <c r="M22" s="12744" t="s">
        <v>481</v>
      </c>
    </row>
    <row r="23" spans="1:19">
      <c r="A23" s="12706"/>
      <c r="B23" s="12741" t="s">
        <v>3132</v>
      </c>
      <c r="C23" s="12708">
        <v>593</v>
      </c>
      <c r="D23" s="12700"/>
      <c r="E23" s="12712">
        <f>'receipts program'!D23</f>
        <v>1522365.2</v>
      </c>
      <c r="F23" s="12702"/>
      <c r="G23" s="12712">
        <v>1307967.53</v>
      </c>
      <c r="H23" s="12702"/>
      <c r="I23" s="12710">
        <f t="shared" si="0"/>
        <v>492032.47</v>
      </c>
      <c r="J23" s="12702"/>
      <c r="K23" s="12778">
        <v>1800000</v>
      </c>
      <c r="L23" s="12743">
        <f>'receipts program'!M23</f>
        <v>2000000</v>
      </c>
      <c r="M23" s="12744" t="s">
        <v>481</v>
      </c>
    </row>
    <row r="24" spans="1:19">
      <c r="A24" s="12706"/>
      <c r="B24" s="12741" t="s">
        <v>11508</v>
      </c>
      <c r="C24" s="12708">
        <v>581</v>
      </c>
      <c r="D24" s="12700"/>
      <c r="E24" s="12712">
        <f>'receipts program'!D24</f>
        <v>614656.18000000005</v>
      </c>
      <c r="F24" s="12702"/>
      <c r="G24" s="12712">
        <v>380391.05</v>
      </c>
      <c r="H24" s="12702"/>
      <c r="I24" s="12710">
        <f t="shared" si="0"/>
        <v>419608.95</v>
      </c>
      <c r="J24" s="12702"/>
      <c r="K24" s="12778">
        <v>800000</v>
      </c>
      <c r="L24" s="12743">
        <f>'receipts program'!M24</f>
        <v>800000</v>
      </c>
      <c r="M24" s="12744" t="s">
        <v>481</v>
      </c>
      <c r="Q24" s="12673">
        <f>G19+I19</f>
        <v>48700000</v>
      </c>
    </row>
    <row r="25" spans="1:19">
      <c r="A25" s="12706"/>
      <c r="B25" s="12741" t="s">
        <v>3152</v>
      </c>
      <c r="C25" s="12708">
        <v>592</v>
      </c>
      <c r="D25" s="12700"/>
      <c r="E25" s="12712">
        <f>'receipts program'!D25</f>
        <v>2044205.2</v>
      </c>
      <c r="F25" s="12702"/>
      <c r="G25" s="12712">
        <v>2025655.85</v>
      </c>
      <c r="H25" s="12702"/>
      <c r="I25" s="12710">
        <f t="shared" si="0"/>
        <v>-25655.850000000093</v>
      </c>
      <c r="J25" s="12702"/>
      <c r="K25" s="12778">
        <v>2000000</v>
      </c>
      <c r="L25" s="12743">
        <f>'receipts program'!M25</f>
        <v>2100000</v>
      </c>
      <c r="M25" s="12744" t="s">
        <v>481</v>
      </c>
    </row>
    <row r="26" spans="1:19">
      <c r="A26" s="12706"/>
      <c r="B26" s="12741" t="s">
        <v>11509</v>
      </c>
      <c r="C26" s="12708">
        <v>587</v>
      </c>
      <c r="D26" s="12700"/>
      <c r="E26" s="12712">
        <f>'receipts program'!D26</f>
        <v>12966194.949999999</v>
      </c>
      <c r="F26" s="12702"/>
      <c r="G26" s="12712">
        <v>5624964.2400000002</v>
      </c>
      <c r="H26" s="12702"/>
      <c r="I26" s="12710">
        <f>K26-G26</f>
        <v>-24964.240000000224</v>
      </c>
      <c r="J26" s="12702"/>
      <c r="K26" s="12778">
        <v>5600000</v>
      </c>
      <c r="L26" s="12743">
        <f>'receipts program'!M26</f>
        <v>13000000</v>
      </c>
      <c r="M26" s="12744" t="s">
        <v>481</v>
      </c>
    </row>
    <row r="27" spans="1:19">
      <c r="A27" s="12779"/>
      <c r="B27" s="12780" t="s">
        <v>8856</v>
      </c>
      <c r="C27" s="12781"/>
      <c r="D27" s="12700"/>
      <c r="E27" s="12712">
        <f>'receipts program'!D30</f>
        <v>0</v>
      </c>
      <c r="F27" s="12782"/>
      <c r="G27" s="12712">
        <v>0</v>
      </c>
      <c r="H27" s="12782"/>
      <c r="I27" s="12783">
        <f>K27-G27</f>
        <v>800000</v>
      </c>
      <c r="J27" s="12782"/>
      <c r="K27" s="12778">
        <f>'receipts program'!F30</f>
        <v>800000</v>
      </c>
      <c r="L27" s="12743">
        <f>'receipts program'!M30</f>
        <v>800000</v>
      </c>
      <c r="M27" s="12744" t="s">
        <v>481</v>
      </c>
    </row>
    <row r="28" spans="1:19">
      <c r="A28" s="12706"/>
      <c r="B28" s="12741" t="s">
        <v>3339</v>
      </c>
      <c r="C28" s="12708">
        <v>582</v>
      </c>
      <c r="D28" s="12700"/>
      <c r="E28" s="12712">
        <f>'receipts program'!D27</f>
        <v>20042</v>
      </c>
      <c r="F28" s="12702"/>
      <c r="G28" s="12712">
        <v>12713.35</v>
      </c>
      <c r="H28" s="12702"/>
      <c r="I28" s="12710">
        <f>K28-G28</f>
        <v>12286.65</v>
      </c>
      <c r="J28" s="12702"/>
      <c r="K28" s="12778">
        <v>25000</v>
      </c>
      <c r="L28" s="12743">
        <f>'receipts program'!M27</f>
        <v>25000</v>
      </c>
      <c r="M28" s="12744" t="s">
        <v>481</v>
      </c>
    </row>
    <row r="29" spans="1:19">
      <c r="A29" s="12706"/>
      <c r="B29" s="12741" t="s">
        <v>3134</v>
      </c>
      <c r="C29" s="12708">
        <v>564</v>
      </c>
      <c r="D29" s="12700"/>
      <c r="E29" s="12712">
        <f>'receipts program'!D28</f>
        <v>316765.8</v>
      </c>
      <c r="F29" s="12702"/>
      <c r="G29" s="12712">
        <v>369857.2</v>
      </c>
      <c r="H29" s="12702"/>
      <c r="I29" s="12710">
        <f t="shared" si="0"/>
        <v>-169857.2</v>
      </c>
      <c r="J29" s="12702"/>
      <c r="K29" s="12778">
        <v>200000</v>
      </c>
      <c r="L29" s="12743">
        <f>'receipts program'!M28</f>
        <v>400000</v>
      </c>
      <c r="M29" s="12744" t="s">
        <v>481</v>
      </c>
    </row>
    <row r="30" spans="1:19" hidden="1">
      <c r="A30" s="12779"/>
      <c r="B30" s="12784" t="s">
        <v>9204</v>
      </c>
      <c r="C30" s="12781"/>
      <c r="D30" s="12700"/>
      <c r="E30" s="12712">
        <f>'receipts program'!D29</f>
        <v>0</v>
      </c>
      <c r="F30" s="12782"/>
      <c r="G30" s="12712"/>
      <c r="H30" s="12782"/>
      <c r="I30" s="12710">
        <f t="shared" si="0"/>
        <v>0</v>
      </c>
      <c r="J30" s="12782"/>
      <c r="K30" s="12778"/>
      <c r="L30" s="12743"/>
      <c r="M30" s="12744"/>
    </row>
    <row r="31" spans="1:19" ht="12" customHeight="1">
      <c r="A31" s="12706"/>
      <c r="B31" s="12698" t="s">
        <v>3338</v>
      </c>
      <c r="C31" s="12708"/>
      <c r="D31" s="12700"/>
      <c r="E31" s="12712">
        <f>'receipts program'!D31</f>
        <v>445839.94</v>
      </c>
      <c r="F31" s="12785"/>
      <c r="G31" s="12712">
        <v>234216</v>
      </c>
      <c r="H31" s="12785"/>
      <c r="I31" s="12710">
        <f t="shared" si="0"/>
        <v>-84216</v>
      </c>
      <c r="J31" s="12785"/>
      <c r="K31" s="12786">
        <v>150000</v>
      </c>
      <c r="L31" s="12704">
        <f>'receipts program'!M31</f>
        <v>250000</v>
      </c>
      <c r="M31" s="12744" t="s">
        <v>481</v>
      </c>
      <c r="Q31" s="12673">
        <f>G32+I32</f>
        <v>13374999.999999998</v>
      </c>
    </row>
    <row r="32" spans="1:19" s="12685" customFormat="1">
      <c r="A32" s="12761"/>
      <c r="B32" s="12762" t="s">
        <v>327</v>
      </c>
      <c r="C32" s="12763"/>
      <c r="D32" s="12787" t="s">
        <v>405</v>
      </c>
      <c r="E32" s="12788">
        <f>SUM(E22:E31)</f>
        <v>20022667.940000001</v>
      </c>
      <c r="F32" s="12789" t="s">
        <v>405</v>
      </c>
      <c r="G32" s="12788">
        <f>SUM(G22:G31)</f>
        <v>12224739.159999998</v>
      </c>
      <c r="H32" s="12789" t="s">
        <v>405</v>
      </c>
      <c r="I32" s="12788">
        <f>SUM(I22:I31)</f>
        <v>1150260.8399999996</v>
      </c>
      <c r="J32" s="12789" t="s">
        <v>405</v>
      </c>
      <c r="K32" s="12790">
        <f>SUM(K22:K31)</f>
        <v>13375000</v>
      </c>
      <c r="L32" s="12791">
        <f>SUM(L22:L31)</f>
        <v>21825000</v>
      </c>
      <c r="M32" s="12705"/>
      <c r="N32" s="12682"/>
      <c r="O32" s="12682"/>
      <c r="P32" s="12683"/>
      <c r="Q32" s="12684"/>
    </row>
    <row r="33" spans="1:17" ht="10.5" customHeight="1">
      <c r="A33" s="12706"/>
      <c r="B33" s="12698"/>
      <c r="C33" s="12708"/>
      <c r="D33" s="12768"/>
      <c r="E33" s="12792"/>
      <c r="F33" s="12793"/>
      <c r="G33" s="12792"/>
      <c r="H33" s="12793"/>
      <c r="I33" s="12794"/>
      <c r="J33" s="12793"/>
      <c r="K33" s="12795"/>
      <c r="L33" s="12796"/>
      <c r="M33" s="12705"/>
    </row>
    <row r="34" spans="1:17" ht="6.75" customHeight="1">
      <c r="A34" s="12706"/>
      <c r="B34" s="12698"/>
      <c r="C34" s="12708"/>
      <c r="D34" s="12700"/>
      <c r="E34" s="12712"/>
      <c r="F34" s="12702"/>
      <c r="G34" s="12712"/>
      <c r="H34" s="12702"/>
      <c r="I34" s="12710"/>
      <c r="J34" s="12702"/>
      <c r="K34" s="12712"/>
      <c r="L34" s="12797"/>
      <c r="M34" s="12715"/>
    </row>
    <row r="35" spans="1:17">
      <c r="A35" s="12706"/>
      <c r="B35" s="12798" t="s">
        <v>443</v>
      </c>
      <c r="C35" s="12708"/>
      <c r="D35" s="12709" t="s">
        <v>405</v>
      </c>
      <c r="E35" s="12765">
        <f>E19+E32</f>
        <v>69294757.829999998</v>
      </c>
      <c r="F35" s="12711" t="s">
        <v>405</v>
      </c>
      <c r="G35" s="12765">
        <f>G19+G32</f>
        <v>53187568.659999996</v>
      </c>
      <c r="H35" s="12711" t="s">
        <v>405</v>
      </c>
      <c r="I35" s="12765">
        <f>I19+I32</f>
        <v>8887431.339999998</v>
      </c>
      <c r="J35" s="12711" t="s">
        <v>405</v>
      </c>
      <c r="K35" s="12799">
        <f>SUM(K19,K32)</f>
        <v>62075000</v>
      </c>
      <c r="L35" s="12714">
        <f>SUM(L19,L32)</f>
        <v>75295000</v>
      </c>
      <c r="M35" s="12715"/>
      <c r="Q35" s="12673">
        <f>G35+I35</f>
        <v>62074999.999999993</v>
      </c>
    </row>
    <row r="36" spans="1:17" ht="8.25" customHeight="1" thickBot="1">
      <c r="A36" s="12706"/>
      <c r="B36" s="12698"/>
      <c r="C36" s="12708"/>
      <c r="D36" s="12800"/>
      <c r="E36" s="12801"/>
      <c r="F36" s="12802"/>
      <c r="G36" s="12801"/>
      <c r="H36" s="12802"/>
      <c r="I36" s="12803"/>
      <c r="J36" s="12802"/>
      <c r="K36" s="12712"/>
      <c r="L36" s="12804"/>
      <c r="M36" s="12715"/>
    </row>
    <row r="37" spans="1:17">
      <c r="A37" s="12706"/>
      <c r="B37" s="12707" t="s">
        <v>442</v>
      </c>
      <c r="C37" s="12708"/>
      <c r="D37" s="12700"/>
      <c r="E37" s="12712"/>
      <c r="F37" s="12702"/>
      <c r="G37" s="12712"/>
      <c r="H37" s="12702"/>
      <c r="I37" s="12710"/>
      <c r="J37" s="12702"/>
      <c r="K37" s="12805"/>
      <c r="L37" s="12806"/>
      <c r="M37" s="12715"/>
    </row>
    <row r="38" spans="1:17">
      <c r="A38" s="12706"/>
      <c r="B38" s="12738" t="s">
        <v>441</v>
      </c>
      <c r="C38" s="12708"/>
      <c r="D38" s="12700"/>
      <c r="E38" s="12712"/>
      <c r="F38" s="12702"/>
      <c r="G38" s="12712"/>
      <c r="H38" s="12702"/>
      <c r="I38" s="12710"/>
      <c r="J38" s="12702"/>
      <c r="K38" s="12712"/>
      <c r="L38" s="12704"/>
      <c r="M38" s="12715"/>
    </row>
    <row r="39" spans="1:17" hidden="1">
      <c r="A39" s="12706"/>
      <c r="B39" s="12807" t="s">
        <v>3135</v>
      </c>
      <c r="C39" s="12708">
        <v>605</v>
      </c>
      <c r="D39" s="12700"/>
      <c r="E39" s="12712">
        <f>'receipts program'!D39</f>
        <v>0</v>
      </c>
      <c r="F39" s="12702"/>
      <c r="G39" s="12712"/>
      <c r="H39" s="12702"/>
      <c r="I39" s="12808"/>
      <c r="J39" s="12702"/>
      <c r="K39" s="12712"/>
      <c r="L39" s="12704"/>
      <c r="M39" s="12715"/>
    </row>
    <row r="40" spans="1:17">
      <c r="A40" s="12706"/>
      <c r="B40" s="12741" t="s">
        <v>11510</v>
      </c>
      <c r="C40" s="12708">
        <v>631</v>
      </c>
      <c r="D40" s="12709"/>
      <c r="E40" s="12712">
        <f>'receipts program'!D40</f>
        <v>145373138.99000001</v>
      </c>
      <c r="F40" s="12711"/>
      <c r="G40" s="12712">
        <v>38013664.020000003</v>
      </c>
      <c r="H40" s="12711"/>
      <c r="I40" s="12710">
        <f>K40-G40</f>
        <v>197986335.97999999</v>
      </c>
      <c r="J40" s="12711"/>
      <c r="K40" s="12809">
        <v>236000000</v>
      </c>
      <c r="L40" s="12743">
        <f>'receipts program'!M40</f>
        <v>236000000</v>
      </c>
      <c r="M40" s="12744" t="s">
        <v>481</v>
      </c>
    </row>
    <row r="41" spans="1:17">
      <c r="A41" s="12706"/>
      <c r="B41" s="12741" t="s">
        <v>3137</v>
      </c>
      <c r="C41" s="12708">
        <v>613</v>
      </c>
      <c r="D41" s="12810"/>
      <c r="E41" s="12811">
        <f>'receipts program'!D41</f>
        <v>3926680.14</v>
      </c>
      <c r="F41" s="12812"/>
      <c r="G41" s="12811">
        <v>3384779.5</v>
      </c>
      <c r="H41" s="12812"/>
      <c r="I41" s="12813">
        <f>K41-G41</f>
        <v>3615220.5</v>
      </c>
      <c r="J41" s="12812"/>
      <c r="K41" s="12814">
        <v>7000000</v>
      </c>
      <c r="L41" s="12750">
        <f>'receipts program'!M41</f>
        <v>6000000</v>
      </c>
      <c r="M41" s="12744" t="s">
        <v>481</v>
      </c>
    </row>
    <row r="42" spans="1:17" hidden="1">
      <c r="A42" s="12706"/>
      <c r="B42" s="12815" t="s">
        <v>3138</v>
      </c>
      <c r="C42" s="12708">
        <v>619</v>
      </c>
      <c r="D42" s="12816"/>
      <c r="E42" s="12817">
        <f>'receipts program'!D42</f>
        <v>0</v>
      </c>
      <c r="F42" s="12818"/>
      <c r="G42" s="12817"/>
      <c r="H42" s="12818"/>
      <c r="I42" s="12819"/>
      <c r="J42" s="12818"/>
      <c r="K42" s="12820"/>
      <c r="L42" s="12821"/>
      <c r="M42" s="12744"/>
    </row>
    <row r="43" spans="1:17" ht="10.5" hidden="1" customHeight="1">
      <c r="A43" s="12706"/>
      <c r="B43" s="12698" t="s">
        <v>3139</v>
      </c>
      <c r="C43" s="12708">
        <v>618</v>
      </c>
      <c r="D43" s="12816"/>
      <c r="E43" s="12817">
        <f>'receipts program'!D43</f>
        <v>0</v>
      </c>
      <c r="F43" s="12818"/>
      <c r="G43" s="12817"/>
      <c r="H43" s="12818"/>
      <c r="I43" s="12819"/>
      <c r="J43" s="12818"/>
      <c r="K43" s="12817"/>
      <c r="L43" s="12822"/>
      <c r="M43" s="12744"/>
    </row>
    <row r="44" spans="1:17" ht="10.5" hidden="1" customHeight="1">
      <c r="A44" s="12823"/>
      <c r="B44" s="12824" t="s">
        <v>3336</v>
      </c>
      <c r="C44" s="12825"/>
      <c r="D44" s="12816"/>
      <c r="E44" s="12817">
        <f>'receipts program'!D44</f>
        <v>0</v>
      </c>
      <c r="F44" s="12818"/>
      <c r="G44" s="12817"/>
      <c r="H44" s="12818"/>
      <c r="I44" s="12817"/>
      <c r="J44" s="12818"/>
      <c r="K44" s="12817"/>
      <c r="L44" s="12822"/>
      <c r="M44" s="12744"/>
    </row>
    <row r="45" spans="1:17" s="12682" customFormat="1">
      <c r="A45" s="12761"/>
      <c r="B45" s="12762" t="s">
        <v>327</v>
      </c>
      <c r="C45" s="12763"/>
      <c r="D45" s="12826" t="s">
        <v>405</v>
      </c>
      <c r="E45" s="12827">
        <f>SUM(E39:E44)</f>
        <v>149299819.13</v>
      </c>
      <c r="F45" s="12828" t="s">
        <v>405</v>
      </c>
      <c r="G45" s="12827">
        <f>SUM(G40:G41)</f>
        <v>41398443.520000003</v>
      </c>
      <c r="H45" s="12828" t="s">
        <v>405</v>
      </c>
      <c r="I45" s="12827">
        <f>SUM(I40:I41)</f>
        <v>201601556.47999999</v>
      </c>
      <c r="J45" s="12828" t="s">
        <v>405</v>
      </c>
      <c r="K45" s="12827">
        <f>SUM(K40:K44)</f>
        <v>243000000</v>
      </c>
      <c r="L45" s="12829">
        <f>SUM(L40:L41)</f>
        <v>242000000</v>
      </c>
      <c r="M45" s="12830"/>
      <c r="P45" s="12831"/>
      <c r="Q45" s="12832"/>
    </row>
    <row r="46" spans="1:17" ht="5.25" customHeight="1">
      <c r="A46" s="12706"/>
      <c r="B46" s="12698"/>
      <c r="C46" s="12833"/>
      <c r="D46" s="12834"/>
      <c r="E46" s="12769"/>
      <c r="F46" s="12835"/>
      <c r="G46" s="12769"/>
      <c r="H46" s="12835"/>
      <c r="I46" s="12836"/>
      <c r="J46" s="12835"/>
      <c r="K46" s="12772"/>
      <c r="L46" s="12704"/>
      <c r="M46" s="12715"/>
    </row>
    <row r="47" spans="1:17">
      <c r="A47" s="12706"/>
      <c r="B47" s="12741" t="s">
        <v>440</v>
      </c>
      <c r="C47" s="12708" t="s">
        <v>439</v>
      </c>
      <c r="D47" s="12700"/>
      <c r="E47" s="12712">
        <f>'receipts program'!D45</f>
        <v>1954843.04</v>
      </c>
      <c r="F47" s="12702"/>
      <c r="G47" s="12712">
        <v>957577.28</v>
      </c>
      <c r="H47" s="12702"/>
      <c r="I47" s="12808">
        <f t="shared" ref="I47:I52" si="1">K47-G47</f>
        <v>2042422.72</v>
      </c>
      <c r="J47" s="12702"/>
      <c r="K47" s="12837">
        <v>3000000</v>
      </c>
      <c r="L47" s="12838">
        <f>'receipts program'!M45</f>
        <v>5000000</v>
      </c>
      <c r="M47" s="12744" t="s">
        <v>481</v>
      </c>
    </row>
    <row r="48" spans="1:17">
      <c r="A48" s="12706"/>
      <c r="B48" s="12741" t="s">
        <v>438</v>
      </c>
      <c r="C48" s="12708">
        <v>642</v>
      </c>
      <c r="D48" s="12700"/>
      <c r="E48" s="12712">
        <f>'receipts program'!D46</f>
        <v>1698436.95</v>
      </c>
      <c r="F48" s="12702"/>
      <c r="G48" s="12712">
        <v>1146284.4099999999</v>
      </c>
      <c r="H48" s="12702"/>
      <c r="I48" s="12710">
        <f t="shared" si="1"/>
        <v>-1066284.4099999999</v>
      </c>
      <c r="J48" s="12702"/>
      <c r="K48" s="12837">
        <v>80000</v>
      </c>
      <c r="L48" s="12839">
        <f>'receipts program'!M46</f>
        <v>0</v>
      </c>
      <c r="M48" s="12744" t="s">
        <v>481</v>
      </c>
    </row>
    <row r="49" spans="1:17">
      <c r="A49" s="12706"/>
      <c r="B49" s="12741" t="s">
        <v>436</v>
      </c>
      <c r="C49" s="12708" t="s">
        <v>3141</v>
      </c>
      <c r="D49" s="12700"/>
      <c r="E49" s="12712">
        <f>'receipts program'!D48</f>
        <v>7633066.7699999996</v>
      </c>
      <c r="F49" s="12702"/>
      <c r="G49" s="12712">
        <v>5406677.9400000004</v>
      </c>
      <c r="H49" s="12702"/>
      <c r="I49" s="12710">
        <f t="shared" si="1"/>
        <v>3093322.0599999996</v>
      </c>
      <c r="J49" s="12702"/>
      <c r="K49" s="12837">
        <v>8500000</v>
      </c>
      <c r="L49" s="12839">
        <f>'receipts program'!M48</f>
        <v>10000000</v>
      </c>
      <c r="M49" s="12744" t="s">
        <v>481</v>
      </c>
    </row>
    <row r="50" spans="1:17">
      <c r="A50" s="12706"/>
      <c r="B50" s="12741" t="s">
        <v>434</v>
      </c>
      <c r="C50" s="12708" t="s">
        <v>3142</v>
      </c>
      <c r="D50" s="12700"/>
      <c r="E50" s="12712">
        <f>'receipts program'!D49</f>
        <v>1206920</v>
      </c>
      <c r="F50" s="12702"/>
      <c r="G50" s="12712">
        <v>657536</v>
      </c>
      <c r="H50" s="12702"/>
      <c r="I50" s="12710">
        <f t="shared" si="1"/>
        <v>1342464</v>
      </c>
      <c r="J50" s="12702"/>
      <c r="K50" s="12837">
        <v>2000000</v>
      </c>
      <c r="L50" s="12839">
        <f>'receipts program'!M49</f>
        <v>2500000</v>
      </c>
      <c r="M50" s="12744" t="s">
        <v>481</v>
      </c>
    </row>
    <row r="51" spans="1:17" hidden="1">
      <c r="A51" s="12706"/>
      <c r="B51" s="12815" t="s">
        <v>3153</v>
      </c>
      <c r="C51" s="12708">
        <v>649</v>
      </c>
      <c r="D51" s="12700"/>
      <c r="E51" s="12712"/>
      <c r="F51" s="12785"/>
      <c r="G51" s="12840"/>
      <c r="H51" s="12841"/>
      <c r="I51" s="12710">
        <f t="shared" si="1"/>
        <v>0</v>
      </c>
      <c r="J51" s="12785"/>
      <c r="K51" s="12837"/>
      <c r="L51" s="12839"/>
      <c r="M51" s="12744" t="s">
        <v>484</v>
      </c>
    </row>
    <row r="52" spans="1:17">
      <c r="A52" s="12823"/>
      <c r="B52" s="12842" t="s">
        <v>10588</v>
      </c>
      <c r="C52" s="12781"/>
      <c r="D52" s="12700"/>
      <c r="E52" s="12813">
        <f>'receipts program'!D51</f>
        <v>7904224.5</v>
      </c>
      <c r="F52" s="12841"/>
      <c r="G52" s="12843">
        <v>4177895</v>
      </c>
      <c r="H52" s="12841"/>
      <c r="I52" s="12710">
        <f t="shared" si="1"/>
        <v>-2177895</v>
      </c>
      <c r="J52" s="12785"/>
      <c r="K52" s="12837">
        <v>2000000</v>
      </c>
      <c r="L52" s="12844">
        <f>'receipts program'!M51</f>
        <v>50000</v>
      </c>
      <c r="M52" s="12845" t="s">
        <v>481</v>
      </c>
    </row>
    <row r="53" spans="1:17" s="12857" customFormat="1" ht="18.75" customHeight="1">
      <c r="A53" s="12846"/>
      <c r="B53" s="12847" t="s">
        <v>327</v>
      </c>
      <c r="C53" s="12848"/>
      <c r="D53" s="12849" t="s">
        <v>405</v>
      </c>
      <c r="E53" s="12850">
        <f>SUM(E47:E52)</f>
        <v>20397491.259999998</v>
      </c>
      <c r="F53" s="12851" t="s">
        <v>405</v>
      </c>
      <c r="G53" s="12850">
        <f>SUM(G47:G52)</f>
        <v>12345970.630000001</v>
      </c>
      <c r="H53" s="12851" t="s">
        <v>405</v>
      </c>
      <c r="I53" s="12850">
        <f>SUM(I47:I52)</f>
        <v>3234029.3699999992</v>
      </c>
      <c r="J53" s="12852" t="s">
        <v>405</v>
      </c>
      <c r="K53" s="12853">
        <f>SUM(K47:K52)</f>
        <v>15580000</v>
      </c>
      <c r="L53" s="12854">
        <f>SUM(L47:L52)</f>
        <v>17550000</v>
      </c>
      <c r="M53" s="12855"/>
      <c r="N53" s="12856"/>
      <c r="O53" s="12856"/>
      <c r="Q53" s="12858"/>
    </row>
    <row r="54" spans="1:17">
      <c r="A54" s="12697"/>
      <c r="B54" s="12698" t="s">
        <v>433</v>
      </c>
      <c r="C54" s="12699"/>
      <c r="D54" s="12700"/>
      <c r="E54" s="12701"/>
      <c r="F54" s="12702"/>
      <c r="G54" s="12703"/>
      <c r="H54" s="12841"/>
      <c r="I54" s="12701"/>
      <c r="J54" s="12702"/>
      <c r="K54" s="12701"/>
      <c r="L54" s="12704"/>
      <c r="M54" s="12859"/>
    </row>
    <row r="55" spans="1:17">
      <c r="A55" s="12706"/>
      <c r="B55" s="12741" t="s">
        <v>3150</v>
      </c>
      <c r="C55" s="12781">
        <v>664</v>
      </c>
      <c r="D55" s="12700"/>
      <c r="E55" s="12712">
        <f>'receipts program'!D71</f>
        <v>4990011.33</v>
      </c>
      <c r="F55" s="12702"/>
      <c r="G55" s="12710">
        <v>2374484.77</v>
      </c>
      <c r="H55" s="12841"/>
      <c r="I55" s="12710">
        <f>K55-G55</f>
        <v>3625515.23</v>
      </c>
      <c r="J55" s="12702"/>
      <c r="K55" s="12809">
        <v>6000000</v>
      </c>
      <c r="L55" s="12743">
        <f>'receipts program'!M71</f>
        <v>10000000</v>
      </c>
      <c r="M55" s="12744" t="s">
        <v>481</v>
      </c>
    </row>
    <row r="56" spans="1:17">
      <c r="A56" s="12706"/>
      <c r="B56" s="12741" t="s">
        <v>432</v>
      </c>
      <c r="C56" s="12781" t="s">
        <v>9</v>
      </c>
      <c r="D56" s="12700"/>
      <c r="E56" s="12712">
        <f>'receipts program'!D72</f>
        <v>170500</v>
      </c>
      <c r="F56" s="12702"/>
      <c r="G56" s="12710">
        <v>59000</v>
      </c>
      <c r="H56" s="12841"/>
      <c r="I56" s="12710">
        <f>K56-G56</f>
        <v>141000</v>
      </c>
      <c r="J56" s="12702"/>
      <c r="K56" s="12809">
        <v>200000</v>
      </c>
      <c r="L56" s="12743">
        <f>'receipts program'!M72</f>
        <v>100000</v>
      </c>
      <c r="M56" s="12744" t="s">
        <v>481</v>
      </c>
    </row>
    <row r="57" spans="1:17" s="12871" customFormat="1" ht="18" customHeight="1">
      <c r="A57" s="12860"/>
      <c r="B57" s="12861" t="s">
        <v>431</v>
      </c>
      <c r="C57" s="12862"/>
      <c r="D57" s="12849" t="s">
        <v>405</v>
      </c>
      <c r="E57" s="12863">
        <f>E55+E56</f>
        <v>5160511.33</v>
      </c>
      <c r="F57" s="12852" t="s">
        <v>405</v>
      </c>
      <c r="G57" s="12864">
        <f>SUM(G55:G56)</f>
        <v>2433484.77</v>
      </c>
      <c r="H57" s="12851" t="s">
        <v>405</v>
      </c>
      <c r="I57" s="12863">
        <f>SUM(I55:I56)</f>
        <v>3766515.23</v>
      </c>
      <c r="J57" s="12852" t="s">
        <v>405</v>
      </c>
      <c r="K57" s="12865">
        <f>SUM(K55:K56)</f>
        <v>6200000</v>
      </c>
      <c r="L57" s="12866">
        <f>SUM(L55:L56)</f>
        <v>10100000</v>
      </c>
      <c r="M57" s="12867"/>
      <c r="N57" s="12868"/>
      <c r="O57" s="12868"/>
      <c r="P57" s="12869"/>
      <c r="Q57" s="12870"/>
    </row>
    <row r="58" spans="1:17" ht="12.75" customHeight="1">
      <c r="A58" s="12697"/>
      <c r="B58" s="12698" t="s">
        <v>430</v>
      </c>
      <c r="C58" s="12872"/>
      <c r="D58" s="12700"/>
      <c r="E58" s="12701"/>
      <c r="F58" s="12702"/>
      <c r="G58" s="12703"/>
      <c r="H58" s="12841"/>
      <c r="I58" s="12701"/>
      <c r="J58" s="12702"/>
      <c r="K58" s="12701"/>
      <c r="L58" s="12704"/>
      <c r="M58" s="12859"/>
    </row>
    <row r="59" spans="1:17">
      <c r="A59" s="12873"/>
      <c r="B59" s="12741" t="s">
        <v>3151</v>
      </c>
      <c r="C59" s="12781">
        <v>678</v>
      </c>
      <c r="D59" s="12874"/>
      <c r="E59" s="12712">
        <f>'receipts program'!D78</f>
        <v>3411526.82</v>
      </c>
      <c r="F59" s="12702"/>
      <c r="G59" s="12710">
        <v>1081436.44</v>
      </c>
      <c r="H59" s="12841"/>
      <c r="I59" s="12710">
        <f>K59-G59</f>
        <v>2018563.56</v>
      </c>
      <c r="J59" s="12702"/>
      <c r="K59" s="12809">
        <v>3100000</v>
      </c>
      <c r="L59" s="12743">
        <f>'receipts program'!M78</f>
        <v>1000000</v>
      </c>
      <c r="M59" s="12744" t="s">
        <v>481</v>
      </c>
    </row>
    <row r="60" spans="1:17" ht="15.75" customHeight="1">
      <c r="A60" s="12873"/>
      <c r="B60" s="12741" t="s">
        <v>11517</v>
      </c>
      <c r="C60" s="12708">
        <v>661</v>
      </c>
      <c r="D60" s="12875"/>
      <c r="E60" s="12712">
        <f>'receipts program'!D77</f>
        <v>37875000</v>
      </c>
      <c r="F60" s="12876"/>
      <c r="G60" s="12712">
        <v>9000000</v>
      </c>
      <c r="H60" s="12876"/>
      <c r="I60" s="12877">
        <f>K60-G60</f>
        <v>21000000</v>
      </c>
      <c r="J60" s="12841"/>
      <c r="K60" s="12878">
        <v>30000000</v>
      </c>
      <c r="L60" s="12879">
        <f>'receipts program'!M77</f>
        <v>40000000</v>
      </c>
      <c r="M60" s="12744" t="s">
        <v>484</v>
      </c>
    </row>
    <row r="61" spans="1:17">
      <c r="A61" s="12873"/>
      <c r="B61" s="10308" t="s">
        <v>11516</v>
      </c>
      <c r="C61" s="12880" t="s">
        <v>428</v>
      </c>
      <c r="D61" s="12875"/>
      <c r="E61" s="12712">
        <f>'receipts program'!D79</f>
        <v>0</v>
      </c>
      <c r="F61" s="12876"/>
      <c r="G61" s="12877"/>
      <c r="H61" s="12841"/>
      <c r="I61" s="12877">
        <f>K61-G61</f>
        <v>0</v>
      </c>
      <c r="J61" s="12876"/>
      <c r="K61" s="12881">
        <v>0</v>
      </c>
      <c r="L61" s="12743">
        <f>'receipts program'!M79</f>
        <v>9000000</v>
      </c>
      <c r="M61" s="12744" t="s">
        <v>484</v>
      </c>
    </row>
    <row r="62" spans="1:17" hidden="1">
      <c r="A62" s="12873"/>
      <c r="B62" s="12741" t="s">
        <v>427</v>
      </c>
      <c r="C62" s="12781" t="s">
        <v>3146</v>
      </c>
      <c r="D62" s="12874"/>
      <c r="E62" s="12712">
        <f>'receipts program'!D80</f>
        <v>0</v>
      </c>
      <c r="F62" s="12702"/>
      <c r="G62" s="12710"/>
      <c r="H62" s="12841"/>
      <c r="I62" s="12710">
        <f>K62-G62</f>
        <v>0</v>
      </c>
      <c r="J62" s="12702"/>
      <c r="K62" s="12809">
        <v>0</v>
      </c>
      <c r="L62" s="12743">
        <f>'receipts program'!M80</f>
        <v>0</v>
      </c>
      <c r="M62" s="12744" t="s">
        <v>484</v>
      </c>
    </row>
    <row r="63" spans="1:17" ht="15" hidden="1" customHeight="1">
      <c r="A63" s="12873"/>
      <c r="B63" s="12741" t="s">
        <v>426</v>
      </c>
      <c r="C63" s="12781" t="s">
        <v>495</v>
      </c>
      <c r="D63" s="12874"/>
      <c r="E63" s="12712">
        <f>'receipts program'!D81</f>
        <v>0</v>
      </c>
      <c r="F63" s="12702"/>
      <c r="G63" s="12710"/>
      <c r="H63" s="12841"/>
      <c r="I63" s="12710">
        <f>K63-G63</f>
        <v>0</v>
      </c>
      <c r="J63" s="12702"/>
      <c r="K63" s="12878">
        <v>0</v>
      </c>
      <c r="L63" s="12879">
        <f>'receipts program'!M81</f>
        <v>0</v>
      </c>
      <c r="M63" s="12744" t="s">
        <v>484</v>
      </c>
    </row>
    <row r="64" spans="1:17" s="12857" customFormat="1" ht="15" customHeight="1">
      <c r="A64" s="12882"/>
      <c r="B64" s="12847" t="s">
        <v>327</v>
      </c>
      <c r="C64" s="12848"/>
      <c r="D64" s="12849" t="s">
        <v>405</v>
      </c>
      <c r="E64" s="12850">
        <f>SUM(E59:E63)</f>
        <v>41286526.82</v>
      </c>
      <c r="F64" s="12852" t="s">
        <v>405</v>
      </c>
      <c r="G64" s="12883">
        <f>SUM(G59:G63)</f>
        <v>10081436.439999999</v>
      </c>
      <c r="H64" s="12852" t="s">
        <v>405</v>
      </c>
      <c r="I64" s="12850">
        <f>SUM(I59:I63)</f>
        <v>23018563.559999999</v>
      </c>
      <c r="J64" s="12851" t="s">
        <v>405</v>
      </c>
      <c r="K64" s="12853">
        <f>SUM(K59:K63)</f>
        <v>33100000</v>
      </c>
      <c r="L64" s="12854">
        <f>SUM(L59:L63)</f>
        <v>50000000</v>
      </c>
      <c r="M64" s="12855"/>
      <c r="N64" s="12856"/>
      <c r="O64" s="12856"/>
      <c r="Q64" s="12858"/>
    </row>
    <row r="65" spans="1:17" s="12898" customFormat="1" ht="24.75" customHeight="1">
      <c r="A65" s="12884"/>
      <c r="B65" s="12885" t="s">
        <v>424</v>
      </c>
      <c r="C65" s="12886"/>
      <c r="D65" s="12887" t="s">
        <v>405</v>
      </c>
      <c r="E65" s="12888">
        <f>E45+E53+E64+E57</f>
        <v>216144348.53999999</v>
      </c>
      <c r="F65" s="12889" t="s">
        <v>405</v>
      </c>
      <c r="G65" s="12890">
        <f>G45+G53+G64+G57</f>
        <v>66259335.360000007</v>
      </c>
      <c r="H65" s="12891" t="s">
        <v>405</v>
      </c>
      <c r="I65" s="12892">
        <f>I45+I53+I64+I57</f>
        <v>231620664.63999999</v>
      </c>
      <c r="J65" s="12893" t="s">
        <v>405</v>
      </c>
      <c r="K65" s="12894">
        <f>SUM(K45,K53,K64,K57)</f>
        <v>297880000</v>
      </c>
      <c r="L65" s="12895">
        <f>SUM(L45,L53,L64,L57)</f>
        <v>319650000</v>
      </c>
      <c r="M65" s="12896"/>
      <c r="N65" s="12897"/>
      <c r="O65" s="12897"/>
      <c r="Q65" s="12899">
        <f>G65+I65</f>
        <v>297880000</v>
      </c>
    </row>
    <row r="66" spans="1:17" s="12913" customFormat="1" ht="15" customHeight="1">
      <c r="A66" s="12900"/>
      <c r="B66" s="12901" t="s">
        <v>423</v>
      </c>
      <c r="C66" s="12902"/>
      <c r="D66" s="12903"/>
      <c r="E66" s="12904"/>
      <c r="F66" s="12905"/>
      <c r="G66" s="12904"/>
      <c r="H66" s="12905"/>
      <c r="I66" s="12906"/>
      <c r="J66" s="12907"/>
      <c r="K66" s="12908"/>
      <c r="L66" s="12909"/>
      <c r="M66" s="12726"/>
      <c r="N66" s="12910"/>
      <c r="O66" s="12910"/>
      <c r="P66" s="12911"/>
      <c r="Q66" s="12912"/>
    </row>
    <row r="67" spans="1:17">
      <c r="A67" s="12779"/>
      <c r="B67" s="12784" t="s">
        <v>422</v>
      </c>
      <c r="C67" s="12781">
        <v>665</v>
      </c>
      <c r="D67" s="12874"/>
      <c r="E67" s="12712">
        <f>'receipts program'!D88</f>
        <v>1713520553</v>
      </c>
      <c r="F67" s="12914"/>
      <c r="G67" s="12712">
        <v>919147110</v>
      </c>
      <c r="H67" s="12914"/>
      <c r="I67" s="12915">
        <f>K67-G67</f>
        <v>918895372</v>
      </c>
      <c r="J67" s="12916"/>
      <c r="K67" s="12837">
        <v>1838042482</v>
      </c>
      <c r="L67" s="12839">
        <f>'receipts program'!M88</f>
        <v>2021897881</v>
      </c>
      <c r="M67" s="12744" t="s">
        <v>481</v>
      </c>
    </row>
    <row r="68" spans="1:17" ht="13.5" hidden="1" customHeight="1">
      <c r="A68" s="12779"/>
      <c r="B68" s="12784" t="s">
        <v>421</v>
      </c>
      <c r="C68" s="12781" t="s">
        <v>9</v>
      </c>
      <c r="D68" s="12874"/>
      <c r="E68" s="12712">
        <f>'receipts program'!D90</f>
        <v>0</v>
      </c>
      <c r="F68" s="12914"/>
      <c r="G68" s="12712"/>
      <c r="H68" s="12914"/>
      <c r="I68" s="12915">
        <f>K68-G68</f>
        <v>0</v>
      </c>
      <c r="J68" s="12916"/>
      <c r="K68" s="12837">
        <v>0</v>
      </c>
      <c r="L68" s="12839">
        <v>0</v>
      </c>
      <c r="M68" s="12744"/>
    </row>
    <row r="69" spans="1:17">
      <c r="A69" s="12779"/>
      <c r="B69" s="12784" t="s">
        <v>420</v>
      </c>
      <c r="C69" s="12781" t="s">
        <v>3147</v>
      </c>
      <c r="D69" s="12874"/>
      <c r="E69" s="12712">
        <f>'receipts program'!D91</f>
        <v>3977795.2</v>
      </c>
      <c r="F69" s="12782"/>
      <c r="G69" s="12712">
        <v>2520868.37</v>
      </c>
      <c r="H69" s="12782"/>
      <c r="I69" s="12915">
        <f>K69-G69</f>
        <v>-520868.37000000011</v>
      </c>
      <c r="J69" s="12841"/>
      <c r="K69" s="12809">
        <v>2000000</v>
      </c>
      <c r="L69" s="12743">
        <f>'receipts program'!M91</f>
        <v>5000000</v>
      </c>
      <c r="M69" s="12744" t="s">
        <v>481</v>
      </c>
    </row>
    <row r="70" spans="1:17">
      <c r="A70" s="12779"/>
      <c r="B70" s="12784" t="s">
        <v>504</v>
      </c>
      <c r="C70" s="12781">
        <v>669</v>
      </c>
      <c r="D70" s="12874"/>
      <c r="E70" s="12712">
        <f>'receipts program'!D89</f>
        <v>0</v>
      </c>
      <c r="F70" s="12782"/>
      <c r="G70" s="12712">
        <v>70541.440000000002</v>
      </c>
      <c r="H70" s="12782"/>
      <c r="I70" s="12915">
        <f>K70-G70</f>
        <v>-20541.440000000002</v>
      </c>
      <c r="J70" s="12841"/>
      <c r="K70" s="12712">
        <v>50000</v>
      </c>
      <c r="L70" s="12743">
        <f>'receipts program'!M89</f>
        <v>150000</v>
      </c>
      <c r="M70" s="12744" t="s">
        <v>484</v>
      </c>
    </row>
    <row r="71" spans="1:17" s="12751" customFormat="1" hidden="1">
      <c r="A71" s="12779"/>
      <c r="B71" s="12784" t="s">
        <v>9203</v>
      </c>
      <c r="C71" s="12781"/>
      <c r="D71" s="12874"/>
      <c r="E71" s="12712">
        <f>'receipts program'!D92</f>
        <v>0</v>
      </c>
      <c r="F71" s="12770"/>
      <c r="G71" s="12772"/>
      <c r="H71" s="12782"/>
      <c r="I71" s="12915"/>
      <c r="J71" s="12917"/>
      <c r="K71" s="12712"/>
      <c r="L71" s="12743"/>
      <c r="M71" s="12744"/>
      <c r="N71" s="12918"/>
      <c r="O71" s="12918"/>
      <c r="P71" s="12919"/>
      <c r="Q71" s="12739"/>
    </row>
    <row r="72" spans="1:17" s="12929" customFormat="1" ht="24" customHeight="1">
      <c r="A72" s="12920"/>
      <c r="B72" s="12921" t="s">
        <v>327</v>
      </c>
      <c r="C72" s="12922"/>
      <c r="D72" s="12849" t="s">
        <v>405</v>
      </c>
      <c r="E72" s="12923">
        <f>SUM(E67:E71)</f>
        <v>1717498348.2</v>
      </c>
      <c r="F72" s="12852" t="s">
        <v>405</v>
      </c>
      <c r="G72" s="12924">
        <f>SUM(G67:G70)</f>
        <v>921738519.81000006</v>
      </c>
      <c r="H72" s="12852" t="s">
        <v>405</v>
      </c>
      <c r="I72" s="12923">
        <f>SUM(I67:I71)</f>
        <v>918353962.18999994</v>
      </c>
      <c r="J72" s="12852" t="s">
        <v>405</v>
      </c>
      <c r="K72" s="12925">
        <f>SUM(K67:K71)</f>
        <v>1840092482</v>
      </c>
      <c r="L72" s="12926">
        <f>SUM(L67:L71)</f>
        <v>2027047881</v>
      </c>
      <c r="M72" s="12927"/>
      <c r="N72" s="12868"/>
      <c r="O72" s="12868"/>
      <c r="P72" s="12857"/>
      <c r="Q72" s="12928">
        <f>G72+I72</f>
        <v>1840092482</v>
      </c>
    </row>
    <row r="73" spans="1:17" s="12685" customFormat="1">
      <c r="A73" s="12930"/>
      <c r="B73" s="12931" t="s">
        <v>419</v>
      </c>
      <c r="C73" s="12686"/>
      <c r="D73" s="12932"/>
      <c r="E73" s="12933"/>
      <c r="F73" s="12934"/>
      <c r="G73" s="12933"/>
      <c r="H73" s="12934"/>
      <c r="I73" s="12933"/>
      <c r="J73" s="12934"/>
      <c r="K73" s="12790"/>
      <c r="L73" s="12791"/>
      <c r="M73" s="12830"/>
      <c r="N73" s="12682"/>
      <c r="O73" s="12682"/>
      <c r="P73" s="12683"/>
      <c r="Q73" s="12684"/>
    </row>
    <row r="74" spans="1:17">
      <c r="A74" s="12706"/>
      <c r="B74" s="12815" t="s">
        <v>418</v>
      </c>
      <c r="C74" s="12708">
        <v>682</v>
      </c>
      <c r="D74" s="12748"/>
      <c r="E74" s="12712">
        <f>'receipts program'!D97</f>
        <v>0</v>
      </c>
      <c r="F74" s="12702"/>
      <c r="G74" s="12712">
        <v>0</v>
      </c>
      <c r="H74" s="12702"/>
      <c r="I74" s="12712">
        <f>K74-G74</f>
        <v>1000000</v>
      </c>
      <c r="J74" s="12702"/>
      <c r="K74" s="12778">
        <v>1000000</v>
      </c>
      <c r="L74" s="12743">
        <f>'receipts program'!M97</f>
        <v>3000000</v>
      </c>
      <c r="M74" s="12744" t="s">
        <v>484</v>
      </c>
    </row>
    <row r="75" spans="1:17" hidden="1">
      <c r="A75" s="12706"/>
      <c r="B75" s="12815" t="s">
        <v>9189</v>
      </c>
      <c r="C75" s="12708" t="s">
        <v>9</v>
      </c>
      <c r="D75" s="12768"/>
      <c r="E75" s="12769">
        <f>'receipts program'!D98</f>
        <v>0</v>
      </c>
      <c r="F75" s="12770"/>
      <c r="G75" s="12769">
        <v>0</v>
      </c>
      <c r="H75" s="12770"/>
      <c r="I75" s="12769">
        <v>0</v>
      </c>
      <c r="J75" s="12770"/>
      <c r="K75" s="12772">
        <v>0</v>
      </c>
      <c r="L75" s="12935">
        <v>0</v>
      </c>
      <c r="M75" s="12744" t="s">
        <v>484</v>
      </c>
    </row>
    <row r="76" spans="1:17" s="12871" customFormat="1" ht="21" customHeight="1">
      <c r="A76" s="12860"/>
      <c r="B76" s="12936" t="s">
        <v>327</v>
      </c>
      <c r="C76" s="12937"/>
      <c r="D76" s="12938" t="s">
        <v>405</v>
      </c>
      <c r="E76" s="12939">
        <f>SUM(E74:E75)</f>
        <v>0</v>
      </c>
      <c r="F76" s="12940" t="s">
        <v>405</v>
      </c>
      <c r="G76" s="12941">
        <v>0</v>
      </c>
      <c r="H76" s="12942" t="s">
        <v>405</v>
      </c>
      <c r="I76" s="12939">
        <f>SUM(I74:I75)</f>
        <v>1000000</v>
      </c>
      <c r="J76" s="12940" t="s">
        <v>405</v>
      </c>
      <c r="K76" s="12939">
        <f>SUM(K74:K75)</f>
        <v>1000000</v>
      </c>
      <c r="L76" s="12943">
        <f>SUM(L74:L75)</f>
        <v>3000000</v>
      </c>
      <c r="M76" s="12944"/>
      <c r="N76" s="12868"/>
      <c r="O76" s="12868"/>
      <c r="P76" s="12869"/>
      <c r="Q76" s="12870"/>
    </row>
    <row r="77" spans="1:17" s="12898" customFormat="1" ht="20.399999999999999" customHeight="1">
      <c r="A77" s="12945"/>
      <c r="B77" s="12946" t="s">
        <v>417</v>
      </c>
      <c r="C77" s="12947"/>
      <c r="D77" s="12948" t="s">
        <v>405</v>
      </c>
      <c r="E77" s="12949">
        <v>0</v>
      </c>
      <c r="F77" s="12950" t="s">
        <v>405</v>
      </c>
      <c r="G77" s="12949">
        <v>0</v>
      </c>
      <c r="H77" s="12950" t="s">
        <v>405</v>
      </c>
      <c r="I77" s="12949">
        <f>K77-G77</f>
        <v>440000000</v>
      </c>
      <c r="J77" s="12950" t="s">
        <v>405</v>
      </c>
      <c r="K77" s="12951">
        <v>440000000</v>
      </c>
      <c r="L77" s="12952">
        <f>'receipts program'!M103</f>
        <v>0</v>
      </c>
      <c r="M77" s="12953" t="s">
        <v>484</v>
      </c>
      <c r="N77" s="12897"/>
      <c r="O77" s="12897"/>
      <c r="P77" s="12899"/>
      <c r="Q77" s="12954"/>
    </row>
    <row r="78" spans="1:17" s="12929" customFormat="1" ht="19.5" customHeight="1">
      <c r="A78" s="12955"/>
      <c r="B78" s="12936" t="s">
        <v>327</v>
      </c>
      <c r="C78" s="12848"/>
      <c r="D78" s="12956"/>
      <c r="E78" s="12957">
        <f>E77</f>
        <v>0</v>
      </c>
      <c r="F78" s="12958"/>
      <c r="G78" s="12957">
        <f>SUM(G77)</f>
        <v>0</v>
      </c>
      <c r="H78" s="12958"/>
      <c r="I78" s="12957">
        <f>SUM(I77)</f>
        <v>440000000</v>
      </c>
      <c r="J78" s="12958"/>
      <c r="K78" s="12924">
        <f>SUM(K77)</f>
        <v>440000000</v>
      </c>
      <c r="L78" s="12959">
        <f>L77</f>
        <v>0</v>
      </c>
      <c r="M78" s="12960"/>
      <c r="N78" s="12868"/>
      <c r="O78" s="12868"/>
      <c r="P78" s="12857"/>
      <c r="Q78" s="12928"/>
    </row>
    <row r="79" spans="1:17" s="12898" customFormat="1" ht="26.25" customHeight="1" thickBot="1">
      <c r="A79" s="12884"/>
      <c r="B79" s="12961" t="s">
        <v>220</v>
      </c>
      <c r="C79" s="12947"/>
      <c r="D79" s="12962"/>
      <c r="E79" s="12949">
        <f>E78+E76+E72</f>
        <v>1717498348.2</v>
      </c>
      <c r="F79" s="12963"/>
      <c r="G79" s="12949">
        <f>G78+G76+G72</f>
        <v>921738519.81000006</v>
      </c>
      <c r="H79" s="12963"/>
      <c r="I79" s="12949">
        <f>I78+I76+I72</f>
        <v>1359353962.1900001</v>
      </c>
      <c r="J79" s="12963"/>
      <c r="K79" s="12964">
        <f>K78+K76+K72</f>
        <v>2281092482</v>
      </c>
      <c r="L79" s="12965">
        <f>L78+L76+L72</f>
        <v>2030047881</v>
      </c>
      <c r="M79" s="12966"/>
      <c r="N79" s="12897"/>
      <c r="O79" s="12897"/>
      <c r="P79" s="12899"/>
      <c r="Q79" s="12954">
        <f>G79+I79</f>
        <v>2281092482</v>
      </c>
    </row>
    <row r="80" spans="1:17" s="12898" customFormat="1" ht="27" customHeight="1" thickBot="1">
      <c r="A80" s="14180" t="s">
        <v>416</v>
      </c>
      <c r="B80" s="14181"/>
      <c r="C80" s="12947"/>
      <c r="D80" s="12967" t="s">
        <v>405</v>
      </c>
      <c r="E80" s="12968">
        <f>E35+E65+E79</f>
        <v>2002937454.5700002</v>
      </c>
      <c r="F80" s="12969" t="s">
        <v>405</v>
      </c>
      <c r="G80" s="12968">
        <f>G35+G65+G79</f>
        <v>1041185423.83</v>
      </c>
      <c r="H80" s="12969" t="s">
        <v>405</v>
      </c>
      <c r="I80" s="12968">
        <f>I35+I65+I79</f>
        <v>1599862058.1700001</v>
      </c>
      <c r="J80" s="12969" t="s">
        <v>405</v>
      </c>
      <c r="K80" s="12970">
        <f>K35+K65+K79</f>
        <v>2641047482</v>
      </c>
      <c r="L80" s="12971">
        <f>L35+L65+L79</f>
        <v>2424992881</v>
      </c>
      <c r="M80" s="12966"/>
      <c r="N80" s="12897"/>
      <c r="O80" s="12897"/>
      <c r="P80" s="12899"/>
      <c r="Q80" s="12954">
        <f>G80+I80</f>
        <v>2641047482</v>
      </c>
    </row>
    <row r="81" spans="1:18" ht="22.5" customHeight="1">
      <c r="A81" s="12930" t="s">
        <v>681</v>
      </c>
      <c r="B81" s="12807"/>
      <c r="C81" s="12699"/>
      <c r="D81" s="12709" t="s">
        <v>405</v>
      </c>
      <c r="E81" s="12765">
        <f>E10+E80</f>
        <v>2117937454.5700002</v>
      </c>
      <c r="F81" s="12972" t="s">
        <v>405</v>
      </c>
      <c r="G81" s="12765">
        <f>G10+G80</f>
        <v>1336185423.8299999</v>
      </c>
      <c r="H81" s="12972" t="s">
        <v>405</v>
      </c>
      <c r="I81" s="12765">
        <f>I10+I80</f>
        <v>1599862058.1700001</v>
      </c>
      <c r="J81" s="12972" t="s">
        <v>405</v>
      </c>
      <c r="K81" s="12973">
        <f>K10+K80</f>
        <v>2936047482</v>
      </c>
      <c r="L81" s="12974">
        <f>L10+L80</f>
        <v>2529992881</v>
      </c>
      <c r="M81" s="12705"/>
      <c r="Q81" s="12673">
        <f>G81+I81</f>
        <v>2936047482</v>
      </c>
      <c r="R81" s="12665">
        <f>K81-Q81</f>
        <v>0</v>
      </c>
    </row>
    <row r="82" spans="1:18" ht="8.25" customHeight="1" thickBot="1">
      <c r="A82" s="12706"/>
      <c r="B82" s="12807"/>
      <c r="C82" s="12708"/>
      <c r="D82" s="12800"/>
      <c r="E82" s="12801"/>
      <c r="F82" s="12975"/>
      <c r="G82" s="12801"/>
      <c r="H82" s="12975"/>
      <c r="I82" s="12801"/>
      <c r="J82" s="12975"/>
      <c r="K82" s="12803"/>
      <c r="L82" s="12976"/>
      <c r="M82" s="12715"/>
    </row>
    <row r="83" spans="1:18" s="12985" customFormat="1" ht="25.5" customHeight="1">
      <c r="A83" s="12977"/>
      <c r="B83" s="12978"/>
      <c r="C83" s="12979"/>
      <c r="D83" s="12980"/>
      <c r="E83" s="12981"/>
      <c r="F83" s="12980"/>
      <c r="G83" s="12981"/>
      <c r="H83" s="12980"/>
      <c r="I83" s="12981"/>
      <c r="J83" s="12980"/>
      <c r="K83" s="12981"/>
      <c r="L83" s="12981"/>
      <c r="M83" s="12982"/>
      <c r="N83" s="12897"/>
      <c r="O83" s="12897"/>
      <c r="P83" s="12983"/>
      <c r="Q83" s="12984"/>
    </row>
    <row r="84" spans="1:18" s="12985" customFormat="1" ht="25.5" customHeight="1">
      <c r="A84" s="12986"/>
      <c r="B84" s="12987"/>
      <c r="C84" s="12988"/>
      <c r="D84" s="12887"/>
      <c r="E84" s="12989"/>
      <c r="F84" s="12887"/>
      <c r="G84" s="12989"/>
      <c r="H84" s="12887"/>
      <c r="I84" s="12989"/>
      <c r="J84" s="12887"/>
      <c r="K84" s="12989"/>
      <c r="L84" s="12989"/>
      <c r="M84" s="12990"/>
      <c r="N84" s="12897"/>
      <c r="O84" s="12897"/>
      <c r="P84" s="12983"/>
      <c r="Q84" s="12984"/>
    </row>
    <row r="85" spans="1:18" s="12985" customFormat="1" ht="15.75" customHeight="1">
      <c r="A85" s="12986" t="s">
        <v>4961</v>
      </c>
      <c r="B85" s="12987"/>
      <c r="C85" s="12988"/>
      <c r="D85" s="12887"/>
      <c r="E85" s="12989"/>
      <c r="F85" s="12887"/>
      <c r="G85" s="12989"/>
      <c r="H85" s="12887"/>
      <c r="I85" s="12989"/>
      <c r="J85" s="12887"/>
      <c r="K85" s="12989"/>
      <c r="L85" s="12989"/>
      <c r="M85" s="12990"/>
      <c r="N85" s="12897"/>
      <c r="O85" s="12897"/>
      <c r="P85" s="12983"/>
      <c r="Q85" s="12984"/>
    </row>
    <row r="86" spans="1:18" s="12685" customFormat="1">
      <c r="A86" s="12676"/>
      <c r="B86" s="12677"/>
      <c r="C86" s="12678"/>
      <c r="D86" s="12679"/>
      <c r="E86" s="12680" t="s">
        <v>10</v>
      </c>
      <c r="F86" s="14172" t="s">
        <v>11215</v>
      </c>
      <c r="G86" s="14173"/>
      <c r="H86" s="14173"/>
      <c r="I86" s="14173"/>
      <c r="J86" s="14173"/>
      <c r="K86" s="14182"/>
      <c r="L86" s="14175" t="s">
        <v>11518</v>
      </c>
      <c r="M86" s="12681" t="s">
        <v>465</v>
      </c>
      <c r="N86" s="12682"/>
      <c r="O86" s="12682"/>
      <c r="P86" s="12683"/>
      <c r="Q86" s="12684"/>
    </row>
    <row r="87" spans="1:18" s="12685" customFormat="1" ht="14.4">
      <c r="A87" s="14155" t="s">
        <v>460</v>
      </c>
      <c r="B87" s="14156"/>
      <c r="C87" s="12686" t="s">
        <v>459</v>
      </c>
      <c r="D87" s="12687"/>
      <c r="E87" s="12688" t="s">
        <v>10844</v>
      </c>
      <c r="F87" s="14157" t="s">
        <v>12077</v>
      </c>
      <c r="G87" s="14158"/>
      <c r="H87" s="14157" t="s">
        <v>12078</v>
      </c>
      <c r="I87" s="14158"/>
      <c r="J87" s="14159" t="s">
        <v>458</v>
      </c>
      <c r="K87" s="14160"/>
      <c r="L87" s="14176"/>
      <c r="M87" s="12689" t="s">
        <v>469</v>
      </c>
      <c r="N87" s="12682"/>
      <c r="O87" s="12682"/>
      <c r="P87" s="12683"/>
      <c r="Q87" s="12684"/>
    </row>
    <row r="88" spans="1:18" s="12685" customFormat="1">
      <c r="A88" s="12690"/>
      <c r="B88" s="12691"/>
      <c r="C88" s="12692" t="s">
        <v>94</v>
      </c>
      <c r="D88" s="12693"/>
      <c r="E88" s="12694" t="s">
        <v>457</v>
      </c>
      <c r="F88" s="14163" t="s">
        <v>457</v>
      </c>
      <c r="G88" s="14164"/>
      <c r="H88" s="14163" t="s">
        <v>456</v>
      </c>
      <c r="I88" s="14164"/>
      <c r="J88" s="14161"/>
      <c r="K88" s="14162"/>
      <c r="L88" s="12991" t="s">
        <v>680</v>
      </c>
      <c r="M88" s="12992" t="s">
        <v>474</v>
      </c>
      <c r="N88" s="12682"/>
      <c r="O88" s="12682"/>
      <c r="P88" s="12683"/>
      <c r="Q88" s="12684"/>
    </row>
    <row r="89" spans="1:18">
      <c r="A89" s="12706" t="s">
        <v>53</v>
      </c>
      <c r="B89" s="12931" t="s">
        <v>12079</v>
      </c>
      <c r="C89" s="12708"/>
      <c r="D89" s="12700"/>
      <c r="E89" s="12712"/>
      <c r="F89" s="12993"/>
      <c r="G89" s="12712">
        <v>0</v>
      </c>
      <c r="H89" s="12993"/>
      <c r="I89" s="12712">
        <v>0</v>
      </c>
      <c r="J89" s="12993"/>
      <c r="K89" s="12808">
        <v>0</v>
      </c>
      <c r="L89" s="12994">
        <v>0</v>
      </c>
      <c r="M89" s="12715"/>
    </row>
    <row r="90" spans="1:18">
      <c r="A90" s="12706"/>
      <c r="B90" s="12807" t="s">
        <v>9196</v>
      </c>
      <c r="C90" s="12708"/>
      <c r="D90" s="12768"/>
      <c r="E90" s="12808"/>
      <c r="F90" s="12993"/>
      <c r="G90" s="12712">
        <v>0</v>
      </c>
      <c r="H90" s="12993"/>
      <c r="I90" s="12712">
        <v>0</v>
      </c>
      <c r="J90" s="12995"/>
      <c r="K90" s="12771">
        <v>0</v>
      </c>
      <c r="L90" s="12994">
        <v>0</v>
      </c>
      <c r="M90" s="12715"/>
    </row>
    <row r="91" spans="1:18" s="12929" customFormat="1" ht="21" customHeight="1" thickBot="1">
      <c r="A91" s="12955"/>
      <c r="B91" s="12936" t="s">
        <v>327</v>
      </c>
      <c r="C91" s="12848"/>
      <c r="D91" s="12996"/>
      <c r="E91" s="12997">
        <f>E89+E90</f>
        <v>0</v>
      </c>
      <c r="F91" s="12998"/>
      <c r="G91" s="12997">
        <f>G89-G90</f>
        <v>0</v>
      </c>
      <c r="H91" s="12998"/>
      <c r="I91" s="12999">
        <f>I89-I90</f>
        <v>0</v>
      </c>
      <c r="J91" s="13000"/>
      <c r="K91" s="13001">
        <v>0</v>
      </c>
      <c r="L91" s="13002">
        <v>0</v>
      </c>
      <c r="M91" s="13003"/>
      <c r="N91" s="12868"/>
      <c r="O91" s="12868"/>
      <c r="P91" s="12857"/>
      <c r="Q91" s="12928"/>
    </row>
    <row r="92" spans="1:18" ht="3" customHeight="1">
      <c r="A92" s="12706"/>
      <c r="B92" s="12807"/>
      <c r="C92" s="12708"/>
      <c r="D92" s="13004"/>
      <c r="E92" s="13005"/>
      <c r="F92" s="13006"/>
      <c r="G92" s="13005"/>
      <c r="H92" s="13006"/>
      <c r="I92" s="13005"/>
      <c r="J92" s="13006"/>
      <c r="K92" s="13007"/>
      <c r="L92" s="13008"/>
      <c r="M92" s="12859"/>
    </row>
    <row r="93" spans="1:18">
      <c r="A93" s="12706" t="s">
        <v>188</v>
      </c>
      <c r="B93" s="12931" t="s">
        <v>684</v>
      </c>
      <c r="C93" s="12708"/>
      <c r="D93" s="12764" t="s">
        <v>405</v>
      </c>
      <c r="E93" s="12765">
        <f>E81+E91</f>
        <v>2117937454.5700002</v>
      </c>
      <c r="F93" s="12972" t="s">
        <v>405</v>
      </c>
      <c r="G93" s="12765">
        <f>G81-G91</f>
        <v>1336185423.8299999</v>
      </c>
      <c r="H93" s="12972" t="s">
        <v>405</v>
      </c>
      <c r="I93" s="12765">
        <f>I81-I91</f>
        <v>1599862058.1700001</v>
      </c>
      <c r="J93" s="12972" t="s">
        <v>405</v>
      </c>
      <c r="K93" s="12766">
        <f>K81-K91</f>
        <v>2936047482</v>
      </c>
      <c r="L93" s="12974">
        <f>L81-L91</f>
        <v>2529992881</v>
      </c>
      <c r="M93" s="12859"/>
    </row>
    <row r="94" spans="1:18" ht="4.5" customHeight="1" thickBot="1">
      <c r="A94" s="12706"/>
      <c r="B94" s="12807"/>
      <c r="C94" s="12708"/>
      <c r="D94" s="12800"/>
      <c r="E94" s="13009"/>
      <c r="F94" s="13010"/>
      <c r="G94" s="13009"/>
      <c r="H94" s="13010"/>
      <c r="I94" s="13009"/>
      <c r="J94" s="13010"/>
      <c r="K94" s="13011"/>
      <c r="L94" s="13012"/>
      <c r="M94" s="12859"/>
    </row>
    <row r="95" spans="1:18" ht="13.5" customHeight="1">
      <c r="A95" s="12706" t="s">
        <v>685</v>
      </c>
      <c r="B95" s="12931" t="s">
        <v>415</v>
      </c>
      <c r="C95" s="12708"/>
      <c r="D95" s="12700"/>
      <c r="E95" s="13013"/>
      <c r="F95" s="13014"/>
      <c r="G95" s="13013"/>
      <c r="H95" s="13014"/>
      <c r="I95" s="13013"/>
      <c r="J95" s="13014"/>
      <c r="K95" s="13015"/>
      <c r="L95" s="12825"/>
      <c r="M95" s="12859"/>
    </row>
    <row r="96" spans="1:18" ht="13.5" customHeight="1">
      <c r="A96" s="12706"/>
      <c r="B96" s="12931" t="s">
        <v>686</v>
      </c>
      <c r="C96" s="12708"/>
      <c r="D96" s="12700"/>
      <c r="E96" s="13013"/>
      <c r="F96" s="13014"/>
      <c r="G96" s="13013"/>
      <c r="H96" s="13014"/>
      <c r="I96" s="13013"/>
      <c r="J96" s="13014"/>
      <c r="K96" s="13015"/>
      <c r="L96" s="12825"/>
      <c r="M96" s="12859"/>
    </row>
    <row r="97" spans="1:14" ht="13.5" customHeight="1">
      <c r="A97" s="12706"/>
      <c r="B97" s="13016" t="s">
        <v>10596</v>
      </c>
      <c r="C97" s="12708"/>
      <c r="D97" s="12700"/>
      <c r="E97" s="13013"/>
      <c r="F97" s="13014"/>
      <c r="G97" s="13013"/>
      <c r="H97" s="13014"/>
      <c r="I97" s="13013"/>
      <c r="J97" s="13014"/>
      <c r="K97" s="13015"/>
      <c r="L97" s="12825"/>
      <c r="M97" s="12859"/>
    </row>
    <row r="98" spans="1:14" ht="13.5" customHeight="1">
      <c r="A98" s="12706"/>
      <c r="B98" s="12815" t="s">
        <v>639</v>
      </c>
      <c r="C98" s="12708"/>
      <c r="D98" s="12709" t="s">
        <v>405</v>
      </c>
      <c r="E98" s="12712">
        <f>'WS-PS 2017'!B56</f>
        <v>306559468.76999998</v>
      </c>
      <c r="F98" s="12993"/>
      <c r="G98" s="12712">
        <f>'WS-PS ACTUAL JUNE 2018'!B56</f>
        <v>168578686.12</v>
      </c>
      <c r="H98" s="12993"/>
      <c r="I98" s="12808">
        <f>K98-G98</f>
        <v>258697786.88</v>
      </c>
      <c r="J98" s="12972" t="s">
        <v>405</v>
      </c>
      <c r="K98" s="13017">
        <v>427276473</v>
      </c>
      <c r="L98" s="13018">
        <f>'2019 ps worksheet'!B57</f>
        <v>468681180</v>
      </c>
      <c r="M98" s="12859"/>
      <c r="N98" s="12671">
        <v>276511716</v>
      </c>
    </row>
    <row r="99" spans="1:14" ht="13.5" customHeight="1">
      <c r="A99" s="12706"/>
      <c r="B99" s="12815" t="s">
        <v>688</v>
      </c>
      <c r="C99" s="13019"/>
      <c r="D99" s="12700"/>
      <c r="E99" s="12712">
        <f>'WS-PS 2017'!C56+'WS-PS 2017'!D56+'WS-PS 2017'!E56</f>
        <v>12661918.960000001</v>
      </c>
      <c r="F99" s="12993"/>
      <c r="G99" s="12712">
        <f>'WS-PS ACTUAL JUNE 2018'!C56</f>
        <v>5527414.0499999998</v>
      </c>
      <c r="H99" s="12993"/>
      <c r="I99" s="12808">
        <f t="shared" ref="I99:I123" si="2">K99-G99</f>
        <v>8917737.9499999993</v>
      </c>
      <c r="J99" s="12993"/>
      <c r="K99" s="13017">
        <v>14445152</v>
      </c>
      <c r="L99" s="13018">
        <f>'2019 ps worksheet'!C57</f>
        <v>16659656</v>
      </c>
      <c r="M99" s="12859"/>
      <c r="N99" s="12671" t="e">
        <v>#REF!</v>
      </c>
    </row>
    <row r="100" spans="1:14" ht="13.5" customHeight="1">
      <c r="A100" s="12706"/>
      <c r="B100" s="12815" t="s">
        <v>689</v>
      </c>
      <c r="C100" s="12708"/>
      <c r="D100" s="12700"/>
      <c r="E100" s="12712">
        <f>'WS-PS 2017'!F56</f>
        <v>32522595.670000002</v>
      </c>
      <c r="F100" s="12993"/>
      <c r="G100" s="12712">
        <f>'WS-PS ACTUAL JUNE 2018'!D56</f>
        <v>16781389.279999997</v>
      </c>
      <c r="H100" s="12993"/>
      <c r="I100" s="12808">
        <f t="shared" si="2"/>
        <v>23970610.720000003</v>
      </c>
      <c r="J100" s="12993"/>
      <c r="K100" s="13017">
        <v>40752000</v>
      </c>
      <c r="L100" s="13018">
        <f>'2019 ps worksheet'!D57</f>
        <v>43008000</v>
      </c>
      <c r="M100" s="12859"/>
      <c r="N100" s="12671">
        <v>38916000</v>
      </c>
    </row>
    <row r="101" spans="1:14" ht="13.5" customHeight="1">
      <c r="A101" s="12706"/>
      <c r="B101" s="12815" t="s">
        <v>643</v>
      </c>
      <c r="C101" s="12708"/>
      <c r="D101" s="12700"/>
      <c r="E101" s="12712">
        <f>'WS-PS 2017'!G56</f>
        <v>4069800.94</v>
      </c>
      <c r="F101" s="12993"/>
      <c r="G101" s="12712">
        <f>'WS-PS ACTUAL JUNE 2018'!E56</f>
        <v>1735455.2</v>
      </c>
      <c r="H101" s="12993"/>
      <c r="I101" s="12808">
        <f t="shared" si="2"/>
        <v>3190544.8</v>
      </c>
      <c r="J101" s="12993"/>
      <c r="K101" s="13017">
        <v>4926000</v>
      </c>
      <c r="L101" s="13018">
        <f>'2019 ps worksheet'!E57</f>
        <v>4824000</v>
      </c>
      <c r="M101" s="12859"/>
      <c r="N101" s="12671">
        <v>3302400</v>
      </c>
    </row>
    <row r="102" spans="1:14" ht="13.5" customHeight="1">
      <c r="A102" s="12706"/>
      <c r="B102" s="12815" t="s">
        <v>644</v>
      </c>
      <c r="C102" s="12708"/>
      <c r="D102" s="12700"/>
      <c r="E102" s="12712">
        <f>'WS-PS 2017'!H56</f>
        <v>2557294.0699999998</v>
      </c>
      <c r="F102" s="12993"/>
      <c r="G102" s="12712">
        <f>'WS-PS ACTUAL JUNE 2018'!F56</f>
        <v>1061750</v>
      </c>
      <c r="H102" s="12993"/>
      <c r="I102" s="12808">
        <f t="shared" si="2"/>
        <v>2184250</v>
      </c>
      <c r="J102" s="12993"/>
      <c r="K102" s="13017">
        <v>3246000</v>
      </c>
      <c r="L102" s="13018">
        <f>'2019 ps worksheet'!F57</f>
        <v>3042000</v>
      </c>
      <c r="M102" s="12859"/>
      <c r="N102" s="12671">
        <v>2343600</v>
      </c>
    </row>
    <row r="103" spans="1:14" ht="13.5" customHeight="1">
      <c r="A103" s="13020"/>
      <c r="B103" s="12815" t="s">
        <v>690</v>
      </c>
      <c r="C103" s="13021"/>
      <c r="D103" s="12748"/>
      <c r="E103" s="12712">
        <f>'WS-PS 2017'!I56</f>
        <v>6797975</v>
      </c>
      <c r="F103" s="12993"/>
      <c r="G103" s="12712">
        <f>'WS-PS ACTUAL JUNE 2018'!G56</f>
        <v>8003000</v>
      </c>
      <c r="H103" s="12993"/>
      <c r="I103" s="12808">
        <f t="shared" si="2"/>
        <v>487000</v>
      </c>
      <c r="J103" s="12993"/>
      <c r="K103" s="13017">
        <v>8490000</v>
      </c>
      <c r="L103" s="13018">
        <f>'2019 ps worksheet'!G57</f>
        <v>10752000</v>
      </c>
      <c r="M103" s="12859"/>
      <c r="N103" s="12671">
        <v>6444000</v>
      </c>
    </row>
    <row r="104" spans="1:14" ht="13.5" customHeight="1">
      <c r="A104" s="13020"/>
      <c r="B104" s="12815" t="s">
        <v>691</v>
      </c>
      <c r="C104" s="13021"/>
      <c r="D104" s="12748"/>
      <c r="E104" s="12712">
        <f>'WS-PS 2017'!J56</f>
        <v>4472801.6100000003</v>
      </c>
      <c r="F104" s="12993"/>
      <c r="G104" s="12712">
        <f>'WS-PS ACTUAL JUNE 2018'!H56</f>
        <v>2234348.0700000003</v>
      </c>
      <c r="H104" s="12993"/>
      <c r="I104" s="12808">
        <f t="shared" si="2"/>
        <v>8043651.9299999997</v>
      </c>
      <c r="J104" s="12993"/>
      <c r="K104" s="13017">
        <v>10278000</v>
      </c>
      <c r="L104" s="13018">
        <f>'2019 ps worksheet'!H57</f>
        <v>6588000</v>
      </c>
      <c r="M104" s="12859"/>
      <c r="N104" s="12671">
        <v>10947600</v>
      </c>
    </row>
    <row r="105" spans="1:14" ht="13.5" customHeight="1">
      <c r="A105" s="13020"/>
      <c r="B105" s="12815" t="s">
        <v>11309</v>
      </c>
      <c r="C105" s="13021"/>
      <c r="D105" s="12748"/>
      <c r="E105" s="12712">
        <f>'WS-PS 2017'!K56</f>
        <v>721605.55</v>
      </c>
      <c r="F105" s="12993"/>
      <c r="G105" s="12712">
        <f>'WS-PS ACTUAL JUNE 2018'!J56</f>
        <v>0</v>
      </c>
      <c r="H105" s="12993"/>
      <c r="I105" s="12808">
        <f t="shared" si="2"/>
        <v>1027800</v>
      </c>
      <c r="J105" s="12993"/>
      <c r="K105" s="13017">
        <v>1027800</v>
      </c>
      <c r="L105" s="13018">
        <f>'lbr 1a'!C20</f>
        <v>1098000</v>
      </c>
      <c r="M105" s="12859"/>
      <c r="N105" s="12671">
        <v>3222000</v>
      </c>
    </row>
    <row r="106" spans="1:14" ht="13.5" customHeight="1">
      <c r="A106" s="13020"/>
      <c r="B106" s="12815" t="s">
        <v>647</v>
      </c>
      <c r="C106" s="13021"/>
      <c r="D106" s="12748"/>
      <c r="E106" s="12712">
        <f>'WS-PS 2017'!L56</f>
        <v>6750500</v>
      </c>
      <c r="F106" s="12993"/>
      <c r="G106" s="12712">
        <v>0</v>
      </c>
      <c r="H106" s="12993"/>
      <c r="I106" s="12808">
        <f t="shared" si="2"/>
        <v>8490000</v>
      </c>
      <c r="J106" s="12993"/>
      <c r="K106" s="13017">
        <v>8490000</v>
      </c>
      <c r="L106" s="13018">
        <f>'2019 ps worksheet'!J57</f>
        <v>8960000</v>
      </c>
      <c r="M106" s="12859"/>
    </row>
    <row r="107" spans="1:14" ht="13.5" customHeight="1">
      <c r="A107" s="13022"/>
      <c r="B107" s="13023" t="s">
        <v>10268</v>
      </c>
      <c r="C107" s="13024"/>
      <c r="D107" s="12874"/>
      <c r="E107" s="12712"/>
      <c r="F107" s="12914"/>
      <c r="G107" s="12712">
        <v>0</v>
      </c>
      <c r="H107" s="12993"/>
      <c r="I107" s="12808">
        <f>K107-G107</f>
        <v>21076169.850000001</v>
      </c>
      <c r="J107" s="12914"/>
      <c r="K107" s="13025">
        <v>21076169.850000001</v>
      </c>
      <c r="L107" s="13026">
        <f>'2019 ps worksheet'!K57</f>
        <v>0</v>
      </c>
      <c r="M107" s="13027"/>
    </row>
    <row r="108" spans="1:14" ht="13.5" customHeight="1">
      <c r="A108" s="13022"/>
      <c r="B108" s="13028" t="s">
        <v>673</v>
      </c>
      <c r="C108" s="13024"/>
      <c r="D108" s="12874"/>
      <c r="E108" s="12712">
        <f>'WS-PS 2017'!Q56</f>
        <v>0</v>
      </c>
      <c r="F108" s="12914"/>
      <c r="G108" s="12712"/>
      <c r="H108" s="12914"/>
      <c r="I108" s="12808">
        <f t="shared" si="2"/>
        <v>0</v>
      </c>
      <c r="J108" s="12914"/>
      <c r="K108" s="13029">
        <v>0</v>
      </c>
      <c r="L108" s="13018">
        <f>'2019 ps worksheet'!L57</f>
        <v>5091000</v>
      </c>
      <c r="M108" s="12859"/>
    </row>
    <row r="109" spans="1:14" ht="13.5" hidden="1" customHeight="1">
      <c r="A109" s="13022"/>
      <c r="B109" s="13030" t="s">
        <v>10529</v>
      </c>
      <c r="C109" s="13024"/>
      <c r="D109" s="12874"/>
      <c r="E109" s="12712"/>
      <c r="F109" s="12914"/>
      <c r="G109" s="12712"/>
      <c r="H109" s="12914"/>
      <c r="I109" s="12808">
        <f t="shared" si="2"/>
        <v>0</v>
      </c>
      <c r="J109" s="12914"/>
      <c r="K109" s="13029">
        <v>0</v>
      </c>
      <c r="L109" s="13018">
        <f>'2019 ps worksheet'!M57</f>
        <v>0</v>
      </c>
      <c r="M109" s="13027"/>
    </row>
    <row r="110" spans="1:14" ht="13.5" customHeight="1">
      <c r="A110" s="13020"/>
      <c r="B110" s="12815" t="s">
        <v>649</v>
      </c>
      <c r="C110" s="13021"/>
      <c r="D110" s="12748"/>
      <c r="E110" s="12712">
        <f>'WS-PS 2017'!N56</f>
        <v>25017881.43</v>
      </c>
      <c r="F110" s="12993"/>
      <c r="G110" s="12712">
        <f>'WS-PS ACTUAL JUNE 2018'!L56</f>
        <v>13709699.790000001</v>
      </c>
      <c r="H110" s="12993"/>
      <c r="I110" s="12808">
        <f>K110-G110</f>
        <v>14665537.209999999</v>
      </c>
      <c r="J110" s="12993"/>
      <c r="K110" s="13017">
        <v>28375237</v>
      </c>
      <c r="L110" s="13018">
        <f>'2019 ps worksheet'!N57</f>
        <v>46232979</v>
      </c>
      <c r="M110" s="12859"/>
      <c r="N110" s="12671">
        <v>22923723</v>
      </c>
    </row>
    <row r="111" spans="1:14" ht="13.5" customHeight="1">
      <c r="A111" s="13020"/>
      <c r="B111" s="12815" t="s">
        <v>650</v>
      </c>
      <c r="C111" s="13021"/>
      <c r="D111" s="12748"/>
      <c r="E111" s="12712">
        <f>'WS-PS 2017'!R56</f>
        <v>2320402.41</v>
      </c>
      <c r="F111" s="12993"/>
      <c r="G111" s="12712">
        <f>'WS-PS ACTUAL JUNE 2018'!N56</f>
        <v>869400.39000000013</v>
      </c>
      <c r="H111" s="12993"/>
      <c r="I111" s="12808">
        <f t="shared" si="2"/>
        <v>2668799.61</v>
      </c>
      <c r="J111" s="12993"/>
      <c r="K111" s="13017">
        <v>3538200</v>
      </c>
      <c r="L111" s="13018">
        <f>'2019 ps worksheet'!O57</f>
        <v>3718200</v>
      </c>
      <c r="M111" s="12859"/>
      <c r="N111" s="12671">
        <v>1708800</v>
      </c>
    </row>
    <row r="112" spans="1:14" ht="13.5" customHeight="1">
      <c r="A112" s="13020"/>
      <c r="B112" s="12815" t="s">
        <v>651</v>
      </c>
      <c r="C112" s="13021"/>
      <c r="D112" s="12748"/>
      <c r="E112" s="12712">
        <f>'WS-PS 2017'!T56</f>
        <v>6846000</v>
      </c>
      <c r="F112" s="12993"/>
      <c r="G112" s="12712">
        <f>'WS-PS ACTUAL JUNE 2018'!Q56</f>
        <v>0</v>
      </c>
      <c r="H112" s="12993"/>
      <c r="I112" s="12808">
        <f t="shared" si="2"/>
        <v>8490000</v>
      </c>
      <c r="J112" s="12993"/>
      <c r="K112" s="13017">
        <v>8490000</v>
      </c>
      <c r="L112" s="13018">
        <f>'2019 ps worksheet'!P57</f>
        <v>8960000</v>
      </c>
      <c r="M112" s="12859"/>
    </row>
    <row r="113" spans="1:17" ht="13.5" customHeight="1">
      <c r="A113" s="13020"/>
      <c r="B113" s="12815" t="s">
        <v>11006</v>
      </c>
      <c r="C113" s="13021"/>
      <c r="D113" s="12748"/>
      <c r="E113" s="12712">
        <f>'WS-PS 2017'!U56+'WS-PS 2017'!S56</f>
        <v>52512279.200000003</v>
      </c>
      <c r="F113" s="12993"/>
      <c r="G113" s="12712">
        <f>'WS-PS ACTUAL JUNE 2018'!O56</f>
        <v>26356876.960000001</v>
      </c>
      <c r="H113" s="12993"/>
      <c r="I113" s="12808">
        <f t="shared" si="2"/>
        <v>46165614.539999999</v>
      </c>
      <c r="J113" s="12993"/>
      <c r="K113" s="13017">
        <v>72522491.5</v>
      </c>
      <c r="L113" s="13018">
        <f>'2019 ps worksheet'!Q57</f>
        <v>80612806</v>
      </c>
      <c r="M113" s="12859"/>
    </row>
    <row r="114" spans="1:17" ht="13.5" customHeight="1">
      <c r="A114" s="13020"/>
      <c r="B114" s="12815" t="s">
        <v>692</v>
      </c>
      <c r="C114" s="13021"/>
      <c r="D114" s="12748"/>
      <c r="E114" s="12712">
        <f>'WS-PS 2017'!V56</f>
        <v>37844737.969999999</v>
      </c>
      <c r="F114" s="12993"/>
      <c r="G114" s="12712">
        <f>'WS-PS ACTUAL JUNE 2018'!T56</f>
        <v>20910268.310000002</v>
      </c>
      <c r="H114" s="12993"/>
      <c r="I114" s="12808">
        <f t="shared" si="2"/>
        <v>32562513.689999998</v>
      </c>
      <c r="J114" s="12993"/>
      <c r="K114" s="13017">
        <v>53472782</v>
      </c>
      <c r="L114" s="13018">
        <f>'2019 ps worksheet'!R57</f>
        <v>58180900.319999993</v>
      </c>
      <c r="M114" s="12859"/>
    </row>
    <row r="115" spans="1:17" ht="13.5" customHeight="1">
      <c r="A115" s="13020"/>
      <c r="B115" s="12815" t="s">
        <v>654</v>
      </c>
      <c r="C115" s="13021"/>
      <c r="D115" s="12748"/>
      <c r="E115" s="12712">
        <f>'WS-PS 2017'!W56</f>
        <v>1624097.54</v>
      </c>
      <c r="F115" s="12993"/>
      <c r="G115" s="12712">
        <f>'WS-PS ACTUAL JUNE 2018'!U56</f>
        <v>849928.98</v>
      </c>
      <c r="H115" s="12993"/>
      <c r="I115" s="12808">
        <f t="shared" si="2"/>
        <v>1186471.02</v>
      </c>
      <c r="J115" s="12993"/>
      <c r="K115" s="13017">
        <v>2036400</v>
      </c>
      <c r="L115" s="13018">
        <f>'2019 ps worksheet'!S57</f>
        <v>2150400</v>
      </c>
      <c r="M115" s="12859"/>
    </row>
    <row r="116" spans="1:17" ht="13.5" customHeight="1">
      <c r="A116" s="13020"/>
      <c r="B116" s="12815" t="s">
        <v>693</v>
      </c>
      <c r="C116" s="13021"/>
      <c r="D116" s="12748"/>
      <c r="E116" s="12712">
        <f>'WS-PS 2017'!X56</f>
        <v>3328126.5</v>
      </c>
      <c r="F116" s="12993"/>
      <c r="G116" s="12712">
        <f>'WS-PS ACTUAL JUNE 2018'!V56</f>
        <v>2164945.5299999998</v>
      </c>
      <c r="H116" s="12993"/>
      <c r="I116" s="12808">
        <f t="shared" si="2"/>
        <v>2688084.47</v>
      </c>
      <c r="J116" s="12993"/>
      <c r="K116" s="13017">
        <v>4853030</v>
      </c>
      <c r="L116" s="13018">
        <f>'2019 ps worksheet'!T57</f>
        <v>5529354.1050000004</v>
      </c>
      <c r="M116" s="12859"/>
    </row>
    <row r="117" spans="1:17" ht="13.5" customHeight="1">
      <c r="A117" s="13020"/>
      <c r="B117" s="12815" t="s">
        <v>656</v>
      </c>
      <c r="C117" s="13021"/>
      <c r="D117" s="12748"/>
      <c r="E117" s="12712">
        <f>'WS-PS 2017'!Y56</f>
        <v>1585933.6900000002</v>
      </c>
      <c r="F117" s="12993"/>
      <c r="G117" s="12712">
        <f>'WS-PS ACTUAL JUNE 2018'!W56</f>
        <v>828500.15999999992</v>
      </c>
      <c r="H117" s="12993"/>
      <c r="I117" s="12808">
        <f t="shared" si="2"/>
        <v>1300196.8400000001</v>
      </c>
      <c r="J117" s="12993"/>
      <c r="K117" s="13017">
        <v>2128697</v>
      </c>
      <c r="L117" s="13018">
        <f>'2019 ps worksheet'!U57</f>
        <v>2150400</v>
      </c>
      <c r="M117" s="12859"/>
    </row>
    <row r="118" spans="1:17" ht="13.5" customHeight="1">
      <c r="A118" s="13020"/>
      <c r="B118" s="12815" t="s">
        <v>694</v>
      </c>
      <c r="C118" s="13021"/>
      <c r="D118" s="12748"/>
      <c r="E118" s="12712">
        <f>'WS-PS 2017'!AA53</f>
        <v>9484198.5399999991</v>
      </c>
      <c r="F118" s="12993"/>
      <c r="G118" s="12712">
        <v>0</v>
      </c>
      <c r="H118" s="12993"/>
      <c r="I118" s="12808">
        <f t="shared" si="2"/>
        <v>15000000</v>
      </c>
      <c r="J118" s="12993"/>
      <c r="K118" s="13017">
        <v>15000000</v>
      </c>
      <c r="L118" s="13018">
        <f>summary!C56</f>
        <v>18132528</v>
      </c>
      <c r="M118" s="12859"/>
      <c r="N118" s="12671">
        <v>5862585</v>
      </c>
    </row>
    <row r="119" spans="1:17" ht="13.5" customHeight="1">
      <c r="A119" s="13031"/>
      <c r="B119" s="13032" t="s">
        <v>695</v>
      </c>
      <c r="C119" s="13033"/>
      <c r="D119" s="13034"/>
      <c r="E119" s="12712">
        <f>'WS-PS 2017'!AA54</f>
        <v>9538658.2799999993</v>
      </c>
      <c r="F119" s="13035"/>
      <c r="G119" s="12712"/>
      <c r="H119" s="13035"/>
      <c r="I119" s="12808">
        <f t="shared" si="2"/>
        <v>11088847.15</v>
      </c>
      <c r="J119" s="13035"/>
      <c r="K119" s="13036">
        <v>11088847.15</v>
      </c>
      <c r="L119" s="13037">
        <f>summary!C55</f>
        <v>11596965.324999772</v>
      </c>
      <c r="M119" s="13038"/>
    </row>
    <row r="120" spans="1:17" ht="13.5" customHeight="1">
      <c r="A120" s="13020"/>
      <c r="B120" s="12815" t="s">
        <v>834</v>
      </c>
      <c r="C120" s="13021"/>
      <c r="D120" s="12748"/>
      <c r="E120" s="12712">
        <f>'WS-PS 2017'!Z56</f>
        <v>33883750</v>
      </c>
      <c r="F120" s="12993"/>
      <c r="G120" s="12712">
        <v>0</v>
      </c>
      <c r="H120" s="12993"/>
      <c r="I120" s="12808">
        <f t="shared" si="2"/>
        <v>0</v>
      </c>
      <c r="J120" s="12993"/>
      <c r="K120" s="13017">
        <v>0</v>
      </c>
      <c r="L120" s="13018">
        <v>0</v>
      </c>
      <c r="M120" s="12859"/>
    </row>
    <row r="121" spans="1:17" ht="13.5" hidden="1" customHeight="1">
      <c r="A121" s="13020"/>
      <c r="B121" s="12815" t="s">
        <v>6645</v>
      </c>
      <c r="C121" s="13021"/>
      <c r="D121" s="12748"/>
      <c r="E121" s="12712">
        <v>0</v>
      </c>
      <c r="F121" s="12993"/>
      <c r="G121" s="12712">
        <v>0</v>
      </c>
      <c r="H121" s="12993"/>
      <c r="I121" s="12808">
        <f>K121-G121</f>
        <v>0</v>
      </c>
      <c r="J121" s="12993"/>
      <c r="K121" s="13017">
        <v>0</v>
      </c>
      <c r="L121" s="13018">
        <f>'2019 ps worksheet'!W57</f>
        <v>0</v>
      </c>
      <c r="M121" s="12859"/>
      <c r="N121" s="12671">
        <v>10912759</v>
      </c>
    </row>
    <row r="122" spans="1:17" ht="13.5" customHeight="1">
      <c r="A122" s="13020"/>
      <c r="B122" s="12815" t="s">
        <v>660</v>
      </c>
      <c r="C122" s="13021"/>
      <c r="D122" s="12874"/>
      <c r="E122" s="12712">
        <f>'WS-PS 2017'!O56</f>
        <v>1010000</v>
      </c>
      <c r="F122" s="12914"/>
      <c r="G122" s="12712">
        <f>'WS-PS ACTUAL JUNE 2018'!M56</f>
        <v>345000</v>
      </c>
      <c r="H122" s="12914"/>
      <c r="I122" s="13039">
        <f t="shared" si="2"/>
        <v>555000</v>
      </c>
      <c r="J122" s="12914"/>
      <c r="K122" s="13025">
        <v>900000</v>
      </c>
      <c r="L122" s="13026">
        <f>'2019 ps worksheet'!Y57</f>
        <v>1030000</v>
      </c>
      <c r="M122" s="12859"/>
    </row>
    <row r="123" spans="1:17" ht="13.5" customHeight="1" thickBot="1">
      <c r="A123" s="13020"/>
      <c r="B123" s="12807" t="s">
        <v>11474</v>
      </c>
      <c r="C123" s="13021"/>
      <c r="D123" s="12875"/>
      <c r="E123" s="13013">
        <f>'WS-PS 2017'!M56</f>
        <v>374000</v>
      </c>
      <c r="F123" s="13040"/>
      <c r="G123" s="13013"/>
      <c r="H123" s="13040"/>
      <c r="I123" s="13041">
        <f t="shared" si="2"/>
        <v>936000</v>
      </c>
      <c r="J123" s="13040"/>
      <c r="K123" s="13042">
        <v>936000</v>
      </c>
      <c r="L123" s="13043">
        <f>'2019 ps worksheet'!X57</f>
        <v>936000</v>
      </c>
      <c r="M123" s="12859"/>
    </row>
    <row r="124" spans="1:17" ht="13.5" customHeight="1">
      <c r="A124" s="13044"/>
      <c r="B124" s="12751"/>
      <c r="C124" s="13045"/>
      <c r="D124" s="13046"/>
      <c r="E124" s="13047"/>
      <c r="F124" s="13048"/>
      <c r="G124" s="13047"/>
      <c r="H124" s="13048"/>
      <c r="I124" s="13049"/>
      <c r="J124" s="13048"/>
      <c r="K124" s="13050"/>
      <c r="L124" s="13051"/>
      <c r="M124" s="13027"/>
    </row>
    <row r="125" spans="1:17" ht="13.5" customHeight="1">
      <c r="A125" s="13052"/>
      <c r="B125" s="13053" t="s">
        <v>696</v>
      </c>
      <c r="C125" s="13021"/>
      <c r="D125" s="13054" t="s">
        <v>405</v>
      </c>
      <c r="E125" s="13055">
        <f>SUM(E98:E123)</f>
        <v>562484026.13000011</v>
      </c>
      <c r="F125" s="13056" t="s">
        <v>405</v>
      </c>
      <c r="G125" s="13055">
        <f>SUM(G98:G123)</f>
        <v>269956662.83999997</v>
      </c>
      <c r="H125" s="13056" t="s">
        <v>405</v>
      </c>
      <c r="I125" s="13057">
        <f>SUM(I98:I123)</f>
        <v>473392616.66000003</v>
      </c>
      <c r="J125" s="13056" t="s">
        <v>405</v>
      </c>
      <c r="K125" s="13057">
        <f>SUM(K98:K123)</f>
        <v>743349279.5</v>
      </c>
      <c r="L125" s="13058">
        <f>SUM(L98:L123)</f>
        <v>807934368.74999976</v>
      </c>
      <c r="M125" s="12859"/>
    </row>
    <row r="126" spans="1:17" ht="13.5" customHeight="1" thickBot="1">
      <c r="A126" s="13020"/>
      <c r="B126" s="12807"/>
      <c r="C126" s="13021"/>
      <c r="D126" s="12800"/>
      <c r="E126" s="13009"/>
      <c r="F126" s="13010"/>
      <c r="G126" s="13009"/>
      <c r="H126" s="13010"/>
      <c r="I126" s="13009"/>
      <c r="J126" s="13010"/>
      <c r="K126" s="13011"/>
      <c r="L126" s="13012"/>
      <c r="M126" s="12859"/>
    </row>
    <row r="127" spans="1:17" ht="13.5" customHeight="1">
      <c r="A127" s="13020"/>
      <c r="B127" s="13016" t="s">
        <v>10595</v>
      </c>
      <c r="C127" s="13021"/>
      <c r="D127" s="12748"/>
      <c r="E127" s="13013"/>
      <c r="F127" s="13014"/>
      <c r="G127" s="13013"/>
      <c r="H127" s="13014"/>
      <c r="I127" s="13013"/>
      <c r="J127" s="13014"/>
      <c r="K127" s="13013"/>
      <c r="L127" s="13059"/>
      <c r="M127" s="12859"/>
    </row>
    <row r="128" spans="1:17" s="12671" customFormat="1" ht="13.5" customHeight="1">
      <c r="A128" s="13020"/>
      <c r="B128" s="12815" t="s">
        <v>698</v>
      </c>
      <c r="C128" s="13021"/>
      <c r="D128" s="12748"/>
      <c r="E128" s="12712">
        <f>'WS-MOOE 2017'!B54+'WS-MOOE 2017'!F54+'WS-MOOE 2017'!G54+'WS-MOOE 2017'!E54</f>
        <v>13286405.239999998</v>
      </c>
      <c r="F128" s="12993"/>
      <c r="G128" s="12712">
        <f>'WS-MOOE ACTUAL JUNE 2018'!B55+'WS-MOOE ACTUAL JUNE 2018'!D55+'WS-MOOE ACTUAL JUNE 2018'!E55+'WS-MOOE ACTUAL JUNE 2018'!F55</f>
        <v>4253616.03</v>
      </c>
      <c r="H128" s="12993"/>
      <c r="I128" s="12712">
        <f>K128-G128</f>
        <v>16687883.969999999</v>
      </c>
      <c r="J128" s="12993"/>
      <c r="K128" s="13060">
        <v>20941500</v>
      </c>
      <c r="L128" s="13018">
        <f>'lbr 1b'!C9</f>
        <v>22448495</v>
      </c>
      <c r="M128" s="12859"/>
      <c r="P128" s="12672"/>
      <c r="Q128" s="12673"/>
    </row>
    <row r="129" spans="1:17" s="12671" customFormat="1" ht="13.5" hidden="1" customHeight="1">
      <c r="A129" s="13022"/>
      <c r="B129" s="12815" t="s">
        <v>5033</v>
      </c>
      <c r="C129" s="13024"/>
      <c r="D129" s="12874"/>
      <c r="E129" s="12712"/>
      <c r="F129" s="12914"/>
      <c r="G129" s="12712"/>
      <c r="H129" s="12914"/>
      <c r="I129" s="12712"/>
      <c r="J129" s="12914"/>
      <c r="K129" s="13060"/>
      <c r="L129" s="13018"/>
      <c r="M129" s="12859"/>
      <c r="P129" s="12672"/>
      <c r="Q129" s="12673"/>
    </row>
    <row r="130" spans="1:17" s="12671" customFormat="1" ht="13.5" customHeight="1">
      <c r="A130" s="13020"/>
      <c r="B130" s="12815" t="s">
        <v>699</v>
      </c>
      <c r="C130" s="13021"/>
      <c r="D130" s="12748"/>
      <c r="E130" s="12712">
        <f>'WS-MOOE 2017'!H54+'WS-MOOE 2017'!I54</f>
        <v>5262604.91</v>
      </c>
      <c r="F130" s="12993"/>
      <c r="G130" s="12712">
        <f>'WS-MOOE ACTUAL JUNE 2018'!G55</f>
        <v>559944.67000000004</v>
      </c>
      <c r="H130" s="12993"/>
      <c r="I130" s="12712">
        <f>K130-G130</f>
        <v>13975781.33</v>
      </c>
      <c r="J130" s="12993"/>
      <c r="K130" s="13060">
        <v>14535726</v>
      </c>
      <c r="L130" s="13018">
        <f>'lbr 1b'!C14</f>
        <v>17322087</v>
      </c>
      <c r="M130" s="12859"/>
      <c r="P130" s="12672"/>
      <c r="Q130" s="12673"/>
    </row>
    <row r="131" spans="1:17" s="12671" customFormat="1" ht="13.5" customHeight="1">
      <c r="A131" s="13020"/>
      <c r="B131" s="12815" t="s">
        <v>700</v>
      </c>
      <c r="C131" s="13021"/>
      <c r="D131" s="12748"/>
      <c r="E131" s="12712">
        <f>SUM('WS-MOOE 2017'!J54:L54)</f>
        <v>13817704.359999999</v>
      </c>
      <c r="F131" s="12993"/>
      <c r="G131" s="12712">
        <f>'WS-MOOE ACTUAL JUNE 2018'!H55</f>
        <v>2650552.7200000002</v>
      </c>
      <c r="H131" s="12993"/>
      <c r="I131" s="12712">
        <f>K131-G131</f>
        <v>23449788.280000001</v>
      </c>
      <c r="J131" s="12993"/>
      <c r="K131" s="13060">
        <v>26100341</v>
      </c>
      <c r="L131" s="13018">
        <f>'lbr 1b'!C25</f>
        <v>27247803</v>
      </c>
      <c r="M131" s="12859"/>
      <c r="P131" s="12672"/>
      <c r="Q131" s="12673"/>
    </row>
    <row r="132" spans="1:17" s="12671" customFormat="1" ht="13.5" customHeight="1">
      <c r="A132" s="13020"/>
      <c r="B132" s="12815" t="s">
        <v>701</v>
      </c>
      <c r="C132" s="13021"/>
      <c r="D132" s="12748"/>
      <c r="E132" s="12712">
        <f>'WS-MOOE 2017'!M54</f>
        <v>7102057</v>
      </c>
      <c r="F132" s="12993"/>
      <c r="G132" s="12712">
        <f>'WS-MOOE ACTUAL JUNE 2018'!J55</f>
        <v>5563530</v>
      </c>
      <c r="H132" s="12993"/>
      <c r="I132" s="12712">
        <f t="shared" ref="I132:I180" si="3">K132-G132</f>
        <v>3077470</v>
      </c>
      <c r="J132" s="12993"/>
      <c r="K132" s="13017">
        <v>8641000</v>
      </c>
      <c r="L132" s="13018">
        <f>'lbr 1b'!C26</f>
        <v>8736875</v>
      </c>
      <c r="M132" s="12859"/>
      <c r="P132" s="12672"/>
      <c r="Q132" s="12673"/>
    </row>
    <row r="133" spans="1:17" s="12671" customFormat="1" ht="13.5" customHeight="1">
      <c r="A133" s="13020"/>
      <c r="B133" s="12815" t="s">
        <v>702</v>
      </c>
      <c r="C133" s="13021"/>
      <c r="D133" s="12748"/>
      <c r="E133" s="12712">
        <f>'WS-MOOE 2017'!N54</f>
        <v>256847</v>
      </c>
      <c r="F133" s="12993"/>
      <c r="G133" s="12712">
        <f>'WS-MOOE ACTUAL JUNE 2018'!K55</f>
        <v>270000</v>
      </c>
      <c r="H133" s="12993"/>
      <c r="I133" s="12712">
        <f t="shared" si="3"/>
        <v>330000</v>
      </c>
      <c r="J133" s="12993"/>
      <c r="K133" s="13017">
        <v>600000</v>
      </c>
      <c r="L133" s="13018">
        <f>'lbr 1b'!C27</f>
        <v>600000</v>
      </c>
      <c r="M133" s="12859"/>
      <c r="P133" s="12672"/>
      <c r="Q133" s="12673"/>
    </row>
    <row r="134" spans="1:17" s="12671" customFormat="1" ht="13.5" customHeight="1">
      <c r="A134" s="13020"/>
      <c r="B134" s="12815" t="s">
        <v>703</v>
      </c>
      <c r="C134" s="13021"/>
      <c r="D134" s="12748"/>
      <c r="E134" s="12712">
        <f>'WS-MOOE 2017'!O54</f>
        <v>20101005.060000002</v>
      </c>
      <c r="F134" s="12993"/>
      <c r="G134" s="12712">
        <f>'WS-MOOE ACTUAL JUNE 2018'!L55</f>
        <v>9838466.790000001</v>
      </c>
      <c r="H134" s="12993"/>
      <c r="I134" s="12712">
        <f t="shared" si="3"/>
        <v>17767033.210000001</v>
      </c>
      <c r="J134" s="12993"/>
      <c r="K134" s="13017">
        <v>27605500</v>
      </c>
      <c r="L134" s="13018">
        <f>'lbr 1b'!C28</f>
        <v>28070000</v>
      </c>
      <c r="M134" s="12859"/>
      <c r="P134" s="12672"/>
      <c r="Q134" s="12673"/>
    </row>
    <row r="135" spans="1:17" s="12671" customFormat="1" ht="13.5" customHeight="1">
      <c r="A135" s="13020"/>
      <c r="B135" s="12815" t="s">
        <v>704</v>
      </c>
      <c r="C135" s="13021"/>
      <c r="D135" s="12748"/>
      <c r="E135" s="12712">
        <f>'WS-MOOE 2017'!P54</f>
        <v>44893353.360000007</v>
      </c>
      <c r="F135" s="12993"/>
      <c r="G135" s="12712">
        <f>'WS-MOOE ACTUAL JUNE 2018'!M55</f>
        <v>2266557.87</v>
      </c>
      <c r="H135" s="12993"/>
      <c r="I135" s="12712">
        <f t="shared" si="3"/>
        <v>67033442.130000003</v>
      </c>
      <c r="J135" s="12993"/>
      <c r="K135" s="13017">
        <v>69300000</v>
      </c>
      <c r="L135" s="13018">
        <f>'lbr 1b'!C29</f>
        <v>67855000</v>
      </c>
      <c r="M135" s="12859"/>
      <c r="P135" s="12672"/>
      <c r="Q135" s="12673"/>
    </row>
    <row r="136" spans="1:17" s="12671" customFormat="1" ht="13.5" customHeight="1">
      <c r="A136" s="13020"/>
      <c r="B136" s="12815" t="s">
        <v>705</v>
      </c>
      <c r="C136" s="13021"/>
      <c r="D136" s="12748"/>
      <c r="E136" s="12712">
        <f>'WS-MOOE 2017'!Q54</f>
        <v>34795608.490000002</v>
      </c>
      <c r="F136" s="12993"/>
      <c r="G136" s="12712">
        <f>'WS-MOOE ACTUAL JUNE 2018'!N55</f>
        <v>2179420.9499999997</v>
      </c>
      <c r="H136" s="12993"/>
      <c r="I136" s="12712">
        <f t="shared" si="3"/>
        <v>62738618.049999997</v>
      </c>
      <c r="J136" s="12993"/>
      <c r="K136" s="13017">
        <v>64918039</v>
      </c>
      <c r="L136" s="13018">
        <f>'lbr 1b'!C30</f>
        <v>68884158</v>
      </c>
      <c r="M136" s="12859"/>
      <c r="P136" s="12672"/>
      <c r="Q136" s="12673"/>
    </row>
    <row r="137" spans="1:17" s="12671" customFormat="1" ht="13.5" customHeight="1">
      <c r="A137" s="13020"/>
      <c r="B137" s="12815" t="s">
        <v>706</v>
      </c>
      <c r="C137" s="13021"/>
      <c r="D137" s="12748"/>
      <c r="E137" s="12712">
        <f>'WS-MOOE 2017'!R54+'WS-MOOE 2017'!S54</f>
        <v>16739441.57</v>
      </c>
      <c r="F137" s="12993"/>
      <c r="G137" s="12712">
        <f>'WS-MOOE ACTUAL JUNE 2018'!O55</f>
        <v>8977681.1499999985</v>
      </c>
      <c r="H137" s="12993"/>
      <c r="I137" s="12712">
        <f t="shared" si="3"/>
        <v>31942318.850000001</v>
      </c>
      <c r="J137" s="12993"/>
      <c r="K137" s="13017">
        <v>40920000</v>
      </c>
      <c r="L137" s="13018">
        <f>'lbr 1b'!C31</f>
        <v>48300500</v>
      </c>
      <c r="M137" s="12859"/>
      <c r="P137" s="12672"/>
      <c r="Q137" s="12673"/>
    </row>
    <row r="138" spans="1:17" s="12671" customFormat="1" ht="13.5" customHeight="1">
      <c r="A138" s="13020"/>
      <c r="B138" s="12815" t="s">
        <v>707</v>
      </c>
      <c r="C138" s="13021"/>
      <c r="D138" s="12748"/>
      <c r="E138" s="12712">
        <f>'WS-MOOE 2017'!T54</f>
        <v>96839</v>
      </c>
      <c r="F138" s="12993"/>
      <c r="G138" s="12712">
        <f>'WS-MOOE ACTUAL JUNE 2018'!P55</f>
        <v>7180</v>
      </c>
      <c r="H138" s="12993"/>
      <c r="I138" s="12712">
        <f t="shared" si="3"/>
        <v>192820</v>
      </c>
      <c r="J138" s="12993"/>
      <c r="K138" s="13017">
        <v>200000</v>
      </c>
      <c r="L138" s="13018">
        <f>'lbr 1b'!C32</f>
        <v>200000</v>
      </c>
      <c r="M138" s="12859"/>
      <c r="P138" s="12672"/>
      <c r="Q138" s="12673"/>
    </row>
    <row r="139" spans="1:17" s="12671" customFormat="1" ht="13.5" customHeight="1">
      <c r="A139" s="13020"/>
      <c r="B139" s="12815" t="s">
        <v>708</v>
      </c>
      <c r="C139" s="13021"/>
      <c r="D139" s="12748"/>
      <c r="E139" s="12712">
        <f>'WS-MOOE 2017'!U54</f>
        <v>72480</v>
      </c>
      <c r="F139" s="12993"/>
      <c r="G139" s="12712">
        <f>'WS-MOOE ACTUAL JUNE 2018'!Q55</f>
        <v>0</v>
      </c>
      <c r="H139" s="12993"/>
      <c r="I139" s="12712">
        <f t="shared" si="3"/>
        <v>370000</v>
      </c>
      <c r="J139" s="12993"/>
      <c r="K139" s="13017">
        <v>370000</v>
      </c>
      <c r="L139" s="13018">
        <f>'lbr 1b'!C33</f>
        <v>640000</v>
      </c>
      <c r="M139" s="12859"/>
      <c r="P139" s="12672"/>
      <c r="Q139" s="12673"/>
    </row>
    <row r="140" spans="1:17" s="12671" customFormat="1" ht="13.5" customHeight="1">
      <c r="A140" s="13020"/>
      <c r="B140" s="12815" t="s">
        <v>709</v>
      </c>
      <c r="C140" s="13021"/>
      <c r="D140" s="12748"/>
      <c r="E140" s="12712">
        <f>'WS-MOOE 2017'!V54</f>
        <v>153388.57</v>
      </c>
      <c r="F140" s="12993"/>
      <c r="G140" s="12712"/>
      <c r="H140" s="12993"/>
      <c r="I140" s="12712">
        <f t="shared" si="3"/>
        <v>0</v>
      </c>
      <c r="J140" s="12993"/>
      <c r="K140" s="13017">
        <v>0</v>
      </c>
      <c r="L140" s="13018">
        <f>'lbr 1b'!C34</f>
        <v>0</v>
      </c>
      <c r="M140" s="12859"/>
      <c r="P140" s="12672"/>
      <c r="Q140" s="12673"/>
    </row>
    <row r="141" spans="1:17" s="12671" customFormat="1" ht="13.5" customHeight="1">
      <c r="A141" s="13020"/>
      <c r="B141" s="12815" t="s">
        <v>710</v>
      </c>
      <c r="C141" s="13021"/>
      <c r="D141" s="12748"/>
      <c r="E141" s="12712">
        <f>'WS-MOOE 2017'!W54</f>
        <v>2641432.6599999997</v>
      </c>
      <c r="F141" s="12993"/>
      <c r="G141" s="12712">
        <f>'WS-MOOE ACTUAL JUNE 2018'!R55</f>
        <v>1524926.4499999997</v>
      </c>
      <c r="H141" s="12993"/>
      <c r="I141" s="12712">
        <f t="shared" si="3"/>
        <v>1914823.5500000003</v>
      </c>
      <c r="J141" s="12993"/>
      <c r="K141" s="13017">
        <v>3439750</v>
      </c>
      <c r="L141" s="13018">
        <f>'lbr 1b'!C19</f>
        <v>3730588</v>
      </c>
      <c r="M141" s="12859"/>
      <c r="P141" s="12672"/>
      <c r="Q141" s="12673"/>
    </row>
    <row r="142" spans="1:17" s="12671" customFormat="1" ht="13.5" customHeight="1">
      <c r="A142" s="13020"/>
      <c r="B142" s="12815" t="s">
        <v>711</v>
      </c>
      <c r="C142" s="13021"/>
      <c r="D142" s="12748"/>
      <c r="E142" s="12712">
        <f>'WS-MOOE 2017'!X54</f>
        <v>21562095.689999998</v>
      </c>
      <c r="F142" s="12993"/>
      <c r="G142" s="12712">
        <f>'WS-MOOE ACTUAL JUNE 2018'!S55</f>
        <v>9828584.0199999996</v>
      </c>
      <c r="H142" s="12993"/>
      <c r="I142" s="12712">
        <f t="shared" si="3"/>
        <v>14557015.98</v>
      </c>
      <c r="J142" s="12993"/>
      <c r="K142" s="13017">
        <v>24385600</v>
      </c>
      <c r="L142" s="13018">
        <f>'lbr 1b'!C20</f>
        <v>24903530</v>
      </c>
      <c r="M142" s="12859"/>
      <c r="P142" s="12672"/>
      <c r="Q142" s="12673"/>
    </row>
    <row r="143" spans="1:17" s="12671" customFormat="1" ht="13.5" customHeight="1">
      <c r="A143" s="13020"/>
      <c r="B143" s="12815" t="s">
        <v>712</v>
      </c>
      <c r="C143" s="13021"/>
      <c r="D143" s="12748"/>
      <c r="E143" s="12712">
        <f>'WS-MOOE 2017'!Y54</f>
        <v>0</v>
      </c>
      <c r="F143" s="12993"/>
      <c r="G143" s="12712">
        <f>'WS-MOOE ACTUAL JUNE 2018'!T55</f>
        <v>42483</v>
      </c>
      <c r="H143" s="12993"/>
      <c r="I143" s="12712">
        <f t="shared" si="3"/>
        <v>810072</v>
      </c>
      <c r="J143" s="12993"/>
      <c r="K143" s="13017">
        <v>852555</v>
      </c>
      <c r="L143" s="13018">
        <f>'lbr 1b'!C21</f>
        <v>905000</v>
      </c>
      <c r="M143" s="12859"/>
      <c r="P143" s="12672"/>
      <c r="Q143" s="12673"/>
    </row>
    <row r="144" spans="1:17" s="12671" customFormat="1" ht="13.5" customHeight="1">
      <c r="A144" s="13020"/>
      <c r="B144" s="12815" t="s">
        <v>713</v>
      </c>
      <c r="C144" s="13021"/>
      <c r="D144" s="12748"/>
      <c r="E144" s="12712">
        <f>'WS-MOOE 2017'!Z54</f>
        <v>135521.99</v>
      </c>
      <c r="F144" s="12993"/>
      <c r="G144" s="12712">
        <f>'WS-MOOE ACTUAL JUNE 2018'!U55</f>
        <v>92591.98000000001</v>
      </c>
      <c r="H144" s="12993"/>
      <c r="I144" s="12712">
        <f t="shared" si="3"/>
        <v>378758.02</v>
      </c>
      <c r="J144" s="12993"/>
      <c r="K144" s="13017">
        <v>471350</v>
      </c>
      <c r="L144" s="13018">
        <f>'lbr 1b'!C39</f>
        <v>423300</v>
      </c>
      <c r="M144" s="12859"/>
      <c r="P144" s="12672"/>
      <c r="Q144" s="12673"/>
    </row>
    <row r="145" spans="1:17" s="12671" customFormat="1" ht="13.5" customHeight="1">
      <c r="A145" s="13020"/>
      <c r="B145" s="12815" t="s">
        <v>714</v>
      </c>
      <c r="C145" s="13021"/>
      <c r="D145" s="12748"/>
      <c r="E145" s="12712">
        <f>'WS-MOOE 2017'!AA54+'WS-MOOE 2017'!AB54+'WS-MOOE 2017'!AC54+'WS-MOOE 2017'!AE54</f>
        <v>5785571.1999999993</v>
      </c>
      <c r="F145" s="12993"/>
      <c r="G145" s="12712">
        <f>'WS-MOOE ACTUAL JUNE 2018'!V55+'WS-MOOE ACTUAL JUNE 2018'!Y55+'WS-MOOE ACTUAL JUNE 2018'!Z55</f>
        <v>2239811.9900000002</v>
      </c>
      <c r="H145" s="12993"/>
      <c r="I145" s="12712">
        <f t="shared" si="3"/>
        <v>7734541.0099999998</v>
      </c>
      <c r="J145" s="12993"/>
      <c r="K145" s="13017">
        <v>9974353</v>
      </c>
      <c r="L145" s="13018">
        <f>'lbr 1b'!C40+'lbr 1b'!C41+'lbr 1b'!C42</f>
        <v>11154287</v>
      </c>
      <c r="M145" s="12859"/>
      <c r="P145" s="12672"/>
      <c r="Q145" s="12673"/>
    </row>
    <row r="146" spans="1:17" s="12671" customFormat="1" ht="13.5" customHeight="1">
      <c r="A146" s="13044"/>
      <c r="B146" s="13061" t="s">
        <v>11693</v>
      </c>
      <c r="C146" s="13045"/>
      <c r="D146" s="12875"/>
      <c r="E146" s="12712"/>
      <c r="F146" s="13062"/>
      <c r="G146" s="12712"/>
      <c r="H146" s="13062"/>
      <c r="I146" s="12712"/>
      <c r="J146" s="13062"/>
      <c r="K146" s="13063"/>
      <c r="L146" s="13064">
        <f>'2019 MOOE'!S56</f>
        <v>800000</v>
      </c>
      <c r="M146" s="13065"/>
      <c r="P146" s="12672"/>
      <c r="Q146" s="12673"/>
    </row>
    <row r="147" spans="1:17" s="12671" customFormat="1" ht="13.5" customHeight="1">
      <c r="A147" s="13066"/>
      <c r="B147" s="12815" t="s">
        <v>3044</v>
      </c>
      <c r="C147" s="13067"/>
      <c r="D147" s="13068"/>
      <c r="E147" s="12712">
        <f>'WS-MOOE 2017'!AF54</f>
        <v>314750</v>
      </c>
      <c r="F147" s="13069"/>
      <c r="G147" s="12712">
        <f>'WS-MOOE ACTUAL JUNE 2018'!AB55</f>
        <v>106660</v>
      </c>
      <c r="H147" s="13069"/>
      <c r="I147" s="12712">
        <f t="shared" si="3"/>
        <v>1255458</v>
      </c>
      <c r="J147" s="13069"/>
      <c r="K147" s="13017">
        <v>1362118</v>
      </c>
      <c r="L147" s="13018">
        <f>'lbr 1b'!C43</f>
        <v>1382504</v>
      </c>
      <c r="M147" s="12859"/>
      <c r="P147" s="12672"/>
      <c r="Q147" s="12673"/>
    </row>
    <row r="148" spans="1:17" s="12671" customFormat="1" ht="13.5" customHeight="1">
      <c r="A148" s="13020"/>
      <c r="B148" s="12815" t="s">
        <v>715</v>
      </c>
      <c r="C148" s="13021"/>
      <c r="D148" s="12748"/>
      <c r="E148" s="12712">
        <f>'WS-MOOE 2017'!AI54</f>
        <v>368066.5</v>
      </c>
      <c r="F148" s="12993"/>
      <c r="G148" s="12712">
        <f>'WS-MOOE ACTUAL JUNE 2018'!AA55</f>
        <v>42400</v>
      </c>
      <c r="H148" s="12993"/>
      <c r="I148" s="12712">
        <f t="shared" si="3"/>
        <v>257600</v>
      </c>
      <c r="J148" s="12993"/>
      <c r="K148" s="13017">
        <v>300000</v>
      </c>
      <c r="L148" s="13018">
        <f>'lbr 1b'!C103</f>
        <v>615000</v>
      </c>
      <c r="M148" s="12859"/>
      <c r="P148" s="12672"/>
      <c r="Q148" s="12673"/>
    </row>
    <row r="149" spans="1:17" s="12671" customFormat="1" ht="13.5" customHeight="1">
      <c r="A149" s="13020"/>
      <c r="B149" s="12815" t="s">
        <v>716</v>
      </c>
      <c r="C149" s="13021"/>
      <c r="D149" s="12748"/>
      <c r="E149" s="12712">
        <f>'WS-MOOE 2017'!BI54</f>
        <v>637123.17999999993</v>
      </c>
      <c r="F149" s="12993"/>
      <c r="G149" s="12712">
        <f>'WS-MOOE ACTUAL JUNE 2018'!BB55</f>
        <v>138000</v>
      </c>
      <c r="H149" s="12993"/>
      <c r="I149" s="12712">
        <f t="shared" si="3"/>
        <v>1282000</v>
      </c>
      <c r="J149" s="12993"/>
      <c r="K149" s="13017">
        <v>1420000</v>
      </c>
      <c r="L149" s="13018">
        <f>'lbr 1b'!C104</f>
        <v>1100000</v>
      </c>
      <c r="M149" s="12859"/>
      <c r="P149" s="12672"/>
      <c r="Q149" s="12673"/>
    </row>
    <row r="150" spans="1:17" s="12671" customFormat="1" ht="13.5" customHeight="1">
      <c r="A150" s="13020"/>
      <c r="B150" s="12815" t="s">
        <v>717</v>
      </c>
      <c r="C150" s="13021"/>
      <c r="D150" s="12748"/>
      <c r="E150" s="12712">
        <f>'WS-MOOE 2017'!BJ54</f>
        <v>6995</v>
      </c>
      <c r="F150" s="12993"/>
      <c r="G150" s="12712">
        <f>'WS-MOOE ACTUAL JUNE 2018'!BC55</f>
        <v>4500</v>
      </c>
      <c r="H150" s="12993"/>
      <c r="I150" s="12712">
        <f t="shared" si="3"/>
        <v>74500</v>
      </c>
      <c r="J150" s="12993"/>
      <c r="K150" s="13017">
        <v>79000</v>
      </c>
      <c r="L150" s="13018">
        <f>'lbr 1b'!C102</f>
        <v>84000</v>
      </c>
      <c r="M150" s="12859"/>
      <c r="P150" s="12672"/>
      <c r="Q150" s="12673"/>
    </row>
    <row r="151" spans="1:17" s="12671" customFormat="1" ht="13.5" customHeight="1">
      <c r="A151" s="13022"/>
      <c r="B151" s="13070" t="s">
        <v>10163</v>
      </c>
      <c r="C151" s="13024"/>
      <c r="D151" s="12874"/>
      <c r="E151" s="12712">
        <f>'WS-MOOE 2017'!AJ54</f>
        <v>0</v>
      </c>
      <c r="F151" s="12914"/>
      <c r="G151" s="12712"/>
      <c r="H151" s="12914"/>
      <c r="I151" s="12712">
        <f t="shared" si="3"/>
        <v>25000</v>
      </c>
      <c r="J151" s="12914"/>
      <c r="K151" s="13071">
        <v>25000</v>
      </c>
      <c r="L151" s="13026">
        <f>'lbr 1b'!C105</f>
        <v>25000</v>
      </c>
      <c r="M151" s="13027"/>
      <c r="P151" s="12672"/>
      <c r="Q151" s="12673"/>
    </row>
    <row r="152" spans="1:17" s="12671" customFormat="1" ht="13.5" customHeight="1">
      <c r="A152" s="13020"/>
      <c r="B152" s="12815" t="s">
        <v>718</v>
      </c>
      <c r="C152" s="13021"/>
      <c r="D152" s="12748"/>
      <c r="E152" s="12712">
        <f>'WS-MOOE 2017'!BK54</f>
        <v>11202654.66</v>
      </c>
      <c r="F152" s="12993"/>
      <c r="G152" s="12712">
        <f>'WS-MOOE ACTUAL JUNE 2018'!BE55</f>
        <v>699816.80999999994</v>
      </c>
      <c r="H152" s="12993"/>
      <c r="I152" s="12712">
        <f t="shared" si="3"/>
        <v>12074983.189999999</v>
      </c>
      <c r="J152" s="12993"/>
      <c r="K152" s="13017">
        <v>12774800</v>
      </c>
      <c r="L152" s="13018">
        <f>'lbr 1b'!C106</f>
        <v>12881800</v>
      </c>
      <c r="M152" s="12859"/>
      <c r="P152" s="12672"/>
      <c r="Q152" s="12673"/>
    </row>
    <row r="153" spans="1:17" s="12671" customFormat="1" ht="13.5" customHeight="1">
      <c r="A153" s="13020"/>
      <c r="B153" s="12815" t="s">
        <v>719</v>
      </c>
      <c r="C153" s="13021"/>
      <c r="D153" s="12748"/>
      <c r="E153" s="12712">
        <f>'WS-MOOE 2017'!BL54</f>
        <v>161433</v>
      </c>
      <c r="F153" s="12993"/>
      <c r="G153" s="12712">
        <f>'WS-MOOE ACTUAL JUNE 2018'!BF55</f>
        <v>72389</v>
      </c>
      <c r="H153" s="12993"/>
      <c r="I153" s="12712">
        <f t="shared" si="3"/>
        <v>345611</v>
      </c>
      <c r="J153" s="12993"/>
      <c r="K153" s="13017">
        <v>418000</v>
      </c>
      <c r="L153" s="13018">
        <f>'lbr 1b'!C107</f>
        <v>408660</v>
      </c>
      <c r="M153" s="12859"/>
      <c r="P153" s="12672"/>
      <c r="Q153" s="12673"/>
    </row>
    <row r="154" spans="1:17" s="12671" customFormat="1" ht="13.5" customHeight="1">
      <c r="A154" s="13020"/>
      <c r="B154" s="12815" t="s">
        <v>10996</v>
      </c>
      <c r="C154" s="13021"/>
      <c r="D154" s="12748"/>
      <c r="E154" s="12712">
        <f>'WS-MOOE 2017'!AK54</f>
        <v>2338000</v>
      </c>
      <c r="F154" s="12993"/>
      <c r="G154" s="12712">
        <f>'WS-MOOE ACTUAL JUNE 2018'!AM55</f>
        <v>35200</v>
      </c>
      <c r="H154" s="12993"/>
      <c r="I154" s="12712">
        <f t="shared" si="3"/>
        <v>1293800</v>
      </c>
      <c r="J154" s="12993"/>
      <c r="K154" s="13017">
        <v>1329000</v>
      </c>
      <c r="L154" s="13018">
        <f>'lbr 1b'!C110</f>
        <v>1329000</v>
      </c>
      <c r="M154" s="12859"/>
      <c r="P154" s="12672"/>
      <c r="Q154" s="12673"/>
    </row>
    <row r="155" spans="1:17" s="12671" customFormat="1" ht="13.5" customHeight="1">
      <c r="A155" s="13020"/>
      <c r="B155" s="12815" t="s">
        <v>720</v>
      </c>
      <c r="C155" s="13021"/>
      <c r="D155" s="12748"/>
      <c r="E155" s="12712">
        <f>'WS-MOOE 2017'!AO54+'WS-MOOE 2017'!AP54+'WS-MOOE 2017'!AL54+'WS-MOOE 2017'!AQ54+'WS-MOOE 2017'!AR54</f>
        <v>158914966.78</v>
      </c>
      <c r="F155" s="12993"/>
      <c r="G155" s="12712">
        <f>'WS-MOOE ACTUAL JUNE 2018'!AJ55+'WS-MOOE ACTUAL JUNE 2018'!AF55+'WS-MOOE ACTUAL JUNE 2018'!AI55+'WS-MOOE ACTUAL JUNE 2018'!AK55</f>
        <v>68270287.010000005</v>
      </c>
      <c r="H155" s="12993"/>
      <c r="I155" s="12712">
        <f t="shared" si="3"/>
        <v>121331952.98999999</v>
      </c>
      <c r="J155" s="12993"/>
      <c r="K155" s="13017">
        <v>189602240</v>
      </c>
      <c r="L155" s="13018">
        <f>'lbr 1b'!C47</f>
        <v>218311640</v>
      </c>
      <c r="M155" s="12859"/>
      <c r="P155" s="12672"/>
      <c r="Q155" s="12673"/>
    </row>
    <row r="156" spans="1:17" s="12671" customFormat="1" ht="13.5" customHeight="1">
      <c r="A156" s="13020"/>
      <c r="B156" s="12815" t="s">
        <v>721</v>
      </c>
      <c r="C156" s="13072"/>
      <c r="D156" s="12748"/>
      <c r="E156" s="12712">
        <f>'WS-MOOE 2017'!AM54+'WS-MOOE 2017'!AN54</f>
        <v>19938935.43</v>
      </c>
      <c r="F156" s="12993"/>
      <c r="G156" s="12712">
        <f>'WS-MOOE ACTUAL JUNE 2018'!AG55+'WS-MOOE ACTUAL JUNE 2018'!AH55</f>
        <v>9229028.620000001</v>
      </c>
      <c r="H156" s="12993"/>
      <c r="I156" s="12712">
        <f t="shared" si="3"/>
        <v>13847571.379999999</v>
      </c>
      <c r="J156" s="12993"/>
      <c r="K156" s="13017">
        <v>23076600</v>
      </c>
      <c r="L156" s="13018">
        <f>'lbr 1b'!C48+'lbr 1b'!C49</f>
        <v>29279052</v>
      </c>
      <c r="M156" s="12859"/>
      <c r="P156" s="12672"/>
      <c r="Q156" s="12673"/>
    </row>
    <row r="157" spans="1:17" s="12671" customFormat="1" ht="13.5" customHeight="1">
      <c r="A157" s="13020"/>
      <c r="B157" s="12815" t="s">
        <v>722</v>
      </c>
      <c r="C157" s="13021"/>
      <c r="D157" s="12748"/>
      <c r="E157" s="12712">
        <f>'WS-MOOE 2017'!AS54+'WS-MOOE 2017'!AT54+'WS-MOOE 2017'!AU54</f>
        <v>1921820.4799999997</v>
      </c>
      <c r="F157" s="12993"/>
      <c r="G157" s="12712">
        <f>'WS-MOOE ACTUAL JUNE 2018'!AN55</f>
        <v>464143.23</v>
      </c>
      <c r="H157" s="12993"/>
      <c r="I157" s="12712">
        <f t="shared" si="3"/>
        <v>3534356.77</v>
      </c>
      <c r="J157" s="12993"/>
      <c r="K157" s="13017">
        <v>3998500</v>
      </c>
      <c r="L157" s="13018">
        <f>'lbr 1b'!C54</f>
        <v>2988000</v>
      </c>
      <c r="M157" s="12859"/>
      <c r="P157" s="12672"/>
      <c r="Q157" s="12673"/>
    </row>
    <row r="158" spans="1:17" s="12671" customFormat="1" ht="13.5" customHeight="1">
      <c r="A158" s="13020"/>
      <c r="B158" s="12815" t="s">
        <v>723</v>
      </c>
      <c r="C158" s="13021"/>
      <c r="D158" s="12748"/>
      <c r="E158" s="12712">
        <f>'WS-MOOE 2017'!AV54</f>
        <v>0</v>
      </c>
      <c r="F158" s="12993"/>
      <c r="G158" s="12712">
        <f>'WS-MOOE ACTUAL JUNE 2018'!AO55</f>
        <v>0</v>
      </c>
      <c r="H158" s="12993"/>
      <c r="I158" s="12712">
        <f t="shared" si="3"/>
        <v>1360000</v>
      </c>
      <c r="J158" s="12993"/>
      <c r="K158" s="13017">
        <v>1360000</v>
      </c>
      <c r="L158" s="13018">
        <f>'lbr 1b'!C55</f>
        <v>1370000</v>
      </c>
      <c r="M158" s="12859"/>
      <c r="P158" s="12672"/>
      <c r="Q158" s="12673"/>
    </row>
    <row r="159" spans="1:17" s="13082" customFormat="1" ht="13.5" customHeight="1">
      <c r="A159" s="13073"/>
      <c r="B159" s="13074" t="s">
        <v>12226</v>
      </c>
      <c r="C159" s="13075"/>
      <c r="D159" s="13076"/>
      <c r="E159" s="13077">
        <f>'WS-MOOE 2017'!AW54</f>
        <v>1716582.5100000002</v>
      </c>
      <c r="F159" s="13078"/>
      <c r="G159" s="13077">
        <f>'WS-MOOE ACTUAL JUNE 2018'!AP55</f>
        <v>0</v>
      </c>
      <c r="H159" s="13078"/>
      <c r="I159" s="13077">
        <f t="shared" si="3"/>
        <v>53000</v>
      </c>
      <c r="J159" s="13078"/>
      <c r="K159" s="13079">
        <v>53000</v>
      </c>
      <c r="L159" s="13080">
        <f>'lbr 1b'!C56</f>
        <v>53000</v>
      </c>
      <c r="M159" s="13081"/>
      <c r="P159" s="13083"/>
      <c r="Q159" s="13084"/>
    </row>
    <row r="160" spans="1:17" s="12918" customFormat="1">
      <c r="A160" s="13085"/>
      <c r="B160" s="13086"/>
      <c r="C160" s="13087"/>
      <c r="D160" s="13088"/>
      <c r="E160" s="13089"/>
      <c r="F160" s="13090"/>
      <c r="G160" s="13089"/>
      <c r="H160" s="13090"/>
      <c r="I160" s="13089"/>
      <c r="J160" s="13090"/>
      <c r="K160" s="13091"/>
      <c r="L160" s="13091"/>
      <c r="M160" s="13092"/>
      <c r="P160" s="12919"/>
      <c r="Q160" s="12739"/>
    </row>
    <row r="161" spans="1:17" s="12918" customFormat="1">
      <c r="A161" s="13093"/>
      <c r="B161" s="13094"/>
      <c r="C161" s="13095"/>
      <c r="D161" s="12700"/>
      <c r="E161" s="13013"/>
      <c r="F161" s="13096"/>
      <c r="G161" s="13013"/>
      <c r="H161" s="13096"/>
      <c r="I161" s="13013"/>
      <c r="J161" s="13096"/>
      <c r="K161" s="13097"/>
      <c r="L161" s="13097"/>
      <c r="M161" s="13098"/>
      <c r="P161" s="12919"/>
      <c r="Q161" s="12739"/>
    </row>
    <row r="162" spans="1:17" s="12918" customFormat="1">
      <c r="A162" s="13093"/>
      <c r="B162" s="13094"/>
      <c r="C162" s="13095"/>
      <c r="D162" s="12700"/>
      <c r="E162" s="13013"/>
      <c r="F162" s="13096"/>
      <c r="G162" s="13013"/>
      <c r="H162" s="13096"/>
      <c r="I162" s="13013"/>
      <c r="J162" s="13096"/>
      <c r="K162" s="13097"/>
      <c r="L162" s="13097"/>
      <c r="M162" s="13098"/>
      <c r="P162" s="12919"/>
      <c r="Q162" s="12739"/>
    </row>
    <row r="163" spans="1:17" s="12918" customFormat="1">
      <c r="A163" s="13093"/>
      <c r="B163" s="13094"/>
      <c r="C163" s="13095"/>
      <c r="D163" s="12700"/>
      <c r="E163" s="13013"/>
      <c r="F163" s="13096"/>
      <c r="G163" s="13013"/>
      <c r="H163" s="13096"/>
      <c r="I163" s="13013"/>
      <c r="J163" s="13096"/>
      <c r="K163" s="13097"/>
      <c r="L163" s="13097"/>
      <c r="M163" s="13098"/>
      <c r="P163" s="12919"/>
      <c r="Q163" s="12739"/>
    </row>
    <row r="164" spans="1:17" s="12918" customFormat="1">
      <c r="A164" s="13093"/>
      <c r="B164" s="13094"/>
      <c r="C164" s="13095"/>
      <c r="D164" s="12700"/>
      <c r="E164" s="13013"/>
      <c r="F164" s="13096"/>
      <c r="G164" s="13013"/>
      <c r="H164" s="13096"/>
      <c r="I164" s="13013"/>
      <c r="J164" s="13096"/>
      <c r="K164" s="13097"/>
      <c r="L164" s="13097"/>
      <c r="M164" s="13098"/>
      <c r="P164" s="12919"/>
      <c r="Q164" s="12739"/>
    </row>
    <row r="165" spans="1:17" s="12918" customFormat="1">
      <c r="A165" s="13093"/>
      <c r="B165" s="13094"/>
      <c r="C165" s="13095"/>
      <c r="D165" s="12700"/>
      <c r="E165" s="13013"/>
      <c r="F165" s="13096"/>
      <c r="G165" s="13013"/>
      <c r="H165" s="13096"/>
      <c r="I165" s="13013"/>
      <c r="J165" s="13096"/>
      <c r="K165" s="13097"/>
      <c r="L165" s="13097"/>
      <c r="M165" s="13098"/>
      <c r="P165" s="12919"/>
      <c r="Q165" s="12739"/>
    </row>
    <row r="166" spans="1:17" s="12918" customFormat="1" ht="14.25" customHeight="1">
      <c r="A166" s="13093" t="s">
        <v>4962</v>
      </c>
      <c r="B166" s="13094"/>
      <c r="C166" s="13095"/>
      <c r="D166" s="12700"/>
      <c r="E166" s="13013"/>
      <c r="F166" s="13096"/>
      <c r="G166" s="13013"/>
      <c r="H166" s="13096"/>
      <c r="I166" s="13013"/>
      <c r="J166" s="13096"/>
      <c r="K166" s="13097"/>
      <c r="L166" s="13097"/>
      <c r="M166" s="13098"/>
      <c r="P166" s="12919"/>
      <c r="Q166" s="12739"/>
    </row>
    <row r="167" spans="1:17" s="12685" customFormat="1">
      <c r="A167" s="12676"/>
      <c r="B167" s="12677"/>
      <c r="C167" s="12678"/>
      <c r="D167" s="12679"/>
      <c r="E167" s="12680" t="s">
        <v>10</v>
      </c>
      <c r="F167" s="14172" t="s">
        <v>11215</v>
      </c>
      <c r="G167" s="14173"/>
      <c r="H167" s="14173"/>
      <c r="I167" s="14173"/>
      <c r="J167" s="14173"/>
      <c r="K167" s="14182"/>
      <c r="L167" s="14175" t="s">
        <v>11518</v>
      </c>
      <c r="M167" s="12681" t="s">
        <v>465</v>
      </c>
      <c r="N167" s="12682"/>
      <c r="O167" s="12682"/>
      <c r="P167" s="12683"/>
      <c r="Q167" s="12684"/>
    </row>
    <row r="168" spans="1:17" s="12685" customFormat="1" ht="14.4">
      <c r="A168" s="14155" t="s">
        <v>460</v>
      </c>
      <c r="B168" s="14156"/>
      <c r="C168" s="12686" t="s">
        <v>459</v>
      </c>
      <c r="D168" s="12687"/>
      <c r="E168" s="12688" t="s">
        <v>10844</v>
      </c>
      <c r="F168" s="14157" t="s">
        <v>12077</v>
      </c>
      <c r="G168" s="14158"/>
      <c r="H168" s="14157" t="s">
        <v>12078</v>
      </c>
      <c r="I168" s="14158"/>
      <c r="J168" s="14159" t="s">
        <v>458</v>
      </c>
      <c r="K168" s="14160"/>
      <c r="L168" s="14176"/>
      <c r="M168" s="12689" t="s">
        <v>469</v>
      </c>
      <c r="N168" s="12682"/>
      <c r="O168" s="12682"/>
      <c r="P168" s="12683"/>
      <c r="Q168" s="12684"/>
    </row>
    <row r="169" spans="1:17" s="12685" customFormat="1">
      <c r="A169" s="12690"/>
      <c r="B169" s="12691"/>
      <c r="C169" s="12692" t="s">
        <v>94</v>
      </c>
      <c r="D169" s="12693"/>
      <c r="E169" s="12694" t="s">
        <v>457</v>
      </c>
      <c r="F169" s="14163" t="s">
        <v>457</v>
      </c>
      <c r="G169" s="14164"/>
      <c r="H169" s="14163" t="s">
        <v>456</v>
      </c>
      <c r="I169" s="14164"/>
      <c r="J169" s="14161"/>
      <c r="K169" s="14162"/>
      <c r="L169" s="12991" t="s">
        <v>680</v>
      </c>
      <c r="M169" s="12992" t="s">
        <v>474</v>
      </c>
      <c r="N169" s="12682"/>
      <c r="O169" s="12682"/>
      <c r="P169" s="12683"/>
      <c r="Q169" s="12684"/>
    </row>
    <row r="170" spans="1:17" s="12671" customFormat="1">
      <c r="A170" s="13020"/>
      <c r="B170" s="13094" t="s">
        <v>724</v>
      </c>
      <c r="C170" s="13021"/>
      <c r="D170" s="12748"/>
      <c r="E170" s="12712">
        <f>'WS-MOOE 2017'!AX54</f>
        <v>0</v>
      </c>
      <c r="F170" s="12993"/>
      <c r="G170" s="12712">
        <f>'WS-MOOE ACTUAL JUNE 2018'!AU55</f>
        <v>0</v>
      </c>
      <c r="H170" s="12993"/>
      <c r="I170" s="12712">
        <f t="shared" si="3"/>
        <v>3000</v>
      </c>
      <c r="J170" s="12993"/>
      <c r="K170" s="13017">
        <v>3000</v>
      </c>
      <c r="L170" s="13018">
        <f>'lbr 1b'!C57</f>
        <v>3000</v>
      </c>
      <c r="M170" s="12859"/>
      <c r="P170" s="12672"/>
      <c r="Q170" s="12673"/>
    </row>
    <row r="171" spans="1:17" s="12671" customFormat="1">
      <c r="A171" s="13020"/>
      <c r="B171" s="13094" t="s">
        <v>725</v>
      </c>
      <c r="C171" s="13021"/>
      <c r="D171" s="12748"/>
      <c r="E171" s="12712">
        <f>'WS-MOOE 2017'!AY54</f>
        <v>0</v>
      </c>
      <c r="F171" s="12993"/>
      <c r="G171" s="12712">
        <f>'WS-MOOE ACTUAL JUNE 2018'!AQ55</f>
        <v>0</v>
      </c>
      <c r="H171" s="12993"/>
      <c r="I171" s="12712">
        <f t="shared" si="3"/>
        <v>217000</v>
      </c>
      <c r="J171" s="12993" t="s">
        <v>9</v>
      </c>
      <c r="K171" s="13017">
        <v>217000</v>
      </c>
      <c r="L171" s="13018">
        <f>'lbr 1b'!C58</f>
        <v>0</v>
      </c>
      <c r="M171" s="12859"/>
      <c r="P171" s="12672"/>
      <c r="Q171" s="12673"/>
    </row>
    <row r="172" spans="1:17" s="12671" customFormat="1">
      <c r="A172" s="13020"/>
      <c r="B172" s="13094" t="s">
        <v>12227</v>
      </c>
      <c r="C172" s="13021"/>
      <c r="D172" s="12748"/>
      <c r="E172" s="12712">
        <f>'WS-MOOE 2017'!AZ54</f>
        <v>0</v>
      </c>
      <c r="F172" s="12993"/>
      <c r="G172" s="12712">
        <f>'WS-MOOE ACTUAL JUNE 2018'!AR55</f>
        <v>0</v>
      </c>
      <c r="H172" s="12993"/>
      <c r="I172" s="12712">
        <f t="shared" si="3"/>
        <v>170000</v>
      </c>
      <c r="J172" s="12993"/>
      <c r="K172" s="13017">
        <v>170000</v>
      </c>
      <c r="L172" s="13018">
        <f>'lbr 1b'!C59</f>
        <v>170000</v>
      </c>
      <c r="M172" s="12859"/>
      <c r="P172" s="12672"/>
      <c r="Q172" s="12673"/>
    </row>
    <row r="173" spans="1:17" s="12671" customFormat="1">
      <c r="A173" s="13020"/>
      <c r="B173" s="13094" t="s">
        <v>10123</v>
      </c>
      <c r="C173" s="13021"/>
      <c r="D173" s="12748"/>
      <c r="E173" s="12712">
        <f>'WS-MOOE 2017'!BA54</f>
        <v>0</v>
      </c>
      <c r="F173" s="12993"/>
      <c r="G173" s="12712">
        <f>'WS-MOOE ACTUAL JUNE 2018'!AS55</f>
        <v>475889.6</v>
      </c>
      <c r="H173" s="12993"/>
      <c r="I173" s="12712">
        <f t="shared" si="3"/>
        <v>18543460.399999999</v>
      </c>
      <c r="J173" s="12993"/>
      <c r="K173" s="13017">
        <v>19019350</v>
      </c>
      <c r="L173" s="13018">
        <f>'lbr 1b'!C60</f>
        <v>19017400</v>
      </c>
      <c r="M173" s="12859"/>
      <c r="P173" s="12672"/>
      <c r="Q173" s="12673"/>
    </row>
    <row r="174" spans="1:17" s="12671" customFormat="1">
      <c r="A174" s="13020"/>
      <c r="B174" s="13094" t="s">
        <v>726</v>
      </c>
      <c r="C174" s="13021"/>
      <c r="D174" s="12748"/>
      <c r="E174" s="12712">
        <f>'WS-MOOE 2017'!BB54</f>
        <v>9688869.6499999985</v>
      </c>
      <c r="F174" s="12993"/>
      <c r="G174" s="12712">
        <f>'WS-MOOE ACTUAL JUNE 2018'!AT55</f>
        <v>3987706.6000000006</v>
      </c>
      <c r="H174" s="12993"/>
      <c r="I174" s="12712">
        <f t="shared" si="3"/>
        <v>12556793.399999999</v>
      </c>
      <c r="J174" s="12993"/>
      <c r="K174" s="13017">
        <v>16544500</v>
      </c>
      <c r="L174" s="13018">
        <f>'lbr 1b'!C61</f>
        <v>18221500</v>
      </c>
      <c r="M174" s="12859"/>
      <c r="P174" s="12672"/>
      <c r="Q174" s="12673"/>
    </row>
    <row r="175" spans="1:17" s="12671" customFormat="1" ht="11.25" customHeight="1">
      <c r="A175" s="13020"/>
      <c r="B175" s="13094" t="s">
        <v>727</v>
      </c>
      <c r="C175" s="13021"/>
      <c r="D175" s="12748"/>
      <c r="E175" s="12712">
        <f>'WS-MOOE 2017'!BC54</f>
        <v>7500</v>
      </c>
      <c r="F175" s="12993"/>
      <c r="G175" s="12712">
        <f>'WS-MOOE ACTUAL JUNE 2018'!AV55</f>
        <v>0</v>
      </c>
      <c r="H175" s="12993"/>
      <c r="I175" s="12712">
        <f t="shared" si="3"/>
        <v>123000</v>
      </c>
      <c r="J175" s="12993"/>
      <c r="K175" s="13017">
        <v>123000</v>
      </c>
      <c r="L175" s="13018">
        <f>'lbr 1b'!C62</f>
        <v>33000</v>
      </c>
      <c r="M175" s="12859"/>
      <c r="P175" s="12672"/>
      <c r="Q175" s="12673"/>
    </row>
    <row r="176" spans="1:17" s="12671" customFormat="1" ht="11.25" customHeight="1">
      <c r="A176" s="13020"/>
      <c r="B176" s="13094" t="s">
        <v>11201</v>
      </c>
      <c r="C176" s="13021"/>
      <c r="D176" s="12748"/>
      <c r="E176" s="12712">
        <f>'WS-MOOE 2017'!BD54</f>
        <v>0</v>
      </c>
      <c r="F176" s="12993"/>
      <c r="G176" s="12712">
        <f>'WS-MOOE ACTUAL JUNE 2018'!AW55</f>
        <v>0</v>
      </c>
      <c r="H176" s="12993"/>
      <c r="I176" s="12712">
        <f t="shared" si="3"/>
        <v>20000000</v>
      </c>
      <c r="J176" s="12993"/>
      <c r="K176" s="13017">
        <v>20000000</v>
      </c>
      <c r="L176" s="13018">
        <f>'lbr 1b'!C63</f>
        <v>22000000</v>
      </c>
      <c r="M176" s="12859"/>
      <c r="P176" s="12672"/>
      <c r="Q176" s="12673"/>
    </row>
    <row r="177" spans="1:17" s="12671" customFormat="1" ht="11.25" customHeight="1">
      <c r="A177" s="13022"/>
      <c r="B177" s="13094" t="s">
        <v>10648</v>
      </c>
      <c r="C177" s="13024"/>
      <c r="D177" s="12874"/>
      <c r="E177" s="12712"/>
      <c r="F177" s="12914"/>
      <c r="G177" s="12712"/>
      <c r="H177" s="12914"/>
      <c r="I177" s="12712">
        <f t="shared" si="3"/>
        <v>50000</v>
      </c>
      <c r="J177" s="12914"/>
      <c r="K177" s="13099">
        <v>50000</v>
      </c>
      <c r="L177" s="13026">
        <f>'lbr 1b'!C64</f>
        <v>50000</v>
      </c>
      <c r="M177" s="13027"/>
      <c r="P177" s="12672"/>
      <c r="Q177" s="12673"/>
    </row>
    <row r="178" spans="1:17" s="12751" customFormat="1">
      <c r="A178" s="13020"/>
      <c r="B178" s="13094" t="s">
        <v>9484</v>
      </c>
      <c r="C178" s="13021"/>
      <c r="D178" s="12748"/>
      <c r="E178" s="12712">
        <f>'WS-MOOE 2017'!BM54</f>
        <v>42517881.620000005</v>
      </c>
      <c r="F178" s="12993"/>
      <c r="G178" s="12712">
        <f>'WS-MOOE ACTUAL JUNE 2018'!BG55</f>
        <v>26370814.75</v>
      </c>
      <c r="H178" s="12993"/>
      <c r="I178" s="12712">
        <f t="shared" si="3"/>
        <v>23779185.25</v>
      </c>
      <c r="J178" s="12993"/>
      <c r="K178" s="13017">
        <v>50150000</v>
      </c>
      <c r="L178" s="13018">
        <f>'lbr 1b'!C78</f>
        <v>47650000</v>
      </c>
      <c r="M178" s="12859"/>
      <c r="N178" s="12918"/>
      <c r="O178" s="12918"/>
      <c r="P178" s="12919"/>
      <c r="Q178" s="12739"/>
    </row>
    <row r="179" spans="1:17" s="12751" customFormat="1">
      <c r="A179" s="13022"/>
      <c r="B179" s="13094" t="s">
        <v>606</v>
      </c>
      <c r="C179" s="13024"/>
      <c r="D179" s="12874"/>
      <c r="E179" s="12712">
        <f>'WS-MOOE 2017'!AH54</f>
        <v>14000000</v>
      </c>
      <c r="F179" s="12914"/>
      <c r="G179" s="12712">
        <f>'WS-MOOE ACTUAL JUNE 2018'!AD55</f>
        <v>6000000</v>
      </c>
      <c r="H179" s="12914"/>
      <c r="I179" s="12712">
        <f t="shared" si="3"/>
        <v>8000000</v>
      </c>
      <c r="J179" s="12914"/>
      <c r="K179" s="13071">
        <v>14000000</v>
      </c>
      <c r="L179" s="13026">
        <f>'lbr 1b'!C84</f>
        <v>14000000</v>
      </c>
      <c r="M179" s="13027"/>
      <c r="N179" s="12918"/>
      <c r="O179" s="12918"/>
      <c r="P179" s="12919"/>
      <c r="Q179" s="12739"/>
    </row>
    <row r="180" spans="1:17" s="12751" customFormat="1" ht="12" customHeight="1">
      <c r="A180" s="13020"/>
      <c r="B180" s="13094" t="s">
        <v>607</v>
      </c>
      <c r="C180" s="13021"/>
      <c r="D180" s="12748"/>
      <c r="E180" s="12712">
        <f>'WS-MOOE 2017'!BE54</f>
        <v>0</v>
      </c>
      <c r="F180" s="12993"/>
      <c r="G180" s="12712">
        <f>'WS-MOOE ACTUAL JUNE 2018'!BH55</f>
        <v>0</v>
      </c>
      <c r="H180" s="12993"/>
      <c r="I180" s="12712">
        <f t="shared" si="3"/>
        <v>623000</v>
      </c>
      <c r="J180" s="13100"/>
      <c r="K180" s="13101">
        <v>623000</v>
      </c>
      <c r="L180" s="13018">
        <f>'lbr 1b'!C86</f>
        <v>623000</v>
      </c>
      <c r="M180" s="12859"/>
      <c r="N180" s="12918"/>
      <c r="O180" s="12918"/>
      <c r="P180" s="12919"/>
      <c r="Q180" s="12739"/>
    </row>
    <row r="181" spans="1:17" s="12751" customFormat="1" hidden="1">
      <c r="A181" s="13020"/>
      <c r="B181" s="13094" t="s">
        <v>10067</v>
      </c>
      <c r="C181" s="13021"/>
      <c r="D181" s="12748"/>
      <c r="E181" s="12712">
        <f>'WS-MOOE 2017'!BF54</f>
        <v>0</v>
      </c>
      <c r="F181" s="12993"/>
      <c r="G181" s="12712">
        <f>'WS-MOOE ACTUAL JUNE 2018'!AE55</f>
        <v>0</v>
      </c>
      <c r="H181" s="12993"/>
      <c r="I181" s="12712">
        <f>K181-G181</f>
        <v>0</v>
      </c>
      <c r="J181" s="12993"/>
      <c r="K181" s="13017">
        <v>0</v>
      </c>
      <c r="L181" s="13018">
        <f>'lbr 1b'!C85</f>
        <v>0</v>
      </c>
      <c r="M181" s="12859"/>
      <c r="N181" s="12918"/>
      <c r="O181" s="12918"/>
      <c r="P181" s="12919"/>
      <c r="Q181" s="12739"/>
    </row>
    <row r="182" spans="1:17" s="12751" customFormat="1">
      <c r="A182" s="13020"/>
      <c r="B182" s="13094" t="s">
        <v>728</v>
      </c>
      <c r="C182" s="13021"/>
      <c r="D182" s="12748"/>
      <c r="E182" s="12712">
        <f>'WS-MOOE 2017'!BG54</f>
        <v>166206.20000000001</v>
      </c>
      <c r="F182" s="12993"/>
      <c r="G182" s="12712">
        <f>'WS-MOOE ACTUAL JUNE 2018'!AY55</f>
        <v>180228</v>
      </c>
      <c r="H182" s="12993"/>
      <c r="I182" s="12712">
        <f>K182-G182</f>
        <v>154372</v>
      </c>
      <c r="J182" s="12993"/>
      <c r="K182" s="13017">
        <v>334600</v>
      </c>
      <c r="L182" s="13018">
        <f>'lbr 1b'!C92</f>
        <v>339000</v>
      </c>
      <c r="M182" s="12859"/>
      <c r="N182" s="12918"/>
      <c r="O182" s="12918"/>
      <c r="P182" s="12919"/>
      <c r="Q182" s="12739"/>
    </row>
    <row r="183" spans="1:17" s="12751" customFormat="1">
      <c r="A183" s="13020"/>
      <c r="B183" s="13094" t="s">
        <v>608</v>
      </c>
      <c r="C183" s="13021"/>
      <c r="D183" s="12748"/>
      <c r="E183" s="12712">
        <f>'WS-MOOE 2017'!BH54</f>
        <v>381006.16000000003</v>
      </c>
      <c r="F183" s="12993"/>
      <c r="G183" s="12712">
        <f>'WS-MOOE ACTUAL JUNE 2018'!AZ55</f>
        <v>241601.25</v>
      </c>
      <c r="H183" s="12993"/>
      <c r="I183" s="12712">
        <f>K183-G183</f>
        <v>461998.75</v>
      </c>
      <c r="J183" s="12993"/>
      <c r="K183" s="13017">
        <v>703600</v>
      </c>
      <c r="L183" s="13018">
        <f>'lbr 1b'!C93</f>
        <v>733750</v>
      </c>
      <c r="M183" s="12859"/>
      <c r="N183" s="12918"/>
      <c r="O183" s="12918"/>
      <c r="P183" s="12919"/>
      <c r="Q183" s="12739"/>
    </row>
    <row r="184" spans="1:17" s="12751" customFormat="1">
      <c r="A184" s="13020"/>
      <c r="B184" s="13094" t="s">
        <v>617</v>
      </c>
      <c r="C184" s="13021"/>
      <c r="D184" s="12748"/>
      <c r="E184" s="12712">
        <f>'WS-MOOE 2017'!BN54</f>
        <v>2215237.3199999998</v>
      </c>
      <c r="F184" s="12993"/>
      <c r="G184" s="12712">
        <f>'WS-MOOE ACTUAL JUNE 2018'!BA55</f>
        <v>1413107.76</v>
      </c>
      <c r="H184" s="12993"/>
      <c r="I184" s="12712">
        <f>K184-G184</f>
        <v>1411892.24</v>
      </c>
      <c r="J184" s="12993"/>
      <c r="K184" s="13017">
        <v>2825000</v>
      </c>
      <c r="L184" s="13018">
        <f>'lbr 1b'!C94</f>
        <v>2825000</v>
      </c>
      <c r="M184" s="12859"/>
      <c r="N184" s="12918"/>
      <c r="O184" s="12918"/>
      <c r="P184" s="12919"/>
      <c r="Q184" s="12739"/>
    </row>
    <row r="185" spans="1:17" s="12751" customFormat="1" ht="14.4" thickBot="1">
      <c r="A185" s="13020"/>
      <c r="B185" s="13094" t="s">
        <v>729</v>
      </c>
      <c r="C185" s="13021"/>
      <c r="D185" s="12748"/>
      <c r="E185" s="12712">
        <f>'WS-MOOE 2017'!BO54+'WS-MOOE 2017'!BP54+'WS-MOOE 2017'!BQ54+'WS-MOOE 2017'!AG54+'WS-MOOE 2017'!BT54+'WS-MOOE 2017'!BU54+'WS-MOOE 2017'!BX54+'WS-MOOE 2017'!BY54+'WS-MOOE 2017'!BZ54+'WS-MOOE 2017'!CD54+'WS-MOOE 2017'!CE54+'WS-MOOE 2017'!CF54</f>
        <v>9249035.5700000003</v>
      </c>
      <c r="F185" s="12993"/>
      <c r="G185" s="12712">
        <f>SUM('WS-MOOE ACTUAL JUNE 2018'!BI55:BX55)</f>
        <v>2376282.2399999998</v>
      </c>
      <c r="H185" s="12993"/>
      <c r="I185" s="12712">
        <f>K185-G185</f>
        <v>23869736.760000002</v>
      </c>
      <c r="J185" s="12993"/>
      <c r="K185" s="13017">
        <v>26246019</v>
      </c>
      <c r="L185" s="13018">
        <f>'lbr 1b'!C108</f>
        <v>27391385</v>
      </c>
      <c r="M185" s="12859"/>
      <c r="N185" s="12918"/>
      <c r="O185" s="12918"/>
      <c r="P185" s="12919"/>
      <c r="Q185" s="12739"/>
    </row>
    <row r="186" spans="1:17" s="12751" customFormat="1" ht="1.5" customHeight="1">
      <c r="A186" s="13020"/>
      <c r="C186" s="12708"/>
      <c r="D186" s="13102"/>
      <c r="E186" s="13007"/>
      <c r="F186" s="13103"/>
      <c r="G186" s="13007"/>
      <c r="H186" s="13103"/>
      <c r="I186" s="13007"/>
      <c r="J186" s="13103"/>
      <c r="K186" s="13007"/>
      <c r="L186" s="13104"/>
      <c r="M186" s="12859"/>
      <c r="N186" s="12918">
        <v>52925529.639999986</v>
      </c>
      <c r="O186" s="12918"/>
      <c r="P186" s="12919"/>
      <c r="Q186" s="12739"/>
    </row>
    <row r="187" spans="1:17" s="12751" customFormat="1">
      <c r="A187" s="13105"/>
      <c r="B187" s="13053" t="s">
        <v>730</v>
      </c>
      <c r="C187" s="12708"/>
      <c r="D187" s="12764" t="s">
        <v>405</v>
      </c>
      <c r="E187" s="13106">
        <f>SUM(E170:E185,E127:E159)</f>
        <v>462449420.16000003</v>
      </c>
      <c r="F187" s="13107"/>
      <c r="G187" s="13108">
        <f>SUM(G170:G185,G127:G159)</f>
        <v>170403402.48999998</v>
      </c>
      <c r="H187" s="13107"/>
      <c r="I187" s="13106">
        <f>SUM(I170:I185,I127:I159)</f>
        <v>529659638.50999999</v>
      </c>
      <c r="J187" s="13107"/>
      <c r="K187" s="13108">
        <f>SUM(K170:K185,K127:K159)</f>
        <v>700063041</v>
      </c>
      <c r="L187" s="12974">
        <f>SUM(L170:L185,L127:L159)</f>
        <v>755106314</v>
      </c>
      <c r="M187" s="12859"/>
      <c r="N187" s="12918"/>
      <c r="O187" s="12918"/>
      <c r="P187" s="12919"/>
      <c r="Q187" s="12739"/>
    </row>
    <row r="188" spans="1:17" ht="1.5" customHeight="1" thickBot="1">
      <c r="A188" s="13020"/>
      <c r="B188" s="12751"/>
      <c r="C188" s="13109"/>
      <c r="D188" s="12800"/>
      <c r="E188" s="12803"/>
      <c r="F188" s="12975"/>
      <c r="G188" s="12803"/>
      <c r="H188" s="12975"/>
      <c r="I188" s="12803"/>
      <c r="J188" s="12975"/>
      <c r="K188" s="12803"/>
      <c r="L188" s="13110"/>
      <c r="M188" s="12859"/>
    </row>
    <row r="189" spans="1:17">
      <c r="A189" s="13020"/>
      <c r="B189" s="12751"/>
      <c r="C189" s="13109"/>
      <c r="D189" s="12748"/>
      <c r="E189" s="13007"/>
      <c r="F189" s="12993"/>
      <c r="G189" s="13007"/>
      <c r="H189" s="12993"/>
      <c r="I189" s="13007"/>
      <c r="J189" s="12993"/>
      <c r="K189" s="13007"/>
      <c r="L189" s="13018"/>
      <c r="M189" s="12859"/>
    </row>
    <row r="190" spans="1:17">
      <c r="A190" s="13020"/>
      <c r="B190" s="12746" t="s">
        <v>52</v>
      </c>
      <c r="C190" s="12708"/>
      <c r="D190" s="13111" t="s">
        <v>405</v>
      </c>
      <c r="E190" s="12808"/>
      <c r="F190" s="13112" t="s">
        <v>405</v>
      </c>
      <c r="G190" s="12808"/>
      <c r="H190" s="13112" t="s">
        <v>405</v>
      </c>
      <c r="I190" s="12808"/>
      <c r="J190" s="13112" t="s">
        <v>405</v>
      </c>
      <c r="K190" s="12808"/>
      <c r="L190" s="13018"/>
      <c r="M190" s="12859"/>
    </row>
    <row r="191" spans="1:17">
      <c r="A191" s="13113"/>
      <c r="B191" s="12751" t="s">
        <v>9188</v>
      </c>
      <c r="C191" s="12781"/>
      <c r="D191" s="13114"/>
      <c r="E191" s="12843">
        <f>'WS-CO 2017'!B52</f>
        <v>0</v>
      </c>
      <c r="F191" s="13115"/>
      <c r="G191" s="12843"/>
      <c r="H191" s="13115"/>
      <c r="I191" s="12843">
        <f>K191-G191</f>
        <v>1500000</v>
      </c>
      <c r="J191" s="13115"/>
      <c r="K191" s="12843">
        <v>1500000</v>
      </c>
      <c r="L191" s="13037">
        <f>'2019- CO'!B56</f>
        <v>2210000</v>
      </c>
      <c r="M191" s="13038"/>
    </row>
    <row r="192" spans="1:17">
      <c r="A192" s="13044"/>
      <c r="B192" s="12751" t="s">
        <v>11696</v>
      </c>
      <c r="C192" s="13116"/>
      <c r="D192" s="13117"/>
      <c r="E192" s="13118"/>
      <c r="F192" s="13119"/>
      <c r="G192" s="13118"/>
      <c r="H192" s="13119"/>
      <c r="I192" s="13118"/>
      <c r="J192" s="13119"/>
      <c r="K192" s="13118"/>
      <c r="L192" s="13064">
        <f>'2019- CO'!C56</f>
        <v>135000</v>
      </c>
      <c r="M192" s="13065"/>
    </row>
    <row r="193" spans="1:22" hidden="1">
      <c r="A193" s="13022"/>
      <c r="B193" s="12751" t="s">
        <v>10646</v>
      </c>
      <c r="C193" s="12781"/>
      <c r="D193" s="13120"/>
      <c r="E193" s="13121"/>
      <c r="F193" s="13122"/>
      <c r="G193" s="13121"/>
      <c r="H193" s="13122"/>
      <c r="I193" s="12843">
        <f>K193-G193</f>
        <v>0</v>
      </c>
      <c r="J193" s="13122"/>
      <c r="K193" s="13121">
        <v>0</v>
      </c>
      <c r="L193" s="13026">
        <f>'2019- CO'!E56</f>
        <v>0</v>
      </c>
      <c r="M193" s="13027"/>
    </row>
    <row r="194" spans="1:22">
      <c r="A194" s="13031"/>
      <c r="B194" s="12751" t="s">
        <v>4822</v>
      </c>
      <c r="C194" s="13123"/>
      <c r="D194" s="13124"/>
      <c r="E194" s="12843"/>
      <c r="F194" s="13125"/>
      <c r="G194" s="12843"/>
      <c r="H194" s="13125"/>
      <c r="I194" s="12843">
        <f t="shared" ref="I194:I206" si="4">K194-G194</f>
        <v>1200000</v>
      </c>
      <c r="J194" s="13125"/>
      <c r="K194" s="12843">
        <v>1200000</v>
      </c>
      <c r="L194" s="13037">
        <f>'2019- CO'!F56</f>
        <v>9411800</v>
      </c>
      <c r="M194" s="13038"/>
    </row>
    <row r="195" spans="1:22">
      <c r="A195" s="13031"/>
      <c r="B195" s="12751" t="s">
        <v>176</v>
      </c>
      <c r="C195" s="13123"/>
      <c r="D195" s="13124"/>
      <c r="E195" s="12843">
        <f>'WS-CO 2017'!F52+'WS-CO 2017'!G52</f>
        <v>3740311</v>
      </c>
      <c r="F195" s="13125"/>
      <c r="G195" s="12843">
        <f>'WS-CO ACTUAL JUNE 2018'!E51</f>
        <v>21070</v>
      </c>
      <c r="H195" s="13125"/>
      <c r="I195" s="12843">
        <f t="shared" si="4"/>
        <v>14716430</v>
      </c>
      <c r="J195" s="13125"/>
      <c r="K195" s="12843">
        <v>14737500</v>
      </c>
      <c r="L195" s="13037">
        <f>'2019- CO'!G56</f>
        <v>5086122</v>
      </c>
      <c r="M195" s="13038"/>
    </row>
    <row r="196" spans="1:22">
      <c r="A196" s="13044"/>
      <c r="B196" s="12751" t="s">
        <v>11695</v>
      </c>
      <c r="C196" s="13116"/>
      <c r="D196" s="13117"/>
      <c r="E196" s="13118"/>
      <c r="F196" s="13119"/>
      <c r="G196" s="13118"/>
      <c r="H196" s="13119"/>
      <c r="I196" s="13118"/>
      <c r="J196" s="13119"/>
      <c r="K196" s="13118"/>
      <c r="L196" s="13064">
        <f>'2019- CO'!H56</f>
        <v>760000</v>
      </c>
      <c r="M196" s="13065"/>
    </row>
    <row r="197" spans="1:22">
      <c r="A197" s="13031"/>
      <c r="B197" s="12751" t="s">
        <v>9958</v>
      </c>
      <c r="C197" s="13123"/>
      <c r="D197" s="13124"/>
      <c r="E197" s="12843">
        <f>'WS-CO 2017'!K52</f>
        <v>1591417.25</v>
      </c>
      <c r="F197" s="13125"/>
      <c r="G197" s="12843">
        <f>'WS-CO ACTUAL JUNE 2018'!G51</f>
        <v>0</v>
      </c>
      <c r="H197" s="13125"/>
      <c r="I197" s="12843">
        <f>K197-G197</f>
        <v>3591000</v>
      </c>
      <c r="J197" s="13125"/>
      <c r="K197" s="12843">
        <v>3591000</v>
      </c>
      <c r="L197" s="13037">
        <f>'2019- CO'!I56</f>
        <v>4895248.5</v>
      </c>
      <c r="M197" s="13038"/>
    </row>
    <row r="198" spans="1:22">
      <c r="A198" s="13031"/>
      <c r="B198" s="12751" t="s">
        <v>11004</v>
      </c>
      <c r="C198" s="13123"/>
      <c r="D198" s="13124"/>
      <c r="E198" s="12843">
        <f>'WS-CO 2017'!H52</f>
        <v>2260857</v>
      </c>
      <c r="F198" s="13125"/>
      <c r="G198" s="12843">
        <f>'WS-CO ACTUAL JUNE 2018'!F51</f>
        <v>86000</v>
      </c>
      <c r="H198" s="13125"/>
      <c r="I198" s="12843">
        <f t="shared" si="4"/>
        <v>8876246</v>
      </c>
      <c r="J198" s="13125"/>
      <c r="K198" s="12843">
        <v>8962246</v>
      </c>
      <c r="L198" s="13037">
        <f>'2019- CO'!J56</f>
        <v>7643200</v>
      </c>
      <c r="M198" s="13038"/>
    </row>
    <row r="199" spans="1:22">
      <c r="A199" s="13031"/>
      <c r="B199" s="12751" t="s">
        <v>11005</v>
      </c>
      <c r="C199" s="13123"/>
      <c r="D199" s="13124"/>
      <c r="E199" s="12843">
        <f>'WS-CO 2017'!L52</f>
        <v>98000</v>
      </c>
      <c r="F199" s="13125"/>
      <c r="G199" s="12843">
        <f>'WS-CO ACTUAL JUNE 2018'!D51</f>
        <v>0</v>
      </c>
      <c r="H199" s="13125"/>
      <c r="I199" s="12843">
        <f t="shared" si="4"/>
        <v>80000</v>
      </c>
      <c r="J199" s="13125"/>
      <c r="K199" s="12843">
        <v>80000</v>
      </c>
      <c r="L199" s="13037">
        <f>'2019- CO'!L56</f>
        <v>50000</v>
      </c>
      <c r="M199" s="13038"/>
    </row>
    <row r="200" spans="1:22" hidden="1">
      <c r="A200" s="13044"/>
      <c r="B200" s="12751" t="s">
        <v>11694</v>
      </c>
      <c r="C200" s="13116"/>
      <c r="D200" s="13117"/>
      <c r="E200" s="13118"/>
      <c r="F200" s="13119"/>
      <c r="G200" s="13118"/>
      <c r="H200" s="13119"/>
      <c r="I200" s="13118"/>
      <c r="J200" s="13119"/>
      <c r="K200" s="13118"/>
      <c r="L200" s="13064">
        <f>'2019- CO'!K56</f>
        <v>0</v>
      </c>
      <c r="M200" s="13065"/>
    </row>
    <row r="201" spans="1:22">
      <c r="A201" s="13031"/>
      <c r="B201" s="12751" t="s">
        <v>9182</v>
      </c>
      <c r="C201" s="13123"/>
      <c r="D201" s="13124"/>
      <c r="E201" s="12843">
        <f>'WS-CO 2017'!N52</f>
        <v>0</v>
      </c>
      <c r="F201" s="13125"/>
      <c r="G201" s="12843"/>
      <c r="H201" s="13125"/>
      <c r="I201" s="12843">
        <f t="shared" si="4"/>
        <v>1670000</v>
      </c>
      <c r="J201" s="13125"/>
      <c r="K201" s="12843">
        <v>1670000</v>
      </c>
      <c r="L201" s="13037">
        <f>'2019- CO'!M56</f>
        <v>1201500</v>
      </c>
      <c r="M201" s="13038"/>
    </row>
    <row r="202" spans="1:22">
      <c r="A202" s="13044"/>
      <c r="B202" s="12751" t="s">
        <v>10626</v>
      </c>
      <c r="C202" s="13116"/>
      <c r="D202" s="13117"/>
      <c r="E202" s="13126"/>
      <c r="F202" s="13119"/>
      <c r="G202" s="13126"/>
      <c r="H202" s="13119"/>
      <c r="I202" s="12843">
        <f t="shared" si="4"/>
        <v>50000</v>
      </c>
      <c r="J202" s="13119"/>
      <c r="K202" s="13126">
        <v>50000</v>
      </c>
      <c r="L202" s="13064">
        <f>'2019- CO'!N56</f>
        <v>422000</v>
      </c>
      <c r="M202" s="13065"/>
    </row>
    <row r="203" spans="1:22">
      <c r="A203" s="13031"/>
      <c r="B203" s="12751" t="s">
        <v>9191</v>
      </c>
      <c r="C203" s="13123"/>
      <c r="D203" s="13124"/>
      <c r="E203" s="12843">
        <f>'WS-CO 2017'!I52</f>
        <v>1259490</v>
      </c>
      <c r="F203" s="13125"/>
      <c r="G203" s="12843">
        <f>'WS-CO ACTUAL JUNE 2018'!J51</f>
        <v>83285</v>
      </c>
      <c r="H203" s="13125"/>
      <c r="I203" s="12843">
        <f t="shared" si="4"/>
        <v>3398415</v>
      </c>
      <c r="J203" s="13125"/>
      <c r="K203" s="12843">
        <v>3481700</v>
      </c>
      <c r="L203" s="13037">
        <f>'2019- CO'!O56</f>
        <v>4774480</v>
      </c>
      <c r="M203" s="13038"/>
    </row>
    <row r="204" spans="1:22">
      <c r="A204" s="13031"/>
      <c r="B204" s="12751" t="s">
        <v>4813</v>
      </c>
      <c r="C204" s="13123"/>
      <c r="D204" s="13124"/>
      <c r="E204" s="12843">
        <f>'WS-CO 2017'!J52</f>
        <v>71780</v>
      </c>
      <c r="F204" s="13125"/>
      <c r="G204" s="12843"/>
      <c r="H204" s="13125"/>
      <c r="I204" s="12843">
        <f t="shared" si="4"/>
        <v>4970000</v>
      </c>
      <c r="J204" s="13125"/>
      <c r="K204" s="12843">
        <v>4970000</v>
      </c>
      <c r="L204" s="13037">
        <f>'2019- CO'!P56</f>
        <v>4330000</v>
      </c>
      <c r="M204" s="13038"/>
    </row>
    <row r="205" spans="1:22">
      <c r="A205" s="13044"/>
      <c r="B205" s="12751" t="s">
        <v>11198</v>
      </c>
      <c r="C205" s="13116"/>
      <c r="D205" s="13117"/>
      <c r="E205" s="13126">
        <f>'WS-CO 2017'!C52</f>
        <v>3385783.62</v>
      </c>
      <c r="F205" s="13119"/>
      <c r="G205" s="13126"/>
      <c r="H205" s="13119"/>
      <c r="I205" s="12843">
        <f t="shared" si="4"/>
        <v>250000</v>
      </c>
      <c r="J205" s="13119"/>
      <c r="K205" s="13126">
        <v>250000</v>
      </c>
      <c r="L205" s="13064">
        <f>'2019- CO'!Q56</f>
        <v>0</v>
      </c>
      <c r="M205" s="13065"/>
    </row>
    <row r="206" spans="1:22" ht="14.4" thickBot="1">
      <c r="A206" s="13113"/>
      <c r="B206" s="12751" t="s">
        <v>10598</v>
      </c>
      <c r="C206" s="12781"/>
      <c r="D206" s="13114"/>
      <c r="E206" s="12843"/>
      <c r="F206" s="13115"/>
      <c r="G206" s="12843"/>
      <c r="H206" s="13115"/>
      <c r="I206" s="12843">
        <f t="shared" si="4"/>
        <v>1300000</v>
      </c>
      <c r="J206" s="13115"/>
      <c r="K206" s="12843">
        <v>1300000</v>
      </c>
      <c r="L206" s="13026">
        <f>'2019- CO'!R56</f>
        <v>0</v>
      </c>
      <c r="M206" s="13027"/>
    </row>
    <row r="207" spans="1:22" s="12685" customFormat="1" ht="15.75" customHeight="1" thickBot="1">
      <c r="A207" s="13127"/>
      <c r="B207" s="13053" t="s">
        <v>10594</v>
      </c>
      <c r="C207" s="13128"/>
      <c r="D207" s="13129" t="s">
        <v>405</v>
      </c>
      <c r="E207" s="13130">
        <f>SUM(E191:E206)</f>
        <v>12407638.870000001</v>
      </c>
      <c r="F207" s="13129" t="s">
        <v>405</v>
      </c>
      <c r="G207" s="13130">
        <f>SUM(G191:G206)</f>
        <v>190355</v>
      </c>
      <c r="H207" s="13129" t="s">
        <v>405</v>
      </c>
      <c r="I207" s="13130">
        <f>SUM(I191:I206)</f>
        <v>41602091</v>
      </c>
      <c r="J207" s="13129" t="s">
        <v>405</v>
      </c>
      <c r="K207" s="13130">
        <f>SUM(K191:K206)</f>
        <v>41792446</v>
      </c>
      <c r="L207" s="13131">
        <f>SUM(L191:L206)</f>
        <v>40919350.5</v>
      </c>
      <c r="M207" s="13132"/>
      <c r="N207" s="12682"/>
      <c r="O207" s="12682"/>
      <c r="P207" s="12683"/>
      <c r="Q207" s="12684">
        <f>G207+I207</f>
        <v>41792446</v>
      </c>
      <c r="V207" s="12685">
        <f>E207+E187+E125</f>
        <v>1037341085.1600001</v>
      </c>
    </row>
    <row r="208" spans="1:22">
      <c r="A208" s="13031"/>
      <c r="B208" s="12746" t="s">
        <v>10593</v>
      </c>
      <c r="C208" s="13123"/>
      <c r="D208" s="13124"/>
      <c r="E208" s="12843"/>
      <c r="F208" s="13125"/>
      <c r="G208" s="12843"/>
      <c r="H208" s="13125"/>
      <c r="I208" s="12843"/>
      <c r="J208" s="13125"/>
      <c r="K208" s="12843"/>
      <c r="L208" s="13037"/>
      <c r="M208" s="13038"/>
    </row>
    <row r="209" spans="1:17">
      <c r="A209" s="13020"/>
      <c r="B209" s="13094" t="s">
        <v>10590</v>
      </c>
      <c r="C209" s="12708"/>
      <c r="D209" s="12748"/>
      <c r="E209" s="12808">
        <f>summary!T57+'nonoff '!E458+'nonoff '!E401+'nonoff '!E235+'nonoff '!E67-0.01</f>
        <v>227572686.90000001</v>
      </c>
      <c r="F209" s="12993"/>
      <c r="G209" s="12808"/>
      <c r="H209" s="12993"/>
      <c r="I209" s="12808">
        <f>K209-G209</f>
        <v>951336845</v>
      </c>
      <c r="J209" s="12993"/>
      <c r="K209" s="12808">
        <v>951336845</v>
      </c>
      <c r="L209" s="13018">
        <f>summary!P76+summary!M57</f>
        <v>379206127.5</v>
      </c>
      <c r="M209" s="12859"/>
    </row>
    <row r="210" spans="1:17" hidden="1">
      <c r="A210" s="13020"/>
      <c r="B210" s="13094" t="s">
        <v>10591</v>
      </c>
      <c r="C210" s="12708"/>
      <c r="D210" s="12748"/>
      <c r="E210" s="12808">
        <f>'nonoff '!E19</f>
        <v>0</v>
      </c>
      <c r="F210" s="12993"/>
      <c r="G210" s="12808"/>
      <c r="H210" s="12993"/>
      <c r="I210" s="12808">
        <f>K210-G210</f>
        <v>0</v>
      </c>
      <c r="J210" s="12993"/>
      <c r="K210" s="12808">
        <v>0</v>
      </c>
      <c r="L210" s="13018">
        <f>summary!J64</f>
        <v>0</v>
      </c>
      <c r="M210" s="12859"/>
    </row>
    <row r="211" spans="1:17">
      <c r="A211" s="13020"/>
      <c r="B211" s="13094" t="s">
        <v>10592</v>
      </c>
      <c r="C211" s="12708"/>
      <c r="D211" s="13034"/>
      <c r="E211" s="13133">
        <f>'nonoff '!E16</f>
        <v>87123525.909999996</v>
      </c>
      <c r="F211" s="13035"/>
      <c r="G211" s="13133"/>
      <c r="H211" s="13035"/>
      <c r="I211" s="13133">
        <f>K211-G211</f>
        <v>367608496.40000004</v>
      </c>
      <c r="J211" s="13035"/>
      <c r="K211" s="13133">
        <v>367608496.40000004</v>
      </c>
      <c r="L211" s="13037">
        <f>summary!J61</f>
        <v>404379576.20000005</v>
      </c>
      <c r="M211" s="12859"/>
    </row>
    <row r="212" spans="1:17">
      <c r="A212" s="13031"/>
      <c r="B212" s="13094" t="s">
        <v>10817</v>
      </c>
      <c r="C212" s="13123"/>
      <c r="D212" s="13034"/>
      <c r="E212" s="13133">
        <f>'nonoff '!E18</f>
        <v>45135896.700000003</v>
      </c>
      <c r="F212" s="13035"/>
      <c r="G212" s="13133"/>
      <c r="H212" s="13035"/>
      <c r="I212" s="13133">
        <f>K212-G212</f>
        <v>109717374.10000001</v>
      </c>
      <c r="J212" s="13035"/>
      <c r="K212" s="13133">
        <v>109717374.10000001</v>
      </c>
      <c r="L212" s="13037">
        <f>summary!J62</f>
        <v>120267144.05000001</v>
      </c>
      <c r="M212" s="13038"/>
    </row>
    <row r="213" spans="1:17">
      <c r="A213" s="13031"/>
      <c r="B213" s="13094" t="s">
        <v>3070</v>
      </c>
      <c r="C213" s="13123"/>
      <c r="D213" s="13034"/>
      <c r="E213" s="13133">
        <f>'nonoff '!E17</f>
        <v>22180000</v>
      </c>
      <c r="F213" s="13035"/>
      <c r="G213" s="13133"/>
      <c r="H213" s="13035"/>
      <c r="I213" s="13133">
        <f>K213-G213</f>
        <v>22180000</v>
      </c>
      <c r="J213" s="13035"/>
      <c r="K213" s="13133">
        <v>22180000</v>
      </c>
      <c r="L213" s="13037">
        <f>summary!J63</f>
        <v>22180000</v>
      </c>
      <c r="M213" s="13038"/>
    </row>
    <row r="214" spans="1:17">
      <c r="A214" s="13031"/>
      <c r="B214" s="13094"/>
      <c r="C214" s="13123"/>
      <c r="D214" s="13034"/>
      <c r="E214" s="13133"/>
      <c r="F214" s="13035"/>
      <c r="G214" s="13133"/>
      <c r="H214" s="13035"/>
      <c r="I214" s="13133"/>
      <c r="J214" s="13035"/>
      <c r="K214" s="13133"/>
      <c r="L214" s="13037"/>
      <c r="M214" s="13038"/>
    </row>
    <row r="215" spans="1:17" ht="14.4" thickBot="1">
      <c r="A215" s="13020"/>
      <c r="B215" s="12751"/>
      <c r="C215" s="12708"/>
      <c r="D215" s="13134"/>
      <c r="E215" s="13135"/>
      <c r="F215" s="13136"/>
      <c r="G215" s="13135"/>
      <c r="H215" s="13136"/>
      <c r="I215" s="13135"/>
      <c r="J215" s="13136"/>
      <c r="K215" s="13135"/>
      <c r="L215" s="13137"/>
      <c r="M215" s="12859"/>
    </row>
    <row r="216" spans="1:17" ht="14.4" thickBot="1">
      <c r="A216" s="13020"/>
      <c r="B216" s="12746" t="s">
        <v>408</v>
      </c>
      <c r="C216" s="12708"/>
      <c r="D216" s="13138" t="s">
        <v>405</v>
      </c>
      <c r="E216" s="13139">
        <f>SUM(E207:E213)+E125+E187</f>
        <v>1419353194.6700001</v>
      </c>
      <c r="F216" s="13140" t="s">
        <v>405</v>
      </c>
      <c r="G216" s="13139">
        <f>SUM(G207:G211)+G125+G187</f>
        <v>440550420.32999992</v>
      </c>
      <c r="H216" s="13140" t="s">
        <v>405</v>
      </c>
      <c r="I216" s="13139">
        <f>SUM(I207:I215)+I125+I187</f>
        <v>2495497061.6700001</v>
      </c>
      <c r="J216" s="13140" t="s">
        <v>405</v>
      </c>
      <c r="K216" s="13139">
        <f>SUM(K207:K214)+K125+K187</f>
        <v>2936047482</v>
      </c>
      <c r="L216" s="13141">
        <f>SUM(L209:L213)+L125+L187+L207</f>
        <v>2529992881</v>
      </c>
      <c r="M216" s="12859"/>
      <c r="Q216" s="12673">
        <f>G216+I216</f>
        <v>2936047482</v>
      </c>
    </row>
    <row r="217" spans="1:17">
      <c r="A217" s="13020"/>
      <c r="B217" s="12746"/>
      <c r="C217" s="12708"/>
      <c r="D217" s="12764"/>
      <c r="E217" s="12808"/>
      <c r="F217" s="12972"/>
      <c r="G217" s="12808"/>
      <c r="H217" s="12972"/>
      <c r="I217" s="12808"/>
      <c r="J217" s="12972"/>
      <c r="K217" s="12808"/>
      <c r="L217" s="13018"/>
      <c r="M217" s="12859"/>
    </row>
    <row r="218" spans="1:17">
      <c r="A218" s="13142"/>
      <c r="B218" s="13143" t="s">
        <v>12080</v>
      </c>
      <c r="C218" s="12708"/>
      <c r="D218" s="13144"/>
      <c r="E218" s="13145">
        <v>517615323.47000003</v>
      </c>
      <c r="F218" s="13146"/>
      <c r="G218" s="12840"/>
      <c r="H218" s="13146"/>
      <c r="I218" s="12840"/>
      <c r="J218" s="13146"/>
      <c r="K218" s="12840"/>
      <c r="L218" s="13018"/>
      <c r="M218" s="12859"/>
    </row>
    <row r="219" spans="1:17">
      <c r="A219" s="13142"/>
      <c r="B219" s="13147" t="s">
        <v>11475</v>
      </c>
      <c r="C219" s="12708"/>
      <c r="D219" s="13148"/>
      <c r="E219" s="13149">
        <v>70000000</v>
      </c>
      <c r="F219" s="13146"/>
      <c r="G219" s="12840"/>
      <c r="H219" s="13146"/>
      <c r="I219" s="12840"/>
      <c r="J219" s="13146"/>
      <c r="K219" s="12840"/>
      <c r="L219" s="13018"/>
      <c r="M219" s="12859"/>
      <c r="Q219" s="12673">
        <f>SUM(K209:K212)</f>
        <v>1428662715.5</v>
      </c>
    </row>
    <row r="220" spans="1:17">
      <c r="A220" s="13142"/>
      <c r="B220" s="13143" t="s">
        <v>407</v>
      </c>
      <c r="C220" s="12708"/>
      <c r="D220" s="13150" t="s">
        <v>405</v>
      </c>
      <c r="E220" s="13151">
        <f>E218+E219</f>
        <v>587615323.47000003</v>
      </c>
      <c r="F220" s="13152"/>
      <c r="G220" s="13153"/>
      <c r="H220" s="13152"/>
      <c r="I220" s="13153"/>
      <c r="J220" s="13152"/>
      <c r="K220" s="13153"/>
      <c r="L220" s="13154"/>
      <c r="M220" s="12859"/>
    </row>
    <row r="221" spans="1:17" ht="14.4" thickBot="1">
      <c r="A221" s="13142"/>
      <c r="B221" s="12746"/>
      <c r="C221" s="13155"/>
      <c r="D221" s="13156"/>
      <c r="E221" s="12840"/>
      <c r="F221" s="13146"/>
      <c r="G221" s="12840"/>
      <c r="H221" s="13146"/>
      <c r="I221" s="12840"/>
      <c r="J221" s="13146"/>
      <c r="K221" s="12840"/>
      <c r="L221" s="13018"/>
      <c r="M221" s="12859"/>
    </row>
    <row r="222" spans="1:17" ht="5.0999999999999996" customHeight="1">
      <c r="A222" s="13157"/>
      <c r="B222" s="13158"/>
      <c r="C222" s="13159"/>
      <c r="D222" s="13160"/>
      <c r="E222" s="13007"/>
      <c r="F222" s="13161"/>
      <c r="G222" s="13007"/>
      <c r="H222" s="13161"/>
      <c r="I222" s="13007"/>
      <c r="J222" s="13161"/>
      <c r="K222" s="13007"/>
      <c r="L222" s="13104"/>
      <c r="M222" s="13162"/>
    </row>
    <row r="223" spans="1:17">
      <c r="A223" s="13163" t="s">
        <v>266</v>
      </c>
      <c r="B223" s="12746"/>
      <c r="C223" s="12699"/>
      <c r="D223" s="12764" t="s">
        <v>405</v>
      </c>
      <c r="E223" s="13106">
        <f>E93-E216-E220</f>
        <v>110968936.43000007</v>
      </c>
      <c r="F223" s="12972" t="s">
        <v>405</v>
      </c>
      <c r="G223" s="13106">
        <f>G93-G216</f>
        <v>895635003.5</v>
      </c>
      <c r="H223" s="12972" t="s">
        <v>405</v>
      </c>
      <c r="I223" s="13106">
        <f>I93-I216</f>
        <v>-895635003.5</v>
      </c>
      <c r="J223" s="12972" t="s">
        <v>405</v>
      </c>
      <c r="K223" s="13106">
        <f>K93-K216</f>
        <v>0</v>
      </c>
      <c r="L223" s="12974">
        <f>L93-L216</f>
        <v>0</v>
      </c>
      <c r="M223" s="12859"/>
    </row>
    <row r="224" spans="1:17" ht="7.5" customHeight="1" thickBot="1">
      <c r="A224" s="13164"/>
      <c r="B224" s="13165"/>
      <c r="C224" s="13166"/>
      <c r="D224" s="13167"/>
      <c r="E224" s="13168"/>
      <c r="F224" s="13169"/>
      <c r="G224" s="13168"/>
      <c r="H224" s="13169"/>
      <c r="I224" s="13168"/>
      <c r="J224" s="13169"/>
      <c r="K224" s="13168"/>
      <c r="L224" s="13170"/>
      <c r="M224" s="13171"/>
    </row>
    <row r="225" spans="1:17" ht="13.5" customHeight="1" thickTop="1"/>
    <row r="226" spans="1:17" s="13174" customFormat="1" ht="13.5" hidden="1" customHeight="1">
      <c r="A226" s="13173"/>
      <c r="B226" s="14183" t="s">
        <v>10818</v>
      </c>
      <c r="C226" s="14183"/>
      <c r="D226" s="14183"/>
      <c r="E226" s="14183"/>
      <c r="F226" s="14183"/>
      <c r="G226" s="14183"/>
      <c r="H226" s="14183"/>
      <c r="I226" s="14183"/>
      <c r="J226" s="14183"/>
      <c r="K226" s="14183"/>
      <c r="L226" s="14183"/>
      <c r="M226" s="14183"/>
      <c r="P226" s="13175"/>
      <c r="Q226" s="13176"/>
    </row>
    <row r="227" spans="1:17" s="13174" customFormat="1" ht="13.5" hidden="1" customHeight="1">
      <c r="A227" s="13177"/>
      <c r="B227" s="14183"/>
      <c r="C227" s="14183"/>
      <c r="D227" s="14183"/>
      <c r="E227" s="14183"/>
      <c r="F227" s="14183"/>
      <c r="G227" s="14183"/>
      <c r="H227" s="14183"/>
      <c r="I227" s="14183"/>
      <c r="J227" s="14183"/>
      <c r="K227" s="14183"/>
      <c r="L227" s="14183"/>
      <c r="M227" s="14183"/>
      <c r="P227" s="13175"/>
      <c r="Q227" s="13176"/>
    </row>
    <row r="228" spans="1:17" s="13184" customFormat="1" ht="13.5" hidden="1" customHeight="1">
      <c r="A228" s="13177"/>
      <c r="B228" s="13178"/>
      <c r="C228" s="13179"/>
      <c r="D228" s="13173"/>
      <c r="E228" s="13180"/>
      <c r="F228" s="13181"/>
      <c r="G228" s="13182"/>
      <c r="H228" s="13183"/>
      <c r="I228" s="13182"/>
      <c r="J228" s="13181"/>
      <c r="K228" s="13182"/>
      <c r="P228" s="13185"/>
      <c r="Q228" s="13186"/>
    </row>
    <row r="229" spans="1:17" s="13184" customFormat="1" ht="13.5" hidden="1" customHeight="1">
      <c r="A229" s="13177"/>
      <c r="B229" s="13178"/>
      <c r="C229" s="13179"/>
      <c r="D229" s="13173"/>
      <c r="E229" s="13180"/>
      <c r="F229" s="13181"/>
      <c r="G229" s="13182"/>
      <c r="H229" s="13183"/>
      <c r="I229" s="13182"/>
      <c r="J229" s="13181"/>
      <c r="K229" s="13182"/>
      <c r="P229" s="13185"/>
      <c r="Q229" s="13186"/>
    </row>
    <row r="230" spans="1:17" s="13174" customFormat="1" ht="13.5" hidden="1" customHeight="1">
      <c r="A230" s="13177"/>
      <c r="B230" s="13178"/>
      <c r="C230" s="13179"/>
      <c r="D230" s="13173"/>
      <c r="E230" s="13180"/>
      <c r="F230" s="13181"/>
      <c r="G230" s="13182"/>
      <c r="H230" s="13183"/>
      <c r="I230" s="13182"/>
      <c r="J230" s="13181"/>
      <c r="K230" s="13182"/>
      <c r="P230" s="13175"/>
      <c r="Q230" s="13176"/>
    </row>
    <row r="231" spans="1:17" s="13187" customFormat="1" ht="13.5" hidden="1" customHeight="1">
      <c r="B231" s="14169" t="s">
        <v>10756</v>
      </c>
      <c r="C231" s="14169"/>
      <c r="D231" s="14169"/>
      <c r="E231" s="14169"/>
      <c r="F231" s="7765"/>
      <c r="G231" s="7765"/>
      <c r="H231" s="7765"/>
      <c r="I231" s="14167" t="s">
        <v>12059</v>
      </c>
      <c r="J231" s="14167"/>
      <c r="K231" s="14167"/>
      <c r="L231" s="13188"/>
      <c r="M231" s="13188"/>
      <c r="P231" s="13189"/>
      <c r="Q231" s="13190"/>
    </row>
    <row r="232" spans="1:17" s="13191" customFormat="1" ht="15" hidden="1" customHeight="1">
      <c r="B232" s="14165" t="s">
        <v>743</v>
      </c>
      <c r="C232" s="14165"/>
      <c r="D232" s="14165"/>
      <c r="E232" s="14165"/>
      <c r="F232" s="7767"/>
      <c r="G232" s="7767"/>
      <c r="H232" s="7767"/>
      <c r="I232" s="14168" t="s">
        <v>3486</v>
      </c>
      <c r="J232" s="14168"/>
      <c r="K232" s="14168"/>
      <c r="L232" s="13192"/>
      <c r="M232" s="13192"/>
      <c r="P232" s="13193"/>
      <c r="Q232" s="13194"/>
    </row>
    <row r="233" spans="1:17" s="13187" customFormat="1" ht="13.5" hidden="1" customHeight="1">
      <c r="A233" s="13195"/>
      <c r="B233" s="13196"/>
      <c r="C233" s="11017"/>
      <c r="D233" s="13196"/>
      <c r="E233" s="13195"/>
      <c r="F233" s="13197"/>
      <c r="H233" s="13196"/>
      <c r="I233" s="13198"/>
      <c r="J233" s="13197"/>
      <c r="K233" s="13198"/>
      <c r="P233" s="13189"/>
      <c r="Q233" s="13190"/>
    </row>
    <row r="234" spans="1:17" s="13187" customFormat="1" ht="13.5" hidden="1" customHeight="1">
      <c r="A234" s="13195"/>
      <c r="B234" s="13196"/>
      <c r="C234" s="11017"/>
      <c r="D234" s="13196"/>
      <c r="E234" s="13195"/>
      <c r="F234" s="13197"/>
      <c r="H234" s="13196"/>
      <c r="I234" s="13198"/>
      <c r="J234" s="13197"/>
      <c r="K234" s="13198"/>
      <c r="P234" s="13189"/>
      <c r="Q234" s="13190"/>
    </row>
    <row r="235" spans="1:17" s="13187" customFormat="1" ht="13.5" hidden="1" customHeight="1">
      <c r="A235" s="13199"/>
      <c r="C235" s="13200"/>
      <c r="D235" s="13201"/>
      <c r="E235" s="13202"/>
      <c r="F235" s="13202"/>
      <c r="G235" s="13202"/>
      <c r="H235" s="13202"/>
      <c r="J235" s="13202"/>
      <c r="K235" s="13202"/>
      <c r="L235" s="13202"/>
      <c r="M235" s="13202"/>
      <c r="P235" s="13189"/>
      <c r="Q235" s="13190"/>
    </row>
    <row r="236" spans="1:17" s="13209" customFormat="1" ht="13.5" hidden="1" customHeight="1">
      <c r="A236" s="13203"/>
      <c r="B236" s="14166" t="s">
        <v>12081</v>
      </c>
      <c r="C236" s="14166"/>
      <c r="D236" s="14166"/>
      <c r="E236" s="14166"/>
      <c r="F236" s="13204"/>
      <c r="G236" s="13204"/>
      <c r="H236" s="13204"/>
      <c r="I236" s="14169" t="s">
        <v>9488</v>
      </c>
      <c r="J236" s="14169"/>
      <c r="K236" s="14169"/>
      <c r="L236" s="13205"/>
      <c r="M236" s="13205"/>
      <c r="N236" s="13206"/>
      <c r="O236" s="13206"/>
      <c r="P236" s="13207"/>
      <c r="Q236" s="13208"/>
    </row>
    <row r="237" spans="1:17" s="13187" customFormat="1" ht="13.5" hidden="1" customHeight="1">
      <c r="A237" s="13203"/>
      <c r="B237" s="14179" t="s">
        <v>12082</v>
      </c>
      <c r="C237" s="14179"/>
      <c r="D237" s="14179"/>
      <c r="E237" s="14179"/>
      <c r="F237" s="13210"/>
      <c r="G237" s="13203"/>
      <c r="H237" s="13211"/>
      <c r="I237" s="14165" t="s">
        <v>747</v>
      </c>
      <c r="J237" s="14165"/>
      <c r="K237" s="14165"/>
      <c r="P237" s="13189"/>
      <c r="Q237" s="13190"/>
    </row>
    <row r="238" spans="1:17" s="13187" customFormat="1" ht="13.5" hidden="1" customHeight="1">
      <c r="A238" s="13203"/>
      <c r="B238" s="13229"/>
      <c r="C238" s="11017"/>
      <c r="D238" s="13196"/>
      <c r="E238" s="13203"/>
      <c r="F238" s="13210"/>
      <c r="G238" s="13203"/>
      <c r="H238" s="13211"/>
      <c r="I238" s="13203"/>
      <c r="J238" s="13210"/>
      <c r="K238" s="13203"/>
      <c r="P238" s="13189"/>
      <c r="Q238" s="13190"/>
    </row>
    <row r="239" spans="1:17" s="13187" customFormat="1" ht="13.5" hidden="1" customHeight="1">
      <c r="A239" s="13203"/>
      <c r="B239" s="13229"/>
      <c r="C239" s="11017"/>
      <c r="D239" s="13196"/>
      <c r="E239" s="13203"/>
      <c r="F239" s="13210"/>
      <c r="G239" s="13203"/>
      <c r="H239" s="13211"/>
      <c r="I239" s="13203"/>
      <c r="J239" s="13210"/>
      <c r="K239" s="13203"/>
      <c r="P239" s="13189"/>
      <c r="Q239" s="13190"/>
    </row>
    <row r="240" spans="1:17" s="13187" customFormat="1" ht="13.5" hidden="1" customHeight="1">
      <c r="A240" s="13203"/>
      <c r="B240" s="13229"/>
      <c r="C240" s="11017"/>
      <c r="D240" s="13196"/>
      <c r="E240" s="13203"/>
      <c r="F240" s="13210"/>
      <c r="G240" s="13203"/>
      <c r="H240" s="13211"/>
      <c r="I240" s="13203"/>
      <c r="J240" s="13210"/>
      <c r="K240" s="13203"/>
      <c r="P240" s="13189"/>
      <c r="Q240" s="13190"/>
    </row>
    <row r="241" spans="1:17" s="13209" customFormat="1" ht="13.5" hidden="1" customHeight="1">
      <c r="A241" s="13202"/>
      <c r="B241" s="14154" t="s">
        <v>10471</v>
      </c>
      <c r="C241" s="14154"/>
      <c r="D241" s="14154"/>
      <c r="E241" s="14154"/>
      <c r="F241" s="13202"/>
      <c r="G241" s="13202"/>
      <c r="H241" s="14154" t="s">
        <v>9161</v>
      </c>
      <c r="I241" s="14154"/>
      <c r="J241" s="14154"/>
      <c r="K241" s="14154"/>
      <c r="L241" s="13202"/>
      <c r="M241" s="13202"/>
      <c r="N241" s="13206"/>
      <c r="O241" s="13206"/>
      <c r="P241" s="13207"/>
      <c r="Q241" s="13208"/>
    </row>
    <row r="242" spans="1:17" s="13209" customFormat="1" ht="13.5" hidden="1" customHeight="1">
      <c r="A242" s="13204"/>
      <c r="B242" s="14153" t="s">
        <v>749</v>
      </c>
      <c r="C242" s="14153"/>
      <c r="D242" s="14153"/>
      <c r="E242" s="14153"/>
      <c r="F242" s="13204"/>
      <c r="G242" s="13204"/>
      <c r="H242" s="14153" t="s">
        <v>10451</v>
      </c>
      <c r="I242" s="14153"/>
      <c r="J242" s="14153"/>
      <c r="K242" s="14153"/>
      <c r="L242" s="13204"/>
      <c r="M242" s="13204"/>
      <c r="N242" s="13206"/>
      <c r="O242" s="13206"/>
      <c r="P242" s="13207"/>
      <c r="Q242" s="13208"/>
    </row>
    <row r="243" spans="1:17" s="13209" customFormat="1" ht="13.5" hidden="1" customHeight="1">
      <c r="A243" s="13203"/>
      <c r="B243" s="13203"/>
      <c r="C243" s="13227"/>
      <c r="D243" s="13210"/>
      <c r="E243" s="13203"/>
      <c r="F243" s="13210"/>
      <c r="G243" s="13203"/>
      <c r="H243" s="13210"/>
      <c r="I243" s="13203"/>
      <c r="J243" s="13210"/>
      <c r="K243" s="13203"/>
      <c r="L243" s="13228"/>
      <c r="M243" s="13187"/>
      <c r="N243" s="13206"/>
      <c r="O243" s="13206"/>
      <c r="P243" s="13207"/>
      <c r="Q243" s="13208"/>
    </row>
    <row r="244" spans="1:17" s="13209" customFormat="1" ht="13.5" hidden="1" customHeight="1">
      <c r="A244" s="13203"/>
      <c r="B244" s="13203"/>
      <c r="C244" s="13227"/>
      <c r="D244" s="13210"/>
      <c r="E244" s="13203"/>
      <c r="F244" s="13210"/>
      <c r="G244" s="13203"/>
      <c r="H244" s="13210"/>
      <c r="I244" s="13203"/>
      <c r="J244" s="13210"/>
      <c r="K244" s="13203"/>
      <c r="L244" s="13228"/>
      <c r="M244" s="13187"/>
      <c r="N244" s="13206"/>
      <c r="O244" s="13206"/>
      <c r="P244" s="13207"/>
      <c r="Q244" s="13208"/>
    </row>
    <row r="245" spans="1:17" s="13209" customFormat="1" ht="13.5" hidden="1" customHeight="1">
      <c r="A245" s="13203"/>
      <c r="C245" s="13200"/>
      <c r="D245" s="13227" t="s">
        <v>3485</v>
      </c>
      <c r="F245" s="13210"/>
      <c r="G245" s="13203"/>
      <c r="H245" s="13210"/>
      <c r="I245" s="13203"/>
      <c r="J245" s="13210"/>
      <c r="K245" s="13203"/>
      <c r="L245" s="13228"/>
      <c r="M245" s="13187"/>
      <c r="N245" s="13206"/>
      <c r="O245" s="13206"/>
      <c r="P245" s="13207"/>
      <c r="Q245" s="13208"/>
    </row>
    <row r="246" spans="1:17" s="13209" customFormat="1" ht="13.5" hidden="1" customHeight="1">
      <c r="A246" s="13203"/>
      <c r="C246" s="13200"/>
      <c r="D246" s="13210"/>
      <c r="E246" s="13210"/>
      <c r="F246" s="13210"/>
      <c r="G246" s="13203"/>
      <c r="H246" s="13210"/>
      <c r="I246" s="13203"/>
      <c r="J246" s="13210"/>
      <c r="K246" s="13203"/>
      <c r="L246" s="13228"/>
      <c r="M246" s="13187"/>
      <c r="N246" s="13206"/>
      <c r="O246" s="13206"/>
      <c r="P246" s="13207"/>
      <c r="Q246" s="13208"/>
    </row>
    <row r="247" spans="1:17" s="13209" customFormat="1" ht="13.5" hidden="1" customHeight="1">
      <c r="A247" s="14154" t="s">
        <v>5182</v>
      </c>
      <c r="B247" s="14154"/>
      <c r="C247" s="14154"/>
      <c r="D247" s="14154"/>
      <c r="E247" s="14154"/>
      <c r="F247" s="14154"/>
      <c r="G247" s="14154"/>
      <c r="H247" s="14154"/>
      <c r="I247" s="14154"/>
      <c r="J247" s="14154"/>
      <c r="K247" s="14154"/>
      <c r="L247" s="14154"/>
      <c r="M247" s="14154"/>
      <c r="N247" s="13206"/>
      <c r="O247" s="13206"/>
      <c r="P247" s="13207"/>
      <c r="Q247" s="13208"/>
    </row>
    <row r="248" spans="1:17" s="13209" customFormat="1" ht="13.5" hidden="1" customHeight="1">
      <c r="A248" s="14153" t="s">
        <v>737</v>
      </c>
      <c r="B248" s="14153"/>
      <c r="C248" s="14153"/>
      <c r="D248" s="14153"/>
      <c r="E248" s="14153"/>
      <c r="F248" s="14153"/>
      <c r="G248" s="14153"/>
      <c r="H248" s="14153"/>
      <c r="I248" s="14153"/>
      <c r="J248" s="14153"/>
      <c r="K248" s="14153"/>
      <c r="L248" s="14153"/>
      <c r="M248" s="14153"/>
      <c r="N248" s="13206"/>
      <c r="O248" s="13206"/>
      <c r="P248" s="13207"/>
      <c r="Q248" s="13208"/>
    </row>
    <row r="249" spans="1:17" s="13216" customFormat="1" ht="13.5" hidden="1" customHeight="1">
      <c r="A249" s="13219"/>
      <c r="B249" s="13219"/>
      <c r="C249" s="13217"/>
      <c r="D249" s="13220"/>
      <c r="E249" s="13219"/>
      <c r="F249" s="13220"/>
      <c r="G249" s="13219"/>
      <c r="H249" s="13220"/>
      <c r="I249" s="13219"/>
      <c r="J249" s="13220"/>
      <c r="K249" s="13221"/>
      <c r="L249" s="13217"/>
      <c r="M249" s="13218"/>
      <c r="N249" s="13213"/>
      <c r="O249" s="13213"/>
      <c r="P249" s="13214"/>
      <c r="Q249" s="13215"/>
    </row>
    <row r="250" spans="1:17" s="12664" customFormat="1" ht="13.5" hidden="1" customHeight="1">
      <c r="A250" s="13178"/>
      <c r="B250" s="13178"/>
      <c r="C250" s="13222"/>
      <c r="D250" s="13212"/>
      <c r="E250" s="13178"/>
      <c r="F250" s="13212"/>
      <c r="G250" s="13178"/>
      <c r="H250" s="13212"/>
      <c r="I250" s="13178"/>
      <c r="J250" s="13212"/>
      <c r="K250" s="13223"/>
      <c r="L250" s="13222"/>
      <c r="M250" s="13174"/>
      <c r="N250" s="13223"/>
      <c r="O250" s="13223"/>
      <c r="P250" s="13224"/>
      <c r="Q250" s="13225"/>
    </row>
    <row r="251" spans="1:17" s="12664" customFormat="1" ht="13.5" hidden="1" customHeight="1">
      <c r="C251" s="13222"/>
      <c r="D251" s="13226"/>
      <c r="F251" s="13226"/>
      <c r="H251" s="13226"/>
      <c r="J251" s="13226"/>
      <c r="L251" s="13222"/>
      <c r="M251" s="13174"/>
      <c r="N251" s="13223"/>
      <c r="O251" s="13223"/>
      <c r="P251" s="13224"/>
      <c r="Q251" s="13225"/>
    </row>
    <row r="252" spans="1:17" ht="13.5" hidden="1" customHeight="1"/>
  </sheetData>
  <mergeCells count="42">
    <mergeCell ref="H241:K241"/>
    <mergeCell ref="H242:K242"/>
    <mergeCell ref="B237:E237"/>
    <mergeCell ref="A80:B80"/>
    <mergeCell ref="F86:K86"/>
    <mergeCell ref="B226:M227"/>
    <mergeCell ref="B231:E231"/>
    <mergeCell ref="F167:K167"/>
    <mergeCell ref="L167:L168"/>
    <mergeCell ref="L86:L87"/>
    <mergeCell ref="A87:B87"/>
    <mergeCell ref="F87:G87"/>
    <mergeCell ref="H87:I87"/>
    <mergeCell ref="J87:K88"/>
    <mergeCell ref="F88:G88"/>
    <mergeCell ref="H88:I88"/>
    <mergeCell ref="A3:M3"/>
    <mergeCell ref="A4:M4"/>
    <mergeCell ref="F6:K6"/>
    <mergeCell ref="L6:L7"/>
    <mergeCell ref="A7:B7"/>
    <mergeCell ref="F7:G7"/>
    <mergeCell ref="H7:I7"/>
    <mergeCell ref="J7:K8"/>
    <mergeCell ref="F8:G8"/>
    <mergeCell ref="H8:I8"/>
    <mergeCell ref="A248:M248"/>
    <mergeCell ref="A247:M247"/>
    <mergeCell ref="A168:B168"/>
    <mergeCell ref="F168:G168"/>
    <mergeCell ref="H168:I168"/>
    <mergeCell ref="J168:K169"/>
    <mergeCell ref="F169:G169"/>
    <mergeCell ref="H169:I169"/>
    <mergeCell ref="B232:E232"/>
    <mergeCell ref="B236:E236"/>
    <mergeCell ref="I231:K231"/>
    <mergeCell ref="I232:K232"/>
    <mergeCell ref="I236:K236"/>
    <mergeCell ref="I237:K237"/>
    <mergeCell ref="B241:E241"/>
    <mergeCell ref="B242:E242"/>
  </mergeCells>
  <printOptions horizontalCentered="1"/>
  <pageMargins left="0.25" right="0.25" top="0.5" bottom="0.25" header="0.25" footer="0.25"/>
  <pageSetup paperSize="119" scale="85" firstPageNumber="401" orientation="portrait" useFirstPageNumber="1" r:id="rId1"/>
  <headerFooter alignWithMargins="0"/>
  <drawing r:id="rId2"/>
</worksheet>
</file>

<file path=xl/worksheets/sheet220.xml><?xml version="1.0" encoding="utf-8"?>
<worksheet xmlns="http://schemas.openxmlformats.org/spreadsheetml/2006/main" xmlns:r="http://schemas.openxmlformats.org/officeDocument/2006/relationships">
  <sheetPr codeName="Sheet37">
    <tabColor rgb="FFFF0000"/>
  </sheetPr>
  <dimension ref="A1:T62"/>
  <sheetViews>
    <sheetView workbookViewId="0">
      <selection activeCell="C2" sqref="C2"/>
    </sheetView>
  </sheetViews>
  <sheetFormatPr defaultColWidth="14" defaultRowHeight="13.8"/>
  <cols>
    <col min="1" max="1" width="9" style="13713" customWidth="1"/>
    <col min="2" max="3" width="11.5546875" style="13713" customWidth="1"/>
    <col min="4" max="4" width="11.88671875" style="13713" hidden="1" customWidth="1"/>
    <col min="5" max="5" width="11" style="13713" hidden="1" customWidth="1"/>
    <col min="6" max="10" width="12.33203125" style="13713" customWidth="1"/>
    <col min="11" max="11" width="13.88671875" style="13713" hidden="1" customWidth="1"/>
    <col min="12" max="16" width="11.44140625" style="13713" customWidth="1"/>
    <col min="17" max="17" width="11.88671875" style="13713" hidden="1" customWidth="1"/>
    <col min="18" max="19" width="12.33203125" style="13713" customWidth="1"/>
    <col min="20" max="20" width="11.5546875" style="13713" hidden="1" customWidth="1"/>
    <col min="21" max="16384" width="14" style="13713"/>
  </cols>
  <sheetData>
    <row r="1" spans="1:20" s="13709" customFormat="1" ht="12" customHeight="1">
      <c r="G1" s="13709" t="s">
        <v>11702</v>
      </c>
    </row>
    <row r="2" spans="1:20" s="13764" customFormat="1" ht="53.25" customHeight="1" thickBot="1">
      <c r="A2" s="13762" t="s">
        <v>638</v>
      </c>
      <c r="B2" s="13762" t="s">
        <v>9188</v>
      </c>
      <c r="C2" s="13763" t="s">
        <v>10948</v>
      </c>
      <c r="D2" s="13762"/>
      <c r="E2" s="13762" t="s">
        <v>10646</v>
      </c>
      <c r="F2" s="13762" t="s">
        <v>4822</v>
      </c>
      <c r="G2" s="13762" t="s">
        <v>4818</v>
      </c>
      <c r="H2" s="13762" t="s">
        <v>11685</v>
      </c>
      <c r="I2" s="13762" t="s">
        <v>9958</v>
      </c>
      <c r="J2" s="13762" t="s">
        <v>4819</v>
      </c>
      <c r="K2" s="13762" t="s">
        <v>11692</v>
      </c>
      <c r="L2" s="13762" t="s">
        <v>12222</v>
      </c>
      <c r="M2" s="13762" t="s">
        <v>9182</v>
      </c>
      <c r="N2" s="13762" t="s">
        <v>10626</v>
      </c>
      <c r="O2" s="13762" t="s">
        <v>4821</v>
      </c>
      <c r="P2" s="13762" t="s">
        <v>4813</v>
      </c>
      <c r="Q2" s="13762" t="s">
        <v>11198</v>
      </c>
      <c r="R2" s="13762" t="s">
        <v>10598</v>
      </c>
      <c r="S2" s="13762" t="s">
        <v>661</v>
      </c>
      <c r="T2" s="13762" t="s">
        <v>638</v>
      </c>
    </row>
    <row r="3" spans="1:20" ht="12.75" customHeight="1" thickTop="1" thickBot="1">
      <c r="A3" s="13710"/>
      <c r="B3" s="13711"/>
      <c r="C3" s="13711"/>
      <c r="D3" s="13711"/>
      <c r="E3" s="13711"/>
      <c r="F3" s="13711"/>
      <c r="G3" s="13711"/>
      <c r="H3" s="13711"/>
      <c r="I3" s="13711"/>
      <c r="J3" s="13711"/>
      <c r="K3" s="13711"/>
      <c r="L3" s="13711"/>
      <c r="M3" s="13711"/>
      <c r="N3" s="13711"/>
      <c r="O3" s="13711"/>
      <c r="P3" s="13711"/>
      <c r="Q3" s="13711"/>
      <c r="R3" s="13711"/>
      <c r="S3" s="13712"/>
      <c r="T3" s="13710"/>
    </row>
    <row r="4" spans="1:20" ht="3" customHeight="1">
      <c r="A4" s="13714"/>
      <c r="B4" s="13715"/>
      <c r="C4" s="13715"/>
      <c r="D4" s="13715"/>
      <c r="E4" s="13716"/>
      <c r="F4" s="13715"/>
      <c r="G4" s="13715"/>
      <c r="H4" s="13717"/>
      <c r="I4" s="13715"/>
      <c r="J4" s="13715"/>
      <c r="K4" s="13717"/>
      <c r="L4" s="13716"/>
      <c r="M4" s="13715"/>
      <c r="N4" s="13717"/>
      <c r="O4" s="13715"/>
      <c r="P4" s="13715"/>
      <c r="Q4" s="13718"/>
      <c r="R4" s="13719"/>
      <c r="S4" s="13720"/>
      <c r="T4" s="13714"/>
    </row>
    <row r="5" spans="1:20" s="13725" customFormat="1">
      <c r="A5" s="13721" t="s">
        <v>568</v>
      </c>
      <c r="B5" s="13722"/>
      <c r="C5" s="13722"/>
      <c r="D5" s="13722"/>
      <c r="E5" s="13722"/>
      <c r="F5" s="13722">
        <f>'lbpf 3-GO'!K118</f>
        <v>0</v>
      </c>
      <c r="G5" s="13722">
        <f>'lbpf 3-GO'!K112</f>
        <v>250000</v>
      </c>
      <c r="H5" s="13722"/>
      <c r="I5" s="13722">
        <f>'lbpf 3-GO'!K113</f>
        <v>150000</v>
      </c>
      <c r="J5" s="13722">
        <f>'lbpf 3-GO'!K114</f>
        <v>500000</v>
      </c>
      <c r="K5" s="13722"/>
      <c r="L5" s="13722"/>
      <c r="M5" s="13722"/>
      <c r="N5" s="13722"/>
      <c r="O5" s="13722">
        <f>'lbpf 3-GO'!K115+'lbpf 3-GO'!K116</f>
        <v>0</v>
      </c>
      <c r="P5" s="13722">
        <f>'lbpf 3-GO'!K117</f>
        <v>0</v>
      </c>
      <c r="Q5" s="13723"/>
      <c r="R5" s="13723"/>
      <c r="S5" s="13724">
        <f>SUM(B5:R5)</f>
        <v>900000</v>
      </c>
      <c r="T5" s="13721" t="s">
        <v>568</v>
      </c>
    </row>
    <row r="6" spans="1:20" s="13725" customFormat="1">
      <c r="A6" s="13721" t="s">
        <v>9134</v>
      </c>
      <c r="B6" s="13722"/>
      <c r="C6" s="13722"/>
      <c r="D6" s="13722"/>
      <c r="E6" s="13722"/>
      <c r="F6" s="13722"/>
      <c r="G6" s="13722">
        <f>'lbpf 3-PADMO'!J103</f>
        <v>215000</v>
      </c>
      <c r="H6" s="13722"/>
      <c r="I6" s="13722">
        <f>'lbpf 3-PADMO'!J112</f>
        <v>0</v>
      </c>
      <c r="J6" s="13722">
        <f>'lbpf 3-PADMO'!J133</f>
        <v>110000</v>
      </c>
      <c r="K6" s="13722"/>
      <c r="L6" s="13722"/>
      <c r="M6" s="13722"/>
      <c r="N6" s="13722"/>
      <c r="O6" s="13722"/>
      <c r="P6" s="13722"/>
      <c r="Q6" s="13723"/>
      <c r="R6" s="13723"/>
      <c r="S6" s="13724">
        <f>SUM(B6:R6)</f>
        <v>325000</v>
      </c>
      <c r="T6" s="13721" t="s">
        <v>9134</v>
      </c>
    </row>
    <row r="7" spans="1:20" s="13725" customFormat="1">
      <c r="A7" s="13721" t="s">
        <v>1724</v>
      </c>
      <c r="B7" s="13722"/>
      <c r="C7" s="13722"/>
      <c r="D7" s="13722"/>
      <c r="E7" s="13722"/>
      <c r="F7" s="13722"/>
      <c r="G7" s="13722">
        <f>'lbpf 3-BICTU'!K61</f>
        <v>90000</v>
      </c>
      <c r="H7" s="13722"/>
      <c r="I7" s="13722"/>
      <c r="J7" s="13722">
        <f>'lbpf 3-BICTU'!K62</f>
        <v>400000</v>
      </c>
      <c r="K7" s="13722"/>
      <c r="L7" s="13722"/>
      <c r="M7" s="13722"/>
      <c r="N7" s="13722"/>
      <c r="O7" s="13722"/>
      <c r="P7" s="13722">
        <f>'lbpf 3-BICTU'!K63</f>
        <v>0</v>
      </c>
      <c r="Q7" s="13723"/>
      <c r="R7" s="13723"/>
      <c r="S7" s="13724">
        <f>SUM(B7:R7)</f>
        <v>490000</v>
      </c>
      <c r="T7" s="13721" t="s">
        <v>1724</v>
      </c>
    </row>
    <row r="8" spans="1:20" s="13725" customFormat="1">
      <c r="A8" s="13721" t="s">
        <v>10317</v>
      </c>
      <c r="B8" s="13722"/>
      <c r="C8" s="13722"/>
      <c r="D8" s="13722"/>
      <c r="E8" s="13722"/>
      <c r="F8" s="13722"/>
      <c r="G8" s="13722">
        <f>'lbpf 3-EDCOM'!K63</f>
        <v>1000000</v>
      </c>
      <c r="H8" s="13722"/>
      <c r="I8" s="13722">
        <f>'lbpf 3-EDCOM'!K64</f>
        <v>100000</v>
      </c>
      <c r="J8" s="13722"/>
      <c r="K8" s="13722"/>
      <c r="L8" s="13722"/>
      <c r="M8" s="13722"/>
      <c r="N8" s="13722"/>
      <c r="O8" s="13722"/>
      <c r="P8" s="13722"/>
      <c r="Q8" s="13723"/>
      <c r="R8" s="13723"/>
      <c r="S8" s="13724">
        <f t="shared" ref="S8:S21" si="0">SUM(B8:P8)</f>
        <v>1100000</v>
      </c>
      <c r="T8" s="13721" t="s">
        <v>10317</v>
      </c>
    </row>
    <row r="9" spans="1:20" s="13725" customFormat="1">
      <c r="A9" s="13721" t="s">
        <v>10318</v>
      </c>
      <c r="B9" s="13722"/>
      <c r="C9" s="13722">
        <f>'lbpf 3-EDCENTER'!K67</f>
        <v>35000</v>
      </c>
      <c r="D9" s="13722"/>
      <c r="E9" s="13722"/>
      <c r="F9" s="13722"/>
      <c r="G9" s="13722">
        <f>'lbpf 3-EDCENTER'!K66</f>
        <v>0</v>
      </c>
      <c r="H9" s="13722"/>
      <c r="I9" s="13722"/>
      <c r="J9" s="13722"/>
      <c r="K9" s="13722"/>
      <c r="L9" s="13722"/>
      <c r="M9" s="13722"/>
      <c r="N9" s="13722"/>
      <c r="O9" s="13722"/>
      <c r="P9" s="13722"/>
      <c r="Q9" s="13723"/>
      <c r="R9" s="13723"/>
      <c r="S9" s="13724">
        <f t="shared" si="0"/>
        <v>35000</v>
      </c>
      <c r="T9" s="13721" t="s">
        <v>10318</v>
      </c>
    </row>
    <row r="10" spans="1:20" s="13725" customFormat="1">
      <c r="A10" s="13721" t="s">
        <v>11193</v>
      </c>
      <c r="B10" s="13722"/>
      <c r="C10" s="13722"/>
      <c r="D10" s="13722"/>
      <c r="E10" s="13722"/>
      <c r="F10" s="13722"/>
      <c r="G10" s="13722"/>
      <c r="H10" s="13722"/>
      <c r="I10" s="13722"/>
      <c r="J10" s="13722"/>
      <c r="K10" s="13722"/>
      <c r="L10" s="13722"/>
      <c r="M10" s="13722"/>
      <c r="N10" s="13722"/>
      <c r="O10" s="13722"/>
      <c r="P10" s="13722"/>
      <c r="Q10" s="13723"/>
      <c r="R10" s="13723"/>
      <c r="S10" s="13724">
        <f t="shared" si="0"/>
        <v>0</v>
      </c>
      <c r="T10" s="13721" t="s">
        <v>11193</v>
      </c>
    </row>
    <row r="11" spans="1:20" s="13725" customFormat="1">
      <c r="A11" s="13721" t="s">
        <v>678</v>
      </c>
      <c r="B11" s="13722"/>
      <c r="C11" s="13722"/>
      <c r="D11" s="13722"/>
      <c r="E11" s="13722"/>
      <c r="F11" s="13722"/>
      <c r="G11" s="13722">
        <f>'lbpf 3-PIAO'!J60</f>
        <v>10000</v>
      </c>
      <c r="H11" s="13722"/>
      <c r="I11" s="13722">
        <f>'lbpf 3-PIAO'!J59</f>
        <v>0</v>
      </c>
      <c r="J11" s="13722">
        <f>'lbpf 3-PIAO'!J61</f>
        <v>40000</v>
      </c>
      <c r="K11" s="13722"/>
      <c r="L11" s="13722"/>
      <c r="M11" s="13722"/>
      <c r="N11" s="13722"/>
      <c r="O11" s="13722"/>
      <c r="P11" s="13722"/>
      <c r="Q11" s="13723"/>
      <c r="R11" s="13723"/>
      <c r="S11" s="13724">
        <f t="shared" si="0"/>
        <v>50000</v>
      </c>
      <c r="T11" s="13721" t="s">
        <v>678</v>
      </c>
    </row>
    <row r="12" spans="1:20" s="13725" customFormat="1">
      <c r="A12" s="13721" t="s">
        <v>569</v>
      </c>
      <c r="B12" s="13722"/>
      <c r="C12" s="13722"/>
      <c r="D12" s="13722"/>
      <c r="E12" s="13722"/>
      <c r="F12" s="13722">
        <f>'lbpf 3-SP'!K161+'lbpf 3-SP'!K166</f>
        <v>3000000</v>
      </c>
      <c r="G12" s="13722">
        <f>'lbpf 3-SP'!K167</f>
        <v>615000</v>
      </c>
      <c r="H12" s="13722"/>
      <c r="I12" s="13722">
        <f>'lbpf 3-SP'!K176</f>
        <v>985000</v>
      </c>
      <c r="J12" s="13722">
        <f>'lbpf 3-SP'!K189</f>
        <v>2900000</v>
      </c>
      <c r="K12" s="13722"/>
      <c r="L12" s="13722"/>
      <c r="M12" s="13722"/>
      <c r="N12" s="13722"/>
      <c r="O12" s="13722">
        <f>'lbpf 3-SP'!K193</f>
        <v>0</v>
      </c>
      <c r="P12" s="13722">
        <f>'lbpf 3-SP'!K195</f>
        <v>0</v>
      </c>
      <c r="Q12" s="13723"/>
      <c r="R12" s="13723"/>
      <c r="S12" s="13724">
        <f t="shared" si="0"/>
        <v>7500000</v>
      </c>
      <c r="T12" s="13721" t="s">
        <v>569</v>
      </c>
    </row>
    <row r="13" spans="1:20" s="13725" customFormat="1">
      <c r="A13" s="13721" t="s">
        <v>4823</v>
      </c>
      <c r="B13" s="13722">
        <f>'lbpf 3-PHRMD'!J88</f>
        <v>0</v>
      </c>
      <c r="C13" s="13722"/>
      <c r="D13" s="13722"/>
      <c r="E13" s="13722"/>
      <c r="F13" s="13722">
        <f>'lbpf 3-PHRMD'!J84</f>
        <v>0</v>
      </c>
      <c r="G13" s="13722">
        <f>'lbpf 3-PHRMD'!J85</f>
        <v>150000</v>
      </c>
      <c r="H13" s="13722"/>
      <c r="I13" s="13722">
        <f>'lbpf 3-PHRMD'!J87</f>
        <v>0</v>
      </c>
      <c r="J13" s="13722">
        <f>'lbpf 3-PHRMD'!J91</f>
        <v>0</v>
      </c>
      <c r="K13" s="13722"/>
      <c r="L13" s="13722"/>
      <c r="M13" s="13722"/>
      <c r="N13" s="13722"/>
      <c r="O13" s="13722"/>
      <c r="P13" s="13722">
        <f>'lbpf 3-PHRMD'!J89</f>
        <v>0</v>
      </c>
      <c r="Q13" s="13723"/>
      <c r="R13" s="13723"/>
      <c r="S13" s="13724">
        <f t="shared" si="0"/>
        <v>150000</v>
      </c>
      <c r="T13" s="13721" t="s">
        <v>4823</v>
      </c>
    </row>
    <row r="14" spans="1:20" s="13725" customFormat="1">
      <c r="A14" s="13721" t="s">
        <v>571</v>
      </c>
      <c r="B14" s="13722"/>
      <c r="C14" s="13722"/>
      <c r="D14" s="13722"/>
      <c r="E14" s="13722"/>
      <c r="F14" s="13722"/>
      <c r="G14" s="13722">
        <f>'lbpf 3-PPDO'!J72</f>
        <v>0</v>
      </c>
      <c r="H14" s="13722"/>
      <c r="I14" s="13722">
        <f>'lbpf 3-PPDO'!J73</f>
        <v>0</v>
      </c>
      <c r="J14" s="13722">
        <f>'lbpf 3-PPDO'!J74</f>
        <v>251800</v>
      </c>
      <c r="K14" s="13722"/>
      <c r="L14" s="13722"/>
      <c r="M14" s="13722"/>
      <c r="N14" s="13722"/>
      <c r="O14" s="13722"/>
      <c r="P14" s="13722"/>
      <c r="Q14" s="13723"/>
      <c r="R14" s="13723"/>
      <c r="S14" s="13724">
        <f t="shared" si="0"/>
        <v>251800</v>
      </c>
      <c r="T14" s="13721" t="s">
        <v>571</v>
      </c>
    </row>
    <row r="15" spans="1:20" s="13725" customFormat="1">
      <c r="A15" s="13721" t="s">
        <v>572</v>
      </c>
      <c r="B15" s="13722"/>
      <c r="C15" s="13722"/>
      <c r="D15" s="13722"/>
      <c r="E15" s="13722"/>
      <c r="F15" s="13722">
        <f>'lbpf 3-GSO '!J89+'lbpf 3-GSO '!J90+'lbpf 3-GSO '!J91</f>
        <v>500000</v>
      </c>
      <c r="G15" s="13722">
        <f>'lbpf 3-GSO '!J92</f>
        <v>0</v>
      </c>
      <c r="H15" s="13722"/>
      <c r="I15" s="13722">
        <f>'lbpf 3-GSO '!J102+'lbpf 3-GSO '!J103+'lbpf 3-GSO '!J104</f>
        <v>1500000</v>
      </c>
      <c r="J15" s="13722">
        <f>'lbpf 3-GSO '!J93</f>
        <v>260000</v>
      </c>
      <c r="K15" s="13722"/>
      <c r="L15" s="13722"/>
      <c r="M15" s="13722"/>
      <c r="N15" s="13722"/>
      <c r="O15" s="13722">
        <f>'lbpf 3-GSO '!J95+'lbpf 3-GSO '!J96</f>
        <v>2300000</v>
      </c>
      <c r="P15" s="13722">
        <f>'lbpf 3-GSO '!J100</f>
        <v>600000</v>
      </c>
      <c r="Q15" s="13723"/>
      <c r="R15" s="13723"/>
      <c r="S15" s="13724">
        <f t="shared" si="0"/>
        <v>5160000</v>
      </c>
      <c r="T15" s="13721" t="s">
        <v>572</v>
      </c>
    </row>
    <row r="16" spans="1:20" s="13725" customFormat="1">
      <c r="A16" s="13721" t="s">
        <v>573</v>
      </c>
      <c r="B16" s="13722"/>
      <c r="C16" s="13722"/>
      <c r="D16" s="13722"/>
      <c r="E16" s="13722"/>
      <c r="F16" s="13722"/>
      <c r="G16" s="13722">
        <f>'lbpf 3-PBMO'!J84</f>
        <v>10000</v>
      </c>
      <c r="H16" s="13722"/>
      <c r="I16" s="13722">
        <f>'lbpf 3-PBMO'!J83+'lbpf 3-PBMO'!J85</f>
        <v>86436</v>
      </c>
      <c r="J16" s="13722"/>
      <c r="K16" s="13722"/>
      <c r="L16" s="13722"/>
      <c r="M16" s="13722"/>
      <c r="N16" s="13722"/>
      <c r="O16" s="13722"/>
      <c r="P16" s="13722"/>
      <c r="Q16" s="13723"/>
      <c r="R16" s="13723"/>
      <c r="S16" s="13724">
        <f t="shared" si="0"/>
        <v>96436</v>
      </c>
      <c r="T16" s="13721" t="s">
        <v>573</v>
      </c>
    </row>
    <row r="17" spans="1:20" s="13725" customFormat="1">
      <c r="A17" s="13721" t="s">
        <v>574</v>
      </c>
      <c r="B17" s="13722"/>
      <c r="C17" s="13722"/>
      <c r="D17" s="13722"/>
      <c r="E17" s="13722"/>
      <c r="F17" s="13722"/>
      <c r="G17" s="13722"/>
      <c r="H17" s="13722"/>
      <c r="I17" s="13722">
        <f>'lbpf 3-PAccO'!J86</f>
        <v>100000</v>
      </c>
      <c r="J17" s="13722">
        <f>'lbpf 3-PAccO'!J85</f>
        <v>100000</v>
      </c>
      <c r="K17" s="13722"/>
      <c r="L17" s="13722"/>
      <c r="M17" s="13722"/>
      <c r="N17" s="13722"/>
      <c r="O17" s="13722"/>
      <c r="P17" s="13722"/>
      <c r="Q17" s="13723"/>
      <c r="R17" s="13723"/>
      <c r="S17" s="13724">
        <f t="shared" si="0"/>
        <v>200000</v>
      </c>
      <c r="T17" s="13721" t="s">
        <v>574</v>
      </c>
    </row>
    <row r="18" spans="1:20" s="13725" customFormat="1">
      <c r="A18" s="13721" t="s">
        <v>575</v>
      </c>
      <c r="B18" s="13722"/>
      <c r="C18" s="13722"/>
      <c r="D18" s="13722"/>
      <c r="E18" s="13722"/>
      <c r="F18" s="13722">
        <f>'lbpf 3-PTO'!K88</f>
        <v>0</v>
      </c>
      <c r="G18" s="13722">
        <f>'lbpf 3-PTO'!J83</f>
        <v>22000</v>
      </c>
      <c r="H18" s="13722"/>
      <c r="I18" s="13722">
        <f>'lbpf 3-PTO'!J87</f>
        <v>200000</v>
      </c>
      <c r="J18" s="13722">
        <f>'lbpf 3-PTO'!J85</f>
        <v>300000</v>
      </c>
      <c r="K18" s="13722"/>
      <c r="L18" s="13722"/>
      <c r="M18" s="13722"/>
      <c r="N18" s="13722"/>
      <c r="O18" s="13722"/>
      <c r="P18" s="13722">
        <f>'lbpf 3-PTO'!J86</f>
        <v>1500000</v>
      </c>
      <c r="Q18" s="13723"/>
      <c r="R18" s="13723"/>
      <c r="S18" s="13724">
        <f t="shared" si="0"/>
        <v>2022000</v>
      </c>
      <c r="T18" s="13721" t="s">
        <v>575</v>
      </c>
    </row>
    <row r="19" spans="1:20" s="13725" customFormat="1">
      <c r="A19" s="13721" t="s">
        <v>576</v>
      </c>
      <c r="B19" s="13722"/>
      <c r="C19" s="13722"/>
      <c r="D19" s="13722"/>
      <c r="E19" s="13722"/>
      <c r="F19" s="13722"/>
      <c r="G19" s="13722">
        <f>'lbpf 3-PAssO'!J86+'lbpf 3-PAssO'!J87+'lbpf 3-PAssO'!J88+'lbpf 3-PAssO'!J89</f>
        <v>255000</v>
      </c>
      <c r="H19" s="13722"/>
      <c r="I19" s="13722">
        <f>'lbpf 3-PAssO'!J81</f>
        <v>0</v>
      </c>
      <c r="J19" s="13722">
        <f>'lbpf 3-PAssO'!J91+'lbpf 3-PAssO'!J92</f>
        <v>255000</v>
      </c>
      <c r="K19" s="13722"/>
      <c r="L19" s="13722"/>
      <c r="M19" s="13722"/>
      <c r="N19" s="13722"/>
      <c r="O19" s="13722"/>
      <c r="P19" s="13722"/>
      <c r="Q19" s="13723"/>
      <c r="R19" s="13723"/>
      <c r="S19" s="13724">
        <f t="shared" si="0"/>
        <v>510000</v>
      </c>
      <c r="T19" s="13721" t="s">
        <v>576</v>
      </c>
    </row>
    <row r="20" spans="1:20" s="13725" customFormat="1">
      <c r="A20" s="13721" t="s">
        <v>577</v>
      </c>
      <c r="B20" s="13722">
        <f>'lbpf 3-LEGAL'!J81</f>
        <v>0</v>
      </c>
      <c r="C20" s="13722"/>
      <c r="D20" s="13722"/>
      <c r="E20" s="13722"/>
      <c r="F20" s="13722"/>
      <c r="G20" s="13722">
        <f>'lbpf 3-LEGAL'!J85</f>
        <v>200000</v>
      </c>
      <c r="H20" s="13722"/>
      <c r="I20" s="13722">
        <f>'lbpf 3-LEGAL'!J83</f>
        <v>0</v>
      </c>
      <c r="J20" s="13722"/>
      <c r="K20" s="13722"/>
      <c r="L20" s="13722"/>
      <c r="M20" s="13722"/>
      <c r="N20" s="13722"/>
      <c r="O20" s="13722"/>
      <c r="P20" s="13722"/>
      <c r="Q20" s="13723"/>
      <c r="R20" s="13723"/>
      <c r="S20" s="13724">
        <f t="shared" si="0"/>
        <v>200000</v>
      </c>
      <c r="T20" s="13721" t="s">
        <v>577</v>
      </c>
    </row>
    <row r="21" spans="1:20" s="13725" customFormat="1" ht="13.5" customHeight="1">
      <c r="A21" s="13726" t="s">
        <v>10327</v>
      </c>
      <c r="B21" s="13727"/>
      <c r="C21" s="13727"/>
      <c r="D21" s="13727"/>
      <c r="E21" s="13727"/>
      <c r="F21" s="13727">
        <f>'lbpf 3-PDRRMO'!K67</f>
        <v>811800</v>
      </c>
      <c r="G21" s="13727"/>
      <c r="H21" s="13727"/>
      <c r="I21" s="13727"/>
      <c r="J21" s="13727"/>
      <c r="K21" s="13727"/>
      <c r="L21" s="13727"/>
      <c r="M21" s="13727"/>
      <c r="N21" s="13727"/>
      <c r="O21" s="13727"/>
      <c r="P21" s="13727"/>
      <c r="Q21" s="13728"/>
      <c r="R21" s="13728"/>
      <c r="S21" s="13729">
        <f t="shared" si="0"/>
        <v>811800</v>
      </c>
      <c r="T21" s="13726" t="s">
        <v>10589</v>
      </c>
    </row>
    <row r="22" spans="1:20" s="13725" customFormat="1" ht="14.4" thickBot="1">
      <c r="A22" s="13730" t="s">
        <v>485</v>
      </c>
      <c r="B22" s="13731">
        <f>SUM(B5:B21)</f>
        <v>0</v>
      </c>
      <c r="C22" s="13731">
        <f t="shared" ref="C22:R22" si="1">SUM(C5:C21)</f>
        <v>35000</v>
      </c>
      <c r="D22" s="13731">
        <f t="shared" si="1"/>
        <v>0</v>
      </c>
      <c r="E22" s="13731">
        <f t="shared" si="1"/>
        <v>0</v>
      </c>
      <c r="F22" s="13731">
        <f t="shared" si="1"/>
        <v>4311800</v>
      </c>
      <c r="G22" s="13731">
        <f t="shared" si="1"/>
        <v>2817000</v>
      </c>
      <c r="H22" s="13731">
        <f t="shared" si="1"/>
        <v>0</v>
      </c>
      <c r="I22" s="13731">
        <f t="shared" si="1"/>
        <v>3121436</v>
      </c>
      <c r="J22" s="13731">
        <f t="shared" si="1"/>
        <v>5116800</v>
      </c>
      <c r="K22" s="13731">
        <f t="shared" si="1"/>
        <v>0</v>
      </c>
      <c r="L22" s="13731">
        <f t="shared" si="1"/>
        <v>0</v>
      </c>
      <c r="M22" s="13731">
        <f t="shared" si="1"/>
        <v>0</v>
      </c>
      <c r="N22" s="13731">
        <f t="shared" si="1"/>
        <v>0</v>
      </c>
      <c r="O22" s="13731">
        <f t="shared" si="1"/>
        <v>2300000</v>
      </c>
      <c r="P22" s="13731">
        <f t="shared" si="1"/>
        <v>2100000</v>
      </c>
      <c r="Q22" s="13731">
        <f t="shared" si="1"/>
        <v>0</v>
      </c>
      <c r="R22" s="13731">
        <f t="shared" si="1"/>
        <v>0</v>
      </c>
      <c r="S22" s="13732">
        <f>SUM(S5:S21)</f>
        <v>19802036</v>
      </c>
      <c r="T22" s="13730" t="s">
        <v>485</v>
      </c>
    </row>
    <row r="23" spans="1:20" s="13725" customFormat="1" ht="3" customHeight="1" thickTop="1">
      <c r="A23" s="13733" t="s">
        <v>9</v>
      </c>
      <c r="B23" s="13734"/>
      <c r="C23" s="13734"/>
      <c r="D23" s="13734"/>
      <c r="E23" s="13735"/>
      <c r="F23" s="13734"/>
      <c r="G23" s="13734"/>
      <c r="H23" s="13736"/>
      <c r="I23" s="13734"/>
      <c r="J23" s="13734"/>
      <c r="K23" s="13736"/>
      <c r="L23" s="13735"/>
      <c r="M23" s="13734"/>
      <c r="N23" s="13737"/>
      <c r="O23" s="13734"/>
      <c r="P23" s="13734"/>
      <c r="Q23" s="13738"/>
      <c r="R23" s="13739"/>
      <c r="S23" s="13740" t="s">
        <v>9</v>
      </c>
      <c r="T23" s="13733" t="s">
        <v>9</v>
      </c>
    </row>
    <row r="24" spans="1:20" s="13725" customFormat="1">
      <c r="A24" s="13741" t="s">
        <v>578</v>
      </c>
      <c r="B24" s="13742"/>
      <c r="C24" s="13742"/>
      <c r="D24" s="13742"/>
      <c r="E24" s="13742"/>
      <c r="F24" s="13742"/>
      <c r="G24" s="13742">
        <f>'lbpf 3-BEMO'!J90</f>
        <v>0</v>
      </c>
      <c r="H24" s="13743"/>
      <c r="I24" s="13742">
        <f>'lbpf 3-BEMO'!J88</f>
        <v>0</v>
      </c>
      <c r="J24" s="13742">
        <f>'lbpf 3-BEMO'!J89</f>
        <v>0</v>
      </c>
      <c r="K24" s="13743"/>
      <c r="L24" s="13742"/>
      <c r="M24" s="13742"/>
      <c r="N24" s="13743"/>
      <c r="O24" s="13742">
        <f>'lbpf 3-BEMO'!J91</f>
        <v>102480</v>
      </c>
      <c r="P24" s="13742">
        <f>'lbpf 3-BEMO'!J92</f>
        <v>1500000</v>
      </c>
      <c r="Q24" s="13744"/>
      <c r="R24" s="13744"/>
      <c r="S24" s="13745">
        <f>SUM(B24:P24)</f>
        <v>1602480</v>
      </c>
      <c r="T24" s="13741" t="s">
        <v>578</v>
      </c>
    </row>
    <row r="25" spans="1:20" s="13725" customFormat="1">
      <c r="A25" s="13721" t="s">
        <v>1727</v>
      </c>
      <c r="B25" s="13746"/>
      <c r="C25" s="13746"/>
      <c r="D25" s="13746"/>
      <c r="E25" s="13746"/>
      <c r="F25" s="13746"/>
      <c r="G25" s="13746">
        <f>SUM('lbpf 3-BDJ'!J86:J87)</f>
        <v>0</v>
      </c>
      <c r="H25" s="13746">
        <f>'lbpf 3-BDJ'!J88</f>
        <v>760000</v>
      </c>
      <c r="I25" s="13746">
        <f>'lbpf 3-BDJ'!J89</f>
        <v>0</v>
      </c>
      <c r="J25" s="13722">
        <f>'lbpf 3-BDJ'!J94</f>
        <v>120000</v>
      </c>
      <c r="K25" s="13722"/>
      <c r="L25" s="13722"/>
      <c r="M25" s="13746"/>
      <c r="N25" s="13746"/>
      <c r="O25" s="13746">
        <f>'lbpf 3-BDJ'!J102</f>
        <v>0</v>
      </c>
      <c r="P25" s="13746">
        <f>'lbpf 3-BDJ'!J99</f>
        <v>0</v>
      </c>
      <c r="Q25" s="13747"/>
      <c r="R25" s="13747"/>
      <c r="S25" s="13724">
        <f>SUM(B25:P25)</f>
        <v>880000</v>
      </c>
      <c r="T25" s="13721" t="s">
        <v>1727</v>
      </c>
    </row>
    <row r="26" spans="1:20" s="13725" customFormat="1" hidden="1">
      <c r="A26" s="13721" t="s">
        <v>580</v>
      </c>
      <c r="B26" s="13746"/>
      <c r="C26" s="13746"/>
      <c r="D26" s="13746"/>
      <c r="E26" s="13746"/>
      <c r="F26" s="13746"/>
      <c r="G26" s="13746">
        <f>'lbpf 3-LIB'!H74</f>
        <v>0</v>
      </c>
      <c r="H26" s="13746"/>
      <c r="I26" s="13746"/>
      <c r="J26" s="13746">
        <f>'lbpf 3-LIB'!H71</f>
        <v>0</v>
      </c>
      <c r="K26" s="13746"/>
      <c r="L26" s="13746"/>
      <c r="M26" s="13746"/>
      <c r="N26" s="13746"/>
      <c r="O26" s="13746"/>
      <c r="P26" s="13746"/>
      <c r="Q26" s="13747"/>
      <c r="R26" s="13747"/>
      <c r="S26" s="13724">
        <f>SUM(B26:P26)</f>
        <v>0</v>
      </c>
      <c r="T26" s="13721" t="s">
        <v>580</v>
      </c>
    </row>
    <row r="27" spans="1:20" s="13725" customFormat="1">
      <c r="A27" s="13721" t="s">
        <v>581</v>
      </c>
      <c r="B27" s="13746">
        <f>'lbpf 3-PHO'!J87</f>
        <v>0</v>
      </c>
      <c r="C27" s="13746"/>
      <c r="D27" s="13746"/>
      <c r="E27" s="13746"/>
      <c r="F27" s="13746"/>
      <c r="G27" s="13746">
        <f>'lbpf 3-PHO'!J88</f>
        <v>0</v>
      </c>
      <c r="H27" s="13746"/>
      <c r="I27" s="13746">
        <f>'lbpf 3-PHO'!J89</f>
        <v>200000</v>
      </c>
      <c r="J27" s="13722">
        <f>'lbpf 3-PHO'!J90</f>
        <v>250000</v>
      </c>
      <c r="K27" s="13722"/>
      <c r="L27" s="13722"/>
      <c r="M27" s="13746"/>
      <c r="N27" s="13746"/>
      <c r="O27" s="13746"/>
      <c r="P27" s="13746">
        <f>'lbpf 3-PHO'!J91</f>
        <v>150000</v>
      </c>
      <c r="Q27" s="13747"/>
      <c r="R27" s="13747"/>
      <c r="S27" s="13724">
        <f>SUM(B27:P27)</f>
        <v>600000</v>
      </c>
      <c r="T27" s="13721" t="s">
        <v>581</v>
      </c>
    </row>
    <row r="28" spans="1:20" s="13725" customFormat="1">
      <c r="A28" s="13721" t="s">
        <v>582</v>
      </c>
      <c r="B28" s="13746"/>
      <c r="C28" s="13746"/>
      <c r="D28" s="13746"/>
      <c r="E28" s="13746"/>
      <c r="F28" s="13746"/>
      <c r="G28" s="13746">
        <f>'lbpf 3-HTALIBON'!J84</f>
        <v>0</v>
      </c>
      <c r="H28" s="13746"/>
      <c r="I28" s="13746">
        <f>'lbpf 3-HTALIBON'!J92</f>
        <v>0</v>
      </c>
      <c r="J28" s="13746">
        <f>'lbpf 3-HTALIBON'!J95</f>
        <v>351000</v>
      </c>
      <c r="K28" s="13746"/>
      <c r="L28" s="13746">
        <f>'lbpf 3-HTALIBON'!J104</f>
        <v>0</v>
      </c>
      <c r="M28" s="13746">
        <f>'lbpf 3-HTALIBON'!J119</f>
        <v>630000</v>
      </c>
      <c r="N28" s="13746">
        <f>'lbpf 3-HTALIBON'!J105</f>
        <v>0</v>
      </c>
      <c r="O28" s="13746"/>
      <c r="P28" s="13746">
        <f>'lbpf 3-HTALIBON'!J125</f>
        <v>0</v>
      </c>
      <c r="Q28" s="13747"/>
      <c r="R28" s="13747">
        <f>'lbpf 3-HTALIBON'!J83</f>
        <v>0</v>
      </c>
      <c r="S28" s="13724">
        <f>SUM(B28:R28)</f>
        <v>981000</v>
      </c>
      <c r="T28" s="13721" t="s">
        <v>582</v>
      </c>
    </row>
    <row r="29" spans="1:20" s="13725" customFormat="1">
      <c r="A29" s="13721" t="s">
        <v>583</v>
      </c>
      <c r="B29" s="13746"/>
      <c r="C29" s="13746"/>
      <c r="D29" s="13746"/>
      <c r="E29" s="13746"/>
      <c r="F29" s="13746"/>
      <c r="G29" s="13746"/>
      <c r="H29" s="13746"/>
      <c r="I29" s="13746"/>
      <c r="J29" s="13746"/>
      <c r="K29" s="13746"/>
      <c r="L29" s="13746"/>
      <c r="M29" s="13746">
        <f>'lbpf 3-HCARMEN'!J113</f>
        <v>571500</v>
      </c>
      <c r="N29" s="13746"/>
      <c r="O29" s="13746"/>
      <c r="P29" s="13746"/>
      <c r="Q29" s="13747"/>
      <c r="R29" s="13747"/>
      <c r="S29" s="13724">
        <f>SUM(B29:P29)</f>
        <v>571500</v>
      </c>
      <c r="T29" s="13721" t="s">
        <v>583</v>
      </c>
    </row>
    <row r="30" spans="1:20" s="13725" customFormat="1">
      <c r="A30" s="13721" t="s">
        <v>584</v>
      </c>
      <c r="B30" s="13746"/>
      <c r="C30" s="13746"/>
      <c r="D30" s="13746"/>
      <c r="E30" s="13746"/>
      <c r="F30" s="13746">
        <f>'lbpf 3-HJAGNA'!J86+'lbpf 3-HJAGNA'!J87+'lbpf 3-HJAGNA'!J88+'lbpf 3-HJAGNA'!J89+'lbpf 3-HJAGNA'!J90</f>
        <v>2000000</v>
      </c>
      <c r="G30" s="13746">
        <f>'lbpf 3-HJAGNA'!J91</f>
        <v>150000</v>
      </c>
      <c r="H30" s="13746"/>
      <c r="I30" s="13746">
        <f>'lbpf 3-HJAGNA'!J94</f>
        <v>32000</v>
      </c>
      <c r="J30" s="13746"/>
      <c r="K30" s="13746"/>
      <c r="L30" s="13746"/>
      <c r="M30" s="13746">
        <f>SUM('lbpf 3-HJAGNA'!J97:J97)</f>
        <v>0</v>
      </c>
      <c r="N30" s="13746">
        <f>'lbpf 3-HJAGNA'!J93</f>
        <v>0</v>
      </c>
      <c r="O30" s="13746">
        <f>'lbpf 3-HJAGNA'!J96</f>
        <v>646000</v>
      </c>
      <c r="P30" s="13746"/>
      <c r="Q30" s="13747"/>
      <c r="R30" s="13747"/>
      <c r="S30" s="13724">
        <f>SUM(B30:P30)</f>
        <v>2828000</v>
      </c>
      <c r="T30" s="13721" t="s">
        <v>584</v>
      </c>
    </row>
    <row r="31" spans="1:20" s="13725" customFormat="1">
      <c r="A31" s="13721" t="s">
        <v>585</v>
      </c>
      <c r="B31" s="13746"/>
      <c r="C31" s="13746"/>
      <c r="D31" s="13746"/>
      <c r="E31" s="13746"/>
      <c r="F31" s="13746"/>
      <c r="G31" s="13746">
        <f>'lbpf 3-HLOON'!J89</f>
        <v>140000</v>
      </c>
      <c r="H31" s="13746"/>
      <c r="I31" s="13746">
        <f>'lbpf 3-HLOON'!J107</f>
        <v>100000</v>
      </c>
      <c r="J31" s="13746">
        <f>'lbpf 3-HLOON'!J94</f>
        <v>70000</v>
      </c>
      <c r="K31" s="13746"/>
      <c r="L31" s="13746"/>
      <c r="M31" s="13746">
        <v>0</v>
      </c>
      <c r="N31" s="13746"/>
      <c r="O31" s="13746">
        <f>'lbpf 3-HLOON'!J98</f>
        <v>130000</v>
      </c>
      <c r="P31" s="13746"/>
      <c r="Q31" s="13747"/>
      <c r="R31" s="13747"/>
      <c r="S31" s="13724">
        <f>SUM(B31:P31)</f>
        <v>440000</v>
      </c>
      <c r="T31" s="13721" t="s">
        <v>585</v>
      </c>
    </row>
    <row r="32" spans="1:20" s="13725" customFormat="1">
      <c r="A32" s="13721" t="s">
        <v>664</v>
      </c>
      <c r="B32" s="13746"/>
      <c r="C32" s="13746"/>
      <c r="D32" s="13746"/>
      <c r="E32" s="13746"/>
      <c r="F32" s="13746"/>
      <c r="G32" s="13746">
        <f>'lbpf 3-HCATIGBIAN'!J88</f>
        <v>0</v>
      </c>
      <c r="H32" s="13746"/>
      <c r="I32" s="13746">
        <f>'lbpf 3-HCATIGBIAN'!J89</f>
        <v>0</v>
      </c>
      <c r="J32" s="13746">
        <f>'lbpf 3-HCATIGBIAN'!J90</f>
        <v>240000</v>
      </c>
      <c r="K32" s="13746"/>
      <c r="L32" s="13746">
        <f>'lbpf 3-HCATIGBIAN'!J92</f>
        <v>0</v>
      </c>
      <c r="M32" s="13746"/>
      <c r="N32" s="13746">
        <f>'lbpf 3-HCATIGBIAN'!J95+'lbpf 3-HCATIGBIAN'!J96</f>
        <v>0</v>
      </c>
      <c r="O32" s="13746"/>
      <c r="P32" s="13746">
        <f>'lbpf 3-HCATIGBIAN'!J94</f>
        <v>0</v>
      </c>
      <c r="Q32" s="13747"/>
      <c r="R32" s="13747"/>
      <c r="S32" s="13724">
        <f>SUM(B32:R32)</f>
        <v>240000</v>
      </c>
      <c r="T32" s="13721" t="s">
        <v>664</v>
      </c>
    </row>
    <row r="33" spans="1:20" s="13725" customFormat="1">
      <c r="A33" s="13721" t="s">
        <v>587</v>
      </c>
      <c r="B33" s="13746"/>
      <c r="C33" s="13746"/>
      <c r="D33" s="13746"/>
      <c r="E33" s="13746"/>
      <c r="F33" s="13746"/>
      <c r="G33" s="13746">
        <f>'lbpf 3-HCLARIN'!J96</f>
        <v>20000</v>
      </c>
      <c r="H33" s="13746"/>
      <c r="I33" s="13746">
        <f>'lbpf 3-HCLARIN'!J98</f>
        <v>0</v>
      </c>
      <c r="J33" s="13746">
        <f>'lbpf 3-HCLARIN'!J99</f>
        <v>310000</v>
      </c>
      <c r="K33" s="13746"/>
      <c r="L33" s="13746"/>
      <c r="M33" s="13746"/>
      <c r="N33" s="13746">
        <f>'lbpf 3-HCLARIN'!J109+'lbpf 3-HCLARIN'!J119</f>
        <v>0</v>
      </c>
      <c r="O33" s="13746"/>
      <c r="P33" s="13746">
        <f>'lbpf 3-HCLARIN'!J120</f>
        <v>0</v>
      </c>
      <c r="Q33" s="13747"/>
      <c r="R33" s="13747"/>
      <c r="S33" s="13724">
        <f>SUM(B33:P33)</f>
        <v>330000</v>
      </c>
      <c r="T33" s="13721" t="s">
        <v>587</v>
      </c>
    </row>
    <row r="34" spans="1:20" s="13725" customFormat="1">
      <c r="A34" s="13721" t="s">
        <v>665</v>
      </c>
      <c r="B34" s="13746"/>
      <c r="C34" s="13746"/>
      <c r="D34" s="13746"/>
      <c r="E34" s="13746"/>
      <c r="F34" s="13746">
        <f>'lbpf 3-HCANDIJAY'!J90</f>
        <v>1000000</v>
      </c>
      <c r="G34" s="13746">
        <f>'lbpf 3-HCANDIJAY'!J87+'lbpf 3-HCANDIJAY'!J95</f>
        <v>20000</v>
      </c>
      <c r="H34" s="13746"/>
      <c r="I34" s="13746">
        <f>'lbpf 3-HCANDIJAY'!J94</f>
        <v>126000</v>
      </c>
      <c r="J34" s="13746">
        <f>'lbpf 3-HCANDIJAY'!J88</f>
        <v>67000</v>
      </c>
      <c r="K34" s="13746"/>
      <c r="L34" s="13746"/>
      <c r="M34" s="13746"/>
      <c r="N34" s="13746"/>
      <c r="O34" s="13746">
        <f>'lbpf 3-HCANDIJAY'!J91</f>
        <v>0</v>
      </c>
      <c r="P34" s="13746"/>
      <c r="Q34" s="13747"/>
      <c r="R34" s="13747"/>
      <c r="S34" s="13724">
        <f>SUM(B34:P34)</f>
        <v>1213000</v>
      </c>
      <c r="T34" s="13721" t="s">
        <v>665</v>
      </c>
    </row>
    <row r="35" spans="1:20" s="13725" customFormat="1">
      <c r="A35" s="13721" t="s">
        <v>666</v>
      </c>
      <c r="B35" s="13746"/>
      <c r="C35" s="13746"/>
      <c r="D35" s="13746"/>
      <c r="E35" s="13746">
        <f>'lbpf 3-HMARIBOJOC'!J94</f>
        <v>0</v>
      </c>
      <c r="F35" s="13746">
        <v>0</v>
      </c>
      <c r="G35" s="13746">
        <f>'lbpf 3-HMARIBOJOC'!J95</f>
        <v>180000</v>
      </c>
      <c r="H35" s="13746"/>
      <c r="I35" s="13746">
        <f>'lbpf 3-HMARIBOJOC'!J96</f>
        <v>36000</v>
      </c>
      <c r="J35" s="13746"/>
      <c r="K35" s="13746"/>
      <c r="L35" s="13746"/>
      <c r="M35" s="13746"/>
      <c r="N35" s="13746">
        <f>'lbpf 3-HMARIBOJOC'!J98</f>
        <v>0</v>
      </c>
      <c r="O35" s="13746"/>
      <c r="P35" s="13746">
        <f>'lbpf 3-HMARIBOJOC'!J103</f>
        <v>0</v>
      </c>
      <c r="Q35" s="13747"/>
      <c r="R35" s="13747"/>
      <c r="S35" s="13724">
        <f>SUM(B35:R35)</f>
        <v>216000</v>
      </c>
      <c r="T35" s="13721" t="s">
        <v>666</v>
      </c>
    </row>
    <row r="36" spans="1:20" s="13725" customFormat="1">
      <c r="A36" s="13721" t="s">
        <v>667</v>
      </c>
      <c r="B36" s="13746"/>
      <c r="C36" s="13746"/>
      <c r="D36" s="13746"/>
      <c r="E36" s="13746">
        <f>'lbpf 3-HINABANGA '!J103</f>
        <v>0</v>
      </c>
      <c r="F36" s="13746">
        <v>0</v>
      </c>
      <c r="G36" s="13746">
        <f>'lbpf 3-HINABANGA '!J83</f>
        <v>360000</v>
      </c>
      <c r="H36" s="13746"/>
      <c r="I36" s="13746">
        <f>'lbpf 3-HINABANGA '!J102</f>
        <v>0</v>
      </c>
      <c r="J36" s="13746">
        <f>'lbpf 3-HINABANGA '!J85</f>
        <v>75000</v>
      </c>
      <c r="K36" s="13746"/>
      <c r="L36" s="13746">
        <f>'lbpf 3-HINABANGA '!J87</f>
        <v>50000</v>
      </c>
      <c r="M36" s="13746"/>
      <c r="N36" s="13746">
        <f>'lbpf 3-HINABANGA '!J89</f>
        <v>0</v>
      </c>
      <c r="O36" s="13746">
        <f>'lbpf 3-HINABANGA '!J100</f>
        <v>300000</v>
      </c>
      <c r="P36" s="13746"/>
      <c r="Q36" s="13747"/>
      <c r="R36" s="13747"/>
      <c r="S36" s="13724">
        <f>SUM(B36:R36)</f>
        <v>785000</v>
      </c>
      <c r="T36" s="13721" t="s">
        <v>667</v>
      </c>
    </row>
    <row r="37" spans="1:20" s="13725" customFormat="1">
      <c r="A37" s="13721" t="s">
        <v>591</v>
      </c>
      <c r="B37" s="13746"/>
      <c r="C37" s="13746"/>
      <c r="D37" s="13746"/>
      <c r="E37" s="13746"/>
      <c r="F37" s="13746">
        <f>'lbpf 3-HPGARCIA '!J92</f>
        <v>1100000</v>
      </c>
      <c r="G37" s="13746">
        <f>'lbpf 3-HPGARCIA '!J96</f>
        <v>187000</v>
      </c>
      <c r="H37" s="13746"/>
      <c r="I37" s="13746">
        <f>'lbpf 3-HPGARCIA '!J100</f>
        <v>50000</v>
      </c>
      <c r="J37" s="13746">
        <f>'lbpf 3-HPGARCIA '!J97</f>
        <v>150000</v>
      </c>
      <c r="K37" s="13746"/>
      <c r="L37" s="13746"/>
      <c r="M37" s="13746"/>
      <c r="N37" s="13746">
        <f>'lbpf 3-HPGARCIA '!J98</f>
        <v>422000</v>
      </c>
      <c r="O37" s="13746">
        <f>'lbpf 3-HPGARCIA '!J99</f>
        <v>1191000</v>
      </c>
      <c r="P37" s="13746">
        <f>'lbpf 3-HPGARCIA '!J101</f>
        <v>0</v>
      </c>
      <c r="Q37" s="13747">
        <f>'lbpf 3-HPGARCIA '!J102</f>
        <v>0</v>
      </c>
      <c r="R37" s="13747"/>
      <c r="S37" s="13724">
        <f>SUM(B37:R37)</f>
        <v>3100000</v>
      </c>
      <c r="T37" s="13721" t="s">
        <v>591</v>
      </c>
    </row>
    <row r="38" spans="1:20" s="13725" customFormat="1">
      <c r="A38" s="13721" t="s">
        <v>592</v>
      </c>
      <c r="B38" s="13746">
        <f>'lbpf 3-PSWD'!J93</f>
        <v>0</v>
      </c>
      <c r="C38" s="13746"/>
      <c r="D38" s="13746"/>
      <c r="E38" s="13746"/>
      <c r="F38" s="13746"/>
      <c r="G38" s="13746">
        <f>'lbpf 3-PSWD'!J88</f>
        <v>154895</v>
      </c>
      <c r="H38" s="13746"/>
      <c r="I38" s="13746">
        <f>'lbpf 3-PSWD'!J90</f>
        <v>104212.5</v>
      </c>
      <c r="J38" s="13746">
        <f>'lbpf 3-PSWD'!J91</f>
        <v>108400</v>
      </c>
      <c r="K38" s="13746"/>
      <c r="L38" s="13746"/>
      <c r="M38" s="13746"/>
      <c r="N38" s="13746"/>
      <c r="O38" s="13746">
        <f>'lbpf 3-PSWD'!J89</f>
        <v>0</v>
      </c>
      <c r="P38" s="13746"/>
      <c r="Q38" s="13747"/>
      <c r="R38" s="13747"/>
      <c r="S38" s="13724">
        <f>SUM(B38:P38)</f>
        <v>367507.5</v>
      </c>
      <c r="T38" s="13721" t="s">
        <v>592</v>
      </c>
    </row>
    <row r="39" spans="1:20" s="13725" customFormat="1" ht="2.25" customHeight="1">
      <c r="A39" s="13748"/>
      <c r="B39" s="13734"/>
      <c r="C39" s="13734"/>
      <c r="D39" s="13734"/>
      <c r="E39" s="13735"/>
      <c r="F39" s="13734"/>
      <c r="G39" s="13734"/>
      <c r="H39" s="13736"/>
      <c r="I39" s="13734"/>
      <c r="J39" s="13734"/>
      <c r="K39" s="13736"/>
      <c r="L39" s="13735"/>
      <c r="M39" s="13734"/>
      <c r="N39" s="13737"/>
      <c r="O39" s="13734"/>
      <c r="P39" s="13734"/>
      <c r="Q39" s="13738"/>
      <c r="R39" s="13739"/>
      <c r="S39" s="13740" t="s">
        <v>9</v>
      </c>
      <c r="T39" s="13748"/>
    </row>
    <row r="40" spans="1:20" s="13725" customFormat="1" ht="14.4" thickBot="1">
      <c r="A40" s="13730" t="s">
        <v>485</v>
      </c>
      <c r="B40" s="13731">
        <f>SUM(B24:B38)</f>
        <v>0</v>
      </c>
      <c r="C40" s="13731">
        <f t="shared" ref="C40:R40" si="2">SUM(C24:C38)</f>
        <v>0</v>
      </c>
      <c r="D40" s="13731">
        <f t="shared" si="2"/>
        <v>0</v>
      </c>
      <c r="E40" s="13731">
        <f t="shared" si="2"/>
        <v>0</v>
      </c>
      <c r="F40" s="13731">
        <f t="shared" si="2"/>
        <v>4100000</v>
      </c>
      <c r="G40" s="13731">
        <f t="shared" si="2"/>
        <v>1211895</v>
      </c>
      <c r="H40" s="13731">
        <f t="shared" si="2"/>
        <v>760000</v>
      </c>
      <c r="I40" s="13731">
        <f t="shared" si="2"/>
        <v>648212.5</v>
      </c>
      <c r="J40" s="13731">
        <f t="shared" si="2"/>
        <v>1741400</v>
      </c>
      <c r="K40" s="13731">
        <f t="shared" si="2"/>
        <v>0</v>
      </c>
      <c r="L40" s="13731">
        <f t="shared" si="2"/>
        <v>50000</v>
      </c>
      <c r="M40" s="13731">
        <f t="shared" si="2"/>
        <v>1201500</v>
      </c>
      <c r="N40" s="13731">
        <f t="shared" si="2"/>
        <v>422000</v>
      </c>
      <c r="O40" s="13731">
        <f t="shared" si="2"/>
        <v>2369480</v>
      </c>
      <c r="P40" s="13731">
        <f t="shared" si="2"/>
        <v>1650000</v>
      </c>
      <c r="Q40" s="13731">
        <f t="shared" si="2"/>
        <v>0</v>
      </c>
      <c r="R40" s="13731">
        <f t="shared" si="2"/>
        <v>0</v>
      </c>
      <c r="S40" s="13732">
        <f>SUM(S24:S38)</f>
        <v>14154487.5</v>
      </c>
      <c r="T40" s="13730" t="s">
        <v>485</v>
      </c>
    </row>
    <row r="41" spans="1:20" s="13725" customFormat="1" ht="3.75" customHeight="1" thickTop="1">
      <c r="A41" s="13733" t="s">
        <v>9</v>
      </c>
      <c r="B41" s="13734"/>
      <c r="C41" s="13734"/>
      <c r="D41" s="13734"/>
      <c r="E41" s="13735"/>
      <c r="F41" s="13734"/>
      <c r="G41" s="13734"/>
      <c r="H41" s="13736"/>
      <c r="I41" s="13734"/>
      <c r="J41" s="13734"/>
      <c r="K41" s="13736"/>
      <c r="L41" s="13735"/>
      <c r="M41" s="13734"/>
      <c r="N41" s="13737"/>
      <c r="O41" s="13734"/>
      <c r="P41" s="13734"/>
      <c r="Q41" s="13738"/>
      <c r="R41" s="13739"/>
      <c r="S41" s="13740" t="s">
        <v>9</v>
      </c>
      <c r="T41" s="13733" t="s">
        <v>9</v>
      </c>
    </row>
    <row r="42" spans="1:20" s="13725" customFormat="1" ht="11.25" customHeight="1">
      <c r="A42" s="13741" t="s">
        <v>593</v>
      </c>
      <c r="B42" s="13749"/>
      <c r="C42" s="13749"/>
      <c r="D42" s="13749"/>
      <c r="E42" s="13749"/>
      <c r="F42" s="13749"/>
      <c r="G42" s="13749">
        <f>'lbpf 3-BEPO'!K89</f>
        <v>100000</v>
      </c>
      <c r="H42" s="13750"/>
      <c r="I42" s="13749">
        <f>'lbpf 3-BEPO'!K91</f>
        <v>0</v>
      </c>
      <c r="J42" s="13749">
        <f>'lbpf 3-BEPO'!K92</f>
        <v>30000</v>
      </c>
      <c r="K42" s="13750"/>
      <c r="L42" s="13749"/>
      <c r="M42" s="13749"/>
      <c r="N42" s="13750"/>
      <c r="O42" s="13749"/>
      <c r="P42" s="13749"/>
      <c r="Q42" s="13751"/>
      <c r="R42" s="13751"/>
      <c r="S42" s="13745">
        <f t="shared" ref="S42:S51" si="3">SUM(B42:P42)</f>
        <v>130000</v>
      </c>
      <c r="T42" s="13741" t="s">
        <v>593</v>
      </c>
    </row>
    <row r="43" spans="1:20" s="13725" customFormat="1" ht="11.25" customHeight="1">
      <c r="A43" s="13752" t="s">
        <v>10813</v>
      </c>
      <c r="B43" s="13753"/>
      <c r="C43" s="13753"/>
      <c r="D43" s="13753"/>
      <c r="E43" s="13753"/>
      <c r="F43" s="13753"/>
      <c r="G43" s="13753">
        <f>'lbpf 3-PEEMU'!K69</f>
        <v>150000</v>
      </c>
      <c r="H43" s="13750"/>
      <c r="I43" s="13753">
        <f>'lbpf 3-PEEMU'!K70</f>
        <v>80000</v>
      </c>
      <c r="J43" s="13753">
        <f>'lbpf 3-PEEMU'!K71</f>
        <v>200000</v>
      </c>
      <c r="K43" s="13750"/>
      <c r="L43" s="13753"/>
      <c r="M43" s="13753"/>
      <c r="N43" s="13750"/>
      <c r="O43" s="13753">
        <f>'lbpf 3-PEEMU'!K72</f>
        <v>0</v>
      </c>
      <c r="P43" s="13753"/>
      <c r="Q43" s="13754"/>
      <c r="R43" s="13754"/>
      <c r="S43" s="13745">
        <f t="shared" si="3"/>
        <v>430000</v>
      </c>
      <c r="T43" s="13752" t="s">
        <v>10813</v>
      </c>
    </row>
    <row r="44" spans="1:20" s="13725" customFormat="1" ht="11.25" customHeight="1">
      <c r="A44" s="13721" t="s">
        <v>594</v>
      </c>
      <c r="B44" s="13755">
        <f>'lbpf 3-BIPC'!K61</f>
        <v>0</v>
      </c>
      <c r="C44" s="13755"/>
      <c r="D44" s="13755"/>
      <c r="E44" s="13755"/>
      <c r="F44" s="13755"/>
      <c r="G44" s="13755">
        <f>'lbpf 3-BIPC'!K72</f>
        <v>168000</v>
      </c>
      <c r="H44" s="13755"/>
      <c r="I44" s="13755">
        <f>'lbpf 3-BIPC'!K62</f>
        <v>50000</v>
      </c>
      <c r="J44" s="13755">
        <f>'lbpf 3-BIPC'!K67</f>
        <v>40000</v>
      </c>
      <c r="K44" s="13755"/>
      <c r="L44" s="13755"/>
      <c r="M44" s="13755"/>
      <c r="N44" s="13755"/>
      <c r="O44" s="13755"/>
      <c r="P44" s="13755">
        <f>'lbpf 3-BIPC'!K79</f>
        <v>80000</v>
      </c>
      <c r="Q44" s="13756"/>
      <c r="R44" s="13756"/>
      <c r="S44" s="13724">
        <f t="shared" si="3"/>
        <v>338000</v>
      </c>
      <c r="T44" s="13721" t="s">
        <v>594</v>
      </c>
    </row>
    <row r="45" spans="1:20" s="13725" customFormat="1" ht="11.25" customHeight="1">
      <c r="A45" s="13721" t="s">
        <v>595</v>
      </c>
      <c r="B45" s="13755"/>
      <c r="C45" s="13755"/>
      <c r="D45" s="13755"/>
      <c r="E45" s="13755"/>
      <c r="F45" s="13755">
        <f>'lbpf 3-BTO'!K83</f>
        <v>1000000</v>
      </c>
      <c r="G45" s="13755">
        <f>'lbpf 3-BTO'!K84</f>
        <v>0</v>
      </c>
      <c r="H45" s="13755"/>
      <c r="I45" s="13755">
        <f>'lbpf 3-BTO'!K85</f>
        <v>465600</v>
      </c>
      <c r="J45" s="13755"/>
      <c r="K45" s="13755"/>
      <c r="L45" s="13755"/>
      <c r="M45" s="13755"/>
      <c r="N45" s="13755"/>
      <c r="O45" s="13755"/>
      <c r="P45" s="13755">
        <f>'lbpf 3-BTO'!K86</f>
        <v>0</v>
      </c>
      <c r="Q45" s="13756"/>
      <c r="R45" s="13756"/>
      <c r="S45" s="13724">
        <f t="shared" si="3"/>
        <v>1465600</v>
      </c>
      <c r="T45" s="13721" t="s">
        <v>595</v>
      </c>
    </row>
    <row r="46" spans="1:20" s="13725" customFormat="1" ht="11.25" customHeight="1">
      <c r="A46" s="13721" t="s">
        <v>596</v>
      </c>
      <c r="B46" s="13755"/>
      <c r="C46" s="13755"/>
      <c r="D46" s="13755"/>
      <c r="E46" s="13755"/>
      <c r="F46" s="13755">
        <f>'lbpf 3-CCAD'!J67</f>
        <v>0</v>
      </c>
      <c r="G46" s="13755">
        <f>'lbpf 3-CCAD'!J63</f>
        <v>250000</v>
      </c>
      <c r="H46" s="13755"/>
      <c r="I46" s="13755">
        <f>'lbpf 3-CCAD'!J64</f>
        <v>100000</v>
      </c>
      <c r="J46" s="13755">
        <f>'lbpf 3-CCAD'!J68</f>
        <v>95000</v>
      </c>
      <c r="K46" s="13755"/>
      <c r="L46" s="13755"/>
      <c r="M46" s="13755"/>
      <c r="N46" s="13755"/>
      <c r="O46" s="13755"/>
      <c r="P46" s="13755">
        <f>'lbpf 3-CCAD'!J72</f>
        <v>0</v>
      </c>
      <c r="Q46" s="13756"/>
      <c r="R46" s="13756"/>
      <c r="S46" s="13724">
        <f t="shared" si="3"/>
        <v>445000</v>
      </c>
      <c r="T46" s="13721" t="s">
        <v>596</v>
      </c>
    </row>
    <row r="47" spans="1:20" s="13725" customFormat="1" hidden="1">
      <c r="A47" s="13721" t="s">
        <v>597</v>
      </c>
      <c r="B47" s="13755"/>
      <c r="C47" s="13755"/>
      <c r="D47" s="13755"/>
      <c r="E47" s="13755"/>
      <c r="F47" s="13755"/>
      <c r="G47" s="13755"/>
      <c r="H47" s="13755"/>
      <c r="I47" s="13755"/>
      <c r="J47" s="13755"/>
      <c r="K47" s="13755"/>
      <c r="L47" s="13755"/>
      <c r="M47" s="13755"/>
      <c r="N47" s="13755"/>
      <c r="O47" s="13755"/>
      <c r="P47" s="13755"/>
      <c r="Q47" s="13756"/>
      <c r="R47" s="13756"/>
      <c r="S47" s="13724">
        <f t="shared" si="3"/>
        <v>0</v>
      </c>
      <c r="T47" s="13721" t="s">
        <v>597</v>
      </c>
    </row>
    <row r="48" spans="1:20" s="13725" customFormat="1" ht="11.25" customHeight="1">
      <c r="A48" s="13721" t="s">
        <v>598</v>
      </c>
      <c r="B48" s="13722"/>
      <c r="C48" s="13722"/>
      <c r="D48" s="13722"/>
      <c r="E48" s="13722"/>
      <c r="F48" s="13722"/>
      <c r="G48" s="13722">
        <f>'lbpf 3-OPA'!J66</f>
        <v>49227</v>
      </c>
      <c r="H48" s="13722"/>
      <c r="I48" s="13722">
        <f>'lbpf 3-OPA'!J67</f>
        <v>0</v>
      </c>
      <c r="J48" s="13722"/>
      <c r="K48" s="13722"/>
      <c r="L48" s="13722"/>
      <c r="M48" s="13722"/>
      <c r="N48" s="13722"/>
      <c r="O48" s="13722"/>
      <c r="P48" s="13722"/>
      <c r="Q48" s="13723"/>
      <c r="R48" s="13723"/>
      <c r="S48" s="13724">
        <f t="shared" si="3"/>
        <v>49227</v>
      </c>
      <c r="T48" s="13721" t="s">
        <v>598</v>
      </c>
    </row>
    <row r="49" spans="1:20" s="13725" customFormat="1" ht="11.25" customHeight="1">
      <c r="A49" s="13721" t="s">
        <v>599</v>
      </c>
      <c r="B49" s="13722"/>
      <c r="C49" s="13722"/>
      <c r="D49" s="13722"/>
      <c r="E49" s="13722"/>
      <c r="F49" s="13722"/>
      <c r="G49" s="13722">
        <f>'lbpf 3-VET'!K84</f>
        <v>0</v>
      </c>
      <c r="H49" s="13722"/>
      <c r="I49" s="13722">
        <f>'lbpf 3-VET'!K85</f>
        <v>0</v>
      </c>
      <c r="J49" s="13722">
        <f>'lbpf 3-VET'!K86</f>
        <v>100000</v>
      </c>
      <c r="K49" s="13722"/>
      <c r="L49" s="13722"/>
      <c r="M49" s="13722"/>
      <c r="N49" s="13722"/>
      <c r="O49" s="13722"/>
      <c r="P49" s="13722">
        <f>'lbpf 3-VET'!K87</f>
        <v>0</v>
      </c>
      <c r="Q49" s="13723"/>
      <c r="R49" s="13723"/>
      <c r="S49" s="13724">
        <f t="shared" si="3"/>
        <v>100000</v>
      </c>
      <c r="T49" s="13721" t="s">
        <v>599</v>
      </c>
    </row>
    <row r="50" spans="1:20" s="13725" customFormat="1" ht="11.25" customHeight="1">
      <c r="A50" s="13721" t="s">
        <v>600</v>
      </c>
      <c r="B50" s="13722">
        <f>'lbpf 3-PEO'!J86</f>
        <v>1500000</v>
      </c>
      <c r="C50" s="13722"/>
      <c r="D50" s="13722"/>
      <c r="E50" s="13722"/>
      <c r="F50" s="13722"/>
      <c r="G50" s="13722">
        <f>'lbpf 3-PEO'!J87</f>
        <v>160000</v>
      </c>
      <c r="H50" s="13722"/>
      <c r="I50" s="13722">
        <f>'lbpf 3-PEO'!J88</f>
        <v>320000</v>
      </c>
      <c r="J50" s="13722">
        <f>'lbpf 3-PEO'!J93</f>
        <v>280000</v>
      </c>
      <c r="K50" s="13722"/>
      <c r="L50" s="13722"/>
      <c r="M50" s="13722"/>
      <c r="N50" s="13722"/>
      <c r="O50" s="13722">
        <f>'lbpf 3-PEO'!J90</f>
        <v>105000</v>
      </c>
      <c r="P50" s="13722"/>
      <c r="Q50" s="13723"/>
      <c r="R50" s="13723"/>
      <c r="S50" s="13724">
        <f t="shared" si="3"/>
        <v>2365000</v>
      </c>
      <c r="T50" s="13721" t="s">
        <v>600</v>
      </c>
    </row>
    <row r="51" spans="1:20" s="13725" customFormat="1" ht="11.25" customHeight="1">
      <c r="A51" s="13721" t="s">
        <v>668</v>
      </c>
      <c r="B51" s="13722">
        <f>'lbpf 3-MOTORPOOL'!J86</f>
        <v>710000</v>
      </c>
      <c r="C51" s="13722">
        <f>'lbpf 3-MOTORPOOL'!J96+'lbpf 3-MOTORPOOL'!J97</f>
        <v>100000</v>
      </c>
      <c r="D51" s="13722"/>
      <c r="E51" s="13722"/>
      <c r="F51" s="13722">
        <f>'lbpf 3-MOTORPOOL'!J88+'lbpf 3-MOTORPOOL'!J89</f>
        <v>0</v>
      </c>
      <c r="G51" s="13722">
        <f>'lbpf 3-MOTORPOOL'!J90</f>
        <v>180000</v>
      </c>
      <c r="H51" s="13722"/>
      <c r="I51" s="13722">
        <f>'lbpf 3-MOTORPOOL'!J94</f>
        <v>110000</v>
      </c>
      <c r="J51" s="13722">
        <f>'lbpf 3-MOTORPOOL'!J91</f>
        <v>40000</v>
      </c>
      <c r="K51" s="13722">
        <f>'lbpf 3-MOTORPOOL'!J92</f>
        <v>0</v>
      </c>
      <c r="L51" s="13722"/>
      <c r="M51" s="13722"/>
      <c r="N51" s="13722"/>
      <c r="O51" s="13722"/>
      <c r="P51" s="13722">
        <f>'lbpf 3-MOTORPOOL'!J93</f>
        <v>500000</v>
      </c>
      <c r="Q51" s="13723"/>
      <c r="R51" s="13723"/>
      <c r="S51" s="13724">
        <f t="shared" si="3"/>
        <v>1640000</v>
      </c>
      <c r="T51" s="13721" t="s">
        <v>668</v>
      </c>
    </row>
    <row r="52" spans="1:20" s="13725" customFormat="1" ht="3" customHeight="1">
      <c r="A52" s="13733"/>
      <c r="B52" s="13734"/>
      <c r="C52" s="13734"/>
      <c r="D52" s="13734"/>
      <c r="E52" s="13735"/>
      <c r="F52" s="13734"/>
      <c r="G52" s="13734"/>
      <c r="H52" s="13736"/>
      <c r="I52" s="13734"/>
      <c r="J52" s="13734"/>
      <c r="K52" s="13736"/>
      <c r="L52" s="13735"/>
      <c r="M52" s="13734"/>
      <c r="N52" s="13737"/>
      <c r="O52" s="13734"/>
      <c r="P52" s="13734"/>
      <c r="Q52" s="13738"/>
      <c r="R52" s="13739"/>
      <c r="S52" s="13740" t="s">
        <v>9</v>
      </c>
      <c r="T52" s="13733"/>
    </row>
    <row r="53" spans="1:20" s="13725" customFormat="1" ht="14.4" thickBot="1">
      <c r="A53" s="13730" t="s">
        <v>485</v>
      </c>
      <c r="B53" s="13731">
        <f>SUM(B42:B51)</f>
        <v>2210000</v>
      </c>
      <c r="C53" s="13731">
        <f t="shared" ref="C53:R53" si="4">SUM(C42:C51)</f>
        <v>100000</v>
      </c>
      <c r="D53" s="13731">
        <f t="shared" si="4"/>
        <v>0</v>
      </c>
      <c r="E53" s="13731">
        <f t="shared" si="4"/>
        <v>0</v>
      </c>
      <c r="F53" s="13731">
        <f t="shared" si="4"/>
        <v>1000000</v>
      </c>
      <c r="G53" s="13731">
        <f t="shared" si="4"/>
        <v>1057227</v>
      </c>
      <c r="H53" s="13731">
        <f t="shared" si="4"/>
        <v>0</v>
      </c>
      <c r="I53" s="13731">
        <f t="shared" si="4"/>
        <v>1125600</v>
      </c>
      <c r="J53" s="13731">
        <f t="shared" si="4"/>
        <v>785000</v>
      </c>
      <c r="K53" s="13731">
        <f t="shared" si="4"/>
        <v>0</v>
      </c>
      <c r="L53" s="13731">
        <f t="shared" si="4"/>
        <v>0</v>
      </c>
      <c r="M53" s="13731">
        <f t="shared" si="4"/>
        <v>0</v>
      </c>
      <c r="N53" s="13731">
        <f t="shared" si="4"/>
        <v>0</v>
      </c>
      <c r="O53" s="13731">
        <f t="shared" si="4"/>
        <v>105000</v>
      </c>
      <c r="P53" s="13731">
        <f t="shared" si="4"/>
        <v>580000</v>
      </c>
      <c r="Q53" s="13731">
        <f t="shared" si="4"/>
        <v>0</v>
      </c>
      <c r="R53" s="13731">
        <f t="shared" si="4"/>
        <v>0</v>
      </c>
      <c r="S53" s="13731">
        <f>SUM(S42:S51)</f>
        <v>6962827</v>
      </c>
      <c r="T53" s="13730" t="s">
        <v>485</v>
      </c>
    </row>
    <row r="54" spans="1:20" s="13725" customFormat="1" ht="4.5" customHeight="1" thickTop="1">
      <c r="A54" s="13757"/>
      <c r="B54" s="13734"/>
      <c r="C54" s="13734"/>
      <c r="D54" s="13734"/>
      <c r="E54" s="13734"/>
      <c r="F54" s="13734"/>
      <c r="G54" s="13734"/>
      <c r="H54" s="13734"/>
      <c r="I54" s="13734"/>
      <c r="J54" s="13734"/>
      <c r="K54" s="13734"/>
      <c r="L54" s="13734"/>
      <c r="M54" s="13734"/>
      <c r="N54" s="13734"/>
      <c r="O54" s="13734"/>
      <c r="P54" s="13734"/>
      <c r="Q54" s="13734"/>
      <c r="R54" s="13734"/>
      <c r="S54" s="13740" t="s">
        <v>9</v>
      </c>
      <c r="T54" s="13757"/>
    </row>
    <row r="55" spans="1:20" s="13725" customFormat="1" ht="2.25" customHeight="1" thickBot="1">
      <c r="A55" s="13748"/>
      <c r="B55" s="13758"/>
      <c r="C55" s="13758"/>
      <c r="D55" s="13758"/>
      <c r="E55" s="13758"/>
      <c r="F55" s="13758"/>
      <c r="G55" s="13758"/>
      <c r="H55" s="13758"/>
      <c r="I55" s="13758"/>
      <c r="J55" s="13758"/>
      <c r="K55" s="13758"/>
      <c r="L55" s="13758"/>
      <c r="M55" s="13758"/>
      <c r="N55" s="13758"/>
      <c r="O55" s="13758"/>
      <c r="P55" s="13758"/>
      <c r="Q55" s="13758"/>
      <c r="R55" s="13758"/>
      <c r="S55" s="13759" t="s">
        <v>9</v>
      </c>
      <c r="T55" s="13748"/>
    </row>
    <row r="56" spans="1:20" s="13725" customFormat="1" ht="12.75" customHeight="1" thickTop="1">
      <c r="A56" s="13760" t="s">
        <v>669</v>
      </c>
      <c r="B56" s="13761">
        <f>SUM(B22+B40+B53)</f>
        <v>2210000</v>
      </c>
      <c r="C56" s="13761">
        <f t="shared" ref="C56:R56" si="5">SUM(C22+C40+C53)</f>
        <v>135000</v>
      </c>
      <c r="D56" s="13761">
        <f t="shared" si="5"/>
        <v>0</v>
      </c>
      <c r="E56" s="13761">
        <f t="shared" si="5"/>
        <v>0</v>
      </c>
      <c r="F56" s="13761">
        <f t="shared" si="5"/>
        <v>9411800</v>
      </c>
      <c r="G56" s="13761">
        <f t="shared" si="5"/>
        <v>5086122</v>
      </c>
      <c r="H56" s="13761">
        <f t="shared" si="5"/>
        <v>760000</v>
      </c>
      <c r="I56" s="13761">
        <f t="shared" si="5"/>
        <v>4895248.5</v>
      </c>
      <c r="J56" s="13761">
        <f t="shared" si="5"/>
        <v>7643200</v>
      </c>
      <c r="K56" s="13761">
        <f t="shared" si="5"/>
        <v>0</v>
      </c>
      <c r="L56" s="13761">
        <f t="shared" si="5"/>
        <v>50000</v>
      </c>
      <c r="M56" s="13761">
        <f t="shared" si="5"/>
        <v>1201500</v>
      </c>
      <c r="N56" s="13761">
        <f t="shared" si="5"/>
        <v>422000</v>
      </c>
      <c r="O56" s="13761">
        <f t="shared" si="5"/>
        <v>4774480</v>
      </c>
      <c r="P56" s="13761">
        <f t="shared" si="5"/>
        <v>4330000</v>
      </c>
      <c r="Q56" s="13761">
        <f t="shared" si="5"/>
        <v>0</v>
      </c>
      <c r="R56" s="13761">
        <f t="shared" si="5"/>
        <v>0</v>
      </c>
      <c r="S56" s="13761">
        <f>SUM(B56:R56)</f>
        <v>40919350.5</v>
      </c>
      <c r="T56" s="13760" t="s">
        <v>669</v>
      </c>
    </row>
    <row r="58" spans="1:20" hidden="1">
      <c r="S58" s="13725">
        <f>S53+S40+S22</f>
        <v>40919350.5</v>
      </c>
    </row>
    <row r="59" spans="1:20">
      <c r="S59" s="13725"/>
    </row>
    <row r="60" spans="1:20">
      <c r="S60" s="13725"/>
    </row>
    <row r="61" spans="1:20">
      <c r="S61" s="13725"/>
    </row>
    <row r="62" spans="1:20">
      <c r="S62" s="13725"/>
    </row>
  </sheetData>
  <pageMargins left="0.25" right="0.25" top="0.5" bottom="0" header="0" footer="0"/>
  <pageSetup paperSize="119" scale="85" pageOrder="overThenDown" orientation="landscape" r:id="rId1"/>
</worksheet>
</file>

<file path=xl/worksheets/sheet221.xml><?xml version="1.0" encoding="utf-8"?>
<worksheet xmlns="http://schemas.openxmlformats.org/spreadsheetml/2006/main" xmlns:r="http://schemas.openxmlformats.org/officeDocument/2006/relationships">
  <sheetPr codeName="Sheet198">
    <tabColor rgb="FFFF0000"/>
  </sheetPr>
  <dimension ref="A1:AH59"/>
  <sheetViews>
    <sheetView tabSelected="1" zoomScale="90" zoomScaleNormal="90" workbookViewId="0">
      <selection activeCell="C3" sqref="C3"/>
    </sheetView>
  </sheetViews>
  <sheetFormatPr defaultColWidth="12.109375" defaultRowHeight="14.1" customHeight="1"/>
  <cols>
    <col min="1" max="1" width="12.109375" style="13839" customWidth="1"/>
    <col min="2" max="2" width="4.44140625" style="13935" customWidth="1"/>
    <col min="3" max="3" width="12.88671875" style="10469" customWidth="1"/>
    <col min="4" max="4" width="3.33203125" style="13935" customWidth="1"/>
    <col min="5" max="5" width="10.6640625" style="13839" customWidth="1"/>
    <col min="6" max="6" width="4.109375" style="13935" customWidth="1"/>
    <col min="7" max="7" width="12" style="10469" customWidth="1"/>
    <col min="8" max="8" width="4.44140625" style="13935" customWidth="1"/>
    <col min="9" max="9" width="12.88671875" style="10469" customWidth="1"/>
    <col min="10" max="10" width="4.109375" style="13935" customWidth="1"/>
    <col min="11" max="12" width="12.88671875" style="10469" customWidth="1"/>
    <col min="13" max="13" width="5.88671875" style="13936" customWidth="1"/>
    <col min="14" max="14" width="11.88671875" style="10469" customWidth="1"/>
    <col min="15" max="15" width="6.5546875" style="13937" customWidth="1"/>
    <col min="16" max="16" width="12.88671875" style="13951" customWidth="1"/>
    <col min="17" max="17" width="4.109375" style="13935" customWidth="1"/>
    <col min="18" max="18" width="11.109375" style="13839" customWidth="1"/>
    <col min="19" max="19" width="16.88671875" style="13839" hidden="1" customWidth="1"/>
    <col min="20" max="20" width="12.109375" style="13839" customWidth="1"/>
    <col min="21" max="21" width="12.88671875" style="13839" hidden="1" customWidth="1"/>
    <col min="22" max="22" width="12.88671875" style="13939" hidden="1" customWidth="1"/>
    <col min="23" max="23" width="12.88671875" style="13839" hidden="1" customWidth="1"/>
    <col min="24" max="25" width="10.88671875" style="13938" customWidth="1"/>
    <col min="26" max="26" width="5.88671875" style="13939" customWidth="1"/>
    <col min="27" max="27" width="7.44140625" style="13939" customWidth="1"/>
    <col min="28" max="28" width="13.88671875" style="13839" customWidth="1"/>
    <col min="29" max="16384" width="12.109375" style="13839"/>
  </cols>
  <sheetData>
    <row r="1" spans="1:33" ht="12.75" customHeight="1">
      <c r="A1" s="13831" t="s">
        <v>12208</v>
      </c>
      <c r="B1" s="13832"/>
      <c r="C1" s="10451"/>
      <c r="D1" s="13832"/>
      <c r="E1" s="13833"/>
      <c r="F1" s="13832"/>
      <c r="G1" s="10451"/>
      <c r="H1" s="13832"/>
      <c r="I1" s="10451"/>
      <c r="J1" s="13832"/>
      <c r="K1" s="10451"/>
      <c r="L1" s="10451"/>
      <c r="M1" s="13834"/>
      <c r="N1" s="10451"/>
      <c r="O1" s="13835"/>
      <c r="P1" s="10451"/>
      <c r="Q1" s="13832"/>
      <c r="R1" s="13833"/>
      <c r="S1" s="15535" t="s">
        <v>9</v>
      </c>
      <c r="T1" s="15535"/>
      <c r="U1" s="13836"/>
      <c r="V1" s="13837"/>
      <c r="W1" s="13836"/>
      <c r="X1" s="13838"/>
      <c r="Y1" s="13838"/>
      <c r="Z1" s="13837"/>
      <c r="AA1" s="13837"/>
    </row>
    <row r="2" spans="1:33" ht="3" customHeight="1">
      <c r="A2" s="13836"/>
      <c r="B2" s="13840"/>
      <c r="C2" s="10452"/>
      <c r="D2" s="13840"/>
      <c r="E2" s="13836"/>
      <c r="F2" s="13840"/>
      <c r="G2" s="10452"/>
      <c r="H2" s="13840"/>
      <c r="I2" s="10452"/>
      <c r="J2" s="13840"/>
      <c r="K2" s="10452"/>
      <c r="L2" s="10452"/>
      <c r="M2" s="13841"/>
      <c r="N2" s="10452"/>
      <c r="O2" s="13842"/>
      <c r="P2" s="13947"/>
      <c r="Q2" s="13840"/>
      <c r="R2" s="13836"/>
      <c r="S2" s="13836"/>
      <c r="T2" s="13836"/>
      <c r="U2" s="13836"/>
      <c r="V2" s="13837"/>
      <c r="W2" s="13836"/>
      <c r="X2" s="13838"/>
      <c r="Y2" s="13838"/>
      <c r="Z2" s="13837"/>
      <c r="AA2" s="13837"/>
    </row>
    <row r="3" spans="1:33" s="13846" customFormat="1" ht="9" customHeight="1">
      <c r="A3" s="15536" t="s">
        <v>216</v>
      </c>
      <c r="B3" s="15533" t="s">
        <v>846</v>
      </c>
      <c r="C3" s="10453" t="s">
        <v>3049</v>
      </c>
      <c r="D3" s="15533" t="s">
        <v>846</v>
      </c>
      <c r="E3" s="13843" t="s">
        <v>3050</v>
      </c>
      <c r="F3" s="15533" t="s">
        <v>846</v>
      </c>
      <c r="G3" s="10453" t="s">
        <v>3051</v>
      </c>
      <c r="H3" s="15533" t="s">
        <v>846</v>
      </c>
      <c r="I3" s="10453" t="s">
        <v>3052</v>
      </c>
      <c r="J3" s="15533" t="s">
        <v>846</v>
      </c>
      <c r="K3" s="10453" t="s">
        <v>3053</v>
      </c>
      <c r="L3" s="10453" t="s">
        <v>220</v>
      </c>
      <c r="M3" s="13844" t="s">
        <v>10848</v>
      </c>
      <c r="N3" s="10453" t="s">
        <v>3054</v>
      </c>
      <c r="O3" s="15538" t="s">
        <v>10850</v>
      </c>
      <c r="P3" s="10453" t="s">
        <v>220</v>
      </c>
      <c r="Q3" s="15540" t="s">
        <v>846</v>
      </c>
      <c r="R3" s="13843" t="s">
        <v>3055</v>
      </c>
      <c r="S3" s="13843" t="s">
        <v>3056</v>
      </c>
      <c r="T3" s="13843" t="s">
        <v>3057</v>
      </c>
      <c r="U3" s="13843"/>
      <c r="V3" s="15533" t="s">
        <v>846</v>
      </c>
      <c r="W3" s="13843" t="s">
        <v>3054</v>
      </c>
      <c r="X3" s="13843" t="s">
        <v>220</v>
      </c>
      <c r="Y3" s="13845"/>
      <c r="Z3" s="13845"/>
      <c r="AA3" s="13845"/>
    </row>
    <row r="4" spans="1:33" s="13849" customFormat="1" ht="10.199999999999999">
      <c r="A4" s="15537"/>
      <c r="B4" s="15534"/>
      <c r="C4" s="10454" t="s">
        <v>3058</v>
      </c>
      <c r="D4" s="15534"/>
      <c r="E4" s="13847" t="s">
        <v>3058</v>
      </c>
      <c r="F4" s="15534"/>
      <c r="G4" s="10454" t="s">
        <v>3059</v>
      </c>
      <c r="H4" s="15534"/>
      <c r="I4" s="10454" t="s">
        <v>3059</v>
      </c>
      <c r="J4" s="15534"/>
      <c r="K4" s="10454" t="s">
        <v>3060</v>
      </c>
      <c r="L4" s="10454" t="s">
        <v>3061</v>
      </c>
      <c r="M4" s="13848" t="s">
        <v>10849</v>
      </c>
      <c r="N4" s="10454" t="s">
        <v>1034</v>
      </c>
      <c r="O4" s="15539"/>
      <c r="P4" s="10454" t="s">
        <v>3062</v>
      </c>
      <c r="Q4" s="15541"/>
      <c r="R4" s="13847"/>
      <c r="S4" s="13847"/>
      <c r="T4" s="13847" t="s">
        <v>3063</v>
      </c>
      <c r="U4" s="13847"/>
      <c r="V4" s="15534"/>
      <c r="W4" s="13847" t="s">
        <v>3064</v>
      </c>
      <c r="X4" s="13847" t="s">
        <v>3063</v>
      </c>
      <c r="Y4" s="13845"/>
      <c r="Z4" s="13845"/>
      <c r="AA4" s="13845"/>
    </row>
    <row r="5" spans="1:33" ht="1.5" customHeight="1">
      <c r="A5" s="13850"/>
      <c r="B5" s="13851"/>
      <c r="C5" s="13942"/>
      <c r="D5" s="13852"/>
      <c r="E5" s="13853"/>
      <c r="F5" s="13851"/>
      <c r="G5" s="13942"/>
      <c r="H5" s="13852"/>
      <c r="I5" s="10455"/>
      <c r="J5" s="13851"/>
      <c r="K5" s="13942"/>
      <c r="L5" s="13946"/>
      <c r="M5" s="13855"/>
      <c r="N5" s="10455"/>
      <c r="O5" s="13856"/>
      <c r="P5" s="13948"/>
      <c r="Q5" s="13852"/>
      <c r="R5" s="13854"/>
      <c r="S5" s="13854"/>
      <c r="T5" s="13854"/>
      <c r="U5" s="13854"/>
      <c r="V5" s="13857"/>
      <c r="W5" s="13854"/>
      <c r="X5" s="13857"/>
      <c r="Y5" s="13858"/>
      <c r="Z5" s="13858"/>
      <c r="AA5" s="13858"/>
      <c r="AB5" s="13859"/>
      <c r="AC5" s="13859"/>
      <c r="AD5" s="13859"/>
      <c r="AE5" s="13859"/>
      <c r="AF5" s="13859"/>
      <c r="AG5" s="13859"/>
    </row>
    <row r="6" spans="1:33" ht="14.1" customHeight="1">
      <c r="A6" s="13860" t="s">
        <v>568</v>
      </c>
      <c r="B6" s="13861">
        <f>'staffing-GOV'!B10+'staffing-GOV'!B11</f>
        <v>1</v>
      </c>
      <c r="C6" s="13943">
        <f>'staffing-GOV'!F10+'staffing-GOV'!F11</f>
        <v>2171388</v>
      </c>
      <c r="D6" s="13862"/>
      <c r="E6" s="13863"/>
      <c r="F6" s="13861">
        <f>'staffing-GOV'!G24</f>
        <v>5</v>
      </c>
      <c r="G6" s="13943">
        <f>'staffing-GOV'!H24</f>
        <v>2787324</v>
      </c>
      <c r="H6" s="13862">
        <f>'staffing-GOV'!G30</f>
        <v>8</v>
      </c>
      <c r="I6" s="10456">
        <f>'staffing-GOV'!H30</f>
        <v>1233060</v>
      </c>
      <c r="J6" s="13861">
        <f>'staffing-GOV'!G46</f>
        <v>14</v>
      </c>
      <c r="K6" s="13943">
        <f>'staffing-GOV'!H46</f>
        <v>2347248</v>
      </c>
      <c r="L6" s="10463">
        <f t="shared" ref="L6:L11" si="0">C6+E6+G6+I6+K6</f>
        <v>8539020</v>
      </c>
      <c r="M6" s="13865">
        <f>B6+D6+F6+H6+J6</f>
        <v>28</v>
      </c>
      <c r="N6" s="10456">
        <f>'staffing-GOV'!F79</f>
        <v>548040</v>
      </c>
      <c r="O6" s="13866">
        <f>'staffing-GOV'!B79</f>
        <v>4</v>
      </c>
      <c r="P6" s="10461">
        <f t="shared" ref="P6:P22" si="1">L6+N6</f>
        <v>9087060</v>
      </c>
      <c r="Q6" s="13862"/>
      <c r="R6" s="13868"/>
      <c r="S6" s="13864"/>
      <c r="T6" s="13864"/>
      <c r="U6" s="13868"/>
      <c r="V6" s="13869"/>
      <c r="W6" s="13864"/>
      <c r="X6" s="13867">
        <v>0</v>
      </c>
      <c r="Y6" s="13870"/>
      <c r="Z6" s="13871">
        <f t="shared" ref="Z6:Z39" si="2">M6+O6</f>
        <v>32</v>
      </c>
      <c r="AA6" s="13871">
        <f t="shared" ref="AA6:AA22" si="3">SUM(B6,D6,F6,H6,J6,O6)</f>
        <v>32</v>
      </c>
      <c r="AB6" s="13859"/>
      <c r="AC6" s="13859"/>
      <c r="AD6" s="13859"/>
      <c r="AE6" s="13859"/>
      <c r="AF6" s="13859"/>
      <c r="AG6" s="13859"/>
    </row>
    <row r="7" spans="1:33" ht="14.1" customHeight="1">
      <c r="A7" s="13872" t="s">
        <v>1724</v>
      </c>
      <c r="B7" s="13873"/>
      <c r="C7" s="13943"/>
      <c r="D7" s="13862"/>
      <c r="E7" s="13874"/>
      <c r="F7" s="13873">
        <f>'staffing-BICTU'!I15</f>
        <v>1</v>
      </c>
      <c r="G7" s="13943">
        <f>'staffing-BICTU'!J15</f>
        <v>375504</v>
      </c>
      <c r="H7" s="13862">
        <f>'staffing-BICTU'!I27</f>
        <v>6</v>
      </c>
      <c r="I7" s="10457">
        <f>'staffing-BICTU'!J27</f>
        <v>1474680</v>
      </c>
      <c r="J7" s="13873">
        <f>'staffing-BICTU'!I32</f>
        <v>3</v>
      </c>
      <c r="K7" s="13943">
        <f>'staffing-BICTU'!J32</f>
        <v>515724</v>
      </c>
      <c r="L7" s="10463">
        <f t="shared" si="0"/>
        <v>2365908</v>
      </c>
      <c r="M7" s="13865">
        <f t="shared" ref="M7:M22" si="4">B7+D7+F7+H7+J7</f>
        <v>10</v>
      </c>
      <c r="N7" s="10457">
        <f>'staffing-BICTU'!G47</f>
        <v>1427868</v>
      </c>
      <c r="O7" s="13866">
        <f>'staffing-BICTU'!B47</f>
        <v>7</v>
      </c>
      <c r="P7" s="10461">
        <f t="shared" si="1"/>
        <v>3793776</v>
      </c>
      <c r="Q7" s="13862"/>
      <c r="R7" s="13875"/>
      <c r="S7" s="13876"/>
      <c r="T7" s="13876"/>
      <c r="U7" s="13875"/>
      <c r="V7" s="13877"/>
      <c r="W7" s="13876"/>
      <c r="X7" s="13878"/>
      <c r="Y7" s="13870"/>
      <c r="Z7" s="13879">
        <f t="shared" si="2"/>
        <v>17</v>
      </c>
      <c r="AA7" s="13871">
        <f t="shared" si="3"/>
        <v>17</v>
      </c>
      <c r="AB7" s="13859"/>
      <c r="AC7" s="13859"/>
      <c r="AD7" s="13859"/>
      <c r="AE7" s="13859"/>
      <c r="AF7" s="13859"/>
      <c r="AG7" s="13859"/>
    </row>
    <row r="8" spans="1:33" ht="14.1" customHeight="1">
      <c r="A8" s="13872" t="s">
        <v>10317</v>
      </c>
      <c r="B8" s="13873"/>
      <c r="C8" s="13943"/>
      <c r="D8" s="13862"/>
      <c r="E8" s="13880"/>
      <c r="F8" s="13873"/>
      <c r="G8" s="13943"/>
      <c r="H8" s="13862"/>
      <c r="I8" s="10458"/>
      <c r="J8" s="13873">
        <f>'staffing-EDCOM'!I25</f>
        <v>3</v>
      </c>
      <c r="K8" s="13943">
        <f>'staffing-EDCOM'!J25</f>
        <v>871932</v>
      </c>
      <c r="L8" s="10463">
        <f t="shared" si="0"/>
        <v>871932</v>
      </c>
      <c r="M8" s="13865">
        <f t="shared" si="4"/>
        <v>3</v>
      </c>
      <c r="N8" s="10458">
        <f>'staffing-EDCOM'!J33</f>
        <v>366372</v>
      </c>
      <c r="O8" s="13866">
        <f>'staffing-EDCOM'!I33</f>
        <v>1</v>
      </c>
      <c r="P8" s="10461">
        <f t="shared" si="1"/>
        <v>1238304</v>
      </c>
      <c r="Q8" s="13862"/>
      <c r="R8" s="13875"/>
      <c r="S8" s="13876"/>
      <c r="T8" s="13876"/>
      <c r="U8" s="13875"/>
      <c r="V8" s="13877"/>
      <c r="W8" s="13876"/>
      <c r="X8" s="13878"/>
      <c r="Y8" s="13870"/>
      <c r="Z8" s="13871">
        <f t="shared" si="2"/>
        <v>4</v>
      </c>
      <c r="AA8" s="13871">
        <f t="shared" si="3"/>
        <v>4</v>
      </c>
      <c r="AB8" s="13859"/>
      <c r="AC8" s="13859"/>
      <c r="AD8" s="13859"/>
      <c r="AE8" s="13859"/>
      <c r="AF8" s="13859"/>
      <c r="AG8" s="13859"/>
    </row>
    <row r="9" spans="1:33" ht="14.1" customHeight="1">
      <c r="A9" s="13872" t="s">
        <v>10318</v>
      </c>
      <c r="B9" s="13873"/>
      <c r="C9" s="13943"/>
      <c r="D9" s="13862"/>
      <c r="E9" s="13880"/>
      <c r="F9" s="13873">
        <f>'staffing-EDCENTER'!I16</f>
        <v>1</v>
      </c>
      <c r="G9" s="13943">
        <f>'staffing-EDCENTER'!J16</f>
        <v>170676</v>
      </c>
      <c r="H9" s="13862"/>
      <c r="I9" s="10458"/>
      <c r="J9" s="13873">
        <f>'staffing-EDCENTER'!I21</f>
        <v>3</v>
      </c>
      <c r="K9" s="13943">
        <f>'staffing-EDCENTER'!J21</f>
        <v>681372</v>
      </c>
      <c r="L9" s="10463">
        <f t="shared" si="0"/>
        <v>852048</v>
      </c>
      <c r="M9" s="13865">
        <f>B9+D9+F9+H9+J9</f>
        <v>4</v>
      </c>
      <c r="N9" s="10458">
        <f>'staffing-EDCENTER'!G34</f>
        <v>718440</v>
      </c>
      <c r="O9" s="13866">
        <f>'staffing-EDCENTER'!B34</f>
        <v>2</v>
      </c>
      <c r="P9" s="10461">
        <f t="shared" si="1"/>
        <v>1570488</v>
      </c>
      <c r="Q9" s="13862"/>
      <c r="R9" s="13875"/>
      <c r="S9" s="13876"/>
      <c r="T9" s="13876"/>
      <c r="U9" s="13875"/>
      <c r="V9" s="13877"/>
      <c r="W9" s="13876"/>
      <c r="X9" s="13878"/>
      <c r="Y9" s="13870"/>
      <c r="Z9" s="13871">
        <f t="shared" si="2"/>
        <v>6</v>
      </c>
      <c r="AA9" s="13871">
        <f t="shared" si="3"/>
        <v>6</v>
      </c>
      <c r="AB9" s="13859"/>
      <c r="AC9" s="13859"/>
      <c r="AD9" s="13859"/>
      <c r="AE9" s="13859"/>
      <c r="AF9" s="13859"/>
      <c r="AG9" s="13859"/>
    </row>
    <row r="10" spans="1:33" ht="14.1" customHeight="1">
      <c r="A10" s="13881" t="s">
        <v>11193</v>
      </c>
      <c r="B10" s="13882"/>
      <c r="C10" s="13943"/>
      <c r="D10" s="13862"/>
      <c r="E10" s="13883"/>
      <c r="F10" s="13882">
        <f>'staffing-PYDO'!I17</f>
        <v>3</v>
      </c>
      <c r="G10" s="13943">
        <f>'staffing-PYDO'!J17</f>
        <v>673056</v>
      </c>
      <c r="H10" s="13862"/>
      <c r="I10" s="10459"/>
      <c r="J10" s="13882">
        <f>'staffing-PYDO'!I24</f>
        <v>0</v>
      </c>
      <c r="K10" s="13943">
        <f>'staffing-PYDO'!J24</f>
        <v>0</v>
      </c>
      <c r="L10" s="10463">
        <f t="shared" si="0"/>
        <v>673056</v>
      </c>
      <c r="M10" s="13865">
        <f>B10+D10+F10+H10+J10</f>
        <v>3</v>
      </c>
      <c r="N10" s="10459">
        <f>'staffing-PYDO'!G33</f>
        <v>149592</v>
      </c>
      <c r="O10" s="13866">
        <f>'staffing-PYDO'!B33</f>
        <v>1</v>
      </c>
      <c r="P10" s="10461">
        <f t="shared" si="1"/>
        <v>822648</v>
      </c>
      <c r="Q10" s="13862"/>
      <c r="R10" s="13884"/>
      <c r="S10" s="13885"/>
      <c r="T10" s="13885"/>
      <c r="U10" s="13884"/>
      <c r="V10" s="13886"/>
      <c r="W10" s="13885"/>
      <c r="X10" s="13887"/>
      <c r="Y10" s="13870"/>
      <c r="Z10" s="13871">
        <f t="shared" si="2"/>
        <v>4</v>
      </c>
      <c r="AA10" s="13871">
        <f t="shared" si="3"/>
        <v>4</v>
      </c>
      <c r="AB10" s="13859"/>
      <c r="AC10" s="13859"/>
      <c r="AD10" s="13859"/>
      <c r="AE10" s="13859"/>
      <c r="AF10" s="13859"/>
      <c r="AG10" s="13859"/>
    </row>
    <row r="11" spans="1:33" ht="14.1" customHeight="1">
      <c r="A11" s="13860" t="s">
        <v>678</v>
      </c>
      <c r="B11" s="13861">
        <f>'staffing-PIAO'!G9</f>
        <v>1</v>
      </c>
      <c r="C11" s="13943">
        <f>'staffing-PIAO'!H9</f>
        <v>1310364</v>
      </c>
      <c r="D11" s="13862"/>
      <c r="E11" s="13863"/>
      <c r="F11" s="13861"/>
      <c r="G11" s="13943"/>
      <c r="H11" s="13862">
        <f>'staffing-PIAO'!G18</f>
        <v>4</v>
      </c>
      <c r="I11" s="10456">
        <f>'staffing-PIAO'!H18</f>
        <v>1714068</v>
      </c>
      <c r="J11" s="13861">
        <f>'staffing-PIAO'!G23</f>
        <v>1</v>
      </c>
      <c r="K11" s="13943">
        <f>'staffing-PIAO'!H23</f>
        <v>230796</v>
      </c>
      <c r="L11" s="10463">
        <f t="shared" si="0"/>
        <v>3255228</v>
      </c>
      <c r="M11" s="13865">
        <f t="shared" si="4"/>
        <v>6</v>
      </c>
      <c r="N11" s="10456">
        <f>'staffing-PIAO'!F37</f>
        <v>630912</v>
      </c>
      <c r="O11" s="13866">
        <f>'staffing-PIAO'!B37</f>
        <v>3</v>
      </c>
      <c r="P11" s="10461">
        <f t="shared" si="1"/>
        <v>3886140</v>
      </c>
      <c r="Q11" s="13862"/>
      <c r="R11" s="13868"/>
      <c r="S11" s="13864"/>
      <c r="T11" s="13864"/>
      <c r="U11" s="13868"/>
      <c r="V11" s="13869"/>
      <c r="W11" s="13864"/>
      <c r="X11" s="13867"/>
      <c r="Y11" s="13870"/>
      <c r="Z11" s="13871">
        <f t="shared" si="2"/>
        <v>9</v>
      </c>
      <c r="AA11" s="13871">
        <f t="shared" si="3"/>
        <v>9</v>
      </c>
      <c r="AB11" s="13859"/>
      <c r="AC11" s="13859"/>
      <c r="AD11" s="13859"/>
      <c r="AE11" s="13859"/>
      <c r="AF11" s="13859"/>
      <c r="AG11" s="13859"/>
    </row>
    <row r="12" spans="1:33" ht="14.1" customHeight="1">
      <c r="A12" s="13860" t="s">
        <v>569</v>
      </c>
      <c r="B12" s="13861">
        <f>'staffing-SP'!G12</f>
        <v>14</v>
      </c>
      <c r="C12" s="13943">
        <f>'staffing-SP'!H12</f>
        <v>20717040</v>
      </c>
      <c r="D12" s="13862"/>
      <c r="E12" s="13863"/>
      <c r="F12" s="13861">
        <f>'staffing-SP'!G19</f>
        <v>2</v>
      </c>
      <c r="G12" s="13943">
        <f>'staffing-SP'!H19</f>
        <v>1075944</v>
      </c>
      <c r="H12" s="13862">
        <f>'staffing-SP'!G25</f>
        <v>6</v>
      </c>
      <c r="I12" s="10456">
        <f>'staffing-SP'!H25</f>
        <v>2174460</v>
      </c>
      <c r="J12" s="13861">
        <f>'staffing-SP'!G43</f>
        <v>66</v>
      </c>
      <c r="K12" s="13943">
        <f>'staffing-SP'!H43</f>
        <v>10894380</v>
      </c>
      <c r="L12" s="10463">
        <f t="shared" ref="L12:L20" si="5">C12+E12+G12+I12+K12</f>
        <v>34861824</v>
      </c>
      <c r="M12" s="13865">
        <f t="shared" si="4"/>
        <v>88</v>
      </c>
      <c r="N12" s="10456">
        <f>'staffing-SP'!F64</f>
        <v>3067116</v>
      </c>
      <c r="O12" s="13866">
        <f>'staffing-SP'!B64</f>
        <v>7</v>
      </c>
      <c r="P12" s="10461">
        <f t="shared" si="1"/>
        <v>37928940</v>
      </c>
      <c r="Q12" s="13862">
        <f>'staffing-SP'!B90</f>
        <v>19</v>
      </c>
      <c r="R12" s="13864">
        <f>'staffing-SP'!F85+'staffing-SP'!F86</f>
        <v>5155200</v>
      </c>
      <c r="S12" s="13864"/>
      <c r="T12" s="13864">
        <f>R12+S12</f>
        <v>5155200</v>
      </c>
      <c r="U12" s="13868"/>
      <c r="V12" s="13869"/>
      <c r="W12" s="13864">
        <f>'staffing-SP'!F94</f>
        <v>0</v>
      </c>
      <c r="X12" s="13867">
        <f>T12+W12</f>
        <v>5155200</v>
      </c>
      <c r="Y12" s="13870"/>
      <c r="Z12" s="13871">
        <f t="shared" si="2"/>
        <v>95</v>
      </c>
      <c r="AA12" s="13871">
        <f t="shared" si="3"/>
        <v>95</v>
      </c>
      <c r="AB12" s="13859"/>
      <c r="AC12" s="13859"/>
      <c r="AD12" s="13859"/>
      <c r="AE12" s="13859"/>
      <c r="AF12" s="13859"/>
      <c r="AG12" s="13859"/>
    </row>
    <row r="13" spans="1:33" ht="14.1" customHeight="1">
      <c r="A13" s="13872" t="s">
        <v>9134</v>
      </c>
      <c r="B13" s="13873">
        <f>'staffing-PA'!H11</f>
        <v>1</v>
      </c>
      <c r="C13" s="13943">
        <f>'staffing-PA'!I11</f>
        <v>1289328</v>
      </c>
      <c r="D13" s="13862"/>
      <c r="E13" s="13874"/>
      <c r="F13" s="13873">
        <f>'staffing-PA'!H21</f>
        <v>0</v>
      </c>
      <c r="G13" s="13943">
        <f>'staffing-PA'!I21</f>
        <v>0</v>
      </c>
      <c r="H13" s="13862">
        <f>'staffing-PA'!H32</f>
        <v>32</v>
      </c>
      <c r="I13" s="10457">
        <f>'staffing-PA'!I32</f>
        <v>5404284</v>
      </c>
      <c r="J13" s="13873">
        <f>'staffing-PA'!H45</f>
        <v>17</v>
      </c>
      <c r="K13" s="13943">
        <f>'staffing-PA'!I45</f>
        <v>3021600</v>
      </c>
      <c r="L13" s="10463">
        <f>C13+E13+G13+I13+K13</f>
        <v>9715212</v>
      </c>
      <c r="M13" s="13865">
        <f>B13+D13+F13+H13+J13</f>
        <v>50</v>
      </c>
      <c r="N13" s="10457">
        <f>'staffing-PA'!F68</f>
        <v>831816</v>
      </c>
      <c r="O13" s="13866">
        <f>'staffing-PA'!B68</f>
        <v>5</v>
      </c>
      <c r="P13" s="10461">
        <f t="shared" si="1"/>
        <v>10547028</v>
      </c>
      <c r="Q13" s="13862"/>
      <c r="R13" s="13876"/>
      <c r="S13" s="13876"/>
      <c r="T13" s="13876"/>
      <c r="U13" s="13875"/>
      <c r="V13" s="13877"/>
      <c r="W13" s="13876"/>
      <c r="X13" s="13878"/>
      <c r="Y13" s="13870"/>
      <c r="Z13" s="13879">
        <f t="shared" si="2"/>
        <v>55</v>
      </c>
      <c r="AA13" s="13871">
        <f t="shared" si="3"/>
        <v>55</v>
      </c>
      <c r="AB13" s="13859"/>
      <c r="AC13" s="13859"/>
      <c r="AD13" s="13859"/>
      <c r="AE13" s="13859"/>
      <c r="AF13" s="13859"/>
      <c r="AG13" s="13859"/>
    </row>
    <row r="14" spans="1:33" ht="14.1" customHeight="1">
      <c r="A14" s="13860" t="s">
        <v>570</v>
      </c>
      <c r="B14" s="13861">
        <f>'staffing-hrmo'!H10</f>
        <v>1</v>
      </c>
      <c r="C14" s="13943">
        <f>'staffing-hrmo'!I10</f>
        <v>1331760</v>
      </c>
      <c r="D14" s="13862"/>
      <c r="E14" s="13863"/>
      <c r="F14" s="13861"/>
      <c r="G14" s="13943"/>
      <c r="H14" s="13862"/>
      <c r="I14" s="10456"/>
      <c r="J14" s="13861">
        <f>'staffing-hrmo'!H34</f>
        <v>24</v>
      </c>
      <c r="K14" s="13943">
        <f>'staffing-hrmo'!I34</f>
        <v>5816088</v>
      </c>
      <c r="L14" s="10463">
        <f t="shared" si="5"/>
        <v>7147848</v>
      </c>
      <c r="M14" s="13865">
        <f t="shared" si="4"/>
        <v>25</v>
      </c>
      <c r="N14" s="10456">
        <f>'staffing-hrmo'!F50</f>
        <v>2548872</v>
      </c>
      <c r="O14" s="13866">
        <f>'staffing-hrmo'!B50</f>
        <v>9</v>
      </c>
      <c r="P14" s="10461">
        <f t="shared" si="1"/>
        <v>9696720</v>
      </c>
      <c r="Q14" s="13862"/>
      <c r="R14" s="13864"/>
      <c r="S14" s="13864"/>
      <c r="T14" s="13864"/>
      <c r="U14" s="13868"/>
      <c r="V14" s="13869"/>
      <c r="W14" s="13864"/>
      <c r="X14" s="13867"/>
      <c r="Y14" s="13870"/>
      <c r="Z14" s="13879">
        <f t="shared" si="2"/>
        <v>34</v>
      </c>
      <c r="AA14" s="13871">
        <f t="shared" si="3"/>
        <v>34</v>
      </c>
      <c r="AB14" s="13859"/>
      <c r="AC14" s="13859"/>
      <c r="AD14" s="13859"/>
      <c r="AE14" s="13859"/>
      <c r="AF14" s="13859"/>
      <c r="AG14" s="13859"/>
    </row>
    <row r="15" spans="1:33" ht="14.1" customHeight="1">
      <c r="A15" s="13860" t="s">
        <v>571</v>
      </c>
      <c r="B15" s="13861">
        <f>'staffing-ppdo'!H9</f>
        <v>1</v>
      </c>
      <c r="C15" s="13943">
        <f>'staffing-ppdo'!I9</f>
        <v>1353492</v>
      </c>
      <c r="D15" s="13862"/>
      <c r="E15" s="13863"/>
      <c r="F15" s="13861">
        <f>'staffing-ppdo'!H26</f>
        <v>15</v>
      </c>
      <c r="G15" s="13943">
        <f>'staffing-ppdo'!I26</f>
        <v>6298812</v>
      </c>
      <c r="H15" s="13862">
        <f>'staffing-ppdo'!H35</f>
        <v>5</v>
      </c>
      <c r="I15" s="10456">
        <f>'staffing-ppdo'!I35</f>
        <v>844176</v>
      </c>
      <c r="J15" s="13861">
        <f>'staffing-ppdo'!H42</f>
        <v>11</v>
      </c>
      <c r="K15" s="13943">
        <f>'staffing-ppdo'!I42</f>
        <v>2085804</v>
      </c>
      <c r="L15" s="10463">
        <f t="shared" si="5"/>
        <v>10582284</v>
      </c>
      <c r="M15" s="13865">
        <f t="shared" si="4"/>
        <v>32</v>
      </c>
      <c r="N15" s="10456">
        <f>'staffing-ppdo'!F63</f>
        <v>2464392</v>
      </c>
      <c r="O15" s="13866">
        <f>'staffing-ppdo'!B63</f>
        <v>6</v>
      </c>
      <c r="P15" s="10461">
        <f t="shared" si="1"/>
        <v>13046676</v>
      </c>
      <c r="Q15" s="13862"/>
      <c r="R15" s="13864"/>
      <c r="S15" s="13864"/>
      <c r="T15" s="13864"/>
      <c r="U15" s="13868"/>
      <c r="V15" s="13869"/>
      <c r="W15" s="13864"/>
      <c r="X15" s="13867"/>
      <c r="Y15" s="13870"/>
      <c r="Z15" s="13879">
        <f t="shared" si="2"/>
        <v>38</v>
      </c>
      <c r="AA15" s="13871">
        <f t="shared" si="3"/>
        <v>38</v>
      </c>
      <c r="AB15" s="13859"/>
      <c r="AC15" s="13859"/>
      <c r="AD15" s="13859"/>
      <c r="AE15" s="13859"/>
      <c r="AF15" s="13859"/>
      <c r="AG15" s="13859"/>
    </row>
    <row r="16" spans="1:33" ht="14.1" customHeight="1">
      <c r="A16" s="13860" t="s">
        <v>572</v>
      </c>
      <c r="B16" s="13861">
        <f>'staffing-pgso'!H11</f>
        <v>1</v>
      </c>
      <c r="C16" s="13943">
        <f>'staffing-pgso'!I11</f>
        <v>1017204</v>
      </c>
      <c r="D16" s="13862"/>
      <c r="E16" s="13863"/>
      <c r="F16" s="13861">
        <f>'staffing-pgso'!H19</f>
        <v>5</v>
      </c>
      <c r="G16" s="13943">
        <f>'staffing-pgso'!I19</f>
        <v>2674308</v>
      </c>
      <c r="H16" s="13862">
        <f>'staffing-pgso'!H40</f>
        <v>27</v>
      </c>
      <c r="I16" s="10456">
        <f>'staffing-pgso'!I40</f>
        <v>4508160</v>
      </c>
      <c r="J16" s="13861">
        <f>'staffing-pgso'!H54</f>
        <v>36</v>
      </c>
      <c r="K16" s="13943">
        <f>'staffing-pgso'!I54</f>
        <v>6225192</v>
      </c>
      <c r="L16" s="10463">
        <f t="shared" si="5"/>
        <v>14424864</v>
      </c>
      <c r="M16" s="13865">
        <f t="shared" si="4"/>
        <v>69</v>
      </c>
      <c r="N16" s="10456">
        <f>'staffing-pgso'!F80</f>
        <v>4261896</v>
      </c>
      <c r="O16" s="13866">
        <f>'staffing-pgso'!B80</f>
        <v>17</v>
      </c>
      <c r="P16" s="10461">
        <f t="shared" si="1"/>
        <v>18686760</v>
      </c>
      <c r="Q16" s="13862"/>
      <c r="R16" s="13864"/>
      <c r="S16" s="13864"/>
      <c r="T16" s="13864"/>
      <c r="U16" s="13868"/>
      <c r="V16" s="13869"/>
      <c r="W16" s="13864"/>
      <c r="X16" s="13867"/>
      <c r="Y16" s="13870"/>
      <c r="Z16" s="13879">
        <f t="shared" si="2"/>
        <v>86</v>
      </c>
      <c r="AA16" s="13871">
        <f t="shared" si="3"/>
        <v>86</v>
      </c>
      <c r="AB16" s="13859"/>
      <c r="AC16" s="13859"/>
      <c r="AD16" s="13859"/>
      <c r="AE16" s="13859"/>
      <c r="AF16" s="13859"/>
      <c r="AG16" s="13859"/>
    </row>
    <row r="17" spans="1:33" ht="14.1" customHeight="1">
      <c r="A17" s="13860" t="s">
        <v>573</v>
      </c>
      <c r="B17" s="13861">
        <f>'staffing-pbmo'!B10</f>
        <v>1</v>
      </c>
      <c r="C17" s="13943">
        <f>'staffing-pbmo'!F10</f>
        <v>1289328</v>
      </c>
      <c r="D17" s="13862"/>
      <c r="E17" s="13863"/>
      <c r="F17" s="13861"/>
      <c r="G17" s="13943"/>
      <c r="H17" s="13862"/>
      <c r="I17" s="10456"/>
      <c r="J17" s="13861">
        <f>'staffing-pbmo'!H31</f>
        <v>15</v>
      </c>
      <c r="K17" s="13943">
        <f>'staffing-pbmo'!I31</f>
        <v>4610988</v>
      </c>
      <c r="L17" s="10463">
        <f t="shared" si="5"/>
        <v>5900316</v>
      </c>
      <c r="M17" s="13865">
        <f t="shared" si="4"/>
        <v>16</v>
      </c>
      <c r="N17" s="10456">
        <f>'staffing-pbmo'!F45</f>
        <v>1884288</v>
      </c>
      <c r="O17" s="13866">
        <f>'staffing-pbmo'!B45</f>
        <v>7</v>
      </c>
      <c r="P17" s="10461">
        <f t="shared" si="1"/>
        <v>7784604</v>
      </c>
      <c r="Q17" s="13862"/>
      <c r="R17" s="13864"/>
      <c r="S17" s="13864"/>
      <c r="T17" s="13864"/>
      <c r="U17" s="13868"/>
      <c r="V17" s="13869"/>
      <c r="W17" s="13864"/>
      <c r="X17" s="13867"/>
      <c r="Y17" s="13870"/>
      <c r="Z17" s="13871">
        <f t="shared" si="2"/>
        <v>23</v>
      </c>
      <c r="AA17" s="13871">
        <f t="shared" si="3"/>
        <v>23</v>
      </c>
      <c r="AB17" s="13859"/>
      <c r="AC17" s="13859"/>
      <c r="AD17" s="13859"/>
      <c r="AE17" s="13859"/>
      <c r="AF17" s="13859"/>
      <c r="AG17" s="13859"/>
    </row>
    <row r="18" spans="1:33" ht="14.1" customHeight="1">
      <c r="A18" s="13860" t="s">
        <v>574</v>
      </c>
      <c r="B18" s="13861">
        <f>'staffing-pacco'!G10</f>
        <v>2</v>
      </c>
      <c r="C18" s="13943">
        <f>'staffing-pacco'!H10</f>
        <v>2461248</v>
      </c>
      <c r="D18" s="13862"/>
      <c r="E18" s="13863"/>
      <c r="F18" s="13861">
        <f>'staffing-pacco'!B14</f>
        <v>1</v>
      </c>
      <c r="G18" s="13943">
        <f>'staffing-pacco'!F14</f>
        <v>783828</v>
      </c>
      <c r="H18" s="13862">
        <f>'staffing-pacco'!G32</f>
        <v>26</v>
      </c>
      <c r="I18" s="10456">
        <f>'staffing-pacco'!H32</f>
        <v>7322664</v>
      </c>
      <c r="J18" s="13861">
        <f>'staffing-pacco'!G42</f>
        <v>13</v>
      </c>
      <c r="K18" s="13943">
        <f>'staffing-pacco'!H42</f>
        <v>2449152</v>
      </c>
      <c r="L18" s="10463">
        <f t="shared" si="5"/>
        <v>13016892</v>
      </c>
      <c r="M18" s="13865">
        <f t="shared" si="4"/>
        <v>42</v>
      </c>
      <c r="N18" s="10456">
        <f>'staffing-pacco'!F63</f>
        <v>2881980</v>
      </c>
      <c r="O18" s="13866">
        <f>'staffing-pacco'!B63</f>
        <v>9</v>
      </c>
      <c r="P18" s="10461">
        <f t="shared" si="1"/>
        <v>15898872</v>
      </c>
      <c r="Q18" s="13862"/>
      <c r="R18" s="13864"/>
      <c r="S18" s="13864"/>
      <c r="T18" s="13864"/>
      <c r="U18" s="13868"/>
      <c r="V18" s="13869"/>
      <c r="W18" s="13864"/>
      <c r="X18" s="13867"/>
      <c r="Y18" s="13870"/>
      <c r="Z18" s="13871">
        <f t="shared" si="2"/>
        <v>51</v>
      </c>
      <c r="AA18" s="13871">
        <f t="shared" si="3"/>
        <v>51</v>
      </c>
      <c r="AB18" s="13859"/>
      <c r="AC18" s="13859"/>
      <c r="AD18" s="13859"/>
      <c r="AE18" s="13859"/>
      <c r="AF18" s="13859"/>
      <c r="AG18" s="13859"/>
    </row>
    <row r="19" spans="1:33" ht="14.1" customHeight="1">
      <c r="A19" s="13860" t="s">
        <v>575</v>
      </c>
      <c r="B19" s="13861">
        <f>'staffing-pto'!G9</f>
        <v>2</v>
      </c>
      <c r="C19" s="13943">
        <f>'staffing-pto'!H9</f>
        <v>2376456</v>
      </c>
      <c r="D19" s="13862"/>
      <c r="E19" s="13863"/>
      <c r="F19" s="13861">
        <f>'staffing-pto'!G14</f>
        <v>2</v>
      </c>
      <c r="G19" s="13943">
        <f>'staffing-pto'!H14</f>
        <v>1755768</v>
      </c>
      <c r="H19" s="13862">
        <f>'staffing-pto'!G26</f>
        <v>19</v>
      </c>
      <c r="I19" s="10456">
        <f>'staffing-pto'!H26</f>
        <v>4600776</v>
      </c>
      <c r="J19" s="13861">
        <f>'staffing-pto'!G38</f>
        <v>24</v>
      </c>
      <c r="K19" s="13943">
        <f>'staffing-pto'!H38</f>
        <v>5407908</v>
      </c>
      <c r="L19" s="10463">
        <f t="shared" si="5"/>
        <v>14140908</v>
      </c>
      <c r="M19" s="13865">
        <f t="shared" si="4"/>
        <v>47</v>
      </c>
      <c r="N19" s="10456">
        <f>'staffing-pto'!F56</f>
        <v>2174376</v>
      </c>
      <c r="O19" s="13866">
        <f>'staffing-pto'!B56</f>
        <v>13</v>
      </c>
      <c r="P19" s="10461">
        <f t="shared" si="1"/>
        <v>16315284</v>
      </c>
      <c r="Q19" s="13862"/>
      <c r="R19" s="13864"/>
      <c r="S19" s="13864"/>
      <c r="T19" s="13864"/>
      <c r="U19" s="13864"/>
      <c r="V19" s="13888"/>
      <c r="W19" s="13864"/>
      <c r="X19" s="13867"/>
      <c r="Y19" s="13870"/>
      <c r="Z19" s="13871">
        <f t="shared" si="2"/>
        <v>60</v>
      </c>
      <c r="AA19" s="13871">
        <f t="shared" si="3"/>
        <v>60</v>
      </c>
      <c r="AB19" s="13859"/>
      <c r="AC19" s="13859"/>
      <c r="AD19" s="13859"/>
      <c r="AE19" s="13859"/>
      <c r="AF19" s="13859"/>
      <c r="AG19" s="13859"/>
    </row>
    <row r="20" spans="1:33" ht="14.1" customHeight="1">
      <c r="A20" s="13860" t="s">
        <v>576</v>
      </c>
      <c r="B20" s="13861">
        <f>'staffing-passo'!G12</f>
        <v>2</v>
      </c>
      <c r="C20" s="13943">
        <f>'staffing-passo'!H12</f>
        <v>2392788</v>
      </c>
      <c r="D20" s="13862"/>
      <c r="E20" s="13863"/>
      <c r="F20" s="13861">
        <f>'staffing-passo'!G20</f>
        <v>7</v>
      </c>
      <c r="G20" s="13943">
        <f>'staffing-passo'!H20</f>
        <v>4181172</v>
      </c>
      <c r="H20" s="13862">
        <f>'staffing-passo'!G26</f>
        <v>9</v>
      </c>
      <c r="I20" s="10456">
        <f>'staffing-passo'!H26</f>
        <v>2095800</v>
      </c>
      <c r="J20" s="13861">
        <f>'staffing-passo'!G35</f>
        <v>9</v>
      </c>
      <c r="K20" s="13943">
        <f>'staffing-passo'!H35</f>
        <v>1357008</v>
      </c>
      <c r="L20" s="10463">
        <f t="shared" si="5"/>
        <v>10026768</v>
      </c>
      <c r="M20" s="13865">
        <f t="shared" si="4"/>
        <v>27</v>
      </c>
      <c r="N20" s="10456">
        <f>'staffing-passo'!F46</f>
        <v>249048</v>
      </c>
      <c r="O20" s="13866">
        <f>'staffing-passo'!B46</f>
        <v>1</v>
      </c>
      <c r="P20" s="10461">
        <f t="shared" si="1"/>
        <v>10275816</v>
      </c>
      <c r="Q20" s="13862"/>
      <c r="R20" s="13864"/>
      <c r="S20" s="13864"/>
      <c r="T20" s="13864"/>
      <c r="U20" s="13864"/>
      <c r="V20" s="13888"/>
      <c r="W20" s="13864"/>
      <c r="X20" s="13867"/>
      <c r="Y20" s="13870"/>
      <c r="Z20" s="13871">
        <f t="shared" si="2"/>
        <v>28</v>
      </c>
      <c r="AA20" s="13871">
        <f t="shared" si="3"/>
        <v>28</v>
      </c>
      <c r="AB20" s="13859"/>
      <c r="AC20" s="13859"/>
      <c r="AD20" s="13859"/>
      <c r="AE20" s="13859"/>
      <c r="AF20" s="13859"/>
      <c r="AG20" s="13859"/>
    </row>
    <row r="21" spans="1:33" ht="14.1" customHeight="1">
      <c r="A21" s="13860" t="s">
        <v>577</v>
      </c>
      <c r="B21" s="13861">
        <f>'staffing-legal'!G10</f>
        <v>1</v>
      </c>
      <c r="C21" s="13943">
        <f>'staffing-legal'!H10</f>
        <v>1289328</v>
      </c>
      <c r="D21" s="13862">
        <f>'staffing-legal'!B13</f>
        <v>0</v>
      </c>
      <c r="E21" s="13863">
        <f>'staffing-legal'!F13</f>
        <v>0</v>
      </c>
      <c r="F21" s="13861">
        <v>0</v>
      </c>
      <c r="G21" s="13943">
        <v>0</v>
      </c>
      <c r="H21" s="13862">
        <f>'staffing-legal'!G26</f>
        <v>4</v>
      </c>
      <c r="I21" s="10456">
        <f>'staffing-legal'!H26</f>
        <v>1772160</v>
      </c>
      <c r="J21" s="13861">
        <f>'staffing-legal'!G36</f>
        <v>8</v>
      </c>
      <c r="K21" s="13943">
        <f>'staffing-legal'!H36</f>
        <v>1465728</v>
      </c>
      <c r="L21" s="10463">
        <f>C21+E21+G21+I21+K21</f>
        <v>4527216</v>
      </c>
      <c r="M21" s="13865">
        <f t="shared" si="4"/>
        <v>13</v>
      </c>
      <c r="N21" s="10456">
        <f>'staffing-legal'!F48</f>
        <v>1017948</v>
      </c>
      <c r="O21" s="13866">
        <f>'staffing-legal'!B48</f>
        <v>6</v>
      </c>
      <c r="P21" s="10461">
        <f t="shared" si="1"/>
        <v>5545164</v>
      </c>
      <c r="Q21" s="13862"/>
      <c r="R21" s="13864"/>
      <c r="S21" s="13864"/>
      <c r="T21" s="13864"/>
      <c r="U21" s="13864"/>
      <c r="V21" s="13888"/>
      <c r="W21" s="13864"/>
      <c r="X21" s="13867"/>
      <c r="Y21" s="13870"/>
      <c r="Z21" s="13879">
        <f t="shared" si="2"/>
        <v>19</v>
      </c>
      <c r="AA21" s="13871">
        <f t="shared" si="3"/>
        <v>19</v>
      </c>
      <c r="AB21" s="13859"/>
      <c r="AC21" s="13859"/>
      <c r="AD21" s="13859"/>
      <c r="AE21" s="13859"/>
      <c r="AF21" s="13859"/>
      <c r="AG21" s="13859"/>
    </row>
    <row r="22" spans="1:33" ht="13.5" customHeight="1">
      <c r="A22" s="13860" t="s">
        <v>10327</v>
      </c>
      <c r="B22" s="13861">
        <f>'staffing-PDRRMO'!H11</f>
        <v>1</v>
      </c>
      <c r="C22" s="13944">
        <f>'staffing-PDRRMO'!I11</f>
        <v>1310364</v>
      </c>
      <c r="D22" s="13862"/>
      <c r="E22" s="13889"/>
      <c r="F22" s="13861">
        <f>'staffing-PDRRMO'!H15</f>
        <v>5</v>
      </c>
      <c r="G22" s="13944">
        <f>'staffing-PDRRMO'!I15</f>
        <v>1710540</v>
      </c>
      <c r="H22" s="13862">
        <f>'staffing-PDRRMO'!H22</f>
        <v>2</v>
      </c>
      <c r="I22" s="10460">
        <f>'staffing-PDRRMO'!I22</f>
        <v>302976</v>
      </c>
      <c r="J22" s="13861">
        <f>'staffing-PDRRMO'!H31</f>
        <v>6</v>
      </c>
      <c r="K22" s="13944">
        <f>'staffing-PDRRMO'!I31</f>
        <v>1386804</v>
      </c>
      <c r="L22" s="10463">
        <f>C22+E22+G22+I22+K22</f>
        <v>4710684</v>
      </c>
      <c r="M22" s="13865">
        <f t="shared" si="4"/>
        <v>14</v>
      </c>
      <c r="N22" s="10460">
        <f>'staffing-PDRRMO'!G48</f>
        <v>1958196</v>
      </c>
      <c r="O22" s="13866">
        <f>'staffing-PDRRMO'!B48</f>
        <v>10</v>
      </c>
      <c r="P22" s="10461">
        <f t="shared" si="1"/>
        <v>6668880</v>
      </c>
      <c r="Q22" s="13862"/>
      <c r="R22" s="13890"/>
      <c r="S22" s="13890"/>
      <c r="T22" s="13890"/>
      <c r="U22" s="13890"/>
      <c r="V22" s="13891"/>
      <c r="W22" s="13890"/>
      <c r="X22" s="13892"/>
      <c r="Y22" s="13893"/>
      <c r="Z22" s="13879">
        <f t="shared" si="2"/>
        <v>24</v>
      </c>
      <c r="AA22" s="13871">
        <f t="shared" si="3"/>
        <v>24</v>
      </c>
      <c r="AB22" s="13859"/>
      <c r="AC22" s="13859"/>
      <c r="AD22" s="13859"/>
      <c r="AE22" s="13859"/>
      <c r="AF22" s="13859"/>
      <c r="AG22" s="13859"/>
    </row>
    <row r="23" spans="1:33" ht="14.1" customHeight="1" thickBot="1">
      <c r="A23" s="13894" t="s">
        <v>485</v>
      </c>
      <c r="B23" s="13895">
        <f>SUM(B6:B22)</f>
        <v>29</v>
      </c>
      <c r="C23" s="8418">
        <f t="shared" ref="C23:K23" si="6">SUM(C6:C22)</f>
        <v>40310088</v>
      </c>
      <c r="D23" s="13895">
        <f t="shared" si="6"/>
        <v>0</v>
      </c>
      <c r="E23" s="13895">
        <f t="shared" si="6"/>
        <v>0</v>
      </c>
      <c r="F23" s="13895">
        <f t="shared" si="6"/>
        <v>47</v>
      </c>
      <c r="G23" s="8418">
        <f t="shared" si="6"/>
        <v>22486932</v>
      </c>
      <c r="H23" s="13895">
        <f t="shared" si="6"/>
        <v>148</v>
      </c>
      <c r="I23" s="8418">
        <f t="shared" si="6"/>
        <v>33447264</v>
      </c>
      <c r="J23" s="13895">
        <f t="shared" si="6"/>
        <v>253</v>
      </c>
      <c r="K23" s="8418">
        <f t="shared" si="6"/>
        <v>49367724</v>
      </c>
      <c r="L23" s="8418">
        <f>SUM(L6:L22)</f>
        <v>145612008</v>
      </c>
      <c r="M23" s="13897">
        <f t="shared" ref="M23:X23" si="7">SUM(M6:M22)</f>
        <v>477</v>
      </c>
      <c r="N23" s="8418">
        <f t="shared" si="7"/>
        <v>27181152</v>
      </c>
      <c r="O23" s="13898">
        <f>SUM(O6:O22)</f>
        <v>108</v>
      </c>
      <c r="P23" s="8418">
        <f t="shared" si="7"/>
        <v>172793160</v>
      </c>
      <c r="Q23" s="13895">
        <f t="shared" si="7"/>
        <v>19</v>
      </c>
      <c r="R23" s="13896">
        <f t="shared" si="7"/>
        <v>5155200</v>
      </c>
      <c r="S23" s="13896">
        <f t="shared" si="7"/>
        <v>0</v>
      </c>
      <c r="T23" s="13896">
        <f t="shared" si="7"/>
        <v>5155200</v>
      </c>
      <c r="U23" s="13896">
        <f t="shared" si="7"/>
        <v>0</v>
      </c>
      <c r="V23" s="13896">
        <f t="shared" si="7"/>
        <v>0</v>
      </c>
      <c r="W23" s="13896">
        <f t="shared" si="7"/>
        <v>0</v>
      </c>
      <c r="X23" s="13896">
        <f t="shared" si="7"/>
        <v>5155200</v>
      </c>
      <c r="Y23" s="13899"/>
      <c r="Z23" s="13871">
        <f t="shared" si="2"/>
        <v>585</v>
      </c>
      <c r="AA23" s="13899"/>
      <c r="AB23" s="13859">
        <f>X23+P23</f>
        <v>177948360</v>
      </c>
      <c r="AC23" s="13859"/>
      <c r="AD23" s="13859"/>
      <c r="AE23" s="13859"/>
      <c r="AF23" s="13859"/>
      <c r="AG23" s="13859"/>
    </row>
    <row r="24" spans="1:33" ht="7.5" customHeight="1" thickTop="1">
      <c r="A24" s="13861"/>
      <c r="B24" s="13861"/>
      <c r="C24" s="10461"/>
      <c r="D24" s="13861"/>
      <c r="E24" s="13900"/>
      <c r="F24" s="13861"/>
      <c r="G24" s="10461"/>
      <c r="H24" s="13861"/>
      <c r="I24" s="10461"/>
      <c r="J24" s="13861"/>
      <c r="K24" s="10461"/>
      <c r="L24" s="10461"/>
      <c r="M24" s="13901"/>
      <c r="N24" s="10461"/>
      <c r="O24" s="13902"/>
      <c r="P24" s="10461"/>
      <c r="Q24" s="13861"/>
      <c r="R24" s="13900"/>
      <c r="S24" s="13900"/>
      <c r="T24" s="13900"/>
      <c r="U24" s="13900"/>
      <c r="V24" s="13869"/>
      <c r="W24" s="13900"/>
      <c r="X24" s="13900"/>
      <c r="Y24" s="13903"/>
      <c r="Z24" s="13871">
        <f t="shared" si="2"/>
        <v>0</v>
      </c>
      <c r="AA24" s="13871"/>
      <c r="AB24" s="13859"/>
      <c r="AC24" s="13859"/>
      <c r="AD24" s="13859"/>
      <c r="AE24" s="13859"/>
      <c r="AF24" s="13859"/>
      <c r="AG24" s="13859"/>
    </row>
    <row r="25" spans="1:33" ht="14.1" customHeight="1">
      <c r="A25" s="13860" t="s">
        <v>578</v>
      </c>
      <c r="B25" s="13861"/>
      <c r="C25" s="10462"/>
      <c r="D25" s="13861"/>
      <c r="E25" s="13904"/>
      <c r="F25" s="13861">
        <f>'staffing-bemo'!G16</f>
        <v>2</v>
      </c>
      <c r="G25" s="10462">
        <f>'staffing-bemo'!H16</f>
        <v>1397688</v>
      </c>
      <c r="H25" s="13861">
        <f>'staffing-bemo'!G30</f>
        <v>9</v>
      </c>
      <c r="I25" s="10462">
        <f>'staffing-bemo'!H30</f>
        <v>2255568</v>
      </c>
      <c r="J25" s="13861">
        <f>'staffing-bemo'!G36</f>
        <v>5</v>
      </c>
      <c r="K25" s="10462">
        <f>'staffing-bemo'!H36</f>
        <v>858960</v>
      </c>
      <c r="L25" s="10463">
        <f t="shared" ref="L25:L39" si="8">C25+E25+G25+I25+K25</f>
        <v>4512216</v>
      </c>
      <c r="M25" s="13865">
        <f>B25+D25+F25+H25+J25</f>
        <v>16</v>
      </c>
      <c r="N25" s="10462">
        <f>'staffing-bemo'!F52</f>
        <v>2263548</v>
      </c>
      <c r="O25" s="13902">
        <f>'staffing-bemo'!B52</f>
        <v>10</v>
      </c>
      <c r="P25" s="10461">
        <f t="shared" ref="P25:P39" si="9">L25+N25</f>
        <v>6775764</v>
      </c>
      <c r="Q25" s="13861"/>
      <c r="R25" s="13904"/>
      <c r="S25" s="13904"/>
      <c r="T25" s="13904"/>
      <c r="U25" s="13904"/>
      <c r="V25" s="13905"/>
      <c r="W25" s="13905"/>
      <c r="X25" s="13905"/>
      <c r="Y25" s="13906"/>
      <c r="Z25" s="13871">
        <f t="shared" si="2"/>
        <v>26</v>
      </c>
      <c r="AA25" s="13871">
        <f t="shared" ref="AA25:AA39" si="10">SUM(B25,D25,F25,H25,J25,O25)</f>
        <v>26</v>
      </c>
      <c r="AB25" s="13859"/>
      <c r="AC25" s="13859"/>
      <c r="AD25" s="13859"/>
      <c r="AE25" s="13859"/>
      <c r="AF25" s="13859"/>
      <c r="AG25" s="13859"/>
    </row>
    <row r="26" spans="1:33" ht="14.1" customHeight="1">
      <c r="A26" s="13860" t="s">
        <v>1727</v>
      </c>
      <c r="B26" s="13861"/>
      <c r="C26" s="10462"/>
      <c r="D26" s="13861"/>
      <c r="E26" s="13904"/>
      <c r="F26" s="13861">
        <f>'staffing-bdj'!H13</f>
        <v>1</v>
      </c>
      <c r="G26" s="10462">
        <f>'staffing-bdj'!I13</f>
        <v>849924</v>
      </c>
      <c r="H26" s="13861">
        <f>'staffing-bdj'!H18</f>
        <v>19</v>
      </c>
      <c r="I26" s="10462">
        <f>'staffing-bdj'!I18</f>
        <v>3300180</v>
      </c>
      <c r="J26" s="13861">
        <f>'staffing-bdj'!H24</f>
        <v>4</v>
      </c>
      <c r="K26" s="10462">
        <f>'staffing-bdj'!I24</f>
        <v>585540</v>
      </c>
      <c r="L26" s="10463">
        <f t="shared" si="8"/>
        <v>4735644</v>
      </c>
      <c r="M26" s="13865">
        <f t="shared" ref="M26:M39" si="11">B26+D26+F26+H26+J26</f>
        <v>24</v>
      </c>
      <c r="N26" s="10462">
        <f>'staffing-bdj'!F34</f>
        <v>944676</v>
      </c>
      <c r="O26" s="13902">
        <f>'staffing-bdj'!B34</f>
        <v>5</v>
      </c>
      <c r="P26" s="10461">
        <f t="shared" si="9"/>
        <v>5680320</v>
      </c>
      <c r="Q26" s="13861"/>
      <c r="R26" s="13904"/>
      <c r="S26" s="13904"/>
      <c r="T26" s="13904"/>
      <c r="U26" s="13904"/>
      <c r="V26" s="13905"/>
      <c r="W26" s="13905"/>
      <c r="X26" s="13905"/>
      <c r="Y26" s="13906"/>
      <c r="Z26" s="13871">
        <f t="shared" si="2"/>
        <v>29</v>
      </c>
      <c r="AA26" s="13871">
        <f t="shared" si="10"/>
        <v>29</v>
      </c>
      <c r="AB26" s="13859"/>
      <c r="AC26" s="13859"/>
      <c r="AD26" s="13859"/>
      <c r="AE26" s="13859"/>
      <c r="AF26" s="13859"/>
      <c r="AG26" s="13859"/>
    </row>
    <row r="27" spans="1:33" ht="14.1" hidden="1" customHeight="1">
      <c r="A27" s="13860" t="s">
        <v>580</v>
      </c>
      <c r="B27" s="13861"/>
      <c r="C27" s="10463"/>
      <c r="D27" s="13861"/>
      <c r="E27" s="13864"/>
      <c r="F27" s="13861"/>
      <c r="G27" s="10463"/>
      <c r="H27" s="13861"/>
      <c r="I27" s="10463">
        <f>'staffing-lib'!F17+'staffing-lib'!F18</f>
        <v>0</v>
      </c>
      <c r="J27" s="13861"/>
      <c r="K27" s="10463">
        <f>'staffing-lib'!F21+'staffing-lib'!F22+'staffing-lib'!F23+'staffing-lib'!F24</f>
        <v>0</v>
      </c>
      <c r="L27" s="10463">
        <f t="shared" si="8"/>
        <v>0</v>
      </c>
      <c r="M27" s="13865">
        <f t="shared" si="11"/>
        <v>0</v>
      </c>
      <c r="N27" s="10463">
        <f>'staffing-lib'!F35</f>
        <v>0</v>
      </c>
      <c r="O27" s="13902"/>
      <c r="P27" s="10461">
        <f t="shared" si="9"/>
        <v>0</v>
      </c>
      <c r="Q27" s="13861"/>
      <c r="R27" s="13864"/>
      <c r="S27" s="13864"/>
      <c r="T27" s="13864"/>
      <c r="U27" s="13864"/>
      <c r="V27" s="13888"/>
      <c r="W27" s="13864"/>
      <c r="X27" s="13867"/>
      <c r="Y27" s="13870"/>
      <c r="Z27" s="13871">
        <f t="shared" si="2"/>
        <v>0</v>
      </c>
      <c r="AA27" s="13871">
        <f t="shared" si="10"/>
        <v>0</v>
      </c>
      <c r="AB27" s="13859"/>
      <c r="AC27" s="13859"/>
      <c r="AD27" s="13859"/>
      <c r="AE27" s="13859"/>
      <c r="AF27" s="13859"/>
      <c r="AG27" s="13859"/>
    </row>
    <row r="28" spans="1:33" ht="14.1" customHeight="1">
      <c r="A28" s="13860" t="s">
        <v>581</v>
      </c>
      <c r="B28" s="13861">
        <f>'staffing-pho'!G12</f>
        <v>3</v>
      </c>
      <c r="C28" s="10463">
        <f>'staffing-pho'!H12</f>
        <v>3872760</v>
      </c>
      <c r="D28" s="13861"/>
      <c r="E28" s="13864"/>
      <c r="F28" s="13861">
        <f>'staffing-pho'!G18</f>
        <v>3</v>
      </c>
      <c r="G28" s="10463">
        <f>'staffing-pho'!H18</f>
        <v>2053692</v>
      </c>
      <c r="H28" s="13861">
        <f>'staffing-pho'!G51</f>
        <v>100</v>
      </c>
      <c r="I28" s="10463">
        <f>'staffing-pho'!H51</f>
        <v>28521288</v>
      </c>
      <c r="J28" s="13861">
        <f>'staffing-pho'!G66</f>
        <v>19</v>
      </c>
      <c r="K28" s="10463">
        <f>'staffing-pho'!H66</f>
        <v>4659072</v>
      </c>
      <c r="L28" s="10463">
        <f t="shared" si="8"/>
        <v>39106812</v>
      </c>
      <c r="M28" s="13865">
        <f t="shared" si="11"/>
        <v>125</v>
      </c>
      <c r="N28" s="10463">
        <f>'staffing-pho'!F114</f>
        <v>4300500</v>
      </c>
      <c r="O28" s="13902">
        <f>'staffing-pho'!B114</f>
        <v>13</v>
      </c>
      <c r="P28" s="10461">
        <f t="shared" si="9"/>
        <v>43407312</v>
      </c>
      <c r="Q28" s="13861"/>
      <c r="R28" s="13864"/>
      <c r="S28" s="13864"/>
      <c r="T28" s="13864"/>
      <c r="U28" s="13864"/>
      <c r="V28" s="13888"/>
      <c r="W28" s="13864"/>
      <c r="X28" s="13867"/>
      <c r="Y28" s="13870"/>
      <c r="Z28" s="13871">
        <f t="shared" si="2"/>
        <v>138</v>
      </c>
      <c r="AA28" s="13871">
        <f t="shared" si="10"/>
        <v>138</v>
      </c>
      <c r="AB28" s="13859"/>
      <c r="AC28" s="13859"/>
      <c r="AD28" s="13859"/>
      <c r="AE28" s="13859"/>
      <c r="AF28" s="13859"/>
      <c r="AG28" s="13859"/>
    </row>
    <row r="29" spans="1:33" ht="14.1" customHeight="1">
      <c r="A29" s="13860" t="s">
        <v>582</v>
      </c>
      <c r="B29" s="13861">
        <f>'staffing-TAL'!G12</f>
        <v>1</v>
      </c>
      <c r="C29" s="10463">
        <f>'staffing-TAL'!H12</f>
        <v>1140996</v>
      </c>
      <c r="D29" s="13861"/>
      <c r="E29" s="13864"/>
      <c r="F29" s="13861">
        <f>'staffing-TAL'!G17</f>
        <v>3</v>
      </c>
      <c r="G29" s="10463">
        <f>'staffing-TAL'!H17</f>
        <v>2657196</v>
      </c>
      <c r="H29" s="13861">
        <f>'staffing-TAL'!G44</f>
        <v>54</v>
      </c>
      <c r="I29" s="10463">
        <f>'staffing-TAL'!H44</f>
        <v>17452812</v>
      </c>
      <c r="J29" s="13861">
        <f>'staffing-TAL'!G54</f>
        <v>19</v>
      </c>
      <c r="K29" s="10463">
        <f>'staffing-TAL'!H54</f>
        <v>3344196</v>
      </c>
      <c r="L29" s="10463">
        <f t="shared" si="8"/>
        <v>24595200</v>
      </c>
      <c r="M29" s="13865">
        <f t="shared" si="11"/>
        <v>77</v>
      </c>
      <c r="N29" s="10463">
        <f>'staffing-TAL'!F103</f>
        <v>7083708</v>
      </c>
      <c r="O29" s="13902">
        <f>'staffing-TAL'!B103</f>
        <v>20</v>
      </c>
      <c r="P29" s="10461">
        <f t="shared" si="9"/>
        <v>31678908</v>
      </c>
      <c r="Q29" s="13861"/>
      <c r="R29" s="13864"/>
      <c r="S29" s="13864"/>
      <c r="T29" s="13864"/>
      <c r="U29" s="13864"/>
      <c r="V29" s="13888"/>
      <c r="W29" s="13864"/>
      <c r="X29" s="13867"/>
      <c r="Y29" s="13870"/>
      <c r="Z29" s="13879">
        <f t="shared" si="2"/>
        <v>97</v>
      </c>
      <c r="AA29" s="13871">
        <f t="shared" si="10"/>
        <v>97</v>
      </c>
      <c r="AB29" s="13859"/>
      <c r="AC29" s="13859"/>
      <c r="AD29" s="13859"/>
      <c r="AE29" s="13859"/>
      <c r="AF29" s="13859"/>
      <c r="AG29" s="13859"/>
    </row>
    <row r="30" spans="1:33" ht="14.1" customHeight="1">
      <c r="A30" s="13860" t="s">
        <v>583</v>
      </c>
      <c r="B30" s="13861">
        <f>'staffing-carmen'!G9</f>
        <v>1</v>
      </c>
      <c r="C30" s="10463">
        <f>'staffing-carmen'!H9</f>
        <v>1000872</v>
      </c>
      <c r="D30" s="13861"/>
      <c r="E30" s="13864"/>
      <c r="F30" s="13861"/>
      <c r="G30" s="10463"/>
      <c r="H30" s="13861">
        <f>'staffing-carmen'!G34</f>
        <v>44</v>
      </c>
      <c r="I30" s="10463">
        <f>'staffing-carmen'!H34</f>
        <v>12185772</v>
      </c>
      <c r="J30" s="13861">
        <f>'staffing-carmen'!G46</f>
        <v>18</v>
      </c>
      <c r="K30" s="10463">
        <f>'staffing-carmen'!H46</f>
        <v>2981988</v>
      </c>
      <c r="L30" s="10463">
        <f t="shared" si="8"/>
        <v>16168632</v>
      </c>
      <c r="M30" s="13865">
        <f t="shared" si="11"/>
        <v>63</v>
      </c>
      <c r="N30" s="10463">
        <f>'staffing-carmen'!F69</f>
        <v>4002612</v>
      </c>
      <c r="O30" s="13902">
        <f>'staffing-carmen'!B69</f>
        <v>8</v>
      </c>
      <c r="P30" s="10461">
        <f t="shared" si="9"/>
        <v>20171244</v>
      </c>
      <c r="Q30" s="13861"/>
      <c r="R30" s="13864"/>
      <c r="S30" s="13864"/>
      <c r="T30" s="13864"/>
      <c r="U30" s="13864"/>
      <c r="V30" s="13888"/>
      <c r="W30" s="13864"/>
      <c r="X30" s="13867"/>
      <c r="Y30" s="13870"/>
      <c r="Z30" s="13871">
        <f t="shared" si="2"/>
        <v>71</v>
      </c>
      <c r="AA30" s="13871">
        <f t="shared" si="10"/>
        <v>71</v>
      </c>
      <c r="AB30" s="13859"/>
      <c r="AC30" s="13859"/>
      <c r="AD30" s="13859"/>
      <c r="AE30" s="13859"/>
      <c r="AF30" s="13859"/>
      <c r="AG30" s="13859"/>
    </row>
    <row r="31" spans="1:33" ht="14.1" customHeight="1">
      <c r="A31" s="13860" t="s">
        <v>584</v>
      </c>
      <c r="B31" s="13861">
        <f>'staffing-jagna'!B10</f>
        <v>0</v>
      </c>
      <c r="C31" s="10463">
        <f>'staffing-jagna'!F10</f>
        <v>0</v>
      </c>
      <c r="D31" s="13861"/>
      <c r="E31" s="13864"/>
      <c r="F31" s="13861"/>
      <c r="G31" s="10463"/>
      <c r="H31" s="13861">
        <f>'staffing-jagna'!G37</f>
        <v>28</v>
      </c>
      <c r="I31" s="10463">
        <f>'staffing-jagna'!H37</f>
        <v>9389868</v>
      </c>
      <c r="J31" s="13861">
        <f>SUM('staffing-jagna'!B40:B44)</f>
        <v>10</v>
      </c>
      <c r="K31" s="10463">
        <f>SUM('staffing-jagna'!F40:F44)</f>
        <v>1510500</v>
      </c>
      <c r="L31" s="10463">
        <f t="shared" si="8"/>
        <v>10900368</v>
      </c>
      <c r="M31" s="13865">
        <f t="shared" si="11"/>
        <v>38</v>
      </c>
      <c r="N31" s="10463">
        <f>'staffing-jagna'!F63</f>
        <v>3636396</v>
      </c>
      <c r="O31" s="13902">
        <f>'staffing-jagna'!B63</f>
        <v>10</v>
      </c>
      <c r="P31" s="10461">
        <f t="shared" si="9"/>
        <v>14536764</v>
      </c>
      <c r="Q31" s="13861"/>
      <c r="R31" s="13864"/>
      <c r="S31" s="13864"/>
      <c r="T31" s="13864"/>
      <c r="U31" s="13864"/>
      <c r="V31" s="13888"/>
      <c r="W31" s="13864"/>
      <c r="X31" s="13867"/>
      <c r="Y31" s="13870"/>
      <c r="Z31" s="13871">
        <f t="shared" si="2"/>
        <v>48</v>
      </c>
      <c r="AA31" s="13871">
        <f t="shared" si="10"/>
        <v>48</v>
      </c>
      <c r="AB31" s="13859"/>
      <c r="AC31" s="13859"/>
      <c r="AD31" s="13859"/>
      <c r="AE31" s="13859"/>
      <c r="AF31" s="13859"/>
      <c r="AG31" s="13859"/>
    </row>
    <row r="32" spans="1:33" ht="14.1" customHeight="1">
      <c r="A32" s="13860" t="s">
        <v>585</v>
      </c>
      <c r="B32" s="13861">
        <f>'staffing-loon'!G9</f>
        <v>0</v>
      </c>
      <c r="C32" s="10463">
        <f>'staffing-loon'!H9</f>
        <v>0</v>
      </c>
      <c r="D32" s="13861"/>
      <c r="E32" s="13864"/>
      <c r="F32" s="13861"/>
      <c r="G32" s="10463"/>
      <c r="H32" s="13861">
        <f>'staffing-loon'!G38</f>
        <v>29</v>
      </c>
      <c r="I32" s="10463">
        <f>'staffing-loon'!H38</f>
        <v>8763936</v>
      </c>
      <c r="J32" s="13861">
        <f>'staffing-loon'!G44</f>
        <v>11</v>
      </c>
      <c r="K32" s="10463">
        <f>'staffing-loon'!H44</f>
        <v>1923996</v>
      </c>
      <c r="L32" s="10463">
        <f t="shared" si="8"/>
        <v>10687932</v>
      </c>
      <c r="M32" s="13865">
        <f t="shared" si="11"/>
        <v>40</v>
      </c>
      <c r="N32" s="10463">
        <f>'staffing-loon'!F66</f>
        <v>4414644</v>
      </c>
      <c r="O32" s="13902">
        <f>'staffing-loon'!B66</f>
        <v>12</v>
      </c>
      <c r="P32" s="10461">
        <f t="shared" si="9"/>
        <v>15102576</v>
      </c>
      <c r="Q32" s="13861"/>
      <c r="R32" s="13864"/>
      <c r="S32" s="13864"/>
      <c r="T32" s="13864"/>
      <c r="U32" s="13864"/>
      <c r="V32" s="13888"/>
      <c r="W32" s="13864"/>
      <c r="X32" s="13867"/>
      <c r="Y32" s="13870"/>
      <c r="Z32" s="13871">
        <f t="shared" si="2"/>
        <v>52</v>
      </c>
      <c r="AA32" s="13871">
        <f t="shared" si="10"/>
        <v>52</v>
      </c>
      <c r="AB32" s="13859"/>
      <c r="AC32" s="13859"/>
      <c r="AD32" s="13859"/>
      <c r="AE32" s="13859"/>
      <c r="AF32" s="13859"/>
      <c r="AG32" s="13859"/>
    </row>
    <row r="33" spans="1:33" ht="14.1" customHeight="1">
      <c r="A33" s="13860" t="s">
        <v>586</v>
      </c>
      <c r="B33" s="13861">
        <f>'staffing-catig'!G10</f>
        <v>1</v>
      </c>
      <c r="C33" s="10463">
        <f>'staffing-catig'!H10</f>
        <v>1085268</v>
      </c>
      <c r="D33" s="13861"/>
      <c r="E33" s="13864"/>
      <c r="F33" s="13861">
        <f>'staffing-catig'!G31</f>
        <v>26</v>
      </c>
      <c r="G33" s="10463">
        <f>'staffing-catig'!H31</f>
        <v>8723448</v>
      </c>
      <c r="H33" s="13861"/>
      <c r="I33" s="10463"/>
      <c r="J33" s="13861">
        <f>'staffing-catig'!G37</f>
        <v>7</v>
      </c>
      <c r="K33" s="10463">
        <f>'staffing-catig'!H37</f>
        <v>1362024</v>
      </c>
      <c r="L33" s="10463">
        <f t="shared" si="8"/>
        <v>11170740</v>
      </c>
      <c r="M33" s="13865">
        <f t="shared" si="11"/>
        <v>34</v>
      </c>
      <c r="N33" s="10463">
        <f>'staffing-catig'!F52</f>
        <v>1689852</v>
      </c>
      <c r="O33" s="13902">
        <f>'staffing-catig'!B52</f>
        <v>5</v>
      </c>
      <c r="P33" s="10461">
        <f t="shared" si="9"/>
        <v>12860592</v>
      </c>
      <c r="Q33" s="13861"/>
      <c r="R33" s="13864"/>
      <c r="S33" s="13864"/>
      <c r="T33" s="13864"/>
      <c r="U33" s="13864"/>
      <c r="V33" s="13888"/>
      <c r="W33" s="13864"/>
      <c r="X33" s="13867"/>
      <c r="Y33" s="13870"/>
      <c r="Z33" s="13871">
        <f t="shared" si="2"/>
        <v>39</v>
      </c>
      <c r="AA33" s="13871">
        <f t="shared" si="10"/>
        <v>39</v>
      </c>
      <c r="AB33" s="13859"/>
      <c r="AC33" s="13859"/>
      <c r="AD33" s="13859"/>
      <c r="AE33" s="13859"/>
      <c r="AF33" s="13859"/>
      <c r="AG33" s="13859"/>
    </row>
    <row r="34" spans="1:33" ht="14.1" customHeight="1">
      <c r="A34" s="13860" t="s">
        <v>587</v>
      </c>
      <c r="B34" s="13861"/>
      <c r="C34" s="10463"/>
      <c r="D34" s="13861"/>
      <c r="E34" s="13864"/>
      <c r="F34" s="13861"/>
      <c r="G34" s="10463"/>
      <c r="H34" s="13861">
        <f>'staffing-clarin'!G27</f>
        <v>14</v>
      </c>
      <c r="I34" s="10463">
        <f>'staffing-clarin'!H27</f>
        <v>5097852</v>
      </c>
      <c r="J34" s="13861">
        <f>'staffing-clarin'!G32</f>
        <v>3</v>
      </c>
      <c r="K34" s="10463">
        <f>'staffing-clarin'!H32</f>
        <v>593364</v>
      </c>
      <c r="L34" s="10463">
        <f t="shared" si="8"/>
        <v>5691216</v>
      </c>
      <c r="M34" s="13865">
        <f t="shared" si="11"/>
        <v>17</v>
      </c>
      <c r="N34" s="10463">
        <f>'staffing-clarin'!F48</f>
        <v>2478276</v>
      </c>
      <c r="O34" s="13902">
        <f>'staffing-clarin'!B48</f>
        <v>8</v>
      </c>
      <c r="P34" s="10461">
        <f t="shared" si="9"/>
        <v>8169492</v>
      </c>
      <c r="Q34" s="13861"/>
      <c r="R34" s="13864"/>
      <c r="S34" s="13864"/>
      <c r="T34" s="13864"/>
      <c r="U34" s="13864"/>
      <c r="V34" s="13888"/>
      <c r="W34" s="13864"/>
      <c r="X34" s="13867"/>
      <c r="Y34" s="13870"/>
      <c r="Z34" s="13871">
        <f t="shared" si="2"/>
        <v>25</v>
      </c>
      <c r="AA34" s="13871">
        <f t="shared" si="10"/>
        <v>25</v>
      </c>
      <c r="AB34" s="13859"/>
      <c r="AC34" s="13859"/>
      <c r="AD34" s="13859"/>
      <c r="AE34" s="13859"/>
      <c r="AF34" s="13859"/>
      <c r="AG34" s="13859"/>
    </row>
    <row r="35" spans="1:33" ht="14.1" customHeight="1">
      <c r="A35" s="13860" t="s">
        <v>588</v>
      </c>
      <c r="B35" s="13861"/>
      <c r="C35" s="10463"/>
      <c r="D35" s="13861"/>
      <c r="E35" s="13864"/>
      <c r="F35" s="13861"/>
      <c r="G35" s="10463"/>
      <c r="H35" s="13861">
        <f>'staffing-candijay'!G27</f>
        <v>14</v>
      </c>
      <c r="I35" s="10463">
        <f>'staffing-candijay'!H27</f>
        <v>4475748</v>
      </c>
      <c r="J35" s="13861">
        <f>'staffing-candijay'!G34</f>
        <v>3</v>
      </c>
      <c r="K35" s="10463">
        <f>'staffing-candijay'!H34</f>
        <v>582672</v>
      </c>
      <c r="L35" s="10463">
        <f t="shared" si="8"/>
        <v>5058420</v>
      </c>
      <c r="M35" s="13865">
        <f t="shared" si="11"/>
        <v>17</v>
      </c>
      <c r="N35" s="10463">
        <f>'staffing-candijay'!F53</f>
        <v>1439496</v>
      </c>
      <c r="O35" s="13902">
        <f>'staffing-candijay'!B53</f>
        <v>5</v>
      </c>
      <c r="P35" s="10461">
        <f t="shared" si="9"/>
        <v>6497916</v>
      </c>
      <c r="Q35" s="13861"/>
      <c r="R35" s="13864"/>
      <c r="S35" s="13864"/>
      <c r="T35" s="13864"/>
      <c r="U35" s="13864"/>
      <c r="V35" s="13888"/>
      <c r="W35" s="13864"/>
      <c r="X35" s="13867"/>
      <c r="Y35" s="13870"/>
      <c r="Z35" s="13871">
        <f t="shared" si="2"/>
        <v>22</v>
      </c>
      <c r="AA35" s="13871">
        <f t="shared" si="10"/>
        <v>22</v>
      </c>
      <c r="AB35" s="13859"/>
      <c r="AC35" s="13859"/>
      <c r="AD35" s="13859"/>
      <c r="AE35" s="13859"/>
      <c r="AF35" s="13859"/>
      <c r="AG35" s="13859"/>
    </row>
    <row r="36" spans="1:33" ht="14.1" customHeight="1">
      <c r="A36" s="13860" t="s">
        <v>589</v>
      </c>
      <c r="B36" s="13861"/>
      <c r="C36" s="10463"/>
      <c r="D36" s="13861"/>
      <c r="E36" s="13864"/>
      <c r="F36" s="13861"/>
      <c r="G36" s="10463"/>
      <c r="H36" s="13861">
        <f>'staffing-mari'!G25</f>
        <v>13</v>
      </c>
      <c r="I36" s="10463">
        <f>'staffing-mari'!H25</f>
        <v>4016220</v>
      </c>
      <c r="J36" s="13861">
        <f>'staffing-mari'!G30</f>
        <v>5</v>
      </c>
      <c r="K36" s="10463">
        <f>'staffing-mari'!H30</f>
        <v>892368</v>
      </c>
      <c r="L36" s="10463">
        <f t="shared" si="8"/>
        <v>4908588</v>
      </c>
      <c r="M36" s="13865">
        <f t="shared" si="11"/>
        <v>18</v>
      </c>
      <c r="N36" s="10463">
        <f>'staffing-mari'!F44</f>
        <v>1689852</v>
      </c>
      <c r="O36" s="13902">
        <f>'staffing-mari'!B44</f>
        <v>5</v>
      </c>
      <c r="P36" s="10461">
        <f t="shared" si="9"/>
        <v>6598440</v>
      </c>
      <c r="Q36" s="13861"/>
      <c r="R36" s="13864"/>
      <c r="S36" s="13864"/>
      <c r="T36" s="13864"/>
      <c r="U36" s="13864"/>
      <c r="V36" s="13888"/>
      <c r="W36" s="13864"/>
      <c r="X36" s="13867"/>
      <c r="Y36" s="13870"/>
      <c r="Z36" s="13871">
        <f t="shared" si="2"/>
        <v>23</v>
      </c>
      <c r="AA36" s="13871">
        <f t="shared" si="10"/>
        <v>23</v>
      </c>
      <c r="AB36" s="13859"/>
      <c r="AC36" s="13859"/>
      <c r="AD36" s="13859"/>
      <c r="AE36" s="13859"/>
      <c r="AF36" s="13859"/>
      <c r="AG36" s="13859"/>
    </row>
    <row r="37" spans="1:33" ht="14.1" customHeight="1">
      <c r="A37" s="13860" t="s">
        <v>590</v>
      </c>
      <c r="B37" s="13861"/>
      <c r="C37" s="10463"/>
      <c r="D37" s="13861"/>
      <c r="E37" s="13864"/>
      <c r="F37" s="13861">
        <f>'staffing-Inabanga'!G13</f>
        <v>1</v>
      </c>
      <c r="G37" s="10463">
        <f>'staffing-Inabanga'!H13</f>
        <v>885732</v>
      </c>
      <c r="H37" s="13861">
        <f>'staffing-Inabanga'!G29</f>
        <v>14</v>
      </c>
      <c r="I37" s="10463">
        <f>'staffing-Inabanga'!H29</f>
        <v>3549624</v>
      </c>
      <c r="J37" s="13861">
        <f>'staffing-Inabanga'!G35</f>
        <v>5</v>
      </c>
      <c r="K37" s="10463">
        <f>'staffing-Inabanga'!H35</f>
        <v>909528</v>
      </c>
      <c r="L37" s="10463">
        <f t="shared" si="8"/>
        <v>5344884</v>
      </c>
      <c r="M37" s="13865">
        <f t="shared" si="11"/>
        <v>20</v>
      </c>
      <c r="N37" s="10463">
        <f>'staffing-Inabanga'!F50</f>
        <v>2614308</v>
      </c>
      <c r="O37" s="13902">
        <f>'staffing-Inabanga'!B50</f>
        <v>7</v>
      </c>
      <c r="P37" s="10461">
        <f t="shared" si="9"/>
        <v>7959192</v>
      </c>
      <c r="Q37" s="13861"/>
      <c r="R37" s="13864"/>
      <c r="S37" s="13864"/>
      <c r="T37" s="13864"/>
      <c r="U37" s="13864"/>
      <c r="V37" s="13888"/>
      <c r="W37" s="13864"/>
      <c r="X37" s="13867"/>
      <c r="Y37" s="13870"/>
      <c r="Z37" s="13879">
        <f t="shared" si="2"/>
        <v>27</v>
      </c>
      <c r="AA37" s="13871">
        <f t="shared" si="10"/>
        <v>27</v>
      </c>
      <c r="AB37" s="13859"/>
      <c r="AC37" s="13859"/>
      <c r="AD37" s="13859"/>
      <c r="AE37" s="13859"/>
      <c r="AF37" s="13859"/>
      <c r="AG37" s="13859"/>
    </row>
    <row r="38" spans="1:33" ht="14.1" customHeight="1">
      <c r="A38" s="13860" t="s">
        <v>591</v>
      </c>
      <c r="B38" s="13861"/>
      <c r="C38" s="10463"/>
      <c r="D38" s="13861"/>
      <c r="E38" s="13864"/>
      <c r="F38" s="13861"/>
      <c r="G38" s="10463"/>
      <c r="H38" s="13861">
        <f>'staffing-pitogo'!G27</f>
        <v>16</v>
      </c>
      <c r="I38" s="10463">
        <f>'staffing-pitogo'!H27</f>
        <v>5137548</v>
      </c>
      <c r="J38" s="13861">
        <f>'staffing-pitogo'!G33</f>
        <v>4</v>
      </c>
      <c r="K38" s="10463">
        <f>'staffing-pitogo'!H33</f>
        <v>707316</v>
      </c>
      <c r="L38" s="10463">
        <f t="shared" si="8"/>
        <v>5844864</v>
      </c>
      <c r="M38" s="13865">
        <f t="shared" si="11"/>
        <v>20</v>
      </c>
      <c r="N38" s="10463">
        <f>'staffing-pitogo'!F50</f>
        <v>2387988</v>
      </c>
      <c r="O38" s="13902">
        <f>'staffing-pitogo'!B50</f>
        <v>7</v>
      </c>
      <c r="P38" s="10461">
        <f t="shared" si="9"/>
        <v>8232852</v>
      </c>
      <c r="Q38" s="13861"/>
      <c r="R38" s="13864"/>
      <c r="S38" s="13864"/>
      <c r="T38" s="13864"/>
      <c r="U38" s="13864"/>
      <c r="V38" s="13888"/>
      <c r="W38" s="13864"/>
      <c r="X38" s="13867"/>
      <c r="Y38" s="13870"/>
      <c r="Z38" s="13879">
        <f t="shared" si="2"/>
        <v>27</v>
      </c>
      <c r="AA38" s="13871">
        <f t="shared" si="10"/>
        <v>27</v>
      </c>
      <c r="AB38" s="13859"/>
      <c r="AC38" s="13859"/>
      <c r="AD38" s="13859"/>
      <c r="AE38" s="13859"/>
      <c r="AF38" s="13859"/>
      <c r="AG38" s="13859"/>
    </row>
    <row r="39" spans="1:33" ht="14.1" customHeight="1">
      <c r="A39" s="13860" t="s">
        <v>592</v>
      </c>
      <c r="B39" s="13861">
        <f>'staffing-opswd'!G11</f>
        <v>1</v>
      </c>
      <c r="C39" s="10463">
        <f>'staffing-opswd'!H11</f>
        <v>1310364</v>
      </c>
      <c r="D39" s="13861"/>
      <c r="E39" s="13864"/>
      <c r="F39" s="13861">
        <f>'staffing-opswd'!G19</f>
        <v>5</v>
      </c>
      <c r="G39" s="10463">
        <f>'staffing-opswd'!H19</f>
        <v>1615140</v>
      </c>
      <c r="H39" s="13861">
        <f>'staffing-opswd'!G27</f>
        <v>13</v>
      </c>
      <c r="I39" s="10463">
        <f>'staffing-opswd'!H27</f>
        <v>2531760</v>
      </c>
      <c r="J39" s="13861">
        <f>'staffing-opswd'!G34</f>
        <v>7</v>
      </c>
      <c r="K39" s="10463">
        <f>'staffing-opswd'!H34</f>
        <v>1083384</v>
      </c>
      <c r="L39" s="10463">
        <f t="shared" si="8"/>
        <v>6540648</v>
      </c>
      <c r="M39" s="13865">
        <f t="shared" si="11"/>
        <v>26</v>
      </c>
      <c r="N39" s="10463">
        <f>'staffing-opswd'!F51</f>
        <v>2829228</v>
      </c>
      <c r="O39" s="13902">
        <f>'staffing-opswd'!B51</f>
        <v>11</v>
      </c>
      <c r="P39" s="10461">
        <f t="shared" si="9"/>
        <v>9369876</v>
      </c>
      <c r="Q39" s="13861"/>
      <c r="R39" s="13864"/>
      <c r="S39" s="13864"/>
      <c r="T39" s="13864"/>
      <c r="U39" s="13864"/>
      <c r="V39" s="13888"/>
      <c r="W39" s="13864"/>
      <c r="X39" s="13867"/>
      <c r="Y39" s="13870"/>
      <c r="Z39" s="13871">
        <f t="shared" si="2"/>
        <v>37</v>
      </c>
      <c r="AA39" s="13871">
        <f t="shared" si="10"/>
        <v>37</v>
      </c>
      <c r="AB39" s="13859"/>
      <c r="AC39" s="13859"/>
      <c r="AD39" s="13859"/>
      <c r="AE39" s="13859"/>
      <c r="AF39" s="13859"/>
      <c r="AG39" s="13859"/>
    </row>
    <row r="40" spans="1:33" ht="3.75" customHeight="1">
      <c r="A40" s="13860"/>
      <c r="B40" s="13861"/>
      <c r="C40" s="10464" t="s">
        <v>9</v>
      </c>
      <c r="D40" s="13861"/>
      <c r="E40" s="13890"/>
      <c r="F40" s="13861"/>
      <c r="G40" s="10464"/>
      <c r="H40" s="13861"/>
      <c r="I40" s="10464"/>
      <c r="J40" s="13861"/>
      <c r="K40" s="10464"/>
      <c r="L40" s="10464"/>
      <c r="M40" s="13907"/>
      <c r="N40" s="10464"/>
      <c r="O40" s="13902"/>
      <c r="P40" s="13949"/>
      <c r="Q40" s="13861"/>
      <c r="R40" s="13890"/>
      <c r="S40" s="13890"/>
      <c r="T40" s="13890"/>
      <c r="U40" s="13890"/>
      <c r="V40" s="13891"/>
      <c r="W40" s="13890"/>
      <c r="X40" s="13892"/>
      <c r="Y40" s="13893"/>
      <c r="Z40" s="13871"/>
      <c r="AA40" s="13858"/>
      <c r="AB40" s="13859"/>
      <c r="AC40" s="13859"/>
      <c r="AD40" s="13859"/>
      <c r="AE40" s="13859"/>
      <c r="AF40" s="13859"/>
      <c r="AG40" s="13859"/>
    </row>
    <row r="41" spans="1:33" ht="14.1" customHeight="1" thickBot="1">
      <c r="A41" s="13894" t="s">
        <v>485</v>
      </c>
      <c r="B41" s="13895">
        <f>SUM(B25:B39)</f>
        <v>7</v>
      </c>
      <c r="C41" s="10465">
        <f t="shared" ref="C41:X41" si="12">SUM(C25:C40)</f>
        <v>8410260</v>
      </c>
      <c r="D41" s="13895">
        <f>SUM(D30:D39)</f>
        <v>0</v>
      </c>
      <c r="E41" s="13908">
        <f t="shared" si="12"/>
        <v>0</v>
      </c>
      <c r="F41" s="13895">
        <f>SUM(F25:F39)</f>
        <v>41</v>
      </c>
      <c r="G41" s="10465">
        <f t="shared" si="12"/>
        <v>18182820</v>
      </c>
      <c r="H41" s="13895">
        <f>SUM(H25:H39)</f>
        <v>367</v>
      </c>
      <c r="I41" s="10465">
        <f t="shared" si="12"/>
        <v>106678176</v>
      </c>
      <c r="J41" s="13895">
        <f>SUM(J25:J39)</f>
        <v>120</v>
      </c>
      <c r="K41" s="10465">
        <f t="shared" si="12"/>
        <v>21994908</v>
      </c>
      <c r="L41" s="10465">
        <f t="shared" si="12"/>
        <v>155266164</v>
      </c>
      <c r="M41" s="13909">
        <f>SUM(M25:M39)</f>
        <v>535</v>
      </c>
      <c r="N41" s="10465">
        <f t="shared" si="12"/>
        <v>41775084</v>
      </c>
      <c r="O41" s="13898">
        <f>SUM(O25:O39)</f>
        <v>126</v>
      </c>
      <c r="P41" s="10465">
        <f>SUM(P25:P40)</f>
        <v>197041248</v>
      </c>
      <c r="Q41" s="13895">
        <f>SUM(Q30:Q39)</f>
        <v>0</v>
      </c>
      <c r="R41" s="13908">
        <f t="shared" si="12"/>
        <v>0</v>
      </c>
      <c r="S41" s="13908">
        <f t="shared" si="12"/>
        <v>0</v>
      </c>
      <c r="T41" s="13908">
        <f t="shared" si="12"/>
        <v>0</v>
      </c>
      <c r="U41" s="13908"/>
      <c r="V41" s="13910"/>
      <c r="W41" s="13908">
        <f t="shared" si="12"/>
        <v>0</v>
      </c>
      <c r="X41" s="13908">
        <f t="shared" si="12"/>
        <v>0</v>
      </c>
      <c r="Y41" s="13903"/>
      <c r="Z41" s="13871">
        <f t="shared" ref="Z41:Z51" si="13">M41+O41</f>
        <v>661</v>
      </c>
      <c r="AA41" s="13899"/>
      <c r="AB41" s="13859"/>
      <c r="AC41" s="13859"/>
      <c r="AD41" s="13859"/>
      <c r="AE41" s="13859"/>
      <c r="AF41" s="13859"/>
      <c r="AG41" s="13859"/>
    </row>
    <row r="42" spans="1:33" ht="5.25" customHeight="1" thickTop="1">
      <c r="A42" s="13860"/>
      <c r="B42" s="13861"/>
      <c r="C42" s="10464"/>
      <c r="D42" s="13861"/>
      <c r="E42" s="13890"/>
      <c r="F42" s="13861"/>
      <c r="G42" s="10464" t="s">
        <v>9</v>
      </c>
      <c r="H42" s="13861"/>
      <c r="I42" s="10464"/>
      <c r="J42" s="13861"/>
      <c r="K42" s="10464"/>
      <c r="L42" s="10464"/>
      <c r="M42" s="13907"/>
      <c r="N42" s="10464"/>
      <c r="O42" s="13902"/>
      <c r="P42" s="13949"/>
      <c r="Q42" s="13861"/>
      <c r="R42" s="13890"/>
      <c r="S42" s="13890"/>
      <c r="T42" s="13890"/>
      <c r="U42" s="13890"/>
      <c r="V42" s="13891"/>
      <c r="W42" s="13890"/>
      <c r="X42" s="13892"/>
      <c r="Y42" s="13893"/>
      <c r="Z42" s="13871">
        <f t="shared" si="13"/>
        <v>0</v>
      </c>
      <c r="AA42" s="13858"/>
      <c r="AB42" s="13859"/>
      <c r="AC42" s="13859"/>
      <c r="AD42" s="13859"/>
      <c r="AE42" s="13859"/>
      <c r="AF42" s="13859"/>
      <c r="AG42" s="13859"/>
    </row>
    <row r="43" spans="1:33" ht="14.1" customHeight="1">
      <c r="A43" s="13860" t="s">
        <v>593</v>
      </c>
      <c r="B43" s="13861"/>
      <c r="C43" s="10464"/>
      <c r="D43" s="13861"/>
      <c r="E43" s="13911"/>
      <c r="F43" s="13861"/>
      <c r="G43" s="10464"/>
      <c r="H43" s="13861"/>
      <c r="I43" s="10464"/>
      <c r="J43" s="13861">
        <f>'staffing-bepo'!I28</f>
        <v>5</v>
      </c>
      <c r="K43" s="10464">
        <f>'staffing-bepo'!J28</f>
        <v>985464</v>
      </c>
      <c r="L43" s="10463">
        <f>C43+E43+G43+I43+K43</f>
        <v>985464</v>
      </c>
      <c r="M43" s="13865">
        <f>B43+D43+F43+H43+J43</f>
        <v>5</v>
      </c>
      <c r="N43" s="10464">
        <f>'staffing-bepo'!G36</f>
        <v>230796</v>
      </c>
      <c r="O43" s="13902">
        <f>'staffing-bepo'!B36</f>
        <v>1</v>
      </c>
      <c r="P43" s="10461">
        <f t="shared" ref="P43:P51" si="14">L43+N43</f>
        <v>1216260</v>
      </c>
      <c r="Q43" s="13861">
        <v>0</v>
      </c>
      <c r="R43" s="13911"/>
      <c r="S43" s="13911"/>
      <c r="T43" s="13911"/>
      <c r="U43" s="13911"/>
      <c r="V43" s="13905"/>
      <c r="W43" s="13911"/>
      <c r="X43" s="13912"/>
      <c r="Y43" s="13913"/>
      <c r="Z43" s="13871">
        <f t="shared" si="13"/>
        <v>6</v>
      </c>
      <c r="AA43" s="13871">
        <f t="shared" ref="AA43:AA51" si="15">SUM(B43,D43,F43,H43,J43,O43)</f>
        <v>6</v>
      </c>
      <c r="AB43" s="13859"/>
      <c r="AC43" s="13859"/>
      <c r="AD43" s="13859"/>
      <c r="AE43" s="13859"/>
      <c r="AF43" s="13859"/>
      <c r="AG43" s="13859"/>
    </row>
    <row r="44" spans="1:33" ht="14.1" customHeight="1">
      <c r="A44" s="13914" t="s">
        <v>10813</v>
      </c>
      <c r="B44" s="13915"/>
      <c r="C44" s="10466"/>
      <c r="D44" s="13915"/>
      <c r="E44" s="13916"/>
      <c r="F44" s="13915">
        <f>'staffing-PEEMU'!B14</f>
        <v>1</v>
      </c>
      <c r="G44" s="10466">
        <f>'staffing-PEEMU'!G14</f>
        <v>613860</v>
      </c>
      <c r="H44" s="13915">
        <f>'staffing-PEEMU'!B17</f>
        <v>1</v>
      </c>
      <c r="I44" s="10466">
        <f>'staffing-PEEMU'!G17</f>
        <v>259428</v>
      </c>
      <c r="J44" s="13915"/>
      <c r="K44" s="10466"/>
      <c r="L44" s="10463">
        <f>C44+E44+G44+I44+K44</f>
        <v>873288</v>
      </c>
      <c r="M44" s="13865">
        <f>B44+D44+F44+H44+J44</f>
        <v>2</v>
      </c>
      <c r="N44" s="10466">
        <f>'staffing-PEEMU'!G35</f>
        <v>2221476</v>
      </c>
      <c r="O44" s="13917">
        <f>'staffing-PEEMU'!B35</f>
        <v>9</v>
      </c>
      <c r="P44" s="10461">
        <f t="shared" si="14"/>
        <v>3094764</v>
      </c>
      <c r="Q44" s="13915"/>
      <c r="R44" s="13916"/>
      <c r="S44" s="13916"/>
      <c r="T44" s="13916"/>
      <c r="U44" s="13916"/>
      <c r="V44" s="13918"/>
      <c r="W44" s="13916"/>
      <c r="X44" s="13919"/>
      <c r="Y44" s="13913"/>
      <c r="Z44" s="13871">
        <f t="shared" si="13"/>
        <v>11</v>
      </c>
      <c r="AA44" s="13871">
        <f t="shared" si="15"/>
        <v>11</v>
      </c>
      <c r="AB44" s="13859"/>
      <c r="AC44" s="13859"/>
      <c r="AD44" s="13859"/>
      <c r="AE44" s="13859"/>
      <c r="AF44" s="13859"/>
      <c r="AG44" s="13859"/>
    </row>
    <row r="45" spans="1:33" ht="14.1" customHeight="1">
      <c r="A45" s="13860" t="s">
        <v>594</v>
      </c>
      <c r="B45" s="13861"/>
      <c r="C45" s="10464"/>
      <c r="D45" s="13861"/>
      <c r="E45" s="13911"/>
      <c r="F45" s="13861">
        <f>'staffing-bipc'!H17</f>
        <v>1</v>
      </c>
      <c r="G45" s="10464">
        <f>'staffing-bipc'!I17</f>
        <v>259428</v>
      </c>
      <c r="H45" s="13861"/>
      <c r="I45" s="10464"/>
      <c r="J45" s="13861">
        <f>'staffing-bipc'!H25</f>
        <v>5</v>
      </c>
      <c r="K45" s="10464">
        <f>'staffing-bipc'!I25</f>
        <v>1570488</v>
      </c>
      <c r="L45" s="10463">
        <f t="shared" ref="L45:L51" si="16">C45+E45+G45+I45+K45</f>
        <v>1829916</v>
      </c>
      <c r="M45" s="13865">
        <f t="shared" ref="M45:M51" si="17">B45+D45+F45+H45+J45</f>
        <v>6</v>
      </c>
      <c r="N45" s="10464">
        <f>'staffing-bipc'!F33</f>
        <v>158568</v>
      </c>
      <c r="O45" s="13902">
        <f>'staffing-bipc'!B33</f>
        <v>1</v>
      </c>
      <c r="P45" s="10461">
        <f t="shared" si="14"/>
        <v>1988484</v>
      </c>
      <c r="Q45" s="13861"/>
      <c r="R45" s="13911"/>
      <c r="S45" s="13911"/>
      <c r="T45" s="13911"/>
      <c r="U45" s="13911"/>
      <c r="V45" s="13905"/>
      <c r="W45" s="13911"/>
      <c r="X45" s="13912"/>
      <c r="Y45" s="13913"/>
      <c r="Z45" s="13871">
        <f t="shared" si="13"/>
        <v>7</v>
      </c>
      <c r="AA45" s="13871">
        <f t="shared" si="15"/>
        <v>7</v>
      </c>
      <c r="AB45" s="13859"/>
      <c r="AC45" s="13859"/>
      <c r="AD45" s="13859"/>
      <c r="AE45" s="13859"/>
      <c r="AF45" s="13859"/>
      <c r="AG45" s="13859"/>
    </row>
    <row r="46" spans="1:33" ht="14.1" customHeight="1">
      <c r="A46" s="13860" t="s">
        <v>595</v>
      </c>
      <c r="B46" s="13861"/>
      <c r="C46" s="10464"/>
      <c r="D46" s="13861"/>
      <c r="E46" s="13911"/>
      <c r="F46" s="13861">
        <f>'staffing-bto'!B14</f>
        <v>1</v>
      </c>
      <c r="G46" s="10464">
        <f>'staffing-bto'!F14</f>
        <v>487644</v>
      </c>
      <c r="H46" s="13861">
        <f>'staffing-bto'!H17</f>
        <v>1</v>
      </c>
      <c r="I46" s="10464">
        <f>'staffing-bto'!I17</f>
        <v>174636</v>
      </c>
      <c r="J46" s="13861">
        <f>'staffing-bto'!H23</f>
        <v>1</v>
      </c>
      <c r="K46" s="10464">
        <f>'staffing-bto'!I23</f>
        <v>219324</v>
      </c>
      <c r="L46" s="10463">
        <f t="shared" si="16"/>
        <v>881604</v>
      </c>
      <c r="M46" s="13865">
        <f t="shared" si="17"/>
        <v>3</v>
      </c>
      <c r="N46" s="10464">
        <f>'staffing-bto'!F30</f>
        <v>544536</v>
      </c>
      <c r="O46" s="13902">
        <f>'staffing-bto'!B30</f>
        <v>2</v>
      </c>
      <c r="P46" s="10461">
        <f t="shared" si="14"/>
        <v>1426140</v>
      </c>
      <c r="Q46" s="13861"/>
      <c r="R46" s="13911"/>
      <c r="S46" s="13911"/>
      <c r="T46" s="13911"/>
      <c r="U46" s="13911"/>
      <c r="V46" s="13905"/>
      <c r="W46" s="13911"/>
      <c r="X46" s="13912"/>
      <c r="Y46" s="13913"/>
      <c r="Z46" s="13871">
        <f t="shared" si="13"/>
        <v>5</v>
      </c>
      <c r="AA46" s="13871">
        <f t="shared" si="15"/>
        <v>5</v>
      </c>
      <c r="AB46" s="13859"/>
      <c r="AC46" s="13859"/>
      <c r="AD46" s="13859"/>
      <c r="AE46" s="13859"/>
      <c r="AF46" s="13859"/>
      <c r="AG46" s="13859"/>
    </row>
    <row r="47" spans="1:33" ht="14.1" customHeight="1">
      <c r="A47" s="13860" t="s">
        <v>596</v>
      </c>
      <c r="B47" s="13861"/>
      <c r="C47" s="10464"/>
      <c r="D47" s="13861"/>
      <c r="E47" s="13911"/>
      <c r="F47" s="13861"/>
      <c r="G47" s="10464"/>
      <c r="H47" s="13861">
        <f>'staffing-CCAD'!I19</f>
        <v>1</v>
      </c>
      <c r="I47" s="10464">
        <f>'staffing-CCAD'!J19</f>
        <v>613860</v>
      </c>
      <c r="J47" s="13861">
        <f>'staffing-CCAD'!I26</f>
        <v>1</v>
      </c>
      <c r="K47" s="10464">
        <f>'staffing-CCAD'!J26</f>
        <v>389628</v>
      </c>
      <c r="L47" s="10463">
        <f t="shared" si="16"/>
        <v>1003488</v>
      </c>
      <c r="M47" s="13865">
        <f t="shared" si="17"/>
        <v>2</v>
      </c>
      <c r="N47" s="10464">
        <f>'staffing-CCAD'!G35</f>
        <v>531264</v>
      </c>
      <c r="O47" s="13902">
        <f>'staffing-CCAD'!B35</f>
        <v>4</v>
      </c>
      <c r="P47" s="10461">
        <f t="shared" si="14"/>
        <v>1534752</v>
      </c>
      <c r="Q47" s="13861"/>
      <c r="R47" s="13911"/>
      <c r="S47" s="13911"/>
      <c r="T47" s="13911"/>
      <c r="U47" s="13911"/>
      <c r="V47" s="13905"/>
      <c r="W47" s="13911"/>
      <c r="X47" s="13912"/>
      <c r="Y47" s="13913"/>
      <c r="Z47" s="13871">
        <f t="shared" si="13"/>
        <v>6</v>
      </c>
      <c r="AA47" s="13871">
        <f t="shared" si="15"/>
        <v>6</v>
      </c>
      <c r="AB47" s="13859"/>
      <c r="AC47" s="13859"/>
      <c r="AD47" s="13859"/>
      <c r="AE47" s="13859"/>
      <c r="AF47" s="13859"/>
      <c r="AG47" s="13859"/>
    </row>
    <row r="48" spans="1:33" ht="14.1" customHeight="1">
      <c r="A48" s="13860" t="s">
        <v>598</v>
      </c>
      <c r="B48" s="13861">
        <f>'staffing-agri'!G10</f>
        <v>2</v>
      </c>
      <c r="C48" s="10463">
        <f>'staffing-agri'!H10</f>
        <v>2438052</v>
      </c>
      <c r="D48" s="13861"/>
      <c r="E48" s="13864"/>
      <c r="F48" s="13861">
        <f>'staffing-agri'!G28</f>
        <v>44</v>
      </c>
      <c r="G48" s="10463">
        <f>'staffing-agri'!H28</f>
        <v>10543980</v>
      </c>
      <c r="H48" s="13861"/>
      <c r="I48" s="10463"/>
      <c r="J48" s="13861">
        <f>'staffing-agri'!G37</f>
        <v>22</v>
      </c>
      <c r="K48" s="10463">
        <f>'staffing-agri'!H37</f>
        <v>3633972</v>
      </c>
      <c r="L48" s="10463">
        <f t="shared" si="16"/>
        <v>16616004</v>
      </c>
      <c r="M48" s="13865">
        <f t="shared" si="17"/>
        <v>68</v>
      </c>
      <c r="N48" s="10463">
        <f>'staffing-agri'!F57</f>
        <v>6239604</v>
      </c>
      <c r="O48" s="13902">
        <f>'staffing-agri'!B57</f>
        <v>33</v>
      </c>
      <c r="P48" s="10461">
        <f t="shared" si="14"/>
        <v>22855608</v>
      </c>
      <c r="Q48" s="13861"/>
      <c r="R48" s="13864"/>
      <c r="S48" s="13864"/>
      <c r="T48" s="13864"/>
      <c r="U48" s="13864"/>
      <c r="V48" s="13888"/>
      <c r="W48" s="13864"/>
      <c r="X48" s="13867"/>
      <c r="Y48" s="13870"/>
      <c r="Z48" s="13871">
        <f t="shared" si="13"/>
        <v>101</v>
      </c>
      <c r="AA48" s="13871">
        <f t="shared" si="15"/>
        <v>101</v>
      </c>
      <c r="AB48" s="13859"/>
      <c r="AC48" s="13859"/>
      <c r="AD48" s="13859"/>
      <c r="AE48" s="13859"/>
      <c r="AF48" s="13859"/>
      <c r="AG48" s="13859"/>
    </row>
    <row r="49" spans="1:34" ht="14.1" customHeight="1">
      <c r="A49" s="13860" t="s">
        <v>599</v>
      </c>
      <c r="B49" s="13861">
        <f>'staffing-vet'!G9</f>
        <v>1</v>
      </c>
      <c r="C49" s="10463">
        <f>'staffing-vet'!H9</f>
        <v>1444044</v>
      </c>
      <c r="D49" s="13861"/>
      <c r="E49" s="13864"/>
      <c r="F49" s="13861">
        <f>'staffing-vet'!G21</f>
        <v>13</v>
      </c>
      <c r="G49" s="10463">
        <f>'staffing-vet'!H21</f>
        <v>5579700</v>
      </c>
      <c r="H49" s="13861">
        <f>'staffing-vet'!G26</f>
        <v>16</v>
      </c>
      <c r="I49" s="10463">
        <f>'staffing-vet'!H26</f>
        <v>2559012</v>
      </c>
      <c r="J49" s="13861">
        <f>'staffing-vet'!G32</f>
        <v>5</v>
      </c>
      <c r="K49" s="10463">
        <f>'staffing-vet'!H32</f>
        <v>943032</v>
      </c>
      <c r="L49" s="10463">
        <f t="shared" si="16"/>
        <v>10525788</v>
      </c>
      <c r="M49" s="13865">
        <f t="shared" si="17"/>
        <v>35</v>
      </c>
      <c r="N49" s="10463">
        <f>'staffing-vet'!F50</f>
        <v>3572484</v>
      </c>
      <c r="O49" s="13902">
        <f>'staffing-vet'!B50</f>
        <v>19</v>
      </c>
      <c r="P49" s="10461">
        <f t="shared" si="14"/>
        <v>14098272</v>
      </c>
      <c r="Q49" s="13861"/>
      <c r="R49" s="13864"/>
      <c r="S49" s="13864"/>
      <c r="T49" s="13864"/>
      <c r="U49" s="13864"/>
      <c r="V49" s="13888"/>
      <c r="W49" s="13864"/>
      <c r="X49" s="13867"/>
      <c r="Y49" s="13870"/>
      <c r="Z49" s="13871">
        <f t="shared" si="13"/>
        <v>54</v>
      </c>
      <c r="AA49" s="13871">
        <f t="shared" si="15"/>
        <v>54</v>
      </c>
      <c r="AB49" s="13859"/>
      <c r="AC49" s="13859"/>
      <c r="AD49" s="13859"/>
      <c r="AE49" s="13859"/>
      <c r="AF49" s="13859"/>
      <c r="AG49" s="13859"/>
    </row>
    <row r="50" spans="1:34" ht="14.1" customHeight="1">
      <c r="A50" s="13860" t="s">
        <v>600</v>
      </c>
      <c r="B50" s="13861">
        <f>'staffing-PEO'!G10</f>
        <v>0</v>
      </c>
      <c r="C50" s="10463">
        <f>'staffing-PEO'!H10</f>
        <v>0</v>
      </c>
      <c r="D50" s="13861"/>
      <c r="E50" s="13864"/>
      <c r="F50" s="13861">
        <f>'staffing-PEO'!G13</f>
        <v>6</v>
      </c>
      <c r="G50" s="10463">
        <f>'staffing-PEO'!H13</f>
        <v>4898664</v>
      </c>
      <c r="H50" s="13861">
        <f>'staffing-PEO'!G34</f>
        <v>97</v>
      </c>
      <c r="I50" s="10463">
        <f>'staffing-PEO'!H34</f>
        <v>19693548</v>
      </c>
      <c r="J50" s="13861">
        <f>'staffing-PEO'!G43</f>
        <v>18</v>
      </c>
      <c r="K50" s="10463">
        <f>'staffing-PEO'!H43</f>
        <v>3798240</v>
      </c>
      <c r="L50" s="10463">
        <f t="shared" si="16"/>
        <v>28390452</v>
      </c>
      <c r="M50" s="13865">
        <f t="shared" si="17"/>
        <v>121</v>
      </c>
      <c r="N50" s="10463">
        <f>'staffing-PEO'!F67</f>
        <v>6491592</v>
      </c>
      <c r="O50" s="13902">
        <f>'staffing-PEO'!B67</f>
        <v>27</v>
      </c>
      <c r="P50" s="10461">
        <f t="shared" si="14"/>
        <v>34882044</v>
      </c>
      <c r="Q50" s="13861"/>
      <c r="R50" s="13864"/>
      <c r="S50" s="13864"/>
      <c r="T50" s="13864"/>
      <c r="U50" s="13864"/>
      <c r="V50" s="13888"/>
      <c r="W50" s="13864"/>
      <c r="X50" s="13867"/>
      <c r="Y50" s="13870"/>
      <c r="Z50" s="13871">
        <f t="shared" si="13"/>
        <v>148</v>
      </c>
      <c r="AA50" s="13871">
        <f t="shared" si="15"/>
        <v>148</v>
      </c>
      <c r="AB50" s="13859"/>
      <c r="AC50" s="13859"/>
      <c r="AD50" s="13859"/>
      <c r="AE50" s="13859"/>
      <c r="AF50" s="13859"/>
      <c r="AG50" s="13859"/>
    </row>
    <row r="51" spans="1:34" ht="14.1" customHeight="1">
      <c r="A51" s="13860" t="s">
        <v>601</v>
      </c>
      <c r="B51" s="13861">
        <f>'staffing-mpool'!G9</f>
        <v>1</v>
      </c>
      <c r="C51" s="10463">
        <f>'staffing-mpool'!H9</f>
        <v>1375584</v>
      </c>
      <c r="D51" s="13861"/>
      <c r="E51" s="13864"/>
      <c r="F51" s="13861">
        <f>'staffing-mpool'!G16</f>
        <v>7</v>
      </c>
      <c r="G51" s="10463">
        <f>'staffing-mpool'!H16</f>
        <v>3466176</v>
      </c>
      <c r="H51" s="13861">
        <f>'staffing-mpool'!G29</f>
        <v>57</v>
      </c>
      <c r="I51" s="10463">
        <f>'staffing-mpool'!H29</f>
        <v>9746040</v>
      </c>
      <c r="J51" s="13861">
        <f>'staffing-mpool'!G36</f>
        <v>10</v>
      </c>
      <c r="K51" s="10463">
        <f>'staffing-mpool'!H36</f>
        <v>1772532</v>
      </c>
      <c r="L51" s="10463">
        <f t="shared" si="16"/>
        <v>16360332</v>
      </c>
      <c r="M51" s="13865">
        <f t="shared" si="17"/>
        <v>75</v>
      </c>
      <c r="N51" s="10463">
        <f>'staffing-mpool'!F57</f>
        <v>1390116</v>
      </c>
      <c r="O51" s="13902">
        <f>'staffing-mpool'!B57</f>
        <v>8</v>
      </c>
      <c r="P51" s="10461">
        <f t="shared" si="14"/>
        <v>17750448</v>
      </c>
      <c r="Q51" s="13861"/>
      <c r="R51" s="13864"/>
      <c r="S51" s="13864"/>
      <c r="T51" s="13864"/>
      <c r="U51" s="13864"/>
      <c r="V51" s="13888"/>
      <c r="W51" s="13864"/>
      <c r="X51" s="13867"/>
      <c r="Y51" s="13870"/>
      <c r="Z51" s="13871">
        <f t="shared" si="13"/>
        <v>83</v>
      </c>
      <c r="AA51" s="13871">
        <f t="shared" si="15"/>
        <v>83</v>
      </c>
      <c r="AB51" s="13859"/>
      <c r="AC51" s="13859"/>
      <c r="AD51" s="13859"/>
      <c r="AE51" s="13859"/>
      <c r="AF51" s="13859"/>
      <c r="AG51" s="13859"/>
    </row>
    <row r="52" spans="1:34" ht="3.75" customHeight="1">
      <c r="A52" s="13860"/>
      <c r="B52" s="13861"/>
      <c r="C52" s="10464"/>
      <c r="D52" s="13861"/>
      <c r="E52" s="13911"/>
      <c r="F52" s="13861"/>
      <c r="G52" s="10464"/>
      <c r="H52" s="13861"/>
      <c r="I52" s="10464"/>
      <c r="J52" s="13861"/>
      <c r="K52" s="10464"/>
      <c r="L52" s="10464"/>
      <c r="M52" s="13920"/>
      <c r="N52" s="10464"/>
      <c r="O52" s="13902"/>
      <c r="P52" s="13949"/>
      <c r="Q52" s="13861"/>
      <c r="R52" s="13911"/>
      <c r="S52" s="13911"/>
      <c r="T52" s="13911"/>
      <c r="U52" s="13911"/>
      <c r="V52" s="13905"/>
      <c r="W52" s="13911"/>
      <c r="X52" s="13912"/>
      <c r="Y52" s="13913"/>
      <c r="Z52" s="13906"/>
      <c r="AA52" s="13906"/>
      <c r="AB52" s="13859"/>
      <c r="AC52" s="13859"/>
      <c r="AD52" s="13859"/>
      <c r="AE52" s="13859"/>
      <c r="AF52" s="13859"/>
      <c r="AG52" s="13859"/>
    </row>
    <row r="53" spans="1:34" ht="14.1" customHeight="1" thickBot="1">
      <c r="A53" s="13894" t="s">
        <v>485</v>
      </c>
      <c r="B53" s="13895">
        <f>SUM(B43:B51)</f>
        <v>4</v>
      </c>
      <c r="C53" s="10465">
        <f>SUM(C43:C51)</f>
        <v>5257680</v>
      </c>
      <c r="D53" s="13895">
        <f>SUM(D41:D51)</f>
        <v>0</v>
      </c>
      <c r="E53" s="13908">
        <f t="shared" ref="E53:P53" si="18">SUM(E43:E51)</f>
        <v>0</v>
      </c>
      <c r="F53" s="13895">
        <f t="shared" si="18"/>
        <v>73</v>
      </c>
      <c r="G53" s="10465">
        <f t="shared" si="18"/>
        <v>25849452</v>
      </c>
      <c r="H53" s="13895">
        <f t="shared" si="18"/>
        <v>173</v>
      </c>
      <c r="I53" s="10465">
        <f t="shared" si="18"/>
        <v>33046524</v>
      </c>
      <c r="J53" s="13895">
        <f t="shared" si="18"/>
        <v>67</v>
      </c>
      <c r="K53" s="10465">
        <f t="shared" si="18"/>
        <v>13312680</v>
      </c>
      <c r="L53" s="10465">
        <f t="shared" si="18"/>
        <v>77466336</v>
      </c>
      <c r="M53" s="13909">
        <f t="shared" si="18"/>
        <v>317</v>
      </c>
      <c r="N53" s="10465">
        <f t="shared" si="18"/>
        <v>21380436</v>
      </c>
      <c r="O53" s="13898">
        <f t="shared" si="18"/>
        <v>104</v>
      </c>
      <c r="P53" s="10465">
        <f t="shared" si="18"/>
        <v>98846772</v>
      </c>
      <c r="Q53" s="13895">
        <f>SUM(Q41:Q51)</f>
        <v>0</v>
      </c>
      <c r="R53" s="13908">
        <f>SUM(R43:R51)</f>
        <v>0</v>
      </c>
      <c r="S53" s="13908">
        <f>SUM(S43:S51)</f>
        <v>0</v>
      </c>
      <c r="T53" s="13908">
        <f>SUM(T43:T51)</f>
        <v>0</v>
      </c>
      <c r="U53" s="13908"/>
      <c r="V53" s="13910"/>
      <c r="W53" s="13908">
        <f>SUM(W43:W51)</f>
        <v>0</v>
      </c>
      <c r="X53" s="13908">
        <f>SUM(X43:X51)</f>
        <v>0</v>
      </c>
      <c r="Y53" s="13903"/>
      <c r="Z53" s="13899"/>
      <c r="AA53" s="13899"/>
      <c r="AB53" s="13839" t="s">
        <v>9</v>
      </c>
      <c r="AC53" s="13839" t="s">
        <v>9</v>
      </c>
      <c r="AD53" s="13839" t="s">
        <v>9</v>
      </c>
      <c r="AE53" s="13839" t="s">
        <v>9</v>
      </c>
      <c r="AF53" s="13839" t="s">
        <v>9</v>
      </c>
      <c r="AG53" s="13839" t="s">
        <v>9</v>
      </c>
      <c r="AH53" s="13839" t="s">
        <v>9</v>
      </c>
    </row>
    <row r="54" spans="1:34" ht="0.9" customHeight="1" thickTop="1" thickBot="1">
      <c r="A54" s="13921"/>
      <c r="B54" s="13922"/>
      <c r="C54" s="10467"/>
      <c r="D54" s="13922"/>
      <c r="E54" s="13923"/>
      <c r="F54" s="13922"/>
      <c r="G54" s="10467"/>
      <c r="H54" s="13922"/>
      <c r="I54" s="10467"/>
      <c r="J54" s="13922"/>
      <c r="K54" s="10467"/>
      <c r="L54" s="10467"/>
      <c r="M54" s="13924"/>
      <c r="N54" s="10467"/>
      <c r="O54" s="13925"/>
      <c r="P54" s="13950"/>
      <c r="Q54" s="13922"/>
      <c r="R54" s="13923"/>
      <c r="S54" s="13923"/>
      <c r="T54" s="13923"/>
      <c r="U54" s="13923"/>
      <c r="V54" s="13927"/>
      <c r="W54" s="13923"/>
      <c r="X54" s="13926"/>
      <c r="Y54" s="13893"/>
      <c r="Z54" s="13858"/>
      <c r="AA54" s="13858"/>
      <c r="AB54" s="13859"/>
      <c r="AC54" s="13859"/>
      <c r="AD54" s="13859"/>
      <c r="AE54" s="13859"/>
      <c r="AF54" s="13859"/>
      <c r="AG54" s="13859"/>
    </row>
    <row r="55" spans="1:34" ht="14.1" customHeight="1" thickTop="1" thickBot="1">
      <c r="A55" s="13928" t="s">
        <v>602</v>
      </c>
      <c r="B55" s="13929">
        <f t="shared" ref="B55:L55" si="19">SUM(B23+B41+B53)</f>
        <v>40</v>
      </c>
      <c r="C55" s="13945">
        <f t="shared" si="19"/>
        <v>53978028</v>
      </c>
      <c r="D55" s="13929">
        <f t="shared" si="19"/>
        <v>0</v>
      </c>
      <c r="E55" s="13931">
        <f t="shared" si="19"/>
        <v>0</v>
      </c>
      <c r="F55" s="13929">
        <f t="shared" si="19"/>
        <v>161</v>
      </c>
      <c r="G55" s="13945">
        <f t="shared" si="19"/>
        <v>66519204</v>
      </c>
      <c r="H55" s="13929">
        <f t="shared" si="19"/>
        <v>688</v>
      </c>
      <c r="I55" s="13945">
        <f t="shared" si="19"/>
        <v>173171964</v>
      </c>
      <c r="J55" s="13929">
        <f t="shared" si="19"/>
        <v>440</v>
      </c>
      <c r="K55" s="13945">
        <f t="shared" si="19"/>
        <v>84675312</v>
      </c>
      <c r="L55" s="13945">
        <f t="shared" si="19"/>
        <v>378344508</v>
      </c>
      <c r="M55" s="13932">
        <f>J55+H55+F55+D55+B55</f>
        <v>1329</v>
      </c>
      <c r="N55" s="10468">
        <f>N53+N41+N23</f>
        <v>90336672</v>
      </c>
      <c r="O55" s="13933">
        <f>O53+O41+O23</f>
        <v>338</v>
      </c>
      <c r="P55" s="10468">
        <f>P53+P41+P23</f>
        <v>468681180</v>
      </c>
      <c r="Q55" s="13933">
        <f>Q53+Q41+Q23</f>
        <v>19</v>
      </c>
      <c r="R55" s="13930">
        <f>SUM(R23+R41+R53)</f>
        <v>5155200</v>
      </c>
      <c r="S55" s="13930">
        <f>SUM(S23+S41+S53)</f>
        <v>0</v>
      </c>
      <c r="T55" s="13930">
        <f>SUM(T23+T41+T53)</f>
        <v>5155200</v>
      </c>
      <c r="U55" s="13930"/>
      <c r="V55" s="13929">
        <f>V53+V41+V23</f>
        <v>0</v>
      </c>
      <c r="W55" s="13930">
        <f>SUM(W23+W41+W53)</f>
        <v>0</v>
      </c>
      <c r="X55" s="13930">
        <f>SUM(X23+X41+X53)</f>
        <v>5155200</v>
      </c>
      <c r="Y55" s="13903"/>
      <c r="Z55" s="13899">
        <f>O55+J55+H55+F55+D55+B55</f>
        <v>1667</v>
      </c>
      <c r="AA55" s="13899">
        <f>SUM(AA6:AA51)</f>
        <v>1667</v>
      </c>
      <c r="AB55" s="13934">
        <f>Z55+Q55</f>
        <v>1686</v>
      </c>
      <c r="AC55" s="13859"/>
      <c r="AD55" s="13859"/>
      <c r="AE55" s="13859"/>
      <c r="AF55" s="13859"/>
      <c r="AG55" s="13859"/>
    </row>
    <row r="56" spans="1:34" ht="3" customHeight="1">
      <c r="B56" s="13935" t="s">
        <v>9234</v>
      </c>
    </row>
    <row r="57" spans="1:34" ht="14.1" customHeight="1">
      <c r="M57" s="13940">
        <f>M53+M41+M23</f>
        <v>1329</v>
      </c>
      <c r="N57" s="10469">
        <f>M57+O57</f>
        <v>1667</v>
      </c>
      <c r="O57" s="13941">
        <f>O53+O41+O23</f>
        <v>338</v>
      </c>
    </row>
    <row r="58" spans="1:34" ht="14.1" customHeight="1">
      <c r="AA58" s="13953">
        <f>Z55+Q55</f>
        <v>1686</v>
      </c>
    </row>
    <row r="59" spans="1:34" ht="14.1" customHeight="1">
      <c r="N59" s="10469">
        <f>N43+N44+N45+N46+N47+N48+N49+N50+N51</f>
        <v>21380436</v>
      </c>
    </row>
  </sheetData>
  <mergeCells count="10">
    <mergeCell ref="V3:V4"/>
    <mergeCell ref="S1:T1"/>
    <mergeCell ref="A3:A4"/>
    <mergeCell ref="B3:B4"/>
    <mergeCell ref="D3:D4"/>
    <mergeCell ref="F3:F4"/>
    <mergeCell ref="H3:H4"/>
    <mergeCell ref="J3:J4"/>
    <mergeCell ref="O3:O4"/>
    <mergeCell ref="Q3:Q4"/>
  </mergeCells>
  <printOptions horizontalCentered="1"/>
  <pageMargins left="0.25" right="0.25" top="0.25" bottom="0.25" header="0.05" footer="0.05"/>
  <pageSetup paperSize="119" scale="85" orientation="landscape" r:id="rId1"/>
</worksheet>
</file>

<file path=xl/worksheets/sheet222.xml><?xml version="1.0" encoding="utf-8"?>
<worksheet xmlns="http://schemas.openxmlformats.org/spreadsheetml/2006/main" xmlns:r="http://schemas.openxmlformats.org/officeDocument/2006/relationships">
  <sheetPr codeName="Sheet213"/>
  <dimension ref="A1:C38"/>
  <sheetViews>
    <sheetView workbookViewId="0">
      <selection activeCell="C37" sqref="C37"/>
    </sheetView>
  </sheetViews>
  <sheetFormatPr defaultColWidth="9.109375" defaultRowHeight="15"/>
  <cols>
    <col min="1" max="1" width="21.109375" style="862" customWidth="1"/>
    <col min="2" max="2" width="2.44140625" style="862" customWidth="1"/>
    <col min="3" max="3" width="19" style="862" customWidth="1"/>
    <col min="4" max="16384" width="9.109375" style="862"/>
  </cols>
  <sheetData>
    <row r="1" spans="1:3" s="868" customFormat="1">
      <c r="A1" s="15542" t="s">
        <v>3320</v>
      </c>
      <c r="B1" s="15542"/>
      <c r="C1" s="15542"/>
    </row>
    <row r="2" spans="1:3" s="868" customFormat="1">
      <c r="A2" s="15542" t="s">
        <v>3321</v>
      </c>
      <c r="B2" s="15542"/>
      <c r="C2" s="15542"/>
    </row>
    <row r="3" spans="1:3" s="868" customFormat="1">
      <c r="A3" s="866"/>
      <c r="B3" s="866"/>
      <c r="C3" s="866"/>
    </row>
    <row r="4" spans="1:3" s="869" customFormat="1">
      <c r="A4" s="869" t="s">
        <v>216</v>
      </c>
      <c r="C4" s="869" t="s">
        <v>220</v>
      </c>
    </row>
    <row r="5" spans="1:3">
      <c r="A5" s="862" t="s">
        <v>568</v>
      </c>
      <c r="B5" s="862" t="s">
        <v>1133</v>
      </c>
      <c r="C5" s="863" t="e">
        <f>#REF!</f>
        <v>#REF!</v>
      </c>
    </row>
    <row r="6" spans="1:3">
      <c r="A6" s="862" t="s">
        <v>593</v>
      </c>
      <c r="B6" s="862" t="s">
        <v>1133</v>
      </c>
      <c r="C6" s="863" t="e">
        <f>#REF!</f>
        <v>#REF!</v>
      </c>
    </row>
    <row r="7" spans="1:3">
      <c r="A7" s="862" t="s">
        <v>578</v>
      </c>
      <c r="B7" s="862" t="s">
        <v>1133</v>
      </c>
      <c r="C7" s="863" t="e">
        <f>#REF!</f>
        <v>#REF!</v>
      </c>
    </row>
    <row r="8" spans="1:3">
      <c r="A8" s="862" t="s">
        <v>594</v>
      </c>
      <c r="B8" s="862" t="s">
        <v>1133</v>
      </c>
      <c r="C8" s="863">
        <f>'lbpf 4-BIPC'!H48</f>
        <v>852420</v>
      </c>
    </row>
    <row r="9" spans="1:3">
      <c r="A9" s="862" t="s">
        <v>595</v>
      </c>
      <c r="B9" s="862" t="s">
        <v>1133</v>
      </c>
      <c r="C9" s="863" t="e">
        <f>#REF!</f>
        <v>#REF!</v>
      </c>
    </row>
    <row r="10" spans="1:3">
      <c r="A10" s="862" t="s">
        <v>1727</v>
      </c>
      <c r="B10" s="862" t="s">
        <v>1133</v>
      </c>
      <c r="C10" s="863" t="e">
        <f>#REF!</f>
        <v>#REF!</v>
      </c>
    </row>
    <row r="11" spans="1:3">
      <c r="A11" s="862" t="s">
        <v>678</v>
      </c>
      <c r="B11" s="862" t="s">
        <v>1133</v>
      </c>
      <c r="C11" s="863" t="e">
        <f>#REF!</f>
        <v>#REF!</v>
      </c>
    </row>
    <row r="12" spans="1:3">
      <c r="A12" s="862" t="s">
        <v>569</v>
      </c>
      <c r="B12" s="862" t="s">
        <v>1133</v>
      </c>
      <c r="C12" s="863" t="e">
        <f>#REF!</f>
        <v>#REF!</v>
      </c>
    </row>
    <row r="13" spans="1:3">
      <c r="A13" s="862" t="s">
        <v>3312</v>
      </c>
      <c r="B13" s="862" t="s">
        <v>1133</v>
      </c>
      <c r="C13" s="863" t="e">
        <f>#REF!</f>
        <v>#REF!</v>
      </c>
    </row>
    <row r="14" spans="1:3">
      <c r="A14" s="862" t="s">
        <v>3065</v>
      </c>
      <c r="B14" s="862" t="s">
        <v>1133</v>
      </c>
      <c r="C14" s="863" t="e">
        <f>#REF!</f>
        <v>#REF!</v>
      </c>
    </row>
    <row r="15" spans="1:3">
      <c r="A15" s="862" t="s">
        <v>571</v>
      </c>
      <c r="B15" s="862" t="s">
        <v>1133</v>
      </c>
      <c r="C15" s="863" t="e">
        <f>#REF!</f>
        <v>#REF!</v>
      </c>
    </row>
    <row r="16" spans="1:3">
      <c r="A16" s="862" t="s">
        <v>3313</v>
      </c>
      <c r="B16" s="862" t="s">
        <v>1133</v>
      </c>
      <c r="C16" s="863" t="e">
        <f>#REF!</f>
        <v>#REF!</v>
      </c>
    </row>
    <row r="17" spans="1:3">
      <c r="A17" s="862" t="s">
        <v>3314</v>
      </c>
      <c r="B17" s="862" t="s">
        <v>1133</v>
      </c>
      <c r="C17" s="863" t="e">
        <f>#REF!</f>
        <v>#REF!</v>
      </c>
    </row>
    <row r="18" spans="1:3">
      <c r="A18" s="862" t="s">
        <v>574</v>
      </c>
      <c r="B18" s="862" t="s">
        <v>1133</v>
      </c>
      <c r="C18" s="863" t="e">
        <f>#REF!</f>
        <v>#REF!</v>
      </c>
    </row>
    <row r="19" spans="1:3">
      <c r="A19" s="862" t="s">
        <v>575</v>
      </c>
      <c r="B19" s="862" t="s">
        <v>1133</v>
      </c>
      <c r="C19" s="863" t="e">
        <f>#REF!</f>
        <v>#REF!</v>
      </c>
    </row>
    <row r="20" spans="1:3">
      <c r="A20" s="862" t="s">
        <v>576</v>
      </c>
      <c r="B20" s="862" t="s">
        <v>1133</v>
      </c>
      <c r="C20" s="863" t="e">
        <f>#REF!</f>
        <v>#REF!</v>
      </c>
    </row>
    <row r="21" spans="1:3">
      <c r="A21" s="862" t="s">
        <v>3315</v>
      </c>
      <c r="B21" s="862" t="s">
        <v>1133</v>
      </c>
      <c r="C21" s="863" t="e">
        <f>#REF!</f>
        <v>#REF!</v>
      </c>
    </row>
    <row r="22" spans="1:3">
      <c r="A22" s="862" t="s">
        <v>581</v>
      </c>
      <c r="B22" s="862" t="s">
        <v>1133</v>
      </c>
      <c r="C22" s="863" t="e">
        <f>#REF!</f>
        <v>#REF!</v>
      </c>
    </row>
    <row r="23" spans="1:3">
      <c r="A23" s="862" t="s">
        <v>582</v>
      </c>
      <c r="B23" s="862" t="s">
        <v>1133</v>
      </c>
      <c r="C23" s="863" t="e">
        <f>#REF!</f>
        <v>#REF!</v>
      </c>
    </row>
    <row r="24" spans="1:3">
      <c r="A24" s="862" t="s">
        <v>583</v>
      </c>
      <c r="B24" s="862" t="s">
        <v>1133</v>
      </c>
      <c r="C24" s="863" t="e">
        <f>#REF!</f>
        <v>#REF!</v>
      </c>
    </row>
    <row r="25" spans="1:3">
      <c r="A25" s="862" t="s">
        <v>584</v>
      </c>
      <c r="B25" s="862" t="s">
        <v>1133</v>
      </c>
      <c r="C25" s="863" t="e">
        <f>#REF!</f>
        <v>#REF!</v>
      </c>
    </row>
    <row r="26" spans="1:3">
      <c r="A26" s="862" t="s">
        <v>585</v>
      </c>
      <c r="B26" s="862" t="s">
        <v>1133</v>
      </c>
      <c r="C26" s="863" t="e">
        <f>#REF!</f>
        <v>#REF!</v>
      </c>
    </row>
    <row r="27" spans="1:3">
      <c r="A27" s="862" t="s">
        <v>586</v>
      </c>
      <c r="B27" s="862" t="s">
        <v>1133</v>
      </c>
      <c r="C27" s="863" t="e">
        <f>#REF!</f>
        <v>#REF!</v>
      </c>
    </row>
    <row r="28" spans="1:3">
      <c r="A28" s="862" t="s">
        <v>587</v>
      </c>
      <c r="B28" s="862" t="s">
        <v>1133</v>
      </c>
      <c r="C28" s="863" t="e">
        <f>#REF!</f>
        <v>#REF!</v>
      </c>
    </row>
    <row r="29" spans="1:3">
      <c r="A29" s="862" t="s">
        <v>588</v>
      </c>
      <c r="B29" s="862" t="s">
        <v>1133</v>
      </c>
      <c r="C29" s="863" t="e">
        <f>#REF!</f>
        <v>#REF!</v>
      </c>
    </row>
    <row r="30" spans="1:3">
      <c r="A30" s="862" t="s">
        <v>589</v>
      </c>
      <c r="B30" s="862" t="s">
        <v>1133</v>
      </c>
      <c r="C30" s="863" t="e">
        <f>#REF!</f>
        <v>#REF!</v>
      </c>
    </row>
    <row r="31" spans="1:3">
      <c r="A31" s="862" t="s">
        <v>590</v>
      </c>
      <c r="B31" s="862" t="s">
        <v>1133</v>
      </c>
      <c r="C31" s="863" t="e">
        <f>#REF!</f>
        <v>#REF!</v>
      </c>
    </row>
    <row r="32" spans="1:3">
      <c r="A32" s="862" t="s">
        <v>591</v>
      </c>
      <c r="B32" s="862" t="s">
        <v>1133</v>
      </c>
      <c r="C32" s="863" t="e">
        <f>#REF!</f>
        <v>#REF!</v>
      </c>
    </row>
    <row r="33" spans="1:3">
      <c r="A33" s="862" t="s">
        <v>3316</v>
      </c>
      <c r="B33" s="862" t="s">
        <v>1133</v>
      </c>
      <c r="C33" s="864" t="e">
        <f>#REF!</f>
        <v>#REF!</v>
      </c>
    </row>
    <row r="34" spans="1:3">
      <c r="A34" s="862" t="s">
        <v>2051</v>
      </c>
      <c r="B34" s="862" t="s">
        <v>1133</v>
      </c>
      <c r="C34" s="863" t="e">
        <f>#REF!</f>
        <v>#REF!</v>
      </c>
    </row>
    <row r="35" spans="1:3">
      <c r="A35" s="862" t="s">
        <v>3317</v>
      </c>
      <c r="B35" s="862" t="s">
        <v>1133</v>
      </c>
      <c r="C35" s="863" t="e">
        <f>#REF!</f>
        <v>#REF!</v>
      </c>
    </row>
    <row r="36" spans="1:3">
      <c r="A36" s="862" t="s">
        <v>600</v>
      </c>
      <c r="B36" s="862" t="s">
        <v>1133</v>
      </c>
      <c r="C36" s="863" t="e">
        <f>#REF!</f>
        <v>#REF!</v>
      </c>
    </row>
    <row r="37" spans="1:3">
      <c r="A37" s="862" t="s">
        <v>3318</v>
      </c>
      <c r="B37" s="862" t="s">
        <v>1133</v>
      </c>
      <c r="C37" s="865">
        <f>'lbpf 4-MOTORPOOL'!H357</f>
        <v>14183700</v>
      </c>
    </row>
    <row r="38" spans="1:3" s="866" customFormat="1">
      <c r="A38" s="866" t="s">
        <v>3319</v>
      </c>
      <c r="C38" s="867" t="e">
        <f>SUM(C5:C37)</f>
        <v>#REF!</v>
      </c>
    </row>
  </sheetData>
  <mergeCells count="2">
    <mergeCell ref="A2:C2"/>
    <mergeCell ref="A1:C1"/>
  </mergeCells>
  <printOptions horizontalCentered="1"/>
  <pageMargins left="0.7" right="0.7" top="0.75" bottom="0.75" header="0.3" footer="0.3"/>
  <pageSetup orientation="portrait" verticalDpi="300" r:id="rId1"/>
</worksheet>
</file>

<file path=xl/worksheets/sheet223.xml><?xml version="1.0" encoding="utf-8"?>
<worksheet xmlns="http://schemas.openxmlformats.org/spreadsheetml/2006/main" xmlns:r="http://schemas.openxmlformats.org/officeDocument/2006/relationships">
  <sheetPr codeName="Sheet158"/>
  <dimension ref="A2:W49"/>
  <sheetViews>
    <sheetView topLeftCell="J1" workbookViewId="0">
      <pane ySplit="4" topLeftCell="A5" activePane="bottomLeft" state="frozen"/>
      <selection pane="bottomLeft" activeCell="B15" sqref="B15"/>
    </sheetView>
  </sheetViews>
  <sheetFormatPr defaultColWidth="9.109375" defaultRowHeight="15.6"/>
  <cols>
    <col min="1" max="1" width="8.88671875" style="117" customWidth="1"/>
    <col min="2" max="2" width="14.44140625" style="117" customWidth="1"/>
    <col min="3" max="3" width="13.109375" style="117" customWidth="1"/>
    <col min="4" max="4" width="12.44140625" style="117" customWidth="1"/>
    <col min="5" max="5" width="8.44140625" style="117" customWidth="1"/>
    <col min="6" max="6" width="13.109375" style="117" customWidth="1"/>
    <col min="7" max="7" width="12.109375" style="117" customWidth="1"/>
    <col min="8" max="9" width="12.88671875" style="117" customWidth="1"/>
    <col min="10" max="10" width="10.44140625" style="117" customWidth="1"/>
    <col min="11" max="11" width="12.88671875" style="117" customWidth="1"/>
    <col min="12" max="12" width="13.109375" style="117" customWidth="1"/>
    <col min="13" max="13" width="12.109375" style="117" customWidth="1"/>
    <col min="14" max="14" width="13" style="117" customWidth="1"/>
    <col min="15" max="15" width="12.109375" style="117" customWidth="1"/>
    <col min="16" max="16" width="13.88671875" style="117" customWidth="1"/>
    <col min="17" max="18" width="12.44140625" style="117" customWidth="1"/>
    <col min="19" max="19" width="12.88671875" style="117" customWidth="1"/>
    <col min="20" max="20" width="12.44140625" style="117" customWidth="1"/>
    <col min="21" max="21" width="12.88671875" style="117" customWidth="1"/>
    <col min="22" max="22" width="13.109375" style="117" customWidth="1"/>
    <col min="23" max="23" width="15.109375" style="117" customWidth="1"/>
    <col min="24" max="16384" width="9.109375" style="117"/>
  </cols>
  <sheetData>
    <row r="2" spans="1:23">
      <c r="B2" s="163" t="s">
        <v>672</v>
      </c>
    </row>
    <row r="3" spans="1:23" ht="16.2" thickBot="1">
      <c r="A3" s="164" t="s">
        <v>638</v>
      </c>
      <c r="B3" s="164" t="s">
        <v>639</v>
      </c>
      <c r="C3" s="164" t="s">
        <v>640</v>
      </c>
      <c r="D3" s="164" t="s">
        <v>641</v>
      </c>
      <c r="E3" s="164" t="s">
        <v>642</v>
      </c>
      <c r="F3" s="164" t="s">
        <v>643</v>
      </c>
      <c r="G3" s="164" t="s">
        <v>644</v>
      </c>
      <c r="H3" s="164" t="s">
        <v>645</v>
      </c>
      <c r="I3" s="164" t="s">
        <v>646</v>
      </c>
      <c r="J3" s="164" t="s">
        <v>673</v>
      </c>
      <c r="K3" s="164" t="s">
        <v>648</v>
      </c>
      <c r="L3" s="164" t="s">
        <v>649</v>
      </c>
      <c r="M3" s="164" t="s">
        <v>650</v>
      </c>
      <c r="N3" s="164" t="s">
        <v>651</v>
      </c>
      <c r="O3" s="164" t="s">
        <v>652</v>
      </c>
      <c r="P3" s="164" t="s">
        <v>653</v>
      </c>
      <c r="Q3" s="164" t="s">
        <v>654</v>
      </c>
      <c r="R3" s="164" t="s">
        <v>655</v>
      </c>
      <c r="S3" s="164" t="s">
        <v>656</v>
      </c>
      <c r="T3" s="164" t="s">
        <v>658</v>
      </c>
      <c r="U3" s="164" t="s">
        <v>674</v>
      </c>
      <c r="V3" s="164" t="s">
        <v>660</v>
      </c>
      <c r="W3" s="164" t="s">
        <v>661</v>
      </c>
    </row>
    <row r="4" spans="1:23" ht="16.8" thickTop="1" thickBot="1">
      <c r="A4" s="165"/>
      <c r="B4" s="166">
        <v>701</v>
      </c>
      <c r="C4" s="166" t="s">
        <v>662</v>
      </c>
      <c r="D4" s="166">
        <v>711</v>
      </c>
      <c r="E4" s="166">
        <v>712</v>
      </c>
      <c r="F4" s="166">
        <v>713</v>
      </c>
      <c r="G4" s="166">
        <v>714</v>
      </c>
      <c r="H4" s="166">
        <v>715</v>
      </c>
      <c r="I4" s="166">
        <v>717</v>
      </c>
      <c r="J4" s="166">
        <v>719</v>
      </c>
      <c r="K4" s="166" t="s">
        <v>9</v>
      </c>
      <c r="L4" s="166"/>
      <c r="M4" s="166">
        <v>723</v>
      </c>
      <c r="N4" s="166">
        <v>724</v>
      </c>
      <c r="O4" s="166">
        <v>725</v>
      </c>
      <c r="P4" s="166">
        <v>731</v>
      </c>
      <c r="Q4" s="166">
        <v>732</v>
      </c>
      <c r="R4" s="166">
        <v>733</v>
      </c>
      <c r="S4" s="166">
        <v>734</v>
      </c>
      <c r="T4" s="166">
        <v>742</v>
      </c>
      <c r="U4" s="166">
        <v>749</v>
      </c>
      <c r="V4" s="166" t="s">
        <v>133</v>
      </c>
      <c r="W4" s="167" t="s">
        <v>9</v>
      </c>
    </row>
    <row r="5" spans="1:23">
      <c r="A5" s="168"/>
      <c r="B5" s="169"/>
      <c r="C5" s="169"/>
      <c r="D5" s="169"/>
      <c r="E5" s="169"/>
      <c r="F5" s="169"/>
      <c r="G5" s="169"/>
      <c r="H5" s="169"/>
      <c r="I5" s="169"/>
      <c r="J5" s="169"/>
      <c r="K5" s="169"/>
      <c r="L5" s="169"/>
      <c r="M5" s="169"/>
      <c r="N5" s="169"/>
      <c r="O5" s="169"/>
      <c r="P5" s="169"/>
      <c r="Q5" s="169"/>
      <c r="R5" s="169"/>
      <c r="S5" s="169"/>
      <c r="T5" s="169"/>
      <c r="U5" s="169"/>
      <c r="V5" s="169"/>
      <c r="W5" s="182"/>
    </row>
    <row r="6" spans="1:23">
      <c r="A6" s="171" t="s">
        <v>568</v>
      </c>
      <c r="B6" s="183">
        <v>5477759.2699999996</v>
      </c>
      <c r="C6" s="183">
        <v>1771518.32</v>
      </c>
      <c r="D6" s="183">
        <v>1264967.79</v>
      </c>
      <c r="E6" s="183">
        <v>0</v>
      </c>
      <c r="F6" s="183">
        <v>124000</v>
      </c>
      <c r="G6" s="183">
        <v>33000</v>
      </c>
      <c r="H6" s="183">
        <v>388000</v>
      </c>
      <c r="I6" s="183">
        <v>70000</v>
      </c>
      <c r="J6" s="183">
        <v>0</v>
      </c>
      <c r="K6" s="183">
        <v>0</v>
      </c>
      <c r="L6" s="183"/>
      <c r="M6" s="183">
        <v>30944.18</v>
      </c>
      <c r="N6" s="183">
        <v>265000</v>
      </c>
      <c r="O6" s="184">
        <v>600199</v>
      </c>
      <c r="P6" s="183">
        <v>870043.66</v>
      </c>
      <c r="Q6" s="183">
        <v>65087.5</v>
      </c>
      <c r="R6" s="183">
        <v>83025</v>
      </c>
      <c r="S6" s="183">
        <v>49813.46</v>
      </c>
      <c r="T6" s="183">
        <v>0</v>
      </c>
      <c r="U6" s="183">
        <v>349715.96</v>
      </c>
      <c r="V6" s="183">
        <v>30000</v>
      </c>
      <c r="W6" s="185">
        <f t="shared" ref="W6:W15" si="0">SUM(B6:V6)</f>
        <v>11473074.140000001</v>
      </c>
    </row>
    <row r="7" spans="1:23">
      <c r="A7" s="171" t="s">
        <v>569</v>
      </c>
      <c r="B7" s="183">
        <v>7471780.6500000004</v>
      </c>
      <c r="C7" s="183">
        <f>42640+1156783.7</f>
        <v>1199423.7</v>
      </c>
      <c r="D7" s="183">
        <v>950424.26</v>
      </c>
      <c r="E7" s="183">
        <v>0</v>
      </c>
      <c r="F7" s="183">
        <v>559300</v>
      </c>
      <c r="G7" s="183">
        <v>38800</v>
      </c>
      <c r="H7" s="183">
        <v>308000</v>
      </c>
      <c r="I7" s="183">
        <v>2000</v>
      </c>
      <c r="J7" s="183">
        <v>0</v>
      </c>
      <c r="K7" s="183"/>
      <c r="L7" s="183"/>
      <c r="M7" s="183">
        <v>9693.85</v>
      </c>
      <c r="N7" s="183">
        <v>195000</v>
      </c>
      <c r="O7" s="184">
        <v>712127.3</v>
      </c>
      <c r="P7" s="183">
        <v>1016673.44</v>
      </c>
      <c r="Q7" s="183">
        <v>47800</v>
      </c>
      <c r="R7" s="183">
        <v>85888.5</v>
      </c>
      <c r="S7" s="183">
        <v>44779.92</v>
      </c>
      <c r="T7" s="183">
        <v>154185.88</v>
      </c>
      <c r="U7" s="183">
        <v>258689.38</v>
      </c>
      <c r="V7" s="183">
        <v>50000</v>
      </c>
      <c r="W7" s="185">
        <f t="shared" si="0"/>
        <v>13104566.880000001</v>
      </c>
    </row>
    <row r="8" spans="1:23">
      <c r="A8" s="171" t="s">
        <v>570</v>
      </c>
      <c r="B8" s="183">
        <v>1529599.15</v>
      </c>
      <c r="C8" s="183"/>
      <c r="D8" s="183">
        <v>230323.63</v>
      </c>
      <c r="E8" s="183">
        <v>0</v>
      </c>
      <c r="F8" s="183">
        <v>33000</v>
      </c>
      <c r="G8" s="183">
        <v>33000</v>
      </c>
      <c r="H8" s="183">
        <v>80000</v>
      </c>
      <c r="I8" s="183">
        <v>0</v>
      </c>
      <c r="J8" s="183" t="s">
        <v>9</v>
      </c>
      <c r="K8" s="183"/>
      <c r="L8" s="183"/>
      <c r="M8" s="183">
        <v>0</v>
      </c>
      <c r="N8" s="183">
        <v>50000</v>
      </c>
      <c r="O8" s="184">
        <v>130302</v>
      </c>
      <c r="P8" s="183">
        <v>184819.68</v>
      </c>
      <c r="Q8" s="183">
        <v>11700</v>
      </c>
      <c r="R8" s="183">
        <v>18187.5</v>
      </c>
      <c r="S8" s="183">
        <v>11080.68</v>
      </c>
      <c r="T8" s="183">
        <v>0</v>
      </c>
      <c r="U8" s="183">
        <v>186866.58</v>
      </c>
      <c r="V8" s="183">
        <v>10000</v>
      </c>
      <c r="W8" s="185">
        <f t="shared" si="0"/>
        <v>2508879.2200000002</v>
      </c>
    </row>
    <row r="9" spans="1:23">
      <c r="A9" s="171" t="s">
        <v>571</v>
      </c>
      <c r="B9" s="183">
        <v>3272419.65</v>
      </c>
      <c r="C9" s="183">
        <v>0</v>
      </c>
      <c r="D9" s="183">
        <v>377975.74</v>
      </c>
      <c r="E9" s="183">
        <v>0</v>
      </c>
      <c r="F9" s="183">
        <v>38800</v>
      </c>
      <c r="G9" s="183">
        <v>38800</v>
      </c>
      <c r="H9" s="183">
        <v>128000</v>
      </c>
      <c r="I9" s="183">
        <v>55666.67</v>
      </c>
      <c r="J9" s="183">
        <v>0</v>
      </c>
      <c r="K9" s="183"/>
      <c r="L9" s="183"/>
      <c r="M9" s="183">
        <v>0</v>
      </c>
      <c r="N9" s="183">
        <v>77500</v>
      </c>
      <c r="O9" s="184">
        <v>267573</v>
      </c>
      <c r="P9" s="183">
        <v>392715.01</v>
      </c>
      <c r="Q9" s="183">
        <v>18900</v>
      </c>
      <c r="R9" s="183">
        <v>38287.5</v>
      </c>
      <c r="S9" s="183">
        <v>18124.48</v>
      </c>
      <c r="T9" s="183"/>
      <c r="U9" s="183">
        <v>316053.92</v>
      </c>
      <c r="V9" s="183">
        <v>20000</v>
      </c>
      <c r="W9" s="185">
        <f t="shared" si="0"/>
        <v>5060815.97</v>
      </c>
    </row>
    <row r="10" spans="1:23">
      <c r="A10" s="171" t="s">
        <v>572</v>
      </c>
      <c r="B10" s="183">
        <v>8421179.7100000009</v>
      </c>
      <c r="C10" s="183">
        <v>0</v>
      </c>
      <c r="D10" s="183">
        <v>1414837.2</v>
      </c>
      <c r="E10" s="183">
        <v>0</v>
      </c>
      <c r="F10" s="183">
        <v>71800</v>
      </c>
      <c r="G10" s="183">
        <v>71800</v>
      </c>
      <c r="H10" s="183">
        <v>472000</v>
      </c>
      <c r="I10" s="183">
        <v>0</v>
      </c>
      <c r="J10" s="183">
        <v>0</v>
      </c>
      <c r="K10" s="183"/>
      <c r="L10" s="183"/>
      <c r="M10" s="183">
        <v>47731.6</v>
      </c>
      <c r="N10" s="183">
        <v>292500</v>
      </c>
      <c r="O10" s="184">
        <v>696020.5</v>
      </c>
      <c r="P10" s="183">
        <v>1010446.13</v>
      </c>
      <c r="Q10" s="183">
        <v>70800</v>
      </c>
      <c r="R10" s="183">
        <v>97925</v>
      </c>
      <c r="S10" s="183">
        <v>66615.259999999995</v>
      </c>
      <c r="T10" s="183">
        <v>231709.08</v>
      </c>
      <c r="U10" s="183">
        <v>480699.69</v>
      </c>
      <c r="V10" s="183">
        <v>30000</v>
      </c>
      <c r="W10" s="185">
        <f t="shared" si="0"/>
        <v>13476064.17</v>
      </c>
    </row>
    <row r="11" spans="1:23">
      <c r="A11" s="171" t="s">
        <v>573</v>
      </c>
      <c r="B11" s="183">
        <v>1907043</v>
      </c>
      <c r="C11" s="183"/>
      <c r="D11" s="183">
        <v>210000</v>
      </c>
      <c r="E11" s="183">
        <v>0</v>
      </c>
      <c r="F11" s="183">
        <v>38800</v>
      </c>
      <c r="G11" s="183">
        <v>38800</v>
      </c>
      <c r="H11" s="183">
        <v>72000</v>
      </c>
      <c r="I11" s="183">
        <v>0</v>
      </c>
      <c r="J11" s="183">
        <v>0</v>
      </c>
      <c r="K11" s="183"/>
      <c r="L11" s="183"/>
      <c r="M11" s="183">
        <v>38714.559999999998</v>
      </c>
      <c r="N11" s="183">
        <v>42500</v>
      </c>
      <c r="O11" s="184">
        <v>153713.5</v>
      </c>
      <c r="P11" s="183">
        <v>228845.16</v>
      </c>
      <c r="Q11" s="183">
        <v>10500</v>
      </c>
      <c r="R11" s="183">
        <v>21750</v>
      </c>
      <c r="S11" s="183">
        <v>10173.66</v>
      </c>
      <c r="T11" s="183"/>
      <c r="U11" s="183">
        <v>608381.42000000004</v>
      </c>
      <c r="V11" s="183">
        <v>15000</v>
      </c>
      <c r="W11" s="185">
        <f t="shared" si="0"/>
        <v>3396221.3000000003</v>
      </c>
    </row>
    <row r="12" spans="1:23">
      <c r="A12" s="171" t="s">
        <v>574</v>
      </c>
      <c r="B12" s="183">
        <v>4099218.2</v>
      </c>
      <c r="C12" s="183"/>
      <c r="D12" s="183">
        <v>539217.69999999995</v>
      </c>
      <c r="E12" s="183">
        <v>0</v>
      </c>
      <c r="F12" s="183">
        <v>71800</v>
      </c>
      <c r="G12" s="183">
        <v>71800</v>
      </c>
      <c r="H12" s="183">
        <v>180000</v>
      </c>
      <c r="I12" s="183">
        <v>0</v>
      </c>
      <c r="J12" s="183">
        <v>0</v>
      </c>
      <c r="K12" s="183"/>
      <c r="L12" s="183"/>
      <c r="M12" s="183">
        <v>284781.03999999998</v>
      </c>
      <c r="N12" s="183">
        <v>112500</v>
      </c>
      <c r="O12" s="184">
        <v>341867.5</v>
      </c>
      <c r="P12" s="183">
        <v>492287.29</v>
      </c>
      <c r="Q12" s="183">
        <v>27000</v>
      </c>
      <c r="R12" s="183">
        <v>47475</v>
      </c>
      <c r="S12" s="183">
        <v>26407.439999999999</v>
      </c>
      <c r="T12" s="183">
        <v>0</v>
      </c>
      <c r="U12" s="183">
        <v>166226.89000000001</v>
      </c>
      <c r="V12" s="183">
        <v>10000</v>
      </c>
      <c r="W12" s="185">
        <f t="shared" si="0"/>
        <v>6470581.0600000005</v>
      </c>
    </row>
    <row r="13" spans="1:23" s="186" customFormat="1">
      <c r="A13" s="171" t="s">
        <v>575</v>
      </c>
      <c r="B13" s="183">
        <v>3817259.66</v>
      </c>
      <c r="C13" s="183"/>
      <c r="D13" s="183">
        <v>478751.18</v>
      </c>
      <c r="E13" s="183">
        <v>0</v>
      </c>
      <c r="F13" s="183">
        <v>71800</v>
      </c>
      <c r="G13" s="183">
        <v>71800</v>
      </c>
      <c r="H13" s="183">
        <v>156000</v>
      </c>
      <c r="I13" s="183">
        <v>0</v>
      </c>
      <c r="J13" s="183">
        <v>0</v>
      </c>
      <c r="K13" s="183"/>
      <c r="L13" s="183"/>
      <c r="M13" s="183">
        <v>0</v>
      </c>
      <c r="N13" s="183">
        <v>100000</v>
      </c>
      <c r="O13" s="184">
        <v>318260.5</v>
      </c>
      <c r="P13" s="183">
        <v>458304.78</v>
      </c>
      <c r="Q13" s="183">
        <v>24000</v>
      </c>
      <c r="R13" s="183">
        <v>43937.5</v>
      </c>
      <c r="S13" s="183">
        <v>23132.799999999999</v>
      </c>
      <c r="T13" s="183">
        <v>89322.68</v>
      </c>
      <c r="U13" s="183">
        <v>290819.90000000002</v>
      </c>
      <c r="V13" s="183">
        <v>30000</v>
      </c>
      <c r="W13" s="185">
        <f t="shared" si="0"/>
        <v>5973389</v>
      </c>
    </row>
    <row r="14" spans="1:23">
      <c r="A14" s="171" t="s">
        <v>576</v>
      </c>
      <c r="B14" s="183">
        <v>3096650.08</v>
      </c>
      <c r="C14" s="183"/>
      <c r="D14" s="183">
        <v>295955.02</v>
      </c>
      <c r="E14" s="183">
        <v>0</v>
      </c>
      <c r="F14" s="183">
        <v>71800</v>
      </c>
      <c r="G14" s="183">
        <v>71800</v>
      </c>
      <c r="H14" s="183">
        <v>100000</v>
      </c>
      <c r="I14" s="183">
        <v>46000</v>
      </c>
      <c r="J14" s="183">
        <v>0</v>
      </c>
      <c r="K14" s="183"/>
      <c r="L14" s="183"/>
      <c r="M14" s="183">
        <v>0</v>
      </c>
      <c r="N14" s="183">
        <v>62500</v>
      </c>
      <c r="O14" s="184">
        <v>223193</v>
      </c>
      <c r="P14" s="183">
        <v>321397.92</v>
      </c>
      <c r="Q14" s="183">
        <v>15000</v>
      </c>
      <c r="R14" s="183">
        <v>30525</v>
      </c>
      <c r="S14" s="183">
        <v>14451.18</v>
      </c>
      <c r="T14" s="183">
        <v>0</v>
      </c>
      <c r="U14" s="183">
        <v>75171.600000000006</v>
      </c>
      <c r="V14" s="183">
        <v>20000</v>
      </c>
      <c r="W14" s="185">
        <f t="shared" si="0"/>
        <v>4444443.8</v>
      </c>
    </row>
    <row r="15" spans="1:23">
      <c r="A15" s="171" t="s">
        <v>577</v>
      </c>
      <c r="B15" s="183">
        <v>1450232.04</v>
      </c>
      <c r="C15" s="183">
        <v>0</v>
      </c>
      <c r="D15" s="183">
        <v>204532.83</v>
      </c>
      <c r="E15" s="183">
        <v>0</v>
      </c>
      <c r="F15" s="183">
        <v>71800</v>
      </c>
      <c r="G15" s="183">
        <v>71800</v>
      </c>
      <c r="H15" s="183">
        <v>72000</v>
      </c>
      <c r="I15" s="183">
        <v>20000</v>
      </c>
      <c r="J15" s="183">
        <v>0</v>
      </c>
      <c r="K15" s="183"/>
      <c r="L15" s="183"/>
      <c r="M15" s="183"/>
      <c r="N15" s="183">
        <v>42500</v>
      </c>
      <c r="O15" s="184">
        <v>121174.5</v>
      </c>
      <c r="P15" s="183">
        <v>174972.61</v>
      </c>
      <c r="Q15" s="183">
        <v>10300</v>
      </c>
      <c r="R15" s="183">
        <v>16287.5</v>
      </c>
      <c r="S15" s="183">
        <v>9106.4</v>
      </c>
      <c r="T15" s="183">
        <v>0</v>
      </c>
      <c r="U15" s="183">
        <v>68507.14</v>
      </c>
      <c r="V15" s="183">
        <v>15000</v>
      </c>
      <c r="W15" s="185">
        <f t="shared" si="0"/>
        <v>2348213.02</v>
      </c>
    </row>
    <row r="16" spans="1:23" ht="16.2" thickBot="1">
      <c r="A16" s="164" t="s">
        <v>9</v>
      </c>
      <c r="B16" s="184"/>
      <c r="C16" s="184"/>
      <c r="D16" s="184"/>
      <c r="E16" s="184"/>
      <c r="F16" s="184"/>
      <c r="G16" s="184"/>
      <c r="H16" s="184"/>
      <c r="I16" s="184"/>
      <c r="J16" s="184"/>
      <c r="K16" s="184"/>
      <c r="L16" s="184"/>
      <c r="M16" s="184"/>
      <c r="N16" s="184"/>
      <c r="O16" s="184"/>
      <c r="P16" s="184"/>
      <c r="Q16" s="184"/>
      <c r="R16" s="184"/>
      <c r="S16" s="184"/>
      <c r="T16" s="184"/>
      <c r="U16" s="184"/>
      <c r="V16" s="184"/>
      <c r="W16" s="185" t="s">
        <v>9</v>
      </c>
    </row>
    <row r="17" spans="1:23" ht="16.8" thickTop="1" thickBot="1">
      <c r="A17" s="164" t="s">
        <v>485</v>
      </c>
      <c r="B17" s="175">
        <f t="shared" ref="B17:V17" si="1">SUM(B6:B15)</f>
        <v>40543141.409999996</v>
      </c>
      <c r="C17" s="175">
        <f t="shared" si="1"/>
        <v>2970942.02</v>
      </c>
      <c r="D17" s="175">
        <f t="shared" si="1"/>
        <v>5966985.3499999996</v>
      </c>
      <c r="E17" s="175">
        <f t="shared" si="1"/>
        <v>0</v>
      </c>
      <c r="F17" s="175">
        <f t="shared" si="1"/>
        <v>1152900</v>
      </c>
      <c r="G17" s="175">
        <f t="shared" si="1"/>
        <v>541400</v>
      </c>
      <c r="H17" s="175">
        <f t="shared" si="1"/>
        <v>1956000</v>
      </c>
      <c r="I17" s="175">
        <f t="shared" si="1"/>
        <v>193666.66999999998</v>
      </c>
      <c r="J17" s="175">
        <f t="shared" si="1"/>
        <v>0</v>
      </c>
      <c r="K17" s="175">
        <f t="shared" si="1"/>
        <v>0</v>
      </c>
      <c r="L17" s="175">
        <f t="shared" si="1"/>
        <v>0</v>
      </c>
      <c r="M17" s="175">
        <f t="shared" si="1"/>
        <v>411865.23</v>
      </c>
      <c r="N17" s="175">
        <f t="shared" si="1"/>
        <v>1240000</v>
      </c>
      <c r="O17" s="175">
        <f t="shared" si="1"/>
        <v>3564430.8</v>
      </c>
      <c r="P17" s="175">
        <f t="shared" si="1"/>
        <v>5150505.6800000006</v>
      </c>
      <c r="Q17" s="175">
        <f t="shared" si="1"/>
        <v>301087.5</v>
      </c>
      <c r="R17" s="175">
        <f t="shared" si="1"/>
        <v>483288.5</v>
      </c>
      <c r="S17" s="175">
        <f t="shared" si="1"/>
        <v>273685.28000000003</v>
      </c>
      <c r="T17" s="175">
        <f t="shared" si="1"/>
        <v>475217.63999999996</v>
      </c>
      <c r="U17" s="175">
        <f t="shared" si="1"/>
        <v>2801132.4800000004</v>
      </c>
      <c r="V17" s="175">
        <f t="shared" si="1"/>
        <v>230000</v>
      </c>
      <c r="W17" s="176">
        <f>SUM(W6:W16)</f>
        <v>68256248.560000002</v>
      </c>
    </row>
    <row r="18" spans="1:23" ht="16.2" thickTop="1">
      <c r="A18" s="171" t="s">
        <v>9</v>
      </c>
      <c r="B18" s="177"/>
      <c r="C18" s="177"/>
      <c r="D18" s="177"/>
      <c r="E18" s="177"/>
      <c r="F18" s="177"/>
      <c r="G18" s="177"/>
      <c r="H18" s="177"/>
      <c r="I18" s="177"/>
      <c r="J18" s="177"/>
      <c r="K18" s="177"/>
      <c r="L18" s="177"/>
      <c r="M18" s="177"/>
      <c r="N18" s="177"/>
      <c r="O18" s="177"/>
      <c r="P18" s="177"/>
      <c r="Q18" s="177"/>
      <c r="R18" s="177"/>
      <c r="S18" s="177"/>
      <c r="T18" s="177"/>
      <c r="U18" s="177"/>
      <c r="V18" s="177"/>
      <c r="W18" s="185" t="s">
        <v>9</v>
      </c>
    </row>
    <row r="19" spans="1:23">
      <c r="A19" s="171" t="s">
        <v>578</v>
      </c>
      <c r="B19" s="178">
        <v>1180644</v>
      </c>
      <c r="C19" s="178">
        <v>0</v>
      </c>
      <c r="D19" s="178">
        <v>156000</v>
      </c>
      <c r="E19" s="178">
        <v>0</v>
      </c>
      <c r="F19" s="178">
        <v>0</v>
      </c>
      <c r="G19" s="178"/>
      <c r="H19" s="178">
        <v>52000</v>
      </c>
      <c r="I19" s="178">
        <v>0</v>
      </c>
      <c r="J19" s="178">
        <v>0</v>
      </c>
      <c r="K19" s="178">
        <v>0</v>
      </c>
      <c r="L19" s="178">
        <v>0</v>
      </c>
      <c r="M19" s="178">
        <v>0</v>
      </c>
      <c r="N19" s="178">
        <v>32500</v>
      </c>
      <c r="O19" s="184">
        <v>98387</v>
      </c>
      <c r="P19" s="178">
        <v>141677.28</v>
      </c>
      <c r="Q19" s="178">
        <v>7800</v>
      </c>
      <c r="R19" s="178">
        <v>14250</v>
      </c>
      <c r="S19" s="178">
        <v>7726.26</v>
      </c>
      <c r="T19" s="178">
        <v>0</v>
      </c>
      <c r="U19" s="178">
        <v>86491.31</v>
      </c>
      <c r="V19" s="178">
        <v>0</v>
      </c>
      <c r="W19" s="185">
        <f t="shared" ref="W19:W33" si="2">SUM(B19:V19)</f>
        <v>1777475.85</v>
      </c>
    </row>
    <row r="20" spans="1:23">
      <c r="A20" s="171" t="s">
        <v>579</v>
      </c>
      <c r="B20" s="178">
        <v>1761690</v>
      </c>
      <c r="C20" s="183"/>
      <c r="D20" s="178">
        <v>293363.63</v>
      </c>
      <c r="E20" s="178">
        <v>0</v>
      </c>
      <c r="F20" s="178"/>
      <c r="G20" s="178"/>
      <c r="H20" s="178">
        <v>96000</v>
      </c>
      <c r="I20" s="178">
        <v>0</v>
      </c>
      <c r="J20" s="178">
        <v>0</v>
      </c>
      <c r="K20" s="178">
        <v>230070</v>
      </c>
      <c r="L20" s="178"/>
      <c r="M20" s="178">
        <v>0</v>
      </c>
      <c r="N20" s="178">
        <v>60000</v>
      </c>
      <c r="O20" s="184">
        <v>144075.5</v>
      </c>
      <c r="P20" s="178">
        <v>211748.24</v>
      </c>
      <c r="Q20" s="178">
        <v>15175</v>
      </c>
      <c r="R20" s="178">
        <v>19825</v>
      </c>
      <c r="S20" s="178">
        <v>14414.1</v>
      </c>
      <c r="T20" s="178">
        <v>231902.14</v>
      </c>
      <c r="U20" s="178">
        <v>145520.81</v>
      </c>
      <c r="V20" s="178">
        <v>20000</v>
      </c>
      <c r="W20" s="185">
        <f t="shared" si="2"/>
        <v>3243784.4200000004</v>
      </c>
    </row>
    <row r="21" spans="1:23">
      <c r="A21" s="171" t="s">
        <v>580</v>
      </c>
      <c r="B21" s="178">
        <v>1034400</v>
      </c>
      <c r="C21" s="178"/>
      <c r="D21" s="178">
        <v>192000</v>
      </c>
      <c r="E21" s="178">
        <v>0</v>
      </c>
      <c r="F21" s="178"/>
      <c r="G21" s="178"/>
      <c r="H21" s="178">
        <v>64000</v>
      </c>
      <c r="I21" s="178">
        <v>0</v>
      </c>
      <c r="J21" s="178">
        <v>0</v>
      </c>
      <c r="K21" s="178"/>
      <c r="L21" s="178"/>
      <c r="M21" s="178">
        <v>29354.66</v>
      </c>
      <c r="N21" s="178">
        <v>37500</v>
      </c>
      <c r="O21" s="184">
        <v>82351.5</v>
      </c>
      <c r="P21" s="178">
        <v>124128</v>
      </c>
      <c r="Q21" s="178">
        <v>9600</v>
      </c>
      <c r="R21" s="178">
        <v>12225</v>
      </c>
      <c r="S21" s="178">
        <v>8473.56</v>
      </c>
      <c r="T21" s="178">
        <v>0</v>
      </c>
      <c r="U21" s="178">
        <v>62120.74</v>
      </c>
      <c r="V21" s="178">
        <v>10000</v>
      </c>
      <c r="W21" s="185">
        <f t="shared" si="2"/>
        <v>1666153.46</v>
      </c>
    </row>
    <row r="22" spans="1:23">
      <c r="A22" s="171" t="s">
        <v>581</v>
      </c>
      <c r="B22" s="178">
        <v>11707938.949999999</v>
      </c>
      <c r="C22" s="183"/>
      <c r="D22" s="178">
        <v>1426408.96</v>
      </c>
      <c r="E22" s="178">
        <v>0</v>
      </c>
      <c r="F22" s="178">
        <v>71800</v>
      </c>
      <c r="G22" s="178">
        <v>71800</v>
      </c>
      <c r="H22" s="178">
        <v>500000</v>
      </c>
      <c r="I22" s="178">
        <v>0</v>
      </c>
      <c r="J22" s="178">
        <v>0</v>
      </c>
      <c r="K22" s="178">
        <v>1094495</v>
      </c>
      <c r="L22" s="178">
        <v>2546778.56</v>
      </c>
      <c r="M22" s="178">
        <v>0</v>
      </c>
      <c r="N22" s="178">
        <v>310000</v>
      </c>
      <c r="O22" s="184">
        <v>993207</v>
      </c>
      <c r="P22" s="178">
        <v>1406920.76</v>
      </c>
      <c r="Q22" s="178">
        <v>71500</v>
      </c>
      <c r="R22" s="178">
        <v>139087.5</v>
      </c>
      <c r="S22" s="178">
        <v>70931.45</v>
      </c>
      <c r="T22" s="178">
        <v>0</v>
      </c>
      <c r="U22" s="178">
        <v>925469.23</v>
      </c>
      <c r="V22" s="178">
        <v>35000</v>
      </c>
      <c r="W22" s="185">
        <f t="shared" si="2"/>
        <v>21371337.41</v>
      </c>
    </row>
    <row r="23" spans="1:23">
      <c r="A23" s="171" t="s">
        <v>582</v>
      </c>
      <c r="B23" s="178">
        <v>8214104.7000000002</v>
      </c>
      <c r="C23" s="178"/>
      <c r="D23" s="178">
        <v>993881.83</v>
      </c>
      <c r="E23" s="178">
        <v>0</v>
      </c>
      <c r="F23" s="178">
        <v>33000</v>
      </c>
      <c r="G23" s="178">
        <v>0</v>
      </c>
      <c r="H23" s="178">
        <v>332000</v>
      </c>
      <c r="I23" s="178">
        <v>0</v>
      </c>
      <c r="J23" s="178">
        <v>0</v>
      </c>
      <c r="K23" s="178">
        <v>760460</v>
      </c>
      <c r="L23" s="178">
        <v>1713358.9</v>
      </c>
      <c r="M23" s="178"/>
      <c r="N23" s="178">
        <v>207500</v>
      </c>
      <c r="O23" s="184">
        <v>685322</v>
      </c>
      <c r="P23" s="178">
        <v>987090.36</v>
      </c>
      <c r="Q23" s="178">
        <v>49800</v>
      </c>
      <c r="R23" s="178">
        <v>97650</v>
      </c>
      <c r="S23" s="178">
        <v>48347.76</v>
      </c>
      <c r="T23" s="178">
        <v>0</v>
      </c>
      <c r="U23" s="178">
        <v>344876.05</v>
      </c>
      <c r="V23" s="178">
        <v>55000</v>
      </c>
      <c r="W23" s="185">
        <f>SUM(B23:V23)</f>
        <v>14522391.6</v>
      </c>
    </row>
    <row r="24" spans="1:23">
      <c r="A24" s="171" t="s">
        <v>583</v>
      </c>
      <c r="B24" s="178">
        <v>5661710.9400000004</v>
      </c>
      <c r="C24" s="178">
        <v>0</v>
      </c>
      <c r="D24" s="178">
        <v>750772.71</v>
      </c>
      <c r="E24" s="178">
        <v>0</v>
      </c>
      <c r="F24" s="178">
        <v>24000</v>
      </c>
      <c r="G24" s="178">
        <v>24000</v>
      </c>
      <c r="H24" s="178">
        <v>252000</v>
      </c>
      <c r="I24" s="178">
        <v>0</v>
      </c>
      <c r="J24" s="178">
        <v>0</v>
      </c>
      <c r="K24" s="178">
        <v>572530</v>
      </c>
      <c r="L24" s="178">
        <v>1195440</v>
      </c>
      <c r="M24" s="178">
        <v>0</v>
      </c>
      <c r="N24" s="178">
        <v>157500</v>
      </c>
      <c r="O24" s="184">
        <v>476318.5</v>
      </c>
      <c r="P24" s="178">
        <v>680075.04</v>
      </c>
      <c r="Q24" s="178">
        <v>37600</v>
      </c>
      <c r="R24" s="178">
        <v>67125</v>
      </c>
      <c r="S24" s="178">
        <v>35817.879999999997</v>
      </c>
      <c r="T24" s="178">
        <v>0</v>
      </c>
      <c r="U24" s="178">
        <v>384026.2</v>
      </c>
      <c r="V24" s="178">
        <v>25000</v>
      </c>
      <c r="W24" s="185">
        <f t="shared" si="2"/>
        <v>10343916.270000001</v>
      </c>
    </row>
    <row r="25" spans="1:23">
      <c r="A25" s="171" t="s">
        <v>584</v>
      </c>
      <c r="B25" s="178">
        <v>4157486.5</v>
      </c>
      <c r="C25" s="178">
        <v>0</v>
      </c>
      <c r="D25" s="178">
        <v>540000</v>
      </c>
      <c r="E25" s="178">
        <v>0</v>
      </c>
      <c r="F25" s="178">
        <v>24000</v>
      </c>
      <c r="G25" s="178">
        <v>24000</v>
      </c>
      <c r="H25" s="178">
        <v>180000</v>
      </c>
      <c r="I25" s="178">
        <v>82000</v>
      </c>
      <c r="J25" s="178">
        <v>0</v>
      </c>
      <c r="K25" s="178">
        <v>411450</v>
      </c>
      <c r="L25" s="178">
        <v>874195.5</v>
      </c>
      <c r="M25" s="178">
        <v>0</v>
      </c>
      <c r="N25" s="178">
        <v>112500</v>
      </c>
      <c r="O25" s="184">
        <v>346485</v>
      </c>
      <c r="P25" s="178">
        <v>498898.38</v>
      </c>
      <c r="Q25" s="178">
        <v>27000</v>
      </c>
      <c r="R25" s="178">
        <v>48975</v>
      </c>
      <c r="S25" s="178">
        <v>25572.34</v>
      </c>
      <c r="T25" s="178">
        <v>0</v>
      </c>
      <c r="U25" s="178">
        <v>292440.34999999998</v>
      </c>
      <c r="V25" s="178">
        <v>15000</v>
      </c>
      <c r="W25" s="185">
        <f t="shared" si="2"/>
        <v>7660003.0699999994</v>
      </c>
    </row>
    <row r="26" spans="1:23">
      <c r="A26" s="171" t="s">
        <v>585</v>
      </c>
      <c r="B26" s="178">
        <v>4361463.4800000004</v>
      </c>
      <c r="C26" s="178">
        <v>0</v>
      </c>
      <c r="D26" s="178">
        <v>552000</v>
      </c>
      <c r="E26" s="178">
        <v>0</v>
      </c>
      <c r="F26" s="178">
        <v>24000</v>
      </c>
      <c r="G26" s="178">
        <v>24000</v>
      </c>
      <c r="H26" s="178">
        <v>180000</v>
      </c>
      <c r="I26" s="178">
        <v>0</v>
      </c>
      <c r="J26" s="178">
        <v>0</v>
      </c>
      <c r="K26" s="178">
        <v>428455</v>
      </c>
      <c r="L26" s="178">
        <v>902668</v>
      </c>
      <c r="M26" s="178">
        <v>0</v>
      </c>
      <c r="N26" s="178">
        <v>115000</v>
      </c>
      <c r="O26" s="178">
        <v>363385.5</v>
      </c>
      <c r="P26" s="184">
        <v>523375.62</v>
      </c>
      <c r="Q26" s="178">
        <v>27600</v>
      </c>
      <c r="R26" s="178">
        <v>51825</v>
      </c>
      <c r="S26" s="178">
        <v>26256.83</v>
      </c>
      <c r="T26" s="178">
        <v>0</v>
      </c>
      <c r="U26" s="178">
        <v>353391.42</v>
      </c>
      <c r="V26" s="178">
        <v>15000</v>
      </c>
      <c r="W26" s="185">
        <f t="shared" si="2"/>
        <v>7948420.8500000006</v>
      </c>
    </row>
    <row r="27" spans="1:23">
      <c r="A27" s="171" t="s">
        <v>664</v>
      </c>
      <c r="B27" s="178">
        <v>3432539.21</v>
      </c>
      <c r="C27" s="178">
        <v>0</v>
      </c>
      <c r="D27" s="178">
        <v>391454.54</v>
      </c>
      <c r="E27" s="178">
        <v>0</v>
      </c>
      <c r="F27" s="178">
        <v>24000</v>
      </c>
      <c r="G27" s="178">
        <v>24000</v>
      </c>
      <c r="H27" s="178">
        <v>132000</v>
      </c>
      <c r="I27" s="178">
        <v>0</v>
      </c>
      <c r="J27" s="178">
        <v>0</v>
      </c>
      <c r="K27" s="178">
        <v>299065</v>
      </c>
      <c r="L27" s="178">
        <v>697351.75</v>
      </c>
      <c r="M27" s="178">
        <v>0</v>
      </c>
      <c r="N27" s="178">
        <v>82500</v>
      </c>
      <c r="O27" s="184">
        <v>288306.5</v>
      </c>
      <c r="P27" s="178">
        <v>412876.53</v>
      </c>
      <c r="Q27" s="178">
        <v>19700</v>
      </c>
      <c r="R27" s="178">
        <v>39900</v>
      </c>
      <c r="S27" s="178">
        <v>19066.36</v>
      </c>
      <c r="T27" s="178">
        <v>80143.42</v>
      </c>
      <c r="U27" s="178">
        <v>179473.9</v>
      </c>
      <c r="V27" s="178">
        <v>5000</v>
      </c>
      <c r="W27" s="185">
        <f t="shared" si="2"/>
        <v>6127377.2100000009</v>
      </c>
    </row>
    <row r="28" spans="1:23">
      <c r="A28" s="171" t="s">
        <v>587</v>
      </c>
      <c r="B28" s="178">
        <v>883980</v>
      </c>
      <c r="C28" s="178">
        <v>0</v>
      </c>
      <c r="D28" s="178">
        <v>132000</v>
      </c>
      <c r="E28" s="178">
        <v>0</v>
      </c>
      <c r="F28" s="178"/>
      <c r="G28" s="178"/>
      <c r="H28" s="178">
        <v>44000</v>
      </c>
      <c r="I28" s="178">
        <v>0</v>
      </c>
      <c r="J28" s="178">
        <v>0</v>
      </c>
      <c r="K28" s="178">
        <v>102700</v>
      </c>
      <c r="L28" s="178">
        <v>199555.5</v>
      </c>
      <c r="M28" s="178">
        <v>0</v>
      </c>
      <c r="N28" s="178">
        <v>27500</v>
      </c>
      <c r="O28" s="184">
        <v>73665</v>
      </c>
      <c r="P28" s="178">
        <v>106077.6</v>
      </c>
      <c r="Q28" s="178">
        <v>6600</v>
      </c>
      <c r="R28" s="178">
        <v>10500</v>
      </c>
      <c r="S28" s="178">
        <v>6248.34</v>
      </c>
      <c r="T28" s="178">
        <v>0</v>
      </c>
      <c r="U28" s="178">
        <v>65877.570000000007</v>
      </c>
      <c r="V28" s="178">
        <v>0</v>
      </c>
      <c r="W28" s="185">
        <f t="shared" si="2"/>
        <v>1658704.0100000002</v>
      </c>
    </row>
    <row r="29" spans="1:23">
      <c r="A29" s="171" t="s">
        <v>665</v>
      </c>
      <c r="B29" s="178">
        <v>1301817.68</v>
      </c>
      <c r="C29" s="178">
        <v>0</v>
      </c>
      <c r="D29" s="178">
        <v>166000</v>
      </c>
      <c r="E29" s="178">
        <v>0</v>
      </c>
      <c r="F29" s="178"/>
      <c r="G29" s="178"/>
      <c r="H29" s="178">
        <v>52000</v>
      </c>
      <c r="I29" s="178">
        <v>0</v>
      </c>
      <c r="J29" s="178">
        <v>0</v>
      </c>
      <c r="K29" s="178">
        <v>131450</v>
      </c>
      <c r="L29" s="178">
        <v>273027.75</v>
      </c>
      <c r="M29" s="178"/>
      <c r="N29" s="178">
        <v>35000</v>
      </c>
      <c r="O29" s="184">
        <v>111210</v>
      </c>
      <c r="P29" s="178">
        <v>156218.12</v>
      </c>
      <c r="Q29" s="178">
        <v>8300</v>
      </c>
      <c r="R29" s="178">
        <v>15450</v>
      </c>
      <c r="S29" s="178">
        <v>8090.87</v>
      </c>
      <c r="T29" s="178">
        <v>0</v>
      </c>
      <c r="U29" s="178">
        <v>82562.320000000007</v>
      </c>
      <c r="V29" s="178">
        <v>0</v>
      </c>
      <c r="W29" s="185">
        <f t="shared" si="2"/>
        <v>2341126.7399999998</v>
      </c>
    </row>
    <row r="30" spans="1:23">
      <c r="A30" s="171" t="s">
        <v>666</v>
      </c>
      <c r="B30" s="178">
        <v>1270068</v>
      </c>
      <c r="C30" s="178">
        <v>0</v>
      </c>
      <c r="D30" s="178">
        <v>156000</v>
      </c>
      <c r="E30" s="178">
        <v>0</v>
      </c>
      <c r="F30" s="178"/>
      <c r="G30" s="178"/>
      <c r="H30" s="178">
        <v>52000</v>
      </c>
      <c r="I30" s="178">
        <v>0</v>
      </c>
      <c r="J30" s="178">
        <v>0</v>
      </c>
      <c r="K30" s="178">
        <v>119915</v>
      </c>
      <c r="L30" s="178">
        <v>259946.25</v>
      </c>
      <c r="M30" s="178"/>
      <c r="N30" s="178">
        <v>32500</v>
      </c>
      <c r="O30" s="184">
        <v>105839</v>
      </c>
      <c r="P30" s="178">
        <v>152408.16</v>
      </c>
      <c r="Q30" s="178">
        <v>7800</v>
      </c>
      <c r="R30" s="178">
        <v>14412.5</v>
      </c>
      <c r="S30" s="178">
        <v>7535.46</v>
      </c>
      <c r="T30" s="178">
        <v>0</v>
      </c>
      <c r="U30" s="178">
        <v>75302.95</v>
      </c>
      <c r="V30" s="178">
        <v>10000</v>
      </c>
      <c r="W30" s="185">
        <f t="shared" si="2"/>
        <v>2263727.3200000003</v>
      </c>
    </row>
    <row r="31" spans="1:23">
      <c r="A31" s="171" t="s">
        <v>667</v>
      </c>
      <c r="B31" s="178">
        <v>1937586</v>
      </c>
      <c r="C31" s="178">
        <v>0</v>
      </c>
      <c r="D31" s="178">
        <v>240000</v>
      </c>
      <c r="E31" s="178">
        <v>0</v>
      </c>
      <c r="F31" s="178"/>
      <c r="G31" s="178"/>
      <c r="H31" s="178">
        <v>80000</v>
      </c>
      <c r="I31" s="178">
        <v>0</v>
      </c>
      <c r="J31" s="178">
        <v>0</v>
      </c>
      <c r="K31" s="178">
        <v>187735</v>
      </c>
      <c r="L31" s="178">
        <v>406786.5</v>
      </c>
      <c r="M31" s="178">
        <v>0</v>
      </c>
      <c r="N31" s="178">
        <v>47500</v>
      </c>
      <c r="O31" s="184">
        <v>155711.5</v>
      </c>
      <c r="P31" s="178">
        <v>232510.32</v>
      </c>
      <c r="Q31" s="178">
        <v>12000</v>
      </c>
      <c r="R31" s="178">
        <v>22537.5</v>
      </c>
      <c r="S31" s="178">
        <v>11592.36</v>
      </c>
      <c r="T31" s="178"/>
      <c r="U31" s="178">
        <v>84944.67</v>
      </c>
      <c r="V31" s="178">
        <v>0</v>
      </c>
      <c r="W31" s="185">
        <f t="shared" si="2"/>
        <v>3418903.8499999996</v>
      </c>
    </row>
    <row r="32" spans="1:23">
      <c r="A32" s="171" t="s">
        <v>591</v>
      </c>
      <c r="B32" s="178">
        <v>1038011.7</v>
      </c>
      <c r="C32" s="178">
        <v>0</v>
      </c>
      <c r="D32" s="178">
        <v>157818.18</v>
      </c>
      <c r="E32" s="178">
        <v>0</v>
      </c>
      <c r="F32" s="178">
        <v>0</v>
      </c>
      <c r="G32" s="178"/>
      <c r="H32" s="178">
        <v>56000</v>
      </c>
      <c r="I32" s="178">
        <v>0</v>
      </c>
      <c r="J32" s="178">
        <v>0</v>
      </c>
      <c r="K32" s="178">
        <v>122810</v>
      </c>
      <c r="L32" s="178">
        <v>228307.16</v>
      </c>
      <c r="M32" s="178"/>
      <c r="N32" s="178">
        <v>32500</v>
      </c>
      <c r="O32" s="184">
        <v>84113</v>
      </c>
      <c r="P32" s="178">
        <v>124733.64</v>
      </c>
      <c r="Q32" s="178">
        <v>8000</v>
      </c>
      <c r="R32" s="178">
        <v>12500</v>
      </c>
      <c r="S32" s="178">
        <v>7569.52</v>
      </c>
      <c r="T32" s="178"/>
      <c r="U32" s="178">
        <v>84767.97</v>
      </c>
      <c r="V32" s="178">
        <v>0</v>
      </c>
      <c r="W32" s="185">
        <f t="shared" si="2"/>
        <v>1957131.1699999997</v>
      </c>
    </row>
    <row r="33" spans="1:23">
      <c r="A33" s="171" t="s">
        <v>592</v>
      </c>
      <c r="B33" s="178">
        <v>1681982</v>
      </c>
      <c r="C33" s="178"/>
      <c r="D33" s="178">
        <v>268000</v>
      </c>
      <c r="E33" s="178">
        <v>0</v>
      </c>
      <c r="F33" s="178">
        <v>38800</v>
      </c>
      <c r="G33" s="178">
        <v>38800</v>
      </c>
      <c r="H33" s="178">
        <v>108000</v>
      </c>
      <c r="I33" s="178">
        <v>0</v>
      </c>
      <c r="J33" s="178">
        <v>0</v>
      </c>
      <c r="K33" s="178"/>
      <c r="L33" s="178"/>
      <c r="M33" s="178"/>
      <c r="N33" s="178">
        <v>67500</v>
      </c>
      <c r="O33" s="184">
        <v>169616.5</v>
      </c>
      <c r="P33" s="178">
        <v>201837.84</v>
      </c>
      <c r="Q33" s="178">
        <v>13400</v>
      </c>
      <c r="R33" s="178">
        <v>19550</v>
      </c>
      <c r="S33" s="178">
        <v>13071.3</v>
      </c>
      <c r="T33" s="178">
        <v>329172.46999999997</v>
      </c>
      <c r="U33" s="178">
        <v>68766.3</v>
      </c>
      <c r="V33" s="178">
        <v>0</v>
      </c>
      <c r="W33" s="185">
        <f t="shared" si="2"/>
        <v>3018496.4099999992</v>
      </c>
    </row>
    <row r="34" spans="1:23" ht="16.2" thickBot="1">
      <c r="A34" s="164" t="s">
        <v>485</v>
      </c>
      <c r="B34" s="177"/>
      <c r="C34" s="177"/>
      <c r="D34" s="177"/>
      <c r="E34" s="177"/>
      <c r="F34" s="177"/>
      <c r="G34" s="177"/>
      <c r="H34" s="177"/>
      <c r="I34" s="177"/>
      <c r="J34" s="177"/>
      <c r="K34" s="177"/>
      <c r="L34" s="177"/>
      <c r="M34" s="177"/>
      <c r="N34" s="177"/>
      <c r="O34" s="177"/>
      <c r="P34" s="177"/>
      <c r="Q34" s="177"/>
      <c r="R34" s="177"/>
      <c r="S34" s="177"/>
      <c r="T34" s="177"/>
      <c r="U34" s="177"/>
      <c r="V34" s="177"/>
      <c r="W34" s="185" t="s">
        <v>9</v>
      </c>
    </row>
    <row r="35" spans="1:23" ht="16.8" thickTop="1" thickBot="1">
      <c r="A35" s="171"/>
      <c r="B35" s="175">
        <f t="shared" ref="B35:V35" si="3">SUM(B19:B33)</f>
        <v>49625423.160000011</v>
      </c>
      <c r="C35" s="175">
        <f t="shared" si="3"/>
        <v>0</v>
      </c>
      <c r="D35" s="175">
        <f t="shared" si="3"/>
        <v>6415699.8499999996</v>
      </c>
      <c r="E35" s="175">
        <f t="shared" si="3"/>
        <v>0</v>
      </c>
      <c r="F35" s="175">
        <f t="shared" si="3"/>
        <v>239600</v>
      </c>
      <c r="G35" s="175">
        <f t="shared" si="3"/>
        <v>206600</v>
      </c>
      <c r="H35" s="175">
        <f t="shared" si="3"/>
        <v>2180000</v>
      </c>
      <c r="I35" s="175">
        <f t="shared" si="3"/>
        <v>82000</v>
      </c>
      <c r="J35" s="175">
        <f t="shared" si="3"/>
        <v>0</v>
      </c>
      <c r="K35" s="175">
        <f t="shared" si="3"/>
        <v>4461135</v>
      </c>
      <c r="L35" s="175">
        <f t="shared" si="3"/>
        <v>9297415.870000001</v>
      </c>
      <c r="M35" s="175">
        <f t="shared" si="3"/>
        <v>29354.66</v>
      </c>
      <c r="N35" s="175">
        <f t="shared" si="3"/>
        <v>1357500</v>
      </c>
      <c r="O35" s="175">
        <f t="shared" si="3"/>
        <v>4177993.5</v>
      </c>
      <c r="P35" s="175">
        <f t="shared" si="3"/>
        <v>5960575.8899999997</v>
      </c>
      <c r="Q35" s="175">
        <f t="shared" si="3"/>
        <v>321875</v>
      </c>
      <c r="R35" s="175">
        <f t="shared" si="3"/>
        <v>585812.5</v>
      </c>
      <c r="S35" s="175">
        <f t="shared" si="3"/>
        <v>310714.39</v>
      </c>
      <c r="T35" s="175">
        <f t="shared" si="3"/>
        <v>641218.03</v>
      </c>
      <c r="U35" s="175">
        <f t="shared" si="3"/>
        <v>3236031.7899999996</v>
      </c>
      <c r="V35" s="175">
        <f t="shared" si="3"/>
        <v>190000</v>
      </c>
      <c r="W35" s="176">
        <f>SUM(W19:W34)</f>
        <v>89318949.640000001</v>
      </c>
    </row>
    <row r="36" spans="1:23" ht="16.2" thickTop="1">
      <c r="A36" s="171" t="s">
        <v>9</v>
      </c>
      <c r="B36" s="177"/>
      <c r="C36" s="177"/>
      <c r="D36" s="177"/>
      <c r="E36" s="177"/>
      <c r="F36" s="177"/>
      <c r="G36" s="177"/>
      <c r="H36" s="177"/>
      <c r="I36" s="177"/>
      <c r="J36" s="177"/>
      <c r="K36" s="177"/>
      <c r="L36" s="177"/>
      <c r="M36" s="177"/>
      <c r="N36" s="177"/>
      <c r="O36" s="177"/>
      <c r="P36" s="177"/>
      <c r="Q36" s="177"/>
      <c r="R36" s="177"/>
      <c r="S36" s="177"/>
      <c r="T36" s="177"/>
      <c r="U36" s="177"/>
      <c r="V36" s="177"/>
      <c r="W36" s="185" t="s">
        <v>9</v>
      </c>
    </row>
    <row r="37" spans="1:23">
      <c r="A37" s="171" t="s">
        <v>593</v>
      </c>
      <c r="B37" s="184">
        <v>166092</v>
      </c>
      <c r="C37" s="184">
        <v>0</v>
      </c>
      <c r="D37" s="184">
        <v>36000</v>
      </c>
      <c r="E37" s="184">
        <v>0</v>
      </c>
      <c r="F37" s="184">
        <v>0</v>
      </c>
      <c r="G37" s="184">
        <v>0</v>
      </c>
      <c r="H37" s="184">
        <v>12000</v>
      </c>
      <c r="I37" s="184">
        <v>0</v>
      </c>
      <c r="J37" s="184">
        <v>0</v>
      </c>
      <c r="K37" s="184">
        <v>0</v>
      </c>
      <c r="L37" s="184">
        <v>0</v>
      </c>
      <c r="M37" s="184">
        <v>0</v>
      </c>
      <c r="N37" s="184">
        <v>7500</v>
      </c>
      <c r="O37" s="184">
        <v>13841</v>
      </c>
      <c r="P37" s="184">
        <v>19931.04</v>
      </c>
      <c r="Q37" s="184">
        <v>1800</v>
      </c>
      <c r="R37" s="184">
        <v>1950</v>
      </c>
      <c r="S37" s="184">
        <v>1650.6</v>
      </c>
      <c r="T37" s="184">
        <v>0</v>
      </c>
      <c r="U37" s="184">
        <v>13234.41</v>
      </c>
      <c r="V37" s="184">
        <v>0</v>
      </c>
      <c r="W37" s="185">
        <f t="shared" ref="W37:W44" si="4">SUM(B37:V37)</f>
        <v>273999.05</v>
      </c>
    </row>
    <row r="38" spans="1:23">
      <c r="A38" s="171" t="s">
        <v>594</v>
      </c>
      <c r="B38" s="184">
        <v>261012</v>
      </c>
      <c r="C38" s="184">
        <v>0</v>
      </c>
      <c r="D38" s="184">
        <v>24000</v>
      </c>
      <c r="E38" s="184">
        <v>0</v>
      </c>
      <c r="F38" s="184"/>
      <c r="G38" s="184"/>
      <c r="H38" s="184">
        <v>8000</v>
      </c>
      <c r="I38" s="184">
        <v>0</v>
      </c>
      <c r="J38" s="184">
        <v>0</v>
      </c>
      <c r="K38" s="184">
        <v>0</v>
      </c>
      <c r="L38" s="184"/>
      <c r="M38" s="184">
        <v>0</v>
      </c>
      <c r="N38" s="184">
        <v>5000</v>
      </c>
      <c r="O38" s="184">
        <v>21751</v>
      </c>
      <c r="P38" s="184">
        <v>31321.439999999999</v>
      </c>
      <c r="Q38" s="184">
        <v>1200</v>
      </c>
      <c r="R38" s="184">
        <v>3150</v>
      </c>
      <c r="S38" s="184">
        <v>1200</v>
      </c>
      <c r="T38" s="184">
        <v>0</v>
      </c>
      <c r="U38" s="184">
        <v>0</v>
      </c>
      <c r="V38" s="184">
        <v>0</v>
      </c>
      <c r="W38" s="185">
        <f t="shared" si="4"/>
        <v>356634.44</v>
      </c>
    </row>
    <row r="39" spans="1:23">
      <c r="A39" s="171" t="s">
        <v>595</v>
      </c>
      <c r="B39" s="184">
        <v>192780</v>
      </c>
      <c r="C39" s="184">
        <v>0</v>
      </c>
      <c r="D39" s="184">
        <v>24000</v>
      </c>
      <c r="E39" s="184">
        <v>0</v>
      </c>
      <c r="F39" s="184"/>
      <c r="G39" s="184"/>
      <c r="H39" s="184">
        <v>8000</v>
      </c>
      <c r="I39" s="184">
        <v>0</v>
      </c>
      <c r="J39" s="184">
        <v>0</v>
      </c>
      <c r="K39" s="184">
        <v>0</v>
      </c>
      <c r="L39" s="184"/>
      <c r="M39" s="184">
        <v>0</v>
      </c>
      <c r="N39" s="184">
        <v>5000</v>
      </c>
      <c r="O39" s="184">
        <v>16065</v>
      </c>
      <c r="P39" s="184">
        <v>23133.599999999999</v>
      </c>
      <c r="Q39" s="184">
        <v>1200</v>
      </c>
      <c r="R39" s="184">
        <v>2325</v>
      </c>
      <c r="S39" s="184">
        <v>1200</v>
      </c>
      <c r="T39" s="184">
        <v>0</v>
      </c>
      <c r="U39" s="184">
        <v>0</v>
      </c>
      <c r="V39" s="184">
        <v>0</v>
      </c>
      <c r="W39" s="185">
        <f t="shared" si="4"/>
        <v>273703.59999999998</v>
      </c>
    </row>
    <row r="40" spans="1:23">
      <c r="A40" s="171" t="s">
        <v>596</v>
      </c>
      <c r="B40" s="184"/>
      <c r="C40" s="184">
        <v>0</v>
      </c>
      <c r="D40" s="184">
        <v>0</v>
      </c>
      <c r="E40" s="184">
        <v>0</v>
      </c>
      <c r="F40" s="184">
        <v>0</v>
      </c>
      <c r="G40" s="184">
        <v>0</v>
      </c>
      <c r="H40" s="184">
        <v>0</v>
      </c>
      <c r="I40" s="184">
        <v>0</v>
      </c>
      <c r="J40" s="184"/>
      <c r="K40" s="184">
        <v>0</v>
      </c>
      <c r="L40" s="184">
        <v>0</v>
      </c>
      <c r="M40" s="184">
        <v>0</v>
      </c>
      <c r="N40" s="184">
        <v>0</v>
      </c>
      <c r="O40" s="184">
        <f>(B40/12)</f>
        <v>0</v>
      </c>
      <c r="P40" s="184" t="s">
        <v>9</v>
      </c>
      <c r="Q40" s="184" t="s">
        <v>9</v>
      </c>
      <c r="R40" s="184" t="s">
        <v>9</v>
      </c>
      <c r="S40" s="184" t="s">
        <v>9</v>
      </c>
      <c r="T40" s="184">
        <v>0</v>
      </c>
      <c r="U40" s="184" t="s">
        <v>9</v>
      </c>
      <c r="V40" s="184">
        <v>0</v>
      </c>
      <c r="W40" s="185">
        <f t="shared" si="4"/>
        <v>0</v>
      </c>
    </row>
    <row r="41" spans="1:23">
      <c r="A41" s="171" t="s">
        <v>598</v>
      </c>
      <c r="B41" s="183">
        <v>5691536.0599999996</v>
      </c>
      <c r="C41" s="183"/>
      <c r="D41" s="183">
        <v>792954.78</v>
      </c>
      <c r="E41" s="183">
        <v>0</v>
      </c>
      <c r="F41" s="183">
        <v>38800</v>
      </c>
      <c r="G41" s="183">
        <v>38800</v>
      </c>
      <c r="H41" s="183">
        <v>260000</v>
      </c>
      <c r="I41" s="183">
        <v>85666.64</v>
      </c>
      <c r="J41" s="183">
        <v>0</v>
      </c>
      <c r="K41" s="183"/>
      <c r="L41" s="183"/>
      <c r="M41" s="183"/>
      <c r="N41" s="183">
        <v>162500</v>
      </c>
      <c r="O41" s="184">
        <v>469145.5</v>
      </c>
      <c r="P41" s="183">
        <v>684082.86</v>
      </c>
      <c r="Q41" s="183">
        <v>39700</v>
      </c>
      <c r="R41" s="183">
        <v>67287.5</v>
      </c>
      <c r="S41" s="183">
        <v>38808.839999999997</v>
      </c>
      <c r="T41" s="183">
        <v>308831.45</v>
      </c>
      <c r="U41" s="183">
        <v>759342.24</v>
      </c>
      <c r="V41" s="183">
        <v>35000</v>
      </c>
      <c r="W41" s="185">
        <f t="shared" si="4"/>
        <v>9472455.8699999992</v>
      </c>
    </row>
    <row r="42" spans="1:23">
      <c r="A42" s="171" t="s">
        <v>599</v>
      </c>
      <c r="B42" s="183">
        <v>3972308.89</v>
      </c>
      <c r="C42" s="183"/>
      <c r="D42" s="183">
        <v>535144.42000000004</v>
      </c>
      <c r="E42" s="183">
        <v>0</v>
      </c>
      <c r="F42" s="183">
        <v>38800</v>
      </c>
      <c r="G42" s="183">
        <v>38800</v>
      </c>
      <c r="H42" s="183">
        <v>180000</v>
      </c>
      <c r="I42" s="183">
        <v>0</v>
      </c>
      <c r="J42" s="183">
        <v>0</v>
      </c>
      <c r="K42" s="183">
        <v>6600</v>
      </c>
      <c r="L42" s="183">
        <v>19958</v>
      </c>
      <c r="M42" s="183"/>
      <c r="N42" s="183">
        <v>110000</v>
      </c>
      <c r="O42" s="184">
        <v>323785.5</v>
      </c>
      <c r="P42" s="183">
        <v>477307.84</v>
      </c>
      <c r="Q42" s="183">
        <v>26700</v>
      </c>
      <c r="R42" s="183">
        <v>46575</v>
      </c>
      <c r="S42" s="183">
        <v>25905.52</v>
      </c>
      <c r="T42" s="183">
        <v>0</v>
      </c>
      <c r="U42" s="183">
        <v>596834.81000000006</v>
      </c>
      <c r="V42" s="183">
        <v>5000</v>
      </c>
      <c r="W42" s="185">
        <f t="shared" si="4"/>
        <v>6403719.9800000004</v>
      </c>
    </row>
    <row r="43" spans="1:23">
      <c r="A43" s="171" t="s">
        <v>600</v>
      </c>
      <c r="B43" s="183">
        <v>9214544.2699999996</v>
      </c>
      <c r="C43" s="183">
        <v>0</v>
      </c>
      <c r="D43" s="183">
        <v>1436535.48</v>
      </c>
      <c r="E43" s="183">
        <v>0</v>
      </c>
      <c r="F43" s="183">
        <v>38800</v>
      </c>
      <c r="G43" s="183">
        <v>32300</v>
      </c>
      <c r="H43" s="183">
        <v>480000</v>
      </c>
      <c r="I43" s="183">
        <v>104554.93</v>
      </c>
      <c r="J43" s="183">
        <v>0</v>
      </c>
      <c r="K43" s="183"/>
      <c r="L43" s="183"/>
      <c r="M43" s="183">
        <v>29032</v>
      </c>
      <c r="N43" s="183">
        <v>295000</v>
      </c>
      <c r="O43" s="184">
        <v>759857</v>
      </c>
      <c r="P43" s="183">
        <v>1102667.67</v>
      </c>
      <c r="Q43" s="183">
        <v>71600</v>
      </c>
      <c r="R43" s="183">
        <v>109237.5</v>
      </c>
      <c r="S43" s="183">
        <v>67639.839999999997</v>
      </c>
      <c r="T43" s="183">
        <v>0</v>
      </c>
      <c r="U43" s="183">
        <v>593028.43999999994</v>
      </c>
      <c r="V43" s="183">
        <v>15000</v>
      </c>
      <c r="W43" s="185">
        <f t="shared" si="4"/>
        <v>14349797.129999999</v>
      </c>
    </row>
    <row r="44" spans="1:23">
      <c r="A44" s="171" t="s">
        <v>668</v>
      </c>
      <c r="B44" s="183">
        <v>5430431.3200000003</v>
      </c>
      <c r="C44" s="183">
        <v>0</v>
      </c>
      <c r="D44" s="183">
        <v>848028.3</v>
      </c>
      <c r="E44" s="183">
        <v>0</v>
      </c>
      <c r="F44" s="183">
        <v>38800</v>
      </c>
      <c r="G44" s="183">
        <v>38800</v>
      </c>
      <c r="H44" s="183">
        <v>288000</v>
      </c>
      <c r="I44" s="183">
        <v>0</v>
      </c>
      <c r="J44" s="183">
        <v>0</v>
      </c>
      <c r="K44" s="183"/>
      <c r="L44" s="183"/>
      <c r="M44" s="183"/>
      <c r="N44" s="183">
        <v>170000</v>
      </c>
      <c r="O44" s="184">
        <v>435238.5</v>
      </c>
      <c r="P44" s="183">
        <v>654108.34</v>
      </c>
      <c r="Q44" s="183">
        <v>42300</v>
      </c>
      <c r="R44" s="183">
        <v>63212.5</v>
      </c>
      <c r="S44" s="183">
        <v>41158.99</v>
      </c>
      <c r="T44" s="183">
        <v>174541.02</v>
      </c>
      <c r="U44" s="183">
        <v>417439.81</v>
      </c>
      <c r="V44" s="183">
        <v>35000</v>
      </c>
      <c r="W44" s="185">
        <f t="shared" si="4"/>
        <v>8677058.7799999993</v>
      </c>
    </row>
    <row r="45" spans="1:23">
      <c r="A45" s="171"/>
      <c r="B45" s="177"/>
      <c r="C45" s="177"/>
      <c r="D45" s="177"/>
      <c r="E45" s="177"/>
      <c r="F45" s="177"/>
      <c r="G45" s="177"/>
      <c r="H45" s="177"/>
      <c r="I45" s="177"/>
      <c r="J45" s="177"/>
      <c r="K45" s="177"/>
      <c r="L45" s="177"/>
      <c r="M45" s="177"/>
      <c r="N45" s="177"/>
      <c r="O45" s="184">
        <f>(B45/12)</f>
        <v>0</v>
      </c>
      <c r="P45" s="177"/>
      <c r="Q45" s="177"/>
      <c r="R45" s="177"/>
      <c r="S45" s="177" t="s">
        <v>9</v>
      </c>
      <c r="T45" s="177"/>
      <c r="U45" s="177"/>
      <c r="V45" s="177"/>
      <c r="W45" s="185" t="s">
        <v>9</v>
      </c>
    </row>
    <row r="46" spans="1:23" ht="16.2" thickBot="1">
      <c r="A46" s="164" t="s">
        <v>485</v>
      </c>
      <c r="B46" s="175">
        <f t="shared" ref="B46:V46" si="5">SUM(B37:B44)</f>
        <v>24928704.539999999</v>
      </c>
      <c r="C46" s="175">
        <f t="shared" si="5"/>
        <v>0</v>
      </c>
      <c r="D46" s="175">
        <f t="shared" si="5"/>
        <v>3696662.9800000004</v>
      </c>
      <c r="E46" s="175">
        <f t="shared" si="5"/>
        <v>0</v>
      </c>
      <c r="F46" s="175">
        <f t="shared" si="5"/>
        <v>155200</v>
      </c>
      <c r="G46" s="175">
        <f t="shared" si="5"/>
        <v>148700</v>
      </c>
      <c r="H46" s="175">
        <f t="shared" si="5"/>
        <v>1236000</v>
      </c>
      <c r="I46" s="175">
        <f t="shared" si="5"/>
        <v>190221.57</v>
      </c>
      <c r="J46" s="175">
        <f t="shared" si="5"/>
        <v>0</v>
      </c>
      <c r="K46" s="175">
        <f t="shared" si="5"/>
        <v>6600</v>
      </c>
      <c r="L46" s="175">
        <f t="shared" si="5"/>
        <v>19958</v>
      </c>
      <c r="M46" s="175">
        <f t="shared" si="5"/>
        <v>29032</v>
      </c>
      <c r="N46" s="175">
        <f t="shared" si="5"/>
        <v>755000</v>
      </c>
      <c r="O46" s="175">
        <f t="shared" si="5"/>
        <v>2039683.5</v>
      </c>
      <c r="P46" s="175">
        <f t="shared" si="5"/>
        <v>2992552.79</v>
      </c>
      <c r="Q46" s="175">
        <f t="shared" si="5"/>
        <v>184500</v>
      </c>
      <c r="R46" s="175">
        <f t="shared" si="5"/>
        <v>293737.5</v>
      </c>
      <c r="S46" s="175">
        <f t="shared" si="5"/>
        <v>177563.78999999998</v>
      </c>
      <c r="T46" s="175">
        <f t="shared" si="5"/>
        <v>483372.47</v>
      </c>
      <c r="U46" s="175">
        <f t="shared" si="5"/>
        <v>2379879.71</v>
      </c>
      <c r="V46" s="175">
        <f t="shared" si="5"/>
        <v>90000</v>
      </c>
      <c r="W46" s="175">
        <f>SUM(W37:W44)</f>
        <v>39807368.849999994</v>
      </c>
    </row>
    <row r="47" spans="1:23" ht="16.2" thickTop="1">
      <c r="A47" s="177"/>
      <c r="B47" s="177"/>
      <c r="C47" s="177"/>
      <c r="D47" s="177"/>
      <c r="E47" s="177"/>
      <c r="F47" s="177"/>
      <c r="G47" s="177"/>
      <c r="H47" s="177"/>
      <c r="I47" s="177"/>
      <c r="J47" s="177"/>
      <c r="K47" s="177"/>
      <c r="L47" s="177"/>
      <c r="M47" s="177"/>
      <c r="N47" s="177"/>
      <c r="O47" s="177"/>
      <c r="P47" s="177"/>
      <c r="Q47" s="177"/>
      <c r="R47" s="177"/>
      <c r="S47" s="177"/>
      <c r="T47" s="177"/>
      <c r="U47" s="177"/>
      <c r="V47" s="177"/>
      <c r="W47" s="185" t="s">
        <v>9</v>
      </c>
    </row>
    <row r="48" spans="1:23" ht="16.2" thickBot="1">
      <c r="B48" s="179"/>
      <c r="C48" s="179"/>
      <c r="D48" s="179"/>
      <c r="E48" s="179"/>
      <c r="F48" s="179"/>
      <c r="G48" s="179"/>
      <c r="H48" s="179"/>
      <c r="I48" s="179"/>
      <c r="J48" s="179"/>
      <c r="K48" s="179"/>
      <c r="L48" s="179"/>
      <c r="M48" s="179"/>
      <c r="N48" s="179"/>
      <c r="O48" s="179"/>
      <c r="P48" s="179"/>
      <c r="Q48" s="179"/>
      <c r="R48" s="179"/>
      <c r="S48" s="179"/>
      <c r="T48" s="179"/>
      <c r="U48" s="179"/>
      <c r="V48" s="179"/>
      <c r="W48" s="180" t="s">
        <v>9</v>
      </c>
    </row>
    <row r="49" spans="1:23" ht="16.2" thickTop="1">
      <c r="A49" s="163" t="s">
        <v>669</v>
      </c>
      <c r="B49" s="181">
        <f t="shared" ref="B49:V49" si="6">SUM(B17+B35+B46)</f>
        <v>115097269.11000001</v>
      </c>
      <c r="C49" s="181">
        <f t="shared" si="6"/>
        <v>2970942.02</v>
      </c>
      <c r="D49" s="181">
        <f t="shared" si="6"/>
        <v>16079348.18</v>
      </c>
      <c r="E49" s="181">
        <f t="shared" si="6"/>
        <v>0</v>
      </c>
      <c r="F49" s="181">
        <f t="shared" si="6"/>
        <v>1547700</v>
      </c>
      <c r="G49" s="181">
        <f t="shared" si="6"/>
        <v>896700</v>
      </c>
      <c r="H49" s="181">
        <f t="shared" si="6"/>
        <v>5372000</v>
      </c>
      <c r="I49" s="181">
        <f t="shared" si="6"/>
        <v>465888.24</v>
      </c>
      <c r="J49" s="181">
        <f t="shared" si="6"/>
        <v>0</v>
      </c>
      <c r="K49" s="181">
        <f t="shared" si="6"/>
        <v>4467735</v>
      </c>
      <c r="L49" s="181">
        <f t="shared" si="6"/>
        <v>9317373.870000001</v>
      </c>
      <c r="M49" s="181">
        <f t="shared" si="6"/>
        <v>470251.88999999996</v>
      </c>
      <c r="N49" s="181">
        <f t="shared" si="6"/>
        <v>3352500</v>
      </c>
      <c r="O49" s="181">
        <f t="shared" si="6"/>
        <v>9782107.8000000007</v>
      </c>
      <c r="P49" s="181">
        <f t="shared" si="6"/>
        <v>14103634.359999999</v>
      </c>
      <c r="Q49" s="181">
        <f t="shared" si="6"/>
        <v>807462.5</v>
      </c>
      <c r="R49" s="181">
        <f t="shared" si="6"/>
        <v>1362838.5</v>
      </c>
      <c r="S49" s="181">
        <f t="shared" si="6"/>
        <v>761963.46</v>
      </c>
      <c r="T49" s="181">
        <f t="shared" si="6"/>
        <v>1599808.14</v>
      </c>
      <c r="U49" s="181">
        <f t="shared" si="6"/>
        <v>8417043.9800000004</v>
      </c>
      <c r="V49" s="181">
        <f t="shared" si="6"/>
        <v>510000</v>
      </c>
      <c r="W49" s="181">
        <f>SUM(B49:V49)</f>
        <v>197382567.05000001</v>
      </c>
    </row>
  </sheetData>
  <pageMargins left="0.7" right="0.7" top="0.75" bottom="0.75" header="0.3" footer="0.3"/>
  <pageSetup paperSize="66" orientation="landscape" horizontalDpi="120" verticalDpi="144" r:id="rId1"/>
</worksheet>
</file>

<file path=xl/worksheets/sheet224.xml><?xml version="1.0" encoding="utf-8"?>
<worksheet xmlns="http://schemas.openxmlformats.org/spreadsheetml/2006/main" xmlns:r="http://schemas.openxmlformats.org/officeDocument/2006/relationships">
  <sheetPr codeName="Sheet159"/>
  <dimension ref="A1:AF121"/>
  <sheetViews>
    <sheetView topLeftCell="A71" workbookViewId="0">
      <selection activeCell="V115" sqref="V115"/>
    </sheetView>
  </sheetViews>
  <sheetFormatPr defaultColWidth="9.109375" defaultRowHeight="15.6"/>
  <cols>
    <col min="1" max="1" width="11.88671875" style="117" customWidth="1"/>
    <col min="2" max="2" width="12.44140625" style="117" customWidth="1"/>
    <col min="3" max="3" width="12.109375" style="117" customWidth="1"/>
    <col min="4" max="4" width="12.88671875" style="117" customWidth="1"/>
    <col min="5" max="5" width="9.88671875" style="117" customWidth="1"/>
    <col min="6" max="6" width="11.88671875" style="117" customWidth="1"/>
    <col min="7" max="7" width="12" style="117" customWidth="1"/>
    <col min="8" max="8" width="13.109375" style="117" customWidth="1"/>
    <col min="9" max="9" width="10.88671875" style="117" customWidth="1"/>
    <col min="10" max="10" width="11" style="117" customWidth="1"/>
    <col min="11" max="11" width="10.88671875" style="117" customWidth="1"/>
    <col min="12" max="12" width="12" style="117" customWidth="1"/>
    <col min="13" max="13" width="12.88671875" style="117" customWidth="1"/>
    <col min="14" max="14" width="10.44140625" style="117" customWidth="1"/>
    <col min="15" max="15" width="12.44140625" style="117" customWidth="1"/>
    <col min="16" max="16" width="11.88671875" style="117" customWidth="1"/>
    <col min="17" max="17" width="11.109375" style="117" customWidth="1"/>
    <col min="18" max="19" width="12.109375" style="117" customWidth="1"/>
    <col min="20" max="20" width="9.109375" style="117"/>
    <col min="21" max="21" width="11.88671875" style="117" customWidth="1"/>
    <col min="22" max="22" width="14.44140625" style="117" customWidth="1"/>
    <col min="23" max="23" width="12" style="117" customWidth="1"/>
    <col min="24" max="24" width="11.88671875" style="117" customWidth="1"/>
    <col min="25" max="25" width="13.88671875" style="117" customWidth="1"/>
    <col min="26" max="16384" width="9.109375" style="117"/>
  </cols>
  <sheetData>
    <row r="1" spans="1:31" ht="27.75" customHeight="1">
      <c r="A1" s="15512" t="s">
        <v>676</v>
      </c>
      <c r="B1" s="15512"/>
      <c r="C1" s="15512"/>
      <c r="D1" s="15512"/>
      <c r="E1" s="15512"/>
      <c r="F1" s="15512"/>
      <c r="G1" s="15512"/>
      <c r="H1" s="15512"/>
      <c r="I1" s="15512"/>
      <c r="J1" s="15512"/>
      <c r="K1" s="15512"/>
      <c r="L1" s="15512"/>
      <c r="M1" s="15513" t="s">
        <v>9</v>
      </c>
      <c r="N1" s="15513"/>
      <c r="O1" s="116"/>
      <c r="P1" s="116"/>
      <c r="Q1" s="116"/>
      <c r="R1" s="116"/>
      <c r="S1" s="116"/>
      <c r="T1" s="116"/>
      <c r="U1" s="116"/>
      <c r="V1" s="116"/>
      <c r="W1" s="116"/>
      <c r="X1" s="116"/>
      <c r="Y1" s="116"/>
    </row>
    <row r="2" spans="1:31" ht="9.75" customHeight="1">
      <c r="A2" s="116"/>
      <c r="B2" s="116"/>
      <c r="C2" s="116"/>
      <c r="D2" s="116"/>
      <c r="E2" s="116"/>
      <c r="F2" s="116"/>
      <c r="G2" s="116"/>
      <c r="H2" s="116"/>
      <c r="I2" s="116"/>
      <c r="J2" s="116"/>
      <c r="K2" s="116"/>
      <c r="L2" s="116"/>
      <c r="M2" s="116"/>
      <c r="N2" s="116"/>
      <c r="O2" s="116"/>
      <c r="P2" s="116"/>
      <c r="Q2" s="116"/>
      <c r="R2" s="116"/>
      <c r="S2" s="116"/>
      <c r="T2" s="116"/>
      <c r="U2" s="116"/>
      <c r="V2" s="116"/>
      <c r="W2" s="116"/>
      <c r="X2" s="116"/>
      <c r="Y2" s="116"/>
    </row>
    <row r="3" spans="1:31" s="189" customFormat="1" ht="16.2" thickBot="1">
      <c r="A3" s="187" t="s">
        <v>216</v>
      </c>
      <c r="B3" s="187" t="s">
        <v>530</v>
      </c>
      <c r="C3" s="187" t="s">
        <v>531</v>
      </c>
      <c r="D3" s="187" t="s">
        <v>532</v>
      </c>
      <c r="E3" s="187" t="s">
        <v>533</v>
      </c>
      <c r="F3" s="187" t="s">
        <v>534</v>
      </c>
      <c r="G3" s="187" t="s">
        <v>535</v>
      </c>
      <c r="H3" s="187" t="s">
        <v>536</v>
      </c>
      <c r="I3" s="187" t="s">
        <v>537</v>
      </c>
      <c r="J3" s="187" t="s">
        <v>538</v>
      </c>
      <c r="K3" s="187" t="s">
        <v>539</v>
      </c>
      <c r="L3" s="187" t="s">
        <v>540</v>
      </c>
      <c r="M3" s="187" t="s">
        <v>677</v>
      </c>
      <c r="N3" s="187" t="s">
        <v>542</v>
      </c>
      <c r="O3" s="187" t="s">
        <v>543</v>
      </c>
      <c r="P3" s="187" t="s">
        <v>544</v>
      </c>
      <c r="Q3" s="187" t="s">
        <v>545</v>
      </c>
      <c r="R3" s="187" t="s">
        <v>546</v>
      </c>
      <c r="S3" s="187" t="s">
        <v>547</v>
      </c>
      <c r="T3" s="187"/>
      <c r="U3" s="187" t="s">
        <v>548</v>
      </c>
      <c r="V3" s="187" t="s">
        <v>549</v>
      </c>
      <c r="W3" s="187" t="s">
        <v>550</v>
      </c>
      <c r="X3" s="187" t="s">
        <v>551</v>
      </c>
      <c r="Y3" s="187" t="s">
        <v>552</v>
      </c>
      <c r="Z3" s="188"/>
      <c r="AA3" s="188"/>
      <c r="AB3" s="188"/>
      <c r="AC3" s="188"/>
      <c r="AD3" s="188"/>
      <c r="AE3" s="188"/>
    </row>
    <row r="4" spans="1:31" s="189" customFormat="1" ht="16.8" thickTop="1" thickBot="1">
      <c r="A4" s="190" t="s">
        <v>9</v>
      </c>
      <c r="B4" s="191" t="s">
        <v>553</v>
      </c>
      <c r="C4" s="191" t="s">
        <v>553</v>
      </c>
      <c r="D4" s="191" t="s">
        <v>554</v>
      </c>
      <c r="E4" s="191" t="s">
        <v>555</v>
      </c>
      <c r="F4" s="191" t="s">
        <v>553</v>
      </c>
      <c r="G4" s="191" t="s">
        <v>556</v>
      </c>
      <c r="H4" s="191" t="s">
        <v>557</v>
      </c>
      <c r="I4" s="191"/>
      <c r="J4" s="191" t="s">
        <v>558</v>
      </c>
      <c r="K4" s="191" t="s">
        <v>554</v>
      </c>
      <c r="L4" s="191" t="s">
        <v>553</v>
      </c>
      <c r="M4" s="191" t="s">
        <v>553</v>
      </c>
      <c r="N4" s="191" t="s">
        <v>559</v>
      </c>
      <c r="O4" s="191" t="s">
        <v>560</v>
      </c>
      <c r="P4" s="191" t="s">
        <v>553</v>
      </c>
      <c r="Q4" s="191" t="s">
        <v>561</v>
      </c>
      <c r="R4" s="191" t="s">
        <v>562</v>
      </c>
      <c r="S4" s="191" t="s">
        <v>553</v>
      </c>
      <c r="T4" s="191"/>
      <c r="U4" s="191" t="s">
        <v>563</v>
      </c>
      <c r="V4" s="191" t="s">
        <v>564</v>
      </c>
      <c r="W4" s="191" t="s">
        <v>565</v>
      </c>
      <c r="X4" s="191" t="s">
        <v>566</v>
      </c>
      <c r="Y4" s="191" t="s">
        <v>567</v>
      </c>
      <c r="Z4" s="188"/>
      <c r="AA4" s="188"/>
      <c r="AB4" s="188"/>
      <c r="AC4" s="188"/>
      <c r="AD4" s="188"/>
      <c r="AE4" s="188"/>
    </row>
    <row r="5" spans="1:31">
      <c r="A5" s="121"/>
      <c r="B5" s="122"/>
      <c r="C5" s="122"/>
      <c r="D5" s="122"/>
      <c r="E5" s="122"/>
      <c r="F5" s="122"/>
      <c r="G5" s="122"/>
      <c r="H5" s="122"/>
      <c r="I5" s="122"/>
      <c r="J5" s="122"/>
      <c r="K5" s="122"/>
      <c r="L5" s="122"/>
      <c r="M5" s="122"/>
      <c r="N5" s="122"/>
      <c r="O5" s="122"/>
      <c r="P5" s="122"/>
      <c r="Q5" s="122"/>
      <c r="R5" s="122"/>
      <c r="S5" s="122"/>
      <c r="T5" s="122"/>
      <c r="U5" s="122"/>
      <c r="V5" s="122"/>
      <c r="W5" s="122"/>
      <c r="X5" s="122"/>
      <c r="Y5" s="122"/>
      <c r="Z5" s="162"/>
      <c r="AA5" s="162"/>
      <c r="AB5" s="162"/>
      <c r="AC5" s="162"/>
      <c r="AD5" s="162"/>
      <c r="AE5" s="162"/>
    </row>
    <row r="6" spans="1:31">
      <c r="A6" s="123" t="s">
        <v>568</v>
      </c>
      <c r="B6" s="124">
        <v>462754</v>
      </c>
      <c r="C6" s="124">
        <v>97000</v>
      </c>
      <c r="D6" s="124">
        <v>1476093.49</v>
      </c>
      <c r="E6" s="125"/>
      <c r="F6" s="124"/>
      <c r="G6" s="124"/>
      <c r="H6" s="124">
        <v>1588900</v>
      </c>
      <c r="I6" s="124"/>
      <c r="J6" s="124"/>
      <c r="K6" s="124"/>
      <c r="L6" s="126">
        <v>131613.57</v>
      </c>
      <c r="M6" s="124">
        <v>1234632.82</v>
      </c>
      <c r="N6" s="124">
        <v>18055</v>
      </c>
      <c r="O6" s="126">
        <f>214414.46+190545.4+8683.01</f>
        <v>413642.87</v>
      </c>
      <c r="P6" s="124">
        <v>144300</v>
      </c>
      <c r="Q6" s="124"/>
      <c r="R6" s="125">
        <v>0</v>
      </c>
      <c r="S6" s="126">
        <v>1346551</v>
      </c>
      <c r="T6" s="126"/>
      <c r="U6" s="124">
        <v>1119050</v>
      </c>
      <c r="V6" s="126">
        <f>7320139.27+1934603.54</f>
        <v>9254742.8099999987</v>
      </c>
      <c r="W6" s="126">
        <v>0</v>
      </c>
      <c r="X6" s="126">
        <v>132669</v>
      </c>
      <c r="Y6" s="124">
        <v>1017803.75</v>
      </c>
      <c r="Z6" s="162"/>
      <c r="AA6" s="162"/>
      <c r="AB6" s="162"/>
      <c r="AC6" s="162"/>
      <c r="AD6" s="162"/>
      <c r="AE6" s="162"/>
    </row>
    <row r="7" spans="1:31">
      <c r="A7" s="123" t="s">
        <v>678</v>
      </c>
      <c r="B7" s="124">
        <v>2800</v>
      </c>
      <c r="C7" s="124">
        <v>0</v>
      </c>
      <c r="D7" s="124">
        <v>4350</v>
      </c>
      <c r="E7" s="125"/>
      <c r="F7" s="124"/>
      <c r="G7" s="124"/>
      <c r="H7" s="124">
        <v>0</v>
      </c>
      <c r="I7" s="124"/>
      <c r="J7" s="124"/>
      <c r="K7" s="124"/>
      <c r="L7" s="126"/>
      <c r="M7" s="124"/>
      <c r="N7" s="124"/>
      <c r="O7" s="126">
        <f>7173.63+3000</f>
        <v>10173.630000000001</v>
      </c>
      <c r="P7" s="124"/>
      <c r="Q7" s="124"/>
      <c r="R7" s="125"/>
      <c r="S7" s="126"/>
      <c r="T7" s="126"/>
      <c r="U7" s="124"/>
      <c r="V7" s="126"/>
      <c r="W7" s="126"/>
      <c r="X7" s="126"/>
      <c r="Y7" s="124">
        <v>2650</v>
      </c>
      <c r="Z7" s="162"/>
      <c r="AA7" s="162"/>
      <c r="AB7" s="162"/>
      <c r="AC7" s="162"/>
      <c r="AD7" s="162"/>
      <c r="AE7" s="162"/>
    </row>
    <row r="8" spans="1:31">
      <c r="A8" s="123" t="s">
        <v>569</v>
      </c>
      <c r="B8" s="124">
        <v>243981.28</v>
      </c>
      <c r="C8" s="124">
        <v>8991.2999999999993</v>
      </c>
      <c r="D8" s="124">
        <v>595322.97</v>
      </c>
      <c r="E8" s="124"/>
      <c r="F8" s="124"/>
      <c r="G8" s="124"/>
      <c r="H8" s="124">
        <v>1653561.72</v>
      </c>
      <c r="I8" s="124"/>
      <c r="J8" s="124"/>
      <c r="K8" s="124"/>
      <c r="L8" s="125"/>
      <c r="M8" s="124">
        <v>239923.3</v>
      </c>
      <c r="N8" s="124">
        <v>3735</v>
      </c>
      <c r="O8" s="126">
        <v>487291.94</v>
      </c>
      <c r="P8" s="124"/>
      <c r="Q8" s="124"/>
      <c r="R8" s="125"/>
      <c r="S8" s="125">
        <v>241156.4</v>
      </c>
      <c r="T8" s="125"/>
      <c r="U8" s="125"/>
      <c r="V8" s="125">
        <v>6797886.3399999999</v>
      </c>
      <c r="W8" s="125">
        <v>3500</v>
      </c>
      <c r="X8" s="125">
        <v>9535</v>
      </c>
      <c r="Y8" s="124">
        <v>16468</v>
      </c>
      <c r="Z8" s="162"/>
      <c r="AA8" s="162"/>
      <c r="AB8" s="162"/>
      <c r="AC8" s="162"/>
      <c r="AD8" s="162"/>
      <c r="AE8" s="162"/>
    </row>
    <row r="9" spans="1:31">
      <c r="A9" s="123" t="s">
        <v>570</v>
      </c>
      <c r="B9" s="124">
        <v>46655.45</v>
      </c>
      <c r="C9" s="124">
        <v>139686.5</v>
      </c>
      <c r="D9" s="124">
        <v>132428.1</v>
      </c>
      <c r="E9" s="124"/>
      <c r="F9" s="124"/>
      <c r="G9" s="124"/>
      <c r="H9" s="124">
        <v>50000</v>
      </c>
      <c r="I9" s="124"/>
      <c r="J9" s="124"/>
      <c r="K9" s="124"/>
      <c r="L9" s="125"/>
      <c r="M9" s="124">
        <v>70884.61</v>
      </c>
      <c r="N9" s="124">
        <v>2735</v>
      </c>
      <c r="O9" s="126">
        <f>21921.08+12000+18540.41</f>
        <v>52461.490000000005</v>
      </c>
      <c r="P9" s="124">
        <v>4500</v>
      </c>
      <c r="Q9" s="124">
        <v>119380</v>
      </c>
      <c r="R9" s="125"/>
      <c r="S9" s="125"/>
      <c r="T9" s="125"/>
      <c r="U9" s="125"/>
      <c r="V9" s="125">
        <v>161414.66</v>
      </c>
      <c r="W9" s="125">
        <v>309.5</v>
      </c>
      <c r="X9" s="125">
        <v>3000</v>
      </c>
      <c r="Y9" s="124">
        <v>35143</v>
      </c>
      <c r="Z9" s="162"/>
      <c r="AA9" s="162"/>
      <c r="AB9" s="162"/>
      <c r="AC9" s="162"/>
      <c r="AD9" s="162"/>
      <c r="AE9" s="162"/>
    </row>
    <row r="10" spans="1:31">
      <c r="A10" s="123" t="s">
        <v>571</v>
      </c>
      <c r="B10" s="124">
        <v>83796.649999999994</v>
      </c>
      <c r="C10" s="124">
        <v>24000</v>
      </c>
      <c r="D10" s="124">
        <v>149442</v>
      </c>
      <c r="E10" s="124"/>
      <c r="F10" s="124"/>
      <c r="G10" s="124"/>
      <c r="H10" s="124">
        <v>179831.51</v>
      </c>
      <c r="I10" s="124"/>
      <c r="J10" s="124"/>
      <c r="K10" s="124"/>
      <c r="L10" s="125"/>
      <c r="M10" s="124">
        <v>144140.31</v>
      </c>
      <c r="N10" s="124">
        <v>805</v>
      </c>
      <c r="O10" s="126">
        <f>34732.52+12093.03+44632.95</f>
        <v>91458.5</v>
      </c>
      <c r="P10" s="124"/>
      <c r="Q10" s="124"/>
      <c r="R10" s="125"/>
      <c r="S10" s="125">
        <v>35250</v>
      </c>
      <c r="T10" s="125"/>
      <c r="U10" s="125"/>
      <c r="V10" s="125">
        <v>199401.18</v>
      </c>
      <c r="W10" s="125">
        <v>15780</v>
      </c>
      <c r="X10" s="125">
        <v>10780</v>
      </c>
      <c r="Y10" s="125">
        <v>29556.5</v>
      </c>
      <c r="Z10" s="162"/>
      <c r="AA10" s="162"/>
      <c r="AB10" s="162"/>
      <c r="AC10" s="162"/>
      <c r="AD10" s="162"/>
      <c r="AE10" s="162"/>
    </row>
    <row r="11" spans="1:31">
      <c r="A11" s="123" t="s">
        <v>572</v>
      </c>
      <c r="B11" s="124">
        <v>21055.1</v>
      </c>
      <c r="C11" s="124">
        <v>19173.75</v>
      </c>
      <c r="D11" s="124">
        <v>325176.15000000002</v>
      </c>
      <c r="E11" s="124">
        <v>237812.67</v>
      </c>
      <c r="F11" s="124"/>
      <c r="G11" s="124"/>
      <c r="H11" s="124"/>
      <c r="I11" s="124"/>
      <c r="J11" s="124"/>
      <c r="K11" s="124"/>
      <c r="L11" s="125">
        <v>18390.48</v>
      </c>
      <c r="M11" s="124">
        <f>190612.03+36154.67</f>
        <v>226766.7</v>
      </c>
      <c r="N11" s="124">
        <v>1540</v>
      </c>
      <c r="O11" s="126">
        <f>69224.75+14084.67</f>
        <v>83309.42</v>
      </c>
      <c r="P11" s="124"/>
      <c r="Q11" s="124"/>
      <c r="R11" s="125"/>
      <c r="S11" s="125"/>
      <c r="T11" s="125"/>
      <c r="U11" s="125"/>
      <c r="V11" s="125">
        <f>701450.94+77448.48</f>
        <v>778899.41999999993</v>
      </c>
      <c r="W11" s="125">
        <v>39200</v>
      </c>
      <c r="X11" s="125">
        <v>81139.399999999994</v>
      </c>
      <c r="Y11" s="125">
        <v>210176</v>
      </c>
      <c r="Z11" s="162"/>
      <c r="AA11" s="162"/>
      <c r="AB11" s="162"/>
      <c r="AC11" s="162"/>
      <c r="AD11" s="162"/>
      <c r="AE11" s="162"/>
    </row>
    <row r="12" spans="1:31">
      <c r="A12" s="123" t="s">
        <v>573</v>
      </c>
      <c r="B12" s="124">
        <v>45580.67</v>
      </c>
      <c r="C12" s="124">
        <v>50075</v>
      </c>
      <c r="D12" s="124">
        <v>26375.9</v>
      </c>
      <c r="E12" s="124"/>
      <c r="F12" s="124"/>
      <c r="G12" s="124"/>
      <c r="H12" s="124"/>
      <c r="I12" s="124"/>
      <c r="J12" s="124"/>
      <c r="K12" s="124"/>
      <c r="L12" s="125"/>
      <c r="M12" s="124">
        <v>77399.070000000007</v>
      </c>
      <c r="N12" s="124">
        <v>722.1</v>
      </c>
      <c r="O12" s="126">
        <f>18004.06+9313.94</f>
        <v>27318</v>
      </c>
      <c r="P12" s="124"/>
      <c r="Q12" s="124"/>
      <c r="R12" s="125"/>
      <c r="S12" s="125"/>
      <c r="T12" s="125"/>
      <c r="U12" s="125"/>
      <c r="V12" s="125">
        <v>27718</v>
      </c>
      <c r="W12" s="125"/>
      <c r="X12" s="125">
        <v>2000</v>
      </c>
      <c r="Y12" s="125"/>
      <c r="Z12" s="162"/>
      <c r="AA12" s="162"/>
      <c r="AB12" s="162"/>
      <c r="AC12" s="162"/>
      <c r="AD12" s="162"/>
      <c r="AE12" s="162"/>
    </row>
    <row r="13" spans="1:31">
      <c r="A13" s="123" t="s">
        <v>574</v>
      </c>
      <c r="B13" s="124">
        <v>60000</v>
      </c>
      <c r="C13" s="124">
        <v>21501.25</v>
      </c>
      <c r="D13" s="124">
        <v>114260.3</v>
      </c>
      <c r="E13" s="124"/>
      <c r="F13" s="124"/>
      <c r="G13" s="124"/>
      <c r="H13" s="124"/>
      <c r="I13" s="124"/>
      <c r="J13" s="124"/>
      <c r="K13" s="124"/>
      <c r="L13" s="125"/>
      <c r="M13" s="124">
        <v>147197.81</v>
      </c>
      <c r="N13" s="124">
        <v>560</v>
      </c>
      <c r="O13" s="126">
        <f>17875.39+12185.86</f>
        <v>30061.25</v>
      </c>
      <c r="P13" s="124"/>
      <c r="Q13" s="124"/>
      <c r="R13" s="125"/>
      <c r="S13" s="125"/>
      <c r="T13" s="125"/>
      <c r="U13" s="125"/>
      <c r="V13" s="125">
        <f>127470.3+136293.16</f>
        <v>263763.46000000002</v>
      </c>
      <c r="W13" s="125">
        <v>27755.05</v>
      </c>
      <c r="X13" s="125"/>
      <c r="Y13" s="125"/>
      <c r="Z13" s="162"/>
      <c r="AA13" s="162"/>
      <c r="AB13" s="162"/>
      <c r="AC13" s="162"/>
      <c r="AD13" s="162"/>
      <c r="AE13" s="162"/>
    </row>
    <row r="14" spans="1:31">
      <c r="A14" s="123" t="s">
        <v>575</v>
      </c>
      <c r="B14" s="125">
        <v>85061.9</v>
      </c>
      <c r="C14" s="125"/>
      <c r="D14" s="125">
        <v>147439.59</v>
      </c>
      <c r="E14" s="125">
        <v>72600</v>
      </c>
      <c r="F14" s="125"/>
      <c r="G14" s="125"/>
      <c r="H14" s="125">
        <v>117708.36</v>
      </c>
      <c r="I14" s="125"/>
      <c r="J14" s="125"/>
      <c r="K14" s="125"/>
      <c r="L14" s="125"/>
      <c r="M14" s="125">
        <v>111018.14</v>
      </c>
      <c r="N14" s="125">
        <v>8500</v>
      </c>
      <c r="O14" s="125">
        <f>31851.04+17800+816</f>
        <v>50467.040000000001</v>
      </c>
      <c r="P14" s="125">
        <v>10000</v>
      </c>
      <c r="Q14" s="125"/>
      <c r="R14" s="125"/>
      <c r="S14" s="125">
        <v>2986</v>
      </c>
      <c r="T14" s="125"/>
      <c r="U14" s="125"/>
      <c r="V14" s="125">
        <v>132527.45000000001</v>
      </c>
      <c r="W14" s="125">
        <v>8000</v>
      </c>
      <c r="X14" s="125">
        <v>2420</v>
      </c>
      <c r="Y14" s="125">
        <v>17767</v>
      </c>
      <c r="Z14" s="162"/>
      <c r="AA14" s="162"/>
      <c r="AB14" s="162"/>
      <c r="AC14" s="162"/>
      <c r="AD14" s="162"/>
      <c r="AE14" s="162"/>
    </row>
    <row r="15" spans="1:31">
      <c r="A15" s="123" t="s">
        <v>576</v>
      </c>
      <c r="B15" s="125">
        <v>89557.2</v>
      </c>
      <c r="C15" s="125">
        <v>73302.5</v>
      </c>
      <c r="D15" s="125">
        <v>25264.05</v>
      </c>
      <c r="E15" s="125"/>
      <c r="F15" s="125"/>
      <c r="G15" s="125"/>
      <c r="H15" s="125">
        <v>22210</v>
      </c>
      <c r="I15" s="125"/>
      <c r="J15" s="125"/>
      <c r="K15" s="125"/>
      <c r="L15" s="125"/>
      <c r="M15" s="125">
        <v>114720.78</v>
      </c>
      <c r="N15" s="125">
        <v>1073</v>
      </c>
      <c r="O15" s="125">
        <f>28469.46+3400</f>
        <v>31869.46</v>
      </c>
      <c r="P15" s="125"/>
      <c r="Q15" s="125"/>
      <c r="R15" s="125"/>
      <c r="S15" s="125"/>
      <c r="T15" s="125"/>
      <c r="U15" s="125"/>
      <c r="V15" s="125">
        <v>168326</v>
      </c>
      <c r="W15" s="125">
        <v>238</v>
      </c>
      <c r="X15" s="125"/>
      <c r="Y15" s="125">
        <v>10000</v>
      </c>
      <c r="Z15" s="162"/>
      <c r="AA15" s="162"/>
      <c r="AB15" s="162"/>
      <c r="AC15" s="162"/>
      <c r="AD15" s="162"/>
      <c r="AE15" s="162"/>
    </row>
    <row r="16" spans="1:31">
      <c r="A16" s="123" t="s">
        <v>577</v>
      </c>
      <c r="B16" s="125">
        <v>11084.4</v>
      </c>
      <c r="C16" s="125"/>
      <c r="D16" s="125">
        <v>45919.8</v>
      </c>
      <c r="E16" s="125"/>
      <c r="F16" s="125"/>
      <c r="G16" s="125"/>
      <c r="H16" s="125">
        <v>26991.64</v>
      </c>
      <c r="I16" s="125">
        <v>30000</v>
      </c>
      <c r="J16" s="125"/>
      <c r="K16" s="125"/>
      <c r="L16" s="125"/>
      <c r="M16" s="125"/>
      <c r="N16" s="125"/>
      <c r="O16" s="125">
        <f>10740.86+12055.16+13583.53</f>
        <v>36379.550000000003</v>
      </c>
      <c r="P16" s="125"/>
      <c r="Q16" s="125"/>
      <c r="R16" s="125"/>
      <c r="S16" s="125"/>
      <c r="T16" s="125"/>
      <c r="U16" s="125"/>
      <c r="V16" s="125">
        <f>141708.5+1168042.84</f>
        <v>1309751.3400000001</v>
      </c>
      <c r="W16" s="125">
        <v>23408</v>
      </c>
      <c r="X16" s="125">
        <v>25000</v>
      </c>
      <c r="Y16" s="125">
        <v>9937</v>
      </c>
      <c r="Z16" s="162"/>
      <c r="AA16" s="162"/>
      <c r="AB16" s="162"/>
      <c r="AC16" s="162"/>
      <c r="AD16" s="162"/>
      <c r="AE16" s="162"/>
    </row>
    <row r="17" spans="1:31">
      <c r="A17" s="123"/>
      <c r="B17" s="127"/>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62"/>
      <c r="AA17" s="162"/>
      <c r="AB17" s="162"/>
      <c r="AC17" s="162"/>
      <c r="AD17" s="162"/>
      <c r="AE17" s="162"/>
    </row>
    <row r="18" spans="1:31" ht="16.2" thickBot="1">
      <c r="A18" s="128" t="s">
        <v>485</v>
      </c>
      <c r="B18" s="129">
        <f t="shared" ref="B18:I18" si="0">SUM(B6:B16)</f>
        <v>1152326.6499999999</v>
      </c>
      <c r="C18" s="129">
        <f t="shared" si="0"/>
        <v>433730.3</v>
      </c>
      <c r="D18" s="129">
        <f t="shared" si="0"/>
        <v>3042072.3499999992</v>
      </c>
      <c r="E18" s="129">
        <f t="shared" si="0"/>
        <v>310412.67000000004</v>
      </c>
      <c r="F18" s="129">
        <f t="shared" si="0"/>
        <v>0</v>
      </c>
      <c r="G18" s="129">
        <f t="shared" si="0"/>
        <v>0</v>
      </c>
      <c r="H18" s="129">
        <f t="shared" si="0"/>
        <v>3639203.2299999995</v>
      </c>
      <c r="I18" s="129">
        <f t="shared" si="0"/>
        <v>30000</v>
      </c>
      <c r="J18" s="129"/>
      <c r="K18" s="129"/>
      <c r="L18" s="129">
        <f t="shared" ref="L18:Y18" si="1">SUM(L6:L16)</f>
        <v>150004.05000000002</v>
      </c>
      <c r="M18" s="129">
        <f t="shared" si="1"/>
        <v>2366683.54</v>
      </c>
      <c r="N18" s="129">
        <f t="shared" si="1"/>
        <v>37725.1</v>
      </c>
      <c r="O18" s="129">
        <f t="shared" si="1"/>
        <v>1314433.1499999999</v>
      </c>
      <c r="P18" s="129">
        <f t="shared" si="1"/>
        <v>158800</v>
      </c>
      <c r="Q18" s="129">
        <f t="shared" si="1"/>
        <v>119380</v>
      </c>
      <c r="R18" s="129">
        <f t="shared" si="1"/>
        <v>0</v>
      </c>
      <c r="S18" s="129">
        <f t="shared" si="1"/>
        <v>1625943.4</v>
      </c>
      <c r="T18" s="129"/>
      <c r="U18" s="129">
        <f t="shared" si="1"/>
        <v>1119050</v>
      </c>
      <c r="V18" s="129">
        <f t="shared" si="1"/>
        <v>19094430.659999996</v>
      </c>
      <c r="W18" s="129">
        <f t="shared" si="1"/>
        <v>118190.55</v>
      </c>
      <c r="X18" s="129">
        <f t="shared" si="1"/>
        <v>266543.40000000002</v>
      </c>
      <c r="Y18" s="129">
        <f t="shared" si="1"/>
        <v>1349501.25</v>
      </c>
      <c r="Z18" s="162"/>
      <c r="AA18" s="162"/>
      <c r="AB18" s="162"/>
      <c r="AC18" s="162"/>
      <c r="AD18" s="162"/>
      <c r="AE18" s="162"/>
    </row>
    <row r="19" spans="1:31" ht="16.2" thickTop="1">
      <c r="A19" s="130"/>
      <c r="B19" s="131"/>
      <c r="C19" s="131"/>
      <c r="D19" s="131"/>
      <c r="E19" s="131"/>
      <c r="F19" s="131"/>
      <c r="G19" s="131"/>
      <c r="H19" s="131"/>
      <c r="I19" s="131"/>
      <c r="J19" s="131"/>
      <c r="K19" s="131"/>
      <c r="L19" s="131"/>
      <c r="M19" s="131"/>
      <c r="N19" s="131"/>
      <c r="O19" s="131"/>
      <c r="P19" s="131"/>
      <c r="Q19" s="131"/>
      <c r="R19" s="131"/>
      <c r="S19" s="131"/>
      <c r="T19" s="131"/>
      <c r="U19" s="131"/>
      <c r="V19" s="131"/>
      <c r="W19" s="131"/>
      <c r="X19" s="131"/>
      <c r="Y19" s="131"/>
      <c r="Z19" s="162"/>
      <c r="AA19" s="162"/>
      <c r="AB19" s="162"/>
      <c r="AC19" s="162"/>
      <c r="AD19" s="162"/>
      <c r="AE19" s="162"/>
    </row>
    <row r="20" spans="1:31">
      <c r="A20" s="123" t="s">
        <v>578</v>
      </c>
      <c r="B20" s="132">
        <v>63874.15</v>
      </c>
      <c r="C20" s="132">
        <v>12945.2</v>
      </c>
      <c r="D20" s="132">
        <v>18696.099999999999</v>
      </c>
      <c r="E20" s="132"/>
      <c r="F20" s="132"/>
      <c r="G20" s="132"/>
      <c r="H20" s="132">
        <v>129999.7</v>
      </c>
      <c r="I20" s="132"/>
      <c r="J20" s="132"/>
      <c r="K20" s="132"/>
      <c r="L20" s="132">
        <v>469.32</v>
      </c>
      <c r="M20" s="132">
        <v>44917.97</v>
      </c>
      <c r="N20" s="132">
        <v>612</v>
      </c>
      <c r="O20" s="132">
        <f>15776.86+5552.41+9906.08</f>
        <v>31235.35</v>
      </c>
      <c r="P20" s="133"/>
      <c r="Q20" s="133"/>
      <c r="R20" s="133"/>
      <c r="S20" s="133"/>
      <c r="T20" s="133"/>
      <c r="U20" s="133"/>
      <c r="V20" s="132">
        <f>257935.98+150679.19+162310.16</f>
        <v>570925.33000000007</v>
      </c>
      <c r="W20" s="132">
        <v>6739.75</v>
      </c>
      <c r="X20" s="133">
        <v>0</v>
      </c>
      <c r="Y20" s="132">
        <v>93107</v>
      </c>
      <c r="Z20" s="162"/>
      <c r="AA20" s="162"/>
      <c r="AB20" s="162"/>
      <c r="AC20" s="162"/>
      <c r="AD20" s="162"/>
      <c r="AE20" s="162"/>
    </row>
    <row r="21" spans="1:31">
      <c r="A21" s="123" t="s">
        <v>579</v>
      </c>
      <c r="B21" s="132">
        <f>124632+131345</f>
        <v>255977</v>
      </c>
      <c r="C21" s="132">
        <v>0</v>
      </c>
      <c r="D21" s="132">
        <v>117761.96</v>
      </c>
      <c r="E21" s="133"/>
      <c r="F21" s="132">
        <v>3582562.49</v>
      </c>
      <c r="G21" s="132"/>
      <c r="H21" s="132">
        <v>179375</v>
      </c>
      <c r="I21" s="132"/>
      <c r="J21" s="133"/>
      <c r="K21" s="133"/>
      <c r="L21" s="132">
        <v>185355</v>
      </c>
      <c r="M21" s="132">
        <v>147604.26</v>
      </c>
      <c r="N21" s="132"/>
      <c r="O21" s="132">
        <f>8403.93</f>
        <v>8403.93</v>
      </c>
      <c r="P21" s="133"/>
      <c r="Q21" s="133"/>
      <c r="R21" s="133"/>
      <c r="S21" s="133"/>
      <c r="T21" s="133"/>
      <c r="U21" s="133"/>
      <c r="V21" s="133"/>
      <c r="W21" s="132"/>
      <c r="X21" s="133"/>
      <c r="Y21" s="132">
        <v>39476.75</v>
      </c>
      <c r="Z21" s="162"/>
      <c r="AA21" s="162"/>
      <c r="AB21" s="162"/>
      <c r="AC21" s="162"/>
      <c r="AD21" s="162"/>
      <c r="AE21" s="162"/>
    </row>
    <row r="22" spans="1:31">
      <c r="A22" s="123" t="s">
        <v>580</v>
      </c>
      <c r="B22" s="125">
        <v>6866.4</v>
      </c>
      <c r="C22" s="125">
        <v>5000</v>
      </c>
      <c r="D22" s="125">
        <v>25417.8</v>
      </c>
      <c r="E22" s="125"/>
      <c r="F22" s="125"/>
      <c r="G22" s="125"/>
      <c r="H22" s="125"/>
      <c r="I22" s="125"/>
      <c r="J22" s="125"/>
      <c r="K22" s="125"/>
      <c r="L22" s="125"/>
      <c r="M22" s="125">
        <v>107523.58</v>
      </c>
      <c r="N22" s="125">
        <v>178.58</v>
      </c>
      <c r="O22" s="125">
        <f>15689.66+3000</f>
        <v>18689.66</v>
      </c>
      <c r="P22" s="125"/>
      <c r="Q22" s="125"/>
      <c r="R22" s="125"/>
      <c r="S22" s="125">
        <v>12793.05</v>
      </c>
      <c r="T22" s="125"/>
      <c r="U22" s="125"/>
      <c r="V22" s="125">
        <v>122435</v>
      </c>
      <c r="W22" s="125"/>
      <c r="X22" s="125"/>
      <c r="Y22" s="125"/>
      <c r="Z22" s="162"/>
      <c r="AA22" s="162"/>
      <c r="AB22" s="162"/>
      <c r="AC22" s="162"/>
      <c r="AD22" s="162"/>
      <c r="AE22" s="162"/>
    </row>
    <row r="23" spans="1:31">
      <c r="A23" s="123" t="s">
        <v>581</v>
      </c>
      <c r="B23" s="125">
        <f>305827.26+2400</f>
        <v>308227.26</v>
      </c>
      <c r="C23" s="125">
        <v>9400</v>
      </c>
      <c r="D23" s="125">
        <v>140672.29999999999</v>
      </c>
      <c r="E23" s="125"/>
      <c r="F23" s="125"/>
      <c r="G23" s="125">
        <v>12727.7</v>
      </c>
      <c r="H23" s="125">
        <v>164268.23000000001</v>
      </c>
      <c r="I23" s="125"/>
      <c r="J23" s="125"/>
      <c r="K23" s="125"/>
      <c r="L23" s="125">
        <v>58836.33</v>
      </c>
      <c r="M23" s="125">
        <v>234605.75</v>
      </c>
      <c r="N23" s="125">
        <v>100</v>
      </c>
      <c r="O23" s="125">
        <f>16139.16+11990+30000+1760</f>
        <v>59889.16</v>
      </c>
      <c r="P23" s="125"/>
      <c r="Q23" s="125"/>
      <c r="R23" s="125"/>
      <c r="S23" s="125"/>
      <c r="T23" s="125"/>
      <c r="U23" s="125"/>
      <c r="V23" s="125">
        <v>179736.29</v>
      </c>
      <c r="W23" s="125">
        <v>39700</v>
      </c>
      <c r="X23" s="125"/>
      <c r="Y23" s="125">
        <v>11023</v>
      </c>
      <c r="Z23" s="162"/>
      <c r="AA23" s="162"/>
      <c r="AB23" s="162"/>
      <c r="AC23" s="162"/>
      <c r="AD23" s="162"/>
      <c r="AE23" s="162"/>
    </row>
    <row r="24" spans="1:31" s="195" customFormat="1">
      <c r="A24" s="192" t="s">
        <v>582</v>
      </c>
      <c r="B24" s="193">
        <v>47987</v>
      </c>
      <c r="C24" s="193">
        <v>0</v>
      </c>
      <c r="D24" s="193">
        <v>35505.4</v>
      </c>
      <c r="E24" s="193">
        <v>24300</v>
      </c>
      <c r="F24" s="193">
        <v>431221.42</v>
      </c>
      <c r="G24" s="193">
        <v>324430.8</v>
      </c>
      <c r="H24" s="193">
        <v>181817.64</v>
      </c>
      <c r="I24" s="193"/>
      <c r="J24" s="193"/>
      <c r="K24" s="193"/>
      <c r="L24" s="193">
        <v>514685.4</v>
      </c>
      <c r="M24" s="193">
        <v>783281.02</v>
      </c>
      <c r="N24" s="193">
        <v>340</v>
      </c>
      <c r="O24" s="193">
        <f>17410.13+9135.44</f>
        <v>26545.57</v>
      </c>
      <c r="P24" s="193"/>
      <c r="Q24" s="193"/>
      <c r="R24" s="193"/>
      <c r="S24" s="193"/>
      <c r="T24" s="193"/>
      <c r="U24" s="193"/>
      <c r="V24" s="193">
        <f>756918.12+672900</f>
        <v>1429818.12</v>
      </c>
      <c r="W24" s="193">
        <v>3750</v>
      </c>
      <c r="X24" s="193">
        <v>9241</v>
      </c>
      <c r="Y24" s="193">
        <v>6398</v>
      </c>
      <c r="Z24" s="194"/>
      <c r="AA24" s="194"/>
      <c r="AB24" s="194"/>
      <c r="AC24" s="194"/>
      <c r="AD24" s="194"/>
      <c r="AE24" s="194"/>
    </row>
    <row r="25" spans="1:31">
      <c r="A25" s="123" t="s">
        <v>583</v>
      </c>
      <c r="B25" s="125">
        <v>45339.71</v>
      </c>
      <c r="C25" s="125">
        <v>400</v>
      </c>
      <c r="D25" s="125">
        <v>25570.5</v>
      </c>
      <c r="E25" s="125">
        <v>12120</v>
      </c>
      <c r="F25" s="125">
        <v>320433.75</v>
      </c>
      <c r="G25" s="125">
        <v>215460</v>
      </c>
      <c r="H25" s="125">
        <v>117613.65</v>
      </c>
      <c r="I25" s="125"/>
      <c r="J25" s="125"/>
      <c r="K25" s="125"/>
      <c r="L25" s="125">
        <v>0</v>
      </c>
      <c r="M25" s="125">
        <v>125128.33</v>
      </c>
      <c r="N25" s="125">
        <v>3250</v>
      </c>
      <c r="O25" s="125">
        <f>20458.19+2000</f>
        <v>22458.19</v>
      </c>
      <c r="P25" s="125"/>
      <c r="Q25" s="125"/>
      <c r="R25" s="125"/>
      <c r="S25" s="125"/>
      <c r="T25" s="125"/>
      <c r="U25" s="125"/>
      <c r="V25" s="125">
        <f>288675.95+177755</f>
        <v>466430.95</v>
      </c>
      <c r="W25" s="125">
        <v>0</v>
      </c>
      <c r="X25" s="125"/>
      <c r="Y25" s="125">
        <v>5960</v>
      </c>
      <c r="Z25" s="162"/>
      <c r="AA25" s="162"/>
      <c r="AB25" s="162"/>
      <c r="AC25" s="162"/>
      <c r="AD25" s="162"/>
      <c r="AE25" s="162"/>
    </row>
    <row r="26" spans="1:31">
      <c r="A26" s="123" t="s">
        <v>584</v>
      </c>
      <c r="B26" s="125">
        <v>33917.49</v>
      </c>
      <c r="C26" s="125">
        <v>14700</v>
      </c>
      <c r="D26" s="125">
        <v>103599.05</v>
      </c>
      <c r="E26" s="125">
        <v>12120</v>
      </c>
      <c r="F26" s="125">
        <v>286648.75</v>
      </c>
      <c r="G26" s="125">
        <v>449032</v>
      </c>
      <c r="H26" s="125">
        <v>80702.960000000006</v>
      </c>
      <c r="I26" s="125"/>
      <c r="J26" s="125"/>
      <c r="K26" s="125"/>
      <c r="L26" s="125">
        <v>2318.5</v>
      </c>
      <c r="M26" s="125">
        <v>330723.53000000003</v>
      </c>
      <c r="N26" s="125">
        <v>970.64</v>
      </c>
      <c r="O26" s="125">
        <f>6365.98+4999+9220</f>
        <v>20584.98</v>
      </c>
      <c r="P26" s="125"/>
      <c r="Q26" s="125"/>
      <c r="R26" s="125"/>
      <c r="S26" s="125"/>
      <c r="T26" s="125"/>
      <c r="U26" s="125"/>
      <c r="V26" s="125">
        <f>809742.21+438465</f>
        <v>1248207.21</v>
      </c>
      <c r="W26" s="125">
        <v>9976</v>
      </c>
      <c r="X26" s="125"/>
      <c r="Y26" s="125">
        <v>32940</v>
      </c>
      <c r="Z26" s="162"/>
      <c r="AA26" s="162"/>
      <c r="AB26" s="162"/>
      <c r="AC26" s="162"/>
      <c r="AD26" s="162"/>
      <c r="AE26" s="162"/>
    </row>
    <row r="27" spans="1:31">
      <c r="A27" s="123" t="s">
        <v>585</v>
      </c>
      <c r="B27" s="125">
        <v>31676</v>
      </c>
      <c r="C27" s="125">
        <v>53100</v>
      </c>
      <c r="D27" s="125">
        <v>9736.5</v>
      </c>
      <c r="E27" s="125">
        <v>12100</v>
      </c>
      <c r="F27" s="125">
        <v>243885.47</v>
      </c>
      <c r="G27" s="125">
        <v>326475.7</v>
      </c>
      <c r="H27" s="125">
        <v>40388.1</v>
      </c>
      <c r="I27" s="125"/>
      <c r="J27" s="125"/>
      <c r="K27" s="125"/>
      <c r="L27" s="125">
        <v>38954</v>
      </c>
      <c r="M27" s="125">
        <v>98618.32</v>
      </c>
      <c r="N27" s="125">
        <v>10</v>
      </c>
      <c r="O27" s="125">
        <f>9914.87+3500+4998.79</f>
        <v>18413.66</v>
      </c>
      <c r="P27" s="125"/>
      <c r="Q27" s="125"/>
      <c r="R27" s="125"/>
      <c r="S27" s="125"/>
      <c r="T27" s="125"/>
      <c r="U27" s="125"/>
      <c r="V27" s="125">
        <f>447644.58+318439</f>
        <v>766083.58000000007</v>
      </c>
      <c r="W27" s="125">
        <v>0</v>
      </c>
      <c r="X27" s="125">
        <v>0</v>
      </c>
      <c r="Y27" s="125">
        <v>0</v>
      </c>
      <c r="Z27" s="162"/>
      <c r="AA27" s="162"/>
      <c r="AB27" s="162"/>
      <c r="AC27" s="162"/>
      <c r="AD27" s="162"/>
      <c r="AE27" s="162"/>
    </row>
    <row r="28" spans="1:31">
      <c r="A28" s="123" t="s">
        <v>586</v>
      </c>
      <c r="B28" s="125">
        <v>30857.25</v>
      </c>
      <c r="C28" s="125">
        <v>4102</v>
      </c>
      <c r="D28" s="125">
        <v>59635.3</v>
      </c>
      <c r="E28" s="125">
        <v>12632</v>
      </c>
      <c r="F28" s="125">
        <v>246690.53</v>
      </c>
      <c r="G28" s="125">
        <v>314983.58</v>
      </c>
      <c r="H28" s="125">
        <v>71534.990000000005</v>
      </c>
      <c r="I28" s="125"/>
      <c r="J28" s="125"/>
      <c r="K28" s="125"/>
      <c r="L28" s="125">
        <v>14010</v>
      </c>
      <c r="M28" s="125">
        <v>68692.67</v>
      </c>
      <c r="N28" s="125">
        <v>1240</v>
      </c>
      <c r="O28" s="125">
        <f>9446.16+6880</f>
        <v>16326.16</v>
      </c>
      <c r="P28" s="125"/>
      <c r="Q28" s="125"/>
      <c r="R28" s="125"/>
      <c r="S28" s="125"/>
      <c r="T28" s="125"/>
      <c r="U28" s="125"/>
      <c r="V28" s="125">
        <f>564039.41+390070.05</f>
        <v>954109.46</v>
      </c>
      <c r="W28" s="125">
        <v>150</v>
      </c>
      <c r="X28" s="125">
        <v>2714.48</v>
      </c>
      <c r="Y28" s="125">
        <v>18907.55</v>
      </c>
      <c r="Z28" s="162"/>
      <c r="AA28" s="162"/>
      <c r="AB28" s="162"/>
      <c r="AC28" s="162"/>
      <c r="AD28" s="162"/>
      <c r="AE28" s="162"/>
    </row>
    <row r="29" spans="1:31">
      <c r="A29" s="123" t="s">
        <v>587</v>
      </c>
      <c r="B29" s="125">
        <v>17440</v>
      </c>
      <c r="C29" s="125">
        <v>0</v>
      </c>
      <c r="D29" s="125">
        <f>41801.55+12248.75</f>
        <v>54050.3</v>
      </c>
      <c r="E29" s="125">
        <v>6050</v>
      </c>
      <c r="F29" s="125">
        <v>102464</v>
      </c>
      <c r="G29" s="125">
        <v>58142.5</v>
      </c>
      <c r="H29" s="125">
        <v>19811</v>
      </c>
      <c r="I29" s="125"/>
      <c r="J29" s="125"/>
      <c r="K29" s="125"/>
      <c r="L29" s="125">
        <v>0</v>
      </c>
      <c r="M29" s="125">
        <v>60834.07</v>
      </c>
      <c r="N29" s="125">
        <v>2000</v>
      </c>
      <c r="O29" s="125">
        <f>3858.79+551.96</f>
        <v>4410.75</v>
      </c>
      <c r="P29" s="125"/>
      <c r="Q29" s="125"/>
      <c r="R29" s="125"/>
      <c r="S29" s="125"/>
      <c r="T29" s="125"/>
      <c r="U29" s="125"/>
      <c r="V29" s="125">
        <f>358755+455708.34</f>
        <v>814463.34000000008</v>
      </c>
      <c r="W29" s="125">
        <v>7749</v>
      </c>
      <c r="X29" s="125">
        <v>0</v>
      </c>
      <c r="Y29" s="125">
        <v>300</v>
      </c>
      <c r="Z29" s="162"/>
      <c r="AA29" s="162"/>
      <c r="AB29" s="162"/>
      <c r="AC29" s="162"/>
      <c r="AD29" s="162"/>
      <c r="AE29" s="162"/>
    </row>
    <row r="30" spans="1:31">
      <c r="A30" s="123" t="s">
        <v>588</v>
      </c>
      <c r="B30" s="125">
        <v>16465.5</v>
      </c>
      <c r="C30" s="125">
        <v>0</v>
      </c>
      <c r="D30" s="125">
        <v>11741.54</v>
      </c>
      <c r="E30" s="125">
        <v>10890</v>
      </c>
      <c r="F30" s="125">
        <v>93223.55</v>
      </c>
      <c r="G30" s="125">
        <v>2177</v>
      </c>
      <c r="H30" s="125">
        <v>10500</v>
      </c>
      <c r="I30" s="125"/>
      <c r="J30" s="125"/>
      <c r="K30" s="125"/>
      <c r="L30" s="125">
        <v>3710</v>
      </c>
      <c r="M30" s="125">
        <v>39733.730000000003</v>
      </c>
      <c r="N30" s="125">
        <v>2300</v>
      </c>
      <c r="O30" s="125">
        <f>9701.09+1964.87</f>
        <v>11665.96</v>
      </c>
      <c r="P30" s="125"/>
      <c r="Q30" s="125"/>
      <c r="R30" s="125"/>
      <c r="S30" s="125">
        <v>12000</v>
      </c>
      <c r="T30" s="125"/>
      <c r="U30" s="125"/>
      <c r="V30" s="125">
        <f>282020+470798.98</f>
        <v>752818.98</v>
      </c>
      <c r="W30" s="125"/>
      <c r="X30" s="125"/>
      <c r="Y30" s="125">
        <v>5000</v>
      </c>
      <c r="Z30" s="162"/>
      <c r="AA30" s="162"/>
      <c r="AB30" s="162"/>
      <c r="AC30" s="162"/>
      <c r="AD30" s="162"/>
      <c r="AE30" s="162"/>
    </row>
    <row r="31" spans="1:31">
      <c r="A31" s="123" t="s">
        <v>589</v>
      </c>
      <c r="B31" s="125">
        <v>19402.25</v>
      </c>
      <c r="C31" s="125">
        <v>500</v>
      </c>
      <c r="D31" s="125">
        <v>28647.599999999999</v>
      </c>
      <c r="E31" s="125">
        <v>7260</v>
      </c>
      <c r="F31" s="125">
        <v>115522.47</v>
      </c>
      <c r="G31" s="125">
        <v>49673.5</v>
      </c>
      <c r="H31" s="125">
        <v>18787.5</v>
      </c>
      <c r="I31" s="125"/>
      <c r="J31" s="125"/>
      <c r="K31" s="125"/>
      <c r="L31" s="125">
        <v>0</v>
      </c>
      <c r="M31" s="125">
        <v>47183.03</v>
      </c>
      <c r="N31" s="125">
        <v>2270</v>
      </c>
      <c r="O31" s="125">
        <f>1857.99+5000+395</f>
        <v>7252.99</v>
      </c>
      <c r="P31" s="125"/>
      <c r="Q31" s="125"/>
      <c r="R31" s="125"/>
      <c r="S31" s="125">
        <v>20000</v>
      </c>
      <c r="T31" s="125"/>
      <c r="U31" s="125"/>
      <c r="V31" s="125">
        <f>404879.15+273600</f>
        <v>678479.15</v>
      </c>
      <c r="W31" s="125">
        <v>5017</v>
      </c>
      <c r="X31" s="125">
        <v>582</v>
      </c>
      <c r="Y31" s="125">
        <v>2584</v>
      </c>
      <c r="Z31" s="162"/>
      <c r="AA31" s="162"/>
      <c r="AB31" s="162"/>
      <c r="AC31" s="162"/>
      <c r="AD31" s="162"/>
      <c r="AE31" s="162"/>
    </row>
    <row r="32" spans="1:31">
      <c r="A32" s="123" t="s">
        <v>590</v>
      </c>
      <c r="B32" s="125">
        <v>12862</v>
      </c>
      <c r="C32" s="125">
        <v>12300</v>
      </c>
      <c r="D32" s="125">
        <v>38923.65</v>
      </c>
      <c r="E32" s="125">
        <v>9196</v>
      </c>
      <c r="F32" s="125">
        <v>181269</v>
      </c>
      <c r="G32" s="125">
        <v>384345</v>
      </c>
      <c r="H32" s="125">
        <v>94076.25</v>
      </c>
      <c r="I32" s="125"/>
      <c r="J32" s="125"/>
      <c r="K32" s="125"/>
      <c r="L32" s="125"/>
      <c r="M32" s="125">
        <v>64609.11</v>
      </c>
      <c r="N32" s="125">
        <v>383</v>
      </c>
      <c r="O32" s="125">
        <f>5646.75</f>
        <v>5646.75</v>
      </c>
      <c r="P32" s="125"/>
      <c r="Q32" s="125"/>
      <c r="R32" s="125"/>
      <c r="S32" s="125">
        <v>0</v>
      </c>
      <c r="T32" s="125"/>
      <c r="U32" s="125"/>
      <c r="V32" s="125">
        <f>449608.6+295510</f>
        <v>745118.6</v>
      </c>
      <c r="W32" s="125">
        <v>4098</v>
      </c>
      <c r="X32" s="125">
        <v>3300</v>
      </c>
      <c r="Y32" s="125">
        <v>6110</v>
      </c>
      <c r="Z32" s="162"/>
      <c r="AA32" s="162"/>
      <c r="AB32" s="162"/>
      <c r="AC32" s="162"/>
      <c r="AD32" s="162"/>
      <c r="AE32" s="162"/>
    </row>
    <row r="33" spans="1:32">
      <c r="A33" s="123" t="s">
        <v>591</v>
      </c>
      <c r="B33" s="125">
        <v>35283.71</v>
      </c>
      <c r="C33" s="125">
        <v>0</v>
      </c>
      <c r="D33" s="125">
        <v>12306.4</v>
      </c>
      <c r="E33" s="125">
        <v>7500</v>
      </c>
      <c r="F33" s="125">
        <v>35871.75</v>
      </c>
      <c r="G33" s="125">
        <v>9742</v>
      </c>
      <c r="H33" s="125">
        <v>36909</v>
      </c>
      <c r="I33" s="125"/>
      <c r="J33" s="125"/>
      <c r="K33" s="125"/>
      <c r="L33" s="125"/>
      <c r="M33" s="125">
        <v>37879.089999999997</v>
      </c>
      <c r="N33" s="125">
        <v>0</v>
      </c>
      <c r="O33" s="125">
        <v>1296.5</v>
      </c>
      <c r="P33" s="125"/>
      <c r="Q33" s="125"/>
      <c r="R33" s="125">
        <v>0</v>
      </c>
      <c r="S33" s="125">
        <v>20000</v>
      </c>
      <c r="T33" s="125"/>
      <c r="U33" s="125"/>
      <c r="V33" s="125">
        <f>437953.63+303493.26</f>
        <v>741446.89</v>
      </c>
      <c r="W33" s="125">
        <v>0</v>
      </c>
      <c r="X33" s="125">
        <v>170</v>
      </c>
      <c r="Y33" s="125">
        <v>2100</v>
      </c>
      <c r="Z33" s="162"/>
      <c r="AA33" s="162"/>
      <c r="AB33" s="162"/>
      <c r="AC33" s="162"/>
      <c r="AD33" s="162"/>
      <c r="AE33" s="162"/>
    </row>
    <row r="34" spans="1:32">
      <c r="A34" s="123" t="s">
        <v>592</v>
      </c>
      <c r="B34" s="125">
        <v>41586.15</v>
      </c>
      <c r="C34" s="125">
        <v>1200</v>
      </c>
      <c r="D34" s="125">
        <v>21620</v>
      </c>
      <c r="E34" s="125"/>
      <c r="F34" s="125"/>
      <c r="G34" s="125"/>
      <c r="H34" s="125">
        <v>39200</v>
      </c>
      <c r="I34" s="125"/>
      <c r="J34" s="125"/>
      <c r="K34" s="125"/>
      <c r="L34" s="125">
        <v>4843.5</v>
      </c>
      <c r="M34" s="125">
        <v>49925.599999999999</v>
      </c>
      <c r="N34" s="125"/>
      <c r="O34" s="125">
        <f>10171.24+5243.7</f>
        <v>15414.939999999999</v>
      </c>
      <c r="P34" s="125"/>
      <c r="Q34" s="125"/>
      <c r="R34" s="125"/>
      <c r="S34" s="125"/>
      <c r="T34" s="125"/>
      <c r="U34" s="125"/>
      <c r="V34" s="125">
        <v>89760</v>
      </c>
      <c r="W34" s="125"/>
      <c r="X34" s="125"/>
      <c r="Y34" s="125">
        <v>21136</v>
      </c>
      <c r="Z34" s="162"/>
      <c r="AA34" s="162"/>
      <c r="AB34" s="162"/>
      <c r="AC34" s="162"/>
      <c r="AD34" s="162"/>
      <c r="AE34" s="162"/>
    </row>
    <row r="35" spans="1:32">
      <c r="A35" s="123"/>
      <c r="B35" s="127" t="s">
        <v>9</v>
      </c>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62"/>
      <c r="AA35" s="162"/>
      <c r="AB35" s="162"/>
      <c r="AC35" s="162"/>
      <c r="AD35" s="162"/>
      <c r="AE35" s="162"/>
    </row>
    <row r="36" spans="1:32" ht="16.2" thickBot="1">
      <c r="A36" s="128" t="s">
        <v>485</v>
      </c>
      <c r="B36" s="129">
        <f t="shared" ref="B36:Y36" si="2">SUM(B20:B35)</f>
        <v>967761.87</v>
      </c>
      <c r="C36" s="129">
        <f t="shared" si="2"/>
        <v>113647.2</v>
      </c>
      <c r="D36" s="129">
        <f t="shared" si="2"/>
        <v>703884.40000000014</v>
      </c>
      <c r="E36" s="129">
        <f t="shared" si="2"/>
        <v>114168</v>
      </c>
      <c r="F36" s="129">
        <f t="shared" si="2"/>
        <v>5639793.1799999997</v>
      </c>
      <c r="G36" s="129">
        <f t="shared" si="2"/>
        <v>2147189.7800000003</v>
      </c>
      <c r="H36" s="129">
        <f t="shared" si="2"/>
        <v>1184984.02</v>
      </c>
      <c r="I36" s="129">
        <f t="shared" si="2"/>
        <v>0</v>
      </c>
      <c r="J36" s="129">
        <f t="shared" si="2"/>
        <v>0</v>
      </c>
      <c r="K36" s="129">
        <f t="shared" si="2"/>
        <v>0</v>
      </c>
      <c r="L36" s="129">
        <f t="shared" si="2"/>
        <v>823182.05</v>
      </c>
      <c r="M36" s="129">
        <f t="shared" si="2"/>
        <v>2241260.06</v>
      </c>
      <c r="N36" s="129">
        <f t="shared" si="2"/>
        <v>13654.220000000001</v>
      </c>
      <c r="O36" s="129">
        <f t="shared" si="2"/>
        <v>268234.55</v>
      </c>
      <c r="P36" s="129">
        <f t="shared" si="2"/>
        <v>0</v>
      </c>
      <c r="Q36" s="129">
        <f t="shared" si="2"/>
        <v>0</v>
      </c>
      <c r="R36" s="129">
        <f t="shared" si="2"/>
        <v>0</v>
      </c>
      <c r="S36" s="129">
        <f t="shared" si="2"/>
        <v>64793.05</v>
      </c>
      <c r="T36" s="129"/>
      <c r="U36" s="129">
        <f t="shared" si="2"/>
        <v>0</v>
      </c>
      <c r="V36" s="129">
        <f t="shared" si="2"/>
        <v>9559832.9000000004</v>
      </c>
      <c r="W36" s="129">
        <f t="shared" si="2"/>
        <v>77179.75</v>
      </c>
      <c r="X36" s="129">
        <f t="shared" si="2"/>
        <v>16007.48</v>
      </c>
      <c r="Y36" s="129">
        <f t="shared" si="2"/>
        <v>245042.3</v>
      </c>
      <c r="Z36" s="162"/>
      <c r="AA36" s="162"/>
      <c r="AB36" s="162"/>
      <c r="AC36" s="162"/>
      <c r="AD36" s="162"/>
      <c r="AE36" s="162"/>
    </row>
    <row r="37" spans="1:32" ht="16.2" thickTop="1">
      <c r="A37" s="123"/>
      <c r="B37" s="127"/>
      <c r="C37" s="127"/>
      <c r="D37" s="127" t="s">
        <v>9</v>
      </c>
      <c r="E37" s="127"/>
      <c r="F37" s="127"/>
      <c r="G37" s="127"/>
      <c r="H37" s="127"/>
      <c r="I37" s="127"/>
      <c r="J37" s="127"/>
      <c r="K37" s="127"/>
      <c r="L37" s="127"/>
      <c r="M37" s="127"/>
      <c r="N37" s="127"/>
      <c r="O37" s="127"/>
      <c r="P37" s="127"/>
      <c r="Q37" s="127"/>
      <c r="R37" s="127"/>
      <c r="S37" s="127"/>
      <c r="T37" s="127"/>
      <c r="U37" s="127"/>
      <c r="V37" s="127"/>
      <c r="W37" s="127"/>
      <c r="X37" s="127"/>
      <c r="Y37" s="127"/>
      <c r="Z37" s="162"/>
      <c r="AA37" s="162"/>
      <c r="AB37" s="162"/>
      <c r="AC37" s="162"/>
      <c r="AD37" s="162"/>
      <c r="AE37" s="162"/>
    </row>
    <row r="38" spans="1:32">
      <c r="A38" s="123" t="s">
        <v>593</v>
      </c>
      <c r="B38" s="134">
        <v>13757.7</v>
      </c>
      <c r="C38" s="134">
        <v>16650</v>
      </c>
      <c r="D38" s="134">
        <v>30777.73</v>
      </c>
      <c r="E38" s="134"/>
      <c r="F38" s="134"/>
      <c r="G38" s="134"/>
      <c r="H38" s="134"/>
      <c r="I38" s="134"/>
      <c r="J38" s="134"/>
      <c r="K38" s="134"/>
      <c r="L38" s="134"/>
      <c r="M38" s="134">
        <v>34526.980000000003</v>
      </c>
      <c r="N38" s="134"/>
      <c r="O38" s="134">
        <f>53594.92+10000+25000</f>
        <v>88594.92</v>
      </c>
      <c r="P38" s="134"/>
      <c r="Q38" s="134"/>
      <c r="R38" s="134"/>
      <c r="S38" s="134"/>
      <c r="T38" s="134"/>
      <c r="U38" s="134"/>
      <c r="V38" s="134">
        <f>129451.5</f>
        <v>129451.5</v>
      </c>
      <c r="W38" s="134">
        <v>1388.5</v>
      </c>
      <c r="X38" s="134"/>
      <c r="Y38" s="134"/>
      <c r="Z38" s="162"/>
      <c r="AA38" s="162"/>
      <c r="AB38" s="162"/>
      <c r="AC38" s="162"/>
      <c r="AD38" s="162"/>
      <c r="AE38" s="162"/>
    </row>
    <row r="39" spans="1:32">
      <c r="A39" s="123" t="s">
        <v>594</v>
      </c>
      <c r="B39" s="134">
        <v>12885.9</v>
      </c>
      <c r="C39" s="134">
        <v>13750</v>
      </c>
      <c r="D39" s="134">
        <v>39488.75</v>
      </c>
      <c r="E39" s="134"/>
      <c r="F39" s="134"/>
      <c r="G39" s="134"/>
      <c r="H39" s="134"/>
      <c r="I39" s="134"/>
      <c r="J39" s="134"/>
      <c r="K39" s="134"/>
      <c r="L39" s="134">
        <v>814.29</v>
      </c>
      <c r="M39" s="134">
        <v>35216.99</v>
      </c>
      <c r="N39" s="134"/>
      <c r="O39" s="134">
        <f>22055.13+7791.25+10714.79+426.37</f>
        <v>40987.54</v>
      </c>
      <c r="P39" s="134"/>
      <c r="Q39" s="134"/>
      <c r="R39" s="134"/>
      <c r="S39" s="134"/>
      <c r="T39" s="134"/>
      <c r="U39" s="134"/>
      <c r="V39" s="134">
        <f>256786.3+61434.78</f>
        <v>318221.07999999996</v>
      </c>
      <c r="W39" s="134">
        <v>0</v>
      </c>
      <c r="X39" s="134"/>
      <c r="Y39" s="134">
        <v>0</v>
      </c>
      <c r="Z39" s="162"/>
      <c r="AA39" s="162"/>
      <c r="AB39" s="162"/>
      <c r="AC39" s="162"/>
      <c r="AD39" s="162"/>
      <c r="AE39" s="162"/>
    </row>
    <row r="40" spans="1:32">
      <c r="A40" s="123" t="s">
        <v>595</v>
      </c>
      <c r="B40" s="134">
        <v>32968.76</v>
      </c>
      <c r="C40" s="134"/>
      <c r="D40" s="134">
        <v>7079.1</v>
      </c>
      <c r="E40" s="134"/>
      <c r="F40" s="134"/>
      <c r="G40" s="134"/>
      <c r="H40" s="134">
        <v>52639.45</v>
      </c>
      <c r="I40" s="134"/>
      <c r="J40" s="134"/>
      <c r="K40" s="134"/>
      <c r="L40" s="116">
        <v>590.22</v>
      </c>
      <c r="M40" s="134">
        <v>31461.62</v>
      </c>
      <c r="N40" s="134">
        <v>712</v>
      </c>
      <c r="O40" s="134">
        <f>38102.16+3000</f>
        <v>41102.160000000003</v>
      </c>
      <c r="P40" s="134"/>
      <c r="Q40" s="134"/>
      <c r="R40" s="134"/>
      <c r="S40" s="134"/>
      <c r="T40" s="134"/>
      <c r="U40" s="134"/>
      <c r="V40" s="134">
        <f>228539.69</f>
        <v>228539.69</v>
      </c>
      <c r="W40" s="134">
        <v>950</v>
      </c>
      <c r="X40" s="134"/>
      <c r="Y40" s="134">
        <v>980</v>
      </c>
      <c r="Z40" s="162"/>
      <c r="AA40" s="162"/>
      <c r="AB40" s="162"/>
      <c r="AC40" s="162"/>
      <c r="AD40" s="162"/>
      <c r="AE40" s="162"/>
    </row>
    <row r="41" spans="1:32">
      <c r="A41" s="123" t="s">
        <v>596</v>
      </c>
      <c r="B41" s="134">
        <v>25598.83</v>
      </c>
      <c r="C41" s="134"/>
      <c r="D41" s="134">
        <v>71629.95</v>
      </c>
      <c r="E41" s="134"/>
      <c r="F41" s="134"/>
      <c r="G41" s="134"/>
      <c r="H41" s="134"/>
      <c r="I41" s="134"/>
      <c r="J41" s="134"/>
      <c r="K41" s="134"/>
      <c r="L41" s="134"/>
      <c r="M41" s="134">
        <v>19017.98</v>
      </c>
      <c r="N41" s="134"/>
      <c r="O41" s="134">
        <f>2254.67+11500</f>
        <v>13754.67</v>
      </c>
      <c r="P41" s="134"/>
      <c r="Q41" s="134"/>
      <c r="R41" s="134"/>
      <c r="S41" s="134"/>
      <c r="T41" s="134"/>
      <c r="U41" s="134"/>
      <c r="V41" s="134">
        <v>144994.70000000001</v>
      </c>
      <c r="W41" s="134">
        <v>2830</v>
      </c>
      <c r="X41" s="134"/>
      <c r="Y41" s="134">
        <v>0</v>
      </c>
      <c r="Z41" s="162"/>
      <c r="AA41" s="162"/>
      <c r="AB41" s="162"/>
      <c r="AC41" s="162"/>
      <c r="AD41" s="162"/>
      <c r="AE41" s="162"/>
    </row>
    <row r="42" spans="1:32">
      <c r="A42" s="123" t="s">
        <v>597</v>
      </c>
      <c r="B42" s="134"/>
      <c r="C42" s="134"/>
      <c r="D42" s="134"/>
      <c r="E42" s="134"/>
      <c r="F42" s="134"/>
      <c r="G42" s="134"/>
      <c r="H42" s="134"/>
      <c r="I42" s="134"/>
      <c r="J42" s="134"/>
      <c r="K42" s="134"/>
      <c r="L42" s="134"/>
      <c r="M42" s="134"/>
      <c r="N42" s="134"/>
      <c r="O42" s="134"/>
      <c r="P42" s="134"/>
      <c r="Q42" s="134"/>
      <c r="R42" s="134"/>
      <c r="S42" s="134"/>
      <c r="T42" s="134"/>
      <c r="U42" s="134"/>
      <c r="V42" s="134">
        <v>96184.37</v>
      </c>
      <c r="W42" s="134"/>
      <c r="X42" s="134"/>
      <c r="Y42" s="134">
        <v>0</v>
      </c>
      <c r="Z42" s="162"/>
      <c r="AA42" s="162"/>
      <c r="AB42" s="162"/>
      <c r="AC42" s="162"/>
      <c r="AD42" s="162"/>
      <c r="AE42" s="162"/>
    </row>
    <row r="43" spans="1:32">
      <c r="A43" s="123" t="s">
        <v>598</v>
      </c>
      <c r="B43" s="125">
        <f>522168.1+630</f>
        <v>522798.1</v>
      </c>
      <c r="C43" s="125">
        <v>70800</v>
      </c>
      <c r="D43" s="125">
        <v>162549.79999999999</v>
      </c>
      <c r="E43" s="125"/>
      <c r="F43" s="125"/>
      <c r="G43" s="125"/>
      <c r="H43" s="125">
        <v>164950.92000000001</v>
      </c>
      <c r="I43" s="125"/>
      <c r="J43" s="125"/>
      <c r="K43" s="125">
        <v>110443</v>
      </c>
      <c r="L43" s="125">
        <v>15145.54</v>
      </c>
      <c r="M43" s="125">
        <v>125808.04</v>
      </c>
      <c r="N43" s="125">
        <v>3339</v>
      </c>
      <c r="O43" s="125">
        <f>69803.43+57600+18702.02</f>
        <v>146105.44999999998</v>
      </c>
      <c r="P43" s="125"/>
      <c r="Q43" s="125"/>
      <c r="R43" s="125"/>
      <c r="S43" s="125"/>
      <c r="T43" s="125"/>
      <c r="U43" s="125"/>
      <c r="V43" s="125">
        <v>155387</v>
      </c>
      <c r="W43" s="125">
        <v>7650</v>
      </c>
      <c r="X43" s="125">
        <v>8536</v>
      </c>
      <c r="Y43" s="125">
        <v>62263</v>
      </c>
      <c r="Z43" s="162"/>
      <c r="AA43" s="162"/>
      <c r="AB43" s="162"/>
      <c r="AC43" s="162"/>
      <c r="AD43" s="162"/>
      <c r="AE43" s="162"/>
    </row>
    <row r="44" spans="1:32">
      <c r="A44" s="123" t="s">
        <v>599</v>
      </c>
      <c r="B44" s="125">
        <v>159571.59</v>
      </c>
      <c r="C44" s="125">
        <v>87250</v>
      </c>
      <c r="D44" s="125">
        <v>61115</v>
      </c>
      <c r="E44" s="125"/>
      <c r="F44" s="125"/>
      <c r="G44" s="125"/>
      <c r="H44" s="125">
        <v>249060.15</v>
      </c>
      <c r="I44" s="125"/>
      <c r="J44" s="125">
        <v>2000</v>
      </c>
      <c r="K44" s="125">
        <v>5000</v>
      </c>
      <c r="L44" s="125">
        <v>15681.16</v>
      </c>
      <c r="M44" s="125">
        <v>103581.45</v>
      </c>
      <c r="N44" s="125">
        <v>4842.01</v>
      </c>
      <c r="O44" s="125">
        <f>26717.5+8000</f>
        <v>34717.5</v>
      </c>
      <c r="P44" s="125"/>
      <c r="Q44" s="125"/>
      <c r="R44" s="125"/>
      <c r="S44" s="125"/>
      <c r="T44" s="125"/>
      <c r="U44" s="125"/>
      <c r="V44" s="125">
        <v>285849.34999999998</v>
      </c>
      <c r="W44" s="125">
        <v>2000</v>
      </c>
      <c r="X44" s="125">
        <v>0</v>
      </c>
      <c r="Y44" s="125">
        <v>105972.5</v>
      </c>
      <c r="Z44" s="162"/>
      <c r="AA44" s="162"/>
      <c r="AB44" s="162"/>
      <c r="AC44" s="162"/>
      <c r="AD44" s="162"/>
      <c r="AE44" s="162"/>
    </row>
    <row r="45" spans="1:32">
      <c r="A45" s="123" t="s">
        <v>600</v>
      </c>
      <c r="B45" s="125">
        <v>181454.42</v>
      </c>
      <c r="C45" s="125">
        <v>4500</v>
      </c>
      <c r="D45" s="125">
        <v>178885.65</v>
      </c>
      <c r="E45" s="125"/>
      <c r="F45" s="125"/>
      <c r="G45" s="125"/>
      <c r="H45" s="125">
        <v>1748556.44</v>
      </c>
      <c r="I45" s="125"/>
      <c r="J45" s="125"/>
      <c r="K45" s="125"/>
      <c r="L45" s="125">
        <v>40238</v>
      </c>
      <c r="M45" s="125">
        <v>137651.01</v>
      </c>
      <c r="N45" s="125">
        <v>740</v>
      </c>
      <c r="O45" s="125">
        <f>26771.15+10785+12000</f>
        <v>49556.15</v>
      </c>
      <c r="P45" s="125"/>
      <c r="Q45" s="125"/>
      <c r="R45" s="125"/>
      <c r="S45" s="125"/>
      <c r="T45" s="125"/>
      <c r="U45" s="125"/>
      <c r="V45" s="125">
        <v>4082625.37</v>
      </c>
      <c r="W45" s="125">
        <v>53861.5</v>
      </c>
      <c r="X45" s="125">
        <v>11346.5</v>
      </c>
      <c r="Y45" s="125">
        <v>200795.75</v>
      </c>
      <c r="Z45" s="162"/>
      <c r="AA45" s="162"/>
      <c r="AB45" s="162"/>
      <c r="AC45" s="162"/>
      <c r="AD45" s="162"/>
      <c r="AE45" s="162"/>
    </row>
    <row r="46" spans="1:32">
      <c r="A46" s="123" t="s">
        <v>601</v>
      </c>
      <c r="B46" s="125">
        <v>144112.9</v>
      </c>
      <c r="C46" s="125"/>
      <c r="D46" s="125">
        <v>7510</v>
      </c>
      <c r="E46" s="125"/>
      <c r="F46" s="125"/>
      <c r="G46" s="125"/>
      <c r="H46" s="125"/>
      <c r="I46" s="125"/>
      <c r="J46" s="125"/>
      <c r="K46" s="125"/>
      <c r="L46" s="125">
        <v>11652.78</v>
      </c>
      <c r="M46" s="125">
        <v>3172.83</v>
      </c>
      <c r="N46" s="125"/>
      <c r="O46" s="125">
        <f>5023.29+7840</f>
        <v>12863.29</v>
      </c>
      <c r="P46" s="125"/>
      <c r="Q46" s="125"/>
      <c r="R46" s="125"/>
      <c r="S46" s="125"/>
      <c r="T46" s="125"/>
      <c r="U46" s="125"/>
      <c r="V46" s="125">
        <v>1861408.84</v>
      </c>
      <c r="W46" s="125">
        <v>0</v>
      </c>
      <c r="X46" s="125">
        <v>575</v>
      </c>
      <c r="Y46" s="125">
        <v>0</v>
      </c>
      <c r="Z46" s="162"/>
      <c r="AA46" s="162"/>
      <c r="AB46" s="162"/>
      <c r="AC46" s="162"/>
      <c r="AD46" s="162"/>
      <c r="AE46" s="162"/>
    </row>
    <row r="47" spans="1:32">
      <c r="A47" s="123"/>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62"/>
      <c r="AA47" s="162"/>
      <c r="AB47" s="162"/>
      <c r="AC47" s="162"/>
      <c r="AD47" s="162"/>
      <c r="AE47" s="162"/>
    </row>
    <row r="48" spans="1:32" ht="16.2" thickBot="1">
      <c r="A48" s="128" t="s">
        <v>485</v>
      </c>
      <c r="B48" s="129">
        <f t="shared" ref="B48:Y48" si="3">SUM(B38:B46)</f>
        <v>1093148.2</v>
      </c>
      <c r="C48" s="129">
        <f t="shared" si="3"/>
        <v>192950</v>
      </c>
      <c r="D48" s="129">
        <f t="shared" si="3"/>
        <v>559035.98</v>
      </c>
      <c r="E48" s="129">
        <f t="shared" si="3"/>
        <v>0</v>
      </c>
      <c r="F48" s="129">
        <f t="shared" si="3"/>
        <v>0</v>
      </c>
      <c r="G48" s="129">
        <f t="shared" si="3"/>
        <v>0</v>
      </c>
      <c r="H48" s="129">
        <f t="shared" si="3"/>
        <v>2215206.96</v>
      </c>
      <c r="I48" s="129">
        <f t="shared" si="3"/>
        <v>0</v>
      </c>
      <c r="J48" s="129">
        <f t="shared" si="3"/>
        <v>2000</v>
      </c>
      <c r="K48" s="129">
        <f t="shared" si="3"/>
        <v>115443</v>
      </c>
      <c r="L48" s="129">
        <f t="shared" si="3"/>
        <v>84121.989999999991</v>
      </c>
      <c r="M48" s="129">
        <f t="shared" si="3"/>
        <v>490436.9</v>
      </c>
      <c r="N48" s="129">
        <f t="shared" si="3"/>
        <v>9633.01</v>
      </c>
      <c r="O48" s="129">
        <f t="shared" si="3"/>
        <v>427681.68</v>
      </c>
      <c r="P48" s="129">
        <f t="shared" si="3"/>
        <v>0</v>
      </c>
      <c r="Q48" s="129">
        <f t="shared" si="3"/>
        <v>0</v>
      </c>
      <c r="R48" s="129">
        <f t="shared" si="3"/>
        <v>0</v>
      </c>
      <c r="S48" s="129">
        <f t="shared" si="3"/>
        <v>0</v>
      </c>
      <c r="T48" s="129"/>
      <c r="U48" s="129">
        <f t="shared" si="3"/>
        <v>0</v>
      </c>
      <c r="V48" s="129">
        <f t="shared" si="3"/>
        <v>7302661.9000000004</v>
      </c>
      <c r="W48" s="129">
        <f t="shared" si="3"/>
        <v>68680</v>
      </c>
      <c r="X48" s="129">
        <f t="shared" si="3"/>
        <v>20457.5</v>
      </c>
      <c r="Y48" s="129">
        <f t="shared" si="3"/>
        <v>370011.25</v>
      </c>
      <c r="Z48" s="117" t="s">
        <v>9</v>
      </c>
      <c r="AA48" s="117" t="s">
        <v>9</v>
      </c>
      <c r="AB48" s="117" t="s">
        <v>9</v>
      </c>
      <c r="AC48" s="117" t="s">
        <v>9</v>
      </c>
      <c r="AD48" s="117" t="s">
        <v>9</v>
      </c>
      <c r="AE48" s="117" t="s">
        <v>9</v>
      </c>
      <c r="AF48" s="117" t="s">
        <v>9</v>
      </c>
    </row>
    <row r="49" spans="1:31" ht="16.8" thickTop="1" thickBot="1">
      <c r="A49" s="135"/>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62"/>
      <c r="AA49" s="162"/>
      <c r="AB49" s="162"/>
      <c r="AC49" s="162"/>
      <c r="AD49" s="162"/>
      <c r="AE49" s="162"/>
    </row>
    <row r="50" spans="1:31" ht="16.8" thickTop="1" thickBot="1">
      <c r="A50" s="137" t="s">
        <v>602</v>
      </c>
      <c r="B50" s="138">
        <f t="shared" ref="B50:Y50" si="4">SUM(B18+B36+B48)</f>
        <v>3213236.7199999997</v>
      </c>
      <c r="C50" s="139">
        <f t="shared" si="4"/>
        <v>740327.5</v>
      </c>
      <c r="D50" s="138">
        <f t="shared" si="4"/>
        <v>4304992.7299999986</v>
      </c>
      <c r="E50" s="138">
        <f t="shared" si="4"/>
        <v>424580.67000000004</v>
      </c>
      <c r="F50" s="138">
        <f t="shared" si="4"/>
        <v>5639793.1799999997</v>
      </c>
      <c r="G50" s="138">
        <f t="shared" si="4"/>
        <v>2147189.7800000003</v>
      </c>
      <c r="H50" s="138">
        <f t="shared" si="4"/>
        <v>7039394.21</v>
      </c>
      <c r="I50" s="138">
        <f t="shared" si="4"/>
        <v>30000</v>
      </c>
      <c r="J50" s="138">
        <f t="shared" si="4"/>
        <v>2000</v>
      </c>
      <c r="K50" s="138">
        <f t="shared" si="4"/>
        <v>115443</v>
      </c>
      <c r="L50" s="138">
        <f t="shared" si="4"/>
        <v>1057308.0900000001</v>
      </c>
      <c r="M50" s="138">
        <f t="shared" si="4"/>
        <v>5098380.5</v>
      </c>
      <c r="N50" s="138">
        <f t="shared" si="4"/>
        <v>61012.33</v>
      </c>
      <c r="O50" s="138">
        <f t="shared" si="4"/>
        <v>2010349.38</v>
      </c>
      <c r="P50" s="138">
        <f t="shared" si="4"/>
        <v>158800</v>
      </c>
      <c r="Q50" s="138">
        <f t="shared" si="4"/>
        <v>119380</v>
      </c>
      <c r="R50" s="138">
        <f t="shared" si="4"/>
        <v>0</v>
      </c>
      <c r="S50" s="138">
        <f t="shared" si="4"/>
        <v>1690736.45</v>
      </c>
      <c r="T50" s="138"/>
      <c r="U50" s="138">
        <f t="shared" si="4"/>
        <v>1119050</v>
      </c>
      <c r="V50" s="138">
        <f t="shared" si="4"/>
        <v>35956925.459999993</v>
      </c>
      <c r="W50" s="138">
        <f t="shared" si="4"/>
        <v>264050.3</v>
      </c>
      <c r="X50" s="138">
        <f t="shared" si="4"/>
        <v>303008.38</v>
      </c>
      <c r="Y50" s="138">
        <f t="shared" si="4"/>
        <v>1964554.8</v>
      </c>
      <c r="Z50" s="162"/>
      <c r="AA50" s="162"/>
      <c r="AB50" s="162"/>
      <c r="AC50" s="162"/>
      <c r="AD50" s="162"/>
      <c r="AE50" s="162"/>
    </row>
    <row r="51" spans="1:31" hidden="1">
      <c r="A51" s="116"/>
      <c r="B51" s="116"/>
      <c r="C51" s="116"/>
      <c r="D51" s="116"/>
      <c r="E51" s="116"/>
      <c r="F51" s="116"/>
      <c r="G51" s="116"/>
      <c r="H51" s="116"/>
      <c r="I51" s="116" t="s">
        <v>9</v>
      </c>
      <c r="J51" s="116"/>
      <c r="K51" s="116"/>
      <c r="L51" s="116"/>
      <c r="M51" s="116"/>
      <c r="N51" s="116"/>
      <c r="O51" s="116"/>
      <c r="P51" s="116"/>
      <c r="Q51" s="116"/>
      <c r="R51" s="116"/>
      <c r="S51" s="116"/>
      <c r="T51" s="116"/>
      <c r="U51" s="116"/>
      <c r="V51" s="116"/>
      <c r="W51" s="116"/>
      <c r="X51" s="116"/>
      <c r="Y51" s="116"/>
      <c r="Z51" s="162"/>
      <c r="AA51" s="162"/>
      <c r="AB51" s="162"/>
      <c r="AC51" s="162"/>
      <c r="AD51" s="162"/>
      <c r="AE51" s="162"/>
    </row>
    <row r="52" spans="1:31" hidden="1"/>
    <row r="53" spans="1:31" hidden="1"/>
    <row r="54" spans="1:31" hidden="1"/>
    <row r="55" spans="1:31" hidden="1"/>
    <row r="56" spans="1:31" hidden="1"/>
    <row r="57" spans="1:31" hidden="1"/>
    <row r="58" spans="1:31" hidden="1"/>
    <row r="59" spans="1:31" hidden="1"/>
    <row r="60" spans="1:31" hidden="1"/>
    <row r="61" spans="1:31" hidden="1"/>
    <row r="62" spans="1:31" hidden="1"/>
    <row r="63" spans="1:31" hidden="1"/>
    <row r="64" spans="1:31" hidden="1"/>
    <row r="65" spans="1:26" hidden="1"/>
    <row r="66" spans="1:26" hidden="1"/>
    <row r="67" spans="1:26" hidden="1"/>
    <row r="68" spans="1:26" hidden="1"/>
    <row r="69" spans="1:26" ht="34.200000000000003" hidden="1">
      <c r="A69" s="15512" t="s">
        <v>679</v>
      </c>
      <c r="B69" s="15512"/>
      <c r="C69" s="15512"/>
      <c r="D69" s="15512"/>
      <c r="E69" s="15512"/>
      <c r="F69" s="15512"/>
      <c r="G69" s="15512"/>
      <c r="H69" s="15512"/>
      <c r="I69" s="15512"/>
      <c r="J69" s="15512"/>
      <c r="K69" s="15512"/>
      <c r="L69" s="15512"/>
      <c r="M69" s="15513" t="s">
        <v>604</v>
      </c>
      <c r="N69" s="15513"/>
    </row>
    <row r="70" spans="1:26" ht="34.200000000000003" hidden="1">
      <c r="A70" s="140"/>
      <c r="L70" s="141"/>
    </row>
    <row r="71" spans="1:26" ht="34.200000000000003">
      <c r="A71" s="140"/>
      <c r="L71" s="141"/>
    </row>
    <row r="72" spans="1:26" s="199" customFormat="1" ht="16.2" thickBot="1">
      <c r="A72" s="196" t="s">
        <v>216</v>
      </c>
      <c r="B72" s="196" t="s">
        <v>605</v>
      </c>
      <c r="C72" s="196" t="s">
        <v>606</v>
      </c>
      <c r="D72" s="196" t="s">
        <v>607</v>
      </c>
      <c r="E72" s="196" t="s">
        <v>608</v>
      </c>
      <c r="F72" s="196" t="s">
        <v>609</v>
      </c>
      <c r="G72" s="196" t="s">
        <v>610</v>
      </c>
      <c r="H72" s="196" t="s">
        <v>609</v>
      </c>
      <c r="I72" s="196" t="s">
        <v>611</v>
      </c>
      <c r="J72" s="196" t="s">
        <v>612</v>
      </c>
      <c r="K72" s="196" t="s">
        <v>612</v>
      </c>
      <c r="L72" s="196" t="s">
        <v>613</v>
      </c>
      <c r="M72" s="196" t="s">
        <v>614</v>
      </c>
      <c r="N72" s="196" t="s">
        <v>615</v>
      </c>
      <c r="O72" s="196" t="s">
        <v>616</v>
      </c>
      <c r="P72" s="196" t="s">
        <v>617</v>
      </c>
      <c r="Q72" s="196" t="s">
        <v>618</v>
      </c>
      <c r="R72" s="196" t="s">
        <v>612</v>
      </c>
      <c r="S72" s="196" t="s">
        <v>619</v>
      </c>
      <c r="T72" s="196"/>
      <c r="U72" s="196" t="s">
        <v>612</v>
      </c>
      <c r="V72" s="196" t="s">
        <v>620</v>
      </c>
      <c r="W72" s="197" t="s">
        <v>621</v>
      </c>
      <c r="X72" s="196" t="s">
        <v>220</v>
      </c>
      <c r="Y72" s="196" t="s">
        <v>9</v>
      </c>
      <c r="Z72" s="198"/>
    </row>
    <row r="73" spans="1:26" s="199" customFormat="1" ht="16.8" thickTop="1" thickBot="1">
      <c r="A73" s="200"/>
      <c r="B73" s="201" t="s">
        <v>9</v>
      </c>
      <c r="C73" s="201" t="s">
        <v>9</v>
      </c>
      <c r="D73" s="201" t="s">
        <v>553</v>
      </c>
      <c r="E73" s="201" t="s">
        <v>622</v>
      </c>
      <c r="F73" s="201" t="s">
        <v>623</v>
      </c>
      <c r="G73" s="201" t="s">
        <v>624</v>
      </c>
      <c r="H73" s="201" t="s">
        <v>625</v>
      </c>
      <c r="I73" s="201" t="s">
        <v>9</v>
      </c>
      <c r="J73" s="201" t="s">
        <v>626</v>
      </c>
      <c r="K73" s="201" t="s">
        <v>627</v>
      </c>
      <c r="L73" s="201" t="s">
        <v>628</v>
      </c>
      <c r="M73" s="201" t="s">
        <v>563</v>
      </c>
      <c r="N73" s="201" t="s">
        <v>629</v>
      </c>
      <c r="O73" s="201" t="s">
        <v>630</v>
      </c>
      <c r="P73" s="201" t="s">
        <v>630</v>
      </c>
      <c r="Q73" s="201"/>
      <c r="R73" s="201" t="s">
        <v>631</v>
      </c>
      <c r="S73" s="201" t="s">
        <v>632</v>
      </c>
      <c r="T73" s="201" t="s">
        <v>633</v>
      </c>
      <c r="U73" s="201" t="s">
        <v>634</v>
      </c>
      <c r="V73" s="201" t="s">
        <v>635</v>
      </c>
      <c r="W73" s="202" t="s">
        <v>636</v>
      </c>
      <c r="X73" s="201" t="s">
        <v>9</v>
      </c>
      <c r="Y73" s="201" t="s">
        <v>9</v>
      </c>
      <c r="Z73" s="198"/>
    </row>
    <row r="74" spans="1:26">
      <c r="A74" s="147"/>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62"/>
    </row>
    <row r="75" spans="1:26" s="195" customFormat="1">
      <c r="A75" s="203" t="s">
        <v>568</v>
      </c>
      <c r="B75" s="204">
        <f>5436548.75+20000</f>
        <v>5456548.75</v>
      </c>
      <c r="C75" s="204">
        <v>7225000</v>
      </c>
      <c r="D75" s="204">
        <v>0</v>
      </c>
      <c r="E75" s="204">
        <v>26250</v>
      </c>
      <c r="F75" s="204">
        <f>818411.94+1318566.04+9761.25+29100+282890.28</f>
        <v>2458729.5099999998</v>
      </c>
      <c r="G75" s="204"/>
      <c r="H75" s="204"/>
      <c r="I75" s="204"/>
      <c r="J75" s="204"/>
      <c r="K75" s="204">
        <v>254584</v>
      </c>
      <c r="L75" s="204"/>
      <c r="M75" s="204"/>
      <c r="N75" s="204"/>
      <c r="O75" s="204"/>
      <c r="P75" s="204"/>
      <c r="Q75" s="204"/>
      <c r="R75" s="204"/>
      <c r="S75" s="204"/>
      <c r="T75" s="204"/>
      <c r="U75" s="204"/>
      <c r="V75" s="204"/>
      <c r="W75" s="204">
        <v>0</v>
      </c>
      <c r="X75" s="205">
        <f t="shared" ref="X75:X85" si="5">SUM(B6:Y6)+SUM(B75:W75)</f>
        <v>33858920.57</v>
      </c>
      <c r="Y75" s="204"/>
      <c r="Z75" s="194"/>
    </row>
    <row r="76" spans="1:26" s="195" customFormat="1">
      <c r="A76" s="203" t="s">
        <v>678</v>
      </c>
      <c r="B76" s="204"/>
      <c r="C76" s="204"/>
      <c r="D76" s="204"/>
      <c r="E76" s="204"/>
      <c r="F76" s="204">
        <v>108988.37</v>
      </c>
      <c r="G76" s="204"/>
      <c r="H76" s="204"/>
      <c r="I76" s="204"/>
      <c r="J76" s="204"/>
      <c r="K76" s="204"/>
      <c r="L76" s="204"/>
      <c r="M76" s="204"/>
      <c r="N76" s="204"/>
      <c r="O76" s="204"/>
      <c r="P76" s="204"/>
      <c r="Q76" s="204"/>
      <c r="R76" s="204"/>
      <c r="S76" s="204"/>
      <c r="T76" s="204"/>
      <c r="U76" s="204"/>
      <c r="V76" s="204"/>
      <c r="W76" s="204"/>
      <c r="X76" s="205">
        <f t="shared" si="5"/>
        <v>128962</v>
      </c>
      <c r="Y76" s="204"/>
      <c r="Z76" s="194"/>
    </row>
    <row r="77" spans="1:26">
      <c r="A77" s="203" t="s">
        <v>569</v>
      </c>
      <c r="B77" s="150"/>
      <c r="C77" s="150"/>
      <c r="D77" s="150"/>
      <c r="E77" s="150">
        <v>3150</v>
      </c>
      <c r="F77" s="150">
        <v>6353835.4500000011</v>
      </c>
      <c r="G77" s="150"/>
      <c r="H77" s="150"/>
      <c r="I77" s="150"/>
      <c r="J77" s="150"/>
      <c r="K77" s="150"/>
      <c r="L77" s="150"/>
      <c r="M77" s="150"/>
      <c r="N77" s="150"/>
      <c r="O77" s="152"/>
      <c r="P77" s="152"/>
      <c r="Q77" s="152"/>
      <c r="R77" s="152"/>
      <c r="S77" s="150"/>
      <c r="T77" s="150"/>
      <c r="U77" s="152"/>
      <c r="V77" s="150"/>
      <c r="W77" s="150"/>
      <c r="X77" s="151">
        <f>SUM(B8:Y8)+SUM(B77:W77)</f>
        <v>16658338.700000001</v>
      </c>
      <c r="Y77" s="150"/>
      <c r="Z77" s="162"/>
    </row>
    <row r="78" spans="1:26">
      <c r="A78" s="203" t="s">
        <v>570</v>
      </c>
      <c r="B78" s="153"/>
      <c r="C78" s="153"/>
      <c r="D78" s="153"/>
      <c r="E78" s="153">
        <v>1500</v>
      </c>
      <c r="F78" s="153">
        <v>11346.1</v>
      </c>
      <c r="G78" s="153"/>
      <c r="H78" s="153"/>
      <c r="I78" s="153"/>
      <c r="J78" s="153"/>
      <c r="K78" s="153"/>
      <c r="L78" s="153"/>
      <c r="M78" s="153"/>
      <c r="N78" s="150"/>
      <c r="O78" s="152">
        <v>3555</v>
      </c>
      <c r="P78" s="152"/>
      <c r="Q78" s="152"/>
      <c r="R78" s="152"/>
      <c r="S78" s="150"/>
      <c r="T78" s="150"/>
      <c r="U78" s="152"/>
      <c r="V78" s="150"/>
      <c r="W78" s="150"/>
      <c r="X78" s="151">
        <f t="shared" si="5"/>
        <v>834999.41</v>
      </c>
      <c r="Y78" s="150"/>
      <c r="Z78" s="162"/>
    </row>
    <row r="79" spans="1:26">
      <c r="A79" s="203" t="s">
        <v>571</v>
      </c>
      <c r="B79" s="153"/>
      <c r="C79" s="153"/>
      <c r="D79" s="153"/>
      <c r="E79" s="153">
        <v>1050</v>
      </c>
      <c r="F79" s="153">
        <f>24813.8+29280</f>
        <v>54093.8</v>
      </c>
      <c r="G79" s="153"/>
      <c r="H79" s="153"/>
      <c r="I79" s="153"/>
      <c r="J79" s="153"/>
      <c r="K79" s="153">
        <v>7623.25</v>
      </c>
      <c r="L79" s="153"/>
      <c r="M79" s="153"/>
      <c r="N79" s="150"/>
      <c r="O79" s="152">
        <v>3615</v>
      </c>
      <c r="P79" s="152"/>
      <c r="Q79" s="152"/>
      <c r="R79" s="152"/>
      <c r="S79" s="150"/>
      <c r="T79" s="150"/>
      <c r="U79" s="152"/>
      <c r="V79" s="150"/>
      <c r="W79" s="150"/>
      <c r="X79" s="151">
        <f t="shared" si="5"/>
        <v>1030623.7</v>
      </c>
      <c r="Y79" s="150"/>
      <c r="Z79" s="162"/>
    </row>
    <row r="80" spans="1:26">
      <c r="A80" s="203" t="s">
        <v>572</v>
      </c>
      <c r="B80" s="153"/>
      <c r="C80" s="153"/>
      <c r="D80" s="153"/>
      <c r="E80" s="153"/>
      <c r="F80" s="153">
        <v>85626.51</v>
      </c>
      <c r="G80" s="153"/>
      <c r="H80" s="153"/>
      <c r="I80" s="153"/>
      <c r="J80" s="153"/>
      <c r="K80" s="153">
        <v>264302</v>
      </c>
      <c r="L80" s="153"/>
      <c r="M80" s="153">
        <f>1723426.48+1714683</f>
        <v>3438109.48</v>
      </c>
      <c r="N80" s="150"/>
      <c r="O80" s="152"/>
      <c r="P80" s="152">
        <v>1586369.35</v>
      </c>
      <c r="Q80" s="152"/>
      <c r="R80" s="152"/>
      <c r="S80" s="150"/>
      <c r="T80" s="150"/>
      <c r="U80" s="152"/>
      <c r="V80" s="150"/>
      <c r="W80" s="150"/>
      <c r="X80" s="151">
        <f t="shared" si="5"/>
        <v>7417046.4299999997</v>
      </c>
      <c r="Y80" s="150"/>
      <c r="Z80" s="162"/>
    </row>
    <row r="81" spans="1:26">
      <c r="A81" s="203" t="s">
        <v>573</v>
      </c>
      <c r="B81" s="153"/>
      <c r="C81" s="153"/>
      <c r="D81" s="153"/>
      <c r="E81" s="153">
        <v>150</v>
      </c>
      <c r="F81" s="153">
        <v>3050</v>
      </c>
      <c r="G81" s="153"/>
      <c r="H81" s="153"/>
      <c r="I81" s="153"/>
      <c r="J81" s="153"/>
      <c r="K81" s="153"/>
      <c r="L81" s="153"/>
      <c r="M81" s="153"/>
      <c r="N81" s="150"/>
      <c r="O81" s="152">
        <v>2875</v>
      </c>
      <c r="P81" s="152"/>
      <c r="Q81" s="152"/>
      <c r="R81" s="152"/>
      <c r="S81" s="150"/>
      <c r="T81" s="150"/>
      <c r="U81" s="152"/>
      <c r="V81" s="150"/>
      <c r="W81" s="150"/>
      <c r="X81" s="151">
        <f t="shared" si="5"/>
        <v>263263.74</v>
      </c>
      <c r="Y81" s="150"/>
      <c r="Z81" s="162"/>
    </row>
    <row r="82" spans="1:26">
      <c r="A82" s="203" t="s">
        <v>574</v>
      </c>
      <c r="B82" s="153"/>
      <c r="C82" s="153"/>
      <c r="D82" s="153"/>
      <c r="E82" s="153"/>
      <c r="F82" s="153">
        <v>29397.200000000001</v>
      </c>
      <c r="G82" s="153"/>
      <c r="H82" s="153"/>
      <c r="I82" s="153"/>
      <c r="J82" s="153"/>
      <c r="K82" s="153">
        <v>1000</v>
      </c>
      <c r="L82" s="153"/>
      <c r="M82" s="153"/>
      <c r="N82" s="150"/>
      <c r="O82" s="152"/>
      <c r="P82" s="152"/>
      <c r="Q82" s="152"/>
      <c r="R82" s="152"/>
      <c r="S82" s="150"/>
      <c r="T82" s="150"/>
      <c r="U82" s="152"/>
      <c r="V82" s="150"/>
      <c r="W82" s="150"/>
      <c r="X82" s="151">
        <f t="shared" si="5"/>
        <v>695496.32000000007</v>
      </c>
      <c r="Y82" s="150"/>
      <c r="Z82" s="162"/>
    </row>
    <row r="83" spans="1:26">
      <c r="A83" s="203" t="s">
        <v>575</v>
      </c>
      <c r="B83" s="153"/>
      <c r="C83" s="153"/>
      <c r="D83" s="153"/>
      <c r="E83" s="153">
        <v>43151.25</v>
      </c>
      <c r="F83" s="153">
        <v>4841.5</v>
      </c>
      <c r="G83" s="153"/>
      <c r="H83" s="153"/>
      <c r="I83" s="153"/>
      <c r="J83" s="153"/>
      <c r="K83" s="153"/>
      <c r="L83" s="153"/>
      <c r="M83" s="153"/>
      <c r="N83" s="150"/>
      <c r="O83" s="150"/>
      <c r="P83" s="150"/>
      <c r="Q83" s="150"/>
      <c r="R83" s="150"/>
      <c r="S83" s="150"/>
      <c r="T83" s="150"/>
      <c r="U83" s="150"/>
      <c r="V83" s="150"/>
      <c r="W83" s="150"/>
      <c r="X83" s="151">
        <f t="shared" si="5"/>
        <v>814488.23</v>
      </c>
      <c r="Y83" s="150"/>
      <c r="Z83" s="162"/>
    </row>
    <row r="84" spans="1:26">
      <c r="A84" s="203" t="s">
        <v>576</v>
      </c>
      <c r="B84" s="153"/>
      <c r="C84" s="153"/>
      <c r="D84" s="153"/>
      <c r="E84" s="153"/>
      <c r="F84" s="153"/>
      <c r="G84" s="153"/>
      <c r="H84" s="153"/>
      <c r="I84" s="153"/>
      <c r="J84" s="153"/>
      <c r="K84" s="153"/>
      <c r="L84" s="153"/>
      <c r="M84" s="153"/>
      <c r="N84" s="150"/>
      <c r="O84" s="150"/>
      <c r="P84" s="150"/>
      <c r="Q84" s="150"/>
      <c r="R84" s="150"/>
      <c r="S84" s="150"/>
      <c r="T84" s="150"/>
      <c r="U84" s="150"/>
      <c r="V84" s="150"/>
      <c r="W84" s="150"/>
      <c r="X84" s="151">
        <f t="shared" si="5"/>
        <v>536560.99</v>
      </c>
      <c r="Y84" s="150"/>
      <c r="Z84" s="162"/>
    </row>
    <row r="85" spans="1:26">
      <c r="A85" s="203" t="s">
        <v>577</v>
      </c>
      <c r="B85" s="153"/>
      <c r="C85" s="153"/>
      <c r="D85" s="153"/>
      <c r="E85" s="153"/>
      <c r="F85" s="153">
        <v>25000</v>
      </c>
      <c r="G85" s="153"/>
      <c r="H85" s="153"/>
      <c r="I85" s="153"/>
      <c r="J85" s="153"/>
      <c r="K85" s="153"/>
      <c r="L85" s="153"/>
      <c r="M85" s="153"/>
      <c r="N85" s="150"/>
      <c r="O85" s="150"/>
      <c r="P85" s="150"/>
      <c r="Q85" s="150"/>
      <c r="R85" s="150"/>
      <c r="S85" s="150"/>
      <c r="T85" s="150"/>
      <c r="U85" s="150"/>
      <c r="V85" s="150"/>
      <c r="W85" s="150"/>
      <c r="X85" s="151">
        <f t="shared" si="5"/>
        <v>1543471.73</v>
      </c>
      <c r="Y85" s="150"/>
      <c r="Z85" s="162"/>
    </row>
    <row r="86" spans="1:26">
      <c r="A86" s="206"/>
      <c r="B86" s="155"/>
      <c r="C86" s="155"/>
      <c r="D86" s="155"/>
      <c r="E86" s="155"/>
      <c r="F86" s="155"/>
      <c r="G86" s="155"/>
      <c r="H86" s="155"/>
      <c r="I86" s="155"/>
      <c r="J86" s="155"/>
      <c r="K86" s="155"/>
      <c r="L86" s="155"/>
      <c r="M86" s="155"/>
      <c r="N86" s="155"/>
      <c r="O86" s="155"/>
      <c r="P86" s="155"/>
      <c r="Q86" s="155"/>
      <c r="R86" s="155"/>
      <c r="S86" s="155"/>
      <c r="T86" s="155"/>
      <c r="U86" s="155"/>
      <c r="V86" s="155"/>
      <c r="W86" s="155"/>
      <c r="X86" s="154"/>
      <c r="Y86" s="155"/>
      <c r="Z86" s="162"/>
    </row>
    <row r="87" spans="1:26" ht="16.2" thickBot="1">
      <c r="A87" s="196" t="s">
        <v>485</v>
      </c>
      <c r="B87" s="156">
        <f t="shared" ref="B87:P87" si="6">SUM(B75:B85)</f>
        <v>5456548.75</v>
      </c>
      <c r="C87" s="156">
        <f t="shared" si="6"/>
        <v>7225000</v>
      </c>
      <c r="D87" s="156">
        <f t="shared" si="6"/>
        <v>0</v>
      </c>
      <c r="E87" s="156">
        <f t="shared" si="6"/>
        <v>75251.25</v>
      </c>
      <c r="F87" s="156">
        <f t="shared" si="6"/>
        <v>9134908.4400000013</v>
      </c>
      <c r="G87" s="156">
        <f t="shared" si="6"/>
        <v>0</v>
      </c>
      <c r="H87" s="156">
        <f t="shared" si="6"/>
        <v>0</v>
      </c>
      <c r="I87" s="156">
        <f t="shared" si="6"/>
        <v>0</v>
      </c>
      <c r="J87" s="156">
        <f t="shared" si="6"/>
        <v>0</v>
      </c>
      <c r="K87" s="156">
        <f t="shared" si="6"/>
        <v>527509.25</v>
      </c>
      <c r="L87" s="156">
        <f t="shared" si="6"/>
        <v>0</v>
      </c>
      <c r="M87" s="156">
        <f>SUM(M75:M85)</f>
        <v>3438109.48</v>
      </c>
      <c r="N87" s="156">
        <f t="shared" si="6"/>
        <v>0</v>
      </c>
      <c r="O87" s="156">
        <f t="shared" si="6"/>
        <v>10045</v>
      </c>
      <c r="P87" s="156">
        <f t="shared" si="6"/>
        <v>1586369.35</v>
      </c>
      <c r="Q87" s="156">
        <f t="shared" ref="Q87:X87" si="7">SUM(Q75:Q85)</f>
        <v>0</v>
      </c>
      <c r="R87" s="156">
        <f t="shared" si="7"/>
        <v>0</v>
      </c>
      <c r="S87" s="156">
        <f t="shared" si="7"/>
        <v>0</v>
      </c>
      <c r="T87" s="156">
        <f t="shared" si="7"/>
        <v>0</v>
      </c>
      <c r="U87" s="156">
        <f t="shared" si="7"/>
        <v>0</v>
      </c>
      <c r="V87" s="156">
        <f t="shared" si="7"/>
        <v>0</v>
      </c>
      <c r="W87" s="156">
        <f t="shared" si="7"/>
        <v>0</v>
      </c>
      <c r="X87" s="156">
        <f t="shared" si="7"/>
        <v>63782171.82</v>
      </c>
      <c r="Y87" s="156"/>
      <c r="Z87" s="162"/>
    </row>
    <row r="88" spans="1:26" ht="16.2" thickTop="1">
      <c r="A88" s="206"/>
      <c r="B88" s="155"/>
      <c r="C88" s="155"/>
      <c r="D88" s="155"/>
      <c r="E88" s="155"/>
      <c r="F88" s="155"/>
      <c r="G88" s="155"/>
      <c r="H88" s="155"/>
      <c r="I88" s="155"/>
      <c r="J88" s="155"/>
      <c r="K88" s="155"/>
      <c r="L88" s="155"/>
      <c r="M88" s="155"/>
      <c r="N88" s="155"/>
      <c r="O88" s="155"/>
      <c r="P88" s="155"/>
      <c r="Q88" s="155"/>
      <c r="R88" s="155"/>
      <c r="S88" s="155"/>
      <c r="T88" s="155"/>
      <c r="U88" s="155"/>
      <c r="V88" s="155"/>
      <c r="W88" s="155"/>
      <c r="X88" s="154"/>
      <c r="Y88" s="155"/>
      <c r="Z88" s="162"/>
    </row>
    <row r="89" spans="1:26" s="195" customFormat="1">
      <c r="A89" s="206" t="s">
        <v>578</v>
      </c>
      <c r="B89" s="207">
        <v>1500000</v>
      </c>
      <c r="C89" s="207"/>
      <c r="D89" s="207"/>
      <c r="E89" s="207">
        <v>3000</v>
      </c>
      <c r="F89" s="207">
        <f>19687.9+68720+26910.31</f>
        <v>115318.20999999999</v>
      </c>
      <c r="G89" s="207"/>
      <c r="H89" s="207"/>
      <c r="I89" s="207"/>
      <c r="J89" s="207"/>
      <c r="K89" s="207"/>
      <c r="L89" s="207">
        <v>0</v>
      </c>
      <c r="M89" s="207"/>
      <c r="N89" s="207"/>
      <c r="O89" s="207"/>
      <c r="P89" s="207"/>
      <c r="Q89" s="207">
        <v>0</v>
      </c>
      <c r="R89" s="207"/>
      <c r="S89" s="207"/>
      <c r="T89" s="207"/>
      <c r="U89" s="207"/>
      <c r="V89" s="207"/>
      <c r="W89" s="207"/>
      <c r="X89" s="205">
        <f t="shared" ref="X89:X103" si="8">SUM(B20:Y20)+SUM(B89:W89)</f>
        <v>2591840.08</v>
      </c>
      <c r="Y89" s="208"/>
      <c r="Z89" s="194"/>
    </row>
    <row r="90" spans="1:26">
      <c r="A90" s="206" t="s">
        <v>579</v>
      </c>
      <c r="B90" s="155"/>
      <c r="C90" s="155"/>
      <c r="D90" s="155"/>
      <c r="E90" s="157"/>
      <c r="F90" s="157">
        <v>44851.69</v>
      </c>
      <c r="G90" s="155"/>
      <c r="H90" s="155"/>
      <c r="I90" s="157"/>
      <c r="J90" s="157">
        <v>0</v>
      </c>
      <c r="K90" s="157">
        <v>3917.55</v>
      </c>
      <c r="L90" s="155"/>
      <c r="M90" s="157">
        <v>2233200</v>
      </c>
      <c r="N90" s="155"/>
      <c r="O90" s="155"/>
      <c r="P90" s="155"/>
      <c r="Q90" s="155"/>
      <c r="R90" s="155"/>
      <c r="S90" s="155"/>
      <c r="T90" s="155"/>
      <c r="U90" s="155"/>
      <c r="V90" s="155"/>
      <c r="W90" s="155"/>
      <c r="X90" s="151">
        <f t="shared" si="8"/>
        <v>6798485.6299999999</v>
      </c>
      <c r="Y90" s="155"/>
      <c r="Z90" s="162"/>
    </row>
    <row r="91" spans="1:26">
      <c r="A91" s="206" t="s">
        <v>580</v>
      </c>
      <c r="B91" s="153"/>
      <c r="C91" s="153"/>
      <c r="D91" s="153"/>
      <c r="E91" s="153">
        <v>300</v>
      </c>
      <c r="F91" s="153">
        <v>6022.8</v>
      </c>
      <c r="G91" s="153"/>
      <c r="H91" s="153"/>
      <c r="I91" s="153"/>
      <c r="J91" s="153"/>
      <c r="K91" s="153"/>
      <c r="L91" s="153"/>
      <c r="M91" s="153"/>
      <c r="N91" s="153"/>
      <c r="O91" s="153">
        <v>67476</v>
      </c>
      <c r="P91" s="153"/>
      <c r="Q91" s="153"/>
      <c r="R91" s="153"/>
      <c r="S91" s="150"/>
      <c r="T91" s="150"/>
      <c r="U91" s="150"/>
      <c r="V91" s="150"/>
      <c r="W91" s="150"/>
      <c r="X91" s="151">
        <f t="shared" si="8"/>
        <v>372702.86999999994</v>
      </c>
      <c r="Y91" s="150"/>
      <c r="Z91" s="162"/>
    </row>
    <row r="92" spans="1:26">
      <c r="A92" s="206" t="s">
        <v>581</v>
      </c>
      <c r="B92" s="153"/>
      <c r="C92" s="153"/>
      <c r="D92" s="153"/>
      <c r="E92" s="153">
        <v>7636.5</v>
      </c>
      <c r="F92" s="153">
        <v>14527.89</v>
      </c>
      <c r="G92" s="153"/>
      <c r="H92" s="153"/>
      <c r="I92" s="153"/>
      <c r="J92" s="153"/>
      <c r="K92" s="153">
        <v>14155.5</v>
      </c>
      <c r="L92" s="153"/>
      <c r="M92" s="153"/>
      <c r="N92" s="153"/>
      <c r="O92" s="153"/>
      <c r="P92" s="153"/>
      <c r="Q92" s="153"/>
      <c r="R92" s="153"/>
      <c r="S92" s="150"/>
      <c r="T92" s="150"/>
      <c r="U92" s="150"/>
      <c r="V92" s="150"/>
      <c r="W92" s="150"/>
      <c r="X92" s="151">
        <f t="shared" si="8"/>
        <v>1255505.9099999999</v>
      </c>
      <c r="Y92" s="150"/>
      <c r="Z92" s="162"/>
    </row>
    <row r="93" spans="1:26">
      <c r="A93" s="203" t="s">
        <v>582</v>
      </c>
      <c r="B93" s="153"/>
      <c r="C93" s="153"/>
      <c r="D93" s="153"/>
      <c r="E93" s="153">
        <v>4050</v>
      </c>
      <c r="F93" s="153">
        <v>25869.3</v>
      </c>
      <c r="G93" s="153"/>
      <c r="H93" s="153"/>
      <c r="I93" s="153"/>
      <c r="J93" s="153"/>
      <c r="K93" s="153"/>
      <c r="L93" s="153"/>
      <c r="M93" s="153">
        <f>180780+167973.91</f>
        <v>348753.91000000003</v>
      </c>
      <c r="N93" s="153"/>
      <c r="O93" s="153"/>
      <c r="P93" s="153"/>
      <c r="Q93" s="153"/>
      <c r="R93" s="153"/>
      <c r="S93" s="150"/>
      <c r="T93" s="150"/>
      <c r="U93" s="150">
        <v>7746.1</v>
      </c>
      <c r="V93" s="150">
        <v>6450</v>
      </c>
      <c r="W93" s="153"/>
      <c r="X93" s="151">
        <f t="shared" si="8"/>
        <v>4212190.68</v>
      </c>
      <c r="Y93" s="153">
        <v>0</v>
      </c>
      <c r="Z93" s="162"/>
    </row>
    <row r="94" spans="1:26">
      <c r="A94" s="203" t="s">
        <v>583</v>
      </c>
      <c r="B94" s="153"/>
      <c r="C94" s="153"/>
      <c r="D94" s="153"/>
      <c r="E94" s="153">
        <v>2796</v>
      </c>
      <c r="F94" s="153">
        <v>35690.400000000001</v>
      </c>
      <c r="G94" s="153"/>
      <c r="H94" s="153"/>
      <c r="I94" s="153"/>
      <c r="J94" s="153"/>
      <c r="K94" s="153"/>
      <c r="L94" s="153"/>
      <c r="M94" s="153"/>
      <c r="N94" s="153"/>
      <c r="O94" s="153"/>
      <c r="P94" s="153"/>
      <c r="Q94" s="153"/>
      <c r="R94" s="153"/>
      <c r="S94" s="150"/>
      <c r="T94" s="150"/>
      <c r="U94" s="150">
        <v>10000</v>
      </c>
      <c r="V94" s="150">
        <v>2450</v>
      </c>
      <c r="W94" s="153"/>
      <c r="X94" s="151">
        <f t="shared" si="8"/>
        <v>1411101.4799999997</v>
      </c>
      <c r="Y94" s="153">
        <v>0</v>
      </c>
      <c r="Z94" s="162"/>
    </row>
    <row r="95" spans="1:26">
      <c r="A95" s="203" t="s">
        <v>584</v>
      </c>
      <c r="B95" s="153"/>
      <c r="C95" s="153"/>
      <c r="D95" s="153"/>
      <c r="E95" s="153">
        <v>6564</v>
      </c>
      <c r="F95" s="153">
        <v>90289.8</v>
      </c>
      <c r="G95" s="153"/>
      <c r="H95" s="153"/>
      <c r="I95" s="153"/>
      <c r="J95" s="153"/>
      <c r="K95" s="153"/>
      <c r="L95" s="153"/>
      <c r="M95" s="153"/>
      <c r="N95" s="153"/>
      <c r="O95" s="153"/>
      <c r="P95" s="153"/>
      <c r="Q95" s="153"/>
      <c r="R95" s="153"/>
      <c r="S95" s="150">
        <v>9581.35</v>
      </c>
      <c r="T95" s="150"/>
      <c r="U95" s="150">
        <v>39130.85</v>
      </c>
      <c r="V95" s="150">
        <v>8450</v>
      </c>
      <c r="W95" s="153"/>
      <c r="X95" s="151">
        <f t="shared" si="8"/>
        <v>2780457.11</v>
      </c>
      <c r="Y95" s="153">
        <v>0</v>
      </c>
      <c r="Z95" s="162"/>
    </row>
    <row r="96" spans="1:26">
      <c r="A96" s="203" t="s">
        <v>585</v>
      </c>
      <c r="B96" s="153"/>
      <c r="C96" s="153"/>
      <c r="D96" s="153"/>
      <c r="E96" s="153">
        <v>4725</v>
      </c>
      <c r="F96" s="153">
        <v>40622.6</v>
      </c>
      <c r="G96" s="153"/>
      <c r="H96" s="153"/>
      <c r="I96" s="153"/>
      <c r="J96" s="153"/>
      <c r="K96" s="153"/>
      <c r="L96" s="153"/>
      <c r="M96" s="153"/>
      <c r="N96" s="153"/>
      <c r="O96" s="153"/>
      <c r="P96" s="153">
        <v>0</v>
      </c>
      <c r="Q96" s="153"/>
      <c r="R96" s="153"/>
      <c r="S96" s="150">
        <v>16638</v>
      </c>
      <c r="T96" s="150"/>
      <c r="U96" s="150">
        <v>5000</v>
      </c>
      <c r="V96" s="150">
        <v>6450</v>
      </c>
      <c r="W96" s="153"/>
      <c r="X96" s="151">
        <f t="shared" si="8"/>
        <v>1712876.9300000002</v>
      </c>
      <c r="Y96" s="153">
        <v>0</v>
      </c>
      <c r="Z96" s="162"/>
    </row>
    <row r="97" spans="1:26">
      <c r="A97" s="203" t="s">
        <v>586</v>
      </c>
      <c r="B97" s="153"/>
      <c r="C97" s="153"/>
      <c r="D97" s="153"/>
      <c r="E97" s="153">
        <v>6900</v>
      </c>
      <c r="F97" s="153">
        <v>64699.75</v>
      </c>
      <c r="G97" s="153"/>
      <c r="H97" s="153"/>
      <c r="I97" s="153"/>
      <c r="J97" s="153"/>
      <c r="K97" s="153"/>
      <c r="L97" s="153"/>
      <c r="M97" s="153"/>
      <c r="N97" s="153"/>
      <c r="O97" s="153"/>
      <c r="P97" s="153"/>
      <c r="Q97" s="153"/>
      <c r="R97" s="153"/>
      <c r="S97" s="150">
        <v>12365</v>
      </c>
      <c r="T97" s="150"/>
      <c r="U97" s="150">
        <v>17459</v>
      </c>
      <c r="V97" s="150">
        <v>3550</v>
      </c>
      <c r="W97" s="153"/>
      <c r="X97" s="151">
        <f t="shared" si="8"/>
        <v>1921559.72</v>
      </c>
      <c r="Y97" s="153">
        <v>0</v>
      </c>
      <c r="Z97" s="162"/>
    </row>
    <row r="98" spans="1:26">
      <c r="A98" s="203" t="s">
        <v>587</v>
      </c>
      <c r="B98" s="153"/>
      <c r="C98" s="153"/>
      <c r="D98" s="153"/>
      <c r="E98" s="153">
        <v>750</v>
      </c>
      <c r="F98" s="153">
        <v>15698.8</v>
      </c>
      <c r="G98" s="153"/>
      <c r="H98" s="153"/>
      <c r="I98" s="153"/>
      <c r="J98" s="153"/>
      <c r="K98" s="153"/>
      <c r="L98" s="153"/>
      <c r="M98" s="153"/>
      <c r="N98" s="153"/>
      <c r="O98" s="153"/>
      <c r="P98" s="153"/>
      <c r="Q98" s="153"/>
      <c r="R98" s="153"/>
      <c r="S98" s="150">
        <v>0</v>
      </c>
      <c r="T98" s="150"/>
      <c r="U98" s="150">
        <v>27748.55</v>
      </c>
      <c r="V98" s="150">
        <v>7000</v>
      </c>
      <c r="W98" s="153"/>
      <c r="X98" s="151">
        <f t="shared" si="8"/>
        <v>1198912.31</v>
      </c>
      <c r="Y98" s="153">
        <v>0</v>
      </c>
      <c r="Z98" s="162"/>
    </row>
    <row r="99" spans="1:26">
      <c r="A99" s="203" t="s">
        <v>588</v>
      </c>
      <c r="B99" s="153"/>
      <c r="C99" s="153"/>
      <c r="D99" s="153"/>
      <c r="E99" s="153">
        <v>0</v>
      </c>
      <c r="F99" s="153">
        <v>27010.25</v>
      </c>
      <c r="G99" s="153"/>
      <c r="H99" s="153"/>
      <c r="I99" s="153"/>
      <c r="J99" s="153"/>
      <c r="K99" s="153"/>
      <c r="L99" s="153"/>
      <c r="M99" s="153"/>
      <c r="N99" s="153"/>
      <c r="O99" s="153"/>
      <c r="P99" s="153"/>
      <c r="Q99" s="153"/>
      <c r="R99" s="153"/>
      <c r="S99" s="150">
        <v>9773</v>
      </c>
      <c r="T99" s="150"/>
      <c r="U99" s="150">
        <v>14257.5</v>
      </c>
      <c r="V99" s="150">
        <v>6000</v>
      </c>
      <c r="W99" s="153"/>
      <c r="X99" s="151">
        <f t="shared" si="8"/>
        <v>1029267.01</v>
      </c>
      <c r="Y99" s="153">
        <v>0</v>
      </c>
      <c r="Z99" s="162"/>
    </row>
    <row r="100" spans="1:26">
      <c r="A100" s="203" t="s">
        <v>589</v>
      </c>
      <c r="B100" s="153"/>
      <c r="C100" s="153"/>
      <c r="D100" s="153"/>
      <c r="E100" s="153">
        <v>0</v>
      </c>
      <c r="F100" s="153">
        <v>38281.15</v>
      </c>
      <c r="G100" s="153"/>
      <c r="H100" s="153"/>
      <c r="I100" s="153"/>
      <c r="J100" s="153"/>
      <c r="K100" s="153"/>
      <c r="L100" s="153"/>
      <c r="M100" s="153"/>
      <c r="N100" s="153"/>
      <c r="O100" s="153"/>
      <c r="P100" s="153"/>
      <c r="Q100" s="153"/>
      <c r="R100" s="153"/>
      <c r="S100" s="150">
        <v>5071</v>
      </c>
      <c r="T100" s="150"/>
      <c r="U100" s="150">
        <v>4623</v>
      </c>
      <c r="V100" s="150">
        <v>3900</v>
      </c>
      <c r="W100" s="153"/>
      <c r="X100" s="151">
        <f t="shared" si="8"/>
        <v>1055036.6399999999</v>
      </c>
      <c r="Y100" s="153">
        <v>0</v>
      </c>
      <c r="Z100" s="162"/>
    </row>
    <row r="101" spans="1:26">
      <c r="A101" s="203" t="s">
        <v>590</v>
      </c>
      <c r="B101" s="153"/>
      <c r="C101" s="153"/>
      <c r="D101" s="153"/>
      <c r="E101" s="153">
        <v>0</v>
      </c>
      <c r="F101" s="153">
        <v>49164.1</v>
      </c>
      <c r="G101" s="153"/>
      <c r="H101" s="153"/>
      <c r="I101" s="153"/>
      <c r="J101" s="153"/>
      <c r="K101" s="153"/>
      <c r="L101" s="153"/>
      <c r="M101" s="153"/>
      <c r="N101" s="153"/>
      <c r="O101" s="153"/>
      <c r="P101" s="153"/>
      <c r="Q101" s="153"/>
      <c r="R101" s="153"/>
      <c r="S101" s="150">
        <v>10050</v>
      </c>
      <c r="T101" s="150"/>
      <c r="U101" s="150">
        <v>16792</v>
      </c>
      <c r="V101" s="150">
        <v>4050</v>
      </c>
      <c r="W101" s="153"/>
      <c r="X101" s="151">
        <f t="shared" si="8"/>
        <v>1642293.46</v>
      </c>
      <c r="Y101" s="153">
        <v>0</v>
      </c>
      <c r="Z101" s="162"/>
    </row>
    <row r="102" spans="1:26">
      <c r="A102" s="203" t="s">
        <v>591</v>
      </c>
      <c r="B102" s="153"/>
      <c r="C102" s="153"/>
      <c r="D102" s="153"/>
      <c r="E102" s="153">
        <v>750</v>
      </c>
      <c r="F102" s="153">
        <v>11259.2</v>
      </c>
      <c r="G102" s="153"/>
      <c r="H102" s="153"/>
      <c r="I102" s="153"/>
      <c r="J102" s="153"/>
      <c r="K102" s="153"/>
      <c r="L102" s="153"/>
      <c r="M102" s="153"/>
      <c r="N102" s="153"/>
      <c r="O102" s="153"/>
      <c r="P102" s="153"/>
      <c r="Q102" s="153"/>
      <c r="R102" s="153"/>
      <c r="S102" s="150">
        <v>3777</v>
      </c>
      <c r="T102" s="150"/>
      <c r="U102" s="150">
        <v>11269</v>
      </c>
      <c r="V102" s="150">
        <v>5400</v>
      </c>
      <c r="W102" s="153"/>
      <c r="X102" s="151">
        <f t="shared" si="8"/>
        <v>972960.53999999992</v>
      </c>
      <c r="Y102" s="153">
        <v>0</v>
      </c>
      <c r="Z102" s="162"/>
    </row>
    <row r="103" spans="1:26">
      <c r="A103" s="203" t="s">
        <v>592</v>
      </c>
      <c r="B103" s="153">
        <v>510000</v>
      </c>
      <c r="C103" s="153"/>
      <c r="D103" s="153"/>
      <c r="E103" s="153">
        <v>5000</v>
      </c>
      <c r="F103" s="153">
        <f>18103.88+700</f>
        <v>18803.88</v>
      </c>
      <c r="G103" s="153"/>
      <c r="H103" s="153"/>
      <c r="I103" s="153"/>
      <c r="J103" s="153"/>
      <c r="K103" s="153"/>
      <c r="L103" s="153"/>
      <c r="M103" s="153"/>
      <c r="N103" s="153"/>
      <c r="O103" s="153"/>
      <c r="P103" s="153"/>
      <c r="Q103" s="153"/>
      <c r="R103" s="153"/>
      <c r="S103" s="150"/>
      <c r="T103" s="150"/>
      <c r="U103" s="150"/>
      <c r="V103" s="150"/>
      <c r="W103" s="150"/>
      <c r="X103" s="151">
        <f t="shared" si="8"/>
        <v>818490.07000000007</v>
      </c>
      <c r="Y103" s="150"/>
      <c r="Z103" s="162"/>
    </row>
    <row r="104" spans="1:26">
      <c r="A104" s="206"/>
      <c r="B104" s="157"/>
      <c r="C104" s="157"/>
      <c r="D104" s="157"/>
      <c r="E104" s="157"/>
      <c r="F104" s="157"/>
      <c r="G104" s="157"/>
      <c r="H104" s="157"/>
      <c r="I104" s="157"/>
      <c r="J104" s="157"/>
      <c r="K104" s="157"/>
      <c r="L104" s="157"/>
      <c r="M104" s="157"/>
      <c r="N104" s="157"/>
      <c r="O104" s="157"/>
      <c r="P104" s="157"/>
      <c r="Q104" s="157"/>
      <c r="R104" s="157"/>
      <c r="S104" s="155"/>
      <c r="T104" s="155"/>
      <c r="U104" s="155"/>
      <c r="V104" s="155"/>
      <c r="W104" s="155"/>
      <c r="X104" s="154"/>
      <c r="Y104" s="155"/>
      <c r="Z104" s="162"/>
    </row>
    <row r="105" spans="1:26" ht="16.2" thickBot="1">
      <c r="A105" s="196" t="s">
        <v>485</v>
      </c>
      <c r="B105" s="156">
        <f t="shared" ref="B105:X105" si="9">SUM(B89:B103)</f>
        <v>2010000</v>
      </c>
      <c r="C105" s="156">
        <f t="shared" si="9"/>
        <v>0</v>
      </c>
      <c r="D105" s="156">
        <f t="shared" si="9"/>
        <v>0</v>
      </c>
      <c r="E105" s="156">
        <f t="shared" si="9"/>
        <v>42471.5</v>
      </c>
      <c r="F105" s="156">
        <f t="shared" si="9"/>
        <v>598109.81999999995</v>
      </c>
      <c r="G105" s="156">
        <f t="shared" si="9"/>
        <v>0</v>
      </c>
      <c r="H105" s="156">
        <f t="shared" si="9"/>
        <v>0</v>
      </c>
      <c r="I105" s="156">
        <f t="shared" si="9"/>
        <v>0</v>
      </c>
      <c r="J105" s="156">
        <f t="shared" si="9"/>
        <v>0</v>
      </c>
      <c r="K105" s="156">
        <f t="shared" si="9"/>
        <v>18073.05</v>
      </c>
      <c r="L105" s="156">
        <f t="shared" si="9"/>
        <v>0</v>
      </c>
      <c r="M105" s="156">
        <f t="shared" si="9"/>
        <v>2581953.91</v>
      </c>
      <c r="N105" s="156">
        <f t="shared" si="9"/>
        <v>0</v>
      </c>
      <c r="O105" s="156">
        <f t="shared" si="9"/>
        <v>67476</v>
      </c>
      <c r="P105" s="156">
        <f t="shared" si="9"/>
        <v>0</v>
      </c>
      <c r="Q105" s="156">
        <f t="shared" si="9"/>
        <v>0</v>
      </c>
      <c r="R105" s="156">
        <f t="shared" si="9"/>
        <v>0</v>
      </c>
      <c r="S105" s="156">
        <f t="shared" si="9"/>
        <v>67255.350000000006</v>
      </c>
      <c r="T105" s="156">
        <f t="shared" si="9"/>
        <v>0</v>
      </c>
      <c r="U105" s="156">
        <f t="shared" si="9"/>
        <v>154026</v>
      </c>
      <c r="V105" s="156">
        <f t="shared" si="9"/>
        <v>53700</v>
      </c>
      <c r="W105" s="156">
        <f t="shared" si="9"/>
        <v>0</v>
      </c>
      <c r="X105" s="156">
        <f t="shared" si="9"/>
        <v>29773680.440000001</v>
      </c>
      <c r="Y105" s="156" t="s">
        <v>9</v>
      </c>
      <c r="Z105" s="162"/>
    </row>
    <row r="106" spans="1:26" ht="16.2" thickTop="1">
      <c r="A106" s="20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62"/>
    </row>
    <row r="107" spans="1:26">
      <c r="A107" s="203" t="s">
        <v>593</v>
      </c>
      <c r="B107" s="157"/>
      <c r="C107" s="157"/>
      <c r="D107" s="157"/>
      <c r="E107" s="157"/>
      <c r="F107" s="157">
        <v>46181.86</v>
      </c>
      <c r="G107" s="157"/>
      <c r="H107" s="157">
        <v>967735.32</v>
      </c>
      <c r="I107" s="157"/>
      <c r="J107" s="157"/>
      <c r="K107" s="157"/>
      <c r="L107" s="157"/>
      <c r="M107" s="157"/>
      <c r="N107" s="157"/>
      <c r="O107" s="157"/>
      <c r="P107" s="157"/>
      <c r="Q107" s="157"/>
      <c r="R107" s="157"/>
      <c r="S107" s="157"/>
      <c r="T107" s="157"/>
      <c r="U107" s="157"/>
      <c r="V107" s="157"/>
      <c r="W107" s="157"/>
      <c r="X107" s="151">
        <f t="shared" ref="X107:X115" si="10">SUM(B38:Y38)+SUM(B107:W107)</f>
        <v>1329064.51</v>
      </c>
      <c r="Y107" s="157"/>
      <c r="Z107" s="162"/>
    </row>
    <row r="108" spans="1:26" s="195" customFormat="1">
      <c r="A108" s="203" t="s">
        <v>594</v>
      </c>
      <c r="B108" s="207"/>
      <c r="C108" s="207"/>
      <c r="D108" s="207"/>
      <c r="E108" s="207"/>
      <c r="F108" s="207">
        <f>11555+9500</f>
        <v>21055</v>
      </c>
      <c r="G108" s="207"/>
      <c r="H108" s="207"/>
      <c r="I108" s="207"/>
      <c r="J108" s="207"/>
      <c r="K108" s="207"/>
      <c r="L108" s="207"/>
      <c r="M108" s="207"/>
      <c r="N108" s="207"/>
      <c r="O108" s="207"/>
      <c r="P108" s="207"/>
      <c r="Q108" s="207"/>
      <c r="R108" s="207"/>
      <c r="S108" s="207"/>
      <c r="T108" s="207"/>
      <c r="U108" s="207"/>
      <c r="V108" s="207"/>
      <c r="W108" s="207"/>
      <c r="X108" s="205">
        <f t="shared" si="10"/>
        <v>482419.54999999993</v>
      </c>
      <c r="Y108" s="207"/>
      <c r="Z108" s="194"/>
    </row>
    <row r="109" spans="1:26">
      <c r="A109" s="203" t="s">
        <v>595</v>
      </c>
      <c r="B109" s="157"/>
      <c r="C109" s="157"/>
      <c r="D109" s="157"/>
      <c r="E109" s="157"/>
      <c r="F109" s="157">
        <v>15896.39</v>
      </c>
      <c r="G109" s="157"/>
      <c r="H109" s="157"/>
      <c r="I109" s="157"/>
      <c r="J109" s="157">
        <v>950</v>
      </c>
      <c r="K109" s="157"/>
      <c r="L109" s="157"/>
      <c r="M109" s="157"/>
      <c r="N109" s="157"/>
      <c r="O109" s="157"/>
      <c r="P109" s="157"/>
      <c r="Q109" s="157"/>
      <c r="R109" s="157"/>
      <c r="S109" s="157"/>
      <c r="T109" s="157"/>
      <c r="U109" s="157"/>
      <c r="V109" s="157"/>
      <c r="W109" s="157"/>
      <c r="X109" s="151">
        <f t="shared" si="10"/>
        <v>413869.39</v>
      </c>
      <c r="Y109" s="157"/>
      <c r="Z109" s="162"/>
    </row>
    <row r="110" spans="1:26">
      <c r="A110" s="203" t="s">
        <v>596</v>
      </c>
      <c r="B110" s="157"/>
      <c r="C110" s="157"/>
      <c r="D110" s="157"/>
      <c r="E110" s="157"/>
      <c r="F110" s="157">
        <v>10500</v>
      </c>
      <c r="G110" s="157"/>
      <c r="H110" s="157"/>
      <c r="I110" s="157"/>
      <c r="J110" s="157"/>
      <c r="K110" s="157"/>
      <c r="L110" s="157"/>
      <c r="M110" s="157"/>
      <c r="N110" s="157"/>
      <c r="O110" s="157"/>
      <c r="P110" s="157"/>
      <c r="Q110" s="157"/>
      <c r="R110" s="157"/>
      <c r="S110" s="157"/>
      <c r="T110" s="157"/>
      <c r="U110" s="157"/>
      <c r="V110" s="157"/>
      <c r="W110" s="157"/>
      <c r="X110" s="151">
        <f t="shared" si="10"/>
        <v>288326.13</v>
      </c>
      <c r="Y110" s="157"/>
      <c r="Z110" s="162"/>
    </row>
    <row r="111" spans="1:26">
      <c r="A111" s="203" t="s">
        <v>597</v>
      </c>
      <c r="B111" s="157"/>
      <c r="C111" s="157"/>
      <c r="D111" s="157"/>
      <c r="E111" s="157"/>
      <c r="F111" s="157"/>
      <c r="G111" s="157"/>
      <c r="H111" s="157"/>
      <c r="I111" s="157"/>
      <c r="J111" s="157"/>
      <c r="K111" s="157"/>
      <c r="L111" s="157"/>
      <c r="M111" s="157"/>
      <c r="N111" s="157"/>
      <c r="O111" s="157"/>
      <c r="P111" s="157"/>
      <c r="Q111" s="157"/>
      <c r="R111" s="157"/>
      <c r="S111" s="157"/>
      <c r="T111" s="157"/>
      <c r="U111" s="157"/>
      <c r="V111" s="157"/>
      <c r="W111" s="157"/>
      <c r="X111" s="151">
        <f t="shared" si="10"/>
        <v>96184.37</v>
      </c>
      <c r="Y111" s="157"/>
      <c r="Z111" s="162"/>
    </row>
    <row r="112" spans="1:26">
      <c r="A112" s="203" t="s">
        <v>598</v>
      </c>
      <c r="B112" s="157"/>
      <c r="C112" s="157"/>
      <c r="D112" s="157"/>
      <c r="E112" s="157">
        <v>7125</v>
      </c>
      <c r="F112" s="157">
        <v>63450.59</v>
      </c>
      <c r="G112" s="157"/>
      <c r="H112" s="157"/>
      <c r="I112" s="157"/>
      <c r="J112" s="157"/>
      <c r="K112" s="157">
        <v>37600</v>
      </c>
      <c r="L112" s="157"/>
      <c r="M112" s="157"/>
      <c r="N112" s="157"/>
      <c r="O112" s="157"/>
      <c r="P112" s="157"/>
      <c r="Q112" s="157"/>
      <c r="R112" s="157"/>
      <c r="S112" s="157"/>
      <c r="T112" s="157"/>
      <c r="U112" s="157"/>
      <c r="V112" s="157"/>
      <c r="W112" s="157"/>
      <c r="X112" s="151">
        <f t="shared" si="10"/>
        <v>1663951.44</v>
      </c>
      <c r="Y112" s="157"/>
      <c r="Z112" s="162"/>
    </row>
    <row r="113" spans="1:26">
      <c r="A113" s="203" t="s">
        <v>599</v>
      </c>
      <c r="B113" s="153"/>
      <c r="C113" s="153"/>
      <c r="D113" s="153"/>
      <c r="E113" s="153">
        <v>6000</v>
      </c>
      <c r="F113" s="153">
        <v>40957.1</v>
      </c>
      <c r="G113" s="153"/>
      <c r="H113" s="153"/>
      <c r="I113" s="153"/>
      <c r="J113" s="153"/>
      <c r="K113" s="153"/>
      <c r="L113" s="153">
        <v>5000</v>
      </c>
      <c r="M113" s="153"/>
      <c r="N113" s="153"/>
      <c r="O113" s="153">
        <v>5985</v>
      </c>
      <c r="P113" s="153"/>
      <c r="Q113" s="153"/>
      <c r="R113" s="153"/>
      <c r="S113" s="153"/>
      <c r="T113" s="153"/>
      <c r="U113" s="153"/>
      <c r="V113" s="153"/>
      <c r="W113" s="153"/>
      <c r="X113" s="151">
        <f t="shared" si="10"/>
        <v>1174582.81</v>
      </c>
      <c r="Y113" s="153"/>
      <c r="Z113" s="162"/>
    </row>
    <row r="114" spans="1:26">
      <c r="A114" s="203" t="s">
        <v>600</v>
      </c>
      <c r="B114" s="153"/>
      <c r="C114" s="153"/>
      <c r="D114" s="153"/>
      <c r="E114" s="153"/>
      <c r="F114" s="153">
        <v>75513.25</v>
      </c>
      <c r="G114" s="153">
        <v>12166712.949999999</v>
      </c>
      <c r="H114" s="153"/>
      <c r="I114" s="153"/>
      <c r="J114" s="153"/>
      <c r="K114" s="153">
        <v>22523.15</v>
      </c>
      <c r="L114" s="153"/>
      <c r="M114" s="153"/>
      <c r="N114" s="153"/>
      <c r="O114" s="153"/>
      <c r="P114" s="153"/>
      <c r="Q114" s="153"/>
      <c r="R114" s="153"/>
      <c r="S114" s="153"/>
      <c r="T114" s="153"/>
      <c r="U114" s="153"/>
      <c r="V114" s="153"/>
      <c r="W114" s="153"/>
      <c r="X114" s="151">
        <f t="shared" si="10"/>
        <v>18954960.140000001</v>
      </c>
      <c r="Y114" s="153"/>
      <c r="Z114" s="162"/>
    </row>
    <row r="115" spans="1:26">
      <c r="A115" s="203" t="s">
        <v>601</v>
      </c>
      <c r="B115" s="153"/>
      <c r="C115" s="153"/>
      <c r="D115" s="153"/>
      <c r="E115" s="153"/>
      <c r="F115" s="153">
        <v>26</v>
      </c>
      <c r="G115" s="153"/>
      <c r="H115" s="153"/>
      <c r="I115" s="153"/>
      <c r="J115" s="153"/>
      <c r="K115" s="153"/>
      <c r="L115" s="153"/>
      <c r="M115" s="153"/>
      <c r="N115" s="153"/>
      <c r="O115" s="153"/>
      <c r="P115" s="153"/>
      <c r="Q115" s="153"/>
      <c r="R115" s="153">
        <v>110716</v>
      </c>
      <c r="S115" s="153"/>
      <c r="T115" s="153"/>
      <c r="U115" s="153"/>
      <c r="V115" s="153"/>
      <c r="W115" s="153"/>
      <c r="X115" s="151">
        <f t="shared" si="10"/>
        <v>2152037.64</v>
      </c>
      <c r="Y115" s="153"/>
      <c r="Z115" s="162"/>
    </row>
    <row r="116" spans="1:26">
      <c r="A116" s="206"/>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4"/>
      <c r="Y116" s="155"/>
      <c r="Z116" s="162"/>
    </row>
    <row r="117" spans="1:26" ht="16.2" thickBot="1">
      <c r="A117" s="142" t="s">
        <v>485</v>
      </c>
      <c r="B117" s="156">
        <f t="shared" ref="B117:Q117" si="11">SUM(B107:B115)</f>
        <v>0</v>
      </c>
      <c r="C117" s="156">
        <f t="shared" si="11"/>
        <v>0</v>
      </c>
      <c r="D117" s="156">
        <f t="shared" si="11"/>
        <v>0</v>
      </c>
      <c r="E117" s="156">
        <f t="shared" si="11"/>
        <v>13125</v>
      </c>
      <c r="F117" s="156">
        <f t="shared" si="11"/>
        <v>273580.19</v>
      </c>
      <c r="G117" s="156">
        <f t="shared" si="11"/>
        <v>12166712.949999999</v>
      </c>
      <c r="H117" s="156">
        <f t="shared" si="11"/>
        <v>967735.32</v>
      </c>
      <c r="I117" s="156">
        <f t="shared" si="11"/>
        <v>0</v>
      </c>
      <c r="J117" s="156">
        <f t="shared" si="11"/>
        <v>950</v>
      </c>
      <c r="K117" s="156">
        <f t="shared" si="11"/>
        <v>60123.15</v>
      </c>
      <c r="L117" s="156">
        <f t="shared" si="11"/>
        <v>5000</v>
      </c>
      <c r="M117" s="156">
        <f t="shared" si="11"/>
        <v>0</v>
      </c>
      <c r="N117" s="156">
        <f t="shared" si="11"/>
        <v>0</v>
      </c>
      <c r="O117" s="156">
        <f t="shared" si="11"/>
        <v>5985</v>
      </c>
      <c r="P117" s="156">
        <f t="shared" si="11"/>
        <v>0</v>
      </c>
      <c r="Q117" s="156">
        <f t="shared" si="11"/>
        <v>0</v>
      </c>
      <c r="R117" s="156">
        <f>SUM(R113:R115)</f>
        <v>110716</v>
      </c>
      <c r="S117" s="156">
        <f>SUM(S107:S115)</f>
        <v>0</v>
      </c>
      <c r="T117" s="156"/>
      <c r="U117" s="156">
        <f>SUM(U107:U115)</f>
        <v>0</v>
      </c>
      <c r="V117" s="156">
        <f>SUM(V107:V115)</f>
        <v>0</v>
      </c>
      <c r="W117" s="156">
        <f>SUM(W107:W115)</f>
        <v>0</v>
      </c>
      <c r="X117" s="156">
        <f>SUM(X107:X115)</f>
        <v>26555395.980000004</v>
      </c>
      <c r="Y117" s="156" t="s">
        <v>9</v>
      </c>
      <c r="Z117" s="162"/>
    </row>
    <row r="118" spans="1:26" ht="16.2" thickTop="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62"/>
    </row>
    <row r="119" spans="1:26" ht="16.2" thickBot="1">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2"/>
    </row>
    <row r="120" spans="1:26" ht="16.8" thickTop="1" thickBot="1">
      <c r="A120" s="145" t="s">
        <v>602</v>
      </c>
      <c r="B120" s="161">
        <f t="shared" ref="B120:I120" si="12">SUM(B87+B105+B117)</f>
        <v>7466548.75</v>
      </c>
      <c r="C120" s="161">
        <f t="shared" si="12"/>
        <v>7225000</v>
      </c>
      <c r="D120" s="161">
        <f t="shared" si="12"/>
        <v>0</v>
      </c>
      <c r="E120" s="161">
        <f t="shared" si="12"/>
        <v>130847.75</v>
      </c>
      <c r="F120" s="161">
        <f t="shared" si="12"/>
        <v>10006598.450000001</v>
      </c>
      <c r="G120" s="161">
        <f t="shared" si="12"/>
        <v>12166712.949999999</v>
      </c>
      <c r="H120" s="161">
        <f t="shared" si="12"/>
        <v>967735.32</v>
      </c>
      <c r="I120" s="161">
        <f t="shared" si="12"/>
        <v>0</v>
      </c>
      <c r="J120" s="161">
        <f t="shared" ref="J120:X120" si="13">SUM(J87+J105+J117)</f>
        <v>950</v>
      </c>
      <c r="K120" s="161">
        <f t="shared" si="13"/>
        <v>605705.45000000007</v>
      </c>
      <c r="L120" s="161">
        <f t="shared" si="13"/>
        <v>5000</v>
      </c>
      <c r="M120" s="161">
        <f t="shared" si="13"/>
        <v>6020063.3900000006</v>
      </c>
      <c r="N120" s="161">
        <f t="shared" si="13"/>
        <v>0</v>
      </c>
      <c r="O120" s="161">
        <f t="shared" si="13"/>
        <v>83506</v>
      </c>
      <c r="P120" s="161">
        <f t="shared" si="13"/>
        <v>1586369.35</v>
      </c>
      <c r="Q120" s="161">
        <f t="shared" si="13"/>
        <v>0</v>
      </c>
      <c r="R120" s="161">
        <f t="shared" si="13"/>
        <v>110716</v>
      </c>
      <c r="S120" s="161">
        <f t="shared" si="13"/>
        <v>67255.350000000006</v>
      </c>
      <c r="T120" s="161">
        <f t="shared" si="13"/>
        <v>0</v>
      </c>
      <c r="U120" s="161">
        <f t="shared" si="13"/>
        <v>154026</v>
      </c>
      <c r="V120" s="161">
        <f t="shared" si="13"/>
        <v>53700</v>
      </c>
      <c r="W120" s="161">
        <f t="shared" si="13"/>
        <v>0</v>
      </c>
      <c r="X120" s="161">
        <f t="shared" si="13"/>
        <v>120111248.24000001</v>
      </c>
      <c r="Y120" s="161" t="s">
        <v>9</v>
      </c>
      <c r="Z120" s="162"/>
    </row>
    <row r="121" spans="1:26">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row>
  </sheetData>
  <mergeCells count="4">
    <mergeCell ref="A1:L1"/>
    <mergeCell ref="M1:N1"/>
    <mergeCell ref="A69:L69"/>
    <mergeCell ref="M69:N69"/>
  </mergeCells>
  <pageMargins left="0.7" right="0.7" top="0.75" bottom="0.75" header="0.3" footer="0.3"/>
  <pageSetup orientation="landscape" verticalDpi="300" r:id="rId1"/>
</worksheet>
</file>

<file path=xl/worksheets/sheet225.xml><?xml version="1.0" encoding="utf-8"?>
<worksheet xmlns="http://schemas.openxmlformats.org/spreadsheetml/2006/main" xmlns:r="http://schemas.openxmlformats.org/officeDocument/2006/relationships">
  <sheetPr codeName="Sheet160"/>
  <dimension ref="A2:O51"/>
  <sheetViews>
    <sheetView workbookViewId="0">
      <selection activeCell="I7" sqref="I7"/>
    </sheetView>
  </sheetViews>
  <sheetFormatPr defaultColWidth="9.109375" defaultRowHeight="15.6"/>
  <cols>
    <col min="1" max="1" width="16.44140625" style="117" customWidth="1"/>
    <col min="2" max="2" width="19.109375" style="117" customWidth="1"/>
    <col min="3" max="3" width="22.44140625" style="117" customWidth="1"/>
    <col min="4" max="4" width="13.44140625" style="117" customWidth="1"/>
    <col min="5" max="5" width="14.44140625" style="117" customWidth="1"/>
    <col min="6" max="6" width="16.88671875" style="117" customWidth="1"/>
    <col min="7" max="7" width="16.44140625" style="117" customWidth="1"/>
    <col min="8" max="8" width="17" style="117" customWidth="1"/>
    <col min="9" max="9" width="17.44140625" style="117" customWidth="1"/>
    <col min="10" max="10" width="18.109375" style="117" customWidth="1"/>
    <col min="11" max="11" width="16.44140625" style="117" customWidth="1"/>
    <col min="12" max="12" width="14.88671875" style="117" customWidth="1"/>
    <col min="13" max="13" width="14.44140625" style="117" customWidth="1"/>
    <col min="14" max="14" width="18.44140625" style="117" customWidth="1"/>
    <col min="15" max="15" width="5" style="117" customWidth="1"/>
    <col min="16" max="16384" width="9.109375" style="117"/>
  </cols>
  <sheetData>
    <row r="2" spans="1:15">
      <c r="B2" s="163" t="s">
        <v>670</v>
      </c>
    </row>
    <row r="3" spans="1:15" ht="16.2" thickBot="1">
      <c r="A3" s="164" t="s">
        <v>638</v>
      </c>
      <c r="B3" s="164"/>
      <c r="C3" s="164"/>
      <c r="D3" s="164"/>
      <c r="E3" s="164"/>
      <c r="F3" s="164"/>
      <c r="G3" s="164"/>
      <c r="H3" s="164"/>
      <c r="I3" s="164"/>
      <c r="J3" s="164"/>
      <c r="K3" s="164"/>
      <c r="L3" s="164"/>
      <c r="M3" s="164"/>
      <c r="N3" s="164" t="s">
        <v>661</v>
      </c>
      <c r="O3" s="162"/>
    </row>
    <row r="4" spans="1:15" ht="16.8" thickTop="1" thickBot="1">
      <c r="A4" s="165"/>
      <c r="B4" s="166">
        <v>221</v>
      </c>
      <c r="C4" s="166">
        <v>223</v>
      </c>
      <c r="D4" s="166">
        <v>241</v>
      </c>
      <c r="E4" s="166">
        <v>251</v>
      </c>
      <c r="F4" s="166">
        <v>213</v>
      </c>
      <c r="G4" s="166">
        <v>232</v>
      </c>
      <c r="H4" s="166">
        <v>233</v>
      </c>
      <c r="I4" s="166">
        <v>222</v>
      </c>
      <c r="J4" s="166">
        <v>229</v>
      </c>
      <c r="K4" s="166">
        <v>211</v>
      </c>
      <c r="L4" s="166">
        <v>212</v>
      </c>
      <c r="M4" s="166">
        <v>215</v>
      </c>
      <c r="N4" s="167" t="s">
        <v>9</v>
      </c>
      <c r="O4" s="162"/>
    </row>
    <row r="5" spans="1:15">
      <c r="A5" s="168"/>
      <c r="B5" s="169"/>
      <c r="C5" s="169"/>
      <c r="D5" s="169"/>
      <c r="E5" s="169"/>
      <c r="F5" s="169"/>
      <c r="G5" s="169"/>
      <c r="H5" s="169"/>
      <c r="I5" s="169"/>
      <c r="J5" s="169"/>
      <c r="K5" s="169"/>
      <c r="L5" s="169"/>
      <c r="M5" s="169"/>
      <c r="N5" s="170"/>
      <c r="O5" s="162"/>
    </row>
    <row r="6" spans="1:15">
      <c r="A6" s="171" t="s">
        <v>568</v>
      </c>
      <c r="B6" s="172">
        <v>1283267</v>
      </c>
      <c r="C6" s="172">
        <v>2974000</v>
      </c>
      <c r="D6" s="172"/>
      <c r="E6" s="172"/>
      <c r="F6" s="172"/>
      <c r="G6" s="172"/>
      <c r="H6" s="172"/>
      <c r="I6" s="172">
        <v>577100</v>
      </c>
      <c r="J6" s="172"/>
      <c r="K6" s="172">
        <v>679929</v>
      </c>
      <c r="L6" s="172">
        <v>4678860.7</v>
      </c>
      <c r="M6" s="172">
        <v>234900</v>
      </c>
      <c r="N6" s="174">
        <f t="shared" ref="N6:N15" si="0">SUM(B6:M6)</f>
        <v>10428056.699999999</v>
      </c>
      <c r="O6" s="162"/>
    </row>
    <row r="7" spans="1:15">
      <c r="A7" s="171" t="s">
        <v>569</v>
      </c>
      <c r="B7" s="172">
        <v>115504</v>
      </c>
      <c r="C7" s="172">
        <v>586798.6</v>
      </c>
      <c r="D7" s="172"/>
      <c r="E7" s="172"/>
      <c r="F7" s="172"/>
      <c r="G7" s="172"/>
      <c r="H7" s="172"/>
      <c r="I7" s="172">
        <v>455222.14</v>
      </c>
      <c r="J7" s="172"/>
      <c r="K7" s="172"/>
      <c r="L7" s="172"/>
      <c r="M7" s="172"/>
      <c r="N7" s="174">
        <f t="shared" si="0"/>
        <v>1157524.74</v>
      </c>
      <c r="O7" s="162"/>
    </row>
    <row r="8" spans="1:15">
      <c r="A8" s="171" t="s">
        <v>570</v>
      </c>
      <c r="B8" s="172">
        <v>231145</v>
      </c>
      <c r="C8" s="172">
        <v>1346305</v>
      </c>
      <c r="D8" s="172"/>
      <c r="E8" s="172"/>
      <c r="F8" s="172"/>
      <c r="G8" s="172"/>
      <c r="H8" s="172"/>
      <c r="I8" s="172">
        <v>186011.3</v>
      </c>
      <c r="J8" s="172"/>
      <c r="K8" s="172"/>
      <c r="L8" s="172"/>
      <c r="M8" s="172"/>
      <c r="N8" s="174">
        <f t="shared" si="0"/>
        <v>1763461.3</v>
      </c>
      <c r="O8" s="162"/>
    </row>
    <row r="9" spans="1:15">
      <c r="A9" s="171" t="s">
        <v>571</v>
      </c>
      <c r="B9" s="172"/>
      <c r="C9" s="172">
        <v>99570</v>
      </c>
      <c r="D9" s="172"/>
      <c r="E9" s="172"/>
      <c r="F9" s="172"/>
      <c r="G9" s="172"/>
      <c r="H9" s="172"/>
      <c r="I9" s="172"/>
      <c r="J9" s="172"/>
      <c r="K9" s="172"/>
      <c r="L9" s="172"/>
      <c r="M9" s="172"/>
      <c r="N9" s="174">
        <f t="shared" si="0"/>
        <v>99570</v>
      </c>
      <c r="O9" s="162"/>
    </row>
    <row r="10" spans="1:15">
      <c r="A10" s="171" t="s">
        <v>572</v>
      </c>
      <c r="B10" s="172">
        <v>1000</v>
      </c>
      <c r="C10" s="172">
        <v>92990</v>
      </c>
      <c r="D10" s="172"/>
      <c r="E10" s="172"/>
      <c r="F10" s="172"/>
      <c r="G10" s="172"/>
      <c r="H10" s="172"/>
      <c r="I10" s="172"/>
      <c r="J10" s="172">
        <v>48900</v>
      </c>
      <c r="K10" s="172"/>
      <c r="L10" s="172"/>
      <c r="M10" s="172"/>
      <c r="N10" s="174">
        <f t="shared" si="0"/>
        <v>142890</v>
      </c>
      <c r="O10" s="162"/>
    </row>
    <row r="11" spans="1:15">
      <c r="A11" s="171" t="s">
        <v>573</v>
      </c>
      <c r="B11" s="172">
        <v>63012.5</v>
      </c>
      <c r="C11" s="172"/>
      <c r="D11" s="172"/>
      <c r="E11" s="172"/>
      <c r="F11" s="172"/>
      <c r="G11" s="172"/>
      <c r="H11" s="172"/>
      <c r="I11" s="172"/>
      <c r="J11" s="172"/>
      <c r="K11" s="172"/>
      <c r="L11" s="172"/>
      <c r="M11" s="172"/>
      <c r="N11" s="174">
        <f t="shared" si="0"/>
        <v>63012.5</v>
      </c>
      <c r="O11" s="162"/>
    </row>
    <row r="12" spans="1:15">
      <c r="A12" s="171" t="s">
        <v>574</v>
      </c>
      <c r="B12" s="172">
        <v>72695.350000000006</v>
      </c>
      <c r="C12" s="172">
        <v>125251.35</v>
      </c>
      <c r="D12" s="172"/>
      <c r="E12" s="172"/>
      <c r="F12" s="172"/>
      <c r="G12" s="172"/>
      <c r="H12" s="172"/>
      <c r="I12" s="172"/>
      <c r="J12" s="172"/>
      <c r="K12" s="172"/>
      <c r="L12" s="172"/>
      <c r="M12" s="172"/>
      <c r="N12" s="174">
        <f t="shared" si="0"/>
        <v>197946.7</v>
      </c>
      <c r="O12" s="162"/>
    </row>
    <row r="13" spans="1:15">
      <c r="A13" s="171" t="s">
        <v>575</v>
      </c>
      <c r="B13" s="172"/>
      <c r="C13" s="172">
        <v>108456</v>
      </c>
      <c r="D13" s="172"/>
      <c r="E13" s="172"/>
      <c r="F13" s="172"/>
      <c r="G13" s="172"/>
      <c r="H13" s="172"/>
      <c r="I13" s="172"/>
      <c r="J13" s="172"/>
      <c r="K13" s="172"/>
      <c r="L13" s="172"/>
      <c r="M13" s="172"/>
      <c r="N13" s="174">
        <f t="shared" si="0"/>
        <v>108456</v>
      </c>
      <c r="O13" s="162"/>
    </row>
    <row r="14" spans="1:15">
      <c r="A14" s="171" t="s">
        <v>576</v>
      </c>
      <c r="B14" s="172"/>
      <c r="C14" s="172">
        <v>100000</v>
      </c>
      <c r="D14" s="172"/>
      <c r="E14" s="172"/>
      <c r="F14" s="172"/>
      <c r="G14" s="172"/>
      <c r="H14" s="172"/>
      <c r="I14" s="172">
        <v>175030.7</v>
      </c>
      <c r="J14" s="172"/>
      <c r="K14" s="172"/>
      <c r="L14" s="172"/>
      <c r="M14" s="172"/>
      <c r="N14" s="174">
        <f t="shared" si="0"/>
        <v>275030.7</v>
      </c>
      <c r="O14" s="162"/>
    </row>
    <row r="15" spans="1:15">
      <c r="A15" s="171" t="s">
        <v>577</v>
      </c>
      <c r="B15" s="172">
        <v>8266</v>
      </c>
      <c r="C15" s="172">
        <v>82300</v>
      </c>
      <c r="D15" s="172"/>
      <c r="E15" s="172"/>
      <c r="F15" s="172"/>
      <c r="G15" s="172"/>
      <c r="H15" s="172"/>
      <c r="I15" s="172"/>
      <c r="J15" s="172"/>
      <c r="K15" s="172"/>
      <c r="L15" s="172"/>
      <c r="M15" s="172"/>
      <c r="N15" s="174">
        <f t="shared" si="0"/>
        <v>90566</v>
      </c>
      <c r="O15" s="162"/>
    </row>
    <row r="16" spans="1:15" ht="16.2" thickBot="1">
      <c r="A16" s="164" t="s">
        <v>9</v>
      </c>
      <c r="B16" s="173"/>
      <c r="C16" s="173"/>
      <c r="D16" s="173"/>
      <c r="E16" s="173"/>
      <c r="F16" s="173"/>
      <c r="G16" s="173"/>
      <c r="H16" s="173"/>
      <c r="I16" s="173"/>
      <c r="J16" s="173"/>
      <c r="K16" s="173"/>
      <c r="L16" s="173"/>
      <c r="M16" s="173"/>
      <c r="N16" s="174" t="s">
        <v>9</v>
      </c>
      <c r="O16" s="162"/>
    </row>
    <row r="17" spans="1:15" ht="16.8" thickTop="1" thickBot="1">
      <c r="A17" s="164" t="s">
        <v>485</v>
      </c>
      <c r="B17" s="175">
        <f t="shared" ref="B17:M17" si="1">SUM(B6:B15)</f>
        <v>1774889.85</v>
      </c>
      <c r="C17" s="175">
        <f t="shared" si="1"/>
        <v>5515670.9499999993</v>
      </c>
      <c r="D17" s="175">
        <f t="shared" si="1"/>
        <v>0</v>
      </c>
      <c r="E17" s="175">
        <f t="shared" si="1"/>
        <v>0</v>
      </c>
      <c r="F17" s="175">
        <f t="shared" si="1"/>
        <v>0</v>
      </c>
      <c r="G17" s="175">
        <f t="shared" si="1"/>
        <v>0</v>
      </c>
      <c r="H17" s="175">
        <f t="shared" si="1"/>
        <v>0</v>
      </c>
      <c r="I17" s="175">
        <f t="shared" si="1"/>
        <v>1393364.14</v>
      </c>
      <c r="J17" s="175">
        <f t="shared" si="1"/>
        <v>48900</v>
      </c>
      <c r="K17" s="175">
        <f t="shared" si="1"/>
        <v>679929</v>
      </c>
      <c r="L17" s="175">
        <f t="shared" si="1"/>
        <v>4678860.7</v>
      </c>
      <c r="M17" s="175">
        <f t="shared" si="1"/>
        <v>234900</v>
      </c>
      <c r="N17" s="176">
        <f>SUM(N6:N16)</f>
        <v>14326514.639999999</v>
      </c>
      <c r="O17" s="162"/>
    </row>
    <row r="18" spans="1:15" ht="16.2" thickTop="1">
      <c r="A18" s="171" t="s">
        <v>9</v>
      </c>
      <c r="B18" s="177"/>
      <c r="C18" s="177"/>
      <c r="D18" s="177"/>
      <c r="E18" s="177"/>
      <c r="F18" s="177"/>
      <c r="G18" s="177"/>
      <c r="H18" s="177"/>
      <c r="I18" s="177"/>
      <c r="J18" s="177"/>
      <c r="K18" s="177"/>
      <c r="L18" s="177"/>
      <c r="M18" s="177"/>
      <c r="N18" s="174" t="s">
        <v>9</v>
      </c>
      <c r="O18" s="162"/>
    </row>
    <row r="19" spans="1:15">
      <c r="A19" s="171" t="s">
        <v>578</v>
      </c>
      <c r="B19" s="178"/>
      <c r="C19" s="178"/>
      <c r="D19" s="178"/>
      <c r="E19" s="178"/>
      <c r="F19" s="178"/>
      <c r="G19" s="178"/>
      <c r="H19" s="178"/>
      <c r="I19" s="178"/>
      <c r="J19" s="178"/>
      <c r="K19" s="178"/>
      <c r="L19" s="178"/>
      <c r="M19" s="178"/>
      <c r="N19" s="174">
        <f t="shared" ref="N19:N33" si="2">SUM(B19:M19)</f>
        <v>0</v>
      </c>
      <c r="O19" s="162"/>
    </row>
    <row r="20" spans="1:15">
      <c r="A20" s="171" t="s">
        <v>579</v>
      </c>
      <c r="B20" s="178">
        <v>45560</v>
      </c>
      <c r="C20" s="172">
        <v>151547.6</v>
      </c>
      <c r="D20" s="178"/>
      <c r="E20" s="178"/>
      <c r="F20" s="178"/>
      <c r="G20" s="178"/>
      <c r="H20" s="178"/>
      <c r="I20" s="178"/>
      <c r="J20" s="178"/>
      <c r="K20" s="178"/>
      <c r="L20" s="178"/>
      <c r="M20" s="178"/>
      <c r="N20" s="174">
        <f t="shared" si="2"/>
        <v>197107.6</v>
      </c>
      <c r="O20" s="162"/>
    </row>
    <row r="21" spans="1:15">
      <c r="A21" s="171" t="s">
        <v>580</v>
      </c>
      <c r="B21" s="178"/>
      <c r="C21" s="178">
        <v>7650</v>
      </c>
      <c r="D21" s="178"/>
      <c r="E21" s="178"/>
      <c r="F21" s="178"/>
      <c r="G21" s="178"/>
      <c r="H21" s="178"/>
      <c r="I21" s="178"/>
      <c r="J21" s="178"/>
      <c r="K21" s="178"/>
      <c r="L21" s="178"/>
      <c r="M21" s="178"/>
      <c r="N21" s="174">
        <f t="shared" si="2"/>
        <v>7650</v>
      </c>
      <c r="O21" s="162"/>
    </row>
    <row r="22" spans="1:15">
      <c r="A22" s="171" t="s">
        <v>581</v>
      </c>
      <c r="B22" s="178">
        <v>92100</v>
      </c>
      <c r="C22" s="172">
        <v>163700</v>
      </c>
      <c r="D22" s="178"/>
      <c r="E22" s="178"/>
      <c r="F22" s="178"/>
      <c r="G22" s="178"/>
      <c r="H22" s="178"/>
      <c r="I22" s="178"/>
      <c r="J22" s="178"/>
      <c r="K22" s="178"/>
      <c r="L22" s="178"/>
      <c r="M22" s="178"/>
      <c r="N22" s="174">
        <f t="shared" si="2"/>
        <v>255800</v>
      </c>
      <c r="O22" s="162"/>
    </row>
    <row r="23" spans="1:15">
      <c r="A23" s="171" t="s">
        <v>582</v>
      </c>
      <c r="B23" s="178"/>
      <c r="C23" s="178"/>
      <c r="D23" s="178"/>
      <c r="E23" s="178"/>
      <c r="F23" s="178"/>
      <c r="G23" s="178">
        <v>170144.5</v>
      </c>
      <c r="H23" s="178">
        <v>150000</v>
      </c>
      <c r="I23" s="178"/>
      <c r="J23" s="178"/>
      <c r="K23" s="178"/>
      <c r="L23" s="178"/>
      <c r="M23" s="178"/>
      <c r="N23" s="174">
        <f t="shared" si="2"/>
        <v>320144.5</v>
      </c>
      <c r="O23" s="162"/>
    </row>
    <row r="24" spans="1:15">
      <c r="A24" s="171" t="s">
        <v>583</v>
      </c>
      <c r="B24" s="178"/>
      <c r="C24" s="178"/>
      <c r="D24" s="178"/>
      <c r="E24" s="178"/>
      <c r="F24" s="178"/>
      <c r="G24" s="178">
        <v>189810</v>
      </c>
      <c r="H24" s="178"/>
      <c r="I24" s="178"/>
      <c r="J24" s="178"/>
      <c r="K24" s="178"/>
      <c r="L24" s="178"/>
      <c r="M24" s="178"/>
      <c r="N24" s="174">
        <f t="shared" si="2"/>
        <v>189810</v>
      </c>
      <c r="O24" s="162"/>
    </row>
    <row r="25" spans="1:15">
      <c r="A25" s="171" t="s">
        <v>584</v>
      </c>
      <c r="B25" s="178"/>
      <c r="C25" s="178">
        <v>72198</v>
      </c>
      <c r="D25" s="178"/>
      <c r="E25" s="178"/>
      <c r="F25" s="178">
        <v>91316.5</v>
      </c>
      <c r="G25" s="178"/>
      <c r="H25" s="178"/>
      <c r="I25" s="178"/>
      <c r="J25" s="178"/>
      <c r="K25" s="178"/>
      <c r="L25" s="178"/>
      <c r="M25" s="178"/>
      <c r="N25" s="174">
        <f t="shared" si="2"/>
        <v>163514.5</v>
      </c>
      <c r="O25" s="162"/>
    </row>
    <row r="26" spans="1:15">
      <c r="A26" s="171" t="s">
        <v>585</v>
      </c>
      <c r="B26" s="178"/>
      <c r="C26" s="178"/>
      <c r="D26" s="178"/>
      <c r="E26" s="178"/>
      <c r="F26" s="178"/>
      <c r="G26" s="178">
        <v>97300</v>
      </c>
      <c r="H26" s="178"/>
      <c r="I26" s="178"/>
      <c r="J26" s="178"/>
      <c r="K26" s="178"/>
      <c r="L26" s="178"/>
      <c r="M26" s="178"/>
      <c r="N26" s="174">
        <f t="shared" si="2"/>
        <v>97300</v>
      </c>
      <c r="O26" s="162"/>
    </row>
    <row r="27" spans="1:15">
      <c r="A27" s="171" t="s">
        <v>664</v>
      </c>
      <c r="B27" s="178"/>
      <c r="C27" s="178"/>
      <c r="D27" s="178"/>
      <c r="E27" s="178"/>
      <c r="F27" s="178"/>
      <c r="G27" s="178">
        <v>0</v>
      </c>
      <c r="H27" s="178"/>
      <c r="I27" s="178"/>
      <c r="J27" s="178"/>
      <c r="K27" s="178"/>
      <c r="L27" s="178"/>
      <c r="M27" s="178"/>
      <c r="N27" s="174">
        <f t="shared" si="2"/>
        <v>0</v>
      </c>
      <c r="O27" s="162"/>
    </row>
    <row r="28" spans="1:15">
      <c r="A28" s="171" t="s">
        <v>587</v>
      </c>
      <c r="B28" s="178"/>
      <c r="C28" s="178"/>
      <c r="D28" s="178"/>
      <c r="E28" s="178"/>
      <c r="F28" s="178"/>
      <c r="G28" s="178">
        <v>0</v>
      </c>
      <c r="H28" s="178"/>
      <c r="I28" s="178"/>
      <c r="J28" s="178"/>
      <c r="K28" s="178"/>
      <c r="L28" s="178"/>
      <c r="M28" s="178"/>
      <c r="N28" s="174">
        <f t="shared" si="2"/>
        <v>0</v>
      </c>
      <c r="O28" s="162"/>
    </row>
    <row r="29" spans="1:15">
      <c r="A29" s="171" t="s">
        <v>665</v>
      </c>
      <c r="B29" s="178"/>
      <c r="C29" s="178"/>
      <c r="D29" s="178"/>
      <c r="E29" s="178"/>
      <c r="F29" s="178"/>
      <c r="G29" s="178">
        <v>220000</v>
      </c>
      <c r="H29" s="178"/>
      <c r="I29" s="178"/>
      <c r="J29" s="178"/>
      <c r="K29" s="178"/>
      <c r="L29" s="178"/>
      <c r="M29" s="178"/>
      <c r="N29" s="174">
        <f t="shared" si="2"/>
        <v>220000</v>
      </c>
      <c r="O29" s="162"/>
    </row>
    <row r="30" spans="1:15">
      <c r="A30" s="171" t="s">
        <v>666</v>
      </c>
      <c r="B30" s="178"/>
      <c r="C30" s="178"/>
      <c r="D30" s="178"/>
      <c r="E30" s="178"/>
      <c r="F30" s="178"/>
      <c r="G30" s="178">
        <v>155000</v>
      </c>
      <c r="H30" s="178"/>
      <c r="I30" s="178"/>
      <c r="J30" s="178"/>
      <c r="K30" s="178"/>
      <c r="L30" s="178"/>
      <c r="M30" s="178"/>
      <c r="N30" s="174">
        <f t="shared" si="2"/>
        <v>155000</v>
      </c>
      <c r="O30" s="162"/>
    </row>
    <row r="31" spans="1:15">
      <c r="A31" s="171" t="s">
        <v>667</v>
      </c>
      <c r="B31" s="178"/>
      <c r="C31" s="178"/>
      <c r="D31" s="178"/>
      <c r="E31" s="178"/>
      <c r="F31" s="178">
        <v>120613.8</v>
      </c>
      <c r="G31" s="178">
        <v>26200</v>
      </c>
      <c r="H31" s="178"/>
      <c r="I31" s="178"/>
      <c r="J31" s="178"/>
      <c r="K31" s="178"/>
      <c r="L31" s="178"/>
      <c r="M31" s="178"/>
      <c r="N31" s="174">
        <f t="shared" si="2"/>
        <v>146813.79999999999</v>
      </c>
      <c r="O31" s="162"/>
    </row>
    <row r="32" spans="1:15">
      <c r="A32" s="171" t="s">
        <v>591</v>
      </c>
      <c r="B32" s="178"/>
      <c r="C32" s="178"/>
      <c r="D32" s="178"/>
      <c r="E32" s="178"/>
      <c r="F32" s="178"/>
      <c r="G32" s="178"/>
      <c r="H32" s="178"/>
      <c r="I32" s="178"/>
      <c r="J32" s="178"/>
      <c r="K32" s="178"/>
      <c r="L32" s="178"/>
      <c r="M32" s="178"/>
      <c r="N32" s="174">
        <f t="shared" si="2"/>
        <v>0</v>
      </c>
      <c r="O32" s="162"/>
    </row>
    <row r="33" spans="1:15">
      <c r="A33" s="171" t="s">
        <v>592</v>
      </c>
      <c r="B33" s="178">
        <v>48500</v>
      </c>
      <c r="C33" s="178">
        <v>47000</v>
      </c>
      <c r="D33" s="178"/>
      <c r="E33" s="178"/>
      <c r="F33" s="178"/>
      <c r="G33" s="178"/>
      <c r="H33" s="178"/>
      <c r="I33" s="178"/>
      <c r="J33" s="178"/>
      <c r="K33" s="178"/>
      <c r="L33" s="178"/>
      <c r="M33" s="178"/>
      <c r="N33" s="174">
        <f t="shared" si="2"/>
        <v>95500</v>
      </c>
      <c r="O33" s="162"/>
    </row>
    <row r="34" spans="1:15" ht="16.2" thickBot="1">
      <c r="A34" s="164" t="s">
        <v>485</v>
      </c>
      <c r="B34" s="177"/>
      <c r="C34" s="177"/>
      <c r="D34" s="177"/>
      <c r="E34" s="177"/>
      <c r="F34" s="177"/>
      <c r="G34" s="177"/>
      <c r="H34" s="177"/>
      <c r="I34" s="177"/>
      <c r="J34" s="177"/>
      <c r="K34" s="177"/>
      <c r="L34" s="177"/>
      <c r="M34" s="177"/>
      <c r="N34" s="174" t="s">
        <v>9</v>
      </c>
      <c r="O34" s="162"/>
    </row>
    <row r="35" spans="1:15" ht="16.8" thickTop="1" thickBot="1">
      <c r="A35" s="171"/>
      <c r="B35" s="175">
        <f t="shared" ref="B35:M35" si="3">SUM(B19:B33)</f>
        <v>186160</v>
      </c>
      <c r="C35" s="175">
        <f t="shared" si="3"/>
        <v>442095.6</v>
      </c>
      <c r="D35" s="175">
        <f t="shared" si="3"/>
        <v>0</v>
      </c>
      <c r="E35" s="175">
        <f t="shared" si="3"/>
        <v>0</v>
      </c>
      <c r="F35" s="175">
        <f t="shared" si="3"/>
        <v>211930.3</v>
      </c>
      <c r="G35" s="175">
        <f t="shared" si="3"/>
        <v>858454.5</v>
      </c>
      <c r="H35" s="175">
        <f t="shared" si="3"/>
        <v>150000</v>
      </c>
      <c r="I35" s="175">
        <f t="shared" si="3"/>
        <v>0</v>
      </c>
      <c r="J35" s="175">
        <f t="shared" si="3"/>
        <v>0</v>
      </c>
      <c r="K35" s="175">
        <f t="shared" si="3"/>
        <v>0</v>
      </c>
      <c r="L35" s="175">
        <f t="shared" si="3"/>
        <v>0</v>
      </c>
      <c r="M35" s="175">
        <f t="shared" si="3"/>
        <v>0</v>
      </c>
      <c r="N35" s="176">
        <f>SUM(N19:N34)</f>
        <v>1848640.4000000001</v>
      </c>
      <c r="O35" s="162"/>
    </row>
    <row r="36" spans="1:15" ht="16.2" thickTop="1">
      <c r="A36" s="171" t="s">
        <v>9</v>
      </c>
      <c r="B36" s="177"/>
      <c r="C36" s="177"/>
      <c r="D36" s="177"/>
      <c r="E36" s="177"/>
      <c r="F36" s="177"/>
      <c r="G36" s="177"/>
      <c r="H36" s="177"/>
      <c r="I36" s="177"/>
      <c r="J36" s="177"/>
      <c r="K36" s="177"/>
      <c r="L36" s="177"/>
      <c r="M36" s="177"/>
      <c r="N36" s="174" t="s">
        <v>9</v>
      </c>
      <c r="O36" s="162"/>
    </row>
    <row r="37" spans="1:15">
      <c r="A37" s="171" t="s">
        <v>593</v>
      </c>
      <c r="B37" s="173">
        <v>125795</v>
      </c>
      <c r="C37" s="173"/>
      <c r="D37" s="173"/>
      <c r="E37" s="173"/>
      <c r="F37" s="173"/>
      <c r="G37" s="173"/>
      <c r="H37" s="173"/>
      <c r="I37" s="173">
        <v>374000</v>
      </c>
      <c r="J37" s="173"/>
      <c r="K37" s="173"/>
      <c r="L37" s="173"/>
      <c r="M37" s="173"/>
      <c r="N37" s="174">
        <f t="shared" ref="N37:N45" si="4">SUM(B37:M37)</f>
        <v>499795</v>
      </c>
      <c r="O37" s="162"/>
    </row>
    <row r="38" spans="1:15">
      <c r="A38" s="171" t="s">
        <v>594</v>
      </c>
      <c r="B38" s="173"/>
      <c r="C38" s="173"/>
      <c r="D38" s="173"/>
      <c r="E38" s="173"/>
      <c r="F38" s="173"/>
      <c r="G38" s="173"/>
      <c r="H38" s="173"/>
      <c r="I38" s="173"/>
      <c r="J38" s="173"/>
      <c r="K38" s="173"/>
      <c r="L38" s="173"/>
      <c r="M38" s="173"/>
      <c r="N38" s="174">
        <f t="shared" si="4"/>
        <v>0</v>
      </c>
      <c r="O38" s="162"/>
    </row>
    <row r="39" spans="1:15">
      <c r="A39" s="171" t="s">
        <v>595</v>
      </c>
      <c r="B39" s="173"/>
      <c r="C39" s="173"/>
      <c r="D39" s="173"/>
      <c r="E39" s="173"/>
      <c r="F39" s="173"/>
      <c r="G39" s="173"/>
      <c r="H39" s="173"/>
      <c r="I39" s="173"/>
      <c r="J39" s="173"/>
      <c r="K39" s="173"/>
      <c r="L39" s="173"/>
      <c r="M39" s="173"/>
      <c r="N39" s="174">
        <f t="shared" si="4"/>
        <v>0</v>
      </c>
      <c r="O39" s="162"/>
    </row>
    <row r="40" spans="1:15">
      <c r="A40" s="171" t="s">
        <v>596</v>
      </c>
      <c r="B40" s="173">
        <v>154261</v>
      </c>
      <c r="C40" s="173"/>
      <c r="D40" s="173"/>
      <c r="E40" s="173"/>
      <c r="F40" s="173"/>
      <c r="G40" s="173"/>
      <c r="H40" s="173"/>
      <c r="I40" s="173"/>
      <c r="J40" s="173"/>
      <c r="K40" s="173"/>
      <c r="L40" s="173"/>
      <c r="M40" s="173"/>
      <c r="N40" s="174">
        <f t="shared" si="4"/>
        <v>154261</v>
      </c>
      <c r="O40" s="162"/>
    </row>
    <row r="41" spans="1:15">
      <c r="A41" s="171" t="s">
        <v>597</v>
      </c>
      <c r="B41" s="173"/>
      <c r="C41" s="173"/>
      <c r="D41" s="173"/>
      <c r="E41" s="173"/>
      <c r="F41" s="173"/>
      <c r="G41" s="173"/>
      <c r="H41" s="173"/>
      <c r="I41" s="173"/>
      <c r="J41" s="173"/>
      <c r="K41" s="173"/>
      <c r="L41" s="173"/>
      <c r="M41" s="173"/>
      <c r="N41" s="174">
        <f t="shared" si="4"/>
        <v>0</v>
      </c>
      <c r="O41" s="162"/>
    </row>
    <row r="42" spans="1:15">
      <c r="A42" s="171" t="s">
        <v>598</v>
      </c>
      <c r="B42" s="172"/>
      <c r="C42" s="172">
        <v>135000</v>
      </c>
      <c r="D42" s="172"/>
      <c r="E42" s="172"/>
      <c r="F42" s="172"/>
      <c r="G42" s="172"/>
      <c r="H42" s="172"/>
      <c r="I42" s="172"/>
      <c r="J42" s="172"/>
      <c r="K42" s="172"/>
      <c r="L42" s="172"/>
      <c r="M42" s="172"/>
      <c r="N42" s="174">
        <f t="shared" si="4"/>
        <v>135000</v>
      </c>
      <c r="O42" s="162"/>
    </row>
    <row r="43" spans="1:15">
      <c r="A43" s="171" t="s">
        <v>599</v>
      </c>
      <c r="B43" s="172"/>
      <c r="C43" s="172">
        <v>104686.75</v>
      </c>
      <c r="D43" s="172"/>
      <c r="E43" s="172"/>
      <c r="F43" s="172"/>
      <c r="G43" s="172"/>
      <c r="H43" s="172"/>
      <c r="I43" s="172"/>
      <c r="J43" s="172"/>
      <c r="K43" s="172"/>
      <c r="L43" s="172"/>
      <c r="M43" s="172"/>
      <c r="N43" s="174">
        <f t="shared" si="4"/>
        <v>104686.75</v>
      </c>
      <c r="O43" s="162"/>
    </row>
    <row r="44" spans="1:15">
      <c r="A44" s="171" t="s">
        <v>600</v>
      </c>
      <c r="B44" s="172">
        <v>189220</v>
      </c>
      <c r="C44" s="172"/>
      <c r="D44" s="172"/>
      <c r="E44" s="172">
        <v>28243000</v>
      </c>
      <c r="F44" s="172"/>
      <c r="G44" s="172"/>
      <c r="H44" s="172"/>
      <c r="I44" s="172"/>
      <c r="J44" s="172"/>
      <c r="K44" s="172"/>
      <c r="L44" s="172"/>
      <c r="M44" s="172"/>
      <c r="N44" s="174">
        <f t="shared" si="4"/>
        <v>28432220</v>
      </c>
      <c r="O44" s="162"/>
    </row>
    <row r="45" spans="1:15">
      <c r="A45" s="171" t="s">
        <v>668</v>
      </c>
      <c r="B45" s="172"/>
      <c r="C45" s="172">
        <v>84320</v>
      </c>
      <c r="D45" s="172" t="s">
        <v>9</v>
      </c>
      <c r="E45" s="172" t="s">
        <v>9</v>
      </c>
      <c r="F45" s="172" t="s">
        <v>9</v>
      </c>
      <c r="G45" s="172" t="s">
        <v>9</v>
      </c>
      <c r="H45" s="172" t="s">
        <v>9</v>
      </c>
      <c r="I45" s="172" t="s">
        <v>9</v>
      </c>
      <c r="J45" s="172" t="s">
        <v>9</v>
      </c>
      <c r="K45" s="172"/>
      <c r="L45" s="172"/>
      <c r="M45" s="172"/>
      <c r="N45" s="174">
        <f t="shared" si="4"/>
        <v>84320</v>
      </c>
      <c r="O45" s="162"/>
    </row>
    <row r="46" spans="1:15">
      <c r="A46" s="171"/>
      <c r="B46" s="177"/>
      <c r="C46" s="177"/>
      <c r="D46" s="177"/>
      <c r="E46" s="177"/>
      <c r="F46" s="177"/>
      <c r="G46" s="177"/>
      <c r="H46" s="177"/>
      <c r="I46" s="177"/>
      <c r="J46" s="177"/>
      <c r="K46" s="177"/>
      <c r="L46" s="177"/>
      <c r="M46" s="177"/>
      <c r="N46" s="174" t="s">
        <v>9</v>
      </c>
      <c r="O46" s="162"/>
    </row>
    <row r="47" spans="1:15" ht="16.2" thickBot="1">
      <c r="A47" s="164" t="s">
        <v>485</v>
      </c>
      <c r="B47" s="175">
        <f t="shared" ref="B47:M47" si="5">SUM(B37:B45)</f>
        <v>469276</v>
      </c>
      <c r="C47" s="175">
        <f t="shared" si="5"/>
        <v>324006.75</v>
      </c>
      <c r="D47" s="175">
        <f t="shared" si="5"/>
        <v>0</v>
      </c>
      <c r="E47" s="175">
        <f t="shared" si="5"/>
        <v>28243000</v>
      </c>
      <c r="F47" s="175">
        <f t="shared" si="5"/>
        <v>0</v>
      </c>
      <c r="G47" s="175">
        <f t="shared" si="5"/>
        <v>0</v>
      </c>
      <c r="H47" s="175">
        <f t="shared" si="5"/>
        <v>0</v>
      </c>
      <c r="I47" s="175">
        <f t="shared" si="5"/>
        <v>374000</v>
      </c>
      <c r="J47" s="175">
        <f t="shared" si="5"/>
        <v>0</v>
      </c>
      <c r="K47" s="175">
        <f t="shared" si="5"/>
        <v>0</v>
      </c>
      <c r="L47" s="175">
        <f t="shared" si="5"/>
        <v>0</v>
      </c>
      <c r="M47" s="175">
        <f t="shared" si="5"/>
        <v>0</v>
      </c>
      <c r="N47" s="174">
        <f>SUM(N37:N45)</f>
        <v>29410282.75</v>
      </c>
      <c r="O47" s="162"/>
    </row>
    <row r="48" spans="1:15" ht="16.2" thickTop="1">
      <c r="A48" s="177"/>
      <c r="B48" s="177"/>
      <c r="C48" s="177"/>
      <c r="D48" s="177"/>
      <c r="E48" s="177"/>
      <c r="F48" s="177"/>
      <c r="G48" s="177"/>
      <c r="H48" s="177"/>
      <c r="I48" s="177"/>
      <c r="J48" s="177"/>
      <c r="K48" s="177"/>
      <c r="L48" s="177"/>
      <c r="M48" s="177"/>
      <c r="N48" s="174" t="s">
        <v>9</v>
      </c>
      <c r="O48" s="162"/>
    </row>
    <row r="49" spans="1:15" ht="16.2" thickBot="1">
      <c r="B49" s="179"/>
      <c r="C49" s="179"/>
      <c r="D49" s="179"/>
      <c r="E49" s="179"/>
      <c r="F49" s="179"/>
      <c r="G49" s="179"/>
      <c r="H49" s="179"/>
      <c r="I49" s="179"/>
      <c r="J49" s="179"/>
      <c r="K49" s="179"/>
      <c r="L49" s="179"/>
      <c r="M49" s="179"/>
      <c r="N49" s="180" t="s">
        <v>9</v>
      </c>
      <c r="O49" s="162"/>
    </row>
    <row r="50" spans="1:15" ht="16.2" thickTop="1">
      <c r="A50" s="163" t="s">
        <v>669</v>
      </c>
      <c r="B50" s="181">
        <f t="shared" ref="B50:M50" si="6">SUM(B17+B35+B47)</f>
        <v>2430325.85</v>
      </c>
      <c r="C50" s="181">
        <f t="shared" si="6"/>
        <v>6281773.2999999989</v>
      </c>
      <c r="D50" s="181">
        <f t="shared" si="6"/>
        <v>0</v>
      </c>
      <c r="E50" s="181">
        <f t="shared" si="6"/>
        <v>28243000</v>
      </c>
      <c r="F50" s="181">
        <f t="shared" si="6"/>
        <v>211930.3</v>
      </c>
      <c r="G50" s="181">
        <f t="shared" si="6"/>
        <v>858454.5</v>
      </c>
      <c r="H50" s="181">
        <f t="shared" si="6"/>
        <v>150000</v>
      </c>
      <c r="I50" s="181">
        <f t="shared" si="6"/>
        <v>1767364.14</v>
      </c>
      <c r="J50" s="181">
        <f t="shared" si="6"/>
        <v>48900</v>
      </c>
      <c r="K50" s="181">
        <f t="shared" si="6"/>
        <v>679929</v>
      </c>
      <c r="L50" s="181">
        <f t="shared" si="6"/>
        <v>4678860.7</v>
      </c>
      <c r="M50" s="181">
        <f t="shared" si="6"/>
        <v>234900</v>
      </c>
      <c r="N50" s="181">
        <f>SUM(B50:M50)</f>
        <v>45585437.789999999</v>
      </c>
      <c r="O50" s="162"/>
    </row>
    <row r="51" spans="1:15">
      <c r="B51" s="162"/>
      <c r="C51" s="162"/>
      <c r="D51" s="162"/>
      <c r="E51" s="162"/>
      <c r="F51" s="162"/>
      <c r="G51" s="162"/>
      <c r="H51" s="162"/>
      <c r="I51" s="162"/>
      <c r="J51" s="162"/>
      <c r="K51" s="162"/>
      <c r="L51" s="162"/>
      <c r="M51" s="162"/>
      <c r="N51" s="162"/>
      <c r="O51" s="162"/>
    </row>
  </sheetData>
  <pageMargins left="0" right="0" top="0.25" bottom="0.25" header="0.5" footer="0.5"/>
  <pageSetup paperSize="66" scale="95" orientation="landscape" horizontalDpi="180" verticalDpi="180" r:id="rId1"/>
  <headerFooter alignWithMargins="0"/>
</worksheet>
</file>

<file path=xl/worksheets/sheet226.xml><?xml version="1.0" encoding="utf-8"?>
<worksheet xmlns="http://schemas.openxmlformats.org/spreadsheetml/2006/main" xmlns:r="http://schemas.openxmlformats.org/officeDocument/2006/relationships">
  <sheetPr codeName="Sheet226"/>
  <dimension ref="A1:D35"/>
  <sheetViews>
    <sheetView workbookViewId="0">
      <pane ySplit="2" topLeftCell="A33" activePane="bottomLeft" state="frozen"/>
      <selection pane="bottomLeft" activeCell="A3" sqref="A3:XFD3"/>
    </sheetView>
  </sheetViews>
  <sheetFormatPr defaultRowHeight="14.4"/>
  <cols>
    <col min="1" max="1" width="17" customWidth="1"/>
    <col min="2" max="2" width="9.109375" style="5879"/>
    <col min="3" max="3" width="30.44140625" customWidth="1"/>
    <col min="4" max="4" width="12.88671875" customWidth="1"/>
  </cols>
  <sheetData>
    <row r="1" spans="1:4">
      <c r="A1" s="5878" t="s">
        <v>10379</v>
      </c>
    </row>
    <row r="2" spans="1:4" s="5334" customFormat="1" ht="26.25" customHeight="1">
      <c r="A2" s="5334" t="s">
        <v>2032</v>
      </c>
      <c r="B2" s="5334" t="s">
        <v>10385</v>
      </c>
      <c r="C2" s="5334" t="s">
        <v>10386</v>
      </c>
      <c r="D2" s="5334" t="s">
        <v>2033</v>
      </c>
    </row>
    <row r="3" spans="1:4">
      <c r="A3" s="5878" t="s">
        <v>568</v>
      </c>
      <c r="B3" s="5879">
        <v>31</v>
      </c>
      <c r="C3" s="5878" t="s">
        <v>10380</v>
      </c>
      <c r="D3" s="5878" t="s">
        <v>10317</v>
      </c>
    </row>
    <row r="4" spans="1:4">
      <c r="B4" s="5879">
        <v>32</v>
      </c>
      <c r="C4" s="5878" t="s">
        <v>10381</v>
      </c>
    </row>
    <row r="5" spans="1:4">
      <c r="B5" s="5879">
        <v>28</v>
      </c>
      <c r="C5" s="5878" t="s">
        <v>10382</v>
      </c>
    </row>
    <row r="7" spans="1:4">
      <c r="B7" s="5879">
        <v>33</v>
      </c>
      <c r="C7" s="5878" t="s">
        <v>10383</v>
      </c>
      <c r="D7" s="5878" t="s">
        <v>10318</v>
      </c>
    </row>
    <row r="8" spans="1:4">
      <c r="B8" s="5879">
        <v>34</v>
      </c>
      <c r="C8" s="5878" t="s">
        <v>10384</v>
      </c>
    </row>
    <row r="10" spans="1:4">
      <c r="A10" s="5878" t="s">
        <v>578</v>
      </c>
      <c r="B10" s="5879">
        <v>45</v>
      </c>
      <c r="C10" s="5878" t="s">
        <v>10387</v>
      </c>
      <c r="D10" s="5878" t="s">
        <v>10327</v>
      </c>
    </row>
    <row r="11" spans="1:4">
      <c r="B11" s="5879">
        <v>49</v>
      </c>
      <c r="C11" s="5878" t="s">
        <v>900</v>
      </c>
      <c r="D11" s="5878" t="s">
        <v>3318</v>
      </c>
    </row>
    <row r="13" spans="1:4">
      <c r="A13" s="5878" t="s">
        <v>3318</v>
      </c>
      <c r="B13" s="5879">
        <v>1437</v>
      </c>
      <c r="C13" s="5878" t="s">
        <v>889</v>
      </c>
      <c r="D13" s="5878" t="s">
        <v>578</v>
      </c>
    </row>
    <row r="14" spans="1:4">
      <c r="B14" s="5879">
        <v>1436</v>
      </c>
      <c r="C14" s="5878" t="s">
        <v>928</v>
      </c>
      <c r="D14" s="5878" t="s">
        <v>3313</v>
      </c>
    </row>
    <row r="15" spans="1:4">
      <c r="B15" s="5879">
        <v>1424</v>
      </c>
      <c r="C15" s="5878" t="s">
        <v>10388</v>
      </c>
      <c r="D15" s="5878" t="s">
        <v>10327</v>
      </c>
    </row>
    <row r="17" spans="1:4">
      <c r="A17" s="5878" t="s">
        <v>600</v>
      </c>
      <c r="B17" s="5879">
        <v>1302</v>
      </c>
      <c r="C17" s="5878" t="s">
        <v>10384</v>
      </c>
      <c r="D17" s="5878" t="s">
        <v>594</v>
      </c>
    </row>
    <row r="18" spans="1:4">
      <c r="B18" s="5879">
        <v>1413</v>
      </c>
      <c r="C18" s="5878" t="s">
        <v>10389</v>
      </c>
      <c r="D18" s="5878" t="s">
        <v>10390</v>
      </c>
    </row>
    <row r="20" spans="1:4">
      <c r="A20" s="5878" t="s">
        <v>596</v>
      </c>
      <c r="B20" s="5879">
        <v>71</v>
      </c>
      <c r="C20" s="5878" t="s">
        <v>10391</v>
      </c>
      <c r="D20" s="5878" t="s">
        <v>10317</v>
      </c>
    </row>
    <row r="22" spans="1:4">
      <c r="A22" s="5878" t="s">
        <v>3313</v>
      </c>
      <c r="B22" s="5879">
        <v>344</v>
      </c>
      <c r="C22" s="5878" t="s">
        <v>10392</v>
      </c>
      <c r="D22" s="5878" t="s">
        <v>596</v>
      </c>
    </row>
    <row r="23" spans="1:4">
      <c r="B23" s="5879">
        <v>369</v>
      </c>
      <c r="C23" s="5878" t="s">
        <v>10393</v>
      </c>
      <c r="D23" s="5878" t="s">
        <v>10327</v>
      </c>
    </row>
    <row r="24" spans="1:4">
      <c r="B24" s="5879">
        <v>410</v>
      </c>
      <c r="C24" s="5878" t="s">
        <v>889</v>
      </c>
      <c r="D24" s="5878" t="s">
        <v>601</v>
      </c>
    </row>
    <row r="25" spans="1:4">
      <c r="B25" s="5879">
        <v>413</v>
      </c>
      <c r="C25" s="5878" t="s">
        <v>10394</v>
      </c>
      <c r="D25" s="5878" t="s">
        <v>575</v>
      </c>
    </row>
    <row r="26" spans="1:4">
      <c r="B26" s="5879">
        <v>414</v>
      </c>
      <c r="C26" s="5878" t="s">
        <v>10394</v>
      </c>
      <c r="D26" s="5878" t="s">
        <v>10327</v>
      </c>
    </row>
    <row r="27" spans="1:4">
      <c r="B27" s="5879">
        <v>417</v>
      </c>
      <c r="C27" s="5878" t="s">
        <v>10395</v>
      </c>
      <c r="D27" s="5878" t="s">
        <v>568</v>
      </c>
    </row>
    <row r="29" spans="1:4">
      <c r="A29" s="5878" t="s">
        <v>581</v>
      </c>
      <c r="B29" s="5879">
        <v>668</v>
      </c>
      <c r="C29" s="5878" t="s">
        <v>10396</v>
      </c>
      <c r="D29" s="5878" t="s">
        <v>10327</v>
      </c>
    </row>
    <row r="30" spans="1:4">
      <c r="B30" s="5879">
        <v>716</v>
      </c>
      <c r="C30" s="5878" t="s">
        <v>10397</v>
      </c>
      <c r="D30" s="5878" t="s">
        <v>586</v>
      </c>
    </row>
    <row r="32" spans="1:4">
      <c r="A32" s="5878" t="s">
        <v>10398</v>
      </c>
      <c r="B32" s="5879">
        <v>1051</v>
      </c>
      <c r="C32" s="5878" t="s">
        <v>10399</v>
      </c>
      <c r="D32" s="5878" t="s">
        <v>591</v>
      </c>
    </row>
    <row r="34" spans="1:4">
      <c r="A34" s="5878" t="s">
        <v>2051</v>
      </c>
      <c r="B34" s="5879">
        <v>1177</v>
      </c>
      <c r="C34" s="5878" t="s">
        <v>10400</v>
      </c>
      <c r="D34" s="5878" t="s">
        <v>568</v>
      </c>
    </row>
    <row r="35" spans="1:4">
      <c r="B35" s="5879">
        <v>1233</v>
      </c>
      <c r="C35" s="5878" t="s">
        <v>10401</v>
      </c>
      <c r="D35" s="5878" t="s">
        <v>10327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Sheet9">
    <tabColor theme="8" tint="-0.249977111117893"/>
  </sheetPr>
  <dimension ref="A1:O159"/>
  <sheetViews>
    <sheetView showGridLines="0" workbookViewId="0">
      <selection activeCell="M14" sqref="M14"/>
    </sheetView>
  </sheetViews>
  <sheetFormatPr defaultRowHeight="15" customHeight="1"/>
  <cols>
    <col min="1" max="1" width="4.33203125" style="8163" customWidth="1"/>
    <col min="2" max="2" width="40.5546875" style="8163" customWidth="1"/>
    <col min="3" max="3" width="15.5546875" style="8185" customWidth="1"/>
    <col min="4" max="4" width="12.5546875" style="8755" customWidth="1"/>
    <col min="5" max="7" width="15.5546875" style="8193" customWidth="1"/>
    <col min="8" max="8" width="16.109375" style="8193" customWidth="1"/>
    <col min="9" max="9" width="15.5546875" style="8193" hidden="1" customWidth="1"/>
    <col min="10" max="10" width="15.5546875" style="8194" hidden="1" customWidth="1"/>
    <col min="11" max="11" width="16.33203125" style="8193" customWidth="1"/>
    <col min="12" max="12" width="17.6640625" style="10031" customWidth="1"/>
    <col min="13" max="13" width="17.6640625" style="8163" customWidth="1"/>
    <col min="14" max="14" width="17.6640625" style="7760" customWidth="1"/>
    <col min="15" max="15" width="17.6640625" style="10279" customWidth="1"/>
    <col min="16" max="16" width="17.6640625" style="8163" customWidth="1"/>
    <col min="17" max="19" width="8.88671875" style="8163" customWidth="1"/>
    <col min="20" max="204" width="9.109375" style="8163"/>
    <col min="205" max="205" width="3.88671875" style="8163" customWidth="1"/>
    <col min="206" max="206" width="38.109375" style="8163" customWidth="1"/>
    <col min="207" max="207" width="11.44140625" style="8163" customWidth="1"/>
    <col min="208" max="208" width="15" style="8163" customWidth="1"/>
    <col min="209" max="209" width="16.109375" style="8163" customWidth="1"/>
    <col min="210" max="210" width="15.109375" style="8163" customWidth="1"/>
    <col min="211" max="211" width="16.109375" style="8163" customWidth="1"/>
    <col min="212" max="212" width="14.44140625" style="8163" bestFit="1" customWidth="1"/>
    <col min="213" max="460" width="9.109375" style="8163"/>
    <col min="461" max="461" width="3.88671875" style="8163" customWidth="1"/>
    <col min="462" max="462" width="38.109375" style="8163" customWidth="1"/>
    <col min="463" max="463" width="11.44140625" style="8163" customWidth="1"/>
    <col min="464" max="464" width="15" style="8163" customWidth="1"/>
    <col min="465" max="465" width="16.109375" style="8163" customWidth="1"/>
    <col min="466" max="466" width="15.109375" style="8163" customWidth="1"/>
    <col min="467" max="467" width="16.109375" style="8163" customWidth="1"/>
    <col min="468" max="468" width="14.44140625" style="8163" bestFit="1" customWidth="1"/>
    <col min="469" max="716" width="9.109375" style="8163"/>
    <col min="717" max="717" width="3.88671875" style="8163" customWidth="1"/>
    <col min="718" max="718" width="38.109375" style="8163" customWidth="1"/>
    <col min="719" max="719" width="11.44140625" style="8163" customWidth="1"/>
    <col min="720" max="720" width="15" style="8163" customWidth="1"/>
    <col min="721" max="721" width="16.109375" style="8163" customWidth="1"/>
    <col min="722" max="722" width="15.109375" style="8163" customWidth="1"/>
    <col min="723" max="723" width="16.109375" style="8163" customWidth="1"/>
    <col min="724" max="724" width="14.44140625" style="8163" bestFit="1" customWidth="1"/>
    <col min="725" max="972" width="9.109375" style="8163"/>
    <col min="973" max="973" width="3.88671875" style="8163" customWidth="1"/>
    <col min="974" max="974" width="38.109375" style="8163" customWidth="1"/>
    <col min="975" max="975" width="11.44140625" style="8163" customWidth="1"/>
    <col min="976" max="976" width="15" style="8163" customWidth="1"/>
    <col min="977" max="977" width="16.109375" style="8163" customWidth="1"/>
    <col min="978" max="978" width="15.109375" style="8163" customWidth="1"/>
    <col min="979" max="979" width="16.109375" style="8163" customWidth="1"/>
    <col min="980" max="980" width="14.44140625" style="8163" bestFit="1" customWidth="1"/>
    <col min="981" max="1228" width="9.109375" style="8163"/>
    <col min="1229" max="1229" width="3.88671875" style="8163" customWidth="1"/>
    <col min="1230" max="1230" width="38.109375" style="8163" customWidth="1"/>
    <col min="1231" max="1231" width="11.44140625" style="8163" customWidth="1"/>
    <col min="1232" max="1232" width="15" style="8163" customWidth="1"/>
    <col min="1233" max="1233" width="16.109375" style="8163" customWidth="1"/>
    <col min="1234" max="1234" width="15.109375" style="8163" customWidth="1"/>
    <col min="1235" max="1235" width="16.109375" style="8163" customWidth="1"/>
    <col min="1236" max="1236" width="14.44140625" style="8163" bestFit="1" customWidth="1"/>
    <col min="1237" max="1484" width="9.109375" style="8163"/>
    <col min="1485" max="1485" width="3.88671875" style="8163" customWidth="1"/>
    <col min="1486" max="1486" width="38.109375" style="8163" customWidth="1"/>
    <col min="1487" max="1487" width="11.44140625" style="8163" customWidth="1"/>
    <col min="1488" max="1488" width="15" style="8163" customWidth="1"/>
    <col min="1489" max="1489" width="16.109375" style="8163" customWidth="1"/>
    <col min="1490" max="1490" width="15.109375" style="8163" customWidth="1"/>
    <col min="1491" max="1491" width="16.109375" style="8163" customWidth="1"/>
    <col min="1492" max="1492" width="14.44140625" style="8163" bestFit="1" customWidth="1"/>
    <col min="1493" max="1740" width="9.109375" style="8163"/>
    <col min="1741" max="1741" width="3.88671875" style="8163" customWidth="1"/>
    <col min="1742" max="1742" width="38.109375" style="8163" customWidth="1"/>
    <col min="1743" max="1743" width="11.44140625" style="8163" customWidth="1"/>
    <col min="1744" max="1744" width="15" style="8163" customWidth="1"/>
    <col min="1745" max="1745" width="16.109375" style="8163" customWidth="1"/>
    <col min="1746" max="1746" width="15.109375" style="8163" customWidth="1"/>
    <col min="1747" max="1747" width="16.109375" style="8163" customWidth="1"/>
    <col min="1748" max="1748" width="14.44140625" style="8163" bestFit="1" customWidth="1"/>
    <col min="1749" max="1996" width="9.109375" style="8163"/>
    <col min="1997" max="1997" width="3.88671875" style="8163" customWidth="1"/>
    <col min="1998" max="1998" width="38.109375" style="8163" customWidth="1"/>
    <col min="1999" max="1999" width="11.44140625" style="8163" customWidth="1"/>
    <col min="2000" max="2000" width="15" style="8163" customWidth="1"/>
    <col min="2001" max="2001" width="16.109375" style="8163" customWidth="1"/>
    <col min="2002" max="2002" width="15.109375" style="8163" customWidth="1"/>
    <col min="2003" max="2003" width="16.109375" style="8163" customWidth="1"/>
    <col min="2004" max="2004" width="14.44140625" style="8163" bestFit="1" customWidth="1"/>
    <col min="2005" max="2252" width="9.109375" style="8163"/>
    <col min="2253" max="2253" width="3.88671875" style="8163" customWidth="1"/>
    <col min="2254" max="2254" width="38.109375" style="8163" customWidth="1"/>
    <col min="2255" max="2255" width="11.44140625" style="8163" customWidth="1"/>
    <col min="2256" max="2256" width="15" style="8163" customWidth="1"/>
    <col min="2257" max="2257" width="16.109375" style="8163" customWidth="1"/>
    <col min="2258" max="2258" width="15.109375" style="8163" customWidth="1"/>
    <col min="2259" max="2259" width="16.109375" style="8163" customWidth="1"/>
    <col min="2260" max="2260" width="14.44140625" style="8163" bestFit="1" customWidth="1"/>
    <col min="2261" max="2508" width="9.109375" style="8163"/>
    <col min="2509" max="2509" width="3.88671875" style="8163" customWidth="1"/>
    <col min="2510" max="2510" width="38.109375" style="8163" customWidth="1"/>
    <col min="2511" max="2511" width="11.44140625" style="8163" customWidth="1"/>
    <col min="2512" max="2512" width="15" style="8163" customWidth="1"/>
    <col min="2513" max="2513" width="16.109375" style="8163" customWidth="1"/>
    <col min="2514" max="2514" width="15.109375" style="8163" customWidth="1"/>
    <col min="2515" max="2515" width="16.109375" style="8163" customWidth="1"/>
    <col min="2516" max="2516" width="14.44140625" style="8163" bestFit="1" customWidth="1"/>
    <col min="2517" max="2764" width="9.109375" style="8163"/>
    <col min="2765" max="2765" width="3.88671875" style="8163" customWidth="1"/>
    <col min="2766" max="2766" width="38.109375" style="8163" customWidth="1"/>
    <col min="2767" max="2767" width="11.44140625" style="8163" customWidth="1"/>
    <col min="2768" max="2768" width="15" style="8163" customWidth="1"/>
    <col min="2769" max="2769" width="16.109375" style="8163" customWidth="1"/>
    <col min="2770" max="2770" width="15.109375" style="8163" customWidth="1"/>
    <col min="2771" max="2771" width="16.109375" style="8163" customWidth="1"/>
    <col min="2772" max="2772" width="14.44140625" style="8163" bestFit="1" customWidth="1"/>
    <col min="2773" max="3020" width="9.109375" style="8163"/>
    <col min="3021" max="3021" width="3.88671875" style="8163" customWidth="1"/>
    <col min="3022" max="3022" width="38.109375" style="8163" customWidth="1"/>
    <col min="3023" max="3023" width="11.44140625" style="8163" customWidth="1"/>
    <col min="3024" max="3024" width="15" style="8163" customWidth="1"/>
    <col min="3025" max="3025" width="16.109375" style="8163" customWidth="1"/>
    <col min="3026" max="3026" width="15.109375" style="8163" customWidth="1"/>
    <col min="3027" max="3027" width="16.109375" style="8163" customWidth="1"/>
    <col min="3028" max="3028" width="14.44140625" style="8163" bestFit="1" customWidth="1"/>
    <col min="3029" max="3276" width="9.109375" style="8163"/>
    <col min="3277" max="3277" width="3.88671875" style="8163" customWidth="1"/>
    <col min="3278" max="3278" width="38.109375" style="8163" customWidth="1"/>
    <col min="3279" max="3279" width="11.44140625" style="8163" customWidth="1"/>
    <col min="3280" max="3280" width="15" style="8163" customWidth="1"/>
    <col min="3281" max="3281" width="16.109375" style="8163" customWidth="1"/>
    <col min="3282" max="3282" width="15.109375" style="8163" customWidth="1"/>
    <col min="3283" max="3283" width="16.109375" style="8163" customWidth="1"/>
    <col min="3284" max="3284" width="14.44140625" style="8163" bestFit="1" customWidth="1"/>
    <col min="3285" max="3532" width="9.109375" style="8163"/>
    <col min="3533" max="3533" width="3.88671875" style="8163" customWidth="1"/>
    <col min="3534" max="3534" width="38.109375" style="8163" customWidth="1"/>
    <col min="3535" max="3535" width="11.44140625" style="8163" customWidth="1"/>
    <col min="3536" max="3536" width="15" style="8163" customWidth="1"/>
    <col min="3537" max="3537" width="16.109375" style="8163" customWidth="1"/>
    <col min="3538" max="3538" width="15.109375" style="8163" customWidth="1"/>
    <col min="3539" max="3539" width="16.109375" style="8163" customWidth="1"/>
    <col min="3540" max="3540" width="14.44140625" style="8163" bestFit="1" customWidth="1"/>
    <col min="3541" max="3788" width="9.109375" style="8163"/>
    <col min="3789" max="3789" width="3.88671875" style="8163" customWidth="1"/>
    <col min="3790" max="3790" width="38.109375" style="8163" customWidth="1"/>
    <col min="3791" max="3791" width="11.44140625" style="8163" customWidth="1"/>
    <col min="3792" max="3792" width="15" style="8163" customWidth="1"/>
    <col min="3793" max="3793" width="16.109375" style="8163" customWidth="1"/>
    <col min="3794" max="3794" width="15.109375" style="8163" customWidth="1"/>
    <col min="3795" max="3795" width="16.109375" style="8163" customWidth="1"/>
    <col min="3796" max="3796" width="14.44140625" style="8163" bestFit="1" customWidth="1"/>
    <col min="3797" max="4044" width="9.109375" style="8163"/>
    <col min="4045" max="4045" width="3.88671875" style="8163" customWidth="1"/>
    <col min="4046" max="4046" width="38.109375" style="8163" customWidth="1"/>
    <col min="4047" max="4047" width="11.44140625" style="8163" customWidth="1"/>
    <col min="4048" max="4048" width="15" style="8163" customWidth="1"/>
    <col min="4049" max="4049" width="16.109375" style="8163" customWidth="1"/>
    <col min="4050" max="4050" width="15.109375" style="8163" customWidth="1"/>
    <col min="4051" max="4051" width="16.109375" style="8163" customWidth="1"/>
    <col min="4052" max="4052" width="14.44140625" style="8163" bestFit="1" customWidth="1"/>
    <col min="4053" max="4300" width="9.109375" style="8163"/>
    <col min="4301" max="4301" width="3.88671875" style="8163" customWidth="1"/>
    <col min="4302" max="4302" width="38.109375" style="8163" customWidth="1"/>
    <col min="4303" max="4303" width="11.44140625" style="8163" customWidth="1"/>
    <col min="4304" max="4304" width="15" style="8163" customWidth="1"/>
    <col min="4305" max="4305" width="16.109375" style="8163" customWidth="1"/>
    <col min="4306" max="4306" width="15.109375" style="8163" customWidth="1"/>
    <col min="4307" max="4307" width="16.109375" style="8163" customWidth="1"/>
    <col min="4308" max="4308" width="14.44140625" style="8163" bestFit="1" customWidth="1"/>
    <col min="4309" max="4556" width="9.109375" style="8163"/>
    <col min="4557" max="4557" width="3.88671875" style="8163" customWidth="1"/>
    <col min="4558" max="4558" width="38.109375" style="8163" customWidth="1"/>
    <col min="4559" max="4559" width="11.44140625" style="8163" customWidth="1"/>
    <col min="4560" max="4560" width="15" style="8163" customWidth="1"/>
    <col min="4561" max="4561" width="16.109375" style="8163" customWidth="1"/>
    <col min="4562" max="4562" width="15.109375" style="8163" customWidth="1"/>
    <col min="4563" max="4563" width="16.109375" style="8163" customWidth="1"/>
    <col min="4564" max="4564" width="14.44140625" style="8163" bestFit="1" customWidth="1"/>
    <col min="4565" max="4812" width="9.109375" style="8163"/>
    <col min="4813" max="4813" width="3.88671875" style="8163" customWidth="1"/>
    <col min="4814" max="4814" width="38.109375" style="8163" customWidth="1"/>
    <col min="4815" max="4815" width="11.44140625" style="8163" customWidth="1"/>
    <col min="4816" max="4816" width="15" style="8163" customWidth="1"/>
    <col min="4817" max="4817" width="16.109375" style="8163" customWidth="1"/>
    <col min="4818" max="4818" width="15.109375" style="8163" customWidth="1"/>
    <col min="4819" max="4819" width="16.109375" style="8163" customWidth="1"/>
    <col min="4820" max="4820" width="14.44140625" style="8163" bestFit="1" customWidth="1"/>
    <col min="4821" max="5068" width="9.109375" style="8163"/>
    <col min="5069" max="5069" width="3.88671875" style="8163" customWidth="1"/>
    <col min="5070" max="5070" width="38.109375" style="8163" customWidth="1"/>
    <col min="5071" max="5071" width="11.44140625" style="8163" customWidth="1"/>
    <col min="5072" max="5072" width="15" style="8163" customWidth="1"/>
    <col min="5073" max="5073" width="16.109375" style="8163" customWidth="1"/>
    <col min="5074" max="5074" width="15.109375" style="8163" customWidth="1"/>
    <col min="5075" max="5075" width="16.109375" style="8163" customWidth="1"/>
    <col min="5076" max="5076" width="14.44140625" style="8163" bestFit="1" customWidth="1"/>
    <col min="5077" max="5324" width="9.109375" style="8163"/>
    <col min="5325" max="5325" width="3.88671875" style="8163" customWidth="1"/>
    <col min="5326" max="5326" width="38.109375" style="8163" customWidth="1"/>
    <col min="5327" max="5327" width="11.44140625" style="8163" customWidth="1"/>
    <col min="5328" max="5328" width="15" style="8163" customWidth="1"/>
    <col min="5329" max="5329" width="16.109375" style="8163" customWidth="1"/>
    <col min="5330" max="5330" width="15.109375" style="8163" customWidth="1"/>
    <col min="5331" max="5331" width="16.109375" style="8163" customWidth="1"/>
    <col min="5332" max="5332" width="14.44140625" style="8163" bestFit="1" customWidth="1"/>
    <col min="5333" max="5580" width="9.109375" style="8163"/>
    <col min="5581" max="5581" width="3.88671875" style="8163" customWidth="1"/>
    <col min="5582" max="5582" width="38.109375" style="8163" customWidth="1"/>
    <col min="5583" max="5583" width="11.44140625" style="8163" customWidth="1"/>
    <col min="5584" max="5584" width="15" style="8163" customWidth="1"/>
    <col min="5585" max="5585" width="16.109375" style="8163" customWidth="1"/>
    <col min="5586" max="5586" width="15.109375" style="8163" customWidth="1"/>
    <col min="5587" max="5587" width="16.109375" style="8163" customWidth="1"/>
    <col min="5588" max="5588" width="14.44140625" style="8163" bestFit="1" customWidth="1"/>
    <col min="5589" max="5836" width="9.109375" style="8163"/>
    <col min="5837" max="5837" width="3.88671875" style="8163" customWidth="1"/>
    <col min="5838" max="5838" width="38.109375" style="8163" customWidth="1"/>
    <col min="5839" max="5839" width="11.44140625" style="8163" customWidth="1"/>
    <col min="5840" max="5840" width="15" style="8163" customWidth="1"/>
    <col min="5841" max="5841" width="16.109375" style="8163" customWidth="1"/>
    <col min="5842" max="5842" width="15.109375" style="8163" customWidth="1"/>
    <col min="5843" max="5843" width="16.109375" style="8163" customWidth="1"/>
    <col min="5844" max="5844" width="14.44140625" style="8163" bestFit="1" customWidth="1"/>
    <col min="5845" max="6092" width="9.109375" style="8163"/>
    <col min="6093" max="6093" width="3.88671875" style="8163" customWidth="1"/>
    <col min="6094" max="6094" width="38.109375" style="8163" customWidth="1"/>
    <col min="6095" max="6095" width="11.44140625" style="8163" customWidth="1"/>
    <col min="6096" max="6096" width="15" style="8163" customWidth="1"/>
    <col min="6097" max="6097" width="16.109375" style="8163" customWidth="1"/>
    <col min="6098" max="6098" width="15.109375" style="8163" customWidth="1"/>
    <col min="6099" max="6099" width="16.109375" style="8163" customWidth="1"/>
    <col min="6100" max="6100" width="14.44140625" style="8163" bestFit="1" customWidth="1"/>
    <col min="6101" max="6348" width="9.109375" style="8163"/>
    <col min="6349" max="6349" width="3.88671875" style="8163" customWidth="1"/>
    <col min="6350" max="6350" width="38.109375" style="8163" customWidth="1"/>
    <col min="6351" max="6351" width="11.44140625" style="8163" customWidth="1"/>
    <col min="6352" max="6352" width="15" style="8163" customWidth="1"/>
    <col min="6353" max="6353" width="16.109375" style="8163" customWidth="1"/>
    <col min="6354" max="6354" width="15.109375" style="8163" customWidth="1"/>
    <col min="6355" max="6355" width="16.109375" style="8163" customWidth="1"/>
    <col min="6356" max="6356" width="14.44140625" style="8163" bestFit="1" customWidth="1"/>
    <col min="6357" max="6604" width="9.109375" style="8163"/>
    <col min="6605" max="6605" width="3.88671875" style="8163" customWidth="1"/>
    <col min="6606" max="6606" width="38.109375" style="8163" customWidth="1"/>
    <col min="6607" max="6607" width="11.44140625" style="8163" customWidth="1"/>
    <col min="6608" max="6608" width="15" style="8163" customWidth="1"/>
    <col min="6609" max="6609" width="16.109375" style="8163" customWidth="1"/>
    <col min="6610" max="6610" width="15.109375" style="8163" customWidth="1"/>
    <col min="6611" max="6611" width="16.109375" style="8163" customWidth="1"/>
    <col min="6612" max="6612" width="14.44140625" style="8163" bestFit="1" customWidth="1"/>
    <col min="6613" max="6860" width="9.109375" style="8163"/>
    <col min="6861" max="6861" width="3.88671875" style="8163" customWidth="1"/>
    <col min="6862" max="6862" width="38.109375" style="8163" customWidth="1"/>
    <col min="6863" max="6863" width="11.44140625" style="8163" customWidth="1"/>
    <col min="6864" max="6864" width="15" style="8163" customWidth="1"/>
    <col min="6865" max="6865" width="16.109375" style="8163" customWidth="1"/>
    <col min="6866" max="6866" width="15.109375" style="8163" customWidth="1"/>
    <col min="6867" max="6867" width="16.109375" style="8163" customWidth="1"/>
    <col min="6868" max="6868" width="14.44140625" style="8163" bestFit="1" customWidth="1"/>
    <col min="6869" max="7116" width="9.109375" style="8163"/>
    <col min="7117" max="7117" width="3.88671875" style="8163" customWidth="1"/>
    <col min="7118" max="7118" width="38.109375" style="8163" customWidth="1"/>
    <col min="7119" max="7119" width="11.44140625" style="8163" customWidth="1"/>
    <col min="7120" max="7120" width="15" style="8163" customWidth="1"/>
    <col min="7121" max="7121" width="16.109375" style="8163" customWidth="1"/>
    <col min="7122" max="7122" width="15.109375" style="8163" customWidth="1"/>
    <col min="7123" max="7123" width="16.109375" style="8163" customWidth="1"/>
    <col min="7124" max="7124" width="14.44140625" style="8163" bestFit="1" customWidth="1"/>
    <col min="7125" max="7372" width="9.109375" style="8163"/>
    <col min="7373" max="7373" width="3.88671875" style="8163" customWidth="1"/>
    <col min="7374" max="7374" width="38.109375" style="8163" customWidth="1"/>
    <col min="7375" max="7375" width="11.44140625" style="8163" customWidth="1"/>
    <col min="7376" max="7376" width="15" style="8163" customWidth="1"/>
    <col min="7377" max="7377" width="16.109375" style="8163" customWidth="1"/>
    <col min="7378" max="7378" width="15.109375" style="8163" customWidth="1"/>
    <col min="7379" max="7379" width="16.109375" style="8163" customWidth="1"/>
    <col min="7380" max="7380" width="14.44140625" style="8163" bestFit="1" customWidth="1"/>
    <col min="7381" max="7628" width="9.109375" style="8163"/>
    <col min="7629" max="7629" width="3.88671875" style="8163" customWidth="1"/>
    <col min="7630" max="7630" width="38.109375" style="8163" customWidth="1"/>
    <col min="7631" max="7631" width="11.44140625" style="8163" customWidth="1"/>
    <col min="7632" max="7632" width="15" style="8163" customWidth="1"/>
    <col min="7633" max="7633" width="16.109375" style="8163" customWidth="1"/>
    <col min="7634" max="7634" width="15.109375" style="8163" customWidth="1"/>
    <col min="7635" max="7635" width="16.109375" style="8163" customWidth="1"/>
    <col min="7636" max="7636" width="14.44140625" style="8163" bestFit="1" customWidth="1"/>
    <col min="7637" max="7884" width="9.109375" style="8163"/>
    <col min="7885" max="7885" width="3.88671875" style="8163" customWidth="1"/>
    <col min="7886" max="7886" width="38.109375" style="8163" customWidth="1"/>
    <col min="7887" max="7887" width="11.44140625" style="8163" customWidth="1"/>
    <col min="7888" max="7888" width="15" style="8163" customWidth="1"/>
    <col min="7889" max="7889" width="16.109375" style="8163" customWidth="1"/>
    <col min="7890" max="7890" width="15.109375" style="8163" customWidth="1"/>
    <col min="7891" max="7891" width="16.109375" style="8163" customWidth="1"/>
    <col min="7892" max="7892" width="14.44140625" style="8163" bestFit="1" customWidth="1"/>
    <col min="7893" max="8140" width="9.109375" style="8163"/>
    <col min="8141" max="8141" width="3.88671875" style="8163" customWidth="1"/>
    <col min="8142" max="8142" width="38.109375" style="8163" customWidth="1"/>
    <col min="8143" max="8143" width="11.44140625" style="8163" customWidth="1"/>
    <col min="8144" max="8144" width="15" style="8163" customWidth="1"/>
    <col min="8145" max="8145" width="16.109375" style="8163" customWidth="1"/>
    <col min="8146" max="8146" width="15.109375" style="8163" customWidth="1"/>
    <col min="8147" max="8147" width="16.109375" style="8163" customWidth="1"/>
    <col min="8148" max="8148" width="14.44140625" style="8163" bestFit="1" customWidth="1"/>
    <col min="8149" max="8396" width="9.109375" style="8163"/>
    <col min="8397" max="8397" width="3.88671875" style="8163" customWidth="1"/>
    <col min="8398" max="8398" width="38.109375" style="8163" customWidth="1"/>
    <col min="8399" max="8399" width="11.44140625" style="8163" customWidth="1"/>
    <col min="8400" max="8400" width="15" style="8163" customWidth="1"/>
    <col min="8401" max="8401" width="16.109375" style="8163" customWidth="1"/>
    <col min="8402" max="8402" width="15.109375" style="8163" customWidth="1"/>
    <col min="8403" max="8403" width="16.109375" style="8163" customWidth="1"/>
    <col min="8404" max="8404" width="14.44140625" style="8163" bestFit="1" customWidth="1"/>
    <col min="8405" max="8652" width="9.109375" style="8163"/>
    <col min="8653" max="8653" width="3.88671875" style="8163" customWidth="1"/>
    <col min="8654" max="8654" width="38.109375" style="8163" customWidth="1"/>
    <col min="8655" max="8655" width="11.44140625" style="8163" customWidth="1"/>
    <col min="8656" max="8656" width="15" style="8163" customWidth="1"/>
    <col min="8657" max="8657" width="16.109375" style="8163" customWidth="1"/>
    <col min="8658" max="8658" width="15.109375" style="8163" customWidth="1"/>
    <col min="8659" max="8659" width="16.109375" style="8163" customWidth="1"/>
    <col min="8660" max="8660" width="14.44140625" style="8163" bestFit="1" customWidth="1"/>
    <col min="8661" max="8908" width="9.109375" style="8163"/>
    <col min="8909" max="8909" width="3.88671875" style="8163" customWidth="1"/>
    <col min="8910" max="8910" width="38.109375" style="8163" customWidth="1"/>
    <col min="8911" max="8911" width="11.44140625" style="8163" customWidth="1"/>
    <col min="8912" max="8912" width="15" style="8163" customWidth="1"/>
    <col min="8913" max="8913" width="16.109375" style="8163" customWidth="1"/>
    <col min="8914" max="8914" width="15.109375" style="8163" customWidth="1"/>
    <col min="8915" max="8915" width="16.109375" style="8163" customWidth="1"/>
    <col min="8916" max="8916" width="14.44140625" style="8163" bestFit="1" customWidth="1"/>
    <col min="8917" max="9164" width="9.109375" style="8163"/>
    <col min="9165" max="9165" width="3.88671875" style="8163" customWidth="1"/>
    <col min="9166" max="9166" width="38.109375" style="8163" customWidth="1"/>
    <col min="9167" max="9167" width="11.44140625" style="8163" customWidth="1"/>
    <col min="9168" max="9168" width="15" style="8163" customWidth="1"/>
    <col min="9169" max="9169" width="16.109375" style="8163" customWidth="1"/>
    <col min="9170" max="9170" width="15.109375" style="8163" customWidth="1"/>
    <col min="9171" max="9171" width="16.109375" style="8163" customWidth="1"/>
    <col min="9172" max="9172" width="14.44140625" style="8163" bestFit="1" customWidth="1"/>
    <col min="9173" max="9420" width="9.109375" style="8163"/>
    <col min="9421" max="9421" width="3.88671875" style="8163" customWidth="1"/>
    <col min="9422" max="9422" width="38.109375" style="8163" customWidth="1"/>
    <col min="9423" max="9423" width="11.44140625" style="8163" customWidth="1"/>
    <col min="9424" max="9424" width="15" style="8163" customWidth="1"/>
    <col min="9425" max="9425" width="16.109375" style="8163" customWidth="1"/>
    <col min="9426" max="9426" width="15.109375" style="8163" customWidth="1"/>
    <col min="9427" max="9427" width="16.109375" style="8163" customWidth="1"/>
    <col min="9428" max="9428" width="14.44140625" style="8163" bestFit="1" customWidth="1"/>
    <col min="9429" max="9676" width="9.109375" style="8163"/>
    <col min="9677" max="9677" width="3.88671875" style="8163" customWidth="1"/>
    <col min="9678" max="9678" width="38.109375" style="8163" customWidth="1"/>
    <col min="9679" max="9679" width="11.44140625" style="8163" customWidth="1"/>
    <col min="9680" max="9680" width="15" style="8163" customWidth="1"/>
    <col min="9681" max="9681" width="16.109375" style="8163" customWidth="1"/>
    <col min="9682" max="9682" width="15.109375" style="8163" customWidth="1"/>
    <col min="9683" max="9683" width="16.109375" style="8163" customWidth="1"/>
    <col min="9684" max="9684" width="14.44140625" style="8163" bestFit="1" customWidth="1"/>
    <col min="9685" max="9932" width="9.109375" style="8163"/>
    <col min="9933" max="9933" width="3.88671875" style="8163" customWidth="1"/>
    <col min="9934" max="9934" width="38.109375" style="8163" customWidth="1"/>
    <col min="9935" max="9935" width="11.44140625" style="8163" customWidth="1"/>
    <col min="9936" max="9936" width="15" style="8163" customWidth="1"/>
    <col min="9937" max="9937" width="16.109375" style="8163" customWidth="1"/>
    <col min="9938" max="9938" width="15.109375" style="8163" customWidth="1"/>
    <col min="9939" max="9939" width="16.109375" style="8163" customWidth="1"/>
    <col min="9940" max="9940" width="14.44140625" style="8163" bestFit="1" customWidth="1"/>
    <col min="9941" max="10188" width="9.109375" style="8163"/>
    <col min="10189" max="10189" width="3.88671875" style="8163" customWidth="1"/>
    <col min="10190" max="10190" width="38.109375" style="8163" customWidth="1"/>
    <col min="10191" max="10191" width="11.44140625" style="8163" customWidth="1"/>
    <col min="10192" max="10192" width="15" style="8163" customWidth="1"/>
    <col min="10193" max="10193" width="16.109375" style="8163" customWidth="1"/>
    <col min="10194" max="10194" width="15.109375" style="8163" customWidth="1"/>
    <col min="10195" max="10195" width="16.109375" style="8163" customWidth="1"/>
    <col min="10196" max="10196" width="14.44140625" style="8163" bestFit="1" customWidth="1"/>
    <col min="10197" max="10444" width="9.109375" style="8163"/>
    <col min="10445" max="10445" width="3.88671875" style="8163" customWidth="1"/>
    <col min="10446" max="10446" width="38.109375" style="8163" customWidth="1"/>
    <col min="10447" max="10447" width="11.44140625" style="8163" customWidth="1"/>
    <col min="10448" max="10448" width="15" style="8163" customWidth="1"/>
    <col min="10449" max="10449" width="16.109375" style="8163" customWidth="1"/>
    <col min="10450" max="10450" width="15.109375" style="8163" customWidth="1"/>
    <col min="10451" max="10451" width="16.109375" style="8163" customWidth="1"/>
    <col min="10452" max="10452" width="14.44140625" style="8163" bestFit="1" customWidth="1"/>
    <col min="10453" max="10700" width="9.109375" style="8163"/>
    <col min="10701" max="10701" width="3.88671875" style="8163" customWidth="1"/>
    <col min="10702" max="10702" width="38.109375" style="8163" customWidth="1"/>
    <col min="10703" max="10703" width="11.44140625" style="8163" customWidth="1"/>
    <col min="10704" max="10704" width="15" style="8163" customWidth="1"/>
    <col min="10705" max="10705" width="16.109375" style="8163" customWidth="1"/>
    <col min="10706" max="10706" width="15.109375" style="8163" customWidth="1"/>
    <col min="10707" max="10707" width="16.109375" style="8163" customWidth="1"/>
    <col min="10708" max="10708" width="14.44140625" style="8163" bestFit="1" customWidth="1"/>
    <col min="10709" max="10956" width="9.109375" style="8163"/>
    <col min="10957" max="10957" width="3.88671875" style="8163" customWidth="1"/>
    <col min="10958" max="10958" width="38.109375" style="8163" customWidth="1"/>
    <col min="10959" max="10959" width="11.44140625" style="8163" customWidth="1"/>
    <col min="10960" max="10960" width="15" style="8163" customWidth="1"/>
    <col min="10961" max="10961" width="16.109375" style="8163" customWidth="1"/>
    <col min="10962" max="10962" width="15.109375" style="8163" customWidth="1"/>
    <col min="10963" max="10963" width="16.109375" style="8163" customWidth="1"/>
    <col min="10964" max="10964" width="14.44140625" style="8163" bestFit="1" customWidth="1"/>
    <col min="10965" max="11212" width="9.109375" style="8163"/>
    <col min="11213" max="11213" width="3.88671875" style="8163" customWidth="1"/>
    <col min="11214" max="11214" width="38.109375" style="8163" customWidth="1"/>
    <col min="11215" max="11215" width="11.44140625" style="8163" customWidth="1"/>
    <col min="11216" max="11216" width="15" style="8163" customWidth="1"/>
    <col min="11217" max="11217" width="16.109375" style="8163" customWidth="1"/>
    <col min="11218" max="11218" width="15.109375" style="8163" customWidth="1"/>
    <col min="11219" max="11219" width="16.109375" style="8163" customWidth="1"/>
    <col min="11220" max="11220" width="14.44140625" style="8163" bestFit="1" customWidth="1"/>
    <col min="11221" max="11468" width="9.109375" style="8163"/>
    <col min="11469" max="11469" width="3.88671875" style="8163" customWidth="1"/>
    <col min="11470" max="11470" width="38.109375" style="8163" customWidth="1"/>
    <col min="11471" max="11471" width="11.44140625" style="8163" customWidth="1"/>
    <col min="11472" max="11472" width="15" style="8163" customWidth="1"/>
    <col min="11473" max="11473" width="16.109375" style="8163" customWidth="1"/>
    <col min="11474" max="11474" width="15.109375" style="8163" customWidth="1"/>
    <col min="11475" max="11475" width="16.109375" style="8163" customWidth="1"/>
    <col min="11476" max="11476" width="14.44140625" style="8163" bestFit="1" customWidth="1"/>
    <col min="11477" max="11724" width="9.109375" style="8163"/>
    <col min="11725" max="11725" width="3.88671875" style="8163" customWidth="1"/>
    <col min="11726" max="11726" width="38.109375" style="8163" customWidth="1"/>
    <col min="11727" max="11727" width="11.44140625" style="8163" customWidth="1"/>
    <col min="11728" max="11728" width="15" style="8163" customWidth="1"/>
    <col min="11729" max="11729" width="16.109375" style="8163" customWidth="1"/>
    <col min="11730" max="11730" width="15.109375" style="8163" customWidth="1"/>
    <col min="11731" max="11731" width="16.109375" style="8163" customWidth="1"/>
    <col min="11732" max="11732" width="14.44140625" style="8163" bestFit="1" customWidth="1"/>
    <col min="11733" max="11980" width="9.109375" style="8163"/>
    <col min="11981" max="11981" width="3.88671875" style="8163" customWidth="1"/>
    <col min="11982" max="11982" width="38.109375" style="8163" customWidth="1"/>
    <col min="11983" max="11983" width="11.44140625" style="8163" customWidth="1"/>
    <col min="11984" max="11984" width="15" style="8163" customWidth="1"/>
    <col min="11985" max="11985" width="16.109375" style="8163" customWidth="1"/>
    <col min="11986" max="11986" width="15.109375" style="8163" customWidth="1"/>
    <col min="11987" max="11987" width="16.109375" style="8163" customWidth="1"/>
    <col min="11988" max="11988" width="14.44140625" style="8163" bestFit="1" customWidth="1"/>
    <col min="11989" max="12236" width="9.109375" style="8163"/>
    <col min="12237" max="12237" width="3.88671875" style="8163" customWidth="1"/>
    <col min="12238" max="12238" width="38.109375" style="8163" customWidth="1"/>
    <col min="12239" max="12239" width="11.44140625" style="8163" customWidth="1"/>
    <col min="12240" max="12240" width="15" style="8163" customWidth="1"/>
    <col min="12241" max="12241" width="16.109375" style="8163" customWidth="1"/>
    <col min="12242" max="12242" width="15.109375" style="8163" customWidth="1"/>
    <col min="12243" max="12243" width="16.109375" style="8163" customWidth="1"/>
    <col min="12244" max="12244" width="14.44140625" style="8163" bestFit="1" customWidth="1"/>
    <col min="12245" max="12492" width="9.109375" style="8163"/>
    <col min="12493" max="12493" width="3.88671875" style="8163" customWidth="1"/>
    <col min="12494" max="12494" width="38.109375" style="8163" customWidth="1"/>
    <col min="12495" max="12495" width="11.44140625" style="8163" customWidth="1"/>
    <col min="12496" max="12496" width="15" style="8163" customWidth="1"/>
    <col min="12497" max="12497" width="16.109375" style="8163" customWidth="1"/>
    <col min="12498" max="12498" width="15.109375" style="8163" customWidth="1"/>
    <col min="12499" max="12499" width="16.109375" style="8163" customWidth="1"/>
    <col min="12500" max="12500" width="14.44140625" style="8163" bestFit="1" customWidth="1"/>
    <col min="12501" max="12748" width="9.109375" style="8163"/>
    <col min="12749" max="12749" width="3.88671875" style="8163" customWidth="1"/>
    <col min="12750" max="12750" width="38.109375" style="8163" customWidth="1"/>
    <col min="12751" max="12751" width="11.44140625" style="8163" customWidth="1"/>
    <col min="12752" max="12752" width="15" style="8163" customWidth="1"/>
    <col min="12753" max="12753" width="16.109375" style="8163" customWidth="1"/>
    <col min="12754" max="12754" width="15.109375" style="8163" customWidth="1"/>
    <col min="12755" max="12755" width="16.109375" style="8163" customWidth="1"/>
    <col min="12756" max="12756" width="14.44140625" style="8163" bestFit="1" customWidth="1"/>
    <col min="12757" max="13004" width="9.109375" style="8163"/>
    <col min="13005" max="13005" width="3.88671875" style="8163" customWidth="1"/>
    <col min="13006" max="13006" width="38.109375" style="8163" customWidth="1"/>
    <col min="13007" max="13007" width="11.44140625" style="8163" customWidth="1"/>
    <col min="13008" max="13008" width="15" style="8163" customWidth="1"/>
    <col min="13009" max="13009" width="16.109375" style="8163" customWidth="1"/>
    <col min="13010" max="13010" width="15.109375" style="8163" customWidth="1"/>
    <col min="13011" max="13011" width="16.109375" style="8163" customWidth="1"/>
    <col min="13012" max="13012" width="14.44140625" style="8163" bestFit="1" customWidth="1"/>
    <col min="13013" max="13260" width="9.109375" style="8163"/>
    <col min="13261" max="13261" width="3.88671875" style="8163" customWidth="1"/>
    <col min="13262" max="13262" width="38.109375" style="8163" customWidth="1"/>
    <col min="13263" max="13263" width="11.44140625" style="8163" customWidth="1"/>
    <col min="13264" max="13264" width="15" style="8163" customWidth="1"/>
    <col min="13265" max="13265" width="16.109375" style="8163" customWidth="1"/>
    <col min="13266" max="13266" width="15.109375" style="8163" customWidth="1"/>
    <col min="13267" max="13267" width="16.109375" style="8163" customWidth="1"/>
    <col min="13268" max="13268" width="14.44140625" style="8163" bestFit="1" customWidth="1"/>
    <col min="13269" max="13516" width="9.109375" style="8163"/>
    <col min="13517" max="13517" width="3.88671875" style="8163" customWidth="1"/>
    <col min="13518" max="13518" width="38.109375" style="8163" customWidth="1"/>
    <col min="13519" max="13519" width="11.44140625" style="8163" customWidth="1"/>
    <col min="13520" max="13520" width="15" style="8163" customWidth="1"/>
    <col min="13521" max="13521" width="16.109375" style="8163" customWidth="1"/>
    <col min="13522" max="13522" width="15.109375" style="8163" customWidth="1"/>
    <col min="13523" max="13523" width="16.109375" style="8163" customWidth="1"/>
    <col min="13524" max="13524" width="14.44140625" style="8163" bestFit="1" customWidth="1"/>
    <col min="13525" max="13772" width="9.109375" style="8163"/>
    <col min="13773" max="13773" width="3.88671875" style="8163" customWidth="1"/>
    <col min="13774" max="13774" width="38.109375" style="8163" customWidth="1"/>
    <col min="13775" max="13775" width="11.44140625" style="8163" customWidth="1"/>
    <col min="13776" max="13776" width="15" style="8163" customWidth="1"/>
    <col min="13777" max="13777" width="16.109375" style="8163" customWidth="1"/>
    <col min="13778" max="13778" width="15.109375" style="8163" customWidth="1"/>
    <col min="13779" max="13779" width="16.109375" style="8163" customWidth="1"/>
    <col min="13780" max="13780" width="14.44140625" style="8163" bestFit="1" customWidth="1"/>
    <col min="13781" max="14028" width="9.109375" style="8163"/>
    <col min="14029" max="14029" width="3.88671875" style="8163" customWidth="1"/>
    <col min="14030" max="14030" width="38.109375" style="8163" customWidth="1"/>
    <col min="14031" max="14031" width="11.44140625" style="8163" customWidth="1"/>
    <col min="14032" max="14032" width="15" style="8163" customWidth="1"/>
    <col min="14033" max="14033" width="16.109375" style="8163" customWidth="1"/>
    <col min="14034" max="14034" width="15.109375" style="8163" customWidth="1"/>
    <col min="14035" max="14035" width="16.109375" style="8163" customWidth="1"/>
    <col min="14036" max="14036" width="14.44140625" style="8163" bestFit="1" customWidth="1"/>
    <col min="14037" max="14284" width="9.109375" style="8163"/>
    <col min="14285" max="14285" width="3.88671875" style="8163" customWidth="1"/>
    <col min="14286" max="14286" width="38.109375" style="8163" customWidth="1"/>
    <col min="14287" max="14287" width="11.44140625" style="8163" customWidth="1"/>
    <col min="14288" max="14288" width="15" style="8163" customWidth="1"/>
    <col min="14289" max="14289" width="16.109375" style="8163" customWidth="1"/>
    <col min="14290" max="14290" width="15.109375" style="8163" customWidth="1"/>
    <col min="14291" max="14291" width="16.109375" style="8163" customWidth="1"/>
    <col min="14292" max="14292" width="14.44140625" style="8163" bestFit="1" customWidth="1"/>
    <col min="14293" max="14540" width="9.109375" style="8163"/>
    <col min="14541" max="14541" width="3.88671875" style="8163" customWidth="1"/>
    <col min="14542" max="14542" width="38.109375" style="8163" customWidth="1"/>
    <col min="14543" max="14543" width="11.44140625" style="8163" customWidth="1"/>
    <col min="14544" max="14544" width="15" style="8163" customWidth="1"/>
    <col min="14545" max="14545" width="16.109375" style="8163" customWidth="1"/>
    <col min="14546" max="14546" width="15.109375" style="8163" customWidth="1"/>
    <col min="14547" max="14547" width="16.109375" style="8163" customWidth="1"/>
    <col min="14548" max="14548" width="14.44140625" style="8163" bestFit="1" customWidth="1"/>
    <col min="14549" max="14796" width="9.109375" style="8163"/>
    <col min="14797" max="14797" width="3.88671875" style="8163" customWidth="1"/>
    <col min="14798" max="14798" width="38.109375" style="8163" customWidth="1"/>
    <col min="14799" max="14799" width="11.44140625" style="8163" customWidth="1"/>
    <col min="14800" max="14800" width="15" style="8163" customWidth="1"/>
    <col min="14801" max="14801" width="16.109375" style="8163" customWidth="1"/>
    <col min="14802" max="14802" width="15.109375" style="8163" customWidth="1"/>
    <col min="14803" max="14803" width="16.109375" style="8163" customWidth="1"/>
    <col min="14804" max="14804" width="14.44140625" style="8163" bestFit="1" customWidth="1"/>
    <col min="14805" max="15052" width="9.109375" style="8163"/>
    <col min="15053" max="15053" width="3.88671875" style="8163" customWidth="1"/>
    <col min="15054" max="15054" width="38.109375" style="8163" customWidth="1"/>
    <col min="15055" max="15055" width="11.44140625" style="8163" customWidth="1"/>
    <col min="15056" max="15056" width="15" style="8163" customWidth="1"/>
    <col min="15057" max="15057" width="16.109375" style="8163" customWidth="1"/>
    <col min="15058" max="15058" width="15.109375" style="8163" customWidth="1"/>
    <col min="15059" max="15059" width="16.109375" style="8163" customWidth="1"/>
    <col min="15060" max="15060" width="14.44140625" style="8163" bestFit="1" customWidth="1"/>
    <col min="15061" max="15308" width="9.109375" style="8163"/>
    <col min="15309" max="15309" width="3.88671875" style="8163" customWidth="1"/>
    <col min="15310" max="15310" width="38.109375" style="8163" customWidth="1"/>
    <col min="15311" max="15311" width="11.44140625" style="8163" customWidth="1"/>
    <col min="15312" max="15312" width="15" style="8163" customWidth="1"/>
    <col min="15313" max="15313" width="16.109375" style="8163" customWidth="1"/>
    <col min="15314" max="15314" width="15.109375" style="8163" customWidth="1"/>
    <col min="15315" max="15315" width="16.109375" style="8163" customWidth="1"/>
    <col min="15316" max="15316" width="14.44140625" style="8163" bestFit="1" customWidth="1"/>
    <col min="15317" max="15564" width="9.109375" style="8163"/>
    <col min="15565" max="15565" width="3.88671875" style="8163" customWidth="1"/>
    <col min="15566" max="15566" width="38.109375" style="8163" customWidth="1"/>
    <col min="15567" max="15567" width="11.44140625" style="8163" customWidth="1"/>
    <col min="15568" max="15568" width="15" style="8163" customWidth="1"/>
    <col min="15569" max="15569" width="16.109375" style="8163" customWidth="1"/>
    <col min="15570" max="15570" width="15.109375" style="8163" customWidth="1"/>
    <col min="15571" max="15571" width="16.109375" style="8163" customWidth="1"/>
    <col min="15572" max="15572" width="14.44140625" style="8163" bestFit="1" customWidth="1"/>
    <col min="15573" max="15820" width="9.109375" style="8163"/>
    <col min="15821" max="15821" width="3.88671875" style="8163" customWidth="1"/>
    <col min="15822" max="15822" width="38.109375" style="8163" customWidth="1"/>
    <col min="15823" max="15823" width="11.44140625" style="8163" customWidth="1"/>
    <col min="15824" max="15824" width="15" style="8163" customWidth="1"/>
    <col min="15825" max="15825" width="16.109375" style="8163" customWidth="1"/>
    <col min="15826" max="15826" width="15.109375" style="8163" customWidth="1"/>
    <col min="15827" max="15827" width="16.109375" style="8163" customWidth="1"/>
    <col min="15828" max="15828" width="14.44140625" style="8163" bestFit="1" customWidth="1"/>
    <col min="15829" max="16076" width="9.109375" style="8163"/>
    <col min="16077" max="16077" width="3.88671875" style="8163" customWidth="1"/>
    <col min="16078" max="16078" width="38.109375" style="8163" customWidth="1"/>
    <col min="16079" max="16079" width="11.44140625" style="8163" customWidth="1"/>
    <col min="16080" max="16080" width="15" style="8163" customWidth="1"/>
    <col min="16081" max="16081" width="16.109375" style="8163" customWidth="1"/>
    <col min="16082" max="16082" width="15.109375" style="8163" customWidth="1"/>
    <col min="16083" max="16083" width="16.109375" style="8163" customWidth="1"/>
    <col min="16084" max="16084" width="14.44140625" style="8163" bestFit="1" customWidth="1"/>
    <col min="16085" max="16384" width="9.109375" style="8163"/>
  </cols>
  <sheetData>
    <row r="1" spans="1:15" ht="15" customHeight="1">
      <c r="A1" s="14193" t="s">
        <v>1</v>
      </c>
      <c r="B1" s="14193"/>
      <c r="C1" s="14193"/>
      <c r="D1" s="14193"/>
      <c r="E1" s="14193"/>
      <c r="F1" s="14193"/>
      <c r="G1" s="14193"/>
      <c r="H1" s="14193"/>
      <c r="I1" s="14193"/>
      <c r="J1" s="14193"/>
      <c r="K1" s="14193"/>
    </row>
    <row r="2" spans="1:15" ht="15" customHeight="1">
      <c r="A2" s="8164"/>
      <c r="B2" s="8165"/>
      <c r="C2" s="8166"/>
      <c r="D2" s="8754"/>
      <c r="E2" s="8167"/>
      <c r="F2" s="8167"/>
      <c r="G2" s="8167"/>
      <c r="H2" s="8167"/>
      <c r="I2" s="8167"/>
      <c r="J2" s="8168"/>
      <c r="K2" s="8167"/>
    </row>
    <row r="3" spans="1:15" ht="15" customHeight="1">
      <c r="A3" s="8164" t="s">
        <v>2</v>
      </c>
      <c r="B3" s="8170"/>
      <c r="C3" s="8170" t="s">
        <v>276</v>
      </c>
      <c r="E3" s="8171"/>
      <c r="F3" s="8171"/>
      <c r="G3" s="8171"/>
      <c r="H3" s="8171"/>
      <c r="I3" s="8171"/>
      <c r="J3" s="8172"/>
      <c r="K3" s="8171"/>
    </row>
    <row r="4" spans="1:15" ht="15" customHeight="1">
      <c r="A4" s="8164" t="s">
        <v>4</v>
      </c>
      <c r="B4" s="8164"/>
      <c r="C4" s="8164" t="s">
        <v>277</v>
      </c>
      <c r="E4" s="7337"/>
      <c r="F4" s="7337"/>
      <c r="G4" s="7337"/>
      <c r="H4" s="7337"/>
      <c r="I4" s="7337"/>
      <c r="J4" s="8169"/>
      <c r="K4" s="7337"/>
    </row>
    <row r="5" spans="1:15" ht="15" customHeight="1">
      <c r="A5" s="8164" t="s">
        <v>6</v>
      </c>
      <c r="B5" s="8164"/>
      <c r="C5" s="8164" t="s">
        <v>278</v>
      </c>
      <c r="E5" s="7337"/>
      <c r="F5" s="7337"/>
      <c r="G5" s="7337"/>
      <c r="H5" s="8171"/>
      <c r="I5" s="7337"/>
      <c r="J5" s="8169"/>
      <c r="K5" s="14196"/>
    </row>
    <row r="6" spans="1:15" ht="15" customHeight="1">
      <c r="A6" s="7488" t="s">
        <v>7</v>
      </c>
      <c r="B6" s="7488"/>
      <c r="C6" s="7488" t="s">
        <v>8</v>
      </c>
      <c r="E6" s="8173"/>
      <c r="F6" s="8173"/>
      <c r="G6" s="8173"/>
      <c r="H6" s="7337"/>
      <c r="I6" s="8173"/>
      <c r="J6" s="8003"/>
      <c r="K6" s="14196"/>
    </row>
    <row r="7" spans="1:15" ht="15" customHeight="1" thickBot="1">
      <c r="A7" s="8174"/>
      <c r="B7" s="8175"/>
      <c r="C7" s="8175"/>
      <c r="D7" s="8756"/>
      <c r="E7" s="8176"/>
      <c r="F7" s="8177"/>
      <c r="G7" s="8177"/>
      <c r="H7" s="8176"/>
      <c r="I7" s="8177"/>
      <c r="J7" s="7948"/>
      <c r="K7" s="8176"/>
    </row>
    <row r="8" spans="1:15" ht="15" customHeight="1">
      <c r="A8" s="11079"/>
      <c r="B8" s="11071"/>
      <c r="C8" s="11071"/>
      <c r="D8" s="8761" t="s">
        <v>9</v>
      </c>
      <c r="E8" s="8195" t="s">
        <v>10</v>
      </c>
      <c r="F8" s="14188" t="s">
        <v>10711</v>
      </c>
      <c r="G8" s="14189"/>
      <c r="H8" s="14190"/>
      <c r="I8" s="11080" t="s">
        <v>9985</v>
      </c>
      <c r="J8" s="8206"/>
      <c r="K8" s="11081" t="s">
        <v>12</v>
      </c>
    </row>
    <row r="9" spans="1:15" ht="15" customHeight="1">
      <c r="A9" s="11082"/>
      <c r="B9" s="8178" t="s">
        <v>13</v>
      </c>
      <c r="C9" s="8178"/>
      <c r="D9" s="14186" t="s">
        <v>14</v>
      </c>
      <c r="E9" s="11072" t="s">
        <v>15</v>
      </c>
      <c r="F9" s="9502" t="s">
        <v>10709</v>
      </c>
      <c r="G9" s="11083" t="s">
        <v>10710</v>
      </c>
      <c r="H9" s="14191" t="s">
        <v>458</v>
      </c>
      <c r="I9" s="11084" t="s">
        <v>11881</v>
      </c>
      <c r="J9" s="11085"/>
      <c r="K9" s="11086" t="s">
        <v>16</v>
      </c>
    </row>
    <row r="10" spans="1:15" ht="15" customHeight="1" thickBot="1">
      <c r="A10" s="11087"/>
      <c r="B10" s="8202"/>
      <c r="C10" s="8202"/>
      <c r="D10" s="14187"/>
      <c r="E10" s="11075">
        <v>2017</v>
      </c>
      <c r="F10" s="9467" t="s">
        <v>457</v>
      </c>
      <c r="G10" s="11076" t="s">
        <v>456</v>
      </c>
      <c r="H10" s="14192"/>
      <c r="I10" s="7302">
        <v>2018</v>
      </c>
      <c r="J10" s="7322"/>
      <c r="K10" s="11088">
        <v>2019</v>
      </c>
    </row>
    <row r="11" spans="1:15" ht="15" customHeight="1">
      <c r="A11" s="11089" t="s">
        <v>17</v>
      </c>
      <c r="B11" s="7488" t="s">
        <v>18</v>
      </c>
      <c r="C11" s="7488"/>
      <c r="D11" s="11059"/>
      <c r="E11" s="11060"/>
      <c r="F11" s="11060"/>
      <c r="G11" s="11060"/>
      <c r="H11" s="11060"/>
      <c r="I11" s="11060"/>
      <c r="J11" s="11061"/>
      <c r="K11" s="11090"/>
    </row>
    <row r="12" spans="1:15" ht="15" customHeight="1">
      <c r="A12" s="11082"/>
      <c r="B12" s="7488" t="s">
        <v>19</v>
      </c>
      <c r="C12" s="7488"/>
      <c r="D12" s="11059"/>
      <c r="E12" s="11060"/>
      <c r="F12" s="11060"/>
      <c r="G12" s="11060"/>
      <c r="H12" s="11060"/>
      <c r="I12" s="11060"/>
      <c r="J12" s="11061"/>
      <c r="K12" s="11090"/>
      <c r="M12" s="7760" t="s">
        <v>10690</v>
      </c>
    </row>
    <row r="13" spans="1:15" ht="15" customHeight="1">
      <c r="A13" s="11082"/>
      <c r="B13" s="7488" t="s">
        <v>20</v>
      </c>
      <c r="C13" s="7488"/>
      <c r="D13" s="11059">
        <v>50101010</v>
      </c>
      <c r="E13" s="11091">
        <f>'WS-PS 2017'!B6</f>
        <v>7557785.3399999999</v>
      </c>
      <c r="F13" s="11091">
        <f>'WS-PS ACTUAL JUNE 2018'!B5</f>
        <v>3814733.58</v>
      </c>
      <c r="G13" s="11091">
        <f>H13-F13</f>
        <v>6122574.4199999999</v>
      </c>
      <c r="H13" s="11092">
        <v>9937308</v>
      </c>
      <c r="I13" s="11091"/>
      <c r="J13" s="11093"/>
      <c r="K13" s="11094">
        <f>M13</f>
        <v>9087060</v>
      </c>
      <c r="M13" s="7760">
        <f>'staffing-GOV'!F81</f>
        <v>9087060</v>
      </c>
      <c r="O13" s="10279">
        <f>'staffing-GOV'!B81</f>
        <v>32</v>
      </c>
    </row>
    <row r="14" spans="1:15" ht="15" customHeight="1">
      <c r="A14" s="11082"/>
      <c r="B14" s="7488" t="s">
        <v>10935</v>
      </c>
      <c r="C14" s="7488"/>
      <c r="D14" s="11059">
        <v>50101020</v>
      </c>
      <c r="E14" s="11060">
        <f>'WS-PS 2017'!D6</f>
        <v>6510522.5599999996</v>
      </c>
      <c r="F14" s="11060">
        <f>'WS-PS ACTUAL JUNE 2018'!C5</f>
        <v>3653847.5</v>
      </c>
      <c r="G14" s="11091">
        <f t="shared" ref="G14:G31" si="0">H14-F14</f>
        <v>1263968.5</v>
      </c>
      <c r="H14" s="11095">
        <v>4917816</v>
      </c>
      <c r="I14" s="11060"/>
      <c r="J14" s="11061"/>
      <c r="K14" s="11096">
        <f>M14</f>
        <v>4917816</v>
      </c>
      <c r="L14" s="10605"/>
      <c r="M14" s="11051">
        <v>4917816</v>
      </c>
      <c r="N14" s="10031">
        <f>SUM(M13:M14)</f>
        <v>14004876</v>
      </c>
      <c r="O14" s="10280">
        <v>63</v>
      </c>
    </row>
    <row r="15" spans="1:15" ht="15" customHeight="1">
      <c r="A15" s="11082"/>
      <c r="B15" s="7488" t="s">
        <v>9184</v>
      </c>
      <c r="C15" s="7488"/>
      <c r="D15" s="11059"/>
      <c r="E15" s="11060">
        <f>'WS-PS 2017'!C6</f>
        <v>0</v>
      </c>
      <c r="F15" s="11060"/>
      <c r="G15" s="11091">
        <f t="shared" si="0"/>
        <v>500000</v>
      </c>
      <c r="H15" s="11070">
        <v>500000</v>
      </c>
      <c r="I15" s="11060"/>
      <c r="J15" s="11061"/>
      <c r="K15" s="11097">
        <f>N15</f>
        <v>500000</v>
      </c>
      <c r="N15" s="7760">
        <v>500000</v>
      </c>
      <c r="O15" s="11052">
        <f>SUM(O13:O14)</f>
        <v>95</v>
      </c>
    </row>
    <row r="16" spans="1:15" ht="15" customHeight="1">
      <c r="A16" s="11082"/>
      <c r="B16" s="7488" t="s">
        <v>21</v>
      </c>
      <c r="C16" s="7488"/>
      <c r="D16" s="11059">
        <v>50102010</v>
      </c>
      <c r="E16" s="11060">
        <f>'WS-PS 2017'!F6</f>
        <v>2470579.39</v>
      </c>
      <c r="F16" s="11060">
        <f>'WS-PS ACTUAL JUNE 2018'!D5</f>
        <v>1345000.38</v>
      </c>
      <c r="G16" s="11091">
        <f t="shared" si="0"/>
        <v>1006999.6200000001</v>
      </c>
      <c r="H16" s="11070">
        <v>2352000</v>
      </c>
      <c r="I16" s="11060"/>
      <c r="J16" s="11061"/>
      <c r="K16" s="11097">
        <f>N16</f>
        <v>2280000</v>
      </c>
      <c r="N16" s="7760">
        <f>24000*O15</f>
        <v>2280000</v>
      </c>
    </row>
    <row r="17" spans="1:14" ht="15" customHeight="1">
      <c r="A17" s="11082"/>
      <c r="B17" s="7488" t="s">
        <v>280</v>
      </c>
      <c r="C17" s="7488"/>
      <c r="D17" s="11059">
        <v>50102020</v>
      </c>
      <c r="E17" s="11060">
        <f>'WS-PS 2017'!G6</f>
        <v>132000</v>
      </c>
      <c r="F17" s="11060">
        <f>'WS-PS ACTUAL JUNE 2018'!E5</f>
        <v>44000</v>
      </c>
      <c r="G17" s="11091">
        <f t="shared" si="0"/>
        <v>88000</v>
      </c>
      <c r="H17" s="11070">
        <v>132000</v>
      </c>
      <c r="I17" s="11060"/>
      <c r="J17" s="11061"/>
      <c r="K17" s="11097">
        <f t="shared" ref="K17:K31" si="1">N17</f>
        <v>132000</v>
      </c>
      <c r="N17" s="7760">
        <v>132000</v>
      </c>
    </row>
    <row r="18" spans="1:14" ht="15" customHeight="1">
      <c r="A18" s="11082"/>
      <c r="B18" s="7488" t="s">
        <v>281</v>
      </c>
      <c r="C18" s="7488"/>
      <c r="D18" s="11059">
        <v>50102030</v>
      </c>
      <c r="E18" s="11060">
        <f>'WS-PS 2017'!H6</f>
        <v>0</v>
      </c>
      <c r="F18" s="11060">
        <f>'WS-PS ACTUAL JUNE 2018'!F5</f>
        <v>0</v>
      </c>
      <c r="G18" s="11091">
        <f t="shared" si="0"/>
        <v>0</v>
      </c>
      <c r="H18" s="11070">
        <v>0</v>
      </c>
      <c r="I18" s="11060"/>
      <c r="J18" s="11061"/>
      <c r="K18" s="11097">
        <f t="shared" si="1"/>
        <v>0</v>
      </c>
    </row>
    <row r="19" spans="1:14" ht="15" customHeight="1">
      <c r="A19" s="11082"/>
      <c r="B19" s="7488" t="s">
        <v>22</v>
      </c>
      <c r="C19" s="7488"/>
      <c r="D19" s="11059">
        <v>50102040</v>
      </c>
      <c r="E19" s="11060">
        <f>'WS-PS 2017'!I6</f>
        <v>505000</v>
      </c>
      <c r="F19" s="11060">
        <f>'WS-PS ACTUAL JUNE 2018'!G5</f>
        <v>550000</v>
      </c>
      <c r="G19" s="11091">
        <f t="shared" si="0"/>
        <v>-60000</v>
      </c>
      <c r="H19" s="11060">
        <v>490000</v>
      </c>
      <c r="I19" s="11060"/>
      <c r="J19" s="11061"/>
      <c r="K19" s="11097">
        <f t="shared" si="1"/>
        <v>570000</v>
      </c>
      <c r="N19" s="7760">
        <f>6000*O15</f>
        <v>570000</v>
      </c>
    </row>
    <row r="20" spans="1:14" ht="15" customHeight="1">
      <c r="A20" s="11082"/>
      <c r="B20" s="7488" t="s">
        <v>10932</v>
      </c>
      <c r="C20" s="7488"/>
      <c r="D20" s="11059">
        <v>50102080</v>
      </c>
      <c r="E20" s="11060">
        <f>'WS-PS 2017'!L6</f>
        <v>510000</v>
      </c>
      <c r="F20" s="11060">
        <f>'WS-PS ACTUAL JUNE 2018'!J5</f>
        <v>0</v>
      </c>
      <c r="G20" s="11091">
        <f t="shared" si="0"/>
        <v>490000</v>
      </c>
      <c r="H20" s="11060">
        <v>490000</v>
      </c>
      <c r="I20" s="11060"/>
      <c r="J20" s="11061"/>
      <c r="K20" s="11097">
        <f t="shared" si="1"/>
        <v>475000</v>
      </c>
      <c r="N20" s="7760">
        <f>5000*O15</f>
        <v>475000</v>
      </c>
    </row>
    <row r="21" spans="1:14" ht="15" customHeight="1">
      <c r="A21" s="11082"/>
      <c r="B21" s="7488" t="s">
        <v>10934</v>
      </c>
      <c r="C21" s="7488"/>
      <c r="D21" s="11059">
        <v>50102120</v>
      </c>
      <c r="E21" s="11060">
        <f>'WS-PS 2017'!O6</f>
        <v>15000</v>
      </c>
      <c r="F21" s="11060">
        <f>'WS-PS ACTUAL JUNE 2018'!M5</f>
        <v>5000</v>
      </c>
      <c r="G21" s="11091">
        <f>H21-F21</f>
        <v>5000</v>
      </c>
      <c r="H21" s="11060">
        <v>10000</v>
      </c>
      <c r="I21" s="11060"/>
      <c r="J21" s="11061"/>
      <c r="K21" s="11097">
        <f t="shared" si="1"/>
        <v>10000</v>
      </c>
      <c r="N21" s="7760">
        <v>10000</v>
      </c>
    </row>
    <row r="22" spans="1:14" ht="15" customHeight="1">
      <c r="A22" s="11082"/>
      <c r="B22" s="7488" t="s">
        <v>141</v>
      </c>
      <c r="C22" s="7488"/>
      <c r="D22" s="11059">
        <v>50102130</v>
      </c>
      <c r="E22" s="11060">
        <f>'WS-PS 2017'!R6</f>
        <v>458615.53</v>
      </c>
      <c r="F22" s="11060">
        <f>'WS-PS ACTUAL JUNE 2018'!N5</f>
        <v>110701.98</v>
      </c>
      <c r="G22" s="11091">
        <f t="shared" si="0"/>
        <v>589298.02</v>
      </c>
      <c r="H22" s="11070">
        <v>700000</v>
      </c>
      <c r="I22" s="11060"/>
      <c r="J22" s="11061"/>
      <c r="K22" s="11097">
        <v>700000</v>
      </c>
      <c r="L22" s="10604"/>
      <c r="N22" s="7760">
        <v>700000</v>
      </c>
    </row>
    <row r="23" spans="1:14" ht="15" customHeight="1">
      <c r="A23" s="11082"/>
      <c r="B23" s="7488" t="s">
        <v>10933</v>
      </c>
      <c r="C23" s="7488"/>
      <c r="D23" s="11059">
        <v>50102140</v>
      </c>
      <c r="E23" s="11091">
        <f>'WS-PS 2017'!U6+'WS-PS 2017'!S6</f>
        <v>2173352.2999999998</v>
      </c>
      <c r="F23" s="11091">
        <f>'WS-PS ACTUAL JUNE 2018'!O5</f>
        <v>1079752.3999999999</v>
      </c>
      <c r="G23" s="11091">
        <f>H23-F23</f>
        <v>1396101.6</v>
      </c>
      <c r="H23" s="11092">
        <v>2475854</v>
      </c>
      <c r="I23" s="11091"/>
      <c r="J23" s="11093"/>
      <c r="K23" s="11097">
        <f>N23</f>
        <v>2334146</v>
      </c>
      <c r="N23" s="7760">
        <f>N14/12*2</f>
        <v>2334146</v>
      </c>
    </row>
    <row r="24" spans="1:14" ht="15" customHeight="1">
      <c r="A24" s="11082"/>
      <c r="B24" s="7488" t="s">
        <v>26</v>
      </c>
      <c r="C24" s="7488"/>
      <c r="D24" s="11059">
        <v>50102150</v>
      </c>
      <c r="E24" s="11060">
        <f>'WS-PS 2017'!T6</f>
        <v>504000</v>
      </c>
      <c r="F24" s="11060">
        <f>'WS-PS ACTUAL JUNE 2018'!Q5</f>
        <v>0</v>
      </c>
      <c r="G24" s="11091">
        <f t="shared" si="0"/>
        <v>490000</v>
      </c>
      <c r="H24" s="11070">
        <v>490000</v>
      </c>
      <c r="I24" s="11060"/>
      <c r="J24" s="11061"/>
      <c r="K24" s="11097">
        <f t="shared" si="1"/>
        <v>475000</v>
      </c>
      <c r="L24" s="10604"/>
      <c r="N24" s="7760">
        <f>5000*O15</f>
        <v>475000</v>
      </c>
    </row>
    <row r="25" spans="1:14" ht="15" customHeight="1">
      <c r="A25" s="11082"/>
      <c r="B25" s="7488" t="s">
        <v>11497</v>
      </c>
      <c r="C25" s="7488"/>
      <c r="D25" s="11059">
        <v>50102990</v>
      </c>
      <c r="E25" s="11060">
        <v>0</v>
      </c>
      <c r="F25" s="11060">
        <f>'WS-PS ACTUAL JUNE 2018'!R5</f>
        <v>0</v>
      </c>
      <c r="G25" s="11091">
        <f>H25-F25</f>
        <v>711808</v>
      </c>
      <c r="H25" s="11095">
        <v>711808</v>
      </c>
      <c r="I25" s="11060"/>
      <c r="J25" s="11061"/>
      <c r="K25" s="11097"/>
      <c r="L25" s="10605"/>
      <c r="N25" s="7760">
        <f>0.575*(N14/12)</f>
        <v>671066.97499999998</v>
      </c>
    </row>
    <row r="26" spans="1:14" ht="15" customHeight="1">
      <c r="A26" s="11082"/>
      <c r="B26" s="7803" t="s">
        <v>11499</v>
      </c>
      <c r="C26" s="7488"/>
      <c r="D26" s="11059" t="s">
        <v>11495</v>
      </c>
      <c r="E26" s="11060">
        <f>'WS-PS 2017'!Q6</f>
        <v>0</v>
      </c>
      <c r="F26" s="11060">
        <f>'WS-PS ACTUAL JUNE 2018'!S5</f>
        <v>0</v>
      </c>
      <c r="G26" s="11091">
        <f>H26-F26</f>
        <v>0</v>
      </c>
      <c r="H26" s="11070">
        <v>0</v>
      </c>
      <c r="I26" s="11060"/>
      <c r="J26" s="11061"/>
      <c r="K26" s="11097">
        <f t="shared" si="1"/>
        <v>285000</v>
      </c>
      <c r="L26" s="10604"/>
      <c r="N26" s="7760">
        <f>3000*O15</f>
        <v>285000</v>
      </c>
    </row>
    <row r="27" spans="1:14" ht="15" customHeight="1">
      <c r="A27" s="11082"/>
      <c r="B27" s="7488" t="s">
        <v>59</v>
      </c>
      <c r="C27" s="7488"/>
      <c r="D27" s="11059">
        <v>50103010</v>
      </c>
      <c r="E27" s="11060">
        <f>'WS-PS 2017'!V6</f>
        <v>1668220.96</v>
      </c>
      <c r="F27" s="11060">
        <f>'WS-PS ACTUAL JUNE 2018'!T5</f>
        <v>960480.95</v>
      </c>
      <c r="G27" s="11091">
        <f t="shared" si="0"/>
        <v>822134.05</v>
      </c>
      <c r="H27" s="11095">
        <v>1782615</v>
      </c>
      <c r="I27" s="11060"/>
      <c r="J27" s="11061"/>
      <c r="K27" s="11097">
        <f t="shared" si="1"/>
        <v>1680585.1199999999</v>
      </c>
      <c r="N27" s="10078">
        <f>N14*12%</f>
        <v>1680585.1199999999</v>
      </c>
    </row>
    <row r="28" spans="1:14" ht="15" customHeight="1">
      <c r="A28" s="11082"/>
      <c r="B28" s="7488" t="s">
        <v>28</v>
      </c>
      <c r="C28" s="7488"/>
      <c r="D28" s="11059">
        <v>50103020</v>
      </c>
      <c r="E28" s="11060">
        <f>'WS-PS 2017'!W6</f>
        <v>122572.54</v>
      </c>
      <c r="F28" s="11060">
        <f>'WS-PS ACTUAL JUNE 2018'!U5</f>
        <v>73638.16</v>
      </c>
      <c r="G28" s="11091">
        <f t="shared" si="0"/>
        <v>43961.84</v>
      </c>
      <c r="H28" s="11070">
        <v>117600</v>
      </c>
      <c r="I28" s="11060"/>
      <c r="J28" s="11061"/>
      <c r="K28" s="11097">
        <f t="shared" si="1"/>
        <v>114000</v>
      </c>
      <c r="N28" s="7760">
        <f>1200*O15</f>
        <v>114000</v>
      </c>
    </row>
    <row r="29" spans="1:14" ht="15" customHeight="1">
      <c r="A29" s="11082"/>
      <c r="B29" s="7488" t="s">
        <v>29</v>
      </c>
      <c r="C29" s="7488"/>
      <c r="D29" s="11059">
        <v>50103030</v>
      </c>
      <c r="E29" s="11060">
        <f>'WS-PS 2017'!X6</f>
        <v>146650</v>
      </c>
      <c r="F29" s="11060">
        <f>'WS-PS ACTUAL JUNE 2018'!V5</f>
        <v>118996.68</v>
      </c>
      <c r="G29" s="11091">
        <f t="shared" si="0"/>
        <v>233803.32</v>
      </c>
      <c r="H29" s="11070">
        <v>352800</v>
      </c>
      <c r="I29" s="11060"/>
      <c r="J29" s="11061"/>
      <c r="K29" s="11097">
        <v>96759.63</v>
      </c>
      <c r="N29" s="7760">
        <f>3600*O15</f>
        <v>342000</v>
      </c>
    </row>
    <row r="30" spans="1:14" ht="15" customHeight="1">
      <c r="A30" s="11082"/>
      <c r="B30" s="7488" t="s">
        <v>30</v>
      </c>
      <c r="C30" s="7488"/>
      <c r="D30" s="11059">
        <v>50103040</v>
      </c>
      <c r="E30" s="11060">
        <f>'WS-PS 2017'!Y6</f>
        <v>94348.36</v>
      </c>
      <c r="F30" s="11060">
        <f>'WS-PS ACTUAL JUNE 2018'!W5</f>
        <v>56801.440000000002</v>
      </c>
      <c r="G30" s="11091">
        <f t="shared" si="0"/>
        <v>60798.559999999998</v>
      </c>
      <c r="H30" s="11060">
        <v>117600</v>
      </c>
      <c r="I30" s="11060"/>
      <c r="J30" s="11061"/>
      <c r="K30" s="11097">
        <f t="shared" si="1"/>
        <v>114000</v>
      </c>
      <c r="N30" s="7760">
        <f>1200*O15</f>
        <v>114000</v>
      </c>
    </row>
    <row r="31" spans="1:14" ht="15" customHeight="1">
      <c r="A31" s="11082"/>
      <c r="B31" s="7488" t="s">
        <v>5025</v>
      </c>
      <c r="C31" s="7488"/>
      <c r="D31" s="11059">
        <v>50104990</v>
      </c>
      <c r="E31" s="11060">
        <f>'WS-PS 2017'!Z6</f>
        <v>3193750</v>
      </c>
      <c r="F31" s="11060"/>
      <c r="G31" s="11091">
        <f t="shared" si="0"/>
        <v>0</v>
      </c>
      <c r="H31" s="11060">
        <v>0</v>
      </c>
      <c r="I31" s="11060"/>
      <c r="J31" s="11061"/>
      <c r="K31" s="11097">
        <f t="shared" si="1"/>
        <v>0</v>
      </c>
      <c r="N31" s="11053"/>
    </row>
    <row r="32" spans="1:14" ht="15" customHeight="1" thickBot="1">
      <c r="A32" s="11087"/>
      <c r="B32" s="11098" t="s">
        <v>37</v>
      </c>
      <c r="C32" s="11098"/>
      <c r="D32" s="11099"/>
      <c r="E32" s="11100">
        <f>SUM(E12:E31)</f>
        <v>26062396.98</v>
      </c>
      <c r="F32" s="11101">
        <f>SUM(F12:F31)</f>
        <v>11812953.07</v>
      </c>
      <c r="G32" s="11101">
        <f>SUM(G12:G31)</f>
        <v>13764447.93</v>
      </c>
      <c r="H32" s="11100">
        <f>SUM(H12:H31)</f>
        <v>25577401</v>
      </c>
      <c r="I32" s="11101"/>
      <c r="J32" s="11102"/>
      <c r="K32" s="11103">
        <f>SUM(K12:K31)</f>
        <v>23771366.75</v>
      </c>
      <c r="N32" s="10031">
        <f>SUM(N14:N31)</f>
        <v>24687674.095000003</v>
      </c>
    </row>
    <row r="33" spans="1:11" ht="15" customHeight="1">
      <c r="A33" s="8196"/>
      <c r="B33" s="8197"/>
      <c r="C33" s="8197"/>
      <c r="D33" s="8758"/>
      <c r="E33" s="9602"/>
      <c r="F33" s="9602"/>
      <c r="G33" s="9602"/>
      <c r="H33" s="8198"/>
      <c r="I33" s="8198"/>
      <c r="J33" s="8199"/>
      <c r="K33" s="8198"/>
    </row>
    <row r="34" spans="1:11" ht="15" customHeight="1">
      <c r="A34" s="7488"/>
      <c r="B34" s="8180"/>
      <c r="C34" s="8180"/>
      <c r="D34" s="8759"/>
      <c r="E34" s="9603"/>
      <c r="F34" s="9603"/>
      <c r="G34" s="9603"/>
      <c r="H34" s="8186"/>
      <c r="I34" s="8186"/>
      <c r="J34" s="8187"/>
      <c r="K34" s="8186"/>
    </row>
    <row r="35" spans="1:11" ht="15" customHeight="1">
      <c r="A35" s="7488"/>
      <c r="B35" s="8180"/>
      <c r="C35" s="8180"/>
      <c r="D35" s="8759"/>
      <c r="E35" s="9603"/>
      <c r="F35" s="9603"/>
      <c r="G35" s="9603"/>
      <c r="H35" s="8186"/>
      <c r="I35" s="8186"/>
      <c r="J35" s="8187"/>
      <c r="K35" s="8186"/>
    </row>
    <row r="36" spans="1:11" ht="15" customHeight="1">
      <c r="A36" s="7488"/>
      <c r="B36" s="8180"/>
      <c r="C36" s="8180"/>
      <c r="D36" s="8759"/>
      <c r="E36" s="9603"/>
      <c r="F36" s="9603"/>
      <c r="G36" s="9603"/>
      <c r="H36" s="8186"/>
      <c r="I36" s="8186"/>
      <c r="J36" s="8187"/>
      <c r="K36" s="8186"/>
    </row>
    <row r="37" spans="1:11" ht="15" customHeight="1">
      <c r="A37" s="7488"/>
      <c r="B37" s="8180"/>
      <c r="C37" s="8180"/>
      <c r="D37" s="8759"/>
      <c r="E37" s="9603"/>
      <c r="F37" s="9603"/>
      <c r="G37" s="9603"/>
      <c r="H37" s="8186"/>
      <c r="I37" s="8186"/>
      <c r="J37" s="8187"/>
      <c r="K37" s="14197"/>
    </row>
    <row r="38" spans="1:11" ht="15" customHeight="1" thickBot="1">
      <c r="A38" s="8200" t="s">
        <v>10806</v>
      </c>
      <c r="B38" s="8200"/>
      <c r="C38" s="8200"/>
      <c r="D38" s="8760"/>
      <c r="E38" s="8177"/>
      <c r="F38" s="8177"/>
      <c r="G38" s="8177"/>
      <c r="H38" s="8177"/>
      <c r="I38" s="8177"/>
      <c r="J38" s="7948"/>
      <c r="K38" s="14198"/>
    </row>
    <row r="39" spans="1:11" ht="15" customHeight="1">
      <c r="A39" s="11079"/>
      <c r="B39" s="11071"/>
      <c r="C39" s="11071"/>
      <c r="D39" s="8761" t="s">
        <v>9</v>
      </c>
      <c r="E39" s="8195" t="s">
        <v>10</v>
      </c>
      <c r="F39" s="14188" t="s">
        <v>10711</v>
      </c>
      <c r="G39" s="14189"/>
      <c r="H39" s="14190"/>
      <c r="I39" s="11104" t="s">
        <v>9985</v>
      </c>
      <c r="J39" s="8206"/>
      <c r="K39" s="11081" t="s">
        <v>12</v>
      </c>
    </row>
    <row r="40" spans="1:11" ht="15" customHeight="1">
      <c r="A40" s="11082"/>
      <c r="B40" s="8178" t="s">
        <v>13</v>
      </c>
      <c r="C40" s="8178"/>
      <c r="D40" s="14186" t="s">
        <v>14</v>
      </c>
      <c r="E40" s="11072" t="s">
        <v>15</v>
      </c>
      <c r="F40" s="9502" t="s">
        <v>10709</v>
      </c>
      <c r="G40" s="11083" t="s">
        <v>10710</v>
      </c>
      <c r="H40" s="14191" t="s">
        <v>458</v>
      </c>
      <c r="I40" s="11105"/>
      <c r="J40" s="11085"/>
      <c r="K40" s="11086" t="s">
        <v>16</v>
      </c>
    </row>
    <row r="41" spans="1:11" ht="15" customHeight="1" thickBot="1">
      <c r="A41" s="11087"/>
      <c r="B41" s="8202"/>
      <c r="C41" s="8202"/>
      <c r="D41" s="14187"/>
      <c r="E41" s="11075">
        <v>2017</v>
      </c>
      <c r="F41" s="9467" t="s">
        <v>457</v>
      </c>
      <c r="G41" s="11076" t="s">
        <v>456</v>
      </c>
      <c r="H41" s="14192"/>
      <c r="I41" s="7974">
        <v>2018</v>
      </c>
      <c r="J41" s="7322"/>
      <c r="K41" s="11088">
        <v>2019</v>
      </c>
    </row>
    <row r="42" spans="1:11" ht="15" customHeight="1">
      <c r="A42" s="11082"/>
      <c r="B42" s="8178"/>
      <c r="C42" s="8178"/>
      <c r="D42" s="11078"/>
      <c r="E42" s="11106"/>
      <c r="F42" s="10030"/>
      <c r="G42" s="11073"/>
      <c r="H42" s="10030"/>
      <c r="I42" s="11107"/>
      <c r="J42" s="11108"/>
      <c r="K42" s="11109"/>
    </row>
    <row r="43" spans="1:11" ht="15" customHeight="1">
      <c r="A43" s="11089"/>
      <c r="B43" s="7488" t="s">
        <v>38</v>
      </c>
      <c r="C43" s="7488"/>
      <c r="D43" s="11059"/>
      <c r="E43" s="11110"/>
      <c r="F43" s="11110"/>
      <c r="G43" s="11110"/>
      <c r="H43" s="11070"/>
      <c r="I43" s="11070"/>
      <c r="J43" s="10110"/>
      <c r="K43" s="11097"/>
    </row>
    <row r="44" spans="1:11" ht="15" customHeight="1">
      <c r="A44" s="11082"/>
      <c r="B44" s="7488" t="s">
        <v>39</v>
      </c>
      <c r="C44" s="7488"/>
      <c r="D44" s="11059">
        <v>50201010</v>
      </c>
      <c r="E44" s="11070">
        <f>'WS-MOOE 2017'!B6+'WS-MOOE 2017'!G6</f>
        <v>2362904.67</v>
      </c>
      <c r="F44" s="11070">
        <f>'WS-MOOE ACTUAL JUNE 2018'!B6</f>
        <v>540665.84</v>
      </c>
      <c r="G44" s="11091">
        <f t="shared" ref="G44:G71" si="2">H44-F44</f>
        <v>1459334.1600000001</v>
      </c>
      <c r="H44" s="11070">
        <v>2000000</v>
      </c>
      <c r="I44" s="11070">
        <v>820893.35</v>
      </c>
      <c r="J44" s="10110">
        <f>I44/H44</f>
        <v>0.41044667499999998</v>
      </c>
      <c r="K44" s="11097">
        <v>2000000</v>
      </c>
    </row>
    <row r="45" spans="1:11" ht="15" hidden="1" customHeight="1">
      <c r="A45" s="11082"/>
      <c r="B45" s="7488" t="s">
        <v>10299</v>
      </c>
      <c r="C45" s="7488"/>
      <c r="D45" s="11059" t="s">
        <v>10498</v>
      </c>
      <c r="E45" s="11070"/>
      <c r="F45" s="11070"/>
      <c r="G45" s="11091"/>
      <c r="H45" s="11070"/>
      <c r="I45" s="11070"/>
      <c r="J45" s="10110" t="e">
        <f>I45/H45</f>
        <v>#DIV/0!</v>
      </c>
      <c r="K45" s="11097"/>
    </row>
    <row r="46" spans="1:11" ht="15" hidden="1" customHeight="1">
      <c r="A46" s="11082"/>
      <c r="B46" s="7488" t="s">
        <v>10089</v>
      </c>
      <c r="C46" s="7488"/>
      <c r="D46" s="11059" t="s">
        <v>212</v>
      </c>
      <c r="E46" s="11070">
        <f>'WS-MOOE 2017'!D6</f>
        <v>0</v>
      </c>
      <c r="F46" s="11070"/>
      <c r="G46" s="11091">
        <f t="shared" si="2"/>
        <v>0</v>
      </c>
      <c r="H46" s="11070"/>
      <c r="I46" s="11070"/>
      <c r="J46" s="10110" t="e">
        <f>I46/H46</f>
        <v>#DIV/0!</v>
      </c>
      <c r="K46" s="11097"/>
    </row>
    <row r="47" spans="1:11" ht="15" hidden="1" customHeight="1">
      <c r="A47" s="11082"/>
      <c r="B47" s="7488" t="s">
        <v>10088</v>
      </c>
      <c r="C47" s="7488"/>
      <c r="D47" s="11059"/>
      <c r="E47" s="11070">
        <v>0</v>
      </c>
      <c r="F47" s="11070"/>
      <c r="G47" s="11091">
        <f t="shared" si="2"/>
        <v>0</v>
      </c>
      <c r="H47" s="11095"/>
      <c r="I47" s="11070"/>
      <c r="J47" s="10110" t="e">
        <f>I47/H47</f>
        <v>#DIV/0!</v>
      </c>
      <c r="K47" s="11096"/>
    </row>
    <row r="48" spans="1:11" ht="15" customHeight="1">
      <c r="A48" s="11082"/>
      <c r="B48" s="7488" t="s">
        <v>41</v>
      </c>
      <c r="C48" s="7488"/>
      <c r="D48" s="11059">
        <v>50202010</v>
      </c>
      <c r="E48" s="11070">
        <f>'WS-MOOE 2017'!H6</f>
        <v>369300</v>
      </c>
      <c r="F48" s="11070">
        <f>'WS-MOOE ACTUAL JUNE 2018'!G6</f>
        <v>4000</v>
      </c>
      <c r="G48" s="11091">
        <f t="shared" si="2"/>
        <v>996000</v>
      </c>
      <c r="H48" s="11070">
        <v>1000000</v>
      </c>
      <c r="I48" s="11070">
        <v>888840</v>
      </c>
      <c r="J48" s="10110">
        <f t="shared" ref="J48:J59" si="3">I48/H48</f>
        <v>0.88883999999999996</v>
      </c>
      <c r="K48" s="11097">
        <v>1000000</v>
      </c>
    </row>
    <row r="49" spans="1:13" ht="15" customHeight="1">
      <c r="A49" s="11082"/>
      <c r="B49" s="7488" t="s">
        <v>42</v>
      </c>
      <c r="C49" s="7488"/>
      <c r="D49" s="11059">
        <v>50203010</v>
      </c>
      <c r="E49" s="11070">
        <f>'WS-MOOE 2017'!J6</f>
        <v>3186749.19</v>
      </c>
      <c r="F49" s="11070">
        <f>'WS-MOOE ACTUAL JUNE 2018'!H6</f>
        <v>796876.7</v>
      </c>
      <c r="G49" s="11091">
        <f t="shared" si="2"/>
        <v>5903123.2999999998</v>
      </c>
      <c r="H49" s="11070">
        <v>6700000</v>
      </c>
      <c r="I49" s="11070">
        <v>4620155.6500000004</v>
      </c>
      <c r="J49" s="10110">
        <f t="shared" si="3"/>
        <v>0.6895754701492538</v>
      </c>
      <c r="K49" s="11097">
        <v>6700000</v>
      </c>
    </row>
    <row r="50" spans="1:13" ht="15" customHeight="1">
      <c r="A50" s="11082"/>
      <c r="B50" s="7488" t="s">
        <v>11479</v>
      </c>
      <c r="C50" s="7488"/>
      <c r="D50" s="11059">
        <v>50203110</v>
      </c>
      <c r="E50" s="11070">
        <f>'WS-MOOE 2017'!U6</f>
        <v>8800</v>
      </c>
      <c r="F50" s="11070"/>
      <c r="G50" s="11091"/>
      <c r="H50" s="11070"/>
      <c r="I50" s="11070"/>
      <c r="J50" s="10110"/>
      <c r="K50" s="11097"/>
    </row>
    <row r="51" spans="1:13" ht="15" customHeight="1">
      <c r="A51" s="11082"/>
      <c r="B51" s="7488" t="s">
        <v>44</v>
      </c>
      <c r="C51" s="11111"/>
      <c r="D51" s="11059">
        <v>50203090</v>
      </c>
      <c r="E51" s="11070">
        <f>'WS-MOOE 2017'!R6</f>
        <v>3624295.56</v>
      </c>
      <c r="F51" s="11070">
        <f>'WS-MOOE ACTUAL JUNE 2018'!O6</f>
        <v>1147851.17</v>
      </c>
      <c r="G51" s="11091">
        <f t="shared" si="2"/>
        <v>4852148.83</v>
      </c>
      <c r="H51" s="11070">
        <v>6000000</v>
      </c>
      <c r="I51" s="11070">
        <v>4636851.8</v>
      </c>
      <c r="J51" s="10110">
        <f t="shared" si="3"/>
        <v>0.77280863333333327</v>
      </c>
      <c r="K51" s="11096">
        <v>6000000</v>
      </c>
    </row>
    <row r="52" spans="1:13" ht="15" customHeight="1">
      <c r="A52" s="11082"/>
      <c r="B52" s="7488" t="s">
        <v>45</v>
      </c>
      <c r="C52" s="7488"/>
      <c r="D52" s="11059">
        <v>50204010</v>
      </c>
      <c r="E52" s="11070">
        <f>'WS-MOOE 2017'!W6</f>
        <v>628064.18999999994</v>
      </c>
      <c r="F52" s="11070">
        <f>'WS-MOOE ACTUAL JUNE 2018'!R6</f>
        <v>272578.42</v>
      </c>
      <c r="G52" s="11091">
        <f t="shared" si="2"/>
        <v>227421.58000000002</v>
      </c>
      <c r="H52" s="11070">
        <v>500000</v>
      </c>
      <c r="I52" s="11070">
        <v>350725.6</v>
      </c>
      <c r="J52" s="10110">
        <f t="shared" si="3"/>
        <v>0.70145119999999994</v>
      </c>
      <c r="K52" s="11112"/>
      <c r="L52" s="11060">
        <v>500000</v>
      </c>
    </row>
    <row r="53" spans="1:13" ht="15" customHeight="1">
      <c r="A53" s="11082"/>
      <c r="B53" s="7488" t="s">
        <v>46</v>
      </c>
      <c r="C53" s="7488"/>
      <c r="D53" s="11059">
        <v>50204020</v>
      </c>
      <c r="E53" s="11070">
        <f>'WS-MOOE 2017'!X6</f>
        <v>6102106.4199999999</v>
      </c>
      <c r="F53" s="11070">
        <f>'WS-MOOE ACTUAL JUNE 2018'!S6</f>
        <v>2296109.94</v>
      </c>
      <c r="G53" s="11091">
        <f t="shared" si="2"/>
        <v>2703890.06</v>
      </c>
      <c r="H53" s="11070">
        <v>5000000</v>
      </c>
      <c r="I53" s="11070">
        <v>3273075.89</v>
      </c>
      <c r="J53" s="10110">
        <f t="shared" si="3"/>
        <v>0.65461517800000002</v>
      </c>
      <c r="K53" s="11112"/>
      <c r="L53" s="11060">
        <v>5000000</v>
      </c>
    </row>
    <row r="54" spans="1:13" ht="15" customHeight="1">
      <c r="A54" s="11082"/>
      <c r="B54" s="7488" t="s">
        <v>62</v>
      </c>
      <c r="C54" s="7488"/>
      <c r="D54" s="11059">
        <v>50205010</v>
      </c>
      <c r="E54" s="11070">
        <f>'WS-MOOE 2017'!Z6</f>
        <v>26023.15</v>
      </c>
      <c r="F54" s="11070">
        <f>'WS-MOOE ACTUAL JUNE 2018'!U6</f>
        <v>18216.75</v>
      </c>
      <c r="G54" s="11091">
        <f t="shared" si="2"/>
        <v>81783.25</v>
      </c>
      <c r="H54" s="11070">
        <v>100000</v>
      </c>
      <c r="I54" s="11070">
        <v>25265.95</v>
      </c>
      <c r="J54" s="10110">
        <f t="shared" si="3"/>
        <v>0.25265949999999998</v>
      </c>
      <c r="K54" s="11097">
        <v>100000</v>
      </c>
    </row>
    <row r="55" spans="1:13" ht="15" customHeight="1">
      <c r="A55" s="11082"/>
      <c r="B55" s="7488" t="s">
        <v>10936</v>
      </c>
      <c r="C55" s="7488"/>
      <c r="D55" s="11059">
        <v>50205020</v>
      </c>
      <c r="E55" s="11070">
        <f>'WS-MOOE 2017'!AA6</f>
        <v>811110.64</v>
      </c>
      <c r="F55" s="11070">
        <f>'WS-MOOE ACTUAL JUNE 2018'!V6</f>
        <v>245824.9</v>
      </c>
      <c r="G55" s="11091">
        <f t="shared" si="2"/>
        <v>754175.1</v>
      </c>
      <c r="H55" s="11070">
        <v>1000000</v>
      </c>
      <c r="I55" s="11070">
        <v>379019.54</v>
      </c>
      <c r="J55" s="10110">
        <f t="shared" si="3"/>
        <v>0.37901953999999999</v>
      </c>
      <c r="K55" s="11096">
        <v>1000000</v>
      </c>
    </row>
    <row r="56" spans="1:13" ht="15" hidden="1" customHeight="1">
      <c r="A56" s="11082"/>
      <c r="B56" s="7488" t="s">
        <v>10079</v>
      </c>
      <c r="C56" s="7488"/>
      <c r="D56" s="11059"/>
      <c r="E56" s="11070">
        <v>0</v>
      </c>
      <c r="F56" s="11070"/>
      <c r="G56" s="11091">
        <f t="shared" si="2"/>
        <v>0</v>
      </c>
      <c r="H56" s="11095">
        <v>0</v>
      </c>
      <c r="I56" s="11070"/>
      <c r="J56" s="10110" t="e">
        <f t="shared" si="3"/>
        <v>#DIV/0!</v>
      </c>
      <c r="K56" s="11097">
        <v>0</v>
      </c>
    </row>
    <row r="57" spans="1:13" ht="15" hidden="1" customHeight="1">
      <c r="A57" s="11082"/>
      <c r="B57" s="7488" t="s">
        <v>185</v>
      </c>
      <c r="C57" s="7488"/>
      <c r="D57" s="11059">
        <v>773</v>
      </c>
      <c r="E57" s="11070"/>
      <c r="F57" s="11070"/>
      <c r="G57" s="11091">
        <f t="shared" si="2"/>
        <v>0</v>
      </c>
      <c r="H57" s="11070">
        <v>0</v>
      </c>
      <c r="I57" s="11070"/>
      <c r="J57" s="10110" t="e">
        <f t="shared" si="3"/>
        <v>#DIV/0!</v>
      </c>
      <c r="K57" s="11097">
        <v>0</v>
      </c>
    </row>
    <row r="58" spans="1:13" ht="15" customHeight="1">
      <c r="A58" s="11082"/>
      <c r="B58" s="7488" t="s">
        <v>136</v>
      </c>
      <c r="C58" s="7488"/>
      <c r="D58" s="11059">
        <v>50205030</v>
      </c>
      <c r="E58" s="11070">
        <f>'WS-MOOE 2017'!AE6</f>
        <v>11988</v>
      </c>
      <c r="F58" s="11070">
        <f>'WS-MOOE ACTUAL JUNE 2018'!Z6</f>
        <v>3996</v>
      </c>
      <c r="G58" s="11091">
        <f t="shared" si="2"/>
        <v>46004</v>
      </c>
      <c r="H58" s="11070">
        <v>50000</v>
      </c>
      <c r="I58" s="11070">
        <v>5760.9</v>
      </c>
      <c r="J58" s="10110">
        <f t="shared" si="3"/>
        <v>0.11521799999999999</v>
      </c>
      <c r="K58" s="11097">
        <v>50000</v>
      </c>
    </row>
    <row r="59" spans="1:13" ht="15" customHeight="1">
      <c r="A59" s="11082"/>
      <c r="B59" s="7488" t="s">
        <v>283</v>
      </c>
      <c r="C59" s="7488"/>
      <c r="D59" s="11059">
        <v>50205040</v>
      </c>
      <c r="E59" s="11070">
        <f>'WS-MOOE 2017'!AF6</f>
        <v>13970</v>
      </c>
      <c r="F59" s="11070">
        <f>'WS-MOOE ACTUAL JUNE 2018'!AB6</f>
        <v>0</v>
      </c>
      <c r="G59" s="11091">
        <f t="shared" si="2"/>
        <v>18000</v>
      </c>
      <c r="H59" s="11070">
        <v>18000</v>
      </c>
      <c r="I59" s="11070">
        <v>4950</v>
      </c>
      <c r="J59" s="10110">
        <f t="shared" si="3"/>
        <v>0.27500000000000002</v>
      </c>
      <c r="K59" s="11097">
        <v>18000</v>
      </c>
    </row>
    <row r="60" spans="1:13" ht="15" customHeight="1">
      <c r="A60" s="11082"/>
      <c r="B60" s="7488" t="s">
        <v>9326</v>
      </c>
      <c r="C60" s="7488"/>
      <c r="D60" s="11059">
        <v>50210010</v>
      </c>
      <c r="E60" s="11070">
        <f>'WS-MOOE 2017'!AH6</f>
        <v>14000000</v>
      </c>
      <c r="F60" s="11070">
        <f>'WS-MOOE ACTUAL JUNE 2018'!AD6</f>
        <v>6000000</v>
      </c>
      <c r="G60" s="11091">
        <f>H60-F60</f>
        <v>8000000</v>
      </c>
      <c r="H60" s="11070">
        <v>14000000</v>
      </c>
      <c r="I60" s="11113">
        <v>6000000</v>
      </c>
      <c r="J60" s="10110">
        <f>I60/H60</f>
        <v>0.42857142857142855</v>
      </c>
      <c r="K60" s="11097">
        <v>14000000</v>
      </c>
    </row>
    <row r="61" spans="1:13" ht="15" hidden="1" customHeight="1">
      <c r="A61" s="11082"/>
      <c r="B61" s="7488" t="s">
        <v>9967</v>
      </c>
      <c r="C61" s="7488"/>
      <c r="D61" s="11059">
        <v>882</v>
      </c>
      <c r="E61" s="11070">
        <f>'WS-MOOE 2017'!BE6</f>
        <v>0</v>
      </c>
      <c r="F61" s="11070"/>
      <c r="G61" s="11091">
        <f>H61-F61</f>
        <v>0</v>
      </c>
      <c r="H61" s="11070"/>
      <c r="I61" s="11070"/>
      <c r="J61" s="10110"/>
      <c r="K61" s="11097"/>
    </row>
    <row r="62" spans="1:13" ht="15" customHeight="1">
      <c r="A62" s="11082"/>
      <c r="B62" s="7488" t="s">
        <v>10984</v>
      </c>
      <c r="C62" s="7488"/>
      <c r="D62" s="11059">
        <v>50210030</v>
      </c>
      <c r="E62" s="11070">
        <f>'WS-MOOE 2017'!BF6</f>
        <v>0</v>
      </c>
      <c r="F62" s="11070">
        <f>'WS-MOOE ACTUAL JUNE 2018'!AE6</f>
        <v>0</v>
      </c>
      <c r="G62" s="11091">
        <f>H62-F62</f>
        <v>623000</v>
      </c>
      <c r="H62" s="11070">
        <v>623000</v>
      </c>
      <c r="I62" s="11070">
        <v>0</v>
      </c>
      <c r="J62" s="10110">
        <f>I62/H62</f>
        <v>0</v>
      </c>
      <c r="K62" s="11097">
        <v>623000</v>
      </c>
      <c r="L62" s="10031">
        <f>'STATEMENT OF RECEIPTS'!N26</f>
        <v>837818.98200000008</v>
      </c>
      <c r="M62" s="8163" t="s">
        <v>10322</v>
      </c>
    </row>
    <row r="63" spans="1:13" ht="15" customHeight="1">
      <c r="A63" s="11082"/>
      <c r="B63" s="7488" t="s">
        <v>10944</v>
      </c>
      <c r="C63" s="7488"/>
      <c r="D63" s="11059">
        <v>50211990</v>
      </c>
      <c r="E63" s="11060">
        <f>'WS-MOOE 2017'!AL6</f>
        <v>8542116.0700000003</v>
      </c>
      <c r="F63" s="11060">
        <f>'WS-MOOE ACTUAL JUNE 2018'!AF6</f>
        <v>3276009.92</v>
      </c>
      <c r="G63" s="11091">
        <f>H63-F63</f>
        <v>8723990.0800000001</v>
      </c>
      <c r="H63" s="11060">
        <v>12000000</v>
      </c>
      <c r="I63" s="11060">
        <v>7725786.6500000004</v>
      </c>
      <c r="J63" s="10110">
        <f>I63/H63</f>
        <v>0.64381555416666669</v>
      </c>
      <c r="K63" s="11097">
        <v>10000000</v>
      </c>
    </row>
    <row r="64" spans="1:13" ht="15" customHeight="1">
      <c r="A64" s="11082"/>
      <c r="B64" s="7352" t="s">
        <v>10940</v>
      </c>
      <c r="C64" s="8182"/>
      <c r="D64" s="11059">
        <v>50212990</v>
      </c>
      <c r="E64" s="11060">
        <f>'WS-MOOE 2017'!AO6</f>
        <v>25113883.25</v>
      </c>
      <c r="F64" s="11060">
        <f>'WS-MOOE ACTUAL JUNE 2018'!AJ6</f>
        <v>9227302.7200000007</v>
      </c>
      <c r="G64" s="11091">
        <f>H64-F64</f>
        <v>17268697.280000001</v>
      </c>
      <c r="H64" s="11060">
        <v>26496000</v>
      </c>
      <c r="I64" s="11060">
        <v>16739043</v>
      </c>
      <c r="J64" s="10110">
        <f>I64/H64</f>
        <v>0.6317573596014493</v>
      </c>
      <c r="K64" s="11096">
        <v>24000000</v>
      </c>
    </row>
    <row r="65" spans="1:11" ht="15" hidden="1" customHeight="1">
      <c r="A65" s="11082"/>
      <c r="B65" s="8182" t="s">
        <v>10225</v>
      </c>
      <c r="C65" s="8182"/>
      <c r="D65" s="11059">
        <v>796</v>
      </c>
      <c r="E65" s="11060">
        <f>'WS-MOOE 2017'!AM6</f>
        <v>0</v>
      </c>
      <c r="F65" s="11060"/>
      <c r="G65" s="11091">
        <f t="shared" si="2"/>
        <v>0</v>
      </c>
      <c r="H65" s="11060"/>
      <c r="I65" s="11060"/>
      <c r="J65" s="10110"/>
      <c r="K65" s="11090"/>
    </row>
    <row r="66" spans="1:11" ht="15" hidden="1" customHeight="1">
      <c r="A66" s="11082"/>
      <c r="B66" s="8182" t="s">
        <v>10224</v>
      </c>
      <c r="C66" s="8182"/>
      <c r="D66" s="11059">
        <v>797</v>
      </c>
      <c r="E66" s="11060">
        <f>'WS-MOOE 2017'!AN6</f>
        <v>0</v>
      </c>
      <c r="F66" s="11060"/>
      <c r="G66" s="11091">
        <f t="shared" si="2"/>
        <v>0</v>
      </c>
      <c r="H66" s="11060"/>
      <c r="I66" s="11060"/>
      <c r="J66" s="10110"/>
      <c r="K66" s="11090"/>
    </row>
    <row r="67" spans="1:11" ht="15" customHeight="1">
      <c r="A67" s="11082"/>
      <c r="B67" s="7488" t="s">
        <v>10959</v>
      </c>
      <c r="C67" s="11111"/>
      <c r="D67" s="11059">
        <v>50213040</v>
      </c>
      <c r="E67" s="11060">
        <f>'WS-MOOE 2017'!AS6</f>
        <v>383600</v>
      </c>
      <c r="F67" s="11060">
        <f>'WS-MOOE ACTUAL JUNE 2018'!AN6</f>
        <v>160163.35999999999</v>
      </c>
      <c r="G67" s="11091">
        <f t="shared" si="2"/>
        <v>339836.64</v>
      </c>
      <c r="H67" s="11060">
        <v>500000</v>
      </c>
      <c r="I67" s="11060">
        <v>160163.35999999999</v>
      </c>
      <c r="J67" s="10110">
        <f>I67/H67</f>
        <v>0.32032671999999995</v>
      </c>
      <c r="K67" s="11097">
        <v>100000</v>
      </c>
    </row>
    <row r="68" spans="1:11" ht="15" hidden="1" customHeight="1">
      <c r="A68" s="11082"/>
      <c r="B68" s="7488" t="s">
        <v>10300</v>
      </c>
      <c r="C68" s="7488"/>
      <c r="D68" s="11059">
        <v>821</v>
      </c>
      <c r="E68" s="11060"/>
      <c r="F68" s="11060"/>
      <c r="G68" s="11091"/>
      <c r="H68" s="11060">
        <v>0</v>
      </c>
      <c r="I68" s="11060"/>
      <c r="J68" s="10110" t="e">
        <f>I68/H68</f>
        <v>#DIV/0!</v>
      </c>
      <c r="K68" s="11097">
        <v>0</v>
      </c>
    </row>
    <row r="69" spans="1:11" ht="15" hidden="1" customHeight="1">
      <c r="A69" s="11082"/>
      <c r="B69" s="7488" t="s">
        <v>289</v>
      </c>
      <c r="C69" s="7488"/>
      <c r="D69" s="11059">
        <v>823</v>
      </c>
      <c r="E69" s="11060"/>
      <c r="F69" s="11060"/>
      <c r="G69" s="11091"/>
      <c r="H69" s="11060">
        <v>0</v>
      </c>
      <c r="I69" s="11060"/>
      <c r="J69" s="10110" t="e">
        <f>I69/H69</f>
        <v>#DIV/0!</v>
      </c>
      <c r="K69" s="11097">
        <v>0</v>
      </c>
    </row>
    <row r="70" spans="1:11" ht="15" customHeight="1">
      <c r="A70" s="11082"/>
      <c r="B70" s="7488" t="s">
        <v>10938</v>
      </c>
      <c r="C70" s="7488"/>
      <c r="D70" s="11059">
        <v>50213050</v>
      </c>
      <c r="E70" s="11060">
        <f>'WS-MOOE 2017'!AW6+'WS-MOOE 2017'!AY6+'WS-MOOE 2017'!BA6</f>
        <v>297028.40000000002</v>
      </c>
      <c r="F70" s="11060">
        <f>'WS-MOOE ACTUAL JUNE 2018'!AS6</f>
        <v>35742</v>
      </c>
      <c r="G70" s="11091">
        <f t="shared" si="2"/>
        <v>464258</v>
      </c>
      <c r="H70" s="11060">
        <v>500000</v>
      </c>
      <c r="I70" s="11060">
        <v>58742</v>
      </c>
      <c r="J70" s="10110">
        <f>I70/H70</f>
        <v>0.11748400000000001</v>
      </c>
      <c r="K70" s="11097">
        <v>300000</v>
      </c>
    </row>
    <row r="71" spans="1:11" ht="15" customHeight="1">
      <c r="A71" s="11082"/>
      <c r="B71" s="7488" t="s">
        <v>10937</v>
      </c>
      <c r="C71" s="7488"/>
      <c r="D71" s="11059">
        <v>50213060</v>
      </c>
      <c r="E71" s="11060">
        <f>'WS-MOOE 2017'!BB6</f>
        <v>4445983.9000000004</v>
      </c>
      <c r="F71" s="11060">
        <f>'WS-MOOE ACTUAL JUNE 2018'!AT6</f>
        <v>2010188.75</v>
      </c>
      <c r="G71" s="11091">
        <f t="shared" si="2"/>
        <v>1989811.25</v>
      </c>
      <c r="H71" s="11060">
        <v>4000000</v>
      </c>
      <c r="I71" s="11060">
        <v>5943056.75</v>
      </c>
      <c r="J71" s="10110">
        <f>I71/H71</f>
        <v>1.4857641875000001</v>
      </c>
      <c r="K71" s="11097">
        <v>5000000</v>
      </c>
    </row>
    <row r="72" spans="1:11" ht="15" hidden="1" customHeight="1">
      <c r="A72" s="11082"/>
      <c r="B72" s="7488" t="s">
        <v>9968</v>
      </c>
      <c r="C72" s="7488"/>
      <c r="D72" s="11059">
        <v>874</v>
      </c>
      <c r="E72" s="11060">
        <f>'WS-MOOE 2017'!BD6</f>
        <v>0</v>
      </c>
      <c r="F72" s="11060"/>
      <c r="G72" s="11060"/>
      <c r="H72" s="11060"/>
      <c r="I72" s="11060"/>
      <c r="J72" s="10110"/>
      <c r="K72" s="11090"/>
    </row>
    <row r="73" spans="1:11" ht="15" customHeight="1">
      <c r="A73" s="11082"/>
      <c r="B73" s="7488" t="s">
        <v>72</v>
      </c>
      <c r="C73" s="7488"/>
      <c r="D73" s="11059">
        <v>50215020</v>
      </c>
      <c r="E73" s="11070">
        <f>'WS-MOOE 2017'!BH6</f>
        <v>45000</v>
      </c>
      <c r="F73" s="11070">
        <f>'WS-MOOE ACTUAL JUNE 2018'!AZ6</f>
        <v>54000</v>
      </c>
      <c r="G73" s="11091">
        <f>H73-F73</f>
        <v>6000</v>
      </c>
      <c r="H73" s="11070">
        <v>60000</v>
      </c>
      <c r="I73" s="11070">
        <v>54000</v>
      </c>
      <c r="J73" s="10110">
        <f>I73/H73</f>
        <v>0.9</v>
      </c>
      <c r="K73" s="11097">
        <v>60000</v>
      </c>
    </row>
    <row r="74" spans="1:11" ht="15" customHeight="1">
      <c r="A74" s="11082"/>
      <c r="B74" s="7488" t="s">
        <v>202</v>
      </c>
      <c r="C74" s="7488"/>
      <c r="D74" s="11059">
        <v>50299010</v>
      </c>
      <c r="E74" s="11070">
        <f>'WS-MOOE 2017'!BI6</f>
        <v>368500</v>
      </c>
      <c r="F74" s="11070">
        <f>'WS-MOOE ACTUAL JUNE 2018'!BB6</f>
        <v>69500</v>
      </c>
      <c r="G74" s="11091">
        <f>H74-F74</f>
        <v>430500</v>
      </c>
      <c r="H74" s="11070">
        <v>500000</v>
      </c>
      <c r="I74" s="11070">
        <v>175500</v>
      </c>
      <c r="J74" s="10110">
        <f>I74/H74</f>
        <v>0.35099999999999998</v>
      </c>
      <c r="K74" s="11090">
        <v>300000</v>
      </c>
    </row>
    <row r="75" spans="1:11" ht="15" hidden="1" customHeight="1">
      <c r="A75" s="11082"/>
      <c r="B75" s="7488" t="s">
        <v>114</v>
      </c>
      <c r="C75" s="7488"/>
      <c r="D75" s="11059">
        <v>781</v>
      </c>
      <c r="E75" s="11060">
        <f>'WS-MOOE 2017'!BJ6</f>
        <v>0</v>
      </c>
      <c r="F75" s="11060"/>
      <c r="G75" s="11091">
        <f>H75-F75</f>
        <v>0</v>
      </c>
      <c r="H75" s="11060">
        <v>0</v>
      </c>
      <c r="I75" s="11060"/>
      <c r="J75" s="10110" t="e">
        <f>I75/H75</f>
        <v>#DIV/0!</v>
      </c>
      <c r="K75" s="11090">
        <v>0</v>
      </c>
    </row>
    <row r="76" spans="1:11" ht="15" customHeight="1">
      <c r="A76" s="11082"/>
      <c r="B76" s="8182" t="s">
        <v>10939</v>
      </c>
      <c r="C76" s="8182"/>
      <c r="D76" s="11059">
        <v>50299030</v>
      </c>
      <c r="E76" s="11060">
        <f>'WS-MOOE 2017'!BK6</f>
        <v>9412598.4199999999</v>
      </c>
      <c r="F76" s="11060">
        <f>'WS-MOOE ACTUAL JUNE 2018'!BE6</f>
        <v>505340</v>
      </c>
      <c r="G76" s="11091">
        <f>H76-F76</f>
        <v>9494660</v>
      </c>
      <c r="H76" s="11060">
        <v>10000000</v>
      </c>
      <c r="I76" s="11060">
        <v>8900000</v>
      </c>
      <c r="J76" s="10110">
        <f>I76/H76</f>
        <v>0.89</v>
      </c>
      <c r="K76" s="11090">
        <v>10000000</v>
      </c>
    </row>
    <row r="77" spans="1:11" ht="15" customHeight="1">
      <c r="A77" s="11082"/>
      <c r="B77" s="8182" t="s">
        <v>293</v>
      </c>
      <c r="C77" s="8182"/>
      <c r="D77" s="11059">
        <v>50299080</v>
      </c>
      <c r="E77" s="11060">
        <f>'WS-MOOE 2017'!BM6</f>
        <v>29412881.620000001</v>
      </c>
      <c r="F77" s="11060">
        <f>'WS-MOOE ACTUAL JUNE 2018'!BG6</f>
        <v>17216764.75</v>
      </c>
      <c r="G77" s="11091">
        <f>H77-F77</f>
        <v>19283235.25</v>
      </c>
      <c r="H77" s="11060">
        <v>36500000</v>
      </c>
      <c r="I77" s="11060">
        <v>23765817.75</v>
      </c>
      <c r="J77" s="10110">
        <f>I77/H77</f>
        <v>0.65111829452054792</v>
      </c>
      <c r="K77" s="11090">
        <v>34000000</v>
      </c>
    </row>
    <row r="78" spans="1:11" ht="15" customHeight="1">
      <c r="A78" s="11082"/>
      <c r="B78" s="8182" t="s">
        <v>9639</v>
      </c>
      <c r="C78" s="8183"/>
      <c r="D78" s="11059"/>
      <c r="E78" s="11060"/>
      <c r="F78" s="11060"/>
      <c r="G78" s="11060"/>
      <c r="H78" s="11060"/>
      <c r="I78" s="11060"/>
      <c r="J78" s="11061"/>
      <c r="K78" s="11090"/>
    </row>
    <row r="79" spans="1:11" ht="15" customHeight="1">
      <c r="A79" s="11082"/>
      <c r="B79" s="8182" t="s">
        <v>9640</v>
      </c>
      <c r="C79" s="8183"/>
      <c r="D79" s="11059"/>
      <c r="E79" s="11060"/>
      <c r="F79" s="11060"/>
      <c r="G79" s="11060"/>
      <c r="H79" s="11060"/>
      <c r="I79" s="11060"/>
      <c r="J79" s="11061"/>
      <c r="K79" s="11090"/>
    </row>
    <row r="80" spans="1:11" ht="15" customHeight="1">
      <c r="A80" s="11082" t="s">
        <v>3176</v>
      </c>
      <c r="B80" s="8182" t="s">
        <v>9641</v>
      </c>
      <c r="C80" s="8183"/>
      <c r="D80" s="11059"/>
      <c r="E80" s="11060"/>
      <c r="F80" s="11060"/>
      <c r="G80" s="11060"/>
      <c r="H80" s="11060"/>
      <c r="I80" s="11060"/>
      <c r="J80" s="11061"/>
      <c r="K80" s="11090"/>
    </row>
    <row r="81" spans="1:11" ht="15" customHeight="1">
      <c r="A81" s="11082"/>
      <c r="B81" s="8182" t="s">
        <v>9636</v>
      </c>
      <c r="C81" s="8183"/>
      <c r="D81" s="11059"/>
      <c r="E81" s="11060"/>
      <c r="F81" s="11060"/>
      <c r="G81" s="11060"/>
      <c r="H81" s="11060"/>
      <c r="I81" s="11060"/>
      <c r="J81" s="11061"/>
      <c r="K81" s="11090"/>
    </row>
    <row r="82" spans="1:11" ht="15" customHeight="1">
      <c r="A82" s="11082"/>
      <c r="B82" s="8182" t="s">
        <v>9637</v>
      </c>
      <c r="C82" s="8183"/>
      <c r="D82" s="11059"/>
      <c r="E82" s="11060"/>
      <c r="F82" s="11060"/>
      <c r="G82" s="11060"/>
      <c r="H82" s="11060"/>
      <c r="I82" s="11060"/>
      <c r="J82" s="11061"/>
      <c r="K82" s="11090"/>
    </row>
    <row r="83" spans="1:11" ht="15" customHeight="1">
      <c r="A83" s="11082"/>
      <c r="B83" s="8182" t="s">
        <v>9638</v>
      </c>
      <c r="C83" s="8183"/>
      <c r="D83" s="11059"/>
      <c r="E83" s="11060"/>
      <c r="F83" s="11060"/>
      <c r="G83" s="11060"/>
      <c r="H83" s="11060"/>
      <c r="I83" s="11060"/>
      <c r="J83" s="11061"/>
      <c r="K83" s="11090"/>
    </row>
    <row r="84" spans="1:11" ht="15" customHeight="1">
      <c r="A84" s="11082"/>
      <c r="B84" s="8182" t="s">
        <v>9637</v>
      </c>
      <c r="C84" s="8183"/>
      <c r="D84" s="11059"/>
      <c r="E84" s="11060"/>
      <c r="F84" s="11060"/>
      <c r="G84" s="11060"/>
      <c r="H84" s="11060"/>
      <c r="I84" s="11060"/>
      <c r="J84" s="11061"/>
      <c r="K84" s="11090"/>
    </row>
    <row r="85" spans="1:11" ht="15" customHeight="1" thickBot="1">
      <c r="A85" s="11087"/>
      <c r="B85" s="11114" t="s">
        <v>9642</v>
      </c>
      <c r="C85" s="11115"/>
      <c r="D85" s="11099"/>
      <c r="E85" s="11116"/>
      <c r="F85" s="11116"/>
      <c r="G85" s="11116"/>
      <c r="H85" s="11116"/>
      <c r="I85" s="11116"/>
      <c r="J85" s="11117"/>
      <c r="K85" s="11118"/>
    </row>
    <row r="86" spans="1:11" ht="15" customHeight="1">
      <c r="A86" s="11062"/>
      <c r="B86" s="11062"/>
      <c r="C86" s="11062"/>
      <c r="D86" s="11063"/>
      <c r="E86" s="11064"/>
      <c r="F86" s="11064"/>
      <c r="G86" s="11064"/>
      <c r="H86" s="11065"/>
      <c r="I86" s="11065"/>
      <c r="J86" s="11066"/>
      <c r="K86" s="11065"/>
    </row>
    <row r="87" spans="1:11" ht="15" customHeight="1" thickBot="1">
      <c r="A87" s="8200" t="s">
        <v>9654</v>
      </c>
      <c r="B87" s="8200"/>
      <c r="C87" s="8200"/>
      <c r="D87" s="8760"/>
      <c r="E87" s="8177"/>
      <c r="F87" s="8177"/>
      <c r="G87" s="8177"/>
      <c r="H87" s="11054" t="s">
        <v>9</v>
      </c>
      <c r="I87" s="8177"/>
      <c r="J87" s="7948"/>
      <c r="K87" s="11057"/>
    </row>
    <row r="88" spans="1:11" ht="15" customHeight="1">
      <c r="A88" s="11079"/>
      <c r="B88" s="11071"/>
      <c r="C88" s="11071"/>
      <c r="D88" s="8761" t="s">
        <v>9</v>
      </c>
      <c r="E88" s="8195" t="s">
        <v>10</v>
      </c>
      <c r="F88" s="14188" t="s">
        <v>10711</v>
      </c>
      <c r="G88" s="14189"/>
      <c r="H88" s="14190"/>
      <c r="I88" s="8195"/>
      <c r="J88" s="8201"/>
      <c r="K88" s="11081" t="s">
        <v>12</v>
      </c>
    </row>
    <row r="89" spans="1:11" ht="15" customHeight="1">
      <c r="A89" s="11082"/>
      <c r="B89" s="8178" t="s">
        <v>13</v>
      </c>
      <c r="C89" s="8178"/>
      <c r="D89" s="14186" t="s">
        <v>14</v>
      </c>
      <c r="E89" s="11072" t="s">
        <v>15</v>
      </c>
      <c r="F89" s="9502" t="s">
        <v>10709</v>
      </c>
      <c r="G89" s="11083" t="s">
        <v>10710</v>
      </c>
      <c r="H89" s="14191" t="s">
        <v>458</v>
      </c>
      <c r="I89" s="11072"/>
      <c r="J89" s="11074"/>
      <c r="K89" s="11086" t="s">
        <v>16</v>
      </c>
    </row>
    <row r="90" spans="1:11" ht="15" customHeight="1" thickBot="1">
      <c r="A90" s="11087"/>
      <c r="B90" s="8202"/>
      <c r="C90" s="8202"/>
      <c r="D90" s="14187"/>
      <c r="E90" s="11075">
        <v>2017</v>
      </c>
      <c r="F90" s="9467" t="s">
        <v>457</v>
      </c>
      <c r="G90" s="11076" t="s">
        <v>456</v>
      </c>
      <c r="H90" s="14192"/>
      <c r="I90" s="11075"/>
      <c r="J90" s="11077"/>
      <c r="K90" s="11088">
        <v>2019</v>
      </c>
    </row>
    <row r="91" spans="1:11" ht="15" customHeight="1">
      <c r="A91" s="11082"/>
      <c r="B91" s="8182" t="s">
        <v>9643</v>
      </c>
      <c r="C91" s="8183"/>
      <c r="D91" s="11059"/>
      <c r="E91" s="11060"/>
      <c r="F91" s="11060"/>
      <c r="G91" s="11060"/>
      <c r="H91" s="11060"/>
      <c r="I91" s="11060"/>
      <c r="J91" s="11061"/>
      <c r="K91" s="11090"/>
    </row>
    <row r="92" spans="1:11" ht="15" customHeight="1">
      <c r="A92" s="11082"/>
      <c r="B92" s="8182" t="s">
        <v>9644</v>
      </c>
      <c r="C92" s="8183"/>
      <c r="D92" s="11059"/>
      <c r="E92" s="11060"/>
      <c r="F92" s="11060"/>
      <c r="G92" s="11060"/>
      <c r="H92" s="11060"/>
      <c r="I92" s="11060"/>
      <c r="J92" s="11061"/>
      <c r="K92" s="11090"/>
    </row>
    <row r="93" spans="1:11" ht="15" customHeight="1">
      <c r="A93" s="11082"/>
      <c r="B93" s="8182" t="s">
        <v>9646</v>
      </c>
      <c r="C93" s="8183"/>
      <c r="D93" s="11059"/>
      <c r="E93" s="11060"/>
      <c r="F93" s="11060"/>
      <c r="G93" s="11060"/>
      <c r="H93" s="11060"/>
      <c r="I93" s="11060"/>
      <c r="J93" s="11061"/>
      <c r="K93" s="11090"/>
    </row>
    <row r="94" spans="1:11" ht="15" customHeight="1">
      <c r="A94" s="11082"/>
      <c r="B94" s="8182" t="s">
        <v>9647</v>
      </c>
      <c r="C94" s="8183"/>
      <c r="D94" s="11059"/>
      <c r="E94" s="11060"/>
      <c r="F94" s="11060"/>
      <c r="G94" s="11060"/>
      <c r="H94" s="11060"/>
      <c r="I94" s="11060"/>
      <c r="J94" s="11061"/>
      <c r="K94" s="11090"/>
    </row>
    <row r="95" spans="1:11" ht="15" customHeight="1">
      <c r="A95" s="11082"/>
      <c r="B95" s="8182" t="s">
        <v>9648</v>
      </c>
      <c r="C95" s="8183"/>
      <c r="D95" s="11059"/>
      <c r="E95" s="11060"/>
      <c r="F95" s="11060"/>
      <c r="G95" s="11060"/>
      <c r="H95" s="11060"/>
      <c r="I95" s="11060"/>
      <c r="J95" s="11061"/>
      <c r="K95" s="11090"/>
    </row>
    <row r="96" spans="1:11" ht="15" customHeight="1">
      <c r="A96" s="11082"/>
      <c r="B96" s="8182" t="s">
        <v>9649</v>
      </c>
      <c r="C96" s="8183"/>
      <c r="D96" s="11059"/>
      <c r="E96" s="11060"/>
      <c r="F96" s="11060"/>
      <c r="G96" s="11060"/>
      <c r="H96" s="11060"/>
      <c r="I96" s="11060"/>
      <c r="J96" s="11061"/>
      <c r="K96" s="11090"/>
    </row>
    <row r="97" spans="1:12" ht="15" customHeight="1">
      <c r="A97" s="11082"/>
      <c r="B97" s="8182" t="s">
        <v>9650</v>
      </c>
      <c r="C97" s="8183"/>
      <c r="D97" s="11059"/>
      <c r="E97" s="11060"/>
      <c r="F97" s="11060"/>
      <c r="G97" s="11060"/>
      <c r="H97" s="11060"/>
      <c r="I97" s="11060"/>
      <c r="J97" s="11061"/>
      <c r="K97" s="11090"/>
    </row>
    <row r="98" spans="1:12" ht="15" customHeight="1">
      <c r="A98" s="11082"/>
      <c r="B98" s="8182" t="s">
        <v>9651</v>
      </c>
      <c r="C98" s="8183"/>
      <c r="D98" s="11059"/>
      <c r="E98" s="11070"/>
      <c r="F98" s="11070"/>
      <c r="G98" s="11070"/>
      <c r="H98" s="11070"/>
      <c r="I98" s="11070"/>
      <c r="J98" s="10110"/>
      <c r="K98" s="11097"/>
    </row>
    <row r="99" spans="1:12" ht="15" customHeight="1">
      <c r="A99" s="11082"/>
      <c r="B99" s="8182" t="s">
        <v>12236</v>
      </c>
      <c r="D99" s="11059"/>
      <c r="E99" s="11070"/>
      <c r="F99" s="11070"/>
      <c r="G99" s="11070"/>
      <c r="H99" s="11070"/>
      <c r="I99" s="11070"/>
      <c r="J99" s="10110"/>
      <c r="K99" s="11097"/>
    </row>
    <row r="100" spans="1:12" ht="15" customHeight="1">
      <c r="A100" s="11082"/>
      <c r="B100" s="8182" t="s">
        <v>9653</v>
      </c>
      <c r="C100" s="8183"/>
      <c r="D100" s="11059"/>
      <c r="E100" s="11070"/>
      <c r="F100" s="11070"/>
      <c r="G100" s="11070"/>
      <c r="H100" s="11070"/>
      <c r="I100" s="11070"/>
      <c r="J100" s="10110"/>
      <c r="K100" s="11097"/>
      <c r="L100" s="10031">
        <f>SUM(C78:C100)</f>
        <v>0</v>
      </c>
    </row>
    <row r="101" spans="1:12" ht="15" customHeight="1">
      <c r="A101" s="11082"/>
      <c r="B101" s="7488" t="s">
        <v>295</v>
      </c>
      <c r="C101" s="11111"/>
      <c r="D101" s="11059">
        <v>50299990</v>
      </c>
      <c r="E101" s="11070">
        <f>'WS-MOOE 2017'!BO6</f>
        <v>2512996.37</v>
      </c>
      <c r="F101" s="11070">
        <f>'WS-MOOE ACTUAL JUNE 2018'!BI6</f>
        <v>1065347.77</v>
      </c>
      <c r="G101" s="11091">
        <f>H101-F101</f>
        <v>3934652.23</v>
      </c>
      <c r="H101" s="11070">
        <v>5000000</v>
      </c>
      <c r="I101" s="11070">
        <v>3354394.83</v>
      </c>
      <c r="J101" s="10110">
        <f>I101/H101</f>
        <v>0.67087896599999997</v>
      </c>
      <c r="K101" s="11097">
        <v>4200000</v>
      </c>
    </row>
    <row r="102" spans="1:12" ht="15" customHeight="1">
      <c r="A102" s="11082"/>
      <c r="B102" s="7488" t="s">
        <v>9994</v>
      </c>
      <c r="C102" s="11111"/>
      <c r="D102" s="11059">
        <v>50299990</v>
      </c>
      <c r="E102" s="11070">
        <f>'WS-MOOE 2017'!BP6</f>
        <v>0</v>
      </c>
      <c r="F102" s="11070"/>
      <c r="G102" s="11091">
        <f>H102-F102</f>
        <v>0</v>
      </c>
      <c r="H102" s="11095">
        <v>0</v>
      </c>
      <c r="I102" s="11070"/>
      <c r="J102" s="10110" t="e">
        <f>I102/H102</f>
        <v>#DIV/0!</v>
      </c>
      <c r="K102" s="11097">
        <v>0</v>
      </c>
      <c r="L102" s="10031" t="s">
        <v>9</v>
      </c>
    </row>
    <row r="103" spans="1:12" ht="15" customHeight="1">
      <c r="A103" s="11082"/>
      <c r="B103" s="7488" t="s">
        <v>11412</v>
      </c>
      <c r="C103" s="11111"/>
      <c r="D103" s="11059">
        <v>50299990</v>
      </c>
      <c r="E103" s="11070">
        <f>'WS-MOOE 2017'!BQ6</f>
        <v>0</v>
      </c>
      <c r="F103" s="11070">
        <f>'WS-MOOE ACTUAL JUNE 2018'!BO6</f>
        <v>0</v>
      </c>
      <c r="G103" s="11091">
        <f>H103-F103</f>
        <v>300000</v>
      </c>
      <c r="H103" s="11070">
        <v>300000</v>
      </c>
      <c r="I103" s="11070"/>
      <c r="J103" s="10110">
        <f>I103/H103</f>
        <v>0</v>
      </c>
      <c r="K103" s="11097">
        <v>100000</v>
      </c>
    </row>
    <row r="104" spans="1:12" ht="15" customHeight="1">
      <c r="A104" s="11082"/>
      <c r="B104" s="7488" t="s">
        <v>10489</v>
      </c>
      <c r="C104" s="7488"/>
      <c r="D104" s="11059"/>
      <c r="E104" s="11070">
        <f>'WS-MOOE 2017'!BR6</f>
        <v>0</v>
      </c>
      <c r="F104" s="11070"/>
      <c r="G104" s="11091">
        <f>H104-F104</f>
        <v>0</v>
      </c>
      <c r="H104" s="11070">
        <v>0</v>
      </c>
      <c r="I104" s="11070"/>
      <c r="J104" s="10110" t="e">
        <f>I104/H104</f>
        <v>#DIV/0!</v>
      </c>
      <c r="K104" s="11097"/>
    </row>
    <row r="105" spans="1:12" ht="15" customHeight="1">
      <c r="A105" s="11082"/>
      <c r="B105" s="7488"/>
      <c r="C105" s="11111"/>
      <c r="D105" s="11059"/>
      <c r="E105" s="11119"/>
      <c r="F105" s="11119"/>
      <c r="G105" s="11119"/>
      <c r="H105" s="11119"/>
      <c r="I105" s="11119"/>
      <c r="J105" s="11120"/>
      <c r="K105" s="11121"/>
    </row>
    <row r="106" spans="1:12" ht="15" customHeight="1">
      <c r="A106" s="11082"/>
      <c r="B106" s="8180" t="s">
        <v>37</v>
      </c>
      <c r="C106" s="8180"/>
      <c r="D106" s="11059"/>
      <c r="E106" s="11067">
        <f t="shared" ref="E106:H106" si="4">SUM(E91:E103,E42:E85)</f>
        <v>111679899.85000001</v>
      </c>
      <c r="F106" s="11068">
        <f t="shared" si="4"/>
        <v>44946478.990000002</v>
      </c>
      <c r="G106" s="11068">
        <f t="shared" si="4"/>
        <v>87900521.010000005</v>
      </c>
      <c r="H106" s="11068">
        <f t="shared" si="4"/>
        <v>132847000</v>
      </c>
      <c r="I106" s="11068">
        <f>SUM(I44:I105)</f>
        <v>87882043.019999996</v>
      </c>
      <c r="J106" s="11069">
        <f>I106/H106</f>
        <v>0.66152824693067958</v>
      </c>
      <c r="K106" s="11122">
        <f>SUM(K91:K103,K42:K85)</f>
        <v>119551000</v>
      </c>
      <c r="L106" s="10606">
        <f>(K106-H106)/K106</f>
        <v>-0.11121613370026182</v>
      </c>
    </row>
    <row r="107" spans="1:12" ht="15" customHeight="1">
      <c r="A107" s="11082"/>
      <c r="B107" s="8178"/>
      <c r="C107" s="8178"/>
      <c r="D107" s="11078"/>
      <c r="E107" s="11106"/>
      <c r="F107" s="11123"/>
      <c r="G107" s="11073"/>
      <c r="H107" s="11123"/>
      <c r="I107" s="11106"/>
      <c r="J107" s="11074"/>
      <c r="K107" s="11109"/>
    </row>
    <row r="108" spans="1:12" ht="15" customHeight="1">
      <c r="A108" s="11089" t="s">
        <v>51</v>
      </c>
      <c r="B108" s="7488" t="s">
        <v>299</v>
      </c>
      <c r="C108" s="7488"/>
      <c r="D108" s="11059"/>
      <c r="E108" s="11060"/>
      <c r="F108" s="11060"/>
      <c r="G108" s="11060"/>
      <c r="H108" s="11060" t="s">
        <v>9</v>
      </c>
      <c r="I108" s="11060"/>
      <c r="J108" s="11061"/>
      <c r="K108" s="11090" t="s">
        <v>9</v>
      </c>
    </row>
    <row r="109" spans="1:12" ht="15" customHeight="1">
      <c r="A109" s="11089"/>
      <c r="B109" s="7488" t="s">
        <v>5012</v>
      </c>
      <c r="C109" s="7488"/>
      <c r="D109" s="11059"/>
      <c r="E109" s="11060">
        <f>'WS-CO 2017'!B5</f>
        <v>0</v>
      </c>
      <c r="F109" s="11060"/>
      <c r="G109" s="11060"/>
      <c r="H109" s="11060"/>
      <c r="I109" s="11060"/>
      <c r="J109" s="11061"/>
      <c r="K109" s="11090"/>
    </row>
    <row r="110" spans="1:12" ht="15" customHeight="1">
      <c r="A110" s="11089"/>
      <c r="B110" s="7488" t="s">
        <v>5013</v>
      </c>
      <c r="C110" s="7488"/>
      <c r="D110" s="11059"/>
      <c r="E110" s="11060">
        <f>'WS-CO 2017'!C5</f>
        <v>0</v>
      </c>
      <c r="F110" s="11060"/>
      <c r="G110" s="11060"/>
      <c r="H110" s="11060"/>
      <c r="I110" s="11060"/>
      <c r="J110" s="11061"/>
      <c r="K110" s="11090"/>
    </row>
    <row r="111" spans="1:12" ht="15" customHeight="1">
      <c r="A111" s="11089"/>
      <c r="B111" s="7488" t="s">
        <v>5014</v>
      </c>
      <c r="C111" s="7488"/>
      <c r="D111" s="11059"/>
      <c r="E111" s="11060">
        <f>'WS-CO 2017'!E5</f>
        <v>0</v>
      </c>
      <c r="F111" s="11060"/>
      <c r="G111" s="11060"/>
      <c r="H111" s="11060"/>
      <c r="I111" s="11060"/>
      <c r="J111" s="11061"/>
      <c r="K111" s="11090"/>
    </row>
    <row r="112" spans="1:12" ht="15" customHeight="1">
      <c r="A112" s="11089"/>
      <c r="B112" s="7488" t="s">
        <v>122</v>
      </c>
      <c r="C112" s="7488"/>
      <c r="D112" s="11059">
        <v>50705020</v>
      </c>
      <c r="E112" s="11060">
        <f>'WS-CO 2017'!F5</f>
        <v>707022</v>
      </c>
      <c r="F112" s="11060">
        <f>'WS-CO ACTUAL JUNE 2018'!E5</f>
        <v>0</v>
      </c>
      <c r="G112" s="11091">
        <f>H112-F112</f>
        <v>60000</v>
      </c>
      <c r="H112" s="11060">
        <v>60000</v>
      </c>
      <c r="I112" s="11060">
        <v>180341</v>
      </c>
      <c r="J112" s="10110">
        <f t="shared" ref="J112:J118" si="5">I112/H112</f>
        <v>3.0056833333333333</v>
      </c>
      <c r="K112" s="11090">
        <v>250000</v>
      </c>
    </row>
    <row r="113" spans="1:15" ht="15" customHeight="1">
      <c r="A113" s="11082" t="s">
        <v>9</v>
      </c>
      <c r="B113" s="7488" t="s">
        <v>12219</v>
      </c>
      <c r="C113" s="7488"/>
      <c r="D113" s="11059">
        <v>50707010</v>
      </c>
      <c r="E113" s="11060">
        <f>'WS-CO 2017'!K5</f>
        <v>0</v>
      </c>
      <c r="F113" s="11060">
        <f>'WS-CO ACTUAL JUNE 2018'!G5</f>
        <v>0</v>
      </c>
      <c r="G113" s="11091">
        <f>H113-F113</f>
        <v>520000</v>
      </c>
      <c r="H113" s="11060">
        <v>520000</v>
      </c>
      <c r="I113" s="11060">
        <v>336578</v>
      </c>
      <c r="J113" s="10110">
        <f>I113/SUM(H113:H113)</f>
        <v>0.64726538461538463</v>
      </c>
      <c r="K113" s="11090">
        <v>150000</v>
      </c>
    </row>
    <row r="114" spans="1:15" ht="15" customHeight="1">
      <c r="A114" s="11089"/>
      <c r="B114" s="7488" t="s">
        <v>10946</v>
      </c>
      <c r="C114" s="7488"/>
      <c r="D114" s="11059">
        <v>50705030</v>
      </c>
      <c r="E114" s="11060">
        <f>'WS-CO 2017'!H5</f>
        <v>95700</v>
      </c>
      <c r="F114" s="11060">
        <f>'WS-CO ACTUAL JUNE 2018'!F5</f>
        <v>0</v>
      </c>
      <c r="G114" s="11091">
        <f>H114-F114</f>
        <v>250000</v>
      </c>
      <c r="H114" s="11060">
        <v>250000</v>
      </c>
      <c r="I114" s="11060">
        <v>116448</v>
      </c>
      <c r="J114" s="10110">
        <f t="shared" si="5"/>
        <v>0.46579199999999998</v>
      </c>
      <c r="K114" s="11090">
        <v>500000</v>
      </c>
    </row>
    <row r="115" spans="1:15" ht="15" customHeight="1">
      <c r="A115" s="11089"/>
      <c r="B115" s="7784" t="s">
        <v>10977</v>
      </c>
      <c r="D115" s="8802">
        <v>50705990</v>
      </c>
      <c r="E115" s="11060">
        <f>'WS-CO 2017'!I5</f>
        <v>0</v>
      </c>
      <c r="F115" s="11060"/>
      <c r="G115" s="11060"/>
      <c r="H115" s="11060">
        <v>0</v>
      </c>
      <c r="I115" s="11060"/>
      <c r="J115" s="10110" t="e">
        <f t="shared" si="5"/>
        <v>#DIV/0!</v>
      </c>
      <c r="K115" s="11090">
        <v>0</v>
      </c>
    </row>
    <row r="116" spans="1:15" ht="15" customHeight="1">
      <c r="A116" s="11089"/>
      <c r="B116" s="7488" t="s">
        <v>11893</v>
      </c>
      <c r="C116" s="11111"/>
      <c r="D116" s="11124">
        <v>50706990</v>
      </c>
      <c r="E116" s="11060"/>
      <c r="F116" s="11060"/>
      <c r="G116" s="11060"/>
      <c r="H116" s="11060"/>
      <c r="I116" s="11060"/>
      <c r="J116" s="10110"/>
      <c r="K116" s="11090"/>
      <c r="L116" s="10031" t="s">
        <v>11910</v>
      </c>
    </row>
    <row r="117" spans="1:15" ht="15" customHeight="1">
      <c r="A117" s="11089"/>
      <c r="B117" s="7488" t="s">
        <v>9128</v>
      </c>
      <c r="C117" s="11111"/>
      <c r="D117" s="11124">
        <v>50706010</v>
      </c>
      <c r="E117" s="11060">
        <f>'WS-CO 2017'!J5</f>
        <v>71780</v>
      </c>
      <c r="F117" s="11060"/>
      <c r="G117" s="11091">
        <f>H117-F117</f>
        <v>0</v>
      </c>
      <c r="H117" s="11060">
        <v>0</v>
      </c>
      <c r="I117" s="11060"/>
      <c r="J117" s="10110" t="e">
        <f t="shared" si="5"/>
        <v>#DIV/0!</v>
      </c>
      <c r="K117" s="11090">
        <v>0</v>
      </c>
    </row>
    <row r="118" spans="1:15" ht="15" customHeight="1">
      <c r="A118" s="11089"/>
      <c r="B118" s="7488" t="s">
        <v>5014</v>
      </c>
      <c r="C118" s="7488"/>
      <c r="D118" s="11059">
        <v>50704990</v>
      </c>
      <c r="E118" s="11070"/>
      <c r="F118" s="11060">
        <f>'WS-CO ACTUAL JUNE 2018'!C5</f>
        <v>0</v>
      </c>
      <c r="G118" s="11091">
        <f>H118-F118</f>
        <v>1200000</v>
      </c>
      <c r="H118" s="11060">
        <v>1200000</v>
      </c>
      <c r="I118" s="11060">
        <v>0</v>
      </c>
      <c r="J118" s="10110">
        <f t="shared" si="5"/>
        <v>0</v>
      </c>
      <c r="K118" s="11090"/>
    </row>
    <row r="119" spans="1:15" ht="15" customHeight="1">
      <c r="A119" s="11089"/>
      <c r="B119" s="7488" t="s">
        <v>10306</v>
      </c>
      <c r="C119" s="7488"/>
      <c r="D119" s="11059"/>
      <c r="E119" s="11070"/>
      <c r="F119" s="11070"/>
      <c r="G119" s="11060"/>
      <c r="H119" s="11060"/>
      <c r="I119" s="11060"/>
      <c r="J119" s="11061"/>
      <c r="K119" s="11090"/>
    </row>
    <row r="120" spans="1:15" s="8185" customFormat="1" ht="15" customHeight="1">
      <c r="A120" s="11089"/>
      <c r="B120" s="8180" t="s">
        <v>37</v>
      </c>
      <c r="C120" s="8180"/>
      <c r="D120" s="11059"/>
      <c r="E120" s="11067">
        <f>SUM(E108:E118)</f>
        <v>874502</v>
      </c>
      <c r="F120" s="11068">
        <f>SUM(F108:F118)</f>
        <v>0</v>
      </c>
      <c r="G120" s="11068">
        <f>SUM(G108:G118)</f>
        <v>2030000</v>
      </c>
      <c r="H120" s="11068">
        <f>SUM(H108:H119)</f>
        <v>2030000</v>
      </c>
      <c r="I120" s="11068">
        <f>SUM(I108:I119)</f>
        <v>633367</v>
      </c>
      <c r="J120" s="11069">
        <f>I120/H120</f>
        <v>0.31200344827586207</v>
      </c>
      <c r="K120" s="11122">
        <f>SUM(K108:K119)</f>
        <v>900000</v>
      </c>
      <c r="L120" s="10606">
        <f>(K120-H120)/K120</f>
        <v>-1.2555555555555555</v>
      </c>
      <c r="N120" s="7733"/>
      <c r="O120" s="10281"/>
    </row>
    <row r="121" spans="1:15" s="8185" customFormat="1" ht="15" customHeight="1">
      <c r="A121" s="11082"/>
      <c r="B121" s="7488"/>
      <c r="C121" s="7488"/>
      <c r="D121" s="11059"/>
      <c r="E121" s="11070"/>
      <c r="F121" s="11070"/>
      <c r="G121" s="11070"/>
      <c r="H121" s="11070"/>
      <c r="I121" s="11070"/>
      <c r="J121" s="10110"/>
      <c r="K121" s="11097"/>
      <c r="L121" s="10604"/>
      <c r="N121" s="7733"/>
      <c r="O121" s="10281"/>
    </row>
    <row r="122" spans="1:15" s="8185" customFormat="1" ht="15" customHeight="1" thickBot="1">
      <c r="A122" s="11087"/>
      <c r="B122" s="11098" t="s">
        <v>37</v>
      </c>
      <c r="C122" s="11098"/>
      <c r="D122" s="11099"/>
      <c r="E122" s="11125">
        <f>SUM(E32+E106+E120)</f>
        <v>138616798.83000001</v>
      </c>
      <c r="F122" s="11125"/>
      <c r="G122" s="11125"/>
      <c r="H122" s="11125">
        <f>SUM(H32+H106+H120)</f>
        <v>160454401</v>
      </c>
      <c r="I122" s="11125"/>
      <c r="J122" s="11126"/>
      <c r="K122" s="11127">
        <f>SUM(K32+K106+K120)</f>
        <v>144222366.75</v>
      </c>
      <c r="L122" s="10604"/>
      <c r="N122" s="7733"/>
      <c r="O122" s="10281"/>
    </row>
    <row r="123" spans="1:15" s="8185" customFormat="1" ht="15" customHeight="1">
      <c r="A123" s="7488"/>
      <c r="B123" s="8180"/>
      <c r="C123" s="8180"/>
      <c r="D123" s="8759"/>
      <c r="E123" s="8186"/>
      <c r="F123" s="8186"/>
      <c r="G123" s="8186"/>
      <c r="H123" s="8186"/>
      <c r="I123" s="8186"/>
      <c r="J123" s="8187"/>
      <c r="K123" s="8186"/>
      <c r="L123" s="10604"/>
      <c r="N123" s="7733"/>
      <c r="O123" s="10281"/>
    </row>
    <row r="124" spans="1:15" s="8185" customFormat="1" ht="15" customHeight="1" thickBot="1">
      <c r="A124" s="7488" t="s">
        <v>10812</v>
      </c>
      <c r="B124" s="7488"/>
      <c r="C124" s="7488"/>
      <c r="D124" s="8759"/>
      <c r="E124" s="8173"/>
      <c r="F124" s="8173"/>
      <c r="G124" s="8173"/>
      <c r="H124" s="8173"/>
      <c r="I124" s="8173"/>
      <c r="J124" s="8003"/>
      <c r="K124" s="8173"/>
      <c r="L124" s="10604"/>
      <c r="N124" s="7733"/>
      <c r="O124" s="10281"/>
    </row>
    <row r="125" spans="1:15" s="8185" customFormat="1" ht="15" customHeight="1">
      <c r="A125" s="11079"/>
      <c r="B125" s="11071"/>
      <c r="C125" s="11071"/>
      <c r="D125" s="8761" t="s">
        <v>9</v>
      </c>
      <c r="E125" s="8195" t="s">
        <v>10</v>
      </c>
      <c r="F125" s="14188" t="s">
        <v>10711</v>
      </c>
      <c r="G125" s="14189"/>
      <c r="H125" s="14190"/>
      <c r="I125" s="8195"/>
      <c r="J125" s="8201"/>
      <c r="K125" s="11081" t="s">
        <v>12</v>
      </c>
      <c r="L125" s="10604"/>
      <c r="N125" s="7733"/>
      <c r="O125" s="10281"/>
    </row>
    <row r="126" spans="1:15" s="8185" customFormat="1" ht="15" customHeight="1">
      <c r="A126" s="11082"/>
      <c r="B126" s="8178" t="s">
        <v>13</v>
      </c>
      <c r="C126" s="8178"/>
      <c r="D126" s="14186" t="s">
        <v>14</v>
      </c>
      <c r="E126" s="11072" t="s">
        <v>15</v>
      </c>
      <c r="F126" s="9502" t="s">
        <v>10709</v>
      </c>
      <c r="G126" s="11083" t="s">
        <v>10710</v>
      </c>
      <c r="H126" s="14191" t="s">
        <v>458</v>
      </c>
      <c r="I126" s="11072"/>
      <c r="J126" s="11074"/>
      <c r="K126" s="11086" t="s">
        <v>16</v>
      </c>
      <c r="L126" s="10604"/>
      <c r="N126" s="7733"/>
      <c r="O126" s="10281"/>
    </row>
    <row r="127" spans="1:15" s="8812" customFormat="1" ht="15" customHeight="1" thickBot="1">
      <c r="A127" s="11087"/>
      <c r="B127" s="8202"/>
      <c r="C127" s="8202"/>
      <c r="D127" s="14187"/>
      <c r="E127" s="11075">
        <v>2017</v>
      </c>
      <c r="F127" s="9467" t="s">
        <v>457</v>
      </c>
      <c r="G127" s="11076" t="s">
        <v>456</v>
      </c>
      <c r="H127" s="14192"/>
      <c r="I127" s="11075"/>
      <c r="J127" s="11077"/>
      <c r="K127" s="11088">
        <v>2019</v>
      </c>
      <c r="L127" s="10607"/>
      <c r="N127" s="7733"/>
      <c r="O127" s="10282"/>
    </row>
    <row r="128" spans="1:15" s="8185" customFormat="1" ht="15" customHeight="1">
      <c r="A128" s="11128">
        <v>3</v>
      </c>
      <c r="B128" s="7488" t="s">
        <v>302</v>
      </c>
      <c r="C128" s="7488"/>
      <c r="D128" s="11129"/>
      <c r="E128" s="11130"/>
      <c r="F128" s="11130"/>
      <c r="G128" s="11070"/>
      <c r="H128" s="11060"/>
      <c r="I128" s="11060"/>
      <c r="J128" s="11061"/>
      <c r="K128" s="11090"/>
      <c r="L128" s="10604"/>
      <c r="N128" s="7733"/>
      <c r="O128" s="10281"/>
    </row>
    <row r="129" spans="1:15" s="7818" customFormat="1" ht="15" customHeight="1">
      <c r="A129" s="11131"/>
      <c r="B129" s="7309" t="s">
        <v>303</v>
      </c>
      <c r="C129" s="7309"/>
      <c r="D129" s="10369">
        <v>799924</v>
      </c>
      <c r="E129" s="10138">
        <v>17438835.879999999</v>
      </c>
      <c r="F129" s="10138">
        <v>16810420.800000001</v>
      </c>
      <c r="G129" s="11092">
        <f>H129-F129</f>
        <v>32089579.199999999</v>
      </c>
      <c r="H129" s="11132">
        <v>48900000</v>
      </c>
      <c r="I129" s="10138"/>
      <c r="J129" s="8799"/>
      <c r="K129" s="11133">
        <v>48900000</v>
      </c>
      <c r="L129" s="7502"/>
      <c r="N129" s="7310"/>
      <c r="O129" s="7841"/>
    </row>
    <row r="130" spans="1:15" ht="15" customHeight="1">
      <c r="A130" s="11082"/>
      <c r="B130" s="8182" t="s">
        <v>9639</v>
      </c>
      <c r="C130" s="8183"/>
      <c r="D130" s="11059"/>
      <c r="E130" s="11060"/>
      <c r="F130" s="8173"/>
      <c r="G130" s="11070"/>
      <c r="H130" s="11060"/>
      <c r="I130" s="11060"/>
      <c r="J130" s="11061"/>
      <c r="K130" s="11090"/>
    </row>
    <row r="131" spans="1:15" ht="15" customHeight="1">
      <c r="A131" s="11082"/>
      <c r="B131" s="8182" t="s">
        <v>9640</v>
      </c>
      <c r="C131" s="8183"/>
      <c r="D131" s="11059"/>
      <c r="E131" s="11060"/>
      <c r="F131" s="8173"/>
      <c r="G131" s="11070"/>
      <c r="H131" s="11060"/>
      <c r="I131" s="11060"/>
      <c r="J131" s="11061"/>
      <c r="K131" s="11090"/>
    </row>
    <row r="132" spans="1:15" ht="15" customHeight="1">
      <c r="A132" s="11082" t="s">
        <v>3176</v>
      </c>
      <c r="B132" s="8182" t="s">
        <v>9641</v>
      </c>
      <c r="C132" s="8183"/>
      <c r="D132" s="11059"/>
      <c r="E132" s="11060"/>
      <c r="F132" s="8173"/>
      <c r="G132" s="11070"/>
      <c r="H132" s="11060"/>
      <c r="I132" s="11060"/>
      <c r="J132" s="11061"/>
      <c r="K132" s="11090"/>
    </row>
    <row r="133" spans="1:15" ht="15" customHeight="1">
      <c r="A133" s="11082"/>
      <c r="B133" s="8182" t="s">
        <v>9636</v>
      </c>
      <c r="C133" s="8183"/>
      <c r="D133" s="11059"/>
      <c r="E133" s="11060"/>
      <c r="F133" s="11060"/>
      <c r="G133" s="11060"/>
      <c r="H133" s="11060"/>
      <c r="I133" s="11060"/>
      <c r="J133" s="11061"/>
      <c r="K133" s="11090"/>
    </row>
    <row r="134" spans="1:15" ht="15" customHeight="1">
      <c r="A134" s="11082"/>
      <c r="B134" s="8182" t="s">
        <v>9637</v>
      </c>
      <c r="C134" s="8183"/>
      <c r="D134" s="11059"/>
      <c r="E134" s="11060"/>
      <c r="F134" s="11060"/>
      <c r="G134" s="11060"/>
      <c r="H134" s="11060"/>
      <c r="I134" s="11060"/>
      <c r="J134" s="11061"/>
      <c r="K134" s="11090"/>
    </row>
    <row r="135" spans="1:15" ht="15" customHeight="1">
      <c r="A135" s="11082"/>
      <c r="B135" s="8182" t="s">
        <v>9638</v>
      </c>
      <c r="C135" s="8183"/>
      <c r="D135" s="11059"/>
      <c r="E135" s="11060"/>
      <c r="F135" s="11060"/>
      <c r="G135" s="11060"/>
      <c r="H135" s="11060"/>
      <c r="I135" s="11060"/>
      <c r="J135" s="11061"/>
      <c r="K135" s="11090"/>
    </row>
    <row r="136" spans="1:15" ht="15" customHeight="1">
      <c r="A136" s="11082"/>
      <c r="B136" s="8182" t="s">
        <v>9637</v>
      </c>
      <c r="C136" s="8183"/>
      <c r="D136" s="11059"/>
      <c r="E136" s="11060"/>
      <c r="F136" s="11060"/>
      <c r="G136" s="11060"/>
      <c r="H136" s="11060"/>
      <c r="I136" s="11060"/>
      <c r="J136" s="11061"/>
      <c r="K136" s="11090"/>
    </row>
    <row r="137" spans="1:15" ht="15" customHeight="1">
      <c r="A137" s="11082"/>
      <c r="B137" s="8182" t="s">
        <v>9642</v>
      </c>
      <c r="C137" s="8183"/>
      <c r="D137" s="11059"/>
      <c r="E137" s="11060"/>
      <c r="F137" s="11060"/>
      <c r="G137" s="11060"/>
      <c r="H137" s="11060"/>
      <c r="I137" s="11060"/>
      <c r="J137" s="11061"/>
      <c r="K137" s="11090"/>
    </row>
    <row r="138" spans="1:15" ht="15" customHeight="1">
      <c r="A138" s="11082"/>
      <c r="B138" s="8182" t="s">
        <v>9643</v>
      </c>
      <c r="C138" s="8183"/>
      <c r="D138" s="11059"/>
      <c r="E138" s="11060"/>
      <c r="F138" s="11060"/>
      <c r="G138" s="11060"/>
      <c r="H138" s="11060"/>
      <c r="I138" s="11060"/>
      <c r="J138" s="11061"/>
      <c r="K138" s="11090"/>
    </row>
    <row r="139" spans="1:15" ht="15" customHeight="1">
      <c r="A139" s="11082"/>
      <c r="B139" s="8182" t="s">
        <v>9644</v>
      </c>
      <c r="C139" s="8183"/>
      <c r="D139" s="11059"/>
      <c r="E139" s="11060"/>
      <c r="F139" s="11060"/>
      <c r="G139" s="11060"/>
      <c r="H139" s="11060"/>
      <c r="I139" s="11060"/>
      <c r="J139" s="11061"/>
      <c r="K139" s="11090"/>
    </row>
    <row r="140" spans="1:15" ht="15" customHeight="1">
      <c r="A140" s="11082"/>
      <c r="B140" s="8182" t="s">
        <v>9646</v>
      </c>
      <c r="C140" s="8183"/>
      <c r="D140" s="11059"/>
      <c r="E140" s="11060"/>
      <c r="F140" s="11060"/>
      <c r="G140" s="11060"/>
      <c r="H140" s="11060"/>
      <c r="I140" s="11060"/>
      <c r="J140" s="11061"/>
      <c r="K140" s="11090"/>
    </row>
    <row r="141" spans="1:15" ht="15" customHeight="1">
      <c r="A141" s="11082"/>
      <c r="B141" s="8182" t="s">
        <v>9647</v>
      </c>
      <c r="C141" s="8183"/>
      <c r="D141" s="11059"/>
      <c r="E141" s="11060"/>
      <c r="F141" s="11060"/>
      <c r="G141" s="11060"/>
      <c r="H141" s="11060"/>
      <c r="I141" s="11060"/>
      <c r="J141" s="11061"/>
      <c r="K141" s="11090"/>
    </row>
    <row r="142" spans="1:15" ht="15" customHeight="1">
      <c r="A142" s="11082"/>
      <c r="B142" s="8182" t="s">
        <v>9648</v>
      </c>
      <c r="C142" s="8183"/>
      <c r="D142" s="11059"/>
      <c r="E142" s="11060"/>
      <c r="F142" s="11060"/>
      <c r="G142" s="11060"/>
      <c r="H142" s="11060"/>
      <c r="I142" s="11060"/>
      <c r="J142" s="11061"/>
      <c r="K142" s="11090"/>
    </row>
    <row r="143" spans="1:15" ht="15" customHeight="1">
      <c r="A143" s="11082"/>
      <c r="B143" s="8182" t="s">
        <v>9649</v>
      </c>
      <c r="C143" s="8183"/>
      <c r="D143" s="11059"/>
      <c r="E143" s="11060"/>
      <c r="F143" s="11060"/>
      <c r="G143" s="11060"/>
      <c r="H143" s="11060"/>
      <c r="I143" s="11060"/>
      <c r="J143" s="11061"/>
      <c r="K143" s="11090"/>
    </row>
    <row r="144" spans="1:15" ht="15" customHeight="1">
      <c r="A144" s="11082"/>
      <c r="B144" s="8182" t="s">
        <v>9650</v>
      </c>
      <c r="C144" s="8183"/>
      <c r="D144" s="11059"/>
      <c r="E144" s="11060"/>
      <c r="F144" s="11060"/>
      <c r="G144" s="11060"/>
      <c r="H144" s="11060"/>
      <c r="I144" s="11060"/>
      <c r="J144" s="11061"/>
      <c r="K144" s="11090"/>
    </row>
    <row r="145" spans="1:15" ht="15" customHeight="1">
      <c r="A145" s="11082"/>
      <c r="B145" s="8182" t="s">
        <v>9651</v>
      </c>
      <c r="C145" s="8183"/>
      <c r="D145" s="11059"/>
      <c r="E145" s="11070"/>
      <c r="F145" s="11070"/>
      <c r="G145" s="11070"/>
      <c r="H145" s="11070"/>
      <c r="I145" s="11070"/>
      <c r="J145" s="10110"/>
      <c r="K145" s="11097"/>
    </row>
    <row r="146" spans="1:15" s="7820" customFormat="1" ht="15" customHeight="1">
      <c r="A146" s="11134"/>
      <c r="B146" s="8009" t="s">
        <v>37</v>
      </c>
      <c r="C146" s="8009"/>
      <c r="D146" s="11135"/>
      <c r="E146" s="11136">
        <f>SUM(E129:E129)</f>
        <v>17438835.879999999</v>
      </c>
      <c r="F146" s="11136">
        <f>SUM(F129:F129)</f>
        <v>16810420.800000001</v>
      </c>
      <c r="G146" s="11136">
        <f>SUM(G129:G129)</f>
        <v>32089579.199999999</v>
      </c>
      <c r="H146" s="11136">
        <f>SUM(H129:H145)</f>
        <v>48900000</v>
      </c>
      <c r="I146" s="11136"/>
      <c r="J146" s="9466"/>
      <c r="K146" s="11137">
        <f>SUM(K129:K145)</f>
        <v>48900000</v>
      </c>
      <c r="L146" s="7502"/>
      <c r="N146" s="7502"/>
      <c r="O146" s="7988"/>
    </row>
    <row r="147" spans="1:15" ht="15" customHeight="1">
      <c r="A147" s="11082"/>
      <c r="B147" s="7488"/>
      <c r="C147" s="7488"/>
      <c r="D147" s="11129"/>
      <c r="E147" s="11130"/>
      <c r="F147" s="11130"/>
      <c r="G147" s="11130"/>
      <c r="H147" s="11070"/>
      <c r="I147" s="11070"/>
      <c r="J147" s="10110"/>
      <c r="K147" s="11097"/>
    </row>
    <row r="148" spans="1:15" ht="15" customHeight="1" thickBot="1">
      <c r="A148" s="11138"/>
      <c r="B148" s="11139" t="s">
        <v>132</v>
      </c>
      <c r="C148" s="11139"/>
      <c r="D148" s="11140"/>
      <c r="E148" s="11100">
        <f>(E32+E106+E120+E146)</f>
        <v>156055634.71000001</v>
      </c>
      <c r="F148" s="11100">
        <f>(F32+F106+F120+F146)</f>
        <v>73569852.859999999</v>
      </c>
      <c r="G148" s="11100">
        <f>(G32+G106+G120+G146)</f>
        <v>135784548.13999999</v>
      </c>
      <c r="H148" s="11100">
        <f>(H32+H106+H120+H146)</f>
        <v>209354401</v>
      </c>
      <c r="I148" s="11100"/>
      <c r="J148" s="11141"/>
      <c r="K148" s="11103">
        <f>(K32+K106+K120+K146)</f>
        <v>193122366.75</v>
      </c>
      <c r="L148" s="10606">
        <f>(K148-H148)/K148</f>
        <v>-8.4050514309472135E-2</v>
      </c>
    </row>
    <row r="149" spans="1:15" s="7925" customFormat="1" ht="15" customHeight="1">
      <c r="A149" s="8188" t="s">
        <v>4763</v>
      </c>
      <c r="B149" s="8188"/>
      <c r="C149" s="7926"/>
      <c r="D149" s="8762"/>
      <c r="E149" s="8189"/>
      <c r="F149" s="8189"/>
      <c r="G149" s="8189"/>
      <c r="H149" s="8190"/>
      <c r="I149" s="8189"/>
      <c r="J149" s="8191"/>
      <c r="K149" s="8190"/>
      <c r="L149" s="10608"/>
      <c r="N149" s="11056"/>
      <c r="O149" s="10250"/>
    </row>
    <row r="150" spans="1:15" s="7925" customFormat="1" ht="15" customHeight="1">
      <c r="A150" s="8188"/>
      <c r="B150" s="8188"/>
      <c r="C150" s="7926"/>
      <c r="D150" s="8762"/>
      <c r="E150" s="8189"/>
      <c r="F150" s="8189"/>
      <c r="G150" s="8189"/>
      <c r="H150" s="8190"/>
      <c r="I150" s="8189"/>
      <c r="J150" s="8191"/>
      <c r="K150" s="8190"/>
      <c r="L150" s="10608"/>
      <c r="N150" s="11056"/>
      <c r="O150" s="10250"/>
    </row>
    <row r="151" spans="1:15" ht="15" hidden="1" customHeight="1">
      <c r="A151" s="8164" t="s">
        <v>9135</v>
      </c>
      <c r="B151" s="8164"/>
      <c r="C151" s="8163"/>
      <c r="D151" s="8763" t="s">
        <v>3484</v>
      </c>
      <c r="E151" s="7337"/>
      <c r="F151" s="7337"/>
      <c r="G151" s="9459" t="s">
        <v>10666</v>
      </c>
      <c r="H151" s="8163"/>
      <c r="I151" s="7337"/>
      <c r="J151" s="8169"/>
      <c r="K151" s="7337"/>
    </row>
    <row r="152" spans="1:15" ht="15" hidden="1" customHeight="1">
      <c r="A152" s="8164"/>
      <c r="B152" s="8164"/>
      <c r="C152" s="7488"/>
      <c r="D152" s="8754"/>
      <c r="E152" s="7337"/>
      <c r="F152" s="7337"/>
      <c r="G152" s="7337"/>
      <c r="H152" s="7337"/>
      <c r="I152" s="7337"/>
      <c r="J152" s="8169"/>
      <c r="K152" s="7337"/>
    </row>
    <row r="153" spans="1:15" ht="15" hidden="1" customHeight="1">
      <c r="A153" s="8164"/>
      <c r="B153" s="8164"/>
      <c r="C153" s="7488"/>
      <c r="D153" s="8754"/>
      <c r="E153" s="7337"/>
      <c r="F153" s="7337"/>
      <c r="G153" s="7337"/>
      <c r="H153" s="7337"/>
      <c r="I153" s="7337"/>
      <c r="J153" s="8169"/>
      <c r="K153" s="7337"/>
    </row>
    <row r="154" spans="1:15" s="8192" customFormat="1" ht="15" hidden="1" customHeight="1">
      <c r="A154" s="14194" t="s">
        <v>11289</v>
      </c>
      <c r="B154" s="14194"/>
      <c r="D154" s="8764"/>
      <c r="E154" s="9604" t="s">
        <v>12059</v>
      </c>
      <c r="F154" s="9605"/>
      <c r="G154" s="9605"/>
      <c r="H154" s="14195" t="s">
        <v>5182</v>
      </c>
      <c r="I154" s="14195"/>
      <c r="J154" s="14195"/>
      <c r="K154" s="14195"/>
      <c r="L154" s="8158"/>
      <c r="N154" s="8158"/>
      <c r="O154" s="10283"/>
    </row>
    <row r="155" spans="1:15" ht="15" hidden="1" customHeight="1">
      <c r="A155" s="14184" t="s">
        <v>11290</v>
      </c>
      <c r="B155" s="14184"/>
      <c r="C155" s="8163"/>
      <c r="D155" s="8763"/>
      <c r="E155" s="7488" t="s">
        <v>3486</v>
      </c>
      <c r="F155" s="9606"/>
      <c r="G155" s="9606"/>
      <c r="H155" s="14185" t="s">
        <v>737</v>
      </c>
      <c r="I155" s="14185"/>
      <c r="J155" s="14185"/>
      <c r="K155" s="14185"/>
    </row>
    <row r="156" spans="1:15" ht="15" customHeight="1">
      <c r="A156" s="8164"/>
      <c r="B156" s="8164"/>
      <c r="C156" s="7488"/>
      <c r="D156" s="8754"/>
      <c r="E156" s="7337"/>
      <c r="F156" s="7337"/>
      <c r="G156" s="7337"/>
      <c r="H156" s="7337"/>
      <c r="K156" s="7337"/>
    </row>
    <row r="157" spans="1:15" ht="15" customHeight="1">
      <c r="A157" s="8164"/>
      <c r="B157" s="8164"/>
      <c r="C157" s="7488"/>
      <c r="D157" s="8754"/>
      <c r="E157" s="7337"/>
      <c r="F157" s="7337"/>
      <c r="G157" s="7337"/>
      <c r="H157" s="7337"/>
      <c r="I157" s="7337"/>
      <c r="J157" s="8169"/>
      <c r="K157" s="7337"/>
    </row>
    <row r="158" spans="1:15" ht="15" customHeight="1">
      <c r="A158" s="8164"/>
      <c r="B158" s="8170"/>
      <c r="C158" s="8180"/>
      <c r="D158" s="8765"/>
      <c r="E158" s="8171"/>
      <c r="F158" s="8171"/>
      <c r="G158" s="8171"/>
      <c r="H158" s="7337"/>
      <c r="I158" s="7337">
        <f>K148-H148</f>
        <v>-16232034.25</v>
      </c>
      <c r="K158" s="7337"/>
    </row>
    <row r="159" spans="1:15" ht="15" customHeight="1">
      <c r="A159" s="8164"/>
      <c r="B159" s="8164"/>
      <c r="C159" s="7488"/>
      <c r="D159" s="8754"/>
      <c r="E159" s="7337"/>
      <c r="F159" s="7337"/>
      <c r="G159" s="7337"/>
      <c r="H159" s="7337"/>
      <c r="I159" s="7337"/>
      <c r="J159" s="8169">
        <f>I158/H148</f>
        <v>-7.7533761757413444E-2</v>
      </c>
      <c r="K159" s="7337"/>
    </row>
  </sheetData>
  <mergeCells count="19">
    <mergeCell ref="A1:K1"/>
    <mergeCell ref="A154:B154"/>
    <mergeCell ref="D9:D10"/>
    <mergeCell ref="D89:D90"/>
    <mergeCell ref="H154:K154"/>
    <mergeCell ref="D40:D41"/>
    <mergeCell ref="H40:H41"/>
    <mergeCell ref="K5:K6"/>
    <mergeCell ref="K37:K38"/>
    <mergeCell ref="A155:B155"/>
    <mergeCell ref="H155:K155"/>
    <mergeCell ref="D126:D127"/>
    <mergeCell ref="F8:H8"/>
    <mergeCell ref="H9:H10"/>
    <mergeCell ref="F88:H88"/>
    <mergeCell ref="H89:H90"/>
    <mergeCell ref="F125:H125"/>
    <mergeCell ref="H126:H127"/>
    <mergeCell ref="F39:H39"/>
  </mergeCells>
  <printOptions horizontalCentered="1" gridLinesSet="0"/>
  <pageMargins left="0.25" right="0.25" top="0.5" bottom="0.25" header="0.25" footer="0.25"/>
  <pageSetup paperSize="119" firstPageNumber="17" orientation="landscape" useFirstPageNumber="1" r:id="rId1"/>
  <headerFooter alignWithMargins="0"/>
</worksheet>
</file>

<file path=xl/worksheets/sheet24.xml><?xml version="1.0" encoding="utf-8"?>
<worksheet xmlns="http://schemas.openxmlformats.org/spreadsheetml/2006/main" xmlns:r="http://schemas.openxmlformats.org/officeDocument/2006/relationships">
  <sheetPr codeName="Sheet50"/>
  <dimension ref="A1:I172"/>
  <sheetViews>
    <sheetView topLeftCell="A75" workbookViewId="0">
      <selection activeCell="A80" sqref="A80:XFD98"/>
    </sheetView>
  </sheetViews>
  <sheetFormatPr defaultRowHeight="13.8"/>
  <cols>
    <col min="1" max="1" width="3.88671875" style="1207" customWidth="1"/>
    <col min="2" max="2" width="29.44140625" style="1206" customWidth="1"/>
    <col min="3" max="3" width="13.109375" style="3159" customWidth="1"/>
    <col min="4" max="4" width="10.109375" style="1207" customWidth="1"/>
    <col min="5" max="5" width="14.88671875" style="1206" customWidth="1"/>
    <col min="6" max="6" width="15.109375" style="1206" customWidth="1"/>
    <col min="7" max="7" width="14" style="1206" customWidth="1"/>
    <col min="8" max="8" width="9.109375" style="1207"/>
    <col min="9" max="9" width="17.109375" style="1207" customWidth="1"/>
    <col min="10" max="247" width="9.109375" style="1207"/>
    <col min="248" max="248" width="3.88671875" style="1207" customWidth="1"/>
    <col min="249" max="249" width="38.109375" style="1207" customWidth="1"/>
    <col min="250" max="250" width="11.44140625" style="1207" customWidth="1"/>
    <col min="251" max="251" width="15" style="1207" customWidth="1"/>
    <col min="252" max="252" width="16.109375" style="1207" customWidth="1"/>
    <col min="253" max="253" width="15.109375" style="1207" customWidth="1"/>
    <col min="254" max="254" width="16.109375" style="1207" customWidth="1"/>
    <col min="255" max="255" width="14.44140625" style="1207" bestFit="1" customWidth="1"/>
    <col min="256" max="503" width="9.109375" style="1207"/>
    <col min="504" max="504" width="3.88671875" style="1207" customWidth="1"/>
    <col min="505" max="505" width="38.109375" style="1207" customWidth="1"/>
    <col min="506" max="506" width="11.44140625" style="1207" customWidth="1"/>
    <col min="507" max="507" width="15" style="1207" customWidth="1"/>
    <col min="508" max="508" width="16.109375" style="1207" customWidth="1"/>
    <col min="509" max="509" width="15.109375" style="1207" customWidth="1"/>
    <col min="510" max="510" width="16.109375" style="1207" customWidth="1"/>
    <col min="511" max="511" width="14.44140625" style="1207" bestFit="1" customWidth="1"/>
    <col min="512" max="759" width="9.109375" style="1207"/>
    <col min="760" max="760" width="3.88671875" style="1207" customWidth="1"/>
    <col min="761" max="761" width="38.109375" style="1207" customWidth="1"/>
    <col min="762" max="762" width="11.44140625" style="1207" customWidth="1"/>
    <col min="763" max="763" width="15" style="1207" customWidth="1"/>
    <col min="764" max="764" width="16.109375" style="1207" customWidth="1"/>
    <col min="765" max="765" width="15.109375" style="1207" customWidth="1"/>
    <col min="766" max="766" width="16.109375" style="1207" customWidth="1"/>
    <col min="767" max="767" width="14.44140625" style="1207" bestFit="1" customWidth="1"/>
    <col min="768" max="1015" width="9.109375" style="1207"/>
    <col min="1016" max="1016" width="3.88671875" style="1207" customWidth="1"/>
    <col min="1017" max="1017" width="38.109375" style="1207" customWidth="1"/>
    <col min="1018" max="1018" width="11.44140625" style="1207" customWidth="1"/>
    <col min="1019" max="1019" width="15" style="1207" customWidth="1"/>
    <col min="1020" max="1020" width="16.109375" style="1207" customWidth="1"/>
    <col min="1021" max="1021" width="15.109375" style="1207" customWidth="1"/>
    <col min="1022" max="1022" width="16.109375" style="1207" customWidth="1"/>
    <col min="1023" max="1023" width="14.44140625" style="1207" bestFit="1" customWidth="1"/>
    <col min="1024" max="1271" width="9.109375" style="1207"/>
    <col min="1272" max="1272" width="3.88671875" style="1207" customWidth="1"/>
    <col min="1273" max="1273" width="38.109375" style="1207" customWidth="1"/>
    <col min="1274" max="1274" width="11.44140625" style="1207" customWidth="1"/>
    <col min="1275" max="1275" width="15" style="1207" customWidth="1"/>
    <col min="1276" max="1276" width="16.109375" style="1207" customWidth="1"/>
    <col min="1277" max="1277" width="15.109375" style="1207" customWidth="1"/>
    <col min="1278" max="1278" width="16.109375" style="1207" customWidth="1"/>
    <col min="1279" max="1279" width="14.44140625" style="1207" bestFit="1" customWidth="1"/>
    <col min="1280" max="1527" width="9.109375" style="1207"/>
    <col min="1528" max="1528" width="3.88671875" style="1207" customWidth="1"/>
    <col min="1529" max="1529" width="38.109375" style="1207" customWidth="1"/>
    <col min="1530" max="1530" width="11.44140625" style="1207" customWidth="1"/>
    <col min="1531" max="1531" width="15" style="1207" customWidth="1"/>
    <col min="1532" max="1532" width="16.109375" style="1207" customWidth="1"/>
    <col min="1533" max="1533" width="15.109375" style="1207" customWidth="1"/>
    <col min="1534" max="1534" width="16.109375" style="1207" customWidth="1"/>
    <col min="1535" max="1535" width="14.44140625" style="1207" bestFit="1" customWidth="1"/>
    <col min="1536" max="1783" width="9.109375" style="1207"/>
    <col min="1784" max="1784" width="3.88671875" style="1207" customWidth="1"/>
    <col min="1785" max="1785" width="38.109375" style="1207" customWidth="1"/>
    <col min="1786" max="1786" width="11.44140625" style="1207" customWidth="1"/>
    <col min="1787" max="1787" width="15" style="1207" customWidth="1"/>
    <col min="1788" max="1788" width="16.109375" style="1207" customWidth="1"/>
    <col min="1789" max="1789" width="15.109375" style="1207" customWidth="1"/>
    <col min="1790" max="1790" width="16.109375" style="1207" customWidth="1"/>
    <col min="1791" max="1791" width="14.44140625" style="1207" bestFit="1" customWidth="1"/>
    <col min="1792" max="2039" width="9.109375" style="1207"/>
    <col min="2040" max="2040" width="3.88671875" style="1207" customWidth="1"/>
    <col min="2041" max="2041" width="38.109375" style="1207" customWidth="1"/>
    <col min="2042" max="2042" width="11.44140625" style="1207" customWidth="1"/>
    <col min="2043" max="2043" width="15" style="1207" customWidth="1"/>
    <col min="2044" max="2044" width="16.109375" style="1207" customWidth="1"/>
    <col min="2045" max="2045" width="15.109375" style="1207" customWidth="1"/>
    <col min="2046" max="2046" width="16.109375" style="1207" customWidth="1"/>
    <col min="2047" max="2047" width="14.44140625" style="1207" bestFit="1" customWidth="1"/>
    <col min="2048" max="2295" width="9.109375" style="1207"/>
    <col min="2296" max="2296" width="3.88671875" style="1207" customWidth="1"/>
    <col min="2297" max="2297" width="38.109375" style="1207" customWidth="1"/>
    <col min="2298" max="2298" width="11.44140625" style="1207" customWidth="1"/>
    <col min="2299" max="2299" width="15" style="1207" customWidth="1"/>
    <col min="2300" max="2300" width="16.109375" style="1207" customWidth="1"/>
    <col min="2301" max="2301" width="15.109375" style="1207" customWidth="1"/>
    <col min="2302" max="2302" width="16.109375" style="1207" customWidth="1"/>
    <col min="2303" max="2303" width="14.44140625" style="1207" bestFit="1" customWidth="1"/>
    <col min="2304" max="2551" width="9.109375" style="1207"/>
    <col min="2552" max="2552" width="3.88671875" style="1207" customWidth="1"/>
    <col min="2553" max="2553" width="38.109375" style="1207" customWidth="1"/>
    <col min="2554" max="2554" width="11.44140625" style="1207" customWidth="1"/>
    <col min="2555" max="2555" width="15" style="1207" customWidth="1"/>
    <col min="2556" max="2556" width="16.109375" style="1207" customWidth="1"/>
    <col min="2557" max="2557" width="15.109375" style="1207" customWidth="1"/>
    <col min="2558" max="2558" width="16.109375" style="1207" customWidth="1"/>
    <col min="2559" max="2559" width="14.44140625" style="1207" bestFit="1" customWidth="1"/>
    <col min="2560" max="2807" width="9.109375" style="1207"/>
    <col min="2808" max="2808" width="3.88671875" style="1207" customWidth="1"/>
    <col min="2809" max="2809" width="38.109375" style="1207" customWidth="1"/>
    <col min="2810" max="2810" width="11.44140625" style="1207" customWidth="1"/>
    <col min="2811" max="2811" width="15" style="1207" customWidth="1"/>
    <col min="2812" max="2812" width="16.109375" style="1207" customWidth="1"/>
    <col min="2813" max="2813" width="15.109375" style="1207" customWidth="1"/>
    <col min="2814" max="2814" width="16.109375" style="1207" customWidth="1"/>
    <col min="2815" max="2815" width="14.44140625" style="1207" bestFit="1" customWidth="1"/>
    <col min="2816" max="3063" width="9.109375" style="1207"/>
    <col min="3064" max="3064" width="3.88671875" style="1207" customWidth="1"/>
    <col min="3065" max="3065" width="38.109375" style="1207" customWidth="1"/>
    <col min="3066" max="3066" width="11.44140625" style="1207" customWidth="1"/>
    <col min="3067" max="3067" width="15" style="1207" customWidth="1"/>
    <col min="3068" max="3068" width="16.109375" style="1207" customWidth="1"/>
    <col min="3069" max="3069" width="15.109375" style="1207" customWidth="1"/>
    <col min="3070" max="3070" width="16.109375" style="1207" customWidth="1"/>
    <col min="3071" max="3071" width="14.44140625" style="1207" bestFit="1" customWidth="1"/>
    <col min="3072" max="3319" width="9.109375" style="1207"/>
    <col min="3320" max="3320" width="3.88671875" style="1207" customWidth="1"/>
    <col min="3321" max="3321" width="38.109375" style="1207" customWidth="1"/>
    <col min="3322" max="3322" width="11.44140625" style="1207" customWidth="1"/>
    <col min="3323" max="3323" width="15" style="1207" customWidth="1"/>
    <col min="3324" max="3324" width="16.109375" style="1207" customWidth="1"/>
    <col min="3325" max="3325" width="15.109375" style="1207" customWidth="1"/>
    <col min="3326" max="3326" width="16.109375" style="1207" customWidth="1"/>
    <col min="3327" max="3327" width="14.44140625" style="1207" bestFit="1" customWidth="1"/>
    <col min="3328" max="3575" width="9.109375" style="1207"/>
    <col min="3576" max="3576" width="3.88671875" style="1207" customWidth="1"/>
    <col min="3577" max="3577" width="38.109375" style="1207" customWidth="1"/>
    <col min="3578" max="3578" width="11.44140625" style="1207" customWidth="1"/>
    <col min="3579" max="3579" width="15" style="1207" customWidth="1"/>
    <col min="3580" max="3580" width="16.109375" style="1207" customWidth="1"/>
    <col min="3581" max="3581" width="15.109375" style="1207" customWidth="1"/>
    <col min="3582" max="3582" width="16.109375" style="1207" customWidth="1"/>
    <col min="3583" max="3583" width="14.44140625" style="1207" bestFit="1" customWidth="1"/>
    <col min="3584" max="3831" width="9.109375" style="1207"/>
    <col min="3832" max="3832" width="3.88671875" style="1207" customWidth="1"/>
    <col min="3833" max="3833" width="38.109375" style="1207" customWidth="1"/>
    <col min="3834" max="3834" width="11.44140625" style="1207" customWidth="1"/>
    <col min="3835" max="3835" width="15" style="1207" customWidth="1"/>
    <col min="3836" max="3836" width="16.109375" style="1207" customWidth="1"/>
    <col min="3837" max="3837" width="15.109375" style="1207" customWidth="1"/>
    <col min="3838" max="3838" width="16.109375" style="1207" customWidth="1"/>
    <col min="3839" max="3839" width="14.44140625" style="1207" bestFit="1" customWidth="1"/>
    <col min="3840" max="4087" width="9.109375" style="1207"/>
    <col min="4088" max="4088" width="3.88671875" style="1207" customWidth="1"/>
    <col min="4089" max="4089" width="38.109375" style="1207" customWidth="1"/>
    <col min="4090" max="4090" width="11.44140625" style="1207" customWidth="1"/>
    <col min="4091" max="4091" width="15" style="1207" customWidth="1"/>
    <col min="4092" max="4092" width="16.109375" style="1207" customWidth="1"/>
    <col min="4093" max="4093" width="15.109375" style="1207" customWidth="1"/>
    <col min="4094" max="4094" width="16.109375" style="1207" customWidth="1"/>
    <col min="4095" max="4095" width="14.44140625" style="1207" bestFit="1" customWidth="1"/>
    <col min="4096" max="4343" width="9.109375" style="1207"/>
    <col min="4344" max="4344" width="3.88671875" style="1207" customWidth="1"/>
    <col min="4345" max="4345" width="38.109375" style="1207" customWidth="1"/>
    <col min="4346" max="4346" width="11.44140625" style="1207" customWidth="1"/>
    <col min="4347" max="4347" width="15" style="1207" customWidth="1"/>
    <col min="4348" max="4348" width="16.109375" style="1207" customWidth="1"/>
    <col min="4349" max="4349" width="15.109375" style="1207" customWidth="1"/>
    <col min="4350" max="4350" width="16.109375" style="1207" customWidth="1"/>
    <col min="4351" max="4351" width="14.44140625" style="1207" bestFit="1" customWidth="1"/>
    <col min="4352" max="4599" width="9.109375" style="1207"/>
    <col min="4600" max="4600" width="3.88671875" style="1207" customWidth="1"/>
    <col min="4601" max="4601" width="38.109375" style="1207" customWidth="1"/>
    <col min="4602" max="4602" width="11.44140625" style="1207" customWidth="1"/>
    <col min="4603" max="4603" width="15" style="1207" customWidth="1"/>
    <col min="4604" max="4604" width="16.109375" style="1207" customWidth="1"/>
    <col min="4605" max="4605" width="15.109375" style="1207" customWidth="1"/>
    <col min="4606" max="4606" width="16.109375" style="1207" customWidth="1"/>
    <col min="4607" max="4607" width="14.44140625" style="1207" bestFit="1" customWidth="1"/>
    <col min="4608" max="4855" width="9.109375" style="1207"/>
    <col min="4856" max="4856" width="3.88671875" style="1207" customWidth="1"/>
    <col min="4857" max="4857" width="38.109375" style="1207" customWidth="1"/>
    <col min="4858" max="4858" width="11.44140625" style="1207" customWidth="1"/>
    <col min="4859" max="4859" width="15" style="1207" customWidth="1"/>
    <col min="4860" max="4860" width="16.109375" style="1207" customWidth="1"/>
    <col min="4861" max="4861" width="15.109375" style="1207" customWidth="1"/>
    <col min="4862" max="4862" width="16.109375" style="1207" customWidth="1"/>
    <col min="4863" max="4863" width="14.44140625" style="1207" bestFit="1" customWidth="1"/>
    <col min="4864" max="5111" width="9.109375" style="1207"/>
    <col min="5112" max="5112" width="3.88671875" style="1207" customWidth="1"/>
    <col min="5113" max="5113" width="38.109375" style="1207" customWidth="1"/>
    <col min="5114" max="5114" width="11.44140625" style="1207" customWidth="1"/>
    <col min="5115" max="5115" width="15" style="1207" customWidth="1"/>
    <col min="5116" max="5116" width="16.109375" style="1207" customWidth="1"/>
    <col min="5117" max="5117" width="15.109375" style="1207" customWidth="1"/>
    <col min="5118" max="5118" width="16.109375" style="1207" customWidth="1"/>
    <col min="5119" max="5119" width="14.44140625" style="1207" bestFit="1" customWidth="1"/>
    <col min="5120" max="5367" width="9.109375" style="1207"/>
    <col min="5368" max="5368" width="3.88671875" style="1207" customWidth="1"/>
    <col min="5369" max="5369" width="38.109375" style="1207" customWidth="1"/>
    <col min="5370" max="5370" width="11.44140625" style="1207" customWidth="1"/>
    <col min="5371" max="5371" width="15" style="1207" customWidth="1"/>
    <col min="5372" max="5372" width="16.109375" style="1207" customWidth="1"/>
    <col min="5373" max="5373" width="15.109375" style="1207" customWidth="1"/>
    <col min="5374" max="5374" width="16.109375" style="1207" customWidth="1"/>
    <col min="5375" max="5375" width="14.44140625" style="1207" bestFit="1" customWidth="1"/>
    <col min="5376" max="5623" width="9.109375" style="1207"/>
    <col min="5624" max="5624" width="3.88671875" style="1207" customWidth="1"/>
    <col min="5625" max="5625" width="38.109375" style="1207" customWidth="1"/>
    <col min="5626" max="5626" width="11.44140625" style="1207" customWidth="1"/>
    <col min="5627" max="5627" width="15" style="1207" customWidth="1"/>
    <col min="5628" max="5628" width="16.109375" style="1207" customWidth="1"/>
    <col min="5629" max="5629" width="15.109375" style="1207" customWidth="1"/>
    <col min="5630" max="5630" width="16.109375" style="1207" customWidth="1"/>
    <col min="5631" max="5631" width="14.44140625" style="1207" bestFit="1" customWidth="1"/>
    <col min="5632" max="5879" width="9.109375" style="1207"/>
    <col min="5880" max="5880" width="3.88671875" style="1207" customWidth="1"/>
    <col min="5881" max="5881" width="38.109375" style="1207" customWidth="1"/>
    <col min="5882" max="5882" width="11.44140625" style="1207" customWidth="1"/>
    <col min="5883" max="5883" width="15" style="1207" customWidth="1"/>
    <col min="5884" max="5884" width="16.109375" style="1207" customWidth="1"/>
    <col min="5885" max="5885" width="15.109375" style="1207" customWidth="1"/>
    <col min="5886" max="5886" width="16.109375" style="1207" customWidth="1"/>
    <col min="5887" max="5887" width="14.44140625" style="1207" bestFit="1" customWidth="1"/>
    <col min="5888" max="6135" width="9.109375" style="1207"/>
    <col min="6136" max="6136" width="3.88671875" style="1207" customWidth="1"/>
    <col min="6137" max="6137" width="38.109375" style="1207" customWidth="1"/>
    <col min="6138" max="6138" width="11.44140625" style="1207" customWidth="1"/>
    <col min="6139" max="6139" width="15" style="1207" customWidth="1"/>
    <col min="6140" max="6140" width="16.109375" style="1207" customWidth="1"/>
    <col min="6141" max="6141" width="15.109375" style="1207" customWidth="1"/>
    <col min="6142" max="6142" width="16.109375" style="1207" customWidth="1"/>
    <col min="6143" max="6143" width="14.44140625" style="1207" bestFit="1" customWidth="1"/>
    <col min="6144" max="6391" width="9.109375" style="1207"/>
    <col min="6392" max="6392" width="3.88671875" style="1207" customWidth="1"/>
    <col min="6393" max="6393" width="38.109375" style="1207" customWidth="1"/>
    <col min="6394" max="6394" width="11.44140625" style="1207" customWidth="1"/>
    <col min="6395" max="6395" width="15" style="1207" customWidth="1"/>
    <col min="6396" max="6396" width="16.109375" style="1207" customWidth="1"/>
    <col min="6397" max="6397" width="15.109375" style="1207" customWidth="1"/>
    <col min="6398" max="6398" width="16.109375" style="1207" customWidth="1"/>
    <col min="6399" max="6399" width="14.44140625" style="1207" bestFit="1" customWidth="1"/>
    <col min="6400" max="6647" width="9.109375" style="1207"/>
    <col min="6648" max="6648" width="3.88671875" style="1207" customWidth="1"/>
    <col min="6649" max="6649" width="38.109375" style="1207" customWidth="1"/>
    <col min="6650" max="6650" width="11.44140625" style="1207" customWidth="1"/>
    <col min="6651" max="6651" width="15" style="1207" customWidth="1"/>
    <col min="6652" max="6652" width="16.109375" style="1207" customWidth="1"/>
    <col min="6653" max="6653" width="15.109375" style="1207" customWidth="1"/>
    <col min="6654" max="6654" width="16.109375" style="1207" customWidth="1"/>
    <col min="6655" max="6655" width="14.44140625" style="1207" bestFit="1" customWidth="1"/>
    <col min="6656" max="6903" width="9.109375" style="1207"/>
    <col min="6904" max="6904" width="3.88671875" style="1207" customWidth="1"/>
    <col min="6905" max="6905" width="38.109375" style="1207" customWidth="1"/>
    <col min="6906" max="6906" width="11.44140625" style="1207" customWidth="1"/>
    <col min="6907" max="6907" width="15" style="1207" customWidth="1"/>
    <col min="6908" max="6908" width="16.109375" style="1207" customWidth="1"/>
    <col min="6909" max="6909" width="15.109375" style="1207" customWidth="1"/>
    <col min="6910" max="6910" width="16.109375" style="1207" customWidth="1"/>
    <col min="6911" max="6911" width="14.44140625" style="1207" bestFit="1" customWidth="1"/>
    <col min="6912" max="7159" width="9.109375" style="1207"/>
    <col min="7160" max="7160" width="3.88671875" style="1207" customWidth="1"/>
    <col min="7161" max="7161" width="38.109375" style="1207" customWidth="1"/>
    <col min="7162" max="7162" width="11.44140625" style="1207" customWidth="1"/>
    <col min="7163" max="7163" width="15" style="1207" customWidth="1"/>
    <col min="7164" max="7164" width="16.109375" style="1207" customWidth="1"/>
    <col min="7165" max="7165" width="15.109375" style="1207" customWidth="1"/>
    <col min="7166" max="7166" width="16.109375" style="1207" customWidth="1"/>
    <col min="7167" max="7167" width="14.44140625" style="1207" bestFit="1" customWidth="1"/>
    <col min="7168" max="7415" width="9.109375" style="1207"/>
    <col min="7416" max="7416" width="3.88671875" style="1207" customWidth="1"/>
    <col min="7417" max="7417" width="38.109375" style="1207" customWidth="1"/>
    <col min="7418" max="7418" width="11.44140625" style="1207" customWidth="1"/>
    <col min="7419" max="7419" width="15" style="1207" customWidth="1"/>
    <col min="7420" max="7420" width="16.109375" style="1207" customWidth="1"/>
    <col min="7421" max="7421" width="15.109375" style="1207" customWidth="1"/>
    <col min="7422" max="7422" width="16.109375" style="1207" customWidth="1"/>
    <col min="7423" max="7423" width="14.44140625" style="1207" bestFit="1" customWidth="1"/>
    <col min="7424" max="7671" width="9.109375" style="1207"/>
    <col min="7672" max="7672" width="3.88671875" style="1207" customWidth="1"/>
    <col min="7673" max="7673" width="38.109375" style="1207" customWidth="1"/>
    <col min="7674" max="7674" width="11.44140625" style="1207" customWidth="1"/>
    <col min="7675" max="7675" width="15" style="1207" customWidth="1"/>
    <col min="7676" max="7676" width="16.109375" style="1207" customWidth="1"/>
    <col min="7677" max="7677" width="15.109375" style="1207" customWidth="1"/>
    <col min="7678" max="7678" width="16.109375" style="1207" customWidth="1"/>
    <col min="7679" max="7679" width="14.44140625" style="1207" bestFit="1" customWidth="1"/>
    <col min="7680" max="7927" width="9.109375" style="1207"/>
    <col min="7928" max="7928" width="3.88671875" style="1207" customWidth="1"/>
    <col min="7929" max="7929" width="38.109375" style="1207" customWidth="1"/>
    <col min="7930" max="7930" width="11.44140625" style="1207" customWidth="1"/>
    <col min="7931" max="7931" width="15" style="1207" customWidth="1"/>
    <col min="7932" max="7932" width="16.109375" style="1207" customWidth="1"/>
    <col min="7933" max="7933" width="15.109375" style="1207" customWidth="1"/>
    <col min="7934" max="7934" width="16.109375" style="1207" customWidth="1"/>
    <col min="7935" max="7935" width="14.44140625" style="1207" bestFit="1" customWidth="1"/>
    <col min="7936" max="8183" width="9.109375" style="1207"/>
    <col min="8184" max="8184" width="3.88671875" style="1207" customWidth="1"/>
    <col min="8185" max="8185" width="38.109375" style="1207" customWidth="1"/>
    <col min="8186" max="8186" width="11.44140625" style="1207" customWidth="1"/>
    <col min="8187" max="8187" width="15" style="1207" customWidth="1"/>
    <col min="8188" max="8188" width="16.109375" style="1207" customWidth="1"/>
    <col min="8189" max="8189" width="15.109375" style="1207" customWidth="1"/>
    <col min="8190" max="8190" width="16.109375" style="1207" customWidth="1"/>
    <col min="8191" max="8191" width="14.44140625" style="1207" bestFit="1" customWidth="1"/>
    <col min="8192" max="8439" width="9.109375" style="1207"/>
    <col min="8440" max="8440" width="3.88671875" style="1207" customWidth="1"/>
    <col min="8441" max="8441" width="38.109375" style="1207" customWidth="1"/>
    <col min="8442" max="8442" width="11.44140625" style="1207" customWidth="1"/>
    <col min="8443" max="8443" width="15" style="1207" customWidth="1"/>
    <col min="8444" max="8444" width="16.109375" style="1207" customWidth="1"/>
    <col min="8445" max="8445" width="15.109375" style="1207" customWidth="1"/>
    <col min="8446" max="8446" width="16.109375" style="1207" customWidth="1"/>
    <col min="8447" max="8447" width="14.44140625" style="1207" bestFit="1" customWidth="1"/>
    <col min="8448" max="8695" width="9.109375" style="1207"/>
    <col min="8696" max="8696" width="3.88671875" style="1207" customWidth="1"/>
    <col min="8697" max="8697" width="38.109375" style="1207" customWidth="1"/>
    <col min="8698" max="8698" width="11.44140625" style="1207" customWidth="1"/>
    <col min="8699" max="8699" width="15" style="1207" customWidth="1"/>
    <col min="8700" max="8700" width="16.109375" style="1207" customWidth="1"/>
    <col min="8701" max="8701" width="15.109375" style="1207" customWidth="1"/>
    <col min="8702" max="8702" width="16.109375" style="1207" customWidth="1"/>
    <col min="8703" max="8703" width="14.44140625" style="1207" bestFit="1" customWidth="1"/>
    <col min="8704" max="8951" width="9.109375" style="1207"/>
    <col min="8952" max="8952" width="3.88671875" style="1207" customWidth="1"/>
    <col min="8953" max="8953" width="38.109375" style="1207" customWidth="1"/>
    <col min="8954" max="8954" width="11.44140625" style="1207" customWidth="1"/>
    <col min="8955" max="8955" width="15" style="1207" customWidth="1"/>
    <col min="8956" max="8956" width="16.109375" style="1207" customWidth="1"/>
    <col min="8957" max="8957" width="15.109375" style="1207" customWidth="1"/>
    <col min="8958" max="8958" width="16.109375" style="1207" customWidth="1"/>
    <col min="8959" max="8959" width="14.44140625" style="1207" bestFit="1" customWidth="1"/>
    <col min="8960" max="9207" width="9.109375" style="1207"/>
    <col min="9208" max="9208" width="3.88671875" style="1207" customWidth="1"/>
    <col min="9209" max="9209" width="38.109375" style="1207" customWidth="1"/>
    <col min="9210" max="9210" width="11.44140625" style="1207" customWidth="1"/>
    <col min="9211" max="9211" width="15" style="1207" customWidth="1"/>
    <col min="9212" max="9212" width="16.109375" style="1207" customWidth="1"/>
    <col min="9213" max="9213" width="15.109375" style="1207" customWidth="1"/>
    <col min="9214" max="9214" width="16.109375" style="1207" customWidth="1"/>
    <col min="9215" max="9215" width="14.44140625" style="1207" bestFit="1" customWidth="1"/>
    <col min="9216" max="9463" width="9.109375" style="1207"/>
    <col min="9464" max="9464" width="3.88671875" style="1207" customWidth="1"/>
    <col min="9465" max="9465" width="38.109375" style="1207" customWidth="1"/>
    <col min="9466" max="9466" width="11.44140625" style="1207" customWidth="1"/>
    <col min="9467" max="9467" width="15" style="1207" customWidth="1"/>
    <col min="9468" max="9468" width="16.109375" style="1207" customWidth="1"/>
    <col min="9469" max="9469" width="15.109375" style="1207" customWidth="1"/>
    <col min="9470" max="9470" width="16.109375" style="1207" customWidth="1"/>
    <col min="9471" max="9471" width="14.44140625" style="1207" bestFit="1" customWidth="1"/>
    <col min="9472" max="9719" width="9.109375" style="1207"/>
    <col min="9720" max="9720" width="3.88671875" style="1207" customWidth="1"/>
    <col min="9721" max="9721" width="38.109375" style="1207" customWidth="1"/>
    <col min="9722" max="9722" width="11.44140625" style="1207" customWidth="1"/>
    <col min="9723" max="9723" width="15" style="1207" customWidth="1"/>
    <col min="9724" max="9724" width="16.109375" style="1207" customWidth="1"/>
    <col min="9725" max="9725" width="15.109375" style="1207" customWidth="1"/>
    <col min="9726" max="9726" width="16.109375" style="1207" customWidth="1"/>
    <col min="9727" max="9727" width="14.44140625" style="1207" bestFit="1" customWidth="1"/>
    <col min="9728" max="9975" width="9.109375" style="1207"/>
    <col min="9976" max="9976" width="3.88671875" style="1207" customWidth="1"/>
    <col min="9977" max="9977" width="38.109375" style="1207" customWidth="1"/>
    <col min="9978" max="9978" width="11.44140625" style="1207" customWidth="1"/>
    <col min="9979" max="9979" width="15" style="1207" customWidth="1"/>
    <col min="9980" max="9980" width="16.109375" style="1207" customWidth="1"/>
    <col min="9981" max="9981" width="15.109375" style="1207" customWidth="1"/>
    <col min="9982" max="9982" width="16.109375" style="1207" customWidth="1"/>
    <col min="9983" max="9983" width="14.44140625" style="1207" bestFit="1" customWidth="1"/>
    <col min="9984" max="10231" width="9.109375" style="1207"/>
    <col min="10232" max="10232" width="3.88671875" style="1207" customWidth="1"/>
    <col min="10233" max="10233" width="38.109375" style="1207" customWidth="1"/>
    <col min="10234" max="10234" width="11.44140625" style="1207" customWidth="1"/>
    <col min="10235" max="10235" width="15" style="1207" customWidth="1"/>
    <col min="10236" max="10236" width="16.109375" style="1207" customWidth="1"/>
    <col min="10237" max="10237" width="15.109375" style="1207" customWidth="1"/>
    <col min="10238" max="10238" width="16.109375" style="1207" customWidth="1"/>
    <col min="10239" max="10239" width="14.44140625" style="1207" bestFit="1" customWidth="1"/>
    <col min="10240" max="10487" width="9.109375" style="1207"/>
    <col min="10488" max="10488" width="3.88671875" style="1207" customWidth="1"/>
    <col min="10489" max="10489" width="38.109375" style="1207" customWidth="1"/>
    <col min="10490" max="10490" width="11.44140625" style="1207" customWidth="1"/>
    <col min="10491" max="10491" width="15" style="1207" customWidth="1"/>
    <col min="10492" max="10492" width="16.109375" style="1207" customWidth="1"/>
    <col min="10493" max="10493" width="15.109375" style="1207" customWidth="1"/>
    <col min="10494" max="10494" width="16.109375" style="1207" customWidth="1"/>
    <col min="10495" max="10495" width="14.44140625" style="1207" bestFit="1" customWidth="1"/>
    <col min="10496" max="10743" width="9.109375" style="1207"/>
    <col min="10744" max="10744" width="3.88671875" style="1207" customWidth="1"/>
    <col min="10745" max="10745" width="38.109375" style="1207" customWidth="1"/>
    <col min="10746" max="10746" width="11.44140625" style="1207" customWidth="1"/>
    <col min="10747" max="10747" width="15" style="1207" customWidth="1"/>
    <col min="10748" max="10748" width="16.109375" style="1207" customWidth="1"/>
    <col min="10749" max="10749" width="15.109375" style="1207" customWidth="1"/>
    <col min="10750" max="10750" width="16.109375" style="1207" customWidth="1"/>
    <col min="10751" max="10751" width="14.44140625" style="1207" bestFit="1" customWidth="1"/>
    <col min="10752" max="10999" width="9.109375" style="1207"/>
    <col min="11000" max="11000" width="3.88671875" style="1207" customWidth="1"/>
    <col min="11001" max="11001" width="38.109375" style="1207" customWidth="1"/>
    <col min="11002" max="11002" width="11.44140625" style="1207" customWidth="1"/>
    <col min="11003" max="11003" width="15" style="1207" customWidth="1"/>
    <col min="11004" max="11004" width="16.109375" style="1207" customWidth="1"/>
    <col min="11005" max="11005" width="15.109375" style="1207" customWidth="1"/>
    <col min="11006" max="11006" width="16.109375" style="1207" customWidth="1"/>
    <col min="11007" max="11007" width="14.44140625" style="1207" bestFit="1" customWidth="1"/>
    <col min="11008" max="11255" width="9.109375" style="1207"/>
    <col min="11256" max="11256" width="3.88671875" style="1207" customWidth="1"/>
    <col min="11257" max="11257" width="38.109375" style="1207" customWidth="1"/>
    <col min="11258" max="11258" width="11.44140625" style="1207" customWidth="1"/>
    <col min="11259" max="11259" width="15" style="1207" customWidth="1"/>
    <col min="11260" max="11260" width="16.109375" style="1207" customWidth="1"/>
    <col min="11261" max="11261" width="15.109375" style="1207" customWidth="1"/>
    <col min="11262" max="11262" width="16.109375" style="1207" customWidth="1"/>
    <col min="11263" max="11263" width="14.44140625" style="1207" bestFit="1" customWidth="1"/>
    <col min="11264" max="11511" width="9.109375" style="1207"/>
    <col min="11512" max="11512" width="3.88671875" style="1207" customWidth="1"/>
    <col min="11513" max="11513" width="38.109375" style="1207" customWidth="1"/>
    <col min="11514" max="11514" width="11.44140625" style="1207" customWidth="1"/>
    <col min="11515" max="11515" width="15" style="1207" customWidth="1"/>
    <col min="11516" max="11516" width="16.109375" style="1207" customWidth="1"/>
    <col min="11517" max="11517" width="15.109375" style="1207" customWidth="1"/>
    <col min="11518" max="11518" width="16.109375" style="1207" customWidth="1"/>
    <col min="11519" max="11519" width="14.44140625" style="1207" bestFit="1" customWidth="1"/>
    <col min="11520" max="11767" width="9.109375" style="1207"/>
    <col min="11768" max="11768" width="3.88671875" style="1207" customWidth="1"/>
    <col min="11769" max="11769" width="38.109375" style="1207" customWidth="1"/>
    <col min="11770" max="11770" width="11.44140625" style="1207" customWidth="1"/>
    <col min="11771" max="11771" width="15" style="1207" customWidth="1"/>
    <col min="11772" max="11772" width="16.109375" style="1207" customWidth="1"/>
    <col min="11773" max="11773" width="15.109375" style="1207" customWidth="1"/>
    <col min="11774" max="11774" width="16.109375" style="1207" customWidth="1"/>
    <col min="11775" max="11775" width="14.44140625" style="1207" bestFit="1" customWidth="1"/>
    <col min="11776" max="12023" width="9.109375" style="1207"/>
    <col min="12024" max="12024" width="3.88671875" style="1207" customWidth="1"/>
    <col min="12025" max="12025" width="38.109375" style="1207" customWidth="1"/>
    <col min="12026" max="12026" width="11.44140625" style="1207" customWidth="1"/>
    <col min="12027" max="12027" width="15" style="1207" customWidth="1"/>
    <col min="12028" max="12028" width="16.109375" style="1207" customWidth="1"/>
    <col min="12029" max="12029" width="15.109375" style="1207" customWidth="1"/>
    <col min="12030" max="12030" width="16.109375" style="1207" customWidth="1"/>
    <col min="12031" max="12031" width="14.44140625" style="1207" bestFit="1" customWidth="1"/>
    <col min="12032" max="12279" width="9.109375" style="1207"/>
    <col min="12280" max="12280" width="3.88671875" style="1207" customWidth="1"/>
    <col min="12281" max="12281" width="38.109375" style="1207" customWidth="1"/>
    <col min="12282" max="12282" width="11.44140625" style="1207" customWidth="1"/>
    <col min="12283" max="12283" width="15" style="1207" customWidth="1"/>
    <col min="12284" max="12284" width="16.109375" style="1207" customWidth="1"/>
    <col min="12285" max="12285" width="15.109375" style="1207" customWidth="1"/>
    <col min="12286" max="12286" width="16.109375" style="1207" customWidth="1"/>
    <col min="12287" max="12287" width="14.44140625" style="1207" bestFit="1" customWidth="1"/>
    <col min="12288" max="12535" width="9.109375" style="1207"/>
    <col min="12536" max="12536" width="3.88671875" style="1207" customWidth="1"/>
    <col min="12537" max="12537" width="38.109375" style="1207" customWidth="1"/>
    <col min="12538" max="12538" width="11.44140625" style="1207" customWidth="1"/>
    <col min="12539" max="12539" width="15" style="1207" customWidth="1"/>
    <col min="12540" max="12540" width="16.109375" style="1207" customWidth="1"/>
    <col min="12541" max="12541" width="15.109375" style="1207" customWidth="1"/>
    <col min="12542" max="12542" width="16.109375" style="1207" customWidth="1"/>
    <col min="12543" max="12543" width="14.44140625" style="1207" bestFit="1" customWidth="1"/>
    <col min="12544" max="12791" width="9.109375" style="1207"/>
    <col min="12792" max="12792" width="3.88671875" style="1207" customWidth="1"/>
    <col min="12793" max="12793" width="38.109375" style="1207" customWidth="1"/>
    <col min="12794" max="12794" width="11.44140625" style="1207" customWidth="1"/>
    <col min="12795" max="12795" width="15" style="1207" customWidth="1"/>
    <col min="12796" max="12796" width="16.109375" style="1207" customWidth="1"/>
    <col min="12797" max="12797" width="15.109375" style="1207" customWidth="1"/>
    <col min="12798" max="12798" width="16.109375" style="1207" customWidth="1"/>
    <col min="12799" max="12799" width="14.44140625" style="1207" bestFit="1" customWidth="1"/>
    <col min="12800" max="13047" width="9.109375" style="1207"/>
    <col min="13048" max="13048" width="3.88671875" style="1207" customWidth="1"/>
    <col min="13049" max="13049" width="38.109375" style="1207" customWidth="1"/>
    <col min="13050" max="13050" width="11.44140625" style="1207" customWidth="1"/>
    <col min="13051" max="13051" width="15" style="1207" customWidth="1"/>
    <col min="13052" max="13052" width="16.109375" style="1207" customWidth="1"/>
    <col min="13053" max="13053" width="15.109375" style="1207" customWidth="1"/>
    <col min="13054" max="13054" width="16.109375" style="1207" customWidth="1"/>
    <col min="13055" max="13055" width="14.44140625" style="1207" bestFit="1" customWidth="1"/>
    <col min="13056" max="13303" width="9.109375" style="1207"/>
    <col min="13304" max="13304" width="3.88671875" style="1207" customWidth="1"/>
    <col min="13305" max="13305" width="38.109375" style="1207" customWidth="1"/>
    <col min="13306" max="13306" width="11.44140625" style="1207" customWidth="1"/>
    <col min="13307" max="13307" width="15" style="1207" customWidth="1"/>
    <col min="13308" max="13308" width="16.109375" style="1207" customWidth="1"/>
    <col min="13309" max="13309" width="15.109375" style="1207" customWidth="1"/>
    <col min="13310" max="13310" width="16.109375" style="1207" customWidth="1"/>
    <col min="13311" max="13311" width="14.44140625" style="1207" bestFit="1" customWidth="1"/>
    <col min="13312" max="13559" width="9.109375" style="1207"/>
    <col min="13560" max="13560" width="3.88671875" style="1207" customWidth="1"/>
    <col min="13561" max="13561" width="38.109375" style="1207" customWidth="1"/>
    <col min="13562" max="13562" width="11.44140625" style="1207" customWidth="1"/>
    <col min="13563" max="13563" width="15" style="1207" customWidth="1"/>
    <col min="13564" max="13564" width="16.109375" style="1207" customWidth="1"/>
    <col min="13565" max="13565" width="15.109375" style="1207" customWidth="1"/>
    <col min="13566" max="13566" width="16.109375" style="1207" customWidth="1"/>
    <col min="13567" max="13567" width="14.44140625" style="1207" bestFit="1" customWidth="1"/>
    <col min="13568" max="13815" width="9.109375" style="1207"/>
    <col min="13816" max="13816" width="3.88671875" style="1207" customWidth="1"/>
    <col min="13817" max="13817" width="38.109375" style="1207" customWidth="1"/>
    <col min="13818" max="13818" width="11.44140625" style="1207" customWidth="1"/>
    <col min="13819" max="13819" width="15" style="1207" customWidth="1"/>
    <col min="13820" max="13820" width="16.109375" style="1207" customWidth="1"/>
    <col min="13821" max="13821" width="15.109375" style="1207" customWidth="1"/>
    <col min="13822" max="13822" width="16.109375" style="1207" customWidth="1"/>
    <col min="13823" max="13823" width="14.44140625" style="1207" bestFit="1" customWidth="1"/>
    <col min="13824" max="14071" width="9.109375" style="1207"/>
    <col min="14072" max="14072" width="3.88671875" style="1207" customWidth="1"/>
    <col min="14073" max="14073" width="38.109375" style="1207" customWidth="1"/>
    <col min="14074" max="14074" width="11.44140625" style="1207" customWidth="1"/>
    <col min="14075" max="14075" width="15" style="1207" customWidth="1"/>
    <col min="14076" max="14076" width="16.109375" style="1207" customWidth="1"/>
    <col min="14077" max="14077" width="15.109375" style="1207" customWidth="1"/>
    <col min="14078" max="14078" width="16.109375" style="1207" customWidth="1"/>
    <col min="14079" max="14079" width="14.44140625" style="1207" bestFit="1" customWidth="1"/>
    <col min="14080" max="14327" width="9.109375" style="1207"/>
    <col min="14328" max="14328" width="3.88671875" style="1207" customWidth="1"/>
    <col min="14329" max="14329" width="38.109375" style="1207" customWidth="1"/>
    <col min="14330" max="14330" width="11.44140625" style="1207" customWidth="1"/>
    <col min="14331" max="14331" width="15" style="1207" customWidth="1"/>
    <col min="14332" max="14332" width="16.109375" style="1207" customWidth="1"/>
    <col min="14333" max="14333" width="15.109375" style="1207" customWidth="1"/>
    <col min="14334" max="14334" width="16.109375" style="1207" customWidth="1"/>
    <col min="14335" max="14335" width="14.44140625" style="1207" bestFit="1" customWidth="1"/>
    <col min="14336" max="14583" width="9.109375" style="1207"/>
    <col min="14584" max="14584" width="3.88671875" style="1207" customWidth="1"/>
    <col min="14585" max="14585" width="38.109375" style="1207" customWidth="1"/>
    <col min="14586" max="14586" width="11.44140625" style="1207" customWidth="1"/>
    <col min="14587" max="14587" width="15" style="1207" customWidth="1"/>
    <col min="14588" max="14588" width="16.109375" style="1207" customWidth="1"/>
    <col min="14589" max="14589" width="15.109375" style="1207" customWidth="1"/>
    <col min="14590" max="14590" width="16.109375" style="1207" customWidth="1"/>
    <col min="14591" max="14591" width="14.44140625" style="1207" bestFit="1" customWidth="1"/>
    <col min="14592" max="14839" width="9.109375" style="1207"/>
    <col min="14840" max="14840" width="3.88671875" style="1207" customWidth="1"/>
    <col min="14841" max="14841" width="38.109375" style="1207" customWidth="1"/>
    <col min="14842" max="14842" width="11.44140625" style="1207" customWidth="1"/>
    <col min="14843" max="14843" width="15" style="1207" customWidth="1"/>
    <col min="14844" max="14844" width="16.109375" style="1207" customWidth="1"/>
    <col min="14845" max="14845" width="15.109375" style="1207" customWidth="1"/>
    <col min="14846" max="14846" width="16.109375" style="1207" customWidth="1"/>
    <col min="14847" max="14847" width="14.44140625" style="1207" bestFit="1" customWidth="1"/>
    <col min="14848" max="15095" width="9.109375" style="1207"/>
    <col min="15096" max="15096" width="3.88671875" style="1207" customWidth="1"/>
    <col min="15097" max="15097" width="38.109375" style="1207" customWidth="1"/>
    <col min="15098" max="15098" width="11.44140625" style="1207" customWidth="1"/>
    <col min="15099" max="15099" width="15" style="1207" customWidth="1"/>
    <col min="15100" max="15100" width="16.109375" style="1207" customWidth="1"/>
    <col min="15101" max="15101" width="15.109375" style="1207" customWidth="1"/>
    <col min="15102" max="15102" width="16.109375" style="1207" customWidth="1"/>
    <col min="15103" max="15103" width="14.44140625" style="1207" bestFit="1" customWidth="1"/>
    <col min="15104" max="15351" width="9.109375" style="1207"/>
    <col min="15352" max="15352" width="3.88671875" style="1207" customWidth="1"/>
    <col min="15353" max="15353" width="38.109375" style="1207" customWidth="1"/>
    <col min="15354" max="15354" width="11.44140625" style="1207" customWidth="1"/>
    <col min="15355" max="15355" width="15" style="1207" customWidth="1"/>
    <col min="15356" max="15356" width="16.109375" style="1207" customWidth="1"/>
    <col min="15357" max="15357" width="15.109375" style="1207" customWidth="1"/>
    <col min="15358" max="15358" width="16.109375" style="1207" customWidth="1"/>
    <col min="15359" max="15359" width="14.44140625" style="1207" bestFit="1" customWidth="1"/>
    <col min="15360" max="15607" width="9.109375" style="1207"/>
    <col min="15608" max="15608" width="3.88671875" style="1207" customWidth="1"/>
    <col min="15609" max="15609" width="38.109375" style="1207" customWidth="1"/>
    <col min="15610" max="15610" width="11.44140625" style="1207" customWidth="1"/>
    <col min="15611" max="15611" width="15" style="1207" customWidth="1"/>
    <col min="15612" max="15612" width="16.109375" style="1207" customWidth="1"/>
    <col min="15613" max="15613" width="15.109375" style="1207" customWidth="1"/>
    <col min="15614" max="15614" width="16.109375" style="1207" customWidth="1"/>
    <col min="15615" max="15615" width="14.44140625" style="1207" bestFit="1" customWidth="1"/>
    <col min="15616" max="15863" width="9.109375" style="1207"/>
    <col min="15864" max="15864" width="3.88671875" style="1207" customWidth="1"/>
    <col min="15865" max="15865" width="38.109375" style="1207" customWidth="1"/>
    <col min="15866" max="15866" width="11.44140625" style="1207" customWidth="1"/>
    <col min="15867" max="15867" width="15" style="1207" customWidth="1"/>
    <col min="15868" max="15868" width="16.109375" style="1207" customWidth="1"/>
    <col min="15869" max="15869" width="15.109375" style="1207" customWidth="1"/>
    <col min="15870" max="15870" width="16.109375" style="1207" customWidth="1"/>
    <col min="15871" max="15871" width="14.44140625" style="1207" bestFit="1" customWidth="1"/>
    <col min="15872" max="16119" width="9.109375" style="1207"/>
    <col min="16120" max="16120" width="3.88671875" style="1207" customWidth="1"/>
    <col min="16121" max="16121" width="38.109375" style="1207" customWidth="1"/>
    <col min="16122" max="16122" width="11.44140625" style="1207" customWidth="1"/>
    <col min="16123" max="16123" width="15" style="1207" customWidth="1"/>
    <col min="16124" max="16124" width="16.109375" style="1207" customWidth="1"/>
    <col min="16125" max="16125" width="15.109375" style="1207" customWidth="1"/>
    <col min="16126" max="16126" width="16.109375" style="1207" customWidth="1"/>
    <col min="16127" max="16127" width="14.44140625" style="1207" bestFit="1" customWidth="1"/>
    <col min="16128" max="16384" width="9.109375" style="1207"/>
  </cols>
  <sheetData>
    <row r="1" spans="1:7">
      <c r="A1" s="1208"/>
      <c r="B1" s="1209" t="s">
        <v>1</v>
      </c>
      <c r="C1" s="4866"/>
      <c r="D1" s="1210"/>
      <c r="E1" s="1210"/>
      <c r="F1" s="1210"/>
      <c r="G1" s="1210"/>
    </row>
    <row r="2" spans="1:7">
      <c r="A2" s="1208"/>
      <c r="B2" s="1209"/>
      <c r="C2" s="4866"/>
      <c r="D2" s="1210"/>
      <c r="E2" s="1210"/>
      <c r="F2" s="1210"/>
      <c r="G2" s="1210"/>
    </row>
    <row r="3" spans="1:7">
      <c r="A3" s="1208"/>
      <c r="B3" s="1208"/>
      <c r="C3" s="1881"/>
      <c r="D3" s="1208"/>
      <c r="E3" s="1208"/>
      <c r="F3" s="1208"/>
      <c r="G3" s="1208"/>
    </row>
    <row r="4" spans="1:7">
      <c r="A4" s="1208" t="s">
        <v>2</v>
      </c>
      <c r="B4" s="1211"/>
      <c r="C4" s="1882"/>
      <c r="D4" s="1211" t="s">
        <v>276</v>
      </c>
      <c r="E4" s="1211"/>
      <c r="F4" s="1211"/>
      <c r="G4" s="1208"/>
    </row>
    <row r="5" spans="1:7">
      <c r="A5" s="1208" t="s">
        <v>4</v>
      </c>
      <c r="B5" s="1208"/>
      <c r="C5" s="1881"/>
      <c r="D5" s="1208" t="s">
        <v>277</v>
      </c>
      <c r="E5" s="1208"/>
      <c r="F5" s="1208"/>
      <c r="G5" s="1208"/>
    </row>
    <row r="6" spans="1:7">
      <c r="A6" s="1208" t="s">
        <v>6</v>
      </c>
      <c r="B6" s="1208"/>
      <c r="C6" s="1881"/>
      <c r="D6" s="1208" t="s">
        <v>278</v>
      </c>
      <c r="E6" s="1208"/>
      <c r="F6" s="1208"/>
      <c r="G6" s="1208"/>
    </row>
    <row r="7" spans="1:7">
      <c r="A7" s="1212" t="s">
        <v>7</v>
      </c>
      <c r="B7" s="1212"/>
      <c r="C7" s="1881"/>
      <c r="D7" s="1212" t="s">
        <v>8</v>
      </c>
      <c r="E7" s="1212"/>
      <c r="F7" s="1212"/>
      <c r="G7" s="1208"/>
    </row>
    <row r="8" spans="1:7" ht="14.4" thickBot="1">
      <c r="A8" s="4867"/>
      <c r="B8" s="4867"/>
      <c r="C8" s="4868"/>
      <c r="D8" s="4867"/>
      <c r="E8" s="4867"/>
      <c r="F8" s="4867"/>
      <c r="G8" s="4867"/>
    </row>
    <row r="9" spans="1:7">
      <c r="A9" s="1878"/>
      <c r="B9" s="1213"/>
      <c r="C9" s="4869"/>
      <c r="D9" s="4870" t="s">
        <v>9</v>
      </c>
      <c r="E9" s="4871" t="s">
        <v>10</v>
      </c>
      <c r="F9" s="4871" t="s">
        <v>11</v>
      </c>
      <c r="G9" s="4871" t="s">
        <v>12</v>
      </c>
    </row>
    <row r="10" spans="1:7">
      <c r="A10" s="1878"/>
      <c r="B10" s="1213" t="s">
        <v>13</v>
      </c>
      <c r="C10" s="4869"/>
      <c r="D10" s="14202" t="s">
        <v>14</v>
      </c>
      <c r="E10" s="4871" t="s">
        <v>15</v>
      </c>
      <c r="F10" s="4871" t="s">
        <v>16</v>
      </c>
      <c r="G10" s="4871" t="s">
        <v>16</v>
      </c>
    </row>
    <row r="11" spans="1:7" ht="14.4" thickBot="1">
      <c r="A11" s="4872"/>
      <c r="B11" s="4873"/>
      <c r="C11" s="4874"/>
      <c r="D11" s="14203"/>
      <c r="E11" s="4875">
        <v>2012</v>
      </c>
      <c r="F11" s="4875">
        <v>2013</v>
      </c>
      <c r="G11" s="4875">
        <v>2014</v>
      </c>
    </row>
    <row r="12" spans="1:7">
      <c r="A12" s="1874" t="s">
        <v>17</v>
      </c>
      <c r="B12" s="1212" t="s">
        <v>18</v>
      </c>
      <c r="C12" s="1881"/>
      <c r="D12" s="1875"/>
      <c r="E12" s="4876"/>
      <c r="F12" s="4876"/>
      <c r="G12" s="4876"/>
    </row>
    <row r="13" spans="1:7">
      <c r="A13" s="1874"/>
      <c r="B13" s="1212"/>
      <c r="C13" s="1881"/>
      <c r="D13" s="1875"/>
      <c r="E13" s="4876"/>
      <c r="F13" s="4876"/>
      <c r="G13" s="4876"/>
    </row>
    <row r="14" spans="1:7">
      <c r="A14" s="1878"/>
      <c r="B14" s="1212" t="s">
        <v>19</v>
      </c>
      <c r="C14" s="1881"/>
      <c r="D14" s="1875"/>
      <c r="E14" s="4876"/>
      <c r="F14" s="4876"/>
      <c r="G14" s="4876"/>
    </row>
    <row r="15" spans="1:7">
      <c r="A15" s="1878"/>
      <c r="B15" s="1212" t="s">
        <v>20</v>
      </c>
      <c r="C15" s="1881"/>
      <c r="D15" s="1879" t="s">
        <v>57</v>
      </c>
      <c r="E15" s="4877">
        <f>'WS-PS 2017'!B6</f>
        <v>7557785.3399999999</v>
      </c>
      <c r="F15" s="4877">
        <v>15752016</v>
      </c>
      <c r="G15" s="4877">
        <v>9044256</v>
      </c>
    </row>
    <row r="16" spans="1:7">
      <c r="A16" s="1878"/>
      <c r="B16" s="1212" t="s">
        <v>9183</v>
      </c>
      <c r="C16" s="1881"/>
      <c r="D16" s="1879">
        <v>705</v>
      </c>
      <c r="E16" s="4878">
        <f>'WS-PS 2017'!C6</f>
        <v>0</v>
      </c>
      <c r="F16" s="4878">
        <v>3379200</v>
      </c>
      <c r="G16" s="4878">
        <v>3379200</v>
      </c>
    </row>
    <row r="17" spans="1:7">
      <c r="A17" s="1878"/>
      <c r="B17" s="1212" t="s">
        <v>9184</v>
      </c>
      <c r="C17" s="1881"/>
      <c r="D17" s="1879"/>
      <c r="E17" s="4878"/>
      <c r="F17" s="4878"/>
      <c r="G17" s="4878">
        <v>500000</v>
      </c>
    </row>
    <row r="18" spans="1:7">
      <c r="A18" s="1878"/>
      <c r="B18" s="1212" t="s">
        <v>21</v>
      </c>
      <c r="C18" s="1881"/>
      <c r="D18" s="1879">
        <v>711</v>
      </c>
      <c r="E18" s="4878">
        <f>'WS-PS 2017'!F6</f>
        <v>2470579.39</v>
      </c>
      <c r="F18" s="4878">
        <v>2904000</v>
      </c>
      <c r="G18" s="4878">
        <f>2112000+48000</f>
        <v>2160000</v>
      </c>
    </row>
    <row r="19" spans="1:7">
      <c r="A19" s="1878"/>
      <c r="B19" s="1212" t="s">
        <v>280</v>
      </c>
      <c r="C19" s="1881"/>
      <c r="D19" s="1879">
        <v>713</v>
      </c>
      <c r="E19" s="4878">
        <f>'WS-PS 2017'!G6</f>
        <v>132000</v>
      </c>
      <c r="F19" s="4878">
        <v>248400</v>
      </c>
      <c r="G19" s="4878">
        <v>222000</v>
      </c>
    </row>
    <row r="20" spans="1:7">
      <c r="A20" s="1878"/>
      <c r="B20" s="1212" t="s">
        <v>281</v>
      </c>
      <c r="C20" s="1881"/>
      <c r="D20" s="1879">
        <v>714</v>
      </c>
      <c r="E20" s="4878">
        <f>'WS-PS 2017'!H6</f>
        <v>0</v>
      </c>
      <c r="F20" s="4878">
        <v>141600</v>
      </c>
      <c r="G20" s="4878">
        <v>90000</v>
      </c>
    </row>
    <row r="21" spans="1:7">
      <c r="A21" s="1878"/>
      <c r="B21" s="1212" t="s">
        <v>22</v>
      </c>
      <c r="C21" s="1881"/>
      <c r="D21" s="1879">
        <v>715</v>
      </c>
      <c r="E21" s="4878">
        <f>'WS-PS 2017'!I6</f>
        <v>505000</v>
      </c>
      <c r="F21" s="4878">
        <f>605000+10000</f>
        <v>615000</v>
      </c>
      <c r="G21" s="4878">
        <v>450000</v>
      </c>
    </row>
    <row r="22" spans="1:7">
      <c r="A22" s="1878"/>
      <c r="B22" s="1212" t="s">
        <v>23</v>
      </c>
      <c r="C22" s="1881"/>
      <c r="D22" s="1879">
        <v>717</v>
      </c>
      <c r="E22" s="4878">
        <f>'WS-PS 2017'!L6</f>
        <v>510000</v>
      </c>
      <c r="F22" s="4878">
        <f>242000+4000</f>
        <v>246000</v>
      </c>
      <c r="G22" s="4878">
        <v>180000</v>
      </c>
    </row>
    <row r="23" spans="1:7">
      <c r="A23" s="1878"/>
      <c r="B23" s="1212" t="s">
        <v>3297</v>
      </c>
      <c r="C23" s="1881"/>
      <c r="D23" s="1879" t="s">
        <v>25</v>
      </c>
      <c r="E23" s="4878">
        <f>'WS-PS 2017'!P6</f>
        <v>0</v>
      </c>
      <c r="F23" s="4878">
        <v>0</v>
      </c>
      <c r="G23" s="4878">
        <v>0</v>
      </c>
    </row>
    <row r="24" spans="1:7">
      <c r="A24" s="1878"/>
      <c r="B24" s="1880" t="s">
        <v>5027</v>
      </c>
      <c r="C24" s="4879"/>
      <c r="D24" s="1879">
        <v>719</v>
      </c>
      <c r="E24" s="4878"/>
      <c r="F24" s="4878"/>
      <c r="G24" s="4878">
        <v>270000</v>
      </c>
    </row>
    <row r="25" spans="1:7">
      <c r="A25" s="1878"/>
      <c r="B25" s="1212" t="s">
        <v>141</v>
      </c>
      <c r="C25" s="1881"/>
      <c r="D25" s="1879">
        <v>723</v>
      </c>
      <c r="E25" s="4878">
        <f>'WS-PS 2017'!T6</f>
        <v>504000</v>
      </c>
      <c r="F25" s="4878">
        <v>281600</v>
      </c>
      <c r="G25" s="4878">
        <v>281600</v>
      </c>
    </row>
    <row r="26" spans="1:7">
      <c r="A26" s="1878"/>
      <c r="B26" s="1212" t="s">
        <v>26</v>
      </c>
      <c r="C26" s="1881"/>
      <c r="D26" s="1879">
        <v>724</v>
      </c>
      <c r="E26" s="4878">
        <f>'WS-PS 2017'!U6</f>
        <v>0</v>
      </c>
      <c r="F26" s="4878">
        <f>F21</f>
        <v>615000</v>
      </c>
      <c r="G26" s="4878">
        <v>450000</v>
      </c>
    </row>
    <row r="27" spans="1:7">
      <c r="A27" s="1878"/>
      <c r="B27" s="1212" t="s">
        <v>27</v>
      </c>
      <c r="C27" s="1881"/>
      <c r="D27" s="1879">
        <v>725</v>
      </c>
      <c r="E27" s="4877">
        <f>'WS-PS 2017'!V6</f>
        <v>1668220.96</v>
      </c>
      <c r="F27" s="4877">
        <f>(F15+F16)/12</f>
        <v>1594268</v>
      </c>
      <c r="G27" s="4877">
        <v>1035288</v>
      </c>
    </row>
    <row r="28" spans="1:7">
      <c r="A28" s="1878"/>
      <c r="B28" s="1212" t="s">
        <v>59</v>
      </c>
      <c r="C28" s="1881"/>
      <c r="D28" s="1879">
        <v>731</v>
      </c>
      <c r="E28" s="4878">
        <f>'WS-PS 2017'!W6</f>
        <v>122572.54</v>
      </c>
      <c r="F28" s="4878">
        <v>2295635</v>
      </c>
      <c r="G28" s="4878">
        <v>1490815</v>
      </c>
    </row>
    <row r="29" spans="1:7">
      <c r="A29" s="1878"/>
      <c r="B29" s="1212" t="s">
        <v>28</v>
      </c>
      <c r="C29" s="1881"/>
      <c r="D29" s="1879">
        <v>732</v>
      </c>
      <c r="E29" s="4878">
        <f>'WS-PS 2017'!X6</f>
        <v>146650</v>
      </c>
      <c r="F29" s="4878">
        <f>145200+2400</f>
        <v>147600</v>
      </c>
      <c r="G29" s="4878">
        <v>108000</v>
      </c>
    </row>
    <row r="30" spans="1:7">
      <c r="A30" s="1878"/>
      <c r="B30" s="1212" t="s">
        <v>29</v>
      </c>
      <c r="C30" s="1881"/>
      <c r="D30" s="1879">
        <v>733</v>
      </c>
      <c r="E30" s="4878">
        <f>'WS-PS 2017'!Y6</f>
        <v>94348.36</v>
      </c>
      <c r="F30" s="4878">
        <v>286968</v>
      </c>
      <c r="G30" s="4878">
        <v>186352</v>
      </c>
    </row>
    <row r="31" spans="1:7">
      <c r="A31" s="1878"/>
      <c r="B31" s="1212" t="s">
        <v>30</v>
      </c>
      <c r="C31" s="1881"/>
      <c r="D31" s="1879">
        <v>734</v>
      </c>
      <c r="E31" s="4878">
        <f>'WS-PS 2017'!O6</f>
        <v>15000</v>
      </c>
      <c r="F31" s="4878">
        <f>F29</f>
        <v>147600</v>
      </c>
      <c r="G31" s="4878">
        <v>108000</v>
      </c>
    </row>
    <row r="32" spans="1:7">
      <c r="A32" s="1878"/>
      <c r="B32" s="1212" t="s">
        <v>31</v>
      </c>
      <c r="C32" s="1881"/>
      <c r="D32" s="1879">
        <v>742</v>
      </c>
      <c r="E32" s="4878">
        <f>'WS-PS 2017'!Z6</f>
        <v>3193750</v>
      </c>
      <c r="F32" s="4878">
        <v>0</v>
      </c>
      <c r="G32" s="4878">
        <v>0</v>
      </c>
    </row>
    <row r="33" spans="1:9">
      <c r="A33" s="1878"/>
      <c r="B33" s="1212" t="s">
        <v>96</v>
      </c>
      <c r="C33" s="1881"/>
      <c r="D33" s="1879">
        <v>749</v>
      </c>
      <c r="E33" s="4878" t="e">
        <f>'WS-PS 2017'!#REF!</f>
        <v>#REF!</v>
      </c>
      <c r="F33" s="4878">
        <v>0</v>
      </c>
      <c r="G33" s="4878">
        <v>0</v>
      </c>
    </row>
    <row r="34" spans="1:9">
      <c r="A34" s="1878"/>
      <c r="B34" s="1212" t="s">
        <v>33</v>
      </c>
      <c r="C34" s="1881"/>
      <c r="D34" s="1879" t="s">
        <v>34</v>
      </c>
      <c r="E34" s="4878" t="e">
        <f>'WS-PS 2017'!#REF!</f>
        <v>#REF!</v>
      </c>
      <c r="F34" s="4878">
        <v>40000</v>
      </c>
      <c r="G34" s="4878">
        <v>20000</v>
      </c>
    </row>
    <row r="35" spans="1:9">
      <c r="A35" s="1878"/>
      <c r="B35" s="1212" t="s">
        <v>5025</v>
      </c>
      <c r="C35" s="1881"/>
      <c r="D35" s="1879" t="s">
        <v>34</v>
      </c>
      <c r="E35" s="4878" t="e">
        <f>'WS-PS 2017'!#REF!</f>
        <v>#REF!</v>
      </c>
      <c r="F35" s="4878">
        <v>0</v>
      </c>
      <c r="G35" s="4878">
        <v>0</v>
      </c>
    </row>
    <row r="36" spans="1:9">
      <c r="A36" s="1878"/>
      <c r="B36" s="1212" t="s">
        <v>407</v>
      </c>
      <c r="C36" s="1881"/>
      <c r="D36" s="1879" t="s">
        <v>9</v>
      </c>
      <c r="E36" s="4880" t="s">
        <v>9</v>
      </c>
      <c r="F36" s="4880" t="s">
        <v>9</v>
      </c>
      <c r="G36" s="4880" t="s">
        <v>9</v>
      </c>
    </row>
    <row r="37" spans="1:9">
      <c r="A37" s="1878"/>
      <c r="B37" s="1212"/>
      <c r="C37" s="1881"/>
      <c r="D37" s="1879"/>
      <c r="E37" s="4881"/>
      <c r="F37" s="4878"/>
      <c r="G37" s="4882"/>
    </row>
    <row r="38" spans="1:9">
      <c r="A38" s="1878"/>
      <c r="B38" s="1214" t="s">
        <v>37</v>
      </c>
      <c r="C38" s="1882"/>
      <c r="D38" s="1879"/>
      <c r="E38" s="4883" t="e">
        <f>SUM(E14:E36)</f>
        <v>#REF!</v>
      </c>
      <c r="F38" s="4883">
        <f>SUM(F14:F36)</f>
        <v>28694887</v>
      </c>
      <c r="G38" s="4884">
        <f>SUM(G14:G36)</f>
        <v>19975511</v>
      </c>
    </row>
    <row r="39" spans="1:9">
      <c r="A39" s="1878"/>
      <c r="B39" s="1214"/>
      <c r="C39" s="1882"/>
      <c r="D39" s="1879"/>
      <c r="E39" s="4885"/>
      <c r="F39" s="4886"/>
      <c r="G39" s="4886"/>
    </row>
    <row r="40" spans="1:9">
      <c r="A40" s="1874"/>
      <c r="B40" s="1212" t="s">
        <v>38</v>
      </c>
      <c r="C40" s="1881"/>
      <c r="D40" s="1879"/>
      <c r="E40" s="1879"/>
      <c r="F40" s="1875"/>
      <c r="G40" s="4887"/>
    </row>
    <row r="41" spans="1:9">
      <c r="A41" s="1874"/>
      <c r="B41" s="1212"/>
      <c r="C41" s="1881"/>
      <c r="D41" s="1879"/>
      <c r="E41" s="4881"/>
      <c r="F41" s="4876"/>
      <c r="G41" s="4887"/>
    </row>
    <row r="42" spans="1:9">
      <c r="A42" s="1878"/>
      <c r="B42" s="1212" t="s">
        <v>282</v>
      </c>
      <c r="C42" s="1881"/>
      <c r="D42" s="1879">
        <v>751</v>
      </c>
      <c r="E42" s="4887">
        <f>'WS-MOOE 2017'!B6</f>
        <v>2362904.67</v>
      </c>
      <c r="F42" s="4887">
        <v>1150000</v>
      </c>
      <c r="G42" s="4887">
        <f>1350000-130000-50000</f>
        <v>1170000</v>
      </c>
      <c r="I42" s="4888">
        <v>800000</v>
      </c>
    </row>
    <row r="43" spans="1:9">
      <c r="A43" s="1878"/>
      <c r="B43" s="1212" t="s">
        <v>4751</v>
      </c>
      <c r="C43" s="1881"/>
      <c r="D43" s="1879" t="s">
        <v>40</v>
      </c>
      <c r="E43" s="4887"/>
      <c r="F43" s="4887">
        <v>150000</v>
      </c>
      <c r="G43" s="4887">
        <v>0</v>
      </c>
      <c r="I43" s="4888">
        <v>130000</v>
      </c>
    </row>
    <row r="44" spans="1:9">
      <c r="A44" s="1878"/>
      <c r="B44" s="1212" t="s">
        <v>4750</v>
      </c>
      <c r="C44" s="1881"/>
      <c r="D44" s="1879" t="s">
        <v>212</v>
      </c>
      <c r="E44" s="4887"/>
      <c r="F44" s="4887">
        <v>50000</v>
      </c>
      <c r="G44" s="4887">
        <v>0</v>
      </c>
      <c r="I44" s="4887">
        <v>50000</v>
      </c>
    </row>
    <row r="45" spans="1:9">
      <c r="A45" s="1878"/>
      <c r="B45" s="1212" t="s">
        <v>41</v>
      </c>
      <c r="C45" s="1881"/>
      <c r="D45" s="1879">
        <v>753</v>
      </c>
      <c r="E45" s="4887">
        <f>'WS-MOOE 2017'!H6</f>
        <v>369300</v>
      </c>
      <c r="F45" s="4887">
        <v>500000</v>
      </c>
      <c r="G45" s="4887">
        <v>400000</v>
      </c>
      <c r="I45" s="4888">
        <v>450000</v>
      </c>
    </row>
    <row r="46" spans="1:9">
      <c r="A46" s="1878"/>
      <c r="B46" s="1212" t="s">
        <v>42</v>
      </c>
      <c r="C46" s="1881"/>
      <c r="D46" s="1879" t="s">
        <v>84</v>
      </c>
      <c r="E46" s="4887">
        <f>'WS-MOOE 2017'!J6</f>
        <v>3186749.19</v>
      </c>
      <c r="F46" s="4887">
        <f>4350000+30558-F47-F48</f>
        <v>4130558</v>
      </c>
      <c r="G46" s="4887">
        <f>6000000-500000-210000-52500-23793</f>
        <v>5213707</v>
      </c>
      <c r="I46" s="4888">
        <v>4337086</v>
      </c>
    </row>
    <row r="47" spans="1:9">
      <c r="A47" s="1878"/>
      <c r="B47" s="1212" t="s">
        <v>4748</v>
      </c>
      <c r="C47" s="1881"/>
      <c r="D47" s="1879"/>
      <c r="E47" s="4887"/>
      <c r="F47" s="4887">
        <v>200000</v>
      </c>
      <c r="G47" s="4887">
        <v>0</v>
      </c>
      <c r="I47" s="4888">
        <v>210000</v>
      </c>
    </row>
    <row r="48" spans="1:9">
      <c r="A48" s="1878"/>
      <c r="B48" s="1212" t="s">
        <v>4749</v>
      </c>
      <c r="C48" s="1881"/>
      <c r="D48" s="1879"/>
      <c r="E48" s="4887"/>
      <c r="F48" s="4887">
        <v>50000</v>
      </c>
      <c r="G48" s="4887">
        <v>0</v>
      </c>
      <c r="I48" s="4888">
        <v>52500</v>
      </c>
    </row>
    <row r="49" spans="1:9">
      <c r="A49" s="1878"/>
      <c r="B49" s="1212" t="s">
        <v>44</v>
      </c>
      <c r="C49" s="4889"/>
      <c r="D49" s="1879">
        <v>761</v>
      </c>
      <c r="E49" s="4887">
        <f>'WS-MOOE 2017'!R6</f>
        <v>3624295.56</v>
      </c>
      <c r="F49" s="4887">
        <v>5500000</v>
      </c>
      <c r="G49" s="4887">
        <v>5500000</v>
      </c>
      <c r="I49" s="4888">
        <v>4000000</v>
      </c>
    </row>
    <row r="50" spans="1:9">
      <c r="A50" s="1878"/>
      <c r="B50" s="1212" t="s">
        <v>45</v>
      </c>
      <c r="C50" s="1881"/>
      <c r="D50" s="1879">
        <v>766</v>
      </c>
      <c r="E50" s="4887">
        <f>'WS-MOOE 2017'!W6</f>
        <v>628064.18999999994</v>
      </c>
      <c r="F50" s="4887">
        <v>500000</v>
      </c>
      <c r="G50" s="4887">
        <v>500000</v>
      </c>
      <c r="I50" s="4888">
        <v>400000</v>
      </c>
    </row>
    <row r="51" spans="1:9">
      <c r="A51" s="1878"/>
      <c r="B51" s="1212" t="s">
        <v>46</v>
      </c>
      <c r="C51" s="1881"/>
      <c r="D51" s="1879">
        <v>767</v>
      </c>
      <c r="E51" s="4887">
        <f>'WS-MOOE 2017'!X6</f>
        <v>6102106.4199999999</v>
      </c>
      <c r="F51" s="4887">
        <v>3000000</v>
      </c>
      <c r="G51" s="4887">
        <v>4500000</v>
      </c>
      <c r="I51" s="4888">
        <v>4500000</v>
      </c>
    </row>
    <row r="52" spans="1:9">
      <c r="A52" s="1878"/>
      <c r="B52" s="1212" t="s">
        <v>62</v>
      </c>
      <c r="C52" s="1881"/>
      <c r="D52" s="1879" t="s">
        <v>63</v>
      </c>
      <c r="E52" s="4887">
        <f>'WS-MOOE 2017'!Z6</f>
        <v>26023.15</v>
      </c>
      <c r="F52" s="4887">
        <v>100000</v>
      </c>
      <c r="G52" s="4887">
        <v>50000</v>
      </c>
      <c r="I52" s="4888">
        <v>50000</v>
      </c>
    </row>
    <row r="53" spans="1:9">
      <c r="A53" s="1878"/>
      <c r="B53" s="1212" t="s">
        <v>184</v>
      </c>
      <c r="C53" s="1881"/>
      <c r="D53" s="4890">
        <v>772</v>
      </c>
      <c r="E53" s="4887">
        <f>'WS-MOOE 2017'!AA6</f>
        <v>811110.64</v>
      </c>
      <c r="F53" s="4887">
        <v>500000</v>
      </c>
      <c r="G53" s="4887">
        <v>500000</v>
      </c>
      <c r="I53" s="4888">
        <v>550000</v>
      </c>
    </row>
    <row r="54" spans="1:9">
      <c r="A54" s="1878"/>
      <c r="B54" s="1212" t="s">
        <v>185</v>
      </c>
      <c r="C54" s="1881"/>
      <c r="D54" s="4890">
        <v>773</v>
      </c>
      <c r="E54" s="4887">
        <f>'WS-MOOE 2017'!AC6</f>
        <v>0</v>
      </c>
      <c r="F54" s="4887">
        <v>500000</v>
      </c>
      <c r="G54" s="4887">
        <v>600000</v>
      </c>
      <c r="I54" s="4888">
        <v>700000</v>
      </c>
    </row>
    <row r="55" spans="1:9">
      <c r="A55" s="1878"/>
      <c r="B55" s="1212" t="s">
        <v>136</v>
      </c>
      <c r="C55" s="1881"/>
      <c r="D55" s="4890">
        <v>774</v>
      </c>
      <c r="E55" s="4887">
        <f>'WS-MOOE 2017'!AE6</f>
        <v>11988</v>
      </c>
      <c r="F55" s="4887">
        <v>15000</v>
      </c>
      <c r="G55" s="4887">
        <v>15000</v>
      </c>
      <c r="I55" s="4887">
        <v>15000</v>
      </c>
    </row>
    <row r="56" spans="1:9">
      <c r="A56" s="1878"/>
      <c r="B56" s="1212" t="s">
        <v>283</v>
      </c>
      <c r="C56" s="1881"/>
      <c r="D56" s="4890">
        <v>775</v>
      </c>
      <c r="E56" s="4887">
        <f>'WS-MOOE 2017'!AF6</f>
        <v>13970</v>
      </c>
      <c r="F56" s="4887">
        <v>10000</v>
      </c>
      <c r="G56" s="4887">
        <v>5000</v>
      </c>
      <c r="I56" s="4888">
        <v>5000</v>
      </c>
    </row>
    <row r="57" spans="1:9">
      <c r="A57" s="1878"/>
      <c r="B57" s="1212" t="s">
        <v>202</v>
      </c>
      <c r="C57" s="1881"/>
      <c r="D57" s="4890">
        <v>780</v>
      </c>
      <c r="E57" s="4887">
        <f>'WS-MOOE 2017'!BI6</f>
        <v>368500</v>
      </c>
      <c r="F57" s="4887">
        <v>500000</v>
      </c>
      <c r="G57" s="4887">
        <v>600000</v>
      </c>
      <c r="I57" s="4888">
        <v>800000</v>
      </c>
    </row>
    <row r="58" spans="1:9" ht="14.4" thickBot="1">
      <c r="A58" s="4872"/>
      <c r="B58" s="4867"/>
      <c r="C58" s="4868"/>
      <c r="D58" s="4891"/>
      <c r="E58" s="4892"/>
      <c r="F58" s="4893"/>
      <c r="G58" s="4894"/>
      <c r="I58" s="4895"/>
    </row>
    <row r="59" spans="1:9">
      <c r="A59" s="1212"/>
      <c r="B59" s="1212"/>
      <c r="C59" s="1881"/>
      <c r="D59" s="1215"/>
      <c r="E59" s="1215"/>
      <c r="F59" s="1216"/>
      <c r="G59" s="1216"/>
      <c r="I59" s="1844"/>
    </row>
    <row r="60" spans="1:9">
      <c r="A60" s="1212"/>
      <c r="B60" s="1212"/>
      <c r="C60" s="1881"/>
      <c r="D60" s="1215"/>
      <c r="E60" s="1215"/>
      <c r="F60" s="1216"/>
      <c r="G60" s="1216"/>
      <c r="I60" s="1844"/>
    </row>
    <row r="61" spans="1:9">
      <c r="A61" s="1212"/>
      <c r="B61" s="1212"/>
      <c r="C61" s="1881"/>
      <c r="D61" s="1215"/>
      <c r="E61" s="1215"/>
      <c r="F61" s="1216"/>
      <c r="G61" s="1216"/>
      <c r="I61" s="1844"/>
    </row>
    <row r="62" spans="1:9">
      <c r="A62" s="1212"/>
      <c r="B62" s="1212"/>
      <c r="C62" s="1881"/>
      <c r="D62" s="1215"/>
      <c r="E62" s="1215"/>
      <c r="F62" s="1216"/>
      <c r="G62" s="1216"/>
      <c r="I62" s="1844"/>
    </row>
    <row r="63" spans="1:9">
      <c r="A63" s="1212"/>
      <c r="B63" s="1212"/>
      <c r="C63" s="1881"/>
      <c r="D63" s="1215"/>
      <c r="E63" s="1215"/>
      <c r="F63" s="1216"/>
      <c r="G63" s="1216"/>
      <c r="I63" s="1844"/>
    </row>
    <row r="64" spans="1:9">
      <c r="A64" s="1212"/>
      <c r="B64" s="1212"/>
      <c r="C64" s="1881"/>
      <c r="D64" s="1215"/>
      <c r="E64" s="1215"/>
      <c r="F64" s="1216"/>
      <c r="G64" s="1216"/>
      <c r="I64" s="1844"/>
    </row>
    <row r="65" spans="1:9" ht="14.4" thickBot="1">
      <c r="A65" s="1212" t="s">
        <v>284</v>
      </c>
      <c r="B65" s="1212"/>
      <c r="C65" s="1881"/>
      <c r="D65" s="1212"/>
      <c r="E65" s="1212"/>
      <c r="F65" s="1212"/>
      <c r="G65" s="2645" t="s">
        <v>9</v>
      </c>
      <c r="I65" s="1845" t="s">
        <v>9</v>
      </c>
    </row>
    <row r="66" spans="1:9">
      <c r="A66" s="4896"/>
      <c r="B66" s="4897"/>
      <c r="C66" s="4898"/>
      <c r="D66" s="4899" t="s">
        <v>9</v>
      </c>
      <c r="E66" s="4900" t="s">
        <v>10</v>
      </c>
      <c r="F66" s="4900" t="s">
        <v>11</v>
      </c>
      <c r="G66" s="4900" t="s">
        <v>12</v>
      </c>
      <c r="I66" s="4901" t="s">
        <v>12</v>
      </c>
    </row>
    <row r="67" spans="1:9">
      <c r="A67" s="1878"/>
      <c r="B67" s="1213" t="s">
        <v>13</v>
      </c>
      <c r="C67" s="4869"/>
      <c r="D67" s="14202" t="s">
        <v>14</v>
      </c>
      <c r="E67" s="4871" t="s">
        <v>15</v>
      </c>
      <c r="F67" s="4871" t="s">
        <v>16</v>
      </c>
      <c r="G67" s="4871" t="s">
        <v>16</v>
      </c>
      <c r="I67" s="4902" t="s">
        <v>16</v>
      </c>
    </row>
    <row r="68" spans="1:9" ht="14.4" thickBot="1">
      <c r="A68" s="4872"/>
      <c r="B68" s="4873"/>
      <c r="C68" s="4874"/>
      <c r="D68" s="14203"/>
      <c r="E68" s="4875">
        <v>2012</v>
      </c>
      <c r="F68" s="4875">
        <v>2013</v>
      </c>
      <c r="G68" s="4875">
        <v>2014</v>
      </c>
      <c r="I68" s="4903">
        <v>2014</v>
      </c>
    </row>
    <row r="69" spans="1:9">
      <c r="A69" s="1878"/>
      <c r="B69" s="1212" t="s">
        <v>114</v>
      </c>
      <c r="C69" s="1881"/>
      <c r="D69" s="1879">
        <v>781</v>
      </c>
      <c r="E69" s="4878">
        <f>'WS-MOOE 2017'!BJ6</f>
        <v>0</v>
      </c>
      <c r="F69" s="4878">
        <v>500000</v>
      </c>
      <c r="G69" s="4878">
        <v>1000000</v>
      </c>
      <c r="I69" s="4878">
        <v>500000</v>
      </c>
    </row>
    <row r="70" spans="1:9">
      <c r="A70" s="1878"/>
      <c r="B70" s="1212" t="s">
        <v>285</v>
      </c>
      <c r="C70" s="1881"/>
      <c r="D70" s="1879" t="s">
        <v>9</v>
      </c>
      <c r="E70" s="4878"/>
      <c r="F70" s="4878"/>
      <c r="G70" s="4878"/>
      <c r="I70" s="4878"/>
    </row>
    <row r="71" spans="1:9">
      <c r="A71" s="1878"/>
      <c r="B71" s="1217" t="s">
        <v>286</v>
      </c>
      <c r="C71" s="4904"/>
      <c r="D71" s="1879">
        <v>783</v>
      </c>
      <c r="E71" s="4878">
        <f>'WS-MOOE 2017'!BK6</f>
        <v>9412598.4199999999</v>
      </c>
      <c r="F71" s="4878">
        <v>7000000</v>
      </c>
      <c r="G71" s="4878">
        <v>8000000</v>
      </c>
      <c r="I71" s="4905">
        <v>6000000</v>
      </c>
    </row>
    <row r="72" spans="1:9">
      <c r="A72" s="1878"/>
      <c r="B72" s="1217" t="s">
        <v>287</v>
      </c>
      <c r="C72" s="4904"/>
      <c r="D72" s="1879">
        <v>793</v>
      </c>
      <c r="E72" s="4878">
        <f>'WS-MOOE 2017'!AL6</f>
        <v>8542116.0700000003</v>
      </c>
      <c r="F72" s="4878">
        <v>2850000</v>
      </c>
      <c r="G72" s="4878">
        <v>3400000</v>
      </c>
      <c r="I72" s="4905">
        <v>3000000</v>
      </c>
    </row>
    <row r="73" spans="1:9">
      <c r="A73" s="1878"/>
      <c r="B73" s="1217" t="s">
        <v>65</v>
      </c>
      <c r="C73" s="4904"/>
      <c r="D73" s="1879">
        <v>795</v>
      </c>
      <c r="E73" s="4878">
        <f>'WS-MOOE 2017'!AO6</f>
        <v>25113883.25</v>
      </c>
      <c r="F73" s="4878">
        <v>15000000</v>
      </c>
      <c r="G73" s="4878">
        <v>19000000</v>
      </c>
      <c r="I73" s="4905">
        <v>20000000</v>
      </c>
    </row>
    <row r="74" spans="1:9">
      <c r="A74" s="1878"/>
      <c r="B74" s="1212" t="s">
        <v>66</v>
      </c>
      <c r="C74" s="1881"/>
      <c r="D74" s="1879" t="s">
        <v>67</v>
      </c>
      <c r="E74" s="4878" t="e">
        <f>'WS-MOOE 2017'!#REF!</f>
        <v>#REF!</v>
      </c>
      <c r="F74" s="4878">
        <v>5500000</v>
      </c>
      <c r="G74" s="4878">
        <v>6000000</v>
      </c>
      <c r="I74" s="4905">
        <v>6000000</v>
      </c>
    </row>
    <row r="75" spans="1:9">
      <c r="A75" s="1878"/>
      <c r="B75" s="1212" t="s">
        <v>288</v>
      </c>
      <c r="C75" s="4889"/>
      <c r="D75" s="1879">
        <v>811</v>
      </c>
      <c r="E75" s="4878">
        <f>'WS-MOOE 2017'!AS6</f>
        <v>383600</v>
      </c>
      <c r="F75" s="4878">
        <v>1000000</v>
      </c>
      <c r="G75" s="4878">
        <v>1500000</v>
      </c>
      <c r="I75" s="4878">
        <v>1000000</v>
      </c>
    </row>
    <row r="76" spans="1:9">
      <c r="A76" s="1878"/>
      <c r="B76" s="1212" t="s">
        <v>289</v>
      </c>
      <c r="C76" s="1881"/>
      <c r="D76" s="1879" t="s">
        <v>290</v>
      </c>
      <c r="E76" s="4878">
        <f>'WS-MOOE 2017'!AY6</f>
        <v>0</v>
      </c>
      <c r="F76" s="4878">
        <v>100000</v>
      </c>
      <c r="G76" s="4878">
        <v>100000</v>
      </c>
      <c r="I76" s="4878">
        <v>100000</v>
      </c>
    </row>
    <row r="77" spans="1:9">
      <c r="A77" s="1878"/>
      <c r="B77" s="1212" t="s">
        <v>291</v>
      </c>
      <c r="C77" s="1881"/>
      <c r="D77" s="1879">
        <v>840</v>
      </c>
      <c r="E77" s="4878">
        <f>'WS-MOOE 2017'!BA6</f>
        <v>0</v>
      </c>
      <c r="F77" s="4878">
        <v>500000</v>
      </c>
      <c r="G77" s="4878">
        <v>250000</v>
      </c>
      <c r="I77" s="4905">
        <v>250000</v>
      </c>
    </row>
    <row r="78" spans="1:9">
      <c r="A78" s="1878"/>
      <c r="B78" s="1212" t="s">
        <v>292</v>
      </c>
      <c r="C78" s="1881"/>
      <c r="D78" s="1879">
        <v>841</v>
      </c>
      <c r="E78" s="4878">
        <f>'WS-MOOE 2017'!BB6</f>
        <v>4445983.9000000004</v>
      </c>
      <c r="F78" s="4878">
        <v>3500000</v>
      </c>
      <c r="G78" s="4878">
        <v>5500000</v>
      </c>
      <c r="I78" s="4905">
        <v>3000000</v>
      </c>
    </row>
    <row r="79" spans="1:9">
      <c r="A79" s="1878"/>
      <c r="B79" s="1217" t="s">
        <v>293</v>
      </c>
      <c r="C79" s="4904"/>
      <c r="D79" s="1879">
        <v>878</v>
      </c>
      <c r="E79" s="4878">
        <f>'WS-MOOE 2017'!BM6</f>
        <v>29412881.620000001</v>
      </c>
      <c r="F79" s="4878">
        <v>12000000</v>
      </c>
      <c r="G79" s="4878">
        <v>15000000</v>
      </c>
      <c r="I79" s="4878">
        <v>12000000</v>
      </c>
    </row>
    <row r="80" spans="1:9" s="4910" customFormat="1">
      <c r="A80" s="4906"/>
      <c r="B80" s="4907" t="s">
        <v>9636</v>
      </c>
      <c r="C80" s="4908"/>
      <c r="D80" s="4909"/>
      <c r="E80" s="4905"/>
      <c r="F80" s="4905"/>
      <c r="G80" s="4905"/>
      <c r="I80" s="4905"/>
    </row>
    <row r="81" spans="1:9" s="4910" customFormat="1">
      <c r="A81" s="4906"/>
      <c r="B81" s="4907" t="s">
        <v>9637</v>
      </c>
      <c r="C81" s="4908">
        <v>500000</v>
      </c>
      <c r="D81" s="4909"/>
      <c r="E81" s="4905"/>
      <c r="F81" s="4905"/>
      <c r="G81" s="4905"/>
      <c r="I81" s="4905"/>
    </row>
    <row r="82" spans="1:9" s="4910" customFormat="1">
      <c r="A82" s="4906"/>
      <c r="B82" s="4907" t="s">
        <v>9638</v>
      </c>
      <c r="C82" s="4908"/>
      <c r="D82" s="4909"/>
      <c r="E82" s="4905"/>
      <c r="F82" s="4905"/>
      <c r="G82" s="4905"/>
      <c r="I82" s="4905"/>
    </row>
    <row r="83" spans="1:9" s="4910" customFormat="1">
      <c r="A83" s="4906"/>
      <c r="B83" s="4907" t="s">
        <v>9637</v>
      </c>
      <c r="C83" s="4908">
        <v>500000</v>
      </c>
      <c r="D83" s="4909"/>
      <c r="E83" s="4905"/>
      <c r="F83" s="4905"/>
      <c r="G83" s="4905"/>
      <c r="I83" s="4905"/>
    </row>
    <row r="84" spans="1:9" s="4910" customFormat="1">
      <c r="A84" s="4906"/>
      <c r="B84" s="4907" t="s">
        <v>9639</v>
      </c>
      <c r="C84" s="4908">
        <v>3000000</v>
      </c>
      <c r="D84" s="4909"/>
      <c r="E84" s="4905"/>
      <c r="F84" s="4905"/>
      <c r="G84" s="4905"/>
      <c r="I84" s="4905"/>
    </row>
    <row r="85" spans="1:9" s="4910" customFormat="1">
      <c r="A85" s="4906"/>
      <c r="B85" s="4907" t="s">
        <v>9640</v>
      </c>
      <c r="C85" s="4908"/>
      <c r="D85" s="4909"/>
      <c r="E85" s="4905"/>
      <c r="F85" s="4905"/>
      <c r="G85" s="4905"/>
      <c r="I85" s="4905"/>
    </row>
    <row r="86" spans="1:9" s="4910" customFormat="1">
      <c r="A86" s="4906" t="s">
        <v>3176</v>
      </c>
      <c r="B86" s="4907" t="s">
        <v>9641</v>
      </c>
      <c r="C86" s="4908">
        <v>3000000</v>
      </c>
      <c r="D86" s="4909"/>
      <c r="E86" s="4905"/>
      <c r="F86" s="4905"/>
      <c r="G86" s="4905"/>
      <c r="I86" s="4905"/>
    </row>
    <row r="87" spans="1:9" s="4910" customFormat="1">
      <c r="A87" s="4906"/>
      <c r="B87" s="4907" t="s">
        <v>9642</v>
      </c>
      <c r="C87" s="4908">
        <v>2000000</v>
      </c>
      <c r="D87" s="4909"/>
      <c r="E87" s="4905"/>
      <c r="F87" s="4905"/>
      <c r="G87" s="4905"/>
      <c r="I87" s="4905"/>
    </row>
    <row r="88" spans="1:9" s="4910" customFormat="1">
      <c r="A88" s="4906"/>
      <c r="B88" s="4907" t="s">
        <v>9643</v>
      </c>
      <c r="C88" s="4908"/>
      <c r="D88" s="4909"/>
      <c r="E88" s="4905"/>
      <c r="F88" s="4905"/>
      <c r="G88" s="4905"/>
      <c r="I88" s="4905"/>
    </row>
    <row r="89" spans="1:9" s="4910" customFormat="1">
      <c r="A89" s="4906"/>
      <c r="B89" s="4907" t="s">
        <v>9644</v>
      </c>
      <c r="C89" s="4908">
        <v>2000000</v>
      </c>
      <c r="D89" s="4909"/>
      <c r="E89" s="4905"/>
      <c r="F89" s="4905"/>
      <c r="G89" s="4905"/>
      <c r="I89" s="4905"/>
    </row>
    <row r="90" spans="1:9" s="4910" customFormat="1">
      <c r="A90" s="4906"/>
      <c r="B90" s="4907" t="s">
        <v>9645</v>
      </c>
      <c r="C90" s="4908">
        <v>1000000</v>
      </c>
      <c r="D90" s="4909"/>
      <c r="E90" s="4905"/>
      <c r="F90" s="4905"/>
      <c r="G90" s="4905"/>
      <c r="I90" s="4905"/>
    </row>
    <row r="91" spans="1:9" s="4910" customFormat="1">
      <c r="A91" s="4906"/>
      <c r="B91" s="4907" t="s">
        <v>9646</v>
      </c>
      <c r="C91" s="4908">
        <v>500000</v>
      </c>
      <c r="D91" s="4909"/>
      <c r="E91" s="4905"/>
      <c r="F91" s="4905"/>
      <c r="G91" s="4905"/>
      <c r="I91" s="4905"/>
    </row>
    <row r="92" spans="1:9" s="4910" customFormat="1">
      <c r="A92" s="4906"/>
      <c r="B92" s="4907" t="s">
        <v>9647</v>
      </c>
      <c r="C92" s="4908"/>
      <c r="D92" s="4909"/>
      <c r="E92" s="4905"/>
      <c r="F92" s="4905"/>
      <c r="G92" s="4905"/>
      <c r="I92" s="4905"/>
    </row>
    <row r="93" spans="1:9" s="4910" customFormat="1">
      <c r="A93" s="4906"/>
      <c r="B93" s="4907" t="s">
        <v>9648</v>
      </c>
      <c r="C93" s="4908">
        <v>500000</v>
      </c>
      <c r="D93" s="4909"/>
      <c r="E93" s="4905"/>
      <c r="F93" s="4905"/>
      <c r="G93" s="4905"/>
      <c r="I93" s="4905"/>
    </row>
    <row r="94" spans="1:9" s="4910" customFormat="1">
      <c r="A94" s="4906"/>
      <c r="B94" s="4907" t="s">
        <v>9649</v>
      </c>
      <c r="C94" s="4908">
        <v>500000</v>
      </c>
      <c r="D94" s="4909"/>
      <c r="E94" s="4905"/>
      <c r="F94" s="4905"/>
      <c r="G94" s="4905"/>
      <c r="I94" s="4905"/>
    </row>
    <row r="95" spans="1:9" s="4910" customFormat="1">
      <c r="A95" s="4906"/>
      <c r="B95" s="4907" t="s">
        <v>9650</v>
      </c>
      <c r="C95" s="4908">
        <v>1000000</v>
      </c>
      <c r="D95" s="4909"/>
      <c r="E95" s="4905"/>
      <c r="F95" s="4905"/>
      <c r="G95" s="4905"/>
      <c r="I95" s="4905"/>
    </row>
    <row r="96" spans="1:9" s="4910" customFormat="1">
      <c r="A96" s="4906"/>
      <c r="B96" s="4907" t="s">
        <v>9651</v>
      </c>
      <c r="C96" s="4908"/>
      <c r="D96" s="4909"/>
      <c r="E96" s="4905"/>
      <c r="F96" s="4905"/>
      <c r="G96" s="4905"/>
      <c r="I96" s="4905"/>
    </row>
    <row r="97" spans="1:9" s="4910" customFormat="1">
      <c r="A97" s="4906"/>
      <c r="B97" s="4907" t="s">
        <v>9652</v>
      </c>
      <c r="D97" s="4909"/>
      <c r="E97" s="4905"/>
      <c r="F97" s="4905"/>
      <c r="G97" s="4905"/>
      <c r="I97" s="4905"/>
    </row>
    <row r="98" spans="1:9" s="4910" customFormat="1">
      <c r="A98" s="4906"/>
      <c r="B98" s="4907" t="s">
        <v>9653</v>
      </c>
      <c r="C98" s="4908">
        <v>500000</v>
      </c>
      <c r="D98" s="4909"/>
      <c r="E98" s="4905"/>
      <c r="F98" s="4905"/>
      <c r="G98" s="4905"/>
      <c r="I98" s="4905"/>
    </row>
    <row r="99" spans="1:9">
      <c r="A99" s="1878"/>
      <c r="B99" s="1212" t="s">
        <v>9326</v>
      </c>
      <c r="C99" s="1881"/>
      <c r="D99" s="1879">
        <v>881</v>
      </c>
      <c r="E99" s="4878">
        <f>'WS-MOOE 2017'!BE6</f>
        <v>0</v>
      </c>
      <c r="F99" s="4878">
        <v>14000000</v>
      </c>
      <c r="G99" s="4878">
        <v>14000000</v>
      </c>
      <c r="I99" s="4878">
        <v>14000000</v>
      </c>
    </row>
    <row r="100" spans="1:9">
      <c r="A100" s="1878"/>
      <c r="B100" s="1212" t="s">
        <v>294</v>
      </c>
      <c r="C100" s="1881"/>
      <c r="D100" s="1879">
        <v>883</v>
      </c>
      <c r="E100" s="4878">
        <f>'WS-MOOE 2017'!BF6</f>
        <v>0</v>
      </c>
      <c r="F100" s="4878">
        <v>532542</v>
      </c>
      <c r="G100" s="4878">
        <f>500000+23793</f>
        <v>523793</v>
      </c>
      <c r="I100" s="4905">
        <v>500000</v>
      </c>
    </row>
    <row r="101" spans="1:9">
      <c r="A101" s="1878"/>
      <c r="B101" s="1212" t="s">
        <v>72</v>
      </c>
      <c r="C101" s="1881"/>
      <c r="D101" s="1879">
        <v>892</v>
      </c>
      <c r="E101" s="4878">
        <f>'WS-MOOE 2017'!BH6</f>
        <v>45000</v>
      </c>
      <c r="F101" s="4878">
        <v>70000</v>
      </c>
      <c r="G101" s="4878">
        <v>80000</v>
      </c>
      <c r="I101" s="4878">
        <v>70000</v>
      </c>
    </row>
    <row r="102" spans="1:9">
      <c r="A102" s="1878"/>
      <c r="B102" s="1212" t="s">
        <v>295</v>
      </c>
      <c r="C102" s="4889"/>
      <c r="D102" s="1875">
        <v>969</v>
      </c>
      <c r="E102" s="4878">
        <f>'WS-MOOE 2017'!BO6</f>
        <v>2512996.37</v>
      </c>
      <c r="F102" s="4878">
        <v>2794753</v>
      </c>
      <c r="G102" s="4878">
        <f>3800000-150000-200000</f>
        <v>3450000</v>
      </c>
      <c r="I102" s="4905">
        <v>2845059</v>
      </c>
    </row>
    <row r="103" spans="1:9">
      <c r="A103" s="1878"/>
      <c r="B103" s="1212" t="s">
        <v>296</v>
      </c>
      <c r="C103" s="4889"/>
      <c r="D103" s="1879" t="s">
        <v>75</v>
      </c>
      <c r="E103" s="4878">
        <f>'WS-MOOE 2017'!BP6</f>
        <v>0</v>
      </c>
      <c r="F103" s="4887">
        <v>3000000</v>
      </c>
      <c r="G103" s="4887">
        <v>1000000</v>
      </c>
      <c r="H103" s="1207" t="s">
        <v>9119</v>
      </c>
      <c r="I103" s="4888">
        <v>3150000</v>
      </c>
    </row>
    <row r="104" spans="1:9">
      <c r="A104" s="1878"/>
      <c r="B104" s="1212" t="s">
        <v>297</v>
      </c>
      <c r="C104" s="4889"/>
      <c r="D104" s="1879" t="s">
        <v>76</v>
      </c>
      <c r="E104" s="4878">
        <f>'WS-MOOE 2017'!BQ6</f>
        <v>0</v>
      </c>
      <c r="F104" s="4878">
        <v>33000</v>
      </c>
      <c r="G104" s="4878">
        <v>33000</v>
      </c>
      <c r="I104" s="4878">
        <v>33000</v>
      </c>
    </row>
    <row r="105" spans="1:9">
      <c r="A105" s="1878"/>
      <c r="B105" s="1212" t="s">
        <v>298</v>
      </c>
      <c r="C105" s="1881"/>
      <c r="D105" s="1879" t="s">
        <v>5011</v>
      </c>
      <c r="E105" s="4878" t="e">
        <f>'WS-MOOE 2017'!#REF!</f>
        <v>#REF!</v>
      </c>
      <c r="F105" s="4878">
        <v>0</v>
      </c>
      <c r="G105" s="4878">
        <v>0</v>
      </c>
      <c r="I105" s="4878">
        <v>0</v>
      </c>
    </row>
    <row r="106" spans="1:9" ht="2.25" customHeight="1">
      <c r="A106" s="1878"/>
      <c r="B106" s="1212"/>
      <c r="C106" s="4889"/>
      <c r="D106" s="1875"/>
      <c r="E106" s="4880"/>
      <c r="F106" s="4880"/>
      <c r="G106" s="4880"/>
      <c r="I106" s="4911"/>
    </row>
    <row r="107" spans="1:9" ht="2.25" customHeight="1">
      <c r="A107" s="1878"/>
      <c r="B107" s="1212"/>
      <c r="C107" s="1881"/>
      <c r="D107" s="1875"/>
      <c r="E107" s="4876"/>
      <c r="F107" s="4878"/>
      <c r="G107" s="4878"/>
    </row>
    <row r="108" spans="1:9">
      <c r="A108" s="1878"/>
      <c r="B108" s="1214" t="s">
        <v>37</v>
      </c>
      <c r="C108" s="1882"/>
      <c r="D108" s="1875"/>
      <c r="E108" s="4883" t="e">
        <f>SUM(E42:E58,E69:E106)</f>
        <v>#REF!</v>
      </c>
      <c r="F108" s="4883">
        <f>SUM(F42:F58,F69:F106)</f>
        <v>85235853</v>
      </c>
      <c r="G108" s="4883">
        <f>SUM(G42:G58,G69:G106)</f>
        <v>97890500</v>
      </c>
    </row>
    <row r="109" spans="1:9" ht="2.25" customHeight="1">
      <c r="A109" s="1878"/>
      <c r="B109" s="1212"/>
      <c r="C109" s="1881"/>
      <c r="D109" s="1875"/>
      <c r="E109" s="4912"/>
      <c r="F109" s="4880"/>
      <c r="G109" s="4880"/>
    </row>
    <row r="110" spans="1:9">
      <c r="A110" s="1874" t="s">
        <v>51</v>
      </c>
      <c r="B110" s="1212" t="s">
        <v>299</v>
      </c>
      <c r="C110" s="1881"/>
      <c r="D110" s="1875"/>
      <c r="E110" s="4876"/>
      <c r="F110" s="4878" t="s">
        <v>9</v>
      </c>
      <c r="G110" s="4878" t="s">
        <v>9</v>
      </c>
    </row>
    <row r="111" spans="1:9">
      <c r="A111" s="1874"/>
      <c r="B111" s="1212" t="s">
        <v>5012</v>
      </c>
      <c r="C111" s="1881"/>
      <c r="D111" s="1875">
        <v>211</v>
      </c>
      <c r="E111" s="4913">
        <f>'WS-CO 2017'!B5</f>
        <v>0</v>
      </c>
      <c r="F111" s="4878">
        <v>0</v>
      </c>
      <c r="G111" s="4878">
        <v>0</v>
      </c>
    </row>
    <row r="112" spans="1:9">
      <c r="A112" s="1874"/>
      <c r="B112" s="1212" t="s">
        <v>5013</v>
      </c>
      <c r="C112" s="1881"/>
      <c r="D112" s="1875">
        <v>212</v>
      </c>
      <c r="E112" s="4913">
        <f>'WS-CO 2017'!C5</f>
        <v>0</v>
      </c>
      <c r="F112" s="4878">
        <v>0</v>
      </c>
      <c r="G112" s="4878">
        <v>0</v>
      </c>
    </row>
    <row r="113" spans="1:7">
      <c r="A113" s="1874"/>
      <c r="B113" s="1212" t="s">
        <v>5014</v>
      </c>
      <c r="C113" s="1881"/>
      <c r="D113" s="1875">
        <v>215</v>
      </c>
      <c r="E113" s="4913">
        <f>'WS-CO 2017'!E5</f>
        <v>0</v>
      </c>
      <c r="F113" s="4878">
        <v>0</v>
      </c>
      <c r="G113" s="4878">
        <v>0</v>
      </c>
    </row>
    <row r="114" spans="1:7">
      <c r="A114" s="1874"/>
      <c r="B114" s="1212" t="s">
        <v>122</v>
      </c>
      <c r="C114" s="1881"/>
      <c r="D114" s="1879">
        <v>221</v>
      </c>
      <c r="E114" s="4878">
        <f>'WS-CO 2017'!F5</f>
        <v>707022</v>
      </c>
      <c r="F114" s="4878">
        <v>500000</v>
      </c>
      <c r="G114" s="4878">
        <v>1500000</v>
      </c>
    </row>
    <row r="115" spans="1:7">
      <c r="A115" s="1878" t="s">
        <v>9</v>
      </c>
      <c r="B115" s="1212" t="s">
        <v>300</v>
      </c>
      <c r="C115" s="1881"/>
      <c r="D115" s="1879">
        <v>222</v>
      </c>
      <c r="E115" s="4878">
        <f>'WS-CO 2017'!K5</f>
        <v>0</v>
      </c>
      <c r="F115" s="4878">
        <v>250000</v>
      </c>
      <c r="G115" s="4878">
        <v>50000</v>
      </c>
    </row>
    <row r="116" spans="1:7">
      <c r="A116" s="1874"/>
      <c r="B116" s="1212" t="s">
        <v>301</v>
      </c>
      <c r="C116" s="1881"/>
      <c r="D116" s="1875">
        <v>223</v>
      </c>
      <c r="E116" s="4878">
        <f>'WS-CO 2017'!H5</f>
        <v>95700</v>
      </c>
      <c r="F116" s="4878">
        <v>250000</v>
      </c>
      <c r="G116" s="4878">
        <v>200000</v>
      </c>
    </row>
    <row r="117" spans="1:7">
      <c r="A117" s="1874"/>
      <c r="B117" s="1212" t="s">
        <v>5015</v>
      </c>
      <c r="C117" s="4889"/>
      <c r="D117" s="4876">
        <v>240</v>
      </c>
      <c r="E117" s="4878">
        <f>'WS-CO 2017'!I5</f>
        <v>0</v>
      </c>
      <c r="F117" s="4878">
        <v>0</v>
      </c>
      <c r="G117" s="4878">
        <v>50000</v>
      </c>
    </row>
    <row r="118" spans="1:7">
      <c r="A118" s="1874"/>
      <c r="B118" s="1212" t="s">
        <v>5016</v>
      </c>
      <c r="C118" s="4889"/>
      <c r="D118" s="4876">
        <v>260</v>
      </c>
      <c r="E118" s="4878" t="e">
        <f>'WS-CO 2017'!#REF!</f>
        <v>#REF!</v>
      </c>
      <c r="F118" s="4878">
        <v>0</v>
      </c>
      <c r="G118" s="4878">
        <v>0</v>
      </c>
    </row>
    <row r="119" spans="1:7">
      <c r="A119" s="1874"/>
      <c r="B119" s="1212" t="s">
        <v>5017</v>
      </c>
      <c r="C119" s="4889"/>
      <c r="D119" s="4876">
        <v>281</v>
      </c>
      <c r="E119" s="4878" t="e">
        <f>'WS-CO 2017'!#REF!</f>
        <v>#REF!</v>
      </c>
      <c r="F119" s="4878">
        <v>0</v>
      </c>
      <c r="G119" s="4878">
        <v>0</v>
      </c>
    </row>
    <row r="120" spans="1:7">
      <c r="A120" s="1874"/>
      <c r="B120" s="1212" t="s">
        <v>9128</v>
      </c>
      <c r="C120" s="4889"/>
      <c r="D120" s="4876"/>
      <c r="E120" s="4878"/>
      <c r="F120" s="4878"/>
      <c r="G120" s="4878">
        <v>250000</v>
      </c>
    </row>
    <row r="121" spans="1:7">
      <c r="A121" s="1874"/>
      <c r="B121" s="4914" t="s">
        <v>9130</v>
      </c>
      <c r="C121" s="1846"/>
      <c r="D121" s="4878"/>
      <c r="E121" s="4878"/>
      <c r="F121" s="4915"/>
      <c r="G121" s="4916">
        <v>150000</v>
      </c>
    </row>
    <row r="122" spans="1:7">
      <c r="A122" s="1874"/>
      <c r="B122" s="4914" t="s">
        <v>9129</v>
      </c>
      <c r="C122" s="1846"/>
      <c r="D122" s="4878"/>
      <c r="E122" s="4878"/>
      <c r="F122" s="4915"/>
      <c r="G122" s="4916">
        <v>212500</v>
      </c>
    </row>
    <row r="123" spans="1:7" s="1812" customFormat="1" ht="21" customHeight="1">
      <c r="A123" s="4917"/>
      <c r="B123" s="2648" t="s">
        <v>37</v>
      </c>
      <c r="C123" s="2652"/>
      <c r="D123" s="4918"/>
      <c r="E123" s="3368" t="e">
        <f>SUM(E110:E122)</f>
        <v>#REF!</v>
      </c>
      <c r="F123" s="4919">
        <f>SUM(F110:F122)</f>
        <v>1000000</v>
      </c>
      <c r="G123" s="4919">
        <f>SUM(G110:G122)</f>
        <v>2412500</v>
      </c>
    </row>
    <row r="124" spans="1:7" s="1812" customFormat="1" ht="24" customHeight="1">
      <c r="A124" s="3366"/>
      <c r="B124" s="2648" t="s">
        <v>37</v>
      </c>
      <c r="C124" s="2652"/>
      <c r="D124" s="3366"/>
      <c r="E124" s="4920" t="e">
        <f>SUM(E38+E108+E123)</f>
        <v>#REF!</v>
      </c>
      <c r="F124" s="4921">
        <f>SUM(F38+F108+F123)</f>
        <v>114930740</v>
      </c>
      <c r="G124" s="4921">
        <f>SUM(G38+G108+G123)</f>
        <v>120278511</v>
      </c>
    </row>
    <row r="125" spans="1:7">
      <c r="A125" s="4922"/>
      <c r="B125" s="4922"/>
      <c r="C125" s="4923"/>
      <c r="D125" s="4922"/>
      <c r="E125" s="4922"/>
      <c r="F125" s="4924"/>
      <c r="G125" s="4924"/>
    </row>
    <row r="126" spans="1:7">
      <c r="A126" s="1212"/>
      <c r="B126" s="1212"/>
      <c r="C126" s="1881"/>
      <c r="D126" s="1212"/>
      <c r="E126" s="1212"/>
      <c r="F126" s="1216"/>
      <c r="G126" s="1216"/>
    </row>
    <row r="127" spans="1:7" s="1265" customFormat="1">
      <c r="A127" s="1212"/>
      <c r="B127" s="1212"/>
      <c r="C127" s="1881"/>
      <c r="D127" s="1212"/>
      <c r="E127" s="1212"/>
      <c r="F127" s="1216"/>
      <c r="G127" s="1216"/>
    </row>
    <row r="128" spans="1:7" s="1265" customFormat="1">
      <c r="A128" s="1212"/>
      <c r="B128" s="1212"/>
      <c r="C128" s="1881"/>
      <c r="D128" s="1212"/>
      <c r="E128" s="1212"/>
      <c r="F128" s="1216"/>
      <c r="G128" s="1216"/>
    </row>
    <row r="129" spans="1:9" s="1265" customFormat="1">
      <c r="A129" s="1212"/>
      <c r="B129" s="1212"/>
      <c r="C129" s="1881"/>
      <c r="D129" s="1212"/>
      <c r="E129" s="1212"/>
      <c r="F129" s="1216"/>
      <c r="G129" s="1216"/>
    </row>
    <row r="130" spans="1:9" ht="14.4" thickBot="1">
      <c r="A130" s="1212" t="s">
        <v>9654</v>
      </c>
      <c r="B130" s="1212"/>
      <c r="C130" s="1881"/>
      <c r="D130" s="1212"/>
      <c r="E130" s="1212"/>
      <c r="F130" s="1212"/>
      <c r="G130" s="2645" t="s">
        <v>9</v>
      </c>
      <c r="I130" s="1845" t="s">
        <v>9</v>
      </c>
    </row>
    <row r="131" spans="1:9">
      <c r="A131" s="4896"/>
      <c r="B131" s="4897"/>
      <c r="C131" s="4898"/>
      <c r="D131" s="4899" t="s">
        <v>9</v>
      </c>
      <c r="E131" s="4900" t="s">
        <v>10</v>
      </c>
      <c r="F131" s="4900" t="s">
        <v>11</v>
      </c>
      <c r="G131" s="4900" t="s">
        <v>12</v>
      </c>
      <c r="I131" s="4901" t="s">
        <v>12</v>
      </c>
    </row>
    <row r="132" spans="1:9">
      <c r="A132" s="1878"/>
      <c r="B132" s="1213" t="s">
        <v>13</v>
      </c>
      <c r="C132" s="4869"/>
      <c r="D132" s="14202" t="s">
        <v>14</v>
      </c>
      <c r="E132" s="4871" t="s">
        <v>15</v>
      </c>
      <c r="F132" s="4871" t="s">
        <v>16</v>
      </c>
      <c r="G132" s="4871" t="s">
        <v>16</v>
      </c>
      <c r="I132" s="4902" t="s">
        <v>16</v>
      </c>
    </row>
    <row r="133" spans="1:9" ht="14.4" thickBot="1">
      <c r="A133" s="4872"/>
      <c r="B133" s="4873"/>
      <c r="C133" s="4874"/>
      <c r="D133" s="14203"/>
      <c r="E133" s="4875">
        <v>2012</v>
      </c>
      <c r="F133" s="4875">
        <v>2013</v>
      </c>
      <c r="G133" s="4875">
        <v>2014</v>
      </c>
      <c r="I133" s="4903">
        <v>2014</v>
      </c>
    </row>
    <row r="134" spans="1:9">
      <c r="A134" s="4896"/>
      <c r="B134" s="4897"/>
      <c r="C134" s="4898"/>
      <c r="D134" s="4925"/>
      <c r="E134" s="4899"/>
      <c r="F134" s="4899"/>
      <c r="G134" s="4899"/>
      <c r="I134" s="4926"/>
    </row>
    <row r="135" spans="1:9">
      <c r="A135" s="4927">
        <v>3</v>
      </c>
      <c r="B135" s="1212" t="s">
        <v>302</v>
      </c>
      <c r="C135" s="1881"/>
      <c r="D135" s="1878"/>
      <c r="E135" s="1875"/>
      <c r="F135" s="4887"/>
      <c r="G135" s="4887"/>
    </row>
    <row r="136" spans="1:9" s="1812" customFormat="1">
      <c r="A136" s="3366"/>
      <c r="B136" s="1811" t="s">
        <v>303</v>
      </c>
      <c r="C136" s="2651"/>
      <c r="D136" s="4918"/>
      <c r="E136" s="3367">
        <v>11968323.880000001</v>
      </c>
      <c r="F136" s="3367">
        <v>12000000</v>
      </c>
      <c r="G136" s="3367">
        <v>12000000</v>
      </c>
    </row>
    <row r="137" spans="1:9" s="4910" customFormat="1">
      <c r="A137" s="4906"/>
      <c r="B137" s="4907" t="s">
        <v>9655</v>
      </c>
      <c r="C137" s="4908">
        <v>500000</v>
      </c>
      <c r="D137" s="4909"/>
      <c r="E137" s="4905"/>
      <c r="F137" s="4905"/>
      <c r="G137" s="4905"/>
      <c r="I137" s="4905"/>
    </row>
    <row r="138" spans="1:9" s="4910" customFormat="1">
      <c r="A138" s="4906"/>
      <c r="B138" s="4907" t="s">
        <v>9656</v>
      </c>
      <c r="D138" s="4909"/>
      <c r="E138" s="4905"/>
      <c r="F138" s="4905"/>
      <c r="G138" s="4905"/>
      <c r="I138" s="4905"/>
    </row>
    <row r="139" spans="1:9" s="4910" customFormat="1">
      <c r="A139" s="4906"/>
      <c r="B139" s="4907"/>
      <c r="C139" s="4908"/>
      <c r="D139" s="4909"/>
      <c r="E139" s="4905"/>
      <c r="F139" s="4905"/>
      <c r="G139" s="4905"/>
      <c r="I139" s="4905"/>
    </row>
    <row r="140" spans="1:9" s="4910" customFormat="1">
      <c r="A140" s="4906"/>
      <c r="B140" s="4907" t="s">
        <v>9638</v>
      </c>
      <c r="C140" s="4908">
        <v>3500000</v>
      </c>
      <c r="D140" s="4909"/>
      <c r="E140" s="4905"/>
      <c r="F140" s="4905"/>
      <c r="G140" s="4905"/>
      <c r="I140" s="4905"/>
    </row>
    <row r="141" spans="1:9" s="4910" customFormat="1">
      <c r="A141" s="4906"/>
      <c r="B141" s="4907" t="s">
        <v>9637</v>
      </c>
      <c r="D141" s="4909"/>
      <c r="E141" s="4905"/>
      <c r="F141" s="4905"/>
      <c r="G141" s="4905"/>
      <c r="I141" s="4905"/>
    </row>
    <row r="142" spans="1:9" s="4910" customFormat="1">
      <c r="A142" s="4906"/>
      <c r="B142" s="4907"/>
      <c r="C142" s="4908"/>
      <c r="D142" s="4909"/>
      <c r="E142" s="4905"/>
      <c r="F142" s="4905"/>
      <c r="G142" s="4905"/>
      <c r="I142" s="4905"/>
    </row>
    <row r="143" spans="1:9" s="4910" customFormat="1">
      <c r="A143" s="4906"/>
      <c r="B143" s="4907" t="s">
        <v>9642</v>
      </c>
      <c r="C143" s="4908">
        <v>2000000</v>
      </c>
      <c r="D143" s="4909"/>
      <c r="E143" s="4905"/>
      <c r="F143" s="4905"/>
      <c r="G143" s="4905"/>
      <c r="I143" s="4905"/>
    </row>
    <row r="144" spans="1:9" s="4910" customFormat="1">
      <c r="A144" s="4906"/>
      <c r="B144" s="4907"/>
      <c r="D144" s="4909"/>
      <c r="E144" s="4905"/>
      <c r="F144" s="4905"/>
      <c r="G144" s="4905"/>
      <c r="I144" s="4905"/>
    </row>
    <row r="145" spans="1:9" s="4910" customFormat="1">
      <c r="A145" s="4906"/>
      <c r="B145" s="4907" t="s">
        <v>9643</v>
      </c>
      <c r="C145" s="4908">
        <v>2000000</v>
      </c>
      <c r="D145" s="4909"/>
      <c r="E145" s="4905"/>
      <c r="F145" s="4905"/>
      <c r="G145" s="4905"/>
      <c r="I145" s="4905"/>
    </row>
    <row r="146" spans="1:9" s="4910" customFormat="1">
      <c r="A146" s="4906"/>
      <c r="B146" s="4907" t="s">
        <v>9644</v>
      </c>
      <c r="C146" s="4908"/>
      <c r="D146" s="4909"/>
      <c r="E146" s="4905"/>
      <c r="F146" s="4905"/>
      <c r="G146" s="4905"/>
      <c r="I146" s="4905"/>
    </row>
    <row r="147" spans="1:9" s="4910" customFormat="1">
      <c r="A147" s="4906"/>
      <c r="B147" s="4907"/>
      <c r="D147" s="4909"/>
      <c r="E147" s="4905"/>
      <c r="F147" s="4905"/>
      <c r="G147" s="4905"/>
      <c r="I147" s="4905"/>
    </row>
    <row r="148" spans="1:9" s="4910" customFormat="1">
      <c r="A148" s="4906"/>
      <c r="B148" s="4907" t="s">
        <v>9649</v>
      </c>
      <c r="C148" s="4908">
        <v>500000</v>
      </c>
      <c r="D148" s="4909"/>
      <c r="E148" s="4905"/>
      <c r="F148" s="4905"/>
      <c r="G148" s="4905"/>
      <c r="I148" s="4905"/>
    </row>
    <row r="149" spans="1:9" s="4910" customFormat="1">
      <c r="A149" s="4906"/>
      <c r="B149" s="4907"/>
      <c r="C149" s="4908"/>
      <c r="D149" s="4909"/>
      <c r="E149" s="4905"/>
      <c r="F149" s="4905"/>
      <c r="G149" s="4905"/>
      <c r="I149" s="4905"/>
    </row>
    <row r="150" spans="1:9" s="4910" customFormat="1">
      <c r="A150" s="4906"/>
      <c r="B150" s="4907" t="s">
        <v>9657</v>
      </c>
      <c r="C150" s="4908"/>
      <c r="D150" s="4909"/>
      <c r="E150" s="4905"/>
      <c r="F150" s="4905"/>
      <c r="G150" s="4905"/>
      <c r="I150" s="4905"/>
    </row>
    <row r="151" spans="1:9" s="4910" customFormat="1">
      <c r="A151" s="4906"/>
      <c r="B151" s="4907" t="s">
        <v>9658</v>
      </c>
      <c r="C151" s="4908"/>
      <c r="D151" s="4909"/>
      <c r="E151" s="4905"/>
      <c r="F151" s="4905"/>
      <c r="G151" s="4905"/>
      <c r="I151" s="4905"/>
    </row>
    <row r="152" spans="1:9" s="4910" customFormat="1">
      <c r="A152" s="4906"/>
      <c r="B152" s="4907"/>
      <c r="C152" s="4908">
        <v>3000000</v>
      </c>
      <c r="D152" s="4909"/>
      <c r="E152" s="4905"/>
      <c r="F152" s="4905"/>
      <c r="G152" s="4905"/>
      <c r="I152" s="4905"/>
    </row>
    <row r="153" spans="1:9" s="4910" customFormat="1">
      <c r="A153" s="4906"/>
      <c r="B153" s="4907"/>
      <c r="C153" s="4908"/>
      <c r="D153" s="4909"/>
      <c r="E153" s="4905"/>
      <c r="F153" s="4905"/>
      <c r="G153" s="4905"/>
      <c r="I153" s="4905"/>
    </row>
    <row r="154" spans="1:9" s="4910" customFormat="1">
      <c r="A154" s="4906"/>
      <c r="B154" s="4907" t="s">
        <v>9653</v>
      </c>
      <c r="C154" s="4908">
        <v>500000</v>
      </c>
      <c r="D154" s="4909"/>
      <c r="E154" s="4905"/>
      <c r="F154" s="4905"/>
      <c r="G154" s="4905"/>
      <c r="I154" s="4905"/>
    </row>
    <row r="155" spans="1:9" s="1812" customFormat="1">
      <c r="A155" s="3366"/>
      <c r="B155" s="1811"/>
      <c r="C155" s="2651"/>
      <c r="D155" s="3366"/>
      <c r="E155" s="3367"/>
      <c r="F155" s="3367"/>
      <c r="G155" s="3367"/>
    </row>
    <row r="156" spans="1:9" s="1265" customFormat="1">
      <c r="A156" s="1878"/>
      <c r="B156" s="1212" t="s">
        <v>4747</v>
      </c>
      <c r="C156" s="1881"/>
      <c r="D156" s="1878"/>
      <c r="E156" s="4887">
        <v>0</v>
      </c>
      <c r="F156" s="4887">
        <v>200000</v>
      </c>
      <c r="G156" s="4887">
        <v>0</v>
      </c>
    </row>
    <row r="157" spans="1:9" s="1265" customFormat="1">
      <c r="A157" s="1878"/>
      <c r="B157" s="1212"/>
      <c r="C157" s="1881"/>
      <c r="D157" s="1878"/>
      <c r="E157" s="4928"/>
      <c r="F157" s="4928"/>
      <c r="G157" s="4928"/>
    </row>
    <row r="158" spans="1:9" s="2649" customFormat="1" ht="23.25" customHeight="1">
      <c r="A158" s="4929"/>
      <c r="B158" s="2648" t="s">
        <v>37</v>
      </c>
      <c r="C158" s="2652"/>
      <c r="D158" s="4929"/>
      <c r="E158" s="4930">
        <f>SUM(E136:E136)</f>
        <v>11968323.880000001</v>
      </c>
      <c r="F158" s="4930">
        <f>SUM(F136:F156)</f>
        <v>12200000</v>
      </c>
      <c r="G158" s="4930">
        <f>SUM(G136:G156)</f>
        <v>12000000</v>
      </c>
    </row>
    <row r="159" spans="1:9" s="1812" customFormat="1">
      <c r="A159" s="3366"/>
      <c r="B159" s="1811"/>
      <c r="C159" s="2651"/>
      <c r="D159" s="3366"/>
      <c r="E159" s="3366"/>
      <c r="F159" s="3367"/>
      <c r="G159" s="3367"/>
    </row>
    <row r="160" spans="1:9" s="1812" customFormat="1" ht="24" customHeight="1">
      <c r="A160" s="2650"/>
      <c r="B160" s="4931" t="s">
        <v>132</v>
      </c>
      <c r="C160" s="4932"/>
      <c r="D160" s="2650"/>
      <c r="E160" s="3368" t="e">
        <f>(E38+E108+E123+E158)</f>
        <v>#REF!</v>
      </c>
      <c r="F160" s="3368">
        <f>(F38+F108+F123+F136)</f>
        <v>126930740</v>
      </c>
      <c r="G160" s="3368">
        <f>(G38+G108+G123+G158)</f>
        <v>132278511</v>
      </c>
    </row>
    <row r="161" spans="1:7" s="1284" customFormat="1" ht="14.4">
      <c r="A161" s="1282" t="s">
        <v>4763</v>
      </c>
      <c r="B161" s="1282"/>
      <c r="C161" s="2646"/>
      <c r="D161" s="1282"/>
      <c r="E161" s="1282"/>
      <c r="F161" s="1282"/>
      <c r="G161" s="1283"/>
    </row>
    <row r="162" spans="1:7" s="1284" customFormat="1" ht="14.4">
      <c r="A162" s="1282"/>
      <c r="B162" s="1282"/>
      <c r="C162" s="2646"/>
      <c r="D162" s="1282"/>
      <c r="E162" s="1282"/>
      <c r="F162" s="1282"/>
      <c r="G162" s="1283"/>
    </row>
    <row r="163" spans="1:7">
      <c r="A163" s="1208" t="s">
        <v>9135</v>
      </c>
      <c r="B163" s="1208"/>
      <c r="C163" s="1881" t="s">
        <v>3484</v>
      </c>
      <c r="D163" s="1208"/>
      <c r="E163" s="1208"/>
      <c r="F163" s="1208" t="s">
        <v>3485</v>
      </c>
      <c r="G163" s="1208"/>
    </row>
    <row r="164" spans="1:7">
      <c r="A164" s="1208"/>
      <c r="B164" s="1208"/>
      <c r="C164" s="1881"/>
      <c r="D164" s="1208"/>
      <c r="E164" s="1208"/>
      <c r="F164" s="1208"/>
      <c r="G164" s="1208"/>
    </row>
    <row r="165" spans="1:7">
      <c r="A165" s="1208"/>
      <c r="B165" s="1208"/>
      <c r="C165" s="1881"/>
      <c r="D165" s="1208"/>
      <c r="E165" s="1208"/>
      <c r="F165" s="1208"/>
      <c r="G165" s="1208"/>
    </row>
    <row r="166" spans="1:7">
      <c r="A166" s="1208"/>
      <c r="B166" s="1208"/>
      <c r="C166" s="1881"/>
      <c r="D166" s="1208"/>
      <c r="E166" s="1208"/>
      <c r="F166" s="1208"/>
      <c r="G166" s="1208"/>
    </row>
    <row r="167" spans="1:7" s="1279" customFormat="1">
      <c r="A167" s="14199" t="s">
        <v>9152</v>
      </c>
      <c r="B167" s="14199"/>
      <c r="C167" s="14204" t="s">
        <v>5050</v>
      </c>
      <c r="D167" s="14204"/>
      <c r="E167" s="14204"/>
      <c r="F167" s="14199" t="s">
        <v>5182</v>
      </c>
      <c r="G167" s="14199"/>
    </row>
    <row r="168" spans="1:7" s="1206" customFormat="1">
      <c r="A168" s="1208"/>
      <c r="B168" s="2644" t="s">
        <v>9153</v>
      </c>
      <c r="C168" s="14200" t="s">
        <v>3486</v>
      </c>
      <c r="D168" s="14200"/>
      <c r="E168" s="14200"/>
      <c r="F168" s="14201" t="s">
        <v>737</v>
      </c>
      <c r="G168" s="14201"/>
    </row>
    <row r="169" spans="1:7">
      <c r="A169" s="1208"/>
      <c r="B169" s="1208"/>
      <c r="C169" s="1881"/>
      <c r="D169" s="1208"/>
      <c r="E169" s="1208"/>
      <c r="F169" s="1208"/>
      <c r="G169" s="1208"/>
    </row>
    <row r="170" spans="1:7">
      <c r="A170" s="1208"/>
      <c r="B170" s="1208"/>
      <c r="C170" s="1881"/>
      <c r="D170" s="1208"/>
      <c r="E170" s="1208"/>
      <c r="F170" s="1208"/>
      <c r="G170" s="1208"/>
    </row>
    <row r="171" spans="1:7">
      <c r="A171" s="1208"/>
      <c r="B171" s="1211"/>
      <c r="C171" s="1882"/>
      <c r="D171" s="1211"/>
      <c r="E171" s="1211"/>
      <c r="F171" s="1211"/>
      <c r="G171" s="1208"/>
    </row>
    <row r="172" spans="1:7">
      <c r="A172" s="1208"/>
      <c r="B172" s="1208"/>
      <c r="C172" s="1881"/>
      <c r="D172" s="1208"/>
      <c r="E172" s="1208"/>
      <c r="F172" s="1208"/>
      <c r="G172" s="1208"/>
    </row>
  </sheetData>
  <mergeCells count="8">
    <mergeCell ref="A167:B167"/>
    <mergeCell ref="C167:E167"/>
    <mergeCell ref="F167:G167"/>
    <mergeCell ref="C168:E168"/>
    <mergeCell ref="F168:G168"/>
    <mergeCell ref="D10:D11"/>
    <mergeCell ref="D67:D68"/>
    <mergeCell ref="D132:D133"/>
  </mergeCells>
  <pageMargins left="0.5" right="0.25" top="0.75" bottom="0.5" header="0.3" footer="0.25"/>
  <pageSetup paperSize="119" scale="95" orientation="portrait" r:id="rId1"/>
</worksheet>
</file>

<file path=xl/worksheets/sheet25.xml><?xml version="1.0" encoding="utf-8"?>
<worksheet xmlns="http://schemas.openxmlformats.org/spreadsheetml/2006/main" xmlns:r="http://schemas.openxmlformats.org/officeDocument/2006/relationships">
  <sheetPr codeName="Sheet54">
    <tabColor rgb="FFFFFF00"/>
  </sheetPr>
  <dimension ref="A1:E28"/>
  <sheetViews>
    <sheetView workbookViewId="0">
      <selection activeCell="A14" sqref="A14"/>
    </sheetView>
  </sheetViews>
  <sheetFormatPr defaultColWidth="9.109375" defaultRowHeight="14.4"/>
  <cols>
    <col min="1" max="1" width="39.44140625" style="818" customWidth="1"/>
    <col min="2" max="2" width="14.109375" style="889" customWidth="1"/>
    <col min="3" max="3" width="15.88671875" style="889" customWidth="1"/>
    <col min="4" max="4" width="13" style="889" customWidth="1"/>
    <col min="5" max="5" width="14.88671875" style="889" customWidth="1"/>
    <col min="6" max="16384" width="9.109375" style="818"/>
  </cols>
  <sheetData>
    <row r="1" spans="1:5" s="881" customFormat="1" ht="28.5" customHeight="1">
      <c r="A1" s="881" t="s">
        <v>3426</v>
      </c>
      <c r="B1" s="884"/>
      <c r="C1" s="884"/>
      <c r="D1" s="884"/>
      <c r="E1" s="884"/>
    </row>
    <row r="2" spans="1:5" s="946" customFormat="1" ht="27" customHeight="1">
      <c r="A2" s="946" t="s">
        <v>4963</v>
      </c>
      <c r="B2" s="952"/>
      <c r="C2" s="952"/>
      <c r="D2" s="952"/>
      <c r="E2" s="952"/>
    </row>
    <row r="3" spans="1:5" s="881" customFormat="1">
      <c r="A3" s="14205" t="s">
        <v>3427</v>
      </c>
      <c r="B3" s="14207" t="s">
        <v>18</v>
      </c>
      <c r="C3" s="14207"/>
      <c r="D3" s="14207"/>
      <c r="E3" s="14208" t="s">
        <v>220</v>
      </c>
    </row>
    <row r="4" spans="1:5" s="1027" customFormat="1" ht="28.8">
      <c r="A4" s="14206"/>
      <c r="B4" s="1002" t="s">
        <v>2151</v>
      </c>
      <c r="C4" s="1002" t="s">
        <v>1973</v>
      </c>
      <c r="D4" s="1002" t="s">
        <v>52</v>
      </c>
      <c r="E4" s="14209"/>
    </row>
    <row r="5" spans="1:5" s="882" customFormat="1">
      <c r="A5" s="1552"/>
      <c r="B5" s="1553"/>
      <c r="C5" s="1553"/>
      <c r="D5" s="1553"/>
      <c r="E5" s="1553"/>
    </row>
    <row r="6" spans="1:5" s="881" customFormat="1">
      <c r="A6" s="883" t="s">
        <v>2048</v>
      </c>
      <c r="B6" s="886">
        <f>'lbpf 3-GO'!K32</f>
        <v>23771366.75</v>
      </c>
      <c r="C6" s="886">
        <f>'lbpf 3-GO'!K106</f>
        <v>119551000</v>
      </c>
      <c r="D6" s="886">
        <f>'lbpf 3-GO'!K120</f>
        <v>900000</v>
      </c>
      <c r="E6" s="886">
        <f>SUM(B6:D6)</f>
        <v>144222366.75</v>
      </c>
    </row>
    <row r="7" spans="1:5" s="881" customFormat="1">
      <c r="A7" s="1558"/>
      <c r="B7" s="1560"/>
      <c r="C7" s="1560"/>
      <c r="D7" s="1560"/>
      <c r="E7" s="1560"/>
    </row>
    <row r="8" spans="1:5" s="1130" customFormat="1">
      <c r="A8" s="1554" t="s">
        <v>4964</v>
      </c>
      <c r="B8" s="1555"/>
      <c r="C8" s="1555"/>
      <c r="D8" s="1555"/>
      <c r="E8" s="1555"/>
    </row>
    <row r="9" spans="1:5">
      <c r="A9" s="879" t="s">
        <v>4965</v>
      </c>
      <c r="B9" s="887"/>
      <c r="C9" s="887"/>
      <c r="D9" s="887"/>
      <c r="E9" s="887">
        <f>SUM(B9:D9)</f>
        <v>0</v>
      </c>
    </row>
    <row r="10" spans="1:5">
      <c r="A10" s="1007" t="s">
        <v>9690</v>
      </c>
      <c r="B10" s="945"/>
      <c r="C10" s="945"/>
      <c r="D10" s="945"/>
      <c r="E10" s="887"/>
    </row>
    <row r="11" spans="1:5">
      <c r="A11" s="1007" t="s">
        <v>9691</v>
      </c>
      <c r="B11" s="945"/>
      <c r="C11" s="945"/>
      <c r="D11" s="945"/>
      <c r="E11" s="887"/>
    </row>
    <row r="12" spans="1:5">
      <c r="A12" s="1007"/>
      <c r="B12" s="945"/>
      <c r="C12" s="945"/>
      <c r="D12" s="945"/>
      <c r="E12" s="887"/>
    </row>
    <row r="13" spans="1:5">
      <c r="A13" s="1007"/>
      <c r="B13" s="945"/>
      <c r="C13" s="945"/>
      <c r="D13" s="945"/>
      <c r="E13" s="887"/>
    </row>
    <row r="14" spans="1:5">
      <c r="A14" s="1007"/>
      <c r="B14" s="945"/>
      <c r="C14" s="945"/>
      <c r="D14" s="945"/>
      <c r="E14" s="887"/>
    </row>
    <row r="15" spans="1:5">
      <c r="A15" s="879"/>
      <c r="B15" s="887"/>
      <c r="C15" s="887"/>
      <c r="D15" s="887"/>
      <c r="E15" s="887"/>
    </row>
    <row r="16" spans="1:5">
      <c r="A16" s="1556"/>
      <c r="B16" s="1557"/>
      <c r="C16" s="1557"/>
      <c r="D16" s="1557"/>
      <c r="E16" s="1557"/>
    </row>
    <row r="17" spans="1:5" s="881" customFormat="1">
      <c r="A17" s="1558" t="s">
        <v>3429</v>
      </c>
      <c r="B17" s="1560"/>
      <c r="C17" s="1560"/>
      <c r="D17" s="1560"/>
      <c r="E17" s="1560">
        <f>SUM(B17:D17)</f>
        <v>0</v>
      </c>
    </row>
    <row r="18" spans="1:5">
      <c r="A18" s="1558"/>
      <c r="B18" s="1559"/>
      <c r="C18" s="1559"/>
      <c r="D18" s="1559"/>
      <c r="E18" s="1559"/>
    </row>
    <row r="19" spans="1:5">
      <c r="A19" s="879" t="s">
        <v>3068</v>
      </c>
      <c r="B19" s="887"/>
      <c r="C19" s="887"/>
      <c r="D19" s="887"/>
      <c r="E19" s="887">
        <f>'lbpf 3-GO'!K129</f>
        <v>48900000</v>
      </c>
    </row>
    <row r="20" spans="1:5">
      <c r="A20" s="879"/>
      <c r="B20" s="887"/>
      <c r="C20" s="887"/>
      <c r="D20" s="887"/>
      <c r="E20" s="887">
        <f>SUM(B20:D20)</f>
        <v>0</v>
      </c>
    </row>
    <row r="21" spans="1:5">
      <c r="A21" s="879"/>
      <c r="B21" s="887"/>
      <c r="C21" s="887"/>
      <c r="D21" s="887"/>
      <c r="E21" s="887">
        <f>SUM(B21:D21)</f>
        <v>0</v>
      </c>
    </row>
    <row r="22" spans="1:5">
      <c r="A22" s="1286"/>
      <c r="B22" s="1287"/>
      <c r="C22" s="1287"/>
      <c r="D22" s="1287"/>
      <c r="E22" s="1287"/>
    </row>
    <row r="23" spans="1:5">
      <c r="A23" s="1286"/>
      <c r="B23" s="1287"/>
      <c r="C23" s="1287"/>
      <c r="D23" s="1287"/>
      <c r="E23" s="1287"/>
    </row>
    <row r="24" spans="1:5">
      <c r="A24" s="1286"/>
      <c r="B24" s="1287"/>
      <c r="C24" s="1287"/>
      <c r="D24" s="1287"/>
      <c r="E24" s="1287"/>
    </row>
    <row r="25" spans="1:5">
      <c r="A25" s="1286"/>
      <c r="B25" s="1287"/>
      <c r="C25" s="1287"/>
      <c r="D25" s="1287"/>
      <c r="E25" s="1287"/>
    </row>
    <row r="26" spans="1:5">
      <c r="A26" s="1286"/>
      <c r="B26" s="1287"/>
      <c r="C26" s="1287"/>
      <c r="D26" s="1287"/>
      <c r="E26" s="1287"/>
    </row>
    <row r="27" spans="1:5">
      <c r="A27" s="879"/>
      <c r="B27" s="887"/>
      <c r="C27" s="887"/>
      <c r="D27" s="887"/>
      <c r="E27" s="887"/>
    </row>
    <row r="28" spans="1:5" s="881" customFormat="1">
      <c r="A28" s="891" t="s">
        <v>2850</v>
      </c>
      <c r="B28" s="892">
        <f>SUM(B6:B27)</f>
        <v>23771366.75</v>
      </c>
      <c r="C28" s="892">
        <f>SUM(C6:C27)</f>
        <v>119551000</v>
      </c>
      <c r="D28" s="892">
        <f>SUM(D6:D27)</f>
        <v>900000</v>
      </c>
      <c r="E28" s="892">
        <f>SUM(E6:E27)</f>
        <v>193122366.75</v>
      </c>
    </row>
  </sheetData>
  <mergeCells count="3">
    <mergeCell ref="A3:A4"/>
    <mergeCell ref="B3:D3"/>
    <mergeCell ref="E3:E4"/>
  </mergeCells>
  <printOptions horizontalCentered="1"/>
  <pageMargins left="0.5" right="0.25" top="0.75" bottom="0.5" header="0.3" footer="0.25"/>
  <pageSetup paperSize="119" firstPageNumber="19" orientation="portrait" useFirstPageNumber="1" verticalDpi="300" r:id="rId1"/>
</worksheet>
</file>

<file path=xl/worksheets/sheet26.xml><?xml version="1.0" encoding="utf-8"?>
<worksheet xmlns="http://schemas.openxmlformats.org/spreadsheetml/2006/main" xmlns:r="http://schemas.openxmlformats.org/officeDocument/2006/relationships">
  <sheetPr codeName="Sheet10">
    <tabColor rgb="FFFFFF00"/>
  </sheetPr>
  <dimension ref="A1:J106"/>
  <sheetViews>
    <sheetView workbookViewId="0">
      <selection activeCell="H15" sqref="H15"/>
    </sheetView>
  </sheetViews>
  <sheetFormatPr defaultRowHeight="14.4" customHeight="1"/>
  <cols>
    <col min="1" max="1" width="35.5546875" style="7165" customWidth="1"/>
    <col min="2" max="2" width="8.5546875" style="7195" customWidth="1"/>
    <col min="3" max="3" width="8.5546875" style="7165" customWidth="1"/>
    <col min="4" max="6" width="14.5546875" style="7165" customWidth="1"/>
    <col min="7" max="7" width="8.88671875" style="7196" customWidth="1"/>
    <col min="8" max="8" width="13.88671875" style="7165" customWidth="1"/>
    <col min="9" max="9" width="11.6640625" style="7165" customWidth="1"/>
    <col min="10" max="10" width="16.109375" style="7165" customWidth="1"/>
    <col min="11" max="15" width="8.88671875" style="7165" customWidth="1"/>
    <col min="16" max="256" width="9.109375" style="7165"/>
    <col min="257" max="257" width="31.109375" style="7165" customWidth="1"/>
    <col min="258" max="258" width="8.88671875" style="7165" customWidth="1"/>
    <col min="259" max="259" width="8.44140625" style="7165" customWidth="1"/>
    <col min="260" max="260" width="9.88671875" style="7165" customWidth="1"/>
    <col min="261" max="261" width="13.88671875" style="7165" customWidth="1"/>
    <col min="262" max="262" width="14.109375" style="7165" customWidth="1"/>
    <col min="263" max="263" width="4.88671875" style="7165" customWidth="1"/>
    <col min="264" max="264" width="6.109375" style="7165" customWidth="1"/>
    <col min="265" max="265" width="7" style="7165" customWidth="1"/>
    <col min="266" max="512" width="9.109375" style="7165"/>
    <col min="513" max="513" width="31.109375" style="7165" customWidth="1"/>
    <col min="514" max="514" width="8.88671875" style="7165" customWidth="1"/>
    <col min="515" max="515" width="8.44140625" style="7165" customWidth="1"/>
    <col min="516" max="516" width="9.88671875" style="7165" customWidth="1"/>
    <col min="517" max="517" width="13.88671875" style="7165" customWidth="1"/>
    <col min="518" max="518" width="14.109375" style="7165" customWidth="1"/>
    <col min="519" max="519" width="4.88671875" style="7165" customWidth="1"/>
    <col min="520" max="520" width="6.109375" style="7165" customWidth="1"/>
    <col min="521" max="521" width="7" style="7165" customWidth="1"/>
    <col min="522" max="768" width="9.109375" style="7165"/>
    <col min="769" max="769" width="31.109375" style="7165" customWidth="1"/>
    <col min="770" max="770" width="8.88671875" style="7165" customWidth="1"/>
    <col min="771" max="771" width="8.44140625" style="7165" customWidth="1"/>
    <col min="772" max="772" width="9.88671875" style="7165" customWidth="1"/>
    <col min="773" max="773" width="13.88671875" style="7165" customWidth="1"/>
    <col min="774" max="774" width="14.109375" style="7165" customWidth="1"/>
    <col min="775" max="775" width="4.88671875" style="7165" customWidth="1"/>
    <col min="776" max="776" width="6.109375" style="7165" customWidth="1"/>
    <col min="777" max="777" width="7" style="7165" customWidth="1"/>
    <col min="778" max="1024" width="9.109375" style="7165"/>
    <col min="1025" max="1025" width="31.109375" style="7165" customWidth="1"/>
    <col min="1026" max="1026" width="8.88671875" style="7165" customWidth="1"/>
    <col min="1027" max="1027" width="8.44140625" style="7165" customWidth="1"/>
    <col min="1028" max="1028" width="9.88671875" style="7165" customWidth="1"/>
    <col min="1029" max="1029" width="13.88671875" style="7165" customWidth="1"/>
    <col min="1030" max="1030" width="14.109375" style="7165" customWidth="1"/>
    <col min="1031" max="1031" width="4.88671875" style="7165" customWidth="1"/>
    <col min="1032" max="1032" width="6.109375" style="7165" customWidth="1"/>
    <col min="1033" max="1033" width="7" style="7165" customWidth="1"/>
    <col min="1034" max="1280" width="9.109375" style="7165"/>
    <col min="1281" max="1281" width="31.109375" style="7165" customWidth="1"/>
    <col min="1282" max="1282" width="8.88671875" style="7165" customWidth="1"/>
    <col min="1283" max="1283" width="8.44140625" style="7165" customWidth="1"/>
    <col min="1284" max="1284" width="9.88671875" style="7165" customWidth="1"/>
    <col min="1285" max="1285" width="13.88671875" style="7165" customWidth="1"/>
    <col min="1286" max="1286" width="14.109375" style="7165" customWidth="1"/>
    <col min="1287" max="1287" width="4.88671875" style="7165" customWidth="1"/>
    <col min="1288" max="1288" width="6.109375" style="7165" customWidth="1"/>
    <col min="1289" max="1289" width="7" style="7165" customWidth="1"/>
    <col min="1290" max="1536" width="9.109375" style="7165"/>
    <col min="1537" max="1537" width="31.109375" style="7165" customWidth="1"/>
    <col min="1538" max="1538" width="8.88671875" style="7165" customWidth="1"/>
    <col min="1539" max="1539" width="8.44140625" style="7165" customWidth="1"/>
    <col min="1540" max="1540" width="9.88671875" style="7165" customWidth="1"/>
    <col min="1541" max="1541" width="13.88671875" style="7165" customWidth="1"/>
    <col min="1542" max="1542" width="14.109375" style="7165" customWidth="1"/>
    <col min="1543" max="1543" width="4.88671875" style="7165" customWidth="1"/>
    <col min="1544" max="1544" width="6.109375" style="7165" customWidth="1"/>
    <col min="1545" max="1545" width="7" style="7165" customWidth="1"/>
    <col min="1546" max="1792" width="9.109375" style="7165"/>
    <col min="1793" max="1793" width="31.109375" style="7165" customWidth="1"/>
    <col min="1794" max="1794" width="8.88671875" style="7165" customWidth="1"/>
    <col min="1795" max="1795" width="8.44140625" style="7165" customWidth="1"/>
    <col min="1796" max="1796" width="9.88671875" style="7165" customWidth="1"/>
    <col min="1797" max="1797" width="13.88671875" style="7165" customWidth="1"/>
    <col min="1798" max="1798" width="14.109375" style="7165" customWidth="1"/>
    <col min="1799" max="1799" width="4.88671875" style="7165" customWidth="1"/>
    <col min="1800" max="1800" width="6.109375" style="7165" customWidth="1"/>
    <col min="1801" max="1801" width="7" style="7165" customWidth="1"/>
    <col min="1802" max="2048" width="9.109375" style="7165"/>
    <col min="2049" max="2049" width="31.109375" style="7165" customWidth="1"/>
    <col min="2050" max="2050" width="8.88671875" style="7165" customWidth="1"/>
    <col min="2051" max="2051" width="8.44140625" style="7165" customWidth="1"/>
    <col min="2052" max="2052" width="9.88671875" style="7165" customWidth="1"/>
    <col min="2053" max="2053" width="13.88671875" style="7165" customWidth="1"/>
    <col min="2054" max="2054" width="14.109375" style="7165" customWidth="1"/>
    <col min="2055" max="2055" width="4.88671875" style="7165" customWidth="1"/>
    <col min="2056" max="2056" width="6.109375" style="7165" customWidth="1"/>
    <col min="2057" max="2057" width="7" style="7165" customWidth="1"/>
    <col min="2058" max="2304" width="9.109375" style="7165"/>
    <col min="2305" max="2305" width="31.109375" style="7165" customWidth="1"/>
    <col min="2306" max="2306" width="8.88671875" style="7165" customWidth="1"/>
    <col min="2307" max="2307" width="8.44140625" style="7165" customWidth="1"/>
    <col min="2308" max="2308" width="9.88671875" style="7165" customWidth="1"/>
    <col min="2309" max="2309" width="13.88671875" style="7165" customWidth="1"/>
    <col min="2310" max="2310" width="14.109375" style="7165" customWidth="1"/>
    <col min="2311" max="2311" width="4.88671875" style="7165" customWidth="1"/>
    <col min="2312" max="2312" width="6.109375" style="7165" customWidth="1"/>
    <col min="2313" max="2313" width="7" style="7165" customWidth="1"/>
    <col min="2314" max="2560" width="9.109375" style="7165"/>
    <col min="2561" max="2561" width="31.109375" style="7165" customWidth="1"/>
    <col min="2562" max="2562" width="8.88671875" style="7165" customWidth="1"/>
    <col min="2563" max="2563" width="8.44140625" style="7165" customWidth="1"/>
    <col min="2564" max="2564" width="9.88671875" style="7165" customWidth="1"/>
    <col min="2565" max="2565" width="13.88671875" style="7165" customWidth="1"/>
    <col min="2566" max="2566" width="14.109375" style="7165" customWidth="1"/>
    <col min="2567" max="2567" width="4.88671875" style="7165" customWidth="1"/>
    <col min="2568" max="2568" width="6.109375" style="7165" customWidth="1"/>
    <col min="2569" max="2569" width="7" style="7165" customWidth="1"/>
    <col min="2570" max="2816" width="9.109375" style="7165"/>
    <col min="2817" max="2817" width="31.109375" style="7165" customWidth="1"/>
    <col min="2818" max="2818" width="8.88671875" style="7165" customWidth="1"/>
    <col min="2819" max="2819" width="8.44140625" style="7165" customWidth="1"/>
    <col min="2820" max="2820" width="9.88671875" style="7165" customWidth="1"/>
    <col min="2821" max="2821" width="13.88671875" style="7165" customWidth="1"/>
    <col min="2822" max="2822" width="14.109375" style="7165" customWidth="1"/>
    <col min="2823" max="2823" width="4.88671875" style="7165" customWidth="1"/>
    <col min="2824" max="2824" width="6.109375" style="7165" customWidth="1"/>
    <col min="2825" max="2825" width="7" style="7165" customWidth="1"/>
    <col min="2826" max="3072" width="9.109375" style="7165"/>
    <col min="3073" max="3073" width="31.109375" style="7165" customWidth="1"/>
    <col min="3074" max="3074" width="8.88671875" style="7165" customWidth="1"/>
    <col min="3075" max="3075" width="8.44140625" style="7165" customWidth="1"/>
    <col min="3076" max="3076" width="9.88671875" style="7165" customWidth="1"/>
    <col min="3077" max="3077" width="13.88671875" style="7165" customWidth="1"/>
    <col min="3078" max="3078" width="14.109375" style="7165" customWidth="1"/>
    <col min="3079" max="3079" width="4.88671875" style="7165" customWidth="1"/>
    <col min="3080" max="3080" width="6.109375" style="7165" customWidth="1"/>
    <col min="3081" max="3081" width="7" style="7165" customWidth="1"/>
    <col min="3082" max="3328" width="9.109375" style="7165"/>
    <col min="3329" max="3329" width="31.109375" style="7165" customWidth="1"/>
    <col min="3330" max="3330" width="8.88671875" style="7165" customWidth="1"/>
    <col min="3331" max="3331" width="8.44140625" style="7165" customWidth="1"/>
    <col min="3332" max="3332" width="9.88671875" style="7165" customWidth="1"/>
    <col min="3333" max="3333" width="13.88671875" style="7165" customWidth="1"/>
    <col min="3334" max="3334" width="14.109375" style="7165" customWidth="1"/>
    <col min="3335" max="3335" width="4.88671875" style="7165" customWidth="1"/>
    <col min="3336" max="3336" width="6.109375" style="7165" customWidth="1"/>
    <col min="3337" max="3337" width="7" style="7165" customWidth="1"/>
    <col min="3338" max="3584" width="9.109375" style="7165"/>
    <col min="3585" max="3585" width="31.109375" style="7165" customWidth="1"/>
    <col min="3586" max="3586" width="8.88671875" style="7165" customWidth="1"/>
    <col min="3587" max="3587" width="8.44140625" style="7165" customWidth="1"/>
    <col min="3588" max="3588" width="9.88671875" style="7165" customWidth="1"/>
    <col min="3589" max="3589" width="13.88671875" style="7165" customWidth="1"/>
    <col min="3590" max="3590" width="14.109375" style="7165" customWidth="1"/>
    <col min="3591" max="3591" width="4.88671875" style="7165" customWidth="1"/>
    <col min="3592" max="3592" width="6.109375" style="7165" customWidth="1"/>
    <col min="3593" max="3593" width="7" style="7165" customWidth="1"/>
    <col min="3594" max="3840" width="9.109375" style="7165"/>
    <col min="3841" max="3841" width="31.109375" style="7165" customWidth="1"/>
    <col min="3842" max="3842" width="8.88671875" style="7165" customWidth="1"/>
    <col min="3843" max="3843" width="8.44140625" style="7165" customWidth="1"/>
    <col min="3844" max="3844" width="9.88671875" style="7165" customWidth="1"/>
    <col min="3845" max="3845" width="13.88671875" style="7165" customWidth="1"/>
    <col min="3846" max="3846" width="14.109375" style="7165" customWidth="1"/>
    <col min="3847" max="3847" width="4.88671875" style="7165" customWidth="1"/>
    <col min="3848" max="3848" width="6.109375" style="7165" customWidth="1"/>
    <col min="3849" max="3849" width="7" style="7165" customWidth="1"/>
    <col min="3850" max="4096" width="9.109375" style="7165"/>
    <col min="4097" max="4097" width="31.109375" style="7165" customWidth="1"/>
    <col min="4098" max="4098" width="8.88671875" style="7165" customWidth="1"/>
    <col min="4099" max="4099" width="8.44140625" style="7165" customWidth="1"/>
    <col min="4100" max="4100" width="9.88671875" style="7165" customWidth="1"/>
    <col min="4101" max="4101" width="13.88671875" style="7165" customWidth="1"/>
    <col min="4102" max="4102" width="14.109375" style="7165" customWidth="1"/>
    <col min="4103" max="4103" width="4.88671875" style="7165" customWidth="1"/>
    <col min="4104" max="4104" width="6.109375" style="7165" customWidth="1"/>
    <col min="4105" max="4105" width="7" style="7165" customWidth="1"/>
    <col min="4106" max="4352" width="9.109375" style="7165"/>
    <col min="4353" max="4353" width="31.109375" style="7165" customWidth="1"/>
    <col min="4354" max="4354" width="8.88671875" style="7165" customWidth="1"/>
    <col min="4355" max="4355" width="8.44140625" style="7165" customWidth="1"/>
    <col min="4356" max="4356" width="9.88671875" style="7165" customWidth="1"/>
    <col min="4357" max="4357" width="13.88671875" style="7165" customWidth="1"/>
    <col min="4358" max="4358" width="14.109375" style="7165" customWidth="1"/>
    <col min="4359" max="4359" width="4.88671875" style="7165" customWidth="1"/>
    <col min="4360" max="4360" width="6.109375" style="7165" customWidth="1"/>
    <col min="4361" max="4361" width="7" style="7165" customWidth="1"/>
    <col min="4362" max="4608" width="9.109375" style="7165"/>
    <col min="4609" max="4609" width="31.109375" style="7165" customWidth="1"/>
    <col min="4610" max="4610" width="8.88671875" style="7165" customWidth="1"/>
    <col min="4611" max="4611" width="8.44140625" style="7165" customWidth="1"/>
    <col min="4612" max="4612" width="9.88671875" style="7165" customWidth="1"/>
    <col min="4613" max="4613" width="13.88671875" style="7165" customWidth="1"/>
    <col min="4614" max="4614" width="14.109375" style="7165" customWidth="1"/>
    <col min="4615" max="4615" width="4.88671875" style="7165" customWidth="1"/>
    <col min="4616" max="4616" width="6.109375" style="7165" customWidth="1"/>
    <col min="4617" max="4617" width="7" style="7165" customWidth="1"/>
    <col min="4618" max="4864" width="9.109375" style="7165"/>
    <col min="4865" max="4865" width="31.109375" style="7165" customWidth="1"/>
    <col min="4866" max="4866" width="8.88671875" style="7165" customWidth="1"/>
    <col min="4867" max="4867" width="8.44140625" style="7165" customWidth="1"/>
    <col min="4868" max="4868" width="9.88671875" style="7165" customWidth="1"/>
    <col min="4869" max="4869" width="13.88671875" style="7165" customWidth="1"/>
    <col min="4870" max="4870" width="14.109375" style="7165" customWidth="1"/>
    <col min="4871" max="4871" width="4.88671875" style="7165" customWidth="1"/>
    <col min="4872" max="4872" width="6.109375" style="7165" customWidth="1"/>
    <col min="4873" max="4873" width="7" style="7165" customWidth="1"/>
    <col min="4874" max="5120" width="9.109375" style="7165"/>
    <col min="5121" max="5121" width="31.109375" style="7165" customWidth="1"/>
    <col min="5122" max="5122" width="8.88671875" style="7165" customWidth="1"/>
    <col min="5123" max="5123" width="8.44140625" style="7165" customWidth="1"/>
    <col min="5124" max="5124" width="9.88671875" style="7165" customWidth="1"/>
    <col min="5125" max="5125" width="13.88671875" style="7165" customWidth="1"/>
    <col min="5126" max="5126" width="14.109375" style="7165" customWidth="1"/>
    <col min="5127" max="5127" width="4.88671875" style="7165" customWidth="1"/>
    <col min="5128" max="5128" width="6.109375" style="7165" customWidth="1"/>
    <col min="5129" max="5129" width="7" style="7165" customWidth="1"/>
    <col min="5130" max="5376" width="9.109375" style="7165"/>
    <col min="5377" max="5377" width="31.109375" style="7165" customWidth="1"/>
    <col min="5378" max="5378" width="8.88671875" style="7165" customWidth="1"/>
    <col min="5379" max="5379" width="8.44140625" style="7165" customWidth="1"/>
    <col min="5380" max="5380" width="9.88671875" style="7165" customWidth="1"/>
    <col min="5381" max="5381" width="13.88671875" style="7165" customWidth="1"/>
    <col min="5382" max="5382" width="14.109375" style="7165" customWidth="1"/>
    <col min="5383" max="5383" width="4.88671875" style="7165" customWidth="1"/>
    <col min="5384" max="5384" width="6.109375" style="7165" customWidth="1"/>
    <col min="5385" max="5385" width="7" style="7165" customWidth="1"/>
    <col min="5386" max="5632" width="9.109375" style="7165"/>
    <col min="5633" max="5633" width="31.109375" style="7165" customWidth="1"/>
    <col min="5634" max="5634" width="8.88671875" style="7165" customWidth="1"/>
    <col min="5635" max="5635" width="8.44140625" style="7165" customWidth="1"/>
    <col min="5636" max="5636" width="9.88671875" style="7165" customWidth="1"/>
    <col min="5637" max="5637" width="13.88671875" style="7165" customWidth="1"/>
    <col min="5638" max="5638" width="14.109375" style="7165" customWidth="1"/>
    <col min="5639" max="5639" width="4.88671875" style="7165" customWidth="1"/>
    <col min="5640" max="5640" width="6.109375" style="7165" customWidth="1"/>
    <col min="5641" max="5641" width="7" style="7165" customWidth="1"/>
    <col min="5642" max="5888" width="9.109375" style="7165"/>
    <col min="5889" max="5889" width="31.109375" style="7165" customWidth="1"/>
    <col min="5890" max="5890" width="8.88671875" style="7165" customWidth="1"/>
    <col min="5891" max="5891" width="8.44140625" style="7165" customWidth="1"/>
    <col min="5892" max="5892" width="9.88671875" style="7165" customWidth="1"/>
    <col min="5893" max="5893" width="13.88671875" style="7165" customWidth="1"/>
    <col min="5894" max="5894" width="14.109375" style="7165" customWidth="1"/>
    <col min="5895" max="5895" width="4.88671875" style="7165" customWidth="1"/>
    <col min="5896" max="5896" width="6.109375" style="7165" customWidth="1"/>
    <col min="5897" max="5897" width="7" style="7165" customWidth="1"/>
    <col min="5898" max="6144" width="9.109375" style="7165"/>
    <col min="6145" max="6145" width="31.109375" style="7165" customWidth="1"/>
    <col min="6146" max="6146" width="8.88671875" style="7165" customWidth="1"/>
    <col min="6147" max="6147" width="8.44140625" style="7165" customWidth="1"/>
    <col min="6148" max="6148" width="9.88671875" style="7165" customWidth="1"/>
    <col min="6149" max="6149" width="13.88671875" style="7165" customWidth="1"/>
    <col min="6150" max="6150" width="14.109375" style="7165" customWidth="1"/>
    <col min="6151" max="6151" width="4.88671875" style="7165" customWidth="1"/>
    <col min="6152" max="6152" width="6.109375" style="7165" customWidth="1"/>
    <col min="6153" max="6153" width="7" style="7165" customWidth="1"/>
    <col min="6154" max="6400" width="9.109375" style="7165"/>
    <col min="6401" max="6401" width="31.109375" style="7165" customWidth="1"/>
    <col min="6402" max="6402" width="8.88671875" style="7165" customWidth="1"/>
    <col min="6403" max="6403" width="8.44140625" style="7165" customWidth="1"/>
    <col min="6404" max="6404" width="9.88671875" style="7165" customWidth="1"/>
    <col min="6405" max="6405" width="13.88671875" style="7165" customWidth="1"/>
    <col min="6406" max="6406" width="14.109375" style="7165" customWidth="1"/>
    <col min="6407" max="6407" width="4.88671875" style="7165" customWidth="1"/>
    <col min="6408" max="6408" width="6.109375" style="7165" customWidth="1"/>
    <col min="6409" max="6409" width="7" style="7165" customWidth="1"/>
    <col min="6410" max="6656" width="9.109375" style="7165"/>
    <col min="6657" max="6657" width="31.109375" style="7165" customWidth="1"/>
    <col min="6658" max="6658" width="8.88671875" style="7165" customWidth="1"/>
    <col min="6659" max="6659" width="8.44140625" style="7165" customWidth="1"/>
    <col min="6660" max="6660" width="9.88671875" style="7165" customWidth="1"/>
    <col min="6661" max="6661" width="13.88671875" style="7165" customWidth="1"/>
    <col min="6662" max="6662" width="14.109375" style="7165" customWidth="1"/>
    <col min="6663" max="6663" width="4.88671875" style="7165" customWidth="1"/>
    <col min="6664" max="6664" width="6.109375" style="7165" customWidth="1"/>
    <col min="6665" max="6665" width="7" style="7165" customWidth="1"/>
    <col min="6666" max="6912" width="9.109375" style="7165"/>
    <col min="6913" max="6913" width="31.109375" style="7165" customWidth="1"/>
    <col min="6914" max="6914" width="8.88671875" style="7165" customWidth="1"/>
    <col min="6915" max="6915" width="8.44140625" style="7165" customWidth="1"/>
    <col min="6916" max="6916" width="9.88671875" style="7165" customWidth="1"/>
    <col min="6917" max="6917" width="13.88671875" style="7165" customWidth="1"/>
    <col min="6918" max="6918" width="14.109375" style="7165" customWidth="1"/>
    <col min="6919" max="6919" width="4.88671875" style="7165" customWidth="1"/>
    <col min="6920" max="6920" width="6.109375" style="7165" customWidth="1"/>
    <col min="6921" max="6921" width="7" style="7165" customWidth="1"/>
    <col min="6922" max="7168" width="9.109375" style="7165"/>
    <col min="7169" max="7169" width="31.109375" style="7165" customWidth="1"/>
    <col min="7170" max="7170" width="8.88671875" style="7165" customWidth="1"/>
    <col min="7171" max="7171" width="8.44140625" style="7165" customWidth="1"/>
    <col min="7172" max="7172" width="9.88671875" style="7165" customWidth="1"/>
    <col min="7173" max="7173" width="13.88671875" style="7165" customWidth="1"/>
    <col min="7174" max="7174" width="14.109375" style="7165" customWidth="1"/>
    <col min="7175" max="7175" width="4.88671875" style="7165" customWidth="1"/>
    <col min="7176" max="7176" width="6.109375" style="7165" customWidth="1"/>
    <col min="7177" max="7177" width="7" style="7165" customWidth="1"/>
    <col min="7178" max="7424" width="9.109375" style="7165"/>
    <col min="7425" max="7425" width="31.109375" style="7165" customWidth="1"/>
    <col min="7426" max="7426" width="8.88671875" style="7165" customWidth="1"/>
    <col min="7427" max="7427" width="8.44140625" style="7165" customWidth="1"/>
    <col min="7428" max="7428" width="9.88671875" style="7165" customWidth="1"/>
    <col min="7429" max="7429" width="13.88671875" style="7165" customWidth="1"/>
    <col min="7430" max="7430" width="14.109375" style="7165" customWidth="1"/>
    <col min="7431" max="7431" width="4.88671875" style="7165" customWidth="1"/>
    <col min="7432" max="7432" width="6.109375" style="7165" customWidth="1"/>
    <col min="7433" max="7433" width="7" style="7165" customWidth="1"/>
    <col min="7434" max="7680" width="9.109375" style="7165"/>
    <col min="7681" max="7681" width="31.109375" style="7165" customWidth="1"/>
    <col min="7682" max="7682" width="8.88671875" style="7165" customWidth="1"/>
    <col min="7683" max="7683" width="8.44140625" style="7165" customWidth="1"/>
    <col min="7684" max="7684" width="9.88671875" style="7165" customWidth="1"/>
    <col min="7685" max="7685" width="13.88671875" style="7165" customWidth="1"/>
    <col min="7686" max="7686" width="14.109375" style="7165" customWidth="1"/>
    <col min="7687" max="7687" width="4.88671875" style="7165" customWidth="1"/>
    <col min="7688" max="7688" width="6.109375" style="7165" customWidth="1"/>
    <col min="7689" max="7689" width="7" style="7165" customWidth="1"/>
    <col min="7690" max="7936" width="9.109375" style="7165"/>
    <col min="7937" max="7937" width="31.109375" style="7165" customWidth="1"/>
    <col min="7938" max="7938" width="8.88671875" style="7165" customWidth="1"/>
    <col min="7939" max="7939" width="8.44140625" style="7165" customWidth="1"/>
    <col min="7940" max="7940" width="9.88671875" style="7165" customWidth="1"/>
    <col min="7941" max="7941" width="13.88671875" style="7165" customWidth="1"/>
    <col min="7942" max="7942" width="14.109375" style="7165" customWidth="1"/>
    <col min="7943" max="7943" width="4.88671875" style="7165" customWidth="1"/>
    <col min="7944" max="7944" width="6.109375" style="7165" customWidth="1"/>
    <col min="7945" max="7945" width="7" style="7165" customWidth="1"/>
    <col min="7946" max="8192" width="9.109375" style="7165"/>
    <col min="8193" max="8193" width="31.109375" style="7165" customWidth="1"/>
    <col min="8194" max="8194" width="8.88671875" style="7165" customWidth="1"/>
    <col min="8195" max="8195" width="8.44140625" style="7165" customWidth="1"/>
    <col min="8196" max="8196" width="9.88671875" style="7165" customWidth="1"/>
    <col min="8197" max="8197" width="13.88671875" style="7165" customWidth="1"/>
    <col min="8198" max="8198" width="14.109375" style="7165" customWidth="1"/>
    <col min="8199" max="8199" width="4.88671875" style="7165" customWidth="1"/>
    <col min="8200" max="8200" width="6.109375" style="7165" customWidth="1"/>
    <col min="8201" max="8201" width="7" style="7165" customWidth="1"/>
    <col min="8202" max="8448" width="9.109375" style="7165"/>
    <col min="8449" max="8449" width="31.109375" style="7165" customWidth="1"/>
    <col min="8450" max="8450" width="8.88671875" style="7165" customWidth="1"/>
    <col min="8451" max="8451" width="8.44140625" style="7165" customWidth="1"/>
    <col min="8452" max="8452" width="9.88671875" style="7165" customWidth="1"/>
    <col min="8453" max="8453" width="13.88671875" style="7165" customWidth="1"/>
    <col min="8454" max="8454" width="14.109375" style="7165" customWidth="1"/>
    <col min="8455" max="8455" width="4.88671875" style="7165" customWidth="1"/>
    <col min="8456" max="8456" width="6.109375" style="7165" customWidth="1"/>
    <col min="8457" max="8457" width="7" style="7165" customWidth="1"/>
    <col min="8458" max="8704" width="9.109375" style="7165"/>
    <col min="8705" max="8705" width="31.109375" style="7165" customWidth="1"/>
    <col min="8706" max="8706" width="8.88671875" style="7165" customWidth="1"/>
    <col min="8707" max="8707" width="8.44140625" style="7165" customWidth="1"/>
    <col min="8708" max="8708" width="9.88671875" style="7165" customWidth="1"/>
    <col min="8709" max="8709" width="13.88671875" style="7165" customWidth="1"/>
    <col min="8710" max="8710" width="14.109375" style="7165" customWidth="1"/>
    <col min="8711" max="8711" width="4.88671875" style="7165" customWidth="1"/>
    <col min="8712" max="8712" width="6.109375" style="7165" customWidth="1"/>
    <col min="8713" max="8713" width="7" style="7165" customWidth="1"/>
    <col min="8714" max="8960" width="9.109375" style="7165"/>
    <col min="8961" max="8961" width="31.109375" style="7165" customWidth="1"/>
    <col min="8962" max="8962" width="8.88671875" style="7165" customWidth="1"/>
    <col min="8963" max="8963" width="8.44140625" style="7165" customWidth="1"/>
    <col min="8964" max="8964" width="9.88671875" style="7165" customWidth="1"/>
    <col min="8965" max="8965" width="13.88671875" style="7165" customWidth="1"/>
    <col min="8966" max="8966" width="14.109375" style="7165" customWidth="1"/>
    <col min="8967" max="8967" width="4.88671875" style="7165" customWidth="1"/>
    <col min="8968" max="8968" width="6.109375" style="7165" customWidth="1"/>
    <col min="8969" max="8969" width="7" style="7165" customWidth="1"/>
    <col min="8970" max="9216" width="9.109375" style="7165"/>
    <col min="9217" max="9217" width="31.109375" style="7165" customWidth="1"/>
    <col min="9218" max="9218" width="8.88671875" style="7165" customWidth="1"/>
    <col min="9219" max="9219" width="8.44140625" style="7165" customWidth="1"/>
    <col min="9220" max="9220" width="9.88671875" style="7165" customWidth="1"/>
    <col min="9221" max="9221" width="13.88671875" style="7165" customWidth="1"/>
    <col min="9222" max="9222" width="14.109375" style="7165" customWidth="1"/>
    <col min="9223" max="9223" width="4.88671875" style="7165" customWidth="1"/>
    <col min="9224" max="9224" width="6.109375" style="7165" customWidth="1"/>
    <col min="9225" max="9225" width="7" style="7165" customWidth="1"/>
    <col min="9226" max="9472" width="9.109375" style="7165"/>
    <col min="9473" max="9473" width="31.109375" style="7165" customWidth="1"/>
    <col min="9474" max="9474" width="8.88671875" style="7165" customWidth="1"/>
    <col min="9475" max="9475" width="8.44140625" style="7165" customWidth="1"/>
    <col min="9476" max="9476" width="9.88671875" style="7165" customWidth="1"/>
    <col min="9477" max="9477" width="13.88671875" style="7165" customWidth="1"/>
    <col min="9478" max="9478" width="14.109375" style="7165" customWidth="1"/>
    <col min="9479" max="9479" width="4.88671875" style="7165" customWidth="1"/>
    <col min="9480" max="9480" width="6.109375" style="7165" customWidth="1"/>
    <col min="9481" max="9481" width="7" style="7165" customWidth="1"/>
    <col min="9482" max="9728" width="9.109375" style="7165"/>
    <col min="9729" max="9729" width="31.109375" style="7165" customWidth="1"/>
    <col min="9730" max="9730" width="8.88671875" style="7165" customWidth="1"/>
    <col min="9731" max="9731" width="8.44140625" style="7165" customWidth="1"/>
    <col min="9732" max="9732" width="9.88671875" style="7165" customWidth="1"/>
    <col min="9733" max="9733" width="13.88671875" style="7165" customWidth="1"/>
    <col min="9734" max="9734" width="14.109375" style="7165" customWidth="1"/>
    <col min="9735" max="9735" width="4.88671875" style="7165" customWidth="1"/>
    <col min="9736" max="9736" width="6.109375" style="7165" customWidth="1"/>
    <col min="9737" max="9737" width="7" style="7165" customWidth="1"/>
    <col min="9738" max="9984" width="9.109375" style="7165"/>
    <col min="9985" max="9985" width="31.109375" style="7165" customWidth="1"/>
    <col min="9986" max="9986" width="8.88671875" style="7165" customWidth="1"/>
    <col min="9987" max="9987" width="8.44140625" style="7165" customWidth="1"/>
    <col min="9988" max="9988" width="9.88671875" style="7165" customWidth="1"/>
    <col min="9989" max="9989" width="13.88671875" style="7165" customWidth="1"/>
    <col min="9990" max="9990" width="14.109375" style="7165" customWidth="1"/>
    <col min="9991" max="9991" width="4.88671875" style="7165" customWidth="1"/>
    <col min="9992" max="9992" width="6.109375" style="7165" customWidth="1"/>
    <col min="9993" max="9993" width="7" style="7165" customWidth="1"/>
    <col min="9994" max="10240" width="9.109375" style="7165"/>
    <col min="10241" max="10241" width="31.109375" style="7165" customWidth="1"/>
    <col min="10242" max="10242" width="8.88671875" style="7165" customWidth="1"/>
    <col min="10243" max="10243" width="8.44140625" style="7165" customWidth="1"/>
    <col min="10244" max="10244" width="9.88671875" style="7165" customWidth="1"/>
    <col min="10245" max="10245" width="13.88671875" style="7165" customWidth="1"/>
    <col min="10246" max="10246" width="14.109375" style="7165" customWidth="1"/>
    <col min="10247" max="10247" width="4.88671875" style="7165" customWidth="1"/>
    <col min="10248" max="10248" width="6.109375" style="7165" customWidth="1"/>
    <col min="10249" max="10249" width="7" style="7165" customWidth="1"/>
    <col min="10250" max="10496" width="9.109375" style="7165"/>
    <col min="10497" max="10497" width="31.109375" style="7165" customWidth="1"/>
    <col min="10498" max="10498" width="8.88671875" style="7165" customWidth="1"/>
    <col min="10499" max="10499" width="8.44140625" style="7165" customWidth="1"/>
    <col min="10500" max="10500" width="9.88671875" style="7165" customWidth="1"/>
    <col min="10501" max="10501" width="13.88671875" style="7165" customWidth="1"/>
    <col min="10502" max="10502" width="14.109375" style="7165" customWidth="1"/>
    <col min="10503" max="10503" width="4.88671875" style="7165" customWidth="1"/>
    <col min="10504" max="10504" width="6.109375" style="7165" customWidth="1"/>
    <col min="10505" max="10505" width="7" style="7165" customWidth="1"/>
    <col min="10506" max="10752" width="9.109375" style="7165"/>
    <col min="10753" max="10753" width="31.109375" style="7165" customWidth="1"/>
    <col min="10754" max="10754" width="8.88671875" style="7165" customWidth="1"/>
    <col min="10755" max="10755" width="8.44140625" style="7165" customWidth="1"/>
    <col min="10756" max="10756" width="9.88671875" style="7165" customWidth="1"/>
    <col min="10757" max="10757" width="13.88671875" style="7165" customWidth="1"/>
    <col min="10758" max="10758" width="14.109375" style="7165" customWidth="1"/>
    <col min="10759" max="10759" width="4.88671875" style="7165" customWidth="1"/>
    <col min="10760" max="10760" width="6.109375" style="7165" customWidth="1"/>
    <col min="10761" max="10761" width="7" style="7165" customWidth="1"/>
    <col min="10762" max="11008" width="9.109375" style="7165"/>
    <col min="11009" max="11009" width="31.109375" style="7165" customWidth="1"/>
    <col min="11010" max="11010" width="8.88671875" style="7165" customWidth="1"/>
    <col min="11011" max="11011" width="8.44140625" style="7165" customWidth="1"/>
    <col min="11012" max="11012" width="9.88671875" style="7165" customWidth="1"/>
    <col min="11013" max="11013" width="13.88671875" style="7165" customWidth="1"/>
    <col min="11014" max="11014" width="14.109375" style="7165" customWidth="1"/>
    <col min="11015" max="11015" width="4.88671875" style="7165" customWidth="1"/>
    <col min="11016" max="11016" width="6.109375" style="7165" customWidth="1"/>
    <col min="11017" max="11017" width="7" style="7165" customWidth="1"/>
    <col min="11018" max="11264" width="9.109375" style="7165"/>
    <col min="11265" max="11265" width="31.109375" style="7165" customWidth="1"/>
    <col min="11266" max="11266" width="8.88671875" style="7165" customWidth="1"/>
    <col min="11267" max="11267" width="8.44140625" style="7165" customWidth="1"/>
    <col min="11268" max="11268" width="9.88671875" style="7165" customWidth="1"/>
    <col min="11269" max="11269" width="13.88671875" style="7165" customWidth="1"/>
    <col min="11270" max="11270" width="14.109375" style="7165" customWidth="1"/>
    <col min="11271" max="11271" width="4.88671875" style="7165" customWidth="1"/>
    <col min="11272" max="11272" width="6.109375" style="7165" customWidth="1"/>
    <col min="11273" max="11273" width="7" style="7165" customWidth="1"/>
    <col min="11274" max="11520" width="9.109375" style="7165"/>
    <col min="11521" max="11521" width="31.109375" style="7165" customWidth="1"/>
    <col min="11522" max="11522" width="8.88671875" style="7165" customWidth="1"/>
    <col min="11523" max="11523" width="8.44140625" style="7165" customWidth="1"/>
    <col min="11524" max="11524" width="9.88671875" style="7165" customWidth="1"/>
    <col min="11525" max="11525" width="13.88671875" style="7165" customWidth="1"/>
    <col min="11526" max="11526" width="14.109375" style="7165" customWidth="1"/>
    <col min="11527" max="11527" width="4.88671875" style="7165" customWidth="1"/>
    <col min="11528" max="11528" width="6.109375" style="7165" customWidth="1"/>
    <col min="11529" max="11529" width="7" style="7165" customWidth="1"/>
    <col min="11530" max="11776" width="9.109375" style="7165"/>
    <col min="11777" max="11777" width="31.109375" style="7165" customWidth="1"/>
    <col min="11778" max="11778" width="8.88671875" style="7165" customWidth="1"/>
    <col min="11779" max="11779" width="8.44140625" style="7165" customWidth="1"/>
    <col min="11780" max="11780" width="9.88671875" style="7165" customWidth="1"/>
    <col min="11781" max="11781" width="13.88671875" style="7165" customWidth="1"/>
    <col min="11782" max="11782" width="14.109375" style="7165" customWidth="1"/>
    <col min="11783" max="11783" width="4.88671875" style="7165" customWidth="1"/>
    <col min="11784" max="11784" width="6.109375" style="7165" customWidth="1"/>
    <col min="11785" max="11785" width="7" style="7165" customWidth="1"/>
    <col min="11786" max="12032" width="9.109375" style="7165"/>
    <col min="12033" max="12033" width="31.109375" style="7165" customWidth="1"/>
    <col min="12034" max="12034" width="8.88671875" style="7165" customWidth="1"/>
    <col min="12035" max="12035" width="8.44140625" style="7165" customWidth="1"/>
    <col min="12036" max="12036" width="9.88671875" style="7165" customWidth="1"/>
    <col min="12037" max="12037" width="13.88671875" style="7165" customWidth="1"/>
    <col min="12038" max="12038" width="14.109375" style="7165" customWidth="1"/>
    <col min="12039" max="12039" width="4.88671875" style="7165" customWidth="1"/>
    <col min="12040" max="12040" width="6.109375" style="7165" customWidth="1"/>
    <col min="12041" max="12041" width="7" style="7165" customWidth="1"/>
    <col min="12042" max="12288" width="9.109375" style="7165"/>
    <col min="12289" max="12289" width="31.109375" style="7165" customWidth="1"/>
    <col min="12290" max="12290" width="8.88671875" style="7165" customWidth="1"/>
    <col min="12291" max="12291" width="8.44140625" style="7165" customWidth="1"/>
    <col min="12292" max="12292" width="9.88671875" style="7165" customWidth="1"/>
    <col min="12293" max="12293" width="13.88671875" style="7165" customWidth="1"/>
    <col min="12294" max="12294" width="14.109375" style="7165" customWidth="1"/>
    <col min="12295" max="12295" width="4.88671875" style="7165" customWidth="1"/>
    <col min="12296" max="12296" width="6.109375" style="7165" customWidth="1"/>
    <col min="12297" max="12297" width="7" style="7165" customWidth="1"/>
    <col min="12298" max="12544" width="9.109375" style="7165"/>
    <col min="12545" max="12545" width="31.109375" style="7165" customWidth="1"/>
    <col min="12546" max="12546" width="8.88671875" style="7165" customWidth="1"/>
    <col min="12547" max="12547" width="8.44140625" style="7165" customWidth="1"/>
    <col min="12548" max="12548" width="9.88671875" style="7165" customWidth="1"/>
    <col min="12549" max="12549" width="13.88671875" style="7165" customWidth="1"/>
    <col min="12550" max="12550" width="14.109375" style="7165" customWidth="1"/>
    <col min="12551" max="12551" width="4.88671875" style="7165" customWidth="1"/>
    <col min="12552" max="12552" width="6.109375" style="7165" customWidth="1"/>
    <col min="12553" max="12553" width="7" style="7165" customWidth="1"/>
    <col min="12554" max="12800" width="9.109375" style="7165"/>
    <col min="12801" max="12801" width="31.109375" style="7165" customWidth="1"/>
    <col min="12802" max="12802" width="8.88671875" style="7165" customWidth="1"/>
    <col min="12803" max="12803" width="8.44140625" style="7165" customWidth="1"/>
    <col min="12804" max="12804" width="9.88671875" style="7165" customWidth="1"/>
    <col min="12805" max="12805" width="13.88671875" style="7165" customWidth="1"/>
    <col min="12806" max="12806" width="14.109375" style="7165" customWidth="1"/>
    <col min="12807" max="12807" width="4.88671875" style="7165" customWidth="1"/>
    <col min="12808" max="12808" width="6.109375" style="7165" customWidth="1"/>
    <col min="12809" max="12809" width="7" style="7165" customWidth="1"/>
    <col min="12810" max="13056" width="9.109375" style="7165"/>
    <col min="13057" max="13057" width="31.109375" style="7165" customWidth="1"/>
    <col min="13058" max="13058" width="8.88671875" style="7165" customWidth="1"/>
    <col min="13059" max="13059" width="8.44140625" style="7165" customWidth="1"/>
    <col min="13060" max="13060" width="9.88671875" style="7165" customWidth="1"/>
    <col min="13061" max="13061" width="13.88671875" style="7165" customWidth="1"/>
    <col min="13062" max="13062" width="14.109375" style="7165" customWidth="1"/>
    <col min="13063" max="13063" width="4.88671875" style="7165" customWidth="1"/>
    <col min="13064" max="13064" width="6.109375" style="7165" customWidth="1"/>
    <col min="13065" max="13065" width="7" style="7165" customWidth="1"/>
    <col min="13066" max="13312" width="9.109375" style="7165"/>
    <col min="13313" max="13313" width="31.109375" style="7165" customWidth="1"/>
    <col min="13314" max="13314" width="8.88671875" style="7165" customWidth="1"/>
    <col min="13315" max="13315" width="8.44140625" style="7165" customWidth="1"/>
    <col min="13316" max="13316" width="9.88671875" style="7165" customWidth="1"/>
    <col min="13317" max="13317" width="13.88671875" style="7165" customWidth="1"/>
    <col min="13318" max="13318" width="14.109375" style="7165" customWidth="1"/>
    <col min="13319" max="13319" width="4.88671875" style="7165" customWidth="1"/>
    <col min="13320" max="13320" width="6.109375" style="7165" customWidth="1"/>
    <col min="13321" max="13321" width="7" style="7165" customWidth="1"/>
    <col min="13322" max="13568" width="9.109375" style="7165"/>
    <col min="13569" max="13569" width="31.109375" style="7165" customWidth="1"/>
    <col min="13570" max="13570" width="8.88671875" style="7165" customWidth="1"/>
    <col min="13571" max="13571" width="8.44140625" style="7165" customWidth="1"/>
    <col min="13572" max="13572" width="9.88671875" style="7165" customWidth="1"/>
    <col min="13573" max="13573" width="13.88671875" style="7165" customWidth="1"/>
    <col min="13574" max="13574" width="14.109375" style="7165" customWidth="1"/>
    <col min="13575" max="13575" width="4.88671875" style="7165" customWidth="1"/>
    <col min="13576" max="13576" width="6.109375" style="7165" customWidth="1"/>
    <col min="13577" max="13577" width="7" style="7165" customWidth="1"/>
    <col min="13578" max="13824" width="9.109375" style="7165"/>
    <col min="13825" max="13825" width="31.109375" style="7165" customWidth="1"/>
    <col min="13826" max="13826" width="8.88671875" style="7165" customWidth="1"/>
    <col min="13827" max="13827" width="8.44140625" style="7165" customWidth="1"/>
    <col min="13828" max="13828" width="9.88671875" style="7165" customWidth="1"/>
    <col min="13829" max="13829" width="13.88671875" style="7165" customWidth="1"/>
    <col min="13830" max="13830" width="14.109375" style="7165" customWidth="1"/>
    <col min="13831" max="13831" width="4.88671875" style="7165" customWidth="1"/>
    <col min="13832" max="13832" width="6.109375" style="7165" customWidth="1"/>
    <col min="13833" max="13833" width="7" style="7165" customWidth="1"/>
    <col min="13834" max="14080" width="9.109375" style="7165"/>
    <col min="14081" max="14081" width="31.109375" style="7165" customWidth="1"/>
    <col min="14082" max="14082" width="8.88671875" style="7165" customWidth="1"/>
    <col min="14083" max="14083" width="8.44140625" style="7165" customWidth="1"/>
    <col min="14084" max="14084" width="9.88671875" style="7165" customWidth="1"/>
    <col min="14085" max="14085" width="13.88671875" style="7165" customWidth="1"/>
    <col min="14086" max="14086" width="14.109375" style="7165" customWidth="1"/>
    <col min="14087" max="14087" width="4.88671875" style="7165" customWidth="1"/>
    <col min="14088" max="14088" width="6.109375" style="7165" customWidth="1"/>
    <col min="14089" max="14089" width="7" style="7165" customWidth="1"/>
    <col min="14090" max="14336" width="9.109375" style="7165"/>
    <col min="14337" max="14337" width="31.109375" style="7165" customWidth="1"/>
    <col min="14338" max="14338" width="8.88671875" style="7165" customWidth="1"/>
    <col min="14339" max="14339" width="8.44140625" style="7165" customWidth="1"/>
    <col min="14340" max="14340" width="9.88671875" style="7165" customWidth="1"/>
    <col min="14341" max="14341" width="13.88671875" style="7165" customWidth="1"/>
    <col min="14342" max="14342" width="14.109375" style="7165" customWidth="1"/>
    <col min="14343" max="14343" width="4.88671875" style="7165" customWidth="1"/>
    <col min="14344" max="14344" width="6.109375" style="7165" customWidth="1"/>
    <col min="14345" max="14345" width="7" style="7165" customWidth="1"/>
    <col min="14346" max="14592" width="9.109375" style="7165"/>
    <col min="14593" max="14593" width="31.109375" style="7165" customWidth="1"/>
    <col min="14594" max="14594" width="8.88671875" style="7165" customWidth="1"/>
    <col min="14595" max="14595" width="8.44140625" style="7165" customWidth="1"/>
    <col min="14596" max="14596" width="9.88671875" style="7165" customWidth="1"/>
    <col min="14597" max="14597" width="13.88671875" style="7165" customWidth="1"/>
    <col min="14598" max="14598" width="14.109375" style="7165" customWidth="1"/>
    <col min="14599" max="14599" width="4.88671875" style="7165" customWidth="1"/>
    <col min="14600" max="14600" width="6.109375" style="7165" customWidth="1"/>
    <col min="14601" max="14601" width="7" style="7165" customWidth="1"/>
    <col min="14602" max="14848" width="9.109375" style="7165"/>
    <col min="14849" max="14849" width="31.109375" style="7165" customWidth="1"/>
    <col min="14850" max="14850" width="8.88671875" style="7165" customWidth="1"/>
    <col min="14851" max="14851" width="8.44140625" style="7165" customWidth="1"/>
    <col min="14852" max="14852" width="9.88671875" style="7165" customWidth="1"/>
    <col min="14853" max="14853" width="13.88671875" style="7165" customWidth="1"/>
    <col min="14854" max="14854" width="14.109375" style="7165" customWidth="1"/>
    <col min="14855" max="14855" width="4.88671875" style="7165" customWidth="1"/>
    <col min="14856" max="14856" width="6.109375" style="7165" customWidth="1"/>
    <col min="14857" max="14857" width="7" style="7165" customWidth="1"/>
    <col min="14858" max="15104" width="9.109375" style="7165"/>
    <col min="15105" max="15105" width="31.109375" style="7165" customWidth="1"/>
    <col min="15106" max="15106" width="8.88671875" style="7165" customWidth="1"/>
    <col min="15107" max="15107" width="8.44140625" style="7165" customWidth="1"/>
    <col min="15108" max="15108" width="9.88671875" style="7165" customWidth="1"/>
    <col min="15109" max="15109" width="13.88671875" style="7165" customWidth="1"/>
    <col min="15110" max="15110" width="14.109375" style="7165" customWidth="1"/>
    <col min="15111" max="15111" width="4.88671875" style="7165" customWidth="1"/>
    <col min="15112" max="15112" width="6.109375" style="7165" customWidth="1"/>
    <col min="15113" max="15113" width="7" style="7165" customWidth="1"/>
    <col min="15114" max="15360" width="9.109375" style="7165"/>
    <col min="15361" max="15361" width="31.109375" style="7165" customWidth="1"/>
    <col min="15362" max="15362" width="8.88671875" style="7165" customWidth="1"/>
    <col min="15363" max="15363" width="8.44140625" style="7165" customWidth="1"/>
    <col min="15364" max="15364" width="9.88671875" style="7165" customWidth="1"/>
    <col min="15365" max="15365" width="13.88671875" style="7165" customWidth="1"/>
    <col min="15366" max="15366" width="14.109375" style="7165" customWidth="1"/>
    <col min="15367" max="15367" width="4.88671875" style="7165" customWidth="1"/>
    <col min="15368" max="15368" width="6.109375" style="7165" customWidth="1"/>
    <col min="15369" max="15369" width="7" style="7165" customWidth="1"/>
    <col min="15370" max="15616" width="9.109375" style="7165"/>
    <col min="15617" max="15617" width="31.109375" style="7165" customWidth="1"/>
    <col min="15618" max="15618" width="8.88671875" style="7165" customWidth="1"/>
    <col min="15619" max="15619" width="8.44140625" style="7165" customWidth="1"/>
    <col min="15620" max="15620" width="9.88671875" style="7165" customWidth="1"/>
    <col min="15621" max="15621" width="13.88671875" style="7165" customWidth="1"/>
    <col min="15622" max="15622" width="14.109375" style="7165" customWidth="1"/>
    <col min="15623" max="15623" width="4.88671875" style="7165" customWidth="1"/>
    <col min="15624" max="15624" width="6.109375" style="7165" customWidth="1"/>
    <col min="15625" max="15625" width="7" style="7165" customWidth="1"/>
    <col min="15626" max="15872" width="9.109375" style="7165"/>
    <col min="15873" max="15873" width="31.109375" style="7165" customWidth="1"/>
    <col min="15874" max="15874" width="8.88671875" style="7165" customWidth="1"/>
    <col min="15875" max="15875" width="8.44140625" style="7165" customWidth="1"/>
    <col min="15876" max="15876" width="9.88671875" style="7165" customWidth="1"/>
    <col min="15877" max="15877" width="13.88671875" style="7165" customWidth="1"/>
    <col min="15878" max="15878" width="14.109375" style="7165" customWidth="1"/>
    <col min="15879" max="15879" width="4.88671875" style="7165" customWidth="1"/>
    <col min="15880" max="15880" width="6.109375" style="7165" customWidth="1"/>
    <col min="15881" max="15881" width="7" style="7165" customWidth="1"/>
    <col min="15882" max="16128" width="9.109375" style="7165"/>
    <col min="16129" max="16129" width="31.109375" style="7165" customWidth="1"/>
    <col min="16130" max="16130" width="8.88671875" style="7165" customWidth="1"/>
    <col min="16131" max="16131" width="8.44140625" style="7165" customWidth="1"/>
    <col min="16132" max="16132" width="9.88671875" style="7165" customWidth="1"/>
    <col min="16133" max="16133" width="13.88671875" style="7165" customWidth="1"/>
    <col min="16134" max="16134" width="14.109375" style="7165" customWidth="1"/>
    <col min="16135" max="16135" width="4.88671875" style="7165" customWidth="1"/>
    <col min="16136" max="16136" width="6.109375" style="7165" customWidth="1"/>
    <col min="16137" max="16137" width="7" style="7165" customWidth="1"/>
    <col min="16138" max="16384" width="9.109375" style="7165"/>
  </cols>
  <sheetData>
    <row r="1" spans="1:8" ht="14.4" customHeight="1">
      <c r="A1" s="14215" t="s">
        <v>1032</v>
      </c>
      <c r="B1" s="14215"/>
      <c r="C1" s="14215"/>
      <c r="D1" s="14215"/>
      <c r="E1" s="14215"/>
      <c r="F1" s="14215"/>
    </row>
    <row r="3" spans="1:8" ht="14.4" customHeight="1">
      <c r="A3" s="14210" t="s">
        <v>1033</v>
      </c>
      <c r="B3" s="14210"/>
      <c r="C3" s="14210"/>
      <c r="D3" s="14210"/>
      <c r="E3" s="14210"/>
      <c r="F3" s="14210"/>
    </row>
    <row r="4" spans="1:8" ht="14.4" customHeight="1" thickBot="1"/>
    <row r="5" spans="1:8" s="7163" customFormat="1" ht="14.4" customHeight="1">
      <c r="A5" s="9697" t="s">
        <v>1034</v>
      </c>
      <c r="B5" s="14211" t="s">
        <v>1035</v>
      </c>
      <c r="C5" s="10711" t="s">
        <v>1036</v>
      </c>
      <c r="D5" s="14213" t="s">
        <v>1037</v>
      </c>
      <c r="E5" s="14213"/>
      <c r="F5" s="14214"/>
      <c r="G5" s="7197"/>
    </row>
    <row r="6" spans="1:8" s="7163" customFormat="1" ht="14.4" customHeight="1" thickBot="1">
      <c r="A6" s="9698" t="s">
        <v>1038</v>
      </c>
      <c r="B6" s="14212"/>
      <c r="C6" s="9772" t="s">
        <v>1039</v>
      </c>
      <c r="D6" s="9719" t="s">
        <v>10</v>
      </c>
      <c r="E6" s="9772" t="s">
        <v>11</v>
      </c>
      <c r="F6" s="9773" t="s">
        <v>11621</v>
      </c>
      <c r="G6" s="7197"/>
    </row>
    <row r="7" spans="1:8" ht="14.4" customHeight="1">
      <c r="A7" s="7207"/>
      <c r="B7" s="10716"/>
      <c r="C7" s="9615"/>
      <c r="D7" s="9624"/>
      <c r="E7" s="9615"/>
      <c r="F7" s="10406"/>
    </row>
    <row r="8" spans="1:8" ht="14.4" customHeight="1">
      <c r="A8" s="7207" t="s">
        <v>806</v>
      </c>
      <c r="B8" s="9614"/>
      <c r="C8" s="9615"/>
      <c r="D8" s="9615"/>
      <c r="E8" s="9615"/>
      <c r="F8" s="10406"/>
    </row>
    <row r="9" spans="1:8" ht="14.4" customHeight="1">
      <c r="A9" s="7209" t="s">
        <v>1041</v>
      </c>
      <c r="B9" s="9614"/>
      <c r="C9" s="9615"/>
      <c r="D9" s="9615"/>
      <c r="E9" s="9615"/>
      <c r="F9" s="10406"/>
    </row>
    <row r="10" spans="1:8" ht="14.4" customHeight="1">
      <c r="A10" s="7207" t="s">
        <v>911</v>
      </c>
      <c r="B10" s="9614">
        <v>1</v>
      </c>
      <c r="C10" s="9614">
        <v>30</v>
      </c>
      <c r="D10" s="9617">
        <v>1450032</v>
      </c>
      <c r="E10" s="9617">
        <v>1774428</v>
      </c>
      <c r="F10" s="9951">
        <v>2171388</v>
      </c>
      <c r="G10" s="7196">
        <f>SUM(B10:B11)</f>
        <v>1</v>
      </c>
      <c r="H10" s="7198">
        <f>SUM(F10:F11)</f>
        <v>2171388</v>
      </c>
    </row>
    <row r="11" spans="1:8" ht="14.4" customHeight="1">
      <c r="A11" s="7207" t="s">
        <v>1042</v>
      </c>
      <c r="B11" s="9614">
        <v>0</v>
      </c>
      <c r="C11" s="9614">
        <v>26</v>
      </c>
      <c r="D11" s="9617"/>
      <c r="E11" s="9617"/>
      <c r="F11" s="9951"/>
    </row>
    <row r="12" spans="1:8" ht="14.4" customHeight="1">
      <c r="A12" s="7207"/>
      <c r="B12" s="9614"/>
      <c r="C12" s="9614"/>
      <c r="D12" s="9617"/>
      <c r="E12" s="9617"/>
      <c r="F12" s="9951"/>
    </row>
    <row r="13" spans="1:8" ht="14.4" customHeight="1">
      <c r="A13" s="7209" t="s">
        <v>1043</v>
      </c>
      <c r="B13" s="9614"/>
      <c r="C13" s="9614"/>
      <c r="D13" s="9617"/>
      <c r="E13" s="9617"/>
      <c r="F13" s="9951"/>
    </row>
    <row r="14" spans="1:8" ht="14.4" customHeight="1">
      <c r="A14" s="7207"/>
      <c r="B14" s="9614"/>
      <c r="C14" s="9614"/>
      <c r="D14" s="9617"/>
      <c r="E14" s="9617"/>
      <c r="F14" s="9951"/>
    </row>
    <row r="15" spans="1:8" ht="14.4" customHeight="1">
      <c r="A15" s="7207"/>
      <c r="B15" s="9614"/>
      <c r="C15" s="9614"/>
      <c r="D15" s="9617"/>
      <c r="E15" s="9617"/>
      <c r="F15" s="9951"/>
    </row>
    <row r="16" spans="1:8" ht="14.4" customHeight="1">
      <c r="A16" s="7209" t="s">
        <v>1045</v>
      </c>
      <c r="B16" s="9614"/>
      <c r="C16" s="9614"/>
      <c r="D16" s="9617"/>
      <c r="E16" s="9617"/>
      <c r="F16" s="9951"/>
    </row>
    <row r="17" spans="1:10" ht="14.4" customHeight="1">
      <c r="A17" s="7209" t="s">
        <v>1046</v>
      </c>
      <c r="B17" s="9614"/>
      <c r="C17" s="9614"/>
      <c r="D17" s="9617"/>
      <c r="E17" s="9617"/>
      <c r="F17" s="9951"/>
    </row>
    <row r="18" spans="1:10" ht="14.4" customHeight="1">
      <c r="A18" s="7207" t="s">
        <v>3399</v>
      </c>
      <c r="B18" s="9614">
        <v>0</v>
      </c>
      <c r="C18" s="9614">
        <v>11</v>
      </c>
      <c r="D18" s="9617">
        <v>476472</v>
      </c>
      <c r="E18" s="9617">
        <v>0</v>
      </c>
      <c r="F18" s="9951">
        <v>0</v>
      </c>
      <c r="I18" s="7198">
        <f t="shared" ref="I18:I44" si="0">F18/12</f>
        <v>0</v>
      </c>
    </row>
    <row r="19" spans="1:10" ht="14.4" customHeight="1">
      <c r="A19" s="7207" t="s">
        <v>1378</v>
      </c>
      <c r="B19" s="9614">
        <v>0</v>
      </c>
      <c r="C19" s="9614">
        <v>5</v>
      </c>
      <c r="D19" s="9617">
        <v>322992</v>
      </c>
      <c r="E19" s="9617">
        <v>0</v>
      </c>
      <c r="F19" s="9951">
        <v>0</v>
      </c>
      <c r="I19" s="7198">
        <f t="shared" si="0"/>
        <v>0</v>
      </c>
    </row>
    <row r="20" spans="1:10" ht="14.4" customHeight="1">
      <c r="A20" s="7207" t="s">
        <v>1047</v>
      </c>
      <c r="B20" s="9614">
        <v>2</v>
      </c>
      <c r="C20" s="9614">
        <v>22</v>
      </c>
      <c r="D20" s="9617">
        <v>1266792</v>
      </c>
      <c r="E20" s="9617">
        <v>1409208</v>
      </c>
      <c r="F20" s="9951">
        <v>1567656</v>
      </c>
      <c r="I20" s="7198">
        <f t="shared" si="0"/>
        <v>130638</v>
      </c>
    </row>
    <row r="21" spans="1:10" ht="14.4" customHeight="1">
      <c r="A21" s="7207" t="s">
        <v>1048</v>
      </c>
      <c r="B21" s="9614">
        <v>0</v>
      </c>
      <c r="C21" s="9614">
        <v>20</v>
      </c>
      <c r="D21" s="9617">
        <v>0</v>
      </c>
      <c r="E21" s="9617">
        <v>0</v>
      </c>
      <c r="F21" s="9951">
        <v>0</v>
      </c>
      <c r="I21" s="7198">
        <f t="shared" si="0"/>
        <v>0</v>
      </c>
    </row>
    <row r="22" spans="1:10" ht="14.4" customHeight="1">
      <c r="A22" s="7207" t="s">
        <v>1049</v>
      </c>
      <c r="B22" s="9614">
        <v>2</v>
      </c>
      <c r="C22" s="9614">
        <v>17</v>
      </c>
      <c r="D22" s="9617">
        <v>785928</v>
      </c>
      <c r="E22" s="9617">
        <v>834744</v>
      </c>
      <c r="F22" s="9951">
        <v>886608</v>
      </c>
      <c r="I22" s="7198">
        <f t="shared" si="0"/>
        <v>73884</v>
      </c>
    </row>
    <row r="23" spans="1:10" ht="14.4" customHeight="1">
      <c r="A23" s="7207" t="s">
        <v>1050</v>
      </c>
      <c r="B23" s="9614">
        <v>1</v>
      </c>
      <c r="C23" s="9614">
        <v>14</v>
      </c>
      <c r="D23" s="9617">
        <v>303480</v>
      </c>
      <c r="E23" s="9617">
        <v>317928</v>
      </c>
      <c r="F23" s="9951">
        <v>333060</v>
      </c>
      <c r="I23" s="7198">
        <f t="shared" si="0"/>
        <v>27755</v>
      </c>
    </row>
    <row r="24" spans="1:10" ht="14.4" customHeight="1">
      <c r="A24" s="7207"/>
      <c r="B24" s="9614"/>
      <c r="C24" s="9614"/>
      <c r="D24" s="9617"/>
      <c r="E24" s="9617"/>
      <c r="F24" s="9951"/>
      <c r="G24" s="7196">
        <f>SUM(B18:B24)</f>
        <v>5</v>
      </c>
      <c r="H24" s="7198">
        <f>SUM(F18:F24)</f>
        <v>2787324</v>
      </c>
      <c r="I24" s="7198">
        <f t="shared" si="0"/>
        <v>0</v>
      </c>
    </row>
    <row r="25" spans="1:10" ht="14.4" customHeight="1">
      <c r="A25" s="7209" t="s">
        <v>1051</v>
      </c>
      <c r="B25" s="9614"/>
      <c r="C25" s="9614"/>
      <c r="D25" s="9617"/>
      <c r="E25" s="9617"/>
      <c r="F25" s="9951"/>
      <c r="I25" s="7198">
        <f t="shared" si="0"/>
        <v>0</v>
      </c>
    </row>
    <row r="26" spans="1:10" ht="14.4" customHeight="1">
      <c r="A26" s="7209"/>
      <c r="B26" s="9614"/>
      <c r="C26" s="9614"/>
      <c r="D26" s="9617"/>
      <c r="E26" s="9617"/>
      <c r="F26" s="9951"/>
      <c r="I26" s="7198"/>
    </row>
    <row r="27" spans="1:10" ht="14.4" customHeight="1">
      <c r="A27" s="7207" t="s">
        <v>1052</v>
      </c>
      <c r="B27" s="9614">
        <v>1</v>
      </c>
      <c r="C27" s="9614">
        <v>4</v>
      </c>
      <c r="D27" s="9617">
        <v>152424</v>
      </c>
      <c r="E27" s="9617">
        <v>159780</v>
      </c>
      <c r="F27" s="9951">
        <v>166020</v>
      </c>
      <c r="I27" s="7198">
        <f t="shared" si="0"/>
        <v>13835</v>
      </c>
      <c r="J27" s="7198">
        <f>E27-F27</f>
        <v>-6240</v>
      </c>
    </row>
    <row r="28" spans="1:10" ht="14.4" customHeight="1">
      <c r="A28" s="7207" t="s">
        <v>1053</v>
      </c>
      <c r="B28" s="9614">
        <v>3</v>
      </c>
      <c r="C28" s="9614">
        <v>3</v>
      </c>
      <c r="D28" s="9617">
        <v>427128</v>
      </c>
      <c r="E28" s="9617">
        <v>446928</v>
      </c>
      <c r="F28" s="9951">
        <v>468672</v>
      </c>
      <c r="I28" s="7198">
        <f t="shared" si="0"/>
        <v>39056</v>
      </c>
    </row>
    <row r="29" spans="1:10" ht="14.4" customHeight="1">
      <c r="A29" s="7207" t="s">
        <v>11400</v>
      </c>
      <c r="B29" s="9614">
        <v>4</v>
      </c>
      <c r="C29" s="9614">
        <v>3</v>
      </c>
      <c r="D29" s="9617">
        <v>0</v>
      </c>
      <c r="E29" s="9617">
        <v>571872</v>
      </c>
      <c r="F29" s="9951">
        <v>598368</v>
      </c>
      <c r="I29" s="7198">
        <f t="shared" si="0"/>
        <v>49864</v>
      </c>
    </row>
    <row r="30" spans="1:10" ht="14.4" customHeight="1">
      <c r="A30" s="7207"/>
      <c r="B30" s="9614"/>
      <c r="C30" s="9614"/>
      <c r="D30" s="9617"/>
      <c r="E30" s="9617"/>
      <c r="F30" s="9951"/>
      <c r="G30" s="7196">
        <f>SUM(B27:B30)</f>
        <v>8</v>
      </c>
      <c r="H30" s="7198">
        <f>SUM(F27:F30)</f>
        <v>1233060</v>
      </c>
      <c r="I30" s="7198">
        <f t="shared" si="0"/>
        <v>0</v>
      </c>
    </row>
    <row r="31" spans="1:10" ht="14.4" customHeight="1">
      <c r="A31" s="7209" t="s">
        <v>1054</v>
      </c>
      <c r="B31" s="9614"/>
      <c r="C31" s="9614"/>
      <c r="D31" s="9617"/>
      <c r="E31" s="9617"/>
      <c r="F31" s="9951"/>
      <c r="I31" s="7198">
        <f t="shared" si="0"/>
        <v>0</v>
      </c>
    </row>
    <row r="32" spans="1:10" ht="14.4" customHeight="1">
      <c r="A32" s="7209"/>
      <c r="B32" s="9614"/>
      <c r="C32" s="9614"/>
      <c r="D32" s="9617"/>
      <c r="E32" s="9617"/>
      <c r="F32" s="9951"/>
      <c r="I32" s="7198"/>
    </row>
    <row r="33" spans="1:10" ht="14.4" hidden="1" customHeight="1">
      <c r="A33" s="7207" t="s">
        <v>1044</v>
      </c>
      <c r="B33" s="9614">
        <v>0</v>
      </c>
      <c r="C33" s="9614">
        <v>22</v>
      </c>
      <c r="D33" s="9617">
        <v>0</v>
      </c>
      <c r="E33" s="9617">
        <v>0</v>
      </c>
      <c r="F33" s="9951">
        <v>0</v>
      </c>
      <c r="I33" s="7198"/>
    </row>
    <row r="34" spans="1:10" ht="14.4" hidden="1" customHeight="1">
      <c r="A34" s="7207" t="s">
        <v>1055</v>
      </c>
      <c r="B34" s="9614">
        <v>0</v>
      </c>
      <c r="C34" s="9614">
        <v>18</v>
      </c>
      <c r="D34" s="9617">
        <v>0</v>
      </c>
      <c r="E34" s="9617">
        <v>0</v>
      </c>
      <c r="F34" s="9951">
        <v>0</v>
      </c>
      <c r="I34" s="7198">
        <f t="shared" si="0"/>
        <v>0</v>
      </c>
    </row>
    <row r="35" spans="1:10" ht="14.4" hidden="1" customHeight="1">
      <c r="A35" s="7207" t="s">
        <v>1044</v>
      </c>
      <c r="B35" s="9614">
        <v>0</v>
      </c>
      <c r="C35" s="9614">
        <v>22</v>
      </c>
      <c r="D35" s="9617">
        <v>0</v>
      </c>
      <c r="E35" s="9617">
        <v>0</v>
      </c>
      <c r="F35" s="9951">
        <v>0</v>
      </c>
      <c r="I35" s="7198">
        <f t="shared" si="0"/>
        <v>0</v>
      </c>
    </row>
    <row r="36" spans="1:10" ht="14.4" hidden="1" customHeight="1">
      <c r="A36" s="7207" t="s">
        <v>1055</v>
      </c>
      <c r="B36" s="9614">
        <v>0</v>
      </c>
      <c r="C36" s="9614">
        <v>18</v>
      </c>
      <c r="D36" s="9617">
        <v>0</v>
      </c>
      <c r="E36" s="9617">
        <v>0</v>
      </c>
      <c r="F36" s="9951">
        <v>0</v>
      </c>
      <c r="I36" s="7198">
        <f t="shared" si="0"/>
        <v>0</v>
      </c>
    </row>
    <row r="37" spans="1:10" ht="14.4" hidden="1" customHeight="1">
      <c r="A37" s="7207" t="s">
        <v>1339</v>
      </c>
      <c r="B37" s="9614">
        <v>0</v>
      </c>
      <c r="C37" s="9614">
        <v>15</v>
      </c>
      <c r="D37" s="9617">
        <v>0</v>
      </c>
      <c r="E37" s="9617">
        <v>0</v>
      </c>
      <c r="F37" s="9951">
        <v>0</v>
      </c>
      <c r="I37" s="7198">
        <f t="shared" si="0"/>
        <v>0</v>
      </c>
    </row>
    <row r="38" spans="1:10" ht="14.4" customHeight="1">
      <c r="A38" s="7207" t="s">
        <v>1056</v>
      </c>
      <c r="B38" s="9614">
        <v>1</v>
      </c>
      <c r="C38" s="9614">
        <v>14</v>
      </c>
      <c r="D38" s="9617">
        <v>317292</v>
      </c>
      <c r="E38" s="9617">
        <v>337116</v>
      </c>
      <c r="F38" s="9951">
        <v>354204</v>
      </c>
      <c r="I38" s="7198">
        <f t="shared" si="0"/>
        <v>29517</v>
      </c>
    </row>
    <row r="39" spans="1:10" ht="14.4" customHeight="1">
      <c r="A39" s="7207" t="s">
        <v>1057</v>
      </c>
      <c r="B39" s="9614">
        <v>0</v>
      </c>
      <c r="C39" s="9614">
        <v>11</v>
      </c>
      <c r="D39" s="9617">
        <v>0</v>
      </c>
      <c r="E39" s="9617">
        <v>248376</v>
      </c>
      <c r="F39" s="9951">
        <v>0</v>
      </c>
      <c r="I39" s="7198">
        <f t="shared" si="0"/>
        <v>0</v>
      </c>
    </row>
    <row r="40" spans="1:10" ht="14.4" customHeight="1">
      <c r="A40" s="7207" t="s">
        <v>1058</v>
      </c>
      <c r="B40" s="9614">
        <v>1</v>
      </c>
      <c r="C40" s="9614">
        <v>8</v>
      </c>
      <c r="D40" s="9617">
        <v>200928</v>
      </c>
      <c r="E40" s="9617">
        <v>208428</v>
      </c>
      <c r="F40" s="9951">
        <v>214176</v>
      </c>
      <c r="I40" s="7198">
        <f t="shared" si="0"/>
        <v>17848</v>
      </c>
    </row>
    <row r="41" spans="1:10" ht="14.4" customHeight="1">
      <c r="A41" s="7207" t="s">
        <v>1059</v>
      </c>
      <c r="B41" s="9614">
        <v>1</v>
      </c>
      <c r="C41" s="9614">
        <v>6</v>
      </c>
      <c r="D41" s="9617">
        <v>167676</v>
      </c>
      <c r="E41" s="9617"/>
      <c r="F41" s="9951">
        <v>178164</v>
      </c>
      <c r="I41" s="7198">
        <f t="shared" si="0"/>
        <v>14847</v>
      </c>
    </row>
    <row r="42" spans="1:10" ht="14.4" customHeight="1">
      <c r="A42" s="7207" t="s">
        <v>1060</v>
      </c>
      <c r="B42" s="9614">
        <v>2</v>
      </c>
      <c r="C42" s="9614">
        <v>4</v>
      </c>
      <c r="D42" s="9617">
        <v>293004</v>
      </c>
      <c r="E42" s="9617">
        <v>153336</v>
      </c>
      <c r="F42" s="9951">
        <v>318360</v>
      </c>
      <c r="I42" s="7198">
        <f t="shared" si="0"/>
        <v>26530</v>
      </c>
    </row>
    <row r="43" spans="1:10" ht="14.4" customHeight="1">
      <c r="A43" s="7207" t="s">
        <v>1061</v>
      </c>
      <c r="B43" s="9614">
        <v>2</v>
      </c>
      <c r="C43" s="9614">
        <v>3</v>
      </c>
      <c r="D43" s="9617">
        <v>700464</v>
      </c>
      <c r="E43" s="9617">
        <v>300408</v>
      </c>
      <c r="F43" s="9951">
        <v>313248</v>
      </c>
      <c r="I43" s="7198">
        <f>F43/12</f>
        <v>26104</v>
      </c>
    </row>
    <row r="44" spans="1:10" ht="14.4" customHeight="1">
      <c r="A44" s="7207" t="s">
        <v>1062</v>
      </c>
      <c r="B44" s="9614">
        <v>3</v>
      </c>
      <c r="C44" s="9614">
        <v>2</v>
      </c>
      <c r="D44" s="9617">
        <v>399036</v>
      </c>
      <c r="E44" s="9617">
        <v>411084</v>
      </c>
      <c r="F44" s="9951">
        <v>432192</v>
      </c>
      <c r="I44" s="7198">
        <f t="shared" si="0"/>
        <v>36016</v>
      </c>
    </row>
    <row r="45" spans="1:10" ht="14.4" customHeight="1">
      <c r="A45" s="7207" t="s">
        <v>1063</v>
      </c>
      <c r="B45" s="9614">
        <v>4</v>
      </c>
      <c r="C45" s="9614">
        <v>1</v>
      </c>
      <c r="D45" s="9617">
        <v>612312</v>
      </c>
      <c r="E45" s="9617">
        <v>382848</v>
      </c>
      <c r="F45" s="9951">
        <v>536904</v>
      </c>
      <c r="I45" s="7198">
        <f>F45/12</f>
        <v>44742</v>
      </c>
      <c r="J45" s="7198">
        <f>SUM(F33:F45)</f>
        <v>2347248</v>
      </c>
    </row>
    <row r="46" spans="1:10" ht="14.4" customHeight="1" thickBot="1">
      <c r="A46" s="9709"/>
      <c r="B46" s="9633"/>
      <c r="C46" s="9633"/>
      <c r="D46" s="9618"/>
      <c r="E46" s="9618"/>
      <c r="F46" s="9754"/>
      <c r="G46" s="7196">
        <f>SUM(B33:B46)</f>
        <v>14</v>
      </c>
      <c r="H46" s="7198">
        <f>SUM(F33:F46)</f>
        <v>2347248</v>
      </c>
    </row>
    <row r="47" spans="1:10" ht="14.4" customHeight="1" thickBot="1">
      <c r="A47" s="10422" t="s">
        <v>1064</v>
      </c>
      <c r="B47" s="10429">
        <f>SUM(B9:B45)</f>
        <v>28</v>
      </c>
      <c r="C47" s="10429"/>
      <c r="D47" s="10415">
        <f>SUM(D10:D46)</f>
        <v>7875960</v>
      </c>
      <c r="E47" s="10415">
        <f>SUM(E10:E46)</f>
        <v>7556484</v>
      </c>
      <c r="F47" s="10722">
        <f>SUM(F10:F46)</f>
        <v>8539020</v>
      </c>
    </row>
    <row r="48" spans="1:10" ht="14.4" customHeight="1">
      <c r="A48" s="9715"/>
      <c r="B48" s="10716"/>
      <c r="C48" s="10716"/>
      <c r="D48" s="10723"/>
      <c r="E48" s="10723"/>
      <c r="F48" s="10724"/>
    </row>
    <row r="49" spans="1:8" ht="14.4" customHeight="1">
      <c r="A49" s="7209" t="s">
        <v>1065</v>
      </c>
      <c r="B49" s="9614" t="s">
        <v>9</v>
      </c>
      <c r="C49" s="9614"/>
      <c r="D49" s="9617"/>
      <c r="E49" s="9617"/>
      <c r="F49" s="9951"/>
    </row>
    <row r="50" spans="1:8" ht="14.4" hidden="1" customHeight="1">
      <c r="A50" s="7207" t="s">
        <v>10374</v>
      </c>
      <c r="B50" s="9614">
        <v>0</v>
      </c>
      <c r="C50" s="9614">
        <v>24</v>
      </c>
      <c r="D50" s="9617">
        <v>0</v>
      </c>
      <c r="E50" s="9617">
        <v>0</v>
      </c>
      <c r="F50" s="9951">
        <v>0</v>
      </c>
    </row>
    <row r="51" spans="1:8" ht="14.4" hidden="1" customHeight="1">
      <c r="A51" s="7209" t="s">
        <v>10416</v>
      </c>
      <c r="B51" s="9614">
        <v>0</v>
      </c>
      <c r="C51" s="9614">
        <v>22</v>
      </c>
      <c r="D51" s="9617">
        <v>0</v>
      </c>
      <c r="E51" s="9617">
        <v>0</v>
      </c>
      <c r="F51" s="9951">
        <v>0</v>
      </c>
    </row>
    <row r="52" spans="1:8" ht="14.4" hidden="1" customHeight="1">
      <c r="A52" s="7207" t="s">
        <v>11662</v>
      </c>
      <c r="B52" s="9614">
        <v>0</v>
      </c>
      <c r="C52" s="9614">
        <v>22</v>
      </c>
      <c r="D52" s="9617">
        <v>0</v>
      </c>
      <c r="E52" s="9617">
        <v>0</v>
      </c>
      <c r="F52" s="9951">
        <v>0</v>
      </c>
    </row>
    <row r="53" spans="1:8" ht="14.4" customHeight="1">
      <c r="A53" s="7207" t="s">
        <v>1044</v>
      </c>
      <c r="B53" s="9614">
        <v>0</v>
      </c>
      <c r="C53" s="9614">
        <v>22</v>
      </c>
      <c r="D53" s="9617">
        <v>0</v>
      </c>
      <c r="E53" s="9617">
        <v>1409208</v>
      </c>
      <c r="F53" s="9951">
        <v>0</v>
      </c>
      <c r="H53" s="7198">
        <f t="shared" ref="H53:H74" si="1">F53/12</f>
        <v>0</v>
      </c>
    </row>
    <row r="54" spans="1:8" ht="14.4" hidden="1" customHeight="1">
      <c r="A54" s="7207" t="s">
        <v>1066</v>
      </c>
      <c r="B54" s="9614">
        <v>0</v>
      </c>
      <c r="C54" s="9614">
        <v>11</v>
      </c>
      <c r="D54" s="9617">
        <v>0</v>
      </c>
      <c r="E54" s="9617">
        <v>0</v>
      </c>
      <c r="F54" s="9951">
        <v>0</v>
      </c>
      <c r="H54" s="7198">
        <f t="shared" si="1"/>
        <v>0</v>
      </c>
    </row>
    <row r="55" spans="1:8" ht="14.4" hidden="1" customHeight="1">
      <c r="A55" s="7207" t="s">
        <v>4972</v>
      </c>
      <c r="B55" s="9614">
        <v>0</v>
      </c>
      <c r="C55" s="9614">
        <v>7</v>
      </c>
      <c r="D55" s="9617">
        <v>0</v>
      </c>
      <c r="E55" s="9617">
        <v>0</v>
      </c>
      <c r="F55" s="9951">
        <v>0</v>
      </c>
      <c r="H55" s="7198">
        <f t="shared" si="1"/>
        <v>0</v>
      </c>
    </row>
    <row r="56" spans="1:8" ht="14.4" hidden="1" customHeight="1">
      <c r="A56" s="7207" t="s">
        <v>11670</v>
      </c>
      <c r="B56" s="9614">
        <v>0</v>
      </c>
      <c r="C56" s="9614">
        <v>11</v>
      </c>
      <c r="D56" s="9617">
        <v>0</v>
      </c>
      <c r="E56" s="9617">
        <v>0</v>
      </c>
      <c r="F56" s="9951">
        <v>0</v>
      </c>
      <c r="H56" s="7198"/>
    </row>
    <row r="57" spans="1:8" ht="14.4" hidden="1" customHeight="1">
      <c r="A57" s="7207" t="s">
        <v>11663</v>
      </c>
      <c r="B57" s="9614">
        <v>0</v>
      </c>
      <c r="C57" s="9614">
        <v>7</v>
      </c>
      <c r="D57" s="9617">
        <v>0</v>
      </c>
      <c r="E57" s="9617">
        <v>0</v>
      </c>
      <c r="F57" s="9951">
        <v>0</v>
      </c>
      <c r="H57" s="7198"/>
    </row>
    <row r="58" spans="1:8" ht="14.4" customHeight="1">
      <c r="A58" s="7207" t="s">
        <v>1067</v>
      </c>
      <c r="B58" s="9614">
        <v>0</v>
      </c>
      <c r="C58" s="9614">
        <v>5</v>
      </c>
      <c r="D58" s="9617">
        <v>155700</v>
      </c>
      <c r="E58" s="9617">
        <v>0</v>
      </c>
      <c r="F58" s="9951">
        <v>0</v>
      </c>
      <c r="H58" s="7198">
        <f t="shared" si="1"/>
        <v>0</v>
      </c>
    </row>
    <row r="59" spans="1:8" ht="14.4" hidden="1" customHeight="1">
      <c r="A59" s="7207" t="s">
        <v>1068</v>
      </c>
      <c r="B59" s="9614">
        <v>0</v>
      </c>
      <c r="C59" s="9614">
        <v>11</v>
      </c>
      <c r="D59" s="9617">
        <v>0</v>
      </c>
      <c r="E59" s="9617">
        <v>0</v>
      </c>
      <c r="F59" s="9951">
        <v>0</v>
      </c>
      <c r="H59" s="7198">
        <f t="shared" si="1"/>
        <v>0</v>
      </c>
    </row>
    <row r="60" spans="1:8" ht="14.4" hidden="1" customHeight="1">
      <c r="A60" s="7207" t="s">
        <v>1069</v>
      </c>
      <c r="B60" s="9614">
        <v>0</v>
      </c>
      <c r="C60" s="9614">
        <v>6</v>
      </c>
      <c r="D60" s="9617">
        <v>0</v>
      </c>
      <c r="E60" s="9617">
        <v>0</v>
      </c>
      <c r="F60" s="9951">
        <v>0</v>
      </c>
      <c r="H60" s="7198">
        <f t="shared" si="1"/>
        <v>0</v>
      </c>
    </row>
    <row r="61" spans="1:8" ht="14.4" hidden="1" customHeight="1">
      <c r="A61" s="7207" t="s">
        <v>7226</v>
      </c>
      <c r="B61" s="9614">
        <v>0</v>
      </c>
      <c r="C61" s="9614">
        <v>6</v>
      </c>
      <c r="D61" s="9617"/>
      <c r="E61" s="9617"/>
      <c r="F61" s="9951"/>
      <c r="H61" s="7198">
        <f t="shared" si="1"/>
        <v>0</v>
      </c>
    </row>
    <row r="62" spans="1:8" ht="14.4" hidden="1" customHeight="1">
      <c r="A62" s="7207" t="s">
        <v>1070</v>
      </c>
      <c r="B62" s="9614">
        <v>0</v>
      </c>
      <c r="C62" s="9614">
        <v>4</v>
      </c>
      <c r="D62" s="9617">
        <v>0</v>
      </c>
      <c r="E62" s="9617">
        <v>0</v>
      </c>
      <c r="F62" s="9951">
        <v>0</v>
      </c>
      <c r="H62" s="7198">
        <f t="shared" si="1"/>
        <v>0</v>
      </c>
    </row>
    <row r="63" spans="1:8" ht="14.4" hidden="1" customHeight="1">
      <c r="A63" s="7207" t="s">
        <v>1071</v>
      </c>
      <c r="B63" s="9614">
        <v>0</v>
      </c>
      <c r="C63" s="9614">
        <v>18</v>
      </c>
      <c r="D63" s="9617">
        <v>0</v>
      </c>
      <c r="E63" s="9617">
        <v>0</v>
      </c>
      <c r="F63" s="9951">
        <v>0</v>
      </c>
      <c r="H63" s="7198">
        <f t="shared" si="1"/>
        <v>0</v>
      </c>
    </row>
    <row r="64" spans="1:8" ht="14.4" hidden="1" customHeight="1">
      <c r="A64" s="7207" t="s">
        <v>11664</v>
      </c>
      <c r="B64" s="9614">
        <v>0</v>
      </c>
      <c r="C64" s="9614">
        <v>11</v>
      </c>
      <c r="D64" s="9617">
        <v>0</v>
      </c>
      <c r="E64" s="9617">
        <v>0</v>
      </c>
      <c r="F64" s="9951">
        <v>0</v>
      </c>
      <c r="H64" s="7198"/>
    </row>
    <row r="65" spans="1:8" ht="14.4" hidden="1" customHeight="1">
      <c r="A65" s="7207" t="s">
        <v>11665</v>
      </c>
      <c r="B65" s="9614">
        <v>0</v>
      </c>
      <c r="C65" s="9614">
        <v>6</v>
      </c>
      <c r="D65" s="9617">
        <v>0</v>
      </c>
      <c r="E65" s="9617">
        <v>0</v>
      </c>
      <c r="F65" s="9951">
        <v>0</v>
      </c>
      <c r="H65" s="7198"/>
    </row>
    <row r="66" spans="1:8" ht="14.4" hidden="1" customHeight="1">
      <c r="A66" s="7207" t="s">
        <v>11666</v>
      </c>
      <c r="B66" s="9614">
        <v>0</v>
      </c>
      <c r="C66" s="9614">
        <v>6</v>
      </c>
      <c r="D66" s="9617">
        <v>0</v>
      </c>
      <c r="E66" s="9617">
        <v>0</v>
      </c>
      <c r="F66" s="9951">
        <v>0</v>
      </c>
      <c r="H66" s="7198"/>
    </row>
    <row r="67" spans="1:8" ht="14.4" hidden="1" customHeight="1">
      <c r="A67" s="7207" t="s">
        <v>11667</v>
      </c>
      <c r="B67" s="9614">
        <v>0</v>
      </c>
      <c r="C67" s="9614">
        <v>4</v>
      </c>
      <c r="D67" s="9617">
        <v>0</v>
      </c>
      <c r="E67" s="9617">
        <v>0</v>
      </c>
      <c r="F67" s="9951">
        <v>0</v>
      </c>
      <c r="H67" s="7198"/>
    </row>
    <row r="68" spans="1:8" ht="14.4" hidden="1" customHeight="1">
      <c r="A68" s="7207" t="s">
        <v>1055</v>
      </c>
      <c r="B68" s="9614">
        <v>0</v>
      </c>
      <c r="C68" s="9614">
        <v>18</v>
      </c>
      <c r="D68" s="9617">
        <v>0</v>
      </c>
      <c r="E68" s="9617">
        <v>0</v>
      </c>
      <c r="F68" s="9951">
        <v>0</v>
      </c>
      <c r="H68" s="7198"/>
    </row>
    <row r="69" spans="1:8" ht="14.4" customHeight="1">
      <c r="A69" s="7207" t="s">
        <v>11284</v>
      </c>
      <c r="B69" s="9614">
        <v>0</v>
      </c>
      <c r="C69" s="9614">
        <v>15</v>
      </c>
      <c r="D69" s="10417">
        <v>330780</v>
      </c>
      <c r="E69" s="10417">
        <v>0</v>
      </c>
      <c r="F69" s="10404">
        <v>0</v>
      </c>
      <c r="H69" s="7198">
        <f t="shared" si="1"/>
        <v>0</v>
      </c>
    </row>
    <row r="70" spans="1:8" ht="14.4" hidden="1" customHeight="1">
      <c r="A70" s="7207" t="s">
        <v>11668</v>
      </c>
      <c r="B70" s="9614">
        <v>0</v>
      </c>
      <c r="C70" s="9614">
        <v>11</v>
      </c>
      <c r="D70" s="9617">
        <v>0</v>
      </c>
      <c r="E70" s="9617">
        <v>0</v>
      </c>
      <c r="F70" s="9951">
        <v>0</v>
      </c>
      <c r="H70" s="7198"/>
    </row>
    <row r="71" spans="1:8" ht="14.4" hidden="1" customHeight="1">
      <c r="A71" s="7207" t="s">
        <v>11669</v>
      </c>
      <c r="B71" s="9614">
        <v>0</v>
      </c>
      <c r="C71" s="9614">
        <v>8</v>
      </c>
      <c r="D71" s="9617">
        <v>0</v>
      </c>
      <c r="E71" s="9617">
        <v>0</v>
      </c>
      <c r="F71" s="9951">
        <v>0</v>
      </c>
      <c r="H71" s="7198"/>
    </row>
    <row r="72" spans="1:8" ht="14.4" customHeight="1">
      <c r="A72" s="7207" t="s">
        <v>1059</v>
      </c>
      <c r="B72" s="9614">
        <v>0</v>
      </c>
      <c r="C72" s="9614">
        <v>6</v>
      </c>
      <c r="D72" s="9617">
        <v>0</v>
      </c>
      <c r="E72" s="9617">
        <v>172080</v>
      </c>
      <c r="F72" s="9951">
        <v>0</v>
      </c>
      <c r="H72" s="7198">
        <f t="shared" si="1"/>
        <v>0</v>
      </c>
    </row>
    <row r="73" spans="1:8" ht="14.4" customHeight="1">
      <c r="A73" s="7207" t="s">
        <v>1060</v>
      </c>
      <c r="B73" s="9614">
        <v>0</v>
      </c>
      <c r="C73" s="9614">
        <v>4</v>
      </c>
      <c r="D73" s="9617">
        <v>0</v>
      </c>
      <c r="E73" s="9617">
        <v>152088</v>
      </c>
      <c r="F73" s="9951">
        <v>0</v>
      </c>
      <c r="H73" s="7198">
        <f t="shared" si="1"/>
        <v>0</v>
      </c>
    </row>
    <row r="74" spans="1:8" ht="14.4" customHeight="1">
      <c r="A74" s="7207" t="s">
        <v>10689</v>
      </c>
      <c r="B74" s="9614">
        <v>1</v>
      </c>
      <c r="C74" s="9614">
        <v>3</v>
      </c>
      <c r="D74" s="9617">
        <v>546576</v>
      </c>
      <c r="E74" s="9617">
        <v>142968</v>
      </c>
      <c r="F74" s="9951">
        <v>149592</v>
      </c>
      <c r="H74" s="7198">
        <f t="shared" si="1"/>
        <v>12466</v>
      </c>
    </row>
    <row r="75" spans="1:8" ht="14.4" hidden="1" customHeight="1">
      <c r="A75" s="7207" t="s">
        <v>1061</v>
      </c>
      <c r="B75" s="9614">
        <v>0</v>
      </c>
      <c r="C75" s="9614">
        <v>3</v>
      </c>
      <c r="D75" s="9617">
        <v>0</v>
      </c>
      <c r="E75" s="9617">
        <v>0</v>
      </c>
      <c r="F75" s="9951">
        <v>0</v>
      </c>
    </row>
    <row r="76" spans="1:8" ht="14.4" hidden="1" customHeight="1">
      <c r="A76" s="7207" t="s">
        <v>1072</v>
      </c>
      <c r="B76" s="9614">
        <v>0</v>
      </c>
      <c r="C76" s="9614">
        <v>2</v>
      </c>
      <c r="D76" s="9617"/>
      <c r="E76" s="9617"/>
      <c r="F76" s="9951"/>
    </row>
    <row r="77" spans="1:8" ht="14.4" customHeight="1">
      <c r="A77" s="7207" t="s">
        <v>1063</v>
      </c>
      <c r="B77" s="9614">
        <v>3</v>
      </c>
      <c r="C77" s="9614">
        <v>1</v>
      </c>
      <c r="D77" s="9617">
        <v>0</v>
      </c>
      <c r="E77" s="9617">
        <v>504480</v>
      </c>
      <c r="F77" s="9951">
        <v>398448</v>
      </c>
      <c r="H77" s="7198">
        <f>F77/12</f>
        <v>33204</v>
      </c>
    </row>
    <row r="78" spans="1:8" ht="14.4" customHeight="1" thickBot="1">
      <c r="A78" s="7207"/>
      <c r="B78" s="9614"/>
      <c r="C78" s="9614"/>
      <c r="D78" s="9617"/>
      <c r="E78" s="9617"/>
      <c r="F78" s="9951"/>
    </row>
    <row r="79" spans="1:8" ht="14.4" customHeight="1" thickBot="1">
      <c r="A79" s="7209" t="s">
        <v>4774</v>
      </c>
      <c r="B79" s="10725">
        <f>SUM(B50:B78)</f>
        <v>4</v>
      </c>
      <c r="C79" s="10429"/>
      <c r="D79" s="10415">
        <f>SUM(D50:D78)</f>
        <v>1033056</v>
      </c>
      <c r="E79" s="10415">
        <f>SUM(E50:E78)</f>
        <v>2380824</v>
      </c>
      <c r="F79" s="10722">
        <f>SUM(F50:F78)</f>
        <v>548040</v>
      </c>
    </row>
    <row r="80" spans="1:8" ht="14.4" customHeight="1" thickBot="1">
      <c r="A80" s="9709"/>
      <c r="B80" s="9614"/>
      <c r="C80" s="9614"/>
      <c r="D80" s="9617"/>
      <c r="E80" s="9617"/>
      <c r="F80" s="9951"/>
    </row>
    <row r="81" spans="1:10" ht="14.4" customHeight="1" thickBot="1">
      <c r="A81" s="10422" t="s">
        <v>1074</v>
      </c>
      <c r="B81" s="10725">
        <f>SUM(B47+B79)</f>
        <v>32</v>
      </c>
      <c r="C81" s="10414"/>
      <c r="D81" s="10419">
        <f>SUM(D47+D79)</f>
        <v>8909016</v>
      </c>
      <c r="E81" s="10419">
        <f>SUM(E47+E79)</f>
        <v>9937308</v>
      </c>
      <c r="F81" s="10420">
        <f>SUM(F47+F79)</f>
        <v>9087060</v>
      </c>
      <c r="J81" s="7198">
        <f>F81-7867692</f>
        <v>1219368</v>
      </c>
    </row>
    <row r="82" spans="1:10" ht="14.4" customHeight="1">
      <c r="A82" s="10727" t="s">
        <v>9</v>
      </c>
      <c r="B82" s="10728"/>
      <c r="C82" s="10727"/>
      <c r="D82" s="10727"/>
      <c r="E82" s="10727"/>
      <c r="F82" s="10727"/>
    </row>
    <row r="83" spans="1:10" ht="14.4" customHeight="1">
      <c r="A83" s="7201" t="s">
        <v>9</v>
      </c>
      <c r="B83" s="7200"/>
      <c r="C83" s="7199"/>
      <c r="D83" s="7199"/>
      <c r="E83" s="7199"/>
      <c r="F83" s="7199"/>
    </row>
    <row r="84" spans="1:10" ht="14.4" customHeight="1">
      <c r="A84" s="7201"/>
      <c r="B84" s="7200"/>
      <c r="C84" s="7199"/>
      <c r="D84" s="7199"/>
      <c r="E84" s="7199"/>
      <c r="F84" s="7199"/>
    </row>
    <row r="85" spans="1:10" ht="14.4" customHeight="1">
      <c r="A85" s="7201"/>
      <c r="B85" s="7200"/>
      <c r="C85" s="7199"/>
      <c r="D85" s="7199"/>
      <c r="E85" s="7199"/>
      <c r="F85" s="7199"/>
    </row>
    <row r="86" spans="1:10" ht="14.4" customHeight="1" thickBot="1">
      <c r="A86" s="10730" t="s">
        <v>3157</v>
      </c>
      <c r="B86" s="10729"/>
      <c r="C86" s="10730"/>
      <c r="D86" s="10730"/>
      <c r="E86" s="10730"/>
      <c r="F86" s="10730"/>
    </row>
    <row r="87" spans="1:10" ht="14.4" customHeight="1">
      <c r="A87" s="7209" t="s">
        <v>1075</v>
      </c>
      <c r="B87" s="9614"/>
      <c r="C87" s="9615"/>
      <c r="D87" s="9615"/>
      <c r="E87" s="9621"/>
      <c r="F87" s="10400"/>
    </row>
    <row r="88" spans="1:10" ht="14.4" customHeight="1">
      <c r="A88" s="7209" t="s">
        <v>1076</v>
      </c>
      <c r="B88" s="9614"/>
      <c r="C88" s="9615"/>
      <c r="D88" s="9615"/>
      <c r="E88" s="9615"/>
      <c r="F88" s="10406"/>
    </row>
    <row r="89" spans="1:10" ht="14.4" customHeight="1">
      <c r="A89" s="7207" t="s">
        <v>1077</v>
      </c>
      <c r="B89" s="9614"/>
      <c r="C89" s="9615"/>
      <c r="D89" s="9615"/>
      <c r="E89" s="9615"/>
      <c r="F89" s="10406"/>
    </row>
    <row r="90" spans="1:10" ht="14.4" customHeight="1">
      <c r="A90" s="7207" t="s">
        <v>1078</v>
      </c>
      <c r="B90" s="9614"/>
      <c r="C90" s="9615"/>
      <c r="D90" s="9615"/>
      <c r="E90" s="9615"/>
      <c r="F90" s="10406"/>
    </row>
    <row r="91" spans="1:10" ht="14.4" customHeight="1">
      <c r="A91" s="7207" t="s">
        <v>1079</v>
      </c>
      <c r="B91" s="9614"/>
      <c r="C91" s="9615"/>
      <c r="D91" s="9615"/>
      <c r="E91" s="9615"/>
      <c r="F91" s="10406"/>
    </row>
    <row r="92" spans="1:10" ht="14.4" customHeight="1">
      <c r="A92" s="7207" t="s">
        <v>10697</v>
      </c>
      <c r="B92" s="9614">
        <v>3</v>
      </c>
      <c r="C92" s="9615"/>
      <c r="D92" s="9615"/>
      <c r="E92" s="9615"/>
      <c r="F92" s="10406"/>
    </row>
    <row r="93" spans="1:10" ht="14.4" customHeight="1">
      <c r="A93" s="7207" t="s">
        <v>10707</v>
      </c>
      <c r="B93" s="9614"/>
      <c r="C93" s="9615"/>
      <c r="D93" s="9615"/>
      <c r="E93" s="9615"/>
      <c r="F93" s="10406"/>
    </row>
    <row r="94" spans="1:10" ht="14.4" customHeight="1">
      <c r="A94" s="7207" t="s">
        <v>1080</v>
      </c>
      <c r="B94" s="9614"/>
      <c r="C94" s="9615"/>
      <c r="D94" s="9615"/>
      <c r="E94" s="9615"/>
      <c r="F94" s="10406"/>
    </row>
    <row r="95" spans="1:10" ht="14.4" customHeight="1">
      <c r="A95" s="7207" t="s">
        <v>1081</v>
      </c>
      <c r="B95" s="9614"/>
      <c r="C95" s="9615"/>
      <c r="D95" s="9615"/>
      <c r="E95" s="9615"/>
      <c r="F95" s="10406"/>
    </row>
    <row r="96" spans="1:10" ht="14.4" customHeight="1">
      <c r="A96" s="7207" t="s">
        <v>1082</v>
      </c>
      <c r="B96" s="9614"/>
      <c r="C96" s="9615"/>
      <c r="D96" s="9615"/>
      <c r="E96" s="9615"/>
      <c r="F96" s="10406"/>
    </row>
    <row r="97" spans="1:6" ht="14.4" customHeight="1" thickBot="1">
      <c r="A97" s="7207"/>
      <c r="B97" s="9614"/>
      <c r="C97" s="9615"/>
      <c r="D97" s="9615"/>
      <c r="E97" s="9615"/>
      <c r="F97" s="10406"/>
    </row>
    <row r="98" spans="1:6" ht="14.4" customHeight="1" thickBot="1">
      <c r="A98" s="7209" t="s">
        <v>1083</v>
      </c>
      <c r="B98" s="10429"/>
      <c r="C98" s="10414"/>
      <c r="D98" s="10414"/>
      <c r="E98" s="10414"/>
      <c r="F98" s="10726"/>
    </row>
    <row r="99" spans="1:6" ht="14.4" customHeight="1">
      <c r="A99" s="7207"/>
      <c r="B99" s="9614"/>
      <c r="C99" s="9615"/>
      <c r="D99" s="9615"/>
      <c r="E99" s="9615"/>
      <c r="F99" s="10406"/>
    </row>
    <row r="100" spans="1:6" ht="14.4" customHeight="1">
      <c r="A100" s="7207" t="s">
        <v>1084</v>
      </c>
      <c r="B100" s="9614"/>
      <c r="C100" s="9615"/>
      <c r="D100" s="9615"/>
      <c r="E100" s="9615"/>
      <c r="F100" s="10406"/>
    </row>
    <row r="101" spans="1:6" ht="14.4" customHeight="1">
      <c r="A101" s="7207" t="s">
        <v>1085</v>
      </c>
      <c r="B101" s="9614"/>
      <c r="C101" s="9615"/>
      <c r="D101" s="9615"/>
      <c r="E101" s="9615"/>
      <c r="F101" s="10406"/>
    </row>
    <row r="102" spans="1:6" ht="14.4" customHeight="1">
      <c r="A102" s="7207"/>
      <c r="B102" s="9614"/>
      <c r="C102" s="9615"/>
      <c r="D102" s="9615"/>
      <c r="E102" s="9615"/>
      <c r="F102" s="10406"/>
    </row>
    <row r="103" spans="1:6" ht="14.4" customHeight="1" thickBot="1">
      <c r="A103" s="7207"/>
      <c r="B103" s="9614"/>
      <c r="C103" s="9615"/>
      <c r="D103" s="9615"/>
      <c r="E103" s="9615"/>
      <c r="F103" s="10406"/>
    </row>
    <row r="104" spans="1:6" ht="14.4" customHeight="1" thickBot="1">
      <c r="A104" s="10422" t="s">
        <v>1086</v>
      </c>
      <c r="B104" s="10429"/>
      <c r="C104" s="10414"/>
      <c r="D104" s="10414"/>
      <c r="E104" s="10414"/>
      <c r="F104" s="10726"/>
    </row>
    <row r="105" spans="1:6" ht="14.4" customHeight="1">
      <c r="A105" s="7199"/>
      <c r="B105" s="7200"/>
      <c r="C105" s="7199"/>
      <c r="D105" s="7199"/>
      <c r="E105" s="7199"/>
      <c r="F105" s="7199"/>
    </row>
    <row r="106" spans="1:6" ht="14.4" customHeight="1">
      <c r="A106" s="7199"/>
      <c r="B106" s="7200"/>
      <c r="C106" s="7199"/>
      <c r="D106" s="7199"/>
      <c r="E106" s="7199"/>
      <c r="F106" s="7199"/>
    </row>
  </sheetData>
  <mergeCells count="4">
    <mergeCell ref="A3:F3"/>
    <mergeCell ref="B5:B6"/>
    <mergeCell ref="D5:F5"/>
    <mergeCell ref="A1:F1"/>
  </mergeCells>
  <printOptions horizontalCentered="1"/>
  <pageMargins left="0.25" right="0.25" top="0.5" bottom="0.5" header="0.3" footer="0.3"/>
  <pageSetup paperSize="119" firstPageNumber="34" orientation="portrait" useFirstPageNumber="1" r:id="rId1"/>
</worksheet>
</file>

<file path=xl/worksheets/sheet27.xml><?xml version="1.0" encoding="utf-8"?>
<worksheet xmlns="http://schemas.openxmlformats.org/spreadsheetml/2006/main" xmlns:r="http://schemas.openxmlformats.org/officeDocument/2006/relationships">
  <sheetPr codeName="Sheet19">
    <tabColor rgb="FFFFFF00"/>
  </sheetPr>
  <dimension ref="A1:G210"/>
  <sheetViews>
    <sheetView showGridLines="0" workbookViewId="0">
      <selection activeCell="B8" sqref="B8"/>
    </sheetView>
  </sheetViews>
  <sheetFormatPr defaultColWidth="20.44140625" defaultRowHeight="13.8"/>
  <cols>
    <col min="1" max="1" width="4.88671875" style="2694" customWidth="1"/>
    <col min="2" max="2" width="32" style="2694" customWidth="1"/>
    <col min="3" max="3" width="13.88671875" style="2759" customWidth="1"/>
    <col min="4" max="4" width="21.44140625" style="2758" customWidth="1"/>
    <col min="5" max="5" width="13.109375" style="2758" customWidth="1"/>
    <col min="6" max="6" width="6.109375" style="2694" customWidth="1"/>
    <col min="7" max="7" width="6.44140625" style="2694" customWidth="1"/>
    <col min="8" max="256" width="20.44140625" style="2694"/>
    <col min="257" max="257" width="9.88671875" style="2694" customWidth="1"/>
    <col min="258" max="258" width="37.88671875" style="2694" customWidth="1"/>
    <col min="259" max="259" width="14.44140625" style="2694" customWidth="1"/>
    <col min="260" max="260" width="20.109375" style="2694" customWidth="1"/>
    <col min="261" max="261" width="13.44140625" style="2694" customWidth="1"/>
    <col min="262" max="262" width="7.88671875" style="2694" customWidth="1"/>
    <col min="263" max="263" width="10" style="2694" customWidth="1"/>
    <col min="264" max="512" width="20.44140625" style="2694"/>
    <col min="513" max="513" width="9.88671875" style="2694" customWidth="1"/>
    <col min="514" max="514" width="37.88671875" style="2694" customWidth="1"/>
    <col min="515" max="515" width="14.44140625" style="2694" customWidth="1"/>
    <col min="516" max="516" width="20.109375" style="2694" customWidth="1"/>
    <col min="517" max="517" width="13.44140625" style="2694" customWidth="1"/>
    <col min="518" max="518" width="7.88671875" style="2694" customWidth="1"/>
    <col min="519" max="519" width="10" style="2694" customWidth="1"/>
    <col min="520" max="768" width="20.44140625" style="2694"/>
    <col min="769" max="769" width="9.88671875" style="2694" customWidth="1"/>
    <col min="770" max="770" width="37.88671875" style="2694" customWidth="1"/>
    <col min="771" max="771" width="14.44140625" style="2694" customWidth="1"/>
    <col min="772" max="772" width="20.109375" style="2694" customWidth="1"/>
    <col min="773" max="773" width="13.44140625" style="2694" customWidth="1"/>
    <col min="774" max="774" width="7.88671875" style="2694" customWidth="1"/>
    <col min="775" max="775" width="10" style="2694" customWidth="1"/>
    <col min="776" max="1024" width="20.44140625" style="2694"/>
    <col min="1025" max="1025" width="9.88671875" style="2694" customWidth="1"/>
    <col min="1026" max="1026" width="37.88671875" style="2694" customWidth="1"/>
    <col min="1027" max="1027" width="14.44140625" style="2694" customWidth="1"/>
    <col min="1028" max="1028" width="20.109375" style="2694" customWidth="1"/>
    <col min="1029" max="1029" width="13.44140625" style="2694" customWidth="1"/>
    <col min="1030" max="1030" width="7.88671875" style="2694" customWidth="1"/>
    <col min="1031" max="1031" width="10" style="2694" customWidth="1"/>
    <col min="1032" max="1280" width="20.44140625" style="2694"/>
    <col min="1281" max="1281" width="9.88671875" style="2694" customWidth="1"/>
    <col min="1282" max="1282" width="37.88671875" style="2694" customWidth="1"/>
    <col min="1283" max="1283" width="14.44140625" style="2694" customWidth="1"/>
    <col min="1284" max="1284" width="20.109375" style="2694" customWidth="1"/>
    <col min="1285" max="1285" width="13.44140625" style="2694" customWidth="1"/>
    <col min="1286" max="1286" width="7.88671875" style="2694" customWidth="1"/>
    <col min="1287" max="1287" width="10" style="2694" customWidth="1"/>
    <col min="1288" max="1536" width="20.44140625" style="2694"/>
    <col min="1537" max="1537" width="9.88671875" style="2694" customWidth="1"/>
    <col min="1538" max="1538" width="37.88671875" style="2694" customWidth="1"/>
    <col min="1539" max="1539" width="14.44140625" style="2694" customWidth="1"/>
    <col min="1540" max="1540" width="20.109375" style="2694" customWidth="1"/>
    <col min="1541" max="1541" width="13.44140625" style="2694" customWidth="1"/>
    <col min="1542" max="1542" width="7.88671875" style="2694" customWidth="1"/>
    <col min="1543" max="1543" width="10" style="2694" customWidth="1"/>
    <col min="1544" max="1792" width="20.44140625" style="2694"/>
    <col min="1793" max="1793" width="9.88671875" style="2694" customWidth="1"/>
    <col min="1794" max="1794" width="37.88671875" style="2694" customWidth="1"/>
    <col min="1795" max="1795" width="14.44140625" style="2694" customWidth="1"/>
    <col min="1796" max="1796" width="20.109375" style="2694" customWidth="1"/>
    <col min="1797" max="1797" width="13.44140625" style="2694" customWidth="1"/>
    <col min="1798" max="1798" width="7.88671875" style="2694" customWidth="1"/>
    <col min="1799" max="1799" width="10" style="2694" customWidth="1"/>
    <col min="1800" max="2048" width="20.44140625" style="2694"/>
    <col min="2049" max="2049" width="9.88671875" style="2694" customWidth="1"/>
    <col min="2050" max="2050" width="37.88671875" style="2694" customWidth="1"/>
    <col min="2051" max="2051" width="14.44140625" style="2694" customWidth="1"/>
    <col min="2052" max="2052" width="20.109375" style="2694" customWidth="1"/>
    <col min="2053" max="2053" width="13.44140625" style="2694" customWidth="1"/>
    <col min="2054" max="2054" width="7.88671875" style="2694" customWidth="1"/>
    <col min="2055" max="2055" width="10" style="2694" customWidth="1"/>
    <col min="2056" max="2304" width="20.44140625" style="2694"/>
    <col min="2305" max="2305" width="9.88671875" style="2694" customWidth="1"/>
    <col min="2306" max="2306" width="37.88671875" style="2694" customWidth="1"/>
    <col min="2307" max="2307" width="14.44140625" style="2694" customWidth="1"/>
    <col min="2308" max="2308" width="20.109375" style="2694" customWidth="1"/>
    <col min="2309" max="2309" width="13.44140625" style="2694" customWidth="1"/>
    <col min="2310" max="2310" width="7.88671875" style="2694" customWidth="1"/>
    <col min="2311" max="2311" width="10" style="2694" customWidth="1"/>
    <col min="2312" max="2560" width="20.44140625" style="2694"/>
    <col min="2561" max="2561" width="9.88671875" style="2694" customWidth="1"/>
    <col min="2562" max="2562" width="37.88671875" style="2694" customWidth="1"/>
    <col min="2563" max="2563" width="14.44140625" style="2694" customWidth="1"/>
    <col min="2564" max="2564" width="20.109375" style="2694" customWidth="1"/>
    <col min="2565" max="2565" width="13.44140625" style="2694" customWidth="1"/>
    <col min="2566" max="2566" width="7.88671875" style="2694" customWidth="1"/>
    <col min="2567" max="2567" width="10" style="2694" customWidth="1"/>
    <col min="2568" max="2816" width="20.44140625" style="2694"/>
    <col min="2817" max="2817" width="9.88671875" style="2694" customWidth="1"/>
    <col min="2818" max="2818" width="37.88671875" style="2694" customWidth="1"/>
    <col min="2819" max="2819" width="14.44140625" style="2694" customWidth="1"/>
    <col min="2820" max="2820" width="20.109375" style="2694" customWidth="1"/>
    <col min="2821" max="2821" width="13.44140625" style="2694" customWidth="1"/>
    <col min="2822" max="2822" width="7.88671875" style="2694" customWidth="1"/>
    <col min="2823" max="2823" width="10" style="2694" customWidth="1"/>
    <col min="2824" max="3072" width="20.44140625" style="2694"/>
    <col min="3073" max="3073" width="9.88671875" style="2694" customWidth="1"/>
    <col min="3074" max="3074" width="37.88671875" style="2694" customWidth="1"/>
    <col min="3075" max="3075" width="14.44140625" style="2694" customWidth="1"/>
    <col min="3076" max="3076" width="20.109375" style="2694" customWidth="1"/>
    <col min="3077" max="3077" width="13.44140625" style="2694" customWidth="1"/>
    <col min="3078" max="3078" width="7.88671875" style="2694" customWidth="1"/>
    <col min="3079" max="3079" width="10" style="2694" customWidth="1"/>
    <col min="3080" max="3328" width="20.44140625" style="2694"/>
    <col min="3329" max="3329" width="9.88671875" style="2694" customWidth="1"/>
    <col min="3330" max="3330" width="37.88671875" style="2694" customWidth="1"/>
    <col min="3331" max="3331" width="14.44140625" style="2694" customWidth="1"/>
    <col min="3332" max="3332" width="20.109375" style="2694" customWidth="1"/>
    <col min="3333" max="3333" width="13.44140625" style="2694" customWidth="1"/>
    <col min="3334" max="3334" width="7.88671875" style="2694" customWidth="1"/>
    <col min="3335" max="3335" width="10" style="2694" customWidth="1"/>
    <col min="3336" max="3584" width="20.44140625" style="2694"/>
    <col min="3585" max="3585" width="9.88671875" style="2694" customWidth="1"/>
    <col min="3586" max="3586" width="37.88671875" style="2694" customWidth="1"/>
    <col min="3587" max="3587" width="14.44140625" style="2694" customWidth="1"/>
    <col min="3588" max="3588" width="20.109375" style="2694" customWidth="1"/>
    <col min="3589" max="3589" width="13.44140625" style="2694" customWidth="1"/>
    <col min="3590" max="3590" width="7.88671875" style="2694" customWidth="1"/>
    <col min="3591" max="3591" width="10" style="2694" customWidth="1"/>
    <col min="3592" max="3840" width="20.44140625" style="2694"/>
    <col min="3841" max="3841" width="9.88671875" style="2694" customWidth="1"/>
    <col min="3842" max="3842" width="37.88671875" style="2694" customWidth="1"/>
    <col min="3843" max="3843" width="14.44140625" style="2694" customWidth="1"/>
    <col min="3844" max="3844" width="20.109375" style="2694" customWidth="1"/>
    <col min="3845" max="3845" width="13.44140625" style="2694" customWidth="1"/>
    <col min="3846" max="3846" width="7.88671875" style="2694" customWidth="1"/>
    <col min="3847" max="3847" width="10" style="2694" customWidth="1"/>
    <col min="3848" max="4096" width="20.44140625" style="2694"/>
    <col min="4097" max="4097" width="9.88671875" style="2694" customWidth="1"/>
    <col min="4098" max="4098" width="37.88671875" style="2694" customWidth="1"/>
    <col min="4099" max="4099" width="14.44140625" style="2694" customWidth="1"/>
    <col min="4100" max="4100" width="20.109375" style="2694" customWidth="1"/>
    <col min="4101" max="4101" width="13.44140625" style="2694" customWidth="1"/>
    <col min="4102" max="4102" width="7.88671875" style="2694" customWidth="1"/>
    <col min="4103" max="4103" width="10" style="2694" customWidth="1"/>
    <col min="4104" max="4352" width="20.44140625" style="2694"/>
    <col min="4353" max="4353" width="9.88671875" style="2694" customWidth="1"/>
    <col min="4354" max="4354" width="37.88671875" style="2694" customWidth="1"/>
    <col min="4355" max="4355" width="14.44140625" style="2694" customWidth="1"/>
    <col min="4356" max="4356" width="20.109375" style="2694" customWidth="1"/>
    <col min="4357" max="4357" width="13.44140625" style="2694" customWidth="1"/>
    <col min="4358" max="4358" width="7.88671875" style="2694" customWidth="1"/>
    <col min="4359" max="4359" width="10" style="2694" customWidth="1"/>
    <col min="4360" max="4608" width="20.44140625" style="2694"/>
    <col min="4609" max="4609" width="9.88671875" style="2694" customWidth="1"/>
    <col min="4610" max="4610" width="37.88671875" style="2694" customWidth="1"/>
    <col min="4611" max="4611" width="14.44140625" style="2694" customWidth="1"/>
    <col min="4612" max="4612" width="20.109375" style="2694" customWidth="1"/>
    <col min="4613" max="4613" width="13.44140625" style="2694" customWidth="1"/>
    <col min="4614" max="4614" width="7.88671875" style="2694" customWidth="1"/>
    <col min="4615" max="4615" width="10" style="2694" customWidth="1"/>
    <col min="4616" max="4864" width="20.44140625" style="2694"/>
    <col min="4865" max="4865" width="9.88671875" style="2694" customWidth="1"/>
    <col min="4866" max="4866" width="37.88671875" style="2694" customWidth="1"/>
    <col min="4867" max="4867" width="14.44140625" style="2694" customWidth="1"/>
    <col min="4868" max="4868" width="20.109375" style="2694" customWidth="1"/>
    <col min="4869" max="4869" width="13.44140625" style="2694" customWidth="1"/>
    <col min="4870" max="4870" width="7.88671875" style="2694" customWidth="1"/>
    <col min="4871" max="4871" width="10" style="2694" customWidth="1"/>
    <col min="4872" max="5120" width="20.44140625" style="2694"/>
    <col min="5121" max="5121" width="9.88671875" style="2694" customWidth="1"/>
    <col min="5122" max="5122" width="37.88671875" style="2694" customWidth="1"/>
    <col min="5123" max="5123" width="14.44140625" style="2694" customWidth="1"/>
    <col min="5124" max="5124" width="20.109375" style="2694" customWidth="1"/>
    <col min="5125" max="5125" width="13.44140625" style="2694" customWidth="1"/>
    <col min="5126" max="5126" width="7.88671875" style="2694" customWidth="1"/>
    <col min="5127" max="5127" width="10" style="2694" customWidth="1"/>
    <col min="5128" max="5376" width="20.44140625" style="2694"/>
    <col min="5377" max="5377" width="9.88671875" style="2694" customWidth="1"/>
    <col min="5378" max="5378" width="37.88671875" style="2694" customWidth="1"/>
    <col min="5379" max="5379" width="14.44140625" style="2694" customWidth="1"/>
    <col min="5380" max="5380" width="20.109375" style="2694" customWidth="1"/>
    <col min="5381" max="5381" width="13.44140625" style="2694" customWidth="1"/>
    <col min="5382" max="5382" width="7.88671875" style="2694" customWidth="1"/>
    <col min="5383" max="5383" width="10" style="2694" customWidth="1"/>
    <col min="5384" max="5632" width="20.44140625" style="2694"/>
    <col min="5633" max="5633" width="9.88671875" style="2694" customWidth="1"/>
    <col min="5634" max="5634" width="37.88671875" style="2694" customWidth="1"/>
    <col min="5635" max="5635" width="14.44140625" style="2694" customWidth="1"/>
    <col min="5636" max="5636" width="20.109375" style="2694" customWidth="1"/>
    <col min="5637" max="5637" width="13.44140625" style="2694" customWidth="1"/>
    <col min="5638" max="5638" width="7.88671875" style="2694" customWidth="1"/>
    <col min="5639" max="5639" width="10" style="2694" customWidth="1"/>
    <col min="5640" max="5888" width="20.44140625" style="2694"/>
    <col min="5889" max="5889" width="9.88671875" style="2694" customWidth="1"/>
    <col min="5890" max="5890" width="37.88671875" style="2694" customWidth="1"/>
    <col min="5891" max="5891" width="14.44140625" style="2694" customWidth="1"/>
    <col min="5892" max="5892" width="20.109375" style="2694" customWidth="1"/>
    <col min="5893" max="5893" width="13.44140625" style="2694" customWidth="1"/>
    <col min="5894" max="5894" width="7.88671875" style="2694" customWidth="1"/>
    <col min="5895" max="5895" width="10" style="2694" customWidth="1"/>
    <col min="5896" max="6144" width="20.44140625" style="2694"/>
    <col min="6145" max="6145" width="9.88671875" style="2694" customWidth="1"/>
    <col min="6146" max="6146" width="37.88671875" style="2694" customWidth="1"/>
    <col min="6147" max="6147" width="14.44140625" style="2694" customWidth="1"/>
    <col min="6148" max="6148" width="20.109375" style="2694" customWidth="1"/>
    <col min="6149" max="6149" width="13.44140625" style="2694" customWidth="1"/>
    <col min="6150" max="6150" width="7.88671875" style="2694" customWidth="1"/>
    <col min="6151" max="6151" width="10" style="2694" customWidth="1"/>
    <col min="6152" max="6400" width="20.44140625" style="2694"/>
    <col min="6401" max="6401" width="9.88671875" style="2694" customWidth="1"/>
    <col min="6402" max="6402" width="37.88671875" style="2694" customWidth="1"/>
    <col min="6403" max="6403" width="14.44140625" style="2694" customWidth="1"/>
    <col min="6404" max="6404" width="20.109375" style="2694" customWidth="1"/>
    <col min="6405" max="6405" width="13.44140625" style="2694" customWidth="1"/>
    <col min="6406" max="6406" width="7.88671875" style="2694" customWidth="1"/>
    <col min="6407" max="6407" width="10" style="2694" customWidth="1"/>
    <col min="6408" max="6656" width="20.44140625" style="2694"/>
    <col min="6657" max="6657" width="9.88671875" style="2694" customWidth="1"/>
    <col min="6658" max="6658" width="37.88671875" style="2694" customWidth="1"/>
    <col min="6659" max="6659" width="14.44140625" style="2694" customWidth="1"/>
    <col min="6660" max="6660" width="20.109375" style="2694" customWidth="1"/>
    <col min="6661" max="6661" width="13.44140625" style="2694" customWidth="1"/>
    <col min="6662" max="6662" width="7.88671875" style="2694" customWidth="1"/>
    <col min="6663" max="6663" width="10" style="2694" customWidth="1"/>
    <col min="6664" max="6912" width="20.44140625" style="2694"/>
    <col min="6913" max="6913" width="9.88671875" style="2694" customWidth="1"/>
    <col min="6914" max="6914" width="37.88671875" style="2694" customWidth="1"/>
    <col min="6915" max="6915" width="14.44140625" style="2694" customWidth="1"/>
    <col min="6916" max="6916" width="20.109375" style="2694" customWidth="1"/>
    <col min="6917" max="6917" width="13.44140625" style="2694" customWidth="1"/>
    <col min="6918" max="6918" width="7.88671875" style="2694" customWidth="1"/>
    <col min="6919" max="6919" width="10" style="2694" customWidth="1"/>
    <col min="6920" max="7168" width="20.44140625" style="2694"/>
    <col min="7169" max="7169" width="9.88671875" style="2694" customWidth="1"/>
    <col min="7170" max="7170" width="37.88671875" style="2694" customWidth="1"/>
    <col min="7171" max="7171" width="14.44140625" style="2694" customWidth="1"/>
    <col min="7172" max="7172" width="20.109375" style="2694" customWidth="1"/>
    <col min="7173" max="7173" width="13.44140625" style="2694" customWidth="1"/>
    <col min="7174" max="7174" width="7.88671875" style="2694" customWidth="1"/>
    <col min="7175" max="7175" width="10" style="2694" customWidth="1"/>
    <col min="7176" max="7424" width="20.44140625" style="2694"/>
    <col min="7425" max="7425" width="9.88671875" style="2694" customWidth="1"/>
    <col min="7426" max="7426" width="37.88671875" style="2694" customWidth="1"/>
    <col min="7427" max="7427" width="14.44140625" style="2694" customWidth="1"/>
    <col min="7428" max="7428" width="20.109375" style="2694" customWidth="1"/>
    <col min="7429" max="7429" width="13.44140625" style="2694" customWidth="1"/>
    <col min="7430" max="7430" width="7.88671875" style="2694" customWidth="1"/>
    <col min="7431" max="7431" width="10" style="2694" customWidth="1"/>
    <col min="7432" max="7680" width="20.44140625" style="2694"/>
    <col min="7681" max="7681" width="9.88671875" style="2694" customWidth="1"/>
    <col min="7682" max="7682" width="37.88671875" style="2694" customWidth="1"/>
    <col min="7683" max="7683" width="14.44140625" style="2694" customWidth="1"/>
    <col min="7684" max="7684" width="20.109375" style="2694" customWidth="1"/>
    <col min="7685" max="7685" width="13.44140625" style="2694" customWidth="1"/>
    <col min="7686" max="7686" width="7.88671875" style="2694" customWidth="1"/>
    <col min="7687" max="7687" width="10" style="2694" customWidth="1"/>
    <col min="7688" max="7936" width="20.44140625" style="2694"/>
    <col min="7937" max="7937" width="9.88671875" style="2694" customWidth="1"/>
    <col min="7938" max="7938" width="37.88671875" style="2694" customWidth="1"/>
    <col min="7939" max="7939" width="14.44140625" style="2694" customWidth="1"/>
    <col min="7940" max="7940" width="20.109375" style="2694" customWidth="1"/>
    <col min="7941" max="7941" width="13.44140625" style="2694" customWidth="1"/>
    <col min="7942" max="7942" width="7.88671875" style="2694" customWidth="1"/>
    <col min="7943" max="7943" width="10" style="2694" customWidth="1"/>
    <col min="7944" max="8192" width="20.44140625" style="2694"/>
    <col min="8193" max="8193" width="9.88671875" style="2694" customWidth="1"/>
    <col min="8194" max="8194" width="37.88671875" style="2694" customWidth="1"/>
    <col min="8195" max="8195" width="14.44140625" style="2694" customWidth="1"/>
    <col min="8196" max="8196" width="20.109375" style="2694" customWidth="1"/>
    <col min="8197" max="8197" width="13.44140625" style="2694" customWidth="1"/>
    <col min="8198" max="8198" width="7.88671875" style="2694" customWidth="1"/>
    <col min="8199" max="8199" width="10" style="2694" customWidth="1"/>
    <col min="8200" max="8448" width="20.44140625" style="2694"/>
    <col min="8449" max="8449" width="9.88671875" style="2694" customWidth="1"/>
    <col min="8450" max="8450" width="37.88671875" style="2694" customWidth="1"/>
    <col min="8451" max="8451" width="14.44140625" style="2694" customWidth="1"/>
    <col min="8452" max="8452" width="20.109375" style="2694" customWidth="1"/>
    <col min="8453" max="8453" width="13.44140625" style="2694" customWidth="1"/>
    <col min="8454" max="8454" width="7.88671875" style="2694" customWidth="1"/>
    <col min="8455" max="8455" width="10" style="2694" customWidth="1"/>
    <col min="8456" max="8704" width="20.44140625" style="2694"/>
    <col min="8705" max="8705" width="9.88671875" style="2694" customWidth="1"/>
    <col min="8706" max="8706" width="37.88671875" style="2694" customWidth="1"/>
    <col min="8707" max="8707" width="14.44140625" style="2694" customWidth="1"/>
    <col min="8708" max="8708" width="20.109375" style="2694" customWidth="1"/>
    <col min="8709" max="8709" width="13.44140625" style="2694" customWidth="1"/>
    <col min="8710" max="8710" width="7.88671875" style="2694" customWidth="1"/>
    <col min="8711" max="8711" width="10" style="2694" customWidth="1"/>
    <col min="8712" max="8960" width="20.44140625" style="2694"/>
    <col min="8961" max="8961" width="9.88671875" style="2694" customWidth="1"/>
    <col min="8962" max="8962" width="37.88671875" style="2694" customWidth="1"/>
    <col min="8963" max="8963" width="14.44140625" style="2694" customWidth="1"/>
    <col min="8964" max="8964" width="20.109375" style="2694" customWidth="1"/>
    <col min="8965" max="8965" width="13.44140625" style="2694" customWidth="1"/>
    <col min="8966" max="8966" width="7.88671875" style="2694" customWidth="1"/>
    <col min="8967" max="8967" width="10" style="2694" customWidth="1"/>
    <col min="8968" max="9216" width="20.44140625" style="2694"/>
    <col min="9217" max="9217" width="9.88671875" style="2694" customWidth="1"/>
    <col min="9218" max="9218" width="37.88671875" style="2694" customWidth="1"/>
    <col min="9219" max="9219" width="14.44140625" style="2694" customWidth="1"/>
    <col min="9220" max="9220" width="20.109375" style="2694" customWidth="1"/>
    <col min="9221" max="9221" width="13.44140625" style="2694" customWidth="1"/>
    <col min="9222" max="9222" width="7.88671875" style="2694" customWidth="1"/>
    <col min="9223" max="9223" width="10" style="2694" customWidth="1"/>
    <col min="9224" max="9472" width="20.44140625" style="2694"/>
    <col min="9473" max="9473" width="9.88671875" style="2694" customWidth="1"/>
    <col min="9474" max="9474" width="37.88671875" style="2694" customWidth="1"/>
    <col min="9475" max="9475" width="14.44140625" style="2694" customWidth="1"/>
    <col min="9476" max="9476" width="20.109375" style="2694" customWidth="1"/>
    <col min="9477" max="9477" width="13.44140625" style="2694" customWidth="1"/>
    <col min="9478" max="9478" width="7.88671875" style="2694" customWidth="1"/>
    <col min="9479" max="9479" width="10" style="2694" customWidth="1"/>
    <col min="9480" max="9728" width="20.44140625" style="2694"/>
    <col min="9729" max="9729" width="9.88671875" style="2694" customWidth="1"/>
    <col min="9730" max="9730" width="37.88671875" style="2694" customWidth="1"/>
    <col min="9731" max="9731" width="14.44140625" style="2694" customWidth="1"/>
    <col min="9732" max="9732" width="20.109375" style="2694" customWidth="1"/>
    <col min="9733" max="9733" width="13.44140625" style="2694" customWidth="1"/>
    <col min="9734" max="9734" width="7.88671875" style="2694" customWidth="1"/>
    <col min="9735" max="9735" width="10" style="2694" customWidth="1"/>
    <col min="9736" max="9984" width="20.44140625" style="2694"/>
    <col min="9985" max="9985" width="9.88671875" style="2694" customWidth="1"/>
    <col min="9986" max="9986" width="37.88671875" style="2694" customWidth="1"/>
    <col min="9987" max="9987" width="14.44140625" style="2694" customWidth="1"/>
    <col min="9988" max="9988" width="20.109375" style="2694" customWidth="1"/>
    <col min="9989" max="9989" width="13.44140625" style="2694" customWidth="1"/>
    <col min="9990" max="9990" width="7.88671875" style="2694" customWidth="1"/>
    <col min="9991" max="9991" width="10" style="2694" customWidth="1"/>
    <col min="9992" max="10240" width="20.44140625" style="2694"/>
    <col min="10241" max="10241" width="9.88671875" style="2694" customWidth="1"/>
    <col min="10242" max="10242" width="37.88671875" style="2694" customWidth="1"/>
    <col min="10243" max="10243" width="14.44140625" style="2694" customWidth="1"/>
    <col min="10244" max="10244" width="20.109375" style="2694" customWidth="1"/>
    <col min="10245" max="10245" width="13.44140625" style="2694" customWidth="1"/>
    <col min="10246" max="10246" width="7.88671875" style="2694" customWidth="1"/>
    <col min="10247" max="10247" width="10" style="2694" customWidth="1"/>
    <col min="10248" max="10496" width="20.44140625" style="2694"/>
    <col min="10497" max="10497" width="9.88671875" style="2694" customWidth="1"/>
    <col min="10498" max="10498" width="37.88671875" style="2694" customWidth="1"/>
    <col min="10499" max="10499" width="14.44140625" style="2694" customWidth="1"/>
    <col min="10500" max="10500" width="20.109375" style="2694" customWidth="1"/>
    <col min="10501" max="10501" width="13.44140625" style="2694" customWidth="1"/>
    <col min="10502" max="10502" width="7.88671875" style="2694" customWidth="1"/>
    <col min="10503" max="10503" width="10" style="2694" customWidth="1"/>
    <col min="10504" max="10752" width="20.44140625" style="2694"/>
    <col min="10753" max="10753" width="9.88671875" style="2694" customWidth="1"/>
    <col min="10754" max="10754" width="37.88671875" style="2694" customWidth="1"/>
    <col min="10755" max="10755" width="14.44140625" style="2694" customWidth="1"/>
    <col min="10756" max="10756" width="20.109375" style="2694" customWidth="1"/>
    <col min="10757" max="10757" width="13.44140625" style="2694" customWidth="1"/>
    <col min="10758" max="10758" width="7.88671875" style="2694" customWidth="1"/>
    <col min="10759" max="10759" width="10" style="2694" customWidth="1"/>
    <col min="10760" max="11008" width="20.44140625" style="2694"/>
    <col min="11009" max="11009" width="9.88671875" style="2694" customWidth="1"/>
    <col min="11010" max="11010" width="37.88671875" style="2694" customWidth="1"/>
    <col min="11011" max="11011" width="14.44140625" style="2694" customWidth="1"/>
    <col min="11012" max="11012" width="20.109375" style="2694" customWidth="1"/>
    <col min="11013" max="11013" width="13.44140625" style="2694" customWidth="1"/>
    <col min="11014" max="11014" width="7.88671875" style="2694" customWidth="1"/>
    <col min="11015" max="11015" width="10" style="2694" customWidth="1"/>
    <col min="11016" max="11264" width="20.44140625" style="2694"/>
    <col min="11265" max="11265" width="9.88671875" style="2694" customWidth="1"/>
    <col min="11266" max="11266" width="37.88671875" style="2694" customWidth="1"/>
    <col min="11267" max="11267" width="14.44140625" style="2694" customWidth="1"/>
    <col min="11268" max="11268" width="20.109375" style="2694" customWidth="1"/>
    <col min="11269" max="11269" width="13.44140625" style="2694" customWidth="1"/>
    <col min="11270" max="11270" width="7.88671875" style="2694" customWidth="1"/>
    <col min="11271" max="11271" width="10" style="2694" customWidth="1"/>
    <col min="11272" max="11520" width="20.44140625" style="2694"/>
    <col min="11521" max="11521" width="9.88671875" style="2694" customWidth="1"/>
    <col min="11522" max="11522" width="37.88671875" style="2694" customWidth="1"/>
    <col min="11523" max="11523" width="14.44140625" style="2694" customWidth="1"/>
    <col min="11524" max="11524" width="20.109375" style="2694" customWidth="1"/>
    <col min="11525" max="11525" width="13.44140625" style="2694" customWidth="1"/>
    <col min="11526" max="11526" width="7.88671875" style="2694" customWidth="1"/>
    <col min="11527" max="11527" width="10" style="2694" customWidth="1"/>
    <col min="11528" max="11776" width="20.44140625" style="2694"/>
    <col min="11777" max="11777" width="9.88671875" style="2694" customWidth="1"/>
    <col min="11778" max="11778" width="37.88671875" style="2694" customWidth="1"/>
    <col min="11779" max="11779" width="14.44140625" style="2694" customWidth="1"/>
    <col min="11780" max="11780" width="20.109375" style="2694" customWidth="1"/>
    <col min="11781" max="11781" width="13.44140625" style="2694" customWidth="1"/>
    <col min="11782" max="11782" width="7.88671875" style="2694" customWidth="1"/>
    <col min="11783" max="11783" width="10" style="2694" customWidth="1"/>
    <col min="11784" max="12032" width="20.44140625" style="2694"/>
    <col min="12033" max="12033" width="9.88671875" style="2694" customWidth="1"/>
    <col min="12034" max="12034" width="37.88671875" style="2694" customWidth="1"/>
    <col min="12035" max="12035" width="14.44140625" style="2694" customWidth="1"/>
    <col min="12036" max="12036" width="20.109375" style="2694" customWidth="1"/>
    <col min="12037" max="12037" width="13.44140625" style="2694" customWidth="1"/>
    <col min="12038" max="12038" width="7.88671875" style="2694" customWidth="1"/>
    <col min="12039" max="12039" width="10" style="2694" customWidth="1"/>
    <col min="12040" max="12288" width="20.44140625" style="2694"/>
    <col min="12289" max="12289" width="9.88671875" style="2694" customWidth="1"/>
    <col min="12290" max="12290" width="37.88671875" style="2694" customWidth="1"/>
    <col min="12291" max="12291" width="14.44140625" style="2694" customWidth="1"/>
    <col min="12292" max="12292" width="20.109375" style="2694" customWidth="1"/>
    <col min="12293" max="12293" width="13.44140625" style="2694" customWidth="1"/>
    <col min="12294" max="12294" width="7.88671875" style="2694" customWidth="1"/>
    <col min="12295" max="12295" width="10" style="2694" customWidth="1"/>
    <col min="12296" max="12544" width="20.44140625" style="2694"/>
    <col min="12545" max="12545" width="9.88671875" style="2694" customWidth="1"/>
    <col min="12546" max="12546" width="37.88671875" style="2694" customWidth="1"/>
    <col min="12547" max="12547" width="14.44140625" style="2694" customWidth="1"/>
    <col min="12548" max="12548" width="20.109375" style="2694" customWidth="1"/>
    <col min="12549" max="12549" width="13.44140625" style="2694" customWidth="1"/>
    <col min="12550" max="12550" width="7.88671875" style="2694" customWidth="1"/>
    <col min="12551" max="12551" width="10" style="2694" customWidth="1"/>
    <col min="12552" max="12800" width="20.44140625" style="2694"/>
    <col min="12801" max="12801" width="9.88671875" style="2694" customWidth="1"/>
    <col min="12802" max="12802" width="37.88671875" style="2694" customWidth="1"/>
    <col min="12803" max="12803" width="14.44140625" style="2694" customWidth="1"/>
    <col min="12804" max="12804" width="20.109375" style="2694" customWidth="1"/>
    <col min="12805" max="12805" width="13.44140625" style="2694" customWidth="1"/>
    <col min="12806" max="12806" width="7.88671875" style="2694" customWidth="1"/>
    <col min="12807" max="12807" width="10" style="2694" customWidth="1"/>
    <col min="12808" max="13056" width="20.44140625" style="2694"/>
    <col min="13057" max="13057" width="9.88671875" style="2694" customWidth="1"/>
    <col min="13058" max="13058" width="37.88671875" style="2694" customWidth="1"/>
    <col min="13059" max="13059" width="14.44140625" style="2694" customWidth="1"/>
    <col min="13060" max="13060" width="20.109375" style="2694" customWidth="1"/>
    <col min="13061" max="13061" width="13.44140625" style="2694" customWidth="1"/>
    <col min="13062" max="13062" width="7.88671875" style="2694" customWidth="1"/>
    <col min="13063" max="13063" width="10" style="2694" customWidth="1"/>
    <col min="13064" max="13312" width="20.44140625" style="2694"/>
    <col min="13313" max="13313" width="9.88671875" style="2694" customWidth="1"/>
    <col min="13314" max="13314" width="37.88671875" style="2694" customWidth="1"/>
    <col min="13315" max="13315" width="14.44140625" style="2694" customWidth="1"/>
    <col min="13316" max="13316" width="20.109375" style="2694" customWidth="1"/>
    <col min="13317" max="13317" width="13.44140625" style="2694" customWidth="1"/>
    <col min="13318" max="13318" width="7.88671875" style="2694" customWidth="1"/>
    <col min="13319" max="13319" width="10" style="2694" customWidth="1"/>
    <col min="13320" max="13568" width="20.44140625" style="2694"/>
    <col min="13569" max="13569" width="9.88671875" style="2694" customWidth="1"/>
    <col min="13570" max="13570" width="37.88671875" style="2694" customWidth="1"/>
    <col min="13571" max="13571" width="14.44140625" style="2694" customWidth="1"/>
    <col min="13572" max="13572" width="20.109375" style="2694" customWidth="1"/>
    <col min="13573" max="13573" width="13.44140625" style="2694" customWidth="1"/>
    <col min="13574" max="13574" width="7.88671875" style="2694" customWidth="1"/>
    <col min="13575" max="13575" width="10" style="2694" customWidth="1"/>
    <col min="13576" max="13824" width="20.44140625" style="2694"/>
    <col min="13825" max="13825" width="9.88671875" style="2694" customWidth="1"/>
    <col min="13826" max="13826" width="37.88671875" style="2694" customWidth="1"/>
    <col min="13827" max="13827" width="14.44140625" style="2694" customWidth="1"/>
    <col min="13828" max="13828" width="20.109375" style="2694" customWidth="1"/>
    <col min="13829" max="13829" width="13.44140625" style="2694" customWidth="1"/>
    <col min="13830" max="13830" width="7.88671875" style="2694" customWidth="1"/>
    <col min="13831" max="13831" width="10" style="2694" customWidth="1"/>
    <col min="13832" max="14080" width="20.44140625" style="2694"/>
    <col min="14081" max="14081" width="9.88671875" style="2694" customWidth="1"/>
    <col min="14082" max="14082" width="37.88671875" style="2694" customWidth="1"/>
    <col min="14083" max="14083" width="14.44140625" style="2694" customWidth="1"/>
    <col min="14084" max="14084" width="20.109375" style="2694" customWidth="1"/>
    <col min="14085" max="14085" width="13.44140625" style="2694" customWidth="1"/>
    <col min="14086" max="14086" width="7.88671875" style="2694" customWidth="1"/>
    <col min="14087" max="14087" width="10" style="2694" customWidth="1"/>
    <col min="14088" max="14336" width="20.44140625" style="2694"/>
    <col min="14337" max="14337" width="9.88671875" style="2694" customWidth="1"/>
    <col min="14338" max="14338" width="37.88671875" style="2694" customWidth="1"/>
    <col min="14339" max="14339" width="14.44140625" style="2694" customWidth="1"/>
    <col min="14340" max="14340" width="20.109375" style="2694" customWidth="1"/>
    <col min="14341" max="14341" width="13.44140625" style="2694" customWidth="1"/>
    <col min="14342" max="14342" width="7.88671875" style="2694" customWidth="1"/>
    <col min="14343" max="14343" width="10" style="2694" customWidth="1"/>
    <col min="14344" max="14592" width="20.44140625" style="2694"/>
    <col min="14593" max="14593" width="9.88671875" style="2694" customWidth="1"/>
    <col min="14594" max="14594" width="37.88671875" style="2694" customWidth="1"/>
    <col min="14595" max="14595" width="14.44140625" style="2694" customWidth="1"/>
    <col min="14596" max="14596" width="20.109375" style="2694" customWidth="1"/>
    <col min="14597" max="14597" width="13.44140625" style="2694" customWidth="1"/>
    <col min="14598" max="14598" width="7.88671875" style="2694" customWidth="1"/>
    <col min="14599" max="14599" width="10" style="2694" customWidth="1"/>
    <col min="14600" max="14848" width="20.44140625" style="2694"/>
    <col min="14849" max="14849" width="9.88671875" style="2694" customWidth="1"/>
    <col min="14850" max="14850" width="37.88671875" style="2694" customWidth="1"/>
    <col min="14851" max="14851" width="14.44140625" style="2694" customWidth="1"/>
    <col min="14852" max="14852" width="20.109375" style="2694" customWidth="1"/>
    <col min="14853" max="14853" width="13.44140625" style="2694" customWidth="1"/>
    <col min="14854" max="14854" width="7.88671875" style="2694" customWidth="1"/>
    <col min="14855" max="14855" width="10" style="2694" customWidth="1"/>
    <col min="14856" max="15104" width="20.44140625" style="2694"/>
    <col min="15105" max="15105" width="9.88671875" style="2694" customWidth="1"/>
    <col min="15106" max="15106" width="37.88671875" style="2694" customWidth="1"/>
    <col min="15107" max="15107" width="14.44140625" style="2694" customWidth="1"/>
    <col min="15108" max="15108" width="20.109375" style="2694" customWidth="1"/>
    <col min="15109" max="15109" width="13.44140625" style="2694" customWidth="1"/>
    <col min="15110" max="15110" width="7.88671875" style="2694" customWidth="1"/>
    <col min="15111" max="15111" width="10" style="2694" customWidth="1"/>
    <col min="15112" max="15360" width="20.44140625" style="2694"/>
    <col min="15361" max="15361" width="9.88671875" style="2694" customWidth="1"/>
    <col min="15362" max="15362" width="37.88671875" style="2694" customWidth="1"/>
    <col min="15363" max="15363" width="14.44140625" style="2694" customWidth="1"/>
    <col min="15364" max="15364" width="20.109375" style="2694" customWidth="1"/>
    <col min="15365" max="15365" width="13.44140625" style="2694" customWidth="1"/>
    <col min="15366" max="15366" width="7.88671875" style="2694" customWidth="1"/>
    <col min="15367" max="15367" width="10" style="2694" customWidth="1"/>
    <col min="15368" max="15616" width="20.44140625" style="2694"/>
    <col min="15617" max="15617" width="9.88671875" style="2694" customWidth="1"/>
    <col min="15618" max="15618" width="37.88671875" style="2694" customWidth="1"/>
    <col min="15619" max="15619" width="14.44140625" style="2694" customWidth="1"/>
    <col min="15620" max="15620" width="20.109375" style="2694" customWidth="1"/>
    <col min="15621" max="15621" width="13.44140625" style="2694" customWidth="1"/>
    <col min="15622" max="15622" width="7.88671875" style="2694" customWidth="1"/>
    <col min="15623" max="15623" width="10" style="2694" customWidth="1"/>
    <col min="15624" max="15872" width="20.44140625" style="2694"/>
    <col min="15873" max="15873" width="9.88671875" style="2694" customWidth="1"/>
    <col min="15874" max="15874" width="37.88671875" style="2694" customWidth="1"/>
    <col min="15875" max="15875" width="14.44140625" style="2694" customWidth="1"/>
    <col min="15876" max="15876" width="20.109375" style="2694" customWidth="1"/>
    <col min="15877" max="15877" width="13.44140625" style="2694" customWidth="1"/>
    <col min="15878" max="15878" width="7.88671875" style="2694" customWidth="1"/>
    <col min="15879" max="15879" width="10" style="2694" customWidth="1"/>
    <col min="15880" max="16128" width="20.44140625" style="2694"/>
    <col min="16129" max="16129" width="9.88671875" style="2694" customWidth="1"/>
    <col min="16130" max="16130" width="37.88671875" style="2694" customWidth="1"/>
    <col min="16131" max="16131" width="14.44140625" style="2694" customWidth="1"/>
    <col min="16132" max="16132" width="20.109375" style="2694" customWidth="1"/>
    <col min="16133" max="16133" width="13.44140625" style="2694" customWidth="1"/>
    <col min="16134" max="16134" width="7.88671875" style="2694" customWidth="1"/>
    <col min="16135" max="16135" width="10" style="2694" customWidth="1"/>
    <col min="16136" max="16384" width="20.44140625" style="2694"/>
  </cols>
  <sheetData>
    <row r="1" spans="1:7">
      <c r="A1" s="14222"/>
      <c r="B1" s="14222"/>
      <c r="F1" s="14223"/>
      <c r="G1" s="14223"/>
    </row>
    <row r="2" spans="1:7" s="112" customFormat="1">
      <c r="A2" s="14224" t="s">
        <v>1801</v>
      </c>
      <c r="B2" s="14224"/>
      <c r="C2" s="14224"/>
      <c r="D2" s="14224"/>
      <c r="E2" s="14224"/>
      <c r="F2" s="14224"/>
      <c r="G2" s="14224"/>
    </row>
    <row r="3" spans="1:7" s="112" customFormat="1" ht="13.2">
      <c r="C3" s="346"/>
      <c r="D3" s="430"/>
      <c r="E3" s="430"/>
    </row>
    <row r="4" spans="1:7" s="35" customFormat="1">
      <c r="A4" s="33" t="s">
        <v>2</v>
      </c>
      <c r="B4" s="36"/>
      <c r="C4" s="2808" t="s">
        <v>77</v>
      </c>
      <c r="D4" s="36"/>
      <c r="E4" s="36"/>
      <c r="F4" s="36"/>
    </row>
    <row r="5" spans="1:7" s="112" customFormat="1" ht="13.2">
      <c r="A5" s="112" t="s">
        <v>9240</v>
      </c>
      <c r="C5" s="2809">
        <v>2014</v>
      </c>
      <c r="D5" s="430"/>
      <c r="E5" s="430"/>
    </row>
    <row r="7" spans="1:7">
      <c r="A7" s="2695" t="s">
        <v>1827</v>
      </c>
      <c r="B7" s="2692"/>
      <c r="C7" s="2693"/>
      <c r="D7" s="2762"/>
      <c r="E7" s="2762"/>
      <c r="F7" s="2692"/>
      <c r="G7" s="2692"/>
    </row>
    <row r="8" spans="1:7">
      <c r="A8" s="2692"/>
      <c r="B8" s="2692"/>
      <c r="C8" s="2693"/>
      <c r="D8" s="2762"/>
      <c r="E8" s="2762"/>
      <c r="F8" s="2692"/>
      <c r="G8" s="2692"/>
    </row>
    <row r="9" spans="1:7">
      <c r="A9" s="2695" t="s">
        <v>1828</v>
      </c>
      <c r="B9" s="2692"/>
      <c r="C9" s="2693"/>
      <c r="D9" s="2762"/>
      <c r="E9" s="2762"/>
      <c r="F9" s="2692"/>
      <c r="G9" s="2692"/>
    </row>
    <row r="10" spans="1:7" ht="21" customHeight="1">
      <c r="A10" s="2692" t="s">
        <v>275</v>
      </c>
      <c r="B10" s="14225" t="s">
        <v>1829</v>
      </c>
      <c r="C10" s="14225"/>
      <c r="D10" s="14225"/>
      <c r="E10" s="14225"/>
      <c r="F10" s="14225"/>
      <c r="G10" s="14225"/>
    </row>
    <row r="11" spans="1:7">
      <c r="A11" s="2692"/>
      <c r="B11" s="2692"/>
      <c r="C11" s="2693"/>
      <c r="D11" s="2762"/>
      <c r="E11" s="2762"/>
      <c r="F11" s="2692"/>
      <c r="G11" s="2692"/>
    </row>
    <row r="12" spans="1:7">
      <c r="A12" s="2695" t="s">
        <v>1830</v>
      </c>
      <c r="B12" s="2692"/>
      <c r="C12" s="2693"/>
      <c r="D12" s="2762"/>
      <c r="E12" s="2762"/>
      <c r="F12" s="2692"/>
      <c r="G12" s="2692"/>
    </row>
    <row r="13" spans="1:7">
      <c r="A13" s="2695"/>
      <c r="B13" s="2692" t="s">
        <v>1831</v>
      </c>
      <c r="C13" s="2693"/>
      <c r="D13" s="2762"/>
      <c r="E13" s="2762"/>
      <c r="F13" s="2692"/>
      <c r="G13" s="2692"/>
    </row>
    <row r="14" spans="1:7">
      <c r="A14" s="2692" t="s">
        <v>1832</v>
      </c>
      <c r="B14" s="2692"/>
      <c r="C14" s="2693"/>
      <c r="D14" s="2762"/>
      <c r="E14" s="2762"/>
      <c r="F14" s="2692"/>
      <c r="G14" s="2692"/>
    </row>
    <row r="15" spans="1:7">
      <c r="A15" s="2692" t="s">
        <v>1833</v>
      </c>
      <c r="B15" s="2692"/>
      <c r="C15" s="2693"/>
      <c r="D15" s="2762"/>
      <c r="E15" s="2762"/>
      <c r="F15" s="2692"/>
      <c r="G15" s="2692"/>
    </row>
    <row r="16" spans="1:7">
      <c r="A16" s="2692" t="s">
        <v>1834</v>
      </c>
      <c r="B16" s="2692"/>
      <c r="C16" s="2693"/>
      <c r="D16" s="2762"/>
      <c r="E16" s="2762"/>
      <c r="F16" s="2692"/>
      <c r="G16" s="2692"/>
    </row>
    <row r="17" spans="1:7">
      <c r="A17" s="2695"/>
      <c r="B17" s="2692"/>
      <c r="C17" s="2693"/>
      <c r="D17" s="2762"/>
      <c r="E17" s="2762"/>
      <c r="F17" s="2692"/>
      <c r="G17" s="2692"/>
    </row>
    <row r="18" spans="1:7">
      <c r="A18" s="2695" t="s">
        <v>1835</v>
      </c>
      <c r="B18" s="2692"/>
      <c r="C18" s="2693"/>
      <c r="D18" s="2762"/>
      <c r="E18" s="2762"/>
      <c r="F18" s="2692"/>
      <c r="G18" s="2692"/>
    </row>
    <row r="19" spans="1:7">
      <c r="A19" s="2695"/>
      <c r="B19" s="2696"/>
      <c r="C19" s="2693"/>
      <c r="D19" s="2762"/>
      <c r="E19" s="2762"/>
      <c r="F19" s="2692"/>
      <c r="G19" s="2692"/>
    </row>
    <row r="20" spans="1:7">
      <c r="A20" s="2695"/>
      <c r="B20" s="2692" t="s">
        <v>9244</v>
      </c>
      <c r="C20" s="2693"/>
      <c r="D20" s="2762"/>
      <c r="E20" s="2762"/>
      <c r="F20" s="2692"/>
      <c r="G20" s="2692"/>
    </row>
    <row r="21" spans="1:7">
      <c r="A21" s="2695"/>
      <c r="B21" s="2696" t="s">
        <v>9243</v>
      </c>
      <c r="C21" s="2693"/>
      <c r="D21" s="2762"/>
      <c r="E21" s="2762"/>
      <c r="F21" s="2692"/>
      <c r="G21" s="2692"/>
    </row>
    <row r="22" spans="1:7">
      <c r="A22" s="2695"/>
      <c r="B22" s="2692" t="s">
        <v>9242</v>
      </c>
      <c r="C22" s="2693"/>
      <c r="D22" s="2762"/>
      <c r="E22" s="2762"/>
      <c r="F22" s="2692"/>
      <c r="G22" s="2692"/>
    </row>
    <row r="23" spans="1:7">
      <c r="A23" s="2692"/>
      <c r="B23" s="2696" t="s">
        <v>1836</v>
      </c>
      <c r="C23" s="2693"/>
      <c r="D23" s="2762"/>
      <c r="E23" s="2762"/>
      <c r="F23" s="2692"/>
      <c r="G23" s="2692"/>
    </row>
    <row r="24" spans="1:7">
      <c r="A24" s="2692"/>
      <c r="B24" s="2692" t="s">
        <v>1837</v>
      </c>
      <c r="C24" s="2693"/>
      <c r="D24" s="2762"/>
      <c r="E24" s="2762"/>
      <c r="F24" s="2692"/>
      <c r="G24" s="2692"/>
    </row>
    <row r="25" spans="1:7">
      <c r="A25" s="2692"/>
      <c r="B25" s="2692" t="s">
        <v>1838</v>
      </c>
      <c r="C25" s="2693"/>
      <c r="D25" s="2762"/>
      <c r="E25" s="2762"/>
      <c r="F25" s="2692"/>
      <c r="G25" s="2692"/>
    </row>
    <row r="26" spans="1:7">
      <c r="A26" s="2692"/>
      <c r="B26" s="2696" t="s">
        <v>9241</v>
      </c>
      <c r="C26" s="2693"/>
      <c r="D26" s="2762"/>
      <c r="E26" s="2762"/>
      <c r="F26" s="2692"/>
      <c r="G26" s="2692"/>
    </row>
    <row r="27" spans="1:7">
      <c r="A27" s="2692"/>
      <c r="B27" s="2696" t="s">
        <v>3487</v>
      </c>
      <c r="C27" s="2693"/>
      <c r="D27" s="2762"/>
      <c r="E27" s="2762"/>
      <c r="F27" s="2692"/>
      <c r="G27" s="2692"/>
    </row>
    <row r="28" spans="1:7">
      <c r="A28" s="2692"/>
      <c r="B28" s="2696" t="s">
        <v>3488</v>
      </c>
      <c r="C28" s="2693"/>
      <c r="D28" s="2762"/>
      <c r="E28" s="2762"/>
      <c r="F28" s="2692"/>
      <c r="G28" s="2692"/>
    </row>
    <row r="29" spans="1:7">
      <c r="A29" s="2692"/>
      <c r="B29" s="2696" t="s">
        <v>3489</v>
      </c>
      <c r="C29" s="2693"/>
      <c r="D29" s="2762"/>
      <c r="E29" s="2762"/>
      <c r="F29" s="2692"/>
      <c r="G29" s="2692"/>
    </row>
    <row r="30" spans="1:7" s="2692" customFormat="1">
      <c r="B30" s="2696"/>
      <c r="C30" s="2693"/>
      <c r="D30" s="2762"/>
      <c r="E30" s="2762"/>
    </row>
    <row r="31" spans="1:7">
      <c r="A31" s="2692"/>
      <c r="B31" s="2696"/>
      <c r="C31" s="2693"/>
      <c r="D31" s="2762"/>
      <c r="E31" s="2762"/>
      <c r="F31" s="2692"/>
      <c r="G31" s="2692"/>
    </row>
    <row r="32" spans="1:7" s="2701" customFormat="1">
      <c r="A32" s="2764" t="s">
        <v>1839</v>
      </c>
      <c r="B32" s="2764"/>
      <c r="C32" s="2765"/>
      <c r="D32" s="2766"/>
      <c r="E32" s="2766"/>
      <c r="F32" s="2764"/>
      <c r="G32" s="2764"/>
    </row>
    <row r="33" spans="1:7" s="2701" customFormat="1">
      <c r="A33" s="2767" t="s">
        <v>94</v>
      </c>
      <c r="B33" s="2699" t="s">
        <v>1759</v>
      </c>
      <c r="C33" s="2700" t="s">
        <v>1736</v>
      </c>
      <c r="D33" s="2699" t="s">
        <v>1787</v>
      </c>
      <c r="E33" s="2768" t="s">
        <v>1764</v>
      </c>
      <c r="F33" s="14226" t="s">
        <v>1840</v>
      </c>
      <c r="G33" s="14227"/>
    </row>
    <row r="34" spans="1:7" s="2701" customFormat="1" ht="13.5" customHeight="1">
      <c r="A34" s="2769" t="s">
        <v>2047</v>
      </c>
      <c r="B34" s="2699" t="s">
        <v>1762</v>
      </c>
      <c r="C34" s="2700"/>
      <c r="D34" s="2699" t="s">
        <v>1804</v>
      </c>
      <c r="E34" s="2768"/>
      <c r="F34" s="14228" t="s">
        <v>1841</v>
      </c>
      <c r="G34" s="14229"/>
    </row>
    <row r="35" spans="1:7" s="2701" customFormat="1">
      <c r="A35" s="2702">
        <v>1</v>
      </c>
      <c r="B35" s="2703">
        <v>2</v>
      </c>
      <c r="C35" s="2704">
        <v>3</v>
      </c>
      <c r="D35" s="2703">
        <v>4</v>
      </c>
      <c r="E35" s="2770">
        <v>5</v>
      </c>
      <c r="F35" s="2702" t="s">
        <v>1789</v>
      </c>
      <c r="G35" s="2703" t="s">
        <v>1790</v>
      </c>
    </row>
    <row r="36" spans="1:7" s="2701" customFormat="1">
      <c r="A36" s="2705"/>
      <c r="B36" s="2706" t="s">
        <v>1842</v>
      </c>
      <c r="C36" s="2707">
        <f>7697248-4100000</f>
        <v>3597248</v>
      </c>
      <c r="D36" s="2703"/>
      <c r="E36" s="2771"/>
      <c r="F36" s="2706"/>
      <c r="G36" s="2772"/>
    </row>
    <row r="37" spans="1:7" ht="8.25" customHeight="1">
      <c r="A37" s="2708"/>
      <c r="B37" s="2709"/>
      <c r="C37" s="2693"/>
      <c r="D37" s="2773"/>
      <c r="E37" s="2774"/>
      <c r="F37" s="2709"/>
      <c r="G37" s="2775"/>
    </row>
    <row r="38" spans="1:7">
      <c r="A38" s="2708"/>
      <c r="B38" s="2709" t="s">
        <v>1843</v>
      </c>
      <c r="C38" s="2693"/>
      <c r="D38" s="2773" t="s">
        <v>1844</v>
      </c>
      <c r="E38" s="2774">
        <v>10</v>
      </c>
      <c r="F38" s="2709" t="s">
        <v>1814</v>
      </c>
      <c r="G38" s="2775" t="s">
        <v>1743</v>
      </c>
    </row>
    <row r="39" spans="1:7">
      <c r="A39" s="2708"/>
      <c r="B39" s="2709"/>
      <c r="C39" s="2693"/>
      <c r="D39" s="2773" t="s">
        <v>1845</v>
      </c>
      <c r="E39" s="2774" t="s">
        <v>1846</v>
      </c>
      <c r="F39" s="2709"/>
      <c r="G39" s="2775"/>
    </row>
    <row r="40" spans="1:7" ht="6" customHeight="1">
      <c r="A40" s="2708"/>
      <c r="B40" s="2709"/>
      <c r="C40" s="2693"/>
      <c r="D40" s="2773"/>
      <c r="E40" s="2774"/>
      <c r="F40" s="2709"/>
      <c r="G40" s="2775"/>
    </row>
    <row r="41" spans="1:7">
      <c r="A41" s="2708"/>
      <c r="B41" s="2709" t="s">
        <v>1847</v>
      </c>
      <c r="C41" s="2693"/>
      <c r="D41" s="2773" t="s">
        <v>1848</v>
      </c>
      <c r="E41" s="2774" t="s">
        <v>3490</v>
      </c>
      <c r="F41" s="2709" t="s">
        <v>1814</v>
      </c>
      <c r="G41" s="2775" t="s">
        <v>1743</v>
      </c>
    </row>
    <row r="42" spans="1:7">
      <c r="A42" s="2708"/>
      <c r="B42" s="2709"/>
      <c r="C42" s="2693"/>
      <c r="D42" s="2773" t="s">
        <v>1849</v>
      </c>
      <c r="E42" s="2774" t="s">
        <v>1850</v>
      </c>
      <c r="F42" s="2709"/>
      <c r="G42" s="2775"/>
    </row>
    <row r="43" spans="1:7" ht="8.25" customHeight="1">
      <c r="A43" s="2708"/>
      <c r="B43" s="2709"/>
      <c r="C43" s="2693"/>
      <c r="D43" s="2773"/>
      <c r="E43" s="2774"/>
      <c r="F43" s="2709"/>
      <c r="G43" s="2775"/>
    </row>
    <row r="44" spans="1:7">
      <c r="A44" s="2708"/>
      <c r="B44" s="2709" t="s">
        <v>3491</v>
      </c>
      <c r="C44" s="2693"/>
      <c r="D44" s="2773" t="s">
        <v>1851</v>
      </c>
      <c r="E44" s="2774">
        <v>48</v>
      </c>
      <c r="F44" s="2709" t="s">
        <v>1814</v>
      </c>
      <c r="G44" s="2775" t="s">
        <v>1743</v>
      </c>
    </row>
    <row r="45" spans="1:7">
      <c r="A45" s="2708"/>
      <c r="B45" s="2709" t="s">
        <v>1852</v>
      </c>
      <c r="C45" s="2693"/>
      <c r="D45" s="2773" t="s">
        <v>1853</v>
      </c>
      <c r="E45" s="2774" t="s">
        <v>1854</v>
      </c>
      <c r="F45" s="2709"/>
      <c r="G45" s="2775"/>
    </row>
    <row r="46" spans="1:7">
      <c r="A46" s="2708"/>
      <c r="B46" s="2709"/>
      <c r="C46" s="2693"/>
      <c r="D46" s="2773" t="s">
        <v>3492</v>
      </c>
      <c r="E46" s="2774" t="s">
        <v>1855</v>
      </c>
      <c r="F46" s="2709"/>
      <c r="G46" s="2775"/>
    </row>
    <row r="47" spans="1:7" ht="8.25" customHeight="1">
      <c r="A47" s="2708"/>
      <c r="B47" s="2709"/>
      <c r="C47" s="2693"/>
      <c r="D47" s="2773"/>
      <c r="E47" s="2774"/>
      <c r="F47" s="2709"/>
      <c r="G47" s="2775"/>
    </row>
    <row r="48" spans="1:7">
      <c r="A48" s="2708"/>
      <c r="B48" s="2709" t="s">
        <v>1856</v>
      </c>
      <c r="C48" s="2693"/>
      <c r="D48" s="2773" t="s">
        <v>1857</v>
      </c>
      <c r="E48" s="2774" t="s">
        <v>7236</v>
      </c>
      <c r="F48" s="2709" t="s">
        <v>1814</v>
      </c>
      <c r="G48" s="2775" t="s">
        <v>1744</v>
      </c>
    </row>
    <row r="49" spans="1:7">
      <c r="A49" s="2708"/>
      <c r="B49" s="2709"/>
      <c r="C49" s="2693"/>
      <c r="D49" s="2773" t="s">
        <v>1858</v>
      </c>
      <c r="E49" s="2774" t="s">
        <v>1859</v>
      </c>
      <c r="F49" s="2709"/>
      <c r="G49" s="2775"/>
    </row>
    <row r="50" spans="1:7" ht="8.25" customHeight="1">
      <c r="A50" s="2708"/>
      <c r="B50" s="2709"/>
      <c r="C50" s="2693"/>
      <c r="D50" s="2773"/>
      <c r="E50" s="2774"/>
      <c r="F50" s="2709"/>
      <c r="G50" s="2775"/>
    </row>
    <row r="51" spans="1:7">
      <c r="A51" s="2708"/>
      <c r="B51" s="2709" t="s">
        <v>1860</v>
      </c>
      <c r="C51" s="2693"/>
      <c r="D51" s="2773" t="s">
        <v>1861</v>
      </c>
      <c r="E51" s="2774">
        <v>6</v>
      </c>
      <c r="F51" s="2709" t="s">
        <v>1814</v>
      </c>
      <c r="G51" s="2775" t="s">
        <v>1743</v>
      </c>
    </row>
    <row r="52" spans="1:7">
      <c r="A52" s="2708"/>
      <c r="B52" s="2709" t="s">
        <v>1862</v>
      </c>
      <c r="C52" s="2693"/>
      <c r="D52" s="2773" t="s">
        <v>1850</v>
      </c>
      <c r="E52" s="2774" t="s">
        <v>1863</v>
      </c>
      <c r="F52" s="2709"/>
      <c r="G52" s="2775"/>
    </row>
    <row r="53" spans="1:7" ht="6.75" customHeight="1">
      <c r="A53" s="2708"/>
      <c r="B53" s="2709"/>
      <c r="C53" s="2693"/>
      <c r="D53" s="2773"/>
      <c r="E53" s="2774"/>
      <c r="F53" s="2709"/>
      <c r="G53" s="2775"/>
    </row>
    <row r="54" spans="1:7">
      <c r="A54" s="2708"/>
      <c r="B54" s="2709" t="s">
        <v>1864</v>
      </c>
      <c r="C54" s="2693"/>
      <c r="D54" s="2773" t="s">
        <v>1865</v>
      </c>
      <c r="E54" s="2774">
        <v>100</v>
      </c>
      <c r="F54" s="2709" t="s">
        <v>1814</v>
      </c>
      <c r="G54" s="2775" t="s">
        <v>1743</v>
      </c>
    </row>
    <row r="55" spans="1:7">
      <c r="A55" s="2708"/>
      <c r="B55" s="2709" t="s">
        <v>1866</v>
      </c>
      <c r="C55" s="2693"/>
      <c r="D55" s="2773" t="s">
        <v>1867</v>
      </c>
      <c r="E55" s="2774" t="s">
        <v>1868</v>
      </c>
      <c r="F55" s="2709"/>
      <c r="G55" s="2775"/>
    </row>
    <row r="56" spans="1:7" ht="7.5" customHeight="1">
      <c r="A56" s="2708"/>
      <c r="B56" s="2709"/>
      <c r="C56" s="2693"/>
      <c r="D56" s="2773"/>
      <c r="E56" s="2774"/>
      <c r="F56" s="2709"/>
      <c r="G56" s="2775"/>
    </row>
    <row r="57" spans="1:7">
      <c r="A57" s="2708"/>
      <c r="B57" s="2709" t="s">
        <v>1869</v>
      </c>
      <c r="C57" s="2693"/>
      <c r="D57" s="2773" t="s">
        <v>1870</v>
      </c>
      <c r="E57" s="2774" t="s">
        <v>7237</v>
      </c>
      <c r="F57" s="2709" t="s">
        <v>1814</v>
      </c>
      <c r="G57" s="2775" t="s">
        <v>1743</v>
      </c>
    </row>
    <row r="58" spans="1:7">
      <c r="A58" s="2708"/>
      <c r="B58" s="2709" t="s">
        <v>1871</v>
      </c>
      <c r="C58" s="2693"/>
      <c r="D58" s="2773" t="s">
        <v>1872</v>
      </c>
      <c r="E58" s="2774" t="s">
        <v>1873</v>
      </c>
      <c r="F58" s="2709"/>
      <c r="G58" s="2775"/>
    </row>
    <row r="59" spans="1:7">
      <c r="A59" s="2708"/>
      <c r="B59" s="2709"/>
      <c r="C59" s="2693"/>
      <c r="D59" s="2773" t="s">
        <v>1874</v>
      </c>
      <c r="E59" s="2774"/>
      <c r="F59" s="2709"/>
      <c r="G59" s="2775"/>
    </row>
    <row r="60" spans="1:7" ht="6" customHeight="1">
      <c r="A60" s="2708"/>
      <c r="B60" s="2709"/>
      <c r="C60" s="2693"/>
      <c r="D60" s="2773"/>
      <c r="E60" s="2774"/>
      <c r="F60" s="2709"/>
      <c r="G60" s="2775"/>
    </row>
    <row r="61" spans="1:7">
      <c r="A61" s="2708"/>
      <c r="B61" s="2709" t="s">
        <v>1875</v>
      </c>
      <c r="C61" s="2693"/>
      <c r="D61" s="2773" t="s">
        <v>1876</v>
      </c>
      <c r="E61" s="2774" t="s">
        <v>1877</v>
      </c>
      <c r="F61" s="2709" t="s">
        <v>1814</v>
      </c>
      <c r="G61" s="2775" t="s">
        <v>1743</v>
      </c>
    </row>
    <row r="62" spans="1:7">
      <c r="A62" s="2708"/>
      <c r="B62" s="2709" t="s">
        <v>1878</v>
      </c>
      <c r="C62" s="2693"/>
      <c r="D62" s="2773" t="s">
        <v>1879</v>
      </c>
      <c r="E62" s="2774" t="s">
        <v>1880</v>
      </c>
      <c r="F62" s="2709"/>
      <c r="G62" s="2775"/>
    </row>
    <row r="63" spans="1:7">
      <c r="A63" s="2708"/>
      <c r="B63" s="2709"/>
      <c r="C63" s="2693"/>
      <c r="D63" s="2773"/>
      <c r="E63" s="2774"/>
      <c r="F63" s="2709"/>
      <c r="G63" s="2775"/>
    </row>
    <row r="64" spans="1:7">
      <c r="A64" s="2697"/>
      <c r="B64" s="2697"/>
      <c r="C64" s="2698"/>
      <c r="D64" s="2763"/>
      <c r="E64" s="2776"/>
      <c r="F64" s="2697"/>
      <c r="G64" s="2697"/>
    </row>
    <row r="65" spans="1:7">
      <c r="A65" s="2692"/>
      <c r="B65" s="2692"/>
      <c r="C65" s="2693"/>
      <c r="D65" s="2762"/>
      <c r="E65" s="2774"/>
      <c r="F65" s="2692"/>
      <c r="G65" s="2692"/>
    </row>
    <row r="66" spans="1:7">
      <c r="A66" s="2692"/>
      <c r="B66" s="2692"/>
      <c r="C66" s="2693"/>
      <c r="D66" s="2762"/>
      <c r="E66" s="2774"/>
      <c r="F66" s="2692"/>
      <c r="G66" s="2692"/>
    </row>
    <row r="67" spans="1:7">
      <c r="A67" s="2692"/>
      <c r="B67" s="2692"/>
      <c r="C67" s="2693"/>
      <c r="D67" s="2762"/>
      <c r="E67" s="2774"/>
      <c r="F67" s="2692"/>
      <c r="G67" s="2692"/>
    </row>
    <row r="68" spans="1:7">
      <c r="A68" s="2692"/>
      <c r="B68" s="2692"/>
      <c r="C68" s="2693"/>
      <c r="D68" s="2762"/>
      <c r="E68" s="2774"/>
      <c r="F68" s="2692"/>
      <c r="G68" s="2692"/>
    </row>
    <row r="69" spans="1:7">
      <c r="A69" s="2692"/>
      <c r="B69" s="2692"/>
      <c r="C69" s="2693"/>
      <c r="D69" s="2762"/>
      <c r="E69" s="2774"/>
      <c r="F69" s="2692"/>
      <c r="G69" s="2692"/>
    </row>
    <row r="70" spans="1:7">
      <c r="A70" s="2692"/>
      <c r="B70" s="2692"/>
      <c r="C70" s="2693"/>
      <c r="D70" s="2762"/>
      <c r="E70" s="2774"/>
      <c r="F70" s="2692"/>
      <c r="G70" s="2692"/>
    </row>
    <row r="71" spans="1:7">
      <c r="A71" s="2692"/>
      <c r="B71" s="2692"/>
      <c r="C71" s="2693"/>
      <c r="D71" s="2762"/>
      <c r="E71" s="2774"/>
      <c r="F71" s="2692"/>
      <c r="G71" s="2692"/>
    </row>
    <row r="72" spans="1:7">
      <c r="A72" s="2692"/>
      <c r="B72" s="2692"/>
      <c r="C72" s="2693"/>
      <c r="D72" s="2762"/>
      <c r="E72" s="2774"/>
      <c r="F72" s="2692"/>
      <c r="G72" s="2692"/>
    </row>
    <row r="73" spans="1:7" s="2701" customFormat="1">
      <c r="A73" s="2777" t="s">
        <v>94</v>
      </c>
      <c r="B73" s="2710" t="s">
        <v>1759</v>
      </c>
      <c r="C73" s="2711" t="s">
        <v>1736</v>
      </c>
      <c r="D73" s="2710" t="s">
        <v>1787</v>
      </c>
      <c r="E73" s="2778" t="s">
        <v>1764</v>
      </c>
      <c r="F73" s="14226" t="s">
        <v>1840</v>
      </c>
      <c r="G73" s="14227"/>
    </row>
    <row r="74" spans="1:7" s="2714" customFormat="1" ht="15" customHeight="1">
      <c r="A74" s="2779" t="s">
        <v>2047</v>
      </c>
      <c r="B74" s="2712" t="s">
        <v>1762</v>
      </c>
      <c r="C74" s="2713"/>
      <c r="D74" s="2712" t="s">
        <v>1804</v>
      </c>
      <c r="E74" s="2780"/>
      <c r="F74" s="14218" t="s">
        <v>1841</v>
      </c>
      <c r="G74" s="14219"/>
    </row>
    <row r="75" spans="1:7" s="2701" customFormat="1">
      <c r="A75" s="2715">
        <v>1</v>
      </c>
      <c r="B75" s="2716">
        <v>2</v>
      </c>
      <c r="C75" s="2717">
        <v>3</v>
      </c>
      <c r="D75" s="2716">
        <v>4</v>
      </c>
      <c r="E75" s="2781">
        <v>5</v>
      </c>
      <c r="F75" s="2715" t="s">
        <v>1789</v>
      </c>
      <c r="G75" s="2716" t="s">
        <v>1790</v>
      </c>
    </row>
    <row r="76" spans="1:7">
      <c r="A76" s="2708"/>
      <c r="B76" s="2709" t="s">
        <v>1881</v>
      </c>
      <c r="C76" s="2693"/>
      <c r="D76" s="2773" t="s">
        <v>1882</v>
      </c>
      <c r="E76" s="2774" t="s">
        <v>1883</v>
      </c>
      <c r="F76" s="2709" t="s">
        <v>1814</v>
      </c>
      <c r="G76" s="2775" t="s">
        <v>1743</v>
      </c>
    </row>
    <row r="77" spans="1:7">
      <c r="A77" s="2708"/>
      <c r="B77" s="2709"/>
      <c r="C77" s="2693"/>
      <c r="D77" s="2773" t="s">
        <v>1884</v>
      </c>
      <c r="E77" s="2774"/>
      <c r="F77" s="2709"/>
      <c r="G77" s="2775"/>
    </row>
    <row r="78" spans="1:7" ht="6" customHeight="1">
      <c r="A78" s="2708"/>
      <c r="B78" s="2709"/>
      <c r="C78" s="2693"/>
      <c r="D78" s="2773"/>
      <c r="E78" s="2774"/>
      <c r="F78" s="2709"/>
      <c r="G78" s="2775"/>
    </row>
    <row r="79" spans="1:7">
      <c r="A79" s="2708"/>
      <c r="B79" s="2709" t="s">
        <v>1885</v>
      </c>
      <c r="C79" s="2693"/>
      <c r="D79" s="2773" t="s">
        <v>1886</v>
      </c>
      <c r="E79" s="2774" t="s">
        <v>1823</v>
      </c>
      <c r="F79" s="2709" t="s">
        <v>1814</v>
      </c>
      <c r="G79" s="2775" t="s">
        <v>1743</v>
      </c>
    </row>
    <row r="80" spans="1:7">
      <c r="A80" s="2708"/>
      <c r="B80" s="2709"/>
      <c r="C80" s="2693"/>
      <c r="D80" s="2773" t="s">
        <v>1887</v>
      </c>
      <c r="E80" s="2774"/>
      <c r="F80" s="2709"/>
      <c r="G80" s="2775"/>
    </row>
    <row r="81" spans="1:7" ht="6" customHeight="1">
      <c r="A81" s="2708"/>
      <c r="B81" s="2709"/>
      <c r="C81" s="2693"/>
      <c r="D81" s="2773"/>
      <c r="E81" s="2774"/>
      <c r="F81" s="2709"/>
      <c r="G81" s="2775"/>
    </row>
    <row r="82" spans="1:7">
      <c r="A82" s="2708"/>
      <c r="B82" s="2709" t="s">
        <v>1888</v>
      </c>
      <c r="C82" s="2693"/>
      <c r="D82" s="2773" t="s">
        <v>1889</v>
      </c>
      <c r="E82" s="2774" t="s">
        <v>1883</v>
      </c>
      <c r="F82" s="2709" t="s">
        <v>1814</v>
      </c>
      <c r="G82" s="2775" t="s">
        <v>1743</v>
      </c>
    </row>
    <row r="83" spans="1:7">
      <c r="A83" s="2708"/>
      <c r="B83" s="2709"/>
      <c r="C83" s="2693"/>
      <c r="D83" s="2773" t="s">
        <v>1890</v>
      </c>
      <c r="E83" s="2774"/>
      <c r="F83" s="2709"/>
      <c r="G83" s="2775"/>
    </row>
    <row r="84" spans="1:7" ht="6.75" customHeight="1">
      <c r="A84" s="2718"/>
      <c r="B84" s="2719"/>
      <c r="C84" s="2693"/>
      <c r="D84" s="2782"/>
      <c r="E84" s="2774"/>
      <c r="F84" s="2719"/>
      <c r="G84" s="2783"/>
    </row>
    <row r="85" spans="1:7">
      <c r="A85" s="2708"/>
      <c r="B85" s="2709" t="s">
        <v>1891</v>
      </c>
      <c r="C85" s="2693"/>
      <c r="D85" s="2773" t="s">
        <v>1892</v>
      </c>
      <c r="E85" s="2774" t="s">
        <v>1893</v>
      </c>
      <c r="F85" s="2709" t="s">
        <v>1814</v>
      </c>
      <c r="G85" s="2775" t="s">
        <v>1743</v>
      </c>
    </row>
    <row r="86" spans="1:7">
      <c r="A86" s="2720"/>
      <c r="B86" s="2721" t="s">
        <v>1894</v>
      </c>
      <c r="C86" s="2693"/>
      <c r="D86" s="2784" t="s">
        <v>1895</v>
      </c>
      <c r="E86" s="2774"/>
      <c r="F86" s="2721"/>
      <c r="G86" s="2783"/>
    </row>
    <row r="87" spans="1:7" s="2692" customFormat="1" ht="16.5" customHeight="1">
      <c r="A87" s="2720"/>
      <c r="B87" s="2721" t="s">
        <v>1896</v>
      </c>
      <c r="C87" s="2693"/>
      <c r="D87" s="2784" t="s">
        <v>646</v>
      </c>
      <c r="E87" s="2774" t="s">
        <v>1897</v>
      </c>
      <c r="F87" s="2709" t="s">
        <v>1814</v>
      </c>
      <c r="G87" s="2783" t="s">
        <v>1743</v>
      </c>
    </row>
    <row r="88" spans="1:7">
      <c r="A88" s="2708"/>
      <c r="B88" s="2709"/>
      <c r="C88" s="2693"/>
      <c r="D88" s="2773" t="s">
        <v>1898</v>
      </c>
      <c r="E88" s="2774"/>
      <c r="F88" s="2709"/>
      <c r="G88" s="2775"/>
    </row>
    <row r="89" spans="1:7" s="2701" customFormat="1" ht="6.75" customHeight="1">
      <c r="A89" s="2708"/>
      <c r="B89" s="2709"/>
      <c r="C89" s="2693"/>
      <c r="D89" s="2773"/>
      <c r="E89" s="2774"/>
      <c r="F89" s="2709"/>
      <c r="G89" s="2775"/>
    </row>
    <row r="90" spans="1:7" s="2701" customFormat="1">
      <c r="A90" s="2708"/>
      <c r="B90" s="2709" t="s">
        <v>1899</v>
      </c>
      <c r="C90" s="2693"/>
      <c r="D90" s="2773" t="s">
        <v>1900</v>
      </c>
      <c r="E90" s="2774" t="s">
        <v>1901</v>
      </c>
      <c r="F90" s="2709" t="s">
        <v>1814</v>
      </c>
      <c r="G90" s="2775" t="s">
        <v>1743</v>
      </c>
    </row>
    <row r="91" spans="1:7" s="2701" customFormat="1">
      <c r="A91" s="2708"/>
      <c r="B91" s="2709"/>
      <c r="C91" s="2693"/>
      <c r="D91" s="2773" t="s">
        <v>1902</v>
      </c>
      <c r="E91" s="2774"/>
      <c r="F91" s="2709"/>
      <c r="G91" s="2775"/>
    </row>
    <row r="92" spans="1:7" s="2701" customFormat="1">
      <c r="A92" s="2722"/>
      <c r="B92" s="2723" t="s">
        <v>1903</v>
      </c>
      <c r="C92" s="2724">
        <v>3000000</v>
      </c>
      <c r="D92" s="2699"/>
      <c r="E92" s="2768"/>
      <c r="F92" s="2723"/>
      <c r="G92" s="2785"/>
    </row>
    <row r="93" spans="1:7" s="2701" customFormat="1" ht="9" customHeight="1">
      <c r="A93" s="2722"/>
      <c r="B93" s="2723"/>
      <c r="C93" s="2724"/>
      <c r="D93" s="2699"/>
      <c r="E93" s="2768"/>
      <c r="F93" s="2723"/>
      <c r="G93" s="2785"/>
    </row>
    <row r="94" spans="1:7" s="2701" customFormat="1">
      <c r="A94" s="2722"/>
      <c r="B94" s="2709" t="s">
        <v>3493</v>
      </c>
      <c r="C94" s="2724"/>
      <c r="D94" s="2773" t="s">
        <v>1904</v>
      </c>
      <c r="E94" s="2774">
        <v>1500</v>
      </c>
      <c r="F94" s="14220" t="s">
        <v>1969</v>
      </c>
      <c r="G94" s="14221"/>
    </row>
    <row r="95" spans="1:7" s="2701" customFormat="1">
      <c r="A95" s="2722"/>
      <c r="B95" s="2709"/>
      <c r="C95" s="2724"/>
      <c r="D95" s="2773" t="s">
        <v>1905</v>
      </c>
      <c r="E95" s="2762" t="s">
        <v>1906</v>
      </c>
      <c r="F95" s="2723"/>
      <c r="G95" s="2785"/>
    </row>
    <row r="96" spans="1:7" s="2701" customFormat="1" ht="6.75" customHeight="1">
      <c r="A96" s="2722"/>
      <c r="B96" s="2709"/>
      <c r="C96" s="2724"/>
      <c r="D96" s="2773"/>
      <c r="E96" s="2762"/>
      <c r="F96" s="2723"/>
      <c r="G96" s="2785"/>
    </row>
    <row r="97" spans="1:7">
      <c r="A97" s="2722"/>
      <c r="B97" s="2709" t="s">
        <v>3495</v>
      </c>
      <c r="C97" s="2724"/>
      <c r="D97" s="2773" t="s">
        <v>1907</v>
      </c>
      <c r="E97" s="2774">
        <v>1000</v>
      </c>
      <c r="F97" s="2709" t="s">
        <v>1814</v>
      </c>
      <c r="G97" s="2775" t="s">
        <v>1743</v>
      </c>
    </row>
    <row r="98" spans="1:7">
      <c r="A98" s="2722"/>
      <c r="B98" s="2709" t="s">
        <v>3497</v>
      </c>
      <c r="C98" s="2724"/>
      <c r="D98" s="2773" t="s">
        <v>1908</v>
      </c>
      <c r="E98" s="2762" t="s">
        <v>1906</v>
      </c>
      <c r="F98" s="2723"/>
      <c r="G98" s="2785"/>
    </row>
    <row r="99" spans="1:7" ht="6" customHeight="1">
      <c r="A99" s="2722"/>
      <c r="B99" s="2709"/>
      <c r="C99" s="2724"/>
      <c r="D99" s="2699"/>
      <c r="E99" s="2768"/>
      <c r="F99" s="2723"/>
      <c r="G99" s="2785"/>
    </row>
    <row r="100" spans="1:7">
      <c r="A100" s="2708"/>
      <c r="B100" s="2709" t="s">
        <v>3496</v>
      </c>
      <c r="C100" s="2724"/>
      <c r="D100" s="2773" t="s">
        <v>1909</v>
      </c>
      <c r="E100" s="2786">
        <v>3000</v>
      </c>
      <c r="F100" s="2709" t="s">
        <v>1970</v>
      </c>
      <c r="G100" s="2775"/>
    </row>
    <row r="101" spans="1:7">
      <c r="A101" s="2708"/>
      <c r="B101" s="2709" t="s">
        <v>1910</v>
      </c>
      <c r="C101" s="2693"/>
      <c r="D101" s="2773" t="s">
        <v>1911</v>
      </c>
      <c r="E101" s="2762" t="s">
        <v>1906</v>
      </c>
      <c r="F101" s="2709"/>
      <c r="G101" s="2775"/>
    </row>
    <row r="102" spans="1:7">
      <c r="A102" s="2708"/>
      <c r="B102" s="2709"/>
      <c r="C102" s="2693"/>
      <c r="D102" s="2773" t="s">
        <v>1912</v>
      </c>
      <c r="E102" s="2762"/>
      <c r="F102" s="2709"/>
      <c r="G102" s="2775"/>
    </row>
    <row r="103" spans="1:7" ht="6.75" customHeight="1">
      <c r="A103" s="2708"/>
      <c r="B103" s="2709"/>
      <c r="C103" s="2693"/>
      <c r="D103" s="2773"/>
      <c r="E103" s="2762"/>
      <c r="F103" s="2709"/>
      <c r="G103" s="2775"/>
    </row>
    <row r="104" spans="1:7">
      <c r="A104" s="2708"/>
      <c r="B104" s="2709" t="s">
        <v>3498</v>
      </c>
      <c r="C104" s="2693"/>
      <c r="D104" s="2773" t="s">
        <v>1913</v>
      </c>
      <c r="E104" s="2774">
        <v>2000</v>
      </c>
      <c r="F104" s="2709" t="s">
        <v>1971</v>
      </c>
      <c r="G104" s="2775"/>
    </row>
    <row r="105" spans="1:7">
      <c r="A105" s="2708"/>
      <c r="B105" s="2709" t="s">
        <v>1914</v>
      </c>
      <c r="C105" s="2693"/>
      <c r="D105" s="2773" t="s">
        <v>1915</v>
      </c>
      <c r="E105" s="2762" t="s">
        <v>3494</v>
      </c>
      <c r="F105" s="2709"/>
      <c r="G105" s="2775"/>
    </row>
    <row r="106" spans="1:7">
      <c r="A106" s="2708"/>
      <c r="B106" s="2709"/>
      <c r="C106" s="2693"/>
      <c r="D106" s="2773" t="s">
        <v>1916</v>
      </c>
      <c r="E106" s="2762" t="s">
        <v>1912</v>
      </c>
      <c r="F106" s="2709"/>
      <c r="G106" s="2775"/>
    </row>
    <row r="107" spans="1:7" ht="8.25" customHeight="1">
      <c r="A107" s="2708"/>
      <c r="B107" s="2709"/>
      <c r="C107" s="2693"/>
      <c r="D107" s="2773"/>
      <c r="E107" s="2762"/>
      <c r="F107" s="2709"/>
      <c r="G107" s="2775"/>
    </row>
    <row r="108" spans="1:7">
      <c r="A108" s="2708"/>
      <c r="B108" s="2709" t="s">
        <v>3499</v>
      </c>
      <c r="C108" s="2693"/>
      <c r="D108" s="2773" t="s">
        <v>1917</v>
      </c>
      <c r="E108" s="2762" t="s">
        <v>1918</v>
      </c>
      <c r="F108" s="2709" t="s">
        <v>1814</v>
      </c>
      <c r="G108" s="2775" t="s">
        <v>1743</v>
      </c>
    </row>
    <row r="109" spans="1:7">
      <c r="A109" s="2708"/>
      <c r="B109" s="2709" t="s">
        <v>1919</v>
      </c>
      <c r="C109" s="2693"/>
      <c r="D109" s="2773" t="s">
        <v>1920</v>
      </c>
      <c r="E109" s="2762" t="s">
        <v>1921</v>
      </c>
      <c r="F109" s="2709"/>
      <c r="G109" s="2775"/>
    </row>
    <row r="110" spans="1:7">
      <c r="A110" s="2708"/>
      <c r="B110" s="2709"/>
      <c r="C110" s="2693"/>
      <c r="D110" s="2773" t="s">
        <v>1922</v>
      </c>
      <c r="E110" s="2762"/>
      <c r="F110" s="2709"/>
      <c r="G110" s="2775"/>
    </row>
    <row r="111" spans="1:7" ht="6.75" customHeight="1">
      <c r="A111" s="2708"/>
      <c r="B111" s="2709"/>
      <c r="C111" s="2693"/>
      <c r="D111" s="2773"/>
      <c r="E111" s="2762"/>
      <c r="F111" s="2709"/>
      <c r="G111" s="2775"/>
    </row>
    <row r="112" spans="1:7">
      <c r="A112" s="2708"/>
      <c r="B112" s="2709" t="s">
        <v>3500</v>
      </c>
      <c r="C112" s="2693"/>
      <c r="D112" s="2773" t="s">
        <v>1923</v>
      </c>
      <c r="E112" s="2762" t="s">
        <v>1924</v>
      </c>
      <c r="F112" s="2709" t="s">
        <v>1814</v>
      </c>
      <c r="G112" s="2775" t="s">
        <v>1743</v>
      </c>
    </row>
    <row r="113" spans="1:7">
      <c r="A113" s="2708"/>
      <c r="B113" s="2709" t="s">
        <v>1925</v>
      </c>
      <c r="C113" s="2693"/>
      <c r="D113" s="2773" t="s">
        <v>1926</v>
      </c>
      <c r="E113" s="2762" t="s">
        <v>1927</v>
      </c>
      <c r="F113" s="2709"/>
      <c r="G113" s="2775"/>
    </row>
    <row r="114" spans="1:7">
      <c r="A114" s="2708"/>
      <c r="B114" s="2709"/>
      <c r="C114" s="2693"/>
      <c r="D114" s="2773" t="s">
        <v>1928</v>
      </c>
      <c r="E114" s="2762" t="s">
        <v>1929</v>
      </c>
      <c r="F114" s="2709"/>
      <c r="G114" s="2775"/>
    </row>
    <row r="115" spans="1:7">
      <c r="A115" s="2708"/>
      <c r="B115" s="2709"/>
      <c r="C115" s="2693"/>
      <c r="D115" s="2773" t="s">
        <v>1930</v>
      </c>
      <c r="E115" s="2762"/>
      <c r="F115" s="2709"/>
      <c r="G115" s="2775"/>
    </row>
    <row r="116" spans="1:7" ht="6.75" customHeight="1">
      <c r="A116" s="2708"/>
      <c r="B116" s="2709"/>
      <c r="C116" s="2693"/>
      <c r="D116" s="2773"/>
      <c r="E116" s="2762"/>
      <c r="F116" s="2709"/>
      <c r="G116" s="2775"/>
    </row>
    <row r="117" spans="1:7">
      <c r="A117" s="2708"/>
      <c r="B117" s="2709" t="s">
        <v>3501</v>
      </c>
      <c r="C117" s="2693"/>
      <c r="D117" s="2773" t="s">
        <v>1931</v>
      </c>
      <c r="E117" s="2762" t="s">
        <v>1932</v>
      </c>
      <c r="F117" s="2709" t="s">
        <v>1814</v>
      </c>
      <c r="G117" s="2775" t="s">
        <v>1743</v>
      </c>
    </row>
    <row r="118" spans="1:7">
      <c r="A118" s="2708"/>
      <c r="B118" s="2709" t="s">
        <v>3502</v>
      </c>
      <c r="C118" s="2693"/>
      <c r="D118" s="2773" t="s">
        <v>1933</v>
      </c>
      <c r="E118" s="2762"/>
      <c r="F118" s="2709"/>
      <c r="G118" s="2775"/>
    </row>
    <row r="119" spans="1:7" s="2701" customFormat="1" ht="12.75" customHeight="1">
      <c r="A119" s="2708"/>
      <c r="B119" s="2709"/>
      <c r="C119" s="2693"/>
      <c r="D119" s="2773" t="s">
        <v>3503</v>
      </c>
      <c r="E119" s="2762"/>
      <c r="F119" s="2709"/>
      <c r="G119" s="2775"/>
    </row>
    <row r="120" spans="1:7" s="2701" customFormat="1" ht="6.75" customHeight="1">
      <c r="A120" s="2718"/>
      <c r="B120" s="2719"/>
      <c r="C120" s="2693"/>
      <c r="D120" s="2782"/>
      <c r="E120" s="2762"/>
      <c r="F120" s="2719"/>
      <c r="G120" s="2783"/>
    </row>
    <row r="121" spans="1:7" s="2701" customFormat="1">
      <c r="A121" s="2708"/>
      <c r="B121" s="2709" t="s">
        <v>3504</v>
      </c>
      <c r="C121" s="2693"/>
      <c r="D121" s="2773" t="s">
        <v>1934</v>
      </c>
      <c r="E121" s="2762">
        <v>2</v>
      </c>
      <c r="F121" s="2709" t="s">
        <v>1814</v>
      </c>
      <c r="G121" s="2775" t="s">
        <v>1743</v>
      </c>
    </row>
    <row r="122" spans="1:7" ht="13.5" customHeight="1">
      <c r="A122" s="2708"/>
      <c r="B122" s="2709"/>
      <c r="C122" s="2693"/>
      <c r="D122" s="2773" t="s">
        <v>1935</v>
      </c>
      <c r="E122" s="2762" t="s">
        <v>3259</v>
      </c>
      <c r="F122" s="2709"/>
      <c r="G122" s="2775"/>
    </row>
    <row r="123" spans="1:7">
      <c r="A123" s="2722"/>
      <c r="B123" s="2723" t="s">
        <v>1936</v>
      </c>
      <c r="C123" s="2724">
        <v>750000</v>
      </c>
      <c r="D123" s="2699"/>
      <c r="E123" s="2768"/>
      <c r="F123" s="2723"/>
      <c r="G123" s="2785"/>
    </row>
    <row r="124" spans="1:7" ht="6.75" customHeight="1">
      <c r="A124" s="2722"/>
      <c r="B124" s="2723"/>
      <c r="C124" s="2724"/>
      <c r="D124" s="2699"/>
      <c r="E124" s="2768"/>
      <c r="F124" s="2723"/>
      <c r="G124" s="2785"/>
    </row>
    <row r="125" spans="1:7">
      <c r="A125" s="2708"/>
      <c r="B125" s="2709" t="s">
        <v>3505</v>
      </c>
      <c r="C125" s="2693"/>
      <c r="D125" s="2773" t="s">
        <v>1937</v>
      </c>
      <c r="E125" s="2774">
        <v>1000</v>
      </c>
      <c r="F125" s="2709" t="s">
        <v>1814</v>
      </c>
      <c r="G125" s="2775" t="s">
        <v>1743</v>
      </c>
    </row>
    <row r="126" spans="1:7">
      <c r="A126" s="2708"/>
      <c r="B126" s="2709"/>
      <c r="C126" s="2693"/>
      <c r="D126" s="2773" t="s">
        <v>1938</v>
      </c>
      <c r="E126" s="2762" t="s">
        <v>1906</v>
      </c>
      <c r="F126" s="2709"/>
      <c r="G126" s="2775"/>
    </row>
    <row r="127" spans="1:7">
      <c r="A127" s="2708"/>
      <c r="B127" s="2709"/>
      <c r="C127" s="2693"/>
      <c r="D127" s="2773" t="s">
        <v>1939</v>
      </c>
      <c r="E127" s="2762"/>
      <c r="F127" s="2709"/>
      <c r="G127" s="2775"/>
    </row>
    <row r="128" spans="1:7" s="2701" customFormat="1" ht="6.75" customHeight="1">
      <c r="A128" s="2708"/>
      <c r="B128" s="2709"/>
      <c r="C128" s="2693"/>
      <c r="D128" s="2773"/>
      <c r="E128" s="2762"/>
      <c r="F128" s="2709"/>
      <c r="G128" s="2775"/>
    </row>
    <row r="129" spans="1:7">
      <c r="A129" s="2708"/>
      <c r="B129" s="2709" t="s">
        <v>3506</v>
      </c>
      <c r="C129" s="2693"/>
      <c r="D129" s="2773" t="s">
        <v>1940</v>
      </c>
      <c r="E129" s="2774">
        <v>1000</v>
      </c>
      <c r="F129" s="2709" t="s">
        <v>1814</v>
      </c>
      <c r="G129" s="2775" t="s">
        <v>1743</v>
      </c>
    </row>
    <row r="130" spans="1:7">
      <c r="A130" s="2708"/>
      <c r="B130" s="2709"/>
      <c r="C130" s="2693"/>
      <c r="D130" s="2773" t="s">
        <v>1941</v>
      </c>
      <c r="E130" s="2762" t="s">
        <v>1906</v>
      </c>
      <c r="F130" s="2709"/>
      <c r="G130" s="2775"/>
    </row>
    <row r="131" spans="1:7" s="2701" customFormat="1" ht="6.75" customHeight="1">
      <c r="A131" s="2722"/>
      <c r="B131" s="2723"/>
      <c r="C131" s="2724"/>
      <c r="D131" s="2699"/>
      <c r="E131" s="2768"/>
      <c r="F131" s="2723"/>
      <c r="G131" s="2785"/>
    </row>
    <row r="132" spans="1:7">
      <c r="A132" s="2708"/>
      <c r="B132" s="2709" t="s">
        <v>3507</v>
      </c>
      <c r="C132" s="2693"/>
      <c r="D132" s="2773" t="s">
        <v>1942</v>
      </c>
      <c r="E132" s="2774">
        <v>1000</v>
      </c>
      <c r="F132" s="2709" t="s">
        <v>1814</v>
      </c>
      <c r="G132" s="2775" t="s">
        <v>1743</v>
      </c>
    </row>
    <row r="133" spans="1:7">
      <c r="A133" s="2708"/>
      <c r="B133" s="2709"/>
      <c r="C133" s="2693"/>
      <c r="D133" s="2773" t="s">
        <v>1943</v>
      </c>
      <c r="E133" s="2762" t="s">
        <v>1906</v>
      </c>
      <c r="F133" s="2709"/>
      <c r="G133" s="2775"/>
    </row>
    <row r="134" spans="1:7" ht="6.75" customHeight="1">
      <c r="A134" s="2722"/>
      <c r="B134" s="2723"/>
      <c r="C134" s="2724"/>
      <c r="D134" s="2699"/>
      <c r="E134" s="2768"/>
      <c r="F134" s="2723"/>
      <c r="G134" s="2785"/>
    </row>
    <row r="135" spans="1:7">
      <c r="A135" s="2708"/>
      <c r="B135" s="2709" t="s">
        <v>3508</v>
      </c>
      <c r="C135" s="2693"/>
      <c r="D135" s="2773" t="s">
        <v>1944</v>
      </c>
      <c r="E135" s="2762">
        <v>250</v>
      </c>
      <c r="F135" s="2709" t="s">
        <v>1814</v>
      </c>
      <c r="G135" s="2775" t="s">
        <v>1743</v>
      </c>
    </row>
    <row r="136" spans="1:7">
      <c r="A136" s="2708"/>
      <c r="B136" s="2709"/>
      <c r="C136" s="2693"/>
      <c r="D136" s="2773" t="s">
        <v>9239</v>
      </c>
      <c r="E136" s="2762" t="s">
        <v>1906</v>
      </c>
      <c r="F136" s="2709"/>
      <c r="G136" s="2775"/>
    </row>
    <row r="137" spans="1:7" ht="6.75" customHeight="1">
      <c r="A137" s="2718"/>
      <c r="B137" s="2719"/>
      <c r="C137" s="2724"/>
      <c r="D137" s="2782"/>
      <c r="E137" s="2762"/>
      <c r="F137" s="2719"/>
      <c r="G137" s="2783"/>
    </row>
    <row r="138" spans="1:7" s="2728" customFormat="1" ht="38.25" customHeight="1">
      <c r="A138" s="2725"/>
      <c r="B138" s="2726" t="s">
        <v>3509</v>
      </c>
      <c r="C138" s="2727"/>
      <c r="D138" s="2787" t="s">
        <v>3510</v>
      </c>
      <c r="E138" s="2788" t="s">
        <v>7238</v>
      </c>
      <c r="F138" s="2747" t="s">
        <v>1814</v>
      </c>
      <c r="G138" s="2789" t="s">
        <v>1743</v>
      </c>
    </row>
    <row r="139" spans="1:7" s="2732" customFormat="1" ht="30" customHeight="1">
      <c r="A139" s="2729"/>
      <c r="B139" s="2730" t="s">
        <v>3511</v>
      </c>
      <c r="C139" s="2731"/>
      <c r="D139" s="2790" t="s">
        <v>3512</v>
      </c>
      <c r="E139" s="2788" t="s">
        <v>3513</v>
      </c>
      <c r="F139" s="2747" t="s">
        <v>1814</v>
      </c>
      <c r="G139" s="2789" t="s">
        <v>1743</v>
      </c>
    </row>
    <row r="140" spans="1:7" s="2735" customFormat="1" ht="13.5" customHeight="1">
      <c r="A140" s="2733"/>
      <c r="B140" s="2733"/>
      <c r="C140" s="2734"/>
      <c r="D140" s="2791"/>
      <c r="E140" s="2791"/>
      <c r="F140" s="2792"/>
      <c r="G140" s="2792"/>
    </row>
    <row r="141" spans="1:7" s="2735" customFormat="1" ht="13.5" customHeight="1">
      <c r="C141" s="2731"/>
      <c r="D141" s="2788"/>
      <c r="E141" s="2788"/>
      <c r="F141" s="2793"/>
      <c r="G141" s="2793"/>
    </row>
    <row r="142" spans="1:7" s="2735" customFormat="1" ht="13.5" customHeight="1">
      <c r="C142" s="2731"/>
      <c r="D142" s="2788"/>
      <c r="E142" s="2788"/>
      <c r="F142" s="2793"/>
      <c r="G142" s="2793"/>
    </row>
    <row r="143" spans="1:7" s="2735" customFormat="1" ht="13.5" customHeight="1">
      <c r="C143" s="2731"/>
      <c r="D143" s="2788"/>
      <c r="E143" s="2788"/>
      <c r="F143" s="2793"/>
      <c r="G143" s="2793"/>
    </row>
    <row r="144" spans="1:7" s="2735" customFormat="1" ht="15" customHeight="1">
      <c r="C144" s="2731"/>
      <c r="D144" s="2788"/>
      <c r="E144" s="2788"/>
      <c r="F144" s="2793"/>
      <c r="G144" s="2793"/>
    </row>
    <row r="145" spans="1:7" s="2701" customFormat="1" ht="24.75" customHeight="1">
      <c r="A145" s="2777" t="s">
        <v>94</v>
      </c>
      <c r="B145" s="2710" t="s">
        <v>1759</v>
      </c>
      <c r="C145" s="2711" t="s">
        <v>1736</v>
      </c>
      <c r="D145" s="2710" t="s">
        <v>1787</v>
      </c>
      <c r="E145" s="2778" t="s">
        <v>1764</v>
      </c>
      <c r="F145" s="14216" t="s">
        <v>1840</v>
      </c>
      <c r="G145" s="14217"/>
    </row>
    <row r="146" spans="1:7" s="2738" customFormat="1" ht="31.5" customHeight="1">
      <c r="A146" s="2779" t="s">
        <v>9238</v>
      </c>
      <c r="B146" s="2736" t="s">
        <v>1762</v>
      </c>
      <c r="C146" s="2737"/>
      <c r="D146" s="2736" t="s">
        <v>1804</v>
      </c>
      <c r="E146" s="2794"/>
      <c r="F146" s="14218" t="s">
        <v>1841</v>
      </c>
      <c r="G146" s="14219"/>
    </row>
    <row r="147" spans="1:7" s="2741" customFormat="1">
      <c r="A147" s="2739"/>
      <c r="B147" s="2740" t="s">
        <v>1945</v>
      </c>
      <c r="C147" s="2657" t="s">
        <v>7239</v>
      </c>
      <c r="D147" s="2795"/>
      <c r="E147" s="2795"/>
      <c r="F147" s="2795"/>
      <c r="G147" s="2795"/>
    </row>
    <row r="148" spans="1:7" s="2745" customFormat="1" ht="47.25" customHeight="1">
      <c r="A148" s="2742"/>
      <c r="B148" s="2743" t="s">
        <v>3514</v>
      </c>
      <c r="C148" s="2744"/>
      <c r="D148" s="2796" t="s">
        <v>3515</v>
      </c>
      <c r="E148" s="2797" t="s">
        <v>1947</v>
      </c>
      <c r="F148" s="2747" t="s">
        <v>1814</v>
      </c>
      <c r="G148" s="2789" t="s">
        <v>1743</v>
      </c>
    </row>
    <row r="149" spans="1:7">
      <c r="A149" s="2708"/>
      <c r="B149" s="2709" t="s">
        <v>3516</v>
      </c>
      <c r="C149" s="2724"/>
      <c r="D149" s="2773" t="s">
        <v>1946</v>
      </c>
      <c r="E149" s="2762" t="s">
        <v>1947</v>
      </c>
      <c r="F149" s="2747" t="s">
        <v>1814</v>
      </c>
      <c r="G149" s="2789" t="s">
        <v>1743</v>
      </c>
    </row>
    <row r="150" spans="1:7">
      <c r="A150" s="2708"/>
      <c r="B150" s="2709" t="s">
        <v>1948</v>
      </c>
      <c r="C150" s="2724"/>
      <c r="D150" s="2773" t="s">
        <v>1949</v>
      </c>
      <c r="E150" s="2762"/>
      <c r="F150" s="2709"/>
      <c r="G150" s="2775"/>
    </row>
    <row r="151" spans="1:7" ht="10.5" customHeight="1">
      <c r="A151" s="2708"/>
      <c r="B151" s="2709"/>
      <c r="C151" s="2724"/>
      <c r="D151" s="2773"/>
      <c r="E151" s="2762"/>
      <c r="F151" s="2709"/>
      <c r="G151" s="2775"/>
    </row>
    <row r="152" spans="1:7">
      <c r="A152" s="2708"/>
      <c r="B152" s="2709" t="s">
        <v>3517</v>
      </c>
      <c r="C152" s="2724"/>
      <c r="D152" s="2773" t="s">
        <v>1951</v>
      </c>
      <c r="E152" s="2762" t="s">
        <v>1952</v>
      </c>
      <c r="F152" s="2747" t="s">
        <v>1814</v>
      </c>
      <c r="G152" s="2789" t="s">
        <v>1743</v>
      </c>
    </row>
    <row r="153" spans="1:7">
      <c r="A153" s="2708"/>
      <c r="B153" s="2709"/>
      <c r="C153" s="2724"/>
      <c r="D153" s="2773" t="s">
        <v>1953</v>
      </c>
      <c r="E153" s="2762" t="s">
        <v>1954</v>
      </c>
      <c r="F153" s="2709"/>
      <c r="G153" s="2775"/>
    </row>
    <row r="154" spans="1:7" s="2728" customFormat="1" ht="20.25" customHeight="1">
      <c r="A154" s="2746"/>
      <c r="B154" s="2747"/>
      <c r="C154" s="2727"/>
      <c r="D154" s="2798" t="s">
        <v>1955</v>
      </c>
      <c r="E154" s="2797" t="s">
        <v>1890</v>
      </c>
      <c r="F154" s="2747"/>
      <c r="G154" s="2789"/>
    </row>
    <row r="155" spans="1:7">
      <c r="A155" s="2708"/>
      <c r="B155" s="2709" t="s">
        <v>3518</v>
      </c>
      <c r="C155" s="2724"/>
      <c r="D155" s="2773" t="s">
        <v>1950</v>
      </c>
      <c r="E155" s="2762" t="s">
        <v>1956</v>
      </c>
      <c r="F155" s="2747" t="s">
        <v>1814</v>
      </c>
      <c r="G155" s="2789" t="s">
        <v>1743</v>
      </c>
    </row>
    <row r="156" spans="1:7">
      <c r="A156" s="2708"/>
      <c r="B156" s="2709"/>
      <c r="C156" s="2724"/>
      <c r="D156" s="2773" t="s">
        <v>1957</v>
      </c>
      <c r="E156" s="2762" t="s">
        <v>1958</v>
      </c>
      <c r="F156" s="2709"/>
      <c r="G156" s="2775"/>
    </row>
    <row r="157" spans="1:7">
      <c r="A157" s="2708"/>
      <c r="B157" s="2709"/>
      <c r="C157" s="2724"/>
      <c r="D157" s="2773" t="s">
        <v>3519</v>
      </c>
      <c r="E157" s="2762"/>
      <c r="F157" s="2709"/>
      <c r="G157" s="2775"/>
    </row>
    <row r="158" spans="1:7" ht="6" customHeight="1">
      <c r="A158" s="2708"/>
      <c r="B158" s="2709"/>
      <c r="C158" s="2724"/>
      <c r="D158" s="2773"/>
      <c r="E158" s="2762"/>
      <c r="F158" s="2709"/>
      <c r="G158" s="2775"/>
    </row>
    <row r="159" spans="1:7">
      <c r="A159" s="2708"/>
      <c r="B159" s="2709" t="s">
        <v>3520</v>
      </c>
      <c r="C159" s="2724"/>
      <c r="D159" s="2773" t="s">
        <v>1959</v>
      </c>
      <c r="E159" s="2762" t="s">
        <v>1960</v>
      </c>
      <c r="F159" s="2747" t="s">
        <v>1814</v>
      </c>
      <c r="G159" s="2789" t="s">
        <v>1743</v>
      </c>
    </row>
    <row r="160" spans="1:7">
      <c r="A160" s="2708"/>
      <c r="B160" s="2709" t="s">
        <v>1961</v>
      </c>
      <c r="C160" s="2724"/>
      <c r="D160" s="2773" t="s">
        <v>1962</v>
      </c>
      <c r="E160" s="2762" t="s">
        <v>3522</v>
      </c>
      <c r="F160" s="2709"/>
      <c r="G160" s="2775"/>
    </row>
    <row r="161" spans="1:7">
      <c r="A161" s="2718"/>
      <c r="B161" s="2719"/>
      <c r="C161" s="2724"/>
      <c r="D161" s="2782" t="s">
        <v>3521</v>
      </c>
      <c r="E161" s="2762" t="s">
        <v>737</v>
      </c>
      <c r="F161" s="2719"/>
      <c r="G161" s="2783"/>
    </row>
    <row r="162" spans="1:7" ht="10.5" customHeight="1">
      <c r="A162" s="2708"/>
      <c r="B162" s="2709"/>
      <c r="C162" s="2724"/>
      <c r="D162" s="2773"/>
      <c r="E162" s="2762"/>
      <c r="F162" s="2709"/>
      <c r="G162" s="2775"/>
    </row>
    <row r="163" spans="1:7">
      <c r="A163" s="2708"/>
      <c r="B163" s="2709" t="s">
        <v>3523</v>
      </c>
      <c r="C163" s="2724"/>
      <c r="D163" s="2773" t="s">
        <v>1964</v>
      </c>
      <c r="E163" s="2762" t="s">
        <v>1965</v>
      </c>
      <c r="F163" s="2747" t="s">
        <v>1814</v>
      </c>
      <c r="G163" s="2789" t="s">
        <v>1743</v>
      </c>
    </row>
    <row r="164" spans="1:7" s="2701" customFormat="1">
      <c r="A164" s="2708"/>
      <c r="B164" s="2709" t="s">
        <v>1966</v>
      </c>
      <c r="C164" s="2724"/>
      <c r="D164" s="2773" t="s">
        <v>1967</v>
      </c>
      <c r="E164" s="2762" t="s">
        <v>7240</v>
      </c>
      <c r="F164" s="2709"/>
      <c r="G164" s="2775"/>
    </row>
    <row r="165" spans="1:7" s="2701" customFormat="1">
      <c r="A165" s="2708"/>
      <c r="B165" s="2709"/>
      <c r="C165" s="2724"/>
      <c r="D165" s="2773" t="s">
        <v>1968</v>
      </c>
      <c r="E165" s="2762" t="s">
        <v>3524</v>
      </c>
      <c r="F165" s="2709"/>
      <c r="G165" s="2775"/>
    </row>
    <row r="166" spans="1:7">
      <c r="A166" s="2718"/>
      <c r="B166" s="2719"/>
      <c r="C166" s="2724"/>
      <c r="D166" s="2782"/>
      <c r="E166" s="2762" t="s">
        <v>3525</v>
      </c>
      <c r="F166" s="2718"/>
      <c r="G166" s="2719"/>
    </row>
    <row r="167" spans="1:7" s="2692" customFormat="1" ht="6.75" customHeight="1">
      <c r="A167" s="2718"/>
      <c r="B167" s="2719"/>
      <c r="C167" s="2724"/>
      <c r="D167" s="2782"/>
      <c r="E167" s="2762"/>
      <c r="F167" s="2718"/>
      <c r="G167" s="2719"/>
    </row>
    <row r="168" spans="1:7" s="2692" customFormat="1">
      <c r="A168" s="2718"/>
      <c r="B168" s="2748" t="s">
        <v>3526</v>
      </c>
      <c r="C168" s="2724">
        <v>100000</v>
      </c>
      <c r="D168" s="2782"/>
      <c r="E168" s="2762"/>
      <c r="F168" s="2718"/>
      <c r="G168" s="2719"/>
    </row>
    <row r="169" spans="1:7" s="2735" customFormat="1" ht="42.75" customHeight="1">
      <c r="A169" s="2749"/>
      <c r="B169" s="2726" t="s">
        <v>3527</v>
      </c>
      <c r="C169" s="2731"/>
      <c r="D169" s="2787" t="s">
        <v>3528</v>
      </c>
      <c r="E169" s="2788" t="s">
        <v>3529</v>
      </c>
      <c r="F169" s="2747" t="s">
        <v>1814</v>
      </c>
      <c r="G169" s="2789" t="s">
        <v>1743</v>
      </c>
    </row>
    <row r="170" spans="1:7" s="2735" customFormat="1">
      <c r="A170" s="2749"/>
      <c r="B170" s="2750" t="s">
        <v>3530</v>
      </c>
      <c r="C170" s="2731">
        <v>100000</v>
      </c>
      <c r="D170" s="2787"/>
      <c r="E170" s="2788"/>
      <c r="F170" s="2749"/>
      <c r="G170" s="2726"/>
    </row>
    <row r="171" spans="1:7" s="2735" customFormat="1" ht="55.5" customHeight="1">
      <c r="A171" s="2749"/>
      <c r="B171" s="2726" t="s">
        <v>3531</v>
      </c>
      <c r="C171" s="2731"/>
      <c r="D171" s="2787" t="s">
        <v>3532</v>
      </c>
      <c r="E171" s="2788" t="s">
        <v>3533</v>
      </c>
      <c r="F171" s="2799" t="s">
        <v>1814</v>
      </c>
      <c r="G171" s="2799" t="s">
        <v>1743</v>
      </c>
    </row>
    <row r="172" spans="1:7" s="2753" customFormat="1" ht="12.75" customHeight="1">
      <c r="A172" s="2751"/>
      <c r="B172" s="2752" t="s">
        <v>7241</v>
      </c>
      <c r="C172" s="2731"/>
      <c r="D172" s="2800"/>
      <c r="E172" s="2801"/>
      <c r="F172" s="2802"/>
      <c r="G172" s="2802"/>
    </row>
    <row r="173" spans="1:7" s="2735" customFormat="1" ht="120.75" customHeight="1">
      <c r="A173" s="2749"/>
      <c r="B173" s="2754" t="s">
        <v>7242</v>
      </c>
      <c r="C173" s="2731"/>
      <c r="D173" s="2803" t="s">
        <v>7243</v>
      </c>
      <c r="E173" s="2788" t="s">
        <v>7244</v>
      </c>
      <c r="F173" s="2799" t="s">
        <v>1814</v>
      </c>
      <c r="G173" s="2799" t="s">
        <v>1743</v>
      </c>
    </row>
    <row r="174" spans="1:7" s="2692" customFormat="1">
      <c r="A174" s="2718"/>
      <c r="B174" s="2748" t="s">
        <v>7245</v>
      </c>
      <c r="C174" s="2724">
        <v>150000</v>
      </c>
      <c r="D174" s="2782"/>
      <c r="E174" s="2762"/>
      <c r="F174" s="2804"/>
      <c r="G174" s="2804"/>
    </row>
    <row r="175" spans="1:7" s="2735" customFormat="1" ht="69">
      <c r="A175" s="2749"/>
      <c r="B175" s="2726" t="s">
        <v>3534</v>
      </c>
      <c r="C175" s="2731"/>
      <c r="D175" s="2787" t="s">
        <v>3535</v>
      </c>
      <c r="E175" s="2788" t="s">
        <v>3536</v>
      </c>
      <c r="F175" s="2805" t="s">
        <v>1814</v>
      </c>
      <c r="G175" s="2805" t="s">
        <v>1743</v>
      </c>
    </row>
    <row r="176" spans="1:7">
      <c r="A176" s="2755"/>
      <c r="B176" s="2756" t="s">
        <v>220</v>
      </c>
      <c r="C176" s="2757">
        <f>SUM(C36:C63,C76:C139,C148:C175)</f>
        <v>7697248</v>
      </c>
      <c r="D176" s="2756"/>
      <c r="E176" s="2806"/>
      <c r="F176" s="2755"/>
      <c r="G176" s="2807"/>
    </row>
    <row r="177" spans="1:7">
      <c r="B177" s="2758"/>
    </row>
    <row r="178" spans="1:7" s="2701" customFormat="1">
      <c r="A178" s="2694" t="s">
        <v>3537</v>
      </c>
      <c r="B178" s="2758"/>
      <c r="C178" s="2759"/>
      <c r="D178" s="2758"/>
      <c r="E178" s="2758"/>
      <c r="F178" s="2694"/>
      <c r="G178" s="2694"/>
    </row>
    <row r="210" spans="1:5">
      <c r="A210" s="2760"/>
      <c r="C210" s="2761"/>
      <c r="D210" s="2694"/>
      <c r="E210" s="2694"/>
    </row>
  </sheetData>
  <mergeCells count="11">
    <mergeCell ref="F145:G145"/>
    <mergeCell ref="F146:G146"/>
    <mergeCell ref="F94:G94"/>
    <mergeCell ref="A1:B1"/>
    <mergeCell ref="F1:G1"/>
    <mergeCell ref="A2:G2"/>
    <mergeCell ref="B10:G10"/>
    <mergeCell ref="F33:G33"/>
    <mergeCell ref="F34:G34"/>
    <mergeCell ref="F73:G73"/>
    <mergeCell ref="F74:G74"/>
  </mergeCells>
  <pageMargins left="0.5" right="0.25" top="0.75" bottom="0.5" header="0.5" footer="0.25"/>
  <pageSetup paperSize="119" firstPageNumber="38" orientation="portrait" useFirstPageNumber="1" verticalDpi="300" r:id="rId1"/>
  <headerFooter alignWithMargins="0"/>
</worksheet>
</file>

<file path=xl/worksheets/sheet28.xml><?xml version="1.0" encoding="utf-8"?>
<worksheet xmlns="http://schemas.openxmlformats.org/spreadsheetml/2006/main" xmlns:r="http://schemas.openxmlformats.org/officeDocument/2006/relationships">
  <sheetPr codeName="Sheet215"/>
  <dimension ref="A1:Q290"/>
  <sheetViews>
    <sheetView topLeftCell="B1" workbookViewId="0">
      <pane xSplit="1" ySplit="8" topLeftCell="C248" activePane="bottomRight" state="frozen"/>
      <selection activeCell="B1" sqref="B1"/>
      <selection pane="topRight" activeCell="C1" sqref="C1"/>
      <selection pane="bottomLeft" activeCell="B9" sqref="B9"/>
      <selection pane="bottomRight" activeCell="B233" sqref="B233"/>
    </sheetView>
  </sheetViews>
  <sheetFormatPr defaultColWidth="9.109375" defaultRowHeight="14.4"/>
  <cols>
    <col min="1" max="1" width="3.44140625" style="5887" customWidth="1"/>
    <col min="2" max="2" width="48.88671875" style="5887" customWidth="1"/>
    <col min="3" max="3" width="10.44140625" style="9196" customWidth="1"/>
    <col min="4" max="4" width="16" style="8950" hidden="1" customWidth="1"/>
    <col min="5" max="5" width="16" style="9197" customWidth="1"/>
    <col min="6" max="6" width="16.109375" style="9197" customWidth="1"/>
    <col min="7" max="7" width="17.109375" style="9198" customWidth="1"/>
    <col min="8" max="8" width="16.109375" style="9051" customWidth="1"/>
    <col min="9" max="9" width="7.88671875" style="9199" customWidth="1"/>
    <col min="10" max="10" width="17" style="9051" customWidth="1"/>
    <col min="11" max="11" width="15.88671875" style="5885" customWidth="1"/>
    <col min="12" max="12" width="14.44140625" style="5886" customWidth="1"/>
    <col min="13" max="14" width="15.44140625" style="5885" hidden="1" customWidth="1"/>
    <col min="15" max="15" width="14.44140625" style="5887" customWidth="1"/>
    <col min="16" max="16" width="16.109375" style="5887" customWidth="1"/>
    <col min="17" max="16384" width="9.109375" style="5887"/>
  </cols>
  <sheetData>
    <row r="1" spans="1:14" ht="14.25" customHeight="1">
      <c r="A1" s="14233" t="s">
        <v>1</v>
      </c>
      <c r="B1" s="14233"/>
      <c r="C1" s="14233"/>
      <c r="D1" s="14233"/>
      <c r="E1" s="14233"/>
      <c r="F1" s="14233"/>
      <c r="G1" s="14233"/>
      <c r="H1" s="14233"/>
      <c r="I1" s="14233"/>
      <c r="J1" s="14233"/>
    </row>
    <row r="2" spans="1:14" ht="14.25" customHeight="1">
      <c r="A2" s="5880"/>
      <c r="B2" s="5880"/>
      <c r="C2" s="5893"/>
      <c r="D2" s="8571"/>
      <c r="E2" s="8670"/>
      <c r="F2" s="8670"/>
      <c r="G2" s="8918"/>
      <c r="H2" s="7040"/>
      <c r="I2" s="7044"/>
      <c r="J2" s="7040"/>
    </row>
    <row r="3" spans="1:14" ht="14.25" customHeight="1">
      <c r="A3" s="5880" t="s">
        <v>2</v>
      </c>
      <c r="B3" s="5880"/>
      <c r="C3" s="5893" t="s">
        <v>259</v>
      </c>
      <c r="D3" s="8571"/>
      <c r="E3" s="8670"/>
      <c r="F3" s="8670"/>
      <c r="G3" s="14234"/>
      <c r="H3" s="7040"/>
      <c r="I3" s="7044"/>
      <c r="J3" s="14235"/>
    </row>
    <row r="4" spans="1:14" ht="14.25" customHeight="1">
      <c r="A4" s="5880" t="s">
        <v>4</v>
      </c>
      <c r="B4" s="5880"/>
      <c r="C4" s="5893" t="s">
        <v>325</v>
      </c>
      <c r="D4" s="8571"/>
      <c r="E4" s="8670"/>
      <c r="F4" s="8670"/>
      <c r="G4" s="14234"/>
      <c r="H4" s="7040"/>
      <c r="I4" s="7044"/>
      <c r="J4" s="14235"/>
    </row>
    <row r="5" spans="1:14" ht="26.25" customHeight="1" thickBot="1">
      <c r="A5" s="5899" t="s">
        <v>7</v>
      </c>
      <c r="B5" s="5899"/>
      <c r="C5" s="5894" t="s">
        <v>8</v>
      </c>
      <c r="D5" s="8581"/>
      <c r="E5" s="8678"/>
      <c r="F5" s="8678"/>
      <c r="G5" s="8919"/>
      <c r="H5" s="8920"/>
      <c r="I5" s="8921"/>
      <c r="J5" s="8920"/>
    </row>
    <row r="6" spans="1:14" ht="14.25" customHeight="1">
      <c r="A6" s="8922"/>
      <c r="B6" s="8520"/>
      <c r="C6" s="8521" t="s">
        <v>103</v>
      </c>
      <c r="D6" s="8572" t="s">
        <v>10</v>
      </c>
      <c r="E6" s="14230" t="s">
        <v>10711</v>
      </c>
      <c r="F6" s="14231"/>
      <c r="G6" s="14232"/>
      <c r="H6" s="8522" t="s">
        <v>9985</v>
      </c>
      <c r="I6" s="8523"/>
      <c r="J6" s="8524" t="s">
        <v>326</v>
      </c>
      <c r="M6" s="5885" t="s">
        <v>326</v>
      </c>
      <c r="N6" s="5885" t="s">
        <v>326</v>
      </c>
    </row>
    <row r="7" spans="1:14" ht="14.25" customHeight="1">
      <c r="A7" s="8923"/>
      <c r="B7" s="5894" t="s">
        <v>13</v>
      </c>
      <c r="C7" s="8516" t="s">
        <v>94</v>
      </c>
      <c r="D7" s="8573" t="s">
        <v>15</v>
      </c>
      <c r="E7" s="8909" t="s">
        <v>10709</v>
      </c>
      <c r="F7" s="8668" t="s">
        <v>10710</v>
      </c>
      <c r="G7" s="14236" t="s">
        <v>458</v>
      </c>
      <c r="H7" s="8525">
        <v>2017</v>
      </c>
      <c r="I7" s="8517"/>
      <c r="J7" s="8518" t="s">
        <v>16</v>
      </c>
      <c r="M7" s="5885" t="s">
        <v>16</v>
      </c>
      <c r="N7" s="5885" t="s">
        <v>16</v>
      </c>
    </row>
    <row r="8" spans="1:14" ht="14.25" customHeight="1" thickBot="1">
      <c r="A8" s="8924"/>
      <c r="B8" s="5913"/>
      <c r="C8" s="8526"/>
      <c r="D8" s="8574">
        <v>2016</v>
      </c>
      <c r="E8" s="8908" t="s">
        <v>457</v>
      </c>
      <c r="F8" s="8669" t="s">
        <v>456</v>
      </c>
      <c r="G8" s="14237"/>
      <c r="H8" s="8527"/>
      <c r="I8" s="8528"/>
      <c r="J8" s="8529">
        <v>2018</v>
      </c>
      <c r="M8" s="8925">
        <v>2014</v>
      </c>
      <c r="N8" s="8925">
        <v>2015</v>
      </c>
    </row>
    <row r="9" spans="1:14" ht="14.25" customHeight="1">
      <c r="A9" s="5895" t="s">
        <v>51</v>
      </c>
      <c r="B9" s="5896" t="s">
        <v>112</v>
      </c>
      <c r="C9" s="8926"/>
      <c r="D9" s="8927"/>
      <c r="E9" s="8928"/>
      <c r="F9" s="8928"/>
      <c r="G9" s="8929"/>
      <c r="H9" s="8930"/>
      <c r="I9" s="8931"/>
      <c r="J9" s="8930"/>
    </row>
    <row r="10" spans="1:14" ht="15" customHeight="1">
      <c r="A10" s="5895"/>
      <c r="B10" s="5896" t="s">
        <v>3048</v>
      </c>
      <c r="C10" s="8932"/>
      <c r="D10" s="8933"/>
      <c r="E10" s="8934"/>
      <c r="F10" s="8934">
        <f>G10-E10</f>
        <v>250000000</v>
      </c>
      <c r="G10" s="8935">
        <v>250000000</v>
      </c>
      <c r="H10" s="8914"/>
      <c r="I10" s="8936"/>
      <c r="J10" s="8914">
        <v>0</v>
      </c>
    </row>
    <row r="11" spans="1:14" ht="14.25" customHeight="1">
      <c r="A11" s="5898"/>
      <c r="B11" s="5894" t="s">
        <v>327</v>
      </c>
      <c r="C11" s="8937"/>
      <c r="D11" s="8575">
        <f>SUM(D10:D10)</f>
        <v>0</v>
      </c>
      <c r="E11" s="8671">
        <f>SUM(E10:E10)</f>
        <v>0</v>
      </c>
      <c r="F11" s="8671">
        <f>SUM(F10:F10)</f>
        <v>250000000</v>
      </c>
      <c r="G11" s="8671">
        <f>SUM(G10:G10)</f>
        <v>250000000</v>
      </c>
      <c r="H11" s="5883"/>
      <c r="I11" s="7045"/>
      <c r="J11" s="5883">
        <f>SUM(J10:J10)</f>
        <v>0</v>
      </c>
      <c r="M11" s="5885">
        <v>0</v>
      </c>
      <c r="N11" s="5885">
        <v>0</v>
      </c>
    </row>
    <row r="12" spans="1:14" ht="14.25" customHeight="1">
      <c r="A12" s="5898"/>
      <c r="B12" s="5894"/>
      <c r="C12" s="8937"/>
      <c r="D12" s="8933"/>
      <c r="E12" s="8934"/>
      <c r="F12" s="8934"/>
      <c r="G12" s="8938"/>
      <c r="H12" s="8939"/>
      <c r="I12" s="8940"/>
      <c r="J12" s="8939"/>
    </row>
    <row r="13" spans="1:14" ht="14.25" customHeight="1">
      <c r="A13" s="5898" t="s">
        <v>53</v>
      </c>
      <c r="B13" s="5896" t="s">
        <v>328</v>
      </c>
      <c r="C13" s="8937"/>
      <c r="D13" s="8941"/>
      <c r="E13" s="8942"/>
      <c r="F13" s="8942"/>
      <c r="G13" s="8943" t="s">
        <v>9</v>
      </c>
      <c r="H13" s="8944"/>
      <c r="I13" s="8945"/>
      <c r="J13" s="8944" t="s">
        <v>9</v>
      </c>
      <c r="M13" s="5885" t="s">
        <v>9</v>
      </c>
      <c r="N13" s="5885" t="s">
        <v>9</v>
      </c>
    </row>
    <row r="14" spans="1:14" ht="14.25" customHeight="1">
      <c r="A14" s="5911"/>
      <c r="B14" s="5896" t="s">
        <v>329</v>
      </c>
      <c r="C14" s="8937">
        <v>1919</v>
      </c>
      <c r="D14" s="8933">
        <v>162809145.03</v>
      </c>
      <c r="E14" s="8934">
        <v>35090216.659999996</v>
      </c>
      <c r="F14" s="8934">
        <f>G14-E14</f>
        <v>307613894.34000003</v>
      </c>
      <c r="G14" s="8943">
        <v>342704111</v>
      </c>
      <c r="H14" s="8946">
        <v>220753259.5</v>
      </c>
      <c r="I14" s="8947">
        <f>H14/G14</f>
        <v>0.64415118586073805</v>
      </c>
      <c r="J14" s="9233">
        <f>K14</f>
        <v>404379576.20000005</v>
      </c>
      <c r="K14" s="8948">
        <f>'STATEMENT OF RECEIPTS'!N29</f>
        <v>404379576.20000005</v>
      </c>
      <c r="M14" s="5885">
        <v>247963359</v>
      </c>
      <c r="N14" s="5885">
        <v>282504624</v>
      </c>
    </row>
    <row r="15" spans="1:14" ht="14.25" customHeight="1">
      <c r="A15" s="5911"/>
      <c r="B15" s="5896" t="s">
        <v>330</v>
      </c>
      <c r="C15" s="8937">
        <v>9995</v>
      </c>
      <c r="D15" s="8933">
        <v>11090000</v>
      </c>
      <c r="E15" s="8934">
        <v>22180000</v>
      </c>
      <c r="F15" s="8934">
        <f>G15-E15</f>
        <v>0</v>
      </c>
      <c r="G15" s="8943">
        <v>22180000</v>
      </c>
      <c r="H15" s="8946">
        <v>11090000</v>
      </c>
      <c r="I15" s="8947">
        <f>H15/G15</f>
        <v>0.5</v>
      </c>
      <c r="J15" s="8949">
        <f>20000*1109</f>
        <v>22180000</v>
      </c>
      <c r="K15" s="8950" t="s">
        <v>568</v>
      </c>
      <c r="M15" s="5885">
        <v>11090000</v>
      </c>
      <c r="N15" s="5885">
        <v>11090000</v>
      </c>
    </row>
    <row r="16" spans="1:14" ht="14.25" customHeight="1">
      <c r="A16" s="5911"/>
      <c r="B16" s="5896" t="s">
        <v>331</v>
      </c>
      <c r="C16" s="8937">
        <v>9998</v>
      </c>
      <c r="D16" s="8933">
        <f>27410810.7+5865980+1158500+4434000+3001600+18333727.16+1300000+1481510</f>
        <v>62986127.859999999</v>
      </c>
      <c r="E16" s="8934">
        <v>149815</v>
      </c>
      <c r="F16" s="8934">
        <f>G16-E16</f>
        <v>101024963</v>
      </c>
      <c r="G16" s="8951">
        <v>101174778</v>
      </c>
      <c r="H16" s="8946">
        <v>26530020</v>
      </c>
      <c r="I16" s="8947">
        <f>H16/G16</f>
        <v>0.26221970064515487</v>
      </c>
      <c r="J16" s="8952">
        <v>108237374.10000001</v>
      </c>
      <c r="K16" s="8912" t="s">
        <v>11119</v>
      </c>
      <c r="M16" s="5885">
        <v>73204273.5</v>
      </c>
      <c r="N16" s="5885">
        <v>81716504.400000006</v>
      </c>
    </row>
    <row r="17" spans="1:14" ht="14.25" customHeight="1">
      <c r="A17" s="5911"/>
      <c r="B17" s="5903" t="s">
        <v>332</v>
      </c>
      <c r="C17" s="8937"/>
      <c r="D17" s="8933"/>
      <c r="E17" s="8934"/>
      <c r="F17" s="8934"/>
      <c r="G17" s="8943"/>
      <c r="H17" s="8946"/>
      <c r="I17" s="8947"/>
      <c r="J17" s="8944"/>
    </row>
    <row r="18" spans="1:14" ht="14.25" hidden="1" customHeight="1">
      <c r="A18" s="5911"/>
      <c r="B18" s="5896" t="s">
        <v>333</v>
      </c>
      <c r="C18" s="8937">
        <v>9921</v>
      </c>
      <c r="D18" s="8933">
        <v>0</v>
      </c>
      <c r="E18" s="8934"/>
      <c r="F18" s="8934"/>
      <c r="G18" s="8953">
        <v>0</v>
      </c>
      <c r="H18" s="8946"/>
      <c r="I18" s="8947"/>
      <c r="J18" s="8954">
        <v>0</v>
      </c>
      <c r="M18" s="5885">
        <v>979882</v>
      </c>
      <c r="N18" s="5885">
        <v>337800</v>
      </c>
    </row>
    <row r="19" spans="1:14" ht="14.25" customHeight="1">
      <c r="A19" s="5911"/>
      <c r="B19" s="5896" t="s">
        <v>334</v>
      </c>
      <c r="C19" s="8937">
        <v>9911</v>
      </c>
      <c r="D19" s="8912" t="s">
        <v>3394</v>
      </c>
      <c r="E19" s="8955"/>
      <c r="F19" s="8955"/>
      <c r="G19" s="8943"/>
      <c r="H19" s="8946"/>
      <c r="I19" s="8947"/>
      <c r="J19" s="8944"/>
    </row>
    <row r="20" spans="1:14" ht="3.75" customHeight="1">
      <c r="A20" s="5911"/>
      <c r="B20" s="5894" t="s">
        <v>9</v>
      </c>
      <c r="C20" s="8937"/>
      <c r="D20" s="8579" t="s">
        <v>9</v>
      </c>
      <c r="E20" s="8676"/>
      <c r="F20" s="8676"/>
      <c r="G20" s="8956" t="s">
        <v>9</v>
      </c>
      <c r="H20" s="8957"/>
      <c r="I20" s="8958"/>
      <c r="J20" s="8957" t="s">
        <v>9</v>
      </c>
      <c r="M20" s="5885" t="s">
        <v>9</v>
      </c>
      <c r="N20" s="5885" t="s">
        <v>9</v>
      </c>
    </row>
    <row r="21" spans="1:14" s="5796" customFormat="1" ht="20.25" customHeight="1">
      <c r="A21" s="8959"/>
      <c r="B21" s="5865" t="s">
        <v>327</v>
      </c>
      <c r="C21" s="5814"/>
      <c r="D21" s="8576">
        <f>SUM(D14:D20)</f>
        <v>236885272.88999999</v>
      </c>
      <c r="E21" s="8672">
        <f>SUM(E14:E20)</f>
        <v>57420031.659999996</v>
      </c>
      <c r="F21" s="8672">
        <f>SUM(F14:F20)</f>
        <v>408638857.34000003</v>
      </c>
      <c r="G21" s="8672">
        <f>SUM(G14:G20)</f>
        <v>466058889</v>
      </c>
      <c r="H21" s="5871"/>
      <c r="I21" s="7005"/>
      <c r="J21" s="5871">
        <f>SUM(J14:J20)</f>
        <v>534796950.30000007</v>
      </c>
      <c r="K21" s="5788"/>
      <c r="L21" s="8960"/>
      <c r="M21" s="5788">
        <v>333237514.5</v>
      </c>
      <c r="N21" s="5788">
        <v>375648928.39999998</v>
      </c>
    </row>
    <row r="22" spans="1:14" ht="13.5" customHeight="1">
      <c r="A22" s="5911"/>
      <c r="B22" s="5899"/>
      <c r="C22" s="8937"/>
      <c r="D22" s="8577"/>
      <c r="E22" s="8673"/>
      <c r="F22" s="8673"/>
      <c r="G22" s="8674"/>
      <c r="H22" s="5884"/>
      <c r="I22" s="7046"/>
      <c r="J22" s="5884"/>
    </row>
    <row r="23" spans="1:14" ht="14.25" customHeight="1">
      <c r="A23" s="5898"/>
      <c r="B23" s="5896" t="s">
        <v>335</v>
      </c>
      <c r="C23" s="8937"/>
      <c r="D23" s="8933"/>
      <c r="E23" s="8934"/>
      <c r="F23" s="8934"/>
      <c r="G23" s="8935"/>
      <c r="H23" s="8914"/>
      <c r="I23" s="8936"/>
      <c r="J23" s="8914"/>
    </row>
    <row r="24" spans="1:14" ht="14.25" customHeight="1">
      <c r="A24" s="5911"/>
      <c r="B24" s="5899" t="s">
        <v>336</v>
      </c>
      <c r="C24" s="8937">
        <v>799902</v>
      </c>
      <c r="D24" s="8933">
        <v>0</v>
      </c>
      <c r="E24" s="8934"/>
      <c r="F24" s="8934">
        <f>G24-E24</f>
        <v>25000</v>
      </c>
      <c r="G24" s="8935">
        <v>25000</v>
      </c>
      <c r="H24" s="8961">
        <v>0</v>
      </c>
      <c r="I24" s="8962">
        <f t="shared" ref="I24:I62" si="0">H24/G24</f>
        <v>0</v>
      </c>
      <c r="J24" s="8912">
        <v>25000</v>
      </c>
      <c r="K24" s="8950" t="s">
        <v>11115</v>
      </c>
      <c r="M24" s="5885">
        <v>50000</v>
      </c>
      <c r="N24" s="5885">
        <v>50000</v>
      </c>
    </row>
    <row r="25" spans="1:14" ht="14.25" customHeight="1">
      <c r="A25" s="5911"/>
      <c r="B25" s="5899" t="s">
        <v>337</v>
      </c>
      <c r="C25" s="8937">
        <v>799903</v>
      </c>
      <c r="D25" s="8933">
        <v>100000</v>
      </c>
      <c r="E25" s="8934"/>
      <c r="F25" s="8934">
        <f t="shared" ref="F25:F36" si="1">G25-E25</f>
        <v>100000</v>
      </c>
      <c r="G25" s="8935">
        <v>100000</v>
      </c>
      <c r="H25" s="8961">
        <v>0</v>
      </c>
      <c r="I25" s="8962">
        <f t="shared" si="0"/>
        <v>0</v>
      </c>
      <c r="J25" s="8912">
        <v>100000</v>
      </c>
      <c r="K25" s="8950" t="s">
        <v>568</v>
      </c>
      <c r="M25" s="5885">
        <v>100000</v>
      </c>
      <c r="N25" s="5885">
        <v>100000</v>
      </c>
    </row>
    <row r="26" spans="1:14" ht="14.25" customHeight="1">
      <c r="A26" s="5911"/>
      <c r="B26" s="5899" t="s">
        <v>338</v>
      </c>
      <c r="C26" s="8937">
        <v>799904</v>
      </c>
      <c r="D26" s="8933">
        <v>0</v>
      </c>
      <c r="E26" s="8934"/>
      <c r="F26" s="8934">
        <f t="shared" si="1"/>
        <v>100000</v>
      </c>
      <c r="G26" s="8935">
        <v>100000</v>
      </c>
      <c r="H26" s="8961">
        <v>0</v>
      </c>
      <c r="I26" s="8962">
        <f t="shared" si="0"/>
        <v>0</v>
      </c>
      <c r="J26" s="8912">
        <v>100000</v>
      </c>
      <c r="K26" s="8950" t="s">
        <v>568</v>
      </c>
      <c r="M26" s="5885">
        <v>100000</v>
      </c>
      <c r="N26" s="5885">
        <v>100000</v>
      </c>
    </row>
    <row r="27" spans="1:14" ht="14.25" customHeight="1">
      <c r="A27" s="8923"/>
      <c r="B27" s="5899" t="s">
        <v>339</v>
      </c>
      <c r="C27" s="8516"/>
      <c r="D27" s="9025"/>
      <c r="E27" s="8934"/>
      <c r="F27" s="8934"/>
      <c r="G27" s="8955"/>
      <c r="H27" s="9027"/>
      <c r="I27" s="9028"/>
      <c r="J27" s="8912">
        <v>100000</v>
      </c>
      <c r="K27" s="8950" t="s">
        <v>568</v>
      </c>
    </row>
    <row r="28" spans="1:14" ht="14.25" customHeight="1">
      <c r="A28" s="5911"/>
      <c r="B28" s="5899" t="s">
        <v>340</v>
      </c>
      <c r="C28" s="8937">
        <v>799906</v>
      </c>
      <c r="D28" s="8933">
        <v>100000</v>
      </c>
      <c r="E28" s="8934"/>
      <c r="F28" s="8934">
        <f t="shared" si="1"/>
        <v>100000</v>
      </c>
      <c r="G28" s="8935">
        <v>100000</v>
      </c>
      <c r="H28" s="8961">
        <v>0</v>
      </c>
      <c r="I28" s="8962">
        <f t="shared" si="0"/>
        <v>0</v>
      </c>
      <c r="J28" s="8912">
        <v>100000</v>
      </c>
      <c r="K28" s="8950" t="s">
        <v>568</v>
      </c>
      <c r="M28" s="5885">
        <v>100000</v>
      </c>
      <c r="N28" s="5885">
        <v>100000</v>
      </c>
    </row>
    <row r="29" spans="1:14" ht="14.25" customHeight="1">
      <c r="A29" s="5911"/>
      <c r="B29" s="5899" t="s">
        <v>341</v>
      </c>
      <c r="C29" s="8937">
        <v>799912</v>
      </c>
      <c r="D29" s="8933">
        <v>0</v>
      </c>
      <c r="E29" s="8934"/>
      <c r="F29" s="8934">
        <f t="shared" si="1"/>
        <v>100000</v>
      </c>
      <c r="G29" s="8935">
        <v>100000</v>
      </c>
      <c r="H29" s="8961">
        <v>0</v>
      </c>
      <c r="I29" s="8962">
        <f t="shared" si="0"/>
        <v>0</v>
      </c>
      <c r="J29" s="8912">
        <v>100000</v>
      </c>
      <c r="K29" s="8950" t="s">
        <v>568</v>
      </c>
      <c r="M29" s="5885">
        <v>100000</v>
      </c>
      <c r="N29" s="5885">
        <v>100000</v>
      </c>
    </row>
    <row r="30" spans="1:14" ht="14.25" customHeight="1">
      <c r="A30" s="5911"/>
      <c r="B30" s="5899" t="s">
        <v>342</v>
      </c>
      <c r="C30" s="8937">
        <v>799907</v>
      </c>
      <c r="D30" s="8933">
        <v>100000</v>
      </c>
      <c r="E30" s="8934"/>
      <c r="F30" s="8934">
        <f t="shared" si="1"/>
        <v>100000</v>
      </c>
      <c r="G30" s="8935">
        <v>100000</v>
      </c>
      <c r="H30" s="8961">
        <v>0</v>
      </c>
      <c r="I30" s="8962">
        <f t="shared" si="0"/>
        <v>0</v>
      </c>
      <c r="J30" s="8912">
        <v>100000</v>
      </c>
      <c r="K30" s="8950" t="s">
        <v>568</v>
      </c>
      <c r="M30" s="5885">
        <v>100000</v>
      </c>
      <c r="N30" s="5885">
        <v>100000</v>
      </c>
    </row>
    <row r="31" spans="1:14" ht="14.25" customHeight="1">
      <c r="A31" s="5911"/>
      <c r="B31" s="5899" t="s">
        <v>343</v>
      </c>
      <c r="C31" s="8937">
        <v>799908</v>
      </c>
      <c r="D31" s="8933">
        <v>0</v>
      </c>
      <c r="E31" s="8934"/>
      <c r="F31" s="8934">
        <f t="shared" si="1"/>
        <v>100000</v>
      </c>
      <c r="G31" s="8935">
        <v>100000</v>
      </c>
      <c r="H31" s="8961">
        <v>0</v>
      </c>
      <c r="I31" s="8962">
        <f t="shared" si="0"/>
        <v>0</v>
      </c>
      <c r="J31" s="8912">
        <v>100000</v>
      </c>
      <c r="K31" s="8950" t="s">
        <v>568</v>
      </c>
      <c r="M31" s="5885">
        <v>100000</v>
      </c>
      <c r="N31" s="5885">
        <v>100000</v>
      </c>
    </row>
    <row r="32" spans="1:14" ht="14.25" customHeight="1">
      <c r="A32" s="5911"/>
      <c r="B32" s="5899" t="s">
        <v>344</v>
      </c>
      <c r="C32" s="8937">
        <v>799911</v>
      </c>
      <c r="D32" s="8933">
        <v>0</v>
      </c>
      <c r="E32" s="8934"/>
      <c r="F32" s="8934">
        <f t="shared" si="1"/>
        <v>100000</v>
      </c>
      <c r="G32" s="8935">
        <v>100000</v>
      </c>
      <c r="H32" s="8961">
        <v>0</v>
      </c>
      <c r="I32" s="8962">
        <f t="shared" si="0"/>
        <v>0</v>
      </c>
      <c r="J32" s="8912">
        <v>100000</v>
      </c>
      <c r="K32" s="8950" t="s">
        <v>568</v>
      </c>
      <c r="M32" s="5885">
        <v>100000</v>
      </c>
      <c r="N32" s="5885">
        <v>100000</v>
      </c>
    </row>
    <row r="33" spans="1:14" ht="14.25" customHeight="1">
      <c r="A33" s="5911"/>
      <c r="B33" s="5899" t="s">
        <v>10015</v>
      </c>
      <c r="C33" s="8937">
        <v>399801</v>
      </c>
      <c r="D33" s="8963">
        <v>0</v>
      </c>
      <c r="E33" s="8964"/>
      <c r="F33" s="8934">
        <f t="shared" si="1"/>
        <v>250000</v>
      </c>
      <c r="G33" s="8965">
        <v>250000</v>
      </c>
      <c r="H33" s="8961">
        <v>0</v>
      </c>
      <c r="I33" s="8962">
        <f t="shared" si="0"/>
        <v>0</v>
      </c>
      <c r="J33" s="8966">
        <v>250000</v>
      </c>
      <c r="K33" s="8950" t="s">
        <v>568</v>
      </c>
      <c r="M33" s="5885">
        <v>250000</v>
      </c>
      <c r="N33" s="5885">
        <v>250000</v>
      </c>
    </row>
    <row r="34" spans="1:14" ht="14.25" customHeight="1">
      <c r="A34" s="5911"/>
      <c r="B34" s="5899" t="s">
        <v>10016</v>
      </c>
      <c r="C34" s="8937">
        <v>399802</v>
      </c>
      <c r="D34" s="8963">
        <v>250000</v>
      </c>
      <c r="E34" s="8964"/>
      <c r="F34" s="8934">
        <f t="shared" si="1"/>
        <v>250000</v>
      </c>
      <c r="G34" s="8965">
        <v>250000</v>
      </c>
      <c r="H34" s="8961">
        <v>0</v>
      </c>
      <c r="I34" s="8962">
        <f t="shared" si="0"/>
        <v>0</v>
      </c>
      <c r="J34" s="8966">
        <v>250000</v>
      </c>
      <c r="K34" s="8950" t="s">
        <v>568</v>
      </c>
      <c r="M34" s="5885">
        <v>250000</v>
      </c>
      <c r="N34" s="5885">
        <v>250000</v>
      </c>
    </row>
    <row r="35" spans="1:14" ht="14.25" customHeight="1">
      <c r="A35" s="5911"/>
      <c r="B35" s="5899" t="s">
        <v>358</v>
      </c>
      <c r="C35" s="8937">
        <v>799901</v>
      </c>
      <c r="D35" s="8963">
        <v>652222</v>
      </c>
      <c r="E35" s="8964">
        <v>350000</v>
      </c>
      <c r="F35" s="8934">
        <f t="shared" si="1"/>
        <v>350000</v>
      </c>
      <c r="G35" s="8965">
        <v>700000</v>
      </c>
      <c r="H35" s="8961">
        <v>326000</v>
      </c>
      <c r="I35" s="8962">
        <f t="shared" si="0"/>
        <v>0.46571428571428569</v>
      </c>
      <c r="J35" s="8967">
        <v>0</v>
      </c>
      <c r="M35" s="5885">
        <v>350000</v>
      </c>
      <c r="N35" s="5885">
        <v>400000</v>
      </c>
    </row>
    <row r="36" spans="1:14" ht="14.25" customHeight="1">
      <c r="A36" s="8968"/>
      <c r="B36" s="5899" t="s">
        <v>359</v>
      </c>
      <c r="C36" s="8937">
        <v>799909</v>
      </c>
      <c r="D36" s="8963">
        <v>833000</v>
      </c>
      <c r="E36" s="8964">
        <v>942152</v>
      </c>
      <c r="F36" s="8934">
        <f t="shared" si="1"/>
        <v>942152</v>
      </c>
      <c r="G36" s="8965">
        <v>1884304</v>
      </c>
      <c r="H36" s="8961">
        <v>833000</v>
      </c>
      <c r="I36" s="8962">
        <f t="shared" si="0"/>
        <v>0.44207304129270014</v>
      </c>
      <c r="J36" s="8967">
        <v>0</v>
      </c>
      <c r="M36" s="5885">
        <v>650000</v>
      </c>
      <c r="N36" s="5885">
        <v>750000</v>
      </c>
    </row>
    <row r="37" spans="1:14" ht="14.25" hidden="1" customHeight="1">
      <c r="A37" s="5911"/>
      <c r="B37" s="5899" t="s">
        <v>360</v>
      </c>
      <c r="C37" s="8937" t="s">
        <v>361</v>
      </c>
      <c r="D37" s="8963">
        <v>0</v>
      </c>
      <c r="E37" s="8964"/>
      <c r="F37" s="8964"/>
      <c r="G37" s="8965">
        <v>0</v>
      </c>
      <c r="H37" s="8961"/>
      <c r="I37" s="8962"/>
      <c r="J37" s="8967">
        <v>0</v>
      </c>
      <c r="M37" s="5885">
        <v>100000</v>
      </c>
      <c r="N37" s="5885">
        <v>100000</v>
      </c>
    </row>
    <row r="38" spans="1:14" ht="14.25" customHeight="1">
      <c r="A38" s="5899"/>
      <c r="B38" s="8969"/>
      <c r="C38" s="8970"/>
      <c r="D38" s="8971"/>
      <c r="E38" s="8972"/>
      <c r="F38" s="8972"/>
      <c r="G38" s="8973"/>
      <c r="H38" s="8974"/>
      <c r="I38" s="8975"/>
      <c r="J38" s="8976"/>
    </row>
    <row r="39" spans="1:14" ht="14.25" customHeight="1">
      <c r="A39" s="5899"/>
      <c r="B39" s="5899"/>
      <c r="C39" s="5894"/>
      <c r="D39" s="8977"/>
      <c r="E39" s="8978"/>
      <c r="F39" s="8978"/>
      <c r="G39" s="8979"/>
      <c r="H39" s="8980"/>
      <c r="I39" s="8981"/>
      <c r="J39" s="8982"/>
    </row>
    <row r="40" spans="1:14" ht="14.25" customHeight="1">
      <c r="A40" s="5899"/>
      <c r="B40" s="5899"/>
      <c r="C40" s="5894"/>
      <c r="D40" s="8977"/>
      <c r="E40" s="8978"/>
      <c r="F40" s="8978"/>
      <c r="G40" s="8979"/>
      <c r="H40" s="8980"/>
      <c r="I40" s="8981"/>
      <c r="J40" s="8982"/>
    </row>
    <row r="41" spans="1:14" ht="14.25" customHeight="1">
      <c r="A41" s="5899"/>
      <c r="B41" s="5899"/>
      <c r="C41" s="5894"/>
      <c r="D41" s="8977"/>
      <c r="E41" s="8978"/>
      <c r="F41" s="8978"/>
      <c r="G41" s="8979"/>
      <c r="H41" s="8980"/>
      <c r="I41" s="8981"/>
      <c r="J41" s="8982"/>
    </row>
    <row r="42" spans="1:14" ht="14.25" customHeight="1">
      <c r="A42" s="5899"/>
      <c r="B42" s="5899"/>
      <c r="C42" s="5894"/>
      <c r="D42" s="8977"/>
      <c r="E42" s="8978"/>
      <c r="F42" s="8978"/>
      <c r="G42" s="8979"/>
      <c r="H42" s="8980"/>
      <c r="I42" s="8981"/>
      <c r="J42" s="8982"/>
    </row>
    <row r="43" spans="1:14" ht="14.25" customHeight="1">
      <c r="A43" s="5899"/>
      <c r="B43" s="5899"/>
      <c r="C43" s="5894"/>
      <c r="D43" s="8977"/>
      <c r="E43" s="8978"/>
      <c r="F43" s="8978"/>
      <c r="G43" s="8979"/>
      <c r="H43" s="8980"/>
      <c r="I43" s="8981"/>
      <c r="J43" s="8982"/>
    </row>
    <row r="44" spans="1:14" ht="14.25" customHeight="1" thickBot="1">
      <c r="A44" s="8983" t="s">
        <v>10352</v>
      </c>
      <c r="B44" s="8984"/>
      <c r="C44" s="5894"/>
      <c r="D44" s="8977"/>
      <c r="E44" s="8978"/>
      <c r="F44" s="8978"/>
      <c r="G44" s="8979"/>
      <c r="H44" s="8980"/>
      <c r="I44" s="8981"/>
      <c r="J44" s="8982"/>
    </row>
    <row r="45" spans="1:14" ht="14.25" customHeight="1">
      <c r="A45" s="8922"/>
      <c r="B45" s="8520"/>
      <c r="C45" s="8521" t="s">
        <v>103</v>
      </c>
      <c r="D45" s="8572" t="s">
        <v>10</v>
      </c>
      <c r="E45" s="14230" t="s">
        <v>10711</v>
      </c>
      <c r="F45" s="14231"/>
      <c r="G45" s="14232"/>
      <c r="H45" s="8522" t="s">
        <v>9985</v>
      </c>
      <c r="I45" s="8523"/>
      <c r="J45" s="8524" t="s">
        <v>326</v>
      </c>
      <c r="M45" s="5885" t="s">
        <v>326</v>
      </c>
      <c r="N45" s="5885" t="s">
        <v>326</v>
      </c>
    </row>
    <row r="46" spans="1:14" ht="14.25" customHeight="1">
      <c r="A46" s="8923"/>
      <c r="B46" s="5894" t="s">
        <v>13</v>
      </c>
      <c r="C46" s="8516" t="s">
        <v>94</v>
      </c>
      <c r="D46" s="8573" t="s">
        <v>15</v>
      </c>
      <c r="E46" s="8909" t="s">
        <v>10709</v>
      </c>
      <c r="F46" s="8668" t="s">
        <v>10710</v>
      </c>
      <c r="G46" s="14236" t="s">
        <v>458</v>
      </c>
      <c r="H46" s="8525">
        <v>2017</v>
      </c>
      <c r="I46" s="8517"/>
      <c r="J46" s="8518" t="s">
        <v>16</v>
      </c>
      <c r="M46" s="5885" t="s">
        <v>16</v>
      </c>
      <c r="N46" s="5885" t="s">
        <v>16</v>
      </c>
    </row>
    <row r="47" spans="1:14" ht="14.25" customHeight="1" thickBot="1">
      <c r="A47" s="8924"/>
      <c r="B47" s="5913"/>
      <c r="C47" s="8526"/>
      <c r="D47" s="8574">
        <v>2016</v>
      </c>
      <c r="E47" s="8908" t="s">
        <v>457</v>
      </c>
      <c r="F47" s="8669" t="s">
        <v>456</v>
      </c>
      <c r="G47" s="14237"/>
      <c r="H47" s="8527"/>
      <c r="I47" s="8528"/>
      <c r="J47" s="8529">
        <v>2018</v>
      </c>
      <c r="M47" s="8925">
        <v>2014</v>
      </c>
      <c r="N47" s="8925">
        <v>2015</v>
      </c>
    </row>
    <row r="48" spans="1:14" ht="14.25" customHeight="1">
      <c r="A48" s="5911"/>
      <c r="B48" s="5899" t="s">
        <v>362</v>
      </c>
      <c r="C48" s="8937" t="s">
        <v>363</v>
      </c>
      <c r="D48" s="8933">
        <v>0</v>
      </c>
      <c r="E48" s="8934"/>
      <c r="F48" s="8934">
        <f>G48-E48</f>
        <v>200000</v>
      </c>
      <c r="G48" s="8985">
        <v>200000</v>
      </c>
      <c r="H48" s="8961">
        <v>0</v>
      </c>
      <c r="I48" s="8962">
        <f t="shared" si="0"/>
        <v>0</v>
      </c>
      <c r="J48" s="8986">
        <v>200000</v>
      </c>
      <c r="K48" s="8950" t="s">
        <v>568</v>
      </c>
      <c r="M48" s="5885">
        <v>200000</v>
      </c>
      <c r="N48" s="5885">
        <v>200000</v>
      </c>
    </row>
    <row r="49" spans="1:14" ht="14.25" customHeight="1">
      <c r="A49" s="8987"/>
      <c r="B49" s="5899" t="s">
        <v>10017</v>
      </c>
      <c r="C49" s="8988">
        <v>799913</v>
      </c>
      <c r="D49" s="8963">
        <v>1700000</v>
      </c>
      <c r="E49" s="8964">
        <v>1300000</v>
      </c>
      <c r="F49" s="8934">
        <f t="shared" ref="F49:F55" si="2">G49-E49</f>
        <v>1300000</v>
      </c>
      <c r="G49" s="8965">
        <v>2600000</v>
      </c>
      <c r="H49" s="8961">
        <v>1700000</v>
      </c>
      <c r="I49" s="8962">
        <f>H49/G49</f>
        <v>0.65384615384615385</v>
      </c>
      <c r="J49" s="8967">
        <v>0</v>
      </c>
      <c r="K49" s="8950" t="s">
        <v>9</v>
      </c>
      <c r="L49" s="5886" t="e">
        <f>K49/G49</f>
        <v>#VALUE!</v>
      </c>
      <c r="M49" s="5885">
        <v>992200</v>
      </c>
      <c r="N49" s="5885">
        <v>1200000</v>
      </c>
    </row>
    <row r="50" spans="1:14" ht="14.25" customHeight="1">
      <c r="A50" s="8987"/>
      <c r="B50" s="9223" t="s">
        <v>10308</v>
      </c>
      <c r="C50" s="8988">
        <v>799914</v>
      </c>
      <c r="D50" s="8963">
        <v>196348.75</v>
      </c>
      <c r="E50" s="8964"/>
      <c r="F50" s="8934">
        <f t="shared" si="2"/>
        <v>200000</v>
      </c>
      <c r="G50" s="8965">
        <v>200000</v>
      </c>
      <c r="H50" s="8989">
        <v>197980</v>
      </c>
      <c r="I50" s="8962">
        <f>H50/G50</f>
        <v>0.9899</v>
      </c>
      <c r="J50" s="8966">
        <v>200000</v>
      </c>
      <c r="K50" s="8950" t="s">
        <v>11116</v>
      </c>
      <c r="M50" s="5885">
        <v>200000</v>
      </c>
      <c r="N50" s="5885">
        <v>200000</v>
      </c>
    </row>
    <row r="51" spans="1:14" ht="14.25" customHeight="1">
      <c r="A51" s="8987"/>
      <c r="B51" s="9223" t="s">
        <v>9150</v>
      </c>
      <c r="C51" s="8988">
        <v>399806</v>
      </c>
      <c r="D51" s="8963">
        <v>200000</v>
      </c>
      <c r="E51" s="8964">
        <v>200000</v>
      </c>
      <c r="F51" s="8934">
        <f t="shared" si="2"/>
        <v>0</v>
      </c>
      <c r="G51" s="8965">
        <v>200000</v>
      </c>
      <c r="H51" s="8989">
        <v>200000</v>
      </c>
      <c r="I51" s="8962">
        <f>H51/G51</f>
        <v>1</v>
      </c>
      <c r="J51" s="8966">
        <v>200000</v>
      </c>
      <c r="K51" s="8950" t="s">
        <v>568</v>
      </c>
      <c r="M51" s="5885">
        <v>200000</v>
      </c>
      <c r="N51" s="5885">
        <v>200000</v>
      </c>
    </row>
    <row r="52" spans="1:14" ht="14.25" customHeight="1">
      <c r="A52" s="5911"/>
      <c r="B52" s="5899" t="s">
        <v>345</v>
      </c>
      <c r="C52" s="8937">
        <v>799915</v>
      </c>
      <c r="D52" s="8933">
        <v>30000</v>
      </c>
      <c r="E52" s="8934">
        <v>30000</v>
      </c>
      <c r="F52" s="8934">
        <f t="shared" si="2"/>
        <v>0</v>
      </c>
      <c r="G52" s="8935">
        <v>30000</v>
      </c>
      <c r="H52" s="8961">
        <v>30000</v>
      </c>
      <c r="I52" s="8962">
        <f t="shared" si="0"/>
        <v>1</v>
      </c>
      <c r="J52" s="8912">
        <v>30000</v>
      </c>
      <c r="K52" s="8950" t="s">
        <v>568</v>
      </c>
      <c r="M52" s="5885">
        <v>30000</v>
      </c>
      <c r="N52" s="5885">
        <v>30000</v>
      </c>
    </row>
    <row r="53" spans="1:14" ht="14.25" customHeight="1">
      <c r="A53" s="5911"/>
      <c r="B53" s="5899" t="s">
        <v>9158</v>
      </c>
      <c r="C53" s="8937">
        <v>799917</v>
      </c>
      <c r="D53" s="8933">
        <v>100000</v>
      </c>
      <c r="E53" s="8934">
        <v>100000</v>
      </c>
      <c r="F53" s="8934">
        <f t="shared" si="2"/>
        <v>0</v>
      </c>
      <c r="G53" s="8935">
        <v>100000</v>
      </c>
      <c r="H53" s="8961">
        <v>100000</v>
      </c>
      <c r="I53" s="8962">
        <f t="shared" si="0"/>
        <v>1</v>
      </c>
      <c r="J53" s="8912">
        <v>100000</v>
      </c>
      <c r="K53" s="8950" t="s">
        <v>568</v>
      </c>
      <c r="M53" s="5885">
        <v>100000</v>
      </c>
      <c r="N53" s="5885">
        <v>100000</v>
      </c>
    </row>
    <row r="54" spans="1:14" ht="14.25" customHeight="1">
      <c r="A54" s="5911"/>
      <c r="B54" s="5899" t="s">
        <v>346</v>
      </c>
      <c r="C54" s="8937">
        <v>799929</v>
      </c>
      <c r="D54" s="8933">
        <v>250000</v>
      </c>
      <c r="E54" s="8934">
        <v>350000</v>
      </c>
      <c r="F54" s="8934">
        <f t="shared" si="2"/>
        <v>0</v>
      </c>
      <c r="G54" s="8935">
        <v>350000</v>
      </c>
      <c r="H54" s="8961">
        <v>250000</v>
      </c>
      <c r="I54" s="8962">
        <f t="shared" si="0"/>
        <v>0.7142857142857143</v>
      </c>
      <c r="J54" s="8912">
        <v>350000</v>
      </c>
      <c r="K54" s="8950" t="s">
        <v>568</v>
      </c>
      <c r="M54" s="5885">
        <v>160000</v>
      </c>
      <c r="N54" s="5885">
        <v>250000</v>
      </c>
    </row>
    <row r="55" spans="1:14" ht="16.5" customHeight="1">
      <c r="A55" s="5911"/>
      <c r="B55" s="5899" t="s">
        <v>347</v>
      </c>
      <c r="C55" s="8937"/>
      <c r="D55" s="8933">
        <f>3590.7+560000+1412764.4</f>
        <v>1976355.0999999999</v>
      </c>
      <c r="E55" s="8934">
        <v>796339.38</v>
      </c>
      <c r="F55" s="8934">
        <f t="shared" si="2"/>
        <v>1203660.6200000001</v>
      </c>
      <c r="G55" s="8935">
        <v>2000000</v>
      </c>
      <c r="H55" s="8961"/>
      <c r="I55" s="8962">
        <f t="shared" si="0"/>
        <v>0</v>
      </c>
      <c r="J55" s="8914">
        <v>0</v>
      </c>
      <c r="K55" s="8950"/>
      <c r="M55" s="5885">
        <v>2000000</v>
      </c>
      <c r="N55" s="5885">
        <v>2000000</v>
      </c>
    </row>
    <row r="56" spans="1:14" ht="16.5" customHeight="1">
      <c r="A56" s="5911"/>
      <c r="B56" s="5899" t="s">
        <v>4717</v>
      </c>
      <c r="C56" s="8988"/>
      <c r="D56" s="8963"/>
      <c r="E56" s="8964"/>
      <c r="F56" s="8964"/>
      <c r="G56" s="8990"/>
      <c r="H56" s="8961"/>
      <c r="I56" s="8962"/>
      <c r="J56" s="8991"/>
    </row>
    <row r="57" spans="1:14" ht="14.25" customHeight="1">
      <c r="A57" s="5911"/>
      <c r="B57" s="9243" t="s">
        <v>348</v>
      </c>
      <c r="C57" s="8937">
        <v>9993</v>
      </c>
      <c r="D57" s="8933">
        <f>'national agencies'!B20</f>
        <v>1013477.77</v>
      </c>
      <c r="E57" s="8934">
        <v>197501.1</v>
      </c>
      <c r="F57" s="8934">
        <f>G57-E57</f>
        <v>1317648.8999999999</v>
      </c>
      <c r="G57" s="8935">
        <v>1515150</v>
      </c>
      <c r="H57" s="8989">
        <v>1886191.56</v>
      </c>
      <c r="I57" s="8962">
        <f t="shared" si="0"/>
        <v>1.2448876744876745</v>
      </c>
      <c r="J57" s="8914">
        <v>0</v>
      </c>
      <c r="K57" s="8992"/>
      <c r="L57" s="8993"/>
      <c r="M57" s="5885">
        <v>1515150</v>
      </c>
      <c r="N57" s="5885">
        <v>1515150</v>
      </c>
    </row>
    <row r="58" spans="1:14" ht="14.25" customHeight="1">
      <c r="A58" s="5911"/>
      <c r="B58" s="5899" t="s">
        <v>349</v>
      </c>
      <c r="C58" s="8937">
        <v>999301</v>
      </c>
      <c r="D58" s="8933">
        <v>961205</v>
      </c>
      <c r="E58" s="8934">
        <v>317161.78000000003</v>
      </c>
      <c r="F58" s="8934">
        <f t="shared" ref="F58:F63" si="3">G58-E58</f>
        <v>1514426.22</v>
      </c>
      <c r="G58" s="8935">
        <v>1831588</v>
      </c>
      <c r="H58" s="8961"/>
      <c r="I58" s="8962">
        <f t="shared" si="0"/>
        <v>0</v>
      </c>
      <c r="J58" s="8914">
        <v>0</v>
      </c>
      <c r="M58" s="5885">
        <v>1487352</v>
      </c>
      <c r="N58" s="5885">
        <v>1495000</v>
      </c>
    </row>
    <row r="59" spans="1:14" ht="14.25" customHeight="1">
      <c r="A59" s="5911"/>
      <c r="B59" s="8994" t="s">
        <v>350</v>
      </c>
      <c r="C59" s="8937" t="s">
        <v>10227</v>
      </c>
      <c r="D59" s="8933">
        <v>1303646</v>
      </c>
      <c r="E59" s="8934">
        <v>375000</v>
      </c>
      <c r="F59" s="8934">
        <f t="shared" si="3"/>
        <v>813000</v>
      </c>
      <c r="G59" s="8935">
        <v>1188000</v>
      </c>
      <c r="H59" s="8961"/>
      <c r="I59" s="8962">
        <f t="shared" si="0"/>
        <v>0</v>
      </c>
      <c r="J59" s="8914">
        <v>0</v>
      </c>
      <c r="M59" s="5885">
        <v>1188000</v>
      </c>
      <c r="N59" s="5885">
        <v>1188000</v>
      </c>
    </row>
    <row r="60" spans="1:14" ht="14.25" customHeight="1">
      <c r="A60" s="8995"/>
      <c r="B60" s="9229" t="s">
        <v>10307</v>
      </c>
      <c r="C60" s="8937">
        <v>999323</v>
      </c>
      <c r="D60" s="8933">
        <v>409627.5</v>
      </c>
      <c r="E60" s="8934">
        <v>136800</v>
      </c>
      <c r="F60" s="8934">
        <f t="shared" si="3"/>
        <v>388200</v>
      </c>
      <c r="G60" s="8935">
        <v>525000</v>
      </c>
      <c r="H60" s="8989">
        <v>277030</v>
      </c>
      <c r="I60" s="8962">
        <f t="shared" si="0"/>
        <v>0.52767619047619052</v>
      </c>
      <c r="J60" s="8997">
        <v>525000</v>
      </c>
      <c r="K60" s="8950" t="s">
        <v>568</v>
      </c>
      <c r="N60" s="5885">
        <v>115000</v>
      </c>
    </row>
    <row r="61" spans="1:14" ht="14.25" customHeight="1">
      <c r="A61" s="5911"/>
      <c r="B61" s="9221" t="s">
        <v>351</v>
      </c>
      <c r="C61" s="8937">
        <v>799918</v>
      </c>
      <c r="D61" s="8933">
        <v>0</v>
      </c>
      <c r="E61" s="8934"/>
      <c r="F61" s="8934">
        <f t="shared" si="3"/>
        <v>100000</v>
      </c>
      <c r="G61" s="8935">
        <v>100000</v>
      </c>
      <c r="H61" s="8961"/>
      <c r="I61" s="8962">
        <f t="shared" si="0"/>
        <v>0</v>
      </c>
      <c r="J61" s="8997">
        <v>100000</v>
      </c>
      <c r="K61" s="8950" t="s">
        <v>568</v>
      </c>
      <c r="M61" s="5885">
        <v>100000</v>
      </c>
      <c r="N61" s="5885">
        <v>100000</v>
      </c>
    </row>
    <row r="62" spans="1:14" ht="15.75" customHeight="1">
      <c r="A62" s="8998"/>
      <c r="B62" s="9244" t="s">
        <v>10100</v>
      </c>
      <c r="C62" s="8937">
        <v>999324</v>
      </c>
      <c r="D62" s="8933">
        <v>0</v>
      </c>
      <c r="E62" s="8934"/>
      <c r="F62" s="8934">
        <f t="shared" si="3"/>
        <v>200000</v>
      </c>
      <c r="G62" s="9000">
        <v>200000</v>
      </c>
      <c r="H62" s="8961">
        <v>0</v>
      </c>
      <c r="I62" s="8962">
        <f t="shared" si="0"/>
        <v>0</v>
      </c>
      <c r="J62" s="8952">
        <v>200000</v>
      </c>
      <c r="K62" s="8950" t="s">
        <v>568</v>
      </c>
      <c r="N62" s="5885">
        <v>200000</v>
      </c>
    </row>
    <row r="63" spans="1:14" ht="15" customHeight="1">
      <c r="A63" s="5911"/>
      <c r="B63" s="9221" t="s">
        <v>10433</v>
      </c>
      <c r="C63" s="8937">
        <v>399807</v>
      </c>
      <c r="D63" s="8579">
        <v>183000</v>
      </c>
      <c r="E63" s="8676">
        <v>200000</v>
      </c>
      <c r="F63" s="8676">
        <f t="shared" si="3"/>
        <v>0</v>
      </c>
      <c r="G63" s="8956">
        <v>200000</v>
      </c>
      <c r="H63" s="9228">
        <v>200000</v>
      </c>
      <c r="I63" s="8958"/>
      <c r="J63" s="9001">
        <v>200000</v>
      </c>
      <c r="K63" s="8950" t="s">
        <v>568</v>
      </c>
    </row>
    <row r="64" spans="1:14" ht="14.25" hidden="1" customHeight="1">
      <c r="A64" s="5898"/>
      <c r="B64" s="5899" t="s">
        <v>3393</v>
      </c>
      <c r="C64" s="8937">
        <v>799933</v>
      </c>
      <c r="D64" s="8579">
        <v>0</v>
      </c>
      <c r="E64" s="8676"/>
      <c r="F64" s="8676"/>
      <c r="G64" s="8956"/>
      <c r="H64" s="8957"/>
      <c r="I64" s="8958"/>
      <c r="J64" s="8957"/>
      <c r="K64" s="8950"/>
    </row>
    <row r="65" spans="1:15" s="5796" customFormat="1" ht="21.75" customHeight="1">
      <c r="A65" s="8959"/>
      <c r="B65" s="5865" t="s">
        <v>327</v>
      </c>
      <c r="C65" s="5814"/>
      <c r="D65" s="8578">
        <f>SUM(D48:D63,D22:D36)</f>
        <v>10358882.119999999</v>
      </c>
      <c r="E65" s="8675">
        <f>SUM(E48:E63,E22:E36)</f>
        <v>5294954.26</v>
      </c>
      <c r="F65" s="8675">
        <f>SUM(F48:F63,F22:F36)</f>
        <v>9754087.7399999984</v>
      </c>
      <c r="G65" s="8675">
        <f>SUM(G48:G63,G22:G36)</f>
        <v>15049042</v>
      </c>
      <c r="H65" s="5861"/>
      <c r="I65" s="7004"/>
      <c r="J65" s="5861">
        <f>SUM(J48:J63,J22:J36)</f>
        <v>3430000</v>
      </c>
      <c r="K65" s="9002"/>
      <c r="L65" s="8960"/>
      <c r="M65" s="5788">
        <v>7430502</v>
      </c>
      <c r="N65" s="5788">
        <v>7843150</v>
      </c>
    </row>
    <row r="66" spans="1:15" ht="1.5" customHeight="1">
      <c r="A66" s="5911"/>
      <c r="B66" s="5899"/>
      <c r="C66" s="8937"/>
      <c r="D66" s="8933"/>
      <c r="E66" s="8934"/>
      <c r="F66" s="8934"/>
      <c r="G66" s="8990"/>
      <c r="H66" s="8991"/>
      <c r="I66" s="8962"/>
      <c r="J66" s="8991"/>
    </row>
    <row r="67" spans="1:15" ht="16.5" customHeight="1">
      <c r="A67" s="8995"/>
      <c r="B67" s="5899"/>
      <c r="C67" s="8937"/>
      <c r="D67" s="8933"/>
      <c r="E67" s="8934"/>
      <c r="F67" s="8934"/>
      <c r="G67" s="8990"/>
      <c r="H67" s="8991"/>
      <c r="I67" s="8962"/>
      <c r="J67" s="8991"/>
    </row>
    <row r="68" spans="1:15" ht="14.25" customHeight="1">
      <c r="A68" s="5911"/>
      <c r="B68" s="5903" t="s">
        <v>352</v>
      </c>
      <c r="C68" s="8937"/>
      <c r="D68" s="8933"/>
      <c r="E68" s="8934"/>
      <c r="F68" s="8934"/>
      <c r="G68" s="8990"/>
      <c r="H68" s="8991"/>
      <c r="I68" s="8962"/>
      <c r="J68" s="8991"/>
    </row>
    <row r="69" spans="1:15" ht="15" hidden="1" customHeight="1">
      <c r="A69" s="8987"/>
      <c r="B69" s="9003" t="s">
        <v>4743</v>
      </c>
      <c r="C69" s="8988">
        <v>799921</v>
      </c>
      <c r="D69" s="8963">
        <v>0</v>
      </c>
      <c r="E69" s="8964"/>
      <c r="F69" s="8964"/>
      <c r="G69" s="8965">
        <v>0</v>
      </c>
      <c r="H69" s="8961"/>
      <c r="I69" s="8962"/>
      <c r="J69" s="8967">
        <v>0</v>
      </c>
      <c r="M69" s="5885">
        <v>0</v>
      </c>
      <c r="N69" s="5885">
        <v>0</v>
      </c>
    </row>
    <row r="70" spans="1:15" ht="13.5" hidden="1" customHeight="1">
      <c r="A70" s="8987"/>
      <c r="B70" s="9004" t="s">
        <v>4742</v>
      </c>
      <c r="C70" s="8988"/>
      <c r="D70" s="8963"/>
      <c r="E70" s="8964"/>
      <c r="F70" s="8964"/>
      <c r="G70" s="8965"/>
      <c r="H70" s="8961"/>
      <c r="I70" s="8962"/>
      <c r="J70" s="8967"/>
    </row>
    <row r="71" spans="1:15" ht="14.25" hidden="1" customHeight="1">
      <c r="A71" s="5895"/>
      <c r="B71" s="5899" t="s">
        <v>365</v>
      </c>
      <c r="C71" s="8988">
        <v>3399</v>
      </c>
      <c r="D71" s="8963">
        <v>0</v>
      </c>
      <c r="E71" s="8964"/>
      <c r="F71" s="8964"/>
      <c r="G71" s="8965" t="s">
        <v>10339</v>
      </c>
      <c r="H71" s="8961"/>
      <c r="I71" s="8962"/>
      <c r="J71" s="8967" t="s">
        <v>10339</v>
      </c>
      <c r="M71" s="5885">
        <v>3171000</v>
      </c>
      <c r="N71" s="5885">
        <v>3171000</v>
      </c>
    </row>
    <row r="72" spans="1:15" ht="14.25" hidden="1" customHeight="1">
      <c r="A72" s="8987"/>
      <c r="B72" s="8994" t="s">
        <v>3296</v>
      </c>
      <c r="C72" s="8937">
        <v>3992</v>
      </c>
      <c r="D72" s="8933">
        <v>0</v>
      </c>
      <c r="E72" s="8934"/>
      <c r="F72" s="8934"/>
      <c r="G72" s="8965" t="s">
        <v>10339</v>
      </c>
      <c r="H72" s="8961"/>
      <c r="I72" s="8962"/>
      <c r="J72" s="8967" t="s">
        <v>10339</v>
      </c>
      <c r="M72" s="5885">
        <v>6000000</v>
      </c>
      <c r="N72" s="5885">
        <v>6000000</v>
      </c>
    </row>
    <row r="73" spans="1:15" ht="14.25" hidden="1" customHeight="1">
      <c r="A73" s="8987"/>
      <c r="B73" s="8994" t="s">
        <v>3283</v>
      </c>
      <c r="C73" s="8937">
        <v>3991</v>
      </c>
      <c r="D73" s="9005" t="s">
        <v>10053</v>
      </c>
      <c r="E73" s="9006"/>
      <c r="F73" s="9006"/>
      <c r="G73" s="9174">
        <v>0</v>
      </c>
      <c r="H73" s="8961"/>
      <c r="I73" s="8962"/>
      <c r="J73" s="9007">
        <v>0</v>
      </c>
      <c r="M73" s="5885">
        <v>0</v>
      </c>
      <c r="N73" s="5885">
        <v>0</v>
      </c>
    </row>
    <row r="74" spans="1:15" ht="14.25" customHeight="1">
      <c r="A74" s="5895"/>
      <c r="B74" s="9223" t="s">
        <v>366</v>
      </c>
      <c r="C74" s="8937" t="s">
        <v>10930</v>
      </c>
      <c r="D74" s="8933">
        <v>0</v>
      </c>
      <c r="E74" s="8934">
        <v>472550</v>
      </c>
      <c r="F74" s="8934">
        <f>G74-E74</f>
        <v>527450</v>
      </c>
      <c r="G74" s="8935">
        <v>1000000</v>
      </c>
      <c r="H74" s="8989">
        <v>472550</v>
      </c>
      <c r="I74" s="8962">
        <f t="shared" ref="I74:I81" si="4">H74/G74</f>
        <v>0.47255000000000003</v>
      </c>
      <c r="J74" s="8914">
        <v>0</v>
      </c>
      <c r="K74" s="9225" t="s">
        <v>568</v>
      </c>
      <c r="M74" s="5885">
        <v>1000000</v>
      </c>
      <c r="N74" s="5885">
        <v>1000000</v>
      </c>
    </row>
    <row r="75" spans="1:15" ht="14.25" customHeight="1">
      <c r="A75" s="5895"/>
      <c r="B75" s="9223" t="s">
        <v>367</v>
      </c>
      <c r="C75" s="8932" t="s">
        <v>9</v>
      </c>
      <c r="D75" s="8933"/>
      <c r="E75" s="8934"/>
      <c r="F75" s="8934"/>
      <c r="G75" s="8990"/>
      <c r="H75" s="8961"/>
      <c r="I75" s="8962"/>
      <c r="J75" s="8991"/>
    </row>
    <row r="76" spans="1:15" ht="14.25" customHeight="1">
      <c r="A76" s="5898"/>
      <c r="B76" s="9221" t="s">
        <v>368</v>
      </c>
      <c r="C76" s="8937" t="s">
        <v>369</v>
      </c>
      <c r="D76" s="8933">
        <v>23587200</v>
      </c>
      <c r="E76" s="8934">
        <v>20843200</v>
      </c>
      <c r="F76" s="8934">
        <f t="shared" ref="F76:F82" si="5">G76-E76</f>
        <v>9156800</v>
      </c>
      <c r="G76" s="8935">
        <v>30000000</v>
      </c>
      <c r="H76" s="8989">
        <v>24053600</v>
      </c>
      <c r="I76" s="8962">
        <f t="shared" si="4"/>
        <v>0.80178666666666665</v>
      </c>
      <c r="J76" s="9008">
        <v>25000000</v>
      </c>
      <c r="K76" s="8950" t="s">
        <v>568</v>
      </c>
      <c r="M76" s="5885">
        <v>30000000</v>
      </c>
      <c r="N76" s="5885">
        <v>30000000</v>
      </c>
    </row>
    <row r="77" spans="1:15" ht="14.25" customHeight="1">
      <c r="A77" s="5898"/>
      <c r="B77" s="8994" t="s">
        <v>370</v>
      </c>
      <c r="C77" s="8937" t="s">
        <v>371</v>
      </c>
      <c r="D77" s="8933">
        <v>87500</v>
      </c>
      <c r="E77" s="8934"/>
      <c r="F77" s="8934">
        <f t="shared" si="5"/>
        <v>150000</v>
      </c>
      <c r="G77" s="8935">
        <v>150000</v>
      </c>
      <c r="H77" s="8961">
        <v>115380</v>
      </c>
      <c r="I77" s="8962">
        <f t="shared" si="4"/>
        <v>0.76919999999999999</v>
      </c>
      <c r="J77" s="8913">
        <v>0</v>
      </c>
      <c r="K77" s="5885" t="s">
        <v>3316</v>
      </c>
      <c r="M77" s="5885">
        <v>150000</v>
      </c>
      <c r="N77" s="5885">
        <v>150000</v>
      </c>
    </row>
    <row r="78" spans="1:15" ht="14.25" customHeight="1">
      <c r="A78" s="5898"/>
      <c r="B78" s="8994" t="s">
        <v>372</v>
      </c>
      <c r="C78" s="8937">
        <v>5999</v>
      </c>
      <c r="D78" s="8933">
        <v>0</v>
      </c>
      <c r="E78" s="8934"/>
      <c r="F78" s="8934">
        <f t="shared" si="5"/>
        <v>100000</v>
      </c>
      <c r="G78" s="8935">
        <v>100000</v>
      </c>
      <c r="H78" s="8961">
        <v>0</v>
      </c>
      <c r="I78" s="8962">
        <f t="shared" si="4"/>
        <v>0</v>
      </c>
      <c r="J78" s="8914">
        <v>0</v>
      </c>
      <c r="M78" s="5885">
        <v>100000</v>
      </c>
      <c r="N78" s="5885">
        <v>100000</v>
      </c>
    </row>
    <row r="79" spans="1:15" ht="14.25" customHeight="1">
      <c r="A79" s="5898"/>
      <c r="B79" s="9221" t="s">
        <v>373</v>
      </c>
      <c r="C79" s="8937">
        <v>799932</v>
      </c>
      <c r="D79" s="8933">
        <v>1563000</v>
      </c>
      <c r="E79" s="8934">
        <v>297500</v>
      </c>
      <c r="F79" s="8934">
        <f t="shared" si="5"/>
        <v>1702500</v>
      </c>
      <c r="G79" s="8935">
        <v>2000000</v>
      </c>
      <c r="H79" s="8961">
        <v>1425835.98</v>
      </c>
      <c r="I79" s="8962">
        <f t="shared" si="4"/>
        <v>0.71291799</v>
      </c>
      <c r="J79" s="8997">
        <v>2500000</v>
      </c>
      <c r="K79" s="8950" t="s">
        <v>11117</v>
      </c>
      <c r="M79" s="5885">
        <v>2000000</v>
      </c>
      <c r="N79" s="5885">
        <v>2000000</v>
      </c>
      <c r="O79" s="5887" t="s">
        <v>9973</v>
      </c>
    </row>
    <row r="80" spans="1:15" ht="14.25" customHeight="1">
      <c r="A80" s="5898"/>
      <c r="B80" s="5903" t="s">
        <v>3066</v>
      </c>
      <c r="C80" s="8937"/>
      <c r="D80" s="8933"/>
      <c r="E80" s="8934"/>
      <c r="F80" s="8934"/>
      <c r="G80" s="8935"/>
      <c r="H80" s="8961"/>
      <c r="I80" s="8962"/>
      <c r="J80" s="8914"/>
    </row>
    <row r="81" spans="1:14" ht="14.25" customHeight="1">
      <c r="A81" s="5911"/>
      <c r="B81" s="8994" t="s">
        <v>374</v>
      </c>
      <c r="C81" s="8937">
        <v>399805</v>
      </c>
      <c r="D81" s="8933">
        <v>0</v>
      </c>
      <c r="E81" s="8934"/>
      <c r="F81" s="8934">
        <f t="shared" si="5"/>
        <v>100000</v>
      </c>
      <c r="G81" s="8935">
        <v>100000</v>
      </c>
      <c r="H81" s="8961">
        <v>0</v>
      </c>
      <c r="I81" s="8962">
        <f t="shared" si="4"/>
        <v>0</v>
      </c>
      <c r="J81" s="8914">
        <v>0</v>
      </c>
      <c r="M81" s="5885">
        <v>100000</v>
      </c>
      <c r="N81" s="5885">
        <v>100000</v>
      </c>
    </row>
    <row r="82" spans="1:14" ht="19.5" customHeight="1">
      <c r="A82" s="5898"/>
      <c r="B82" s="5903" t="s">
        <v>3298</v>
      </c>
      <c r="C82" s="8937">
        <v>3993</v>
      </c>
      <c r="D82" s="8933">
        <v>2094541.22</v>
      </c>
      <c r="E82" s="8934">
        <v>597925.42000000004</v>
      </c>
      <c r="F82" s="8934">
        <f t="shared" si="5"/>
        <v>2902074.58</v>
      </c>
      <c r="G82" s="8935">
        <v>3500000</v>
      </c>
      <c r="H82" s="9009">
        <v>2224524</v>
      </c>
      <c r="I82" s="8962">
        <f>H82/G82</f>
        <v>0.63557828571428576</v>
      </c>
      <c r="J82" s="8913">
        <v>0</v>
      </c>
      <c r="K82" s="5885" t="s">
        <v>596</v>
      </c>
      <c r="M82" s="5885">
        <v>1936952</v>
      </c>
      <c r="N82" s="5885">
        <v>2500000</v>
      </c>
    </row>
    <row r="83" spans="1:14" s="9013" customFormat="1" ht="14.25" customHeight="1">
      <c r="A83" s="5898"/>
      <c r="B83" s="8994"/>
      <c r="C83" s="9010"/>
      <c r="D83" s="8579"/>
      <c r="E83" s="8676"/>
      <c r="F83" s="8676"/>
      <c r="G83" s="8956"/>
      <c r="H83" s="8957"/>
      <c r="I83" s="8958"/>
      <c r="J83" s="8957"/>
      <c r="K83" s="9011"/>
      <c r="L83" s="9012"/>
      <c r="M83" s="9011"/>
      <c r="N83" s="9011"/>
    </row>
    <row r="84" spans="1:14" s="9013" customFormat="1" ht="14.25" customHeight="1">
      <c r="A84" s="9014"/>
      <c r="B84" s="9015"/>
      <c r="C84" s="9016"/>
      <c r="D84" s="8580"/>
      <c r="E84" s="8677"/>
      <c r="F84" s="8677"/>
      <c r="G84" s="9017"/>
      <c r="H84" s="9018"/>
      <c r="I84" s="9019"/>
      <c r="J84" s="9020"/>
      <c r="K84" s="9011"/>
      <c r="L84" s="9012"/>
      <c r="M84" s="9011"/>
      <c r="N84" s="9011"/>
    </row>
    <row r="85" spans="1:14" s="9013" customFormat="1" ht="14.25" customHeight="1">
      <c r="A85" s="9021"/>
      <c r="B85" s="5899"/>
      <c r="C85" s="5894"/>
      <c r="D85" s="8581"/>
      <c r="E85" s="8678"/>
      <c r="F85" s="8678"/>
      <c r="G85" s="8919"/>
      <c r="H85" s="8920"/>
      <c r="I85" s="8921"/>
      <c r="J85" s="8920"/>
      <c r="K85" s="9011"/>
      <c r="L85" s="9012"/>
      <c r="M85" s="9011"/>
      <c r="N85" s="9011"/>
    </row>
    <row r="86" spans="1:14" s="9013" customFormat="1" ht="14.25" customHeight="1">
      <c r="A86" s="9021"/>
      <c r="B86" s="5899"/>
      <c r="C86" s="5894"/>
      <c r="D86" s="8581"/>
      <c r="E86" s="8678"/>
      <c r="F86" s="8678"/>
      <c r="G86" s="8919"/>
      <c r="H86" s="8920"/>
      <c r="I86" s="8921"/>
      <c r="J86" s="8920"/>
      <c r="K86" s="9011"/>
      <c r="L86" s="9012"/>
      <c r="M86" s="9011"/>
      <c r="N86" s="9011"/>
    </row>
    <row r="87" spans="1:14" s="9013" customFormat="1" ht="14.25" customHeight="1">
      <c r="A87" s="9021"/>
      <c r="B87" s="5899"/>
      <c r="C87" s="5894"/>
      <c r="D87" s="8581"/>
      <c r="E87" s="8678"/>
      <c r="F87" s="8678"/>
      <c r="G87" s="8919"/>
      <c r="H87" s="8920"/>
      <c r="I87" s="8921"/>
      <c r="J87" s="8920"/>
      <c r="K87" s="9011"/>
      <c r="L87" s="9012"/>
      <c r="M87" s="9011"/>
      <c r="N87" s="9011"/>
    </row>
    <row r="88" spans="1:14" s="9013" customFormat="1" ht="14.25" customHeight="1">
      <c r="A88" s="9021"/>
      <c r="B88" s="5899"/>
      <c r="C88" s="5894"/>
      <c r="D88" s="8581"/>
      <c r="E88" s="8678"/>
      <c r="F88" s="8678"/>
      <c r="G88" s="8919"/>
      <c r="H88" s="8920"/>
      <c r="I88" s="8921"/>
      <c r="J88" s="8920"/>
      <c r="K88" s="9011"/>
      <c r="L88" s="9012"/>
      <c r="M88" s="9011"/>
      <c r="N88" s="9011"/>
    </row>
    <row r="89" spans="1:14" s="9013" customFormat="1" ht="14.25" customHeight="1">
      <c r="A89" s="9021"/>
      <c r="B89" s="5899"/>
      <c r="C89" s="5894"/>
      <c r="D89" s="8581"/>
      <c r="E89" s="8678"/>
      <c r="F89" s="8678"/>
      <c r="G89" s="8919"/>
      <c r="H89" s="8920"/>
      <c r="I89" s="8921"/>
      <c r="J89" s="8920"/>
      <c r="K89" s="9011"/>
      <c r="L89" s="9012"/>
      <c r="M89" s="9011"/>
      <c r="N89" s="9011"/>
    </row>
    <row r="90" spans="1:14" s="9013" customFormat="1" ht="12.75" customHeight="1" thickBot="1">
      <c r="A90" s="9021" t="s">
        <v>10353</v>
      </c>
      <c r="B90" s="5899"/>
      <c r="C90" s="5894"/>
      <c r="D90" s="8581"/>
      <c r="E90" s="8678"/>
      <c r="F90" s="8678"/>
      <c r="G90" s="8919"/>
      <c r="H90" s="8920"/>
      <c r="I90" s="8921"/>
      <c r="J90" s="8920"/>
      <c r="K90" s="9011"/>
      <c r="L90" s="9012"/>
      <c r="M90" s="9011"/>
      <c r="N90" s="9011"/>
    </row>
    <row r="91" spans="1:14" ht="14.25" customHeight="1">
      <c r="A91" s="8922"/>
      <c r="B91" s="8520"/>
      <c r="C91" s="8521" t="s">
        <v>103</v>
      </c>
      <c r="D91" s="8572" t="s">
        <v>10</v>
      </c>
      <c r="E91" s="14230" t="s">
        <v>10711</v>
      </c>
      <c r="F91" s="14231"/>
      <c r="G91" s="14232"/>
      <c r="H91" s="8524"/>
      <c r="I91" s="8530"/>
      <c r="J91" s="8524" t="s">
        <v>326</v>
      </c>
      <c r="M91" s="5885" t="s">
        <v>326</v>
      </c>
      <c r="N91" s="5885" t="s">
        <v>326</v>
      </c>
    </row>
    <row r="92" spans="1:14" ht="14.25" customHeight="1">
      <c r="A92" s="8923"/>
      <c r="B92" s="5894" t="s">
        <v>13</v>
      </c>
      <c r="C92" s="8516" t="s">
        <v>94</v>
      </c>
      <c r="D92" s="8573" t="s">
        <v>15</v>
      </c>
      <c r="E92" s="8909" t="s">
        <v>10709</v>
      </c>
      <c r="F92" s="8668" t="s">
        <v>10710</v>
      </c>
      <c r="G92" s="14236" t="s">
        <v>458</v>
      </c>
      <c r="H92" s="8518"/>
      <c r="I92" s="8519"/>
      <c r="J92" s="8518" t="s">
        <v>16</v>
      </c>
      <c r="M92" s="5885" t="s">
        <v>16</v>
      </c>
      <c r="N92" s="5885" t="s">
        <v>16</v>
      </c>
    </row>
    <row r="93" spans="1:14" ht="14.25" customHeight="1" thickBot="1">
      <c r="A93" s="8924"/>
      <c r="B93" s="5913"/>
      <c r="C93" s="8526"/>
      <c r="D93" s="8574">
        <v>2016</v>
      </c>
      <c r="E93" s="8908" t="s">
        <v>457</v>
      </c>
      <c r="F93" s="8669" t="s">
        <v>456</v>
      </c>
      <c r="G93" s="14237"/>
      <c r="H93" s="8529"/>
      <c r="I93" s="8531"/>
      <c r="J93" s="8529">
        <v>2018</v>
      </c>
      <c r="M93" s="8925">
        <v>2014</v>
      </c>
      <c r="N93" s="5885">
        <v>2015</v>
      </c>
    </row>
    <row r="94" spans="1:14" ht="14.25" hidden="1" customHeight="1">
      <c r="A94" s="9022"/>
      <c r="B94" s="9023" t="s">
        <v>3299</v>
      </c>
      <c r="C94" s="9024">
        <v>215</v>
      </c>
      <c r="D94" s="9025">
        <v>0</v>
      </c>
      <c r="E94" s="8934"/>
      <c r="F94" s="8934"/>
      <c r="G94" s="9026">
        <v>0</v>
      </c>
      <c r="H94" s="9027"/>
      <c r="I94" s="9028"/>
      <c r="J94" s="9029">
        <v>0</v>
      </c>
      <c r="M94" s="5885">
        <v>0</v>
      </c>
      <c r="N94" s="5885">
        <v>0</v>
      </c>
    </row>
    <row r="95" spans="1:14" ht="14.25" hidden="1" customHeight="1">
      <c r="A95" s="5898"/>
      <c r="B95" s="9030" t="s">
        <v>3300</v>
      </c>
      <c r="C95" s="9031">
        <v>215</v>
      </c>
      <c r="D95" s="8933">
        <v>0</v>
      </c>
      <c r="E95" s="8934"/>
      <c r="F95" s="8934"/>
      <c r="G95" s="9032">
        <v>0</v>
      </c>
      <c r="H95" s="8961"/>
      <c r="I95" s="8962"/>
      <c r="J95" s="9009">
        <v>0</v>
      </c>
      <c r="M95" s="5885">
        <v>0</v>
      </c>
      <c r="N95" s="5885">
        <v>0</v>
      </c>
    </row>
    <row r="96" spans="1:14" ht="14.25" hidden="1" customHeight="1">
      <c r="A96" s="8987"/>
      <c r="B96" s="9030" t="s">
        <v>3301</v>
      </c>
      <c r="C96" s="9031">
        <v>215</v>
      </c>
      <c r="D96" s="8933">
        <v>0</v>
      </c>
      <c r="E96" s="8934"/>
      <c r="F96" s="8934"/>
      <c r="G96" s="9032">
        <v>0</v>
      </c>
      <c r="H96" s="8961"/>
      <c r="I96" s="8962"/>
      <c r="J96" s="9009">
        <v>0</v>
      </c>
      <c r="M96" s="5885">
        <v>0</v>
      </c>
      <c r="N96" s="5885">
        <v>0</v>
      </c>
    </row>
    <row r="97" spans="1:14" ht="14.25" customHeight="1">
      <c r="A97" s="8987"/>
      <c r="B97" s="9030" t="s">
        <v>3302</v>
      </c>
      <c r="C97" s="9031">
        <v>899910</v>
      </c>
      <c r="D97" s="8933">
        <v>2291859.4</v>
      </c>
      <c r="E97" s="8934">
        <v>395953.16</v>
      </c>
      <c r="F97" s="8934">
        <f>G97-E97</f>
        <v>2104046.84</v>
      </c>
      <c r="G97" s="9032">
        <v>2500000</v>
      </c>
      <c r="H97" s="8989">
        <v>1804083.75</v>
      </c>
      <c r="I97" s="8962">
        <f>H97/G97</f>
        <v>0.72163350000000004</v>
      </c>
      <c r="J97" s="9033"/>
      <c r="K97" s="5885" t="s">
        <v>2051</v>
      </c>
      <c r="M97" s="5885">
        <v>2500000</v>
      </c>
      <c r="N97" s="5885">
        <v>2500000</v>
      </c>
    </row>
    <row r="98" spans="1:14" ht="14.25" customHeight="1">
      <c r="A98" s="5898"/>
      <c r="B98" s="9030" t="s">
        <v>3304</v>
      </c>
      <c r="C98" s="9031">
        <v>899914</v>
      </c>
      <c r="D98" s="8933">
        <v>1853909.18</v>
      </c>
      <c r="E98" s="8934">
        <v>101382.09</v>
      </c>
      <c r="F98" s="8934">
        <f t="shared" ref="F98:F136" si="6">G98-E98</f>
        <v>2898617.91</v>
      </c>
      <c r="G98" s="9032">
        <v>3000000</v>
      </c>
      <c r="H98" s="8989">
        <v>2637744.42</v>
      </c>
      <c r="I98" s="8962">
        <f t="shared" ref="I98:I136" si="7">H98/G98</f>
        <v>0.87924813999999996</v>
      </c>
      <c r="J98" s="9033"/>
      <c r="K98" s="5885" t="s">
        <v>2051</v>
      </c>
      <c r="M98" s="5885">
        <v>2000000</v>
      </c>
      <c r="N98" s="5885">
        <v>2000000</v>
      </c>
    </row>
    <row r="99" spans="1:14" ht="14.25" customHeight="1">
      <c r="A99" s="5898"/>
      <c r="B99" s="9030" t="s">
        <v>10609</v>
      </c>
      <c r="C99" s="9031">
        <v>899915</v>
      </c>
      <c r="D99" s="8933">
        <v>2689049.55</v>
      </c>
      <c r="E99" s="8934">
        <v>384625.42</v>
      </c>
      <c r="F99" s="8934">
        <f t="shared" si="6"/>
        <v>2465374.58</v>
      </c>
      <c r="G99" s="9032">
        <v>2850000</v>
      </c>
      <c r="H99" s="8989">
        <v>1792938</v>
      </c>
      <c r="I99" s="8962">
        <f t="shared" si="7"/>
        <v>0.62910105263157889</v>
      </c>
      <c r="J99" s="9033"/>
      <c r="K99" s="5885" t="s">
        <v>2051</v>
      </c>
      <c r="M99" s="5885">
        <v>2850000</v>
      </c>
      <c r="N99" s="5885">
        <v>2850000</v>
      </c>
    </row>
    <row r="100" spans="1:14" ht="14.25" customHeight="1">
      <c r="A100" s="5898"/>
      <c r="B100" s="9030" t="s">
        <v>10610</v>
      </c>
      <c r="C100" s="9031">
        <v>899916</v>
      </c>
      <c r="D100" s="8933">
        <v>1693291.12</v>
      </c>
      <c r="E100" s="8934">
        <v>340826.58</v>
      </c>
      <c r="F100" s="8934">
        <f t="shared" si="6"/>
        <v>2659173.42</v>
      </c>
      <c r="G100" s="9032">
        <v>3000000</v>
      </c>
      <c r="H100" s="8989">
        <v>2735197.98</v>
      </c>
      <c r="I100" s="8962">
        <f t="shared" si="7"/>
        <v>0.91173265999999997</v>
      </c>
      <c r="J100" s="9034"/>
      <c r="K100" s="5885" t="s">
        <v>2051</v>
      </c>
      <c r="M100" s="5885">
        <v>1900000</v>
      </c>
      <c r="N100" s="5885">
        <v>1900000</v>
      </c>
    </row>
    <row r="101" spans="1:14" ht="14.25" customHeight="1">
      <c r="A101" s="9035"/>
      <c r="B101" s="9036" t="s">
        <v>10611</v>
      </c>
      <c r="C101" s="9037">
        <v>899917</v>
      </c>
      <c r="D101" s="8933">
        <v>1135008.27</v>
      </c>
      <c r="E101" s="8934">
        <v>341270.08</v>
      </c>
      <c r="F101" s="8934">
        <f t="shared" si="6"/>
        <v>2658729.92</v>
      </c>
      <c r="G101" s="9032">
        <v>3000000</v>
      </c>
      <c r="H101" s="8989">
        <v>2349821.16</v>
      </c>
      <c r="I101" s="8962">
        <f t="shared" si="7"/>
        <v>0.78327372000000006</v>
      </c>
      <c r="J101" s="9034"/>
      <c r="K101" s="5885" t="s">
        <v>2051</v>
      </c>
      <c r="M101" s="5885">
        <v>1396500</v>
      </c>
      <c r="N101" s="5885">
        <v>1396500</v>
      </c>
    </row>
    <row r="102" spans="1:14" ht="14.25" customHeight="1">
      <c r="A102" s="8995"/>
      <c r="B102" s="9036" t="s">
        <v>10612</v>
      </c>
      <c r="C102" s="9037">
        <v>899918</v>
      </c>
      <c r="D102" s="8933">
        <v>1267971.47</v>
      </c>
      <c r="E102" s="8934">
        <v>191624.54</v>
      </c>
      <c r="F102" s="8934">
        <f t="shared" si="6"/>
        <v>1558375.46</v>
      </c>
      <c r="G102" s="9032">
        <v>1750000</v>
      </c>
      <c r="H102" s="8989">
        <v>1468193.9</v>
      </c>
      <c r="I102" s="8962">
        <f t="shared" si="7"/>
        <v>0.83896794285714282</v>
      </c>
      <c r="J102" s="9034"/>
      <c r="K102" s="5885" t="s">
        <v>2051</v>
      </c>
      <c r="M102" s="5885">
        <v>1729000</v>
      </c>
      <c r="N102" s="5885">
        <v>1729000</v>
      </c>
    </row>
    <row r="103" spans="1:14" ht="14.25" hidden="1" customHeight="1">
      <c r="A103" s="8995"/>
      <c r="B103" s="9036" t="s">
        <v>3391</v>
      </c>
      <c r="C103" s="9037">
        <v>899912</v>
      </c>
      <c r="D103" s="8933">
        <v>0</v>
      </c>
      <c r="E103" s="8934"/>
      <c r="F103" s="8934">
        <f t="shared" si="6"/>
        <v>0</v>
      </c>
      <c r="G103" s="9032">
        <v>0</v>
      </c>
      <c r="H103" s="8961"/>
      <c r="I103" s="8962"/>
      <c r="J103" s="9029"/>
      <c r="K103" s="5885" t="s">
        <v>10055</v>
      </c>
      <c r="M103" s="5885">
        <v>3325000</v>
      </c>
      <c r="N103" s="5885">
        <v>3325000</v>
      </c>
    </row>
    <row r="104" spans="1:14" ht="14.25" customHeight="1">
      <c r="A104" s="8995"/>
      <c r="B104" s="9038" t="s">
        <v>10309</v>
      </c>
      <c r="C104" s="9039">
        <v>999325</v>
      </c>
      <c r="D104" s="8933">
        <v>842375</v>
      </c>
      <c r="E104" s="8934">
        <v>52229.91</v>
      </c>
      <c r="F104" s="8934">
        <f t="shared" si="6"/>
        <v>847770.09</v>
      </c>
      <c r="G104" s="9032">
        <v>900000</v>
      </c>
      <c r="H104" s="8989">
        <v>272409</v>
      </c>
      <c r="I104" s="8962">
        <f t="shared" si="7"/>
        <v>0.30267666666666665</v>
      </c>
      <c r="J104" s="9029"/>
    </row>
    <row r="105" spans="1:14" ht="14.25" customHeight="1">
      <c r="A105" s="8995"/>
      <c r="B105" s="9038" t="s">
        <v>10310</v>
      </c>
      <c r="C105" s="9039">
        <v>799939</v>
      </c>
      <c r="D105" s="8933">
        <v>370766.25</v>
      </c>
      <c r="E105" s="8934">
        <v>21900</v>
      </c>
      <c r="F105" s="8934">
        <f t="shared" si="6"/>
        <v>1478100</v>
      </c>
      <c r="G105" s="9032">
        <v>1500000</v>
      </c>
      <c r="H105" s="8989">
        <v>500700</v>
      </c>
      <c r="I105" s="8962">
        <f t="shared" si="7"/>
        <v>0.33379999999999999</v>
      </c>
      <c r="J105" s="9029"/>
    </row>
    <row r="106" spans="1:14" ht="14.25" customHeight="1">
      <c r="A106" s="8998"/>
      <c r="B106" s="9040" t="s">
        <v>4714</v>
      </c>
      <c r="C106" s="9041">
        <v>899925</v>
      </c>
      <c r="D106" s="8933">
        <v>999999</v>
      </c>
      <c r="E106" s="8934"/>
      <c r="F106" s="8934">
        <f t="shared" si="6"/>
        <v>1000000</v>
      </c>
      <c r="G106" s="8935">
        <v>1000000</v>
      </c>
      <c r="H106" s="8989">
        <v>1000000</v>
      </c>
      <c r="I106" s="8962">
        <f t="shared" si="7"/>
        <v>1</v>
      </c>
      <c r="J106" s="9042"/>
      <c r="K106" s="5885" t="s">
        <v>2051</v>
      </c>
      <c r="M106" s="5885">
        <v>1000000</v>
      </c>
      <c r="N106" s="5885">
        <v>1000000</v>
      </c>
    </row>
    <row r="107" spans="1:14" ht="14.25" customHeight="1">
      <c r="A107" s="8987"/>
      <c r="B107" s="9043" t="s">
        <v>10619</v>
      </c>
      <c r="C107" s="9044">
        <v>899939</v>
      </c>
      <c r="D107" s="8933"/>
      <c r="E107" s="8934"/>
      <c r="F107" s="8934">
        <f t="shared" si="6"/>
        <v>130000</v>
      </c>
      <c r="G107" s="8935">
        <v>130000</v>
      </c>
      <c r="H107" s="9045">
        <v>130000</v>
      </c>
      <c r="I107" s="8962">
        <f t="shared" si="7"/>
        <v>1</v>
      </c>
      <c r="J107" s="9046"/>
      <c r="K107" s="5885" t="s">
        <v>2051</v>
      </c>
    </row>
    <row r="108" spans="1:14" ht="14.25" customHeight="1">
      <c r="A108" s="8987"/>
      <c r="B108" s="9043" t="s">
        <v>10620</v>
      </c>
      <c r="C108" s="9044">
        <v>885203</v>
      </c>
      <c r="D108" s="8933"/>
      <c r="E108" s="8934"/>
      <c r="F108" s="8934">
        <f t="shared" si="6"/>
        <v>256000</v>
      </c>
      <c r="G108" s="8935">
        <v>256000</v>
      </c>
      <c r="H108" s="5887"/>
      <c r="I108" s="8962">
        <f t="shared" si="7"/>
        <v>0</v>
      </c>
      <c r="J108" s="9046"/>
      <c r="K108" s="5885" t="s">
        <v>2051</v>
      </c>
    </row>
    <row r="109" spans="1:14" ht="14.25" customHeight="1">
      <c r="A109" s="8987"/>
      <c r="B109" s="9043" t="s">
        <v>10621</v>
      </c>
      <c r="C109" s="9044">
        <v>899940</v>
      </c>
      <c r="D109" s="8933"/>
      <c r="E109" s="8934">
        <v>430171.65</v>
      </c>
      <c r="F109" s="8934">
        <f t="shared" si="6"/>
        <v>9828.3499999999767</v>
      </c>
      <c r="G109" s="8935">
        <v>440000</v>
      </c>
      <c r="H109" s="9045">
        <v>430171.65</v>
      </c>
      <c r="I109" s="8962">
        <f t="shared" si="7"/>
        <v>0.97766284090909095</v>
      </c>
      <c r="J109" s="9046"/>
      <c r="K109" s="5885" t="s">
        <v>2051</v>
      </c>
    </row>
    <row r="110" spans="1:14" ht="14.25" customHeight="1">
      <c r="A110" s="8987"/>
      <c r="B110" s="9043" t="s">
        <v>10622</v>
      </c>
      <c r="C110" s="9044">
        <v>899941</v>
      </c>
      <c r="D110" s="8933"/>
      <c r="E110" s="8934"/>
      <c r="F110" s="8934">
        <f t="shared" si="6"/>
        <v>469000</v>
      </c>
      <c r="G110" s="8935">
        <v>469000</v>
      </c>
      <c r="H110" s="9045">
        <v>463900</v>
      </c>
      <c r="I110" s="8962">
        <f>H110/G110</f>
        <v>0.98912579957356073</v>
      </c>
      <c r="J110" s="9046"/>
      <c r="K110" s="5885" t="s">
        <v>2051</v>
      </c>
    </row>
    <row r="111" spans="1:14" ht="14.25" customHeight="1">
      <c r="A111" s="9047"/>
      <c r="B111" s="9048" t="s">
        <v>11087</v>
      </c>
      <c r="C111" s="9049"/>
      <c r="D111" s="9025"/>
      <c r="E111" s="8934"/>
      <c r="F111" s="8934"/>
      <c r="G111" s="8955"/>
      <c r="H111" s="5887"/>
      <c r="I111" s="8962" t="s">
        <v>9</v>
      </c>
      <c r="J111" s="9046"/>
      <c r="K111" s="5885" t="s">
        <v>2051</v>
      </c>
    </row>
    <row r="112" spans="1:14" ht="17.25" customHeight="1">
      <c r="A112" s="8987"/>
      <c r="B112" s="9050" t="s">
        <v>10623</v>
      </c>
      <c r="C112" s="9044">
        <v>899942</v>
      </c>
      <c r="D112" s="8933"/>
      <c r="E112" s="8934">
        <v>12155.25</v>
      </c>
      <c r="F112" s="8934">
        <f t="shared" si="6"/>
        <v>487844.75</v>
      </c>
      <c r="G112" s="8935">
        <v>500000</v>
      </c>
      <c r="H112" s="9045">
        <v>35195.25</v>
      </c>
      <c r="I112" s="8962">
        <f>H112/G112</f>
        <v>7.0390499999999995E-2</v>
      </c>
      <c r="J112" s="9046"/>
      <c r="K112" s="5885" t="s">
        <v>2051</v>
      </c>
    </row>
    <row r="113" spans="1:17" ht="30" customHeight="1">
      <c r="A113" s="8998"/>
      <c r="B113" s="9226" t="s">
        <v>7247</v>
      </c>
      <c r="C113" s="9041">
        <v>799935</v>
      </c>
      <c r="D113" s="8933">
        <v>6807400</v>
      </c>
      <c r="E113" s="8934">
        <v>1480000</v>
      </c>
      <c r="F113" s="8934">
        <f t="shared" si="6"/>
        <v>8520000</v>
      </c>
      <c r="G113" s="8935">
        <v>10000000</v>
      </c>
      <c r="H113" s="9227">
        <v>2871180</v>
      </c>
      <c r="I113" s="8962">
        <f t="shared" si="7"/>
        <v>0.28711799999999998</v>
      </c>
      <c r="J113" s="8997">
        <v>10000000</v>
      </c>
      <c r="K113" s="5885" t="s">
        <v>11118</v>
      </c>
      <c r="M113" s="5885">
        <v>6000000</v>
      </c>
      <c r="N113" s="5885">
        <v>6000000</v>
      </c>
    </row>
    <row r="114" spans="1:17" ht="31.5" customHeight="1">
      <c r="A114" s="8998"/>
      <c r="B114" s="9226" t="s">
        <v>10905</v>
      </c>
      <c r="C114" s="9041" t="s">
        <v>9974</v>
      </c>
      <c r="D114" s="8933">
        <v>881303.25</v>
      </c>
      <c r="E114" s="8934"/>
      <c r="F114" s="8934">
        <f t="shared" si="6"/>
        <v>1500000</v>
      </c>
      <c r="G114" s="8935">
        <v>1500000</v>
      </c>
      <c r="H114" s="8989">
        <v>0</v>
      </c>
      <c r="I114" s="8962">
        <f>H114/G114</f>
        <v>0</v>
      </c>
      <c r="J114" s="8912">
        <v>1500000</v>
      </c>
      <c r="K114" s="8950" t="s">
        <v>568</v>
      </c>
      <c r="M114" s="5885">
        <v>2000000</v>
      </c>
      <c r="N114" s="5885">
        <v>2000000</v>
      </c>
    </row>
    <row r="115" spans="1:17" ht="14.25" hidden="1" customHeight="1">
      <c r="A115" s="8995"/>
      <c r="B115" s="9040" t="s">
        <v>353</v>
      </c>
      <c r="C115" s="9041" t="s">
        <v>354</v>
      </c>
      <c r="D115" s="8963"/>
      <c r="E115" s="8964"/>
      <c r="F115" s="8934">
        <f t="shared" si="6"/>
        <v>0</v>
      </c>
      <c r="G115" s="8965">
        <v>0</v>
      </c>
      <c r="I115" s="8962"/>
      <c r="J115" s="8967">
        <v>0</v>
      </c>
      <c r="K115" s="5885" t="s">
        <v>568</v>
      </c>
      <c r="M115" s="5885">
        <v>0</v>
      </c>
      <c r="N115" s="5885">
        <v>0</v>
      </c>
    </row>
    <row r="116" spans="1:17" ht="14.25" customHeight="1">
      <c r="A116" s="8923"/>
      <c r="B116" s="9048" t="s">
        <v>11088</v>
      </c>
      <c r="C116" s="9049"/>
      <c r="D116" s="9052"/>
      <c r="E116" s="8964"/>
      <c r="F116" s="8934"/>
      <c r="G116" s="9053"/>
      <c r="I116" s="9028"/>
      <c r="J116" s="9054"/>
      <c r="K116" s="5885" t="s">
        <v>2051</v>
      </c>
    </row>
    <row r="117" spans="1:17" ht="14.25" customHeight="1">
      <c r="A117" s="8923"/>
      <c r="B117" s="9048" t="s">
        <v>11089</v>
      </c>
      <c r="C117" s="9049"/>
      <c r="D117" s="9052"/>
      <c r="E117" s="8964"/>
      <c r="F117" s="8934"/>
      <c r="G117" s="9053"/>
      <c r="I117" s="9028"/>
      <c r="J117" s="9054"/>
      <c r="K117" s="5885" t="s">
        <v>2051</v>
      </c>
    </row>
    <row r="118" spans="1:17" ht="14.25" customHeight="1">
      <c r="A118" s="8995"/>
      <c r="B118" s="9040" t="s">
        <v>9121</v>
      </c>
      <c r="C118" s="9041">
        <v>4995</v>
      </c>
      <c r="D118" s="8963">
        <v>2920800</v>
      </c>
      <c r="E118" s="8964">
        <v>31640</v>
      </c>
      <c r="F118" s="8934">
        <f t="shared" si="6"/>
        <v>2968360</v>
      </c>
      <c r="G118" s="8965">
        <v>3000000</v>
      </c>
      <c r="H118" s="8961">
        <v>2892440.6</v>
      </c>
      <c r="I118" s="8962">
        <f t="shared" si="7"/>
        <v>0.96414686666666671</v>
      </c>
      <c r="J118" s="8967"/>
      <c r="K118" s="5885" t="s">
        <v>581</v>
      </c>
      <c r="M118" s="5885">
        <v>1650000</v>
      </c>
      <c r="N118" s="5885">
        <v>1650000</v>
      </c>
    </row>
    <row r="119" spans="1:17" ht="15.75" customHeight="1">
      <c r="A119" s="8995"/>
      <c r="B119" s="9040" t="s">
        <v>9120</v>
      </c>
      <c r="C119" s="9041" t="s">
        <v>354</v>
      </c>
      <c r="D119" s="8963">
        <v>3484877.6</v>
      </c>
      <c r="E119" s="8964">
        <v>746439.08</v>
      </c>
      <c r="F119" s="8934">
        <f t="shared" si="6"/>
        <v>2826360.92</v>
      </c>
      <c r="G119" s="8965">
        <v>3572800</v>
      </c>
      <c r="H119" s="8989">
        <v>2402871.5</v>
      </c>
      <c r="I119" s="8962">
        <f t="shared" si="7"/>
        <v>0.67254576242722797</v>
      </c>
      <c r="J119" s="8967"/>
      <c r="K119" s="5885" t="s">
        <v>2051</v>
      </c>
      <c r="M119" s="5885">
        <v>1760000</v>
      </c>
      <c r="N119" s="5885">
        <v>1760000</v>
      </c>
      <c r="O119" s="5887" t="s">
        <v>9975</v>
      </c>
    </row>
    <row r="120" spans="1:17" ht="15.75" customHeight="1">
      <c r="A120" s="8998"/>
      <c r="B120" s="9040" t="s">
        <v>10311</v>
      </c>
      <c r="C120" s="9041">
        <v>799937</v>
      </c>
      <c r="D120" s="9055">
        <v>0</v>
      </c>
      <c r="E120" s="9056"/>
      <c r="F120" s="8934">
        <f t="shared" si="6"/>
        <v>300000</v>
      </c>
      <c r="G120" s="8935">
        <v>300000</v>
      </c>
      <c r="H120" s="8961">
        <v>0</v>
      </c>
      <c r="I120" s="8962">
        <f t="shared" si="7"/>
        <v>0</v>
      </c>
      <c r="J120" s="8914"/>
      <c r="K120" s="9040" t="s">
        <v>10316</v>
      </c>
      <c r="M120" s="5885">
        <v>0</v>
      </c>
      <c r="N120" s="5885">
        <v>0</v>
      </c>
      <c r="P120" s="9057">
        <v>2000000</v>
      </c>
      <c r="Q120" s="5886">
        <v>0.2</v>
      </c>
    </row>
    <row r="121" spans="1:17" ht="15.75" customHeight="1">
      <c r="A121" s="8995"/>
      <c r="B121" s="9036" t="s">
        <v>11082</v>
      </c>
      <c r="C121" s="9037">
        <v>799938</v>
      </c>
      <c r="D121" s="8933">
        <v>0</v>
      </c>
      <c r="E121" s="8934"/>
      <c r="F121" s="8934">
        <f t="shared" si="6"/>
        <v>25000</v>
      </c>
      <c r="G121" s="9032">
        <v>25000</v>
      </c>
      <c r="H121" s="8961">
        <v>0</v>
      </c>
      <c r="I121" s="8962">
        <f t="shared" si="7"/>
        <v>0</v>
      </c>
      <c r="J121" s="9033"/>
      <c r="M121" s="5885">
        <v>0</v>
      </c>
      <c r="N121" s="5885">
        <v>0</v>
      </c>
    </row>
    <row r="122" spans="1:17" ht="15.75" customHeight="1">
      <c r="A122" s="9058"/>
      <c r="B122" s="8994" t="s">
        <v>9159</v>
      </c>
      <c r="C122" s="5882">
        <v>4999</v>
      </c>
      <c r="D122" s="8933">
        <v>59780</v>
      </c>
      <c r="E122" s="8934"/>
      <c r="F122" s="8934">
        <f t="shared" si="6"/>
        <v>0</v>
      </c>
      <c r="G122" s="8935">
        <v>0</v>
      </c>
      <c r="H122" s="8961">
        <v>85000</v>
      </c>
      <c r="I122" s="8962" t="e">
        <f t="shared" si="7"/>
        <v>#DIV/0!</v>
      </c>
      <c r="J122" s="8914"/>
      <c r="M122" s="5885">
        <v>340000</v>
      </c>
      <c r="N122" s="5885">
        <v>340000</v>
      </c>
    </row>
    <row r="123" spans="1:17" ht="14.25" hidden="1" customHeight="1">
      <c r="A123" s="8987"/>
      <c r="B123" s="8994" t="s">
        <v>3294</v>
      </c>
      <c r="C123" s="5882">
        <v>4997</v>
      </c>
      <c r="D123" s="9055" t="s">
        <v>10054</v>
      </c>
      <c r="E123" s="9056"/>
      <c r="F123" s="8934">
        <f t="shared" si="6"/>
        <v>0</v>
      </c>
      <c r="G123" s="8935">
        <v>0</v>
      </c>
      <c r="H123" s="8961"/>
      <c r="I123" s="8962" t="e">
        <f t="shared" si="7"/>
        <v>#DIV/0!</v>
      </c>
      <c r="J123" s="8914">
        <v>0</v>
      </c>
      <c r="M123" s="5885">
        <v>0</v>
      </c>
      <c r="N123" s="5885">
        <v>0</v>
      </c>
    </row>
    <row r="124" spans="1:17" ht="14.25" hidden="1" customHeight="1">
      <c r="A124" s="8987"/>
      <c r="B124" s="8994" t="s">
        <v>3295</v>
      </c>
      <c r="C124" s="5882">
        <v>4998</v>
      </c>
      <c r="D124" s="9055" t="s">
        <v>10054</v>
      </c>
      <c r="E124" s="9056"/>
      <c r="F124" s="8934">
        <f t="shared" si="6"/>
        <v>0</v>
      </c>
      <c r="G124" s="8935">
        <v>0</v>
      </c>
      <c r="H124" s="8961"/>
      <c r="I124" s="8962" t="e">
        <f t="shared" si="7"/>
        <v>#DIV/0!</v>
      </c>
      <c r="J124" s="8914">
        <v>0</v>
      </c>
      <c r="M124" s="5885">
        <v>0</v>
      </c>
      <c r="N124" s="5885">
        <v>0</v>
      </c>
    </row>
    <row r="125" spans="1:17" ht="14.25" hidden="1" customHeight="1">
      <c r="A125" s="8987"/>
      <c r="B125" s="8994" t="s">
        <v>3293</v>
      </c>
      <c r="C125" s="5882">
        <v>4992</v>
      </c>
      <c r="D125" s="9055" t="s">
        <v>10054</v>
      </c>
      <c r="E125" s="9056"/>
      <c r="F125" s="8934">
        <f t="shared" si="6"/>
        <v>0</v>
      </c>
      <c r="G125" s="8935">
        <v>0</v>
      </c>
      <c r="H125" s="8961"/>
      <c r="I125" s="8962" t="e">
        <f t="shared" si="7"/>
        <v>#DIV/0!</v>
      </c>
      <c r="J125" s="8914">
        <v>0</v>
      </c>
      <c r="M125" s="5885">
        <v>0</v>
      </c>
      <c r="N125" s="5885">
        <v>0</v>
      </c>
    </row>
    <row r="126" spans="1:17" ht="14.25" hidden="1" customHeight="1">
      <c r="A126" s="8987"/>
      <c r="B126" s="8994" t="s">
        <v>3287</v>
      </c>
      <c r="C126" s="5882">
        <v>899906</v>
      </c>
      <c r="D126" s="9055" t="s">
        <v>10056</v>
      </c>
      <c r="E126" s="9056"/>
      <c r="F126" s="8934">
        <f t="shared" si="6"/>
        <v>0</v>
      </c>
      <c r="G126" s="8935">
        <v>0</v>
      </c>
      <c r="H126" s="8961"/>
      <c r="I126" s="8962" t="e">
        <f t="shared" si="7"/>
        <v>#DIV/0!</v>
      </c>
      <c r="J126" s="8914">
        <v>0</v>
      </c>
      <c r="M126" s="5885">
        <v>0</v>
      </c>
      <c r="N126" s="5885">
        <v>0</v>
      </c>
    </row>
    <row r="127" spans="1:17" ht="14.25" hidden="1" customHeight="1">
      <c r="A127" s="8987"/>
      <c r="B127" s="8994" t="s">
        <v>3290</v>
      </c>
      <c r="C127" s="5882">
        <v>1997</v>
      </c>
      <c r="D127" s="9055" t="s">
        <v>10057</v>
      </c>
      <c r="E127" s="9056"/>
      <c r="F127" s="8934">
        <f t="shared" si="6"/>
        <v>0</v>
      </c>
      <c r="G127" s="8935">
        <v>0</v>
      </c>
      <c r="H127" s="8961"/>
      <c r="I127" s="8962" t="e">
        <f t="shared" si="7"/>
        <v>#DIV/0!</v>
      </c>
      <c r="J127" s="8914">
        <v>0</v>
      </c>
      <c r="M127" s="5885">
        <v>0</v>
      </c>
      <c r="N127" s="5885">
        <v>0</v>
      </c>
    </row>
    <row r="128" spans="1:17" ht="14.25" hidden="1" customHeight="1">
      <c r="A128" s="8987"/>
      <c r="B128" s="8994" t="s">
        <v>3289</v>
      </c>
      <c r="C128" s="5882">
        <v>69909</v>
      </c>
      <c r="D128" s="9055" t="s">
        <v>4706</v>
      </c>
      <c r="E128" s="9056"/>
      <c r="F128" s="8934">
        <f t="shared" si="6"/>
        <v>0</v>
      </c>
      <c r="G128" s="8935">
        <v>0</v>
      </c>
      <c r="H128" s="8961"/>
      <c r="I128" s="8962" t="e">
        <f t="shared" si="7"/>
        <v>#DIV/0!</v>
      </c>
      <c r="J128" s="8914">
        <v>0</v>
      </c>
      <c r="M128" s="5885">
        <v>0</v>
      </c>
      <c r="N128" s="5885">
        <v>0</v>
      </c>
    </row>
    <row r="129" spans="1:14" ht="15" customHeight="1">
      <c r="A129" s="8987"/>
      <c r="B129" s="9221" t="s">
        <v>9939</v>
      </c>
      <c r="C129" s="5882">
        <v>1993</v>
      </c>
      <c r="D129" s="8933">
        <v>1711094.05</v>
      </c>
      <c r="E129" s="8934">
        <v>276750</v>
      </c>
      <c r="F129" s="8934">
        <f t="shared" si="6"/>
        <v>4723250</v>
      </c>
      <c r="G129" s="9000">
        <v>5000000</v>
      </c>
      <c r="H129" s="8961">
        <v>4978396.7</v>
      </c>
      <c r="I129" s="8962">
        <f>H129/G129</f>
        <v>0.99567934000000002</v>
      </c>
      <c r="J129" s="8911">
        <v>5000000</v>
      </c>
      <c r="K129" s="8950" t="s">
        <v>568</v>
      </c>
      <c r="M129" s="5885">
        <v>3500000</v>
      </c>
      <c r="N129" s="5885">
        <v>4000000</v>
      </c>
    </row>
    <row r="130" spans="1:14" ht="15" customHeight="1">
      <c r="A130" s="8987"/>
      <c r="B130" s="9221" t="s">
        <v>9940</v>
      </c>
      <c r="C130" s="5882">
        <v>1994</v>
      </c>
      <c r="D130" s="8933">
        <v>698000</v>
      </c>
      <c r="E130" s="8934"/>
      <c r="F130" s="8934">
        <f t="shared" si="6"/>
        <v>1800000</v>
      </c>
      <c r="G130" s="8935">
        <v>1800000</v>
      </c>
      <c r="H130" s="8961">
        <v>210000</v>
      </c>
      <c r="I130" s="8962">
        <f>H130/G130</f>
        <v>0.11666666666666667</v>
      </c>
      <c r="J130" s="8912">
        <v>1800000</v>
      </c>
      <c r="K130" s="8950" t="s">
        <v>568</v>
      </c>
      <c r="M130" s="5885">
        <v>1800000</v>
      </c>
      <c r="N130" s="5885">
        <v>1800000</v>
      </c>
    </row>
    <row r="131" spans="1:14" ht="15" customHeight="1">
      <c r="A131" s="5911"/>
      <c r="B131" s="9221" t="s">
        <v>379</v>
      </c>
      <c r="C131" s="5882">
        <v>899901</v>
      </c>
      <c r="D131" s="8933">
        <v>698352.32</v>
      </c>
      <c r="E131" s="8934">
        <v>13136</v>
      </c>
      <c r="F131" s="8934">
        <f t="shared" si="6"/>
        <v>3486864</v>
      </c>
      <c r="G131" s="8935">
        <v>3500000</v>
      </c>
      <c r="H131" s="8989">
        <v>2177206</v>
      </c>
      <c r="I131" s="8962">
        <f>H131/G131</f>
        <v>0.62205885714285714</v>
      </c>
      <c r="J131" s="8912">
        <v>3500000</v>
      </c>
      <c r="K131" s="8950" t="s">
        <v>11117</v>
      </c>
      <c r="M131" s="5885">
        <v>2600000</v>
      </c>
      <c r="N131" s="5885">
        <v>2600000</v>
      </c>
    </row>
    <row r="132" spans="1:14" ht="29.25" hidden="1" customHeight="1">
      <c r="A132" s="8998"/>
      <c r="B132" s="9059" t="s">
        <v>10158</v>
      </c>
      <c r="C132" s="8937"/>
      <c r="D132" s="8933"/>
      <c r="E132" s="8934"/>
      <c r="F132" s="8934">
        <f t="shared" si="6"/>
        <v>0</v>
      </c>
      <c r="G132" s="9000">
        <v>0</v>
      </c>
      <c r="H132" s="8961">
        <v>0</v>
      </c>
      <c r="I132" s="8962" t="e">
        <f t="shared" si="7"/>
        <v>#DIV/0!</v>
      </c>
      <c r="J132" s="8961">
        <v>0</v>
      </c>
      <c r="N132" s="5885">
        <v>600000</v>
      </c>
    </row>
    <row r="133" spans="1:14" ht="15.75" customHeight="1">
      <c r="A133" s="8987"/>
      <c r="B133" s="9224" t="s">
        <v>10613</v>
      </c>
      <c r="C133" s="8937">
        <v>871301</v>
      </c>
      <c r="D133" s="8933"/>
      <c r="E133" s="8934"/>
      <c r="F133" s="8934">
        <f t="shared" si="6"/>
        <v>1500000</v>
      </c>
      <c r="G133" s="9000">
        <v>1500000</v>
      </c>
      <c r="H133" s="8989">
        <v>1440000</v>
      </c>
      <c r="I133" s="8962">
        <f t="shared" si="7"/>
        <v>0.96</v>
      </c>
      <c r="J133" s="8961"/>
    </row>
    <row r="134" spans="1:14" ht="15.75" hidden="1" customHeight="1">
      <c r="A134" s="8987"/>
      <c r="B134" s="9050" t="s">
        <v>10614</v>
      </c>
      <c r="C134" s="8937"/>
      <c r="D134" s="8933"/>
      <c r="E134" s="8934"/>
      <c r="F134" s="8934">
        <f t="shared" si="6"/>
        <v>0</v>
      </c>
      <c r="G134" s="9000">
        <v>0</v>
      </c>
      <c r="H134" s="8961"/>
      <c r="I134" s="8962" t="e">
        <f t="shared" si="7"/>
        <v>#DIV/0!</v>
      </c>
      <c r="J134" s="8961"/>
    </row>
    <row r="135" spans="1:14" ht="15.75" customHeight="1">
      <c r="A135" s="8987"/>
      <c r="B135" s="9234" t="s">
        <v>10615</v>
      </c>
      <c r="C135" s="8937">
        <v>6999</v>
      </c>
      <c r="D135" s="8933"/>
      <c r="E135" s="8934">
        <v>139046.88</v>
      </c>
      <c r="F135" s="8934">
        <f t="shared" si="6"/>
        <v>860953.12</v>
      </c>
      <c r="G135" s="9000">
        <v>1000000</v>
      </c>
      <c r="H135" s="8989">
        <v>962755.99</v>
      </c>
      <c r="I135" s="8962">
        <f t="shared" si="7"/>
        <v>0.96275599000000001</v>
      </c>
      <c r="J135" s="8961"/>
      <c r="K135" s="9230" t="s">
        <v>578</v>
      </c>
    </row>
    <row r="136" spans="1:14" ht="15.75" customHeight="1">
      <c r="A136" s="8987"/>
      <c r="B136" s="9050" t="s">
        <v>10616</v>
      </c>
      <c r="C136" s="8937">
        <v>6998</v>
      </c>
      <c r="D136" s="8933"/>
      <c r="E136" s="8934"/>
      <c r="F136" s="8934">
        <f t="shared" si="6"/>
        <v>1500000</v>
      </c>
      <c r="G136" s="9000">
        <v>1500000</v>
      </c>
      <c r="H136" s="8989">
        <v>0</v>
      </c>
      <c r="I136" s="8962">
        <f t="shared" si="7"/>
        <v>0</v>
      </c>
      <c r="J136" s="8911"/>
      <c r="K136" s="5885" t="s">
        <v>11092</v>
      </c>
    </row>
    <row r="137" spans="1:14" s="5796" customFormat="1" ht="17.25" customHeight="1">
      <c r="A137" s="9060"/>
      <c r="B137" s="8532" t="s">
        <v>327</v>
      </c>
      <c r="C137" s="9061"/>
      <c r="D137" s="8582">
        <f>SUM(D97:D136,D71:D83)</f>
        <v>57738077.680000007</v>
      </c>
      <c r="E137" s="8679">
        <f>SUM(E97:E136,E71:E83)</f>
        <v>27170326.060000002</v>
      </c>
      <c r="F137" s="8679">
        <f>SUM(F97:F136,F71:F83)</f>
        <v>63672473.939999998</v>
      </c>
      <c r="G137" s="8679">
        <f>SUM(G97:G136,G71:G83)</f>
        <v>90842800</v>
      </c>
      <c r="H137" s="8535">
        <f>SUM(H71:H132,H33:H69)</f>
        <v>65531558.449999996</v>
      </c>
      <c r="I137" s="8536"/>
      <c r="J137" s="8535">
        <f>SUM(J97:J136,J71:J83)</f>
        <v>49300000</v>
      </c>
      <c r="K137" s="5788"/>
      <c r="L137" s="8960"/>
      <c r="M137" s="5788">
        <v>76100652</v>
      </c>
      <c r="N137" s="5788">
        <v>77621500</v>
      </c>
    </row>
    <row r="138" spans="1:14" s="5796" customFormat="1" ht="16.5" customHeight="1">
      <c r="A138" s="9062"/>
      <c r="B138" s="8537"/>
      <c r="C138" s="8537"/>
      <c r="D138" s="8583"/>
      <c r="E138" s="8680"/>
      <c r="F138" s="8680"/>
      <c r="G138" s="8681"/>
      <c r="H138" s="8538"/>
      <c r="I138" s="8539"/>
      <c r="J138" s="8538"/>
      <c r="K138" s="5788"/>
      <c r="L138" s="8960"/>
      <c r="M138" s="5788"/>
      <c r="N138" s="5788"/>
    </row>
    <row r="139" spans="1:14" s="5796" customFormat="1" ht="16.5" customHeight="1">
      <c r="A139" s="9063"/>
      <c r="B139" s="5865"/>
      <c r="C139" s="5865"/>
      <c r="D139" s="8584"/>
      <c r="E139" s="8682"/>
      <c r="F139" s="8682"/>
      <c r="G139" s="8683"/>
      <c r="H139" s="8533"/>
      <c r="I139" s="8534"/>
      <c r="J139" s="8533"/>
      <c r="K139" s="5788"/>
      <c r="L139" s="8960"/>
      <c r="M139" s="5788"/>
      <c r="N139" s="5788"/>
    </row>
    <row r="140" spans="1:14" s="5796" customFormat="1" ht="16.5" customHeight="1">
      <c r="A140" s="9063"/>
      <c r="B140" s="5865"/>
      <c r="C140" s="5865"/>
      <c r="D140" s="8584"/>
      <c r="E140" s="8682"/>
      <c r="F140" s="8682"/>
      <c r="G140" s="8683"/>
      <c r="H140" s="8533"/>
      <c r="I140" s="8534"/>
      <c r="J140" s="8533"/>
      <c r="K140" s="5788"/>
      <c r="L140" s="8960"/>
      <c r="M140" s="5788"/>
      <c r="N140" s="5788"/>
    </row>
    <row r="141" spans="1:14" s="5796" customFormat="1" ht="16.5" customHeight="1">
      <c r="A141" s="9063"/>
      <c r="B141" s="5865"/>
      <c r="C141" s="5865"/>
      <c r="D141" s="8584"/>
      <c r="E141" s="8682"/>
      <c r="F141" s="8682"/>
      <c r="G141" s="8683"/>
      <c r="H141" s="8533"/>
      <c r="I141" s="8534"/>
      <c r="J141" s="8533"/>
      <c r="K141" s="5788"/>
      <c r="L141" s="8960"/>
      <c r="M141" s="5788"/>
      <c r="N141" s="5788"/>
    </row>
    <row r="142" spans="1:14" s="9013" customFormat="1" ht="15.75" customHeight="1" thickBot="1">
      <c r="A142" s="8983" t="s">
        <v>10912</v>
      </c>
      <c r="B142" s="8984"/>
      <c r="C142" s="5913"/>
      <c r="D142" s="8585"/>
      <c r="E142" s="8684"/>
      <c r="F142" s="8684"/>
      <c r="G142" s="9064"/>
      <c r="H142" s="9065"/>
      <c r="I142" s="9066"/>
      <c r="J142" s="9065"/>
      <c r="K142" s="9011"/>
      <c r="L142" s="9012"/>
      <c r="M142" s="9011"/>
      <c r="N142" s="9011"/>
    </row>
    <row r="143" spans="1:14" ht="14.25" customHeight="1">
      <c r="A143" s="8922"/>
      <c r="B143" s="8520"/>
      <c r="C143" s="8521" t="s">
        <v>103</v>
      </c>
      <c r="D143" s="8572" t="s">
        <v>10</v>
      </c>
      <c r="E143" s="14230" t="s">
        <v>10711</v>
      </c>
      <c r="F143" s="14231"/>
      <c r="G143" s="14232"/>
      <c r="H143" s="8524"/>
      <c r="I143" s="8530"/>
      <c r="J143" s="8524" t="s">
        <v>326</v>
      </c>
      <c r="M143" s="5885" t="s">
        <v>326</v>
      </c>
      <c r="N143" s="5885" t="s">
        <v>326</v>
      </c>
    </row>
    <row r="144" spans="1:14" ht="14.25" customHeight="1">
      <c r="A144" s="8923"/>
      <c r="B144" s="5894" t="s">
        <v>13</v>
      </c>
      <c r="C144" s="8516" t="s">
        <v>94</v>
      </c>
      <c r="D144" s="8573" t="s">
        <v>15</v>
      </c>
      <c r="E144" s="8909" t="s">
        <v>10709</v>
      </c>
      <c r="F144" s="8668" t="s">
        <v>10710</v>
      </c>
      <c r="G144" s="14236" t="s">
        <v>458</v>
      </c>
      <c r="H144" s="8518"/>
      <c r="I144" s="8519"/>
      <c r="J144" s="8518" t="s">
        <v>16</v>
      </c>
      <c r="M144" s="5885" t="s">
        <v>16</v>
      </c>
      <c r="N144" s="5885" t="s">
        <v>16</v>
      </c>
    </row>
    <row r="145" spans="1:14" ht="14.25" customHeight="1" thickBot="1">
      <c r="A145" s="8924"/>
      <c r="B145" s="5913"/>
      <c r="C145" s="8526"/>
      <c r="D145" s="8574">
        <v>2016</v>
      </c>
      <c r="E145" s="8908" t="s">
        <v>457</v>
      </c>
      <c r="F145" s="8669" t="s">
        <v>456</v>
      </c>
      <c r="G145" s="14237"/>
      <c r="H145" s="8529"/>
      <c r="I145" s="8531"/>
      <c r="J145" s="8529">
        <v>2018</v>
      </c>
      <c r="M145" s="8925">
        <v>2014</v>
      </c>
      <c r="N145" s="5885">
        <v>2015</v>
      </c>
    </row>
    <row r="146" spans="1:14" ht="14.25" customHeight="1">
      <c r="A146" s="5895"/>
      <c r="B146" s="5908" t="s">
        <v>375</v>
      </c>
      <c r="C146" s="8937"/>
      <c r="D146" s="8933"/>
      <c r="E146" s="8934"/>
      <c r="F146" s="8934"/>
      <c r="G146" s="8935"/>
      <c r="H146" s="8914"/>
      <c r="I146" s="8936"/>
      <c r="J146" s="8914"/>
    </row>
    <row r="147" spans="1:14" ht="14.25" customHeight="1">
      <c r="A147" s="9067"/>
      <c r="B147" s="5909" t="s">
        <v>11139</v>
      </c>
      <c r="C147" s="8937"/>
      <c r="D147" s="8933"/>
      <c r="E147" s="8934"/>
      <c r="F147" s="8934"/>
      <c r="G147" s="8935"/>
      <c r="H147" s="8914"/>
      <c r="I147" s="8936"/>
      <c r="J147" s="8914"/>
    </row>
    <row r="148" spans="1:14" ht="15" customHeight="1">
      <c r="A148" s="5898"/>
      <c r="B148" s="9221" t="s">
        <v>10312</v>
      </c>
      <c r="C148" s="8988">
        <v>799916</v>
      </c>
      <c r="D148" s="8963">
        <v>1010928.68</v>
      </c>
      <c r="E148" s="8964">
        <v>315835</v>
      </c>
      <c r="F148" s="8964">
        <f>G148-E148</f>
        <v>684165</v>
      </c>
      <c r="G148" s="9000">
        <v>1000000</v>
      </c>
      <c r="H148" s="8989">
        <v>460900</v>
      </c>
      <c r="I148" s="8962">
        <f t="shared" ref="I148:I173" si="8">H148/G148</f>
        <v>0.46089999999999998</v>
      </c>
      <c r="J148" s="8952">
        <v>1000000</v>
      </c>
      <c r="K148" s="8950" t="s">
        <v>568</v>
      </c>
      <c r="M148" s="5885">
        <v>500000</v>
      </c>
      <c r="N148" s="5885">
        <v>1000000</v>
      </c>
    </row>
    <row r="149" spans="1:14" ht="15" customHeight="1">
      <c r="A149" s="5911"/>
      <c r="B149" s="9221" t="s">
        <v>376</v>
      </c>
      <c r="C149" s="8988">
        <v>799919</v>
      </c>
      <c r="D149" s="8963">
        <v>450000</v>
      </c>
      <c r="E149" s="8964"/>
      <c r="F149" s="8964">
        <f t="shared" ref="F149:F176" si="9">G149-E149</f>
        <v>450000</v>
      </c>
      <c r="G149" s="8965">
        <v>450000</v>
      </c>
      <c r="H149" s="8989">
        <v>0</v>
      </c>
      <c r="I149" s="8962">
        <f t="shared" si="8"/>
        <v>0</v>
      </c>
      <c r="J149" s="9068">
        <v>450000</v>
      </c>
      <c r="K149" s="8950" t="s">
        <v>568</v>
      </c>
      <c r="M149" s="5885">
        <v>450000</v>
      </c>
      <c r="N149" s="5885">
        <v>450000</v>
      </c>
    </row>
    <row r="150" spans="1:14" ht="15" customHeight="1">
      <c r="A150" s="5911"/>
      <c r="B150" s="9221" t="s">
        <v>377</v>
      </c>
      <c r="C150" s="9069" t="s">
        <v>378</v>
      </c>
      <c r="D150" s="8963">
        <v>363595</v>
      </c>
      <c r="E150" s="8964">
        <v>23000</v>
      </c>
      <c r="F150" s="8964">
        <f t="shared" si="9"/>
        <v>1977000</v>
      </c>
      <c r="G150" s="9000">
        <v>2000000</v>
      </c>
      <c r="H150" s="8989">
        <v>821000</v>
      </c>
      <c r="I150" s="8962">
        <f t="shared" si="8"/>
        <v>0.41049999999999998</v>
      </c>
      <c r="J150" s="8952">
        <v>2000000</v>
      </c>
      <c r="K150" s="8950" t="s">
        <v>568</v>
      </c>
      <c r="M150" s="5885">
        <v>1000000</v>
      </c>
      <c r="N150" s="5885">
        <v>2000000</v>
      </c>
    </row>
    <row r="151" spans="1:14" ht="15" customHeight="1">
      <c r="A151" s="5911"/>
      <c r="B151" s="9221" t="s">
        <v>836</v>
      </c>
      <c r="C151" s="5882">
        <v>799934</v>
      </c>
      <c r="D151" s="8933">
        <v>200000</v>
      </c>
      <c r="E151" s="8934"/>
      <c r="F151" s="8964">
        <f t="shared" si="9"/>
        <v>200000</v>
      </c>
      <c r="G151" s="8935">
        <v>200000</v>
      </c>
      <c r="H151" s="8989">
        <v>0</v>
      </c>
      <c r="I151" s="8962">
        <f t="shared" si="8"/>
        <v>0</v>
      </c>
      <c r="J151" s="8997">
        <v>200000</v>
      </c>
      <c r="K151" s="8950" t="s">
        <v>568</v>
      </c>
      <c r="M151" s="5885">
        <v>200000</v>
      </c>
      <c r="N151" s="5885">
        <v>200000</v>
      </c>
    </row>
    <row r="152" spans="1:14" ht="15" customHeight="1">
      <c r="A152" s="5911"/>
      <c r="B152" s="8994" t="s">
        <v>381</v>
      </c>
      <c r="C152" s="9070">
        <v>3392</v>
      </c>
      <c r="D152" s="8933">
        <v>1186697.71</v>
      </c>
      <c r="E152" s="8934">
        <v>734124.24</v>
      </c>
      <c r="F152" s="8964">
        <f t="shared" si="9"/>
        <v>965875.76</v>
      </c>
      <c r="G152" s="8935">
        <v>1700000</v>
      </c>
      <c r="H152" s="8961">
        <v>1081116.6599999999</v>
      </c>
      <c r="I152" s="8962">
        <f t="shared" si="8"/>
        <v>0.63595097647058818</v>
      </c>
      <c r="J152" s="8914"/>
      <c r="M152" s="5885">
        <v>1782500</v>
      </c>
      <c r="N152" s="5885">
        <v>1782500</v>
      </c>
    </row>
    <row r="153" spans="1:14" ht="15" customHeight="1">
      <c r="A153" s="9071"/>
      <c r="B153" s="8994" t="s">
        <v>4739</v>
      </c>
      <c r="C153" s="9070">
        <v>339205</v>
      </c>
      <c r="D153" s="8933">
        <v>1565317</v>
      </c>
      <c r="E153" s="8934">
        <v>1566380</v>
      </c>
      <c r="F153" s="8964">
        <f t="shared" si="9"/>
        <v>433620</v>
      </c>
      <c r="G153" s="8935">
        <v>2000000</v>
      </c>
      <c r="H153" s="8961">
        <v>1901218</v>
      </c>
      <c r="I153" s="8962">
        <f t="shared" si="8"/>
        <v>0.95060900000000004</v>
      </c>
      <c r="J153" s="8914"/>
      <c r="M153" s="5885">
        <v>2000000</v>
      </c>
      <c r="N153" s="5885">
        <v>2000000</v>
      </c>
    </row>
    <row r="154" spans="1:14" ht="15" customHeight="1">
      <c r="A154" s="5911"/>
      <c r="B154" s="8994" t="s">
        <v>9333</v>
      </c>
      <c r="C154" s="9069">
        <v>339201</v>
      </c>
      <c r="D154" s="8933">
        <v>769533.28</v>
      </c>
      <c r="E154" s="8934"/>
      <c r="F154" s="8964">
        <f t="shared" si="9"/>
        <v>2000000</v>
      </c>
      <c r="G154" s="8935">
        <v>2000000</v>
      </c>
      <c r="H154" s="8989">
        <v>137208.6</v>
      </c>
      <c r="I154" s="8962">
        <f t="shared" si="8"/>
        <v>6.8604300000000007E-2</v>
      </c>
      <c r="J154" s="8914"/>
      <c r="M154" s="5885">
        <v>1000000</v>
      </c>
      <c r="N154" s="5885">
        <v>1500000</v>
      </c>
    </row>
    <row r="155" spans="1:14" ht="15" customHeight="1">
      <c r="A155" s="5911"/>
      <c r="B155" s="8994" t="s">
        <v>382</v>
      </c>
      <c r="C155" s="9069">
        <v>799910</v>
      </c>
      <c r="D155" s="8963">
        <v>443412.47999999998</v>
      </c>
      <c r="E155" s="8964">
        <v>60000</v>
      </c>
      <c r="F155" s="8964">
        <f t="shared" si="9"/>
        <v>2940000</v>
      </c>
      <c r="G155" s="8965">
        <v>3000000</v>
      </c>
      <c r="H155" s="8989">
        <v>2121925</v>
      </c>
      <c r="I155" s="8962">
        <f t="shared" si="8"/>
        <v>0.70730833333333332</v>
      </c>
      <c r="J155" s="8967"/>
      <c r="M155" s="5885">
        <v>100000</v>
      </c>
      <c r="N155" s="5885">
        <v>1000000</v>
      </c>
    </row>
    <row r="156" spans="1:14" ht="15" customHeight="1">
      <c r="A156" s="5911"/>
      <c r="B156" s="9030" t="s">
        <v>4744</v>
      </c>
      <c r="C156" s="9031">
        <v>899911</v>
      </c>
      <c r="D156" s="8933">
        <v>456305</v>
      </c>
      <c r="E156" s="8934"/>
      <c r="F156" s="8964">
        <f t="shared" si="9"/>
        <v>475000</v>
      </c>
      <c r="G156" s="9032">
        <v>475000</v>
      </c>
      <c r="H156" s="8989">
        <v>473800</v>
      </c>
      <c r="I156" s="8962">
        <f t="shared" si="8"/>
        <v>0.99747368421052629</v>
      </c>
      <c r="J156" s="9009"/>
      <c r="K156" s="5885" t="s">
        <v>10314</v>
      </c>
      <c r="M156" s="5885">
        <v>475000</v>
      </c>
      <c r="N156" s="5885">
        <v>475000</v>
      </c>
    </row>
    <row r="157" spans="1:14" ht="15" customHeight="1">
      <c r="A157" s="5911"/>
      <c r="B157" s="9030" t="s">
        <v>10313</v>
      </c>
      <c r="C157" s="9031" t="s">
        <v>9</v>
      </c>
      <c r="D157" s="8933"/>
      <c r="E157" s="8934"/>
      <c r="F157" s="8964"/>
      <c r="G157" s="9032"/>
      <c r="H157" s="8961"/>
      <c r="I157" s="8962"/>
      <c r="J157" s="9009"/>
    </row>
    <row r="158" spans="1:14" ht="19.5" customHeight="1">
      <c r="A158" s="5911"/>
      <c r="B158" s="9030" t="s">
        <v>10291</v>
      </c>
      <c r="C158" s="9031">
        <v>69906</v>
      </c>
      <c r="D158" s="8933">
        <v>2745849.6</v>
      </c>
      <c r="E158" s="8934">
        <v>592132.24</v>
      </c>
      <c r="F158" s="8964">
        <f t="shared" si="9"/>
        <v>5707867.7599999998</v>
      </c>
      <c r="G158" s="9032">
        <v>6300000</v>
      </c>
      <c r="H158" s="8989">
        <v>968460.37</v>
      </c>
      <c r="I158" s="8962">
        <f t="shared" si="8"/>
        <v>0.15372386825396825</v>
      </c>
      <c r="J158" s="9033"/>
      <c r="M158" s="5885">
        <v>2400000</v>
      </c>
      <c r="N158" s="5885">
        <v>3400000</v>
      </c>
    </row>
    <row r="159" spans="1:14" ht="31.5" hidden="1" customHeight="1">
      <c r="A159" s="9071"/>
      <c r="B159" s="9072" t="s">
        <v>10276</v>
      </c>
      <c r="C159" s="9031">
        <v>69903</v>
      </c>
      <c r="D159" s="8933">
        <v>0</v>
      </c>
      <c r="E159" s="8934"/>
      <c r="F159" s="8964">
        <f t="shared" si="9"/>
        <v>0</v>
      </c>
      <c r="G159" s="8990"/>
      <c r="H159" s="8961"/>
      <c r="I159" s="8962"/>
      <c r="J159" s="8991"/>
      <c r="M159" s="5885">
        <v>950000</v>
      </c>
    </row>
    <row r="160" spans="1:14" ht="15.75" customHeight="1">
      <c r="A160" s="8995"/>
      <c r="B160" s="9073" t="s">
        <v>10275</v>
      </c>
      <c r="C160" s="9074">
        <v>69907</v>
      </c>
      <c r="D160" s="8933">
        <v>288520.77</v>
      </c>
      <c r="E160" s="8934">
        <v>451465</v>
      </c>
      <c r="F160" s="8964">
        <f t="shared" si="9"/>
        <v>1048535</v>
      </c>
      <c r="G160" s="9032">
        <v>1500000</v>
      </c>
      <c r="H160" s="8989">
        <v>624323.61</v>
      </c>
      <c r="I160" s="8962">
        <f t="shared" si="8"/>
        <v>0.41621574</v>
      </c>
      <c r="J160" s="9033"/>
      <c r="N160" s="5885">
        <v>580000</v>
      </c>
    </row>
    <row r="161" spans="1:14" ht="15.75" customHeight="1">
      <c r="A161" s="8995"/>
      <c r="B161" s="9075" t="s">
        <v>9996</v>
      </c>
      <c r="C161" s="9076" t="s">
        <v>10549</v>
      </c>
      <c r="D161" s="8933">
        <v>670026.66</v>
      </c>
      <c r="E161" s="8934">
        <v>222329.12</v>
      </c>
      <c r="F161" s="8964">
        <f t="shared" si="9"/>
        <v>1077670.8799999999</v>
      </c>
      <c r="G161" s="9032">
        <v>1300000</v>
      </c>
      <c r="H161" s="8989">
        <f>509691.12+38500</f>
        <v>548191.12</v>
      </c>
      <c r="I161" s="8962">
        <f t="shared" si="8"/>
        <v>0.4216854769230769</v>
      </c>
      <c r="J161" s="9033"/>
      <c r="N161" s="5885">
        <v>500000</v>
      </c>
    </row>
    <row r="162" spans="1:14" ht="15.75" customHeight="1">
      <c r="A162" s="8995"/>
      <c r="B162" s="9075" t="s">
        <v>9997</v>
      </c>
      <c r="C162" s="9076" t="s">
        <v>10550</v>
      </c>
      <c r="D162" s="8933">
        <v>5525</v>
      </c>
      <c r="E162" s="8934">
        <v>14240</v>
      </c>
      <c r="F162" s="8964">
        <f t="shared" si="9"/>
        <v>105760</v>
      </c>
      <c r="G162" s="9032">
        <v>120000</v>
      </c>
      <c r="H162" s="8989">
        <v>69008.81</v>
      </c>
      <c r="I162" s="8962">
        <f t="shared" si="8"/>
        <v>0.57507341666666667</v>
      </c>
      <c r="J162" s="9033"/>
      <c r="N162" s="5885">
        <v>75000</v>
      </c>
    </row>
    <row r="163" spans="1:14" ht="15.75" customHeight="1">
      <c r="A163" s="8995"/>
      <c r="B163" s="9075" t="s">
        <v>9998</v>
      </c>
      <c r="C163" s="9076" t="s">
        <v>10551</v>
      </c>
      <c r="D163" s="8933">
        <v>9155</v>
      </c>
      <c r="E163" s="8934">
        <v>1960</v>
      </c>
      <c r="F163" s="8964">
        <f t="shared" si="9"/>
        <v>118040</v>
      </c>
      <c r="G163" s="9032">
        <v>120000</v>
      </c>
      <c r="H163" s="8989">
        <v>47860</v>
      </c>
      <c r="I163" s="8962">
        <f t="shared" si="8"/>
        <v>0.39883333333333332</v>
      </c>
      <c r="J163" s="9033"/>
      <c r="N163" s="5885">
        <v>75000</v>
      </c>
    </row>
    <row r="164" spans="1:14" ht="14.1" customHeight="1">
      <c r="A164" s="5911"/>
      <c r="B164" s="9030" t="s">
        <v>3303</v>
      </c>
      <c r="C164" s="9031">
        <v>69905</v>
      </c>
      <c r="D164" s="8933">
        <v>1037075.75</v>
      </c>
      <c r="E164" s="8934">
        <v>23889</v>
      </c>
      <c r="F164" s="8964">
        <f t="shared" si="9"/>
        <v>1976111</v>
      </c>
      <c r="G164" s="9032">
        <v>2000000</v>
      </c>
      <c r="H164" s="8989">
        <v>702348.95</v>
      </c>
      <c r="I164" s="8962">
        <f t="shared" si="8"/>
        <v>0.35117447499999999</v>
      </c>
      <c r="J164" s="9033"/>
      <c r="K164" s="5885">
        <f>SUM(J158:J164)</f>
        <v>0</v>
      </c>
      <c r="M164" s="5885">
        <v>1562800</v>
      </c>
      <c r="N164" s="5885">
        <v>2000000</v>
      </c>
    </row>
    <row r="165" spans="1:14" ht="12.6" customHeight="1">
      <c r="A165" s="9071"/>
      <c r="B165" s="9030"/>
      <c r="C165" s="9031"/>
      <c r="D165" s="8933"/>
      <c r="E165" s="8934"/>
      <c r="F165" s="8964">
        <f t="shared" si="9"/>
        <v>0</v>
      </c>
      <c r="G165" s="9032"/>
      <c r="H165" s="8961"/>
      <c r="I165" s="8962" t="e">
        <f t="shared" si="8"/>
        <v>#DIV/0!</v>
      </c>
      <c r="J165" s="9009"/>
    </row>
    <row r="166" spans="1:14" ht="13.5" customHeight="1">
      <c r="A166" s="5911"/>
      <c r="B166" s="9219" t="s">
        <v>3389</v>
      </c>
      <c r="C166" s="9031">
        <v>1999</v>
      </c>
      <c r="D166" s="8933">
        <v>8880553.5899999999</v>
      </c>
      <c r="E166" s="8934">
        <v>1147500</v>
      </c>
      <c r="F166" s="8964">
        <f t="shared" si="9"/>
        <v>10852500</v>
      </c>
      <c r="G166" s="9000">
        <v>12000000</v>
      </c>
      <c r="H166" s="8989">
        <v>9058893.9000000004</v>
      </c>
      <c r="I166" s="8962">
        <f t="shared" si="8"/>
        <v>0.75490782499999998</v>
      </c>
      <c r="J166" s="9222">
        <v>12000000</v>
      </c>
      <c r="K166" s="8950" t="s">
        <v>568</v>
      </c>
      <c r="M166" s="5885">
        <v>10000000</v>
      </c>
      <c r="N166" s="5885">
        <v>12000000</v>
      </c>
    </row>
    <row r="167" spans="1:14" ht="16.5" customHeight="1">
      <c r="A167" s="8987"/>
      <c r="B167" s="9217" t="s">
        <v>10639</v>
      </c>
      <c r="C167" s="9077">
        <v>49914</v>
      </c>
      <c r="D167" s="8933">
        <v>782756.25</v>
      </c>
      <c r="E167" s="8934"/>
      <c r="F167" s="8964">
        <f t="shared" si="9"/>
        <v>5000000</v>
      </c>
      <c r="G167" s="9000">
        <v>5000000</v>
      </c>
      <c r="H167" s="8989">
        <v>2513714.85</v>
      </c>
      <c r="I167" s="8962">
        <f t="shared" si="8"/>
        <v>0.50274297000000001</v>
      </c>
      <c r="J167" s="9222">
        <v>5000000</v>
      </c>
      <c r="K167" s="8950" t="s">
        <v>11121</v>
      </c>
      <c r="M167" s="5885">
        <v>5000000</v>
      </c>
      <c r="N167" s="5885">
        <v>7500000</v>
      </c>
    </row>
    <row r="168" spans="1:14" ht="15" customHeight="1">
      <c r="A168" s="5911"/>
      <c r="B168" s="9217" t="s">
        <v>4718</v>
      </c>
      <c r="C168" s="5882">
        <v>8999</v>
      </c>
      <c r="D168" s="8933">
        <v>5729784.4900000002</v>
      </c>
      <c r="E168" s="8934">
        <v>587241.42000000004</v>
      </c>
      <c r="F168" s="8964">
        <f t="shared" si="9"/>
        <v>6412758.5800000001</v>
      </c>
      <c r="G168" s="8935">
        <v>7000000</v>
      </c>
      <c r="H168" s="8989">
        <v>6298310.0300000003</v>
      </c>
      <c r="I168" s="8962">
        <f t="shared" si="8"/>
        <v>0.89975857571428575</v>
      </c>
      <c r="J168" s="9235">
        <v>8250000</v>
      </c>
      <c r="K168" s="8950" t="s">
        <v>11120</v>
      </c>
      <c r="M168" s="5885">
        <v>7000000</v>
      </c>
      <c r="N168" s="5885">
        <v>7645000</v>
      </c>
    </row>
    <row r="169" spans="1:14" ht="15" customHeight="1">
      <c r="A169" s="9078"/>
      <c r="B169" s="9217" t="s">
        <v>4707</v>
      </c>
      <c r="C169" s="5882">
        <v>899924</v>
      </c>
      <c r="D169" s="8933">
        <v>4336912.8</v>
      </c>
      <c r="E169" s="8934"/>
      <c r="F169" s="8964">
        <f t="shared" si="9"/>
        <v>5500000</v>
      </c>
      <c r="G169" s="8935">
        <v>5500000</v>
      </c>
      <c r="H169" s="8989">
        <v>4187727</v>
      </c>
      <c r="I169" s="8962">
        <f t="shared" si="8"/>
        <v>0.76140490909090908</v>
      </c>
      <c r="J169" s="9235">
        <v>27035000</v>
      </c>
      <c r="K169" s="8950" t="s">
        <v>11120</v>
      </c>
      <c r="M169" s="5885">
        <v>5000000</v>
      </c>
      <c r="N169" s="5885">
        <v>5500000</v>
      </c>
    </row>
    <row r="170" spans="1:14" ht="15" customHeight="1">
      <c r="A170" s="5911"/>
      <c r="B170" s="9217" t="s">
        <v>380</v>
      </c>
      <c r="C170" s="5882">
        <v>899902</v>
      </c>
      <c r="D170" s="9079">
        <v>1872516.41</v>
      </c>
      <c r="E170" s="9080"/>
      <c r="F170" s="8964">
        <f t="shared" si="9"/>
        <v>3000000</v>
      </c>
      <c r="G170" s="9081">
        <v>3000000</v>
      </c>
      <c r="H170" s="9082">
        <v>2719650</v>
      </c>
      <c r="I170" s="8962">
        <f t="shared" si="8"/>
        <v>0.90654999999999997</v>
      </c>
      <c r="J170" s="9083">
        <v>0</v>
      </c>
      <c r="K170" s="8950"/>
      <c r="M170" s="5885">
        <v>3546842</v>
      </c>
      <c r="N170" s="5885">
        <v>3750000</v>
      </c>
    </row>
    <row r="171" spans="1:14" ht="18" customHeight="1">
      <c r="A171" s="8987"/>
      <c r="B171" s="8994" t="s">
        <v>3286</v>
      </c>
      <c r="C171" s="5882">
        <v>899905</v>
      </c>
      <c r="D171" s="9084" t="s">
        <v>10058</v>
      </c>
      <c r="E171" s="9085"/>
      <c r="F171" s="8964">
        <f t="shared" si="9"/>
        <v>0</v>
      </c>
      <c r="G171" s="9081">
        <v>0</v>
      </c>
      <c r="H171" s="7043"/>
      <c r="I171" s="8962"/>
      <c r="J171" s="9083">
        <v>0</v>
      </c>
      <c r="M171" s="5885">
        <v>0</v>
      </c>
      <c r="N171" s="5885">
        <v>0</v>
      </c>
    </row>
    <row r="172" spans="1:14" ht="15" hidden="1" customHeight="1">
      <c r="A172" s="8987"/>
      <c r="B172" s="9218" t="s">
        <v>3288</v>
      </c>
      <c r="C172" s="5882">
        <v>1995</v>
      </c>
      <c r="D172" s="9086">
        <v>7177448.7599999998</v>
      </c>
      <c r="E172" s="9080"/>
      <c r="F172" s="8964"/>
      <c r="G172" s="9087">
        <v>0</v>
      </c>
      <c r="H172" s="7043">
        <v>0</v>
      </c>
      <c r="I172" s="8962"/>
      <c r="J172" s="9083">
        <v>0</v>
      </c>
      <c r="M172" s="5885">
        <v>3615000</v>
      </c>
      <c r="N172" s="5885">
        <v>7000000</v>
      </c>
    </row>
    <row r="173" spans="1:14" ht="15" customHeight="1">
      <c r="A173" s="9078"/>
      <c r="B173" s="9217" t="s">
        <v>10315</v>
      </c>
      <c r="C173" s="5882">
        <v>19910</v>
      </c>
      <c r="D173" s="9086">
        <v>1652665</v>
      </c>
      <c r="E173" s="9080">
        <v>435000</v>
      </c>
      <c r="F173" s="8964">
        <f t="shared" si="9"/>
        <v>3065000</v>
      </c>
      <c r="G173" s="9087">
        <v>3500000</v>
      </c>
      <c r="H173" s="7043">
        <v>892312.5</v>
      </c>
      <c r="I173" s="8962">
        <f t="shared" si="8"/>
        <v>0.25494642857142857</v>
      </c>
      <c r="J173" s="9236">
        <v>3500000</v>
      </c>
      <c r="K173" s="8950" t="s">
        <v>568</v>
      </c>
      <c r="M173" s="5885">
        <v>1500000</v>
      </c>
      <c r="N173" s="5885">
        <v>1500000</v>
      </c>
    </row>
    <row r="174" spans="1:14" ht="14.25" customHeight="1">
      <c r="A174" s="8987"/>
      <c r="B174" s="8994" t="s">
        <v>386</v>
      </c>
      <c r="C174" s="5894">
        <v>999901</v>
      </c>
      <c r="D174" s="9086">
        <v>385538.6</v>
      </c>
      <c r="E174" s="9080"/>
      <c r="F174" s="8964">
        <f t="shared" si="9"/>
        <v>0</v>
      </c>
      <c r="G174" s="9087">
        <v>0</v>
      </c>
      <c r="H174" s="8961">
        <v>387000</v>
      </c>
      <c r="I174" s="8962" t="e">
        <f>H174/G174</f>
        <v>#DIV/0!</v>
      </c>
      <c r="J174" s="9237">
        <v>0</v>
      </c>
      <c r="M174" s="5885">
        <v>600000</v>
      </c>
      <c r="N174" s="5885">
        <v>600000</v>
      </c>
    </row>
    <row r="175" spans="1:14" ht="14.25" customHeight="1">
      <c r="A175" s="8987"/>
      <c r="B175" s="8994" t="s">
        <v>3291</v>
      </c>
      <c r="C175" s="5882" t="s">
        <v>9976</v>
      </c>
      <c r="D175" s="9086">
        <v>82500</v>
      </c>
      <c r="E175" s="9080"/>
      <c r="F175" s="8964">
        <f t="shared" si="9"/>
        <v>1000000</v>
      </c>
      <c r="G175" s="9087">
        <v>1000000</v>
      </c>
      <c r="H175" s="8961">
        <v>620000</v>
      </c>
      <c r="I175" s="8962">
        <f>H175/G175</f>
        <v>0.62</v>
      </c>
      <c r="J175" s="9237">
        <v>0</v>
      </c>
      <c r="K175" s="5885">
        <v>755000</v>
      </c>
      <c r="M175" s="5885">
        <v>755000</v>
      </c>
      <c r="N175" s="5885">
        <v>500000</v>
      </c>
    </row>
    <row r="176" spans="1:14" ht="14.25" customHeight="1">
      <c r="A176" s="9078"/>
      <c r="B176" s="9221" t="s">
        <v>4746</v>
      </c>
      <c r="C176" s="5882">
        <v>19911</v>
      </c>
      <c r="D176" s="9086">
        <v>799628.25</v>
      </c>
      <c r="E176" s="9080">
        <v>104606</v>
      </c>
      <c r="F176" s="8964">
        <f t="shared" si="9"/>
        <v>895394</v>
      </c>
      <c r="G176" s="9087">
        <v>1000000</v>
      </c>
      <c r="H176" s="9082">
        <v>827149.93</v>
      </c>
      <c r="I176" s="8962">
        <f>H176/G176</f>
        <v>0.82714993000000003</v>
      </c>
      <c r="J176" s="9236">
        <v>1500000</v>
      </c>
      <c r="K176" s="5885">
        <v>465000</v>
      </c>
      <c r="M176" s="5885">
        <v>300000</v>
      </c>
      <c r="N176" s="5885">
        <v>450000</v>
      </c>
    </row>
    <row r="177" spans="1:14" ht="30" hidden="1" customHeight="1">
      <c r="A177" s="8987"/>
      <c r="B177" s="9089" t="s">
        <v>9151</v>
      </c>
      <c r="C177" s="9077">
        <v>19918</v>
      </c>
      <c r="D177" s="9090">
        <v>0</v>
      </c>
      <c r="E177" s="9080"/>
      <c r="F177" s="9080"/>
      <c r="G177" s="9091">
        <v>0</v>
      </c>
      <c r="H177" s="7043">
        <v>0</v>
      </c>
      <c r="I177" s="8962" t="e">
        <f>H177/G177</f>
        <v>#DIV/0!</v>
      </c>
      <c r="J177" s="9092">
        <v>0</v>
      </c>
      <c r="M177" s="5885">
        <v>3000000</v>
      </c>
      <c r="N177" s="5885">
        <v>1000000</v>
      </c>
    </row>
    <row r="178" spans="1:14" ht="15" customHeight="1">
      <c r="A178" s="9093"/>
      <c r="B178" s="9094"/>
      <c r="C178" s="9095"/>
      <c r="D178" s="9096"/>
      <c r="E178" s="8677"/>
      <c r="F178" s="8677"/>
      <c r="G178" s="9097"/>
      <c r="H178" s="9098"/>
      <c r="I178" s="9099"/>
      <c r="J178" s="9100"/>
    </row>
    <row r="179" spans="1:14" ht="15" customHeight="1">
      <c r="A179" s="9013"/>
      <c r="B179" s="9004"/>
      <c r="C179" s="5894"/>
      <c r="D179" s="8581"/>
      <c r="E179" s="8678"/>
      <c r="F179" s="8678"/>
      <c r="G179" s="9101"/>
      <c r="H179" s="8980"/>
      <c r="I179" s="8981"/>
      <c r="J179" s="9102"/>
    </row>
    <row r="180" spans="1:14" ht="15" customHeight="1">
      <c r="A180" s="9013"/>
      <c r="B180" s="9004"/>
      <c r="C180" s="5894"/>
      <c r="D180" s="8581"/>
      <c r="E180" s="8678"/>
      <c r="F180" s="8678"/>
      <c r="G180" s="9101"/>
      <c r="H180" s="8980"/>
      <c r="I180" s="8981"/>
      <c r="J180" s="9102"/>
    </row>
    <row r="181" spans="1:14" ht="15" customHeight="1">
      <c r="A181" s="9013"/>
      <c r="B181" s="9004"/>
      <c r="C181" s="5894"/>
      <c r="D181" s="8581"/>
      <c r="E181" s="8678"/>
      <c r="F181" s="8678"/>
      <c r="G181" s="9101"/>
      <c r="H181" s="8980"/>
      <c r="I181" s="8981"/>
      <c r="J181" s="9102"/>
    </row>
    <row r="182" spans="1:14" ht="15" customHeight="1">
      <c r="A182" s="9013"/>
      <c r="B182" s="9004"/>
      <c r="C182" s="5894"/>
      <c r="D182" s="8581"/>
      <c r="E182" s="8678"/>
      <c r="F182" s="8678"/>
      <c r="G182" s="9101"/>
      <c r="H182" s="8980"/>
      <c r="I182" s="8981"/>
      <c r="J182" s="9102"/>
    </row>
    <row r="183" spans="1:14" ht="15" customHeight="1" thickBot="1">
      <c r="A183" s="9013" t="s">
        <v>10913</v>
      </c>
      <c r="B183" s="9004"/>
      <c r="C183" s="5894"/>
      <c r="D183" s="8581"/>
      <c r="E183" s="8678"/>
      <c r="F183" s="8678"/>
      <c r="G183" s="9101"/>
      <c r="H183" s="8980"/>
      <c r="I183" s="8981"/>
      <c r="J183" s="9102"/>
    </row>
    <row r="184" spans="1:14" ht="14.25" customHeight="1">
      <c r="A184" s="8922"/>
      <c r="B184" s="8520"/>
      <c r="C184" s="8521" t="s">
        <v>103</v>
      </c>
      <c r="D184" s="8572" t="s">
        <v>10</v>
      </c>
      <c r="E184" s="14230" t="s">
        <v>10711</v>
      </c>
      <c r="F184" s="14231"/>
      <c r="G184" s="14232"/>
      <c r="H184" s="8524"/>
      <c r="I184" s="8530"/>
      <c r="J184" s="8524" t="s">
        <v>326</v>
      </c>
      <c r="M184" s="5885" t="s">
        <v>326</v>
      </c>
      <c r="N184" s="5885" t="s">
        <v>326</v>
      </c>
    </row>
    <row r="185" spans="1:14" ht="14.25" customHeight="1">
      <c r="A185" s="8923"/>
      <c r="B185" s="5894" t="s">
        <v>13</v>
      </c>
      <c r="C185" s="8516" t="s">
        <v>94</v>
      </c>
      <c r="D185" s="8573" t="s">
        <v>15</v>
      </c>
      <c r="E185" s="8909" t="s">
        <v>10709</v>
      </c>
      <c r="F185" s="8668" t="s">
        <v>10710</v>
      </c>
      <c r="G185" s="14236" t="s">
        <v>458</v>
      </c>
      <c r="H185" s="8518"/>
      <c r="I185" s="8519"/>
      <c r="J185" s="8518" t="s">
        <v>16</v>
      </c>
      <c r="M185" s="5885" t="s">
        <v>16</v>
      </c>
      <c r="N185" s="5885" t="s">
        <v>16</v>
      </c>
    </row>
    <row r="186" spans="1:14" ht="14.25" customHeight="1" thickBot="1">
      <c r="A186" s="8924"/>
      <c r="B186" s="5913"/>
      <c r="C186" s="8526"/>
      <c r="D186" s="8574">
        <v>2016</v>
      </c>
      <c r="E186" s="8908" t="s">
        <v>457</v>
      </c>
      <c r="F186" s="8669" t="s">
        <v>456</v>
      </c>
      <c r="G186" s="14237"/>
      <c r="H186" s="8540"/>
      <c r="I186" s="8541"/>
      <c r="J186" s="8529">
        <v>2018</v>
      </c>
      <c r="M186" s="8925">
        <v>2014</v>
      </c>
      <c r="N186" s="5885">
        <v>2015</v>
      </c>
    </row>
    <row r="187" spans="1:14" ht="48.75" customHeight="1">
      <c r="A187" s="8998"/>
      <c r="B187" s="9059" t="s">
        <v>10093</v>
      </c>
      <c r="C187" s="9103">
        <v>899933</v>
      </c>
      <c r="D187" s="8933">
        <v>2062964.84</v>
      </c>
      <c r="E187" s="9080">
        <v>503353.47</v>
      </c>
      <c r="F187" s="9080">
        <f>G187-E187</f>
        <v>2996646.5300000003</v>
      </c>
      <c r="G187" s="9104">
        <v>3500000</v>
      </c>
      <c r="H187" s="9105">
        <v>2485193.2000000002</v>
      </c>
      <c r="I187" s="9216">
        <f t="shared" ref="I187:I217" si="10">H187/G187</f>
        <v>0.71005520000000011</v>
      </c>
      <c r="J187" s="9107">
        <v>0</v>
      </c>
      <c r="N187" s="5885">
        <v>3500000</v>
      </c>
    </row>
    <row r="188" spans="1:14" ht="16.5" hidden="1" customHeight="1">
      <c r="A188" s="8998"/>
      <c r="B188" s="9059" t="s">
        <v>10196</v>
      </c>
      <c r="C188" s="9103">
        <v>999904</v>
      </c>
      <c r="D188" s="8933">
        <v>0</v>
      </c>
      <c r="E188" s="9080"/>
      <c r="F188" s="9080"/>
      <c r="G188" s="9104">
        <v>0</v>
      </c>
      <c r="H188" s="9105">
        <v>0</v>
      </c>
      <c r="I188" s="9106" t="e">
        <f t="shared" si="10"/>
        <v>#DIV/0!</v>
      </c>
      <c r="J188" s="9107">
        <v>0</v>
      </c>
      <c r="N188" s="5885">
        <v>8000000</v>
      </c>
    </row>
    <row r="189" spans="1:14" ht="34.5" hidden="1" customHeight="1">
      <c r="A189" s="8998"/>
      <c r="B189" s="9108" t="s">
        <v>10179</v>
      </c>
      <c r="C189" s="8988"/>
      <c r="D189" s="8963"/>
      <c r="E189" s="9109"/>
      <c r="F189" s="9109"/>
      <c r="G189" s="9110"/>
      <c r="H189" s="9111"/>
      <c r="I189" s="9106"/>
      <c r="J189" s="9112"/>
    </row>
    <row r="190" spans="1:14" ht="14.25" hidden="1" customHeight="1">
      <c r="A190" s="8998"/>
      <c r="B190" s="9059" t="s">
        <v>10180</v>
      </c>
      <c r="C190" s="9113">
        <v>999905</v>
      </c>
      <c r="D190" s="8933">
        <v>304500</v>
      </c>
      <c r="E190" s="9080"/>
      <c r="F190" s="9080"/>
      <c r="G190" s="9114">
        <v>0</v>
      </c>
      <c r="H190" s="9115">
        <v>0</v>
      </c>
      <c r="I190" s="9116" t="e">
        <f t="shared" si="10"/>
        <v>#DIV/0!</v>
      </c>
      <c r="J190" s="9117">
        <v>0</v>
      </c>
      <c r="N190" s="5885">
        <v>2000000</v>
      </c>
    </row>
    <row r="191" spans="1:14" ht="18" hidden="1" customHeight="1">
      <c r="A191" s="8998"/>
      <c r="B191" s="9108" t="s">
        <v>10181</v>
      </c>
      <c r="C191" s="9113"/>
      <c r="D191" s="8933"/>
      <c r="E191" s="9080"/>
      <c r="F191" s="9080"/>
      <c r="G191" s="9118"/>
      <c r="H191" s="9119"/>
      <c r="I191" s="9116"/>
      <c r="J191" s="9120"/>
    </row>
    <row r="192" spans="1:14" ht="14.25" hidden="1" customHeight="1">
      <c r="A192" s="8998"/>
      <c r="B192" s="9121" t="s">
        <v>10082</v>
      </c>
      <c r="C192" s="8937"/>
      <c r="D192" s="8933"/>
      <c r="E192" s="8934"/>
      <c r="F192" s="8934"/>
      <c r="G192" s="9122">
        <v>0</v>
      </c>
      <c r="H192" s="9123"/>
      <c r="I192" s="9116" t="e">
        <f t="shared" si="10"/>
        <v>#DIV/0!</v>
      </c>
      <c r="J192" s="9123">
        <v>0</v>
      </c>
      <c r="K192" s="5885" t="s">
        <v>10103</v>
      </c>
      <c r="N192" s="5885">
        <v>0</v>
      </c>
    </row>
    <row r="193" spans="1:14" ht="14.25" hidden="1" customHeight="1">
      <c r="A193" s="8998"/>
      <c r="B193" s="9121" t="s">
        <v>10090</v>
      </c>
      <c r="C193" s="8937"/>
      <c r="D193" s="8933"/>
      <c r="E193" s="8934"/>
      <c r="F193" s="8934"/>
      <c r="G193" s="9122">
        <v>0</v>
      </c>
      <c r="H193" s="9123"/>
      <c r="I193" s="9116" t="e">
        <f t="shared" si="10"/>
        <v>#DIV/0!</v>
      </c>
      <c r="J193" s="9123">
        <v>0</v>
      </c>
      <c r="K193" s="5885" t="s">
        <v>10096</v>
      </c>
      <c r="N193" s="5885">
        <v>0</v>
      </c>
    </row>
    <row r="194" spans="1:14" ht="14.25" hidden="1" customHeight="1">
      <c r="A194" s="8998"/>
      <c r="B194" s="8996" t="s">
        <v>10094</v>
      </c>
      <c r="C194" s="8937"/>
      <c r="D194" s="8933"/>
      <c r="E194" s="8934"/>
      <c r="F194" s="8934"/>
      <c r="G194" s="9122">
        <v>0</v>
      </c>
      <c r="H194" s="9123"/>
      <c r="I194" s="9116" t="e">
        <f t="shared" si="10"/>
        <v>#DIV/0!</v>
      </c>
      <c r="J194" s="9123">
        <v>0</v>
      </c>
      <c r="N194" s="5885">
        <v>0</v>
      </c>
    </row>
    <row r="195" spans="1:14" ht="14.25" hidden="1" customHeight="1">
      <c r="A195" s="8998"/>
      <c r="B195" s="8999" t="s">
        <v>10083</v>
      </c>
      <c r="C195" s="8937"/>
      <c r="D195" s="8933"/>
      <c r="E195" s="8934"/>
      <c r="F195" s="8934"/>
      <c r="G195" s="9122">
        <v>0</v>
      </c>
      <c r="H195" s="9123"/>
      <c r="I195" s="9116" t="e">
        <f t="shared" si="10"/>
        <v>#DIV/0!</v>
      </c>
      <c r="J195" s="9123">
        <v>0</v>
      </c>
      <c r="K195" s="5885" t="s">
        <v>10104</v>
      </c>
      <c r="N195" s="5885">
        <v>0</v>
      </c>
    </row>
    <row r="196" spans="1:14" ht="14.25" hidden="1" customHeight="1">
      <c r="A196" s="8998"/>
      <c r="B196" s="8999" t="s">
        <v>10182</v>
      </c>
      <c r="C196" s="8937">
        <v>999906</v>
      </c>
      <c r="D196" s="8933">
        <v>0</v>
      </c>
      <c r="E196" s="8934"/>
      <c r="F196" s="8934"/>
      <c r="G196" s="9122">
        <v>0</v>
      </c>
      <c r="H196" s="9123">
        <v>0</v>
      </c>
      <c r="I196" s="9116" t="e">
        <f t="shared" si="10"/>
        <v>#DIV/0!</v>
      </c>
      <c r="J196" s="9123">
        <v>0</v>
      </c>
      <c r="N196" s="5885">
        <v>1500000</v>
      </c>
    </row>
    <row r="197" spans="1:14" ht="33.75" hidden="1" customHeight="1">
      <c r="A197" s="8998"/>
      <c r="B197" s="9108" t="s">
        <v>10183</v>
      </c>
      <c r="C197" s="8937"/>
      <c r="D197" s="8933"/>
      <c r="E197" s="8934"/>
      <c r="F197" s="8934"/>
      <c r="G197" s="9122"/>
      <c r="H197" s="9123"/>
      <c r="I197" s="9116"/>
      <c r="J197" s="9123"/>
    </row>
    <row r="198" spans="1:14" ht="36" hidden="1" customHeight="1">
      <c r="A198" s="8998"/>
      <c r="B198" s="8999" t="s">
        <v>10184</v>
      </c>
      <c r="C198" s="8937">
        <v>999907</v>
      </c>
      <c r="D198" s="8933">
        <v>0</v>
      </c>
      <c r="E198" s="8934"/>
      <c r="F198" s="8934"/>
      <c r="G198" s="9122">
        <v>0</v>
      </c>
      <c r="H198" s="9123">
        <v>0</v>
      </c>
      <c r="I198" s="9116" t="e">
        <f t="shared" si="10"/>
        <v>#DIV/0!</v>
      </c>
      <c r="J198" s="9123">
        <v>0</v>
      </c>
      <c r="N198" s="5885">
        <v>1000000</v>
      </c>
    </row>
    <row r="199" spans="1:14" ht="15.75" hidden="1" customHeight="1">
      <c r="A199" s="8998"/>
      <c r="B199" s="8999" t="s">
        <v>10185</v>
      </c>
      <c r="C199" s="8937">
        <v>999908</v>
      </c>
      <c r="D199" s="8933">
        <v>1079609</v>
      </c>
      <c r="E199" s="8934"/>
      <c r="F199" s="8934"/>
      <c r="G199" s="9122">
        <v>0</v>
      </c>
      <c r="H199" s="9123">
        <v>0</v>
      </c>
      <c r="I199" s="9116" t="e">
        <f t="shared" si="10"/>
        <v>#DIV/0!</v>
      </c>
      <c r="J199" s="9123">
        <v>0</v>
      </c>
      <c r="N199" s="5885">
        <v>2000000</v>
      </c>
    </row>
    <row r="200" spans="1:14" ht="33.75" hidden="1" customHeight="1">
      <c r="A200" s="8998"/>
      <c r="B200" s="9108" t="s">
        <v>10186</v>
      </c>
      <c r="C200" s="8937"/>
      <c r="D200" s="8933"/>
      <c r="E200" s="8934"/>
      <c r="F200" s="8934"/>
      <c r="G200" s="9122"/>
      <c r="H200" s="9123"/>
      <c r="I200" s="9116"/>
      <c r="J200" s="9123"/>
    </row>
    <row r="201" spans="1:14" ht="15.75" hidden="1" customHeight="1">
      <c r="A201" s="8998"/>
      <c r="B201" s="8999" t="s">
        <v>10097</v>
      </c>
      <c r="C201" s="8937"/>
      <c r="D201" s="8933"/>
      <c r="E201" s="8934"/>
      <c r="F201" s="8934"/>
      <c r="G201" s="9122">
        <v>0</v>
      </c>
      <c r="H201" s="9123"/>
      <c r="I201" s="9116" t="e">
        <f t="shared" si="10"/>
        <v>#DIV/0!</v>
      </c>
      <c r="J201" s="9123">
        <v>0</v>
      </c>
      <c r="K201" s="5885" t="s">
        <v>10098</v>
      </c>
      <c r="N201" s="5885">
        <v>0</v>
      </c>
    </row>
    <row r="202" spans="1:14" ht="15.75" hidden="1" customHeight="1">
      <c r="A202" s="8998"/>
      <c r="B202" s="8999" t="s">
        <v>10091</v>
      </c>
      <c r="C202" s="8937"/>
      <c r="D202" s="8933"/>
      <c r="E202" s="8934"/>
      <c r="F202" s="8934"/>
      <c r="G202" s="9122">
        <v>0</v>
      </c>
      <c r="H202" s="9123"/>
      <c r="I202" s="9116" t="e">
        <f t="shared" si="10"/>
        <v>#DIV/0!</v>
      </c>
      <c r="J202" s="9123">
        <v>0</v>
      </c>
      <c r="N202" s="5885">
        <v>0</v>
      </c>
    </row>
    <row r="203" spans="1:14" ht="33" hidden="1" customHeight="1">
      <c r="A203" s="8998"/>
      <c r="B203" s="8999" t="s">
        <v>10187</v>
      </c>
      <c r="C203" s="8937">
        <v>999909</v>
      </c>
      <c r="D203" s="8933">
        <v>0</v>
      </c>
      <c r="E203" s="8934"/>
      <c r="F203" s="8934"/>
      <c r="G203" s="9122">
        <v>0</v>
      </c>
      <c r="H203" s="9123">
        <v>0</v>
      </c>
      <c r="I203" s="9116" t="e">
        <f t="shared" si="10"/>
        <v>#DIV/0!</v>
      </c>
      <c r="J203" s="9123">
        <v>0</v>
      </c>
      <c r="N203" s="5885">
        <v>1000000</v>
      </c>
    </row>
    <row r="204" spans="1:14" ht="34.5" hidden="1" customHeight="1">
      <c r="A204" s="8998"/>
      <c r="B204" s="9059" t="s">
        <v>10188</v>
      </c>
      <c r="C204" s="8937">
        <v>999910</v>
      </c>
      <c r="D204" s="8933">
        <v>480108.7</v>
      </c>
      <c r="E204" s="8934"/>
      <c r="F204" s="8934"/>
      <c r="G204" s="9122">
        <v>0</v>
      </c>
      <c r="H204" s="9123">
        <v>0</v>
      </c>
      <c r="I204" s="9116" t="e">
        <f t="shared" si="10"/>
        <v>#DIV/0!</v>
      </c>
      <c r="J204" s="9123">
        <v>0</v>
      </c>
      <c r="N204" s="5885">
        <v>2000000</v>
      </c>
    </row>
    <row r="205" spans="1:14" s="9132" customFormat="1" ht="16.5" customHeight="1">
      <c r="A205" s="9124"/>
      <c r="B205" s="9125" t="s">
        <v>11122</v>
      </c>
      <c r="C205" s="9126"/>
      <c r="D205" s="9025"/>
      <c r="E205" s="9127"/>
      <c r="F205" s="9127"/>
      <c r="G205" s="9128"/>
      <c r="H205" s="9129"/>
      <c r="I205" s="9130"/>
      <c r="J205" s="9128">
        <v>3000000</v>
      </c>
      <c r="K205" s="8950" t="s">
        <v>568</v>
      </c>
      <c r="L205" s="9131"/>
      <c r="M205" s="8950"/>
      <c r="N205" s="8950">
        <v>8000000</v>
      </c>
    </row>
    <row r="206" spans="1:14" s="9132" customFormat="1" ht="28.8">
      <c r="A206" s="9124"/>
      <c r="B206" s="9133" t="s">
        <v>11123</v>
      </c>
      <c r="C206" s="9134"/>
      <c r="D206" s="9052"/>
      <c r="E206" s="9135"/>
      <c r="F206" s="9135"/>
      <c r="G206" s="9128"/>
      <c r="H206" s="9129"/>
      <c r="I206" s="9130"/>
      <c r="J206" s="9128">
        <v>5000000</v>
      </c>
      <c r="K206" s="8950" t="s">
        <v>568</v>
      </c>
      <c r="L206" s="9131"/>
      <c r="M206" s="8950"/>
      <c r="N206" s="8950"/>
    </row>
    <row r="207" spans="1:14" s="9132" customFormat="1" ht="14.25" customHeight="1">
      <c r="A207" s="9124"/>
      <c r="B207" s="9133" t="s">
        <v>11124</v>
      </c>
      <c r="C207" s="9126"/>
      <c r="D207" s="9025"/>
      <c r="E207" s="9127"/>
      <c r="F207" s="9127"/>
      <c r="G207" s="9136"/>
      <c r="H207" s="9137"/>
      <c r="I207" s="9138"/>
      <c r="J207" s="9136">
        <v>5000000</v>
      </c>
      <c r="K207" s="8950" t="s">
        <v>568</v>
      </c>
      <c r="L207" s="9131"/>
      <c r="M207" s="8950"/>
      <c r="N207" s="8950">
        <v>2000000</v>
      </c>
    </row>
    <row r="208" spans="1:14" s="9132" customFormat="1">
      <c r="A208" s="9124"/>
      <c r="B208" s="9125" t="s">
        <v>11125</v>
      </c>
      <c r="C208" s="9126"/>
      <c r="D208" s="9025"/>
      <c r="E208" s="9127"/>
      <c r="F208" s="9127"/>
      <c r="G208" s="9136"/>
      <c r="H208" s="9137"/>
      <c r="I208" s="9138"/>
      <c r="J208" s="9136">
        <v>4000000</v>
      </c>
      <c r="K208" s="8950" t="s">
        <v>568</v>
      </c>
      <c r="L208" s="9131"/>
      <c r="M208" s="8950"/>
      <c r="N208" s="8950"/>
    </row>
    <row r="209" spans="1:14" s="9132" customFormat="1" ht="14.25" customHeight="1">
      <c r="A209" s="9124"/>
      <c r="B209" s="9139" t="s">
        <v>11126</v>
      </c>
      <c r="C209" s="9140"/>
      <c r="D209" s="9025"/>
      <c r="E209" s="9025"/>
      <c r="F209" s="9025"/>
      <c r="G209" s="9141"/>
      <c r="H209" s="9141"/>
      <c r="I209" s="9138"/>
      <c r="J209" s="9141">
        <v>4000000</v>
      </c>
      <c r="K209" s="8950" t="s">
        <v>568</v>
      </c>
      <c r="L209" s="9131"/>
      <c r="M209" s="8950"/>
      <c r="N209" s="8950">
        <v>1500000</v>
      </c>
    </row>
    <row r="210" spans="1:14" s="9132" customFormat="1" ht="31.5" customHeight="1">
      <c r="A210" s="9212"/>
      <c r="B210" s="9213" t="s">
        <v>10638</v>
      </c>
      <c r="C210" s="9214">
        <v>999911</v>
      </c>
      <c r="D210" s="8933">
        <v>968330</v>
      </c>
      <c r="E210" s="8934">
        <v>915252</v>
      </c>
      <c r="F210" s="8934">
        <f>G210-E210</f>
        <v>4084748</v>
      </c>
      <c r="G210" s="9000">
        <v>5000000</v>
      </c>
      <c r="H210" s="8989">
        <v>915252</v>
      </c>
      <c r="I210" s="8962">
        <f t="shared" si="10"/>
        <v>0.1830504</v>
      </c>
      <c r="J210" s="8911">
        <v>5000000</v>
      </c>
      <c r="K210" s="8950" t="s">
        <v>568</v>
      </c>
      <c r="L210" s="9131"/>
      <c r="M210" s="8950"/>
      <c r="N210" s="8950">
        <v>7500000</v>
      </c>
    </row>
    <row r="211" spans="1:14" ht="18.75" customHeight="1">
      <c r="A211" s="8998"/>
      <c r="B211" s="9215" t="s">
        <v>10640</v>
      </c>
      <c r="C211" s="8937">
        <v>899934</v>
      </c>
      <c r="D211" s="8933">
        <v>4805892</v>
      </c>
      <c r="E211" s="8934">
        <v>250000</v>
      </c>
      <c r="F211" s="8934">
        <f t="shared" ref="F211:F218" si="11">G211-E211</f>
        <v>4750000</v>
      </c>
      <c r="G211" s="9000">
        <v>5000000</v>
      </c>
      <c r="H211" s="8989">
        <v>269588</v>
      </c>
      <c r="I211" s="8962">
        <f t="shared" si="10"/>
        <v>5.3917600000000003E-2</v>
      </c>
      <c r="J211" s="8952">
        <v>5000000</v>
      </c>
      <c r="K211" s="8950" t="s">
        <v>568</v>
      </c>
      <c r="N211" s="5885">
        <v>2500000</v>
      </c>
    </row>
    <row r="212" spans="1:14" ht="18.75" customHeight="1">
      <c r="A212" s="8998"/>
      <c r="B212" s="9215" t="s">
        <v>10641</v>
      </c>
      <c r="C212" s="8937">
        <v>899935</v>
      </c>
      <c r="D212" s="8933">
        <v>8342718.25</v>
      </c>
      <c r="E212" s="8934">
        <v>6640150.3700000001</v>
      </c>
      <c r="F212" s="8934">
        <f t="shared" si="11"/>
        <v>8359849.6299999999</v>
      </c>
      <c r="G212" s="9000">
        <v>15000000</v>
      </c>
      <c r="H212" s="8989">
        <v>13925019.199999999</v>
      </c>
      <c r="I212" s="8962">
        <f t="shared" si="10"/>
        <v>0.92833461333333334</v>
      </c>
      <c r="J212" s="8952">
        <v>15000000</v>
      </c>
      <c r="K212" s="8950" t="s">
        <v>568</v>
      </c>
      <c r="N212" s="5885">
        <v>10000000</v>
      </c>
    </row>
    <row r="213" spans="1:14" ht="18.75" customHeight="1">
      <c r="A213" s="8998"/>
      <c r="B213" s="9215" t="s">
        <v>10642</v>
      </c>
      <c r="C213" s="8937">
        <v>899936</v>
      </c>
      <c r="D213" s="8933">
        <v>907200</v>
      </c>
      <c r="E213" s="8934">
        <v>124471.15</v>
      </c>
      <c r="F213" s="8934">
        <f t="shared" si="11"/>
        <v>2875528.85</v>
      </c>
      <c r="G213" s="9000">
        <v>3000000</v>
      </c>
      <c r="H213" s="8989">
        <v>279471.15000000002</v>
      </c>
      <c r="I213" s="8962">
        <f t="shared" si="10"/>
        <v>9.3157050000000005E-2</v>
      </c>
      <c r="J213" s="8952">
        <v>3000000</v>
      </c>
      <c r="K213" s="8950" t="s">
        <v>568</v>
      </c>
      <c r="N213" s="5885">
        <v>1500000</v>
      </c>
    </row>
    <row r="214" spans="1:14" ht="18.75" customHeight="1">
      <c r="A214" s="8998"/>
      <c r="B214" s="9215" t="s">
        <v>10643</v>
      </c>
      <c r="C214" s="8937">
        <v>899937</v>
      </c>
      <c r="D214" s="8933">
        <v>9864150.0199999996</v>
      </c>
      <c r="E214" s="8934">
        <v>2532937.5</v>
      </c>
      <c r="F214" s="8934">
        <f t="shared" si="11"/>
        <v>7467062.5</v>
      </c>
      <c r="G214" s="9000">
        <v>10000000</v>
      </c>
      <c r="H214" s="8989">
        <v>4871112.3899999997</v>
      </c>
      <c r="I214" s="8962">
        <f t="shared" si="10"/>
        <v>0.48711123899999997</v>
      </c>
      <c r="J214" s="8952">
        <v>10000000</v>
      </c>
      <c r="K214" s="8950" t="s">
        <v>568</v>
      </c>
      <c r="N214" s="5885">
        <v>5000000</v>
      </c>
    </row>
    <row r="215" spans="1:14" ht="18.75" hidden="1" customHeight="1">
      <c r="A215" s="8998"/>
      <c r="B215" s="8999" t="s">
        <v>10101</v>
      </c>
      <c r="C215" s="8937"/>
      <c r="D215" s="8933"/>
      <c r="E215" s="8934"/>
      <c r="F215" s="8934">
        <f t="shared" si="11"/>
        <v>0</v>
      </c>
      <c r="G215" s="9000">
        <v>0</v>
      </c>
      <c r="H215" s="8961"/>
      <c r="I215" s="8962" t="e">
        <f t="shared" si="10"/>
        <v>#DIV/0!</v>
      </c>
      <c r="J215" s="8961">
        <v>0</v>
      </c>
      <c r="N215" s="5885">
        <v>1000000</v>
      </c>
    </row>
    <row r="216" spans="1:14" ht="18" customHeight="1">
      <c r="A216" s="8998"/>
      <c r="B216" s="9241" t="s">
        <v>10118</v>
      </c>
      <c r="C216" s="9142">
        <v>89990501</v>
      </c>
      <c r="D216" s="9143">
        <v>1000000</v>
      </c>
      <c r="E216" s="9080"/>
      <c r="F216" s="8934">
        <f t="shared" si="11"/>
        <v>1500000</v>
      </c>
      <c r="G216" s="9144">
        <v>1500000</v>
      </c>
      <c r="H216" s="9211">
        <v>0</v>
      </c>
      <c r="I216" s="8962">
        <f t="shared" si="10"/>
        <v>0</v>
      </c>
      <c r="J216" s="9238">
        <v>1500000</v>
      </c>
      <c r="K216" s="9225" t="s">
        <v>11142</v>
      </c>
      <c r="N216" s="5885">
        <v>3000000</v>
      </c>
    </row>
    <row r="217" spans="1:14" ht="18" customHeight="1">
      <c r="A217" s="8987"/>
      <c r="B217" s="9242" t="s">
        <v>10617</v>
      </c>
      <c r="C217" s="9145">
        <v>799941</v>
      </c>
      <c r="D217" s="9146"/>
      <c r="E217" s="9080"/>
      <c r="F217" s="8934">
        <f t="shared" si="11"/>
        <v>3000000</v>
      </c>
      <c r="G217" s="9147">
        <v>3000000</v>
      </c>
      <c r="H217" s="9210">
        <v>0</v>
      </c>
      <c r="I217" s="9148">
        <f t="shared" si="10"/>
        <v>0</v>
      </c>
      <c r="J217" s="9239">
        <v>3000000</v>
      </c>
      <c r="K217" s="8950" t="s">
        <v>11127</v>
      </c>
    </row>
    <row r="218" spans="1:14" ht="18" customHeight="1">
      <c r="A218" s="8987"/>
      <c r="B218" s="9242" t="s">
        <v>10599</v>
      </c>
      <c r="C218" s="9145">
        <v>799942</v>
      </c>
      <c r="D218" s="9146"/>
      <c r="E218" s="9080">
        <v>844225.37</v>
      </c>
      <c r="F218" s="8934">
        <f t="shared" si="11"/>
        <v>4155774.63</v>
      </c>
      <c r="G218" s="9147">
        <v>5000000</v>
      </c>
      <c r="H218" s="9210">
        <v>3845478</v>
      </c>
      <c r="I218" s="9148">
        <f>H218/G218</f>
        <v>0.76909559999999999</v>
      </c>
      <c r="J218" s="9239">
        <v>5000000</v>
      </c>
      <c r="K218" s="9225" t="s">
        <v>11143</v>
      </c>
    </row>
    <row r="219" spans="1:14" ht="8.25" customHeight="1">
      <c r="A219" s="5911"/>
      <c r="B219" s="5903"/>
      <c r="C219" s="9070"/>
      <c r="D219" s="9079"/>
      <c r="E219" s="9080"/>
      <c r="F219" s="9080"/>
      <c r="G219" s="9149"/>
      <c r="H219" s="9150"/>
      <c r="I219" s="9151"/>
      <c r="J219" s="9240"/>
    </row>
    <row r="220" spans="1:14" s="5796" customFormat="1" ht="25.5" customHeight="1">
      <c r="A220" s="8959"/>
      <c r="B220" s="5870" t="s">
        <v>327</v>
      </c>
      <c r="C220" s="5870"/>
      <c r="D220" s="8586">
        <f>SUM(D187:D219,D146:D177)</f>
        <v>72717718.889999986</v>
      </c>
      <c r="E220" s="8685">
        <f>SUM(E187:E219,E146:E177)</f>
        <v>18090091.880000003</v>
      </c>
      <c r="F220" s="8685">
        <f>SUM(F187:F219,F146:F177)</f>
        <v>95074908.120000005</v>
      </c>
      <c r="G220" s="8685">
        <f>SUM(G187:G219,G146:G177)</f>
        <v>113165000</v>
      </c>
      <c r="H220" s="7041">
        <f>SUM(H148:H219)</f>
        <v>64053233.270000003</v>
      </c>
      <c r="I220" s="7047"/>
      <c r="J220" s="7041">
        <f>SUM(J187:J219,J146:J177)</f>
        <v>129435000</v>
      </c>
      <c r="K220" s="5788"/>
      <c r="L220" s="8960"/>
      <c r="M220" s="5788">
        <v>55982142</v>
      </c>
      <c r="N220" s="5788">
        <v>124382500</v>
      </c>
    </row>
    <row r="221" spans="1:14" ht="13.5" customHeight="1">
      <c r="A221" s="9152"/>
      <c r="B221" s="5882"/>
      <c r="C221" s="5894"/>
      <c r="D221" s="8587"/>
      <c r="E221" s="8686"/>
      <c r="F221" s="8686"/>
      <c r="G221" s="8687"/>
      <c r="H221" s="7042"/>
      <c r="I221" s="7048"/>
      <c r="J221" s="5888"/>
    </row>
    <row r="222" spans="1:14" ht="14.25" customHeight="1">
      <c r="A222" s="9152"/>
      <c r="B222" s="5903" t="s">
        <v>383</v>
      </c>
      <c r="C222" s="5894"/>
      <c r="D222" s="9086" t="s">
        <v>9</v>
      </c>
      <c r="E222" s="9080"/>
      <c r="F222" s="9080"/>
      <c r="G222" s="9087" t="s">
        <v>9</v>
      </c>
      <c r="H222" s="9153"/>
      <c r="I222" s="9154"/>
      <c r="J222" s="8914" t="s">
        <v>9</v>
      </c>
      <c r="M222" s="5885" t="s">
        <v>9</v>
      </c>
      <c r="N222" s="5885" t="s">
        <v>9</v>
      </c>
    </row>
    <row r="223" spans="1:14" ht="14.25" hidden="1" customHeight="1">
      <c r="A223" s="5911"/>
      <c r="B223" s="9030" t="s">
        <v>4709</v>
      </c>
      <c r="C223" s="9031">
        <v>215</v>
      </c>
      <c r="D223" s="9086">
        <v>0</v>
      </c>
      <c r="E223" s="9080"/>
      <c r="F223" s="9080"/>
      <c r="G223" s="9155">
        <v>0</v>
      </c>
      <c r="H223" s="7043"/>
      <c r="I223" s="7049"/>
      <c r="J223" s="9156">
        <v>0</v>
      </c>
      <c r="M223" s="5885">
        <v>0</v>
      </c>
      <c r="N223" s="5885">
        <v>0</v>
      </c>
    </row>
    <row r="224" spans="1:14" ht="14.25" hidden="1" customHeight="1">
      <c r="A224" s="5911"/>
      <c r="B224" s="9030" t="s">
        <v>4710</v>
      </c>
      <c r="C224" s="9157"/>
      <c r="D224" s="9086">
        <v>0</v>
      </c>
      <c r="E224" s="9080"/>
      <c r="F224" s="9080"/>
      <c r="G224" s="9158"/>
      <c r="H224" s="7043"/>
      <c r="I224" s="7049"/>
      <c r="J224" s="9159"/>
    </row>
    <row r="225" spans="1:14" ht="14.25" hidden="1" customHeight="1">
      <c r="A225" s="5911"/>
      <c r="B225" s="9030" t="s">
        <v>3386</v>
      </c>
      <c r="C225" s="9031">
        <v>215</v>
      </c>
      <c r="D225" s="9086">
        <v>0</v>
      </c>
      <c r="E225" s="9080"/>
      <c r="F225" s="9080"/>
      <c r="G225" s="9155">
        <v>0</v>
      </c>
      <c r="H225" s="7043"/>
      <c r="I225" s="7049"/>
      <c r="J225" s="9156">
        <v>0</v>
      </c>
      <c r="M225" s="5885">
        <v>0</v>
      </c>
      <c r="N225" s="5885">
        <v>0</v>
      </c>
    </row>
    <row r="226" spans="1:14" ht="14.25" hidden="1" customHeight="1">
      <c r="A226" s="5911"/>
      <c r="B226" s="9030" t="s">
        <v>3385</v>
      </c>
      <c r="C226" s="9031">
        <v>215</v>
      </c>
      <c r="D226" s="9086">
        <v>0</v>
      </c>
      <c r="E226" s="9080"/>
      <c r="F226" s="9080"/>
      <c r="G226" s="9155">
        <v>0</v>
      </c>
      <c r="H226" s="7043"/>
      <c r="I226" s="7049"/>
      <c r="J226" s="9156">
        <v>0</v>
      </c>
      <c r="M226" s="5885">
        <v>0</v>
      </c>
      <c r="N226" s="5885">
        <v>0</v>
      </c>
    </row>
    <row r="227" spans="1:14" ht="14.25" hidden="1" customHeight="1">
      <c r="A227" s="5911"/>
      <c r="B227" s="9030" t="s">
        <v>3308</v>
      </c>
      <c r="C227" s="9031">
        <v>899920</v>
      </c>
      <c r="D227" s="9086" t="s">
        <v>10055</v>
      </c>
      <c r="E227" s="9080"/>
      <c r="F227" s="9080"/>
      <c r="G227" s="9155">
        <v>0</v>
      </c>
      <c r="H227" s="7043"/>
      <c r="I227" s="7049"/>
      <c r="J227" s="9156">
        <v>0</v>
      </c>
      <c r="M227" s="5885">
        <v>0</v>
      </c>
      <c r="N227" s="5885">
        <v>0</v>
      </c>
    </row>
    <row r="228" spans="1:14" ht="14.25" hidden="1" customHeight="1">
      <c r="A228" s="5911"/>
      <c r="B228" s="9030" t="s">
        <v>3309</v>
      </c>
      <c r="C228" s="9031">
        <v>899921</v>
      </c>
      <c r="D228" s="9086" t="s">
        <v>10055</v>
      </c>
      <c r="E228" s="9080"/>
      <c r="F228" s="9080"/>
      <c r="G228" s="9155">
        <v>0</v>
      </c>
      <c r="H228" s="7043"/>
      <c r="I228" s="7049"/>
      <c r="J228" s="9156">
        <v>0</v>
      </c>
      <c r="M228" s="5885">
        <v>0</v>
      </c>
      <c r="N228" s="5885">
        <v>0</v>
      </c>
    </row>
    <row r="229" spans="1:14" ht="14.25" hidden="1" customHeight="1">
      <c r="A229" s="5911"/>
      <c r="B229" s="9030" t="s">
        <v>3384</v>
      </c>
      <c r="C229" s="9031">
        <v>899926</v>
      </c>
      <c r="D229" s="9086" t="s">
        <v>10055</v>
      </c>
      <c r="E229" s="9080"/>
      <c r="F229" s="9080"/>
      <c r="G229" s="9155">
        <v>0</v>
      </c>
      <c r="H229" s="7043"/>
      <c r="I229" s="7049"/>
      <c r="J229" s="9156">
        <v>0</v>
      </c>
      <c r="M229" s="5885">
        <v>0</v>
      </c>
      <c r="N229" s="5885">
        <v>0</v>
      </c>
    </row>
    <row r="230" spans="1:14" ht="14.25" customHeight="1">
      <c r="A230" s="5911"/>
      <c r="B230" s="9220" t="s">
        <v>3383</v>
      </c>
      <c r="C230" s="5894">
        <v>9999</v>
      </c>
      <c r="D230" s="9086">
        <v>237058</v>
      </c>
      <c r="E230" s="9080">
        <v>69845</v>
      </c>
      <c r="F230" s="9080">
        <f>G230-E230</f>
        <v>430155</v>
      </c>
      <c r="G230" s="9087">
        <v>500000</v>
      </c>
      <c r="H230" s="9082">
        <v>328745</v>
      </c>
      <c r="I230" s="8962">
        <f>H230/G230</f>
        <v>0.65749000000000002</v>
      </c>
      <c r="J230" s="9088">
        <v>500000</v>
      </c>
      <c r="M230" s="5885">
        <v>500000</v>
      </c>
      <c r="N230" s="5885">
        <v>500000</v>
      </c>
    </row>
    <row r="231" spans="1:14" ht="14.25" customHeight="1">
      <c r="A231" s="5911"/>
      <c r="B231" s="9221" t="s">
        <v>3382</v>
      </c>
      <c r="C231" s="9160"/>
      <c r="D231" s="9161"/>
      <c r="E231" s="9109"/>
      <c r="F231" s="9109"/>
      <c r="G231" s="9162"/>
      <c r="H231" s="8961"/>
      <c r="I231" s="8962"/>
      <c r="J231" s="9163"/>
    </row>
    <row r="232" spans="1:14" ht="33" customHeight="1">
      <c r="A232" s="5911"/>
      <c r="B232" s="9232" t="s">
        <v>10600</v>
      </c>
      <c r="C232" s="8937">
        <v>799900</v>
      </c>
      <c r="D232" s="9086">
        <v>1330925</v>
      </c>
      <c r="E232" s="9080">
        <v>131000</v>
      </c>
      <c r="F232" s="9080">
        <f>G232-E232</f>
        <v>4869000</v>
      </c>
      <c r="G232" s="9087">
        <v>5000000</v>
      </c>
      <c r="H232" s="8989">
        <v>4474036</v>
      </c>
      <c r="I232" s="8962">
        <f>H232/G232</f>
        <v>0.89480720000000002</v>
      </c>
      <c r="J232" s="8912">
        <v>5000000</v>
      </c>
      <c r="K232" s="8950" t="s">
        <v>568</v>
      </c>
      <c r="M232" s="5885">
        <v>2200000</v>
      </c>
      <c r="N232" s="5885">
        <v>2200000</v>
      </c>
    </row>
    <row r="233" spans="1:14" ht="16.5" customHeight="1">
      <c r="A233" s="8969"/>
      <c r="B233" s="9164"/>
      <c r="C233" s="8970"/>
      <c r="D233" s="9165"/>
      <c r="E233" s="8677"/>
      <c r="F233" s="8677"/>
      <c r="G233" s="9166"/>
      <c r="H233" s="8974"/>
      <c r="I233" s="8975"/>
      <c r="J233" s="9167"/>
    </row>
    <row r="234" spans="1:14" ht="16.5" customHeight="1">
      <c r="A234" s="5899"/>
      <c r="B234" s="9004"/>
      <c r="C234" s="5894"/>
      <c r="D234" s="8581"/>
      <c r="E234" s="8678"/>
      <c r="F234" s="8678"/>
      <c r="G234" s="8919"/>
      <c r="H234" s="8980"/>
      <c r="I234" s="8981"/>
      <c r="J234" s="8920"/>
    </row>
    <row r="235" spans="1:14" ht="16.5" customHeight="1">
      <c r="A235" s="5899"/>
      <c r="B235" s="9004"/>
      <c r="C235" s="5894"/>
      <c r="D235" s="8581"/>
      <c r="E235" s="8678"/>
      <c r="F235" s="8678"/>
      <c r="G235" s="8919"/>
      <c r="H235" s="8980"/>
      <c r="I235" s="8981"/>
      <c r="J235" s="8920"/>
    </row>
    <row r="236" spans="1:14" ht="16.5" customHeight="1">
      <c r="A236" s="5899"/>
      <c r="B236" s="9004"/>
      <c r="C236" s="5894"/>
      <c r="D236" s="8581"/>
      <c r="E236" s="8678"/>
      <c r="F236" s="8678"/>
      <c r="G236" s="8919"/>
      <c r="H236" s="8980"/>
      <c r="I236" s="8981"/>
      <c r="J236" s="8920"/>
    </row>
    <row r="237" spans="1:14" ht="16.5" customHeight="1">
      <c r="A237" s="5899"/>
      <c r="B237" s="9004"/>
      <c r="C237" s="5894"/>
      <c r="D237" s="8581"/>
      <c r="E237" s="8678"/>
      <c r="F237" s="8678"/>
      <c r="G237" s="8919"/>
      <c r="H237" s="8980"/>
      <c r="I237" s="8981"/>
      <c r="J237" s="8920"/>
    </row>
    <row r="238" spans="1:14" ht="16.5" customHeight="1">
      <c r="A238" s="5899"/>
      <c r="B238" s="9004"/>
      <c r="C238" s="5894"/>
      <c r="D238" s="8581"/>
      <c r="E238" s="8678"/>
      <c r="F238" s="8678"/>
      <c r="G238" s="8919"/>
      <c r="H238" s="8980"/>
      <c r="I238" s="8981"/>
      <c r="J238" s="8920"/>
    </row>
    <row r="239" spans="1:14" ht="16.5" customHeight="1">
      <c r="A239" s="5899"/>
      <c r="B239" s="9004"/>
      <c r="C239" s="5894"/>
      <c r="D239" s="8581"/>
      <c r="E239" s="8678"/>
      <c r="F239" s="8678"/>
      <c r="G239" s="8919"/>
      <c r="H239" s="8980"/>
      <c r="I239" s="8981"/>
      <c r="J239" s="8920"/>
    </row>
    <row r="240" spans="1:14" ht="16.5" customHeight="1">
      <c r="A240" s="5899"/>
      <c r="B240" s="9004"/>
      <c r="C240" s="5894"/>
      <c r="D240" s="8581"/>
      <c r="E240" s="8678"/>
      <c r="F240" s="8678"/>
      <c r="G240" s="8919"/>
      <c r="H240" s="8980"/>
      <c r="I240" s="8981"/>
      <c r="J240" s="8920"/>
    </row>
    <row r="241" spans="1:14" ht="16.5" customHeight="1">
      <c r="A241" s="5899"/>
      <c r="B241" s="9004"/>
      <c r="C241" s="5894"/>
      <c r="D241" s="8581"/>
      <c r="E241" s="8678"/>
      <c r="F241" s="8678"/>
      <c r="G241" s="8919"/>
      <c r="H241" s="8980"/>
      <c r="I241" s="8981"/>
      <c r="J241" s="8920"/>
    </row>
    <row r="242" spans="1:14" ht="16.5" customHeight="1">
      <c r="A242" s="5899"/>
      <c r="B242" s="9004"/>
      <c r="C242" s="5894"/>
      <c r="D242" s="8581"/>
      <c r="E242" s="8678"/>
      <c r="F242" s="8678"/>
      <c r="G242" s="8919"/>
      <c r="H242" s="8980"/>
      <c r="I242" s="8981"/>
      <c r="J242" s="8920"/>
    </row>
    <row r="243" spans="1:14" ht="16.5" customHeight="1">
      <c r="A243" s="5899"/>
      <c r="B243" s="9004"/>
      <c r="C243" s="5894"/>
      <c r="D243" s="8581"/>
      <c r="E243" s="8678"/>
      <c r="F243" s="8678"/>
      <c r="G243" s="8919"/>
      <c r="H243" s="8980"/>
      <c r="I243" s="8981"/>
      <c r="J243" s="8920"/>
    </row>
    <row r="244" spans="1:14" ht="15" customHeight="1" thickBot="1">
      <c r="A244" s="9168" t="s">
        <v>10914</v>
      </c>
      <c r="B244" s="9169"/>
      <c r="C244" s="5913"/>
      <c r="D244" s="8585"/>
      <c r="E244" s="8684"/>
      <c r="F244" s="8684"/>
      <c r="G244" s="9170"/>
      <c r="H244" s="9171"/>
      <c r="I244" s="9172"/>
      <c r="J244" s="9173"/>
    </row>
    <row r="245" spans="1:14" ht="14.25" customHeight="1">
      <c r="A245" s="8922"/>
      <c r="B245" s="8520"/>
      <c r="C245" s="8521" t="s">
        <v>103</v>
      </c>
      <c r="D245" s="8572" t="s">
        <v>10</v>
      </c>
      <c r="E245" s="14230" t="s">
        <v>10711</v>
      </c>
      <c r="F245" s="14231"/>
      <c r="G245" s="14232"/>
      <c r="H245" s="8524"/>
      <c r="I245" s="8530"/>
      <c r="J245" s="8524" t="s">
        <v>326</v>
      </c>
      <c r="M245" s="5885" t="s">
        <v>326</v>
      </c>
      <c r="N245" s="5885" t="s">
        <v>326</v>
      </c>
    </row>
    <row r="246" spans="1:14" ht="14.25" customHeight="1">
      <c r="A246" s="8923"/>
      <c r="B246" s="5894" t="s">
        <v>13</v>
      </c>
      <c r="C246" s="8516" t="s">
        <v>94</v>
      </c>
      <c r="D246" s="8573" t="s">
        <v>15</v>
      </c>
      <c r="E246" s="8909" t="s">
        <v>10709</v>
      </c>
      <c r="F246" s="8668" t="s">
        <v>10710</v>
      </c>
      <c r="G246" s="14236" t="s">
        <v>458</v>
      </c>
      <c r="H246" s="8518"/>
      <c r="I246" s="8519"/>
      <c r="J246" s="8518" t="s">
        <v>16</v>
      </c>
      <c r="M246" s="5885" t="s">
        <v>16</v>
      </c>
      <c r="N246" s="5885" t="s">
        <v>16</v>
      </c>
    </row>
    <row r="247" spans="1:14" ht="14.25" customHeight="1" thickBot="1">
      <c r="A247" s="8924"/>
      <c r="B247" s="5913"/>
      <c r="C247" s="8526"/>
      <c r="D247" s="8574">
        <v>2016</v>
      </c>
      <c r="E247" s="8908" t="s">
        <v>457</v>
      </c>
      <c r="F247" s="8669" t="s">
        <v>456</v>
      </c>
      <c r="G247" s="14237"/>
      <c r="H247" s="8540"/>
      <c r="I247" s="8541"/>
      <c r="J247" s="8529">
        <v>2018</v>
      </c>
      <c r="M247" s="8925">
        <v>2014</v>
      </c>
      <c r="N247" s="5885">
        <v>2015</v>
      </c>
    </row>
    <row r="248" spans="1:14" ht="14.25" customHeight="1">
      <c r="A248" s="8987"/>
      <c r="B248" s="9223" t="s">
        <v>385</v>
      </c>
      <c r="C248" s="8937">
        <v>8852</v>
      </c>
      <c r="D248" s="9086">
        <v>3896459.9</v>
      </c>
      <c r="E248" s="9080">
        <v>1100000</v>
      </c>
      <c r="F248" s="9080">
        <f>G248-E248</f>
        <v>3900000</v>
      </c>
      <c r="G248" s="9000">
        <v>5000000</v>
      </c>
      <c r="H248" s="8989">
        <v>4095921.22</v>
      </c>
      <c r="I248" s="8962">
        <f>H248/G248</f>
        <v>0.81918424400000001</v>
      </c>
      <c r="J248" s="8911">
        <v>5000000</v>
      </c>
      <c r="K248" s="8950" t="s">
        <v>11129</v>
      </c>
      <c r="M248" s="5885">
        <v>1000000</v>
      </c>
      <c r="N248" s="5885">
        <v>2500000</v>
      </c>
    </row>
    <row r="249" spans="1:14" ht="14.25" customHeight="1">
      <c r="A249" s="8998"/>
      <c r="B249" s="9223" t="s">
        <v>387</v>
      </c>
      <c r="C249" s="8937">
        <v>1991</v>
      </c>
      <c r="D249" s="8933">
        <v>400758.3</v>
      </c>
      <c r="E249" s="8934">
        <v>0</v>
      </c>
      <c r="F249" s="9080">
        <f t="shared" ref="F249:F270" si="12">G249-E249</f>
        <v>500000</v>
      </c>
      <c r="G249" s="8935">
        <v>500000</v>
      </c>
      <c r="H249" s="8989">
        <v>0</v>
      </c>
      <c r="I249" s="8962">
        <f>H249/G249</f>
        <v>0</v>
      </c>
      <c r="J249" s="8912">
        <v>500000</v>
      </c>
      <c r="K249" s="8950" t="s">
        <v>568</v>
      </c>
      <c r="M249" s="5885">
        <v>0</v>
      </c>
      <c r="N249" s="5885">
        <v>0</v>
      </c>
    </row>
    <row r="250" spans="1:14" ht="14.25" customHeight="1">
      <c r="A250" s="8998"/>
      <c r="B250" s="5899" t="s">
        <v>10095</v>
      </c>
      <c r="C250" s="8937">
        <v>69902</v>
      </c>
      <c r="D250" s="8933">
        <v>946675.27</v>
      </c>
      <c r="E250" s="8934">
        <v>450833.52</v>
      </c>
      <c r="F250" s="9080">
        <f t="shared" si="12"/>
        <v>1149166.48</v>
      </c>
      <c r="G250" s="14242">
        <v>1600000</v>
      </c>
      <c r="H250" s="8989">
        <v>1034737.33</v>
      </c>
      <c r="I250" s="8962">
        <f>H250/G250</f>
        <v>0.64671083124999995</v>
      </c>
      <c r="J250" s="14243" t="s">
        <v>9</v>
      </c>
      <c r="M250" s="5885">
        <v>423197</v>
      </c>
      <c r="N250" s="5885">
        <v>930000</v>
      </c>
    </row>
    <row r="251" spans="1:14" ht="14.25" hidden="1" customHeight="1">
      <c r="A251" s="9035"/>
      <c r="B251" s="9175" t="s">
        <v>9999</v>
      </c>
      <c r="C251" s="9176" t="s">
        <v>9977</v>
      </c>
      <c r="D251" s="8933">
        <v>0</v>
      </c>
      <c r="E251" s="8934"/>
      <c r="F251" s="9080">
        <f t="shared" si="12"/>
        <v>0</v>
      </c>
      <c r="G251" s="14242"/>
      <c r="H251" s="8961"/>
      <c r="I251" s="8962"/>
      <c r="J251" s="14243"/>
      <c r="M251" s="5885">
        <v>376803</v>
      </c>
    </row>
    <row r="252" spans="1:14" ht="14.25" customHeight="1">
      <c r="A252" s="8998"/>
      <c r="B252" s="5899" t="s">
        <v>11090</v>
      </c>
      <c r="C252" s="8937">
        <v>69903</v>
      </c>
      <c r="D252" s="8933">
        <v>747212.4</v>
      </c>
      <c r="E252" s="8934">
        <v>367484.09</v>
      </c>
      <c r="F252" s="9080">
        <f t="shared" si="12"/>
        <v>1132915.9099999999</v>
      </c>
      <c r="G252" s="8935">
        <v>1500400</v>
      </c>
      <c r="H252" s="8989">
        <v>834144.25</v>
      </c>
      <c r="I252" s="8962">
        <f>H252/G252</f>
        <v>0.55594791388962939</v>
      </c>
      <c r="J252" s="8913" t="s">
        <v>9</v>
      </c>
      <c r="K252" s="5885" t="s">
        <v>10105</v>
      </c>
      <c r="M252" s="5885">
        <v>1200000</v>
      </c>
      <c r="N252" s="5885">
        <v>1000000</v>
      </c>
    </row>
    <row r="253" spans="1:14" ht="17.25" customHeight="1">
      <c r="A253" s="8998"/>
      <c r="B253" s="9223" t="s">
        <v>4982</v>
      </c>
      <c r="C253" s="8937">
        <v>799926</v>
      </c>
      <c r="D253" s="8933">
        <v>1392097.01</v>
      </c>
      <c r="E253" s="8934"/>
      <c r="F253" s="9080">
        <f t="shared" si="12"/>
        <v>200000</v>
      </c>
      <c r="G253" s="8935">
        <v>200000</v>
      </c>
      <c r="H253" s="8989">
        <v>0</v>
      </c>
      <c r="I253" s="8962">
        <f>H253/G253</f>
        <v>0</v>
      </c>
      <c r="J253" s="8914" t="s">
        <v>9</v>
      </c>
      <c r="K253" s="9225" t="s">
        <v>568</v>
      </c>
      <c r="M253" s="5885">
        <v>200000</v>
      </c>
      <c r="N253" s="5885">
        <v>200000</v>
      </c>
    </row>
    <row r="254" spans="1:14" ht="14.25" hidden="1" customHeight="1">
      <c r="A254" s="8998"/>
      <c r="B254" s="5899" t="s">
        <v>4708</v>
      </c>
      <c r="C254" s="8937"/>
      <c r="D254" s="8933">
        <v>0</v>
      </c>
      <c r="E254" s="8934"/>
      <c r="F254" s="9080">
        <f t="shared" si="12"/>
        <v>0</v>
      </c>
      <c r="G254" s="8935">
        <v>0</v>
      </c>
      <c r="H254" s="8961"/>
      <c r="I254" s="8962" t="e">
        <f>H254/G254</f>
        <v>#DIV/0!</v>
      </c>
      <c r="J254" s="8914">
        <v>0</v>
      </c>
      <c r="M254" s="5885">
        <v>0</v>
      </c>
      <c r="N254" s="5885">
        <v>0</v>
      </c>
    </row>
    <row r="255" spans="1:14" ht="14.25" hidden="1" customHeight="1">
      <c r="A255" s="8998"/>
      <c r="B255" s="5899" t="s">
        <v>4711</v>
      </c>
      <c r="C255" s="8937"/>
      <c r="D255" s="8933">
        <v>0</v>
      </c>
      <c r="E255" s="8934"/>
      <c r="F255" s="9080">
        <f t="shared" si="12"/>
        <v>0</v>
      </c>
      <c r="G255" s="8935">
        <v>0</v>
      </c>
      <c r="H255" s="8961"/>
      <c r="I255" s="8962" t="e">
        <f>H255/G255</f>
        <v>#DIV/0!</v>
      </c>
      <c r="J255" s="8914">
        <v>0</v>
      </c>
      <c r="M255" s="5885">
        <v>0</v>
      </c>
      <c r="N255" s="5885">
        <v>0</v>
      </c>
    </row>
    <row r="256" spans="1:14" ht="14.25" hidden="1" customHeight="1">
      <c r="A256" s="8998"/>
      <c r="B256" s="5899" t="s">
        <v>4715</v>
      </c>
      <c r="C256" s="8937"/>
      <c r="D256" s="8933">
        <v>0</v>
      </c>
      <c r="E256" s="8934"/>
      <c r="F256" s="9080">
        <f t="shared" si="12"/>
        <v>0</v>
      </c>
      <c r="G256" s="8935">
        <v>0</v>
      </c>
      <c r="H256" s="8961"/>
      <c r="I256" s="8962" t="e">
        <f>H256/G256</f>
        <v>#DIV/0!</v>
      </c>
      <c r="J256" s="8914">
        <v>0</v>
      </c>
      <c r="M256" s="5885">
        <v>0</v>
      </c>
      <c r="N256" s="5885">
        <v>0</v>
      </c>
    </row>
    <row r="257" spans="1:14" ht="28.5" hidden="1" customHeight="1">
      <c r="A257" s="8995"/>
      <c r="B257" s="9175" t="s">
        <v>9160</v>
      </c>
      <c r="C257" s="9176">
        <v>899923</v>
      </c>
      <c r="D257" s="9177" t="s">
        <v>4706</v>
      </c>
      <c r="E257" s="9178"/>
      <c r="F257" s="9080">
        <f t="shared" si="12"/>
        <v>0</v>
      </c>
      <c r="G257" s="9179">
        <v>0</v>
      </c>
      <c r="H257" s="8961"/>
      <c r="I257" s="8962"/>
      <c r="J257" s="8915">
        <v>0</v>
      </c>
      <c r="M257" s="5885">
        <v>0</v>
      </c>
      <c r="N257" s="5885">
        <v>0</v>
      </c>
    </row>
    <row r="258" spans="1:14" ht="29.25" customHeight="1">
      <c r="A258" s="9047"/>
      <c r="B258" s="8917" t="s">
        <v>11130</v>
      </c>
      <c r="C258" s="8516"/>
      <c r="D258" s="9180"/>
      <c r="E258" s="9181"/>
      <c r="F258" s="9182"/>
      <c r="G258" s="9183"/>
      <c r="H258" s="9027"/>
      <c r="I258" s="9028"/>
      <c r="J258" s="8916">
        <v>40000000</v>
      </c>
      <c r="K258" s="5885" t="s">
        <v>11131</v>
      </c>
    </row>
    <row r="259" spans="1:14" ht="14.25" customHeight="1">
      <c r="A259" s="9047"/>
      <c r="B259" s="8917" t="s">
        <v>11132</v>
      </c>
      <c r="C259" s="8516"/>
      <c r="D259" s="9180"/>
      <c r="E259" s="9181"/>
      <c r="F259" s="9182"/>
      <c r="G259" s="9183"/>
      <c r="H259" s="9027"/>
      <c r="I259" s="9028"/>
      <c r="J259" s="8916">
        <v>80000000</v>
      </c>
      <c r="K259" s="5885" t="s">
        <v>11133</v>
      </c>
    </row>
    <row r="260" spans="1:14" ht="28.8">
      <c r="A260" s="9047"/>
      <c r="B260" s="8917" t="s">
        <v>11134</v>
      </c>
      <c r="C260" s="8516"/>
      <c r="D260" s="9180"/>
      <c r="E260" s="9181"/>
      <c r="F260" s="9182"/>
      <c r="G260" s="9183"/>
      <c r="H260" s="9027"/>
      <c r="I260" s="9028"/>
      <c r="J260" s="8916">
        <v>25000000</v>
      </c>
      <c r="K260" s="5885" t="s">
        <v>600</v>
      </c>
    </row>
    <row r="261" spans="1:14">
      <c r="A261" s="9047"/>
      <c r="B261" s="8917" t="s">
        <v>11135</v>
      </c>
      <c r="C261" s="8516"/>
      <c r="D261" s="9180"/>
      <c r="E261" s="9181"/>
      <c r="F261" s="9182"/>
      <c r="G261" s="9183"/>
      <c r="H261" s="9027"/>
      <c r="I261" s="9028"/>
      <c r="J261" s="8916">
        <v>5000000</v>
      </c>
    </row>
    <row r="262" spans="1:14" ht="43.2">
      <c r="A262" s="9047"/>
      <c r="B262" s="8917" t="s">
        <v>11136</v>
      </c>
      <c r="C262" s="8516"/>
      <c r="D262" s="9180"/>
      <c r="E262" s="9181"/>
      <c r="F262" s="9182"/>
      <c r="G262" s="9183"/>
      <c r="H262" s="9027"/>
      <c r="I262" s="9028"/>
      <c r="J262" s="8916">
        <v>22500000</v>
      </c>
      <c r="K262" s="5885" t="s">
        <v>600</v>
      </c>
      <c r="L262" s="5886" t="s">
        <v>11137</v>
      </c>
    </row>
    <row r="263" spans="1:14">
      <c r="A263" s="9047"/>
      <c r="B263" s="8917" t="s">
        <v>11138</v>
      </c>
      <c r="C263" s="8516"/>
      <c r="D263" s="9180"/>
      <c r="E263" s="9181"/>
      <c r="F263" s="9182"/>
      <c r="G263" s="9183"/>
      <c r="H263" s="9027"/>
      <c r="I263" s="9028"/>
      <c r="J263" s="8916">
        <v>100000000</v>
      </c>
      <c r="K263" s="5885" t="s">
        <v>600</v>
      </c>
      <c r="L263" s="5886" t="s">
        <v>11137</v>
      </c>
    </row>
    <row r="264" spans="1:14" ht="30" hidden="1" customHeight="1">
      <c r="A264" s="8998"/>
      <c r="B264" s="5899" t="s">
        <v>388</v>
      </c>
      <c r="C264" s="8937">
        <v>99910</v>
      </c>
      <c r="D264" s="9184" t="s">
        <v>10059</v>
      </c>
      <c r="E264" s="9181"/>
      <c r="F264" s="9080">
        <f t="shared" si="12"/>
        <v>0</v>
      </c>
      <c r="G264" s="9185">
        <v>0</v>
      </c>
      <c r="H264" s="8961"/>
      <c r="I264" s="8962"/>
      <c r="J264" s="9186">
        <v>0</v>
      </c>
      <c r="M264" s="5885">
        <v>0</v>
      </c>
      <c r="N264" s="5885">
        <v>0</v>
      </c>
    </row>
    <row r="265" spans="1:14" ht="41.25" hidden="1" customHeight="1">
      <c r="A265" s="8998"/>
      <c r="B265" s="9004" t="s">
        <v>5029</v>
      </c>
      <c r="C265" s="8937">
        <v>1998</v>
      </c>
      <c r="D265" s="9184" t="s">
        <v>10060</v>
      </c>
      <c r="E265" s="9181"/>
      <c r="F265" s="9080">
        <f t="shared" si="12"/>
        <v>0</v>
      </c>
      <c r="G265" s="9185">
        <v>0</v>
      </c>
      <c r="H265" s="8961"/>
      <c r="I265" s="8962"/>
      <c r="J265" s="9186">
        <v>0</v>
      </c>
      <c r="M265" s="5885">
        <v>0</v>
      </c>
      <c r="N265" s="5885">
        <v>0</v>
      </c>
    </row>
    <row r="266" spans="1:14" ht="30" hidden="1" customHeight="1">
      <c r="A266" s="8998"/>
      <c r="B266" s="9004" t="s">
        <v>3387</v>
      </c>
      <c r="C266" s="8937">
        <v>999903</v>
      </c>
      <c r="D266" s="9184" t="s">
        <v>10061</v>
      </c>
      <c r="E266" s="9181"/>
      <c r="F266" s="9080">
        <f t="shared" si="12"/>
        <v>0</v>
      </c>
      <c r="G266" s="9185">
        <v>0</v>
      </c>
      <c r="H266" s="8961"/>
      <c r="I266" s="8962"/>
      <c r="J266" s="9186">
        <v>0</v>
      </c>
      <c r="M266" s="5885">
        <v>0</v>
      </c>
      <c r="N266" s="5885">
        <v>0</v>
      </c>
    </row>
    <row r="267" spans="1:14" ht="29.25" hidden="1" customHeight="1">
      <c r="A267" s="8987"/>
      <c r="B267" s="9004" t="s">
        <v>10605</v>
      </c>
      <c r="C267" s="8937"/>
      <c r="D267" s="9184"/>
      <c r="E267" s="9181"/>
      <c r="F267" s="9080">
        <f t="shared" si="12"/>
        <v>0</v>
      </c>
      <c r="G267" s="9185">
        <v>0</v>
      </c>
      <c r="H267" s="8961"/>
      <c r="I267" s="8962"/>
      <c r="J267" s="9186">
        <v>0</v>
      </c>
      <c r="K267" s="5885" t="s">
        <v>10606</v>
      </c>
    </row>
    <row r="268" spans="1:14" ht="14.25" hidden="1" customHeight="1">
      <c r="A268" s="8987"/>
      <c r="B268" s="9232" t="s">
        <v>10607</v>
      </c>
      <c r="C268" s="8937">
        <v>19922</v>
      </c>
      <c r="D268" s="9184"/>
      <c r="E268" s="9181"/>
      <c r="F268" s="9080">
        <f t="shared" si="12"/>
        <v>5000000</v>
      </c>
      <c r="G268" s="9185">
        <v>5000000</v>
      </c>
      <c r="H268" s="8989">
        <v>0</v>
      </c>
      <c r="I268" s="8962"/>
      <c r="J268" s="9186"/>
      <c r="K268" s="9225" t="s">
        <v>568</v>
      </c>
    </row>
    <row r="269" spans="1:14" ht="19.5" hidden="1" customHeight="1">
      <c r="A269" s="8987"/>
      <c r="B269" s="9232" t="s">
        <v>10608</v>
      </c>
      <c r="C269" s="8937">
        <v>19923</v>
      </c>
      <c r="D269" s="9184"/>
      <c r="E269" s="9181"/>
      <c r="F269" s="9080">
        <f t="shared" si="12"/>
        <v>12000000</v>
      </c>
      <c r="G269" s="9185">
        <v>12000000</v>
      </c>
      <c r="H269" s="8989">
        <v>0</v>
      </c>
      <c r="I269" s="8962"/>
      <c r="J269" s="9186"/>
      <c r="K269" s="9225" t="s">
        <v>11140</v>
      </c>
    </row>
    <row r="270" spans="1:14" ht="30.75" hidden="1" customHeight="1">
      <c r="A270" s="8987"/>
      <c r="B270" s="9232" t="s">
        <v>10644</v>
      </c>
      <c r="C270" s="8937">
        <v>899938</v>
      </c>
      <c r="D270" s="9184"/>
      <c r="E270" s="9181"/>
      <c r="F270" s="9080">
        <f t="shared" si="12"/>
        <v>3000000</v>
      </c>
      <c r="G270" s="9185">
        <v>3000000</v>
      </c>
      <c r="H270" s="8989">
        <v>0</v>
      </c>
      <c r="I270" s="8962"/>
      <c r="J270" s="9186"/>
      <c r="K270" s="9225" t="s">
        <v>568</v>
      </c>
    </row>
    <row r="271" spans="1:14" ht="14.25" hidden="1" customHeight="1">
      <c r="A271" s="8998"/>
      <c r="B271" s="9013"/>
      <c r="C271" s="8988"/>
      <c r="D271" s="8963"/>
      <c r="E271" s="8964"/>
      <c r="F271" s="8964"/>
      <c r="G271" s="8990"/>
      <c r="H271" s="8991"/>
      <c r="I271" s="8962"/>
      <c r="J271" s="8991"/>
    </row>
    <row r="272" spans="1:14" ht="7.5" hidden="1" customHeight="1">
      <c r="A272" s="8998"/>
      <c r="B272" s="5899"/>
      <c r="C272" s="8937"/>
      <c r="D272" s="8933"/>
      <c r="E272" s="8934"/>
      <c r="F272" s="8934"/>
      <c r="G272" s="8935"/>
      <c r="H272" s="8914"/>
      <c r="I272" s="8936"/>
      <c r="J272" s="8914"/>
    </row>
    <row r="273" spans="1:15" s="5796" customFormat="1" ht="21.75" hidden="1" customHeight="1">
      <c r="A273" s="9187"/>
      <c r="B273" s="5865" t="s">
        <v>327</v>
      </c>
      <c r="C273" s="5814"/>
      <c r="D273" s="8588">
        <f>SUM(D248:D272,D222:D232)</f>
        <v>8951185.8800000008</v>
      </c>
      <c r="E273" s="8672">
        <f>SUM(E248:E272,E222:E232)</f>
        <v>2119162.6100000003</v>
      </c>
      <c r="F273" s="8672">
        <f>SUM(F248:F272,F222:F232)</f>
        <v>32181237.390000001</v>
      </c>
      <c r="G273" s="8672">
        <f>SUM(G248:G272,G222:G232)</f>
        <v>34300400</v>
      </c>
      <c r="H273" s="5871"/>
      <c r="I273" s="7005"/>
      <c r="J273" s="5871">
        <f>SUM(J248:J272,J222:J232)</f>
        <v>283500000</v>
      </c>
      <c r="K273" s="5788"/>
      <c r="L273" s="8960"/>
      <c r="M273" s="5788">
        <v>10555000</v>
      </c>
      <c r="N273" s="5788">
        <v>7330000</v>
      </c>
    </row>
    <row r="274" spans="1:15" ht="14.25" hidden="1" customHeight="1">
      <c r="A274" s="8998"/>
      <c r="B274" s="5896" t="s">
        <v>3269</v>
      </c>
      <c r="C274" s="8937"/>
      <c r="D274" s="8933"/>
      <c r="E274" s="8934"/>
      <c r="F274" s="8934"/>
      <c r="G274" s="8935"/>
      <c r="H274" s="8914"/>
      <c r="I274" s="8936"/>
      <c r="J274" s="8914"/>
    </row>
    <row r="275" spans="1:15" ht="14.25" hidden="1" customHeight="1">
      <c r="A275" s="8998"/>
      <c r="B275" s="9223" t="s">
        <v>11141</v>
      </c>
      <c r="C275" s="8937">
        <v>199901</v>
      </c>
      <c r="D275" s="8933">
        <v>10954367.6</v>
      </c>
      <c r="E275" s="8934">
        <v>4431506.1399999997</v>
      </c>
      <c r="F275" s="8934">
        <f>G275-E275</f>
        <v>3406021.8600000003</v>
      </c>
      <c r="G275" s="8935">
        <v>7837528</v>
      </c>
      <c r="H275" s="8989">
        <v>6735307.1299999999</v>
      </c>
      <c r="I275" s="8962">
        <f>H275/G275</f>
        <v>0.85936626063728261</v>
      </c>
      <c r="J275" s="9200"/>
      <c r="K275" s="9231" t="s">
        <v>4823</v>
      </c>
      <c r="L275" s="5885">
        <v>6682614.3600000003</v>
      </c>
      <c r="M275" s="5885">
        <v>3074181.5</v>
      </c>
      <c r="N275" s="5885">
        <v>6343717.6000000006</v>
      </c>
      <c r="O275" s="5887">
        <v>-2105292</v>
      </c>
    </row>
    <row r="276" spans="1:15" ht="14.25" hidden="1" customHeight="1">
      <c r="A276" s="8998"/>
      <c r="B276" s="9223" t="s">
        <v>695</v>
      </c>
      <c r="C276" s="8937">
        <v>199902</v>
      </c>
      <c r="D276" s="8933">
        <v>8746800.0399999991</v>
      </c>
      <c r="E276" s="8934">
        <v>5955707.0099999998</v>
      </c>
      <c r="F276" s="8934">
        <f>G276-E276</f>
        <v>-1302961.0099999998</v>
      </c>
      <c r="G276" s="8935">
        <v>4652746</v>
      </c>
      <c r="H276" s="8989">
        <v>8093187.9900000002</v>
      </c>
      <c r="I276" s="8962">
        <f>H276/G276</f>
        <v>1.7394433287353319</v>
      </c>
      <c r="J276" s="9200"/>
      <c r="K276" s="9225" t="s">
        <v>4823</v>
      </c>
      <c r="L276" s="5885">
        <v>3617500</v>
      </c>
      <c r="M276" s="5885">
        <v>2512986</v>
      </c>
      <c r="N276" s="5885">
        <v>3617500</v>
      </c>
    </row>
    <row r="277" spans="1:15" ht="14.25" hidden="1" customHeight="1">
      <c r="A277" s="8998"/>
      <c r="B277" s="5899" t="s">
        <v>10232</v>
      </c>
      <c r="C277" s="8937"/>
      <c r="D277" s="8933"/>
      <c r="E277" s="8934"/>
      <c r="F277" s="8934"/>
      <c r="G277" s="9188"/>
      <c r="H277" s="8961"/>
      <c r="I277" s="8962"/>
      <c r="J277" s="9189"/>
    </row>
    <row r="278" spans="1:15" ht="14.25" hidden="1" customHeight="1">
      <c r="A278" s="8998"/>
      <c r="B278" s="5899" t="s">
        <v>10268</v>
      </c>
      <c r="C278" s="8937"/>
      <c r="D278" s="8933"/>
      <c r="E278" s="8934"/>
      <c r="F278" s="8934"/>
      <c r="G278" s="8935"/>
      <c r="H278" s="8961"/>
      <c r="I278" s="8962"/>
      <c r="J278" s="9190"/>
    </row>
    <row r="279" spans="1:15" ht="14.25" customHeight="1">
      <c r="A279" s="8998"/>
      <c r="B279" s="5899"/>
      <c r="C279" s="8937"/>
      <c r="D279" s="8933"/>
      <c r="E279" s="8934"/>
      <c r="F279" s="8934"/>
      <c r="G279" s="8935"/>
      <c r="H279" s="8914"/>
      <c r="I279" s="8936"/>
      <c r="J279" s="9191"/>
    </row>
    <row r="280" spans="1:15" s="5796" customFormat="1" ht="21" customHeight="1">
      <c r="A280" s="9187"/>
      <c r="B280" s="5865" t="s">
        <v>327</v>
      </c>
      <c r="C280" s="5814"/>
      <c r="D280" s="8576">
        <f>SUM(D275:D276)</f>
        <v>19701167.640000001</v>
      </c>
      <c r="E280" s="8688">
        <f>SUM(E275:E276)</f>
        <v>10387213.149999999</v>
      </c>
      <c r="F280" s="8688">
        <f>SUM(F275:F276)</f>
        <v>2103060.8500000006</v>
      </c>
      <c r="G280" s="8672">
        <f>SUM(G275:G276)</f>
        <v>12490274</v>
      </c>
      <c r="H280" s="5871"/>
      <c r="I280" s="7005"/>
      <c r="J280" s="5871">
        <f>SUM(J275:J276)</f>
        <v>0</v>
      </c>
      <c r="K280" s="5788"/>
      <c r="L280" s="9192">
        <f>SUM(L275:L279)</f>
        <v>10300114.359999999</v>
      </c>
      <c r="M280" s="5788">
        <v>5587167.5</v>
      </c>
      <c r="N280" s="5788">
        <v>9961217.6000000015</v>
      </c>
    </row>
    <row r="281" spans="1:15" ht="19.5" customHeight="1" thickBot="1">
      <c r="A281" s="9193"/>
      <c r="B281" s="5913"/>
      <c r="C281" s="9194"/>
      <c r="D281" s="8589"/>
      <c r="E281" s="8689"/>
      <c r="F281" s="8689"/>
      <c r="G281" s="8690"/>
      <c r="H281" s="5889"/>
      <c r="I281" s="7050"/>
      <c r="J281" s="5889"/>
    </row>
    <row r="282" spans="1:15" s="5796" customFormat="1" ht="25.5" customHeight="1" thickBot="1">
      <c r="A282" s="9195"/>
      <c r="B282" s="5914" t="s">
        <v>389</v>
      </c>
      <c r="C282" s="5915" t="s">
        <v>9</v>
      </c>
      <c r="D282" s="8590">
        <f>D220+D137+D65+D21+D11+D273+D280</f>
        <v>406352305.09999996</v>
      </c>
      <c r="E282" s="8691">
        <f>E220+E137+E65+E21+E11+E273+E280</f>
        <v>120481779.62</v>
      </c>
      <c r="F282" s="8691">
        <f>F220+F137+F65+F21+F11+F273+F280</f>
        <v>861424625.38000011</v>
      </c>
      <c r="G282" s="8691">
        <f>G220+G137+G65+G21+G11+G273+G280</f>
        <v>981906405</v>
      </c>
      <c r="H282" s="5890"/>
      <c r="I282" s="7051"/>
      <c r="J282" s="5890">
        <f>J220+J137+J65+J21+J11+J273+J280</f>
        <v>1000461950.3000001</v>
      </c>
      <c r="K282" s="5788"/>
      <c r="L282" s="8960"/>
      <c r="M282" s="5788">
        <v>488892978</v>
      </c>
      <c r="N282" s="5788">
        <v>602787296</v>
      </c>
    </row>
    <row r="283" spans="1:15" ht="13.5" customHeight="1">
      <c r="K283" s="9200">
        <f>6682614.36+1831313.23-176399.6</f>
        <v>8337527.9900000002</v>
      </c>
      <c r="L283" s="5885">
        <v>17324</v>
      </c>
    </row>
    <row r="284" spans="1:15" s="5892" customFormat="1" ht="13.5" hidden="1" customHeight="1">
      <c r="A284" s="9201" t="s">
        <v>10121</v>
      </c>
      <c r="C284" s="9201"/>
      <c r="D284" s="9202"/>
      <c r="E284" s="9203"/>
      <c r="F284" s="9203"/>
      <c r="G284" s="9204"/>
      <c r="H284" s="9205"/>
      <c r="I284" s="7044"/>
      <c r="J284" s="9205"/>
      <c r="K284" s="9200">
        <f>3617500+1500000+1017923.32</f>
        <v>6135423.3200000003</v>
      </c>
      <c r="L284" s="5886"/>
      <c r="M284" s="5885"/>
      <c r="N284" s="5885"/>
    </row>
    <row r="285" spans="1:15" s="5892" customFormat="1" ht="13.5" hidden="1" customHeight="1">
      <c r="B285" s="9201"/>
      <c r="C285" s="9201"/>
      <c r="D285" s="9202"/>
      <c r="E285" s="9203"/>
      <c r="F285" s="9203"/>
      <c r="G285" s="9204"/>
      <c r="H285" s="9205"/>
      <c r="I285" s="7044"/>
      <c r="J285" s="9205"/>
      <c r="K285" s="5885"/>
      <c r="L285" s="5886"/>
      <c r="M285" s="5885"/>
      <c r="N285" s="5885"/>
    </row>
    <row r="286" spans="1:15" s="5793" customFormat="1" ht="13.5" hidden="1" customHeight="1">
      <c r="A286" s="5916"/>
      <c r="B286" s="8910"/>
      <c r="C286" s="14238"/>
      <c r="D286" s="14238"/>
      <c r="E286" s="8692"/>
      <c r="F286" s="8692"/>
      <c r="G286" s="14239"/>
      <c r="H286" s="14239"/>
      <c r="I286" s="14239"/>
      <c r="J286" s="14239"/>
      <c r="K286" s="5792">
        <v>1017923.3199996948</v>
      </c>
      <c r="L286" s="5891"/>
      <c r="M286" s="5792"/>
      <c r="N286" s="5792"/>
    </row>
    <row r="287" spans="1:15" s="5892" customFormat="1" ht="13.5" hidden="1" customHeight="1">
      <c r="A287" s="5917" t="s">
        <v>10120</v>
      </c>
      <c r="C287" s="7193" t="s">
        <v>10108</v>
      </c>
      <c r="D287" s="8591"/>
      <c r="E287" s="8693"/>
      <c r="F287" s="8693"/>
      <c r="G287" s="14240" t="s">
        <v>5182</v>
      </c>
      <c r="H287" s="14240"/>
      <c r="I287" s="14240"/>
      <c r="J287" s="14240"/>
      <c r="K287" s="5885"/>
      <c r="L287" s="5886"/>
      <c r="M287" s="5885"/>
      <c r="N287" s="5885"/>
    </row>
    <row r="288" spans="1:15" ht="13.5" hidden="1" customHeight="1">
      <c r="A288" s="9206" t="s">
        <v>10119</v>
      </c>
      <c r="C288" s="9207" t="s">
        <v>3486</v>
      </c>
      <c r="D288" s="9208"/>
      <c r="E288" s="9209"/>
      <c r="F288" s="9209"/>
      <c r="G288" s="14241" t="s">
        <v>737</v>
      </c>
      <c r="H288" s="14241"/>
      <c r="I288" s="14241"/>
      <c r="J288" s="14241"/>
    </row>
    <row r="289" spans="10:10" ht="13.5" customHeight="1"/>
    <row r="290" spans="10:10" ht="17.25" customHeight="1">
      <c r="J290" s="5887"/>
    </row>
  </sheetData>
  <mergeCells count="21">
    <mergeCell ref="G287:J287"/>
    <mergeCell ref="G288:J288"/>
    <mergeCell ref="G185:G186"/>
    <mergeCell ref="E245:G245"/>
    <mergeCell ref="G246:G247"/>
    <mergeCell ref="G250:G251"/>
    <mergeCell ref="J250:J251"/>
    <mergeCell ref="C286:D286"/>
    <mergeCell ref="G286:J286"/>
    <mergeCell ref="G46:G47"/>
    <mergeCell ref="E91:G91"/>
    <mergeCell ref="G92:G93"/>
    <mergeCell ref="E143:G143"/>
    <mergeCell ref="G144:G145"/>
    <mergeCell ref="E184:G184"/>
    <mergeCell ref="E45:G45"/>
    <mergeCell ref="A1:J1"/>
    <mergeCell ref="G3:G4"/>
    <mergeCell ref="J3:J4"/>
    <mergeCell ref="E6:G6"/>
    <mergeCell ref="G7:G8"/>
  </mergeCell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20">
    <tabColor theme="8" tint="-0.249977111117893"/>
  </sheetPr>
  <dimension ref="A1:N129"/>
  <sheetViews>
    <sheetView showGridLines="0" topLeftCell="B1" workbookViewId="0">
      <selection activeCell="K2" sqref="K1:R1048576"/>
    </sheetView>
  </sheetViews>
  <sheetFormatPr defaultRowHeight="15" customHeight="1"/>
  <cols>
    <col min="1" max="1" width="3.88671875" style="7837" customWidth="1"/>
    <col min="2" max="2" width="55.5546875" style="7837" customWidth="1"/>
    <col min="3" max="3" width="16.6640625" style="7310" hidden="1" customWidth="1"/>
    <col min="4" max="4" width="12.5546875" style="8753" customWidth="1"/>
    <col min="5" max="7" width="15.5546875" style="7836" customWidth="1"/>
    <col min="8" max="8" width="15.5546875" style="7339" customWidth="1"/>
    <col min="9" max="9" width="12.5546875" style="7836" hidden="1" customWidth="1"/>
    <col min="10" max="10" width="8.33203125" style="7348" hidden="1" customWidth="1"/>
    <col min="11" max="11" width="15.5546875" style="7339" customWidth="1"/>
    <col min="12" max="12" width="16.44140625" style="10569" customWidth="1"/>
    <col min="13" max="13" width="16.33203125" style="7310" customWidth="1"/>
    <col min="14" max="14" width="8.88671875" style="7838" customWidth="1"/>
    <col min="15" max="17" width="8.88671875" style="7837" customWidth="1"/>
    <col min="18" max="203" width="9.109375" style="7837"/>
    <col min="204" max="204" width="3.88671875" style="7837" customWidth="1"/>
    <col min="205" max="205" width="43.88671875" style="7837" customWidth="1"/>
    <col min="206" max="206" width="9" style="7837" customWidth="1"/>
    <col min="207" max="208" width="16.44140625" style="7837" customWidth="1"/>
    <col min="209" max="209" width="15.44140625" style="7837" customWidth="1"/>
    <col min="210" max="459" width="9.109375" style="7837"/>
    <col min="460" max="460" width="3.88671875" style="7837" customWidth="1"/>
    <col min="461" max="461" width="43.88671875" style="7837" customWidth="1"/>
    <col min="462" max="462" width="9" style="7837" customWidth="1"/>
    <col min="463" max="464" width="16.44140625" style="7837" customWidth="1"/>
    <col min="465" max="465" width="15.44140625" style="7837" customWidth="1"/>
    <col min="466" max="715" width="9.109375" style="7837"/>
    <col min="716" max="716" width="3.88671875" style="7837" customWidth="1"/>
    <col min="717" max="717" width="43.88671875" style="7837" customWidth="1"/>
    <col min="718" max="718" width="9" style="7837" customWidth="1"/>
    <col min="719" max="720" width="16.44140625" style="7837" customWidth="1"/>
    <col min="721" max="721" width="15.44140625" style="7837" customWidth="1"/>
    <col min="722" max="971" width="9.109375" style="7837"/>
    <col min="972" max="972" width="3.88671875" style="7837" customWidth="1"/>
    <col min="973" max="973" width="43.88671875" style="7837" customWidth="1"/>
    <col min="974" max="974" width="9" style="7837" customWidth="1"/>
    <col min="975" max="976" width="16.44140625" style="7837" customWidth="1"/>
    <col min="977" max="977" width="15.44140625" style="7837" customWidth="1"/>
    <col min="978" max="1227" width="9.109375" style="7837"/>
    <col min="1228" max="1228" width="3.88671875" style="7837" customWidth="1"/>
    <col min="1229" max="1229" width="43.88671875" style="7837" customWidth="1"/>
    <col min="1230" max="1230" width="9" style="7837" customWidth="1"/>
    <col min="1231" max="1232" width="16.44140625" style="7837" customWidth="1"/>
    <col min="1233" max="1233" width="15.44140625" style="7837" customWidth="1"/>
    <col min="1234" max="1483" width="9.109375" style="7837"/>
    <col min="1484" max="1484" width="3.88671875" style="7837" customWidth="1"/>
    <col min="1485" max="1485" width="43.88671875" style="7837" customWidth="1"/>
    <col min="1486" max="1486" width="9" style="7837" customWidth="1"/>
    <col min="1487" max="1488" width="16.44140625" style="7837" customWidth="1"/>
    <col min="1489" max="1489" width="15.44140625" style="7837" customWidth="1"/>
    <col min="1490" max="1739" width="9.109375" style="7837"/>
    <col min="1740" max="1740" width="3.88671875" style="7837" customWidth="1"/>
    <col min="1741" max="1741" width="43.88671875" style="7837" customWidth="1"/>
    <col min="1742" max="1742" width="9" style="7837" customWidth="1"/>
    <col min="1743" max="1744" width="16.44140625" style="7837" customWidth="1"/>
    <col min="1745" max="1745" width="15.44140625" style="7837" customWidth="1"/>
    <col min="1746" max="1995" width="9.109375" style="7837"/>
    <col min="1996" max="1996" width="3.88671875" style="7837" customWidth="1"/>
    <col min="1997" max="1997" width="43.88671875" style="7837" customWidth="1"/>
    <col min="1998" max="1998" width="9" style="7837" customWidth="1"/>
    <col min="1999" max="2000" width="16.44140625" style="7837" customWidth="1"/>
    <col min="2001" max="2001" width="15.44140625" style="7837" customWidth="1"/>
    <col min="2002" max="2251" width="9.109375" style="7837"/>
    <col min="2252" max="2252" width="3.88671875" style="7837" customWidth="1"/>
    <col min="2253" max="2253" width="43.88671875" style="7837" customWidth="1"/>
    <col min="2254" max="2254" width="9" style="7837" customWidth="1"/>
    <col min="2255" max="2256" width="16.44140625" style="7837" customWidth="1"/>
    <col min="2257" max="2257" width="15.44140625" style="7837" customWidth="1"/>
    <col min="2258" max="2507" width="9.109375" style="7837"/>
    <col min="2508" max="2508" width="3.88671875" style="7837" customWidth="1"/>
    <col min="2509" max="2509" width="43.88671875" style="7837" customWidth="1"/>
    <col min="2510" max="2510" width="9" style="7837" customWidth="1"/>
    <col min="2511" max="2512" width="16.44140625" style="7837" customWidth="1"/>
    <col min="2513" max="2513" width="15.44140625" style="7837" customWidth="1"/>
    <col min="2514" max="2763" width="9.109375" style="7837"/>
    <col min="2764" max="2764" width="3.88671875" style="7837" customWidth="1"/>
    <col min="2765" max="2765" width="43.88671875" style="7837" customWidth="1"/>
    <col min="2766" max="2766" width="9" style="7837" customWidth="1"/>
    <col min="2767" max="2768" width="16.44140625" style="7837" customWidth="1"/>
    <col min="2769" max="2769" width="15.44140625" style="7837" customWidth="1"/>
    <col min="2770" max="3019" width="9.109375" style="7837"/>
    <col min="3020" max="3020" width="3.88671875" style="7837" customWidth="1"/>
    <col min="3021" max="3021" width="43.88671875" style="7837" customWidth="1"/>
    <col min="3022" max="3022" width="9" style="7837" customWidth="1"/>
    <col min="3023" max="3024" width="16.44140625" style="7837" customWidth="1"/>
    <col min="3025" max="3025" width="15.44140625" style="7837" customWidth="1"/>
    <col min="3026" max="3275" width="9.109375" style="7837"/>
    <col min="3276" max="3276" width="3.88671875" style="7837" customWidth="1"/>
    <col min="3277" max="3277" width="43.88671875" style="7837" customWidth="1"/>
    <col min="3278" max="3278" width="9" style="7837" customWidth="1"/>
    <col min="3279" max="3280" width="16.44140625" style="7837" customWidth="1"/>
    <col min="3281" max="3281" width="15.44140625" style="7837" customWidth="1"/>
    <col min="3282" max="3531" width="9.109375" style="7837"/>
    <col min="3532" max="3532" width="3.88671875" style="7837" customWidth="1"/>
    <col min="3533" max="3533" width="43.88671875" style="7837" customWidth="1"/>
    <col min="3534" max="3534" width="9" style="7837" customWidth="1"/>
    <col min="3535" max="3536" width="16.44140625" style="7837" customWidth="1"/>
    <col min="3537" max="3537" width="15.44140625" style="7837" customWidth="1"/>
    <col min="3538" max="3787" width="9.109375" style="7837"/>
    <col min="3788" max="3788" width="3.88671875" style="7837" customWidth="1"/>
    <col min="3789" max="3789" width="43.88671875" style="7837" customWidth="1"/>
    <col min="3790" max="3790" width="9" style="7837" customWidth="1"/>
    <col min="3791" max="3792" width="16.44140625" style="7837" customWidth="1"/>
    <col min="3793" max="3793" width="15.44140625" style="7837" customWidth="1"/>
    <col min="3794" max="4043" width="9.109375" style="7837"/>
    <col min="4044" max="4044" width="3.88671875" style="7837" customWidth="1"/>
    <col min="4045" max="4045" width="43.88671875" style="7837" customWidth="1"/>
    <col min="4046" max="4046" width="9" style="7837" customWidth="1"/>
    <col min="4047" max="4048" width="16.44140625" style="7837" customWidth="1"/>
    <col min="4049" max="4049" width="15.44140625" style="7837" customWidth="1"/>
    <col min="4050" max="4299" width="9.109375" style="7837"/>
    <col min="4300" max="4300" width="3.88671875" style="7837" customWidth="1"/>
    <col min="4301" max="4301" width="43.88671875" style="7837" customWidth="1"/>
    <col min="4302" max="4302" width="9" style="7837" customWidth="1"/>
    <col min="4303" max="4304" width="16.44140625" style="7837" customWidth="1"/>
    <col min="4305" max="4305" width="15.44140625" style="7837" customWidth="1"/>
    <col min="4306" max="4555" width="9.109375" style="7837"/>
    <col min="4556" max="4556" width="3.88671875" style="7837" customWidth="1"/>
    <col min="4557" max="4557" width="43.88671875" style="7837" customWidth="1"/>
    <col min="4558" max="4558" width="9" style="7837" customWidth="1"/>
    <col min="4559" max="4560" width="16.44140625" style="7837" customWidth="1"/>
    <col min="4561" max="4561" width="15.44140625" style="7837" customWidth="1"/>
    <col min="4562" max="4811" width="9.109375" style="7837"/>
    <col min="4812" max="4812" width="3.88671875" style="7837" customWidth="1"/>
    <col min="4813" max="4813" width="43.88671875" style="7837" customWidth="1"/>
    <col min="4814" max="4814" width="9" style="7837" customWidth="1"/>
    <col min="4815" max="4816" width="16.44140625" style="7837" customWidth="1"/>
    <col min="4817" max="4817" width="15.44140625" style="7837" customWidth="1"/>
    <col min="4818" max="5067" width="9.109375" style="7837"/>
    <col min="5068" max="5068" width="3.88671875" style="7837" customWidth="1"/>
    <col min="5069" max="5069" width="43.88671875" style="7837" customWidth="1"/>
    <col min="5070" max="5070" width="9" style="7837" customWidth="1"/>
    <col min="5071" max="5072" width="16.44140625" style="7837" customWidth="1"/>
    <col min="5073" max="5073" width="15.44140625" style="7837" customWidth="1"/>
    <col min="5074" max="5323" width="9.109375" style="7837"/>
    <col min="5324" max="5324" width="3.88671875" style="7837" customWidth="1"/>
    <col min="5325" max="5325" width="43.88671875" style="7837" customWidth="1"/>
    <col min="5326" max="5326" width="9" style="7837" customWidth="1"/>
    <col min="5327" max="5328" width="16.44140625" style="7837" customWidth="1"/>
    <col min="5329" max="5329" width="15.44140625" style="7837" customWidth="1"/>
    <col min="5330" max="5579" width="9.109375" style="7837"/>
    <col min="5580" max="5580" width="3.88671875" style="7837" customWidth="1"/>
    <col min="5581" max="5581" width="43.88671875" style="7837" customWidth="1"/>
    <col min="5582" max="5582" width="9" style="7837" customWidth="1"/>
    <col min="5583" max="5584" width="16.44140625" style="7837" customWidth="1"/>
    <col min="5585" max="5585" width="15.44140625" style="7837" customWidth="1"/>
    <col min="5586" max="5835" width="9.109375" style="7837"/>
    <col min="5836" max="5836" width="3.88671875" style="7837" customWidth="1"/>
    <col min="5837" max="5837" width="43.88671875" style="7837" customWidth="1"/>
    <col min="5838" max="5838" width="9" style="7837" customWidth="1"/>
    <col min="5839" max="5840" width="16.44140625" style="7837" customWidth="1"/>
    <col min="5841" max="5841" width="15.44140625" style="7837" customWidth="1"/>
    <col min="5842" max="6091" width="9.109375" style="7837"/>
    <col min="6092" max="6092" width="3.88671875" style="7837" customWidth="1"/>
    <col min="6093" max="6093" width="43.88671875" style="7837" customWidth="1"/>
    <col min="6094" max="6094" width="9" style="7837" customWidth="1"/>
    <col min="6095" max="6096" width="16.44140625" style="7837" customWidth="1"/>
    <col min="6097" max="6097" width="15.44140625" style="7837" customWidth="1"/>
    <col min="6098" max="6347" width="9.109375" style="7837"/>
    <col min="6348" max="6348" width="3.88671875" style="7837" customWidth="1"/>
    <col min="6349" max="6349" width="43.88671875" style="7837" customWidth="1"/>
    <col min="6350" max="6350" width="9" style="7837" customWidth="1"/>
    <col min="6351" max="6352" width="16.44140625" style="7837" customWidth="1"/>
    <col min="6353" max="6353" width="15.44140625" style="7837" customWidth="1"/>
    <col min="6354" max="6603" width="9.109375" style="7837"/>
    <col min="6604" max="6604" width="3.88671875" style="7837" customWidth="1"/>
    <col min="6605" max="6605" width="43.88671875" style="7837" customWidth="1"/>
    <col min="6606" max="6606" width="9" style="7837" customWidth="1"/>
    <col min="6607" max="6608" width="16.44140625" style="7837" customWidth="1"/>
    <col min="6609" max="6609" width="15.44140625" style="7837" customWidth="1"/>
    <col min="6610" max="6859" width="9.109375" style="7837"/>
    <col min="6860" max="6860" width="3.88671875" style="7837" customWidth="1"/>
    <col min="6861" max="6861" width="43.88671875" style="7837" customWidth="1"/>
    <col min="6862" max="6862" width="9" style="7837" customWidth="1"/>
    <col min="6863" max="6864" width="16.44140625" style="7837" customWidth="1"/>
    <col min="6865" max="6865" width="15.44140625" style="7837" customWidth="1"/>
    <col min="6866" max="7115" width="9.109375" style="7837"/>
    <col min="7116" max="7116" width="3.88671875" style="7837" customWidth="1"/>
    <col min="7117" max="7117" width="43.88671875" style="7837" customWidth="1"/>
    <col min="7118" max="7118" width="9" style="7837" customWidth="1"/>
    <col min="7119" max="7120" width="16.44140625" style="7837" customWidth="1"/>
    <col min="7121" max="7121" width="15.44140625" style="7837" customWidth="1"/>
    <col min="7122" max="7371" width="9.109375" style="7837"/>
    <col min="7372" max="7372" width="3.88671875" style="7837" customWidth="1"/>
    <col min="7373" max="7373" width="43.88671875" style="7837" customWidth="1"/>
    <col min="7374" max="7374" width="9" style="7837" customWidth="1"/>
    <col min="7375" max="7376" width="16.44140625" style="7837" customWidth="1"/>
    <col min="7377" max="7377" width="15.44140625" style="7837" customWidth="1"/>
    <col min="7378" max="7627" width="9.109375" style="7837"/>
    <col min="7628" max="7628" width="3.88671875" style="7837" customWidth="1"/>
    <col min="7629" max="7629" width="43.88671875" style="7837" customWidth="1"/>
    <col min="7630" max="7630" width="9" style="7837" customWidth="1"/>
    <col min="7631" max="7632" width="16.44140625" style="7837" customWidth="1"/>
    <col min="7633" max="7633" width="15.44140625" style="7837" customWidth="1"/>
    <col min="7634" max="7883" width="9.109375" style="7837"/>
    <col min="7884" max="7884" width="3.88671875" style="7837" customWidth="1"/>
    <col min="7885" max="7885" width="43.88671875" style="7837" customWidth="1"/>
    <col min="7886" max="7886" width="9" style="7837" customWidth="1"/>
    <col min="7887" max="7888" width="16.44140625" style="7837" customWidth="1"/>
    <col min="7889" max="7889" width="15.44140625" style="7837" customWidth="1"/>
    <col min="7890" max="8139" width="9.109375" style="7837"/>
    <col min="8140" max="8140" width="3.88671875" style="7837" customWidth="1"/>
    <col min="8141" max="8141" width="43.88671875" style="7837" customWidth="1"/>
    <col min="8142" max="8142" width="9" style="7837" customWidth="1"/>
    <col min="8143" max="8144" width="16.44140625" style="7837" customWidth="1"/>
    <col min="8145" max="8145" width="15.44140625" style="7837" customWidth="1"/>
    <col min="8146" max="8395" width="9.109375" style="7837"/>
    <col min="8396" max="8396" width="3.88671875" style="7837" customWidth="1"/>
    <col min="8397" max="8397" width="43.88671875" style="7837" customWidth="1"/>
    <col min="8398" max="8398" width="9" style="7837" customWidth="1"/>
    <col min="8399" max="8400" width="16.44140625" style="7837" customWidth="1"/>
    <col min="8401" max="8401" width="15.44140625" style="7837" customWidth="1"/>
    <col min="8402" max="8651" width="9.109375" style="7837"/>
    <col min="8652" max="8652" width="3.88671875" style="7837" customWidth="1"/>
    <col min="8653" max="8653" width="43.88671875" style="7837" customWidth="1"/>
    <col min="8654" max="8654" width="9" style="7837" customWidth="1"/>
    <col min="8655" max="8656" width="16.44140625" style="7837" customWidth="1"/>
    <col min="8657" max="8657" width="15.44140625" style="7837" customWidth="1"/>
    <col min="8658" max="8907" width="9.109375" style="7837"/>
    <col min="8908" max="8908" width="3.88671875" style="7837" customWidth="1"/>
    <col min="8909" max="8909" width="43.88671875" style="7837" customWidth="1"/>
    <col min="8910" max="8910" width="9" style="7837" customWidth="1"/>
    <col min="8911" max="8912" width="16.44140625" style="7837" customWidth="1"/>
    <col min="8913" max="8913" width="15.44140625" style="7837" customWidth="1"/>
    <col min="8914" max="9163" width="9.109375" style="7837"/>
    <col min="9164" max="9164" width="3.88671875" style="7837" customWidth="1"/>
    <col min="9165" max="9165" width="43.88671875" style="7837" customWidth="1"/>
    <col min="9166" max="9166" width="9" style="7837" customWidth="1"/>
    <col min="9167" max="9168" width="16.44140625" style="7837" customWidth="1"/>
    <col min="9169" max="9169" width="15.44140625" style="7837" customWidth="1"/>
    <col min="9170" max="9419" width="9.109375" style="7837"/>
    <col min="9420" max="9420" width="3.88671875" style="7837" customWidth="1"/>
    <col min="9421" max="9421" width="43.88671875" style="7837" customWidth="1"/>
    <col min="9422" max="9422" width="9" style="7837" customWidth="1"/>
    <col min="9423" max="9424" width="16.44140625" style="7837" customWidth="1"/>
    <col min="9425" max="9425" width="15.44140625" style="7837" customWidth="1"/>
    <col min="9426" max="9675" width="9.109375" style="7837"/>
    <col min="9676" max="9676" width="3.88671875" style="7837" customWidth="1"/>
    <col min="9677" max="9677" width="43.88671875" style="7837" customWidth="1"/>
    <col min="9678" max="9678" width="9" style="7837" customWidth="1"/>
    <col min="9679" max="9680" width="16.44140625" style="7837" customWidth="1"/>
    <col min="9681" max="9681" width="15.44140625" style="7837" customWidth="1"/>
    <col min="9682" max="9931" width="9.109375" style="7837"/>
    <col min="9932" max="9932" width="3.88671875" style="7837" customWidth="1"/>
    <col min="9933" max="9933" width="43.88671875" style="7837" customWidth="1"/>
    <col min="9934" max="9934" width="9" style="7837" customWidth="1"/>
    <col min="9935" max="9936" width="16.44140625" style="7837" customWidth="1"/>
    <col min="9937" max="9937" width="15.44140625" style="7837" customWidth="1"/>
    <col min="9938" max="10187" width="9.109375" style="7837"/>
    <col min="10188" max="10188" width="3.88671875" style="7837" customWidth="1"/>
    <col min="10189" max="10189" width="43.88671875" style="7837" customWidth="1"/>
    <col min="10190" max="10190" width="9" style="7837" customWidth="1"/>
    <col min="10191" max="10192" width="16.44140625" style="7837" customWidth="1"/>
    <col min="10193" max="10193" width="15.44140625" style="7837" customWidth="1"/>
    <col min="10194" max="10443" width="9.109375" style="7837"/>
    <col min="10444" max="10444" width="3.88671875" style="7837" customWidth="1"/>
    <col min="10445" max="10445" width="43.88671875" style="7837" customWidth="1"/>
    <col min="10446" max="10446" width="9" style="7837" customWidth="1"/>
    <col min="10447" max="10448" width="16.44140625" style="7837" customWidth="1"/>
    <col min="10449" max="10449" width="15.44140625" style="7837" customWidth="1"/>
    <col min="10450" max="10699" width="9.109375" style="7837"/>
    <col min="10700" max="10700" width="3.88671875" style="7837" customWidth="1"/>
    <col min="10701" max="10701" width="43.88671875" style="7837" customWidth="1"/>
    <col min="10702" max="10702" width="9" style="7837" customWidth="1"/>
    <col min="10703" max="10704" width="16.44140625" style="7837" customWidth="1"/>
    <col min="10705" max="10705" width="15.44140625" style="7837" customWidth="1"/>
    <col min="10706" max="10955" width="9.109375" style="7837"/>
    <col min="10956" max="10956" width="3.88671875" style="7837" customWidth="1"/>
    <col min="10957" max="10957" width="43.88671875" style="7837" customWidth="1"/>
    <col min="10958" max="10958" width="9" style="7837" customWidth="1"/>
    <col min="10959" max="10960" width="16.44140625" style="7837" customWidth="1"/>
    <col min="10961" max="10961" width="15.44140625" style="7837" customWidth="1"/>
    <col min="10962" max="11211" width="9.109375" style="7837"/>
    <col min="11212" max="11212" width="3.88671875" style="7837" customWidth="1"/>
    <col min="11213" max="11213" width="43.88671875" style="7837" customWidth="1"/>
    <col min="11214" max="11214" width="9" style="7837" customWidth="1"/>
    <col min="11215" max="11216" width="16.44140625" style="7837" customWidth="1"/>
    <col min="11217" max="11217" width="15.44140625" style="7837" customWidth="1"/>
    <col min="11218" max="11467" width="9.109375" style="7837"/>
    <col min="11468" max="11468" width="3.88671875" style="7837" customWidth="1"/>
    <col min="11469" max="11469" width="43.88671875" style="7837" customWidth="1"/>
    <col min="11470" max="11470" width="9" style="7837" customWidth="1"/>
    <col min="11471" max="11472" width="16.44140625" style="7837" customWidth="1"/>
    <col min="11473" max="11473" width="15.44140625" style="7837" customWidth="1"/>
    <col min="11474" max="11723" width="9.109375" style="7837"/>
    <col min="11724" max="11724" width="3.88671875" style="7837" customWidth="1"/>
    <col min="11725" max="11725" width="43.88671875" style="7837" customWidth="1"/>
    <col min="11726" max="11726" width="9" style="7837" customWidth="1"/>
    <col min="11727" max="11728" width="16.44140625" style="7837" customWidth="1"/>
    <col min="11729" max="11729" width="15.44140625" style="7837" customWidth="1"/>
    <col min="11730" max="11979" width="9.109375" style="7837"/>
    <col min="11980" max="11980" width="3.88671875" style="7837" customWidth="1"/>
    <col min="11981" max="11981" width="43.88671875" style="7837" customWidth="1"/>
    <col min="11982" max="11982" width="9" style="7837" customWidth="1"/>
    <col min="11983" max="11984" width="16.44140625" style="7837" customWidth="1"/>
    <col min="11985" max="11985" width="15.44140625" style="7837" customWidth="1"/>
    <col min="11986" max="12235" width="9.109375" style="7837"/>
    <col min="12236" max="12236" width="3.88671875" style="7837" customWidth="1"/>
    <col min="12237" max="12237" width="43.88671875" style="7837" customWidth="1"/>
    <col min="12238" max="12238" width="9" style="7837" customWidth="1"/>
    <col min="12239" max="12240" width="16.44140625" style="7837" customWidth="1"/>
    <col min="12241" max="12241" width="15.44140625" style="7837" customWidth="1"/>
    <col min="12242" max="12491" width="9.109375" style="7837"/>
    <col min="12492" max="12492" width="3.88671875" style="7837" customWidth="1"/>
    <col min="12493" max="12493" width="43.88671875" style="7837" customWidth="1"/>
    <col min="12494" max="12494" width="9" style="7837" customWidth="1"/>
    <col min="12495" max="12496" width="16.44140625" style="7837" customWidth="1"/>
    <col min="12497" max="12497" width="15.44140625" style="7837" customWidth="1"/>
    <col min="12498" max="12747" width="9.109375" style="7837"/>
    <col min="12748" max="12748" width="3.88671875" style="7837" customWidth="1"/>
    <col min="12749" max="12749" width="43.88671875" style="7837" customWidth="1"/>
    <col min="12750" max="12750" width="9" style="7837" customWidth="1"/>
    <col min="12751" max="12752" width="16.44140625" style="7837" customWidth="1"/>
    <col min="12753" max="12753" width="15.44140625" style="7837" customWidth="1"/>
    <col min="12754" max="13003" width="9.109375" style="7837"/>
    <col min="13004" max="13004" width="3.88671875" style="7837" customWidth="1"/>
    <col min="13005" max="13005" width="43.88671875" style="7837" customWidth="1"/>
    <col min="13006" max="13006" width="9" style="7837" customWidth="1"/>
    <col min="13007" max="13008" width="16.44140625" style="7837" customWidth="1"/>
    <col min="13009" max="13009" width="15.44140625" style="7837" customWidth="1"/>
    <col min="13010" max="13259" width="9.109375" style="7837"/>
    <col min="13260" max="13260" width="3.88671875" style="7837" customWidth="1"/>
    <col min="13261" max="13261" width="43.88671875" style="7837" customWidth="1"/>
    <col min="13262" max="13262" width="9" style="7837" customWidth="1"/>
    <col min="13263" max="13264" width="16.44140625" style="7837" customWidth="1"/>
    <col min="13265" max="13265" width="15.44140625" style="7837" customWidth="1"/>
    <col min="13266" max="13515" width="9.109375" style="7837"/>
    <col min="13516" max="13516" width="3.88671875" style="7837" customWidth="1"/>
    <col min="13517" max="13517" width="43.88671875" style="7837" customWidth="1"/>
    <col min="13518" max="13518" width="9" style="7837" customWidth="1"/>
    <col min="13519" max="13520" width="16.44140625" style="7837" customWidth="1"/>
    <col min="13521" max="13521" width="15.44140625" style="7837" customWidth="1"/>
    <col min="13522" max="13771" width="9.109375" style="7837"/>
    <col min="13772" max="13772" width="3.88671875" style="7837" customWidth="1"/>
    <col min="13773" max="13773" width="43.88671875" style="7837" customWidth="1"/>
    <col min="13774" max="13774" width="9" style="7837" customWidth="1"/>
    <col min="13775" max="13776" width="16.44140625" style="7837" customWidth="1"/>
    <col min="13777" max="13777" width="15.44140625" style="7837" customWidth="1"/>
    <col min="13778" max="14027" width="9.109375" style="7837"/>
    <col min="14028" max="14028" width="3.88671875" style="7837" customWidth="1"/>
    <col min="14029" max="14029" width="43.88671875" style="7837" customWidth="1"/>
    <col min="14030" max="14030" width="9" style="7837" customWidth="1"/>
    <col min="14031" max="14032" width="16.44140625" style="7837" customWidth="1"/>
    <col min="14033" max="14033" width="15.44140625" style="7837" customWidth="1"/>
    <col min="14034" max="14283" width="9.109375" style="7837"/>
    <col min="14284" max="14284" width="3.88671875" style="7837" customWidth="1"/>
    <col min="14285" max="14285" width="43.88671875" style="7837" customWidth="1"/>
    <col min="14286" max="14286" width="9" style="7837" customWidth="1"/>
    <col min="14287" max="14288" width="16.44140625" style="7837" customWidth="1"/>
    <col min="14289" max="14289" width="15.44140625" style="7837" customWidth="1"/>
    <col min="14290" max="14539" width="9.109375" style="7837"/>
    <col min="14540" max="14540" width="3.88671875" style="7837" customWidth="1"/>
    <col min="14541" max="14541" width="43.88671875" style="7837" customWidth="1"/>
    <col min="14542" max="14542" width="9" style="7837" customWidth="1"/>
    <col min="14543" max="14544" width="16.44140625" style="7837" customWidth="1"/>
    <col min="14545" max="14545" width="15.44140625" style="7837" customWidth="1"/>
    <col min="14546" max="14795" width="9.109375" style="7837"/>
    <col min="14796" max="14796" width="3.88671875" style="7837" customWidth="1"/>
    <col min="14797" max="14797" width="43.88671875" style="7837" customWidth="1"/>
    <col min="14798" max="14798" width="9" style="7837" customWidth="1"/>
    <col min="14799" max="14800" width="16.44140625" style="7837" customWidth="1"/>
    <col min="14801" max="14801" width="15.44140625" style="7837" customWidth="1"/>
    <col min="14802" max="15051" width="9.109375" style="7837"/>
    <col min="15052" max="15052" width="3.88671875" style="7837" customWidth="1"/>
    <col min="15053" max="15053" width="43.88671875" style="7837" customWidth="1"/>
    <col min="15054" max="15054" width="9" style="7837" customWidth="1"/>
    <col min="15055" max="15056" width="16.44140625" style="7837" customWidth="1"/>
    <col min="15057" max="15057" width="15.44140625" style="7837" customWidth="1"/>
    <col min="15058" max="15307" width="9.109375" style="7837"/>
    <col min="15308" max="15308" width="3.88671875" style="7837" customWidth="1"/>
    <col min="15309" max="15309" width="43.88671875" style="7837" customWidth="1"/>
    <col min="15310" max="15310" width="9" style="7837" customWidth="1"/>
    <col min="15311" max="15312" width="16.44140625" style="7837" customWidth="1"/>
    <col min="15313" max="15313" width="15.44140625" style="7837" customWidth="1"/>
    <col min="15314" max="15563" width="9.109375" style="7837"/>
    <col min="15564" max="15564" width="3.88671875" style="7837" customWidth="1"/>
    <col min="15565" max="15565" width="43.88671875" style="7837" customWidth="1"/>
    <col min="15566" max="15566" width="9" style="7837" customWidth="1"/>
    <col min="15567" max="15568" width="16.44140625" style="7837" customWidth="1"/>
    <col min="15569" max="15569" width="15.44140625" style="7837" customWidth="1"/>
    <col min="15570" max="15819" width="9.109375" style="7837"/>
    <col min="15820" max="15820" width="3.88671875" style="7837" customWidth="1"/>
    <col min="15821" max="15821" width="43.88671875" style="7837" customWidth="1"/>
    <col min="15822" max="15822" width="9" style="7837" customWidth="1"/>
    <col min="15823" max="15824" width="16.44140625" style="7837" customWidth="1"/>
    <col min="15825" max="15825" width="15.44140625" style="7837" customWidth="1"/>
    <col min="15826" max="16075" width="9.109375" style="7837"/>
    <col min="16076" max="16076" width="3.88671875" style="7837" customWidth="1"/>
    <col min="16077" max="16077" width="43.88671875" style="7837" customWidth="1"/>
    <col min="16078" max="16078" width="9" style="7837" customWidth="1"/>
    <col min="16079" max="16080" width="16.44140625" style="7837" customWidth="1"/>
    <col min="16081" max="16081" width="15.44140625" style="7837" customWidth="1"/>
    <col min="16082" max="16384" width="9.109375" style="7837"/>
  </cols>
  <sheetData>
    <row r="1" spans="1:14" ht="15" customHeight="1">
      <c r="A1" s="14253" t="s">
        <v>1</v>
      </c>
      <c r="B1" s="14253"/>
      <c r="C1" s="14253"/>
      <c r="D1" s="14253"/>
      <c r="E1" s="14253"/>
      <c r="F1" s="14253"/>
      <c r="G1" s="14253"/>
      <c r="H1" s="14253"/>
      <c r="I1" s="14253"/>
      <c r="J1" s="14253"/>
      <c r="K1" s="14253"/>
    </row>
    <row r="2" spans="1:14" ht="15" customHeight="1">
      <c r="A2" s="7761"/>
      <c r="B2" s="7761"/>
      <c r="C2" s="7990"/>
      <c r="D2" s="8744"/>
      <c r="E2" s="7763"/>
      <c r="F2" s="7763"/>
      <c r="G2" s="7763"/>
      <c r="H2" s="7684"/>
      <c r="I2" s="7763"/>
      <c r="J2" s="7286"/>
      <c r="K2" s="7684"/>
    </row>
    <row r="3" spans="1:14" ht="15" customHeight="1">
      <c r="A3" s="7761" t="s">
        <v>2</v>
      </c>
      <c r="B3" s="7765"/>
      <c r="C3" s="7969"/>
      <c r="D3" s="9599" t="s">
        <v>11261</v>
      </c>
      <c r="E3" s="7766"/>
      <c r="F3" s="7766"/>
      <c r="G3" s="7766"/>
      <c r="H3" s="8014"/>
      <c r="I3" s="7766"/>
      <c r="J3" s="7284"/>
      <c r="K3" s="8014"/>
    </row>
    <row r="4" spans="1:14" ht="15" customHeight="1">
      <c r="A4" s="7761" t="s">
        <v>4</v>
      </c>
      <c r="B4" s="7761"/>
      <c r="C4" s="7990"/>
      <c r="D4" s="9600"/>
      <c r="E4" s="7763"/>
      <c r="F4" s="7763"/>
      <c r="G4" s="7763"/>
      <c r="H4" s="7684"/>
      <c r="I4" s="7763"/>
      <c r="J4" s="7286"/>
      <c r="K4" s="14250"/>
    </row>
    <row r="5" spans="1:14" ht="15" customHeight="1">
      <c r="A5" s="7835" t="s">
        <v>7</v>
      </c>
      <c r="B5" s="7835"/>
      <c r="C5" s="7860"/>
      <c r="D5" s="9601" t="s">
        <v>8</v>
      </c>
      <c r="E5" s="8153"/>
      <c r="F5" s="8153"/>
      <c r="G5" s="8153"/>
      <c r="H5" s="8018"/>
      <c r="I5" s="8153"/>
      <c r="J5" s="7290"/>
      <c r="K5" s="14250"/>
    </row>
    <row r="6" spans="1:14" ht="15" customHeight="1" thickBot="1">
      <c r="A6" s="8154"/>
      <c r="B6" s="8154"/>
      <c r="C6" s="7972"/>
      <c r="D6" s="8746"/>
      <c r="E6" s="9591"/>
      <c r="F6" s="7916"/>
      <c r="G6" s="7916"/>
      <c r="H6" s="8098"/>
      <c r="I6" s="7916"/>
      <c r="J6" s="7294"/>
      <c r="K6" s="8098"/>
    </row>
    <row r="7" spans="1:14" ht="15" customHeight="1">
      <c r="A7" s="11149"/>
      <c r="B7" s="11150"/>
      <c r="C7" s="10558"/>
      <c r="D7" s="8749" t="s">
        <v>9</v>
      </c>
      <c r="E7" s="9594" t="s">
        <v>78</v>
      </c>
      <c r="F7" s="14188" t="s">
        <v>10711</v>
      </c>
      <c r="G7" s="14189"/>
      <c r="H7" s="14190"/>
      <c r="I7" s="11080" t="s">
        <v>9985</v>
      </c>
      <c r="J7" s="8206"/>
      <c r="K7" s="11151" t="s">
        <v>12</v>
      </c>
    </row>
    <row r="8" spans="1:14" ht="15" customHeight="1">
      <c r="A8" s="11152"/>
      <c r="B8" s="7923" t="s">
        <v>13</v>
      </c>
      <c r="C8" s="10554"/>
      <c r="D8" s="14248" t="s">
        <v>14</v>
      </c>
      <c r="E8" s="11153" t="s">
        <v>15</v>
      </c>
      <c r="F8" s="9502" t="s">
        <v>10709</v>
      </c>
      <c r="G8" s="11083" t="s">
        <v>10710</v>
      </c>
      <c r="H8" s="14191" t="s">
        <v>458</v>
      </c>
      <c r="I8" s="11084" t="s">
        <v>11820</v>
      </c>
      <c r="J8" s="11085"/>
      <c r="K8" s="11154" t="s">
        <v>16</v>
      </c>
    </row>
    <row r="9" spans="1:14" ht="15" customHeight="1" thickBot="1">
      <c r="A9" s="11155"/>
      <c r="B9" s="8208"/>
      <c r="C9" s="10555"/>
      <c r="D9" s="14249"/>
      <c r="E9" s="11156">
        <v>2017</v>
      </c>
      <c r="F9" s="9467" t="s">
        <v>457</v>
      </c>
      <c r="G9" s="11076" t="s">
        <v>456</v>
      </c>
      <c r="H9" s="14192"/>
      <c r="I9" s="7302">
        <v>2018</v>
      </c>
      <c r="J9" s="7322"/>
      <c r="K9" s="11157">
        <v>2019</v>
      </c>
    </row>
    <row r="10" spans="1:14" ht="15" customHeight="1">
      <c r="A10" s="11158" t="s">
        <v>17</v>
      </c>
      <c r="B10" s="7835" t="s">
        <v>18</v>
      </c>
      <c r="C10" s="7860"/>
      <c r="D10" s="10553"/>
      <c r="E10" s="11159"/>
      <c r="F10" s="11159"/>
      <c r="G10" s="11159"/>
      <c r="H10" s="11132"/>
      <c r="I10" s="11160"/>
      <c r="J10" s="11161"/>
      <c r="K10" s="11162"/>
    </row>
    <row r="11" spans="1:14" ht="15" customHeight="1">
      <c r="A11" s="11152"/>
      <c r="B11" s="7835" t="s">
        <v>19</v>
      </c>
      <c r="C11" s="7860"/>
      <c r="D11" s="10553"/>
      <c r="E11" s="11132"/>
      <c r="F11" s="11132"/>
      <c r="G11" s="11132"/>
      <c r="H11" s="11132"/>
      <c r="I11" s="11132"/>
      <c r="J11" s="11163"/>
      <c r="K11" s="11162"/>
    </row>
    <row r="12" spans="1:14" ht="15" customHeight="1">
      <c r="A12" s="11152"/>
      <c r="B12" s="7835" t="s">
        <v>56</v>
      </c>
      <c r="C12" s="7860"/>
      <c r="D12" s="10553">
        <v>50101010</v>
      </c>
      <c r="E12" s="11164">
        <f>'WS-PS 2017'!B42</f>
        <v>787581.56</v>
      </c>
      <c r="F12" s="11164">
        <f>'WS-PS ACTUAL JUNE 2018'!B42</f>
        <v>410059.8</v>
      </c>
      <c r="G12" s="11164">
        <f>H12-F12</f>
        <v>759760.2</v>
      </c>
      <c r="H12" s="11164">
        <v>1169820</v>
      </c>
      <c r="I12" s="11164"/>
      <c r="J12" s="11165"/>
      <c r="K12" s="11166">
        <f>M12</f>
        <v>1216260</v>
      </c>
      <c r="M12" s="7310">
        <f>'staffing-bepo'!G38</f>
        <v>1216260</v>
      </c>
      <c r="N12" s="7838">
        <f>'staffing-bepo'!B38</f>
        <v>6</v>
      </c>
    </row>
    <row r="13" spans="1:14" ht="15" customHeight="1">
      <c r="A13" s="11152"/>
      <c r="B13" s="7835" t="s">
        <v>58</v>
      </c>
      <c r="C13" s="7860"/>
      <c r="D13" s="10553">
        <v>50102010</v>
      </c>
      <c r="E13" s="11132">
        <f>'WS-PS 2017'!F42</f>
        <v>119878.45</v>
      </c>
      <c r="F13" s="11132">
        <f>'WS-PS ACTUAL JUNE 2018'!D42</f>
        <v>59971.27</v>
      </c>
      <c r="G13" s="11164">
        <f t="shared" ref="G13:G26" si="0">H13-F13</f>
        <v>84028.73000000001</v>
      </c>
      <c r="H13" s="11132">
        <v>144000</v>
      </c>
      <c r="I13" s="11132"/>
      <c r="J13" s="11163"/>
      <c r="K13" s="11166">
        <f t="shared" ref="K13:K26" si="1">M13</f>
        <v>144000</v>
      </c>
      <c r="M13" s="7310">
        <f>24000*N12</f>
        <v>144000</v>
      </c>
    </row>
    <row r="14" spans="1:14" ht="15" customHeight="1">
      <c r="A14" s="11152"/>
      <c r="B14" s="7835" t="s">
        <v>79</v>
      </c>
      <c r="C14" s="7860"/>
      <c r="D14" s="10553">
        <v>50102040</v>
      </c>
      <c r="E14" s="11132">
        <f>'WS-PS 2017'!I42</f>
        <v>20000</v>
      </c>
      <c r="F14" s="11132">
        <f>'WS-PS ACTUAL JUNE 2018'!G42</f>
        <v>29000</v>
      </c>
      <c r="G14" s="11164">
        <f t="shared" si="0"/>
        <v>1000</v>
      </c>
      <c r="H14" s="11132">
        <v>30000</v>
      </c>
      <c r="I14" s="11132"/>
      <c r="J14" s="11163"/>
      <c r="K14" s="11166">
        <f t="shared" si="1"/>
        <v>36000</v>
      </c>
      <c r="M14" s="7310">
        <f>6000*N12</f>
        <v>36000</v>
      </c>
    </row>
    <row r="15" spans="1:14" ht="15" customHeight="1">
      <c r="A15" s="11152"/>
      <c r="B15" s="7488" t="s">
        <v>10932</v>
      </c>
      <c r="C15" s="10078"/>
      <c r="D15" s="10553">
        <v>50102080</v>
      </c>
      <c r="E15" s="11132">
        <f>'WS-PS 2017'!L42</f>
        <v>25000</v>
      </c>
      <c r="F15" s="11132">
        <f>'WS-PS ACTUAL JUNE 2018'!J42</f>
        <v>0</v>
      </c>
      <c r="G15" s="11164">
        <f t="shared" si="0"/>
        <v>30000</v>
      </c>
      <c r="H15" s="11132">
        <v>30000</v>
      </c>
      <c r="I15" s="11132"/>
      <c r="J15" s="11163"/>
      <c r="K15" s="11166">
        <f t="shared" si="1"/>
        <v>30000</v>
      </c>
      <c r="M15" s="7310">
        <f>5000*N12</f>
        <v>30000</v>
      </c>
    </row>
    <row r="16" spans="1:14" ht="15" customHeight="1">
      <c r="A16" s="11152"/>
      <c r="B16" s="7488" t="s">
        <v>10934</v>
      </c>
      <c r="C16" s="10078"/>
      <c r="D16" s="10553">
        <v>50102120</v>
      </c>
      <c r="E16" s="11132">
        <f>'WS-PS 2017'!O42</f>
        <v>0</v>
      </c>
      <c r="F16" s="11132">
        <f>'WS-PS ACTUAL JUNE 2018'!M42</f>
        <v>0</v>
      </c>
      <c r="G16" s="11164">
        <f>H16-F16</f>
        <v>5000</v>
      </c>
      <c r="H16" s="11132">
        <v>5000</v>
      </c>
      <c r="I16" s="11132"/>
      <c r="J16" s="11163"/>
      <c r="K16" s="11166">
        <f t="shared" si="1"/>
        <v>0</v>
      </c>
    </row>
    <row r="17" spans="1:13" ht="15" customHeight="1">
      <c r="A17" s="11152"/>
      <c r="B17" s="7488" t="s">
        <v>141</v>
      </c>
      <c r="C17" s="10078"/>
      <c r="D17" s="10553">
        <v>50102130</v>
      </c>
      <c r="E17" s="11132">
        <v>0</v>
      </c>
      <c r="F17" s="11132">
        <f>'WS-PS ACTUAL JUNE 2018'!N42</f>
        <v>0</v>
      </c>
      <c r="G17" s="11164">
        <f t="shared" si="0"/>
        <v>60000</v>
      </c>
      <c r="H17" s="11132">
        <v>60000</v>
      </c>
      <c r="I17" s="11132"/>
      <c r="J17" s="11163"/>
      <c r="K17" s="11166">
        <v>60000</v>
      </c>
      <c r="M17" s="7310">
        <v>60000</v>
      </c>
    </row>
    <row r="18" spans="1:13" ht="15" customHeight="1">
      <c r="A18" s="11152"/>
      <c r="B18" s="7488" t="s">
        <v>10933</v>
      </c>
      <c r="C18" s="10078"/>
      <c r="D18" s="10553">
        <v>50102140</v>
      </c>
      <c r="E18" s="11164">
        <f>'WS-PS 2017'!U42+'WS-PS 2017'!S42</f>
        <v>131390</v>
      </c>
      <c r="F18" s="11164">
        <f>'WS-PS ACTUAL JUNE 2018'!O42</f>
        <v>68377</v>
      </c>
      <c r="G18" s="11164">
        <f>H18-F18</f>
        <v>126593</v>
      </c>
      <c r="H18" s="11164">
        <v>194970</v>
      </c>
      <c r="I18" s="11164"/>
      <c r="J18" s="11165"/>
      <c r="K18" s="11166">
        <f t="shared" si="1"/>
        <v>202710</v>
      </c>
      <c r="M18" s="7310">
        <f>M12/12*2</f>
        <v>202710</v>
      </c>
    </row>
    <row r="19" spans="1:13" ht="15" customHeight="1">
      <c r="A19" s="11152"/>
      <c r="B19" s="7835" t="s">
        <v>26</v>
      </c>
      <c r="C19" s="7860"/>
      <c r="D19" s="10553">
        <v>50102150</v>
      </c>
      <c r="E19" s="11132">
        <f>'WS-PS 2017'!T42</f>
        <v>25000</v>
      </c>
      <c r="F19" s="11132">
        <f>'WS-PS ACTUAL JUNE 2018'!Q42</f>
        <v>0</v>
      </c>
      <c r="G19" s="11164">
        <f t="shared" si="0"/>
        <v>30000</v>
      </c>
      <c r="H19" s="11132">
        <v>30000</v>
      </c>
      <c r="I19" s="11132"/>
      <c r="J19" s="11163"/>
      <c r="K19" s="11166">
        <f t="shared" si="1"/>
        <v>30000</v>
      </c>
      <c r="M19" s="7310">
        <f>M15</f>
        <v>30000</v>
      </c>
    </row>
    <row r="20" spans="1:13" ht="15" customHeight="1">
      <c r="A20" s="11152"/>
      <c r="B20" s="7488" t="s">
        <v>11497</v>
      </c>
      <c r="C20" s="10078"/>
      <c r="D20" s="10553">
        <v>50102990</v>
      </c>
      <c r="E20" s="11132">
        <v>0</v>
      </c>
      <c r="F20" s="11132">
        <f>'WS-PS ACTUAL JUNE 2018'!R42</f>
        <v>0</v>
      </c>
      <c r="G20" s="11164">
        <f>H20-F20</f>
        <v>56054</v>
      </c>
      <c r="H20" s="11132">
        <v>56054</v>
      </c>
      <c r="I20" s="11132"/>
      <c r="J20" s="11163"/>
      <c r="K20" s="11166"/>
      <c r="M20" s="7310">
        <f>0.575*(M12/12)</f>
        <v>58279.124999999993</v>
      </c>
    </row>
    <row r="21" spans="1:13" ht="15" customHeight="1">
      <c r="A21" s="11152"/>
      <c r="B21" s="7803" t="s">
        <v>11499</v>
      </c>
      <c r="C21" s="7860"/>
      <c r="D21" s="11059" t="s">
        <v>11495</v>
      </c>
      <c r="E21" s="11132">
        <f>'WS-PS 2017'!Q42</f>
        <v>0</v>
      </c>
      <c r="F21" s="11132">
        <f>'WS-PS ACTUAL JUNE 2018'!S42</f>
        <v>0</v>
      </c>
      <c r="G21" s="11164">
        <f>H21-F21</f>
        <v>0</v>
      </c>
      <c r="H21" s="11132">
        <v>0</v>
      </c>
      <c r="I21" s="11132"/>
      <c r="J21" s="11163"/>
      <c r="K21" s="11166">
        <f t="shared" si="1"/>
        <v>18000</v>
      </c>
      <c r="M21" s="7310">
        <f>3000*N12</f>
        <v>18000</v>
      </c>
    </row>
    <row r="22" spans="1:13" ht="15" customHeight="1">
      <c r="A22" s="11152"/>
      <c r="B22" s="7835" t="s">
        <v>59</v>
      </c>
      <c r="C22" s="7860"/>
      <c r="D22" s="10553">
        <v>50103010</v>
      </c>
      <c r="E22" s="11132">
        <f>'WS-PS 2017'!V42</f>
        <v>94509.79</v>
      </c>
      <c r="F22" s="11132">
        <f>'WS-PS ACTUAL JUNE 2018'!T42</f>
        <v>49207.18</v>
      </c>
      <c r="G22" s="11164">
        <f t="shared" si="0"/>
        <v>91171.82</v>
      </c>
      <c r="H22" s="11132">
        <v>140379</v>
      </c>
      <c r="I22" s="11132"/>
      <c r="J22" s="11163"/>
      <c r="K22" s="11166">
        <f t="shared" si="1"/>
        <v>145951.19999999998</v>
      </c>
      <c r="M22" s="7310">
        <f>M12*12%</f>
        <v>145951.19999999998</v>
      </c>
    </row>
    <row r="23" spans="1:13" ht="15" customHeight="1">
      <c r="A23" s="11152"/>
      <c r="B23" s="7835" t="s">
        <v>28</v>
      </c>
      <c r="C23" s="7860"/>
      <c r="D23" s="10553">
        <v>50103020</v>
      </c>
      <c r="E23" s="11132">
        <f>'WS-PS 2017'!W42</f>
        <v>6000</v>
      </c>
      <c r="F23" s="11132">
        <f>'WS-PS ACTUAL JUNE 2018'!U42</f>
        <v>3000</v>
      </c>
      <c r="G23" s="11164">
        <f t="shared" si="0"/>
        <v>4200</v>
      </c>
      <c r="H23" s="11132">
        <v>7200</v>
      </c>
      <c r="I23" s="11132"/>
      <c r="J23" s="11163"/>
      <c r="K23" s="11166">
        <f t="shared" si="1"/>
        <v>7200</v>
      </c>
      <c r="M23" s="7310">
        <f>1200*N12</f>
        <v>7200</v>
      </c>
    </row>
    <row r="24" spans="1:13" ht="15" customHeight="1">
      <c r="A24" s="11152"/>
      <c r="B24" s="7835" t="s">
        <v>29</v>
      </c>
      <c r="C24" s="7860"/>
      <c r="D24" s="10553">
        <v>50103030</v>
      </c>
      <c r="E24" s="11132">
        <f>'WS-PS 2017'!X42</f>
        <v>9612.5</v>
      </c>
      <c r="F24" s="11132">
        <f>'WS-PS ACTUAL JUNE 2018'!V42</f>
        <v>5641.11</v>
      </c>
      <c r="G24" s="11164">
        <f t="shared" si="0"/>
        <v>9358.89</v>
      </c>
      <c r="H24" s="11132">
        <v>15000</v>
      </c>
      <c r="I24" s="11132"/>
      <c r="J24" s="11163"/>
      <c r="K24" s="11166">
        <v>16723.574999999997</v>
      </c>
      <c r="M24" s="7310">
        <f>3600*N12</f>
        <v>21600</v>
      </c>
    </row>
    <row r="25" spans="1:13" ht="15" customHeight="1">
      <c r="A25" s="11152"/>
      <c r="B25" s="7835" t="s">
        <v>30</v>
      </c>
      <c r="C25" s="7860"/>
      <c r="D25" s="10553">
        <v>50103040</v>
      </c>
      <c r="E25" s="11132">
        <f>'WS-PS 2017'!Y42</f>
        <v>6000</v>
      </c>
      <c r="F25" s="11132">
        <f>'WS-PS ACTUAL JUNE 2018'!W42</f>
        <v>3000</v>
      </c>
      <c r="G25" s="11164">
        <f t="shared" si="0"/>
        <v>4200</v>
      </c>
      <c r="H25" s="11132">
        <v>7200</v>
      </c>
      <c r="I25" s="11132"/>
      <c r="J25" s="11163"/>
      <c r="K25" s="11166">
        <f t="shared" si="1"/>
        <v>7200</v>
      </c>
      <c r="M25" s="7310">
        <f>M23</f>
        <v>7200</v>
      </c>
    </row>
    <row r="26" spans="1:13" ht="15" customHeight="1">
      <c r="A26" s="11152"/>
      <c r="B26" s="7488" t="s">
        <v>5025</v>
      </c>
      <c r="C26" s="10078"/>
      <c r="D26" s="11059">
        <v>50104990</v>
      </c>
      <c r="E26" s="11132">
        <f>'WS-PS 2017'!Z42</f>
        <v>125000</v>
      </c>
      <c r="F26" s="11132"/>
      <c r="G26" s="11132">
        <f t="shared" si="0"/>
        <v>0</v>
      </c>
      <c r="H26" s="11132">
        <v>0</v>
      </c>
      <c r="I26" s="11132"/>
      <c r="J26" s="11163"/>
      <c r="K26" s="11166">
        <f t="shared" si="1"/>
        <v>0</v>
      </c>
    </row>
    <row r="27" spans="1:13" ht="15" customHeight="1">
      <c r="A27" s="11152"/>
      <c r="B27" s="7835"/>
      <c r="C27" s="7860"/>
      <c r="D27" s="10553" t="s">
        <v>9</v>
      </c>
      <c r="E27" s="11132" t="s">
        <v>9</v>
      </c>
      <c r="F27" s="11132"/>
      <c r="G27" s="11132"/>
      <c r="H27" s="11132" t="s">
        <v>9</v>
      </c>
      <c r="I27" s="11132"/>
      <c r="J27" s="11163"/>
      <c r="K27" s="11162" t="s">
        <v>9</v>
      </c>
    </row>
    <row r="28" spans="1:13" ht="15" customHeight="1">
      <c r="A28" s="11152" t="s">
        <v>80</v>
      </c>
      <c r="B28" s="7835"/>
      <c r="C28" s="7860"/>
      <c r="D28" s="10553"/>
      <c r="E28" s="11167"/>
      <c r="F28" s="11168"/>
      <c r="G28" s="11168"/>
      <c r="H28" s="11169"/>
      <c r="I28" s="11170"/>
      <c r="J28" s="7313"/>
      <c r="K28" s="11171"/>
      <c r="M28" s="11142"/>
    </row>
    <row r="29" spans="1:13" ht="15" customHeight="1" thickBot="1">
      <c r="A29" s="11155"/>
      <c r="B29" s="11172" t="s">
        <v>37</v>
      </c>
      <c r="C29" s="8001"/>
      <c r="D29" s="11173"/>
      <c r="E29" s="11174">
        <f>SUM(E11:E27)</f>
        <v>1349972.3</v>
      </c>
      <c r="F29" s="11174">
        <f>SUM(F11:F27)</f>
        <v>628256.3600000001</v>
      </c>
      <c r="G29" s="11174">
        <f>SUM(G11:G27)</f>
        <v>1261366.6399999999</v>
      </c>
      <c r="H29" s="11175">
        <f>SUM(H11:H27)</f>
        <v>1889623</v>
      </c>
      <c r="I29" s="11174"/>
      <c r="J29" s="11176"/>
      <c r="K29" s="11177">
        <f>SUM(K11:K27)</f>
        <v>1914044.7749999999</v>
      </c>
      <c r="M29" s="7502">
        <f>SUM(M12:M28)</f>
        <v>1977200.325</v>
      </c>
    </row>
    <row r="30" spans="1:13" ht="15" customHeight="1">
      <c r="A30" s="8160"/>
      <c r="B30" s="8161"/>
      <c r="C30" s="10556"/>
      <c r="D30" s="8747"/>
      <c r="E30" s="9592"/>
      <c r="F30" s="9592"/>
      <c r="G30" s="9592"/>
      <c r="H30" s="8017"/>
      <c r="I30" s="8162"/>
      <c r="J30" s="7962"/>
      <c r="K30" s="8017"/>
    </row>
    <row r="31" spans="1:13" ht="15" customHeight="1">
      <c r="A31" s="7835"/>
      <c r="B31" s="7920"/>
      <c r="C31" s="7998"/>
      <c r="D31" s="8745"/>
      <c r="E31" s="9593"/>
      <c r="F31" s="9593"/>
      <c r="G31" s="9593"/>
      <c r="H31" s="8018"/>
      <c r="I31" s="8156"/>
      <c r="J31" s="7350"/>
      <c r="K31" s="8018"/>
    </row>
    <row r="32" spans="1:13" ht="15" customHeight="1">
      <c r="A32" s="7835"/>
      <c r="B32" s="7920"/>
      <c r="C32" s="7998"/>
      <c r="D32" s="8745"/>
      <c r="E32" s="9593"/>
      <c r="F32" s="9593"/>
      <c r="G32" s="9593"/>
      <c r="H32" s="8018"/>
      <c r="I32" s="8156"/>
      <c r="J32" s="7350"/>
      <c r="K32" s="8018"/>
    </row>
    <row r="33" spans="1:11" ht="15" customHeight="1">
      <c r="A33" s="7835"/>
      <c r="B33" s="7920"/>
      <c r="C33" s="7998"/>
      <c r="D33" s="8745"/>
      <c r="E33" s="9593"/>
      <c r="F33" s="9593"/>
      <c r="G33" s="9593"/>
      <c r="H33" s="8018"/>
      <c r="I33" s="8156"/>
      <c r="J33" s="7350"/>
      <c r="K33" s="8018"/>
    </row>
    <row r="34" spans="1:11" ht="15" customHeight="1">
      <c r="A34" s="7835"/>
      <c r="B34" s="7920"/>
      <c r="C34" s="7998"/>
      <c r="D34" s="8745"/>
      <c r="E34" s="9593"/>
      <c r="F34" s="9593"/>
      <c r="G34" s="9593"/>
      <c r="H34" s="8018"/>
      <c r="I34" s="8156"/>
      <c r="J34" s="7350"/>
      <c r="K34" s="8018"/>
    </row>
    <row r="35" spans="1:11" ht="15" customHeight="1">
      <c r="A35" s="7835"/>
      <c r="B35" s="7920"/>
      <c r="C35" s="7998"/>
      <c r="D35" s="8745"/>
      <c r="E35" s="9593"/>
      <c r="F35" s="9593"/>
      <c r="G35" s="9593"/>
      <c r="H35" s="8018"/>
      <c r="I35" s="8156"/>
      <c r="J35" s="7350"/>
      <c r="K35" s="8018"/>
    </row>
    <row r="36" spans="1:11" ht="15" customHeight="1">
      <c r="A36" s="7835"/>
      <c r="B36" s="7920"/>
      <c r="C36" s="7998"/>
      <c r="D36" s="8745"/>
      <c r="E36" s="9593"/>
      <c r="F36" s="9593"/>
      <c r="G36" s="9593"/>
      <c r="H36" s="8018"/>
      <c r="I36" s="8156"/>
      <c r="J36" s="7350"/>
      <c r="K36" s="14251"/>
    </row>
    <row r="37" spans="1:11" ht="15" customHeight="1">
      <c r="A37" s="7835"/>
      <c r="B37" s="7920"/>
      <c r="C37" s="7998"/>
      <c r="D37" s="8745"/>
      <c r="E37" s="9593"/>
      <c r="F37" s="9593"/>
      <c r="G37" s="9593"/>
      <c r="H37" s="8018"/>
      <c r="I37" s="8156"/>
      <c r="J37" s="7350"/>
      <c r="K37" s="14251"/>
    </row>
    <row r="38" spans="1:11" ht="15" customHeight="1" thickBot="1">
      <c r="A38" s="7941" t="s">
        <v>10804</v>
      </c>
      <c r="B38" s="7941"/>
      <c r="C38" s="7972"/>
      <c r="D38" s="8748"/>
      <c r="E38" s="7916"/>
      <c r="F38" s="7916"/>
      <c r="G38" s="7916"/>
      <c r="H38" s="8016"/>
      <c r="I38" s="7916"/>
      <c r="J38" s="7294"/>
      <c r="K38" s="14252"/>
    </row>
    <row r="39" spans="1:11" ht="15" customHeight="1">
      <c r="A39" s="11149"/>
      <c r="B39" s="11150"/>
      <c r="C39" s="10558"/>
      <c r="D39" s="8749" t="s">
        <v>9</v>
      </c>
      <c r="E39" s="9594" t="s">
        <v>78</v>
      </c>
      <c r="F39" s="14188" t="s">
        <v>10711</v>
      </c>
      <c r="G39" s="14189"/>
      <c r="H39" s="14190"/>
      <c r="I39" s="11080" t="s">
        <v>9985</v>
      </c>
      <c r="J39" s="8206"/>
      <c r="K39" s="11151" t="s">
        <v>12</v>
      </c>
    </row>
    <row r="40" spans="1:11" ht="15" customHeight="1">
      <c r="A40" s="11152"/>
      <c r="B40" s="7923" t="s">
        <v>13</v>
      </c>
      <c r="C40" s="10554"/>
      <c r="D40" s="14248" t="s">
        <v>14</v>
      </c>
      <c r="E40" s="11153" t="s">
        <v>15</v>
      </c>
      <c r="F40" s="9502" t="s">
        <v>10709</v>
      </c>
      <c r="G40" s="11083" t="s">
        <v>10710</v>
      </c>
      <c r="H40" s="14191" t="s">
        <v>458</v>
      </c>
      <c r="I40" s="11178"/>
      <c r="J40" s="11085"/>
      <c r="K40" s="11154" t="s">
        <v>16</v>
      </c>
    </row>
    <row r="41" spans="1:11" ht="15" customHeight="1" thickBot="1">
      <c r="A41" s="11155"/>
      <c r="B41" s="8208"/>
      <c r="C41" s="10555"/>
      <c r="D41" s="14249"/>
      <c r="E41" s="11156">
        <v>2017</v>
      </c>
      <c r="F41" s="9467" t="s">
        <v>457</v>
      </c>
      <c r="G41" s="11076" t="s">
        <v>456</v>
      </c>
      <c r="H41" s="14192"/>
      <c r="I41" s="7302"/>
      <c r="J41" s="7322"/>
      <c r="K41" s="11157">
        <v>2019</v>
      </c>
    </row>
    <row r="42" spans="1:11" ht="15" customHeight="1">
      <c r="A42" s="11152"/>
      <c r="B42" s="7923"/>
      <c r="C42" s="10554"/>
      <c r="D42" s="11179"/>
      <c r="E42" s="11180"/>
      <c r="F42" s="11123"/>
      <c r="G42" s="11073"/>
      <c r="H42" s="11123"/>
      <c r="I42" s="11181"/>
      <c r="J42" s="11108"/>
      <c r="K42" s="11182"/>
    </row>
    <row r="43" spans="1:11" ht="15" customHeight="1">
      <c r="A43" s="11158"/>
      <c r="B43" s="7835" t="s">
        <v>38</v>
      </c>
      <c r="C43" s="7860"/>
      <c r="D43" s="10553"/>
      <c r="E43" s="11183"/>
      <c r="F43" s="11183"/>
      <c r="G43" s="11183"/>
      <c r="H43" s="11132"/>
      <c r="I43" s="11159"/>
      <c r="J43" s="11163"/>
      <c r="K43" s="11162"/>
    </row>
    <row r="44" spans="1:11" ht="15" customHeight="1">
      <c r="A44" s="11158"/>
      <c r="B44" s="7835" t="s">
        <v>81</v>
      </c>
      <c r="C44" s="7860"/>
      <c r="D44" s="10553">
        <v>50201010</v>
      </c>
      <c r="E44" s="11132">
        <f>'WS-MOOE 2017'!B42</f>
        <v>140068.01999999999</v>
      </c>
      <c r="F44" s="11132">
        <f>'WS-MOOE ACTUAL JUNE 2018'!B43</f>
        <v>19926</v>
      </c>
      <c r="G44" s="11164">
        <f t="shared" ref="G44:G67" si="2">H44-F44</f>
        <v>130074</v>
      </c>
      <c r="H44" s="11132">
        <v>150000</v>
      </c>
      <c r="I44" s="11132">
        <v>32580</v>
      </c>
      <c r="J44" s="11163">
        <f>I44/H44</f>
        <v>0.2172</v>
      </c>
      <c r="K44" s="11162">
        <v>120000</v>
      </c>
    </row>
    <row r="45" spans="1:11" ht="15" customHeight="1">
      <c r="A45" s="11158"/>
      <c r="B45" s="7835" t="s">
        <v>82</v>
      </c>
      <c r="C45" s="7860"/>
      <c r="D45" s="10553">
        <v>50202010</v>
      </c>
      <c r="E45" s="11132">
        <f>'WS-MOOE 2017'!H42</f>
        <v>88035</v>
      </c>
      <c r="F45" s="11132">
        <f>'WS-MOOE ACTUAL JUNE 2018'!G43</f>
        <v>800</v>
      </c>
      <c r="G45" s="11164">
        <f t="shared" si="2"/>
        <v>99200</v>
      </c>
      <c r="H45" s="11132">
        <v>100000</v>
      </c>
      <c r="I45" s="11132">
        <v>53700</v>
      </c>
      <c r="J45" s="11163">
        <f t="shared" ref="J45:J64" si="3">I45/H45</f>
        <v>0.53700000000000003</v>
      </c>
      <c r="K45" s="11162">
        <v>100000</v>
      </c>
    </row>
    <row r="46" spans="1:11" ht="15" customHeight="1">
      <c r="A46" s="11158"/>
      <c r="B46" s="7835" t="s">
        <v>83</v>
      </c>
      <c r="C46" s="7860"/>
      <c r="D46" s="10553">
        <v>50203010</v>
      </c>
      <c r="E46" s="11132">
        <f>'WS-MOOE 2017'!J42</f>
        <v>119587.29</v>
      </c>
      <c r="F46" s="11132">
        <f>'WS-MOOE ACTUAL JUNE 2018'!H43</f>
        <v>30330.1</v>
      </c>
      <c r="G46" s="11164">
        <f t="shared" si="2"/>
        <v>119669.9</v>
      </c>
      <c r="H46" s="11132">
        <v>150000</v>
      </c>
      <c r="I46" s="11132">
        <v>131278.9</v>
      </c>
      <c r="J46" s="11163">
        <f t="shared" si="3"/>
        <v>0.87519266666666662</v>
      </c>
      <c r="K46" s="11162">
        <v>150000</v>
      </c>
    </row>
    <row r="47" spans="1:11" ht="15" hidden="1" customHeight="1">
      <c r="A47" s="11158"/>
      <c r="B47" s="7835" t="s">
        <v>6357</v>
      </c>
      <c r="C47" s="7860"/>
      <c r="D47" s="10553">
        <v>50203090</v>
      </c>
      <c r="E47" s="11132">
        <f>'WS-MOOE 2017'!R42</f>
        <v>0</v>
      </c>
      <c r="F47" s="11132"/>
      <c r="G47" s="11164">
        <f t="shared" si="2"/>
        <v>0</v>
      </c>
      <c r="H47" s="11132">
        <v>0</v>
      </c>
      <c r="I47" s="11132"/>
      <c r="J47" s="11163"/>
      <c r="K47" s="11162">
        <v>0</v>
      </c>
    </row>
    <row r="48" spans="1:11" ht="15" customHeight="1">
      <c r="A48" s="11158"/>
      <c r="B48" s="7835" t="s">
        <v>1725</v>
      </c>
      <c r="C48" s="7860"/>
      <c r="D48" s="10553">
        <v>50204020</v>
      </c>
      <c r="E48" s="11132">
        <f>'WS-MOOE 2017'!X42</f>
        <v>59469.45</v>
      </c>
      <c r="F48" s="11132">
        <f>'WS-MOOE ACTUAL JUNE 2018'!S43</f>
        <v>39523.49</v>
      </c>
      <c r="G48" s="11164">
        <f t="shared" si="2"/>
        <v>60476.51</v>
      </c>
      <c r="H48" s="11132">
        <v>100000</v>
      </c>
      <c r="I48" s="11132">
        <v>64532.18</v>
      </c>
      <c r="J48" s="11163">
        <f t="shared" si="3"/>
        <v>0.64532180000000006</v>
      </c>
      <c r="K48" s="11162">
        <v>0</v>
      </c>
    </row>
    <row r="49" spans="1:12" ht="15" customHeight="1">
      <c r="A49" s="11158"/>
      <c r="B49" s="7835" t="s">
        <v>10235</v>
      </c>
      <c r="C49" s="7860"/>
      <c r="D49" s="10553">
        <v>50205010</v>
      </c>
      <c r="E49" s="11132">
        <f>'WS-MOOE 2017'!Z42</f>
        <v>630</v>
      </c>
      <c r="F49" s="11132">
        <f>'WS-MOOE ACTUAL JUNE 2018'!U43</f>
        <v>0</v>
      </c>
      <c r="G49" s="11164">
        <f t="shared" si="2"/>
        <v>20000</v>
      </c>
      <c r="H49" s="11132">
        <v>20000</v>
      </c>
      <c r="I49" s="11132">
        <v>1762</v>
      </c>
      <c r="J49" s="11163">
        <f t="shared" si="3"/>
        <v>8.8099999999999998E-2</v>
      </c>
      <c r="K49" s="11162">
        <v>5000</v>
      </c>
    </row>
    <row r="50" spans="1:12" ht="15" customHeight="1">
      <c r="A50" s="11158"/>
      <c r="B50" s="7835" t="s">
        <v>12195</v>
      </c>
      <c r="C50" s="7860"/>
      <c r="D50" s="10553">
        <v>50205020</v>
      </c>
      <c r="E50" s="11132">
        <f>'WS-MOOE 2017'!AA42</f>
        <v>59294.76</v>
      </c>
      <c r="F50" s="11132">
        <f>'WS-MOOE ACTUAL JUNE 2018'!V43</f>
        <v>29180.31</v>
      </c>
      <c r="G50" s="11164">
        <f t="shared" si="2"/>
        <v>30819.69</v>
      </c>
      <c r="H50" s="11132">
        <v>60000</v>
      </c>
      <c r="I50" s="11132">
        <v>40309.629999999997</v>
      </c>
      <c r="J50" s="11163">
        <f t="shared" si="3"/>
        <v>0.67182716666666664</v>
      </c>
      <c r="K50" s="11162">
        <v>120000</v>
      </c>
      <c r="L50" s="10569" t="s">
        <v>12206</v>
      </c>
    </row>
    <row r="51" spans="1:12" ht="15" customHeight="1">
      <c r="A51" s="11158"/>
      <c r="B51" s="7835" t="s">
        <v>12196</v>
      </c>
      <c r="C51" s="7860"/>
      <c r="D51" s="10553"/>
      <c r="E51" s="11132"/>
      <c r="F51" s="11132">
        <v>0</v>
      </c>
      <c r="G51" s="11164">
        <f t="shared" si="2"/>
        <v>60000</v>
      </c>
      <c r="H51" s="11132">
        <v>60000</v>
      </c>
      <c r="I51" s="11132">
        <v>0</v>
      </c>
      <c r="J51" s="11163" t="s">
        <v>9</v>
      </c>
      <c r="K51" s="11162">
        <v>50000</v>
      </c>
    </row>
    <row r="52" spans="1:12" ht="15" customHeight="1">
      <c r="A52" s="11158"/>
      <c r="B52" s="7835" t="s">
        <v>12197</v>
      </c>
      <c r="C52" s="7860"/>
      <c r="D52" s="10553">
        <v>50205030</v>
      </c>
      <c r="E52" s="11132">
        <f>'WS-MOOE 2017'!AE42</f>
        <v>12540.24</v>
      </c>
      <c r="F52" s="11132">
        <f>'WS-MOOE ACTUAL JUNE 2018'!Z43</f>
        <v>4347.99</v>
      </c>
      <c r="G52" s="11164">
        <f t="shared" si="2"/>
        <v>55652.01</v>
      </c>
      <c r="H52" s="11132">
        <v>60000</v>
      </c>
      <c r="I52" s="11132">
        <v>4347.99</v>
      </c>
      <c r="J52" s="11163">
        <f t="shared" si="3"/>
        <v>7.2466500000000003E-2</v>
      </c>
      <c r="K52" s="11162"/>
    </row>
    <row r="53" spans="1:12" ht="15" customHeight="1">
      <c r="A53" s="11158"/>
      <c r="B53" s="7835" t="s">
        <v>3479</v>
      </c>
      <c r="C53" s="7860"/>
      <c r="D53" s="10553">
        <v>50299020</v>
      </c>
      <c r="E53" s="11132">
        <f>'WS-MOOE 2017'!BJ42</f>
        <v>0</v>
      </c>
      <c r="F53" s="11132">
        <f>'WS-MOOE ACTUAL JUNE 2018'!BC43</f>
        <v>0</v>
      </c>
      <c r="G53" s="11164">
        <f t="shared" si="2"/>
        <v>5000</v>
      </c>
      <c r="H53" s="11132">
        <v>5000</v>
      </c>
      <c r="I53" s="11132">
        <v>0</v>
      </c>
      <c r="J53" s="11163">
        <f t="shared" si="3"/>
        <v>0</v>
      </c>
      <c r="K53" s="11162">
        <v>10000</v>
      </c>
    </row>
    <row r="54" spans="1:12" ht="15" customHeight="1">
      <c r="A54" s="11158"/>
      <c r="B54" s="7835" t="s">
        <v>3480</v>
      </c>
      <c r="C54" s="7860"/>
      <c r="D54" s="10553">
        <v>50299030</v>
      </c>
      <c r="E54" s="11132">
        <f>'WS-MOOE 2017'!BK42</f>
        <v>0</v>
      </c>
      <c r="F54" s="11132">
        <f>'WS-MOOE ACTUAL JUNE 2018'!BE43</f>
        <v>0</v>
      </c>
      <c r="G54" s="11164">
        <f t="shared" si="2"/>
        <v>50000</v>
      </c>
      <c r="H54" s="11132">
        <v>50000</v>
      </c>
      <c r="I54" s="11132">
        <v>27000</v>
      </c>
      <c r="J54" s="11163">
        <f t="shared" si="3"/>
        <v>0.54</v>
      </c>
      <c r="K54" s="11162">
        <v>50000</v>
      </c>
    </row>
    <row r="55" spans="1:12" ht="15" customHeight="1">
      <c r="A55" s="11158"/>
      <c r="B55" s="7835" t="s">
        <v>3481</v>
      </c>
      <c r="C55" s="7860"/>
      <c r="D55" s="10553">
        <v>50299070</v>
      </c>
      <c r="E55" s="11132">
        <f>'WS-MOOE 2017'!BL42</f>
        <v>1800</v>
      </c>
      <c r="F55" s="11132">
        <f>'WS-MOOE ACTUAL JUNE 2018'!BF43</f>
        <v>0</v>
      </c>
      <c r="G55" s="11164">
        <f t="shared" si="2"/>
        <v>10000</v>
      </c>
      <c r="H55" s="11132">
        <v>10000</v>
      </c>
      <c r="I55" s="11132">
        <v>900</v>
      </c>
      <c r="J55" s="11163">
        <f t="shared" si="3"/>
        <v>0.09</v>
      </c>
      <c r="K55" s="11162">
        <v>10000</v>
      </c>
    </row>
    <row r="56" spans="1:12" ht="15" customHeight="1">
      <c r="A56" s="11158"/>
      <c r="B56" s="7835" t="s">
        <v>85</v>
      </c>
      <c r="C56" s="7860"/>
      <c r="D56" s="10553">
        <v>50212990</v>
      </c>
      <c r="E56" s="11132">
        <f>'WS-MOOE 2017'!AO42</f>
        <v>479969.35</v>
      </c>
      <c r="F56" s="11132">
        <f>'WS-MOOE ACTUAL JUNE 2018'!AJ43</f>
        <v>241177.4</v>
      </c>
      <c r="G56" s="11164">
        <f t="shared" si="2"/>
        <v>408822.6</v>
      </c>
      <c r="H56" s="11132">
        <v>650000</v>
      </c>
      <c r="I56" s="11132">
        <v>452323.86</v>
      </c>
      <c r="J56" s="11163">
        <f t="shared" si="3"/>
        <v>0.69588286153846157</v>
      </c>
      <c r="K56" s="11162">
        <f>800000-120000</f>
        <v>680000</v>
      </c>
      <c r="L56" s="10569" t="s">
        <v>12207</v>
      </c>
    </row>
    <row r="57" spans="1:12" ht="15" hidden="1" customHeight="1">
      <c r="A57" s="11158"/>
      <c r="B57" s="7835" t="s">
        <v>86</v>
      </c>
      <c r="C57" s="7860"/>
      <c r="D57" s="10553"/>
      <c r="E57" s="11132"/>
      <c r="F57" s="11132"/>
      <c r="G57" s="11164"/>
      <c r="H57" s="11132"/>
      <c r="I57" s="11132"/>
      <c r="J57" s="11163" t="e">
        <f t="shared" si="3"/>
        <v>#DIV/0!</v>
      </c>
      <c r="K57" s="11162">
        <v>0</v>
      </c>
    </row>
    <row r="58" spans="1:12" ht="15" customHeight="1">
      <c r="A58" s="11158"/>
      <c r="B58" s="7488" t="s">
        <v>10942</v>
      </c>
      <c r="C58" s="10078"/>
      <c r="D58" s="10553">
        <v>50213050</v>
      </c>
      <c r="E58" s="11132">
        <f>'WS-MOOE 2017'!AW42</f>
        <v>26902</v>
      </c>
      <c r="F58" s="11132">
        <f>'WS-MOOE ACTUAL JUNE 2018'!AS43</f>
        <v>71</v>
      </c>
      <c r="G58" s="11164">
        <f t="shared" si="2"/>
        <v>74929</v>
      </c>
      <c r="H58" s="11132">
        <v>75000</v>
      </c>
      <c r="I58" s="11132">
        <v>3571</v>
      </c>
      <c r="J58" s="11163">
        <f t="shared" si="3"/>
        <v>4.7613333333333334E-2</v>
      </c>
      <c r="K58" s="11162">
        <v>50000</v>
      </c>
    </row>
    <row r="59" spans="1:12" ht="15" hidden="1" customHeight="1">
      <c r="A59" s="11158"/>
      <c r="B59" s="7835" t="s">
        <v>9978</v>
      </c>
      <c r="C59" s="7860"/>
      <c r="D59" s="10553"/>
      <c r="E59" s="11132"/>
      <c r="F59" s="11132"/>
      <c r="G59" s="11164">
        <f t="shared" si="2"/>
        <v>0</v>
      </c>
      <c r="H59" s="11132">
        <v>0</v>
      </c>
      <c r="I59" s="11132"/>
      <c r="J59" s="11163"/>
      <c r="K59" s="11162">
        <v>0</v>
      </c>
    </row>
    <row r="60" spans="1:12" ht="15" customHeight="1">
      <c r="A60" s="11158"/>
      <c r="B60" s="7835" t="s">
        <v>6358</v>
      </c>
      <c r="C60" s="7860"/>
      <c r="D60" s="10553">
        <v>50215020</v>
      </c>
      <c r="E60" s="11132">
        <f>'WS-MOOE 2017'!BH42</f>
        <v>4050</v>
      </c>
      <c r="F60" s="11132">
        <f>'WS-MOOE ACTUAL JUNE 2018'!AZ43</f>
        <v>0</v>
      </c>
      <c r="G60" s="11164">
        <f t="shared" si="2"/>
        <v>10000</v>
      </c>
      <c r="H60" s="11132">
        <v>10000</v>
      </c>
      <c r="I60" s="11132">
        <v>3375</v>
      </c>
      <c r="J60" s="11163">
        <f t="shared" si="3"/>
        <v>0.33750000000000002</v>
      </c>
      <c r="K60" s="11162">
        <v>10000</v>
      </c>
    </row>
    <row r="61" spans="1:12" ht="15" customHeight="1">
      <c r="A61" s="11152"/>
      <c r="B61" s="7835" t="s">
        <v>87</v>
      </c>
      <c r="C61" s="7860"/>
      <c r="D61" s="10553">
        <v>50299990</v>
      </c>
      <c r="E61" s="11132">
        <f>'WS-MOOE 2017'!BO42+'WS-MOOE 2017'!BZ42+'WS-MOOE 2017'!CD42+'WS-MOOE 2017'!CE42</f>
        <v>211571.91</v>
      </c>
      <c r="F61" s="11132">
        <f>'WS-MOOE ACTUAL JUNE 2018'!BI43</f>
        <v>43104.08</v>
      </c>
      <c r="G61" s="11164">
        <f t="shared" si="2"/>
        <v>56895.92</v>
      </c>
      <c r="H61" s="11132">
        <v>100000</v>
      </c>
      <c r="I61" s="11132">
        <v>65538.080000000002</v>
      </c>
      <c r="J61" s="11163">
        <f t="shared" si="3"/>
        <v>0.65538079999999999</v>
      </c>
      <c r="K61" s="11162">
        <v>150000</v>
      </c>
    </row>
    <row r="62" spans="1:12" ht="15" customHeight="1">
      <c r="A62" s="11152"/>
      <c r="B62" s="7835" t="s">
        <v>10236</v>
      </c>
      <c r="C62" s="7860"/>
      <c r="D62" s="10553"/>
      <c r="E62" s="11132"/>
      <c r="F62" s="11132"/>
      <c r="G62" s="11164">
        <f t="shared" si="2"/>
        <v>100000</v>
      </c>
      <c r="H62" s="11132">
        <v>100000</v>
      </c>
      <c r="I62" s="11132"/>
      <c r="J62" s="11163" t="s">
        <v>9</v>
      </c>
      <c r="K62" s="11162">
        <v>100000</v>
      </c>
    </row>
    <row r="63" spans="1:12" ht="15" customHeight="1">
      <c r="A63" s="11152"/>
      <c r="B63" s="7835" t="s">
        <v>10198</v>
      </c>
      <c r="C63" s="7860"/>
      <c r="D63" s="10553"/>
      <c r="E63" s="11132"/>
      <c r="F63" s="11132"/>
      <c r="G63" s="11164">
        <f t="shared" si="2"/>
        <v>100000</v>
      </c>
      <c r="H63" s="11132">
        <v>100000</v>
      </c>
      <c r="I63" s="11132"/>
      <c r="J63" s="11163" t="s">
        <v>9</v>
      </c>
      <c r="K63" s="11162">
        <v>100000</v>
      </c>
    </row>
    <row r="64" spans="1:12" ht="15" hidden="1" customHeight="1">
      <c r="A64" s="11152"/>
      <c r="B64" s="7835" t="s">
        <v>6359</v>
      </c>
      <c r="C64" s="7860"/>
      <c r="D64" s="10553"/>
      <c r="E64" s="11132"/>
      <c r="F64" s="11132"/>
      <c r="G64" s="11164">
        <f t="shared" si="2"/>
        <v>0</v>
      </c>
      <c r="H64" s="11132">
        <v>0</v>
      </c>
      <c r="I64" s="11132"/>
      <c r="J64" s="11163" t="e">
        <f t="shared" si="3"/>
        <v>#DIV/0!</v>
      </c>
      <c r="K64" s="11162">
        <v>0</v>
      </c>
    </row>
    <row r="65" spans="1:14" ht="15" hidden="1" customHeight="1">
      <c r="A65" s="11152"/>
      <c r="B65" s="7835" t="s">
        <v>10490</v>
      </c>
      <c r="C65" s="7860"/>
      <c r="D65" s="10553"/>
      <c r="E65" s="11132"/>
      <c r="F65" s="11132"/>
      <c r="G65" s="11164">
        <f t="shared" si="2"/>
        <v>0</v>
      </c>
      <c r="H65" s="11132">
        <v>0</v>
      </c>
      <c r="I65" s="11132"/>
      <c r="J65" s="11163"/>
      <c r="K65" s="11162">
        <v>0</v>
      </c>
    </row>
    <row r="66" spans="1:14" ht="15" hidden="1" customHeight="1">
      <c r="A66" s="11152"/>
      <c r="B66" s="7835" t="s">
        <v>10292</v>
      </c>
      <c r="C66" s="7860"/>
      <c r="D66" s="10553"/>
      <c r="E66" s="11132"/>
      <c r="F66" s="11132"/>
      <c r="G66" s="11164">
        <f t="shared" si="2"/>
        <v>0</v>
      </c>
      <c r="H66" s="8882">
        <v>0</v>
      </c>
      <c r="I66" s="11184"/>
      <c r="J66" s="9413"/>
      <c r="K66" s="11162">
        <v>0</v>
      </c>
    </row>
    <row r="67" spans="1:14" ht="15" customHeight="1">
      <c r="A67" s="11152"/>
      <c r="B67" s="8155" t="s">
        <v>11615</v>
      </c>
      <c r="C67" s="10557"/>
      <c r="D67" s="10553"/>
      <c r="E67" s="10138"/>
      <c r="F67" s="11132"/>
      <c r="G67" s="11164">
        <f t="shared" si="2"/>
        <v>80000</v>
      </c>
      <c r="H67" s="11132">
        <v>80000</v>
      </c>
      <c r="I67" s="11132"/>
      <c r="J67" s="11163" t="s">
        <v>9</v>
      </c>
      <c r="K67" s="11162">
        <v>150000</v>
      </c>
    </row>
    <row r="68" spans="1:14" ht="15" hidden="1" customHeight="1">
      <c r="A68" s="11152"/>
      <c r="B68" s="7835" t="s">
        <v>10491</v>
      </c>
      <c r="C68" s="7860"/>
      <c r="D68" s="10553" t="s">
        <v>10492</v>
      </c>
      <c r="E68" s="10138"/>
      <c r="F68" s="11132">
        <v>0</v>
      </c>
      <c r="G68" s="11132"/>
      <c r="H68" s="11132">
        <v>0</v>
      </c>
      <c r="I68" s="11132"/>
      <c r="J68" s="11163"/>
      <c r="K68" s="11162"/>
    </row>
    <row r="69" spans="1:14" ht="15" customHeight="1">
      <c r="A69" s="11152"/>
      <c r="B69" s="7835"/>
      <c r="C69" s="7860"/>
      <c r="D69" s="10553"/>
      <c r="E69" s="11185"/>
      <c r="F69" s="11186"/>
      <c r="G69" s="11186"/>
      <c r="H69" s="11169"/>
      <c r="I69" s="11169"/>
      <c r="J69" s="7313"/>
      <c r="K69" s="11171"/>
    </row>
    <row r="70" spans="1:14" ht="15" customHeight="1" thickBot="1">
      <c r="A70" s="11155"/>
      <c r="B70" s="11172" t="s">
        <v>37</v>
      </c>
      <c r="C70" s="8001"/>
      <c r="D70" s="11173"/>
      <c r="E70" s="11187">
        <f>SUM(E44:E68)</f>
        <v>1203918.02</v>
      </c>
      <c r="F70" s="11187">
        <f>SUM(F44:F68)</f>
        <v>408460.37</v>
      </c>
      <c r="G70" s="11187">
        <f>SUM(G44:G68)</f>
        <v>1471539.63</v>
      </c>
      <c r="H70" s="11188">
        <f>SUM(H44:H68)</f>
        <v>1880000</v>
      </c>
      <c r="I70" s="11188">
        <f>SUM(I44:I68)</f>
        <v>881218.64</v>
      </c>
      <c r="J70" s="7327">
        <f>I70/H70</f>
        <v>0.46873331914893618</v>
      </c>
      <c r="K70" s="11189">
        <f>SUM(K44:K69)</f>
        <v>1855000</v>
      </c>
      <c r="L70" s="10391">
        <f>(K70-H70)/H70</f>
        <v>-1.3297872340425532E-2</v>
      </c>
    </row>
    <row r="71" spans="1:14" s="8132" customFormat="1" ht="15" customHeight="1">
      <c r="A71" s="7835"/>
      <c r="B71" s="7920"/>
      <c r="C71" s="7998"/>
      <c r="D71" s="8745"/>
      <c r="E71" s="8018"/>
      <c r="F71" s="8018"/>
      <c r="G71" s="8018"/>
      <c r="H71" s="8018"/>
      <c r="I71" s="8018"/>
      <c r="J71" s="7350"/>
      <c r="K71" s="8018"/>
      <c r="L71" s="10570"/>
      <c r="M71" s="7483"/>
      <c r="N71" s="8135"/>
    </row>
    <row r="72" spans="1:14" s="8132" customFormat="1" ht="15" customHeight="1">
      <c r="A72" s="7835"/>
      <c r="B72" s="7920"/>
      <c r="C72" s="7998"/>
      <c r="D72" s="8745"/>
      <c r="E72" s="8156"/>
      <c r="F72" s="8156"/>
      <c r="G72" s="8156"/>
      <c r="H72" s="8018"/>
      <c r="I72" s="8156"/>
      <c r="J72" s="7350"/>
      <c r="L72" s="10570"/>
      <c r="M72" s="7483"/>
      <c r="N72" s="8135"/>
    </row>
    <row r="73" spans="1:14" s="8132" customFormat="1" ht="15" customHeight="1">
      <c r="A73" s="7835"/>
      <c r="B73" s="7920"/>
      <c r="C73" s="7998"/>
      <c r="D73" s="8745"/>
      <c r="E73" s="8156"/>
      <c r="F73" s="8156"/>
      <c r="G73" s="8156"/>
      <c r="H73" s="8018"/>
      <c r="I73" s="8156"/>
      <c r="J73" s="7350"/>
      <c r="L73" s="10570"/>
      <c r="M73" s="7483"/>
      <c r="N73" s="8135"/>
    </row>
    <row r="74" spans="1:14" s="8132" customFormat="1" ht="15" customHeight="1">
      <c r="A74" s="7835"/>
      <c r="B74" s="7920"/>
      <c r="C74" s="7998"/>
      <c r="D74" s="8745"/>
      <c r="E74" s="8156"/>
      <c r="F74" s="8156"/>
      <c r="G74" s="8156"/>
      <c r="H74" s="8018"/>
      <c r="I74" s="8156"/>
      <c r="J74" s="7350"/>
      <c r="K74" s="8018"/>
      <c r="L74" s="10570"/>
      <c r="M74" s="7483"/>
      <c r="N74" s="8135"/>
    </row>
    <row r="75" spans="1:14" s="8132" customFormat="1" ht="15" customHeight="1">
      <c r="A75" s="7835"/>
      <c r="B75" s="7920"/>
      <c r="C75" s="7998"/>
      <c r="D75" s="8745"/>
      <c r="E75" s="8156"/>
      <c r="F75" s="8156"/>
      <c r="G75" s="8156"/>
      <c r="H75" s="8018"/>
      <c r="I75" s="8156"/>
      <c r="J75" s="7350"/>
      <c r="K75" s="8018"/>
      <c r="L75" s="10570"/>
      <c r="M75" s="7483"/>
      <c r="N75" s="8135"/>
    </row>
    <row r="76" spans="1:14" s="8132" customFormat="1" ht="15" customHeight="1">
      <c r="A76" s="7835"/>
      <c r="B76" s="7920"/>
      <c r="C76" s="7998"/>
      <c r="D76" s="8745"/>
      <c r="E76" s="8156"/>
      <c r="F76" s="8156"/>
      <c r="G76" s="8156"/>
      <c r="H76" s="8018"/>
      <c r="I76" s="8156"/>
      <c r="J76" s="7350"/>
      <c r="K76" s="14251"/>
      <c r="L76" s="10570"/>
      <c r="M76" s="7483"/>
      <c r="N76" s="8135"/>
    </row>
    <row r="77" spans="1:14" s="8132" customFormat="1" ht="15" customHeight="1">
      <c r="A77" s="7835"/>
      <c r="B77" s="7920"/>
      <c r="C77" s="7998"/>
      <c r="D77" s="8745"/>
      <c r="E77" s="8156"/>
      <c r="F77" s="8156"/>
      <c r="G77" s="8156"/>
      <c r="H77" s="8018"/>
      <c r="I77" s="8156"/>
      <c r="J77" s="7350"/>
      <c r="K77" s="14251"/>
      <c r="L77" s="10570"/>
      <c r="M77" s="7483"/>
      <c r="N77" s="8135"/>
    </row>
    <row r="78" spans="1:14" s="8132" customFormat="1" ht="15" customHeight="1">
      <c r="A78" s="7835"/>
      <c r="B78" s="7920"/>
      <c r="C78" s="7998"/>
      <c r="D78" s="8745"/>
      <c r="E78" s="8156"/>
      <c r="F78" s="8156"/>
      <c r="G78" s="8156"/>
      <c r="H78" s="8018"/>
      <c r="I78" s="8156"/>
      <c r="J78" s="7350"/>
      <c r="K78" s="14251"/>
      <c r="L78" s="10570"/>
      <c r="M78" s="7483"/>
      <c r="N78" s="8135"/>
    </row>
    <row r="79" spans="1:14" s="8132" customFormat="1" ht="15" customHeight="1">
      <c r="A79" s="7835"/>
      <c r="B79" s="7920"/>
      <c r="C79" s="7998"/>
      <c r="D79" s="8745"/>
      <c r="E79" s="8156"/>
      <c r="F79" s="8156"/>
      <c r="G79" s="8156"/>
      <c r="H79" s="8018"/>
      <c r="I79" s="8156"/>
      <c r="J79" s="7350"/>
      <c r="K79" s="14251"/>
      <c r="L79" s="10570"/>
      <c r="M79" s="7483"/>
      <c r="N79" s="8135"/>
    </row>
    <row r="80" spans="1:14" s="8132" customFormat="1" ht="15" customHeight="1">
      <c r="A80" s="7835"/>
      <c r="B80" s="7920"/>
      <c r="C80" s="7998"/>
      <c r="D80" s="8745"/>
      <c r="E80" s="8156"/>
      <c r="F80" s="8156"/>
      <c r="G80" s="8156"/>
      <c r="H80" s="8018"/>
      <c r="I80" s="8156"/>
      <c r="J80" s="7350"/>
      <c r="K80" s="14251"/>
      <c r="L80" s="10570"/>
      <c r="M80" s="7483"/>
      <c r="N80" s="8135"/>
    </row>
    <row r="81" spans="1:14" s="8132" customFormat="1" ht="15" customHeight="1">
      <c r="A81" s="7835"/>
      <c r="B81" s="7920"/>
      <c r="C81" s="7998"/>
      <c r="D81" s="8745"/>
      <c r="E81" s="8156"/>
      <c r="F81" s="8156"/>
      <c r="G81" s="8156"/>
      <c r="H81" s="8018"/>
      <c r="I81" s="8156"/>
      <c r="J81" s="7350"/>
      <c r="K81" s="14251"/>
      <c r="L81" s="10570"/>
      <c r="M81" s="7483"/>
      <c r="N81" s="8135"/>
    </row>
    <row r="82" spans="1:14" s="8132" customFormat="1" ht="15" customHeight="1" thickBot="1">
      <c r="A82" s="7835" t="s">
        <v>10805</v>
      </c>
      <c r="B82" s="7920"/>
      <c r="C82" s="7998"/>
      <c r="D82" s="8745"/>
      <c r="E82" s="8156"/>
      <c r="F82" s="8156"/>
      <c r="G82" s="8156"/>
      <c r="H82" s="8018"/>
      <c r="I82" s="8156"/>
      <c r="J82" s="7350"/>
      <c r="K82" s="14252"/>
      <c r="L82" s="10570"/>
      <c r="M82" s="7483"/>
      <c r="N82" s="8135"/>
    </row>
    <row r="83" spans="1:14" ht="15" customHeight="1">
      <c r="A83" s="11149"/>
      <c r="B83" s="11150"/>
      <c r="C83" s="10558"/>
      <c r="D83" s="8749" t="s">
        <v>9</v>
      </c>
      <c r="E83" s="9594" t="s">
        <v>78</v>
      </c>
      <c r="F83" s="14188" t="s">
        <v>10711</v>
      </c>
      <c r="G83" s="14189"/>
      <c r="H83" s="14190"/>
      <c r="I83" s="8205"/>
      <c r="J83" s="8206"/>
      <c r="K83" s="11151" t="s">
        <v>12</v>
      </c>
    </row>
    <row r="84" spans="1:14" ht="15" customHeight="1">
      <c r="A84" s="11152"/>
      <c r="B84" s="7923" t="s">
        <v>13</v>
      </c>
      <c r="C84" s="10554"/>
      <c r="D84" s="14248" t="s">
        <v>14</v>
      </c>
      <c r="E84" s="11153" t="s">
        <v>15</v>
      </c>
      <c r="F84" s="9502" t="s">
        <v>10709</v>
      </c>
      <c r="G84" s="11083" t="s">
        <v>10710</v>
      </c>
      <c r="H84" s="14191" t="s">
        <v>458</v>
      </c>
      <c r="I84" s="11190"/>
      <c r="J84" s="11085"/>
      <c r="K84" s="11154" t="s">
        <v>16</v>
      </c>
    </row>
    <row r="85" spans="1:14" ht="15" customHeight="1" thickBot="1">
      <c r="A85" s="11155"/>
      <c r="B85" s="8208"/>
      <c r="C85" s="10555"/>
      <c r="D85" s="14249"/>
      <c r="E85" s="11156">
        <v>2017</v>
      </c>
      <c r="F85" s="9467" t="s">
        <v>457</v>
      </c>
      <c r="G85" s="11076" t="s">
        <v>456</v>
      </c>
      <c r="H85" s="14192"/>
      <c r="I85" s="7302"/>
      <c r="J85" s="7322"/>
      <c r="K85" s="11157">
        <v>2019</v>
      </c>
    </row>
    <row r="86" spans="1:14" s="8132" customFormat="1" ht="15" customHeight="1">
      <c r="A86" s="11152"/>
      <c r="B86" s="7923"/>
      <c r="C86" s="10554"/>
      <c r="D86" s="11179"/>
      <c r="E86" s="11153"/>
      <c r="F86" s="11153"/>
      <c r="G86" s="11153"/>
      <c r="H86" s="11191"/>
      <c r="I86" s="11153"/>
      <c r="J86" s="11108"/>
      <c r="K86" s="11154"/>
      <c r="L86" s="10570"/>
      <c r="M86" s="7483"/>
      <c r="N86" s="8135"/>
    </row>
    <row r="87" spans="1:14" ht="15" customHeight="1">
      <c r="A87" s="11158" t="s">
        <v>51</v>
      </c>
      <c r="B87" s="11192" t="s">
        <v>52</v>
      </c>
      <c r="C87" s="11193"/>
      <c r="D87" s="10553"/>
      <c r="E87" s="11194"/>
      <c r="F87" s="11194"/>
      <c r="G87" s="11194"/>
      <c r="H87" s="10138"/>
      <c r="I87" s="11195"/>
      <c r="J87" s="8799"/>
      <c r="K87" s="11133"/>
    </row>
    <row r="88" spans="1:14" ht="15" customHeight="1">
      <c r="A88" s="11158"/>
      <c r="B88" s="11192"/>
      <c r="C88" s="11193"/>
      <c r="D88" s="10553"/>
      <c r="E88" s="11194"/>
      <c r="F88" s="11194"/>
      <c r="G88" s="11194"/>
      <c r="H88" s="10138"/>
      <c r="I88" s="11195"/>
      <c r="J88" s="8799"/>
      <c r="K88" s="11133"/>
    </row>
    <row r="89" spans="1:14" ht="15" customHeight="1">
      <c r="A89" s="11158"/>
      <c r="B89" s="11192" t="s">
        <v>11674</v>
      </c>
      <c r="C89" s="11193"/>
      <c r="D89" s="10553">
        <v>50705020</v>
      </c>
      <c r="E89" s="11196">
        <f>'WS-CO 2017'!F41</f>
        <v>0</v>
      </c>
      <c r="F89" s="11196">
        <f>'WS-CO ACTUAL JUNE 2018'!E39</f>
        <v>21070</v>
      </c>
      <c r="G89" s="11164">
        <f>H89-F89</f>
        <v>178930</v>
      </c>
      <c r="H89" s="10138">
        <v>200000</v>
      </c>
      <c r="I89" s="10138">
        <v>57240</v>
      </c>
      <c r="J89" s="8799">
        <f>I89/H89</f>
        <v>0.28620000000000001</v>
      </c>
      <c r="K89" s="11133">
        <v>100000</v>
      </c>
    </row>
    <row r="90" spans="1:14" ht="15" hidden="1" customHeight="1">
      <c r="A90" s="11158"/>
      <c r="B90" s="11192" t="s">
        <v>10572</v>
      </c>
      <c r="C90" s="11193"/>
      <c r="D90" s="10553"/>
      <c r="E90" s="11196"/>
      <c r="F90" s="11196"/>
      <c r="G90" s="11196"/>
      <c r="H90" s="10138"/>
      <c r="I90" s="10138"/>
      <c r="J90" s="8799" t="e">
        <f>I90/H90</f>
        <v>#DIV/0!</v>
      </c>
      <c r="K90" s="11133"/>
    </row>
    <row r="91" spans="1:14" ht="15" customHeight="1">
      <c r="A91" s="11158"/>
      <c r="B91" s="11192" t="s">
        <v>5023</v>
      </c>
      <c r="C91" s="11193"/>
      <c r="D91" s="10553">
        <v>50707010</v>
      </c>
      <c r="E91" s="11196">
        <v>0</v>
      </c>
      <c r="F91" s="11196">
        <f>'WS-CO ACTUAL JUNE 2018'!G39</f>
        <v>0</v>
      </c>
      <c r="G91" s="11164">
        <f>H91-F91</f>
        <v>200000</v>
      </c>
      <c r="H91" s="10138">
        <v>200000</v>
      </c>
      <c r="I91" s="10138"/>
      <c r="J91" s="8799">
        <f>I91/H91</f>
        <v>0</v>
      </c>
      <c r="K91" s="11133"/>
    </row>
    <row r="92" spans="1:14" ht="15" customHeight="1">
      <c r="A92" s="11158"/>
      <c r="B92" s="7488" t="s">
        <v>10946</v>
      </c>
      <c r="C92" s="10078"/>
      <c r="D92" s="10553">
        <v>50705030</v>
      </c>
      <c r="E92" s="11196">
        <f>'WS-CO 2017'!H41</f>
        <v>17990</v>
      </c>
      <c r="F92" s="11196">
        <f>'WS-CO ACTUAL JUNE 2018'!F39</f>
        <v>86000</v>
      </c>
      <c r="G92" s="11164">
        <f>H92-F92</f>
        <v>64000</v>
      </c>
      <c r="H92" s="10138">
        <v>150000</v>
      </c>
      <c r="I92" s="10138">
        <v>150000</v>
      </c>
      <c r="J92" s="8799">
        <f>I92/H92</f>
        <v>1</v>
      </c>
      <c r="K92" s="11133">
        <v>30000</v>
      </c>
    </row>
    <row r="93" spans="1:14" ht="15" hidden="1" customHeight="1">
      <c r="A93" s="11158"/>
      <c r="B93" s="11192" t="s">
        <v>9992</v>
      </c>
      <c r="C93" s="11193"/>
      <c r="D93" s="10553"/>
      <c r="E93" s="11196"/>
      <c r="F93" s="11196"/>
      <c r="G93" s="11196"/>
      <c r="H93" s="10138"/>
      <c r="I93" s="10138"/>
      <c r="J93" s="8799"/>
      <c r="K93" s="11133"/>
    </row>
    <row r="94" spans="1:14" ht="15" hidden="1" customHeight="1">
      <c r="A94" s="11158"/>
      <c r="B94" s="11192" t="s">
        <v>9993</v>
      </c>
      <c r="C94" s="11193"/>
      <c r="D94" s="10553"/>
      <c r="E94" s="11196"/>
      <c r="F94" s="11196"/>
      <c r="G94" s="11196"/>
      <c r="H94" s="10138"/>
      <c r="I94" s="10138"/>
      <c r="J94" s="8799"/>
      <c r="K94" s="11133"/>
    </row>
    <row r="95" spans="1:14" ht="15" customHeight="1">
      <c r="A95" s="11197"/>
      <c r="B95" s="11198"/>
      <c r="C95" s="11199"/>
      <c r="D95" s="11200"/>
      <c r="E95" s="11184"/>
      <c r="F95" s="11184"/>
      <c r="G95" s="11184"/>
      <c r="H95" s="11184"/>
      <c r="I95" s="11184"/>
      <c r="J95" s="9413"/>
      <c r="K95" s="11201"/>
    </row>
    <row r="96" spans="1:14" ht="15" customHeight="1">
      <c r="A96" s="11158"/>
      <c r="B96" s="11202" t="s">
        <v>37</v>
      </c>
      <c r="C96" s="11203"/>
      <c r="D96" s="10553"/>
      <c r="E96" s="11204">
        <f>SUM(E89:E95)</f>
        <v>17990</v>
      </c>
      <c r="F96" s="11204">
        <f>SUM(F89:F95)</f>
        <v>107070</v>
      </c>
      <c r="G96" s="11204">
        <f>SUM(G89:G95)</f>
        <v>442930</v>
      </c>
      <c r="H96" s="11205">
        <f>SUM(H87:H95)</f>
        <v>550000</v>
      </c>
      <c r="I96" s="11205">
        <f>SUM(I87:I95)</f>
        <v>207240</v>
      </c>
      <c r="J96" s="11206">
        <f>I96/H96</f>
        <v>0.37680000000000002</v>
      </c>
      <c r="K96" s="11207">
        <f>SUM(K87:K95)</f>
        <v>130000</v>
      </c>
      <c r="L96" s="10391">
        <f>(K96-H96)/H96</f>
        <v>-0.76363636363636367</v>
      </c>
    </row>
    <row r="97" spans="1:12" ht="15" customHeight="1">
      <c r="A97" s="11158"/>
      <c r="B97" s="11202"/>
      <c r="C97" s="11203"/>
      <c r="D97" s="10553"/>
      <c r="E97" s="11208"/>
      <c r="F97" s="11208"/>
      <c r="G97" s="11208"/>
      <c r="H97" s="11209"/>
      <c r="I97" s="11208"/>
      <c r="J97" s="11210"/>
      <c r="K97" s="11211"/>
    </row>
    <row r="98" spans="1:12" ht="15" customHeight="1">
      <c r="A98" s="11158" t="s">
        <v>53</v>
      </c>
      <c r="B98" s="11192" t="s">
        <v>54</v>
      </c>
      <c r="C98" s="11193"/>
      <c r="D98" s="10553"/>
      <c r="E98" s="11212"/>
      <c r="F98" s="11212"/>
      <c r="G98" s="11212"/>
      <c r="H98" s="11132"/>
      <c r="I98" s="11159"/>
      <c r="J98" s="11163"/>
      <c r="K98" s="11162"/>
    </row>
    <row r="99" spans="1:12" ht="15" customHeight="1">
      <c r="A99" s="11158"/>
      <c r="B99" s="11192"/>
      <c r="C99" s="11193"/>
      <c r="D99" s="10553"/>
      <c r="E99" s="11212"/>
      <c r="F99" s="11212"/>
      <c r="G99" s="11212"/>
      <c r="H99" s="11132"/>
      <c r="I99" s="11159"/>
      <c r="J99" s="11163"/>
      <c r="K99" s="11162"/>
    </row>
    <row r="100" spans="1:12" ht="15" customHeight="1">
      <c r="A100" s="11158"/>
      <c r="B100" s="7835" t="s">
        <v>11675</v>
      </c>
      <c r="C100" s="10561"/>
      <c r="D100" s="10553">
        <v>3991</v>
      </c>
      <c r="E100" s="11213">
        <v>4627493.5999999996</v>
      </c>
      <c r="F100" s="11213">
        <v>4269209.53</v>
      </c>
      <c r="G100" s="11164">
        <f>H100-F100</f>
        <v>1730790.4699999997</v>
      </c>
      <c r="H100" s="11132">
        <v>6000000</v>
      </c>
      <c r="I100" s="11132">
        <v>5736924.9100000001</v>
      </c>
      <c r="J100" s="11163">
        <f>I100/H100</f>
        <v>0.95615415166666673</v>
      </c>
      <c r="K100" s="11162">
        <v>7000000</v>
      </c>
    </row>
    <row r="101" spans="1:12" ht="15" hidden="1" customHeight="1">
      <c r="A101" s="11158"/>
      <c r="B101" s="11143" t="s">
        <v>11798</v>
      </c>
      <c r="C101" s="11144">
        <v>84000</v>
      </c>
      <c r="D101" s="10553"/>
      <c r="E101" s="11213"/>
      <c r="F101" s="11213"/>
      <c r="G101" s="11164"/>
      <c r="H101" s="11132"/>
      <c r="I101" s="11132"/>
      <c r="J101" s="11163"/>
      <c r="K101" s="11162"/>
      <c r="L101" s="11145">
        <f>SUM(C101:C102)</f>
        <v>7000000</v>
      </c>
    </row>
    <row r="102" spans="1:12" ht="15" hidden="1" customHeight="1">
      <c r="A102" s="11158"/>
      <c r="B102" s="11146" t="s">
        <v>85</v>
      </c>
      <c r="C102" s="11144">
        <v>6916000</v>
      </c>
      <c r="D102" s="10553"/>
      <c r="E102" s="11213"/>
      <c r="F102" s="11213"/>
      <c r="G102" s="11164"/>
      <c r="H102" s="11132"/>
      <c r="I102" s="11132"/>
      <c r="J102" s="11163"/>
      <c r="K102" s="11162"/>
    </row>
    <row r="103" spans="1:12" ht="15" customHeight="1">
      <c r="A103" s="11158"/>
      <c r="B103" s="7835" t="s">
        <v>11676</v>
      </c>
      <c r="C103" s="10561"/>
      <c r="D103" s="10553">
        <v>899927</v>
      </c>
      <c r="E103" s="11213">
        <v>691425</v>
      </c>
      <c r="F103" s="11213">
        <v>29180</v>
      </c>
      <c r="G103" s="11164">
        <f>H103-F103</f>
        <v>970820</v>
      </c>
      <c r="H103" s="11132">
        <v>1000000</v>
      </c>
      <c r="I103" s="11132">
        <v>475925</v>
      </c>
      <c r="J103" s="11163">
        <f>I103/H103</f>
        <v>0.47592499999999999</v>
      </c>
      <c r="K103" s="11162">
        <v>1500000</v>
      </c>
    </row>
    <row r="104" spans="1:12" ht="15" hidden="1" customHeight="1">
      <c r="A104" s="11158"/>
      <c r="B104" s="7835" t="s">
        <v>11077</v>
      </c>
      <c r="C104" s="10561"/>
      <c r="D104" s="10553"/>
      <c r="E104" s="11212"/>
      <c r="F104" s="11212"/>
      <c r="G104" s="11212"/>
      <c r="H104" s="11132">
        <v>0</v>
      </c>
      <c r="I104" s="11132"/>
      <c r="J104" s="11163"/>
      <c r="K104" s="11162">
        <v>0</v>
      </c>
    </row>
    <row r="105" spans="1:12" ht="15" hidden="1" customHeight="1">
      <c r="A105" s="11158"/>
      <c r="B105" s="11146" t="s">
        <v>11816</v>
      </c>
      <c r="C105" s="11147"/>
      <c r="D105" s="10553"/>
      <c r="E105" s="11212"/>
      <c r="F105" s="11212"/>
      <c r="G105" s="11212"/>
      <c r="H105" s="11132"/>
      <c r="I105" s="11132"/>
      <c r="J105" s="11163"/>
      <c r="K105" s="11162"/>
      <c r="L105" s="11145">
        <f>SUM(C105:C111)</f>
        <v>0</v>
      </c>
    </row>
    <row r="106" spans="1:12" ht="15" hidden="1" customHeight="1">
      <c r="A106" s="11158"/>
      <c r="B106" s="11146" t="s">
        <v>11783</v>
      </c>
      <c r="C106" s="11147"/>
      <c r="D106" s="10553"/>
      <c r="E106" s="11212"/>
      <c r="F106" s="11212"/>
      <c r="G106" s="11212"/>
      <c r="H106" s="11132"/>
      <c r="I106" s="11132"/>
      <c r="J106" s="11163"/>
      <c r="K106" s="11162"/>
    </row>
    <row r="107" spans="1:12" ht="15" hidden="1" customHeight="1">
      <c r="A107" s="11158"/>
      <c r="B107" s="11146" t="s">
        <v>700</v>
      </c>
      <c r="C107" s="11147"/>
      <c r="D107" s="10553"/>
      <c r="E107" s="11212"/>
      <c r="F107" s="11212"/>
      <c r="G107" s="11212"/>
      <c r="H107" s="11132"/>
      <c r="I107" s="11132"/>
      <c r="J107" s="11163"/>
      <c r="K107" s="11162"/>
    </row>
    <row r="108" spans="1:12" ht="15" hidden="1" customHeight="1">
      <c r="A108" s="11158"/>
      <c r="B108" s="11146" t="s">
        <v>11817</v>
      </c>
      <c r="C108" s="11147"/>
      <c r="D108" s="10553"/>
      <c r="E108" s="11212"/>
      <c r="F108" s="11212"/>
      <c r="G108" s="11212"/>
      <c r="H108" s="11132"/>
      <c r="I108" s="11132"/>
      <c r="J108" s="11163"/>
      <c r="K108" s="11162"/>
    </row>
    <row r="109" spans="1:12" ht="15" hidden="1" customHeight="1">
      <c r="A109" s="11158"/>
      <c r="B109" s="11146" t="s">
        <v>10331</v>
      </c>
      <c r="C109" s="11147"/>
      <c r="D109" s="10553"/>
      <c r="E109" s="11212"/>
      <c r="F109" s="11212"/>
      <c r="G109" s="11212"/>
      <c r="H109" s="11132"/>
      <c r="I109" s="11132"/>
      <c r="J109" s="11163"/>
      <c r="K109" s="11162"/>
    </row>
    <row r="110" spans="1:12" ht="15" hidden="1" customHeight="1">
      <c r="A110" s="11158"/>
      <c r="B110" s="11146" t="s">
        <v>11818</v>
      </c>
      <c r="C110" s="11147"/>
      <c r="D110" s="10553"/>
      <c r="E110" s="11212"/>
      <c r="F110" s="11212"/>
      <c r="G110" s="11212"/>
      <c r="H110" s="11132"/>
      <c r="I110" s="11132"/>
      <c r="J110" s="11163"/>
      <c r="K110" s="11162"/>
    </row>
    <row r="111" spans="1:12" ht="15" hidden="1" customHeight="1">
      <c r="A111" s="11158"/>
      <c r="B111" s="11146" t="s">
        <v>11819</v>
      </c>
      <c r="C111" s="11147"/>
      <c r="D111" s="10553"/>
      <c r="E111" s="11212"/>
      <c r="F111" s="11212"/>
      <c r="G111" s="11212"/>
      <c r="H111" s="11132"/>
      <c r="I111" s="11132"/>
      <c r="J111" s="11163"/>
      <c r="K111" s="11162"/>
    </row>
    <row r="112" spans="1:12" ht="15" customHeight="1">
      <c r="A112" s="11152"/>
      <c r="B112" s="7920" t="s">
        <v>37</v>
      </c>
      <c r="C112" s="10562"/>
      <c r="D112" s="10553"/>
      <c r="E112" s="11214">
        <f>SUM(E100:E103)</f>
        <v>5318918.5999999996</v>
      </c>
      <c r="F112" s="11214">
        <f>SUM(F100:F103)</f>
        <v>4298389.53</v>
      </c>
      <c r="G112" s="11214">
        <f>SUM(G100:G103)</f>
        <v>2701610.4699999997</v>
      </c>
      <c r="H112" s="11215">
        <f>SUM(H100:H103)</f>
        <v>7000000</v>
      </c>
      <c r="I112" s="11215">
        <f>I100+I103</f>
        <v>6212849.9100000001</v>
      </c>
      <c r="J112" s="11206">
        <f>I112/H112</f>
        <v>0.88754998714285716</v>
      </c>
      <c r="K112" s="11216">
        <f>SUM(K100:K104)</f>
        <v>8500000</v>
      </c>
      <c r="L112" s="10391">
        <f>(K112-H112)/H112</f>
        <v>0.21428571428571427</v>
      </c>
    </row>
    <row r="113" spans="1:14" ht="15" customHeight="1">
      <c r="A113" s="11152"/>
      <c r="B113" s="7920"/>
      <c r="C113" s="10562"/>
      <c r="D113" s="11217"/>
      <c r="E113" s="11218"/>
      <c r="F113" s="11218"/>
      <c r="G113" s="11218"/>
      <c r="H113" s="11219"/>
      <c r="I113" s="11219"/>
      <c r="J113" s="11220"/>
      <c r="K113" s="11221"/>
    </row>
    <row r="114" spans="1:14" ht="15" customHeight="1" thickBot="1">
      <c r="A114" s="11222"/>
      <c r="B114" s="11223" t="s">
        <v>55</v>
      </c>
      <c r="C114" s="11224"/>
      <c r="D114" s="11225"/>
      <c r="E114" s="11226">
        <f>(E29+E70+E96+E112)</f>
        <v>7890798.9199999999</v>
      </c>
      <c r="F114" s="11226">
        <f>(F29+F70+F96+F112)</f>
        <v>5442176.2599999998</v>
      </c>
      <c r="G114" s="11226">
        <f>(G29+G70+G96+G112)</f>
        <v>5877446.7399999993</v>
      </c>
      <c r="H114" s="11188">
        <f>(H29+H70+H96+H112)</f>
        <v>11319623</v>
      </c>
      <c r="I114" s="11226"/>
      <c r="J114" s="7327"/>
      <c r="K114" s="11189">
        <f>(K29+K70+K96+K112)</f>
        <v>12399044.775</v>
      </c>
      <c r="L114" s="10391">
        <f>(K114-H114)/H114</f>
        <v>9.5358456284277346E-2</v>
      </c>
    </row>
    <row r="115" spans="1:14" s="7333" customFormat="1" ht="15" customHeight="1">
      <c r="A115" s="7812" t="s">
        <v>4763</v>
      </c>
      <c r="B115" s="7812"/>
      <c r="C115" s="7989"/>
      <c r="D115" s="8750"/>
      <c r="E115" s="7814"/>
      <c r="F115" s="7814"/>
      <c r="G115" s="7814"/>
      <c r="H115" s="8157"/>
      <c r="I115" s="7814"/>
      <c r="J115" s="8043"/>
      <c r="K115" s="8157"/>
      <c r="L115" s="10571"/>
      <c r="M115" s="7505"/>
      <c r="N115" s="7842"/>
    </row>
    <row r="116" spans="1:14" s="7333" customFormat="1" ht="15" hidden="1" customHeight="1">
      <c r="A116" s="7812"/>
      <c r="B116" s="7812"/>
      <c r="C116" s="7989"/>
      <c r="D116" s="8750"/>
      <c r="E116" s="7814"/>
      <c r="F116" s="7814"/>
      <c r="G116" s="7814"/>
      <c r="H116" s="8157"/>
      <c r="I116" s="7814"/>
      <c r="J116" s="8043"/>
      <c r="K116" s="8157"/>
      <c r="L116" s="10571"/>
      <c r="M116" s="7505"/>
      <c r="N116" s="7842"/>
    </row>
    <row r="117" spans="1:14" ht="15" hidden="1" customHeight="1">
      <c r="A117" s="7761" t="s">
        <v>3483</v>
      </c>
      <c r="B117" s="7761"/>
      <c r="C117" s="7990"/>
      <c r="D117" s="7821" t="s">
        <v>3484</v>
      </c>
      <c r="E117" s="7837"/>
      <c r="F117" s="7763"/>
      <c r="G117" s="9459" t="s">
        <v>10666</v>
      </c>
      <c r="H117" s="7837"/>
      <c r="I117" s="7763"/>
      <c r="J117" s="7286"/>
    </row>
    <row r="118" spans="1:14" ht="15" hidden="1" customHeight="1">
      <c r="A118" s="7761"/>
      <c r="B118" s="7761"/>
      <c r="C118" s="7990"/>
      <c r="D118" s="8751"/>
      <c r="E118" s="7821"/>
      <c r="F118" s="7763"/>
      <c r="G118" s="7763"/>
      <c r="I118" s="7763"/>
      <c r="J118" s="7286"/>
    </row>
    <row r="119" spans="1:14" ht="15" hidden="1" customHeight="1">
      <c r="A119" s="7761"/>
      <c r="B119" s="7761"/>
      <c r="C119" s="7990"/>
      <c r="D119" s="8751"/>
      <c r="E119" s="7821"/>
      <c r="F119" s="7763"/>
      <c r="G119" s="7763"/>
      <c r="I119" s="7763"/>
      <c r="J119" s="7286"/>
    </row>
    <row r="120" spans="1:14" s="8159" customFormat="1" ht="15" hidden="1" customHeight="1">
      <c r="A120" s="14244" t="s">
        <v>11259</v>
      </c>
      <c r="B120" s="14244"/>
      <c r="C120" s="10547"/>
      <c r="D120" s="8752"/>
      <c r="E120" s="9604" t="s">
        <v>12059</v>
      </c>
      <c r="F120" s="7933"/>
      <c r="G120" s="7933"/>
      <c r="H120" s="7342" t="s">
        <v>9154</v>
      </c>
      <c r="I120" s="7933"/>
      <c r="J120" s="7934"/>
      <c r="L120" s="9567"/>
      <c r="M120" s="8158"/>
      <c r="N120" s="11148"/>
    </row>
    <row r="121" spans="1:14" s="7838" customFormat="1" ht="15" hidden="1" customHeight="1">
      <c r="A121" s="14245" t="s">
        <v>11258</v>
      </c>
      <c r="B121" s="14245"/>
      <c r="C121" s="10548"/>
      <c r="D121" s="8753"/>
      <c r="E121" s="7821" t="s">
        <v>3486</v>
      </c>
      <c r="F121" s="7763"/>
      <c r="G121" s="7763"/>
      <c r="H121" s="7344" t="s">
        <v>10665</v>
      </c>
      <c r="J121" s="7763"/>
      <c r="L121" s="10569"/>
      <c r="M121" s="7749"/>
    </row>
    <row r="122" spans="1:14" s="7838" customFormat="1" ht="15" customHeight="1">
      <c r="A122" s="7821"/>
      <c r="C122" s="7749"/>
      <c r="D122" s="14246"/>
      <c r="E122" s="14246"/>
      <c r="F122" s="10870"/>
      <c r="G122" s="10870"/>
      <c r="H122" s="14247"/>
      <c r="I122" s="14247"/>
      <c r="J122" s="14247"/>
      <c r="K122" s="14247"/>
      <c r="L122" s="10569"/>
      <c r="M122" s="7749"/>
    </row>
    <row r="123" spans="1:14" ht="15" hidden="1" customHeight="1">
      <c r="A123" s="7761"/>
      <c r="B123" s="7765"/>
      <c r="C123" s="7969"/>
      <c r="D123" s="10879"/>
      <c r="E123" s="7766"/>
      <c r="F123" s="7766"/>
      <c r="G123" s="9566" t="s">
        <v>11078</v>
      </c>
      <c r="H123" s="7837"/>
      <c r="I123" s="7766"/>
      <c r="J123" s="7284"/>
      <c r="K123" s="8891" t="s">
        <v>11079</v>
      </c>
    </row>
    <row r="124" spans="1:14" ht="15" hidden="1" customHeight="1">
      <c r="A124" s="7761"/>
      <c r="B124" s="7761"/>
      <c r="C124" s="7990"/>
      <c r="D124" s="8744"/>
      <c r="E124" s="7763"/>
      <c r="F124" s="7763">
        <v>9053451</v>
      </c>
      <c r="G124" s="9595">
        <f>H114-F124</f>
        <v>2266172</v>
      </c>
      <c r="I124" s="7763"/>
      <c r="J124" s="7286"/>
      <c r="K124" s="8887">
        <f>K114-H114</f>
        <v>1079421.7750000004</v>
      </c>
    </row>
    <row r="125" spans="1:14" ht="15" hidden="1" customHeight="1">
      <c r="G125" s="8890">
        <f>G124/F124</f>
        <v>0.25031029604070315</v>
      </c>
      <c r="K125" s="8890">
        <f>K124/H114</f>
        <v>9.5358456284277346E-2</v>
      </c>
    </row>
    <row r="126" spans="1:14" ht="15" customHeight="1">
      <c r="G126" s="9596"/>
      <c r="I126" s="7334"/>
      <c r="K126" s="8886"/>
    </row>
    <row r="128" spans="1:14" ht="15" customHeight="1">
      <c r="I128" s="7339"/>
    </row>
    <row r="129" spans="9:9" ht="15" customHeight="1">
      <c r="I129" s="7334"/>
    </row>
  </sheetData>
  <mergeCells count="17">
    <mergeCell ref="K4:K5"/>
    <mergeCell ref="K36:K38"/>
    <mergeCell ref="K76:K82"/>
    <mergeCell ref="A1:K1"/>
    <mergeCell ref="D8:D9"/>
    <mergeCell ref="F7:H7"/>
    <mergeCell ref="H8:H9"/>
    <mergeCell ref="F39:H39"/>
    <mergeCell ref="D40:D41"/>
    <mergeCell ref="H40:H41"/>
    <mergeCell ref="A120:B120"/>
    <mergeCell ref="A121:B121"/>
    <mergeCell ref="F83:H83"/>
    <mergeCell ref="H84:H85"/>
    <mergeCell ref="D122:E122"/>
    <mergeCell ref="H122:K122"/>
    <mergeCell ref="D84:D85"/>
  </mergeCells>
  <printOptions horizontalCentered="1" gridLinesSet="0"/>
  <pageMargins left="0.25" right="0.25" top="0.5" bottom="0.25" header="0.25" footer="0.25"/>
  <pageSetup paperSize="119" firstPageNumber="41" orientation="landscape" useFirstPageNumber="1" r:id="rId1"/>
  <headerFooter alignWithMargins="0"/>
</worksheet>
</file>

<file path=xl/worksheets/sheet3.xml><?xml version="1.0" encoding="utf-8"?>
<worksheet xmlns="http://schemas.openxmlformats.org/spreadsheetml/2006/main" xmlns:r="http://schemas.openxmlformats.org/officeDocument/2006/relationships">
  <sheetPr codeName="Sheet1">
    <tabColor rgb="FF7030A0"/>
  </sheetPr>
  <dimension ref="A2:N58"/>
  <sheetViews>
    <sheetView showGridLines="0" workbookViewId="0">
      <selection activeCell="R12" sqref="R12"/>
    </sheetView>
  </sheetViews>
  <sheetFormatPr defaultRowHeight="15.6"/>
  <cols>
    <col min="1" max="1" width="11.6640625" style="13573" customWidth="1"/>
    <col min="2" max="2" width="7" style="13573" customWidth="1"/>
    <col min="3" max="3" width="2.109375" style="13573" customWidth="1"/>
    <col min="4" max="4" width="0.109375" style="13573" hidden="1" customWidth="1"/>
    <col min="5" max="5" width="10.109375" style="13573" customWidth="1"/>
    <col min="6" max="6" width="19.44140625" style="13573" customWidth="1"/>
    <col min="7" max="7" width="0.6640625" style="13573" customWidth="1"/>
    <col min="8" max="8" width="17.88671875" style="13573" customWidth="1"/>
    <col min="9" max="9" width="1.109375" style="13573" customWidth="1"/>
    <col min="10" max="10" width="17.88671875" style="13573" customWidth="1"/>
    <col min="11" max="11" width="0.6640625" style="13573" customWidth="1"/>
    <col min="12" max="12" width="18.33203125" style="13573" customWidth="1"/>
    <col min="13" max="13" width="20.44140625" style="13573" hidden="1" customWidth="1"/>
    <col min="14" max="14" width="20.33203125" style="13573" hidden="1" customWidth="1"/>
    <col min="15" max="15" width="0" style="13573" hidden="1" customWidth="1"/>
    <col min="16" max="256" width="9.109375" style="13573"/>
    <col min="257" max="257" width="9.109375" style="13573" customWidth="1"/>
    <col min="258" max="258" width="7" style="13573" customWidth="1"/>
    <col min="259" max="259" width="2.109375" style="13573" customWidth="1"/>
    <col min="260" max="260" width="0" style="13573" hidden="1" customWidth="1"/>
    <col min="261" max="261" width="15.109375" style="13573" customWidth="1"/>
    <col min="262" max="262" width="16.88671875" style="13573" customWidth="1"/>
    <col min="263" max="263" width="1.88671875" style="13573" customWidth="1"/>
    <col min="264" max="264" width="15.44140625" style="13573" customWidth="1"/>
    <col min="265" max="265" width="1.109375" style="13573" customWidth="1"/>
    <col min="266" max="266" width="15.109375" style="13573" customWidth="1"/>
    <col min="267" max="267" width="0.88671875" style="13573" customWidth="1"/>
    <col min="268" max="268" width="16.88671875" style="13573" customWidth="1"/>
    <col min="269" max="512" width="9.109375" style="13573"/>
    <col min="513" max="513" width="9.109375" style="13573" customWidth="1"/>
    <col min="514" max="514" width="7" style="13573" customWidth="1"/>
    <col min="515" max="515" width="2.109375" style="13573" customWidth="1"/>
    <col min="516" max="516" width="0" style="13573" hidden="1" customWidth="1"/>
    <col min="517" max="517" width="15.109375" style="13573" customWidth="1"/>
    <col min="518" max="518" width="16.88671875" style="13573" customWidth="1"/>
    <col min="519" max="519" width="1.88671875" style="13573" customWidth="1"/>
    <col min="520" max="520" width="15.44140625" style="13573" customWidth="1"/>
    <col min="521" max="521" width="1.109375" style="13573" customWidth="1"/>
    <col min="522" max="522" width="15.109375" style="13573" customWidth="1"/>
    <col min="523" max="523" width="0.88671875" style="13573" customWidth="1"/>
    <col min="524" max="524" width="16.88671875" style="13573" customWidth="1"/>
    <col min="525" max="768" width="9.109375" style="13573"/>
    <col min="769" max="769" width="9.109375" style="13573" customWidth="1"/>
    <col min="770" max="770" width="7" style="13573" customWidth="1"/>
    <col min="771" max="771" width="2.109375" style="13573" customWidth="1"/>
    <col min="772" max="772" width="0" style="13573" hidden="1" customWidth="1"/>
    <col min="773" max="773" width="15.109375" style="13573" customWidth="1"/>
    <col min="774" max="774" width="16.88671875" style="13573" customWidth="1"/>
    <col min="775" max="775" width="1.88671875" style="13573" customWidth="1"/>
    <col min="776" max="776" width="15.44140625" style="13573" customWidth="1"/>
    <col min="777" max="777" width="1.109375" style="13573" customWidth="1"/>
    <col min="778" max="778" width="15.109375" style="13573" customWidth="1"/>
    <col min="779" max="779" width="0.88671875" style="13573" customWidth="1"/>
    <col min="780" max="780" width="16.88671875" style="13573" customWidth="1"/>
    <col min="781" max="1024" width="9.109375" style="13573"/>
    <col min="1025" max="1025" width="9.109375" style="13573" customWidth="1"/>
    <col min="1026" max="1026" width="7" style="13573" customWidth="1"/>
    <col min="1027" max="1027" width="2.109375" style="13573" customWidth="1"/>
    <col min="1028" max="1028" width="0" style="13573" hidden="1" customWidth="1"/>
    <col min="1029" max="1029" width="15.109375" style="13573" customWidth="1"/>
    <col min="1030" max="1030" width="16.88671875" style="13573" customWidth="1"/>
    <col min="1031" max="1031" width="1.88671875" style="13573" customWidth="1"/>
    <col min="1032" max="1032" width="15.44140625" style="13573" customWidth="1"/>
    <col min="1033" max="1033" width="1.109375" style="13573" customWidth="1"/>
    <col min="1034" max="1034" width="15.109375" style="13573" customWidth="1"/>
    <col min="1035" max="1035" width="0.88671875" style="13573" customWidth="1"/>
    <col min="1036" max="1036" width="16.88671875" style="13573" customWidth="1"/>
    <col min="1037" max="1280" width="9.109375" style="13573"/>
    <col min="1281" max="1281" width="9.109375" style="13573" customWidth="1"/>
    <col min="1282" max="1282" width="7" style="13573" customWidth="1"/>
    <col min="1283" max="1283" width="2.109375" style="13573" customWidth="1"/>
    <col min="1284" max="1284" width="0" style="13573" hidden="1" customWidth="1"/>
    <col min="1285" max="1285" width="15.109375" style="13573" customWidth="1"/>
    <col min="1286" max="1286" width="16.88671875" style="13573" customWidth="1"/>
    <col min="1287" max="1287" width="1.88671875" style="13573" customWidth="1"/>
    <col min="1288" max="1288" width="15.44140625" style="13573" customWidth="1"/>
    <col min="1289" max="1289" width="1.109375" style="13573" customWidth="1"/>
    <col min="1290" max="1290" width="15.109375" style="13573" customWidth="1"/>
    <col min="1291" max="1291" width="0.88671875" style="13573" customWidth="1"/>
    <col min="1292" max="1292" width="16.88671875" style="13573" customWidth="1"/>
    <col min="1293" max="1536" width="9.109375" style="13573"/>
    <col min="1537" max="1537" width="9.109375" style="13573" customWidth="1"/>
    <col min="1538" max="1538" width="7" style="13573" customWidth="1"/>
    <col min="1539" max="1539" width="2.109375" style="13573" customWidth="1"/>
    <col min="1540" max="1540" width="0" style="13573" hidden="1" customWidth="1"/>
    <col min="1541" max="1541" width="15.109375" style="13573" customWidth="1"/>
    <col min="1542" max="1542" width="16.88671875" style="13573" customWidth="1"/>
    <col min="1543" max="1543" width="1.88671875" style="13573" customWidth="1"/>
    <col min="1544" max="1544" width="15.44140625" style="13573" customWidth="1"/>
    <col min="1545" max="1545" width="1.109375" style="13573" customWidth="1"/>
    <col min="1546" max="1546" width="15.109375" style="13573" customWidth="1"/>
    <col min="1547" max="1547" width="0.88671875" style="13573" customWidth="1"/>
    <col min="1548" max="1548" width="16.88671875" style="13573" customWidth="1"/>
    <col min="1549" max="1792" width="9.109375" style="13573"/>
    <col min="1793" max="1793" width="9.109375" style="13573" customWidth="1"/>
    <col min="1794" max="1794" width="7" style="13573" customWidth="1"/>
    <col min="1795" max="1795" width="2.109375" style="13573" customWidth="1"/>
    <col min="1796" max="1796" width="0" style="13573" hidden="1" customWidth="1"/>
    <col min="1797" max="1797" width="15.109375" style="13573" customWidth="1"/>
    <col min="1798" max="1798" width="16.88671875" style="13573" customWidth="1"/>
    <col min="1799" max="1799" width="1.88671875" style="13573" customWidth="1"/>
    <col min="1800" max="1800" width="15.44140625" style="13573" customWidth="1"/>
    <col min="1801" max="1801" width="1.109375" style="13573" customWidth="1"/>
    <col min="1802" max="1802" width="15.109375" style="13573" customWidth="1"/>
    <col min="1803" max="1803" width="0.88671875" style="13573" customWidth="1"/>
    <col min="1804" max="1804" width="16.88671875" style="13573" customWidth="1"/>
    <col min="1805" max="2048" width="9.109375" style="13573"/>
    <col min="2049" max="2049" width="9.109375" style="13573" customWidth="1"/>
    <col min="2050" max="2050" width="7" style="13573" customWidth="1"/>
    <col min="2051" max="2051" width="2.109375" style="13573" customWidth="1"/>
    <col min="2052" max="2052" width="0" style="13573" hidden="1" customWidth="1"/>
    <col min="2053" max="2053" width="15.109375" style="13573" customWidth="1"/>
    <col min="2054" max="2054" width="16.88671875" style="13573" customWidth="1"/>
    <col min="2055" max="2055" width="1.88671875" style="13573" customWidth="1"/>
    <col min="2056" max="2056" width="15.44140625" style="13573" customWidth="1"/>
    <col min="2057" max="2057" width="1.109375" style="13573" customWidth="1"/>
    <col min="2058" max="2058" width="15.109375" style="13573" customWidth="1"/>
    <col min="2059" max="2059" width="0.88671875" style="13573" customWidth="1"/>
    <col min="2060" max="2060" width="16.88671875" style="13573" customWidth="1"/>
    <col min="2061" max="2304" width="9.109375" style="13573"/>
    <col min="2305" max="2305" width="9.109375" style="13573" customWidth="1"/>
    <col min="2306" max="2306" width="7" style="13573" customWidth="1"/>
    <col min="2307" max="2307" width="2.109375" style="13573" customWidth="1"/>
    <col min="2308" max="2308" width="0" style="13573" hidden="1" customWidth="1"/>
    <col min="2309" max="2309" width="15.109375" style="13573" customWidth="1"/>
    <col min="2310" max="2310" width="16.88671875" style="13573" customWidth="1"/>
    <col min="2311" max="2311" width="1.88671875" style="13573" customWidth="1"/>
    <col min="2312" max="2312" width="15.44140625" style="13573" customWidth="1"/>
    <col min="2313" max="2313" width="1.109375" style="13573" customWidth="1"/>
    <col min="2314" max="2314" width="15.109375" style="13573" customWidth="1"/>
    <col min="2315" max="2315" width="0.88671875" style="13573" customWidth="1"/>
    <col min="2316" max="2316" width="16.88671875" style="13573" customWidth="1"/>
    <col min="2317" max="2560" width="9.109375" style="13573"/>
    <col min="2561" max="2561" width="9.109375" style="13573" customWidth="1"/>
    <col min="2562" max="2562" width="7" style="13573" customWidth="1"/>
    <col min="2563" max="2563" width="2.109375" style="13573" customWidth="1"/>
    <col min="2564" max="2564" width="0" style="13573" hidden="1" customWidth="1"/>
    <col min="2565" max="2565" width="15.109375" style="13573" customWidth="1"/>
    <col min="2566" max="2566" width="16.88671875" style="13573" customWidth="1"/>
    <col min="2567" max="2567" width="1.88671875" style="13573" customWidth="1"/>
    <col min="2568" max="2568" width="15.44140625" style="13573" customWidth="1"/>
    <col min="2569" max="2569" width="1.109375" style="13573" customWidth="1"/>
    <col min="2570" max="2570" width="15.109375" style="13573" customWidth="1"/>
    <col min="2571" max="2571" width="0.88671875" style="13573" customWidth="1"/>
    <col min="2572" max="2572" width="16.88671875" style="13573" customWidth="1"/>
    <col min="2573" max="2816" width="9.109375" style="13573"/>
    <col min="2817" max="2817" width="9.109375" style="13573" customWidth="1"/>
    <col min="2818" max="2818" width="7" style="13573" customWidth="1"/>
    <col min="2819" max="2819" width="2.109375" style="13573" customWidth="1"/>
    <col min="2820" max="2820" width="0" style="13573" hidden="1" customWidth="1"/>
    <col min="2821" max="2821" width="15.109375" style="13573" customWidth="1"/>
    <col min="2822" max="2822" width="16.88671875" style="13573" customWidth="1"/>
    <col min="2823" max="2823" width="1.88671875" style="13573" customWidth="1"/>
    <col min="2824" max="2824" width="15.44140625" style="13573" customWidth="1"/>
    <col min="2825" max="2825" width="1.109375" style="13573" customWidth="1"/>
    <col min="2826" max="2826" width="15.109375" style="13573" customWidth="1"/>
    <col min="2827" max="2827" width="0.88671875" style="13573" customWidth="1"/>
    <col min="2828" max="2828" width="16.88671875" style="13573" customWidth="1"/>
    <col min="2829" max="3072" width="9.109375" style="13573"/>
    <col min="3073" max="3073" width="9.109375" style="13573" customWidth="1"/>
    <col min="3074" max="3074" width="7" style="13573" customWidth="1"/>
    <col min="3075" max="3075" width="2.109375" style="13573" customWidth="1"/>
    <col min="3076" max="3076" width="0" style="13573" hidden="1" customWidth="1"/>
    <col min="3077" max="3077" width="15.109375" style="13573" customWidth="1"/>
    <col min="3078" max="3078" width="16.88671875" style="13573" customWidth="1"/>
    <col min="3079" max="3079" width="1.88671875" style="13573" customWidth="1"/>
    <col min="3080" max="3080" width="15.44140625" style="13573" customWidth="1"/>
    <col min="3081" max="3081" width="1.109375" style="13573" customWidth="1"/>
    <col min="3082" max="3082" width="15.109375" style="13573" customWidth="1"/>
    <col min="3083" max="3083" width="0.88671875" style="13573" customWidth="1"/>
    <col min="3084" max="3084" width="16.88671875" style="13573" customWidth="1"/>
    <col min="3085" max="3328" width="9.109375" style="13573"/>
    <col min="3329" max="3329" width="9.109375" style="13573" customWidth="1"/>
    <col min="3330" max="3330" width="7" style="13573" customWidth="1"/>
    <col min="3331" max="3331" width="2.109375" style="13573" customWidth="1"/>
    <col min="3332" max="3332" width="0" style="13573" hidden="1" customWidth="1"/>
    <col min="3333" max="3333" width="15.109375" style="13573" customWidth="1"/>
    <col min="3334" max="3334" width="16.88671875" style="13573" customWidth="1"/>
    <col min="3335" max="3335" width="1.88671875" style="13573" customWidth="1"/>
    <col min="3336" max="3336" width="15.44140625" style="13573" customWidth="1"/>
    <col min="3337" max="3337" width="1.109375" style="13573" customWidth="1"/>
    <col min="3338" max="3338" width="15.109375" style="13573" customWidth="1"/>
    <col min="3339" max="3339" width="0.88671875" style="13573" customWidth="1"/>
    <col min="3340" max="3340" width="16.88671875" style="13573" customWidth="1"/>
    <col min="3341" max="3584" width="9.109375" style="13573"/>
    <col min="3585" max="3585" width="9.109375" style="13573" customWidth="1"/>
    <col min="3586" max="3586" width="7" style="13573" customWidth="1"/>
    <col min="3587" max="3587" width="2.109375" style="13573" customWidth="1"/>
    <col min="3588" max="3588" width="0" style="13573" hidden="1" customWidth="1"/>
    <col min="3589" max="3589" width="15.109375" style="13573" customWidth="1"/>
    <col min="3590" max="3590" width="16.88671875" style="13573" customWidth="1"/>
    <col min="3591" max="3591" width="1.88671875" style="13573" customWidth="1"/>
    <col min="3592" max="3592" width="15.44140625" style="13573" customWidth="1"/>
    <col min="3593" max="3593" width="1.109375" style="13573" customWidth="1"/>
    <col min="3594" max="3594" width="15.109375" style="13573" customWidth="1"/>
    <col min="3595" max="3595" width="0.88671875" style="13573" customWidth="1"/>
    <col min="3596" max="3596" width="16.88671875" style="13573" customWidth="1"/>
    <col min="3597" max="3840" width="9.109375" style="13573"/>
    <col min="3841" max="3841" width="9.109375" style="13573" customWidth="1"/>
    <col min="3842" max="3842" width="7" style="13573" customWidth="1"/>
    <col min="3843" max="3843" width="2.109375" style="13573" customWidth="1"/>
    <col min="3844" max="3844" width="0" style="13573" hidden="1" customWidth="1"/>
    <col min="3845" max="3845" width="15.109375" style="13573" customWidth="1"/>
    <col min="3846" max="3846" width="16.88671875" style="13573" customWidth="1"/>
    <col min="3847" max="3847" width="1.88671875" style="13573" customWidth="1"/>
    <col min="3848" max="3848" width="15.44140625" style="13573" customWidth="1"/>
    <col min="3849" max="3849" width="1.109375" style="13573" customWidth="1"/>
    <col min="3850" max="3850" width="15.109375" style="13573" customWidth="1"/>
    <col min="3851" max="3851" width="0.88671875" style="13573" customWidth="1"/>
    <col min="3852" max="3852" width="16.88671875" style="13573" customWidth="1"/>
    <col min="3853" max="4096" width="9.109375" style="13573"/>
    <col min="4097" max="4097" width="9.109375" style="13573" customWidth="1"/>
    <col min="4098" max="4098" width="7" style="13573" customWidth="1"/>
    <col min="4099" max="4099" width="2.109375" style="13573" customWidth="1"/>
    <col min="4100" max="4100" width="0" style="13573" hidden="1" customWidth="1"/>
    <col min="4101" max="4101" width="15.109375" style="13573" customWidth="1"/>
    <col min="4102" max="4102" width="16.88671875" style="13573" customWidth="1"/>
    <col min="4103" max="4103" width="1.88671875" style="13573" customWidth="1"/>
    <col min="4104" max="4104" width="15.44140625" style="13573" customWidth="1"/>
    <col min="4105" max="4105" width="1.109375" style="13573" customWidth="1"/>
    <col min="4106" max="4106" width="15.109375" style="13573" customWidth="1"/>
    <col min="4107" max="4107" width="0.88671875" style="13573" customWidth="1"/>
    <col min="4108" max="4108" width="16.88671875" style="13573" customWidth="1"/>
    <col min="4109" max="4352" width="9.109375" style="13573"/>
    <col min="4353" max="4353" width="9.109375" style="13573" customWidth="1"/>
    <col min="4354" max="4354" width="7" style="13573" customWidth="1"/>
    <col min="4355" max="4355" width="2.109375" style="13573" customWidth="1"/>
    <col min="4356" max="4356" width="0" style="13573" hidden="1" customWidth="1"/>
    <col min="4357" max="4357" width="15.109375" style="13573" customWidth="1"/>
    <col min="4358" max="4358" width="16.88671875" style="13573" customWidth="1"/>
    <col min="4359" max="4359" width="1.88671875" style="13573" customWidth="1"/>
    <col min="4360" max="4360" width="15.44140625" style="13573" customWidth="1"/>
    <col min="4361" max="4361" width="1.109375" style="13573" customWidth="1"/>
    <col min="4362" max="4362" width="15.109375" style="13573" customWidth="1"/>
    <col min="4363" max="4363" width="0.88671875" style="13573" customWidth="1"/>
    <col min="4364" max="4364" width="16.88671875" style="13573" customWidth="1"/>
    <col min="4365" max="4608" width="9.109375" style="13573"/>
    <col min="4609" max="4609" width="9.109375" style="13573" customWidth="1"/>
    <col min="4610" max="4610" width="7" style="13573" customWidth="1"/>
    <col min="4611" max="4611" width="2.109375" style="13573" customWidth="1"/>
    <col min="4612" max="4612" width="0" style="13573" hidden="1" customWidth="1"/>
    <col min="4613" max="4613" width="15.109375" style="13573" customWidth="1"/>
    <col min="4614" max="4614" width="16.88671875" style="13573" customWidth="1"/>
    <col min="4615" max="4615" width="1.88671875" style="13573" customWidth="1"/>
    <col min="4616" max="4616" width="15.44140625" style="13573" customWidth="1"/>
    <col min="4617" max="4617" width="1.109375" style="13573" customWidth="1"/>
    <col min="4618" max="4618" width="15.109375" style="13573" customWidth="1"/>
    <col min="4619" max="4619" width="0.88671875" style="13573" customWidth="1"/>
    <col min="4620" max="4620" width="16.88671875" style="13573" customWidth="1"/>
    <col min="4621" max="4864" width="9.109375" style="13573"/>
    <col min="4865" max="4865" width="9.109375" style="13573" customWidth="1"/>
    <col min="4866" max="4866" width="7" style="13573" customWidth="1"/>
    <col min="4867" max="4867" width="2.109375" style="13573" customWidth="1"/>
    <col min="4868" max="4868" width="0" style="13573" hidden="1" customWidth="1"/>
    <col min="4869" max="4869" width="15.109375" style="13573" customWidth="1"/>
    <col min="4870" max="4870" width="16.88671875" style="13573" customWidth="1"/>
    <col min="4871" max="4871" width="1.88671875" style="13573" customWidth="1"/>
    <col min="4872" max="4872" width="15.44140625" style="13573" customWidth="1"/>
    <col min="4873" max="4873" width="1.109375" style="13573" customWidth="1"/>
    <col min="4874" max="4874" width="15.109375" style="13573" customWidth="1"/>
    <col min="4875" max="4875" width="0.88671875" style="13573" customWidth="1"/>
    <col min="4876" max="4876" width="16.88671875" style="13573" customWidth="1"/>
    <col min="4877" max="5120" width="9.109375" style="13573"/>
    <col min="5121" max="5121" width="9.109375" style="13573" customWidth="1"/>
    <col min="5122" max="5122" width="7" style="13573" customWidth="1"/>
    <col min="5123" max="5123" width="2.109375" style="13573" customWidth="1"/>
    <col min="5124" max="5124" width="0" style="13573" hidden="1" customWidth="1"/>
    <col min="5125" max="5125" width="15.109375" style="13573" customWidth="1"/>
    <col min="5126" max="5126" width="16.88671875" style="13573" customWidth="1"/>
    <col min="5127" max="5127" width="1.88671875" style="13573" customWidth="1"/>
    <col min="5128" max="5128" width="15.44140625" style="13573" customWidth="1"/>
    <col min="5129" max="5129" width="1.109375" style="13573" customWidth="1"/>
    <col min="5130" max="5130" width="15.109375" style="13573" customWidth="1"/>
    <col min="5131" max="5131" width="0.88671875" style="13573" customWidth="1"/>
    <col min="5132" max="5132" width="16.88671875" style="13573" customWidth="1"/>
    <col min="5133" max="5376" width="9.109375" style="13573"/>
    <col min="5377" max="5377" width="9.109375" style="13573" customWidth="1"/>
    <col min="5378" max="5378" width="7" style="13573" customWidth="1"/>
    <col min="5379" max="5379" width="2.109375" style="13573" customWidth="1"/>
    <col min="5380" max="5380" width="0" style="13573" hidden="1" customWidth="1"/>
    <col min="5381" max="5381" width="15.109375" style="13573" customWidth="1"/>
    <col min="5382" max="5382" width="16.88671875" style="13573" customWidth="1"/>
    <col min="5383" max="5383" width="1.88671875" style="13573" customWidth="1"/>
    <col min="5384" max="5384" width="15.44140625" style="13573" customWidth="1"/>
    <col min="5385" max="5385" width="1.109375" style="13573" customWidth="1"/>
    <col min="5386" max="5386" width="15.109375" style="13573" customWidth="1"/>
    <col min="5387" max="5387" width="0.88671875" style="13573" customWidth="1"/>
    <col min="5388" max="5388" width="16.88671875" style="13573" customWidth="1"/>
    <col min="5389" max="5632" width="9.109375" style="13573"/>
    <col min="5633" max="5633" width="9.109375" style="13573" customWidth="1"/>
    <col min="5634" max="5634" width="7" style="13573" customWidth="1"/>
    <col min="5635" max="5635" width="2.109375" style="13573" customWidth="1"/>
    <col min="5636" max="5636" width="0" style="13573" hidden="1" customWidth="1"/>
    <col min="5637" max="5637" width="15.109375" style="13573" customWidth="1"/>
    <col min="5638" max="5638" width="16.88671875" style="13573" customWidth="1"/>
    <col min="5639" max="5639" width="1.88671875" style="13573" customWidth="1"/>
    <col min="5640" max="5640" width="15.44140625" style="13573" customWidth="1"/>
    <col min="5641" max="5641" width="1.109375" style="13573" customWidth="1"/>
    <col min="5642" max="5642" width="15.109375" style="13573" customWidth="1"/>
    <col min="5643" max="5643" width="0.88671875" style="13573" customWidth="1"/>
    <col min="5644" max="5644" width="16.88671875" style="13573" customWidth="1"/>
    <col min="5645" max="5888" width="9.109375" style="13573"/>
    <col min="5889" max="5889" width="9.109375" style="13573" customWidth="1"/>
    <col min="5890" max="5890" width="7" style="13573" customWidth="1"/>
    <col min="5891" max="5891" width="2.109375" style="13573" customWidth="1"/>
    <col min="5892" max="5892" width="0" style="13573" hidden="1" customWidth="1"/>
    <col min="5893" max="5893" width="15.109375" style="13573" customWidth="1"/>
    <col min="5894" max="5894" width="16.88671875" style="13573" customWidth="1"/>
    <col min="5895" max="5895" width="1.88671875" style="13573" customWidth="1"/>
    <col min="5896" max="5896" width="15.44140625" style="13573" customWidth="1"/>
    <col min="5897" max="5897" width="1.109375" style="13573" customWidth="1"/>
    <col min="5898" max="5898" width="15.109375" style="13573" customWidth="1"/>
    <col min="5899" max="5899" width="0.88671875" style="13573" customWidth="1"/>
    <col min="5900" max="5900" width="16.88671875" style="13573" customWidth="1"/>
    <col min="5901" max="6144" width="9.109375" style="13573"/>
    <col min="6145" max="6145" width="9.109375" style="13573" customWidth="1"/>
    <col min="6146" max="6146" width="7" style="13573" customWidth="1"/>
    <col min="6147" max="6147" width="2.109375" style="13573" customWidth="1"/>
    <col min="6148" max="6148" width="0" style="13573" hidden="1" customWidth="1"/>
    <col min="6149" max="6149" width="15.109375" style="13573" customWidth="1"/>
    <col min="6150" max="6150" width="16.88671875" style="13573" customWidth="1"/>
    <col min="6151" max="6151" width="1.88671875" style="13573" customWidth="1"/>
    <col min="6152" max="6152" width="15.44140625" style="13573" customWidth="1"/>
    <col min="6153" max="6153" width="1.109375" style="13573" customWidth="1"/>
    <col min="6154" max="6154" width="15.109375" style="13573" customWidth="1"/>
    <col min="6155" max="6155" width="0.88671875" style="13573" customWidth="1"/>
    <col min="6156" max="6156" width="16.88671875" style="13573" customWidth="1"/>
    <col min="6157" max="6400" width="9.109375" style="13573"/>
    <col min="6401" max="6401" width="9.109375" style="13573" customWidth="1"/>
    <col min="6402" max="6402" width="7" style="13573" customWidth="1"/>
    <col min="6403" max="6403" width="2.109375" style="13573" customWidth="1"/>
    <col min="6404" max="6404" width="0" style="13573" hidden="1" customWidth="1"/>
    <col min="6405" max="6405" width="15.109375" style="13573" customWidth="1"/>
    <col min="6406" max="6406" width="16.88671875" style="13573" customWidth="1"/>
    <col min="6407" max="6407" width="1.88671875" style="13573" customWidth="1"/>
    <col min="6408" max="6408" width="15.44140625" style="13573" customWidth="1"/>
    <col min="6409" max="6409" width="1.109375" style="13573" customWidth="1"/>
    <col min="6410" max="6410" width="15.109375" style="13573" customWidth="1"/>
    <col min="6411" max="6411" width="0.88671875" style="13573" customWidth="1"/>
    <col min="6412" max="6412" width="16.88671875" style="13573" customWidth="1"/>
    <col min="6413" max="6656" width="9.109375" style="13573"/>
    <col min="6657" max="6657" width="9.109375" style="13573" customWidth="1"/>
    <col min="6658" max="6658" width="7" style="13573" customWidth="1"/>
    <col min="6659" max="6659" width="2.109375" style="13573" customWidth="1"/>
    <col min="6660" max="6660" width="0" style="13573" hidden="1" customWidth="1"/>
    <col min="6661" max="6661" width="15.109375" style="13573" customWidth="1"/>
    <col min="6662" max="6662" width="16.88671875" style="13573" customWidth="1"/>
    <col min="6663" max="6663" width="1.88671875" style="13573" customWidth="1"/>
    <col min="6664" max="6664" width="15.44140625" style="13573" customWidth="1"/>
    <col min="6665" max="6665" width="1.109375" style="13573" customWidth="1"/>
    <col min="6666" max="6666" width="15.109375" style="13573" customWidth="1"/>
    <col min="6667" max="6667" width="0.88671875" style="13573" customWidth="1"/>
    <col min="6668" max="6668" width="16.88671875" style="13573" customWidth="1"/>
    <col min="6669" max="6912" width="9.109375" style="13573"/>
    <col min="6913" max="6913" width="9.109375" style="13573" customWidth="1"/>
    <col min="6914" max="6914" width="7" style="13573" customWidth="1"/>
    <col min="6915" max="6915" width="2.109375" style="13573" customWidth="1"/>
    <col min="6916" max="6916" width="0" style="13573" hidden="1" customWidth="1"/>
    <col min="6917" max="6917" width="15.109375" style="13573" customWidth="1"/>
    <col min="6918" max="6918" width="16.88671875" style="13573" customWidth="1"/>
    <col min="6919" max="6919" width="1.88671875" style="13573" customWidth="1"/>
    <col min="6920" max="6920" width="15.44140625" style="13573" customWidth="1"/>
    <col min="6921" max="6921" width="1.109375" style="13573" customWidth="1"/>
    <col min="6922" max="6922" width="15.109375" style="13573" customWidth="1"/>
    <col min="6923" max="6923" width="0.88671875" style="13573" customWidth="1"/>
    <col min="6924" max="6924" width="16.88671875" style="13573" customWidth="1"/>
    <col min="6925" max="7168" width="9.109375" style="13573"/>
    <col min="7169" max="7169" width="9.109375" style="13573" customWidth="1"/>
    <col min="7170" max="7170" width="7" style="13573" customWidth="1"/>
    <col min="7171" max="7171" width="2.109375" style="13573" customWidth="1"/>
    <col min="7172" max="7172" width="0" style="13573" hidden="1" customWidth="1"/>
    <col min="7173" max="7173" width="15.109375" style="13573" customWidth="1"/>
    <col min="7174" max="7174" width="16.88671875" style="13573" customWidth="1"/>
    <col min="7175" max="7175" width="1.88671875" style="13573" customWidth="1"/>
    <col min="7176" max="7176" width="15.44140625" style="13573" customWidth="1"/>
    <col min="7177" max="7177" width="1.109375" style="13573" customWidth="1"/>
    <col min="7178" max="7178" width="15.109375" style="13573" customWidth="1"/>
    <col min="7179" max="7179" width="0.88671875" style="13573" customWidth="1"/>
    <col min="7180" max="7180" width="16.88671875" style="13573" customWidth="1"/>
    <col min="7181" max="7424" width="9.109375" style="13573"/>
    <col min="7425" max="7425" width="9.109375" style="13573" customWidth="1"/>
    <col min="7426" max="7426" width="7" style="13573" customWidth="1"/>
    <col min="7427" max="7427" width="2.109375" style="13573" customWidth="1"/>
    <col min="7428" max="7428" width="0" style="13573" hidden="1" customWidth="1"/>
    <col min="7429" max="7429" width="15.109375" style="13573" customWidth="1"/>
    <col min="7430" max="7430" width="16.88671875" style="13573" customWidth="1"/>
    <col min="7431" max="7431" width="1.88671875" style="13573" customWidth="1"/>
    <col min="7432" max="7432" width="15.44140625" style="13573" customWidth="1"/>
    <col min="7433" max="7433" width="1.109375" style="13573" customWidth="1"/>
    <col min="7434" max="7434" width="15.109375" style="13573" customWidth="1"/>
    <col min="7435" max="7435" width="0.88671875" style="13573" customWidth="1"/>
    <col min="7436" max="7436" width="16.88671875" style="13573" customWidth="1"/>
    <col min="7437" max="7680" width="9.109375" style="13573"/>
    <col min="7681" max="7681" width="9.109375" style="13573" customWidth="1"/>
    <col min="7682" max="7682" width="7" style="13573" customWidth="1"/>
    <col min="7683" max="7683" width="2.109375" style="13573" customWidth="1"/>
    <col min="7684" max="7684" width="0" style="13573" hidden="1" customWidth="1"/>
    <col min="7685" max="7685" width="15.109375" style="13573" customWidth="1"/>
    <col min="7686" max="7686" width="16.88671875" style="13573" customWidth="1"/>
    <col min="7687" max="7687" width="1.88671875" style="13573" customWidth="1"/>
    <col min="7688" max="7688" width="15.44140625" style="13573" customWidth="1"/>
    <col min="7689" max="7689" width="1.109375" style="13573" customWidth="1"/>
    <col min="7690" max="7690" width="15.109375" style="13573" customWidth="1"/>
    <col min="7691" max="7691" width="0.88671875" style="13573" customWidth="1"/>
    <col min="7692" max="7692" width="16.88671875" style="13573" customWidth="1"/>
    <col min="7693" max="7936" width="9.109375" style="13573"/>
    <col min="7937" max="7937" width="9.109375" style="13573" customWidth="1"/>
    <col min="7938" max="7938" width="7" style="13573" customWidth="1"/>
    <col min="7939" max="7939" width="2.109375" style="13573" customWidth="1"/>
    <col min="7940" max="7940" width="0" style="13573" hidden="1" customWidth="1"/>
    <col min="7941" max="7941" width="15.109375" style="13573" customWidth="1"/>
    <col min="7942" max="7942" width="16.88671875" style="13573" customWidth="1"/>
    <col min="7943" max="7943" width="1.88671875" style="13573" customWidth="1"/>
    <col min="7944" max="7944" width="15.44140625" style="13573" customWidth="1"/>
    <col min="7945" max="7945" width="1.109375" style="13573" customWidth="1"/>
    <col min="7946" max="7946" width="15.109375" style="13573" customWidth="1"/>
    <col min="7947" max="7947" width="0.88671875" style="13573" customWidth="1"/>
    <col min="7948" max="7948" width="16.88671875" style="13573" customWidth="1"/>
    <col min="7949" max="8192" width="9.109375" style="13573"/>
    <col min="8193" max="8193" width="9.109375" style="13573" customWidth="1"/>
    <col min="8194" max="8194" width="7" style="13573" customWidth="1"/>
    <col min="8195" max="8195" width="2.109375" style="13573" customWidth="1"/>
    <col min="8196" max="8196" width="0" style="13573" hidden="1" customWidth="1"/>
    <col min="8197" max="8197" width="15.109375" style="13573" customWidth="1"/>
    <col min="8198" max="8198" width="16.88671875" style="13573" customWidth="1"/>
    <col min="8199" max="8199" width="1.88671875" style="13573" customWidth="1"/>
    <col min="8200" max="8200" width="15.44140625" style="13573" customWidth="1"/>
    <col min="8201" max="8201" width="1.109375" style="13573" customWidth="1"/>
    <col min="8202" max="8202" width="15.109375" style="13573" customWidth="1"/>
    <col min="8203" max="8203" width="0.88671875" style="13573" customWidth="1"/>
    <col min="8204" max="8204" width="16.88671875" style="13573" customWidth="1"/>
    <col min="8205" max="8448" width="9.109375" style="13573"/>
    <col min="8449" max="8449" width="9.109375" style="13573" customWidth="1"/>
    <col min="8450" max="8450" width="7" style="13573" customWidth="1"/>
    <col min="8451" max="8451" width="2.109375" style="13573" customWidth="1"/>
    <col min="8452" max="8452" width="0" style="13573" hidden="1" customWidth="1"/>
    <col min="8453" max="8453" width="15.109375" style="13573" customWidth="1"/>
    <col min="8454" max="8454" width="16.88671875" style="13573" customWidth="1"/>
    <col min="8455" max="8455" width="1.88671875" style="13573" customWidth="1"/>
    <col min="8456" max="8456" width="15.44140625" style="13573" customWidth="1"/>
    <col min="8457" max="8457" width="1.109375" style="13573" customWidth="1"/>
    <col min="8458" max="8458" width="15.109375" style="13573" customWidth="1"/>
    <col min="8459" max="8459" width="0.88671875" style="13573" customWidth="1"/>
    <col min="8460" max="8460" width="16.88671875" style="13573" customWidth="1"/>
    <col min="8461" max="8704" width="9.109375" style="13573"/>
    <col min="8705" max="8705" width="9.109375" style="13573" customWidth="1"/>
    <col min="8706" max="8706" width="7" style="13573" customWidth="1"/>
    <col min="8707" max="8707" width="2.109375" style="13573" customWidth="1"/>
    <col min="8708" max="8708" width="0" style="13573" hidden="1" customWidth="1"/>
    <col min="8709" max="8709" width="15.109375" style="13573" customWidth="1"/>
    <col min="8710" max="8710" width="16.88671875" style="13573" customWidth="1"/>
    <col min="8711" max="8711" width="1.88671875" style="13573" customWidth="1"/>
    <col min="8712" max="8712" width="15.44140625" style="13573" customWidth="1"/>
    <col min="8713" max="8713" width="1.109375" style="13573" customWidth="1"/>
    <col min="8714" max="8714" width="15.109375" style="13573" customWidth="1"/>
    <col min="8715" max="8715" width="0.88671875" style="13573" customWidth="1"/>
    <col min="8716" max="8716" width="16.88671875" style="13573" customWidth="1"/>
    <col min="8717" max="8960" width="9.109375" style="13573"/>
    <col min="8961" max="8961" width="9.109375" style="13573" customWidth="1"/>
    <col min="8962" max="8962" width="7" style="13573" customWidth="1"/>
    <col min="8963" max="8963" width="2.109375" style="13573" customWidth="1"/>
    <col min="8964" max="8964" width="0" style="13573" hidden="1" customWidth="1"/>
    <col min="8965" max="8965" width="15.109375" style="13573" customWidth="1"/>
    <col min="8966" max="8966" width="16.88671875" style="13573" customWidth="1"/>
    <col min="8967" max="8967" width="1.88671875" style="13573" customWidth="1"/>
    <col min="8968" max="8968" width="15.44140625" style="13573" customWidth="1"/>
    <col min="8969" max="8969" width="1.109375" style="13573" customWidth="1"/>
    <col min="8970" max="8970" width="15.109375" style="13573" customWidth="1"/>
    <col min="8971" max="8971" width="0.88671875" style="13573" customWidth="1"/>
    <col min="8972" max="8972" width="16.88671875" style="13573" customWidth="1"/>
    <col min="8973" max="9216" width="9.109375" style="13573"/>
    <col min="9217" max="9217" width="9.109375" style="13573" customWidth="1"/>
    <col min="9218" max="9218" width="7" style="13573" customWidth="1"/>
    <col min="9219" max="9219" width="2.109375" style="13573" customWidth="1"/>
    <col min="9220" max="9220" width="0" style="13573" hidden="1" customWidth="1"/>
    <col min="9221" max="9221" width="15.109375" style="13573" customWidth="1"/>
    <col min="9222" max="9222" width="16.88671875" style="13573" customWidth="1"/>
    <col min="9223" max="9223" width="1.88671875" style="13573" customWidth="1"/>
    <col min="9224" max="9224" width="15.44140625" style="13573" customWidth="1"/>
    <col min="9225" max="9225" width="1.109375" style="13573" customWidth="1"/>
    <col min="9226" max="9226" width="15.109375" style="13573" customWidth="1"/>
    <col min="9227" max="9227" width="0.88671875" style="13573" customWidth="1"/>
    <col min="9228" max="9228" width="16.88671875" style="13573" customWidth="1"/>
    <col min="9229" max="9472" width="9.109375" style="13573"/>
    <col min="9473" max="9473" width="9.109375" style="13573" customWidth="1"/>
    <col min="9474" max="9474" width="7" style="13573" customWidth="1"/>
    <col min="9475" max="9475" width="2.109375" style="13573" customWidth="1"/>
    <col min="9476" max="9476" width="0" style="13573" hidden="1" customWidth="1"/>
    <col min="9477" max="9477" width="15.109375" style="13573" customWidth="1"/>
    <col min="9478" max="9478" width="16.88671875" style="13573" customWidth="1"/>
    <col min="9479" max="9479" width="1.88671875" style="13573" customWidth="1"/>
    <col min="9480" max="9480" width="15.44140625" style="13573" customWidth="1"/>
    <col min="9481" max="9481" width="1.109375" style="13573" customWidth="1"/>
    <col min="9482" max="9482" width="15.109375" style="13573" customWidth="1"/>
    <col min="9483" max="9483" width="0.88671875" style="13573" customWidth="1"/>
    <col min="9484" max="9484" width="16.88671875" style="13573" customWidth="1"/>
    <col min="9485" max="9728" width="9.109375" style="13573"/>
    <col min="9729" max="9729" width="9.109375" style="13573" customWidth="1"/>
    <col min="9730" max="9730" width="7" style="13573" customWidth="1"/>
    <col min="9731" max="9731" width="2.109375" style="13573" customWidth="1"/>
    <col min="9732" max="9732" width="0" style="13573" hidden="1" customWidth="1"/>
    <col min="9733" max="9733" width="15.109375" style="13573" customWidth="1"/>
    <col min="9734" max="9734" width="16.88671875" style="13573" customWidth="1"/>
    <col min="9735" max="9735" width="1.88671875" style="13573" customWidth="1"/>
    <col min="9736" max="9736" width="15.44140625" style="13573" customWidth="1"/>
    <col min="9737" max="9737" width="1.109375" style="13573" customWidth="1"/>
    <col min="9738" max="9738" width="15.109375" style="13573" customWidth="1"/>
    <col min="9739" max="9739" width="0.88671875" style="13573" customWidth="1"/>
    <col min="9740" max="9740" width="16.88671875" style="13573" customWidth="1"/>
    <col min="9741" max="9984" width="9.109375" style="13573"/>
    <col min="9985" max="9985" width="9.109375" style="13573" customWidth="1"/>
    <col min="9986" max="9986" width="7" style="13573" customWidth="1"/>
    <col min="9987" max="9987" width="2.109375" style="13573" customWidth="1"/>
    <col min="9988" max="9988" width="0" style="13573" hidden="1" customWidth="1"/>
    <col min="9989" max="9989" width="15.109375" style="13573" customWidth="1"/>
    <col min="9990" max="9990" width="16.88671875" style="13573" customWidth="1"/>
    <col min="9991" max="9991" width="1.88671875" style="13573" customWidth="1"/>
    <col min="9992" max="9992" width="15.44140625" style="13573" customWidth="1"/>
    <col min="9993" max="9993" width="1.109375" style="13573" customWidth="1"/>
    <col min="9994" max="9994" width="15.109375" style="13573" customWidth="1"/>
    <col min="9995" max="9995" width="0.88671875" style="13573" customWidth="1"/>
    <col min="9996" max="9996" width="16.88671875" style="13573" customWidth="1"/>
    <col min="9997" max="10240" width="9.109375" style="13573"/>
    <col min="10241" max="10241" width="9.109375" style="13573" customWidth="1"/>
    <col min="10242" max="10242" width="7" style="13573" customWidth="1"/>
    <col min="10243" max="10243" width="2.109375" style="13573" customWidth="1"/>
    <col min="10244" max="10244" width="0" style="13573" hidden="1" customWidth="1"/>
    <col min="10245" max="10245" width="15.109375" style="13573" customWidth="1"/>
    <col min="10246" max="10246" width="16.88671875" style="13573" customWidth="1"/>
    <col min="10247" max="10247" width="1.88671875" style="13573" customWidth="1"/>
    <col min="10248" max="10248" width="15.44140625" style="13573" customWidth="1"/>
    <col min="10249" max="10249" width="1.109375" style="13573" customWidth="1"/>
    <col min="10250" max="10250" width="15.109375" style="13573" customWidth="1"/>
    <col min="10251" max="10251" width="0.88671875" style="13573" customWidth="1"/>
    <col min="10252" max="10252" width="16.88671875" style="13573" customWidth="1"/>
    <col min="10253" max="10496" width="9.109375" style="13573"/>
    <col min="10497" max="10497" width="9.109375" style="13573" customWidth="1"/>
    <col min="10498" max="10498" width="7" style="13573" customWidth="1"/>
    <col min="10499" max="10499" width="2.109375" style="13573" customWidth="1"/>
    <col min="10500" max="10500" width="0" style="13573" hidden="1" customWidth="1"/>
    <col min="10501" max="10501" width="15.109375" style="13573" customWidth="1"/>
    <col min="10502" max="10502" width="16.88671875" style="13573" customWidth="1"/>
    <col min="10503" max="10503" width="1.88671875" style="13573" customWidth="1"/>
    <col min="10504" max="10504" width="15.44140625" style="13573" customWidth="1"/>
    <col min="10505" max="10505" width="1.109375" style="13573" customWidth="1"/>
    <col min="10506" max="10506" width="15.109375" style="13573" customWidth="1"/>
    <col min="10507" max="10507" width="0.88671875" style="13573" customWidth="1"/>
    <col min="10508" max="10508" width="16.88671875" style="13573" customWidth="1"/>
    <col min="10509" max="10752" width="9.109375" style="13573"/>
    <col min="10753" max="10753" width="9.109375" style="13573" customWidth="1"/>
    <col min="10754" max="10754" width="7" style="13573" customWidth="1"/>
    <col min="10755" max="10755" width="2.109375" style="13573" customWidth="1"/>
    <col min="10756" max="10756" width="0" style="13573" hidden="1" customWidth="1"/>
    <col min="10757" max="10757" width="15.109375" style="13573" customWidth="1"/>
    <col min="10758" max="10758" width="16.88671875" style="13573" customWidth="1"/>
    <col min="10759" max="10759" width="1.88671875" style="13573" customWidth="1"/>
    <col min="10760" max="10760" width="15.44140625" style="13573" customWidth="1"/>
    <col min="10761" max="10761" width="1.109375" style="13573" customWidth="1"/>
    <col min="10762" max="10762" width="15.109375" style="13573" customWidth="1"/>
    <col min="10763" max="10763" width="0.88671875" style="13573" customWidth="1"/>
    <col min="10764" max="10764" width="16.88671875" style="13573" customWidth="1"/>
    <col min="10765" max="11008" width="9.109375" style="13573"/>
    <col min="11009" max="11009" width="9.109375" style="13573" customWidth="1"/>
    <col min="11010" max="11010" width="7" style="13573" customWidth="1"/>
    <col min="11011" max="11011" width="2.109375" style="13573" customWidth="1"/>
    <col min="11012" max="11012" width="0" style="13573" hidden="1" customWidth="1"/>
    <col min="11013" max="11013" width="15.109375" style="13573" customWidth="1"/>
    <col min="11014" max="11014" width="16.88671875" style="13573" customWidth="1"/>
    <col min="11015" max="11015" width="1.88671875" style="13573" customWidth="1"/>
    <col min="11016" max="11016" width="15.44140625" style="13573" customWidth="1"/>
    <col min="11017" max="11017" width="1.109375" style="13573" customWidth="1"/>
    <col min="11018" max="11018" width="15.109375" style="13573" customWidth="1"/>
    <col min="11019" max="11019" width="0.88671875" style="13573" customWidth="1"/>
    <col min="11020" max="11020" width="16.88671875" style="13573" customWidth="1"/>
    <col min="11021" max="11264" width="9.109375" style="13573"/>
    <col min="11265" max="11265" width="9.109375" style="13573" customWidth="1"/>
    <col min="11266" max="11266" width="7" style="13573" customWidth="1"/>
    <col min="11267" max="11267" width="2.109375" style="13573" customWidth="1"/>
    <col min="11268" max="11268" width="0" style="13573" hidden="1" customWidth="1"/>
    <col min="11269" max="11269" width="15.109375" style="13573" customWidth="1"/>
    <col min="11270" max="11270" width="16.88671875" style="13573" customWidth="1"/>
    <col min="11271" max="11271" width="1.88671875" style="13573" customWidth="1"/>
    <col min="11272" max="11272" width="15.44140625" style="13573" customWidth="1"/>
    <col min="11273" max="11273" width="1.109375" style="13573" customWidth="1"/>
    <col min="11274" max="11274" width="15.109375" style="13573" customWidth="1"/>
    <col min="11275" max="11275" width="0.88671875" style="13573" customWidth="1"/>
    <col min="11276" max="11276" width="16.88671875" style="13573" customWidth="1"/>
    <col min="11277" max="11520" width="9.109375" style="13573"/>
    <col min="11521" max="11521" width="9.109375" style="13573" customWidth="1"/>
    <col min="11522" max="11522" width="7" style="13573" customWidth="1"/>
    <col min="11523" max="11523" width="2.109375" style="13573" customWidth="1"/>
    <col min="11524" max="11524" width="0" style="13573" hidden="1" customWidth="1"/>
    <col min="11525" max="11525" width="15.109375" style="13573" customWidth="1"/>
    <col min="11526" max="11526" width="16.88671875" style="13573" customWidth="1"/>
    <col min="11527" max="11527" width="1.88671875" style="13573" customWidth="1"/>
    <col min="11528" max="11528" width="15.44140625" style="13573" customWidth="1"/>
    <col min="11529" max="11529" width="1.109375" style="13573" customWidth="1"/>
    <col min="11530" max="11530" width="15.109375" style="13573" customWidth="1"/>
    <col min="11531" max="11531" width="0.88671875" style="13573" customWidth="1"/>
    <col min="11532" max="11532" width="16.88671875" style="13573" customWidth="1"/>
    <col min="11533" max="11776" width="9.109375" style="13573"/>
    <col min="11777" max="11777" width="9.109375" style="13573" customWidth="1"/>
    <col min="11778" max="11778" width="7" style="13573" customWidth="1"/>
    <col min="11779" max="11779" width="2.109375" style="13573" customWidth="1"/>
    <col min="11780" max="11780" width="0" style="13573" hidden="1" customWidth="1"/>
    <col min="11781" max="11781" width="15.109375" style="13573" customWidth="1"/>
    <col min="11782" max="11782" width="16.88671875" style="13573" customWidth="1"/>
    <col min="11783" max="11783" width="1.88671875" style="13573" customWidth="1"/>
    <col min="11784" max="11784" width="15.44140625" style="13573" customWidth="1"/>
    <col min="11785" max="11785" width="1.109375" style="13573" customWidth="1"/>
    <col min="11786" max="11786" width="15.109375" style="13573" customWidth="1"/>
    <col min="11787" max="11787" width="0.88671875" style="13573" customWidth="1"/>
    <col min="11788" max="11788" width="16.88671875" style="13573" customWidth="1"/>
    <col min="11789" max="12032" width="9.109375" style="13573"/>
    <col min="12033" max="12033" width="9.109375" style="13573" customWidth="1"/>
    <col min="12034" max="12034" width="7" style="13573" customWidth="1"/>
    <col min="12035" max="12035" width="2.109375" style="13573" customWidth="1"/>
    <col min="12036" max="12036" width="0" style="13573" hidden="1" customWidth="1"/>
    <col min="12037" max="12037" width="15.109375" style="13573" customWidth="1"/>
    <col min="12038" max="12038" width="16.88671875" style="13573" customWidth="1"/>
    <col min="12039" max="12039" width="1.88671875" style="13573" customWidth="1"/>
    <col min="12040" max="12040" width="15.44140625" style="13573" customWidth="1"/>
    <col min="12041" max="12041" width="1.109375" style="13573" customWidth="1"/>
    <col min="12042" max="12042" width="15.109375" style="13573" customWidth="1"/>
    <col min="12043" max="12043" width="0.88671875" style="13573" customWidth="1"/>
    <col min="12044" max="12044" width="16.88671875" style="13573" customWidth="1"/>
    <col min="12045" max="12288" width="9.109375" style="13573"/>
    <col min="12289" max="12289" width="9.109375" style="13573" customWidth="1"/>
    <col min="12290" max="12290" width="7" style="13573" customWidth="1"/>
    <col min="12291" max="12291" width="2.109375" style="13573" customWidth="1"/>
    <col min="12292" max="12292" width="0" style="13573" hidden="1" customWidth="1"/>
    <col min="12293" max="12293" width="15.109375" style="13573" customWidth="1"/>
    <col min="12294" max="12294" width="16.88671875" style="13573" customWidth="1"/>
    <col min="12295" max="12295" width="1.88671875" style="13573" customWidth="1"/>
    <col min="12296" max="12296" width="15.44140625" style="13573" customWidth="1"/>
    <col min="12297" max="12297" width="1.109375" style="13573" customWidth="1"/>
    <col min="12298" max="12298" width="15.109375" style="13573" customWidth="1"/>
    <col min="12299" max="12299" width="0.88671875" style="13573" customWidth="1"/>
    <col min="12300" max="12300" width="16.88671875" style="13573" customWidth="1"/>
    <col min="12301" max="12544" width="9.109375" style="13573"/>
    <col min="12545" max="12545" width="9.109375" style="13573" customWidth="1"/>
    <col min="12546" max="12546" width="7" style="13573" customWidth="1"/>
    <col min="12547" max="12547" width="2.109375" style="13573" customWidth="1"/>
    <col min="12548" max="12548" width="0" style="13573" hidden="1" customWidth="1"/>
    <col min="12549" max="12549" width="15.109375" style="13573" customWidth="1"/>
    <col min="12550" max="12550" width="16.88671875" style="13573" customWidth="1"/>
    <col min="12551" max="12551" width="1.88671875" style="13573" customWidth="1"/>
    <col min="12552" max="12552" width="15.44140625" style="13573" customWidth="1"/>
    <col min="12553" max="12553" width="1.109375" style="13573" customWidth="1"/>
    <col min="12554" max="12554" width="15.109375" style="13573" customWidth="1"/>
    <col min="12555" max="12555" width="0.88671875" style="13573" customWidth="1"/>
    <col min="12556" max="12556" width="16.88671875" style="13573" customWidth="1"/>
    <col min="12557" max="12800" width="9.109375" style="13573"/>
    <col min="12801" max="12801" width="9.109375" style="13573" customWidth="1"/>
    <col min="12802" max="12802" width="7" style="13573" customWidth="1"/>
    <col min="12803" max="12803" width="2.109375" style="13573" customWidth="1"/>
    <col min="12804" max="12804" width="0" style="13573" hidden="1" customWidth="1"/>
    <col min="12805" max="12805" width="15.109375" style="13573" customWidth="1"/>
    <col min="12806" max="12806" width="16.88671875" style="13573" customWidth="1"/>
    <col min="12807" max="12807" width="1.88671875" style="13573" customWidth="1"/>
    <col min="12808" max="12808" width="15.44140625" style="13573" customWidth="1"/>
    <col min="12809" max="12809" width="1.109375" style="13573" customWidth="1"/>
    <col min="12810" max="12810" width="15.109375" style="13573" customWidth="1"/>
    <col min="12811" max="12811" width="0.88671875" style="13573" customWidth="1"/>
    <col min="12812" max="12812" width="16.88671875" style="13573" customWidth="1"/>
    <col min="12813" max="13056" width="9.109375" style="13573"/>
    <col min="13057" max="13057" width="9.109375" style="13573" customWidth="1"/>
    <col min="13058" max="13058" width="7" style="13573" customWidth="1"/>
    <col min="13059" max="13059" width="2.109375" style="13573" customWidth="1"/>
    <col min="13060" max="13060" width="0" style="13573" hidden="1" customWidth="1"/>
    <col min="13061" max="13061" width="15.109375" style="13573" customWidth="1"/>
    <col min="13062" max="13062" width="16.88671875" style="13573" customWidth="1"/>
    <col min="13063" max="13063" width="1.88671875" style="13573" customWidth="1"/>
    <col min="13064" max="13064" width="15.44140625" style="13573" customWidth="1"/>
    <col min="13065" max="13065" width="1.109375" style="13573" customWidth="1"/>
    <col min="13066" max="13066" width="15.109375" style="13573" customWidth="1"/>
    <col min="13067" max="13067" width="0.88671875" style="13573" customWidth="1"/>
    <col min="13068" max="13068" width="16.88671875" style="13573" customWidth="1"/>
    <col min="13069" max="13312" width="9.109375" style="13573"/>
    <col min="13313" max="13313" width="9.109375" style="13573" customWidth="1"/>
    <col min="13314" max="13314" width="7" style="13573" customWidth="1"/>
    <col min="13315" max="13315" width="2.109375" style="13573" customWidth="1"/>
    <col min="13316" max="13316" width="0" style="13573" hidden="1" customWidth="1"/>
    <col min="13317" max="13317" width="15.109375" style="13573" customWidth="1"/>
    <col min="13318" max="13318" width="16.88671875" style="13573" customWidth="1"/>
    <col min="13319" max="13319" width="1.88671875" style="13573" customWidth="1"/>
    <col min="13320" max="13320" width="15.44140625" style="13573" customWidth="1"/>
    <col min="13321" max="13321" width="1.109375" style="13573" customWidth="1"/>
    <col min="13322" max="13322" width="15.109375" style="13573" customWidth="1"/>
    <col min="13323" max="13323" width="0.88671875" style="13573" customWidth="1"/>
    <col min="13324" max="13324" width="16.88671875" style="13573" customWidth="1"/>
    <col min="13325" max="13568" width="9.109375" style="13573"/>
    <col min="13569" max="13569" width="9.109375" style="13573" customWidth="1"/>
    <col min="13570" max="13570" width="7" style="13573" customWidth="1"/>
    <col min="13571" max="13571" width="2.109375" style="13573" customWidth="1"/>
    <col min="13572" max="13572" width="0" style="13573" hidden="1" customWidth="1"/>
    <col min="13573" max="13573" width="15.109375" style="13573" customWidth="1"/>
    <col min="13574" max="13574" width="16.88671875" style="13573" customWidth="1"/>
    <col min="13575" max="13575" width="1.88671875" style="13573" customWidth="1"/>
    <col min="13576" max="13576" width="15.44140625" style="13573" customWidth="1"/>
    <col min="13577" max="13577" width="1.109375" style="13573" customWidth="1"/>
    <col min="13578" max="13578" width="15.109375" style="13573" customWidth="1"/>
    <col min="13579" max="13579" width="0.88671875" style="13573" customWidth="1"/>
    <col min="13580" max="13580" width="16.88671875" style="13573" customWidth="1"/>
    <col min="13581" max="13824" width="9.109375" style="13573"/>
    <col min="13825" max="13825" width="9.109375" style="13573" customWidth="1"/>
    <col min="13826" max="13826" width="7" style="13573" customWidth="1"/>
    <col min="13827" max="13827" width="2.109375" style="13573" customWidth="1"/>
    <col min="13828" max="13828" width="0" style="13573" hidden="1" customWidth="1"/>
    <col min="13829" max="13829" width="15.109375" style="13573" customWidth="1"/>
    <col min="13830" max="13830" width="16.88671875" style="13573" customWidth="1"/>
    <col min="13831" max="13831" width="1.88671875" style="13573" customWidth="1"/>
    <col min="13832" max="13832" width="15.44140625" style="13573" customWidth="1"/>
    <col min="13833" max="13833" width="1.109375" style="13573" customWidth="1"/>
    <col min="13834" max="13834" width="15.109375" style="13573" customWidth="1"/>
    <col min="13835" max="13835" width="0.88671875" style="13573" customWidth="1"/>
    <col min="13836" max="13836" width="16.88671875" style="13573" customWidth="1"/>
    <col min="13837" max="14080" width="9.109375" style="13573"/>
    <col min="14081" max="14081" width="9.109375" style="13573" customWidth="1"/>
    <col min="14082" max="14082" width="7" style="13573" customWidth="1"/>
    <col min="14083" max="14083" width="2.109375" style="13573" customWidth="1"/>
    <col min="14084" max="14084" width="0" style="13573" hidden="1" customWidth="1"/>
    <col min="14085" max="14085" width="15.109375" style="13573" customWidth="1"/>
    <col min="14086" max="14086" width="16.88671875" style="13573" customWidth="1"/>
    <col min="14087" max="14087" width="1.88671875" style="13573" customWidth="1"/>
    <col min="14088" max="14088" width="15.44140625" style="13573" customWidth="1"/>
    <col min="14089" max="14089" width="1.109375" style="13573" customWidth="1"/>
    <col min="14090" max="14090" width="15.109375" style="13573" customWidth="1"/>
    <col min="14091" max="14091" width="0.88671875" style="13573" customWidth="1"/>
    <col min="14092" max="14092" width="16.88671875" style="13573" customWidth="1"/>
    <col min="14093" max="14336" width="9.109375" style="13573"/>
    <col min="14337" max="14337" width="9.109375" style="13573" customWidth="1"/>
    <col min="14338" max="14338" width="7" style="13573" customWidth="1"/>
    <col min="14339" max="14339" width="2.109375" style="13573" customWidth="1"/>
    <col min="14340" max="14340" width="0" style="13573" hidden="1" customWidth="1"/>
    <col min="14341" max="14341" width="15.109375" style="13573" customWidth="1"/>
    <col min="14342" max="14342" width="16.88671875" style="13573" customWidth="1"/>
    <col min="14343" max="14343" width="1.88671875" style="13573" customWidth="1"/>
    <col min="14344" max="14344" width="15.44140625" style="13573" customWidth="1"/>
    <col min="14345" max="14345" width="1.109375" style="13573" customWidth="1"/>
    <col min="14346" max="14346" width="15.109375" style="13573" customWidth="1"/>
    <col min="14347" max="14347" width="0.88671875" style="13573" customWidth="1"/>
    <col min="14348" max="14348" width="16.88671875" style="13573" customWidth="1"/>
    <col min="14349" max="14592" width="9.109375" style="13573"/>
    <col min="14593" max="14593" width="9.109375" style="13573" customWidth="1"/>
    <col min="14594" max="14594" width="7" style="13573" customWidth="1"/>
    <col min="14595" max="14595" width="2.109375" style="13573" customWidth="1"/>
    <col min="14596" max="14596" width="0" style="13573" hidden="1" customWidth="1"/>
    <col min="14597" max="14597" width="15.109375" style="13573" customWidth="1"/>
    <col min="14598" max="14598" width="16.88671875" style="13573" customWidth="1"/>
    <col min="14599" max="14599" width="1.88671875" style="13573" customWidth="1"/>
    <col min="14600" max="14600" width="15.44140625" style="13573" customWidth="1"/>
    <col min="14601" max="14601" width="1.109375" style="13573" customWidth="1"/>
    <col min="14602" max="14602" width="15.109375" style="13573" customWidth="1"/>
    <col min="14603" max="14603" width="0.88671875" style="13573" customWidth="1"/>
    <col min="14604" max="14604" width="16.88671875" style="13573" customWidth="1"/>
    <col min="14605" max="14848" width="9.109375" style="13573"/>
    <col min="14849" max="14849" width="9.109375" style="13573" customWidth="1"/>
    <col min="14850" max="14850" width="7" style="13573" customWidth="1"/>
    <col min="14851" max="14851" width="2.109375" style="13573" customWidth="1"/>
    <col min="14852" max="14852" width="0" style="13573" hidden="1" customWidth="1"/>
    <col min="14853" max="14853" width="15.109375" style="13573" customWidth="1"/>
    <col min="14854" max="14854" width="16.88671875" style="13573" customWidth="1"/>
    <col min="14855" max="14855" width="1.88671875" style="13573" customWidth="1"/>
    <col min="14856" max="14856" width="15.44140625" style="13573" customWidth="1"/>
    <col min="14857" max="14857" width="1.109375" style="13573" customWidth="1"/>
    <col min="14858" max="14858" width="15.109375" style="13573" customWidth="1"/>
    <col min="14859" max="14859" width="0.88671875" style="13573" customWidth="1"/>
    <col min="14860" max="14860" width="16.88671875" style="13573" customWidth="1"/>
    <col min="14861" max="15104" width="9.109375" style="13573"/>
    <col min="15105" max="15105" width="9.109375" style="13573" customWidth="1"/>
    <col min="15106" max="15106" width="7" style="13573" customWidth="1"/>
    <col min="15107" max="15107" width="2.109375" style="13573" customWidth="1"/>
    <col min="15108" max="15108" width="0" style="13573" hidden="1" customWidth="1"/>
    <col min="15109" max="15109" width="15.109375" style="13573" customWidth="1"/>
    <col min="15110" max="15110" width="16.88671875" style="13573" customWidth="1"/>
    <col min="15111" max="15111" width="1.88671875" style="13573" customWidth="1"/>
    <col min="15112" max="15112" width="15.44140625" style="13573" customWidth="1"/>
    <col min="15113" max="15113" width="1.109375" style="13573" customWidth="1"/>
    <col min="15114" max="15114" width="15.109375" style="13573" customWidth="1"/>
    <col min="15115" max="15115" width="0.88671875" style="13573" customWidth="1"/>
    <col min="15116" max="15116" width="16.88671875" style="13573" customWidth="1"/>
    <col min="15117" max="15360" width="9.109375" style="13573"/>
    <col min="15361" max="15361" width="9.109375" style="13573" customWidth="1"/>
    <col min="15362" max="15362" width="7" style="13573" customWidth="1"/>
    <col min="15363" max="15363" width="2.109375" style="13573" customWidth="1"/>
    <col min="15364" max="15364" width="0" style="13573" hidden="1" customWidth="1"/>
    <col min="15365" max="15365" width="15.109375" style="13573" customWidth="1"/>
    <col min="15366" max="15366" width="16.88671875" style="13573" customWidth="1"/>
    <col min="15367" max="15367" width="1.88671875" style="13573" customWidth="1"/>
    <col min="15368" max="15368" width="15.44140625" style="13573" customWidth="1"/>
    <col min="15369" max="15369" width="1.109375" style="13573" customWidth="1"/>
    <col min="15370" max="15370" width="15.109375" style="13573" customWidth="1"/>
    <col min="15371" max="15371" width="0.88671875" style="13573" customWidth="1"/>
    <col min="15372" max="15372" width="16.88671875" style="13573" customWidth="1"/>
    <col min="15373" max="15616" width="9.109375" style="13573"/>
    <col min="15617" max="15617" width="9.109375" style="13573" customWidth="1"/>
    <col min="15618" max="15618" width="7" style="13573" customWidth="1"/>
    <col min="15619" max="15619" width="2.109375" style="13573" customWidth="1"/>
    <col min="15620" max="15620" width="0" style="13573" hidden="1" customWidth="1"/>
    <col min="15621" max="15621" width="15.109375" style="13573" customWidth="1"/>
    <col min="15622" max="15622" width="16.88671875" style="13573" customWidth="1"/>
    <col min="15623" max="15623" width="1.88671875" style="13573" customWidth="1"/>
    <col min="15624" max="15624" width="15.44140625" style="13573" customWidth="1"/>
    <col min="15625" max="15625" width="1.109375" style="13573" customWidth="1"/>
    <col min="15626" max="15626" width="15.109375" style="13573" customWidth="1"/>
    <col min="15627" max="15627" width="0.88671875" style="13573" customWidth="1"/>
    <col min="15628" max="15628" width="16.88671875" style="13573" customWidth="1"/>
    <col min="15629" max="15872" width="9.109375" style="13573"/>
    <col min="15873" max="15873" width="9.109375" style="13573" customWidth="1"/>
    <col min="15874" max="15874" width="7" style="13573" customWidth="1"/>
    <col min="15875" max="15875" width="2.109375" style="13573" customWidth="1"/>
    <col min="15876" max="15876" width="0" style="13573" hidden="1" customWidth="1"/>
    <col min="15877" max="15877" width="15.109375" style="13573" customWidth="1"/>
    <col min="15878" max="15878" width="16.88671875" style="13573" customWidth="1"/>
    <col min="15879" max="15879" width="1.88671875" style="13573" customWidth="1"/>
    <col min="15880" max="15880" width="15.44140625" style="13573" customWidth="1"/>
    <col min="15881" max="15881" width="1.109375" style="13573" customWidth="1"/>
    <col min="15882" max="15882" width="15.109375" style="13573" customWidth="1"/>
    <col min="15883" max="15883" width="0.88671875" style="13573" customWidth="1"/>
    <col min="15884" max="15884" width="16.88671875" style="13573" customWidth="1"/>
    <col min="15885" max="16128" width="9.109375" style="13573"/>
    <col min="16129" max="16129" width="9.109375" style="13573" customWidth="1"/>
    <col min="16130" max="16130" width="7" style="13573" customWidth="1"/>
    <col min="16131" max="16131" width="2.109375" style="13573" customWidth="1"/>
    <col min="16132" max="16132" width="0" style="13573" hidden="1" customWidth="1"/>
    <col min="16133" max="16133" width="15.109375" style="13573" customWidth="1"/>
    <col min="16134" max="16134" width="16.88671875" style="13573" customWidth="1"/>
    <col min="16135" max="16135" width="1.88671875" style="13573" customWidth="1"/>
    <col min="16136" max="16136" width="15.44140625" style="13573" customWidth="1"/>
    <col min="16137" max="16137" width="1.109375" style="13573" customWidth="1"/>
    <col min="16138" max="16138" width="15.109375" style="13573" customWidth="1"/>
    <col min="16139" max="16139" width="0.88671875" style="13573" customWidth="1"/>
    <col min="16140" max="16140" width="16.88671875" style="13573" customWidth="1"/>
    <col min="16141" max="16384" width="9.109375" style="13573"/>
  </cols>
  <sheetData>
    <row r="2" spans="1:12">
      <c r="A2" s="13571" t="s">
        <v>1471</v>
      </c>
      <c r="B2" s="13572"/>
      <c r="C2" s="13572"/>
      <c r="D2" s="13572"/>
      <c r="E2" s="13572"/>
      <c r="F2" s="13572"/>
      <c r="G2" s="13572"/>
      <c r="H2" s="13572"/>
      <c r="I2" s="13572"/>
      <c r="J2" s="13572"/>
      <c r="K2" s="13572"/>
      <c r="L2" s="13572"/>
    </row>
    <row r="3" spans="1:12">
      <c r="A3" s="13572" t="s">
        <v>1472</v>
      </c>
      <c r="B3" s="13572"/>
      <c r="C3" s="13572"/>
      <c r="D3" s="13572"/>
      <c r="E3" s="13572"/>
      <c r="F3" s="13572"/>
      <c r="G3" s="13572"/>
      <c r="H3" s="13572"/>
      <c r="I3" s="13572"/>
      <c r="J3" s="13572"/>
      <c r="K3" s="13572"/>
      <c r="L3" s="13572"/>
    </row>
    <row r="5" spans="1:12" s="13575" customFormat="1">
      <c r="A5" s="13574" t="s">
        <v>1473</v>
      </c>
      <c r="B5" s="13574"/>
      <c r="C5" s="13574"/>
      <c r="J5" s="13985" t="s">
        <v>12095</v>
      </c>
      <c r="K5" s="13985"/>
      <c r="L5" s="13985"/>
    </row>
    <row r="6" spans="1:12">
      <c r="A6" s="13576" t="s">
        <v>1474</v>
      </c>
      <c r="B6" s="13572"/>
      <c r="C6" s="13572"/>
      <c r="J6" s="13576" t="s">
        <v>10442</v>
      </c>
      <c r="K6" s="13572"/>
      <c r="L6" s="13572"/>
    </row>
    <row r="7" spans="1:12" ht="16.2" thickBot="1">
      <c r="A7" s="13577"/>
      <c r="B7" s="13577"/>
      <c r="C7" s="13577"/>
      <c r="D7" s="13577"/>
      <c r="E7" s="13577"/>
      <c r="F7" s="13577"/>
      <c r="G7" s="13577"/>
      <c r="H7" s="13577"/>
      <c r="I7" s="13577"/>
      <c r="J7" s="13577"/>
      <c r="K7" s="13577"/>
      <c r="L7" s="13577"/>
    </row>
    <row r="8" spans="1:12">
      <c r="A8" s="13578"/>
      <c r="F8" s="13579"/>
      <c r="G8" s="13579"/>
      <c r="H8" s="13579" t="s">
        <v>1475</v>
      </c>
      <c r="I8" s="13579"/>
      <c r="J8" s="13579" t="s">
        <v>1476</v>
      </c>
      <c r="K8" s="13579"/>
      <c r="L8" s="13580"/>
    </row>
    <row r="9" spans="1:12">
      <c r="A9" s="13578"/>
      <c r="F9" s="13579"/>
      <c r="G9" s="13579"/>
      <c r="H9" s="13579" t="s">
        <v>11</v>
      </c>
      <c r="I9" s="13579"/>
      <c r="J9" s="13579" t="s">
        <v>11</v>
      </c>
      <c r="K9" s="13579"/>
      <c r="L9" s="13580" t="s">
        <v>12</v>
      </c>
    </row>
    <row r="10" spans="1:12">
      <c r="A10" s="13581" t="s">
        <v>1477</v>
      </c>
      <c r="F10" s="13579" t="s">
        <v>1478</v>
      </c>
      <c r="G10" s="13579"/>
      <c r="H10" s="13579" t="s">
        <v>457</v>
      </c>
      <c r="I10" s="13579"/>
      <c r="J10" s="13579" t="s">
        <v>456</v>
      </c>
      <c r="K10" s="13579"/>
      <c r="L10" s="13580" t="s">
        <v>456</v>
      </c>
    </row>
    <row r="11" spans="1:12" ht="16.2" thickBot="1">
      <c r="A11" s="13582"/>
      <c r="B11" s="13577"/>
      <c r="C11" s="13577"/>
      <c r="D11" s="13577"/>
      <c r="E11" s="13577"/>
      <c r="F11" s="13583" t="s">
        <v>10844</v>
      </c>
      <c r="G11" s="13584"/>
      <c r="H11" s="13583" t="s">
        <v>11215</v>
      </c>
      <c r="I11" s="13584"/>
      <c r="J11" s="13583" t="s">
        <v>11215</v>
      </c>
      <c r="K11" s="13583"/>
      <c r="L11" s="13585" t="s">
        <v>12094</v>
      </c>
    </row>
    <row r="12" spans="1:12">
      <c r="A12" s="13578"/>
      <c r="F12" s="13586"/>
      <c r="G12" s="13586"/>
      <c r="H12" s="13586"/>
      <c r="I12" s="13586"/>
      <c r="J12" s="13586"/>
      <c r="K12" s="13586"/>
      <c r="L12" s="13587"/>
    </row>
    <row r="13" spans="1:12">
      <c r="A13" s="13578" t="s">
        <v>1479</v>
      </c>
      <c r="E13" s="13588"/>
      <c r="F13" s="13589">
        <f>'STATEMENT OF RECEIPTS'!F9</f>
        <v>115000000</v>
      </c>
      <c r="G13" s="13437"/>
      <c r="H13" s="13589">
        <f>'BESF Table 1'!G10</f>
        <v>295000000</v>
      </c>
      <c r="I13" s="13437"/>
      <c r="J13" s="13589">
        <f>'BESF Table 1'!I10</f>
        <v>0</v>
      </c>
      <c r="K13" s="13437"/>
      <c r="L13" s="13590">
        <f>'STATEMENT OF RECEIPTS'!J9</f>
        <v>105000000</v>
      </c>
    </row>
    <row r="14" spans="1:12">
      <c r="A14" s="13578" t="s">
        <v>1480</v>
      </c>
      <c r="E14" s="13588"/>
      <c r="F14" s="13388"/>
      <c r="G14" s="13388"/>
      <c r="H14" s="13388"/>
      <c r="I14" s="13388"/>
      <c r="J14" s="13388"/>
      <c r="K14" s="13388"/>
      <c r="L14" s="13591"/>
    </row>
    <row r="15" spans="1:12">
      <c r="A15" s="13578" t="s">
        <v>1481</v>
      </c>
      <c r="E15" s="13588"/>
      <c r="F15" s="13388"/>
      <c r="G15" s="13388"/>
      <c r="H15" s="13388"/>
      <c r="I15" s="13388"/>
      <c r="J15" s="13388"/>
      <c r="K15" s="13388"/>
      <c r="L15" s="13591"/>
    </row>
    <row r="16" spans="1:12">
      <c r="A16" s="13578" t="s">
        <v>1482</v>
      </c>
      <c r="E16" s="13588"/>
      <c r="F16" s="13388"/>
      <c r="G16" s="13388"/>
      <c r="H16" s="13388"/>
      <c r="I16" s="13388"/>
      <c r="J16" s="13388"/>
      <c r="K16" s="13388"/>
      <c r="L16" s="13591"/>
    </row>
    <row r="17" spans="1:14">
      <c r="A17" s="13578" t="s">
        <v>1483</v>
      </c>
      <c r="E17" s="13588"/>
      <c r="F17" s="13388"/>
      <c r="G17" s="13388"/>
      <c r="H17" s="13388"/>
      <c r="I17" s="13388"/>
      <c r="J17" s="13388"/>
      <c r="K17" s="13388"/>
      <c r="L17" s="13591"/>
    </row>
    <row r="18" spans="1:14">
      <c r="A18" s="13578"/>
      <c r="E18" s="13588"/>
      <c r="F18" s="13388"/>
      <c r="G18" s="13388"/>
      <c r="H18" s="13437"/>
      <c r="I18" s="13388"/>
      <c r="J18" s="13388"/>
      <c r="K18" s="13388"/>
      <c r="L18" s="13591"/>
    </row>
    <row r="19" spans="1:14">
      <c r="A19" s="13578" t="s">
        <v>1484</v>
      </c>
      <c r="E19" s="13588"/>
      <c r="F19" s="13592">
        <f>'STATEMENT OF RECEIPTS'!O16</f>
        <v>1995556313.78</v>
      </c>
      <c r="G19" s="13388"/>
      <c r="H19" s="13592">
        <f>'BESF Table 1'!Q14</f>
        <v>1027446895.85</v>
      </c>
      <c r="I19" s="13388"/>
      <c r="J19" s="13592">
        <f>'BESF Table 1'!S14</f>
        <v>1137050586.1500001</v>
      </c>
      <c r="K19" s="13388"/>
      <c r="L19" s="13593">
        <f>'STATEMENT OF RECEIPTS'!N16</f>
        <v>2405342881</v>
      </c>
      <c r="N19" s="13594">
        <f>H19+J19</f>
        <v>2164497482</v>
      </c>
    </row>
    <row r="20" spans="1:14">
      <c r="A20" s="13578" t="s">
        <v>1485</v>
      </c>
      <c r="E20" s="13588"/>
      <c r="F20" s="13592">
        <f>'STATEMENT OF RECEIPTS'!O17</f>
        <v>7381140.79</v>
      </c>
      <c r="G20" s="13388"/>
      <c r="H20" s="13592">
        <f>'BESF Table 1'!Q15</f>
        <v>13738527.98</v>
      </c>
      <c r="I20" s="13388"/>
      <c r="J20" s="13592">
        <f>'BESF Table 1'!S15</f>
        <v>22811472.02</v>
      </c>
      <c r="K20" s="13388"/>
      <c r="L20" s="13593">
        <f>'STATEMENT OF RECEIPTS'!N17</f>
        <v>19650000</v>
      </c>
      <c r="N20" s="13594">
        <f>H20+J20</f>
        <v>36550000</v>
      </c>
    </row>
    <row r="21" spans="1:14">
      <c r="A21" s="13578" t="s">
        <v>1486</v>
      </c>
      <c r="E21" s="13588"/>
      <c r="F21" s="13592"/>
      <c r="G21" s="13388"/>
      <c r="H21" s="13592"/>
      <c r="I21" s="13388"/>
      <c r="J21" s="13592"/>
      <c r="K21" s="13388"/>
      <c r="L21" s="13593"/>
      <c r="M21" s="13594">
        <f>L19+L20</f>
        <v>2424992881</v>
      </c>
    </row>
    <row r="22" spans="1:14">
      <c r="A22" s="13578" t="s">
        <v>1487</v>
      </c>
      <c r="E22" s="13588"/>
      <c r="F22" s="13592">
        <v>0</v>
      </c>
      <c r="G22" s="13388"/>
      <c r="H22" s="13592"/>
      <c r="I22" s="13388"/>
      <c r="J22" s="13592"/>
      <c r="K22" s="13388"/>
      <c r="L22" s="13593"/>
    </row>
    <row r="23" spans="1:14">
      <c r="A23" s="13578" t="s">
        <v>527</v>
      </c>
      <c r="E23" s="13588"/>
      <c r="F23" s="13592">
        <v>0</v>
      </c>
      <c r="G23" s="13388"/>
      <c r="H23" s="13592"/>
      <c r="I23" s="13389"/>
      <c r="J23" s="13592">
        <f>'LBPF No. 2'!I70</f>
        <v>440000000</v>
      </c>
      <c r="K23" s="13388"/>
      <c r="L23" s="13593">
        <f>'STATEMENT OF RECEIPTS'!J92</f>
        <v>0</v>
      </c>
      <c r="N23" s="13594"/>
    </row>
    <row r="24" spans="1:14">
      <c r="A24" s="13578"/>
      <c r="E24" s="13588"/>
      <c r="F24" s="13388"/>
      <c r="G24" s="13388"/>
      <c r="H24" s="13388"/>
      <c r="I24" s="13388"/>
      <c r="J24" s="13388"/>
      <c r="K24" s="13388"/>
      <c r="L24" s="13591"/>
    </row>
    <row r="25" spans="1:14" s="13575" customFormat="1">
      <c r="A25" s="13581" t="s">
        <v>1488</v>
      </c>
      <c r="E25" s="13595"/>
      <c r="F25" s="13589">
        <f>SUM(F13:F24)</f>
        <v>2117937454.5699999</v>
      </c>
      <c r="G25" s="13437"/>
      <c r="H25" s="13589">
        <f>SUM(H13:H24)</f>
        <v>1336185423.8299999</v>
      </c>
      <c r="I25" s="13437"/>
      <c r="J25" s="13589">
        <f>SUM(J13:J24)</f>
        <v>1599862058.1700001</v>
      </c>
      <c r="K25" s="13437"/>
      <c r="L25" s="13590">
        <f>SUM(L13:L24)</f>
        <v>2529992881</v>
      </c>
    </row>
    <row r="26" spans="1:14">
      <c r="A26" s="13578"/>
      <c r="E26" s="13588"/>
      <c r="F26" s="13388"/>
      <c r="G26" s="13388"/>
      <c r="H26" s="13388"/>
      <c r="I26" s="13388"/>
      <c r="J26" s="13388"/>
      <c r="K26" s="13388"/>
      <c r="L26" s="13591"/>
      <c r="N26" s="13594">
        <f>H25+J25</f>
        <v>2936047482</v>
      </c>
    </row>
    <row r="27" spans="1:14">
      <c r="A27" s="13578" t="s">
        <v>9329</v>
      </c>
      <c r="E27" s="13588"/>
      <c r="F27" s="13592">
        <f>'STATEMENT OF RECEIPTS'!F96</f>
        <v>0</v>
      </c>
      <c r="G27" s="13388"/>
      <c r="H27" s="13592"/>
      <c r="I27" s="13388"/>
      <c r="J27" s="13592"/>
      <c r="K27" s="13388"/>
      <c r="L27" s="13593"/>
    </row>
    <row r="28" spans="1:14">
      <c r="A28" s="13596" t="s">
        <v>9330</v>
      </c>
      <c r="E28" s="13588"/>
      <c r="F28" s="13597">
        <f>'STATEMENT OF RECEIPTS'!F97</f>
        <v>0</v>
      </c>
      <c r="G28" s="13388"/>
      <c r="H28" s="13597"/>
      <c r="I28" s="13388"/>
      <c r="J28" s="13597"/>
      <c r="K28" s="13388"/>
      <c r="L28" s="13598"/>
    </row>
    <row r="29" spans="1:14" s="13575" customFormat="1">
      <c r="A29" s="13581" t="s">
        <v>1489</v>
      </c>
      <c r="E29" s="13595"/>
      <c r="F29" s="13589">
        <f>(F25+F27+F28)</f>
        <v>2117937454.5699999</v>
      </c>
      <c r="G29" s="13437"/>
      <c r="H29" s="13589">
        <f>(H25-H27)</f>
        <v>1336185423.8299999</v>
      </c>
      <c r="I29" s="13437"/>
      <c r="J29" s="13589">
        <f>(J25-J27)</f>
        <v>1599862058.1700001</v>
      </c>
      <c r="K29" s="13437"/>
      <c r="L29" s="13590">
        <f>(L25-L27)</f>
        <v>2529992881</v>
      </c>
    </row>
    <row r="30" spans="1:14">
      <c r="A30" s="13578"/>
      <c r="E30" s="13588"/>
      <c r="F30" s="13388"/>
      <c r="G30" s="13388"/>
      <c r="H30" s="13388"/>
      <c r="I30" s="13388"/>
      <c r="J30" s="13388"/>
      <c r="K30" s="13388"/>
      <c r="L30" s="13591"/>
    </row>
    <row r="31" spans="1:14">
      <c r="A31" s="13578" t="s">
        <v>1490</v>
      </c>
      <c r="E31" s="13588"/>
      <c r="F31" s="13388"/>
      <c r="G31" s="13388"/>
      <c r="H31" s="13388"/>
      <c r="I31" s="13388"/>
      <c r="J31" s="13388"/>
      <c r="K31" s="13388"/>
      <c r="L31" s="13591"/>
    </row>
    <row r="32" spans="1:14">
      <c r="A32" s="13578"/>
      <c r="E32" s="13588"/>
      <c r="F32" s="13388"/>
      <c r="G32" s="13388"/>
      <c r="H32" s="13388"/>
      <c r="I32" s="13388"/>
      <c r="J32" s="13388"/>
      <c r="K32" s="13388"/>
      <c r="L32" s="13591"/>
    </row>
    <row r="33" spans="1:14">
      <c r="A33" s="13578" t="s">
        <v>1491</v>
      </c>
      <c r="F33" s="13599">
        <f>'SUMMARY WORKSHEET NO. 2'!C32</f>
        <v>807934368.74999976</v>
      </c>
      <c r="G33" s="13600"/>
      <c r="H33" s="13600"/>
      <c r="J33" s="13601"/>
      <c r="K33" s="13389"/>
      <c r="L33" s="13602"/>
    </row>
    <row r="34" spans="1:14">
      <c r="A34" s="13578" t="s">
        <v>1492</v>
      </c>
      <c r="F34" s="13592">
        <f>summary!G57</f>
        <v>755106314</v>
      </c>
      <c r="G34" s="13388"/>
      <c r="H34" s="13388"/>
      <c r="I34" s="13388"/>
      <c r="J34" s="13389"/>
      <c r="K34" s="13389"/>
      <c r="L34" s="13602"/>
    </row>
    <row r="35" spans="1:14">
      <c r="A35" s="13578" t="s">
        <v>1493</v>
      </c>
      <c r="F35" s="13592">
        <f>summary!J57</f>
        <v>40919350.5</v>
      </c>
      <c r="G35" s="13388"/>
      <c r="H35" s="13388"/>
      <c r="I35" s="13388"/>
      <c r="J35" s="13389"/>
      <c r="K35" s="13389"/>
      <c r="L35" s="13602"/>
    </row>
    <row r="36" spans="1:14">
      <c r="A36" s="13578" t="s">
        <v>1494</v>
      </c>
      <c r="F36" s="13592">
        <f>summary!M57+summary!P76+summary!J61+summary!J63</f>
        <v>805765703.70000005</v>
      </c>
      <c r="G36" s="13388"/>
      <c r="H36" s="13388"/>
      <c r="I36" s="13388"/>
      <c r="J36" s="13389"/>
      <c r="K36" s="13389"/>
      <c r="L36" s="13602"/>
    </row>
    <row r="37" spans="1:14" ht="14.25" customHeight="1">
      <c r="A37" s="13603" t="s">
        <v>10441</v>
      </c>
      <c r="B37" s="13604"/>
      <c r="C37" s="13604"/>
      <c r="D37" s="13605"/>
      <c r="E37" s="13605"/>
      <c r="F37" s="13592">
        <f>summary!J62</f>
        <v>120267144.05000001</v>
      </c>
      <c r="G37" s="13388"/>
      <c r="H37" s="13388"/>
      <c r="I37" s="13388"/>
      <c r="J37" s="13606"/>
      <c r="K37" s="13389"/>
      <c r="L37" s="13602"/>
      <c r="N37" s="13594">
        <f>SUM(F33:F37)</f>
        <v>2529992881</v>
      </c>
    </row>
    <row r="38" spans="1:14">
      <c r="A38" s="13578"/>
      <c r="E38" s="13588"/>
      <c r="F38" s="13388"/>
      <c r="G38" s="13388"/>
      <c r="H38" s="13388"/>
      <c r="I38" s="13388"/>
      <c r="J38" s="13389"/>
      <c r="K38" s="13389"/>
      <c r="L38" s="13602"/>
    </row>
    <row r="39" spans="1:14">
      <c r="A39" s="13578" t="s">
        <v>1495</v>
      </c>
      <c r="E39" s="13588"/>
      <c r="F39" s="13388"/>
      <c r="G39" s="13388"/>
      <c r="H39" s="13388"/>
      <c r="I39" s="13388"/>
      <c r="J39" s="13389"/>
      <c r="K39" s="13389"/>
      <c r="L39" s="13607" t="s">
        <v>1496</v>
      </c>
    </row>
    <row r="40" spans="1:14">
      <c r="A40" s="13578"/>
      <c r="E40" s="13588"/>
      <c r="F40" s="13388"/>
      <c r="G40" s="13388"/>
      <c r="H40" s="13388"/>
      <c r="I40" s="13388"/>
      <c r="J40" s="13389"/>
      <c r="K40" s="13389"/>
      <c r="L40" s="13602"/>
    </row>
    <row r="41" spans="1:14">
      <c r="A41" s="13578" t="s">
        <v>1497</v>
      </c>
      <c r="E41" s="13588"/>
      <c r="F41" s="13388"/>
      <c r="G41" s="13388"/>
      <c r="H41" s="13388"/>
      <c r="I41" s="13388"/>
      <c r="J41" s="13389"/>
      <c r="K41" s="13389"/>
      <c r="L41" s="13602"/>
    </row>
    <row r="42" spans="1:14">
      <c r="A42" s="13578" t="s">
        <v>1498</v>
      </c>
      <c r="E42" s="13588"/>
      <c r="F42" s="13388"/>
      <c r="G42" s="13388"/>
      <c r="H42" s="13388"/>
      <c r="I42" s="13388"/>
      <c r="J42" s="13389"/>
      <c r="K42" s="13389"/>
      <c r="L42" s="13607">
        <f>F19</f>
        <v>1995556313.78</v>
      </c>
    </row>
    <row r="43" spans="1:14">
      <c r="A43" s="13578" t="s">
        <v>1499</v>
      </c>
      <c r="E43" s="13588"/>
      <c r="F43" s="13388"/>
      <c r="G43" s="13388"/>
      <c r="H43" s="13388"/>
      <c r="I43" s="13388"/>
      <c r="J43" s="13389"/>
      <c r="K43" s="13389"/>
      <c r="L43" s="13607">
        <f>L42*45%</f>
        <v>898000341.20099998</v>
      </c>
    </row>
    <row r="44" spans="1:14">
      <c r="A44" s="13578"/>
      <c r="E44" s="13588"/>
      <c r="F44" s="13388"/>
      <c r="G44" s="13388"/>
      <c r="H44" s="13388"/>
      <c r="I44" s="13388"/>
      <c r="J44" s="13389"/>
      <c r="K44" s="13389"/>
      <c r="L44" s="13602"/>
    </row>
    <row r="45" spans="1:14">
      <c r="A45" s="13578" t="s">
        <v>1500</v>
      </c>
      <c r="E45" s="13588"/>
      <c r="F45" s="13388"/>
      <c r="G45" s="13388"/>
      <c r="H45" s="13388"/>
      <c r="I45" s="13388"/>
      <c r="J45" s="13389"/>
      <c r="K45" s="13389"/>
      <c r="L45" s="13602"/>
    </row>
    <row r="46" spans="1:14">
      <c r="A46" s="13578" t="s">
        <v>10440</v>
      </c>
      <c r="E46" s="13588"/>
      <c r="F46" s="13588"/>
      <c r="G46" s="13588"/>
      <c r="H46" s="13608">
        <f>F33</f>
        <v>807934368.74999976</v>
      </c>
      <c r="I46" s="13588"/>
      <c r="J46" s="13609"/>
      <c r="K46" s="13609"/>
      <c r="L46" s="13610"/>
    </row>
    <row r="47" spans="1:14">
      <c r="A47" s="13611" t="s">
        <v>12098</v>
      </c>
      <c r="E47" s="13588"/>
      <c r="F47" s="13588"/>
      <c r="G47" s="13588"/>
      <c r="H47" s="13608">
        <f>'SUMMARY WORKSHEET NO. 2'!C34</f>
        <v>29729493.324999772</v>
      </c>
      <c r="I47" s="13588"/>
      <c r="J47" s="13609"/>
      <c r="K47" s="13609"/>
      <c r="L47" s="13612">
        <f>H46-H47</f>
        <v>778204875.42499995</v>
      </c>
    </row>
    <row r="48" spans="1:14">
      <c r="A48" s="13578" t="s">
        <v>1501</v>
      </c>
      <c r="E48" s="13613"/>
      <c r="F48" s="13588"/>
      <c r="G48" s="13588"/>
      <c r="H48" s="13588"/>
      <c r="I48" s="13588"/>
      <c r="J48" s="13609"/>
      <c r="K48" s="13609"/>
      <c r="L48" s="13607">
        <f>L43-L47</f>
        <v>119795465.77600002</v>
      </c>
    </row>
    <row r="49" spans="1:12" ht="16.2" thickBot="1">
      <c r="A49" s="13582"/>
      <c r="B49" s="13577"/>
      <c r="C49" s="13577"/>
      <c r="D49" s="13577"/>
      <c r="E49" s="13614"/>
      <c r="F49" s="13577"/>
      <c r="G49" s="13577"/>
      <c r="H49" s="13577"/>
      <c r="I49" s="13577"/>
      <c r="J49" s="13615"/>
      <c r="K49" s="13615"/>
      <c r="L49" s="13616"/>
    </row>
    <row r="50" spans="1:12" ht="15" customHeight="1"/>
    <row r="51" spans="1:12" s="13554" customFormat="1" ht="15" hidden="1" customHeight="1">
      <c r="A51" s="13617" t="s">
        <v>9177</v>
      </c>
      <c r="G51" s="13617"/>
      <c r="H51" s="13554" t="s">
        <v>3485</v>
      </c>
    </row>
    <row r="52" spans="1:12" s="13554" customFormat="1" ht="15" hidden="1" customHeight="1">
      <c r="A52" s="13617"/>
      <c r="G52" s="13617"/>
    </row>
    <row r="53" spans="1:12" s="13560" customFormat="1" ht="15" hidden="1" customHeight="1">
      <c r="A53" s="13987"/>
      <c r="B53" s="13987"/>
      <c r="C53" s="13987"/>
      <c r="D53" s="13987"/>
      <c r="E53" s="13987"/>
      <c r="F53" s="13987"/>
      <c r="G53" s="13987"/>
      <c r="H53" s="13987"/>
      <c r="I53" s="13987"/>
      <c r="J53" s="13987"/>
      <c r="K53" s="13987"/>
    </row>
    <row r="54" spans="1:12" s="13619" customFormat="1" ht="15" hidden="1" customHeight="1">
      <c r="A54" s="13618"/>
      <c r="C54" s="13618"/>
      <c r="D54" s="13618"/>
      <c r="E54" s="9605" t="s">
        <v>12059</v>
      </c>
      <c r="F54" s="13618"/>
      <c r="H54" s="13620"/>
      <c r="I54" s="13620"/>
      <c r="J54" s="13620" t="s">
        <v>5182</v>
      </c>
    </row>
    <row r="55" spans="1:12" ht="15" hidden="1" customHeight="1">
      <c r="A55" s="13621"/>
      <c r="C55" s="13621"/>
      <c r="D55" s="13621"/>
      <c r="E55" s="13621" t="s">
        <v>3486</v>
      </c>
      <c r="F55" s="13621"/>
      <c r="H55" s="13605" t="s">
        <v>10439</v>
      </c>
      <c r="I55" s="13605"/>
      <c r="J55" s="13605"/>
      <c r="K55" s="13605"/>
      <c r="L55" s="13605"/>
    </row>
    <row r="56" spans="1:12" ht="15" hidden="1" customHeight="1">
      <c r="A56" s="13986"/>
      <c r="B56" s="13986"/>
      <c r="C56" s="13986"/>
      <c r="D56" s="13986"/>
      <c r="E56" s="13986"/>
      <c r="F56" s="13986"/>
      <c r="H56" s="13986"/>
      <c r="I56" s="13986"/>
      <c r="J56" s="13986"/>
      <c r="K56" s="13986"/>
      <c r="L56" s="13986"/>
    </row>
    <row r="57" spans="1:12" ht="12" customHeight="1"/>
    <row r="58" spans="1:12" ht="12" customHeight="1"/>
  </sheetData>
  <mergeCells count="5">
    <mergeCell ref="J5:L5"/>
    <mergeCell ref="H56:L56"/>
    <mergeCell ref="A56:F56"/>
    <mergeCell ref="A53:F53"/>
    <mergeCell ref="G53:K53"/>
  </mergeCells>
  <printOptions horizontalCentered="1" gridLinesSet="0"/>
  <pageMargins left="0.25" right="0.25" top="0.5" bottom="0.25" header="0.25" footer="0.25"/>
  <pageSetup paperSize="119" scale="95" orientation="portrait" r:id="rId1"/>
  <headerFooter alignWithMargins="0"/>
</worksheet>
</file>

<file path=xl/worksheets/sheet30.xml><?xml version="1.0" encoding="utf-8"?>
<worksheet xmlns="http://schemas.openxmlformats.org/spreadsheetml/2006/main" xmlns:r="http://schemas.openxmlformats.org/officeDocument/2006/relationships">
  <sheetPr codeName="Sheet55">
    <tabColor rgb="FFFFFF00"/>
  </sheetPr>
  <dimension ref="A1:E35"/>
  <sheetViews>
    <sheetView topLeftCell="A16" workbookViewId="0">
      <selection activeCell="E20" sqref="E20"/>
    </sheetView>
  </sheetViews>
  <sheetFormatPr defaultColWidth="9.109375" defaultRowHeight="14.4"/>
  <cols>
    <col min="1" max="1" width="29.44140625" style="818" customWidth="1"/>
    <col min="2" max="2" width="16.44140625" style="889" customWidth="1"/>
    <col min="3" max="3" width="14.88671875" style="889" customWidth="1"/>
    <col min="4" max="4" width="16.44140625" style="889" customWidth="1"/>
    <col min="5" max="5" width="14.109375" style="889" customWidth="1"/>
    <col min="6" max="16384" width="9.109375" style="818"/>
  </cols>
  <sheetData>
    <row r="1" spans="1:5" s="881" customFormat="1" ht="40.5" customHeight="1">
      <c r="A1" s="881" t="s">
        <v>3426</v>
      </c>
      <c r="B1" s="884"/>
      <c r="C1" s="884"/>
      <c r="D1" s="884"/>
      <c r="E1" s="884"/>
    </row>
    <row r="2" spans="1:5" s="881" customFormat="1" ht="31.5" customHeight="1">
      <c r="A2" s="881" t="s">
        <v>4769</v>
      </c>
      <c r="B2" s="884"/>
      <c r="C2" s="884"/>
      <c r="D2" s="884"/>
      <c r="E2" s="884"/>
    </row>
    <row r="3" spans="1:5" s="881" customFormat="1">
      <c r="A3" s="14205" t="s">
        <v>3427</v>
      </c>
      <c r="B3" s="14207" t="s">
        <v>18</v>
      </c>
      <c r="C3" s="14207"/>
      <c r="D3" s="14207"/>
      <c r="E3" s="14208" t="s">
        <v>220</v>
      </c>
    </row>
    <row r="4" spans="1:5" s="882" customFormat="1">
      <c r="A4" s="14206"/>
      <c r="B4" s="977" t="s">
        <v>2151</v>
      </c>
      <c r="C4" s="977" t="s">
        <v>1973</v>
      </c>
      <c r="D4" s="977" t="s">
        <v>52</v>
      </c>
      <c r="E4" s="14209"/>
    </row>
    <row r="5" spans="1:5" s="882" customFormat="1">
      <c r="A5" s="1304"/>
      <c r="B5" s="1305"/>
      <c r="C5" s="1305"/>
      <c r="D5" s="1305"/>
      <c r="E5" s="1305"/>
    </row>
    <row r="6" spans="1:5" s="881" customFormat="1">
      <c r="A6" s="883" t="s">
        <v>2048</v>
      </c>
      <c r="B6" s="886"/>
      <c r="C6" s="886"/>
      <c r="D6" s="886"/>
      <c r="E6" s="886"/>
    </row>
    <row r="7" spans="1:5" s="881" customFormat="1">
      <c r="A7" s="1288"/>
      <c r="B7" s="1289"/>
      <c r="C7" s="1289"/>
      <c r="D7" s="1289"/>
      <c r="E7" s="1289"/>
    </row>
    <row r="8" spans="1:5">
      <c r="A8" s="879" t="s">
        <v>936</v>
      </c>
      <c r="B8" s="887">
        <v>1672248</v>
      </c>
      <c r="C8" s="887">
        <v>2075000</v>
      </c>
      <c r="D8" s="887">
        <v>200000</v>
      </c>
      <c r="E8" s="887">
        <f>SUM(B8:D8)</f>
        <v>3947248</v>
      </c>
    </row>
    <row r="9" spans="1:5">
      <c r="A9" s="879" t="s">
        <v>3538</v>
      </c>
      <c r="B9" s="887"/>
      <c r="C9" s="887">
        <v>3000000</v>
      </c>
      <c r="D9" s="887"/>
      <c r="E9" s="887">
        <f>SUM(B9:D9)</f>
        <v>3000000</v>
      </c>
    </row>
    <row r="10" spans="1:5">
      <c r="A10" s="1286" t="s">
        <v>3539</v>
      </c>
      <c r="B10" s="1287"/>
      <c r="C10" s="1287">
        <v>750000</v>
      </c>
      <c r="D10" s="1287"/>
      <c r="E10" s="1287">
        <f>SUM(B10:D10)</f>
        <v>750000</v>
      </c>
    </row>
    <row r="11" spans="1:5">
      <c r="A11" s="1286"/>
      <c r="B11" s="1287"/>
      <c r="C11" s="1287"/>
      <c r="D11" s="1287"/>
      <c r="E11" s="1287"/>
    </row>
    <row r="12" spans="1:5">
      <c r="A12" s="879"/>
      <c r="B12" s="887"/>
      <c r="C12" s="887"/>
      <c r="D12" s="887"/>
      <c r="E12" s="887"/>
    </row>
    <row r="13" spans="1:5">
      <c r="A13" s="879"/>
      <c r="B13" s="887"/>
      <c r="C13" s="887"/>
      <c r="D13" s="887"/>
      <c r="E13" s="887"/>
    </row>
    <row r="14" spans="1:5">
      <c r="A14" s="879"/>
      <c r="B14" s="887"/>
      <c r="C14" s="887"/>
      <c r="D14" s="887"/>
      <c r="E14" s="887"/>
    </row>
    <row r="15" spans="1:5">
      <c r="A15" s="879"/>
      <c r="B15" s="887"/>
      <c r="C15" s="887"/>
      <c r="D15" s="887"/>
      <c r="E15" s="887"/>
    </row>
    <row r="16" spans="1:5">
      <c r="A16" s="879"/>
      <c r="B16" s="887"/>
      <c r="C16" s="887"/>
      <c r="D16" s="887"/>
      <c r="E16" s="887"/>
    </row>
    <row r="17" spans="1:5">
      <c r="A17" s="879"/>
      <c r="B17" s="887"/>
      <c r="C17" s="887"/>
      <c r="D17" s="887"/>
      <c r="E17" s="887"/>
    </row>
    <row r="18" spans="1:5">
      <c r="A18" s="879"/>
      <c r="B18" s="887"/>
      <c r="C18" s="887"/>
      <c r="D18" s="887"/>
      <c r="E18" s="887"/>
    </row>
    <row r="19" spans="1:5">
      <c r="A19" s="1302"/>
      <c r="B19" s="1303"/>
      <c r="C19" s="1303"/>
      <c r="D19" s="1303"/>
      <c r="E19" s="1303"/>
    </row>
    <row r="20" spans="1:5">
      <c r="A20" s="883" t="s">
        <v>3429</v>
      </c>
      <c r="B20" s="887"/>
      <c r="C20" s="887"/>
      <c r="D20" s="887"/>
      <c r="E20" s="887"/>
    </row>
    <row r="21" spans="1:5">
      <c r="A21" s="890" t="s">
        <v>3430</v>
      </c>
      <c r="B21" s="887"/>
      <c r="C21" s="887"/>
      <c r="D21" s="887"/>
      <c r="E21" s="887"/>
    </row>
    <row r="22" spans="1:5">
      <c r="A22" s="879"/>
      <c r="B22" s="887"/>
      <c r="C22" s="887"/>
      <c r="D22" s="887"/>
      <c r="E22" s="887"/>
    </row>
    <row r="23" spans="1:5">
      <c r="A23" s="879"/>
      <c r="B23" s="887"/>
      <c r="C23" s="887"/>
      <c r="D23" s="887"/>
      <c r="E23" s="887"/>
    </row>
    <row r="24" spans="1:5">
      <c r="A24" s="879"/>
      <c r="B24" s="887"/>
      <c r="C24" s="887"/>
      <c r="D24" s="887"/>
      <c r="E24" s="887"/>
    </row>
    <row r="25" spans="1:5">
      <c r="A25" s="879"/>
      <c r="B25" s="887"/>
      <c r="C25" s="887"/>
      <c r="D25" s="887"/>
      <c r="E25" s="887"/>
    </row>
    <row r="26" spans="1:5">
      <c r="A26" s="879"/>
      <c r="B26" s="887"/>
      <c r="C26" s="887"/>
      <c r="D26" s="887"/>
      <c r="E26" s="887"/>
    </row>
    <row r="27" spans="1:5">
      <c r="A27" s="879"/>
      <c r="B27" s="887"/>
      <c r="C27" s="887"/>
      <c r="D27" s="887"/>
      <c r="E27" s="887"/>
    </row>
    <row r="28" spans="1:5">
      <c r="A28" s="879"/>
      <c r="B28" s="887"/>
      <c r="C28" s="887"/>
      <c r="D28" s="887"/>
      <c r="E28" s="887"/>
    </row>
    <row r="29" spans="1:5">
      <c r="A29" s="879"/>
      <c r="B29" s="887"/>
      <c r="C29" s="887"/>
      <c r="D29" s="887"/>
      <c r="E29" s="887"/>
    </row>
    <row r="30" spans="1:5">
      <c r="A30" s="879"/>
      <c r="B30" s="887"/>
      <c r="C30" s="887"/>
      <c r="D30" s="887"/>
      <c r="E30" s="887"/>
    </row>
    <row r="31" spans="1:5">
      <c r="A31" s="879"/>
      <c r="B31" s="887"/>
      <c r="C31" s="887"/>
      <c r="D31" s="887"/>
      <c r="E31" s="887"/>
    </row>
    <row r="32" spans="1:5">
      <c r="A32" s="879"/>
      <c r="B32" s="887"/>
      <c r="C32" s="887"/>
      <c r="D32" s="887"/>
      <c r="E32" s="887"/>
    </row>
    <row r="33" spans="1:5">
      <c r="A33" s="879"/>
      <c r="B33" s="887"/>
      <c r="C33" s="887"/>
      <c r="D33" s="887"/>
      <c r="E33" s="887"/>
    </row>
    <row r="34" spans="1:5">
      <c r="A34" s="879"/>
      <c r="B34" s="887"/>
      <c r="C34" s="887"/>
      <c r="D34" s="887"/>
      <c r="E34" s="887"/>
    </row>
    <row r="35" spans="1:5" s="881" customFormat="1">
      <c r="A35" s="891" t="s">
        <v>2850</v>
      </c>
      <c r="B35" s="892">
        <f>SUM(B6:B34)</f>
        <v>1672248</v>
      </c>
      <c r="C35" s="892">
        <f>SUM(C6:C34)</f>
        <v>5825000</v>
      </c>
      <c r="D35" s="892">
        <f>SUM(D6:D34)</f>
        <v>200000</v>
      </c>
      <c r="E35" s="892">
        <f>SUM(E6:E34)</f>
        <v>7697248</v>
      </c>
    </row>
  </sheetData>
  <mergeCells count="3">
    <mergeCell ref="A3:A4"/>
    <mergeCell ref="B3:D3"/>
    <mergeCell ref="E3:E4"/>
  </mergeCells>
  <printOptions horizontalCentered="1"/>
  <pageMargins left="0.5" right="0.25" top="0.75" bottom="0.5" header="0.3" footer="0.25"/>
  <pageSetup paperSize="119" firstPageNumber="42" orientation="portrait" useFirstPageNumber="1" verticalDpi="300" r:id="rId1"/>
</worksheet>
</file>

<file path=xl/worksheets/sheet31.xml><?xml version="1.0" encoding="utf-8"?>
<worksheet xmlns="http://schemas.openxmlformats.org/spreadsheetml/2006/main" xmlns:r="http://schemas.openxmlformats.org/officeDocument/2006/relationships">
  <sheetPr codeName="Sheet21">
    <tabColor rgb="FFFFFF00"/>
  </sheetPr>
  <dimension ref="A1:J63"/>
  <sheetViews>
    <sheetView workbookViewId="0">
      <selection activeCell="I12" sqref="I12"/>
    </sheetView>
  </sheetViews>
  <sheetFormatPr defaultRowHeight="14.4" customHeight="1"/>
  <cols>
    <col min="1" max="1" width="35.5546875" style="7165" customWidth="1"/>
    <col min="2" max="3" width="8.5546875" style="7165" customWidth="1"/>
    <col min="4" max="4" width="27.109375" style="7165" hidden="1" customWidth="1"/>
    <col min="5" max="7" width="14.5546875" style="5787" customWidth="1"/>
    <col min="8" max="8" width="8.88671875" style="7199" customWidth="1"/>
    <col min="9" max="9" width="5.109375" style="7195" customWidth="1"/>
    <col min="10" max="10" width="12.5546875" style="7165" customWidth="1"/>
    <col min="11" max="18" width="8.88671875" style="7165" customWidth="1"/>
    <col min="19" max="256" width="9.109375" style="7165"/>
    <col min="257" max="257" width="33.44140625" style="7165" customWidth="1"/>
    <col min="258" max="258" width="7.44140625" style="7165" customWidth="1"/>
    <col min="259" max="259" width="7" style="7165" customWidth="1"/>
    <col min="260" max="260" width="0" style="7165" hidden="1" customWidth="1"/>
    <col min="261" max="261" width="10.109375" style="7165" customWidth="1"/>
    <col min="262" max="262" width="14.44140625" style="7165" customWidth="1"/>
    <col min="263" max="263" width="17.109375" style="7165" customWidth="1"/>
    <col min="264" max="512" width="9.109375" style="7165"/>
    <col min="513" max="513" width="33.44140625" style="7165" customWidth="1"/>
    <col min="514" max="514" width="7.44140625" style="7165" customWidth="1"/>
    <col min="515" max="515" width="7" style="7165" customWidth="1"/>
    <col min="516" max="516" width="0" style="7165" hidden="1" customWidth="1"/>
    <col min="517" max="517" width="10.109375" style="7165" customWidth="1"/>
    <col min="518" max="518" width="14.44140625" style="7165" customWidth="1"/>
    <col min="519" max="519" width="17.109375" style="7165" customWidth="1"/>
    <col min="520" max="768" width="9.109375" style="7165"/>
    <col min="769" max="769" width="33.44140625" style="7165" customWidth="1"/>
    <col min="770" max="770" width="7.44140625" style="7165" customWidth="1"/>
    <col min="771" max="771" width="7" style="7165" customWidth="1"/>
    <col min="772" max="772" width="0" style="7165" hidden="1" customWidth="1"/>
    <col min="773" max="773" width="10.109375" style="7165" customWidth="1"/>
    <col min="774" max="774" width="14.44140625" style="7165" customWidth="1"/>
    <col min="775" max="775" width="17.109375" style="7165" customWidth="1"/>
    <col min="776" max="1024" width="9.109375" style="7165"/>
    <col min="1025" max="1025" width="33.44140625" style="7165" customWidth="1"/>
    <col min="1026" max="1026" width="7.44140625" style="7165" customWidth="1"/>
    <col min="1027" max="1027" width="7" style="7165" customWidth="1"/>
    <col min="1028" max="1028" width="0" style="7165" hidden="1" customWidth="1"/>
    <col min="1029" max="1029" width="10.109375" style="7165" customWidth="1"/>
    <col min="1030" max="1030" width="14.44140625" style="7165" customWidth="1"/>
    <col min="1031" max="1031" width="17.109375" style="7165" customWidth="1"/>
    <col min="1032" max="1280" width="9.109375" style="7165"/>
    <col min="1281" max="1281" width="33.44140625" style="7165" customWidth="1"/>
    <col min="1282" max="1282" width="7.44140625" style="7165" customWidth="1"/>
    <col min="1283" max="1283" width="7" style="7165" customWidth="1"/>
    <col min="1284" max="1284" width="0" style="7165" hidden="1" customWidth="1"/>
    <col min="1285" max="1285" width="10.109375" style="7165" customWidth="1"/>
    <col min="1286" max="1286" width="14.44140625" style="7165" customWidth="1"/>
    <col min="1287" max="1287" width="17.109375" style="7165" customWidth="1"/>
    <col min="1288" max="1536" width="9.109375" style="7165"/>
    <col min="1537" max="1537" width="33.44140625" style="7165" customWidth="1"/>
    <col min="1538" max="1538" width="7.44140625" style="7165" customWidth="1"/>
    <col min="1539" max="1539" width="7" style="7165" customWidth="1"/>
    <col min="1540" max="1540" width="0" style="7165" hidden="1" customWidth="1"/>
    <col min="1541" max="1541" width="10.109375" style="7165" customWidth="1"/>
    <col min="1542" max="1542" width="14.44140625" style="7165" customWidth="1"/>
    <col min="1543" max="1543" width="17.109375" style="7165" customWidth="1"/>
    <col min="1544" max="1792" width="9.109375" style="7165"/>
    <col min="1793" max="1793" width="33.44140625" style="7165" customWidth="1"/>
    <col min="1794" max="1794" width="7.44140625" style="7165" customWidth="1"/>
    <col min="1795" max="1795" width="7" style="7165" customWidth="1"/>
    <col min="1796" max="1796" width="0" style="7165" hidden="1" customWidth="1"/>
    <col min="1797" max="1797" width="10.109375" style="7165" customWidth="1"/>
    <col min="1798" max="1798" width="14.44140625" style="7165" customWidth="1"/>
    <col min="1799" max="1799" width="17.109375" style="7165" customWidth="1"/>
    <col min="1800" max="2048" width="9.109375" style="7165"/>
    <col min="2049" max="2049" width="33.44140625" style="7165" customWidth="1"/>
    <col min="2050" max="2050" width="7.44140625" style="7165" customWidth="1"/>
    <col min="2051" max="2051" width="7" style="7165" customWidth="1"/>
    <col min="2052" max="2052" width="0" style="7165" hidden="1" customWidth="1"/>
    <col min="2053" max="2053" width="10.109375" style="7165" customWidth="1"/>
    <col min="2054" max="2054" width="14.44140625" style="7165" customWidth="1"/>
    <col min="2055" max="2055" width="17.109375" style="7165" customWidth="1"/>
    <col min="2056" max="2304" width="9.109375" style="7165"/>
    <col min="2305" max="2305" width="33.44140625" style="7165" customWidth="1"/>
    <col min="2306" max="2306" width="7.44140625" style="7165" customWidth="1"/>
    <col min="2307" max="2307" width="7" style="7165" customWidth="1"/>
    <col min="2308" max="2308" width="0" style="7165" hidden="1" customWidth="1"/>
    <col min="2309" max="2309" width="10.109375" style="7165" customWidth="1"/>
    <col min="2310" max="2310" width="14.44140625" style="7165" customWidth="1"/>
    <col min="2311" max="2311" width="17.109375" style="7165" customWidth="1"/>
    <col min="2312" max="2560" width="9.109375" style="7165"/>
    <col min="2561" max="2561" width="33.44140625" style="7165" customWidth="1"/>
    <col min="2562" max="2562" width="7.44140625" style="7165" customWidth="1"/>
    <col min="2563" max="2563" width="7" style="7165" customWidth="1"/>
    <col min="2564" max="2564" width="0" style="7165" hidden="1" customWidth="1"/>
    <col min="2565" max="2565" width="10.109375" style="7165" customWidth="1"/>
    <col min="2566" max="2566" width="14.44140625" style="7165" customWidth="1"/>
    <col min="2567" max="2567" width="17.109375" style="7165" customWidth="1"/>
    <col min="2568" max="2816" width="9.109375" style="7165"/>
    <col min="2817" max="2817" width="33.44140625" style="7165" customWidth="1"/>
    <col min="2818" max="2818" width="7.44140625" style="7165" customWidth="1"/>
    <col min="2819" max="2819" width="7" style="7165" customWidth="1"/>
    <col min="2820" max="2820" width="0" style="7165" hidden="1" customWidth="1"/>
    <col min="2821" max="2821" width="10.109375" style="7165" customWidth="1"/>
    <col min="2822" max="2822" width="14.44140625" style="7165" customWidth="1"/>
    <col min="2823" max="2823" width="17.109375" style="7165" customWidth="1"/>
    <col min="2824" max="3072" width="9.109375" style="7165"/>
    <col min="3073" max="3073" width="33.44140625" style="7165" customWidth="1"/>
    <col min="3074" max="3074" width="7.44140625" style="7165" customWidth="1"/>
    <col min="3075" max="3075" width="7" style="7165" customWidth="1"/>
    <col min="3076" max="3076" width="0" style="7165" hidden="1" customWidth="1"/>
    <col min="3077" max="3077" width="10.109375" style="7165" customWidth="1"/>
    <col min="3078" max="3078" width="14.44140625" style="7165" customWidth="1"/>
    <col min="3079" max="3079" width="17.109375" style="7165" customWidth="1"/>
    <col min="3080" max="3328" width="9.109375" style="7165"/>
    <col min="3329" max="3329" width="33.44140625" style="7165" customWidth="1"/>
    <col min="3330" max="3330" width="7.44140625" style="7165" customWidth="1"/>
    <col min="3331" max="3331" width="7" style="7165" customWidth="1"/>
    <col min="3332" max="3332" width="0" style="7165" hidden="1" customWidth="1"/>
    <col min="3333" max="3333" width="10.109375" style="7165" customWidth="1"/>
    <col min="3334" max="3334" width="14.44140625" style="7165" customWidth="1"/>
    <col min="3335" max="3335" width="17.109375" style="7165" customWidth="1"/>
    <col min="3336" max="3584" width="9.109375" style="7165"/>
    <col min="3585" max="3585" width="33.44140625" style="7165" customWidth="1"/>
    <col min="3586" max="3586" width="7.44140625" style="7165" customWidth="1"/>
    <col min="3587" max="3587" width="7" style="7165" customWidth="1"/>
    <col min="3588" max="3588" width="0" style="7165" hidden="1" customWidth="1"/>
    <col min="3589" max="3589" width="10.109375" style="7165" customWidth="1"/>
    <col min="3590" max="3590" width="14.44140625" style="7165" customWidth="1"/>
    <col min="3591" max="3591" width="17.109375" style="7165" customWidth="1"/>
    <col min="3592" max="3840" width="9.109375" style="7165"/>
    <col min="3841" max="3841" width="33.44140625" style="7165" customWidth="1"/>
    <col min="3842" max="3842" width="7.44140625" style="7165" customWidth="1"/>
    <col min="3843" max="3843" width="7" style="7165" customWidth="1"/>
    <col min="3844" max="3844" width="0" style="7165" hidden="1" customWidth="1"/>
    <col min="3845" max="3845" width="10.109375" style="7165" customWidth="1"/>
    <col min="3846" max="3846" width="14.44140625" style="7165" customWidth="1"/>
    <col min="3847" max="3847" width="17.109375" style="7165" customWidth="1"/>
    <col min="3848" max="4096" width="9.109375" style="7165"/>
    <col min="4097" max="4097" width="33.44140625" style="7165" customWidth="1"/>
    <col min="4098" max="4098" width="7.44140625" style="7165" customWidth="1"/>
    <col min="4099" max="4099" width="7" style="7165" customWidth="1"/>
    <col min="4100" max="4100" width="0" style="7165" hidden="1" customWidth="1"/>
    <col min="4101" max="4101" width="10.109375" style="7165" customWidth="1"/>
    <col min="4102" max="4102" width="14.44140625" style="7165" customWidth="1"/>
    <col min="4103" max="4103" width="17.109375" style="7165" customWidth="1"/>
    <col min="4104" max="4352" width="9.109375" style="7165"/>
    <col min="4353" max="4353" width="33.44140625" style="7165" customWidth="1"/>
    <col min="4354" max="4354" width="7.44140625" style="7165" customWidth="1"/>
    <col min="4355" max="4355" width="7" style="7165" customWidth="1"/>
    <col min="4356" max="4356" width="0" style="7165" hidden="1" customWidth="1"/>
    <col min="4357" max="4357" width="10.109375" style="7165" customWidth="1"/>
    <col min="4358" max="4358" width="14.44140625" style="7165" customWidth="1"/>
    <col min="4359" max="4359" width="17.109375" style="7165" customWidth="1"/>
    <col min="4360" max="4608" width="9.109375" style="7165"/>
    <col min="4609" max="4609" width="33.44140625" style="7165" customWidth="1"/>
    <col min="4610" max="4610" width="7.44140625" style="7165" customWidth="1"/>
    <col min="4611" max="4611" width="7" style="7165" customWidth="1"/>
    <col min="4612" max="4612" width="0" style="7165" hidden="1" customWidth="1"/>
    <col min="4613" max="4613" width="10.109375" style="7165" customWidth="1"/>
    <col min="4614" max="4614" width="14.44140625" style="7165" customWidth="1"/>
    <col min="4615" max="4615" width="17.109375" style="7165" customWidth="1"/>
    <col min="4616" max="4864" width="9.109375" style="7165"/>
    <col min="4865" max="4865" width="33.44140625" style="7165" customWidth="1"/>
    <col min="4866" max="4866" width="7.44140625" style="7165" customWidth="1"/>
    <col min="4867" max="4867" width="7" style="7165" customWidth="1"/>
    <col min="4868" max="4868" width="0" style="7165" hidden="1" customWidth="1"/>
    <col min="4869" max="4869" width="10.109375" style="7165" customWidth="1"/>
    <col min="4870" max="4870" width="14.44140625" style="7165" customWidth="1"/>
    <col min="4871" max="4871" width="17.109375" style="7165" customWidth="1"/>
    <col min="4872" max="5120" width="9.109375" style="7165"/>
    <col min="5121" max="5121" width="33.44140625" style="7165" customWidth="1"/>
    <col min="5122" max="5122" width="7.44140625" style="7165" customWidth="1"/>
    <col min="5123" max="5123" width="7" style="7165" customWidth="1"/>
    <col min="5124" max="5124" width="0" style="7165" hidden="1" customWidth="1"/>
    <col min="5125" max="5125" width="10.109375" style="7165" customWidth="1"/>
    <col min="5126" max="5126" width="14.44140625" style="7165" customWidth="1"/>
    <col min="5127" max="5127" width="17.109375" style="7165" customWidth="1"/>
    <col min="5128" max="5376" width="9.109375" style="7165"/>
    <col min="5377" max="5377" width="33.44140625" style="7165" customWidth="1"/>
    <col min="5378" max="5378" width="7.44140625" style="7165" customWidth="1"/>
    <col min="5379" max="5379" width="7" style="7165" customWidth="1"/>
    <col min="5380" max="5380" width="0" style="7165" hidden="1" customWidth="1"/>
    <col min="5381" max="5381" width="10.109375" style="7165" customWidth="1"/>
    <col min="5382" max="5382" width="14.44140625" style="7165" customWidth="1"/>
    <col min="5383" max="5383" width="17.109375" style="7165" customWidth="1"/>
    <col min="5384" max="5632" width="9.109375" style="7165"/>
    <col min="5633" max="5633" width="33.44140625" style="7165" customWidth="1"/>
    <col min="5634" max="5634" width="7.44140625" style="7165" customWidth="1"/>
    <col min="5635" max="5635" width="7" style="7165" customWidth="1"/>
    <col min="5636" max="5636" width="0" style="7165" hidden="1" customWidth="1"/>
    <col min="5637" max="5637" width="10.109375" style="7165" customWidth="1"/>
    <col min="5638" max="5638" width="14.44140625" style="7165" customWidth="1"/>
    <col min="5639" max="5639" width="17.109375" style="7165" customWidth="1"/>
    <col min="5640" max="5888" width="9.109375" style="7165"/>
    <col min="5889" max="5889" width="33.44140625" style="7165" customWidth="1"/>
    <col min="5890" max="5890" width="7.44140625" style="7165" customWidth="1"/>
    <col min="5891" max="5891" width="7" style="7165" customWidth="1"/>
    <col min="5892" max="5892" width="0" style="7165" hidden="1" customWidth="1"/>
    <col min="5893" max="5893" width="10.109375" style="7165" customWidth="1"/>
    <col min="5894" max="5894" width="14.44140625" style="7165" customWidth="1"/>
    <col min="5895" max="5895" width="17.109375" style="7165" customWidth="1"/>
    <col min="5896" max="6144" width="9.109375" style="7165"/>
    <col min="6145" max="6145" width="33.44140625" style="7165" customWidth="1"/>
    <col min="6146" max="6146" width="7.44140625" style="7165" customWidth="1"/>
    <col min="6147" max="6147" width="7" style="7165" customWidth="1"/>
    <col min="6148" max="6148" width="0" style="7165" hidden="1" customWidth="1"/>
    <col min="6149" max="6149" width="10.109375" style="7165" customWidth="1"/>
    <col min="6150" max="6150" width="14.44140625" style="7165" customWidth="1"/>
    <col min="6151" max="6151" width="17.109375" style="7165" customWidth="1"/>
    <col min="6152" max="6400" width="9.109375" style="7165"/>
    <col min="6401" max="6401" width="33.44140625" style="7165" customWidth="1"/>
    <col min="6402" max="6402" width="7.44140625" style="7165" customWidth="1"/>
    <col min="6403" max="6403" width="7" style="7165" customWidth="1"/>
    <col min="6404" max="6404" width="0" style="7165" hidden="1" customWidth="1"/>
    <col min="6405" max="6405" width="10.109375" style="7165" customWidth="1"/>
    <col min="6406" max="6406" width="14.44140625" style="7165" customWidth="1"/>
    <col min="6407" max="6407" width="17.109375" style="7165" customWidth="1"/>
    <col min="6408" max="6656" width="9.109375" style="7165"/>
    <col min="6657" max="6657" width="33.44140625" style="7165" customWidth="1"/>
    <col min="6658" max="6658" width="7.44140625" style="7165" customWidth="1"/>
    <col min="6659" max="6659" width="7" style="7165" customWidth="1"/>
    <col min="6660" max="6660" width="0" style="7165" hidden="1" customWidth="1"/>
    <col min="6661" max="6661" width="10.109375" style="7165" customWidth="1"/>
    <col min="6662" max="6662" width="14.44140625" style="7165" customWidth="1"/>
    <col min="6663" max="6663" width="17.109375" style="7165" customWidth="1"/>
    <col min="6664" max="6912" width="9.109375" style="7165"/>
    <col min="6913" max="6913" width="33.44140625" style="7165" customWidth="1"/>
    <col min="6914" max="6914" width="7.44140625" style="7165" customWidth="1"/>
    <col min="6915" max="6915" width="7" style="7165" customWidth="1"/>
    <col min="6916" max="6916" width="0" style="7165" hidden="1" customWidth="1"/>
    <col min="6917" max="6917" width="10.109375" style="7165" customWidth="1"/>
    <col min="6918" max="6918" width="14.44140625" style="7165" customWidth="1"/>
    <col min="6919" max="6919" width="17.109375" style="7165" customWidth="1"/>
    <col min="6920" max="7168" width="9.109375" style="7165"/>
    <col min="7169" max="7169" width="33.44140625" style="7165" customWidth="1"/>
    <col min="7170" max="7170" width="7.44140625" style="7165" customWidth="1"/>
    <col min="7171" max="7171" width="7" style="7165" customWidth="1"/>
    <col min="7172" max="7172" width="0" style="7165" hidden="1" customWidth="1"/>
    <col min="7173" max="7173" width="10.109375" style="7165" customWidth="1"/>
    <col min="7174" max="7174" width="14.44140625" style="7165" customWidth="1"/>
    <col min="7175" max="7175" width="17.109375" style="7165" customWidth="1"/>
    <col min="7176" max="7424" width="9.109375" style="7165"/>
    <col min="7425" max="7425" width="33.44140625" style="7165" customWidth="1"/>
    <col min="7426" max="7426" width="7.44140625" style="7165" customWidth="1"/>
    <col min="7427" max="7427" width="7" style="7165" customWidth="1"/>
    <col min="7428" max="7428" width="0" style="7165" hidden="1" customWidth="1"/>
    <col min="7429" max="7429" width="10.109375" style="7165" customWidth="1"/>
    <col min="7430" max="7430" width="14.44140625" style="7165" customWidth="1"/>
    <col min="7431" max="7431" width="17.109375" style="7165" customWidth="1"/>
    <col min="7432" max="7680" width="9.109375" style="7165"/>
    <col min="7681" max="7681" width="33.44140625" style="7165" customWidth="1"/>
    <col min="7682" max="7682" width="7.44140625" style="7165" customWidth="1"/>
    <col min="7683" max="7683" width="7" style="7165" customWidth="1"/>
    <col min="7684" max="7684" width="0" style="7165" hidden="1" customWidth="1"/>
    <col min="7685" max="7685" width="10.109375" style="7165" customWidth="1"/>
    <col min="7686" max="7686" width="14.44140625" style="7165" customWidth="1"/>
    <col min="7687" max="7687" width="17.109375" style="7165" customWidth="1"/>
    <col min="7688" max="7936" width="9.109375" style="7165"/>
    <col min="7937" max="7937" width="33.44140625" style="7165" customWidth="1"/>
    <col min="7938" max="7938" width="7.44140625" style="7165" customWidth="1"/>
    <col min="7939" max="7939" width="7" style="7165" customWidth="1"/>
    <col min="7940" max="7940" width="0" style="7165" hidden="1" customWidth="1"/>
    <col min="7941" max="7941" width="10.109375" style="7165" customWidth="1"/>
    <col min="7942" max="7942" width="14.44140625" style="7165" customWidth="1"/>
    <col min="7943" max="7943" width="17.109375" style="7165" customWidth="1"/>
    <col min="7944" max="8192" width="9.109375" style="7165"/>
    <col min="8193" max="8193" width="33.44140625" style="7165" customWidth="1"/>
    <col min="8194" max="8194" width="7.44140625" style="7165" customWidth="1"/>
    <col min="8195" max="8195" width="7" style="7165" customWidth="1"/>
    <col min="8196" max="8196" width="0" style="7165" hidden="1" customWidth="1"/>
    <col min="8197" max="8197" width="10.109375" style="7165" customWidth="1"/>
    <col min="8198" max="8198" width="14.44140625" style="7165" customWidth="1"/>
    <col min="8199" max="8199" width="17.109375" style="7165" customWidth="1"/>
    <col min="8200" max="8448" width="9.109375" style="7165"/>
    <col min="8449" max="8449" width="33.44140625" style="7165" customWidth="1"/>
    <col min="8450" max="8450" width="7.44140625" style="7165" customWidth="1"/>
    <col min="8451" max="8451" width="7" style="7165" customWidth="1"/>
    <col min="8452" max="8452" width="0" style="7165" hidden="1" customWidth="1"/>
    <col min="8453" max="8453" width="10.109375" style="7165" customWidth="1"/>
    <col min="8454" max="8454" width="14.44140625" style="7165" customWidth="1"/>
    <col min="8455" max="8455" width="17.109375" style="7165" customWidth="1"/>
    <col min="8456" max="8704" width="9.109375" style="7165"/>
    <col min="8705" max="8705" width="33.44140625" style="7165" customWidth="1"/>
    <col min="8706" max="8706" width="7.44140625" style="7165" customWidth="1"/>
    <col min="8707" max="8707" width="7" style="7165" customWidth="1"/>
    <col min="8708" max="8708" width="0" style="7165" hidden="1" customWidth="1"/>
    <col min="8709" max="8709" width="10.109375" style="7165" customWidth="1"/>
    <col min="8710" max="8710" width="14.44140625" style="7165" customWidth="1"/>
    <col min="8711" max="8711" width="17.109375" style="7165" customWidth="1"/>
    <col min="8712" max="8960" width="9.109375" style="7165"/>
    <col min="8961" max="8961" width="33.44140625" style="7165" customWidth="1"/>
    <col min="8962" max="8962" width="7.44140625" style="7165" customWidth="1"/>
    <col min="8963" max="8963" width="7" style="7165" customWidth="1"/>
    <col min="8964" max="8964" width="0" style="7165" hidden="1" customWidth="1"/>
    <col min="8965" max="8965" width="10.109375" style="7165" customWidth="1"/>
    <col min="8966" max="8966" width="14.44140625" style="7165" customWidth="1"/>
    <col min="8967" max="8967" width="17.109375" style="7165" customWidth="1"/>
    <col min="8968" max="9216" width="9.109375" style="7165"/>
    <col min="9217" max="9217" width="33.44140625" style="7165" customWidth="1"/>
    <col min="9218" max="9218" width="7.44140625" style="7165" customWidth="1"/>
    <col min="9219" max="9219" width="7" style="7165" customWidth="1"/>
    <col min="9220" max="9220" width="0" style="7165" hidden="1" customWidth="1"/>
    <col min="9221" max="9221" width="10.109375" style="7165" customWidth="1"/>
    <col min="9222" max="9222" width="14.44140625" style="7165" customWidth="1"/>
    <col min="9223" max="9223" width="17.109375" style="7165" customWidth="1"/>
    <col min="9224" max="9472" width="9.109375" style="7165"/>
    <col min="9473" max="9473" width="33.44140625" style="7165" customWidth="1"/>
    <col min="9474" max="9474" width="7.44140625" style="7165" customWidth="1"/>
    <col min="9475" max="9475" width="7" style="7165" customWidth="1"/>
    <col min="9476" max="9476" width="0" style="7165" hidden="1" customWidth="1"/>
    <col min="9477" max="9477" width="10.109375" style="7165" customWidth="1"/>
    <col min="9478" max="9478" width="14.44140625" style="7165" customWidth="1"/>
    <col min="9479" max="9479" width="17.109375" style="7165" customWidth="1"/>
    <col min="9480" max="9728" width="9.109375" style="7165"/>
    <col min="9729" max="9729" width="33.44140625" style="7165" customWidth="1"/>
    <col min="9730" max="9730" width="7.44140625" style="7165" customWidth="1"/>
    <col min="9731" max="9731" width="7" style="7165" customWidth="1"/>
    <col min="9732" max="9732" width="0" style="7165" hidden="1" customWidth="1"/>
    <col min="9733" max="9733" width="10.109375" style="7165" customWidth="1"/>
    <col min="9734" max="9734" width="14.44140625" style="7165" customWidth="1"/>
    <col min="9735" max="9735" width="17.109375" style="7165" customWidth="1"/>
    <col min="9736" max="9984" width="9.109375" style="7165"/>
    <col min="9985" max="9985" width="33.44140625" style="7165" customWidth="1"/>
    <col min="9986" max="9986" width="7.44140625" style="7165" customWidth="1"/>
    <col min="9987" max="9987" width="7" style="7165" customWidth="1"/>
    <col min="9988" max="9988" width="0" style="7165" hidden="1" customWidth="1"/>
    <col min="9989" max="9989" width="10.109375" style="7165" customWidth="1"/>
    <col min="9990" max="9990" width="14.44140625" style="7165" customWidth="1"/>
    <col min="9991" max="9991" width="17.109375" style="7165" customWidth="1"/>
    <col min="9992" max="10240" width="9.109375" style="7165"/>
    <col min="10241" max="10241" width="33.44140625" style="7165" customWidth="1"/>
    <col min="10242" max="10242" width="7.44140625" style="7165" customWidth="1"/>
    <col min="10243" max="10243" width="7" style="7165" customWidth="1"/>
    <col min="10244" max="10244" width="0" style="7165" hidden="1" customWidth="1"/>
    <col min="10245" max="10245" width="10.109375" style="7165" customWidth="1"/>
    <col min="10246" max="10246" width="14.44140625" style="7165" customWidth="1"/>
    <col min="10247" max="10247" width="17.109375" style="7165" customWidth="1"/>
    <col min="10248" max="10496" width="9.109375" style="7165"/>
    <col min="10497" max="10497" width="33.44140625" style="7165" customWidth="1"/>
    <col min="10498" max="10498" width="7.44140625" style="7165" customWidth="1"/>
    <col min="10499" max="10499" width="7" style="7165" customWidth="1"/>
    <col min="10500" max="10500" width="0" style="7165" hidden="1" customWidth="1"/>
    <col min="10501" max="10501" width="10.109375" style="7165" customWidth="1"/>
    <col min="10502" max="10502" width="14.44140625" style="7165" customWidth="1"/>
    <col min="10503" max="10503" width="17.109375" style="7165" customWidth="1"/>
    <col min="10504" max="10752" width="9.109375" style="7165"/>
    <col min="10753" max="10753" width="33.44140625" style="7165" customWidth="1"/>
    <col min="10754" max="10754" width="7.44140625" style="7165" customWidth="1"/>
    <col min="10755" max="10755" width="7" style="7165" customWidth="1"/>
    <col min="10756" max="10756" width="0" style="7165" hidden="1" customWidth="1"/>
    <col min="10757" max="10757" width="10.109375" style="7165" customWidth="1"/>
    <col min="10758" max="10758" width="14.44140625" style="7165" customWidth="1"/>
    <col min="10759" max="10759" width="17.109375" style="7165" customWidth="1"/>
    <col min="10760" max="11008" width="9.109375" style="7165"/>
    <col min="11009" max="11009" width="33.44140625" style="7165" customWidth="1"/>
    <col min="11010" max="11010" width="7.44140625" style="7165" customWidth="1"/>
    <col min="11011" max="11011" width="7" style="7165" customWidth="1"/>
    <col min="11012" max="11012" width="0" style="7165" hidden="1" customWidth="1"/>
    <col min="11013" max="11013" width="10.109375" style="7165" customWidth="1"/>
    <col min="11014" max="11014" width="14.44140625" style="7165" customWidth="1"/>
    <col min="11015" max="11015" width="17.109375" style="7165" customWidth="1"/>
    <col min="11016" max="11264" width="9.109375" style="7165"/>
    <col min="11265" max="11265" width="33.44140625" style="7165" customWidth="1"/>
    <col min="11266" max="11266" width="7.44140625" style="7165" customWidth="1"/>
    <col min="11267" max="11267" width="7" style="7165" customWidth="1"/>
    <col min="11268" max="11268" width="0" style="7165" hidden="1" customWidth="1"/>
    <col min="11269" max="11269" width="10.109375" style="7165" customWidth="1"/>
    <col min="11270" max="11270" width="14.44140625" style="7165" customWidth="1"/>
    <col min="11271" max="11271" width="17.109375" style="7165" customWidth="1"/>
    <col min="11272" max="11520" width="9.109375" style="7165"/>
    <col min="11521" max="11521" width="33.44140625" style="7165" customWidth="1"/>
    <col min="11522" max="11522" width="7.44140625" style="7165" customWidth="1"/>
    <col min="11523" max="11523" width="7" style="7165" customWidth="1"/>
    <col min="11524" max="11524" width="0" style="7165" hidden="1" customWidth="1"/>
    <col min="11525" max="11525" width="10.109375" style="7165" customWidth="1"/>
    <col min="11526" max="11526" width="14.44140625" style="7165" customWidth="1"/>
    <col min="11527" max="11527" width="17.109375" style="7165" customWidth="1"/>
    <col min="11528" max="11776" width="9.109375" style="7165"/>
    <col min="11777" max="11777" width="33.44140625" style="7165" customWidth="1"/>
    <col min="11778" max="11778" width="7.44140625" style="7165" customWidth="1"/>
    <col min="11779" max="11779" width="7" style="7165" customWidth="1"/>
    <col min="11780" max="11780" width="0" style="7165" hidden="1" customWidth="1"/>
    <col min="11781" max="11781" width="10.109375" style="7165" customWidth="1"/>
    <col min="11782" max="11782" width="14.44140625" style="7165" customWidth="1"/>
    <col min="11783" max="11783" width="17.109375" style="7165" customWidth="1"/>
    <col min="11784" max="12032" width="9.109375" style="7165"/>
    <col min="12033" max="12033" width="33.44140625" style="7165" customWidth="1"/>
    <col min="12034" max="12034" width="7.44140625" style="7165" customWidth="1"/>
    <col min="12035" max="12035" width="7" style="7165" customWidth="1"/>
    <col min="12036" max="12036" width="0" style="7165" hidden="1" customWidth="1"/>
    <col min="12037" max="12037" width="10.109375" style="7165" customWidth="1"/>
    <col min="12038" max="12038" width="14.44140625" style="7165" customWidth="1"/>
    <col min="12039" max="12039" width="17.109375" style="7165" customWidth="1"/>
    <col min="12040" max="12288" width="9.109375" style="7165"/>
    <col min="12289" max="12289" width="33.44140625" style="7165" customWidth="1"/>
    <col min="12290" max="12290" width="7.44140625" style="7165" customWidth="1"/>
    <col min="12291" max="12291" width="7" style="7165" customWidth="1"/>
    <col min="12292" max="12292" width="0" style="7165" hidden="1" customWidth="1"/>
    <col min="12293" max="12293" width="10.109375" style="7165" customWidth="1"/>
    <col min="12294" max="12294" width="14.44140625" style="7165" customWidth="1"/>
    <col min="12295" max="12295" width="17.109375" style="7165" customWidth="1"/>
    <col min="12296" max="12544" width="9.109375" style="7165"/>
    <col min="12545" max="12545" width="33.44140625" style="7165" customWidth="1"/>
    <col min="12546" max="12546" width="7.44140625" style="7165" customWidth="1"/>
    <col min="12547" max="12547" width="7" style="7165" customWidth="1"/>
    <col min="12548" max="12548" width="0" style="7165" hidden="1" customWidth="1"/>
    <col min="12549" max="12549" width="10.109375" style="7165" customWidth="1"/>
    <col min="12550" max="12550" width="14.44140625" style="7165" customWidth="1"/>
    <col min="12551" max="12551" width="17.109375" style="7165" customWidth="1"/>
    <col min="12552" max="12800" width="9.109375" style="7165"/>
    <col min="12801" max="12801" width="33.44140625" style="7165" customWidth="1"/>
    <col min="12802" max="12802" width="7.44140625" style="7165" customWidth="1"/>
    <col min="12803" max="12803" width="7" style="7165" customWidth="1"/>
    <col min="12804" max="12804" width="0" style="7165" hidden="1" customWidth="1"/>
    <col min="12805" max="12805" width="10.109375" style="7165" customWidth="1"/>
    <col min="12806" max="12806" width="14.44140625" style="7165" customWidth="1"/>
    <col min="12807" max="12807" width="17.109375" style="7165" customWidth="1"/>
    <col min="12808" max="13056" width="9.109375" style="7165"/>
    <col min="13057" max="13057" width="33.44140625" style="7165" customWidth="1"/>
    <col min="13058" max="13058" width="7.44140625" style="7165" customWidth="1"/>
    <col min="13059" max="13059" width="7" style="7165" customWidth="1"/>
    <col min="13060" max="13060" width="0" style="7165" hidden="1" customWidth="1"/>
    <col min="13061" max="13061" width="10.109375" style="7165" customWidth="1"/>
    <col min="13062" max="13062" width="14.44140625" style="7165" customWidth="1"/>
    <col min="13063" max="13063" width="17.109375" style="7165" customWidth="1"/>
    <col min="13064" max="13312" width="9.109375" style="7165"/>
    <col min="13313" max="13313" width="33.44140625" style="7165" customWidth="1"/>
    <col min="13314" max="13314" width="7.44140625" style="7165" customWidth="1"/>
    <col min="13315" max="13315" width="7" style="7165" customWidth="1"/>
    <col min="13316" max="13316" width="0" style="7165" hidden="1" customWidth="1"/>
    <col min="13317" max="13317" width="10.109375" style="7165" customWidth="1"/>
    <col min="13318" max="13318" width="14.44140625" style="7165" customWidth="1"/>
    <col min="13319" max="13319" width="17.109375" style="7165" customWidth="1"/>
    <col min="13320" max="13568" width="9.109375" style="7165"/>
    <col min="13569" max="13569" width="33.44140625" style="7165" customWidth="1"/>
    <col min="13570" max="13570" width="7.44140625" style="7165" customWidth="1"/>
    <col min="13571" max="13571" width="7" style="7165" customWidth="1"/>
    <col min="13572" max="13572" width="0" style="7165" hidden="1" customWidth="1"/>
    <col min="13573" max="13573" width="10.109375" style="7165" customWidth="1"/>
    <col min="13574" max="13574" width="14.44140625" style="7165" customWidth="1"/>
    <col min="13575" max="13575" width="17.109375" style="7165" customWidth="1"/>
    <col min="13576" max="13824" width="9.109375" style="7165"/>
    <col min="13825" max="13825" width="33.44140625" style="7165" customWidth="1"/>
    <col min="13826" max="13826" width="7.44140625" style="7165" customWidth="1"/>
    <col min="13827" max="13827" width="7" style="7165" customWidth="1"/>
    <col min="13828" max="13828" width="0" style="7165" hidden="1" customWidth="1"/>
    <col min="13829" max="13829" width="10.109375" style="7165" customWidth="1"/>
    <col min="13830" max="13830" width="14.44140625" style="7165" customWidth="1"/>
    <col min="13831" max="13831" width="17.109375" style="7165" customWidth="1"/>
    <col min="13832" max="14080" width="9.109375" style="7165"/>
    <col min="14081" max="14081" width="33.44140625" style="7165" customWidth="1"/>
    <col min="14082" max="14082" width="7.44140625" style="7165" customWidth="1"/>
    <col min="14083" max="14083" width="7" style="7165" customWidth="1"/>
    <col min="14084" max="14084" width="0" style="7165" hidden="1" customWidth="1"/>
    <col min="14085" max="14085" width="10.109375" style="7165" customWidth="1"/>
    <col min="14086" max="14086" width="14.44140625" style="7165" customWidth="1"/>
    <col min="14087" max="14087" width="17.109375" style="7165" customWidth="1"/>
    <col min="14088" max="14336" width="9.109375" style="7165"/>
    <col min="14337" max="14337" width="33.44140625" style="7165" customWidth="1"/>
    <col min="14338" max="14338" width="7.44140625" style="7165" customWidth="1"/>
    <col min="14339" max="14339" width="7" style="7165" customWidth="1"/>
    <col min="14340" max="14340" width="0" style="7165" hidden="1" customWidth="1"/>
    <col min="14341" max="14341" width="10.109375" style="7165" customWidth="1"/>
    <col min="14342" max="14342" width="14.44140625" style="7165" customWidth="1"/>
    <col min="14343" max="14343" width="17.109375" style="7165" customWidth="1"/>
    <col min="14344" max="14592" width="9.109375" style="7165"/>
    <col min="14593" max="14593" width="33.44140625" style="7165" customWidth="1"/>
    <col min="14594" max="14594" width="7.44140625" style="7165" customWidth="1"/>
    <col min="14595" max="14595" width="7" style="7165" customWidth="1"/>
    <col min="14596" max="14596" width="0" style="7165" hidden="1" customWidth="1"/>
    <col min="14597" max="14597" width="10.109375" style="7165" customWidth="1"/>
    <col min="14598" max="14598" width="14.44140625" style="7165" customWidth="1"/>
    <col min="14599" max="14599" width="17.109375" style="7165" customWidth="1"/>
    <col min="14600" max="14848" width="9.109375" style="7165"/>
    <col min="14849" max="14849" width="33.44140625" style="7165" customWidth="1"/>
    <col min="14850" max="14850" width="7.44140625" style="7165" customWidth="1"/>
    <col min="14851" max="14851" width="7" style="7165" customWidth="1"/>
    <col min="14852" max="14852" width="0" style="7165" hidden="1" customWidth="1"/>
    <col min="14853" max="14853" width="10.109375" style="7165" customWidth="1"/>
    <col min="14854" max="14854" width="14.44140625" style="7165" customWidth="1"/>
    <col min="14855" max="14855" width="17.109375" style="7165" customWidth="1"/>
    <col min="14856" max="15104" width="9.109375" style="7165"/>
    <col min="15105" max="15105" width="33.44140625" style="7165" customWidth="1"/>
    <col min="15106" max="15106" width="7.44140625" style="7165" customWidth="1"/>
    <col min="15107" max="15107" width="7" style="7165" customWidth="1"/>
    <col min="15108" max="15108" width="0" style="7165" hidden="1" customWidth="1"/>
    <col min="15109" max="15109" width="10.109375" style="7165" customWidth="1"/>
    <col min="15110" max="15110" width="14.44140625" style="7165" customWidth="1"/>
    <col min="15111" max="15111" width="17.109375" style="7165" customWidth="1"/>
    <col min="15112" max="15360" width="9.109375" style="7165"/>
    <col min="15361" max="15361" width="33.44140625" style="7165" customWidth="1"/>
    <col min="15362" max="15362" width="7.44140625" style="7165" customWidth="1"/>
    <col min="15363" max="15363" width="7" style="7165" customWidth="1"/>
    <col min="15364" max="15364" width="0" style="7165" hidden="1" customWidth="1"/>
    <col min="15365" max="15365" width="10.109375" style="7165" customWidth="1"/>
    <col min="15366" max="15366" width="14.44140625" style="7165" customWidth="1"/>
    <col min="15367" max="15367" width="17.109375" style="7165" customWidth="1"/>
    <col min="15368" max="15616" width="9.109375" style="7165"/>
    <col min="15617" max="15617" width="33.44140625" style="7165" customWidth="1"/>
    <col min="15618" max="15618" width="7.44140625" style="7165" customWidth="1"/>
    <col min="15619" max="15619" width="7" style="7165" customWidth="1"/>
    <col min="15620" max="15620" width="0" style="7165" hidden="1" customWidth="1"/>
    <col min="15621" max="15621" width="10.109375" style="7165" customWidth="1"/>
    <col min="15622" max="15622" width="14.44140625" style="7165" customWidth="1"/>
    <col min="15623" max="15623" width="17.109375" style="7165" customWidth="1"/>
    <col min="15624" max="15872" width="9.109375" style="7165"/>
    <col min="15873" max="15873" width="33.44140625" style="7165" customWidth="1"/>
    <col min="15874" max="15874" width="7.44140625" style="7165" customWidth="1"/>
    <col min="15875" max="15875" width="7" style="7165" customWidth="1"/>
    <col min="15876" max="15876" width="0" style="7165" hidden="1" customWidth="1"/>
    <col min="15877" max="15877" width="10.109375" style="7165" customWidth="1"/>
    <col min="15878" max="15878" width="14.44140625" style="7165" customWidth="1"/>
    <col min="15879" max="15879" width="17.109375" style="7165" customWidth="1"/>
    <col min="15880" max="16128" width="9.109375" style="7165"/>
    <col min="16129" max="16129" width="33.44140625" style="7165" customWidth="1"/>
    <col min="16130" max="16130" width="7.44140625" style="7165" customWidth="1"/>
    <col min="16131" max="16131" width="7" style="7165" customWidth="1"/>
    <col min="16132" max="16132" width="0" style="7165" hidden="1" customWidth="1"/>
    <col min="16133" max="16133" width="10.109375" style="7165" customWidth="1"/>
    <col min="16134" max="16134" width="14.44140625" style="7165" customWidth="1"/>
    <col min="16135" max="16135" width="17.109375" style="7165" customWidth="1"/>
    <col min="16136" max="16384" width="9.109375" style="7165"/>
  </cols>
  <sheetData>
    <row r="1" spans="1:8" ht="14.4" customHeight="1">
      <c r="A1" s="14215" t="s">
        <v>1087</v>
      </c>
      <c r="B1" s="14215"/>
      <c r="C1" s="14215"/>
      <c r="D1" s="14215"/>
      <c r="E1" s="14215"/>
      <c r="F1" s="14215"/>
      <c r="G1" s="14215"/>
    </row>
    <row r="3" spans="1:8" ht="14.4" customHeight="1">
      <c r="A3" s="14210" t="s">
        <v>9237</v>
      </c>
      <c r="B3" s="14210"/>
      <c r="C3" s="14210"/>
      <c r="D3" s="14210"/>
      <c r="E3" s="14210"/>
      <c r="F3" s="14210"/>
      <c r="G3" s="14210"/>
    </row>
    <row r="4" spans="1:8" ht="14.4" customHeight="1" thickBot="1"/>
    <row r="5" spans="1:8" ht="14.4" customHeight="1">
      <c r="A5" s="9697" t="s">
        <v>842</v>
      </c>
      <c r="B5" s="13783" t="s">
        <v>1035</v>
      </c>
      <c r="C5" s="13783" t="s">
        <v>1036</v>
      </c>
      <c r="D5" s="14213" t="s">
        <v>1037</v>
      </c>
      <c r="E5" s="14213"/>
      <c r="F5" s="14213"/>
      <c r="G5" s="14214"/>
      <c r="H5" s="7201"/>
    </row>
    <row r="6" spans="1:8" ht="14.4" customHeight="1" thickBot="1">
      <c r="A6" s="9738" t="s">
        <v>1088</v>
      </c>
      <c r="B6" s="10715" t="s">
        <v>9</v>
      </c>
      <c r="C6" s="10715" t="s">
        <v>1039</v>
      </c>
      <c r="D6" s="10715" t="s">
        <v>1040</v>
      </c>
      <c r="E6" s="10731" t="s">
        <v>10</v>
      </c>
      <c r="F6" s="10732" t="s">
        <v>11</v>
      </c>
      <c r="G6" s="10733" t="s">
        <v>11621</v>
      </c>
      <c r="H6" s="7201"/>
    </row>
    <row r="7" spans="1:8" ht="14.4" customHeight="1">
      <c r="A7" s="10734" t="s">
        <v>9</v>
      </c>
      <c r="B7" s="13785" t="s">
        <v>9</v>
      </c>
      <c r="C7" s="13785" t="s">
        <v>9</v>
      </c>
      <c r="D7" s="9701" t="s">
        <v>476</v>
      </c>
      <c r="E7" s="9625" t="s">
        <v>9</v>
      </c>
      <c r="F7" s="9625" t="s">
        <v>9</v>
      </c>
      <c r="G7" s="10735" t="s">
        <v>9</v>
      </c>
    </row>
    <row r="8" spans="1:8" ht="14.4" customHeight="1">
      <c r="A8" s="7207"/>
      <c r="B8" s="9615"/>
      <c r="C8" s="9614"/>
      <c r="D8" s="9614"/>
      <c r="E8" s="9616"/>
      <c r="F8" s="9616"/>
      <c r="G8" s="10427"/>
    </row>
    <row r="9" spans="1:8" ht="14.4" customHeight="1">
      <c r="A9" s="7209" t="s">
        <v>806</v>
      </c>
      <c r="B9" s="9615"/>
      <c r="C9" s="9614"/>
      <c r="D9" s="9614"/>
      <c r="E9" s="9616"/>
      <c r="F9" s="9616"/>
      <c r="G9" s="10427"/>
    </row>
    <row r="10" spans="1:8" ht="14.4" customHeight="1">
      <c r="A10" s="7209" t="s">
        <v>1107</v>
      </c>
      <c r="B10" s="9615"/>
      <c r="C10" s="9614"/>
      <c r="D10" s="9614"/>
      <c r="E10" s="9616"/>
      <c r="F10" s="9616"/>
      <c r="G10" s="10427"/>
    </row>
    <row r="11" spans="1:8" ht="14.4" customHeight="1">
      <c r="A11" s="7207" t="s">
        <v>1108</v>
      </c>
      <c r="B11" s="9615"/>
      <c r="C11" s="9614"/>
      <c r="D11" s="9614"/>
      <c r="E11" s="9616"/>
      <c r="F11" s="9616"/>
      <c r="G11" s="10427"/>
    </row>
    <row r="12" spans="1:8" ht="14.4" customHeight="1">
      <c r="A12" s="7207"/>
      <c r="B12" s="9615"/>
      <c r="C12" s="9614"/>
      <c r="D12" s="9614"/>
      <c r="E12" s="9616"/>
      <c r="F12" s="9616"/>
      <c r="G12" s="10427"/>
    </row>
    <row r="13" spans="1:8" ht="14.4" customHeight="1">
      <c r="A13" s="7207"/>
      <c r="B13" s="9615"/>
      <c r="C13" s="9615"/>
      <c r="D13" s="9615"/>
      <c r="E13" s="9626"/>
      <c r="F13" s="9626"/>
      <c r="G13" s="9950"/>
    </row>
    <row r="14" spans="1:8" ht="14.4" customHeight="1">
      <c r="A14" s="7209" t="s">
        <v>1091</v>
      </c>
      <c r="B14" s="9615"/>
      <c r="C14" s="9615"/>
      <c r="D14" s="9615"/>
      <c r="E14" s="9626"/>
      <c r="F14" s="9626"/>
      <c r="G14" s="9950"/>
    </row>
    <row r="15" spans="1:8" ht="14.4" customHeight="1">
      <c r="A15" s="7209" t="s">
        <v>1109</v>
      </c>
      <c r="B15" s="9615"/>
      <c r="C15" s="9615"/>
      <c r="D15" s="9615"/>
      <c r="E15" s="9626"/>
      <c r="F15" s="9626"/>
      <c r="G15" s="9950"/>
    </row>
    <row r="16" spans="1:8" ht="14.4" customHeight="1">
      <c r="A16" s="7207"/>
      <c r="B16" s="9614"/>
      <c r="C16" s="9614"/>
      <c r="D16" s="9614"/>
      <c r="E16" s="9616"/>
      <c r="F16" s="9616"/>
      <c r="G16" s="10427"/>
    </row>
    <row r="17" spans="1:10" ht="14.4" customHeight="1">
      <c r="A17" s="7207"/>
      <c r="B17" s="9614"/>
      <c r="C17" s="9614"/>
      <c r="D17" s="9614"/>
      <c r="E17" s="9616"/>
      <c r="F17" s="9616"/>
      <c r="G17" s="10427"/>
    </row>
    <row r="18" spans="1:10" ht="14.4" customHeight="1">
      <c r="A18" s="7209" t="s">
        <v>1111</v>
      </c>
      <c r="B18" s="9614"/>
      <c r="C18" s="9614"/>
      <c r="D18" s="9614"/>
      <c r="E18" s="9616"/>
      <c r="F18" s="9616"/>
      <c r="G18" s="10427"/>
    </row>
    <row r="19" spans="1:10" ht="14.4" customHeight="1">
      <c r="A19" s="7207"/>
      <c r="B19" s="9614"/>
      <c r="C19" s="9614"/>
      <c r="D19" s="9614"/>
      <c r="E19" s="9616"/>
      <c r="F19" s="9616"/>
      <c r="G19" s="10427"/>
    </row>
    <row r="20" spans="1:10" ht="14.4" customHeight="1">
      <c r="A20" s="7207" t="s">
        <v>1112</v>
      </c>
      <c r="B20" s="9614"/>
      <c r="C20" s="9614"/>
      <c r="D20" s="9614"/>
      <c r="E20" s="9616"/>
      <c r="F20" s="9616"/>
      <c r="G20" s="10427"/>
    </row>
    <row r="21" spans="1:10" ht="14.4" customHeight="1">
      <c r="A21" s="7207"/>
      <c r="B21" s="9614"/>
      <c r="C21" s="9614"/>
      <c r="D21" s="9614"/>
      <c r="E21" s="9616"/>
      <c r="F21" s="9616"/>
      <c r="G21" s="10427"/>
    </row>
    <row r="22" spans="1:10" ht="14.4" customHeight="1">
      <c r="A22" s="7207"/>
      <c r="B22" s="9614"/>
      <c r="C22" s="9614"/>
      <c r="D22" s="9614"/>
      <c r="E22" s="9616"/>
      <c r="F22" s="9616"/>
      <c r="G22" s="10427"/>
    </row>
    <row r="23" spans="1:10" ht="14.4" customHeight="1">
      <c r="A23" s="7209" t="s">
        <v>1054</v>
      </c>
      <c r="B23" s="9615"/>
      <c r="C23" s="9615"/>
      <c r="D23" s="9615"/>
      <c r="E23" s="9626"/>
      <c r="F23" s="9626"/>
      <c r="G23" s="9950"/>
    </row>
    <row r="24" spans="1:10" ht="14.4" customHeight="1">
      <c r="A24" s="7207" t="s">
        <v>1134</v>
      </c>
      <c r="B24" s="9614">
        <v>1</v>
      </c>
      <c r="C24" s="9614">
        <v>15</v>
      </c>
      <c r="D24" s="9615"/>
      <c r="E24" s="9626">
        <v>0</v>
      </c>
      <c r="F24" s="9626">
        <v>0</v>
      </c>
      <c r="G24" s="9950">
        <v>366372</v>
      </c>
    </row>
    <row r="25" spans="1:10" ht="14.4" customHeight="1">
      <c r="A25" s="7207" t="s">
        <v>1172</v>
      </c>
      <c r="B25" s="9614">
        <v>0</v>
      </c>
      <c r="C25" s="9614">
        <v>10</v>
      </c>
      <c r="D25" s="9614"/>
      <c r="E25" s="9616">
        <v>222636</v>
      </c>
      <c r="F25" s="9616">
        <v>228576</v>
      </c>
      <c r="G25" s="9950">
        <v>0</v>
      </c>
    </row>
    <row r="26" spans="1:10" ht="14.4" customHeight="1">
      <c r="A26" s="7207" t="s">
        <v>1302</v>
      </c>
      <c r="B26" s="9614">
        <v>3</v>
      </c>
      <c r="C26" s="9614">
        <v>4</v>
      </c>
      <c r="D26" s="9617" t="s">
        <v>9</v>
      </c>
      <c r="E26" s="9626">
        <v>441480</v>
      </c>
      <c r="F26" s="9626">
        <v>461340</v>
      </c>
      <c r="G26" s="9950">
        <v>480636</v>
      </c>
    </row>
    <row r="27" spans="1:10" ht="14.4" customHeight="1">
      <c r="A27" s="7207" t="s">
        <v>1175</v>
      </c>
      <c r="B27" s="9614">
        <v>1</v>
      </c>
      <c r="C27" s="9614">
        <v>1</v>
      </c>
      <c r="D27" s="9617" t="s">
        <v>9</v>
      </c>
      <c r="E27" s="9626">
        <v>124224</v>
      </c>
      <c r="F27" s="9626">
        <v>131784</v>
      </c>
      <c r="G27" s="9950">
        <v>138456</v>
      </c>
    </row>
    <row r="28" spans="1:10" ht="14.4" customHeight="1">
      <c r="A28" s="7207"/>
      <c r="B28" s="9614"/>
      <c r="C28" s="9614"/>
      <c r="D28" s="9617"/>
      <c r="E28" s="9626" t="s">
        <v>9</v>
      </c>
      <c r="F28" s="9626"/>
      <c r="G28" s="9950"/>
      <c r="I28" s="7195">
        <f>SUM(B24:B28)</f>
        <v>5</v>
      </c>
      <c r="J28" s="7198">
        <f>SUM(G24:G28)</f>
        <v>985464</v>
      </c>
    </row>
    <row r="29" spans="1:10" ht="14.4" customHeight="1">
      <c r="A29" s="7209" t="s">
        <v>1098</v>
      </c>
      <c r="B29" s="9613">
        <f>SUM(B16:B27)</f>
        <v>5</v>
      </c>
      <c r="C29" s="9613"/>
      <c r="D29" s="9619"/>
      <c r="E29" s="9627">
        <f>SUM(E8:E28)</f>
        <v>788340</v>
      </c>
      <c r="F29" s="9627">
        <f>SUM(F8:F28)</f>
        <v>821700</v>
      </c>
      <c r="G29" s="7203">
        <f>SUM(G8:G28)</f>
        <v>985464</v>
      </c>
    </row>
    <row r="30" spans="1:10" ht="14.4" customHeight="1">
      <c r="A30" s="7209" t="s">
        <v>9</v>
      </c>
      <c r="B30" s="10715" t="s">
        <v>9</v>
      </c>
      <c r="C30" s="10715"/>
      <c r="D30" s="9628"/>
      <c r="E30" s="9629" t="s">
        <v>9</v>
      </c>
      <c r="F30" s="9629"/>
      <c r="G30" s="10736"/>
    </row>
    <row r="31" spans="1:10" ht="14.4" customHeight="1">
      <c r="A31" s="7207" t="s">
        <v>1113</v>
      </c>
      <c r="B31" s="9614"/>
      <c r="C31" s="9614"/>
      <c r="D31" s="9617"/>
      <c r="E31" s="9626"/>
      <c r="F31" s="9626"/>
      <c r="G31" s="9950"/>
    </row>
    <row r="32" spans="1:10" ht="14.4" customHeight="1">
      <c r="A32" s="7207" t="s">
        <v>1256</v>
      </c>
      <c r="B32" s="9614">
        <v>0</v>
      </c>
      <c r="C32" s="9614">
        <v>15</v>
      </c>
      <c r="D32" s="9617"/>
      <c r="E32" s="9626">
        <v>0</v>
      </c>
      <c r="F32" s="9626">
        <v>348120</v>
      </c>
      <c r="G32" s="9950">
        <v>0</v>
      </c>
    </row>
    <row r="33" spans="1:9" ht="14.4" customHeight="1">
      <c r="A33" s="7207" t="s">
        <v>1364</v>
      </c>
      <c r="B33" s="9614">
        <v>1</v>
      </c>
      <c r="C33" s="9614">
        <v>10</v>
      </c>
      <c r="D33" s="9617"/>
      <c r="E33" s="9626">
        <v>0</v>
      </c>
      <c r="F33" s="9626">
        <v>0</v>
      </c>
      <c r="G33" s="9950">
        <v>230796</v>
      </c>
    </row>
    <row r="34" spans="1:9" ht="14.4" hidden="1" customHeight="1">
      <c r="A34" s="7207" t="s">
        <v>1302</v>
      </c>
      <c r="B34" s="9614">
        <v>0</v>
      </c>
      <c r="C34" s="9614">
        <v>4</v>
      </c>
      <c r="D34" s="9617"/>
      <c r="E34" s="9626">
        <v>0</v>
      </c>
      <c r="F34" s="9626">
        <v>0</v>
      </c>
      <c r="G34" s="9950">
        <v>0</v>
      </c>
    </row>
    <row r="35" spans="1:9" ht="14.4" customHeight="1">
      <c r="A35" s="7207"/>
      <c r="B35" s="9614"/>
      <c r="C35" s="9614"/>
      <c r="D35" s="9617"/>
      <c r="E35" s="9626"/>
      <c r="F35" s="9626"/>
      <c r="G35" s="9950"/>
    </row>
    <row r="36" spans="1:9" ht="14.4" customHeight="1">
      <c r="A36" s="6230" t="s">
        <v>4774</v>
      </c>
      <c r="B36" s="9613">
        <f>SUM(B31:B34)</f>
        <v>1</v>
      </c>
      <c r="C36" s="9613"/>
      <c r="D36" s="9613">
        <f>SUM(D31:D34)</f>
        <v>0</v>
      </c>
      <c r="E36" s="9627">
        <f>SUM(E31:E35)</f>
        <v>0</v>
      </c>
      <c r="F36" s="9627">
        <f>SUM(F31:F35)</f>
        <v>348120</v>
      </c>
      <c r="G36" s="7203">
        <f>SUM(G31:G35)</f>
        <v>230796</v>
      </c>
    </row>
    <row r="37" spans="1:9" ht="14.4" customHeight="1" thickBot="1">
      <c r="A37" s="7207"/>
      <c r="B37" s="9614"/>
      <c r="C37" s="9614"/>
      <c r="D37" s="9617"/>
      <c r="E37" s="9626"/>
      <c r="F37" s="9626"/>
      <c r="G37" s="9950"/>
    </row>
    <row r="38" spans="1:9" ht="14.4" customHeight="1" thickBot="1">
      <c r="A38" s="10422" t="s">
        <v>1114</v>
      </c>
      <c r="B38" s="13784">
        <f>B36+B29</f>
        <v>6</v>
      </c>
      <c r="C38" s="10414"/>
      <c r="D38" s="10737">
        <f>SUM(D19:D36)</f>
        <v>0</v>
      </c>
      <c r="E38" s="10738">
        <f>E36+E29</f>
        <v>788340</v>
      </c>
      <c r="F38" s="10738">
        <f>F36+F29</f>
        <v>1169820</v>
      </c>
      <c r="G38" s="13830">
        <f>G36+G29</f>
        <v>1216260</v>
      </c>
      <c r="I38" s="7211">
        <f>'lbpf 3-BEPO'!K12-'staffing-bepo'!G38</f>
        <v>0</v>
      </c>
    </row>
    <row r="39" spans="1:9" ht="14.4" customHeight="1">
      <c r="A39" s="7209"/>
      <c r="B39" s="10715"/>
      <c r="C39" s="9615"/>
      <c r="D39" s="9621"/>
      <c r="E39" s="9629"/>
      <c r="F39" s="9629"/>
      <c r="G39" s="10736"/>
    </row>
    <row r="40" spans="1:9" ht="14.4" customHeight="1">
      <c r="A40" s="7207"/>
      <c r="B40" s="9614"/>
      <c r="C40" s="9615"/>
      <c r="D40" s="9621"/>
      <c r="E40" s="9626"/>
      <c r="F40" s="9626"/>
      <c r="G40" s="9950"/>
    </row>
    <row r="41" spans="1:9" ht="14.4" customHeight="1">
      <c r="A41" s="7209" t="s">
        <v>1075</v>
      </c>
      <c r="B41" s="9614"/>
      <c r="C41" s="9615"/>
      <c r="D41" s="9621"/>
      <c r="E41" s="9626"/>
      <c r="F41" s="9626"/>
      <c r="G41" s="9950"/>
    </row>
    <row r="42" spans="1:9" ht="14.4" customHeight="1">
      <c r="A42" s="7209" t="s">
        <v>1115</v>
      </c>
      <c r="B42" s="9614"/>
      <c r="C42" s="9615"/>
      <c r="D42" s="9621"/>
      <c r="E42" s="9626"/>
      <c r="F42" s="9626"/>
      <c r="G42" s="9950"/>
    </row>
    <row r="43" spans="1:9" ht="14.4" customHeight="1">
      <c r="A43" s="7207" t="s">
        <v>1116</v>
      </c>
      <c r="B43" s="9614"/>
      <c r="C43" s="9615"/>
      <c r="D43" s="9621"/>
      <c r="E43" s="9626"/>
      <c r="F43" s="9626"/>
      <c r="G43" s="9950"/>
    </row>
    <row r="44" spans="1:9" ht="14.4" customHeight="1">
      <c r="A44" s="7207" t="s">
        <v>1117</v>
      </c>
      <c r="B44" s="9614"/>
      <c r="C44" s="9615"/>
      <c r="D44" s="9621"/>
      <c r="E44" s="9626"/>
      <c r="F44" s="9626"/>
      <c r="G44" s="9950"/>
    </row>
    <row r="45" spans="1:9" ht="14.4" customHeight="1">
      <c r="A45" s="7207" t="s">
        <v>1118</v>
      </c>
      <c r="B45" s="9614"/>
      <c r="C45" s="9615"/>
      <c r="D45" s="9621"/>
      <c r="E45" s="9626"/>
      <c r="F45" s="9626"/>
      <c r="G45" s="9950"/>
    </row>
    <row r="46" spans="1:9" ht="14.4" customHeight="1">
      <c r="A46" s="7207"/>
      <c r="B46" s="9614"/>
      <c r="C46" s="9615"/>
      <c r="D46" s="9621"/>
      <c r="E46" s="9626"/>
      <c r="F46" s="9626"/>
      <c r="G46" s="9950"/>
    </row>
    <row r="47" spans="1:9" ht="14.4" customHeight="1">
      <c r="A47" s="7207" t="s">
        <v>1080</v>
      </c>
      <c r="B47" s="9614"/>
      <c r="C47" s="9615"/>
      <c r="D47" s="9621"/>
      <c r="E47" s="9626"/>
      <c r="F47" s="9626"/>
      <c r="G47" s="9950"/>
    </row>
    <row r="48" spans="1:9" ht="14.4" customHeight="1">
      <c r="A48" s="7207" t="s">
        <v>1119</v>
      </c>
      <c r="B48" s="9614"/>
      <c r="C48" s="9615"/>
      <c r="D48" s="9621"/>
      <c r="E48" s="9626"/>
      <c r="F48" s="9626"/>
      <c r="G48" s="9950"/>
    </row>
    <row r="49" spans="1:7" ht="14.4" customHeight="1">
      <c r="A49" s="7207" t="s">
        <v>1082</v>
      </c>
      <c r="B49" s="9614"/>
      <c r="C49" s="9615"/>
      <c r="D49" s="9621"/>
      <c r="E49" s="9626"/>
      <c r="F49" s="9626"/>
      <c r="G49" s="9950"/>
    </row>
    <row r="50" spans="1:7" ht="14.4" customHeight="1">
      <c r="A50" s="7207"/>
      <c r="B50" s="9614"/>
      <c r="C50" s="9615"/>
      <c r="D50" s="9621"/>
      <c r="E50" s="9626"/>
      <c r="F50" s="9626"/>
      <c r="G50" s="9950"/>
    </row>
    <row r="51" spans="1:7" ht="14.4" customHeight="1">
      <c r="A51" s="7207"/>
      <c r="B51" s="9614"/>
      <c r="C51" s="9615"/>
      <c r="D51" s="9621"/>
      <c r="E51" s="9626"/>
      <c r="F51" s="9626"/>
      <c r="G51" s="9950"/>
    </row>
    <row r="52" spans="1:7" ht="14.4" customHeight="1">
      <c r="A52" s="7209" t="s">
        <v>1083</v>
      </c>
      <c r="B52" s="9630"/>
      <c r="C52" s="9631"/>
      <c r="D52" s="9622"/>
      <c r="E52" s="9632"/>
      <c r="F52" s="9632"/>
      <c r="G52" s="10739"/>
    </row>
    <row r="53" spans="1:7" ht="14.4" customHeight="1">
      <c r="A53" s="7209"/>
      <c r="B53" s="9614"/>
      <c r="C53" s="9615"/>
      <c r="D53" s="9621"/>
      <c r="E53" s="9626"/>
      <c r="F53" s="9626"/>
      <c r="G53" s="9950"/>
    </row>
    <row r="54" spans="1:7" ht="14.4" customHeight="1">
      <c r="A54" s="7207" t="s">
        <v>1106</v>
      </c>
      <c r="B54" s="9614"/>
      <c r="C54" s="9615"/>
      <c r="D54" s="9621"/>
      <c r="E54" s="9626"/>
      <c r="F54" s="9626"/>
      <c r="G54" s="9950"/>
    </row>
    <row r="55" spans="1:7" ht="14.4" customHeight="1" thickBot="1">
      <c r="A55" s="9709"/>
      <c r="B55" s="9633"/>
      <c r="C55" s="9634"/>
      <c r="D55" s="9623"/>
      <c r="E55" s="9635"/>
      <c r="F55" s="9635"/>
      <c r="G55" s="10740"/>
    </row>
    <row r="56" spans="1:7" ht="14.4" customHeight="1">
      <c r="A56" s="7207"/>
      <c r="B56" s="9614"/>
      <c r="C56" s="9615"/>
      <c r="D56" s="9621"/>
      <c r="E56" s="9626"/>
      <c r="F56" s="9626"/>
      <c r="G56" s="9950"/>
    </row>
    <row r="57" spans="1:7" ht="14.4" customHeight="1">
      <c r="A57" s="7209" t="s">
        <v>1086</v>
      </c>
      <c r="B57" s="9614"/>
      <c r="C57" s="9615"/>
      <c r="D57" s="9621"/>
      <c r="E57" s="9626"/>
      <c r="F57" s="9626"/>
      <c r="G57" s="9950"/>
    </row>
    <row r="58" spans="1:7" ht="14.4" customHeight="1" thickBot="1">
      <c r="A58" s="9709"/>
      <c r="B58" s="9634"/>
      <c r="C58" s="9634"/>
      <c r="D58" s="9634"/>
      <c r="E58" s="9635"/>
      <c r="F58" s="9635"/>
      <c r="G58" s="10740"/>
    </row>
    <row r="63" spans="1:7" ht="14.4" customHeight="1">
      <c r="A63" s="7163"/>
      <c r="E63" s="5788"/>
    </row>
  </sheetData>
  <mergeCells count="3">
    <mergeCell ref="A3:G3"/>
    <mergeCell ref="D5:G5"/>
    <mergeCell ref="A1:G1"/>
  </mergeCells>
  <printOptions horizontalCentered="1"/>
  <pageMargins left="0.25" right="0.25" top="0.5" bottom="0.5" header="0.3" footer="0.3"/>
  <pageSetup paperSize="119" firstPageNumber="45" orientation="portrait" useFirstPageNumber="1" r:id="rId1"/>
</worksheet>
</file>

<file path=xl/worksheets/sheet32.xml><?xml version="1.0" encoding="utf-8"?>
<worksheet xmlns="http://schemas.openxmlformats.org/spreadsheetml/2006/main" xmlns:r="http://schemas.openxmlformats.org/officeDocument/2006/relationships">
  <sheetPr codeName="Sheet58">
    <tabColor rgb="FFFFFF00"/>
  </sheetPr>
  <dimension ref="A1:H290"/>
  <sheetViews>
    <sheetView showGridLines="0" topLeftCell="A180" zoomScale="90" zoomScaleNormal="90" workbookViewId="0">
      <selection activeCell="I270" sqref="I1:CN1048576"/>
    </sheetView>
  </sheetViews>
  <sheetFormatPr defaultColWidth="9.88671875" defaultRowHeight="13.8"/>
  <cols>
    <col min="1" max="1" width="2.88671875" style="2811" customWidth="1"/>
    <col min="2" max="2" width="4.109375" style="2811" customWidth="1"/>
    <col min="3" max="3" width="36.44140625" style="2811" customWidth="1"/>
    <col min="4" max="4" width="13.88671875" style="2811" customWidth="1"/>
    <col min="5" max="5" width="16.88671875" style="2943" customWidth="1"/>
    <col min="6" max="6" width="12.88671875" style="2811" customWidth="1"/>
    <col min="7" max="7" width="5.109375" style="2811" customWidth="1"/>
    <col min="8" max="8" width="5.88671875" style="2811" customWidth="1"/>
    <col min="9" max="172" width="9.88671875" style="2811"/>
    <col min="173" max="173" width="2.88671875" style="2811" customWidth="1"/>
    <col min="174" max="174" width="4.109375" style="2811" customWidth="1"/>
    <col min="175" max="175" width="40.44140625" style="2811" customWidth="1"/>
    <col min="176" max="176" width="15.88671875" style="2811" customWidth="1"/>
    <col min="177" max="177" width="14" style="2811" customWidth="1"/>
    <col min="178" max="178" width="11.44140625" style="2811" customWidth="1"/>
    <col min="179" max="179" width="7.109375" style="2811" customWidth="1"/>
    <col min="180" max="180" width="9.88671875" style="2811" customWidth="1"/>
    <col min="181" max="182" width="18.88671875" style="2811" customWidth="1"/>
    <col min="183" max="183" width="27.44140625" style="2811" customWidth="1"/>
    <col min="184" max="184" width="0" style="2811" hidden="1" customWidth="1"/>
    <col min="185" max="185" width="2.88671875" style="2811" customWidth="1"/>
    <col min="186" max="428" width="9.88671875" style="2811"/>
    <col min="429" max="429" width="2.88671875" style="2811" customWidth="1"/>
    <col min="430" max="430" width="4.109375" style="2811" customWidth="1"/>
    <col min="431" max="431" width="40.44140625" style="2811" customWidth="1"/>
    <col min="432" max="432" width="15.88671875" style="2811" customWidth="1"/>
    <col min="433" max="433" width="14" style="2811" customWidth="1"/>
    <col min="434" max="434" width="11.44140625" style="2811" customWidth="1"/>
    <col min="435" max="435" width="7.109375" style="2811" customWidth="1"/>
    <col min="436" max="436" width="9.88671875" style="2811" customWidth="1"/>
    <col min="437" max="438" width="18.88671875" style="2811" customWidth="1"/>
    <col min="439" max="439" width="27.44140625" style="2811" customWidth="1"/>
    <col min="440" max="440" width="0" style="2811" hidden="1" customWidth="1"/>
    <col min="441" max="441" width="2.88671875" style="2811" customWidth="1"/>
    <col min="442" max="684" width="9.88671875" style="2811"/>
    <col min="685" max="685" width="2.88671875" style="2811" customWidth="1"/>
    <col min="686" max="686" width="4.109375" style="2811" customWidth="1"/>
    <col min="687" max="687" width="40.44140625" style="2811" customWidth="1"/>
    <col min="688" max="688" width="15.88671875" style="2811" customWidth="1"/>
    <col min="689" max="689" width="14" style="2811" customWidth="1"/>
    <col min="690" max="690" width="11.44140625" style="2811" customWidth="1"/>
    <col min="691" max="691" width="7.109375" style="2811" customWidth="1"/>
    <col min="692" max="692" width="9.88671875" style="2811" customWidth="1"/>
    <col min="693" max="694" width="18.88671875" style="2811" customWidth="1"/>
    <col min="695" max="695" width="27.44140625" style="2811" customWidth="1"/>
    <col min="696" max="696" width="0" style="2811" hidden="1" customWidth="1"/>
    <col min="697" max="697" width="2.88671875" style="2811" customWidth="1"/>
    <col min="698" max="940" width="9.88671875" style="2811"/>
    <col min="941" max="941" width="2.88671875" style="2811" customWidth="1"/>
    <col min="942" max="942" width="4.109375" style="2811" customWidth="1"/>
    <col min="943" max="943" width="40.44140625" style="2811" customWidth="1"/>
    <col min="944" max="944" width="15.88671875" style="2811" customWidth="1"/>
    <col min="945" max="945" width="14" style="2811" customWidth="1"/>
    <col min="946" max="946" width="11.44140625" style="2811" customWidth="1"/>
    <col min="947" max="947" width="7.109375" style="2811" customWidth="1"/>
    <col min="948" max="948" width="9.88671875" style="2811" customWidth="1"/>
    <col min="949" max="950" width="18.88671875" style="2811" customWidth="1"/>
    <col min="951" max="951" width="27.44140625" style="2811" customWidth="1"/>
    <col min="952" max="952" width="0" style="2811" hidden="1" customWidth="1"/>
    <col min="953" max="953" width="2.88671875" style="2811" customWidth="1"/>
    <col min="954" max="1196" width="9.88671875" style="2811"/>
    <col min="1197" max="1197" width="2.88671875" style="2811" customWidth="1"/>
    <col min="1198" max="1198" width="4.109375" style="2811" customWidth="1"/>
    <col min="1199" max="1199" width="40.44140625" style="2811" customWidth="1"/>
    <col min="1200" max="1200" width="15.88671875" style="2811" customWidth="1"/>
    <col min="1201" max="1201" width="14" style="2811" customWidth="1"/>
    <col min="1202" max="1202" width="11.44140625" style="2811" customWidth="1"/>
    <col min="1203" max="1203" width="7.109375" style="2811" customWidth="1"/>
    <col min="1204" max="1204" width="9.88671875" style="2811" customWidth="1"/>
    <col min="1205" max="1206" width="18.88671875" style="2811" customWidth="1"/>
    <col min="1207" max="1207" width="27.44140625" style="2811" customWidth="1"/>
    <col min="1208" max="1208" width="0" style="2811" hidden="1" customWidth="1"/>
    <col min="1209" max="1209" width="2.88671875" style="2811" customWidth="1"/>
    <col min="1210" max="1452" width="9.88671875" style="2811"/>
    <col min="1453" max="1453" width="2.88671875" style="2811" customWidth="1"/>
    <col min="1454" max="1454" width="4.109375" style="2811" customWidth="1"/>
    <col min="1455" max="1455" width="40.44140625" style="2811" customWidth="1"/>
    <col min="1456" max="1456" width="15.88671875" style="2811" customWidth="1"/>
    <col min="1457" max="1457" width="14" style="2811" customWidth="1"/>
    <col min="1458" max="1458" width="11.44140625" style="2811" customWidth="1"/>
    <col min="1459" max="1459" width="7.109375" style="2811" customWidth="1"/>
    <col min="1460" max="1460" width="9.88671875" style="2811" customWidth="1"/>
    <col min="1461" max="1462" width="18.88671875" style="2811" customWidth="1"/>
    <col min="1463" max="1463" width="27.44140625" style="2811" customWidth="1"/>
    <col min="1464" max="1464" width="0" style="2811" hidden="1" customWidth="1"/>
    <col min="1465" max="1465" width="2.88671875" style="2811" customWidth="1"/>
    <col min="1466" max="1708" width="9.88671875" style="2811"/>
    <col min="1709" max="1709" width="2.88671875" style="2811" customWidth="1"/>
    <col min="1710" max="1710" width="4.109375" style="2811" customWidth="1"/>
    <col min="1711" max="1711" width="40.44140625" style="2811" customWidth="1"/>
    <col min="1712" max="1712" width="15.88671875" style="2811" customWidth="1"/>
    <col min="1713" max="1713" width="14" style="2811" customWidth="1"/>
    <col min="1714" max="1714" width="11.44140625" style="2811" customWidth="1"/>
    <col min="1715" max="1715" width="7.109375" style="2811" customWidth="1"/>
    <col min="1716" max="1716" width="9.88671875" style="2811" customWidth="1"/>
    <col min="1717" max="1718" width="18.88671875" style="2811" customWidth="1"/>
    <col min="1719" max="1719" width="27.44140625" style="2811" customWidth="1"/>
    <col min="1720" max="1720" width="0" style="2811" hidden="1" customWidth="1"/>
    <col min="1721" max="1721" width="2.88671875" style="2811" customWidth="1"/>
    <col min="1722" max="1964" width="9.88671875" style="2811"/>
    <col min="1965" max="1965" width="2.88671875" style="2811" customWidth="1"/>
    <col min="1966" max="1966" width="4.109375" style="2811" customWidth="1"/>
    <col min="1967" max="1967" width="40.44140625" style="2811" customWidth="1"/>
    <col min="1968" max="1968" width="15.88671875" style="2811" customWidth="1"/>
    <col min="1969" max="1969" width="14" style="2811" customWidth="1"/>
    <col min="1970" max="1970" width="11.44140625" style="2811" customWidth="1"/>
    <col min="1971" max="1971" width="7.109375" style="2811" customWidth="1"/>
    <col min="1972" max="1972" width="9.88671875" style="2811" customWidth="1"/>
    <col min="1973" max="1974" width="18.88671875" style="2811" customWidth="1"/>
    <col min="1975" max="1975" width="27.44140625" style="2811" customWidth="1"/>
    <col min="1976" max="1976" width="0" style="2811" hidden="1" customWidth="1"/>
    <col min="1977" max="1977" width="2.88671875" style="2811" customWidth="1"/>
    <col min="1978" max="2220" width="9.88671875" style="2811"/>
    <col min="2221" max="2221" width="2.88671875" style="2811" customWidth="1"/>
    <col min="2222" max="2222" width="4.109375" style="2811" customWidth="1"/>
    <col min="2223" max="2223" width="40.44140625" style="2811" customWidth="1"/>
    <col min="2224" max="2224" width="15.88671875" style="2811" customWidth="1"/>
    <col min="2225" max="2225" width="14" style="2811" customWidth="1"/>
    <col min="2226" max="2226" width="11.44140625" style="2811" customWidth="1"/>
    <col min="2227" max="2227" width="7.109375" style="2811" customWidth="1"/>
    <col min="2228" max="2228" width="9.88671875" style="2811" customWidth="1"/>
    <col min="2229" max="2230" width="18.88671875" style="2811" customWidth="1"/>
    <col min="2231" max="2231" width="27.44140625" style="2811" customWidth="1"/>
    <col min="2232" max="2232" width="0" style="2811" hidden="1" customWidth="1"/>
    <col min="2233" max="2233" width="2.88671875" style="2811" customWidth="1"/>
    <col min="2234" max="2476" width="9.88671875" style="2811"/>
    <col min="2477" max="2477" width="2.88671875" style="2811" customWidth="1"/>
    <col min="2478" max="2478" width="4.109375" style="2811" customWidth="1"/>
    <col min="2479" max="2479" width="40.44140625" style="2811" customWidth="1"/>
    <col min="2480" max="2480" width="15.88671875" style="2811" customWidth="1"/>
    <col min="2481" max="2481" width="14" style="2811" customWidth="1"/>
    <col min="2482" max="2482" width="11.44140625" style="2811" customWidth="1"/>
    <col min="2483" max="2483" width="7.109375" style="2811" customWidth="1"/>
    <col min="2484" max="2484" width="9.88671875" style="2811" customWidth="1"/>
    <col min="2485" max="2486" width="18.88671875" style="2811" customWidth="1"/>
    <col min="2487" max="2487" width="27.44140625" style="2811" customWidth="1"/>
    <col min="2488" max="2488" width="0" style="2811" hidden="1" customWidth="1"/>
    <col min="2489" max="2489" width="2.88671875" style="2811" customWidth="1"/>
    <col min="2490" max="2732" width="9.88671875" style="2811"/>
    <col min="2733" max="2733" width="2.88671875" style="2811" customWidth="1"/>
    <col min="2734" max="2734" width="4.109375" style="2811" customWidth="1"/>
    <col min="2735" max="2735" width="40.44140625" style="2811" customWidth="1"/>
    <col min="2736" max="2736" width="15.88671875" style="2811" customWidth="1"/>
    <col min="2737" max="2737" width="14" style="2811" customWidth="1"/>
    <col min="2738" max="2738" width="11.44140625" style="2811" customWidth="1"/>
    <col min="2739" max="2739" width="7.109375" style="2811" customWidth="1"/>
    <col min="2740" max="2740" width="9.88671875" style="2811" customWidth="1"/>
    <col min="2741" max="2742" width="18.88671875" style="2811" customWidth="1"/>
    <col min="2743" max="2743" width="27.44140625" style="2811" customWidth="1"/>
    <col min="2744" max="2744" width="0" style="2811" hidden="1" customWidth="1"/>
    <col min="2745" max="2745" width="2.88671875" style="2811" customWidth="1"/>
    <col min="2746" max="2988" width="9.88671875" style="2811"/>
    <col min="2989" max="2989" width="2.88671875" style="2811" customWidth="1"/>
    <col min="2990" max="2990" width="4.109375" style="2811" customWidth="1"/>
    <col min="2991" max="2991" width="40.44140625" style="2811" customWidth="1"/>
    <col min="2992" max="2992" width="15.88671875" style="2811" customWidth="1"/>
    <col min="2993" max="2993" width="14" style="2811" customWidth="1"/>
    <col min="2994" max="2994" width="11.44140625" style="2811" customWidth="1"/>
    <col min="2995" max="2995" width="7.109375" style="2811" customWidth="1"/>
    <col min="2996" max="2996" width="9.88671875" style="2811" customWidth="1"/>
    <col min="2997" max="2998" width="18.88671875" style="2811" customWidth="1"/>
    <col min="2999" max="2999" width="27.44140625" style="2811" customWidth="1"/>
    <col min="3000" max="3000" width="0" style="2811" hidden="1" customWidth="1"/>
    <col min="3001" max="3001" width="2.88671875" style="2811" customWidth="1"/>
    <col min="3002" max="3244" width="9.88671875" style="2811"/>
    <col min="3245" max="3245" width="2.88671875" style="2811" customWidth="1"/>
    <col min="3246" max="3246" width="4.109375" style="2811" customWidth="1"/>
    <col min="3247" max="3247" width="40.44140625" style="2811" customWidth="1"/>
    <col min="3248" max="3248" width="15.88671875" style="2811" customWidth="1"/>
    <col min="3249" max="3249" width="14" style="2811" customWidth="1"/>
    <col min="3250" max="3250" width="11.44140625" style="2811" customWidth="1"/>
    <col min="3251" max="3251" width="7.109375" style="2811" customWidth="1"/>
    <col min="3252" max="3252" width="9.88671875" style="2811" customWidth="1"/>
    <col min="3253" max="3254" width="18.88671875" style="2811" customWidth="1"/>
    <col min="3255" max="3255" width="27.44140625" style="2811" customWidth="1"/>
    <col min="3256" max="3256" width="0" style="2811" hidden="1" customWidth="1"/>
    <col min="3257" max="3257" width="2.88671875" style="2811" customWidth="1"/>
    <col min="3258" max="3500" width="9.88671875" style="2811"/>
    <col min="3501" max="3501" width="2.88671875" style="2811" customWidth="1"/>
    <col min="3502" max="3502" width="4.109375" style="2811" customWidth="1"/>
    <col min="3503" max="3503" width="40.44140625" style="2811" customWidth="1"/>
    <col min="3504" max="3504" width="15.88671875" style="2811" customWidth="1"/>
    <col min="3505" max="3505" width="14" style="2811" customWidth="1"/>
    <col min="3506" max="3506" width="11.44140625" style="2811" customWidth="1"/>
    <col min="3507" max="3507" width="7.109375" style="2811" customWidth="1"/>
    <col min="3508" max="3508" width="9.88671875" style="2811" customWidth="1"/>
    <col min="3509" max="3510" width="18.88671875" style="2811" customWidth="1"/>
    <col min="3511" max="3511" width="27.44140625" style="2811" customWidth="1"/>
    <col min="3512" max="3512" width="0" style="2811" hidden="1" customWidth="1"/>
    <col min="3513" max="3513" width="2.88671875" style="2811" customWidth="1"/>
    <col min="3514" max="3756" width="9.88671875" style="2811"/>
    <col min="3757" max="3757" width="2.88671875" style="2811" customWidth="1"/>
    <col min="3758" max="3758" width="4.109375" style="2811" customWidth="1"/>
    <col min="3759" max="3759" width="40.44140625" style="2811" customWidth="1"/>
    <col min="3760" max="3760" width="15.88671875" style="2811" customWidth="1"/>
    <col min="3761" max="3761" width="14" style="2811" customWidth="1"/>
    <col min="3762" max="3762" width="11.44140625" style="2811" customWidth="1"/>
    <col min="3763" max="3763" width="7.109375" style="2811" customWidth="1"/>
    <col min="3764" max="3764" width="9.88671875" style="2811" customWidth="1"/>
    <col min="3765" max="3766" width="18.88671875" style="2811" customWidth="1"/>
    <col min="3767" max="3767" width="27.44140625" style="2811" customWidth="1"/>
    <col min="3768" max="3768" width="0" style="2811" hidden="1" customWidth="1"/>
    <col min="3769" max="3769" width="2.88671875" style="2811" customWidth="1"/>
    <col min="3770" max="4012" width="9.88671875" style="2811"/>
    <col min="4013" max="4013" width="2.88671875" style="2811" customWidth="1"/>
    <col min="4014" max="4014" width="4.109375" style="2811" customWidth="1"/>
    <col min="4015" max="4015" width="40.44140625" style="2811" customWidth="1"/>
    <col min="4016" max="4016" width="15.88671875" style="2811" customWidth="1"/>
    <col min="4017" max="4017" width="14" style="2811" customWidth="1"/>
    <col min="4018" max="4018" width="11.44140625" style="2811" customWidth="1"/>
    <col min="4019" max="4019" width="7.109375" style="2811" customWidth="1"/>
    <col min="4020" max="4020" width="9.88671875" style="2811" customWidth="1"/>
    <col min="4021" max="4022" width="18.88671875" style="2811" customWidth="1"/>
    <col min="4023" max="4023" width="27.44140625" style="2811" customWidth="1"/>
    <col min="4024" max="4024" width="0" style="2811" hidden="1" customWidth="1"/>
    <col min="4025" max="4025" width="2.88671875" style="2811" customWidth="1"/>
    <col min="4026" max="4268" width="9.88671875" style="2811"/>
    <col min="4269" max="4269" width="2.88671875" style="2811" customWidth="1"/>
    <col min="4270" max="4270" width="4.109375" style="2811" customWidth="1"/>
    <col min="4271" max="4271" width="40.44140625" style="2811" customWidth="1"/>
    <col min="4272" max="4272" width="15.88671875" style="2811" customWidth="1"/>
    <col min="4273" max="4273" width="14" style="2811" customWidth="1"/>
    <col min="4274" max="4274" width="11.44140625" style="2811" customWidth="1"/>
    <col min="4275" max="4275" width="7.109375" style="2811" customWidth="1"/>
    <col min="4276" max="4276" width="9.88671875" style="2811" customWidth="1"/>
    <col min="4277" max="4278" width="18.88671875" style="2811" customWidth="1"/>
    <col min="4279" max="4279" width="27.44140625" style="2811" customWidth="1"/>
    <col min="4280" max="4280" width="0" style="2811" hidden="1" customWidth="1"/>
    <col min="4281" max="4281" width="2.88671875" style="2811" customWidth="1"/>
    <col min="4282" max="4524" width="9.88671875" style="2811"/>
    <col min="4525" max="4525" width="2.88671875" style="2811" customWidth="1"/>
    <col min="4526" max="4526" width="4.109375" style="2811" customWidth="1"/>
    <col min="4527" max="4527" width="40.44140625" style="2811" customWidth="1"/>
    <col min="4528" max="4528" width="15.88671875" style="2811" customWidth="1"/>
    <col min="4529" max="4529" width="14" style="2811" customWidth="1"/>
    <col min="4530" max="4530" width="11.44140625" style="2811" customWidth="1"/>
    <col min="4531" max="4531" width="7.109375" style="2811" customWidth="1"/>
    <col min="4532" max="4532" width="9.88671875" style="2811" customWidth="1"/>
    <col min="4533" max="4534" width="18.88671875" style="2811" customWidth="1"/>
    <col min="4535" max="4535" width="27.44140625" style="2811" customWidth="1"/>
    <col min="4536" max="4536" width="0" style="2811" hidden="1" customWidth="1"/>
    <col min="4537" max="4537" width="2.88671875" style="2811" customWidth="1"/>
    <col min="4538" max="4780" width="9.88671875" style="2811"/>
    <col min="4781" max="4781" width="2.88671875" style="2811" customWidth="1"/>
    <col min="4782" max="4782" width="4.109375" style="2811" customWidth="1"/>
    <col min="4783" max="4783" width="40.44140625" style="2811" customWidth="1"/>
    <col min="4784" max="4784" width="15.88671875" style="2811" customWidth="1"/>
    <col min="4785" max="4785" width="14" style="2811" customWidth="1"/>
    <col min="4786" max="4786" width="11.44140625" style="2811" customWidth="1"/>
    <col min="4787" max="4787" width="7.109375" style="2811" customWidth="1"/>
    <col min="4788" max="4788" width="9.88671875" style="2811" customWidth="1"/>
    <col min="4789" max="4790" width="18.88671875" style="2811" customWidth="1"/>
    <col min="4791" max="4791" width="27.44140625" style="2811" customWidth="1"/>
    <col min="4792" max="4792" width="0" style="2811" hidden="1" customWidth="1"/>
    <col min="4793" max="4793" width="2.88671875" style="2811" customWidth="1"/>
    <col min="4794" max="5036" width="9.88671875" style="2811"/>
    <col min="5037" max="5037" width="2.88671875" style="2811" customWidth="1"/>
    <col min="5038" max="5038" width="4.109375" style="2811" customWidth="1"/>
    <col min="5039" max="5039" width="40.44140625" style="2811" customWidth="1"/>
    <col min="5040" max="5040" width="15.88671875" style="2811" customWidth="1"/>
    <col min="5041" max="5041" width="14" style="2811" customWidth="1"/>
    <col min="5042" max="5042" width="11.44140625" style="2811" customWidth="1"/>
    <col min="5043" max="5043" width="7.109375" style="2811" customWidth="1"/>
    <col min="5044" max="5044" width="9.88671875" style="2811" customWidth="1"/>
    <col min="5045" max="5046" width="18.88671875" style="2811" customWidth="1"/>
    <col min="5047" max="5047" width="27.44140625" style="2811" customWidth="1"/>
    <col min="5048" max="5048" width="0" style="2811" hidden="1" customWidth="1"/>
    <col min="5049" max="5049" width="2.88671875" style="2811" customWidth="1"/>
    <col min="5050" max="5292" width="9.88671875" style="2811"/>
    <col min="5293" max="5293" width="2.88671875" style="2811" customWidth="1"/>
    <col min="5294" max="5294" width="4.109375" style="2811" customWidth="1"/>
    <col min="5295" max="5295" width="40.44140625" style="2811" customWidth="1"/>
    <col min="5296" max="5296" width="15.88671875" style="2811" customWidth="1"/>
    <col min="5297" max="5297" width="14" style="2811" customWidth="1"/>
    <col min="5298" max="5298" width="11.44140625" style="2811" customWidth="1"/>
    <col min="5299" max="5299" width="7.109375" style="2811" customWidth="1"/>
    <col min="5300" max="5300" width="9.88671875" style="2811" customWidth="1"/>
    <col min="5301" max="5302" width="18.88671875" style="2811" customWidth="1"/>
    <col min="5303" max="5303" width="27.44140625" style="2811" customWidth="1"/>
    <col min="5304" max="5304" width="0" style="2811" hidden="1" customWidth="1"/>
    <col min="5305" max="5305" width="2.88671875" style="2811" customWidth="1"/>
    <col min="5306" max="5548" width="9.88671875" style="2811"/>
    <col min="5549" max="5549" width="2.88671875" style="2811" customWidth="1"/>
    <col min="5550" max="5550" width="4.109375" style="2811" customWidth="1"/>
    <col min="5551" max="5551" width="40.44140625" style="2811" customWidth="1"/>
    <col min="5552" max="5552" width="15.88671875" style="2811" customWidth="1"/>
    <col min="5553" max="5553" width="14" style="2811" customWidth="1"/>
    <col min="5554" max="5554" width="11.44140625" style="2811" customWidth="1"/>
    <col min="5555" max="5555" width="7.109375" style="2811" customWidth="1"/>
    <col min="5556" max="5556" width="9.88671875" style="2811" customWidth="1"/>
    <col min="5557" max="5558" width="18.88671875" style="2811" customWidth="1"/>
    <col min="5559" max="5559" width="27.44140625" style="2811" customWidth="1"/>
    <col min="5560" max="5560" width="0" style="2811" hidden="1" customWidth="1"/>
    <col min="5561" max="5561" width="2.88671875" style="2811" customWidth="1"/>
    <col min="5562" max="5804" width="9.88671875" style="2811"/>
    <col min="5805" max="5805" width="2.88671875" style="2811" customWidth="1"/>
    <col min="5806" max="5806" width="4.109375" style="2811" customWidth="1"/>
    <col min="5807" max="5807" width="40.44140625" style="2811" customWidth="1"/>
    <col min="5808" max="5808" width="15.88671875" style="2811" customWidth="1"/>
    <col min="5809" max="5809" width="14" style="2811" customWidth="1"/>
    <col min="5810" max="5810" width="11.44140625" style="2811" customWidth="1"/>
    <col min="5811" max="5811" width="7.109375" style="2811" customWidth="1"/>
    <col min="5812" max="5812" width="9.88671875" style="2811" customWidth="1"/>
    <col min="5813" max="5814" width="18.88671875" style="2811" customWidth="1"/>
    <col min="5815" max="5815" width="27.44140625" style="2811" customWidth="1"/>
    <col min="5816" max="5816" width="0" style="2811" hidden="1" customWidth="1"/>
    <col min="5817" max="5817" width="2.88671875" style="2811" customWidth="1"/>
    <col min="5818" max="6060" width="9.88671875" style="2811"/>
    <col min="6061" max="6061" width="2.88671875" style="2811" customWidth="1"/>
    <col min="6062" max="6062" width="4.109375" style="2811" customWidth="1"/>
    <col min="6063" max="6063" width="40.44140625" style="2811" customWidth="1"/>
    <col min="6064" max="6064" width="15.88671875" style="2811" customWidth="1"/>
    <col min="6065" max="6065" width="14" style="2811" customWidth="1"/>
    <col min="6066" max="6066" width="11.44140625" style="2811" customWidth="1"/>
    <col min="6067" max="6067" width="7.109375" style="2811" customWidth="1"/>
    <col min="6068" max="6068" width="9.88671875" style="2811" customWidth="1"/>
    <col min="6069" max="6070" width="18.88671875" style="2811" customWidth="1"/>
    <col min="6071" max="6071" width="27.44140625" style="2811" customWidth="1"/>
    <col min="6072" max="6072" width="0" style="2811" hidden="1" customWidth="1"/>
    <col min="6073" max="6073" width="2.88671875" style="2811" customWidth="1"/>
    <col min="6074" max="6316" width="9.88671875" style="2811"/>
    <col min="6317" max="6317" width="2.88671875" style="2811" customWidth="1"/>
    <col min="6318" max="6318" width="4.109375" style="2811" customWidth="1"/>
    <col min="6319" max="6319" width="40.44140625" style="2811" customWidth="1"/>
    <col min="6320" max="6320" width="15.88671875" style="2811" customWidth="1"/>
    <col min="6321" max="6321" width="14" style="2811" customWidth="1"/>
    <col min="6322" max="6322" width="11.44140625" style="2811" customWidth="1"/>
    <col min="6323" max="6323" width="7.109375" style="2811" customWidth="1"/>
    <col min="6324" max="6324" width="9.88671875" style="2811" customWidth="1"/>
    <col min="6325" max="6326" width="18.88671875" style="2811" customWidth="1"/>
    <col min="6327" max="6327" width="27.44140625" style="2811" customWidth="1"/>
    <col min="6328" max="6328" width="0" style="2811" hidden="1" customWidth="1"/>
    <col min="6329" max="6329" width="2.88671875" style="2811" customWidth="1"/>
    <col min="6330" max="6572" width="9.88671875" style="2811"/>
    <col min="6573" max="6573" width="2.88671875" style="2811" customWidth="1"/>
    <col min="6574" max="6574" width="4.109375" style="2811" customWidth="1"/>
    <col min="6575" max="6575" width="40.44140625" style="2811" customWidth="1"/>
    <col min="6576" max="6576" width="15.88671875" style="2811" customWidth="1"/>
    <col min="6577" max="6577" width="14" style="2811" customWidth="1"/>
    <col min="6578" max="6578" width="11.44140625" style="2811" customWidth="1"/>
    <col min="6579" max="6579" width="7.109375" style="2811" customWidth="1"/>
    <col min="6580" max="6580" width="9.88671875" style="2811" customWidth="1"/>
    <col min="6581" max="6582" width="18.88671875" style="2811" customWidth="1"/>
    <col min="6583" max="6583" width="27.44140625" style="2811" customWidth="1"/>
    <col min="6584" max="6584" width="0" style="2811" hidden="1" customWidth="1"/>
    <col min="6585" max="6585" width="2.88671875" style="2811" customWidth="1"/>
    <col min="6586" max="6828" width="9.88671875" style="2811"/>
    <col min="6829" max="6829" width="2.88671875" style="2811" customWidth="1"/>
    <col min="6830" max="6830" width="4.109375" style="2811" customWidth="1"/>
    <col min="6831" max="6831" width="40.44140625" style="2811" customWidth="1"/>
    <col min="6832" max="6832" width="15.88671875" style="2811" customWidth="1"/>
    <col min="6833" max="6833" width="14" style="2811" customWidth="1"/>
    <col min="6834" max="6834" width="11.44140625" style="2811" customWidth="1"/>
    <col min="6835" max="6835" width="7.109375" style="2811" customWidth="1"/>
    <col min="6836" max="6836" width="9.88671875" style="2811" customWidth="1"/>
    <col min="6837" max="6838" width="18.88671875" style="2811" customWidth="1"/>
    <col min="6839" max="6839" width="27.44140625" style="2811" customWidth="1"/>
    <col min="6840" max="6840" width="0" style="2811" hidden="1" customWidth="1"/>
    <col min="6841" max="6841" width="2.88671875" style="2811" customWidth="1"/>
    <col min="6842" max="7084" width="9.88671875" style="2811"/>
    <col min="7085" max="7085" width="2.88671875" style="2811" customWidth="1"/>
    <col min="7086" max="7086" width="4.109375" style="2811" customWidth="1"/>
    <col min="7087" max="7087" width="40.44140625" style="2811" customWidth="1"/>
    <col min="7088" max="7088" width="15.88671875" style="2811" customWidth="1"/>
    <col min="7089" max="7089" width="14" style="2811" customWidth="1"/>
    <col min="7090" max="7090" width="11.44140625" style="2811" customWidth="1"/>
    <col min="7091" max="7091" width="7.109375" style="2811" customWidth="1"/>
    <col min="7092" max="7092" width="9.88671875" style="2811" customWidth="1"/>
    <col min="7093" max="7094" width="18.88671875" style="2811" customWidth="1"/>
    <col min="7095" max="7095" width="27.44140625" style="2811" customWidth="1"/>
    <col min="7096" max="7096" width="0" style="2811" hidden="1" customWidth="1"/>
    <col min="7097" max="7097" width="2.88671875" style="2811" customWidth="1"/>
    <col min="7098" max="7340" width="9.88671875" style="2811"/>
    <col min="7341" max="7341" width="2.88671875" style="2811" customWidth="1"/>
    <col min="7342" max="7342" width="4.109375" style="2811" customWidth="1"/>
    <col min="7343" max="7343" width="40.44140625" style="2811" customWidth="1"/>
    <col min="7344" max="7344" width="15.88671875" style="2811" customWidth="1"/>
    <col min="7345" max="7345" width="14" style="2811" customWidth="1"/>
    <col min="7346" max="7346" width="11.44140625" style="2811" customWidth="1"/>
    <col min="7347" max="7347" width="7.109375" style="2811" customWidth="1"/>
    <col min="7348" max="7348" width="9.88671875" style="2811" customWidth="1"/>
    <col min="7349" max="7350" width="18.88671875" style="2811" customWidth="1"/>
    <col min="7351" max="7351" width="27.44140625" style="2811" customWidth="1"/>
    <col min="7352" max="7352" width="0" style="2811" hidden="1" customWidth="1"/>
    <col min="7353" max="7353" width="2.88671875" style="2811" customWidth="1"/>
    <col min="7354" max="7596" width="9.88671875" style="2811"/>
    <col min="7597" max="7597" width="2.88671875" style="2811" customWidth="1"/>
    <col min="7598" max="7598" width="4.109375" style="2811" customWidth="1"/>
    <col min="7599" max="7599" width="40.44140625" style="2811" customWidth="1"/>
    <col min="7600" max="7600" width="15.88671875" style="2811" customWidth="1"/>
    <col min="7601" max="7601" width="14" style="2811" customWidth="1"/>
    <col min="7602" max="7602" width="11.44140625" style="2811" customWidth="1"/>
    <col min="7603" max="7603" width="7.109375" style="2811" customWidth="1"/>
    <col min="7604" max="7604" width="9.88671875" style="2811" customWidth="1"/>
    <col min="7605" max="7606" width="18.88671875" style="2811" customWidth="1"/>
    <col min="7607" max="7607" width="27.44140625" style="2811" customWidth="1"/>
    <col min="7608" max="7608" width="0" style="2811" hidden="1" customWidth="1"/>
    <col min="7609" max="7609" width="2.88671875" style="2811" customWidth="1"/>
    <col min="7610" max="7852" width="9.88671875" style="2811"/>
    <col min="7853" max="7853" width="2.88671875" style="2811" customWidth="1"/>
    <col min="7854" max="7854" width="4.109375" style="2811" customWidth="1"/>
    <col min="7855" max="7855" width="40.44140625" style="2811" customWidth="1"/>
    <col min="7856" max="7856" width="15.88671875" style="2811" customWidth="1"/>
    <col min="7857" max="7857" width="14" style="2811" customWidth="1"/>
    <col min="7858" max="7858" width="11.44140625" style="2811" customWidth="1"/>
    <col min="7859" max="7859" width="7.109375" style="2811" customWidth="1"/>
    <col min="7860" max="7860" width="9.88671875" style="2811" customWidth="1"/>
    <col min="7861" max="7862" width="18.88671875" style="2811" customWidth="1"/>
    <col min="7863" max="7863" width="27.44140625" style="2811" customWidth="1"/>
    <col min="7864" max="7864" width="0" style="2811" hidden="1" customWidth="1"/>
    <col min="7865" max="7865" width="2.88671875" style="2811" customWidth="1"/>
    <col min="7866" max="8108" width="9.88671875" style="2811"/>
    <col min="8109" max="8109" width="2.88671875" style="2811" customWidth="1"/>
    <col min="8110" max="8110" width="4.109375" style="2811" customWidth="1"/>
    <col min="8111" max="8111" width="40.44140625" style="2811" customWidth="1"/>
    <col min="8112" max="8112" width="15.88671875" style="2811" customWidth="1"/>
    <col min="8113" max="8113" width="14" style="2811" customWidth="1"/>
    <col min="8114" max="8114" width="11.44140625" style="2811" customWidth="1"/>
    <col min="8115" max="8115" width="7.109375" style="2811" customWidth="1"/>
    <col min="8116" max="8116" width="9.88671875" style="2811" customWidth="1"/>
    <col min="8117" max="8118" width="18.88671875" style="2811" customWidth="1"/>
    <col min="8119" max="8119" width="27.44140625" style="2811" customWidth="1"/>
    <col min="8120" max="8120" width="0" style="2811" hidden="1" customWidth="1"/>
    <col min="8121" max="8121" width="2.88671875" style="2811" customWidth="1"/>
    <col min="8122" max="8364" width="9.88671875" style="2811"/>
    <col min="8365" max="8365" width="2.88671875" style="2811" customWidth="1"/>
    <col min="8366" max="8366" width="4.109375" style="2811" customWidth="1"/>
    <col min="8367" max="8367" width="40.44140625" style="2811" customWidth="1"/>
    <col min="8368" max="8368" width="15.88671875" style="2811" customWidth="1"/>
    <col min="8369" max="8369" width="14" style="2811" customWidth="1"/>
    <col min="8370" max="8370" width="11.44140625" style="2811" customWidth="1"/>
    <col min="8371" max="8371" width="7.109375" style="2811" customWidth="1"/>
    <col min="8372" max="8372" width="9.88671875" style="2811" customWidth="1"/>
    <col min="8373" max="8374" width="18.88671875" style="2811" customWidth="1"/>
    <col min="8375" max="8375" width="27.44140625" style="2811" customWidth="1"/>
    <col min="8376" max="8376" width="0" style="2811" hidden="1" customWidth="1"/>
    <col min="8377" max="8377" width="2.88671875" style="2811" customWidth="1"/>
    <col min="8378" max="8620" width="9.88671875" style="2811"/>
    <col min="8621" max="8621" width="2.88671875" style="2811" customWidth="1"/>
    <col min="8622" max="8622" width="4.109375" style="2811" customWidth="1"/>
    <col min="8623" max="8623" width="40.44140625" style="2811" customWidth="1"/>
    <col min="8624" max="8624" width="15.88671875" style="2811" customWidth="1"/>
    <col min="8625" max="8625" width="14" style="2811" customWidth="1"/>
    <col min="8626" max="8626" width="11.44140625" style="2811" customWidth="1"/>
    <col min="8627" max="8627" width="7.109375" style="2811" customWidth="1"/>
    <col min="8628" max="8628" width="9.88671875" style="2811" customWidth="1"/>
    <col min="8629" max="8630" width="18.88671875" style="2811" customWidth="1"/>
    <col min="8631" max="8631" width="27.44140625" style="2811" customWidth="1"/>
    <col min="8632" max="8632" width="0" style="2811" hidden="1" customWidth="1"/>
    <col min="8633" max="8633" width="2.88671875" style="2811" customWidth="1"/>
    <col min="8634" max="8876" width="9.88671875" style="2811"/>
    <col min="8877" max="8877" width="2.88671875" style="2811" customWidth="1"/>
    <col min="8878" max="8878" width="4.109375" style="2811" customWidth="1"/>
    <col min="8879" max="8879" width="40.44140625" style="2811" customWidth="1"/>
    <col min="8880" max="8880" width="15.88671875" style="2811" customWidth="1"/>
    <col min="8881" max="8881" width="14" style="2811" customWidth="1"/>
    <col min="8882" max="8882" width="11.44140625" style="2811" customWidth="1"/>
    <col min="8883" max="8883" width="7.109375" style="2811" customWidth="1"/>
    <col min="8884" max="8884" width="9.88671875" style="2811" customWidth="1"/>
    <col min="8885" max="8886" width="18.88671875" style="2811" customWidth="1"/>
    <col min="8887" max="8887" width="27.44140625" style="2811" customWidth="1"/>
    <col min="8888" max="8888" width="0" style="2811" hidden="1" customWidth="1"/>
    <col min="8889" max="8889" width="2.88671875" style="2811" customWidth="1"/>
    <col min="8890" max="9132" width="9.88671875" style="2811"/>
    <col min="9133" max="9133" width="2.88671875" style="2811" customWidth="1"/>
    <col min="9134" max="9134" width="4.109375" style="2811" customWidth="1"/>
    <col min="9135" max="9135" width="40.44140625" style="2811" customWidth="1"/>
    <col min="9136" max="9136" width="15.88671875" style="2811" customWidth="1"/>
    <col min="9137" max="9137" width="14" style="2811" customWidth="1"/>
    <col min="9138" max="9138" width="11.44140625" style="2811" customWidth="1"/>
    <col min="9139" max="9139" width="7.109375" style="2811" customWidth="1"/>
    <col min="9140" max="9140" width="9.88671875" style="2811" customWidth="1"/>
    <col min="9141" max="9142" width="18.88671875" style="2811" customWidth="1"/>
    <col min="9143" max="9143" width="27.44140625" style="2811" customWidth="1"/>
    <col min="9144" max="9144" width="0" style="2811" hidden="1" customWidth="1"/>
    <col min="9145" max="9145" width="2.88671875" style="2811" customWidth="1"/>
    <col min="9146" max="9388" width="9.88671875" style="2811"/>
    <col min="9389" max="9389" width="2.88671875" style="2811" customWidth="1"/>
    <col min="9390" max="9390" width="4.109375" style="2811" customWidth="1"/>
    <col min="9391" max="9391" width="40.44140625" style="2811" customWidth="1"/>
    <col min="9392" max="9392" width="15.88671875" style="2811" customWidth="1"/>
    <col min="9393" max="9393" width="14" style="2811" customWidth="1"/>
    <col min="9394" max="9394" width="11.44140625" style="2811" customWidth="1"/>
    <col min="9395" max="9395" width="7.109375" style="2811" customWidth="1"/>
    <col min="9396" max="9396" width="9.88671875" style="2811" customWidth="1"/>
    <col min="9397" max="9398" width="18.88671875" style="2811" customWidth="1"/>
    <col min="9399" max="9399" width="27.44140625" style="2811" customWidth="1"/>
    <col min="9400" max="9400" width="0" style="2811" hidden="1" customWidth="1"/>
    <col min="9401" max="9401" width="2.88671875" style="2811" customWidth="1"/>
    <col min="9402" max="9644" width="9.88671875" style="2811"/>
    <col min="9645" max="9645" width="2.88671875" style="2811" customWidth="1"/>
    <col min="9646" max="9646" width="4.109375" style="2811" customWidth="1"/>
    <col min="9647" max="9647" width="40.44140625" style="2811" customWidth="1"/>
    <col min="9648" max="9648" width="15.88671875" style="2811" customWidth="1"/>
    <col min="9649" max="9649" width="14" style="2811" customWidth="1"/>
    <col min="9650" max="9650" width="11.44140625" style="2811" customWidth="1"/>
    <col min="9651" max="9651" width="7.109375" style="2811" customWidth="1"/>
    <col min="9652" max="9652" width="9.88671875" style="2811" customWidth="1"/>
    <col min="9653" max="9654" width="18.88671875" style="2811" customWidth="1"/>
    <col min="9655" max="9655" width="27.44140625" style="2811" customWidth="1"/>
    <col min="9656" max="9656" width="0" style="2811" hidden="1" customWidth="1"/>
    <col min="9657" max="9657" width="2.88671875" style="2811" customWidth="1"/>
    <col min="9658" max="9900" width="9.88671875" style="2811"/>
    <col min="9901" max="9901" width="2.88671875" style="2811" customWidth="1"/>
    <col min="9902" max="9902" width="4.109375" style="2811" customWidth="1"/>
    <col min="9903" max="9903" width="40.44140625" style="2811" customWidth="1"/>
    <col min="9904" max="9904" width="15.88671875" style="2811" customWidth="1"/>
    <col min="9905" max="9905" width="14" style="2811" customWidth="1"/>
    <col min="9906" max="9906" width="11.44140625" style="2811" customWidth="1"/>
    <col min="9907" max="9907" width="7.109375" style="2811" customWidth="1"/>
    <col min="9908" max="9908" width="9.88671875" style="2811" customWidth="1"/>
    <col min="9909" max="9910" width="18.88671875" style="2811" customWidth="1"/>
    <col min="9911" max="9911" width="27.44140625" style="2811" customWidth="1"/>
    <col min="9912" max="9912" width="0" style="2811" hidden="1" customWidth="1"/>
    <col min="9913" max="9913" width="2.88671875" style="2811" customWidth="1"/>
    <col min="9914" max="10156" width="9.88671875" style="2811"/>
    <col min="10157" max="10157" width="2.88671875" style="2811" customWidth="1"/>
    <col min="10158" max="10158" width="4.109375" style="2811" customWidth="1"/>
    <col min="10159" max="10159" width="40.44140625" style="2811" customWidth="1"/>
    <col min="10160" max="10160" width="15.88671875" style="2811" customWidth="1"/>
    <col min="10161" max="10161" width="14" style="2811" customWidth="1"/>
    <col min="10162" max="10162" width="11.44140625" style="2811" customWidth="1"/>
    <col min="10163" max="10163" width="7.109375" style="2811" customWidth="1"/>
    <col min="10164" max="10164" width="9.88671875" style="2811" customWidth="1"/>
    <col min="10165" max="10166" width="18.88671875" style="2811" customWidth="1"/>
    <col min="10167" max="10167" width="27.44140625" style="2811" customWidth="1"/>
    <col min="10168" max="10168" width="0" style="2811" hidden="1" customWidth="1"/>
    <col min="10169" max="10169" width="2.88671875" style="2811" customWidth="1"/>
    <col min="10170" max="10412" width="9.88671875" style="2811"/>
    <col min="10413" max="10413" width="2.88671875" style="2811" customWidth="1"/>
    <col min="10414" max="10414" width="4.109375" style="2811" customWidth="1"/>
    <col min="10415" max="10415" width="40.44140625" style="2811" customWidth="1"/>
    <col min="10416" max="10416" width="15.88671875" style="2811" customWidth="1"/>
    <col min="10417" max="10417" width="14" style="2811" customWidth="1"/>
    <col min="10418" max="10418" width="11.44140625" style="2811" customWidth="1"/>
    <col min="10419" max="10419" width="7.109375" style="2811" customWidth="1"/>
    <col min="10420" max="10420" width="9.88671875" style="2811" customWidth="1"/>
    <col min="10421" max="10422" width="18.88671875" style="2811" customWidth="1"/>
    <col min="10423" max="10423" width="27.44140625" style="2811" customWidth="1"/>
    <col min="10424" max="10424" width="0" style="2811" hidden="1" customWidth="1"/>
    <col min="10425" max="10425" width="2.88671875" style="2811" customWidth="1"/>
    <col min="10426" max="10668" width="9.88671875" style="2811"/>
    <col min="10669" max="10669" width="2.88671875" style="2811" customWidth="1"/>
    <col min="10670" max="10670" width="4.109375" style="2811" customWidth="1"/>
    <col min="10671" max="10671" width="40.44140625" style="2811" customWidth="1"/>
    <col min="10672" max="10672" width="15.88671875" style="2811" customWidth="1"/>
    <col min="10673" max="10673" width="14" style="2811" customWidth="1"/>
    <col min="10674" max="10674" width="11.44140625" style="2811" customWidth="1"/>
    <col min="10675" max="10675" width="7.109375" style="2811" customWidth="1"/>
    <col min="10676" max="10676" width="9.88671875" style="2811" customWidth="1"/>
    <col min="10677" max="10678" width="18.88671875" style="2811" customWidth="1"/>
    <col min="10679" max="10679" width="27.44140625" style="2811" customWidth="1"/>
    <col min="10680" max="10680" width="0" style="2811" hidden="1" customWidth="1"/>
    <col min="10681" max="10681" width="2.88671875" style="2811" customWidth="1"/>
    <col min="10682" max="10924" width="9.88671875" style="2811"/>
    <col min="10925" max="10925" width="2.88671875" style="2811" customWidth="1"/>
    <col min="10926" max="10926" width="4.109375" style="2811" customWidth="1"/>
    <col min="10927" max="10927" width="40.44140625" style="2811" customWidth="1"/>
    <col min="10928" max="10928" width="15.88671875" style="2811" customWidth="1"/>
    <col min="10929" max="10929" width="14" style="2811" customWidth="1"/>
    <col min="10930" max="10930" width="11.44140625" style="2811" customWidth="1"/>
    <col min="10931" max="10931" width="7.109375" style="2811" customWidth="1"/>
    <col min="10932" max="10932" width="9.88671875" style="2811" customWidth="1"/>
    <col min="10933" max="10934" width="18.88671875" style="2811" customWidth="1"/>
    <col min="10935" max="10935" width="27.44140625" style="2811" customWidth="1"/>
    <col min="10936" max="10936" width="0" style="2811" hidden="1" customWidth="1"/>
    <col min="10937" max="10937" width="2.88671875" style="2811" customWidth="1"/>
    <col min="10938" max="11180" width="9.88671875" style="2811"/>
    <col min="11181" max="11181" width="2.88671875" style="2811" customWidth="1"/>
    <col min="11182" max="11182" width="4.109375" style="2811" customWidth="1"/>
    <col min="11183" max="11183" width="40.44140625" style="2811" customWidth="1"/>
    <col min="11184" max="11184" width="15.88671875" style="2811" customWidth="1"/>
    <col min="11185" max="11185" width="14" style="2811" customWidth="1"/>
    <col min="11186" max="11186" width="11.44140625" style="2811" customWidth="1"/>
    <col min="11187" max="11187" width="7.109375" style="2811" customWidth="1"/>
    <col min="11188" max="11188" width="9.88671875" style="2811" customWidth="1"/>
    <col min="11189" max="11190" width="18.88671875" style="2811" customWidth="1"/>
    <col min="11191" max="11191" width="27.44140625" style="2811" customWidth="1"/>
    <col min="11192" max="11192" width="0" style="2811" hidden="1" customWidth="1"/>
    <col min="11193" max="11193" width="2.88671875" style="2811" customWidth="1"/>
    <col min="11194" max="11436" width="9.88671875" style="2811"/>
    <col min="11437" max="11437" width="2.88671875" style="2811" customWidth="1"/>
    <col min="11438" max="11438" width="4.109375" style="2811" customWidth="1"/>
    <col min="11439" max="11439" width="40.44140625" style="2811" customWidth="1"/>
    <col min="11440" max="11440" width="15.88671875" style="2811" customWidth="1"/>
    <col min="11441" max="11441" width="14" style="2811" customWidth="1"/>
    <col min="11442" max="11442" width="11.44140625" style="2811" customWidth="1"/>
    <col min="11443" max="11443" width="7.109375" style="2811" customWidth="1"/>
    <col min="11444" max="11444" width="9.88671875" style="2811" customWidth="1"/>
    <col min="11445" max="11446" width="18.88671875" style="2811" customWidth="1"/>
    <col min="11447" max="11447" width="27.44140625" style="2811" customWidth="1"/>
    <col min="11448" max="11448" width="0" style="2811" hidden="1" customWidth="1"/>
    <col min="11449" max="11449" width="2.88671875" style="2811" customWidth="1"/>
    <col min="11450" max="11692" width="9.88671875" style="2811"/>
    <col min="11693" max="11693" width="2.88671875" style="2811" customWidth="1"/>
    <col min="11694" max="11694" width="4.109375" style="2811" customWidth="1"/>
    <col min="11695" max="11695" width="40.44140625" style="2811" customWidth="1"/>
    <col min="11696" max="11696" width="15.88671875" style="2811" customWidth="1"/>
    <col min="11697" max="11697" width="14" style="2811" customWidth="1"/>
    <col min="11698" max="11698" width="11.44140625" style="2811" customWidth="1"/>
    <col min="11699" max="11699" width="7.109375" style="2811" customWidth="1"/>
    <col min="11700" max="11700" width="9.88671875" style="2811" customWidth="1"/>
    <col min="11701" max="11702" width="18.88671875" style="2811" customWidth="1"/>
    <col min="11703" max="11703" width="27.44140625" style="2811" customWidth="1"/>
    <col min="11704" max="11704" width="0" style="2811" hidden="1" customWidth="1"/>
    <col min="11705" max="11705" width="2.88671875" style="2811" customWidth="1"/>
    <col min="11706" max="11948" width="9.88671875" style="2811"/>
    <col min="11949" max="11949" width="2.88671875" style="2811" customWidth="1"/>
    <col min="11950" max="11950" width="4.109375" style="2811" customWidth="1"/>
    <col min="11951" max="11951" width="40.44140625" style="2811" customWidth="1"/>
    <col min="11952" max="11952" width="15.88671875" style="2811" customWidth="1"/>
    <col min="11953" max="11953" width="14" style="2811" customWidth="1"/>
    <col min="11954" max="11954" width="11.44140625" style="2811" customWidth="1"/>
    <col min="11955" max="11955" width="7.109375" style="2811" customWidth="1"/>
    <col min="11956" max="11956" width="9.88671875" style="2811" customWidth="1"/>
    <col min="11957" max="11958" width="18.88671875" style="2811" customWidth="1"/>
    <col min="11959" max="11959" width="27.44140625" style="2811" customWidth="1"/>
    <col min="11960" max="11960" width="0" style="2811" hidden="1" customWidth="1"/>
    <col min="11961" max="11961" width="2.88671875" style="2811" customWidth="1"/>
    <col min="11962" max="12204" width="9.88671875" style="2811"/>
    <col min="12205" max="12205" width="2.88671875" style="2811" customWidth="1"/>
    <col min="12206" max="12206" width="4.109375" style="2811" customWidth="1"/>
    <col min="12207" max="12207" width="40.44140625" style="2811" customWidth="1"/>
    <col min="12208" max="12208" width="15.88671875" style="2811" customWidth="1"/>
    <col min="12209" max="12209" width="14" style="2811" customWidth="1"/>
    <col min="12210" max="12210" width="11.44140625" style="2811" customWidth="1"/>
    <col min="12211" max="12211" width="7.109375" style="2811" customWidth="1"/>
    <col min="12212" max="12212" width="9.88671875" style="2811" customWidth="1"/>
    <col min="12213" max="12214" width="18.88671875" style="2811" customWidth="1"/>
    <col min="12215" max="12215" width="27.44140625" style="2811" customWidth="1"/>
    <col min="12216" max="12216" width="0" style="2811" hidden="1" customWidth="1"/>
    <col min="12217" max="12217" width="2.88671875" style="2811" customWidth="1"/>
    <col min="12218" max="12460" width="9.88671875" style="2811"/>
    <col min="12461" max="12461" width="2.88671875" style="2811" customWidth="1"/>
    <col min="12462" max="12462" width="4.109375" style="2811" customWidth="1"/>
    <col min="12463" max="12463" width="40.44140625" style="2811" customWidth="1"/>
    <col min="12464" max="12464" width="15.88671875" style="2811" customWidth="1"/>
    <col min="12465" max="12465" width="14" style="2811" customWidth="1"/>
    <col min="12466" max="12466" width="11.44140625" style="2811" customWidth="1"/>
    <col min="12467" max="12467" width="7.109375" style="2811" customWidth="1"/>
    <col min="12468" max="12468" width="9.88671875" style="2811" customWidth="1"/>
    <col min="12469" max="12470" width="18.88671875" style="2811" customWidth="1"/>
    <col min="12471" max="12471" width="27.44140625" style="2811" customWidth="1"/>
    <col min="12472" max="12472" width="0" style="2811" hidden="1" customWidth="1"/>
    <col min="12473" max="12473" width="2.88671875" style="2811" customWidth="1"/>
    <col min="12474" max="12716" width="9.88671875" style="2811"/>
    <col min="12717" max="12717" width="2.88671875" style="2811" customWidth="1"/>
    <col min="12718" max="12718" width="4.109375" style="2811" customWidth="1"/>
    <col min="12719" max="12719" width="40.44140625" style="2811" customWidth="1"/>
    <col min="12720" max="12720" width="15.88671875" style="2811" customWidth="1"/>
    <col min="12721" max="12721" width="14" style="2811" customWidth="1"/>
    <col min="12722" max="12722" width="11.44140625" style="2811" customWidth="1"/>
    <col min="12723" max="12723" width="7.109375" style="2811" customWidth="1"/>
    <col min="12724" max="12724" width="9.88671875" style="2811" customWidth="1"/>
    <col min="12725" max="12726" width="18.88671875" style="2811" customWidth="1"/>
    <col min="12727" max="12727" width="27.44140625" style="2811" customWidth="1"/>
    <col min="12728" max="12728" width="0" style="2811" hidden="1" customWidth="1"/>
    <col min="12729" max="12729" width="2.88671875" style="2811" customWidth="1"/>
    <col min="12730" max="12972" width="9.88671875" style="2811"/>
    <col min="12973" max="12973" width="2.88671875" style="2811" customWidth="1"/>
    <col min="12974" max="12974" width="4.109375" style="2811" customWidth="1"/>
    <col min="12975" max="12975" width="40.44140625" style="2811" customWidth="1"/>
    <col min="12976" max="12976" width="15.88671875" style="2811" customWidth="1"/>
    <col min="12977" max="12977" width="14" style="2811" customWidth="1"/>
    <col min="12978" max="12978" width="11.44140625" style="2811" customWidth="1"/>
    <col min="12979" max="12979" width="7.109375" style="2811" customWidth="1"/>
    <col min="12980" max="12980" width="9.88671875" style="2811" customWidth="1"/>
    <col min="12981" max="12982" width="18.88671875" style="2811" customWidth="1"/>
    <col min="12983" max="12983" width="27.44140625" style="2811" customWidth="1"/>
    <col min="12984" max="12984" width="0" style="2811" hidden="1" customWidth="1"/>
    <col min="12985" max="12985" width="2.88671875" style="2811" customWidth="1"/>
    <col min="12986" max="13228" width="9.88671875" style="2811"/>
    <col min="13229" max="13229" width="2.88671875" style="2811" customWidth="1"/>
    <col min="13230" max="13230" width="4.109375" style="2811" customWidth="1"/>
    <col min="13231" max="13231" width="40.44140625" style="2811" customWidth="1"/>
    <col min="13232" max="13232" width="15.88671875" style="2811" customWidth="1"/>
    <col min="13233" max="13233" width="14" style="2811" customWidth="1"/>
    <col min="13234" max="13234" width="11.44140625" style="2811" customWidth="1"/>
    <col min="13235" max="13235" width="7.109375" style="2811" customWidth="1"/>
    <col min="13236" max="13236" width="9.88671875" style="2811" customWidth="1"/>
    <col min="13237" max="13238" width="18.88671875" style="2811" customWidth="1"/>
    <col min="13239" max="13239" width="27.44140625" style="2811" customWidth="1"/>
    <col min="13240" max="13240" width="0" style="2811" hidden="1" customWidth="1"/>
    <col min="13241" max="13241" width="2.88671875" style="2811" customWidth="1"/>
    <col min="13242" max="13484" width="9.88671875" style="2811"/>
    <col min="13485" max="13485" width="2.88671875" style="2811" customWidth="1"/>
    <col min="13486" max="13486" width="4.109375" style="2811" customWidth="1"/>
    <col min="13487" max="13487" width="40.44140625" style="2811" customWidth="1"/>
    <col min="13488" max="13488" width="15.88671875" style="2811" customWidth="1"/>
    <col min="13489" max="13489" width="14" style="2811" customWidth="1"/>
    <col min="13490" max="13490" width="11.44140625" style="2811" customWidth="1"/>
    <col min="13491" max="13491" width="7.109375" style="2811" customWidth="1"/>
    <col min="13492" max="13492" width="9.88671875" style="2811" customWidth="1"/>
    <col min="13493" max="13494" width="18.88671875" style="2811" customWidth="1"/>
    <col min="13495" max="13495" width="27.44140625" style="2811" customWidth="1"/>
    <col min="13496" max="13496" width="0" style="2811" hidden="1" customWidth="1"/>
    <col min="13497" max="13497" width="2.88671875" style="2811" customWidth="1"/>
    <col min="13498" max="13740" width="9.88671875" style="2811"/>
    <col min="13741" max="13741" width="2.88671875" style="2811" customWidth="1"/>
    <col min="13742" max="13742" width="4.109375" style="2811" customWidth="1"/>
    <col min="13743" max="13743" width="40.44140625" style="2811" customWidth="1"/>
    <col min="13744" max="13744" width="15.88671875" style="2811" customWidth="1"/>
    <col min="13745" max="13745" width="14" style="2811" customWidth="1"/>
    <col min="13746" max="13746" width="11.44140625" style="2811" customWidth="1"/>
    <col min="13747" max="13747" width="7.109375" style="2811" customWidth="1"/>
    <col min="13748" max="13748" width="9.88671875" style="2811" customWidth="1"/>
    <col min="13749" max="13750" width="18.88671875" style="2811" customWidth="1"/>
    <col min="13751" max="13751" width="27.44140625" style="2811" customWidth="1"/>
    <col min="13752" max="13752" width="0" style="2811" hidden="1" customWidth="1"/>
    <col min="13753" max="13753" width="2.88671875" style="2811" customWidth="1"/>
    <col min="13754" max="13996" width="9.88671875" style="2811"/>
    <col min="13997" max="13997" width="2.88671875" style="2811" customWidth="1"/>
    <col min="13998" max="13998" width="4.109375" style="2811" customWidth="1"/>
    <col min="13999" max="13999" width="40.44140625" style="2811" customWidth="1"/>
    <col min="14000" max="14000" width="15.88671875" style="2811" customWidth="1"/>
    <col min="14001" max="14001" width="14" style="2811" customWidth="1"/>
    <col min="14002" max="14002" width="11.44140625" style="2811" customWidth="1"/>
    <col min="14003" max="14003" width="7.109375" style="2811" customWidth="1"/>
    <col min="14004" max="14004" width="9.88671875" style="2811" customWidth="1"/>
    <col min="14005" max="14006" width="18.88671875" style="2811" customWidth="1"/>
    <col min="14007" max="14007" width="27.44140625" style="2811" customWidth="1"/>
    <col min="14008" max="14008" width="0" style="2811" hidden="1" customWidth="1"/>
    <col min="14009" max="14009" width="2.88671875" style="2811" customWidth="1"/>
    <col min="14010" max="14252" width="9.88671875" style="2811"/>
    <col min="14253" max="14253" width="2.88671875" style="2811" customWidth="1"/>
    <col min="14254" max="14254" width="4.109375" style="2811" customWidth="1"/>
    <col min="14255" max="14255" width="40.44140625" style="2811" customWidth="1"/>
    <col min="14256" max="14256" width="15.88671875" style="2811" customWidth="1"/>
    <col min="14257" max="14257" width="14" style="2811" customWidth="1"/>
    <col min="14258" max="14258" width="11.44140625" style="2811" customWidth="1"/>
    <col min="14259" max="14259" width="7.109375" style="2811" customWidth="1"/>
    <col min="14260" max="14260" width="9.88671875" style="2811" customWidth="1"/>
    <col min="14261" max="14262" width="18.88671875" style="2811" customWidth="1"/>
    <col min="14263" max="14263" width="27.44140625" style="2811" customWidth="1"/>
    <col min="14264" max="14264" width="0" style="2811" hidden="1" customWidth="1"/>
    <col min="14265" max="14265" width="2.88671875" style="2811" customWidth="1"/>
    <col min="14266" max="14508" width="9.88671875" style="2811"/>
    <col min="14509" max="14509" width="2.88671875" style="2811" customWidth="1"/>
    <col min="14510" max="14510" width="4.109375" style="2811" customWidth="1"/>
    <col min="14511" max="14511" width="40.44140625" style="2811" customWidth="1"/>
    <col min="14512" max="14512" width="15.88671875" style="2811" customWidth="1"/>
    <col min="14513" max="14513" width="14" style="2811" customWidth="1"/>
    <col min="14514" max="14514" width="11.44140625" style="2811" customWidth="1"/>
    <col min="14515" max="14515" width="7.109375" style="2811" customWidth="1"/>
    <col min="14516" max="14516" width="9.88671875" style="2811" customWidth="1"/>
    <col min="14517" max="14518" width="18.88671875" style="2811" customWidth="1"/>
    <col min="14519" max="14519" width="27.44140625" style="2811" customWidth="1"/>
    <col min="14520" max="14520" width="0" style="2811" hidden="1" customWidth="1"/>
    <col min="14521" max="14521" width="2.88671875" style="2811" customWidth="1"/>
    <col min="14522" max="14764" width="9.88671875" style="2811"/>
    <col min="14765" max="14765" width="2.88671875" style="2811" customWidth="1"/>
    <col min="14766" max="14766" width="4.109375" style="2811" customWidth="1"/>
    <col min="14767" max="14767" width="40.44140625" style="2811" customWidth="1"/>
    <col min="14768" max="14768" width="15.88671875" style="2811" customWidth="1"/>
    <col min="14769" max="14769" width="14" style="2811" customWidth="1"/>
    <col min="14770" max="14770" width="11.44140625" style="2811" customWidth="1"/>
    <col min="14771" max="14771" width="7.109375" style="2811" customWidth="1"/>
    <col min="14772" max="14772" width="9.88671875" style="2811" customWidth="1"/>
    <col min="14773" max="14774" width="18.88671875" style="2811" customWidth="1"/>
    <col min="14775" max="14775" width="27.44140625" style="2811" customWidth="1"/>
    <col min="14776" max="14776" width="0" style="2811" hidden="1" customWidth="1"/>
    <col min="14777" max="14777" width="2.88671875" style="2811" customWidth="1"/>
    <col min="14778" max="15020" width="9.88671875" style="2811"/>
    <col min="15021" max="15021" width="2.88671875" style="2811" customWidth="1"/>
    <col min="15022" max="15022" width="4.109375" style="2811" customWidth="1"/>
    <col min="15023" max="15023" width="40.44140625" style="2811" customWidth="1"/>
    <col min="15024" max="15024" width="15.88671875" style="2811" customWidth="1"/>
    <col min="15025" max="15025" width="14" style="2811" customWidth="1"/>
    <col min="15026" max="15026" width="11.44140625" style="2811" customWidth="1"/>
    <col min="15027" max="15027" width="7.109375" style="2811" customWidth="1"/>
    <col min="15028" max="15028" width="9.88671875" style="2811" customWidth="1"/>
    <col min="15029" max="15030" width="18.88671875" style="2811" customWidth="1"/>
    <col min="15031" max="15031" width="27.44140625" style="2811" customWidth="1"/>
    <col min="15032" max="15032" width="0" style="2811" hidden="1" customWidth="1"/>
    <col min="15033" max="15033" width="2.88671875" style="2811" customWidth="1"/>
    <col min="15034" max="15276" width="9.88671875" style="2811"/>
    <col min="15277" max="15277" width="2.88671875" style="2811" customWidth="1"/>
    <col min="15278" max="15278" width="4.109375" style="2811" customWidth="1"/>
    <col min="15279" max="15279" width="40.44140625" style="2811" customWidth="1"/>
    <col min="15280" max="15280" width="15.88671875" style="2811" customWidth="1"/>
    <col min="15281" max="15281" width="14" style="2811" customWidth="1"/>
    <col min="15282" max="15282" width="11.44140625" style="2811" customWidth="1"/>
    <col min="15283" max="15283" width="7.109375" style="2811" customWidth="1"/>
    <col min="15284" max="15284" width="9.88671875" style="2811" customWidth="1"/>
    <col min="15285" max="15286" width="18.88671875" style="2811" customWidth="1"/>
    <col min="15287" max="15287" width="27.44140625" style="2811" customWidth="1"/>
    <col min="15288" max="15288" width="0" style="2811" hidden="1" customWidth="1"/>
    <col min="15289" max="15289" width="2.88671875" style="2811" customWidth="1"/>
    <col min="15290" max="15532" width="9.88671875" style="2811"/>
    <col min="15533" max="15533" width="2.88671875" style="2811" customWidth="1"/>
    <col min="15534" max="15534" width="4.109375" style="2811" customWidth="1"/>
    <col min="15535" max="15535" width="40.44140625" style="2811" customWidth="1"/>
    <col min="15536" max="15536" width="15.88671875" style="2811" customWidth="1"/>
    <col min="15537" max="15537" width="14" style="2811" customWidth="1"/>
    <col min="15538" max="15538" width="11.44140625" style="2811" customWidth="1"/>
    <col min="15539" max="15539" width="7.109375" style="2811" customWidth="1"/>
    <col min="15540" max="15540" width="9.88671875" style="2811" customWidth="1"/>
    <col min="15541" max="15542" width="18.88671875" style="2811" customWidth="1"/>
    <col min="15543" max="15543" width="27.44140625" style="2811" customWidth="1"/>
    <col min="15544" max="15544" width="0" style="2811" hidden="1" customWidth="1"/>
    <col min="15545" max="15545" width="2.88671875" style="2811" customWidth="1"/>
    <col min="15546" max="15788" width="9.88671875" style="2811"/>
    <col min="15789" max="15789" width="2.88671875" style="2811" customWidth="1"/>
    <col min="15790" max="15790" width="4.109375" style="2811" customWidth="1"/>
    <col min="15791" max="15791" width="40.44140625" style="2811" customWidth="1"/>
    <col min="15792" max="15792" width="15.88671875" style="2811" customWidth="1"/>
    <col min="15793" max="15793" width="14" style="2811" customWidth="1"/>
    <col min="15794" max="15794" width="11.44140625" style="2811" customWidth="1"/>
    <col min="15795" max="15795" width="7.109375" style="2811" customWidth="1"/>
    <col min="15796" max="15796" width="9.88671875" style="2811" customWidth="1"/>
    <col min="15797" max="15798" width="18.88671875" style="2811" customWidth="1"/>
    <col min="15799" max="15799" width="27.44140625" style="2811" customWidth="1"/>
    <col min="15800" max="15800" width="0" style="2811" hidden="1" customWidth="1"/>
    <col min="15801" max="15801" width="2.88671875" style="2811" customWidth="1"/>
    <col min="15802" max="16044" width="9.88671875" style="2811"/>
    <col min="16045" max="16045" width="2.88671875" style="2811" customWidth="1"/>
    <col min="16046" max="16046" width="4.109375" style="2811" customWidth="1"/>
    <col min="16047" max="16047" width="40.44140625" style="2811" customWidth="1"/>
    <col min="16048" max="16048" width="15.88671875" style="2811" customWidth="1"/>
    <col min="16049" max="16049" width="14" style="2811" customWidth="1"/>
    <col min="16050" max="16050" width="11.44140625" style="2811" customWidth="1"/>
    <col min="16051" max="16051" width="7.109375" style="2811" customWidth="1"/>
    <col min="16052" max="16052" width="9.88671875" style="2811" customWidth="1"/>
    <col min="16053" max="16054" width="18.88671875" style="2811" customWidth="1"/>
    <col min="16055" max="16055" width="27.44140625" style="2811" customWidth="1"/>
    <col min="16056" max="16056" width="0" style="2811" hidden="1" customWidth="1"/>
    <col min="16057" max="16057" width="2.88671875" style="2811" customWidth="1"/>
    <col min="16058" max="16384" width="9.88671875" style="2811"/>
  </cols>
  <sheetData>
    <row r="1" spans="1:8" s="2816" customFormat="1">
      <c r="A1" s="14296" t="s">
        <v>1801</v>
      </c>
      <c r="B1" s="14296"/>
      <c r="C1" s="14296"/>
      <c r="D1" s="14296"/>
      <c r="E1" s="14296"/>
      <c r="F1" s="14296"/>
      <c r="G1" s="14296"/>
      <c r="H1" s="14296"/>
    </row>
    <row r="2" spans="1:8" s="2816" customFormat="1" ht="8.25" customHeight="1">
      <c r="A2" s="2688"/>
      <c r="B2" s="2688"/>
      <c r="C2" s="2688"/>
      <c r="D2" s="2688"/>
      <c r="E2" s="1976"/>
      <c r="F2" s="2688"/>
      <c r="G2" s="2688"/>
      <c r="H2" s="2688"/>
    </row>
    <row r="3" spans="1:8" s="2816" customFormat="1">
      <c r="A3" s="1976" t="s">
        <v>5195</v>
      </c>
      <c r="B3" s="1976"/>
      <c r="C3" s="1976"/>
      <c r="D3" s="1977"/>
      <c r="E3" s="1976"/>
      <c r="F3" s="1977"/>
      <c r="G3" s="1977"/>
      <c r="H3" s="1977"/>
    </row>
    <row r="4" spans="1:8" s="2816" customFormat="1" ht="24.9" customHeight="1">
      <c r="A4" s="1976" t="s">
        <v>5196</v>
      </c>
      <c r="B4" s="1976"/>
      <c r="C4" s="1976"/>
      <c r="D4" s="1978"/>
      <c r="E4" s="1976"/>
      <c r="F4" s="1977"/>
      <c r="G4" s="1977"/>
      <c r="H4" s="1977"/>
    </row>
    <row r="5" spans="1:8" ht="8.1" customHeight="1">
      <c r="A5" s="2814"/>
      <c r="B5" s="2814"/>
      <c r="C5" s="2814"/>
      <c r="D5" s="2814"/>
      <c r="E5" s="2813"/>
      <c r="F5" s="2814"/>
      <c r="G5" s="2814"/>
      <c r="H5" s="2814"/>
    </row>
    <row r="6" spans="1:8" s="2819" customFormat="1" ht="24.9" customHeight="1">
      <c r="A6" s="2817" t="s">
        <v>1729</v>
      </c>
      <c r="B6" s="2817"/>
      <c r="C6" s="2817"/>
      <c r="D6" s="2817"/>
      <c r="E6" s="2818"/>
      <c r="F6" s="2817"/>
      <c r="G6" s="2817"/>
      <c r="H6" s="2817"/>
    </row>
    <row r="7" spans="1:8" ht="98.25" customHeight="1">
      <c r="A7" s="14299" t="s">
        <v>9246</v>
      </c>
      <c r="B7" s="14299"/>
      <c r="C7" s="14299"/>
      <c r="D7" s="14299"/>
      <c r="E7" s="14299"/>
      <c r="F7" s="14299"/>
      <c r="G7" s="14299"/>
      <c r="H7" s="14299"/>
    </row>
    <row r="8" spans="1:8" ht="9.75" customHeight="1">
      <c r="A8" s="2814"/>
      <c r="B8" s="2814"/>
      <c r="C8" s="2814"/>
      <c r="D8" s="2814"/>
      <c r="E8" s="2813"/>
      <c r="F8" s="2814"/>
      <c r="G8" s="2814"/>
      <c r="H8" s="2814"/>
    </row>
    <row r="9" spans="1:8" ht="27.75" customHeight="1">
      <c r="A9" s="14297" t="s">
        <v>9247</v>
      </c>
      <c r="B9" s="14297"/>
      <c r="C9" s="14297"/>
      <c r="D9" s="14297"/>
      <c r="E9" s="14297"/>
      <c r="F9" s="14297"/>
      <c r="G9" s="14297"/>
      <c r="H9" s="14297"/>
    </row>
    <row r="10" spans="1:8" ht="44.25" customHeight="1">
      <c r="A10" s="2821"/>
      <c r="B10" s="14297" t="s">
        <v>1802</v>
      </c>
      <c r="C10" s="14297"/>
      <c r="D10" s="14297"/>
      <c r="E10" s="14297"/>
      <c r="F10" s="14297"/>
      <c r="G10" s="14297"/>
      <c r="H10" s="14297"/>
    </row>
    <row r="11" spans="1:8" ht="41.25" customHeight="1">
      <c r="A11" s="2814"/>
      <c r="B11" s="14298" t="s">
        <v>5197</v>
      </c>
      <c r="C11" s="14298"/>
      <c r="D11" s="14298"/>
      <c r="E11" s="14298"/>
      <c r="F11" s="14298"/>
      <c r="G11" s="14298"/>
      <c r="H11" s="14298"/>
    </row>
    <row r="12" spans="1:8" ht="64.5" customHeight="1">
      <c r="A12" s="2814"/>
      <c r="B12" s="14300" t="s">
        <v>5198</v>
      </c>
      <c r="C12" s="14301"/>
      <c r="D12" s="14301"/>
      <c r="E12" s="14301"/>
      <c r="F12" s="14301"/>
      <c r="G12" s="14301"/>
      <c r="H12" s="14301"/>
    </row>
    <row r="13" spans="1:8" ht="43.5" customHeight="1">
      <c r="A13" s="2814"/>
      <c r="B13" s="14300" t="s">
        <v>5199</v>
      </c>
      <c r="C13" s="14301"/>
      <c r="D13" s="14301"/>
      <c r="E13" s="14301"/>
      <c r="F13" s="14301"/>
      <c r="G13" s="14301"/>
      <c r="H13" s="14301"/>
    </row>
    <row r="14" spans="1:8" ht="47.25" customHeight="1">
      <c r="A14" s="2814"/>
      <c r="B14" s="14299" t="s">
        <v>5200</v>
      </c>
      <c r="C14" s="14299"/>
      <c r="D14" s="14299"/>
      <c r="E14" s="14299"/>
      <c r="F14" s="14299"/>
      <c r="G14" s="14299"/>
      <c r="H14" s="14299"/>
    </row>
    <row r="15" spans="1:8" ht="24.9" customHeight="1">
      <c r="A15" s="2814"/>
      <c r="B15" s="14300" t="s">
        <v>5201</v>
      </c>
      <c r="C15" s="14301"/>
      <c r="D15" s="14301"/>
      <c r="E15" s="14301"/>
      <c r="F15" s="14301"/>
      <c r="G15" s="14301"/>
      <c r="H15" s="14301"/>
    </row>
    <row r="16" spans="1:8" ht="46.5" customHeight="1">
      <c r="A16" s="2814"/>
      <c r="B16" s="14300" t="s">
        <v>5202</v>
      </c>
      <c r="C16" s="14301"/>
      <c r="D16" s="14301"/>
      <c r="E16" s="14301"/>
      <c r="F16" s="14301"/>
      <c r="G16" s="14301"/>
      <c r="H16" s="14301"/>
    </row>
    <row r="17" spans="1:8" ht="44.25" customHeight="1">
      <c r="A17" s="2814"/>
      <c r="B17" s="14300" t="s">
        <v>5203</v>
      </c>
      <c r="C17" s="14300"/>
      <c r="D17" s="14300"/>
      <c r="E17" s="14300"/>
      <c r="F17" s="14300"/>
      <c r="G17" s="14300"/>
      <c r="H17" s="14300"/>
    </row>
    <row r="18" spans="1:8" ht="41.25" customHeight="1">
      <c r="A18" s="2814"/>
      <c r="B18" s="14300" t="s">
        <v>5204</v>
      </c>
      <c r="C18" s="14300"/>
      <c r="D18" s="14300"/>
      <c r="E18" s="14300"/>
      <c r="F18" s="14300"/>
      <c r="G18" s="14300"/>
      <c r="H18" s="14300"/>
    </row>
    <row r="19" spans="1:8" ht="45.75" customHeight="1">
      <c r="A19" s="2814"/>
      <c r="B19" s="14300" t="s">
        <v>5205</v>
      </c>
      <c r="C19" s="14301"/>
      <c r="D19" s="14301"/>
      <c r="E19" s="14301"/>
      <c r="F19" s="14301"/>
      <c r="G19" s="14301"/>
      <c r="H19" s="14301"/>
    </row>
    <row r="20" spans="1:8" ht="46.5" customHeight="1">
      <c r="A20" s="2814"/>
      <c r="B20" s="14300" t="s">
        <v>3833</v>
      </c>
      <c r="C20" s="14301"/>
      <c r="D20" s="14301"/>
      <c r="E20" s="14301"/>
      <c r="F20" s="14301"/>
      <c r="G20" s="14301"/>
      <c r="H20" s="14301"/>
    </row>
    <row r="21" spans="1:8" s="2814" customFormat="1" ht="13.5" customHeight="1">
      <c r="A21" s="2814" t="s">
        <v>1803</v>
      </c>
      <c r="B21" s="3041" t="s">
        <v>9</v>
      </c>
      <c r="E21" s="2813"/>
    </row>
    <row r="22" spans="1:8" s="2814" customFormat="1" ht="13.5" customHeight="1">
      <c r="B22" s="3041"/>
      <c r="E22" s="2813"/>
    </row>
    <row r="23" spans="1:8" s="2814" customFormat="1" ht="13.5" customHeight="1">
      <c r="B23" s="3041"/>
      <c r="E23" s="2813"/>
    </row>
    <row r="24" spans="1:8" s="2814" customFormat="1" ht="13.5" customHeight="1">
      <c r="B24" s="3041"/>
      <c r="E24" s="2813"/>
    </row>
    <row r="25" spans="1:8" s="2814" customFormat="1" ht="13.5" customHeight="1">
      <c r="B25" s="3041"/>
      <c r="E25" s="2813"/>
    </row>
    <row r="26" spans="1:8" s="2814" customFormat="1" ht="13.5" customHeight="1">
      <c r="B26" s="3041"/>
      <c r="E26" s="2813"/>
    </row>
    <row r="27" spans="1:8" s="2814" customFormat="1" ht="13.5" customHeight="1">
      <c r="B27" s="3041"/>
      <c r="E27" s="2813"/>
    </row>
    <row r="28" spans="1:8" ht="13.5" customHeight="1">
      <c r="A28" s="2814"/>
      <c r="B28" s="3041"/>
      <c r="C28" s="2814"/>
      <c r="D28" s="2814"/>
      <c r="E28" s="2813"/>
      <c r="F28" s="2814"/>
      <c r="G28" s="2814"/>
      <c r="H28" s="2814"/>
    </row>
    <row r="29" spans="1:8" ht="13.5" customHeight="1">
      <c r="A29" s="2814"/>
      <c r="B29" s="3041"/>
      <c r="C29" s="2814"/>
      <c r="D29" s="2814"/>
      <c r="E29" s="2813"/>
      <c r="F29" s="2814"/>
      <c r="G29" s="2814"/>
      <c r="H29" s="2814"/>
    </row>
    <row r="30" spans="1:8" ht="13.5" customHeight="1">
      <c r="A30" s="2814"/>
      <c r="B30" s="3041"/>
      <c r="C30" s="2814"/>
      <c r="D30" s="2814"/>
      <c r="E30" s="2813"/>
      <c r="F30" s="2814"/>
      <c r="G30" s="2814"/>
      <c r="H30" s="2814"/>
    </row>
    <row r="31" spans="1:8" ht="13.5" customHeight="1">
      <c r="A31" s="2814"/>
      <c r="B31" s="3041"/>
      <c r="C31" s="2814"/>
      <c r="D31" s="2814"/>
      <c r="E31" s="2813"/>
      <c r="F31" s="2814"/>
      <c r="G31" s="2814"/>
      <c r="H31" s="2814"/>
    </row>
    <row r="32" spans="1:8" ht="9" customHeight="1">
      <c r="A32" s="2814"/>
      <c r="B32" s="3041"/>
      <c r="C32" s="2814"/>
      <c r="D32" s="2814"/>
      <c r="E32" s="2813"/>
      <c r="F32" s="2814"/>
      <c r="G32" s="2814"/>
      <c r="H32" s="2814"/>
    </row>
    <row r="33" spans="1:8" ht="17.25" customHeight="1">
      <c r="A33" s="3042" t="s">
        <v>9249</v>
      </c>
      <c r="B33" s="3043"/>
      <c r="C33" s="3043"/>
      <c r="D33" s="3043"/>
      <c r="E33" s="3044"/>
      <c r="F33" s="3043"/>
      <c r="G33" s="3043"/>
      <c r="H33" s="3043"/>
    </row>
    <row r="34" spans="1:8" ht="20.100000000000001" customHeight="1">
      <c r="A34" s="14263" t="s">
        <v>94</v>
      </c>
      <c r="B34" s="14264"/>
      <c r="C34" s="2824" t="s">
        <v>1759</v>
      </c>
      <c r="D34" s="2825"/>
      <c r="E34" s="2826" t="s">
        <v>1787</v>
      </c>
      <c r="F34" s="2825"/>
      <c r="G34" s="14263" t="s">
        <v>1739</v>
      </c>
      <c r="H34" s="14264"/>
    </row>
    <row r="35" spans="1:8" ht="20.100000000000001" customHeight="1">
      <c r="A35" s="14255" t="s">
        <v>1977</v>
      </c>
      <c r="B35" s="14257"/>
      <c r="C35" s="2827" t="s">
        <v>1762</v>
      </c>
      <c r="D35" s="2827" t="s">
        <v>1736</v>
      </c>
      <c r="E35" s="2828" t="s">
        <v>1804</v>
      </c>
      <c r="F35" s="2827" t="s">
        <v>1764</v>
      </c>
      <c r="G35" s="2829" t="s">
        <v>1789</v>
      </c>
      <c r="H35" s="2829" t="s">
        <v>1790</v>
      </c>
    </row>
    <row r="36" spans="1:8" ht="20.100000000000001" customHeight="1">
      <c r="A36" s="14258" t="s">
        <v>472</v>
      </c>
      <c r="B36" s="14259"/>
      <c r="C36" s="2830" t="s">
        <v>473</v>
      </c>
      <c r="D36" s="2830" t="s">
        <v>474</v>
      </c>
      <c r="E36" s="2831" t="s">
        <v>475</v>
      </c>
      <c r="F36" s="2830" t="s">
        <v>476</v>
      </c>
      <c r="G36" s="14258" t="s">
        <v>477</v>
      </c>
      <c r="H36" s="14259"/>
    </row>
    <row r="37" spans="1:8" ht="19.5" customHeight="1">
      <c r="A37" s="2832"/>
      <c r="B37" s="2833"/>
      <c r="C37" s="14286" t="s">
        <v>1805</v>
      </c>
      <c r="D37" s="2834"/>
      <c r="E37" s="2835"/>
      <c r="F37" s="2836"/>
      <c r="G37" s="2832"/>
      <c r="H37" s="2833"/>
    </row>
    <row r="38" spans="1:8" ht="15.75" customHeight="1">
      <c r="A38" s="2832"/>
      <c r="B38" s="2833"/>
      <c r="C38" s="14287"/>
      <c r="D38" s="2834"/>
      <c r="E38" s="2835"/>
      <c r="F38" s="2836"/>
      <c r="G38" s="2832"/>
      <c r="H38" s="2833"/>
    </row>
    <row r="39" spans="1:8" ht="27.75" customHeight="1">
      <c r="A39" s="14288"/>
      <c r="B39" s="14289"/>
      <c r="C39" s="2837" t="s">
        <v>1806</v>
      </c>
      <c r="D39" s="2838"/>
      <c r="E39" s="2839"/>
      <c r="F39" s="2840"/>
      <c r="G39" s="2841"/>
      <c r="H39" s="2842"/>
    </row>
    <row r="40" spans="1:8" ht="3" customHeight="1">
      <c r="A40" s="14290"/>
      <c r="B40" s="14291"/>
      <c r="C40" s="2843"/>
      <c r="D40" s="2844"/>
      <c r="E40" s="2845"/>
      <c r="F40" s="2846"/>
      <c r="G40" s="2843"/>
      <c r="H40" s="2847"/>
    </row>
    <row r="41" spans="1:8" ht="30.75" customHeight="1">
      <c r="A41" s="14284"/>
      <c r="B41" s="14285"/>
      <c r="C41" s="2848" t="s">
        <v>1807</v>
      </c>
      <c r="D41" s="2849"/>
      <c r="E41" s="2850"/>
      <c r="F41" s="2851"/>
      <c r="G41" s="2852"/>
      <c r="H41" s="2853"/>
    </row>
    <row r="42" spans="1:8" ht="33.75" customHeight="1">
      <c r="A42" s="14255"/>
      <c r="B42" s="14257"/>
      <c r="C42" s="2854" t="s">
        <v>5206</v>
      </c>
      <c r="D42" s="2855"/>
      <c r="E42" s="2854"/>
      <c r="F42" s="2856"/>
      <c r="G42" s="2827"/>
      <c r="H42" s="2857"/>
    </row>
    <row r="43" spans="1:8" ht="112.5" customHeight="1">
      <c r="A43" s="14255"/>
      <c r="B43" s="14257"/>
      <c r="C43" s="2858" t="s">
        <v>5207</v>
      </c>
      <c r="D43" s="2859">
        <v>15000</v>
      </c>
      <c r="E43" s="2860" t="s">
        <v>5208</v>
      </c>
      <c r="F43" s="2861" t="s">
        <v>5209</v>
      </c>
      <c r="G43" s="2862" t="s">
        <v>1766</v>
      </c>
      <c r="H43" s="2863" t="s">
        <v>1767</v>
      </c>
    </row>
    <row r="44" spans="1:8" ht="45.75" customHeight="1">
      <c r="A44" s="2864"/>
      <c r="B44" s="2857"/>
      <c r="C44" s="2865" t="s">
        <v>5210</v>
      </c>
      <c r="D44" s="2866"/>
      <c r="E44" s="2860"/>
      <c r="F44" s="2867"/>
      <c r="G44" s="2862" t="s">
        <v>1766</v>
      </c>
      <c r="H44" s="2863" t="s">
        <v>1767</v>
      </c>
    </row>
    <row r="45" spans="1:8" ht="153" customHeight="1">
      <c r="A45" s="2864"/>
      <c r="B45" s="2857"/>
      <c r="C45" s="2858" t="s">
        <v>5211</v>
      </c>
      <c r="D45" s="2859">
        <v>150000</v>
      </c>
      <c r="E45" s="2860" t="s">
        <v>5212</v>
      </c>
      <c r="F45" s="2868" t="s">
        <v>5213</v>
      </c>
      <c r="G45" s="2862" t="s">
        <v>1766</v>
      </c>
      <c r="H45" s="2863" t="s">
        <v>1767</v>
      </c>
    </row>
    <row r="46" spans="1:8" ht="102" customHeight="1">
      <c r="A46" s="3047"/>
      <c r="B46" s="3048"/>
      <c r="C46" s="3057" t="s">
        <v>5214</v>
      </c>
      <c r="D46" s="3058">
        <v>120000</v>
      </c>
      <c r="E46" s="3059" t="s">
        <v>5215</v>
      </c>
      <c r="F46" s="3059" t="s">
        <v>5216</v>
      </c>
      <c r="G46" s="3060" t="s">
        <v>2818</v>
      </c>
      <c r="H46" s="3061" t="s">
        <v>2819</v>
      </c>
    </row>
    <row r="47" spans="1:8" s="2814" customFormat="1" ht="51" customHeight="1">
      <c r="A47" s="3062"/>
      <c r="B47" s="3063"/>
      <c r="C47" s="3057" t="s">
        <v>5218</v>
      </c>
      <c r="D47" s="3058">
        <v>75000</v>
      </c>
      <c r="E47" s="3064" t="s">
        <v>5219</v>
      </c>
      <c r="F47" s="3065" t="s">
        <v>5220</v>
      </c>
      <c r="G47" s="3060" t="s">
        <v>2818</v>
      </c>
      <c r="H47" s="3061" t="s">
        <v>2819</v>
      </c>
    </row>
    <row r="48" spans="1:8" ht="20.25" customHeight="1">
      <c r="A48" s="3049"/>
      <c r="B48" s="3050"/>
      <c r="C48" s="3051" t="s">
        <v>182</v>
      </c>
      <c r="D48" s="3052">
        <f>SUM(D43:D47)</f>
        <v>360000</v>
      </c>
      <c r="E48" s="3053"/>
      <c r="F48" s="3054"/>
      <c r="G48" s="3055"/>
      <c r="H48" s="3056"/>
    </row>
    <row r="49" spans="1:8" ht="24.9" customHeight="1">
      <c r="A49" s="2872"/>
      <c r="B49" s="2872"/>
      <c r="C49" s="2872"/>
      <c r="D49" s="2872"/>
      <c r="E49" s="2873"/>
      <c r="F49" s="2872"/>
      <c r="G49" s="2872"/>
      <c r="H49" s="2872"/>
    </row>
    <row r="50" spans="1:8" s="2814" customFormat="1" ht="24.9" customHeight="1">
      <c r="E50" s="2813"/>
    </row>
    <row r="51" spans="1:8" s="2814" customFormat="1" ht="24.9" customHeight="1">
      <c r="E51" s="2813"/>
    </row>
    <row r="52" spans="1:8" s="2814" customFormat="1" ht="24.9" customHeight="1">
      <c r="E52" s="2813"/>
    </row>
    <row r="53" spans="1:8" s="2814" customFormat="1" ht="24.9" customHeight="1">
      <c r="E53" s="2813"/>
    </row>
    <row r="54" spans="1:8" s="2814" customFormat="1" ht="24.9" customHeight="1">
      <c r="E54" s="2813"/>
    </row>
    <row r="55" spans="1:8" s="2814" customFormat="1" ht="16.5" customHeight="1">
      <c r="E55" s="2813"/>
    </row>
    <row r="56" spans="1:8" s="2814" customFormat="1" ht="17.25" customHeight="1">
      <c r="A56" s="3043"/>
      <c r="B56" s="3043"/>
      <c r="C56" s="3043"/>
      <c r="D56" s="3043"/>
      <c r="E56" s="3044"/>
      <c r="F56" s="3043"/>
      <c r="G56" s="3043"/>
      <c r="H56" s="3043"/>
    </row>
    <row r="57" spans="1:8" ht="27.75" customHeight="1">
      <c r="A57" s="14292" t="s">
        <v>94</v>
      </c>
      <c r="B57" s="14293"/>
      <c r="C57" s="3045" t="s">
        <v>1759</v>
      </c>
      <c r="D57" s="3046"/>
      <c r="E57" s="3045" t="s">
        <v>1787</v>
      </c>
      <c r="F57" s="3046"/>
      <c r="G57" s="14294" t="s">
        <v>1739</v>
      </c>
      <c r="H57" s="14295"/>
    </row>
    <row r="58" spans="1:8" ht="20.100000000000001" customHeight="1">
      <c r="A58" s="14255" t="s">
        <v>1788</v>
      </c>
      <c r="B58" s="14257"/>
      <c r="C58" s="2827" t="s">
        <v>1762</v>
      </c>
      <c r="D58" s="2827" t="s">
        <v>1736</v>
      </c>
      <c r="E58" s="2827" t="s">
        <v>1804</v>
      </c>
      <c r="F58" s="2827" t="s">
        <v>1764</v>
      </c>
      <c r="G58" s="2829" t="s">
        <v>1789</v>
      </c>
      <c r="H58" s="2829" t="s">
        <v>1790</v>
      </c>
    </row>
    <row r="59" spans="1:8" ht="20.100000000000001" customHeight="1">
      <c r="A59" s="14258" t="s">
        <v>472</v>
      </c>
      <c r="B59" s="14259"/>
      <c r="C59" s="2830" t="s">
        <v>473</v>
      </c>
      <c r="D59" s="2830" t="s">
        <v>474</v>
      </c>
      <c r="E59" s="2830" t="s">
        <v>475</v>
      </c>
      <c r="F59" s="2830" t="s">
        <v>476</v>
      </c>
      <c r="G59" s="14258" t="s">
        <v>477</v>
      </c>
      <c r="H59" s="14259"/>
    </row>
    <row r="60" spans="1:8" ht="21.75" customHeight="1">
      <c r="A60" s="2874"/>
      <c r="B60" s="2875"/>
      <c r="C60" s="2815" t="s">
        <v>5217</v>
      </c>
      <c r="D60" s="2876">
        <f>D48</f>
        <v>360000</v>
      </c>
      <c r="E60" s="2833"/>
      <c r="F60" s="2836"/>
      <c r="G60" s="2877"/>
      <c r="H60" s="2833"/>
    </row>
    <row r="61" spans="1:8" ht="6.75" customHeight="1">
      <c r="A61" s="2878"/>
      <c r="B61" s="2879"/>
      <c r="C61" s="2878"/>
      <c r="D61" s="2880"/>
      <c r="E61" s="2879"/>
      <c r="F61" s="2881"/>
      <c r="G61" s="2830"/>
      <c r="H61" s="2879"/>
    </row>
    <row r="62" spans="1:8" ht="38.25" customHeight="1">
      <c r="A62" s="2832"/>
      <c r="B62" s="2833"/>
      <c r="C62" s="2882" t="s">
        <v>5221</v>
      </c>
      <c r="D62" s="2859"/>
      <c r="E62" s="2860"/>
      <c r="F62" s="2867"/>
      <c r="G62" s="2862"/>
      <c r="H62" s="2863"/>
    </row>
    <row r="63" spans="1:8" ht="49.5" customHeight="1">
      <c r="A63" s="2832"/>
      <c r="B63" s="2833"/>
      <c r="C63" s="14282" t="s">
        <v>5222</v>
      </c>
      <c r="D63" s="14283">
        <v>200000</v>
      </c>
      <c r="E63" s="2860" t="s">
        <v>5223</v>
      </c>
      <c r="F63" s="2858" t="s">
        <v>5224</v>
      </c>
      <c r="G63" s="2862" t="s">
        <v>1766</v>
      </c>
      <c r="H63" s="2863" t="s">
        <v>1767</v>
      </c>
    </row>
    <row r="64" spans="1:8" ht="49.5" customHeight="1">
      <c r="A64" s="2832"/>
      <c r="B64" s="2833"/>
      <c r="C64" s="14282"/>
      <c r="D64" s="14283"/>
      <c r="E64" s="2860" t="s">
        <v>5225</v>
      </c>
      <c r="F64" s="2861" t="s">
        <v>5226</v>
      </c>
      <c r="G64" s="2862" t="s">
        <v>1766</v>
      </c>
      <c r="H64" s="2863" t="s">
        <v>1767</v>
      </c>
    </row>
    <row r="65" spans="1:8" ht="49.5" customHeight="1">
      <c r="A65" s="2832"/>
      <c r="B65" s="2833"/>
      <c r="C65" s="14282"/>
      <c r="D65" s="14283"/>
      <c r="E65" s="2860" t="s">
        <v>5227</v>
      </c>
      <c r="F65" s="2861" t="s">
        <v>5228</v>
      </c>
      <c r="G65" s="2862" t="s">
        <v>1766</v>
      </c>
      <c r="H65" s="2863" t="s">
        <v>1767</v>
      </c>
    </row>
    <row r="66" spans="1:8" ht="120.75" customHeight="1">
      <c r="A66" s="2832"/>
      <c r="B66" s="2833"/>
      <c r="C66" s="2858" t="s">
        <v>5229</v>
      </c>
      <c r="D66" s="2859">
        <v>340000</v>
      </c>
      <c r="E66" s="2860" t="s">
        <v>5230</v>
      </c>
      <c r="F66" s="2868" t="s">
        <v>5231</v>
      </c>
      <c r="G66" s="2862" t="s">
        <v>1766</v>
      </c>
      <c r="H66" s="2863" t="s">
        <v>1767</v>
      </c>
    </row>
    <row r="67" spans="1:8" ht="88.5" customHeight="1">
      <c r="A67" s="2832"/>
      <c r="B67" s="2833"/>
      <c r="C67" s="2858" t="s">
        <v>5232</v>
      </c>
      <c r="D67" s="2859">
        <v>156000</v>
      </c>
      <c r="E67" s="2860" t="s">
        <v>5233</v>
      </c>
      <c r="F67" s="2868" t="s">
        <v>5234</v>
      </c>
      <c r="G67" s="2862" t="s">
        <v>1766</v>
      </c>
      <c r="H67" s="2863" t="s">
        <v>1767</v>
      </c>
    </row>
    <row r="68" spans="1:8" ht="170.25" customHeight="1">
      <c r="A68" s="2832"/>
      <c r="B68" s="2833"/>
      <c r="C68" s="2858" t="s">
        <v>5235</v>
      </c>
      <c r="D68" s="2859">
        <v>1345000</v>
      </c>
      <c r="E68" s="2883" t="s">
        <v>5236</v>
      </c>
      <c r="F68" s="2868" t="s">
        <v>5237</v>
      </c>
      <c r="G68" s="2862" t="s">
        <v>1766</v>
      </c>
      <c r="H68" s="2863" t="s">
        <v>1767</v>
      </c>
    </row>
    <row r="69" spans="1:8" ht="73.5" customHeight="1">
      <c r="A69" s="2832"/>
      <c r="B69" s="2833"/>
      <c r="C69" s="2858" t="s">
        <v>5238</v>
      </c>
      <c r="D69" s="2859">
        <v>60000</v>
      </c>
      <c r="E69" s="2860" t="s">
        <v>5239</v>
      </c>
      <c r="F69" s="2868" t="s">
        <v>5240</v>
      </c>
      <c r="G69" s="2862" t="s">
        <v>1766</v>
      </c>
      <c r="H69" s="2863" t="s">
        <v>1767</v>
      </c>
    </row>
    <row r="70" spans="1:8" ht="23.25" customHeight="1">
      <c r="A70" s="3062"/>
      <c r="B70" s="3063"/>
      <c r="C70" s="3057"/>
      <c r="D70" s="3058"/>
      <c r="E70" s="3064"/>
      <c r="F70" s="3137"/>
      <c r="G70" s="3060"/>
      <c r="H70" s="3061"/>
    </row>
    <row r="71" spans="1:8" ht="20.25" customHeight="1">
      <c r="A71" s="3049"/>
      <c r="B71" s="3050"/>
      <c r="C71" s="3051" t="s">
        <v>182</v>
      </c>
      <c r="D71" s="3052">
        <f>SUM(D60:D69)</f>
        <v>2461000</v>
      </c>
      <c r="E71" s="3053"/>
      <c r="F71" s="3054"/>
      <c r="G71" s="3055"/>
      <c r="H71" s="3056"/>
    </row>
    <row r="72" spans="1:8" ht="21.75" customHeight="1">
      <c r="A72" s="2836"/>
      <c r="B72" s="2836"/>
      <c r="C72" s="3066"/>
      <c r="D72" s="3067"/>
      <c r="E72" s="3068"/>
      <c r="F72" s="3069"/>
      <c r="G72" s="3071"/>
      <c r="H72" s="3071"/>
    </row>
    <row r="73" spans="1:8" ht="21.75" customHeight="1">
      <c r="A73" s="2836"/>
      <c r="B73" s="2836"/>
      <c r="C73" s="3066"/>
      <c r="D73" s="3067"/>
      <c r="E73" s="3068"/>
      <c r="F73" s="3069"/>
      <c r="G73" s="3071"/>
      <c r="H73" s="3071"/>
    </row>
    <row r="74" spans="1:8" ht="21.75" customHeight="1">
      <c r="A74" s="2836"/>
      <c r="B74" s="2836"/>
      <c r="C74" s="3066"/>
      <c r="D74" s="3067"/>
      <c r="E74" s="3068"/>
      <c r="F74" s="3069"/>
      <c r="G74" s="3071"/>
      <c r="H74" s="3071"/>
    </row>
    <row r="75" spans="1:8" ht="21.75" customHeight="1">
      <c r="A75" s="3072"/>
      <c r="B75" s="3072"/>
      <c r="C75" s="3073"/>
      <c r="D75" s="3074"/>
      <c r="E75" s="3075"/>
      <c r="F75" s="3076"/>
      <c r="G75" s="3070"/>
      <c r="H75" s="3070"/>
    </row>
    <row r="76" spans="1:8" ht="27.75" customHeight="1">
      <c r="A76" s="14292" t="s">
        <v>94</v>
      </c>
      <c r="B76" s="14293"/>
      <c r="C76" s="3045" t="s">
        <v>1759</v>
      </c>
      <c r="D76" s="3046"/>
      <c r="E76" s="3045" t="s">
        <v>1787</v>
      </c>
      <c r="F76" s="3046"/>
      <c r="G76" s="14302" t="s">
        <v>1739</v>
      </c>
      <c r="H76" s="14303"/>
    </row>
    <row r="77" spans="1:8" ht="20.100000000000001" customHeight="1">
      <c r="A77" s="14255" t="s">
        <v>1788</v>
      </c>
      <c r="B77" s="14257"/>
      <c r="C77" s="2827" t="s">
        <v>1762</v>
      </c>
      <c r="D77" s="2827" t="s">
        <v>1736</v>
      </c>
      <c r="E77" s="2827" t="s">
        <v>1804</v>
      </c>
      <c r="F77" s="2827" t="s">
        <v>1764</v>
      </c>
      <c r="G77" s="2829" t="s">
        <v>1789</v>
      </c>
      <c r="H77" s="2829" t="s">
        <v>1790</v>
      </c>
    </row>
    <row r="78" spans="1:8" ht="20.100000000000001" customHeight="1">
      <c r="A78" s="14258" t="s">
        <v>472</v>
      </c>
      <c r="B78" s="14259"/>
      <c r="C78" s="2830" t="s">
        <v>473</v>
      </c>
      <c r="D78" s="2830" t="s">
        <v>474</v>
      </c>
      <c r="E78" s="2830" t="s">
        <v>475</v>
      </c>
      <c r="F78" s="2830" t="s">
        <v>476</v>
      </c>
      <c r="G78" s="14258" t="s">
        <v>477</v>
      </c>
      <c r="H78" s="14259"/>
    </row>
    <row r="79" spans="1:8" ht="21.75" customHeight="1">
      <c r="A79" s="2874"/>
      <c r="B79" s="2875"/>
      <c r="C79" s="2815" t="s">
        <v>5217</v>
      </c>
      <c r="D79" s="2876">
        <f>D71</f>
        <v>2461000</v>
      </c>
      <c r="E79" s="2833"/>
      <c r="F79" s="2836"/>
      <c r="G79" s="2877"/>
      <c r="H79" s="2833"/>
    </row>
    <row r="80" spans="1:8" ht="6.75" customHeight="1">
      <c r="A80" s="2878"/>
      <c r="B80" s="2879"/>
      <c r="C80" s="2878"/>
      <c r="D80" s="2880"/>
      <c r="E80" s="2879"/>
      <c r="F80" s="2881"/>
      <c r="G80" s="2830"/>
      <c r="H80" s="2879"/>
    </row>
    <row r="81" spans="1:8" ht="88.5" customHeight="1">
      <c r="A81" s="2832"/>
      <c r="B81" s="2833"/>
      <c r="C81" s="2858" t="s">
        <v>5241</v>
      </c>
      <c r="D81" s="2859">
        <v>95000</v>
      </c>
      <c r="E81" s="2868" t="s">
        <v>5242</v>
      </c>
      <c r="F81" s="2868" t="s">
        <v>5243</v>
      </c>
      <c r="G81" s="2862" t="s">
        <v>1766</v>
      </c>
      <c r="H81" s="2863" t="s">
        <v>1767</v>
      </c>
    </row>
    <row r="82" spans="1:8" ht="107.25" customHeight="1">
      <c r="A82" s="2832"/>
      <c r="B82" s="2833"/>
      <c r="C82" s="2858" t="s">
        <v>5244</v>
      </c>
      <c r="D82" s="2859">
        <v>150000</v>
      </c>
      <c r="E82" s="2868" t="s">
        <v>5245</v>
      </c>
      <c r="F82" s="2868" t="s">
        <v>5246</v>
      </c>
      <c r="G82" s="2862" t="s">
        <v>1766</v>
      </c>
      <c r="H82" s="2863" t="s">
        <v>1767</v>
      </c>
    </row>
    <row r="83" spans="1:8" ht="73.5" customHeight="1">
      <c r="A83" s="2832"/>
      <c r="B83" s="2833"/>
      <c r="C83" s="2858" t="s">
        <v>5247</v>
      </c>
      <c r="D83" s="2859">
        <v>0</v>
      </c>
      <c r="E83" s="2868" t="s">
        <v>5248</v>
      </c>
      <c r="F83" s="2883" t="s">
        <v>5249</v>
      </c>
      <c r="G83" s="2862" t="s">
        <v>1766</v>
      </c>
      <c r="H83" s="2863" t="s">
        <v>1767</v>
      </c>
    </row>
    <row r="84" spans="1:8" ht="28.5" customHeight="1">
      <c r="A84" s="2832"/>
      <c r="B84" s="2833"/>
      <c r="C84" s="2865" t="s">
        <v>5250</v>
      </c>
      <c r="D84" s="2859"/>
      <c r="E84" s="2860"/>
      <c r="F84" s="2867"/>
      <c r="G84" s="2862" t="s">
        <v>1766</v>
      </c>
      <c r="H84" s="2863" t="s">
        <v>1767</v>
      </c>
    </row>
    <row r="85" spans="1:8" ht="212.25" customHeight="1">
      <c r="A85" s="2832"/>
      <c r="B85" s="2833"/>
      <c r="C85" s="2884" t="s">
        <v>5251</v>
      </c>
      <c r="D85" s="2869">
        <v>810000</v>
      </c>
      <c r="E85" s="2870" t="s">
        <v>5252</v>
      </c>
      <c r="F85" s="2870" t="s">
        <v>5253</v>
      </c>
      <c r="G85" s="2862" t="s">
        <v>1766</v>
      </c>
      <c r="H85" s="2863" t="s">
        <v>1767</v>
      </c>
    </row>
    <row r="86" spans="1:8" ht="32.25" customHeight="1">
      <c r="A86" s="14284"/>
      <c r="B86" s="14285"/>
      <c r="C86" s="3077" t="s">
        <v>1815</v>
      </c>
      <c r="D86" s="3078"/>
      <c r="E86" s="2897"/>
      <c r="F86" s="2898"/>
      <c r="G86" s="2899"/>
      <c r="H86" s="2900"/>
    </row>
    <row r="87" spans="1:8" ht="44.25" customHeight="1">
      <c r="A87" s="14263"/>
      <c r="B87" s="14264"/>
      <c r="C87" s="2901" t="s">
        <v>3834</v>
      </c>
      <c r="D87" s="2902"/>
      <c r="E87" s="2903"/>
      <c r="F87" s="2904"/>
      <c r="G87" s="2905"/>
      <c r="H87" s="2906"/>
    </row>
    <row r="88" spans="1:8" ht="22.5" customHeight="1">
      <c r="A88" s="14255"/>
      <c r="B88" s="14257"/>
      <c r="C88" s="2901" t="s">
        <v>3835</v>
      </c>
      <c r="D88" s="2907"/>
      <c r="E88" s="2903"/>
      <c r="F88" s="2904"/>
      <c r="G88" s="2905"/>
      <c r="H88" s="2906"/>
    </row>
    <row r="89" spans="1:8" ht="42.75" customHeight="1">
      <c r="A89" s="14255"/>
      <c r="B89" s="14257"/>
      <c r="C89" s="2908" t="s">
        <v>5254</v>
      </c>
      <c r="D89" s="2909">
        <v>316800</v>
      </c>
      <c r="E89" s="2908" t="s">
        <v>5255</v>
      </c>
      <c r="F89" s="2910" t="s">
        <v>5256</v>
      </c>
      <c r="G89" s="2862" t="s">
        <v>1766</v>
      </c>
      <c r="H89" s="2863" t="s">
        <v>1767</v>
      </c>
    </row>
    <row r="90" spans="1:8" ht="21" customHeight="1">
      <c r="A90" s="3049"/>
      <c r="B90" s="3050"/>
      <c r="C90" s="3051" t="s">
        <v>182</v>
      </c>
      <c r="D90" s="3097">
        <f>SUM(D81:D89)</f>
        <v>1371800</v>
      </c>
      <c r="E90" s="3098"/>
      <c r="F90" s="3099"/>
      <c r="G90" s="3100"/>
      <c r="H90" s="3101"/>
    </row>
    <row r="91" spans="1:8" s="2814" customFormat="1" ht="35.25" customHeight="1">
      <c r="A91" s="3079"/>
      <c r="B91" s="3079"/>
      <c r="C91" s="3080"/>
      <c r="D91" s="3081"/>
      <c r="E91" s="3082"/>
      <c r="F91" s="3083"/>
      <c r="G91" s="3084"/>
      <c r="H91" s="3084"/>
    </row>
    <row r="92" spans="1:8" s="2814" customFormat="1" ht="21" customHeight="1">
      <c r="A92" s="2812"/>
      <c r="B92" s="2812"/>
      <c r="C92" s="2908"/>
      <c r="D92" s="2885"/>
      <c r="E92" s="3085"/>
      <c r="F92" s="3086"/>
      <c r="G92" s="2911"/>
      <c r="H92" s="2911"/>
    </row>
    <row r="93" spans="1:8" s="2814" customFormat="1" ht="21" customHeight="1">
      <c r="A93" s="2812"/>
      <c r="B93" s="2812"/>
      <c r="C93" s="2908"/>
      <c r="D93" s="2885"/>
      <c r="E93" s="3085"/>
      <c r="F93" s="3086"/>
      <c r="G93" s="2911"/>
      <c r="H93" s="2911"/>
    </row>
    <row r="94" spans="1:8" s="2814" customFormat="1" ht="21" customHeight="1">
      <c r="A94" s="2812"/>
      <c r="B94" s="2812"/>
      <c r="C94" s="2908"/>
      <c r="D94" s="2885"/>
      <c r="E94" s="3085"/>
      <c r="F94" s="3086"/>
      <c r="G94" s="2911"/>
      <c r="H94" s="2911"/>
    </row>
    <row r="95" spans="1:8" ht="20.100000000000001" customHeight="1">
      <c r="A95" s="14272" t="s">
        <v>94</v>
      </c>
      <c r="B95" s="14273"/>
      <c r="C95" s="2826" t="s">
        <v>1759</v>
      </c>
      <c r="D95" s="2826"/>
      <c r="E95" s="2824" t="s">
        <v>1787</v>
      </c>
      <c r="F95" s="2824"/>
      <c r="G95" s="14274" t="s">
        <v>1739</v>
      </c>
      <c r="H95" s="14275"/>
    </row>
    <row r="96" spans="1:8" ht="20.100000000000001" customHeight="1">
      <c r="A96" s="14276" t="s">
        <v>1788</v>
      </c>
      <c r="B96" s="14277"/>
      <c r="C96" s="2828" t="s">
        <v>1762</v>
      </c>
      <c r="D96" s="2828" t="s">
        <v>1736</v>
      </c>
      <c r="E96" s="2827" t="s">
        <v>1804</v>
      </c>
      <c r="F96" s="2827" t="s">
        <v>1764</v>
      </c>
      <c r="G96" s="2829" t="s">
        <v>1789</v>
      </c>
      <c r="H96" s="2829" t="s">
        <v>1790</v>
      </c>
    </row>
    <row r="97" spans="1:8" ht="20.100000000000001" customHeight="1">
      <c r="A97" s="14278" t="s">
        <v>472</v>
      </c>
      <c r="B97" s="14279"/>
      <c r="C97" s="2831" t="s">
        <v>473</v>
      </c>
      <c r="D97" s="2831" t="s">
        <v>474</v>
      </c>
      <c r="E97" s="2830" t="s">
        <v>475</v>
      </c>
      <c r="F97" s="2830" t="s">
        <v>476</v>
      </c>
      <c r="G97" s="14258" t="s">
        <v>477</v>
      </c>
      <c r="H97" s="14259"/>
    </row>
    <row r="98" spans="1:8" ht="20.25" customHeight="1">
      <c r="A98" s="2886"/>
      <c r="B98" s="2887"/>
      <c r="C98" s="2886" t="s">
        <v>5217</v>
      </c>
      <c r="D98" s="2888">
        <f>D90</f>
        <v>1371800</v>
      </c>
      <c r="E98" s="2887"/>
      <c r="F98" s="2889"/>
      <c r="G98" s="2890"/>
      <c r="H98" s="2887"/>
    </row>
    <row r="99" spans="1:8" ht="9.75" customHeight="1">
      <c r="A99" s="2891"/>
      <c r="B99" s="2815"/>
      <c r="C99" s="2892"/>
      <c r="D99" s="2893"/>
      <c r="E99" s="2894"/>
      <c r="F99" s="2895"/>
      <c r="G99" s="2896"/>
      <c r="H99" s="2894"/>
    </row>
    <row r="100" spans="1:8" ht="20.25" customHeight="1">
      <c r="A100" s="14255"/>
      <c r="B100" s="14257"/>
      <c r="C100" s="2913" t="s">
        <v>3836</v>
      </c>
      <c r="D100" s="2907"/>
      <c r="E100" s="2908"/>
      <c r="F100" s="2910"/>
      <c r="G100" s="2911"/>
      <c r="H100" s="2912"/>
    </row>
    <row r="101" spans="1:8" ht="58.5" customHeight="1">
      <c r="A101" s="2864"/>
      <c r="B101" s="2857"/>
      <c r="C101" s="2908" t="s">
        <v>5257</v>
      </c>
      <c r="D101" s="2909">
        <v>20000</v>
      </c>
      <c r="E101" s="2908" t="s">
        <v>5258</v>
      </c>
      <c r="F101" s="2914" t="s">
        <v>5259</v>
      </c>
      <c r="G101" s="2862" t="s">
        <v>1766</v>
      </c>
      <c r="H101" s="2863" t="s">
        <v>1767</v>
      </c>
    </row>
    <row r="102" spans="1:8" ht="60.75" customHeight="1">
      <c r="A102" s="2864"/>
      <c r="B102" s="2857"/>
      <c r="C102" s="2915" t="s">
        <v>5260</v>
      </c>
      <c r="D102" s="2909">
        <v>18000</v>
      </c>
      <c r="E102" s="2915" t="s">
        <v>5261</v>
      </c>
      <c r="F102" s="2916" t="s">
        <v>5262</v>
      </c>
      <c r="G102" s="2912" t="s">
        <v>1766</v>
      </c>
      <c r="H102" s="2912" t="s">
        <v>1748</v>
      </c>
    </row>
    <row r="103" spans="1:8" ht="46.5" customHeight="1">
      <c r="A103" s="2864"/>
      <c r="B103" s="2857"/>
      <c r="C103" s="2915" t="s">
        <v>5263</v>
      </c>
      <c r="D103" s="2909">
        <v>75000</v>
      </c>
      <c r="E103" s="2915" t="s">
        <v>5264</v>
      </c>
      <c r="F103" s="2914" t="s">
        <v>5265</v>
      </c>
      <c r="G103" s="2862" t="s">
        <v>1766</v>
      </c>
      <c r="H103" s="2863" t="s">
        <v>1767</v>
      </c>
    </row>
    <row r="104" spans="1:8" ht="45.75" customHeight="1">
      <c r="A104" s="2864"/>
      <c r="B104" s="2857"/>
      <c r="C104" s="2917" t="s">
        <v>5266</v>
      </c>
      <c r="D104" s="2909"/>
      <c r="E104" s="2915"/>
      <c r="F104" s="2918"/>
      <c r="G104" s="2911"/>
      <c r="H104" s="2912"/>
    </row>
    <row r="105" spans="1:8" ht="45" customHeight="1">
      <c r="A105" s="2864"/>
      <c r="B105" s="2857"/>
      <c r="C105" s="2915" t="s">
        <v>5267</v>
      </c>
      <c r="D105" s="2909">
        <v>38000</v>
      </c>
      <c r="E105" s="2915" t="s">
        <v>5268</v>
      </c>
      <c r="F105" s="2914" t="s">
        <v>5269</v>
      </c>
      <c r="G105" s="2912" t="s">
        <v>1766</v>
      </c>
      <c r="H105" s="2912" t="s">
        <v>1748</v>
      </c>
    </row>
    <row r="106" spans="1:8" ht="66" customHeight="1">
      <c r="A106" s="2864"/>
      <c r="B106" s="2857"/>
      <c r="C106" s="2915" t="s">
        <v>5270</v>
      </c>
      <c r="D106" s="2909">
        <v>10000</v>
      </c>
      <c r="E106" s="2915" t="s">
        <v>5271</v>
      </c>
      <c r="F106" s="2914" t="s">
        <v>5272</v>
      </c>
      <c r="G106" s="2862" t="s">
        <v>1766</v>
      </c>
      <c r="H106" s="2863" t="s">
        <v>1767</v>
      </c>
    </row>
    <row r="107" spans="1:8" ht="86.25" customHeight="1">
      <c r="A107" s="2864"/>
      <c r="B107" s="2857"/>
      <c r="C107" s="2915" t="s">
        <v>5273</v>
      </c>
      <c r="D107" s="2909">
        <v>22200</v>
      </c>
      <c r="E107" s="2915" t="s">
        <v>5274</v>
      </c>
      <c r="F107" s="2914" t="s">
        <v>5275</v>
      </c>
      <c r="G107" s="2862" t="s">
        <v>1766</v>
      </c>
      <c r="H107" s="2863" t="s">
        <v>1767</v>
      </c>
    </row>
    <row r="108" spans="1:8" ht="50.25" customHeight="1">
      <c r="A108" s="2919"/>
      <c r="B108" s="2920"/>
      <c r="C108" s="14267" t="s">
        <v>1817</v>
      </c>
      <c r="D108" s="14268"/>
      <c r="E108" s="2921"/>
      <c r="F108" s="2922"/>
      <c r="G108" s="2923"/>
      <c r="H108" s="2899"/>
    </row>
    <row r="109" spans="1:8" ht="40.5" customHeight="1">
      <c r="A109" s="2924"/>
      <c r="B109" s="2925"/>
      <c r="C109" s="2926" t="s">
        <v>5276</v>
      </c>
      <c r="D109" s="2927">
        <v>63360</v>
      </c>
      <c r="E109" s="2928" t="s">
        <v>5277</v>
      </c>
      <c r="F109" s="2929" t="s">
        <v>5278</v>
      </c>
      <c r="G109" s="2911" t="s">
        <v>1766</v>
      </c>
      <c r="H109" s="2912" t="s">
        <v>1767</v>
      </c>
    </row>
    <row r="110" spans="1:8" ht="108.75" customHeight="1">
      <c r="A110" s="2924"/>
      <c r="B110" s="2925"/>
      <c r="C110" s="2930" t="s">
        <v>5279</v>
      </c>
      <c r="D110" s="2931">
        <v>29000</v>
      </c>
      <c r="E110" s="2928" t="s">
        <v>5280</v>
      </c>
      <c r="F110" s="2932" t="s">
        <v>5281</v>
      </c>
      <c r="G110" s="2911" t="s">
        <v>1766</v>
      </c>
      <c r="H110" s="2912" t="s">
        <v>1767</v>
      </c>
    </row>
    <row r="111" spans="1:8" ht="21" customHeight="1">
      <c r="A111" s="3049"/>
      <c r="B111" s="3050"/>
      <c r="C111" s="3051" t="s">
        <v>182</v>
      </c>
      <c r="D111" s="3097">
        <f>SUM(D98:D110)</f>
        <v>1647360</v>
      </c>
      <c r="E111" s="3098"/>
      <c r="F111" s="3099"/>
      <c r="G111" s="3100"/>
      <c r="H111" s="3101"/>
    </row>
    <row r="112" spans="1:8" ht="18" customHeight="1">
      <c r="A112" s="2925"/>
      <c r="B112" s="2925"/>
      <c r="C112" s="3087"/>
      <c r="D112" s="3088"/>
      <c r="E112" s="3089"/>
      <c r="F112" s="3090"/>
      <c r="G112" s="2911"/>
      <c r="H112" s="2911"/>
    </row>
    <row r="113" spans="1:8" ht="18" customHeight="1">
      <c r="A113" s="2925"/>
      <c r="B113" s="2925"/>
      <c r="C113" s="3087"/>
      <c r="D113" s="3088"/>
      <c r="E113" s="3089"/>
      <c r="F113" s="3090"/>
      <c r="G113" s="2911"/>
      <c r="H113" s="2911"/>
    </row>
    <row r="114" spans="1:8" ht="18" customHeight="1">
      <c r="A114" s="2925"/>
      <c r="B114" s="2925"/>
      <c r="C114" s="3087"/>
      <c r="D114" s="3088"/>
      <c r="E114" s="3089"/>
      <c r="F114" s="3090"/>
      <c r="G114" s="2911"/>
      <c r="H114" s="2911"/>
    </row>
    <row r="115" spans="1:8" ht="18" customHeight="1">
      <c r="A115" s="2925"/>
      <c r="B115" s="2925"/>
      <c r="C115" s="3087"/>
      <c r="D115" s="3088"/>
      <c r="E115" s="3089"/>
      <c r="F115" s="3090"/>
      <c r="G115" s="2911"/>
      <c r="H115" s="2911"/>
    </row>
    <row r="116" spans="1:8" ht="18" customHeight="1">
      <c r="A116" s="2925"/>
      <c r="B116" s="2925"/>
      <c r="C116" s="3087"/>
      <c r="D116" s="3088"/>
      <c r="E116" s="3089"/>
      <c r="F116" s="3090"/>
      <c r="G116" s="2911"/>
      <c r="H116" s="2911"/>
    </row>
    <row r="117" spans="1:8" ht="18" customHeight="1">
      <c r="A117" s="2925"/>
      <c r="B117" s="2925"/>
      <c r="C117" s="3087"/>
      <c r="D117" s="3088"/>
      <c r="E117" s="3089"/>
      <c r="F117" s="3090"/>
      <c r="G117" s="2911"/>
      <c r="H117" s="2911"/>
    </row>
    <row r="118" spans="1:8" ht="18" customHeight="1">
      <c r="A118" s="3091"/>
      <c r="B118" s="3091"/>
      <c r="C118" s="3092"/>
      <c r="D118" s="3093"/>
      <c r="E118" s="3094"/>
      <c r="F118" s="3095"/>
      <c r="G118" s="3096"/>
      <c r="H118" s="3096"/>
    </row>
    <row r="119" spans="1:8" ht="20.100000000000001" customHeight="1">
      <c r="A119" s="14272" t="s">
        <v>94</v>
      </c>
      <c r="B119" s="14273"/>
      <c r="C119" s="2826" t="s">
        <v>1759</v>
      </c>
      <c r="D119" s="2826"/>
      <c r="E119" s="2824" t="s">
        <v>1787</v>
      </c>
      <c r="F119" s="2824"/>
      <c r="G119" s="14274" t="s">
        <v>1739</v>
      </c>
      <c r="H119" s="14275"/>
    </row>
    <row r="120" spans="1:8" ht="20.100000000000001" customHeight="1">
      <c r="A120" s="14276" t="s">
        <v>1788</v>
      </c>
      <c r="B120" s="14277"/>
      <c r="C120" s="2828" t="s">
        <v>1762</v>
      </c>
      <c r="D120" s="2828" t="s">
        <v>1736</v>
      </c>
      <c r="E120" s="2827" t="s">
        <v>1804</v>
      </c>
      <c r="F120" s="2827" t="s">
        <v>1764</v>
      </c>
      <c r="G120" s="2829" t="s">
        <v>1789</v>
      </c>
      <c r="H120" s="2829" t="s">
        <v>1790</v>
      </c>
    </row>
    <row r="121" spans="1:8" ht="20.100000000000001" customHeight="1">
      <c r="A121" s="14278" t="s">
        <v>472</v>
      </c>
      <c r="B121" s="14279"/>
      <c r="C121" s="2831" t="s">
        <v>473</v>
      </c>
      <c r="D121" s="2831" t="s">
        <v>474</v>
      </c>
      <c r="E121" s="2830" t="s">
        <v>475</v>
      </c>
      <c r="F121" s="2830" t="s">
        <v>476</v>
      </c>
      <c r="G121" s="14258" t="s">
        <v>477</v>
      </c>
      <c r="H121" s="14259"/>
    </row>
    <row r="122" spans="1:8" ht="26.25" customHeight="1">
      <c r="A122" s="2886"/>
      <c r="B122" s="2887"/>
      <c r="C122" s="2886" t="s">
        <v>5217</v>
      </c>
      <c r="D122" s="2888">
        <f>D111</f>
        <v>1647360</v>
      </c>
      <c r="E122" s="2887"/>
      <c r="F122" s="2889"/>
      <c r="G122" s="2890"/>
      <c r="H122" s="2887"/>
    </row>
    <row r="123" spans="1:8" ht="11.25" customHeight="1">
      <c r="A123" s="2892"/>
      <c r="B123" s="2894"/>
      <c r="C123" s="2892"/>
      <c r="D123" s="2893"/>
      <c r="E123" s="2894"/>
      <c r="F123" s="2895"/>
      <c r="G123" s="2896"/>
      <c r="H123" s="2894"/>
    </row>
    <row r="124" spans="1:8" ht="75.75" customHeight="1">
      <c r="A124" s="2924"/>
      <c r="B124" s="2925"/>
      <c r="C124" s="2932" t="s">
        <v>5282</v>
      </c>
      <c r="D124" s="2931">
        <v>15000</v>
      </c>
      <c r="E124" s="2933" t="s">
        <v>5283</v>
      </c>
      <c r="F124" s="2934" t="s">
        <v>5284</v>
      </c>
      <c r="G124" s="2911" t="s">
        <v>1766</v>
      </c>
      <c r="H124" s="2912" t="s">
        <v>1767</v>
      </c>
    </row>
    <row r="125" spans="1:8" ht="27.75" customHeight="1">
      <c r="A125" s="2924"/>
      <c r="B125" s="2925"/>
      <c r="C125" s="2934" t="s">
        <v>5285</v>
      </c>
      <c r="D125" s="2931">
        <v>40000</v>
      </c>
      <c r="E125" s="2935" t="s">
        <v>5286</v>
      </c>
      <c r="F125" s="2936" t="s">
        <v>5287</v>
      </c>
      <c r="G125" s="2912" t="s">
        <v>1766</v>
      </c>
      <c r="H125" s="2912" t="s">
        <v>1767</v>
      </c>
    </row>
    <row r="126" spans="1:8" ht="141.75" customHeight="1">
      <c r="A126" s="2924"/>
      <c r="B126" s="2925"/>
      <c r="C126" s="2928" t="s">
        <v>5288</v>
      </c>
      <c r="D126" s="2937">
        <v>72500</v>
      </c>
      <c r="E126" s="2933" t="s">
        <v>5289</v>
      </c>
      <c r="F126" s="2938" t="s">
        <v>5290</v>
      </c>
      <c r="G126" s="2912" t="s">
        <v>1766</v>
      </c>
      <c r="H126" s="2912" t="s">
        <v>1767</v>
      </c>
    </row>
    <row r="127" spans="1:8" ht="89.25" customHeight="1">
      <c r="A127" s="2924"/>
      <c r="B127" s="2925"/>
      <c r="C127" s="2939" t="s">
        <v>5291</v>
      </c>
      <c r="D127" s="2940">
        <v>90900</v>
      </c>
      <c r="E127" s="2941" t="s">
        <v>5292</v>
      </c>
      <c r="F127" s="2939" t="s">
        <v>5293</v>
      </c>
      <c r="G127" s="2942" t="s">
        <v>1766</v>
      </c>
      <c r="H127" s="2942" t="s">
        <v>1767</v>
      </c>
    </row>
    <row r="128" spans="1:8" ht="72.75" customHeight="1">
      <c r="A128" s="2924"/>
      <c r="B128" s="2925"/>
      <c r="C128" s="2934" t="s">
        <v>5294</v>
      </c>
      <c r="D128" s="2944">
        <v>48000</v>
      </c>
      <c r="E128" s="2945" t="s">
        <v>5295</v>
      </c>
      <c r="F128" s="2934" t="s">
        <v>5296</v>
      </c>
      <c r="G128" s="2946" t="s">
        <v>1766</v>
      </c>
      <c r="H128" s="2946" t="s">
        <v>1767</v>
      </c>
    </row>
    <row r="129" spans="1:8" ht="42.75" customHeight="1">
      <c r="A129" s="2924"/>
      <c r="B129" s="2925"/>
      <c r="C129" s="2934" t="s">
        <v>5297</v>
      </c>
      <c r="D129" s="2947">
        <v>840000</v>
      </c>
      <c r="E129" s="2945" t="s">
        <v>5298</v>
      </c>
      <c r="F129" s="2934" t="s">
        <v>5299</v>
      </c>
      <c r="G129" s="2946" t="s">
        <v>1766</v>
      </c>
      <c r="H129" s="2946" t="s">
        <v>1767</v>
      </c>
    </row>
    <row r="130" spans="1:8" ht="33.75" customHeight="1">
      <c r="A130" s="2919"/>
      <c r="B130" s="2920"/>
      <c r="C130" s="14267" t="s">
        <v>1818</v>
      </c>
      <c r="D130" s="14268"/>
      <c r="E130" s="2948"/>
      <c r="F130" s="2949"/>
      <c r="G130" s="2899"/>
      <c r="H130" s="2899"/>
    </row>
    <row r="131" spans="1:8" ht="23.25" customHeight="1">
      <c r="A131" s="2891"/>
      <c r="B131" s="2815"/>
      <c r="C131" s="2950" t="s">
        <v>9248</v>
      </c>
      <c r="D131" s="2951"/>
      <c r="E131" s="2952"/>
      <c r="F131" s="2953"/>
      <c r="G131" s="2953"/>
      <c r="H131" s="2953"/>
    </row>
    <row r="132" spans="1:8" ht="56.25" customHeight="1">
      <c r="A132" s="2891"/>
      <c r="B132" s="2815"/>
      <c r="C132" s="2934" t="s">
        <v>5300</v>
      </c>
      <c r="D132" s="2954">
        <v>1000000</v>
      </c>
      <c r="E132" s="2955" t="s">
        <v>5301</v>
      </c>
      <c r="F132" s="2956" t="s">
        <v>5302</v>
      </c>
      <c r="G132" s="2946" t="s">
        <v>1766</v>
      </c>
      <c r="H132" s="2946" t="s">
        <v>1767</v>
      </c>
    </row>
    <row r="133" spans="1:8" ht="56.25" customHeight="1">
      <c r="A133" s="3106"/>
      <c r="B133" s="2815"/>
      <c r="C133" s="3120"/>
      <c r="D133" s="3138"/>
      <c r="E133" s="3139"/>
      <c r="F133" s="3140"/>
      <c r="G133" s="3111"/>
      <c r="H133" s="3111"/>
    </row>
    <row r="134" spans="1:8" ht="17.25" customHeight="1">
      <c r="A134" s="3102"/>
      <c r="B134" s="3103"/>
      <c r="C134" s="3051" t="s">
        <v>182</v>
      </c>
      <c r="D134" s="3104">
        <f>SUM(D122:D132)</f>
        <v>3753760</v>
      </c>
      <c r="E134" s="3105"/>
      <c r="F134" s="3105"/>
      <c r="G134" s="3105"/>
      <c r="H134" s="3105"/>
    </row>
    <row r="135" spans="1:8" ht="24.9" customHeight="1"/>
    <row r="136" spans="1:8" ht="24.9" customHeight="1"/>
    <row r="137" spans="1:8" ht="24.9" customHeight="1"/>
    <row r="138" spans="1:8" ht="24.9" customHeight="1"/>
    <row r="139" spans="1:8" ht="24.9" customHeight="1"/>
    <row r="140" spans="1:8" ht="20.100000000000001" customHeight="1">
      <c r="A140" s="14272" t="s">
        <v>94</v>
      </c>
      <c r="B140" s="14273"/>
      <c r="C140" s="2826" t="s">
        <v>1759</v>
      </c>
      <c r="D140" s="2826"/>
      <c r="E140" s="2824" t="s">
        <v>1787</v>
      </c>
      <c r="F140" s="2824"/>
      <c r="G140" s="14274" t="s">
        <v>1739</v>
      </c>
      <c r="H140" s="14275"/>
    </row>
    <row r="141" spans="1:8" ht="20.100000000000001" customHeight="1">
      <c r="A141" s="14276" t="s">
        <v>1788</v>
      </c>
      <c r="B141" s="14277"/>
      <c r="C141" s="2828" t="s">
        <v>1762</v>
      </c>
      <c r="D141" s="2828" t="s">
        <v>1736</v>
      </c>
      <c r="E141" s="2827" t="s">
        <v>1804</v>
      </c>
      <c r="F141" s="2827" t="s">
        <v>1764</v>
      </c>
      <c r="G141" s="2829" t="s">
        <v>1789</v>
      </c>
      <c r="H141" s="2829" t="s">
        <v>1790</v>
      </c>
    </row>
    <row r="142" spans="1:8" ht="20.100000000000001" customHeight="1">
      <c r="A142" s="14278" t="s">
        <v>472</v>
      </c>
      <c r="B142" s="14279"/>
      <c r="C142" s="2831" t="s">
        <v>473</v>
      </c>
      <c r="D142" s="2831" t="s">
        <v>474</v>
      </c>
      <c r="E142" s="2830" t="s">
        <v>475</v>
      </c>
      <c r="F142" s="2830" t="s">
        <v>476</v>
      </c>
      <c r="G142" s="14258" t="s">
        <v>477</v>
      </c>
      <c r="H142" s="14259"/>
    </row>
    <row r="143" spans="1:8" ht="26.25" customHeight="1">
      <c r="A143" s="2886"/>
      <c r="B143" s="2887"/>
      <c r="C143" s="2886" t="s">
        <v>5217</v>
      </c>
      <c r="D143" s="2888">
        <f>D134</f>
        <v>3753760</v>
      </c>
      <c r="E143" s="2887"/>
      <c r="F143" s="2889"/>
      <c r="G143" s="2890"/>
      <c r="H143" s="2887"/>
    </row>
    <row r="144" spans="1:8" ht="11.25" customHeight="1">
      <c r="A144" s="2892"/>
      <c r="B144" s="2894"/>
      <c r="C144" s="2892"/>
      <c r="D144" s="2893"/>
      <c r="E144" s="2894"/>
      <c r="F144" s="2895"/>
      <c r="G144" s="2896"/>
      <c r="H144" s="2894"/>
    </row>
    <row r="145" spans="1:8" ht="23.25" customHeight="1">
      <c r="A145" s="2891"/>
      <c r="B145" s="2815"/>
      <c r="C145" s="2957" t="s">
        <v>3837</v>
      </c>
      <c r="D145" s="2958"/>
      <c r="E145" s="2955"/>
      <c r="F145" s="2956"/>
      <c r="G145" s="2946"/>
      <c r="H145" s="2946"/>
    </row>
    <row r="146" spans="1:8" ht="93.75" customHeight="1">
      <c r="A146" s="2891"/>
      <c r="B146" s="2815"/>
      <c r="C146" s="2956" t="s">
        <v>5303</v>
      </c>
      <c r="D146" s="2954">
        <v>50000</v>
      </c>
      <c r="E146" s="2955" t="s">
        <v>3838</v>
      </c>
      <c r="F146" s="2956" t="s">
        <v>5304</v>
      </c>
      <c r="G146" s="2946" t="s">
        <v>1766</v>
      </c>
      <c r="H146" s="2946" t="s">
        <v>1767</v>
      </c>
    </row>
    <row r="147" spans="1:8" ht="84" customHeight="1">
      <c r="A147" s="2891"/>
      <c r="B147" s="2815"/>
      <c r="C147" s="2956" t="s">
        <v>5305</v>
      </c>
      <c r="D147" s="2954">
        <v>40000</v>
      </c>
      <c r="E147" s="2955" t="s">
        <v>4602</v>
      </c>
      <c r="F147" s="2956" t="s">
        <v>5306</v>
      </c>
      <c r="G147" s="2946" t="s">
        <v>1766</v>
      </c>
      <c r="H147" s="2946" t="s">
        <v>1767</v>
      </c>
    </row>
    <row r="148" spans="1:8" ht="44.25" customHeight="1">
      <c r="A148" s="2891"/>
      <c r="B148" s="2815"/>
      <c r="C148" s="2959" t="s">
        <v>5307</v>
      </c>
      <c r="D148" s="2954">
        <v>50000</v>
      </c>
      <c r="E148" s="2955" t="s">
        <v>5308</v>
      </c>
      <c r="F148" s="2956" t="s">
        <v>5309</v>
      </c>
      <c r="G148" s="2946" t="s">
        <v>1766</v>
      </c>
      <c r="H148" s="2946" t="s">
        <v>1767</v>
      </c>
    </row>
    <row r="149" spans="1:8" ht="53.25" customHeight="1">
      <c r="A149" s="2891"/>
      <c r="B149" s="2815"/>
      <c r="C149" s="2956" t="s">
        <v>5310</v>
      </c>
      <c r="D149" s="2954">
        <v>40000</v>
      </c>
      <c r="E149" s="2955" t="s">
        <v>5311</v>
      </c>
      <c r="F149" s="2956" t="s">
        <v>5312</v>
      </c>
      <c r="G149" s="2946" t="s">
        <v>1766</v>
      </c>
      <c r="H149" s="2946" t="s">
        <v>1767</v>
      </c>
    </row>
    <row r="150" spans="1:8" ht="73.5" customHeight="1">
      <c r="A150" s="2891"/>
      <c r="B150" s="2815"/>
      <c r="C150" s="2960" t="s">
        <v>5313</v>
      </c>
      <c r="D150" s="2954">
        <v>200000</v>
      </c>
      <c r="E150" s="2955" t="s">
        <v>5314</v>
      </c>
      <c r="F150" s="2956" t="s">
        <v>5315</v>
      </c>
      <c r="G150" s="2946" t="s">
        <v>1766</v>
      </c>
      <c r="H150" s="2946" t="s">
        <v>1767</v>
      </c>
    </row>
    <row r="151" spans="1:8" ht="39.75" customHeight="1">
      <c r="A151" s="2891"/>
      <c r="B151" s="2815"/>
      <c r="C151" s="2960" t="s">
        <v>5316</v>
      </c>
      <c r="D151" s="2954">
        <v>150000</v>
      </c>
      <c r="E151" s="2955" t="s">
        <v>5317</v>
      </c>
      <c r="F151" s="2956" t="s">
        <v>5318</v>
      </c>
      <c r="G151" s="2946" t="s">
        <v>1766</v>
      </c>
      <c r="H151" s="2946" t="s">
        <v>1767</v>
      </c>
    </row>
    <row r="152" spans="1:8" ht="44.25" customHeight="1">
      <c r="A152" s="2891"/>
      <c r="B152" s="2815"/>
      <c r="C152" s="2956" t="s">
        <v>5319</v>
      </c>
      <c r="D152" s="2954">
        <v>70000</v>
      </c>
      <c r="E152" s="2955" t="s">
        <v>3839</v>
      </c>
      <c r="F152" s="2956" t="s">
        <v>3840</v>
      </c>
      <c r="G152" s="2946" t="s">
        <v>1766</v>
      </c>
      <c r="H152" s="2946" t="s">
        <v>1767</v>
      </c>
    </row>
    <row r="153" spans="1:8" ht="56.25" customHeight="1">
      <c r="A153" s="2891"/>
      <c r="B153" s="2815"/>
      <c r="C153" s="2956" t="s">
        <v>5320</v>
      </c>
      <c r="D153" s="2954">
        <v>100000</v>
      </c>
      <c r="E153" s="2955" t="s">
        <v>5321</v>
      </c>
      <c r="F153" s="2956" t="s">
        <v>5322</v>
      </c>
      <c r="G153" s="2946" t="s">
        <v>1766</v>
      </c>
      <c r="H153" s="2946" t="s">
        <v>1767</v>
      </c>
    </row>
    <row r="154" spans="1:8" ht="17.25" customHeight="1">
      <c r="A154" s="2891"/>
      <c r="B154" s="2815"/>
      <c r="C154" s="2957" t="s">
        <v>5323</v>
      </c>
      <c r="D154" s="2954"/>
      <c r="E154" s="2955"/>
      <c r="F154" s="2956"/>
      <c r="G154" s="2946" t="s">
        <v>1766</v>
      </c>
      <c r="H154" s="2946" t="s">
        <v>1767</v>
      </c>
    </row>
    <row r="155" spans="1:8" ht="42" customHeight="1">
      <c r="A155" s="2891"/>
      <c r="B155" s="2815"/>
      <c r="C155" s="2956" t="s">
        <v>5324</v>
      </c>
      <c r="D155" s="2954">
        <v>200000</v>
      </c>
      <c r="E155" s="2955" t="s">
        <v>3839</v>
      </c>
      <c r="F155" s="2956" t="s">
        <v>5325</v>
      </c>
      <c r="G155" s="2946" t="s">
        <v>1766</v>
      </c>
      <c r="H155" s="2946" t="s">
        <v>1767</v>
      </c>
    </row>
    <row r="156" spans="1:8" ht="76.5" customHeight="1">
      <c r="A156" s="3106"/>
      <c r="B156" s="2815"/>
      <c r="C156" s="3108" t="s">
        <v>5326</v>
      </c>
      <c r="D156" s="3109">
        <v>250000</v>
      </c>
      <c r="E156" s="3108" t="s">
        <v>5327</v>
      </c>
      <c r="F156" s="3110" t="s">
        <v>5328</v>
      </c>
      <c r="G156" s="3111" t="s">
        <v>1766</v>
      </c>
      <c r="H156" s="3111" t="s">
        <v>1767</v>
      </c>
    </row>
    <row r="157" spans="1:8" ht="17.25" customHeight="1">
      <c r="A157" s="3102"/>
      <c r="B157" s="3103"/>
      <c r="C157" s="3051" t="s">
        <v>182</v>
      </c>
      <c r="D157" s="3104">
        <f>SUM(D143:D156)</f>
        <v>4903760</v>
      </c>
      <c r="E157" s="3105"/>
      <c r="F157" s="3105"/>
      <c r="G157" s="3105"/>
      <c r="H157" s="3105"/>
    </row>
    <row r="158" spans="1:8" ht="18.75" customHeight="1">
      <c r="A158" s="2815"/>
      <c r="B158" s="2815"/>
      <c r="C158" s="3112"/>
      <c r="D158" s="3113"/>
      <c r="E158" s="3112"/>
      <c r="F158" s="3114"/>
      <c r="G158" s="3115"/>
      <c r="H158" s="3115"/>
    </row>
    <row r="159" spans="1:8" ht="18.75" customHeight="1">
      <c r="A159" s="2815"/>
      <c r="B159" s="2815"/>
      <c r="C159" s="3112"/>
      <c r="D159" s="3113"/>
      <c r="E159" s="3112"/>
      <c r="F159" s="3114"/>
      <c r="G159" s="3115"/>
      <c r="H159" s="3115"/>
    </row>
    <row r="160" spans="1:8" ht="18.75" customHeight="1">
      <c r="A160" s="2815"/>
      <c r="B160" s="2815"/>
      <c r="C160" s="3112"/>
      <c r="D160" s="3113"/>
      <c r="E160" s="3112"/>
      <c r="F160" s="3114"/>
      <c r="G160" s="3115"/>
      <c r="H160" s="3115"/>
    </row>
    <row r="161" spans="1:8" ht="18.75" customHeight="1">
      <c r="A161" s="2815"/>
      <c r="B161" s="2815"/>
      <c r="C161" s="3112"/>
      <c r="D161" s="3113"/>
      <c r="E161" s="3112"/>
      <c r="F161" s="3114"/>
      <c r="G161" s="3115"/>
      <c r="H161" s="3115"/>
    </row>
    <row r="162" spans="1:8" ht="18.75" customHeight="1">
      <c r="A162" s="3116"/>
      <c r="B162" s="3116"/>
      <c r="C162" s="3117"/>
      <c r="D162" s="3118"/>
      <c r="E162" s="3117"/>
      <c r="F162" s="3107"/>
      <c r="G162" s="3119"/>
      <c r="H162" s="3119"/>
    </row>
    <row r="163" spans="1:8" ht="20.100000000000001" customHeight="1">
      <c r="A163" s="14272" t="s">
        <v>94</v>
      </c>
      <c r="B163" s="14273"/>
      <c r="C163" s="2826" t="s">
        <v>1759</v>
      </c>
      <c r="D163" s="2826"/>
      <c r="E163" s="2824" t="s">
        <v>1787</v>
      </c>
      <c r="F163" s="2824"/>
      <c r="G163" s="14274" t="s">
        <v>1739</v>
      </c>
      <c r="H163" s="14275"/>
    </row>
    <row r="164" spans="1:8" ht="20.100000000000001" customHeight="1">
      <c r="A164" s="14276" t="s">
        <v>1788</v>
      </c>
      <c r="B164" s="14277"/>
      <c r="C164" s="2828" t="s">
        <v>1762</v>
      </c>
      <c r="D164" s="2828" t="s">
        <v>1736</v>
      </c>
      <c r="E164" s="2827" t="s">
        <v>1804</v>
      </c>
      <c r="F164" s="2827" t="s">
        <v>1764</v>
      </c>
      <c r="G164" s="2829" t="s">
        <v>1789</v>
      </c>
      <c r="H164" s="2829" t="s">
        <v>1790</v>
      </c>
    </row>
    <row r="165" spans="1:8" ht="20.100000000000001" customHeight="1">
      <c r="A165" s="14278" t="s">
        <v>472</v>
      </c>
      <c r="B165" s="14279"/>
      <c r="C165" s="2831" t="s">
        <v>473</v>
      </c>
      <c r="D165" s="2831" t="s">
        <v>474</v>
      </c>
      <c r="E165" s="2830" t="s">
        <v>475</v>
      </c>
      <c r="F165" s="2830" t="s">
        <v>476</v>
      </c>
      <c r="G165" s="14258" t="s">
        <v>477</v>
      </c>
      <c r="H165" s="14259"/>
    </row>
    <row r="166" spans="1:8" ht="20.25" customHeight="1">
      <c r="A166" s="2886"/>
      <c r="B166" s="2887"/>
      <c r="C166" s="2886" t="s">
        <v>5217</v>
      </c>
      <c r="D166" s="2888">
        <f>D157</f>
        <v>4903760</v>
      </c>
      <c r="E166" s="2887"/>
      <c r="F166" s="2889"/>
      <c r="G166" s="2890"/>
      <c r="H166" s="2887"/>
    </row>
    <row r="167" spans="1:8" ht="6.75" customHeight="1">
      <c r="A167" s="2892"/>
      <c r="B167" s="2894"/>
      <c r="C167" s="2892"/>
      <c r="D167" s="2893"/>
      <c r="E167" s="2894"/>
      <c r="F167" s="2895"/>
      <c r="G167" s="2896"/>
      <c r="H167" s="2894"/>
    </row>
    <row r="168" spans="1:8" ht="38.25" customHeight="1">
      <c r="A168" s="2919"/>
      <c r="B168" s="2920"/>
      <c r="C168" s="2961" t="s">
        <v>5329</v>
      </c>
      <c r="D168" s="2962"/>
      <c r="E168" s="2963"/>
      <c r="F168" s="2964"/>
      <c r="G168" s="2965"/>
      <c r="H168" s="2852"/>
    </row>
    <row r="169" spans="1:8" ht="74.25" customHeight="1">
      <c r="A169" s="2891"/>
      <c r="B169" s="2815"/>
      <c r="C169" s="14269" t="s">
        <v>3841</v>
      </c>
      <c r="D169" s="14270"/>
      <c r="E169" s="2966"/>
      <c r="F169" s="2967"/>
      <c r="G169" s="2968"/>
      <c r="H169" s="2828"/>
    </row>
    <row r="170" spans="1:8" ht="54.75" customHeight="1">
      <c r="A170" s="2891"/>
      <c r="B170" s="2815"/>
      <c r="C170" s="2969" t="s">
        <v>3842</v>
      </c>
      <c r="D170" s="2970">
        <v>30000</v>
      </c>
      <c r="E170" s="2971" t="s">
        <v>3843</v>
      </c>
      <c r="F170" s="2972" t="s">
        <v>3844</v>
      </c>
      <c r="G170" s="2946" t="s">
        <v>1766</v>
      </c>
      <c r="H170" s="2946" t="s">
        <v>1767</v>
      </c>
    </row>
    <row r="171" spans="1:8" ht="74.25" customHeight="1">
      <c r="A171" s="2891"/>
      <c r="B171" s="2815"/>
      <c r="C171" s="2969" t="s">
        <v>3845</v>
      </c>
      <c r="D171" s="14271">
        <v>50000</v>
      </c>
      <c r="E171" s="2971" t="s">
        <v>3846</v>
      </c>
      <c r="F171" s="2973" t="s">
        <v>5330</v>
      </c>
      <c r="G171" s="2946" t="s">
        <v>1766</v>
      </c>
      <c r="H171" s="2946" t="s">
        <v>1767</v>
      </c>
    </row>
    <row r="172" spans="1:8" ht="44.25" customHeight="1">
      <c r="A172" s="2891"/>
      <c r="B172" s="2815"/>
      <c r="C172" s="2974" t="s">
        <v>3848</v>
      </c>
      <c r="D172" s="14271"/>
      <c r="E172" s="2971" t="s">
        <v>3849</v>
      </c>
      <c r="F172" s="2973" t="s">
        <v>5331</v>
      </c>
      <c r="G172" s="2946" t="s">
        <v>1766</v>
      </c>
      <c r="H172" s="2946" t="s">
        <v>1767</v>
      </c>
    </row>
    <row r="173" spans="1:8" ht="53.25" customHeight="1">
      <c r="A173" s="2891"/>
      <c r="B173" s="2815"/>
      <c r="C173" s="2974" t="s">
        <v>3850</v>
      </c>
      <c r="D173" s="14271"/>
      <c r="E173" s="2971" t="s">
        <v>3851</v>
      </c>
      <c r="F173" s="2973" t="s">
        <v>3847</v>
      </c>
      <c r="G173" s="2946" t="s">
        <v>1766</v>
      </c>
      <c r="H173" s="2946" t="s">
        <v>1767</v>
      </c>
    </row>
    <row r="174" spans="1:8" ht="43.5" customHeight="1">
      <c r="A174" s="2891"/>
      <c r="B174" s="2815"/>
      <c r="C174" s="2975" t="s">
        <v>3852</v>
      </c>
      <c r="D174" s="2976"/>
      <c r="E174" s="2977"/>
      <c r="F174" s="2973"/>
      <c r="G174" s="2977" t="s">
        <v>1766</v>
      </c>
      <c r="H174" s="2862" t="s">
        <v>1767</v>
      </c>
    </row>
    <row r="175" spans="1:8" ht="42.75" customHeight="1">
      <c r="A175" s="2891"/>
      <c r="B175" s="2815"/>
      <c r="C175" s="2978" t="s">
        <v>3853</v>
      </c>
      <c r="D175" s="2979">
        <v>40000</v>
      </c>
      <c r="E175" s="2980" t="s">
        <v>3854</v>
      </c>
      <c r="F175" s="2981" t="s">
        <v>3855</v>
      </c>
      <c r="G175" s="2942" t="s">
        <v>1766</v>
      </c>
      <c r="H175" s="2942" t="s">
        <v>1767</v>
      </c>
    </row>
    <row r="176" spans="1:8" ht="35.25" customHeight="1">
      <c r="A176" s="2919"/>
      <c r="B176" s="2920"/>
      <c r="C176" s="14267" t="s">
        <v>1821</v>
      </c>
      <c r="D176" s="14268"/>
      <c r="E176" s="2982"/>
      <c r="F176" s="2983"/>
      <c r="G176" s="2852"/>
      <c r="H176" s="2852"/>
    </row>
    <row r="177" spans="1:8" ht="21.75" customHeight="1">
      <c r="A177" s="2891"/>
      <c r="B177" s="2815"/>
      <c r="C177" s="2957" t="s">
        <v>3856</v>
      </c>
      <c r="D177" s="2984"/>
      <c r="E177" s="2966"/>
      <c r="F177" s="2967"/>
      <c r="G177" s="2968"/>
      <c r="H177" s="2828"/>
    </row>
    <row r="178" spans="1:8" ht="38.25" customHeight="1">
      <c r="A178" s="2891"/>
      <c r="B178" s="2815"/>
      <c r="C178" s="2934" t="s">
        <v>3857</v>
      </c>
      <c r="D178" s="2985">
        <v>15000</v>
      </c>
      <c r="E178" s="2986" t="s">
        <v>3858</v>
      </c>
      <c r="F178" s="2987" t="s">
        <v>3859</v>
      </c>
      <c r="G178" s="2946" t="s">
        <v>1766</v>
      </c>
      <c r="H178" s="2946" t="s">
        <v>1767</v>
      </c>
    </row>
    <row r="179" spans="1:8" ht="39" customHeight="1">
      <c r="A179" s="2891"/>
      <c r="B179" s="2815"/>
      <c r="C179" s="2934" t="s">
        <v>3860</v>
      </c>
      <c r="D179" s="2988">
        <v>15000</v>
      </c>
      <c r="E179" s="2986" t="s">
        <v>3858</v>
      </c>
      <c r="F179" s="2987" t="s">
        <v>3859</v>
      </c>
      <c r="G179" s="2946" t="s">
        <v>1766</v>
      </c>
      <c r="H179" s="2946" t="s">
        <v>1767</v>
      </c>
    </row>
    <row r="180" spans="1:8" ht="39" customHeight="1">
      <c r="A180" s="3106"/>
      <c r="B180" s="2815"/>
      <c r="C180" s="3120"/>
      <c r="D180" s="3141"/>
      <c r="E180" s="3142"/>
      <c r="F180" s="3143"/>
      <c r="G180" s="3111"/>
      <c r="H180" s="3111"/>
    </row>
    <row r="181" spans="1:8" ht="17.25" customHeight="1">
      <c r="A181" s="3102"/>
      <c r="B181" s="3103"/>
      <c r="C181" s="3051" t="s">
        <v>182</v>
      </c>
      <c r="D181" s="3104">
        <f>SUM(D166:D179)</f>
        <v>5053760</v>
      </c>
      <c r="E181" s="3105"/>
      <c r="F181" s="3105"/>
      <c r="G181" s="3105"/>
      <c r="H181" s="3105"/>
    </row>
    <row r="182" spans="1:8" ht="22.5" customHeight="1">
      <c r="A182" s="2815"/>
      <c r="B182" s="2815"/>
      <c r="C182" s="3087"/>
      <c r="D182" s="3121"/>
      <c r="E182" s="3112"/>
      <c r="F182" s="3114"/>
      <c r="G182" s="3115"/>
      <c r="H182" s="3115"/>
    </row>
    <row r="183" spans="1:8" ht="22.5" customHeight="1">
      <c r="A183" s="2815"/>
      <c r="B183" s="2815"/>
      <c r="C183" s="3087"/>
      <c r="D183" s="3121"/>
      <c r="E183" s="3112"/>
      <c r="F183" s="3114"/>
      <c r="G183" s="3115"/>
      <c r="H183" s="3115"/>
    </row>
    <row r="184" spans="1:8" ht="22.5" customHeight="1">
      <c r="A184" s="2815"/>
      <c r="B184" s="2815"/>
      <c r="C184" s="3087"/>
      <c r="D184" s="3121"/>
      <c r="E184" s="3112"/>
      <c r="F184" s="3114"/>
      <c r="G184" s="3115"/>
      <c r="H184" s="3115"/>
    </row>
    <row r="185" spans="1:8" ht="22.5" customHeight="1">
      <c r="A185" s="2815"/>
      <c r="B185" s="2815"/>
      <c r="C185" s="3087"/>
      <c r="D185" s="3121"/>
      <c r="E185" s="3112"/>
      <c r="F185" s="3114"/>
      <c r="G185" s="3115"/>
      <c r="H185" s="3115"/>
    </row>
    <row r="186" spans="1:8" s="2814" customFormat="1" ht="22.5" customHeight="1">
      <c r="A186" s="2815"/>
      <c r="B186" s="2815"/>
      <c r="C186" s="3087"/>
      <c r="D186" s="3121"/>
      <c r="E186" s="3112"/>
      <c r="F186" s="3114"/>
      <c r="G186" s="3115"/>
      <c r="H186" s="3115"/>
    </row>
    <row r="187" spans="1:8" s="2814" customFormat="1" ht="22.5" customHeight="1">
      <c r="A187" s="2815"/>
      <c r="B187" s="2815"/>
      <c r="C187" s="3087"/>
      <c r="D187" s="3121"/>
      <c r="E187" s="3112"/>
      <c r="F187" s="3114"/>
      <c r="G187" s="3115"/>
      <c r="H187" s="3115"/>
    </row>
    <row r="188" spans="1:8" s="2814" customFormat="1" ht="22.5" customHeight="1">
      <c r="A188" s="2815"/>
      <c r="B188" s="2815"/>
      <c r="C188" s="3087"/>
      <c r="D188" s="3121"/>
      <c r="E188" s="3112"/>
      <c r="F188" s="3114"/>
      <c r="G188" s="3119"/>
      <c r="H188" s="3119"/>
    </row>
    <row r="189" spans="1:8" ht="20.100000000000001" customHeight="1">
      <c r="A189" s="14272" t="s">
        <v>94</v>
      </c>
      <c r="B189" s="14273"/>
      <c r="C189" s="2826" t="s">
        <v>1759</v>
      </c>
      <c r="D189" s="2826"/>
      <c r="E189" s="2824" t="s">
        <v>1787</v>
      </c>
      <c r="F189" s="2824"/>
      <c r="G189" s="14274" t="s">
        <v>1739</v>
      </c>
      <c r="H189" s="14275"/>
    </row>
    <row r="190" spans="1:8" ht="20.100000000000001" customHeight="1">
      <c r="A190" s="14276" t="s">
        <v>1788</v>
      </c>
      <c r="B190" s="14277"/>
      <c r="C190" s="2828" t="s">
        <v>1762</v>
      </c>
      <c r="D190" s="2828" t="s">
        <v>1736</v>
      </c>
      <c r="E190" s="2827" t="s">
        <v>1804</v>
      </c>
      <c r="F190" s="2827" t="s">
        <v>1764</v>
      </c>
      <c r="G190" s="2829" t="s">
        <v>1789</v>
      </c>
      <c r="H190" s="2829" t="s">
        <v>1790</v>
      </c>
    </row>
    <row r="191" spans="1:8" ht="20.100000000000001" customHeight="1">
      <c r="A191" s="14278" t="s">
        <v>472</v>
      </c>
      <c r="B191" s="14279"/>
      <c r="C191" s="2831" t="s">
        <v>473</v>
      </c>
      <c r="D191" s="2831" t="s">
        <v>474</v>
      </c>
      <c r="E191" s="2830" t="s">
        <v>475</v>
      </c>
      <c r="F191" s="2830" t="s">
        <v>476</v>
      </c>
      <c r="G191" s="14258" t="s">
        <v>477</v>
      </c>
      <c r="H191" s="14259"/>
    </row>
    <row r="192" spans="1:8" ht="20.25" customHeight="1">
      <c r="A192" s="2886"/>
      <c r="B192" s="2887"/>
      <c r="C192" s="2886" t="s">
        <v>5217</v>
      </c>
      <c r="D192" s="2888">
        <f>D181</f>
        <v>5053760</v>
      </c>
      <c r="E192" s="2887"/>
      <c r="F192" s="2889"/>
      <c r="G192" s="2890"/>
      <c r="H192" s="2887"/>
    </row>
    <row r="193" spans="1:8" ht="6.75" customHeight="1">
      <c r="A193" s="2892"/>
      <c r="B193" s="2894"/>
      <c r="C193" s="2892"/>
      <c r="D193" s="2893"/>
      <c r="E193" s="2894"/>
      <c r="F193" s="2895"/>
      <c r="G193" s="2896"/>
      <c r="H193" s="2894"/>
    </row>
    <row r="194" spans="1:8" ht="18" customHeight="1">
      <c r="A194" s="2891"/>
      <c r="B194" s="2815"/>
      <c r="C194" s="2957" t="s">
        <v>3861</v>
      </c>
      <c r="D194" s="2989"/>
      <c r="E194" s="2987"/>
      <c r="F194" s="2990"/>
      <c r="G194" s="2991" t="s">
        <v>1766</v>
      </c>
      <c r="H194" s="2828" t="s">
        <v>1767</v>
      </c>
    </row>
    <row r="195" spans="1:8" ht="93" customHeight="1">
      <c r="A195" s="2891"/>
      <c r="B195" s="2815"/>
      <c r="C195" s="2934" t="s">
        <v>3862</v>
      </c>
      <c r="D195" s="2992">
        <v>5000</v>
      </c>
      <c r="E195" s="2993" t="s">
        <v>3863</v>
      </c>
      <c r="F195" s="2861" t="s">
        <v>3864</v>
      </c>
      <c r="G195" s="2946" t="s">
        <v>1766</v>
      </c>
      <c r="H195" s="2946" t="s">
        <v>1767</v>
      </c>
    </row>
    <row r="196" spans="1:8" ht="53.25" customHeight="1">
      <c r="A196" s="2891"/>
      <c r="B196" s="2815"/>
      <c r="C196" s="2934" t="s">
        <v>3865</v>
      </c>
      <c r="D196" s="2994">
        <v>10000</v>
      </c>
      <c r="E196" s="2993" t="s">
        <v>3866</v>
      </c>
      <c r="F196" s="2861" t="s">
        <v>5332</v>
      </c>
      <c r="G196" s="2946" t="s">
        <v>1766</v>
      </c>
      <c r="H196" s="2946" t="s">
        <v>1767</v>
      </c>
    </row>
    <row r="197" spans="1:8" ht="36.75" customHeight="1">
      <c r="A197" s="2891"/>
      <c r="B197" s="2815"/>
      <c r="C197" s="2934" t="s">
        <v>5333</v>
      </c>
      <c r="D197" s="2994">
        <v>5000</v>
      </c>
      <c r="E197" s="2995" t="s">
        <v>5334</v>
      </c>
      <c r="F197" s="2861" t="s">
        <v>3593</v>
      </c>
      <c r="G197" s="2946" t="s">
        <v>1766</v>
      </c>
      <c r="H197" s="2946" t="s">
        <v>1767</v>
      </c>
    </row>
    <row r="198" spans="1:8" ht="44.25" customHeight="1">
      <c r="A198" s="2891"/>
      <c r="B198" s="2815"/>
      <c r="C198" s="2934" t="s">
        <v>5335</v>
      </c>
      <c r="D198" s="2994">
        <v>25000</v>
      </c>
      <c r="E198" s="2995" t="s">
        <v>5336</v>
      </c>
      <c r="F198" s="2861" t="s">
        <v>5337</v>
      </c>
      <c r="G198" s="2946" t="s">
        <v>1766</v>
      </c>
      <c r="H198" s="2946" t="s">
        <v>1767</v>
      </c>
    </row>
    <row r="199" spans="1:8" ht="36" customHeight="1">
      <c r="A199" s="2892"/>
      <c r="B199" s="2894"/>
      <c r="C199" s="2996" t="s">
        <v>5338</v>
      </c>
      <c r="D199" s="2997">
        <v>5000</v>
      </c>
      <c r="E199" s="2998" t="s">
        <v>5339</v>
      </c>
      <c r="F199" s="2996" t="s">
        <v>5340</v>
      </c>
      <c r="G199" s="2946" t="s">
        <v>1766</v>
      </c>
      <c r="H199" s="2946" t="s">
        <v>1767</v>
      </c>
    </row>
    <row r="200" spans="1:8" ht="24.75" customHeight="1">
      <c r="A200" s="2919"/>
      <c r="B200" s="2920"/>
      <c r="C200" s="14280" t="s">
        <v>3867</v>
      </c>
      <c r="D200" s="14281"/>
      <c r="E200" s="2999"/>
      <c r="F200" s="2949"/>
      <c r="G200" s="2899"/>
      <c r="H200" s="2899"/>
    </row>
    <row r="201" spans="1:8" ht="51.75" customHeight="1">
      <c r="A201" s="2891"/>
      <c r="B201" s="2815"/>
      <c r="C201" s="3000" t="s">
        <v>5341</v>
      </c>
      <c r="D201" s="3001">
        <v>10000</v>
      </c>
      <c r="E201" s="2993" t="s">
        <v>5342</v>
      </c>
      <c r="F201" s="3000" t="s">
        <v>5343</v>
      </c>
      <c r="G201" s="3002" t="s">
        <v>1766</v>
      </c>
      <c r="H201" s="3002" t="s">
        <v>1767</v>
      </c>
    </row>
    <row r="202" spans="1:8" ht="44.25" customHeight="1">
      <c r="A202" s="2891"/>
      <c r="B202" s="2815"/>
      <c r="C202" s="3003" t="s">
        <v>5344</v>
      </c>
      <c r="D202" s="3004">
        <v>10000</v>
      </c>
      <c r="E202" s="3003" t="s">
        <v>5345</v>
      </c>
      <c r="F202" s="3005" t="s">
        <v>5346</v>
      </c>
      <c r="G202" s="2946" t="s">
        <v>1766</v>
      </c>
      <c r="H202" s="2946" t="s">
        <v>1767</v>
      </c>
    </row>
    <row r="203" spans="1:8" ht="81.75" customHeight="1">
      <c r="A203" s="2891"/>
      <c r="B203" s="2815"/>
      <c r="C203" s="3003" t="s">
        <v>5347</v>
      </c>
      <c r="D203" s="3004">
        <v>25000</v>
      </c>
      <c r="E203" s="3003" t="s">
        <v>5348</v>
      </c>
      <c r="F203" s="3003" t="s">
        <v>5349</v>
      </c>
      <c r="G203" s="2946" t="s">
        <v>1766</v>
      </c>
      <c r="H203" s="2946" t="s">
        <v>1767</v>
      </c>
    </row>
    <row r="204" spans="1:8" ht="59.25" customHeight="1">
      <c r="A204" s="2891"/>
      <c r="B204" s="2815"/>
      <c r="C204" s="3003" t="s">
        <v>5350</v>
      </c>
      <c r="D204" s="3004">
        <v>10000</v>
      </c>
      <c r="E204" s="3003" t="s">
        <v>5351</v>
      </c>
      <c r="F204" s="3005" t="s">
        <v>5352</v>
      </c>
      <c r="G204" s="2946" t="s">
        <v>1766</v>
      </c>
      <c r="H204" s="2946" t="s">
        <v>1767</v>
      </c>
    </row>
    <row r="205" spans="1:8" ht="18" customHeight="1">
      <c r="A205" s="3106"/>
      <c r="B205" s="2815"/>
      <c r="C205" s="3125"/>
      <c r="D205" s="3124"/>
      <c r="E205" s="3125"/>
      <c r="F205" s="3123"/>
      <c r="G205" s="3111"/>
      <c r="H205" s="3111"/>
    </row>
    <row r="206" spans="1:8" ht="18" customHeight="1">
      <c r="A206" s="3106"/>
      <c r="B206" s="2815"/>
      <c r="C206" s="3125"/>
      <c r="D206" s="3124"/>
      <c r="E206" s="3125"/>
      <c r="F206" s="3123"/>
      <c r="G206" s="3111"/>
      <c r="H206" s="3111"/>
    </row>
    <row r="207" spans="1:8" ht="18" customHeight="1">
      <c r="A207" s="3106"/>
      <c r="B207" s="2815"/>
      <c r="C207" s="3125"/>
      <c r="D207" s="3124"/>
      <c r="E207" s="3125"/>
      <c r="F207" s="3123"/>
      <c r="G207" s="3111"/>
      <c r="H207" s="3111"/>
    </row>
    <row r="208" spans="1:8" ht="17.25" customHeight="1">
      <c r="A208" s="3102"/>
      <c r="B208" s="3103"/>
      <c r="C208" s="3051" t="s">
        <v>182</v>
      </c>
      <c r="D208" s="3104">
        <f>SUM(D192:D204)</f>
        <v>5158760</v>
      </c>
      <c r="E208" s="3105"/>
      <c r="F208" s="3105"/>
      <c r="G208" s="3105"/>
      <c r="H208" s="3105"/>
    </row>
    <row r="209" spans="1:8" ht="20.25" customHeight="1">
      <c r="A209" s="2815"/>
      <c r="B209" s="2815"/>
      <c r="C209" s="3126"/>
      <c r="D209" s="3011"/>
      <c r="E209" s="2821"/>
      <c r="F209" s="3126"/>
      <c r="G209" s="3115"/>
      <c r="H209" s="3115"/>
    </row>
    <row r="210" spans="1:8" ht="20.25" customHeight="1">
      <c r="A210" s="2815"/>
      <c r="B210" s="2815"/>
      <c r="C210" s="3126"/>
      <c r="D210" s="3011"/>
      <c r="E210" s="2821"/>
      <c r="F210" s="3126"/>
      <c r="G210" s="3115"/>
      <c r="H210" s="3115"/>
    </row>
    <row r="211" spans="1:8" ht="20.25" customHeight="1">
      <c r="A211" s="2815"/>
      <c r="B211" s="2815"/>
      <c r="C211" s="3126"/>
      <c r="D211" s="3011"/>
      <c r="E211" s="2821"/>
      <c r="F211" s="3126"/>
      <c r="G211" s="3115"/>
      <c r="H211" s="3115"/>
    </row>
    <row r="212" spans="1:8" ht="20.25" customHeight="1">
      <c r="A212" s="2815"/>
      <c r="B212" s="2815"/>
      <c r="C212" s="3126"/>
      <c r="D212" s="3011"/>
      <c r="E212" s="2821"/>
      <c r="F212" s="3126"/>
      <c r="G212" s="3115"/>
      <c r="H212" s="3115"/>
    </row>
    <row r="213" spans="1:8" ht="20.25" customHeight="1">
      <c r="A213" s="2815"/>
      <c r="B213" s="2815"/>
      <c r="C213" s="3126"/>
      <c r="D213" s="3011"/>
      <c r="E213" s="2821"/>
      <c r="F213" s="3126"/>
      <c r="G213" s="3115"/>
      <c r="H213" s="3115"/>
    </row>
    <row r="214" spans="1:8" ht="20.25" customHeight="1">
      <c r="A214" s="2815"/>
      <c r="B214" s="2815"/>
      <c r="C214" s="3126"/>
      <c r="D214" s="3011"/>
      <c r="E214" s="2821"/>
      <c r="F214" s="3126"/>
      <c r="G214" s="3115"/>
      <c r="H214" s="3115"/>
    </row>
    <row r="215" spans="1:8" ht="20.25" customHeight="1">
      <c r="A215" s="2815"/>
      <c r="B215" s="2815"/>
      <c r="C215" s="3126"/>
      <c r="D215" s="3011"/>
      <c r="E215" s="2821"/>
      <c r="F215" s="3126"/>
      <c r="G215" s="3115"/>
      <c r="H215" s="3115"/>
    </row>
    <row r="216" spans="1:8" ht="20.25" customHeight="1">
      <c r="A216" s="3116"/>
      <c r="B216" s="3116"/>
      <c r="C216" s="3127"/>
      <c r="D216" s="3128"/>
      <c r="E216" s="3129"/>
      <c r="F216" s="3127"/>
      <c r="G216" s="3119"/>
      <c r="H216" s="3119"/>
    </row>
    <row r="217" spans="1:8" ht="20.100000000000001" customHeight="1">
      <c r="A217" s="14272" t="s">
        <v>94</v>
      </c>
      <c r="B217" s="14273"/>
      <c r="C217" s="2826" t="s">
        <v>1759</v>
      </c>
      <c r="D217" s="2826"/>
      <c r="E217" s="2824" t="s">
        <v>1787</v>
      </c>
      <c r="F217" s="2824"/>
      <c r="G217" s="14274" t="s">
        <v>1739</v>
      </c>
      <c r="H217" s="14275"/>
    </row>
    <row r="218" spans="1:8" ht="20.100000000000001" customHeight="1">
      <c r="A218" s="14276" t="s">
        <v>1788</v>
      </c>
      <c r="B218" s="14277"/>
      <c r="C218" s="2828" t="s">
        <v>1762</v>
      </c>
      <c r="D218" s="2828" t="s">
        <v>1736</v>
      </c>
      <c r="E218" s="2827" t="s">
        <v>1804</v>
      </c>
      <c r="F218" s="2827" t="s">
        <v>1764</v>
      </c>
      <c r="G218" s="2829" t="s">
        <v>1789</v>
      </c>
      <c r="H218" s="2829" t="s">
        <v>1790</v>
      </c>
    </row>
    <row r="219" spans="1:8" ht="20.100000000000001" customHeight="1">
      <c r="A219" s="14278" t="s">
        <v>472</v>
      </c>
      <c r="B219" s="14279"/>
      <c r="C219" s="2831" t="s">
        <v>473</v>
      </c>
      <c r="D219" s="2831" t="s">
        <v>474</v>
      </c>
      <c r="E219" s="2830" t="s">
        <v>475</v>
      </c>
      <c r="F219" s="2830" t="s">
        <v>476</v>
      </c>
      <c r="G219" s="14258" t="s">
        <v>477</v>
      </c>
      <c r="H219" s="14259"/>
    </row>
    <row r="220" spans="1:8" ht="20.25" customHeight="1">
      <c r="A220" s="2886"/>
      <c r="B220" s="2887"/>
      <c r="C220" s="2886" t="s">
        <v>5217</v>
      </c>
      <c r="D220" s="2888">
        <f>D208</f>
        <v>5158760</v>
      </c>
      <c r="E220" s="2887"/>
      <c r="F220" s="2889"/>
      <c r="G220" s="2890"/>
      <c r="H220" s="2887"/>
    </row>
    <row r="221" spans="1:8" ht="6.75" customHeight="1">
      <c r="A221" s="2892"/>
      <c r="B221" s="2894"/>
      <c r="C221" s="2892"/>
      <c r="D221" s="2893"/>
      <c r="E221" s="2894"/>
      <c r="F221" s="2895"/>
      <c r="G221" s="2896"/>
      <c r="H221" s="2894"/>
    </row>
    <row r="222" spans="1:8" ht="69.75" customHeight="1">
      <c r="A222" s="2891"/>
      <c r="B222" s="2815"/>
      <c r="C222" s="3005" t="s">
        <v>5353</v>
      </c>
      <c r="D222" s="3004">
        <v>20000</v>
      </c>
      <c r="E222" s="3003" t="s">
        <v>5354</v>
      </c>
      <c r="F222" s="3005" t="s">
        <v>5355</v>
      </c>
      <c r="G222" s="2946" t="s">
        <v>1766</v>
      </c>
      <c r="H222" s="2946" t="s">
        <v>1767</v>
      </c>
    </row>
    <row r="223" spans="1:8" ht="63.75" customHeight="1">
      <c r="A223" s="3106"/>
      <c r="B223" s="3122"/>
      <c r="C223" s="3123" t="s">
        <v>5356</v>
      </c>
      <c r="D223" s="3124">
        <v>5000</v>
      </c>
      <c r="E223" s="3125" t="s">
        <v>5357</v>
      </c>
      <c r="F223" s="3123" t="s">
        <v>5358</v>
      </c>
      <c r="G223" s="3111" t="s">
        <v>1766</v>
      </c>
      <c r="H223" s="3111" t="s">
        <v>1767</v>
      </c>
    </row>
    <row r="224" spans="1:8" ht="32.25" customHeight="1">
      <c r="A224" s="3006"/>
      <c r="B224" s="3007"/>
      <c r="C224" s="14267" t="s">
        <v>3868</v>
      </c>
      <c r="D224" s="14268"/>
      <c r="E224" s="2999"/>
      <c r="F224" s="2949"/>
      <c r="G224" s="2899"/>
      <c r="H224" s="2899"/>
    </row>
    <row r="225" spans="1:8" ht="27" customHeight="1">
      <c r="A225" s="2891"/>
      <c r="B225" s="2815"/>
      <c r="C225" s="2950" t="s">
        <v>9248</v>
      </c>
      <c r="D225" s="3008"/>
      <c r="E225" s="3009"/>
      <c r="F225" s="3010"/>
      <c r="G225" s="2825"/>
      <c r="H225" s="2825"/>
    </row>
    <row r="226" spans="1:8" ht="57.75" customHeight="1">
      <c r="A226" s="2891"/>
      <c r="B226" s="2815"/>
      <c r="C226" s="2934" t="s">
        <v>3869</v>
      </c>
      <c r="D226" s="3011">
        <v>200000</v>
      </c>
      <c r="E226" s="3005" t="s">
        <v>3870</v>
      </c>
      <c r="F226" s="3005" t="s">
        <v>5359</v>
      </c>
      <c r="G226" s="2946" t="s">
        <v>1766</v>
      </c>
      <c r="H226" s="2946" t="s">
        <v>1767</v>
      </c>
    </row>
    <row r="227" spans="1:8" ht="30.75" customHeight="1">
      <c r="A227" s="2891"/>
      <c r="B227" s="2815"/>
      <c r="C227" s="2957" t="s">
        <v>3837</v>
      </c>
      <c r="D227" s="3012"/>
      <c r="E227" s="3013"/>
      <c r="F227" s="3013"/>
      <c r="G227" s="3013" t="s">
        <v>1766</v>
      </c>
      <c r="H227" s="3013" t="s">
        <v>1767</v>
      </c>
    </row>
    <row r="228" spans="1:8" ht="130.5" customHeight="1">
      <c r="A228" s="2891"/>
      <c r="B228" s="2815"/>
      <c r="C228" s="2934" t="s">
        <v>5360</v>
      </c>
      <c r="D228" s="3011">
        <v>300000</v>
      </c>
      <c r="E228" s="3005" t="s">
        <v>5361</v>
      </c>
      <c r="F228" s="3005" t="s">
        <v>5362</v>
      </c>
      <c r="G228" s="2946" t="s">
        <v>1766</v>
      </c>
      <c r="H228" s="2946" t="s">
        <v>1767</v>
      </c>
    </row>
    <row r="229" spans="1:8" ht="66" customHeight="1">
      <c r="A229" s="2891"/>
      <c r="B229" s="2815"/>
      <c r="C229" s="2934" t="s">
        <v>5363</v>
      </c>
      <c r="D229" s="3011">
        <v>300000</v>
      </c>
      <c r="E229" s="3005" t="s">
        <v>5364</v>
      </c>
      <c r="F229" s="3005" t="s">
        <v>1824</v>
      </c>
      <c r="G229" s="2946" t="s">
        <v>1766</v>
      </c>
      <c r="H229" s="2946" t="s">
        <v>1767</v>
      </c>
    </row>
    <row r="230" spans="1:8" s="3149" customFormat="1" ht="31.5" customHeight="1">
      <c r="A230" s="3144"/>
      <c r="B230" s="3145"/>
      <c r="C230" s="3146" t="s">
        <v>3871</v>
      </c>
      <c r="D230" s="3147"/>
      <c r="E230" s="3148"/>
      <c r="F230" s="3148"/>
      <c r="G230" s="3148" t="s">
        <v>1766</v>
      </c>
      <c r="H230" s="3148" t="s">
        <v>1767</v>
      </c>
    </row>
    <row r="231" spans="1:8" ht="69.75" customHeight="1">
      <c r="A231" s="2891"/>
      <c r="B231" s="2815"/>
      <c r="C231" s="2939" t="s">
        <v>5365</v>
      </c>
      <c r="D231" s="3014">
        <v>50000</v>
      </c>
      <c r="E231" s="2996" t="s">
        <v>3872</v>
      </c>
      <c r="F231" s="2996" t="s">
        <v>3873</v>
      </c>
      <c r="G231" s="2942" t="s">
        <v>1766</v>
      </c>
      <c r="H231" s="2942" t="s">
        <v>1767</v>
      </c>
    </row>
    <row r="232" spans="1:8" s="3149" customFormat="1" ht="30.75" customHeight="1">
      <c r="A232" s="3150"/>
      <c r="B232" s="3151"/>
      <c r="C232" s="3152" t="s">
        <v>9250</v>
      </c>
      <c r="D232" s="3153">
        <f>SUM(D220:D231)</f>
        <v>6033760</v>
      </c>
      <c r="E232" s="3154"/>
      <c r="F232" s="3154"/>
      <c r="G232" s="3154"/>
      <c r="H232" s="3154"/>
    </row>
    <row r="243" spans="1:8" ht="36" customHeight="1">
      <c r="A243" s="14263" t="s">
        <v>94</v>
      </c>
      <c r="B243" s="14264"/>
      <c r="C243" s="2824" t="s">
        <v>1759</v>
      </c>
      <c r="D243" s="2825"/>
      <c r="E243" s="2824" t="s">
        <v>1787</v>
      </c>
      <c r="F243" s="2825"/>
      <c r="G243" s="14265" t="s">
        <v>1739</v>
      </c>
      <c r="H243" s="14266"/>
    </row>
    <row r="244" spans="1:8" ht="16.5" customHeight="1">
      <c r="A244" s="14255" t="s">
        <v>1788</v>
      </c>
      <c r="B244" s="14257"/>
      <c r="C244" s="2827" t="s">
        <v>1762</v>
      </c>
      <c r="D244" s="2827" t="s">
        <v>1736</v>
      </c>
      <c r="E244" s="2827" t="s">
        <v>1804</v>
      </c>
      <c r="F244" s="2827" t="s">
        <v>1764</v>
      </c>
      <c r="G244" s="2829" t="s">
        <v>1789</v>
      </c>
      <c r="H244" s="2829" t="s">
        <v>1790</v>
      </c>
    </row>
    <row r="245" spans="1:8" ht="20.25" customHeight="1">
      <c r="A245" s="14258" t="s">
        <v>472</v>
      </c>
      <c r="B245" s="14259"/>
      <c r="C245" s="2830" t="s">
        <v>473</v>
      </c>
      <c r="D245" s="2830" t="s">
        <v>474</v>
      </c>
      <c r="E245" s="2830" t="s">
        <v>475</v>
      </c>
      <c r="F245" s="2830" t="s">
        <v>476</v>
      </c>
      <c r="G245" s="14260" t="s">
        <v>477</v>
      </c>
      <c r="H245" s="14261"/>
    </row>
    <row r="246" spans="1:8" ht="9" customHeight="1">
      <c r="A246" s="2832"/>
      <c r="B246" s="2836"/>
      <c r="C246" s="2832"/>
      <c r="D246" s="2834"/>
      <c r="E246" s="2877"/>
      <c r="F246" s="2832"/>
      <c r="G246" s="2832"/>
      <c r="H246" s="2877"/>
    </row>
    <row r="247" spans="1:8" ht="12.75" customHeight="1">
      <c r="A247" s="14258"/>
      <c r="B247" s="14262"/>
      <c r="C247" s="2878" t="s">
        <v>5217</v>
      </c>
      <c r="D247" s="3130">
        <f>D232</f>
        <v>6033760</v>
      </c>
      <c r="E247" s="2892"/>
      <c r="F247" s="2878"/>
      <c r="G247" s="2878"/>
      <c r="H247" s="2830"/>
    </row>
    <row r="248" spans="1:8" ht="8.25" customHeight="1">
      <c r="A248" s="2832"/>
      <c r="B248" s="2836"/>
      <c r="C248" s="3015"/>
      <c r="D248" s="3016"/>
      <c r="E248" s="2891"/>
      <c r="F248" s="2832"/>
      <c r="G248" s="2832"/>
      <c r="H248" s="2834"/>
    </row>
    <row r="249" spans="1:8" ht="18" customHeight="1">
      <c r="A249" s="14255"/>
      <c r="B249" s="14254"/>
      <c r="C249" s="3017" t="s">
        <v>4603</v>
      </c>
      <c r="D249" s="3018"/>
      <c r="E249" s="3019"/>
      <c r="F249" s="2832"/>
      <c r="G249" s="2864"/>
      <c r="H249" s="2827"/>
    </row>
    <row r="250" spans="1:8" ht="39" customHeight="1">
      <c r="A250" s="14255"/>
      <c r="B250" s="14254"/>
      <c r="C250" s="3005" t="s">
        <v>4604</v>
      </c>
      <c r="D250" s="3020">
        <v>5181983</v>
      </c>
      <c r="E250" s="2971" t="s">
        <v>4605</v>
      </c>
      <c r="F250" s="2973" t="s">
        <v>4606</v>
      </c>
      <c r="G250" s="2977" t="s">
        <v>1808</v>
      </c>
      <c r="H250" s="2862" t="s">
        <v>1819</v>
      </c>
    </row>
    <row r="251" spans="1:8" ht="17.25" customHeight="1">
      <c r="A251" s="14255"/>
      <c r="B251" s="14254"/>
      <c r="C251" s="3013" t="s">
        <v>5366</v>
      </c>
      <c r="D251" s="3021"/>
      <c r="E251" s="3022"/>
      <c r="F251" s="2973"/>
      <c r="G251" s="2977"/>
      <c r="H251" s="2862"/>
    </row>
    <row r="252" spans="1:8" ht="17.25" customHeight="1">
      <c r="A252" s="2864"/>
      <c r="B252" s="2812"/>
      <c r="C252" s="3013" t="s">
        <v>5367</v>
      </c>
      <c r="D252" s="2970"/>
      <c r="E252" s="2971"/>
      <c r="F252" s="2973"/>
      <c r="G252" s="2977"/>
      <c r="H252" s="2862"/>
    </row>
    <row r="253" spans="1:8" ht="34.5" customHeight="1">
      <c r="A253" s="14255"/>
      <c r="B253" s="14254"/>
      <c r="C253" s="3013" t="s">
        <v>4607</v>
      </c>
      <c r="D253" s="3020">
        <v>135000</v>
      </c>
      <c r="E253" s="2971" t="s">
        <v>4608</v>
      </c>
      <c r="F253" s="2973" t="s">
        <v>913</v>
      </c>
      <c r="G253" s="2977" t="s">
        <v>1808</v>
      </c>
      <c r="H253" s="2862" t="s">
        <v>1819</v>
      </c>
    </row>
    <row r="254" spans="1:8" ht="19.5" customHeight="1">
      <c r="A254" s="14255"/>
      <c r="B254" s="14254"/>
      <c r="C254" s="3013" t="s">
        <v>4609</v>
      </c>
      <c r="D254" s="3020">
        <v>105000</v>
      </c>
      <c r="E254" s="2971" t="s">
        <v>4610</v>
      </c>
      <c r="F254" s="2973" t="s">
        <v>913</v>
      </c>
      <c r="G254" s="2977" t="s">
        <v>1808</v>
      </c>
      <c r="H254" s="2862" t="s">
        <v>1819</v>
      </c>
    </row>
    <row r="255" spans="1:8" ht="19.5" customHeight="1">
      <c r="A255" s="14255"/>
      <c r="B255" s="14254"/>
      <c r="C255" s="3013" t="s">
        <v>4611</v>
      </c>
      <c r="D255" s="3020">
        <v>190000</v>
      </c>
      <c r="E255" s="2971" t="s">
        <v>4612</v>
      </c>
      <c r="F255" s="2973"/>
      <c r="G255" s="2977" t="s">
        <v>1808</v>
      </c>
      <c r="H255" s="2862" t="s">
        <v>1819</v>
      </c>
    </row>
    <row r="256" spans="1:8" ht="19.5" customHeight="1">
      <c r="A256" s="14255"/>
      <c r="B256" s="14254"/>
      <c r="C256" s="3013" t="s">
        <v>4613</v>
      </c>
      <c r="D256" s="3020">
        <v>300000</v>
      </c>
      <c r="E256" s="2971" t="s">
        <v>4614</v>
      </c>
      <c r="F256" s="2973" t="s">
        <v>4615</v>
      </c>
      <c r="G256" s="2977" t="s">
        <v>1808</v>
      </c>
      <c r="H256" s="2862" t="s">
        <v>1819</v>
      </c>
    </row>
    <row r="257" spans="1:8" ht="18" customHeight="1">
      <c r="A257" s="2864"/>
      <c r="B257" s="2812"/>
      <c r="C257" s="3013" t="s">
        <v>4616</v>
      </c>
      <c r="D257" s="3020">
        <v>10000</v>
      </c>
      <c r="E257" s="2971" t="s">
        <v>4617</v>
      </c>
      <c r="F257" s="2973" t="s">
        <v>920</v>
      </c>
      <c r="G257" s="2977" t="s">
        <v>1808</v>
      </c>
      <c r="H257" s="2862" t="s">
        <v>1819</v>
      </c>
    </row>
    <row r="258" spans="1:8" ht="16.5" customHeight="1">
      <c r="A258" s="2864"/>
      <c r="B258" s="2812"/>
      <c r="C258" s="3013" t="s">
        <v>4618</v>
      </c>
      <c r="D258" s="3020">
        <v>115600</v>
      </c>
      <c r="E258" s="2971" t="s">
        <v>4619</v>
      </c>
      <c r="F258" s="2973" t="s">
        <v>920</v>
      </c>
      <c r="G258" s="2977" t="s">
        <v>1808</v>
      </c>
      <c r="H258" s="2862" t="s">
        <v>1819</v>
      </c>
    </row>
    <row r="259" spans="1:8" ht="16.5" customHeight="1">
      <c r="A259" s="2864"/>
      <c r="B259" s="2812"/>
      <c r="C259" s="3013" t="s">
        <v>4620</v>
      </c>
      <c r="D259" s="3020">
        <v>1000</v>
      </c>
      <c r="E259" s="2971"/>
      <c r="F259" s="2973"/>
      <c r="G259" s="2977" t="s">
        <v>1808</v>
      </c>
      <c r="H259" s="2862" t="s">
        <v>1819</v>
      </c>
    </row>
    <row r="260" spans="1:8" ht="16.5" customHeight="1">
      <c r="A260" s="2864"/>
      <c r="B260" s="2812"/>
      <c r="C260" s="3013" t="s">
        <v>4621</v>
      </c>
      <c r="D260" s="3020">
        <v>90000</v>
      </c>
      <c r="E260" s="2971" t="s">
        <v>5368</v>
      </c>
      <c r="F260" s="2973" t="s">
        <v>860</v>
      </c>
      <c r="G260" s="2977" t="s">
        <v>1808</v>
      </c>
      <c r="H260" s="2862" t="s">
        <v>1819</v>
      </c>
    </row>
    <row r="261" spans="1:8" ht="50.25" customHeight="1">
      <c r="A261" s="2864"/>
      <c r="B261" s="2812"/>
      <c r="C261" s="3005" t="s">
        <v>4622</v>
      </c>
      <c r="D261" s="3020">
        <v>12000</v>
      </c>
      <c r="E261" s="2971" t="s">
        <v>4623</v>
      </c>
      <c r="F261" s="2973" t="s">
        <v>902</v>
      </c>
      <c r="G261" s="2977" t="s">
        <v>1808</v>
      </c>
      <c r="H261" s="2862" t="s">
        <v>1819</v>
      </c>
    </row>
    <row r="262" spans="1:8" ht="33.75" customHeight="1">
      <c r="A262" s="2864"/>
      <c r="B262" s="2812"/>
      <c r="C262" s="3023" t="s">
        <v>4624</v>
      </c>
      <c r="D262" s="3020">
        <v>525000</v>
      </c>
      <c r="E262" s="2971" t="s">
        <v>4625</v>
      </c>
      <c r="F262" s="2973" t="s">
        <v>902</v>
      </c>
      <c r="G262" s="2977" t="s">
        <v>1808</v>
      </c>
      <c r="H262" s="2862" t="s">
        <v>1819</v>
      </c>
    </row>
    <row r="263" spans="1:8" ht="19.5" customHeight="1">
      <c r="A263" s="2864"/>
      <c r="B263" s="2812"/>
      <c r="C263" s="3013" t="s">
        <v>4626</v>
      </c>
      <c r="D263" s="3020">
        <v>526000</v>
      </c>
      <c r="E263" s="2971" t="s">
        <v>4627</v>
      </c>
      <c r="F263" s="2973" t="s">
        <v>888</v>
      </c>
      <c r="G263" s="2977" t="s">
        <v>1808</v>
      </c>
      <c r="H263" s="2862" t="s">
        <v>1819</v>
      </c>
    </row>
    <row r="264" spans="1:8" ht="19.5" customHeight="1">
      <c r="A264" s="14255"/>
      <c r="B264" s="14254"/>
      <c r="C264" s="3013" t="s">
        <v>4628</v>
      </c>
      <c r="D264" s="3020">
        <v>2500</v>
      </c>
      <c r="E264" s="2971"/>
      <c r="F264" s="2973"/>
      <c r="G264" s="2977" t="s">
        <v>1808</v>
      </c>
      <c r="H264" s="2862" t="s">
        <v>1819</v>
      </c>
    </row>
    <row r="265" spans="1:8" ht="19.5" customHeight="1">
      <c r="A265" s="14255"/>
      <c r="B265" s="14254"/>
      <c r="C265" s="3013" t="s">
        <v>4629</v>
      </c>
      <c r="D265" s="3020">
        <v>2500</v>
      </c>
      <c r="E265" s="2971"/>
      <c r="F265" s="2973"/>
      <c r="G265" s="2977" t="s">
        <v>1808</v>
      </c>
      <c r="H265" s="2862" t="s">
        <v>1819</v>
      </c>
    </row>
    <row r="266" spans="1:8" ht="19.5" customHeight="1">
      <c r="A266" s="2864"/>
      <c r="B266" s="2812"/>
      <c r="C266" s="3013" t="s">
        <v>4630</v>
      </c>
      <c r="D266" s="3020">
        <v>20000</v>
      </c>
      <c r="E266" s="2971"/>
      <c r="F266" s="2973"/>
      <c r="G266" s="2977" t="s">
        <v>1808</v>
      </c>
      <c r="H266" s="2862" t="s">
        <v>1819</v>
      </c>
    </row>
    <row r="267" spans="1:8" ht="27.6">
      <c r="A267" s="2864"/>
      <c r="B267" s="2812"/>
      <c r="C267" s="3013" t="s">
        <v>4631</v>
      </c>
      <c r="D267" s="3020">
        <v>300000</v>
      </c>
      <c r="E267" s="2971" t="s">
        <v>4632</v>
      </c>
      <c r="F267" s="2973" t="s">
        <v>4615</v>
      </c>
      <c r="G267" s="2977" t="s">
        <v>1808</v>
      </c>
      <c r="H267" s="2862" t="s">
        <v>1819</v>
      </c>
    </row>
    <row r="268" spans="1:8" ht="24.75" customHeight="1">
      <c r="A268" s="2864"/>
      <c r="B268" s="2812"/>
      <c r="C268" s="3013" t="s">
        <v>4633</v>
      </c>
      <c r="D268" s="3020">
        <v>40000</v>
      </c>
      <c r="E268" s="2971"/>
      <c r="F268" s="2973"/>
      <c r="G268" s="2977" t="s">
        <v>1808</v>
      </c>
      <c r="H268" s="2862" t="s">
        <v>1819</v>
      </c>
    </row>
    <row r="269" spans="1:8" ht="35.25" customHeight="1">
      <c r="A269" s="2864"/>
      <c r="B269" s="2812"/>
      <c r="C269" s="3013" t="s">
        <v>4634</v>
      </c>
      <c r="D269" s="3020">
        <v>7000</v>
      </c>
      <c r="E269" s="2971" t="s">
        <v>4635</v>
      </c>
      <c r="F269" s="2973" t="s">
        <v>860</v>
      </c>
      <c r="G269" s="2977" t="s">
        <v>1808</v>
      </c>
      <c r="H269" s="2862" t="s">
        <v>1819</v>
      </c>
    </row>
    <row r="270" spans="1:8" ht="19.5" customHeight="1">
      <c r="A270" s="2864"/>
      <c r="B270" s="2812"/>
      <c r="C270" s="3005" t="s">
        <v>4636</v>
      </c>
      <c r="D270" s="3020">
        <v>50000</v>
      </c>
      <c r="E270" s="2971"/>
      <c r="F270" s="2973"/>
      <c r="G270" s="2977" t="s">
        <v>1808</v>
      </c>
      <c r="H270" s="2862" t="s">
        <v>1819</v>
      </c>
    </row>
    <row r="271" spans="1:8" ht="40.5" customHeight="1">
      <c r="A271" s="2822"/>
      <c r="B271" s="2823"/>
      <c r="C271" s="3005" t="s">
        <v>4637</v>
      </c>
      <c r="D271" s="3024">
        <v>150000</v>
      </c>
      <c r="E271" s="3003" t="s">
        <v>4638</v>
      </c>
      <c r="F271" s="3013" t="s">
        <v>4639</v>
      </c>
      <c r="G271" s="2977" t="s">
        <v>1808</v>
      </c>
      <c r="H271" s="2862" t="s">
        <v>1819</v>
      </c>
    </row>
    <row r="272" spans="1:8" ht="51.75" customHeight="1">
      <c r="A272" s="2822"/>
      <c r="B272" s="2823"/>
      <c r="C272" s="3003" t="s">
        <v>5369</v>
      </c>
      <c r="D272" s="3025">
        <v>150000</v>
      </c>
      <c r="E272" s="3003" t="s">
        <v>4640</v>
      </c>
      <c r="F272" s="3013"/>
      <c r="G272" s="2977" t="s">
        <v>1808</v>
      </c>
      <c r="H272" s="2862" t="s">
        <v>1819</v>
      </c>
    </row>
    <row r="273" spans="1:8" ht="6.75" customHeight="1">
      <c r="A273" s="2822"/>
      <c r="B273" s="2823"/>
      <c r="C273" s="3026"/>
      <c r="D273" s="3027"/>
      <c r="E273" s="3023"/>
      <c r="F273" s="3013"/>
      <c r="G273" s="3013"/>
      <c r="H273" s="3013"/>
    </row>
    <row r="274" spans="1:8" ht="14.25" customHeight="1">
      <c r="A274" s="14256"/>
      <c r="B274" s="14256"/>
      <c r="C274" s="2827" t="s">
        <v>485</v>
      </c>
      <c r="D274" s="3028">
        <f>SUM(D249:D273)</f>
        <v>7913583</v>
      </c>
      <c r="E274" s="3029"/>
      <c r="F274" s="2834"/>
      <c r="G274" s="2827"/>
      <c r="H274" s="2827"/>
    </row>
    <row r="275" spans="1:8" ht="13.5" customHeight="1">
      <c r="A275" s="14255"/>
      <c r="B275" s="14257"/>
      <c r="C275" s="3010" t="s">
        <v>5370</v>
      </c>
      <c r="D275" s="3030">
        <v>170000</v>
      </c>
      <c r="E275" s="3029"/>
      <c r="F275" s="2834"/>
      <c r="G275" s="2812"/>
      <c r="H275" s="2827"/>
    </row>
    <row r="276" spans="1:8" ht="3.75" customHeight="1">
      <c r="A276" s="2864"/>
      <c r="B276" s="2812"/>
      <c r="C276" s="3010"/>
      <c r="D276" s="3010"/>
      <c r="E276" s="3029"/>
      <c r="F276" s="2832"/>
      <c r="G276" s="2827"/>
      <c r="H276" s="2857"/>
    </row>
    <row r="277" spans="1:8" ht="14.25" customHeight="1">
      <c r="A277" s="3131"/>
      <c r="B277" s="3079"/>
      <c r="C277" s="3132" t="s">
        <v>9251</v>
      </c>
      <c r="D277" s="3133">
        <f>D274+D275</f>
        <v>8083583</v>
      </c>
      <c r="E277" s="3134"/>
      <c r="F277" s="3135"/>
      <c r="G277" s="3131"/>
      <c r="H277" s="3136"/>
    </row>
    <row r="278" spans="1:8" ht="0.75" customHeight="1">
      <c r="A278" s="2871"/>
      <c r="B278" s="3031"/>
      <c r="C278" s="3032"/>
      <c r="D278" s="3033"/>
      <c r="E278" s="3034"/>
      <c r="F278" s="2878"/>
      <c r="G278" s="2871"/>
      <c r="H278" s="3035"/>
    </row>
    <row r="279" spans="1:8" ht="24.9" customHeight="1">
      <c r="A279" s="2812"/>
      <c r="B279" s="2812"/>
      <c r="C279" s="2820"/>
      <c r="D279" s="3036"/>
      <c r="E279" s="2820"/>
      <c r="F279" s="2836"/>
      <c r="G279" s="2812"/>
      <c r="H279" s="2812"/>
    </row>
    <row r="280" spans="1:8" ht="24.9" hidden="1" customHeight="1">
      <c r="A280" s="2812"/>
      <c r="B280" s="2812"/>
      <c r="C280" s="2820"/>
      <c r="D280" s="3036"/>
      <c r="E280" s="2820"/>
      <c r="F280" s="2836"/>
      <c r="G280" s="2812"/>
      <c r="H280" s="2812"/>
    </row>
    <row r="281" spans="1:8" ht="24.9" hidden="1" customHeight="1">
      <c r="A281" s="2812"/>
      <c r="B281" s="2812"/>
      <c r="C281" s="2820"/>
      <c r="D281" s="3036"/>
      <c r="E281" s="2820"/>
      <c r="F281" s="2836"/>
      <c r="G281" s="2812"/>
      <c r="H281" s="2812"/>
    </row>
    <row r="282" spans="1:8" ht="24.9" hidden="1" customHeight="1">
      <c r="A282" s="14254"/>
      <c r="B282" s="14254"/>
      <c r="C282" s="2820" t="s">
        <v>5371</v>
      </c>
      <c r="D282" s="3037"/>
      <c r="E282" s="2820" t="s">
        <v>5172</v>
      </c>
      <c r="F282" s="2836"/>
      <c r="G282" s="2812"/>
      <c r="H282" s="2812"/>
    </row>
    <row r="283" spans="1:8" ht="29.25" hidden="1" customHeight="1">
      <c r="A283" s="14254"/>
      <c r="B283" s="14254"/>
      <c r="C283" s="2812"/>
      <c r="D283" s="3037"/>
      <c r="E283" s="3038"/>
      <c r="F283" s="2836"/>
      <c r="G283" s="2812"/>
      <c r="H283" s="2812"/>
    </row>
    <row r="284" spans="1:8" ht="24.9" hidden="1" customHeight="1">
      <c r="A284" s="14254"/>
      <c r="B284" s="14254"/>
      <c r="C284" s="2812"/>
      <c r="D284" s="3037"/>
      <c r="E284" s="2820"/>
      <c r="F284" s="2836"/>
      <c r="G284" s="2812"/>
      <c r="H284" s="2812"/>
    </row>
    <row r="285" spans="1:8" ht="24.9" hidden="1" customHeight="1">
      <c r="A285" s="14254"/>
      <c r="B285" s="14254"/>
      <c r="C285" s="3039" t="s">
        <v>5372</v>
      </c>
      <c r="D285" s="3037"/>
      <c r="E285" s="3040" t="s">
        <v>5175</v>
      </c>
      <c r="F285" s="2836"/>
      <c r="G285" s="2812"/>
      <c r="H285" s="2812"/>
    </row>
    <row r="286" spans="1:8" ht="24.9" hidden="1" customHeight="1">
      <c r="A286" s="14254"/>
      <c r="B286" s="14254"/>
      <c r="C286" s="2812" t="s">
        <v>5373</v>
      </c>
      <c r="D286" s="3037"/>
      <c r="E286" s="2820" t="s">
        <v>3548</v>
      </c>
      <c r="F286" s="2836"/>
      <c r="G286" s="2812"/>
      <c r="H286" s="2812"/>
    </row>
    <row r="287" spans="1:8" hidden="1"/>
    <row r="288" spans="1:8" hidden="1"/>
    <row r="289" hidden="1"/>
    <row r="290" hidden="1"/>
  </sheetData>
  <mergeCells count="101">
    <mergeCell ref="A218:B218"/>
    <mergeCell ref="A76:B76"/>
    <mergeCell ref="G76:H76"/>
    <mergeCell ref="G78:H78"/>
    <mergeCell ref="A100:B100"/>
    <mergeCell ref="C108:D108"/>
    <mergeCell ref="A140:B140"/>
    <mergeCell ref="G140:H140"/>
    <mergeCell ref="A141:B141"/>
    <mergeCell ref="A142:B142"/>
    <mergeCell ref="G142:H142"/>
    <mergeCell ref="A119:B119"/>
    <mergeCell ref="G119:H119"/>
    <mergeCell ref="A120:B120"/>
    <mergeCell ref="A121:B121"/>
    <mergeCell ref="G121:H121"/>
    <mergeCell ref="A1:H1"/>
    <mergeCell ref="A9:H9"/>
    <mergeCell ref="B10:H10"/>
    <mergeCell ref="B11:H11"/>
    <mergeCell ref="A7:H7"/>
    <mergeCell ref="A35:B35"/>
    <mergeCell ref="B12:H12"/>
    <mergeCell ref="B13:H13"/>
    <mergeCell ref="B14:H14"/>
    <mergeCell ref="B15:H15"/>
    <mergeCell ref="B16:H16"/>
    <mergeCell ref="B17:H17"/>
    <mergeCell ref="B18:H18"/>
    <mergeCell ref="B19:H19"/>
    <mergeCell ref="B20:H20"/>
    <mergeCell ref="A34:B34"/>
    <mergeCell ref="G34:H34"/>
    <mergeCell ref="A59:B59"/>
    <mergeCell ref="G59:H59"/>
    <mergeCell ref="A36:B36"/>
    <mergeCell ref="G36:H36"/>
    <mergeCell ref="C37:C38"/>
    <mergeCell ref="A39:B39"/>
    <mergeCell ref="A40:B40"/>
    <mergeCell ref="A41:B41"/>
    <mergeCell ref="A42:B42"/>
    <mergeCell ref="A43:B43"/>
    <mergeCell ref="A57:B57"/>
    <mergeCell ref="G57:H57"/>
    <mergeCell ref="A58:B58"/>
    <mergeCell ref="C63:C65"/>
    <mergeCell ref="D63:D65"/>
    <mergeCell ref="A95:B95"/>
    <mergeCell ref="G95:H95"/>
    <mergeCell ref="A96:B96"/>
    <mergeCell ref="A97:B97"/>
    <mergeCell ref="G97:H97"/>
    <mergeCell ref="A86:B86"/>
    <mergeCell ref="A87:B87"/>
    <mergeCell ref="A88:B88"/>
    <mergeCell ref="A89:B89"/>
    <mergeCell ref="A77:B77"/>
    <mergeCell ref="A78:B78"/>
    <mergeCell ref="A255:B255"/>
    <mergeCell ref="A256:B256"/>
    <mergeCell ref="A243:B243"/>
    <mergeCell ref="G243:H243"/>
    <mergeCell ref="C130:D130"/>
    <mergeCell ref="C169:D169"/>
    <mergeCell ref="D171:D173"/>
    <mergeCell ref="A163:B163"/>
    <mergeCell ref="G163:H163"/>
    <mergeCell ref="A164:B164"/>
    <mergeCell ref="A165:B165"/>
    <mergeCell ref="G165:H165"/>
    <mergeCell ref="C176:D176"/>
    <mergeCell ref="C200:D200"/>
    <mergeCell ref="C224:D224"/>
    <mergeCell ref="A189:B189"/>
    <mergeCell ref="G189:H189"/>
    <mergeCell ref="A190:B190"/>
    <mergeCell ref="A219:B219"/>
    <mergeCell ref="G219:H219"/>
    <mergeCell ref="A191:B191"/>
    <mergeCell ref="G191:H191"/>
    <mergeCell ref="A217:B217"/>
    <mergeCell ref="G217:H217"/>
    <mergeCell ref="A244:B244"/>
    <mergeCell ref="A245:B245"/>
    <mergeCell ref="G245:H245"/>
    <mergeCell ref="A247:B247"/>
    <mergeCell ref="A249:B249"/>
    <mergeCell ref="A250:B250"/>
    <mergeCell ref="A251:B251"/>
    <mergeCell ref="A253:B253"/>
    <mergeCell ref="A254:B254"/>
    <mergeCell ref="A285:B285"/>
    <mergeCell ref="A286:B286"/>
    <mergeCell ref="A265:B265"/>
    <mergeCell ref="A274:B274"/>
    <mergeCell ref="A275:B275"/>
    <mergeCell ref="A282:B282"/>
    <mergeCell ref="A283:B283"/>
    <mergeCell ref="A284:B284"/>
    <mergeCell ref="A264:B264"/>
  </mergeCells>
  <printOptions horizontalCentered="1"/>
  <pageMargins left="0.5" right="0.25" top="0.75" bottom="0.5" header="0.5" footer="0.25"/>
  <pageSetup paperSize="119"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sheetPr codeName="Sheet24">
    <tabColor theme="8" tint="-0.249977111117893"/>
  </sheetPr>
  <dimension ref="A1:L113"/>
  <sheetViews>
    <sheetView showGridLines="0" workbookViewId="0">
      <selection activeCell="K11" sqref="K11"/>
    </sheetView>
  </sheetViews>
  <sheetFormatPr defaultColWidth="20.109375" defaultRowHeight="15" customHeight="1"/>
  <cols>
    <col min="1" max="1" width="3.88671875" style="7374" customWidth="1"/>
    <col min="2" max="2" width="55.5546875" style="7374" customWidth="1"/>
    <col min="3" max="3" width="12.5546875" style="7839" customWidth="1"/>
    <col min="4" max="5" width="15.5546875" style="7374" customWidth="1"/>
    <col min="6" max="6" width="15.5546875" style="9535" customWidth="1"/>
    <col min="7" max="7" width="15.5546875" style="7374" customWidth="1"/>
    <col min="8" max="8" width="14" style="7374" hidden="1" customWidth="1"/>
    <col min="9" max="9" width="8.109375" style="7374" hidden="1" customWidth="1"/>
    <col min="10" max="10" width="15.5546875" style="7374" customWidth="1"/>
    <col min="11" max="11" width="20.109375" style="7351" customWidth="1"/>
    <col min="12" max="12" width="7.88671875" style="7383" customWidth="1"/>
    <col min="13" max="15" width="20.109375" style="7374" customWidth="1"/>
    <col min="16" max="223" width="20.109375" style="7374"/>
    <col min="224" max="224" width="6.88671875" style="7374" customWidth="1"/>
    <col min="225" max="225" width="34.88671875" style="7374" customWidth="1"/>
    <col min="226" max="226" width="14.44140625" style="7374" customWidth="1"/>
    <col min="227" max="227" width="15.44140625" style="7374" customWidth="1"/>
    <col min="228" max="229" width="16.44140625" style="7374" customWidth="1"/>
    <col min="230" max="479" width="20.109375" style="7374"/>
    <col min="480" max="480" width="6.88671875" style="7374" customWidth="1"/>
    <col min="481" max="481" width="34.88671875" style="7374" customWidth="1"/>
    <col min="482" max="482" width="14.44140625" style="7374" customWidth="1"/>
    <col min="483" max="483" width="15.44140625" style="7374" customWidth="1"/>
    <col min="484" max="485" width="16.44140625" style="7374" customWidth="1"/>
    <col min="486" max="735" width="20.109375" style="7374"/>
    <col min="736" max="736" width="6.88671875" style="7374" customWidth="1"/>
    <col min="737" max="737" width="34.88671875" style="7374" customWidth="1"/>
    <col min="738" max="738" width="14.44140625" style="7374" customWidth="1"/>
    <col min="739" max="739" width="15.44140625" style="7374" customWidth="1"/>
    <col min="740" max="741" width="16.44140625" style="7374" customWidth="1"/>
    <col min="742" max="991" width="20.109375" style="7374"/>
    <col min="992" max="992" width="6.88671875" style="7374" customWidth="1"/>
    <col min="993" max="993" width="34.88671875" style="7374" customWidth="1"/>
    <col min="994" max="994" width="14.44140625" style="7374" customWidth="1"/>
    <col min="995" max="995" width="15.44140625" style="7374" customWidth="1"/>
    <col min="996" max="997" width="16.44140625" style="7374" customWidth="1"/>
    <col min="998" max="1247" width="20.109375" style="7374"/>
    <col min="1248" max="1248" width="6.88671875" style="7374" customWidth="1"/>
    <col min="1249" max="1249" width="34.88671875" style="7374" customWidth="1"/>
    <col min="1250" max="1250" width="14.44140625" style="7374" customWidth="1"/>
    <col min="1251" max="1251" width="15.44140625" style="7374" customWidth="1"/>
    <col min="1252" max="1253" width="16.44140625" style="7374" customWidth="1"/>
    <col min="1254" max="1503" width="20.109375" style="7374"/>
    <col min="1504" max="1504" width="6.88671875" style="7374" customWidth="1"/>
    <col min="1505" max="1505" width="34.88671875" style="7374" customWidth="1"/>
    <col min="1506" max="1506" width="14.44140625" style="7374" customWidth="1"/>
    <col min="1507" max="1507" width="15.44140625" style="7374" customWidth="1"/>
    <col min="1508" max="1509" width="16.44140625" style="7374" customWidth="1"/>
    <col min="1510" max="1759" width="20.109375" style="7374"/>
    <col min="1760" max="1760" width="6.88671875" style="7374" customWidth="1"/>
    <col min="1761" max="1761" width="34.88671875" style="7374" customWidth="1"/>
    <col min="1762" max="1762" width="14.44140625" style="7374" customWidth="1"/>
    <col min="1763" max="1763" width="15.44140625" style="7374" customWidth="1"/>
    <col min="1764" max="1765" width="16.44140625" style="7374" customWidth="1"/>
    <col min="1766" max="2015" width="20.109375" style="7374"/>
    <col min="2016" max="2016" width="6.88671875" style="7374" customWidth="1"/>
    <col min="2017" max="2017" width="34.88671875" style="7374" customWidth="1"/>
    <col min="2018" max="2018" width="14.44140625" style="7374" customWidth="1"/>
    <col min="2019" max="2019" width="15.44140625" style="7374" customWidth="1"/>
    <col min="2020" max="2021" width="16.44140625" style="7374" customWidth="1"/>
    <col min="2022" max="2271" width="20.109375" style="7374"/>
    <col min="2272" max="2272" width="6.88671875" style="7374" customWidth="1"/>
    <col min="2273" max="2273" width="34.88671875" style="7374" customWidth="1"/>
    <col min="2274" max="2274" width="14.44140625" style="7374" customWidth="1"/>
    <col min="2275" max="2275" width="15.44140625" style="7374" customWidth="1"/>
    <col min="2276" max="2277" width="16.44140625" style="7374" customWidth="1"/>
    <col min="2278" max="2527" width="20.109375" style="7374"/>
    <col min="2528" max="2528" width="6.88671875" style="7374" customWidth="1"/>
    <col min="2529" max="2529" width="34.88671875" style="7374" customWidth="1"/>
    <col min="2530" max="2530" width="14.44140625" style="7374" customWidth="1"/>
    <col min="2531" max="2531" width="15.44140625" style="7374" customWidth="1"/>
    <col min="2532" max="2533" width="16.44140625" style="7374" customWidth="1"/>
    <col min="2534" max="2783" width="20.109375" style="7374"/>
    <col min="2784" max="2784" width="6.88671875" style="7374" customWidth="1"/>
    <col min="2785" max="2785" width="34.88671875" style="7374" customWidth="1"/>
    <col min="2786" max="2786" width="14.44140625" style="7374" customWidth="1"/>
    <col min="2787" max="2787" width="15.44140625" style="7374" customWidth="1"/>
    <col min="2788" max="2789" width="16.44140625" style="7374" customWidth="1"/>
    <col min="2790" max="3039" width="20.109375" style="7374"/>
    <col min="3040" max="3040" width="6.88671875" style="7374" customWidth="1"/>
    <col min="3041" max="3041" width="34.88671875" style="7374" customWidth="1"/>
    <col min="3042" max="3042" width="14.44140625" style="7374" customWidth="1"/>
    <col min="3043" max="3043" width="15.44140625" style="7374" customWidth="1"/>
    <col min="3044" max="3045" width="16.44140625" style="7374" customWidth="1"/>
    <col min="3046" max="3295" width="20.109375" style="7374"/>
    <col min="3296" max="3296" width="6.88671875" style="7374" customWidth="1"/>
    <col min="3297" max="3297" width="34.88671875" style="7374" customWidth="1"/>
    <col min="3298" max="3298" width="14.44140625" style="7374" customWidth="1"/>
    <col min="3299" max="3299" width="15.44140625" style="7374" customWidth="1"/>
    <col min="3300" max="3301" width="16.44140625" style="7374" customWidth="1"/>
    <col min="3302" max="3551" width="20.109375" style="7374"/>
    <col min="3552" max="3552" width="6.88671875" style="7374" customWidth="1"/>
    <col min="3553" max="3553" width="34.88671875" style="7374" customWidth="1"/>
    <col min="3554" max="3554" width="14.44140625" style="7374" customWidth="1"/>
    <col min="3555" max="3555" width="15.44140625" style="7374" customWidth="1"/>
    <col min="3556" max="3557" width="16.44140625" style="7374" customWidth="1"/>
    <col min="3558" max="3807" width="20.109375" style="7374"/>
    <col min="3808" max="3808" width="6.88671875" style="7374" customWidth="1"/>
    <col min="3809" max="3809" width="34.88671875" style="7374" customWidth="1"/>
    <col min="3810" max="3810" width="14.44140625" style="7374" customWidth="1"/>
    <col min="3811" max="3811" width="15.44140625" style="7374" customWidth="1"/>
    <col min="3812" max="3813" width="16.44140625" style="7374" customWidth="1"/>
    <col min="3814" max="4063" width="20.109375" style="7374"/>
    <col min="4064" max="4064" width="6.88671875" style="7374" customWidth="1"/>
    <col min="4065" max="4065" width="34.88671875" style="7374" customWidth="1"/>
    <col min="4066" max="4066" width="14.44140625" style="7374" customWidth="1"/>
    <col min="4067" max="4067" width="15.44140625" style="7374" customWidth="1"/>
    <col min="4068" max="4069" width="16.44140625" style="7374" customWidth="1"/>
    <col min="4070" max="4319" width="20.109375" style="7374"/>
    <col min="4320" max="4320" width="6.88671875" style="7374" customWidth="1"/>
    <col min="4321" max="4321" width="34.88671875" style="7374" customWidth="1"/>
    <col min="4322" max="4322" width="14.44140625" style="7374" customWidth="1"/>
    <col min="4323" max="4323" width="15.44140625" style="7374" customWidth="1"/>
    <col min="4324" max="4325" width="16.44140625" style="7374" customWidth="1"/>
    <col min="4326" max="4575" width="20.109375" style="7374"/>
    <col min="4576" max="4576" width="6.88671875" style="7374" customWidth="1"/>
    <col min="4577" max="4577" width="34.88671875" style="7374" customWidth="1"/>
    <col min="4578" max="4578" width="14.44140625" style="7374" customWidth="1"/>
    <col min="4579" max="4579" width="15.44140625" style="7374" customWidth="1"/>
    <col min="4580" max="4581" width="16.44140625" style="7374" customWidth="1"/>
    <col min="4582" max="4831" width="20.109375" style="7374"/>
    <col min="4832" max="4832" width="6.88671875" style="7374" customWidth="1"/>
    <col min="4833" max="4833" width="34.88671875" style="7374" customWidth="1"/>
    <col min="4834" max="4834" width="14.44140625" style="7374" customWidth="1"/>
    <col min="4835" max="4835" width="15.44140625" style="7374" customWidth="1"/>
    <col min="4836" max="4837" width="16.44140625" style="7374" customWidth="1"/>
    <col min="4838" max="5087" width="20.109375" style="7374"/>
    <col min="5088" max="5088" width="6.88671875" style="7374" customWidth="1"/>
    <col min="5089" max="5089" width="34.88671875" style="7374" customWidth="1"/>
    <col min="5090" max="5090" width="14.44140625" style="7374" customWidth="1"/>
    <col min="5091" max="5091" width="15.44140625" style="7374" customWidth="1"/>
    <col min="5092" max="5093" width="16.44140625" style="7374" customWidth="1"/>
    <col min="5094" max="5343" width="20.109375" style="7374"/>
    <col min="5344" max="5344" width="6.88671875" style="7374" customWidth="1"/>
    <col min="5345" max="5345" width="34.88671875" style="7374" customWidth="1"/>
    <col min="5346" max="5346" width="14.44140625" style="7374" customWidth="1"/>
    <col min="5347" max="5347" width="15.44140625" style="7374" customWidth="1"/>
    <col min="5348" max="5349" width="16.44140625" style="7374" customWidth="1"/>
    <col min="5350" max="5599" width="20.109375" style="7374"/>
    <col min="5600" max="5600" width="6.88671875" style="7374" customWidth="1"/>
    <col min="5601" max="5601" width="34.88671875" style="7374" customWidth="1"/>
    <col min="5602" max="5602" width="14.44140625" style="7374" customWidth="1"/>
    <col min="5603" max="5603" width="15.44140625" style="7374" customWidth="1"/>
    <col min="5604" max="5605" width="16.44140625" style="7374" customWidth="1"/>
    <col min="5606" max="5855" width="20.109375" style="7374"/>
    <col min="5856" max="5856" width="6.88671875" style="7374" customWidth="1"/>
    <col min="5857" max="5857" width="34.88671875" style="7374" customWidth="1"/>
    <col min="5858" max="5858" width="14.44140625" style="7374" customWidth="1"/>
    <col min="5859" max="5859" width="15.44140625" style="7374" customWidth="1"/>
    <col min="5860" max="5861" width="16.44140625" style="7374" customWidth="1"/>
    <col min="5862" max="6111" width="20.109375" style="7374"/>
    <col min="6112" max="6112" width="6.88671875" style="7374" customWidth="1"/>
    <col min="6113" max="6113" width="34.88671875" style="7374" customWidth="1"/>
    <col min="6114" max="6114" width="14.44140625" style="7374" customWidth="1"/>
    <col min="6115" max="6115" width="15.44140625" style="7374" customWidth="1"/>
    <col min="6116" max="6117" width="16.44140625" style="7374" customWidth="1"/>
    <col min="6118" max="6367" width="20.109375" style="7374"/>
    <col min="6368" max="6368" width="6.88671875" style="7374" customWidth="1"/>
    <col min="6369" max="6369" width="34.88671875" style="7374" customWidth="1"/>
    <col min="6370" max="6370" width="14.44140625" style="7374" customWidth="1"/>
    <col min="6371" max="6371" width="15.44140625" style="7374" customWidth="1"/>
    <col min="6372" max="6373" width="16.44140625" style="7374" customWidth="1"/>
    <col min="6374" max="6623" width="20.109375" style="7374"/>
    <col min="6624" max="6624" width="6.88671875" style="7374" customWidth="1"/>
    <col min="6625" max="6625" width="34.88671875" style="7374" customWidth="1"/>
    <col min="6626" max="6626" width="14.44140625" style="7374" customWidth="1"/>
    <col min="6627" max="6627" width="15.44140625" style="7374" customWidth="1"/>
    <col min="6628" max="6629" width="16.44140625" style="7374" customWidth="1"/>
    <col min="6630" max="6879" width="20.109375" style="7374"/>
    <col min="6880" max="6880" width="6.88671875" style="7374" customWidth="1"/>
    <col min="6881" max="6881" width="34.88671875" style="7374" customWidth="1"/>
    <col min="6882" max="6882" width="14.44140625" style="7374" customWidth="1"/>
    <col min="6883" max="6883" width="15.44140625" style="7374" customWidth="1"/>
    <col min="6884" max="6885" width="16.44140625" style="7374" customWidth="1"/>
    <col min="6886" max="7135" width="20.109375" style="7374"/>
    <col min="7136" max="7136" width="6.88671875" style="7374" customWidth="1"/>
    <col min="7137" max="7137" width="34.88671875" style="7374" customWidth="1"/>
    <col min="7138" max="7138" width="14.44140625" style="7374" customWidth="1"/>
    <col min="7139" max="7139" width="15.44140625" style="7374" customWidth="1"/>
    <col min="7140" max="7141" width="16.44140625" style="7374" customWidth="1"/>
    <col min="7142" max="7391" width="20.109375" style="7374"/>
    <col min="7392" max="7392" width="6.88671875" style="7374" customWidth="1"/>
    <col min="7393" max="7393" width="34.88671875" style="7374" customWidth="1"/>
    <col min="7394" max="7394" width="14.44140625" style="7374" customWidth="1"/>
    <col min="7395" max="7395" width="15.44140625" style="7374" customWidth="1"/>
    <col min="7396" max="7397" width="16.44140625" style="7374" customWidth="1"/>
    <col min="7398" max="7647" width="20.109375" style="7374"/>
    <col min="7648" max="7648" width="6.88671875" style="7374" customWidth="1"/>
    <col min="7649" max="7649" width="34.88671875" style="7374" customWidth="1"/>
    <col min="7650" max="7650" width="14.44140625" style="7374" customWidth="1"/>
    <col min="7651" max="7651" width="15.44140625" style="7374" customWidth="1"/>
    <col min="7652" max="7653" width="16.44140625" style="7374" customWidth="1"/>
    <col min="7654" max="7903" width="20.109375" style="7374"/>
    <col min="7904" max="7904" width="6.88671875" style="7374" customWidth="1"/>
    <col min="7905" max="7905" width="34.88671875" style="7374" customWidth="1"/>
    <col min="7906" max="7906" width="14.44140625" style="7374" customWidth="1"/>
    <col min="7907" max="7907" width="15.44140625" style="7374" customWidth="1"/>
    <col min="7908" max="7909" width="16.44140625" style="7374" customWidth="1"/>
    <col min="7910" max="8159" width="20.109375" style="7374"/>
    <col min="8160" max="8160" width="6.88671875" style="7374" customWidth="1"/>
    <col min="8161" max="8161" width="34.88671875" style="7374" customWidth="1"/>
    <col min="8162" max="8162" width="14.44140625" style="7374" customWidth="1"/>
    <col min="8163" max="8163" width="15.44140625" style="7374" customWidth="1"/>
    <col min="8164" max="8165" width="16.44140625" style="7374" customWidth="1"/>
    <col min="8166" max="8415" width="20.109375" style="7374"/>
    <col min="8416" max="8416" width="6.88671875" style="7374" customWidth="1"/>
    <col min="8417" max="8417" width="34.88671875" style="7374" customWidth="1"/>
    <col min="8418" max="8418" width="14.44140625" style="7374" customWidth="1"/>
    <col min="8419" max="8419" width="15.44140625" style="7374" customWidth="1"/>
    <col min="8420" max="8421" width="16.44140625" style="7374" customWidth="1"/>
    <col min="8422" max="8671" width="20.109375" style="7374"/>
    <col min="8672" max="8672" width="6.88671875" style="7374" customWidth="1"/>
    <col min="8673" max="8673" width="34.88671875" style="7374" customWidth="1"/>
    <col min="8674" max="8674" width="14.44140625" style="7374" customWidth="1"/>
    <col min="8675" max="8675" width="15.44140625" style="7374" customWidth="1"/>
    <col min="8676" max="8677" width="16.44140625" style="7374" customWidth="1"/>
    <col min="8678" max="8927" width="20.109375" style="7374"/>
    <col min="8928" max="8928" width="6.88671875" style="7374" customWidth="1"/>
    <col min="8929" max="8929" width="34.88671875" style="7374" customWidth="1"/>
    <col min="8930" max="8930" width="14.44140625" style="7374" customWidth="1"/>
    <col min="8931" max="8931" width="15.44140625" style="7374" customWidth="1"/>
    <col min="8932" max="8933" width="16.44140625" style="7374" customWidth="1"/>
    <col min="8934" max="9183" width="20.109375" style="7374"/>
    <col min="9184" max="9184" width="6.88671875" style="7374" customWidth="1"/>
    <col min="9185" max="9185" width="34.88671875" style="7374" customWidth="1"/>
    <col min="9186" max="9186" width="14.44140625" style="7374" customWidth="1"/>
    <col min="9187" max="9187" width="15.44140625" style="7374" customWidth="1"/>
    <col min="9188" max="9189" width="16.44140625" style="7374" customWidth="1"/>
    <col min="9190" max="9439" width="20.109375" style="7374"/>
    <col min="9440" max="9440" width="6.88671875" style="7374" customWidth="1"/>
    <col min="9441" max="9441" width="34.88671875" style="7374" customWidth="1"/>
    <col min="9442" max="9442" width="14.44140625" style="7374" customWidth="1"/>
    <col min="9443" max="9443" width="15.44140625" style="7374" customWidth="1"/>
    <col min="9444" max="9445" width="16.44140625" style="7374" customWidth="1"/>
    <col min="9446" max="9695" width="20.109375" style="7374"/>
    <col min="9696" max="9696" width="6.88671875" style="7374" customWidth="1"/>
    <col min="9697" max="9697" width="34.88671875" style="7374" customWidth="1"/>
    <col min="9698" max="9698" width="14.44140625" style="7374" customWidth="1"/>
    <col min="9699" max="9699" width="15.44140625" style="7374" customWidth="1"/>
    <col min="9700" max="9701" width="16.44140625" style="7374" customWidth="1"/>
    <col min="9702" max="9951" width="20.109375" style="7374"/>
    <col min="9952" max="9952" width="6.88671875" style="7374" customWidth="1"/>
    <col min="9953" max="9953" width="34.88671875" style="7374" customWidth="1"/>
    <col min="9954" max="9954" width="14.44140625" style="7374" customWidth="1"/>
    <col min="9955" max="9955" width="15.44140625" style="7374" customWidth="1"/>
    <col min="9956" max="9957" width="16.44140625" style="7374" customWidth="1"/>
    <col min="9958" max="10207" width="20.109375" style="7374"/>
    <col min="10208" max="10208" width="6.88671875" style="7374" customWidth="1"/>
    <col min="10209" max="10209" width="34.88671875" style="7374" customWidth="1"/>
    <col min="10210" max="10210" width="14.44140625" style="7374" customWidth="1"/>
    <col min="10211" max="10211" width="15.44140625" style="7374" customWidth="1"/>
    <col min="10212" max="10213" width="16.44140625" style="7374" customWidth="1"/>
    <col min="10214" max="10463" width="20.109375" style="7374"/>
    <col min="10464" max="10464" width="6.88671875" style="7374" customWidth="1"/>
    <col min="10465" max="10465" width="34.88671875" style="7374" customWidth="1"/>
    <col min="10466" max="10466" width="14.44140625" style="7374" customWidth="1"/>
    <col min="10467" max="10467" width="15.44140625" style="7374" customWidth="1"/>
    <col min="10468" max="10469" width="16.44140625" style="7374" customWidth="1"/>
    <col min="10470" max="10719" width="20.109375" style="7374"/>
    <col min="10720" max="10720" width="6.88671875" style="7374" customWidth="1"/>
    <col min="10721" max="10721" width="34.88671875" style="7374" customWidth="1"/>
    <col min="10722" max="10722" width="14.44140625" style="7374" customWidth="1"/>
    <col min="10723" max="10723" width="15.44140625" style="7374" customWidth="1"/>
    <col min="10724" max="10725" width="16.44140625" style="7374" customWidth="1"/>
    <col min="10726" max="10975" width="20.109375" style="7374"/>
    <col min="10976" max="10976" width="6.88671875" style="7374" customWidth="1"/>
    <col min="10977" max="10977" width="34.88671875" style="7374" customWidth="1"/>
    <col min="10978" max="10978" width="14.44140625" style="7374" customWidth="1"/>
    <col min="10979" max="10979" width="15.44140625" style="7374" customWidth="1"/>
    <col min="10980" max="10981" width="16.44140625" style="7374" customWidth="1"/>
    <col min="10982" max="11231" width="20.109375" style="7374"/>
    <col min="11232" max="11232" width="6.88671875" style="7374" customWidth="1"/>
    <col min="11233" max="11233" width="34.88671875" style="7374" customWidth="1"/>
    <col min="11234" max="11234" width="14.44140625" style="7374" customWidth="1"/>
    <col min="11235" max="11235" width="15.44140625" style="7374" customWidth="1"/>
    <col min="11236" max="11237" width="16.44140625" style="7374" customWidth="1"/>
    <col min="11238" max="11487" width="20.109375" style="7374"/>
    <col min="11488" max="11488" width="6.88671875" style="7374" customWidth="1"/>
    <col min="11489" max="11489" width="34.88671875" style="7374" customWidth="1"/>
    <col min="11490" max="11490" width="14.44140625" style="7374" customWidth="1"/>
    <col min="11491" max="11491" width="15.44140625" style="7374" customWidth="1"/>
    <col min="11492" max="11493" width="16.44140625" style="7374" customWidth="1"/>
    <col min="11494" max="11743" width="20.109375" style="7374"/>
    <col min="11744" max="11744" width="6.88671875" style="7374" customWidth="1"/>
    <col min="11745" max="11745" width="34.88671875" style="7374" customWidth="1"/>
    <col min="11746" max="11746" width="14.44140625" style="7374" customWidth="1"/>
    <col min="11747" max="11747" width="15.44140625" style="7374" customWidth="1"/>
    <col min="11748" max="11749" width="16.44140625" style="7374" customWidth="1"/>
    <col min="11750" max="11999" width="20.109375" style="7374"/>
    <col min="12000" max="12000" width="6.88671875" style="7374" customWidth="1"/>
    <col min="12001" max="12001" width="34.88671875" style="7374" customWidth="1"/>
    <col min="12002" max="12002" width="14.44140625" style="7374" customWidth="1"/>
    <col min="12003" max="12003" width="15.44140625" style="7374" customWidth="1"/>
    <col min="12004" max="12005" width="16.44140625" style="7374" customWidth="1"/>
    <col min="12006" max="12255" width="20.109375" style="7374"/>
    <col min="12256" max="12256" width="6.88671875" style="7374" customWidth="1"/>
    <col min="12257" max="12257" width="34.88671875" style="7374" customWidth="1"/>
    <col min="12258" max="12258" width="14.44140625" style="7374" customWidth="1"/>
    <col min="12259" max="12259" width="15.44140625" style="7374" customWidth="1"/>
    <col min="12260" max="12261" width="16.44140625" style="7374" customWidth="1"/>
    <col min="12262" max="12511" width="20.109375" style="7374"/>
    <col min="12512" max="12512" width="6.88671875" style="7374" customWidth="1"/>
    <col min="12513" max="12513" width="34.88671875" style="7374" customWidth="1"/>
    <col min="12514" max="12514" width="14.44140625" style="7374" customWidth="1"/>
    <col min="12515" max="12515" width="15.44140625" style="7374" customWidth="1"/>
    <col min="12516" max="12517" width="16.44140625" style="7374" customWidth="1"/>
    <col min="12518" max="12767" width="20.109375" style="7374"/>
    <col min="12768" max="12768" width="6.88671875" style="7374" customWidth="1"/>
    <col min="12769" max="12769" width="34.88671875" style="7374" customWidth="1"/>
    <col min="12770" max="12770" width="14.44140625" style="7374" customWidth="1"/>
    <col min="12771" max="12771" width="15.44140625" style="7374" customWidth="1"/>
    <col min="12772" max="12773" width="16.44140625" style="7374" customWidth="1"/>
    <col min="12774" max="13023" width="20.109375" style="7374"/>
    <col min="13024" max="13024" width="6.88671875" style="7374" customWidth="1"/>
    <col min="13025" max="13025" width="34.88671875" style="7374" customWidth="1"/>
    <col min="13026" max="13026" width="14.44140625" style="7374" customWidth="1"/>
    <col min="13027" max="13027" width="15.44140625" style="7374" customWidth="1"/>
    <col min="13028" max="13029" width="16.44140625" style="7374" customWidth="1"/>
    <col min="13030" max="13279" width="20.109375" style="7374"/>
    <col min="13280" max="13280" width="6.88671875" style="7374" customWidth="1"/>
    <col min="13281" max="13281" width="34.88671875" style="7374" customWidth="1"/>
    <col min="13282" max="13282" width="14.44140625" style="7374" customWidth="1"/>
    <col min="13283" max="13283" width="15.44140625" style="7374" customWidth="1"/>
    <col min="13284" max="13285" width="16.44140625" style="7374" customWidth="1"/>
    <col min="13286" max="13535" width="20.109375" style="7374"/>
    <col min="13536" max="13536" width="6.88671875" style="7374" customWidth="1"/>
    <col min="13537" max="13537" width="34.88671875" style="7374" customWidth="1"/>
    <col min="13538" max="13538" width="14.44140625" style="7374" customWidth="1"/>
    <col min="13539" max="13539" width="15.44140625" style="7374" customWidth="1"/>
    <col min="13540" max="13541" width="16.44140625" style="7374" customWidth="1"/>
    <col min="13542" max="13791" width="20.109375" style="7374"/>
    <col min="13792" max="13792" width="6.88671875" style="7374" customWidth="1"/>
    <col min="13793" max="13793" width="34.88671875" style="7374" customWidth="1"/>
    <col min="13794" max="13794" width="14.44140625" style="7374" customWidth="1"/>
    <col min="13795" max="13795" width="15.44140625" style="7374" customWidth="1"/>
    <col min="13796" max="13797" width="16.44140625" style="7374" customWidth="1"/>
    <col min="13798" max="14047" width="20.109375" style="7374"/>
    <col min="14048" max="14048" width="6.88671875" style="7374" customWidth="1"/>
    <col min="14049" max="14049" width="34.88671875" style="7374" customWidth="1"/>
    <col min="14050" max="14050" width="14.44140625" style="7374" customWidth="1"/>
    <col min="14051" max="14051" width="15.44140625" style="7374" customWidth="1"/>
    <col min="14052" max="14053" width="16.44140625" style="7374" customWidth="1"/>
    <col min="14054" max="14303" width="20.109375" style="7374"/>
    <col min="14304" max="14304" width="6.88671875" style="7374" customWidth="1"/>
    <col min="14305" max="14305" width="34.88671875" style="7374" customWidth="1"/>
    <col min="14306" max="14306" width="14.44140625" style="7374" customWidth="1"/>
    <col min="14307" max="14307" width="15.44140625" style="7374" customWidth="1"/>
    <col min="14308" max="14309" width="16.44140625" style="7374" customWidth="1"/>
    <col min="14310" max="14559" width="20.109375" style="7374"/>
    <col min="14560" max="14560" width="6.88671875" style="7374" customWidth="1"/>
    <col min="14561" max="14561" width="34.88671875" style="7374" customWidth="1"/>
    <col min="14562" max="14562" width="14.44140625" style="7374" customWidth="1"/>
    <col min="14563" max="14563" width="15.44140625" style="7374" customWidth="1"/>
    <col min="14564" max="14565" width="16.44140625" style="7374" customWidth="1"/>
    <col min="14566" max="14815" width="20.109375" style="7374"/>
    <col min="14816" max="14816" width="6.88671875" style="7374" customWidth="1"/>
    <col min="14817" max="14817" width="34.88671875" style="7374" customWidth="1"/>
    <col min="14818" max="14818" width="14.44140625" style="7374" customWidth="1"/>
    <col min="14819" max="14819" width="15.44140625" style="7374" customWidth="1"/>
    <col min="14820" max="14821" width="16.44140625" style="7374" customWidth="1"/>
    <col min="14822" max="15071" width="20.109375" style="7374"/>
    <col min="15072" max="15072" width="6.88671875" style="7374" customWidth="1"/>
    <col min="15073" max="15073" width="34.88671875" style="7374" customWidth="1"/>
    <col min="15074" max="15074" width="14.44140625" style="7374" customWidth="1"/>
    <col min="15075" max="15075" width="15.44140625" style="7374" customWidth="1"/>
    <col min="15076" max="15077" width="16.44140625" style="7374" customWidth="1"/>
    <col min="15078" max="15327" width="20.109375" style="7374"/>
    <col min="15328" max="15328" width="6.88671875" style="7374" customWidth="1"/>
    <col min="15329" max="15329" width="34.88671875" style="7374" customWidth="1"/>
    <col min="15330" max="15330" width="14.44140625" style="7374" customWidth="1"/>
    <col min="15331" max="15331" width="15.44140625" style="7374" customWidth="1"/>
    <col min="15332" max="15333" width="16.44140625" style="7374" customWidth="1"/>
    <col min="15334" max="15583" width="20.109375" style="7374"/>
    <col min="15584" max="15584" width="6.88671875" style="7374" customWidth="1"/>
    <col min="15585" max="15585" width="34.88671875" style="7374" customWidth="1"/>
    <col min="15586" max="15586" width="14.44140625" style="7374" customWidth="1"/>
    <col min="15587" max="15587" width="15.44140625" style="7374" customWidth="1"/>
    <col min="15588" max="15589" width="16.44140625" style="7374" customWidth="1"/>
    <col min="15590" max="15839" width="20.109375" style="7374"/>
    <col min="15840" max="15840" width="6.88671875" style="7374" customWidth="1"/>
    <col min="15841" max="15841" width="34.88671875" style="7374" customWidth="1"/>
    <col min="15842" max="15842" width="14.44140625" style="7374" customWidth="1"/>
    <col min="15843" max="15843" width="15.44140625" style="7374" customWidth="1"/>
    <col min="15844" max="15845" width="16.44140625" style="7374" customWidth="1"/>
    <col min="15846" max="16095" width="20.109375" style="7374"/>
    <col min="16096" max="16096" width="6.88671875" style="7374" customWidth="1"/>
    <col min="16097" max="16097" width="34.88671875" style="7374" customWidth="1"/>
    <col min="16098" max="16098" width="14.44140625" style="7374" customWidth="1"/>
    <col min="16099" max="16099" width="15.44140625" style="7374" customWidth="1"/>
    <col min="16100" max="16101" width="16.44140625" style="7374" customWidth="1"/>
    <col min="16102" max="16384" width="20.109375" style="7374"/>
  </cols>
  <sheetData>
    <row r="1" spans="1:12" ht="15" customHeight="1">
      <c r="A1" s="14307" t="s">
        <v>1</v>
      </c>
      <c r="B1" s="14307"/>
      <c r="C1" s="14307"/>
      <c r="D1" s="14307"/>
      <c r="E1" s="14307"/>
      <c r="F1" s="14307"/>
      <c r="G1" s="14307"/>
      <c r="H1" s="14307"/>
      <c r="I1" s="14307"/>
      <c r="J1" s="14307"/>
    </row>
    <row r="2" spans="1:12" ht="15" customHeight="1">
      <c r="A2" s="7351"/>
      <c r="B2" s="8144"/>
      <c r="C2" s="7383"/>
      <c r="D2" s="8145"/>
      <c r="E2" s="8145"/>
      <c r="F2" s="9585"/>
      <c r="G2" s="8145"/>
      <c r="H2" s="8145"/>
      <c r="I2" s="8145"/>
      <c r="J2" s="8145"/>
    </row>
    <row r="3" spans="1:12" ht="15" customHeight="1">
      <c r="A3" s="7351" t="s">
        <v>2</v>
      </c>
      <c r="B3" s="7351"/>
      <c r="C3" s="9597" t="s">
        <v>11260</v>
      </c>
      <c r="D3" s="7351"/>
      <c r="E3" s="7351"/>
      <c r="F3" s="9534"/>
      <c r="H3" s="7351"/>
      <c r="I3" s="7351"/>
      <c r="J3" s="14310"/>
    </row>
    <row r="4" spans="1:12" ht="15" customHeight="1">
      <c r="A4" s="7355" t="s">
        <v>7</v>
      </c>
      <c r="B4" s="7355"/>
      <c r="C4" s="9598" t="s">
        <v>8</v>
      </c>
      <c r="D4" s="7355"/>
      <c r="E4" s="7355"/>
      <c r="F4" s="9536"/>
      <c r="G4" s="7504"/>
      <c r="H4" s="7355" t="s">
        <v>9</v>
      </c>
      <c r="I4" s="7355"/>
      <c r="J4" s="14310"/>
    </row>
    <row r="5" spans="1:12" ht="15" customHeight="1" thickBot="1">
      <c r="A5" s="8146"/>
      <c r="B5" s="8146"/>
      <c r="C5" s="8147"/>
      <c r="D5" s="8146"/>
      <c r="E5" s="8148"/>
      <c r="F5" s="9586"/>
      <c r="G5" s="8146"/>
      <c r="H5" s="8148"/>
      <c r="I5" s="8148"/>
      <c r="J5" s="13770"/>
    </row>
    <row r="6" spans="1:12" ht="15" customHeight="1">
      <c r="A6" s="11227"/>
      <c r="B6" s="11228"/>
      <c r="C6" s="11229" t="s">
        <v>9</v>
      </c>
      <c r="D6" s="11230" t="s">
        <v>10</v>
      </c>
      <c r="E6" s="14188" t="s">
        <v>10711</v>
      </c>
      <c r="F6" s="14189"/>
      <c r="G6" s="14190"/>
      <c r="H6" s="11230" t="s">
        <v>9985</v>
      </c>
      <c r="I6" s="11230"/>
      <c r="J6" s="11231" t="s">
        <v>12</v>
      </c>
    </row>
    <row r="7" spans="1:12" ht="15" customHeight="1">
      <c r="A7" s="11232"/>
      <c r="B7" s="8071" t="s">
        <v>13</v>
      </c>
      <c r="C7" s="14305" t="s">
        <v>14</v>
      </c>
      <c r="D7" s="11233" t="s">
        <v>15</v>
      </c>
      <c r="E7" s="9502" t="s">
        <v>10709</v>
      </c>
      <c r="F7" s="11083" t="s">
        <v>10710</v>
      </c>
      <c r="G7" s="14191" t="s">
        <v>458</v>
      </c>
      <c r="H7" s="11233" t="s">
        <v>11822</v>
      </c>
      <c r="I7" s="11233"/>
      <c r="J7" s="11234" t="s">
        <v>16</v>
      </c>
    </row>
    <row r="8" spans="1:12" ht="15" customHeight="1" thickBot="1">
      <c r="A8" s="11235"/>
      <c r="B8" s="7752"/>
      <c r="C8" s="14306"/>
      <c r="D8" s="7975">
        <v>2017</v>
      </c>
      <c r="E8" s="9467" t="s">
        <v>457</v>
      </c>
      <c r="F8" s="11076" t="s">
        <v>456</v>
      </c>
      <c r="G8" s="14192"/>
      <c r="H8" s="7975">
        <v>2018</v>
      </c>
      <c r="I8" s="7975"/>
      <c r="J8" s="11236">
        <v>2019</v>
      </c>
    </row>
    <row r="9" spans="1:12" ht="15" customHeight="1">
      <c r="A9" s="11237"/>
      <c r="B9" s="7356"/>
      <c r="C9" s="11238"/>
      <c r="D9" s="11239"/>
      <c r="E9" s="11123"/>
      <c r="F9" s="11073"/>
      <c r="G9" s="11123"/>
      <c r="H9" s="11239"/>
      <c r="I9" s="11239"/>
      <c r="J9" s="11240"/>
    </row>
    <row r="10" spans="1:12" ht="15" customHeight="1">
      <c r="A10" s="11241" t="s">
        <v>17</v>
      </c>
      <c r="B10" s="7352" t="s">
        <v>18</v>
      </c>
      <c r="C10" s="10387"/>
      <c r="D10" s="11242"/>
      <c r="E10" s="11242"/>
      <c r="F10" s="11243"/>
      <c r="G10" s="11244"/>
      <c r="H10" s="11242"/>
      <c r="I10" s="11242"/>
      <c r="J10" s="11245"/>
    </row>
    <row r="11" spans="1:12" ht="15" customHeight="1">
      <c r="A11" s="11237"/>
      <c r="B11" s="7352" t="s">
        <v>19</v>
      </c>
      <c r="C11" s="10387"/>
      <c r="D11" s="11242"/>
      <c r="E11" s="11242"/>
      <c r="F11" s="11243"/>
      <c r="G11" s="11244"/>
      <c r="H11" s="11242"/>
      <c r="I11" s="11246"/>
      <c r="J11" s="11245"/>
    </row>
    <row r="12" spans="1:12" ht="15" customHeight="1">
      <c r="A12" s="11237"/>
      <c r="B12" s="7352" t="s">
        <v>56</v>
      </c>
      <c r="C12" s="8872">
        <v>50101010</v>
      </c>
      <c r="D12" s="11247">
        <f>'WS-PS 2017'!B24</f>
        <v>2848225.89</v>
      </c>
      <c r="E12" s="11247">
        <f>'WS-PS ACTUAL JUNE 2018'!B24</f>
        <v>1858537.28</v>
      </c>
      <c r="F12" s="11248">
        <f>G12-E12</f>
        <v>3562666.7199999997</v>
      </c>
      <c r="G12" s="11249">
        <v>5421204</v>
      </c>
      <c r="H12" s="11249"/>
      <c r="I12" s="11250"/>
      <c r="J12" s="11251">
        <f>K12</f>
        <v>6775764</v>
      </c>
      <c r="K12" s="7371">
        <f>'staffing-bemo'!F54</f>
        <v>6775764</v>
      </c>
      <c r="L12" s="7383">
        <f>'staffing-bemo'!B54</f>
        <v>26</v>
      </c>
    </row>
    <row r="13" spans="1:12" ht="15" customHeight="1">
      <c r="A13" s="11237"/>
      <c r="B13" s="7352" t="s">
        <v>58</v>
      </c>
      <c r="C13" s="8872">
        <v>50102010</v>
      </c>
      <c r="D13" s="11252">
        <f>'WS-PS 2017'!F24</f>
        <v>288272.73</v>
      </c>
      <c r="E13" s="11252">
        <f>'WS-PS ACTUAL JUNE 2018'!D24</f>
        <v>175818.2</v>
      </c>
      <c r="F13" s="11248">
        <f t="shared" ref="F13:F25" si="0">G13-E13</f>
        <v>304181.8</v>
      </c>
      <c r="G13" s="8869">
        <v>480000</v>
      </c>
      <c r="H13" s="8869"/>
      <c r="I13" s="11253"/>
      <c r="J13" s="11251">
        <f t="shared" ref="J13:J25" si="1">K13</f>
        <v>624000</v>
      </c>
      <c r="K13" s="7310">
        <f>24000*L12</f>
        <v>624000</v>
      </c>
    </row>
    <row r="14" spans="1:12" ht="15" customHeight="1">
      <c r="A14" s="11237"/>
      <c r="B14" s="7352" t="s">
        <v>79</v>
      </c>
      <c r="C14" s="8872">
        <v>50102040</v>
      </c>
      <c r="D14" s="11252">
        <f>'WS-PS 2017'!I24</f>
        <v>65000</v>
      </c>
      <c r="E14" s="11252">
        <f>'WS-PS ACTUAL JUNE 2018'!G24</f>
        <v>68000</v>
      </c>
      <c r="F14" s="11248">
        <f t="shared" si="0"/>
        <v>32000</v>
      </c>
      <c r="G14" s="8869">
        <v>100000</v>
      </c>
      <c r="H14" s="8869"/>
      <c r="I14" s="11253"/>
      <c r="J14" s="11251">
        <f t="shared" si="1"/>
        <v>156000</v>
      </c>
      <c r="K14" s="7310">
        <f>6000*L12</f>
        <v>156000</v>
      </c>
    </row>
    <row r="15" spans="1:12" ht="15" customHeight="1">
      <c r="A15" s="11237"/>
      <c r="B15" s="7488" t="s">
        <v>10932</v>
      </c>
      <c r="C15" s="8872">
        <v>50102080</v>
      </c>
      <c r="D15" s="11252">
        <f>'WS-PS 2017'!L24</f>
        <v>60000</v>
      </c>
      <c r="E15" s="11252">
        <f>'WS-PS ACTUAL JUNE 2018'!J24</f>
        <v>0</v>
      </c>
      <c r="F15" s="11248">
        <f t="shared" si="0"/>
        <v>100000</v>
      </c>
      <c r="G15" s="8869">
        <v>100000</v>
      </c>
      <c r="H15" s="8869"/>
      <c r="I15" s="11253"/>
      <c r="J15" s="11251">
        <f t="shared" si="1"/>
        <v>130000</v>
      </c>
      <c r="K15" s="7310">
        <f>5000*L12</f>
        <v>130000</v>
      </c>
    </row>
    <row r="16" spans="1:12" ht="15" customHeight="1">
      <c r="A16" s="11237"/>
      <c r="B16" s="7488" t="s">
        <v>10934</v>
      </c>
      <c r="C16" s="8872">
        <v>50102120</v>
      </c>
      <c r="D16" s="11252">
        <f>'WS-PS 2017'!O24</f>
        <v>0</v>
      </c>
      <c r="E16" s="11252">
        <f>'WS-PS ACTUAL JUNE 2018'!M24</f>
        <v>10000</v>
      </c>
      <c r="F16" s="11254">
        <f>G16-E16</f>
        <v>-5000</v>
      </c>
      <c r="G16" s="8869">
        <v>5000</v>
      </c>
      <c r="H16" s="8869"/>
      <c r="I16" s="11253"/>
      <c r="J16" s="11251">
        <f t="shared" si="1"/>
        <v>0</v>
      </c>
    </row>
    <row r="17" spans="1:11" ht="15" customHeight="1">
      <c r="A17" s="11237"/>
      <c r="B17" s="7488" t="s">
        <v>10933</v>
      </c>
      <c r="C17" s="8872">
        <v>50102140</v>
      </c>
      <c r="D17" s="11247">
        <f>'WS-PS 2017'!U24+'WS-PS 2017'!S24</f>
        <v>454029</v>
      </c>
      <c r="E17" s="11247">
        <f>'WS-PS ACTUAL JUNE 2018'!O24</f>
        <v>269829</v>
      </c>
      <c r="F17" s="11248">
        <f t="shared" si="0"/>
        <v>633705</v>
      </c>
      <c r="G17" s="11255">
        <v>903534</v>
      </c>
      <c r="H17" s="11255"/>
      <c r="I17" s="11256"/>
      <c r="J17" s="11251">
        <f t="shared" si="1"/>
        <v>1129294</v>
      </c>
      <c r="K17" s="7310">
        <f>K12/12*2</f>
        <v>1129294</v>
      </c>
    </row>
    <row r="18" spans="1:11" ht="15" customHeight="1">
      <c r="A18" s="11237"/>
      <c r="B18" s="7352" t="s">
        <v>26</v>
      </c>
      <c r="C18" s="8872">
        <v>50102150</v>
      </c>
      <c r="D18" s="11252">
        <f>'WS-PS 2017'!T24</f>
        <v>60000</v>
      </c>
      <c r="E18" s="11252">
        <f>'WS-PS ACTUAL JUNE 2018'!Q24</f>
        <v>0</v>
      </c>
      <c r="F18" s="11248">
        <f>G18-E18</f>
        <v>100000</v>
      </c>
      <c r="G18" s="8869">
        <v>100000</v>
      </c>
      <c r="H18" s="8869"/>
      <c r="I18" s="11253"/>
      <c r="J18" s="11251">
        <f t="shared" si="1"/>
        <v>130000</v>
      </c>
      <c r="K18" s="7371">
        <f>K15</f>
        <v>130000</v>
      </c>
    </row>
    <row r="19" spans="1:11" ht="15" customHeight="1">
      <c r="A19" s="11237"/>
      <c r="B19" s="7488" t="s">
        <v>11497</v>
      </c>
      <c r="C19" s="11257">
        <v>50102990</v>
      </c>
      <c r="D19" s="11252">
        <v>0</v>
      </c>
      <c r="E19" s="11252">
        <f>'WS-PS ACTUAL JUNE 2018'!R24</f>
        <v>0</v>
      </c>
      <c r="F19" s="11248">
        <f>G19-E19</f>
        <v>259766</v>
      </c>
      <c r="G19" s="8869">
        <v>259766</v>
      </c>
      <c r="H19" s="8869"/>
      <c r="I19" s="11253"/>
      <c r="J19" s="11251">
        <v>0</v>
      </c>
      <c r="K19" s="7310">
        <f>0.575*(K12/12)</f>
        <v>324672.02499999997</v>
      </c>
    </row>
    <row r="20" spans="1:11" ht="15" customHeight="1">
      <c r="A20" s="11237"/>
      <c r="B20" s="7803" t="s">
        <v>11499</v>
      </c>
      <c r="C20" s="11059" t="s">
        <v>11495</v>
      </c>
      <c r="D20" s="11252">
        <f>'WS-PS 2017'!Q24</f>
        <v>0</v>
      </c>
      <c r="E20" s="11252">
        <f>'WS-PS ACTUAL JUNE 2018'!S24</f>
        <v>0</v>
      </c>
      <c r="F20" s="11248">
        <f>G20-E20</f>
        <v>0</v>
      </c>
      <c r="G20" s="8869">
        <v>0</v>
      </c>
      <c r="H20" s="8869"/>
      <c r="I20" s="11253"/>
      <c r="J20" s="11251">
        <f t="shared" si="1"/>
        <v>78000</v>
      </c>
      <c r="K20" s="7310">
        <f>3000*L12</f>
        <v>78000</v>
      </c>
    </row>
    <row r="21" spans="1:11" ht="15" customHeight="1">
      <c r="A21" s="11237"/>
      <c r="B21" s="7352" t="s">
        <v>59</v>
      </c>
      <c r="C21" s="8872">
        <v>50103010</v>
      </c>
      <c r="D21" s="11252">
        <f>'WS-PS 2017'!V24</f>
        <v>279507.11</v>
      </c>
      <c r="E21" s="11252">
        <f>'WS-PS ACTUAL JUNE 2018'!T24</f>
        <v>189073.23</v>
      </c>
      <c r="F21" s="11248">
        <f t="shared" si="0"/>
        <v>461470.77</v>
      </c>
      <c r="G21" s="8869">
        <v>650544</v>
      </c>
      <c r="H21" s="8869"/>
      <c r="I21" s="11253"/>
      <c r="J21" s="11251">
        <f t="shared" si="1"/>
        <v>813091.67999999993</v>
      </c>
      <c r="K21" s="7310">
        <f>K12*12%</f>
        <v>813091.67999999993</v>
      </c>
    </row>
    <row r="22" spans="1:11" ht="15" customHeight="1">
      <c r="A22" s="11237"/>
      <c r="B22" s="7352" t="s">
        <v>28</v>
      </c>
      <c r="C22" s="8872">
        <v>50103020</v>
      </c>
      <c r="D22" s="11252">
        <f>'WS-PS 2017'!W24</f>
        <v>13500</v>
      </c>
      <c r="E22" s="11252">
        <f>'WS-PS ACTUAL JUNE 2018'!U24</f>
        <v>8800</v>
      </c>
      <c r="F22" s="11248">
        <f t="shared" si="0"/>
        <v>15200</v>
      </c>
      <c r="G22" s="8869">
        <v>24000</v>
      </c>
      <c r="H22" s="8869"/>
      <c r="I22" s="11253"/>
      <c r="J22" s="11251">
        <f t="shared" si="1"/>
        <v>31200</v>
      </c>
      <c r="K22" s="7310">
        <f>1200*L12</f>
        <v>31200</v>
      </c>
    </row>
    <row r="23" spans="1:11" ht="15" customHeight="1">
      <c r="A23" s="11237"/>
      <c r="B23" s="7352" t="s">
        <v>29</v>
      </c>
      <c r="C23" s="8872">
        <v>50103030</v>
      </c>
      <c r="D23" s="11252">
        <f>'WS-PS 2017'!X24</f>
        <v>27112.5</v>
      </c>
      <c r="E23" s="11252">
        <f>'WS-PS ACTUAL JUNE 2018'!V24</f>
        <v>21087.79</v>
      </c>
      <c r="F23" s="11248">
        <f t="shared" si="0"/>
        <v>49112.21</v>
      </c>
      <c r="G23" s="8869">
        <v>70200</v>
      </c>
      <c r="H23" s="8869"/>
      <c r="I23" s="11253"/>
      <c r="J23" s="11251">
        <v>85202.865000000005</v>
      </c>
      <c r="K23" s="7310">
        <f>3600*L12</f>
        <v>93600</v>
      </c>
    </row>
    <row r="24" spans="1:11" ht="15" customHeight="1">
      <c r="A24" s="11237"/>
      <c r="B24" s="7352" t="s">
        <v>30</v>
      </c>
      <c r="C24" s="8872">
        <v>50103040</v>
      </c>
      <c r="D24" s="11252">
        <f>'WS-PS 2017'!Y24</f>
        <v>13237.5</v>
      </c>
      <c r="E24" s="11252">
        <f>'WS-PS ACTUAL JUNE 2018'!W24</f>
        <v>8200</v>
      </c>
      <c r="F24" s="11248">
        <f t="shared" si="0"/>
        <v>15800</v>
      </c>
      <c r="G24" s="8869">
        <v>24000</v>
      </c>
      <c r="H24" s="8869"/>
      <c r="I24" s="11253"/>
      <c r="J24" s="11251">
        <f t="shared" si="1"/>
        <v>31200</v>
      </c>
      <c r="K24" s="7310">
        <f>K22</f>
        <v>31200</v>
      </c>
    </row>
    <row r="25" spans="1:11" ht="15" customHeight="1">
      <c r="A25" s="11237"/>
      <c r="B25" s="7488" t="s">
        <v>5025</v>
      </c>
      <c r="C25" s="11258">
        <v>50104990</v>
      </c>
      <c r="D25" s="11252">
        <f>'WS-PS 2017'!Z24</f>
        <v>300000</v>
      </c>
      <c r="E25" s="11252"/>
      <c r="F25" s="11248">
        <f t="shared" si="0"/>
        <v>0</v>
      </c>
      <c r="G25" s="8869">
        <v>0</v>
      </c>
      <c r="H25" s="8869"/>
      <c r="I25" s="11253"/>
      <c r="J25" s="11251">
        <f t="shared" si="1"/>
        <v>0</v>
      </c>
    </row>
    <row r="26" spans="1:11" ht="15" customHeight="1">
      <c r="A26" s="11237"/>
      <c r="B26" s="7352"/>
      <c r="C26" s="8872"/>
      <c r="D26" s="10486"/>
      <c r="E26" s="7725"/>
      <c r="F26" s="11259"/>
      <c r="G26" s="7725"/>
      <c r="H26" s="7725"/>
      <c r="I26" s="11260"/>
      <c r="J26" s="11171"/>
    </row>
    <row r="27" spans="1:11" ht="15" customHeight="1" thickBot="1">
      <c r="A27" s="11235"/>
      <c r="B27" s="7391" t="s">
        <v>37</v>
      </c>
      <c r="C27" s="11261"/>
      <c r="D27" s="9428">
        <f>SUM(D11:D25)</f>
        <v>4408884.7300000004</v>
      </c>
      <c r="E27" s="9428">
        <f>SUM(E11:E25)</f>
        <v>2609345.5</v>
      </c>
      <c r="F27" s="9428">
        <f>SUM(F11:F25)</f>
        <v>5528902.4999999991</v>
      </c>
      <c r="G27" s="11262">
        <f>SUM(G11:G25)</f>
        <v>8138248</v>
      </c>
      <c r="H27" s="11262"/>
      <c r="I27" s="11262"/>
      <c r="J27" s="11263">
        <f>SUM(J11:J25)</f>
        <v>9983752.5449999999</v>
      </c>
      <c r="K27" s="7371">
        <f>SUM(K12:K26)</f>
        <v>10316821.705</v>
      </c>
    </row>
    <row r="28" spans="1:11" ht="15" customHeight="1">
      <c r="A28" s="7958"/>
      <c r="B28" s="7959"/>
      <c r="C28" s="7960"/>
      <c r="D28" s="7961"/>
      <c r="E28" s="7961"/>
      <c r="F28" s="9527"/>
      <c r="G28" s="8151"/>
      <c r="H28" s="8151"/>
      <c r="I28" s="8151"/>
      <c r="J28" s="8151"/>
    </row>
    <row r="29" spans="1:11" ht="15" customHeight="1">
      <c r="A29" s="7352"/>
      <c r="B29" s="7361"/>
      <c r="C29" s="7353"/>
      <c r="D29" s="7364"/>
      <c r="E29" s="7364"/>
      <c r="F29" s="9528"/>
      <c r="G29" s="8072"/>
      <c r="H29" s="8072"/>
      <c r="I29" s="8072"/>
      <c r="J29" s="8072"/>
    </row>
    <row r="30" spans="1:11" ht="15" customHeight="1">
      <c r="A30" s="7352"/>
      <c r="B30" s="7361"/>
      <c r="C30" s="7353"/>
      <c r="D30" s="7364"/>
      <c r="E30" s="7364"/>
      <c r="F30" s="9528"/>
      <c r="G30" s="8072"/>
      <c r="H30" s="8072"/>
      <c r="I30" s="8072"/>
      <c r="J30" s="8072"/>
    </row>
    <row r="31" spans="1:11" ht="15" customHeight="1">
      <c r="A31" s="7352"/>
      <c r="B31" s="7361"/>
      <c r="C31" s="7353"/>
      <c r="D31" s="7364"/>
      <c r="E31" s="7364"/>
      <c r="F31" s="9528"/>
      <c r="G31" s="8072"/>
      <c r="H31" s="8072"/>
      <c r="I31" s="8072"/>
      <c r="J31" s="8072"/>
    </row>
    <row r="32" spans="1:11" ht="15" customHeight="1">
      <c r="A32" s="7352"/>
      <c r="B32" s="7361"/>
      <c r="C32" s="7353"/>
      <c r="D32" s="7364"/>
      <c r="E32" s="7364"/>
      <c r="F32" s="9528"/>
      <c r="G32" s="8072"/>
      <c r="H32" s="8072"/>
      <c r="I32" s="8072"/>
      <c r="J32" s="8072"/>
    </row>
    <row r="33" spans="1:12" ht="15" customHeight="1">
      <c r="A33" s="7352"/>
      <c r="B33" s="7361"/>
      <c r="C33" s="7353"/>
      <c r="D33" s="7364"/>
      <c r="E33" s="7364"/>
      <c r="F33" s="9528"/>
      <c r="G33" s="8072"/>
      <c r="H33" s="8072"/>
      <c r="I33" s="8072"/>
      <c r="J33" s="8072"/>
    </row>
    <row r="34" spans="1:12" ht="15" customHeight="1">
      <c r="A34" s="7352"/>
      <c r="B34" s="7361"/>
      <c r="C34" s="7353"/>
      <c r="D34" s="7364"/>
      <c r="E34" s="7364"/>
      <c r="F34" s="9528"/>
      <c r="G34" s="8072"/>
      <c r="H34" s="8072"/>
      <c r="I34" s="8072"/>
      <c r="J34" s="8072"/>
    </row>
    <row r="35" spans="1:12" ht="15" customHeight="1">
      <c r="A35" s="7352"/>
      <c r="B35" s="7361"/>
      <c r="C35" s="7353"/>
      <c r="D35" s="7364"/>
      <c r="E35" s="7364"/>
      <c r="F35" s="9528"/>
      <c r="G35" s="8072"/>
      <c r="H35" s="8072"/>
      <c r="I35" s="8072"/>
      <c r="J35" s="14308"/>
    </row>
    <row r="36" spans="1:12" ht="15" customHeight="1">
      <c r="A36" s="7352"/>
      <c r="B36" s="7361"/>
      <c r="C36" s="7353"/>
      <c r="D36" s="7364"/>
      <c r="E36" s="7364"/>
      <c r="F36" s="9528"/>
      <c r="G36" s="8072"/>
      <c r="H36" s="8072"/>
      <c r="I36" s="8072"/>
      <c r="J36" s="14308"/>
    </row>
    <row r="37" spans="1:12" ht="15" customHeight="1">
      <c r="A37" s="7352"/>
      <c r="B37" s="7361"/>
      <c r="C37" s="7353"/>
      <c r="D37" s="7364"/>
      <c r="E37" s="7364"/>
      <c r="F37" s="9528"/>
      <c r="G37" s="8072"/>
      <c r="H37" s="8072"/>
      <c r="I37" s="8072"/>
      <c r="J37" s="14308"/>
    </row>
    <row r="38" spans="1:12" ht="15" customHeight="1" thickBot="1">
      <c r="A38" s="7390" t="s">
        <v>10340</v>
      </c>
      <c r="B38" s="7391"/>
      <c r="C38" s="7752"/>
      <c r="D38" s="7393"/>
      <c r="E38" s="7393"/>
      <c r="F38" s="9529"/>
      <c r="G38" s="8152"/>
      <c r="H38" s="8152"/>
      <c r="I38" s="7394"/>
      <c r="J38" s="14309"/>
    </row>
    <row r="39" spans="1:12" s="7504" customFormat="1" ht="15" customHeight="1">
      <c r="A39" s="11227"/>
      <c r="B39" s="11228"/>
      <c r="C39" s="11229" t="s">
        <v>9</v>
      </c>
      <c r="D39" s="11230" t="s">
        <v>10</v>
      </c>
      <c r="E39" s="14188" t="s">
        <v>10711</v>
      </c>
      <c r="F39" s="14189"/>
      <c r="G39" s="14190"/>
      <c r="H39" s="11230"/>
      <c r="I39" s="11230"/>
      <c r="J39" s="11231" t="s">
        <v>12</v>
      </c>
      <c r="K39" s="7355"/>
      <c r="L39" s="8069"/>
    </row>
    <row r="40" spans="1:12" ht="15" customHeight="1">
      <c r="A40" s="11232"/>
      <c r="B40" s="8071" t="s">
        <v>13</v>
      </c>
      <c r="C40" s="14305" t="s">
        <v>14</v>
      </c>
      <c r="D40" s="11233" t="s">
        <v>15</v>
      </c>
      <c r="E40" s="9502" t="s">
        <v>10709</v>
      </c>
      <c r="F40" s="11083" t="s">
        <v>10710</v>
      </c>
      <c r="G40" s="14191" t="s">
        <v>458</v>
      </c>
      <c r="H40" s="11233"/>
      <c r="I40" s="11233"/>
      <c r="J40" s="11234" t="s">
        <v>16</v>
      </c>
    </row>
    <row r="41" spans="1:12" ht="15" customHeight="1" thickBot="1">
      <c r="A41" s="11235"/>
      <c r="B41" s="7752"/>
      <c r="C41" s="14306"/>
      <c r="D41" s="7975">
        <v>2017</v>
      </c>
      <c r="E41" s="9467" t="s">
        <v>457</v>
      </c>
      <c r="F41" s="11076" t="s">
        <v>456</v>
      </c>
      <c r="G41" s="14192"/>
      <c r="H41" s="7975"/>
      <c r="I41" s="7975"/>
      <c r="J41" s="11236">
        <v>2019</v>
      </c>
    </row>
    <row r="42" spans="1:12" ht="15" customHeight="1">
      <c r="A42" s="11237"/>
      <c r="B42" s="7356"/>
      <c r="C42" s="11238"/>
      <c r="D42" s="11239"/>
      <c r="E42" s="11123"/>
      <c r="F42" s="11073"/>
      <c r="G42" s="11123"/>
      <c r="H42" s="11239"/>
      <c r="I42" s="11239"/>
      <c r="J42" s="11240"/>
    </row>
    <row r="43" spans="1:12" ht="15" customHeight="1">
      <c r="A43" s="11241"/>
      <c r="B43" s="7352" t="s">
        <v>38</v>
      </c>
      <c r="C43" s="10387"/>
      <c r="D43" s="11264"/>
      <c r="E43" s="11264"/>
      <c r="F43" s="11265"/>
      <c r="G43" s="11266"/>
      <c r="H43" s="11266"/>
      <c r="I43" s="11267"/>
      <c r="J43" s="11268"/>
    </row>
    <row r="44" spans="1:12" ht="15" customHeight="1">
      <c r="A44" s="11237"/>
      <c r="B44" s="7352" t="s">
        <v>39</v>
      </c>
      <c r="C44" s="8872">
        <v>50201010</v>
      </c>
      <c r="D44" s="11252">
        <f>'WS-MOOE 2017'!B24</f>
        <v>183028.07</v>
      </c>
      <c r="E44" s="11252">
        <f>'WS-MOOE ACTUAL JUNE 2018'!B25</f>
        <v>63188.18</v>
      </c>
      <c r="F44" s="11248">
        <f t="shared" ref="F44:F63" si="2">G44-E44</f>
        <v>76811.820000000007</v>
      </c>
      <c r="G44" s="11252">
        <v>140000</v>
      </c>
      <c r="H44" s="11252">
        <v>110596.18</v>
      </c>
      <c r="I44" s="11163">
        <f t="shared" ref="I44:I61" si="3">H44/G44</f>
        <v>0.78997271428571425</v>
      </c>
      <c r="J44" s="11269">
        <v>160000</v>
      </c>
    </row>
    <row r="45" spans="1:12" ht="15" customHeight="1">
      <c r="A45" s="11237"/>
      <c r="B45" s="7352" t="s">
        <v>41</v>
      </c>
      <c r="C45" s="8872">
        <v>50202010</v>
      </c>
      <c r="D45" s="11252">
        <f>'WS-MOOE 2017'!H24</f>
        <v>52800</v>
      </c>
      <c r="E45" s="11252">
        <f>'WS-MOOE ACTUAL JUNE 2018'!G25</f>
        <v>27474</v>
      </c>
      <c r="F45" s="11248">
        <f t="shared" si="2"/>
        <v>62526</v>
      </c>
      <c r="G45" s="11252">
        <v>90000</v>
      </c>
      <c r="H45" s="11252">
        <v>27474</v>
      </c>
      <c r="I45" s="11163">
        <f t="shared" si="3"/>
        <v>0.30526666666666669</v>
      </c>
      <c r="J45" s="11269">
        <v>100000</v>
      </c>
    </row>
    <row r="46" spans="1:12" ht="15" customHeight="1">
      <c r="A46" s="11237"/>
      <c r="B46" s="7352" t="s">
        <v>42</v>
      </c>
      <c r="C46" s="8872">
        <v>50203010</v>
      </c>
      <c r="D46" s="11252">
        <f>'WS-MOOE 2017'!J24</f>
        <v>97388.7</v>
      </c>
      <c r="E46" s="11252">
        <f>'WS-MOOE ACTUAL JUNE 2018'!H25</f>
        <v>1712</v>
      </c>
      <c r="F46" s="11248">
        <f t="shared" si="2"/>
        <v>178288</v>
      </c>
      <c r="G46" s="11252">
        <v>180000</v>
      </c>
      <c r="H46" s="11252">
        <v>148622.39999999999</v>
      </c>
      <c r="I46" s="11163">
        <f t="shared" si="3"/>
        <v>0.82567999999999997</v>
      </c>
      <c r="J46" s="11269">
        <v>185000</v>
      </c>
    </row>
    <row r="47" spans="1:12" ht="15" customHeight="1">
      <c r="A47" s="11237"/>
      <c r="B47" s="7352" t="s">
        <v>61</v>
      </c>
      <c r="C47" s="8872">
        <v>50203090</v>
      </c>
      <c r="D47" s="11252">
        <f>'WS-MOOE 2017'!R24</f>
        <v>178708.98</v>
      </c>
      <c r="E47" s="11252">
        <f>'WS-MOOE ACTUAL JUNE 2018'!O25</f>
        <v>1000</v>
      </c>
      <c r="F47" s="11248">
        <f t="shared" si="2"/>
        <v>299000</v>
      </c>
      <c r="G47" s="11252">
        <v>300000</v>
      </c>
      <c r="H47" s="11252">
        <v>252475</v>
      </c>
      <c r="I47" s="11163">
        <f t="shared" si="3"/>
        <v>0.84158333333333335</v>
      </c>
      <c r="J47" s="11269">
        <v>315000</v>
      </c>
    </row>
    <row r="48" spans="1:12" ht="15" customHeight="1">
      <c r="A48" s="11237"/>
      <c r="B48" s="7352" t="s">
        <v>45</v>
      </c>
      <c r="C48" s="8872">
        <v>50204010</v>
      </c>
      <c r="D48" s="11252">
        <f>'WS-MOOE 2017'!W24</f>
        <v>1213.25</v>
      </c>
      <c r="E48" s="11252">
        <f>'WS-MOOE ACTUAL JUNE 2018'!R25</f>
        <v>552.5</v>
      </c>
      <c r="F48" s="11248">
        <f t="shared" si="2"/>
        <v>9447.5</v>
      </c>
      <c r="G48" s="11252">
        <v>10000</v>
      </c>
      <c r="H48" s="11252">
        <v>748.5</v>
      </c>
      <c r="I48" s="11163">
        <f t="shared" si="3"/>
        <v>7.485E-2</v>
      </c>
      <c r="J48" s="11270">
        <v>0</v>
      </c>
      <c r="K48" s="8888">
        <v>10000</v>
      </c>
    </row>
    <row r="49" spans="1:11" ht="15" customHeight="1">
      <c r="A49" s="11237"/>
      <c r="B49" s="7352" t="s">
        <v>46</v>
      </c>
      <c r="C49" s="8872">
        <v>50204020</v>
      </c>
      <c r="D49" s="11252">
        <f>'WS-MOOE 2017'!X24</f>
        <v>166903.88</v>
      </c>
      <c r="E49" s="11252">
        <f>'WS-MOOE ACTUAL JUNE 2018'!S25</f>
        <v>50419.69</v>
      </c>
      <c r="F49" s="11248">
        <f t="shared" si="2"/>
        <v>124580.31</v>
      </c>
      <c r="G49" s="11252">
        <v>175000</v>
      </c>
      <c r="H49" s="11252">
        <v>82822.94</v>
      </c>
      <c r="I49" s="11163">
        <f t="shared" si="3"/>
        <v>0.47327394285714286</v>
      </c>
      <c r="J49" s="11270">
        <v>0</v>
      </c>
      <c r="K49" s="8888">
        <v>200000</v>
      </c>
    </row>
    <row r="50" spans="1:11" ht="15" customHeight="1">
      <c r="A50" s="11237"/>
      <c r="B50" s="7352" t="s">
        <v>62</v>
      </c>
      <c r="C50" s="8872">
        <v>50205010</v>
      </c>
      <c r="D50" s="11252">
        <f>'WS-MOOE 2017'!Z24</f>
        <v>1025</v>
      </c>
      <c r="E50" s="11252">
        <f>'WS-MOOE ACTUAL JUNE 2018'!U25</f>
        <v>570</v>
      </c>
      <c r="F50" s="11248">
        <f t="shared" si="2"/>
        <v>430</v>
      </c>
      <c r="G50" s="11252">
        <v>1000</v>
      </c>
      <c r="H50" s="11252">
        <v>570</v>
      </c>
      <c r="I50" s="11163">
        <f t="shared" si="3"/>
        <v>0.56999999999999995</v>
      </c>
      <c r="J50" s="11269">
        <v>1000</v>
      </c>
    </row>
    <row r="51" spans="1:11" ht="15" customHeight="1">
      <c r="A51" s="11237"/>
      <c r="B51" s="7835" t="s">
        <v>11762</v>
      </c>
      <c r="C51" s="8872">
        <v>50205020</v>
      </c>
      <c r="D51" s="11252">
        <f>'WS-MOOE 2017'!AA24+'WS-MOOE 2017'!AE24+'WS-MOOE 2017'!AC24</f>
        <v>41536</v>
      </c>
      <c r="E51" s="11252">
        <f>'WS-MOOE ACTUAL JUNE 2018'!V25</f>
        <v>20596.41</v>
      </c>
      <c r="F51" s="11248">
        <f t="shared" si="2"/>
        <v>44403.59</v>
      </c>
      <c r="G51" s="11252">
        <v>65000</v>
      </c>
      <c r="H51" s="11252">
        <v>32268.880000000001</v>
      </c>
      <c r="I51" s="11163">
        <f t="shared" si="3"/>
        <v>0.49644430769230768</v>
      </c>
      <c r="J51" s="11269">
        <v>70000</v>
      </c>
      <c r="K51" s="7351" t="s">
        <v>11831</v>
      </c>
    </row>
    <row r="52" spans="1:11" ht="15" hidden="1" customHeight="1">
      <c r="A52" s="11237"/>
      <c r="B52" s="7352" t="s">
        <v>64</v>
      </c>
      <c r="C52" s="8872"/>
      <c r="D52" s="11252"/>
      <c r="E52" s="11252"/>
      <c r="F52" s="11248">
        <f t="shared" si="2"/>
        <v>0</v>
      </c>
      <c r="G52" s="11252"/>
      <c r="H52" s="11252">
        <v>0</v>
      </c>
      <c r="I52" s="11163" t="e">
        <f t="shared" si="3"/>
        <v>#DIV/0!</v>
      </c>
      <c r="J52" s="11269"/>
    </row>
    <row r="53" spans="1:11" ht="15" customHeight="1">
      <c r="A53" s="11237"/>
      <c r="B53" s="7488" t="s">
        <v>10944</v>
      </c>
      <c r="C53" s="11258">
        <v>50211990</v>
      </c>
      <c r="D53" s="11252">
        <f>'WS-MOOE 2017'!AL24</f>
        <v>292190.84000000003</v>
      </c>
      <c r="E53" s="11252">
        <f>'WS-MOOE ACTUAL JUNE 2018'!AF25</f>
        <v>42462.2</v>
      </c>
      <c r="F53" s="11248">
        <f>G53-E53</f>
        <v>457537.8</v>
      </c>
      <c r="G53" s="11252">
        <v>500000</v>
      </c>
      <c r="H53" s="11252">
        <v>130806.51</v>
      </c>
      <c r="I53" s="11163">
        <f>H53/G53</f>
        <v>0.26161301999999997</v>
      </c>
      <c r="J53" s="11269">
        <v>525000</v>
      </c>
    </row>
    <row r="54" spans="1:11" ht="15" customHeight="1">
      <c r="A54" s="11237"/>
      <c r="B54" s="7352" t="s">
        <v>10940</v>
      </c>
      <c r="C54" s="8872">
        <v>50212990</v>
      </c>
      <c r="D54" s="11252">
        <f>'WS-MOOE 2017'!AO24</f>
        <v>398631.94</v>
      </c>
      <c r="E54" s="11252">
        <f>'WS-MOOE ACTUAL JUNE 2018'!AJ25</f>
        <v>162653.37</v>
      </c>
      <c r="F54" s="11248">
        <f t="shared" si="2"/>
        <v>437346.63</v>
      </c>
      <c r="G54" s="11252">
        <v>600000</v>
      </c>
      <c r="H54" s="11252">
        <v>361767.2</v>
      </c>
      <c r="I54" s="11163">
        <f t="shared" si="3"/>
        <v>0.60294533333333333</v>
      </c>
      <c r="J54" s="11269">
        <v>680000</v>
      </c>
    </row>
    <row r="55" spans="1:11" ht="15" customHeight="1">
      <c r="A55" s="11237"/>
      <c r="B55" s="7488" t="s">
        <v>10938</v>
      </c>
      <c r="C55" s="8872">
        <v>50213050</v>
      </c>
      <c r="D55" s="11252">
        <f>'WS-MOOE 2017'!AW24+'WS-MOOE 2017'!AY24</f>
        <v>17344</v>
      </c>
      <c r="E55" s="11252">
        <f>'WS-MOOE ACTUAL JUNE 2018'!AS25</f>
        <v>0</v>
      </c>
      <c r="F55" s="11248">
        <f t="shared" si="2"/>
        <v>3000</v>
      </c>
      <c r="G55" s="11252">
        <v>3000</v>
      </c>
      <c r="H55" s="11252">
        <v>1080</v>
      </c>
      <c r="I55" s="11163">
        <f t="shared" si="3"/>
        <v>0.36</v>
      </c>
      <c r="J55" s="11269">
        <v>3000</v>
      </c>
    </row>
    <row r="56" spans="1:11" ht="15" customHeight="1">
      <c r="A56" s="11237"/>
      <c r="B56" s="7488" t="s">
        <v>10937</v>
      </c>
      <c r="C56" s="8872">
        <v>50213060</v>
      </c>
      <c r="D56" s="11252">
        <f>'WS-MOOE 2017'!BB24</f>
        <v>144144.65</v>
      </c>
      <c r="E56" s="11252">
        <f>'WS-MOOE ACTUAL JUNE 2018'!AT25</f>
        <v>75065</v>
      </c>
      <c r="F56" s="11248">
        <f>G56-E56</f>
        <v>104935</v>
      </c>
      <c r="G56" s="11252">
        <v>180000</v>
      </c>
      <c r="H56" s="11252">
        <v>160150</v>
      </c>
      <c r="I56" s="11163">
        <f>H56/G56</f>
        <v>0.88972222222222219</v>
      </c>
      <c r="J56" s="11269">
        <v>240000</v>
      </c>
    </row>
    <row r="57" spans="1:11" ht="15" customHeight="1">
      <c r="A57" s="11237"/>
      <c r="B57" s="7352" t="s">
        <v>69</v>
      </c>
      <c r="C57" s="8872">
        <v>50213070</v>
      </c>
      <c r="D57" s="11252">
        <v>0</v>
      </c>
      <c r="E57" s="11252">
        <f>'WS-MOOE ACTUAL JUNE 2018'!AU25</f>
        <v>0</v>
      </c>
      <c r="F57" s="11248">
        <f t="shared" si="2"/>
        <v>3000</v>
      </c>
      <c r="G57" s="11252">
        <v>3000</v>
      </c>
      <c r="H57" s="11252">
        <v>0</v>
      </c>
      <c r="I57" s="11163">
        <f t="shared" si="3"/>
        <v>0</v>
      </c>
      <c r="J57" s="11269">
        <v>3000</v>
      </c>
    </row>
    <row r="58" spans="1:11" ht="15" hidden="1" customHeight="1">
      <c r="A58" s="11237"/>
      <c r="B58" s="7352" t="s">
        <v>70</v>
      </c>
      <c r="C58" s="8872"/>
      <c r="D58" s="11252"/>
      <c r="E58" s="11252"/>
      <c r="F58" s="11248"/>
      <c r="G58" s="11252"/>
      <c r="H58" s="11252">
        <v>0</v>
      </c>
      <c r="I58" s="11163" t="e">
        <f t="shared" si="3"/>
        <v>#DIV/0!</v>
      </c>
      <c r="J58" s="11269"/>
    </row>
    <row r="59" spans="1:11" ht="15" customHeight="1">
      <c r="A59" s="11237"/>
      <c r="B59" s="7352" t="s">
        <v>71</v>
      </c>
      <c r="C59" s="8872">
        <v>50213990</v>
      </c>
      <c r="D59" s="11252">
        <f>'WS-MOOE 2017'!BC24</f>
        <v>0</v>
      </c>
      <c r="E59" s="11252">
        <f>'WS-MOOE ACTUAL JUNE 2018'!AV25</f>
        <v>0</v>
      </c>
      <c r="F59" s="11248">
        <f t="shared" si="2"/>
        <v>40000</v>
      </c>
      <c r="G59" s="11252">
        <v>40000</v>
      </c>
      <c r="H59" s="11252">
        <v>8478</v>
      </c>
      <c r="I59" s="11163">
        <f t="shared" si="3"/>
        <v>0.21195</v>
      </c>
      <c r="J59" s="11269">
        <v>10000</v>
      </c>
    </row>
    <row r="60" spans="1:11" ht="15" customHeight="1">
      <c r="A60" s="11237"/>
      <c r="B60" s="7352" t="s">
        <v>72</v>
      </c>
      <c r="C60" s="8872">
        <v>50215020</v>
      </c>
      <c r="D60" s="11252">
        <f>'WS-MOOE 2017'!BH24</f>
        <v>0</v>
      </c>
      <c r="E60" s="11252">
        <f>'WS-MOOE ACTUAL JUNE 2018'!AZ25</f>
        <v>0</v>
      </c>
      <c r="F60" s="11248">
        <f t="shared" si="2"/>
        <v>7000</v>
      </c>
      <c r="G60" s="11252">
        <v>7000</v>
      </c>
      <c r="H60" s="11252">
        <v>0</v>
      </c>
      <c r="I60" s="11163">
        <f t="shared" si="3"/>
        <v>0</v>
      </c>
      <c r="J60" s="11269">
        <v>10000</v>
      </c>
    </row>
    <row r="61" spans="1:11" ht="15" customHeight="1">
      <c r="A61" s="11237"/>
      <c r="B61" s="7835" t="s">
        <v>10943</v>
      </c>
      <c r="C61" s="8872">
        <v>50299990</v>
      </c>
      <c r="D61" s="11252">
        <f>'WS-MOOE 2017'!BO24+'WS-MOOE 2017'!BX24</f>
        <v>127956.18</v>
      </c>
      <c r="E61" s="11252">
        <f>'WS-MOOE ACTUAL JUNE 2018'!BI25</f>
        <v>17088.650000000001</v>
      </c>
      <c r="F61" s="11248">
        <f t="shared" si="2"/>
        <v>132911.35</v>
      </c>
      <c r="G61" s="11252">
        <v>150000</v>
      </c>
      <c r="H61" s="11252">
        <v>60548.65</v>
      </c>
      <c r="I61" s="11163">
        <f t="shared" si="3"/>
        <v>0.40365766666666669</v>
      </c>
      <c r="J61" s="11269">
        <v>150000</v>
      </c>
    </row>
    <row r="62" spans="1:11" ht="15" hidden="1" customHeight="1">
      <c r="A62" s="11237"/>
      <c r="B62" s="7352" t="s">
        <v>74</v>
      </c>
      <c r="C62" s="10387"/>
      <c r="D62" s="11252"/>
      <c r="E62" s="11252"/>
      <c r="F62" s="11248">
        <f t="shared" si="2"/>
        <v>0</v>
      </c>
      <c r="G62" s="11252"/>
      <c r="H62" s="11252"/>
      <c r="I62" s="11163"/>
      <c r="J62" s="11269"/>
    </row>
    <row r="63" spans="1:11" ht="15" hidden="1" customHeight="1">
      <c r="A63" s="11237"/>
      <c r="B63" s="7352" t="s">
        <v>10499</v>
      </c>
      <c r="C63" s="10387"/>
      <c r="D63" s="11252">
        <f>'WS-MOOE 2017'!BS24</f>
        <v>0</v>
      </c>
      <c r="E63" s="11252"/>
      <c r="F63" s="11248">
        <f t="shared" si="2"/>
        <v>0</v>
      </c>
      <c r="G63" s="11252">
        <v>0</v>
      </c>
      <c r="H63" s="11252"/>
      <c r="I63" s="11163" t="e">
        <f>H63/G63</f>
        <v>#DIV/0!</v>
      </c>
      <c r="J63" s="11269">
        <v>0</v>
      </c>
    </row>
    <row r="64" spans="1:11" ht="15" hidden="1" customHeight="1">
      <c r="A64" s="11237"/>
      <c r="B64" s="7352" t="s">
        <v>9938</v>
      </c>
      <c r="C64" s="10387"/>
      <c r="D64" s="11252"/>
      <c r="E64" s="11252"/>
      <c r="F64" s="11248"/>
      <c r="G64" s="11252"/>
      <c r="H64" s="11252">
        <v>0</v>
      </c>
      <c r="I64" s="11163" t="e">
        <f>H64/G64</f>
        <v>#DIV/0!</v>
      </c>
      <c r="J64" s="11269"/>
    </row>
    <row r="65" spans="1:11" ht="15" hidden="1" customHeight="1">
      <c r="A65" s="11237"/>
      <c r="B65" s="7352"/>
      <c r="C65" s="10387"/>
      <c r="D65" s="8869"/>
      <c r="E65" s="11252"/>
      <c r="F65" s="11243"/>
      <c r="G65" s="11252"/>
      <c r="H65" s="11252"/>
      <c r="I65" s="11163"/>
      <c r="J65" s="11269"/>
    </row>
    <row r="66" spans="1:11" ht="15" customHeight="1">
      <c r="A66" s="11237"/>
      <c r="B66" s="7352"/>
      <c r="C66" s="10387"/>
      <c r="D66" s="8869"/>
      <c r="E66" s="11252"/>
      <c r="F66" s="11243"/>
      <c r="G66" s="11252"/>
      <c r="H66" s="11252"/>
      <c r="I66" s="11163"/>
      <c r="J66" s="11269"/>
    </row>
    <row r="67" spans="1:11" ht="15" customHeight="1" thickBot="1">
      <c r="A67" s="11235"/>
      <c r="B67" s="7391" t="s">
        <v>37</v>
      </c>
      <c r="C67" s="7735"/>
      <c r="D67" s="9428">
        <f>SUM(D44:D64)</f>
        <v>1702871.4899999998</v>
      </c>
      <c r="E67" s="9428">
        <f>SUM(E44:E64)</f>
        <v>462782</v>
      </c>
      <c r="F67" s="9428">
        <f>SUM(F44:F64)</f>
        <v>1981218</v>
      </c>
      <c r="G67" s="11262">
        <f>SUM(G44:G64)</f>
        <v>2444000</v>
      </c>
      <c r="H67" s="11262">
        <f>SUM(H44:H64)</f>
        <v>1378408.26</v>
      </c>
      <c r="I67" s="11176">
        <f>H67/G67</f>
        <v>0.56399683306055648</v>
      </c>
      <c r="J67" s="11263">
        <f>SUM(J44:J64)</f>
        <v>2452000</v>
      </c>
      <c r="K67" s="10372">
        <f>(J67-G67)/G67</f>
        <v>3.2733224222585926E-3</v>
      </c>
    </row>
    <row r="68" spans="1:11" ht="15" customHeight="1">
      <c r="A68" s="7352"/>
      <c r="B68" s="7361"/>
      <c r="C68" s="7356"/>
      <c r="D68" s="7364"/>
      <c r="E68" s="7364"/>
      <c r="F68" s="9528"/>
      <c r="G68" s="8072"/>
      <c r="H68" s="8072"/>
      <c r="I68" s="7350"/>
      <c r="J68" s="8072"/>
    </row>
    <row r="69" spans="1:11" ht="15" customHeight="1">
      <c r="A69" s="7352"/>
      <c r="B69" s="7361"/>
      <c r="C69" s="7356"/>
      <c r="D69" s="7364"/>
      <c r="E69" s="7364"/>
      <c r="F69" s="9528"/>
      <c r="G69" s="8072"/>
      <c r="H69" s="8072"/>
      <c r="I69" s="7350"/>
      <c r="J69" s="8072"/>
    </row>
    <row r="70" spans="1:11" ht="15" customHeight="1">
      <c r="A70" s="7352"/>
      <c r="B70" s="7361"/>
      <c r="C70" s="7356"/>
      <c r="D70" s="7364"/>
      <c r="E70" s="7364"/>
      <c r="F70" s="9528"/>
      <c r="G70" s="8072"/>
      <c r="H70" s="8072"/>
      <c r="I70" s="7350"/>
    </row>
    <row r="71" spans="1:11" ht="15" customHeight="1">
      <c r="A71" s="7352"/>
      <c r="B71" s="7361"/>
      <c r="C71" s="7356"/>
      <c r="D71" s="7364"/>
      <c r="E71" s="7364"/>
      <c r="F71" s="9528"/>
      <c r="G71" s="8072"/>
      <c r="H71" s="8072"/>
      <c r="I71" s="7350"/>
    </row>
    <row r="72" spans="1:11" ht="15" customHeight="1">
      <c r="A72" s="7352"/>
      <c r="B72" s="7361"/>
      <c r="C72" s="7356"/>
      <c r="D72" s="7364"/>
      <c r="E72" s="7364"/>
      <c r="F72" s="9528"/>
      <c r="G72" s="8072"/>
      <c r="H72" s="8072"/>
      <c r="I72" s="7350"/>
      <c r="J72" s="8072"/>
    </row>
    <row r="73" spans="1:11" ht="15" customHeight="1">
      <c r="A73" s="7352"/>
      <c r="B73" s="7361"/>
      <c r="C73" s="7356"/>
      <c r="D73" s="7364"/>
      <c r="E73" s="7364"/>
      <c r="F73" s="9528"/>
      <c r="G73" s="8072"/>
      <c r="H73" s="8072"/>
      <c r="I73" s="7350"/>
      <c r="J73" s="8072"/>
    </row>
    <row r="74" spans="1:11" ht="15" customHeight="1">
      <c r="A74" s="7352"/>
      <c r="B74" s="7361"/>
      <c r="C74" s="7356"/>
      <c r="D74" s="7364"/>
      <c r="E74" s="7364"/>
      <c r="F74" s="9528"/>
      <c r="G74" s="8072"/>
      <c r="H74" s="8072"/>
      <c r="I74" s="7350"/>
      <c r="J74" s="14308"/>
    </row>
    <row r="75" spans="1:11" ht="15" customHeight="1">
      <c r="A75" s="7352"/>
      <c r="B75" s="7361"/>
      <c r="C75" s="7356"/>
      <c r="D75" s="7364"/>
      <c r="E75" s="7364"/>
      <c r="F75" s="9528"/>
      <c r="G75" s="8072"/>
      <c r="H75" s="8072"/>
      <c r="I75" s="7350"/>
      <c r="J75" s="14308"/>
    </row>
    <row r="76" spans="1:11" ht="15" customHeight="1">
      <c r="A76" s="7352"/>
      <c r="B76" s="7361"/>
      <c r="C76" s="7356"/>
      <c r="D76" s="7364"/>
      <c r="E76" s="7364"/>
      <c r="F76" s="9528"/>
      <c r="G76" s="8072"/>
      <c r="H76" s="8072"/>
      <c r="I76" s="7350"/>
      <c r="J76" s="14308"/>
    </row>
    <row r="77" spans="1:11" ht="15" customHeight="1">
      <c r="A77" s="7352"/>
      <c r="B77" s="7361"/>
      <c r="C77" s="7356"/>
      <c r="D77" s="7364"/>
      <c r="E77" s="7364"/>
      <c r="F77" s="9528"/>
      <c r="G77" s="8072"/>
      <c r="H77" s="8072"/>
      <c r="I77" s="7350"/>
      <c r="J77" s="14308"/>
    </row>
    <row r="78" spans="1:11" ht="15" customHeight="1">
      <c r="A78" s="7352"/>
      <c r="B78" s="7361"/>
      <c r="C78" s="7356"/>
      <c r="D78" s="7364"/>
      <c r="E78" s="7364"/>
      <c r="F78" s="9528"/>
      <c r="G78" s="8072"/>
      <c r="H78" s="8072"/>
      <c r="I78" s="7350"/>
      <c r="J78" s="14308"/>
    </row>
    <row r="79" spans="1:11" ht="15" customHeight="1">
      <c r="A79" s="7352"/>
      <c r="B79" s="7361"/>
      <c r="C79" s="7356"/>
      <c r="D79" s="7364"/>
      <c r="E79" s="7364"/>
      <c r="F79" s="9528"/>
      <c r="G79" s="8072"/>
      <c r="H79" s="8072"/>
      <c r="I79" s="7350"/>
      <c r="J79" s="14308"/>
    </row>
    <row r="80" spans="1:11" ht="15" customHeight="1">
      <c r="A80" s="7352"/>
      <c r="B80" s="7361"/>
      <c r="C80" s="7356"/>
      <c r="D80" s="7364"/>
      <c r="E80" s="7364"/>
      <c r="F80" s="9528"/>
      <c r="G80" s="8072"/>
      <c r="H80" s="8072"/>
      <c r="I80" s="7350"/>
      <c r="J80" s="14308"/>
    </row>
    <row r="81" spans="1:12" ht="15" customHeight="1" thickBot="1">
      <c r="A81" s="8111" t="s">
        <v>10811</v>
      </c>
      <c r="B81" s="8112"/>
      <c r="C81" s="7357"/>
      <c r="D81" s="8114"/>
      <c r="E81" s="7393"/>
      <c r="F81" s="9529"/>
      <c r="G81" s="8149"/>
      <c r="H81" s="8149"/>
      <c r="I81" s="8150"/>
      <c r="J81" s="14309"/>
    </row>
    <row r="82" spans="1:12" s="7504" customFormat="1" ht="15" customHeight="1">
      <c r="A82" s="11227"/>
      <c r="B82" s="11228"/>
      <c r="C82" s="11229" t="s">
        <v>9</v>
      </c>
      <c r="D82" s="11230" t="s">
        <v>10</v>
      </c>
      <c r="E82" s="14188" t="s">
        <v>10711</v>
      </c>
      <c r="F82" s="14189"/>
      <c r="G82" s="14190"/>
      <c r="H82" s="11230"/>
      <c r="I82" s="11230"/>
      <c r="J82" s="11231" t="s">
        <v>12</v>
      </c>
      <c r="K82" s="7355"/>
      <c r="L82" s="8069"/>
    </row>
    <row r="83" spans="1:12" ht="15" customHeight="1">
      <c r="A83" s="11232"/>
      <c r="B83" s="8071" t="s">
        <v>13</v>
      </c>
      <c r="C83" s="14305" t="s">
        <v>14</v>
      </c>
      <c r="D83" s="11233" t="s">
        <v>15</v>
      </c>
      <c r="E83" s="9502" t="s">
        <v>10709</v>
      </c>
      <c r="F83" s="11083" t="s">
        <v>10710</v>
      </c>
      <c r="G83" s="14191" t="s">
        <v>458</v>
      </c>
      <c r="H83" s="11233"/>
      <c r="I83" s="11233"/>
      <c r="J83" s="11234" t="s">
        <v>16</v>
      </c>
    </row>
    <row r="84" spans="1:12" ht="15" customHeight="1" thickBot="1">
      <c r="A84" s="11235"/>
      <c r="B84" s="7752"/>
      <c r="C84" s="14306"/>
      <c r="D84" s="7975">
        <v>2017</v>
      </c>
      <c r="E84" s="9467" t="s">
        <v>457</v>
      </c>
      <c r="F84" s="11076" t="s">
        <v>456</v>
      </c>
      <c r="G84" s="14192"/>
      <c r="H84" s="7975"/>
      <c r="I84" s="7975"/>
      <c r="J84" s="11236">
        <v>2019</v>
      </c>
    </row>
    <row r="85" spans="1:12" ht="15" customHeight="1">
      <c r="A85" s="11237"/>
      <c r="B85" s="7356"/>
      <c r="C85" s="11238"/>
      <c r="D85" s="11239"/>
      <c r="E85" s="11239"/>
      <c r="F85" s="11271"/>
      <c r="G85" s="11239"/>
      <c r="H85" s="11239"/>
      <c r="I85" s="11239"/>
      <c r="J85" s="11240"/>
    </row>
    <row r="86" spans="1:12" ht="15" customHeight="1">
      <c r="A86" s="11241" t="s">
        <v>51</v>
      </c>
      <c r="B86" s="7352" t="s">
        <v>199</v>
      </c>
      <c r="C86" s="10111"/>
      <c r="D86" s="11272"/>
      <c r="E86" s="11272"/>
      <c r="F86" s="11273"/>
      <c r="G86" s="11274"/>
      <c r="H86" s="11275"/>
      <c r="I86" s="11276"/>
      <c r="J86" s="11277"/>
    </row>
    <row r="87" spans="1:12" ht="15" customHeight="1">
      <c r="A87" s="11241"/>
      <c r="B87" s="7352"/>
      <c r="C87" s="10387"/>
      <c r="D87" s="11252"/>
      <c r="E87" s="11252"/>
      <c r="F87" s="11248"/>
      <c r="G87" s="11266"/>
      <c r="H87" s="11266"/>
      <c r="I87" s="11163"/>
      <c r="J87" s="11268"/>
    </row>
    <row r="88" spans="1:12" ht="15" hidden="1" customHeight="1">
      <c r="A88" s="11278"/>
      <c r="B88" s="7355" t="s">
        <v>12237</v>
      </c>
      <c r="C88" s="8872">
        <v>50707010</v>
      </c>
      <c r="D88" s="11252">
        <v>0</v>
      </c>
      <c r="E88" s="11252">
        <v>0</v>
      </c>
      <c r="F88" s="11248">
        <f>G88-E88</f>
        <v>0</v>
      </c>
      <c r="G88" s="11252">
        <v>0</v>
      </c>
      <c r="H88" s="11252"/>
      <c r="I88" s="11163"/>
      <c r="J88" s="11269"/>
    </row>
    <row r="89" spans="1:12" ht="15" customHeight="1">
      <c r="A89" s="11278"/>
      <c r="B89" s="7309" t="s">
        <v>10946</v>
      </c>
      <c r="C89" s="11279">
        <v>50705030</v>
      </c>
      <c r="D89" s="11252">
        <f>'WS-CO 2017'!H23</f>
        <v>0</v>
      </c>
      <c r="E89" s="11252"/>
      <c r="F89" s="11248">
        <f>G89-E89</f>
        <v>50000</v>
      </c>
      <c r="G89" s="11252">
        <v>50000</v>
      </c>
      <c r="H89" s="11252">
        <v>48810</v>
      </c>
      <c r="I89" s="11210">
        <f>H89/G89</f>
        <v>0.97619999999999996</v>
      </c>
      <c r="J89" s="11269"/>
    </row>
    <row r="90" spans="1:12" ht="15" customHeight="1">
      <c r="A90" s="11278"/>
      <c r="B90" s="7355" t="s">
        <v>12228</v>
      </c>
      <c r="C90" s="11279">
        <v>50705020</v>
      </c>
      <c r="D90" s="11252"/>
      <c r="E90" s="11252"/>
      <c r="F90" s="11248">
        <f>G90-E90</f>
        <v>50000</v>
      </c>
      <c r="G90" s="11252">
        <v>50000</v>
      </c>
      <c r="H90" s="11252">
        <v>48000</v>
      </c>
      <c r="I90" s="11210">
        <f>H90/G90</f>
        <v>0.96</v>
      </c>
      <c r="J90" s="11269"/>
    </row>
    <row r="91" spans="1:12" ht="15" customHeight="1">
      <c r="A91" s="11278"/>
      <c r="B91" s="7784" t="s">
        <v>11899</v>
      </c>
      <c r="C91" s="8802">
        <v>50705990</v>
      </c>
      <c r="D91" s="11252"/>
      <c r="E91" s="11252"/>
      <c r="F91" s="11248"/>
      <c r="G91" s="11252"/>
      <c r="H91" s="11252"/>
      <c r="I91" s="11163"/>
      <c r="J91" s="11269">
        <v>102480</v>
      </c>
      <c r="K91" s="7351" t="s">
        <v>11900</v>
      </c>
    </row>
    <row r="92" spans="1:12" ht="15" customHeight="1">
      <c r="A92" s="11278"/>
      <c r="B92" s="11280" t="s">
        <v>9128</v>
      </c>
      <c r="C92" s="8872">
        <v>50706010</v>
      </c>
      <c r="D92" s="11252"/>
      <c r="E92" s="11252"/>
      <c r="F92" s="11248"/>
      <c r="G92" s="11252"/>
      <c r="H92" s="11252"/>
      <c r="I92" s="11163"/>
      <c r="J92" s="11269">
        <v>1500000</v>
      </c>
    </row>
    <row r="93" spans="1:12" ht="15" customHeight="1">
      <c r="A93" s="11278"/>
      <c r="B93" s="7355"/>
      <c r="C93" s="10387"/>
      <c r="D93" s="11252"/>
      <c r="E93" s="11252"/>
      <c r="F93" s="11243"/>
      <c r="G93" s="11252"/>
      <c r="H93" s="11252"/>
      <c r="I93" s="11163"/>
      <c r="J93" s="11269"/>
    </row>
    <row r="94" spans="1:12" ht="15" customHeight="1">
      <c r="A94" s="11241"/>
      <c r="B94" s="7361" t="s">
        <v>37</v>
      </c>
      <c r="C94" s="10387"/>
      <c r="D94" s="11281">
        <f>SUM(D86:D93)</f>
        <v>0</v>
      </c>
      <c r="E94" s="11281">
        <f>SUM(E86:E93)</f>
        <v>0</v>
      </c>
      <c r="F94" s="11281">
        <f>SUM(F86:F93)</f>
        <v>100000</v>
      </c>
      <c r="G94" s="11281">
        <f>SUM(G86:G93)</f>
        <v>100000</v>
      </c>
      <c r="H94" s="11281">
        <f>SUM(H86:H92)</f>
        <v>96810</v>
      </c>
      <c r="I94" s="11206"/>
      <c r="J94" s="11282">
        <f>SUM(J86:J93)</f>
        <v>1602480</v>
      </c>
      <c r="K94" s="10372">
        <f>(J94-G94)/G94</f>
        <v>15.024800000000001</v>
      </c>
    </row>
    <row r="95" spans="1:12" ht="15" customHeight="1">
      <c r="A95" s="11241"/>
      <c r="B95" s="7361"/>
      <c r="C95" s="10387"/>
      <c r="D95" s="11283"/>
      <c r="E95" s="11284"/>
      <c r="F95" s="11285"/>
      <c r="G95" s="11284"/>
      <c r="H95" s="11284"/>
      <c r="I95" s="11220"/>
      <c r="J95" s="11286"/>
    </row>
    <row r="96" spans="1:12" s="7333" customFormat="1" ht="15" customHeight="1">
      <c r="A96" s="11241" t="s">
        <v>53</v>
      </c>
      <c r="B96" s="7352" t="s">
        <v>54</v>
      </c>
      <c r="C96" s="10387"/>
      <c r="D96" s="8869"/>
      <c r="E96" s="11252"/>
      <c r="F96" s="11243"/>
      <c r="G96" s="11252"/>
      <c r="H96" s="11252"/>
      <c r="I96" s="11252"/>
      <c r="J96" s="11269"/>
      <c r="L96" s="7842"/>
    </row>
    <row r="97" spans="1:12" s="7333" customFormat="1" ht="15" customHeight="1">
      <c r="A97" s="11241"/>
      <c r="B97" s="7352"/>
      <c r="C97" s="10387"/>
      <c r="D97" s="10486"/>
      <c r="E97" s="7725"/>
      <c r="F97" s="11259"/>
      <c r="G97" s="7725"/>
      <c r="H97" s="7725"/>
      <c r="I97" s="7725"/>
      <c r="J97" s="11287"/>
      <c r="L97" s="7842"/>
    </row>
    <row r="98" spans="1:12" s="7837" customFormat="1" ht="15" customHeight="1">
      <c r="A98" s="11288"/>
      <c r="B98" s="7361" t="s">
        <v>37</v>
      </c>
      <c r="C98" s="10111"/>
      <c r="D98" s="11289">
        <v>0</v>
      </c>
      <c r="E98" s="11289">
        <v>0</v>
      </c>
      <c r="F98" s="11289">
        <v>0</v>
      </c>
      <c r="G98" s="11290">
        <v>0</v>
      </c>
      <c r="H98" s="11290"/>
      <c r="I98" s="11290"/>
      <c r="J98" s="11291">
        <v>0</v>
      </c>
      <c r="L98" s="7838"/>
    </row>
    <row r="99" spans="1:12" s="7837" customFormat="1" ht="15" customHeight="1">
      <c r="A99" s="11292"/>
      <c r="B99" s="11293"/>
      <c r="C99" s="11294"/>
      <c r="D99" s="11295"/>
      <c r="E99" s="11295"/>
      <c r="F99" s="11295"/>
      <c r="G99" s="11275"/>
      <c r="H99" s="11275"/>
      <c r="I99" s="11275"/>
      <c r="J99" s="11296"/>
      <c r="L99" s="7838"/>
    </row>
    <row r="100" spans="1:12" s="7837" customFormat="1" ht="15" customHeight="1" thickBot="1">
      <c r="A100" s="11297"/>
      <c r="B100" s="11298" t="s">
        <v>55</v>
      </c>
      <c r="C100" s="11299"/>
      <c r="D100" s="11300">
        <f>(D27+D67+D94+D98)</f>
        <v>6111756.2200000007</v>
      </c>
      <c r="E100" s="11300">
        <f>(E27+E67+E94+E98)</f>
        <v>3072127.5</v>
      </c>
      <c r="F100" s="11300">
        <f>(F27+F67+F94+F98)</f>
        <v>7610120.4999999991</v>
      </c>
      <c r="G100" s="11300">
        <f>(G27+G67+G94+G98)</f>
        <v>10682248</v>
      </c>
      <c r="H100" s="11300"/>
      <c r="I100" s="11300"/>
      <c r="J100" s="11301">
        <f>(J27+J67+J94+J98)</f>
        <v>14038232.545</v>
      </c>
      <c r="K100" s="10372">
        <f>(J100-G100)/G100</f>
        <v>0.31416463510302323</v>
      </c>
      <c r="L100" s="7838"/>
    </row>
    <row r="101" spans="1:12" s="7837" customFormat="1" ht="15" customHeight="1">
      <c r="A101" s="7812" t="s">
        <v>4763</v>
      </c>
      <c r="B101" s="7812"/>
      <c r="C101" s="7813"/>
      <c r="D101" s="7812"/>
      <c r="E101" s="7812"/>
      <c r="F101" s="9519"/>
      <c r="G101" s="7333"/>
      <c r="H101" s="7812"/>
      <c r="I101" s="7812"/>
      <c r="J101" s="7333"/>
      <c r="L101" s="7838"/>
    </row>
    <row r="102" spans="1:12" s="7837" customFormat="1" ht="15" hidden="1" customHeight="1">
      <c r="A102" s="7812"/>
      <c r="B102" s="7812"/>
      <c r="C102" s="7813"/>
      <c r="D102" s="7812"/>
      <c r="E102" s="7812"/>
      <c r="F102" s="9519"/>
      <c r="G102" s="7333"/>
      <c r="H102" s="7812"/>
      <c r="I102" s="7812"/>
      <c r="J102" s="7333"/>
      <c r="L102" s="7838"/>
    </row>
    <row r="103" spans="1:12" s="7924" customFormat="1" ht="15" hidden="1" customHeight="1">
      <c r="A103" s="7761" t="s">
        <v>3483</v>
      </c>
      <c r="B103" s="7761"/>
      <c r="C103" s="10870" t="s">
        <v>3484</v>
      </c>
      <c r="E103" s="7761"/>
      <c r="F103" s="9459" t="s">
        <v>10666</v>
      </c>
      <c r="H103" s="7761"/>
      <c r="I103" s="7761"/>
      <c r="J103" s="7310"/>
      <c r="K103" s="7837"/>
      <c r="L103" s="7838"/>
    </row>
    <row r="104" spans="1:12" s="7838" customFormat="1" ht="15" hidden="1" customHeight="1">
      <c r="A104" s="7761"/>
      <c r="B104" s="7761"/>
      <c r="D104" s="10870"/>
      <c r="E104" s="7761"/>
      <c r="F104" s="9531"/>
      <c r="G104" s="7339"/>
      <c r="H104" s="7761"/>
      <c r="I104" s="7761"/>
      <c r="J104" s="7310"/>
    </row>
    <row r="105" spans="1:12" ht="15" hidden="1" customHeight="1">
      <c r="A105" s="7761"/>
      <c r="B105" s="7761"/>
      <c r="C105" s="7374"/>
      <c r="D105" s="10870"/>
      <c r="E105" s="7761"/>
      <c r="F105" s="9531"/>
      <c r="G105" s="7339"/>
      <c r="H105" s="7761"/>
      <c r="I105" s="7761"/>
      <c r="J105" s="7310"/>
    </row>
    <row r="106" spans="1:12" ht="15" hidden="1" customHeight="1">
      <c r="A106" s="14304" t="s">
        <v>12060</v>
      </c>
      <c r="B106" s="14304"/>
      <c r="C106" s="7374"/>
      <c r="D106" s="9604" t="s">
        <v>12059</v>
      </c>
      <c r="E106" s="7765"/>
      <c r="F106" s="9552"/>
      <c r="G106" s="7342" t="s">
        <v>9154</v>
      </c>
      <c r="H106" s="7765"/>
      <c r="I106" s="7765"/>
      <c r="J106" s="7502"/>
    </row>
    <row r="107" spans="1:12" ht="15" hidden="1" customHeight="1">
      <c r="A107" s="14245" t="s">
        <v>12061</v>
      </c>
      <c r="B107" s="14245"/>
      <c r="C107" s="7374"/>
      <c r="D107" s="7821" t="s">
        <v>10346</v>
      </c>
      <c r="E107" s="7761"/>
      <c r="F107" s="9531"/>
      <c r="G107" s="7344" t="s">
        <v>10665</v>
      </c>
      <c r="H107" s="7761"/>
      <c r="I107" s="7761"/>
      <c r="J107" s="7761"/>
    </row>
    <row r="108" spans="1:12" ht="15" customHeight="1">
      <c r="A108" s="7351"/>
      <c r="B108" s="7351"/>
      <c r="C108" s="7383"/>
      <c r="D108" s="7351"/>
      <c r="E108" s="7351"/>
      <c r="F108" s="9534"/>
      <c r="G108" s="7351"/>
      <c r="H108" s="7351"/>
      <c r="I108" s="7351"/>
      <c r="J108" s="7351"/>
    </row>
    <row r="109" spans="1:12" ht="15" customHeight="1">
      <c r="A109" s="7351"/>
      <c r="B109" s="7351"/>
      <c r="C109" s="7383"/>
      <c r="D109" s="7351"/>
      <c r="E109" s="7351"/>
      <c r="F109" s="9534"/>
      <c r="G109" s="7351"/>
      <c r="H109" s="7351"/>
      <c r="I109" s="7351"/>
      <c r="J109" s="7351"/>
    </row>
    <row r="110" spans="1:12" ht="15" hidden="1" customHeight="1">
      <c r="E110" s="9587">
        <v>8037422</v>
      </c>
      <c r="F110" s="9588" t="s">
        <v>11081</v>
      </c>
      <c r="H110" s="7502"/>
      <c r="I110" s="7381"/>
      <c r="J110" s="9589" t="s">
        <v>11080</v>
      </c>
    </row>
    <row r="111" spans="1:12" ht="15" hidden="1" customHeight="1">
      <c r="F111" s="9590">
        <f>G100-E110</f>
        <v>2644826</v>
      </c>
      <c r="H111" s="7381"/>
      <c r="J111" s="8889">
        <f>J100-G100</f>
        <v>3355984.5449999999</v>
      </c>
    </row>
    <row r="112" spans="1:12" ht="15" hidden="1" customHeight="1">
      <c r="F112" s="8890">
        <f>F111/E110</f>
        <v>0.32906397100960982</v>
      </c>
      <c r="J112" s="8890">
        <f>J111/G100</f>
        <v>0.31416463510302323</v>
      </c>
    </row>
    <row r="113" spans="10:10" ht="15" customHeight="1">
      <c r="J113" s="7839"/>
    </row>
  </sheetData>
  <mergeCells count="15">
    <mergeCell ref="A106:B106"/>
    <mergeCell ref="A107:B107"/>
    <mergeCell ref="C7:C8"/>
    <mergeCell ref="C83:C84"/>
    <mergeCell ref="A1:J1"/>
    <mergeCell ref="E6:G6"/>
    <mergeCell ref="G7:G8"/>
    <mergeCell ref="E82:G82"/>
    <mergeCell ref="G83:G84"/>
    <mergeCell ref="E39:G39"/>
    <mergeCell ref="C40:C41"/>
    <mergeCell ref="G40:G41"/>
    <mergeCell ref="J35:J38"/>
    <mergeCell ref="J74:J81"/>
    <mergeCell ref="J3:J4"/>
  </mergeCells>
  <printOptions horizontalCentered="1" gridLinesSet="0"/>
  <pageMargins left="0.25" right="0.25" top="0.5" bottom="0.25" header="0.25" footer="0.25"/>
  <pageSetup paperSize="119" firstPageNumber="57" orientation="landscape" useFirstPageNumber="1" r:id="rId1"/>
  <headerFooter alignWithMargins="0"/>
</worksheet>
</file>

<file path=xl/worksheets/sheet34.xml><?xml version="1.0" encoding="utf-8"?>
<worksheet xmlns="http://schemas.openxmlformats.org/spreadsheetml/2006/main" xmlns:r="http://schemas.openxmlformats.org/officeDocument/2006/relationships">
  <sheetPr codeName="Sheet60">
    <tabColor rgb="FFFFFF00"/>
  </sheetPr>
  <dimension ref="A2:H53"/>
  <sheetViews>
    <sheetView topLeftCell="A23" workbookViewId="0">
      <selection activeCell="E51" sqref="E51"/>
    </sheetView>
  </sheetViews>
  <sheetFormatPr defaultColWidth="15.88671875" defaultRowHeight="15" customHeight="1"/>
  <cols>
    <col min="1" max="1" width="40.44140625" style="3211" customWidth="1"/>
    <col min="2" max="2" width="14.109375" style="1547" customWidth="1"/>
    <col min="3" max="3" width="16.109375" style="1547" customWidth="1"/>
    <col min="4" max="4" width="12.88671875" style="3157" customWidth="1"/>
    <col min="5" max="5" width="14.88671875" style="3157" customWidth="1"/>
    <col min="6" max="6" width="15.88671875" style="3157"/>
    <col min="7" max="8" width="15.88671875" style="3158"/>
    <col min="9" max="16384" width="15.88671875" style="3157"/>
  </cols>
  <sheetData>
    <row r="2" spans="1:5" ht="15" customHeight="1">
      <c r="A2" s="3212" t="s">
        <v>3874</v>
      </c>
      <c r="B2" s="3159"/>
      <c r="C2" s="3159"/>
      <c r="D2" s="3160"/>
      <c r="E2" s="3160"/>
    </row>
    <row r="3" spans="1:5" ht="15" customHeight="1">
      <c r="A3" s="3212"/>
      <c r="B3" s="3159"/>
      <c r="C3" s="3159"/>
      <c r="D3" s="3160"/>
      <c r="E3" s="3160"/>
    </row>
    <row r="4" spans="1:5" ht="15" customHeight="1">
      <c r="A4" s="3213" t="s">
        <v>1468</v>
      </c>
      <c r="B4" s="3159"/>
      <c r="C4" s="3159"/>
      <c r="D4" s="3160"/>
      <c r="E4" s="3160"/>
    </row>
    <row r="5" spans="1:5" ht="15" customHeight="1">
      <c r="A5" s="3214"/>
      <c r="B5" s="3161"/>
      <c r="C5" s="3161"/>
      <c r="D5" s="3162"/>
      <c r="E5" s="3162"/>
    </row>
    <row r="6" spans="1:5" ht="15" customHeight="1">
      <c r="A6" s="14313" t="s">
        <v>3875</v>
      </c>
      <c r="B6" s="14316" t="s">
        <v>18</v>
      </c>
      <c r="C6" s="14317"/>
      <c r="D6" s="14313" t="s">
        <v>52</v>
      </c>
      <c r="E6" s="14318" t="s">
        <v>458</v>
      </c>
    </row>
    <row r="7" spans="1:5" ht="15" customHeight="1">
      <c r="A7" s="14314"/>
      <c r="B7" s="3163" t="s">
        <v>3876</v>
      </c>
      <c r="C7" s="3164" t="s">
        <v>5374</v>
      </c>
      <c r="D7" s="14314"/>
      <c r="E7" s="14319"/>
    </row>
    <row r="8" spans="1:5" ht="15" customHeight="1">
      <c r="A8" s="14314"/>
      <c r="B8" s="3165" t="s">
        <v>563</v>
      </c>
      <c r="C8" s="3166" t="s">
        <v>5375</v>
      </c>
      <c r="D8" s="14314"/>
      <c r="E8" s="14319"/>
    </row>
    <row r="9" spans="1:5" ht="15" customHeight="1">
      <c r="A9" s="14315"/>
      <c r="B9" s="3167"/>
      <c r="C9" s="3168" t="s">
        <v>5376</v>
      </c>
      <c r="D9" s="14315"/>
      <c r="E9" s="14320"/>
    </row>
    <row r="10" spans="1:5" ht="15" customHeight="1">
      <c r="A10" s="3215"/>
      <c r="B10" s="3165"/>
      <c r="C10" s="3165"/>
      <c r="D10" s="3169"/>
      <c r="E10" s="3170"/>
    </row>
    <row r="11" spans="1:5" ht="15" customHeight="1">
      <c r="A11" s="3181" t="s">
        <v>9252</v>
      </c>
      <c r="B11" s="3171">
        <v>5181983</v>
      </c>
      <c r="C11" s="3171">
        <v>2731600</v>
      </c>
      <c r="D11" s="3158">
        <v>170000</v>
      </c>
      <c r="E11" s="3172">
        <f>SUM(B11:D11)</f>
        <v>8083583</v>
      </c>
    </row>
    <row r="12" spans="1:5" ht="15" customHeight="1">
      <c r="A12" s="3215"/>
      <c r="B12" s="3165"/>
      <c r="C12" s="3165"/>
      <c r="D12" s="3169"/>
      <c r="E12" s="3170"/>
    </row>
    <row r="13" spans="1:5" ht="15" customHeight="1">
      <c r="A13" s="3216" t="s">
        <v>9254</v>
      </c>
      <c r="B13" s="3174"/>
      <c r="C13" s="3174"/>
      <c r="D13" s="3173"/>
      <c r="E13" s="3175"/>
    </row>
    <row r="14" spans="1:5" ht="20.100000000000001" customHeight="1">
      <c r="A14" s="3217" t="s">
        <v>9257</v>
      </c>
      <c r="B14" s="3176"/>
      <c r="C14" s="3177">
        <v>3516000</v>
      </c>
      <c r="D14" s="3178"/>
      <c r="E14" s="3179">
        <f t="shared" ref="E14:E19" si="0">SUM(B14:D14)</f>
        <v>3516000</v>
      </c>
    </row>
    <row r="15" spans="1:5" ht="20.100000000000001" customHeight="1">
      <c r="A15" s="3190" t="s">
        <v>9256</v>
      </c>
      <c r="B15" s="3176">
        <v>316800</v>
      </c>
      <c r="C15" s="3177">
        <v>183200</v>
      </c>
      <c r="D15" s="3180"/>
      <c r="E15" s="3179">
        <f t="shared" si="0"/>
        <v>500000</v>
      </c>
    </row>
    <row r="16" spans="1:5" ht="34.5" customHeight="1">
      <c r="A16" s="3181" t="s">
        <v>9255</v>
      </c>
      <c r="B16" s="3182">
        <v>1000000</v>
      </c>
      <c r="C16" s="3183">
        <v>700000</v>
      </c>
      <c r="D16" s="3184">
        <v>450000</v>
      </c>
      <c r="E16" s="3172">
        <f t="shared" si="0"/>
        <v>2150000</v>
      </c>
    </row>
    <row r="17" spans="1:5" ht="38.25" customHeight="1">
      <c r="A17" s="3181" t="s">
        <v>9258</v>
      </c>
      <c r="B17" s="3166">
        <v>63360</v>
      </c>
      <c r="C17" s="3166">
        <v>1135400</v>
      </c>
      <c r="D17" s="3170"/>
      <c r="E17" s="3185">
        <f t="shared" si="0"/>
        <v>1198760</v>
      </c>
    </row>
    <row r="18" spans="1:5" ht="20.100000000000001" customHeight="1">
      <c r="A18" s="3181" t="s">
        <v>3877</v>
      </c>
      <c r="B18" s="3186"/>
      <c r="C18" s="3187">
        <v>80000</v>
      </c>
      <c r="D18" s="3188"/>
      <c r="E18" s="3172">
        <f t="shared" si="0"/>
        <v>80000</v>
      </c>
    </row>
    <row r="19" spans="1:5" ht="20.100000000000001" customHeight="1">
      <c r="A19" s="3181" t="s">
        <v>3878</v>
      </c>
      <c r="B19" s="14321">
        <v>200000</v>
      </c>
      <c r="C19" s="14321">
        <v>650000</v>
      </c>
      <c r="D19" s="14322"/>
      <c r="E19" s="14323">
        <f t="shared" si="0"/>
        <v>850000</v>
      </c>
    </row>
    <row r="20" spans="1:5" ht="20.100000000000001" customHeight="1">
      <c r="A20" s="3181" t="s">
        <v>3879</v>
      </c>
      <c r="B20" s="14321"/>
      <c r="C20" s="14321"/>
      <c r="D20" s="14322"/>
      <c r="E20" s="14323"/>
    </row>
    <row r="21" spans="1:5" ht="20.100000000000001" customHeight="1">
      <c r="A21" s="3181" t="s">
        <v>3880</v>
      </c>
      <c r="B21" s="3189"/>
      <c r="C21" s="3183">
        <v>80000</v>
      </c>
      <c r="D21" s="3184"/>
      <c r="E21" s="3172">
        <f>SUM(B21:D21)</f>
        <v>80000</v>
      </c>
    </row>
    <row r="22" spans="1:5" ht="43.5" customHeight="1">
      <c r="A22" s="3181" t="s">
        <v>5377</v>
      </c>
      <c r="B22" s="3189"/>
      <c r="C22" s="3183">
        <v>120000</v>
      </c>
      <c r="D22" s="3169"/>
      <c r="E22" s="3172">
        <f>SUM(B22:D22)</f>
        <v>120000</v>
      </c>
    </row>
    <row r="23" spans="1:5" ht="15" customHeight="1">
      <c r="A23" s="3190"/>
      <c r="B23" s="3191"/>
      <c r="C23" s="3192"/>
      <c r="D23" s="3193"/>
      <c r="E23" s="3194"/>
    </row>
    <row r="24" spans="1:5" s="507" customFormat="1" ht="15" customHeight="1">
      <c r="A24" s="3218" t="s">
        <v>182</v>
      </c>
      <c r="B24" s="3195"/>
      <c r="C24" s="3196"/>
      <c r="D24" s="3197"/>
      <c r="E24" s="3198">
        <f>SUM(E14:E22)</f>
        <v>8494760</v>
      </c>
    </row>
    <row r="25" spans="1:5" ht="15" customHeight="1">
      <c r="A25" s="3181"/>
      <c r="B25" s="3159"/>
      <c r="C25" s="3183"/>
      <c r="D25" s="3169"/>
      <c r="E25" s="3199"/>
    </row>
    <row r="26" spans="1:5" ht="15" customHeight="1">
      <c r="A26" s="3190"/>
      <c r="B26" s="3159"/>
      <c r="C26" s="3192"/>
      <c r="D26" s="3193"/>
      <c r="E26" s="3210"/>
    </row>
    <row r="27" spans="1:5" ht="15" customHeight="1">
      <c r="A27" s="3190"/>
      <c r="B27" s="3159"/>
      <c r="C27" s="3192"/>
      <c r="D27" s="3193"/>
      <c r="E27" s="3210"/>
    </row>
    <row r="28" spans="1:5" ht="15" customHeight="1">
      <c r="A28" s="3190"/>
      <c r="B28" s="3159"/>
      <c r="C28" s="3192"/>
      <c r="D28" s="3193"/>
      <c r="E28" s="3210"/>
    </row>
    <row r="29" spans="1:5" ht="15" customHeight="1">
      <c r="A29" s="3190"/>
      <c r="B29" s="3159"/>
      <c r="C29" s="3192"/>
      <c r="D29" s="3193"/>
      <c r="E29" s="3210"/>
    </row>
    <row r="30" spans="1:5" ht="15" customHeight="1">
      <c r="A30" s="3190"/>
      <c r="B30" s="3159"/>
      <c r="C30" s="3192"/>
      <c r="D30" s="3193"/>
      <c r="E30" s="3210"/>
    </row>
    <row r="31" spans="1:5" ht="15" customHeight="1">
      <c r="A31" s="3190"/>
      <c r="B31" s="3159"/>
      <c r="C31" s="3192"/>
      <c r="D31" s="3193"/>
      <c r="E31" s="3210"/>
    </row>
    <row r="32" spans="1:5" ht="15" customHeight="1">
      <c r="A32" s="3190"/>
      <c r="B32" s="3159"/>
      <c r="C32" s="3192"/>
      <c r="D32" s="3193"/>
      <c r="E32" s="3210"/>
    </row>
    <row r="33" spans="1:5" ht="15" customHeight="1">
      <c r="A33" s="3190"/>
      <c r="B33" s="3159"/>
      <c r="C33" s="3192"/>
      <c r="D33" s="3193"/>
      <c r="E33" s="3210"/>
    </row>
    <row r="34" spans="1:5" ht="15" customHeight="1">
      <c r="A34" s="3190"/>
      <c r="B34" s="3159"/>
      <c r="C34" s="3192"/>
      <c r="D34" s="3193"/>
      <c r="E34" s="3210"/>
    </row>
    <row r="35" spans="1:5" ht="15" customHeight="1">
      <c r="A35" s="3190"/>
      <c r="B35" s="3159"/>
      <c r="C35" s="3192"/>
      <c r="D35" s="3193"/>
      <c r="E35" s="3210"/>
    </row>
    <row r="36" spans="1:5" ht="15" customHeight="1">
      <c r="A36" s="3190"/>
      <c r="B36" s="3159"/>
      <c r="C36" s="3192"/>
      <c r="D36" s="3193"/>
      <c r="E36" s="3210"/>
    </row>
    <row r="37" spans="1:5" ht="15" customHeight="1">
      <c r="A37" s="3190"/>
      <c r="B37" s="3159"/>
      <c r="C37" s="3192"/>
      <c r="D37" s="3193"/>
      <c r="E37" s="3210"/>
    </row>
    <row r="38" spans="1:5" ht="15" customHeight="1">
      <c r="A38" s="3190"/>
      <c r="B38" s="3159"/>
      <c r="C38" s="3192"/>
      <c r="D38" s="3193"/>
      <c r="E38" s="3210"/>
    </row>
    <row r="39" spans="1:5" ht="15" customHeight="1">
      <c r="A39" s="3190"/>
      <c r="B39" s="3159"/>
      <c r="C39" s="3192"/>
      <c r="D39" s="3193"/>
      <c r="E39" s="3210"/>
    </row>
    <row r="40" spans="1:5" ht="15" customHeight="1">
      <c r="A40" s="3190"/>
      <c r="B40" s="3159"/>
      <c r="C40" s="3192"/>
      <c r="D40" s="3193"/>
      <c r="E40" s="3210"/>
    </row>
    <row r="41" spans="1:5" ht="15" customHeight="1" thickBot="1">
      <c r="A41" s="3219" t="s">
        <v>3881</v>
      </c>
      <c r="B41" s="3200">
        <f>SUM(B15:B25)</f>
        <v>1580160</v>
      </c>
      <c r="C41" s="3200">
        <f>SUM(C15:C25)</f>
        <v>2948600</v>
      </c>
      <c r="D41" s="3201">
        <f>SUM(D15:D25)</f>
        <v>450000</v>
      </c>
      <c r="E41" s="3202">
        <f>SUM(E10:E22)</f>
        <v>16578343</v>
      </c>
    </row>
    <row r="42" spans="1:5" ht="15" hidden="1" customHeight="1" thickTop="1">
      <c r="A42" s="3220"/>
      <c r="B42" s="3159"/>
      <c r="C42" s="3159"/>
      <c r="D42" s="3203"/>
      <c r="E42" s="3204"/>
    </row>
    <row r="43" spans="1:5" ht="15" hidden="1" customHeight="1">
      <c r="A43" s="3220" t="s">
        <v>3483</v>
      </c>
      <c r="B43" s="3159"/>
      <c r="C43" s="3205" t="s">
        <v>5172</v>
      </c>
      <c r="E43" s="3204"/>
    </row>
    <row r="44" spans="1:5" ht="15" hidden="1" customHeight="1">
      <c r="A44" s="3221"/>
      <c r="B44" s="3159"/>
      <c r="C44" s="3159"/>
      <c r="D44" s="3203"/>
      <c r="E44" s="3204"/>
    </row>
    <row r="45" spans="1:5" ht="15" hidden="1" customHeight="1">
      <c r="A45" s="3222"/>
      <c r="B45" s="3159"/>
      <c r="C45" s="3206"/>
      <c r="D45" s="3203"/>
      <c r="E45" s="3204"/>
    </row>
    <row r="46" spans="1:5" ht="15" hidden="1" customHeight="1">
      <c r="A46" s="3221"/>
      <c r="B46" s="3159"/>
      <c r="C46" s="3205"/>
      <c r="D46" s="3203"/>
      <c r="E46" s="3204"/>
    </row>
    <row r="47" spans="1:5" ht="15" hidden="1" customHeight="1">
      <c r="A47" s="3223" t="s">
        <v>9253</v>
      </c>
      <c r="B47" s="3159"/>
      <c r="C47" s="14311" t="s">
        <v>5378</v>
      </c>
      <c r="D47" s="14311"/>
      <c r="E47" s="14312"/>
    </row>
    <row r="48" spans="1:5" ht="15" hidden="1" customHeight="1">
      <c r="A48" s="3224" t="s">
        <v>5379</v>
      </c>
      <c r="B48" s="3159"/>
      <c r="C48" s="3159"/>
      <c r="D48" s="3203" t="s">
        <v>737</v>
      </c>
      <c r="E48" s="3204"/>
    </row>
    <row r="49" spans="1:5" ht="15" hidden="1" customHeight="1">
      <c r="A49" s="3225"/>
      <c r="B49" s="3161"/>
      <c r="C49" s="3161"/>
      <c r="D49" s="3207"/>
      <c r="E49" s="3208"/>
    </row>
    <row r="50" spans="1:5" ht="15" hidden="1" customHeight="1">
      <c r="A50" s="3226"/>
      <c r="B50" s="3159"/>
      <c r="C50" s="3159"/>
      <c r="D50" s="3203"/>
      <c r="E50" s="3209"/>
    </row>
    <row r="51" spans="1:5" ht="15" customHeight="1" thickTop="1">
      <c r="A51" s="3226"/>
      <c r="B51" s="3159"/>
      <c r="C51" s="3159"/>
      <c r="D51" s="3203"/>
      <c r="E51" s="3209"/>
    </row>
    <row r="52" spans="1:5" ht="15" customHeight="1">
      <c r="A52" s="3226"/>
      <c r="B52" s="3159"/>
      <c r="C52" s="3159"/>
      <c r="D52" s="3203"/>
      <c r="E52" s="3209"/>
    </row>
    <row r="53" spans="1:5" ht="15" customHeight="1">
      <c r="A53" s="3226"/>
      <c r="B53" s="3159"/>
      <c r="C53" s="3159"/>
      <c r="D53" s="3203"/>
      <c r="E53" s="3209"/>
    </row>
  </sheetData>
  <mergeCells count="9">
    <mergeCell ref="C47:E47"/>
    <mergeCell ref="A6:A9"/>
    <mergeCell ref="B6:C6"/>
    <mergeCell ref="D6:D9"/>
    <mergeCell ref="E6:E9"/>
    <mergeCell ref="B19:B20"/>
    <mergeCell ref="C19:C20"/>
    <mergeCell ref="D19:D20"/>
    <mergeCell ref="E19:E20"/>
  </mergeCells>
  <pageMargins left="0.5" right="0.25" top="0.75" bottom="0.5" header="0.3" footer="0.25"/>
  <pageSetup paperSize="119" orientation="portrait" r:id="rId1"/>
</worksheet>
</file>

<file path=xl/worksheets/sheet35.xml><?xml version="1.0" encoding="utf-8"?>
<worksheet xmlns="http://schemas.openxmlformats.org/spreadsheetml/2006/main" xmlns:r="http://schemas.openxmlformats.org/officeDocument/2006/relationships">
  <sheetPr codeName="Sheet25">
    <tabColor rgb="FFFFFF00"/>
  </sheetPr>
  <dimension ref="A1:H70"/>
  <sheetViews>
    <sheetView showGridLines="0" workbookViewId="0">
      <selection activeCell="F2" sqref="F1:Q1048576"/>
    </sheetView>
  </sheetViews>
  <sheetFormatPr defaultRowHeight="12.9" customHeight="1"/>
  <cols>
    <col min="1" max="1" width="40.5546875" style="7165" customWidth="1"/>
    <col min="2" max="3" width="8.5546875" style="7165" customWidth="1"/>
    <col min="4" max="6" width="14.5546875" style="7165" customWidth="1"/>
    <col min="7" max="7" width="11.44140625" style="7196" customWidth="1"/>
    <col min="8" max="8" width="14.44140625" style="7165" customWidth="1"/>
    <col min="9" max="16" width="8.88671875" style="7165" customWidth="1"/>
    <col min="17" max="256" width="9.109375" style="7165"/>
    <col min="257" max="257" width="34.88671875" style="7165" customWidth="1"/>
    <col min="258" max="258" width="9.109375" style="7165"/>
    <col min="259" max="259" width="8.44140625" style="7165" customWidth="1"/>
    <col min="260" max="260" width="10.109375" style="7165" customWidth="1"/>
    <col min="261" max="261" width="14.44140625" style="7165" customWidth="1"/>
    <col min="262" max="262" width="14.88671875" style="7165" customWidth="1"/>
    <col min="263" max="263" width="16.109375" style="7165" customWidth="1"/>
    <col min="264" max="512" width="9.109375" style="7165"/>
    <col min="513" max="513" width="34.88671875" style="7165" customWidth="1"/>
    <col min="514" max="514" width="9.109375" style="7165"/>
    <col min="515" max="515" width="8.44140625" style="7165" customWidth="1"/>
    <col min="516" max="516" width="10.109375" style="7165" customWidth="1"/>
    <col min="517" max="517" width="14.44140625" style="7165" customWidth="1"/>
    <col min="518" max="518" width="14.88671875" style="7165" customWidth="1"/>
    <col min="519" max="519" width="16.109375" style="7165" customWidth="1"/>
    <col min="520" max="768" width="9.109375" style="7165"/>
    <col min="769" max="769" width="34.88671875" style="7165" customWidth="1"/>
    <col min="770" max="770" width="9.109375" style="7165"/>
    <col min="771" max="771" width="8.44140625" style="7165" customWidth="1"/>
    <col min="772" max="772" width="10.109375" style="7165" customWidth="1"/>
    <col min="773" max="773" width="14.44140625" style="7165" customWidth="1"/>
    <col min="774" max="774" width="14.88671875" style="7165" customWidth="1"/>
    <col min="775" max="775" width="16.109375" style="7165" customWidth="1"/>
    <col min="776" max="1024" width="9.109375" style="7165"/>
    <col min="1025" max="1025" width="34.88671875" style="7165" customWidth="1"/>
    <col min="1026" max="1026" width="9.109375" style="7165"/>
    <col min="1027" max="1027" width="8.44140625" style="7165" customWidth="1"/>
    <col min="1028" max="1028" width="10.109375" style="7165" customWidth="1"/>
    <col min="1029" max="1029" width="14.44140625" style="7165" customWidth="1"/>
    <col min="1030" max="1030" width="14.88671875" style="7165" customWidth="1"/>
    <col min="1031" max="1031" width="16.109375" style="7165" customWidth="1"/>
    <col min="1032" max="1280" width="9.109375" style="7165"/>
    <col min="1281" max="1281" width="34.88671875" style="7165" customWidth="1"/>
    <col min="1282" max="1282" width="9.109375" style="7165"/>
    <col min="1283" max="1283" width="8.44140625" style="7165" customWidth="1"/>
    <col min="1284" max="1284" width="10.109375" style="7165" customWidth="1"/>
    <col min="1285" max="1285" width="14.44140625" style="7165" customWidth="1"/>
    <col min="1286" max="1286" width="14.88671875" style="7165" customWidth="1"/>
    <col min="1287" max="1287" width="16.109375" style="7165" customWidth="1"/>
    <col min="1288" max="1536" width="9.109375" style="7165"/>
    <col min="1537" max="1537" width="34.88671875" style="7165" customWidth="1"/>
    <col min="1538" max="1538" width="9.109375" style="7165"/>
    <col min="1539" max="1539" width="8.44140625" style="7165" customWidth="1"/>
    <col min="1540" max="1540" width="10.109375" style="7165" customWidth="1"/>
    <col min="1541" max="1541" width="14.44140625" style="7165" customWidth="1"/>
    <col min="1542" max="1542" width="14.88671875" style="7165" customWidth="1"/>
    <col min="1543" max="1543" width="16.109375" style="7165" customWidth="1"/>
    <col min="1544" max="1792" width="9.109375" style="7165"/>
    <col min="1793" max="1793" width="34.88671875" style="7165" customWidth="1"/>
    <col min="1794" max="1794" width="9.109375" style="7165"/>
    <col min="1795" max="1795" width="8.44140625" style="7165" customWidth="1"/>
    <col min="1796" max="1796" width="10.109375" style="7165" customWidth="1"/>
    <col min="1797" max="1797" width="14.44140625" style="7165" customWidth="1"/>
    <col min="1798" max="1798" width="14.88671875" style="7165" customWidth="1"/>
    <col min="1799" max="1799" width="16.109375" style="7165" customWidth="1"/>
    <col min="1800" max="2048" width="9.109375" style="7165"/>
    <col min="2049" max="2049" width="34.88671875" style="7165" customWidth="1"/>
    <col min="2050" max="2050" width="9.109375" style="7165"/>
    <col min="2051" max="2051" width="8.44140625" style="7165" customWidth="1"/>
    <col min="2052" max="2052" width="10.109375" style="7165" customWidth="1"/>
    <col min="2053" max="2053" width="14.44140625" style="7165" customWidth="1"/>
    <col min="2054" max="2054" width="14.88671875" style="7165" customWidth="1"/>
    <col min="2055" max="2055" width="16.109375" style="7165" customWidth="1"/>
    <col min="2056" max="2304" width="9.109375" style="7165"/>
    <col min="2305" max="2305" width="34.88671875" style="7165" customWidth="1"/>
    <col min="2306" max="2306" width="9.109375" style="7165"/>
    <col min="2307" max="2307" width="8.44140625" style="7165" customWidth="1"/>
    <col min="2308" max="2308" width="10.109375" style="7165" customWidth="1"/>
    <col min="2309" max="2309" width="14.44140625" style="7165" customWidth="1"/>
    <col min="2310" max="2310" width="14.88671875" style="7165" customWidth="1"/>
    <col min="2311" max="2311" width="16.109375" style="7165" customWidth="1"/>
    <col min="2312" max="2560" width="9.109375" style="7165"/>
    <col min="2561" max="2561" width="34.88671875" style="7165" customWidth="1"/>
    <col min="2562" max="2562" width="9.109375" style="7165"/>
    <col min="2563" max="2563" width="8.44140625" style="7165" customWidth="1"/>
    <col min="2564" max="2564" width="10.109375" style="7165" customWidth="1"/>
    <col min="2565" max="2565" width="14.44140625" style="7165" customWidth="1"/>
    <col min="2566" max="2566" width="14.88671875" style="7165" customWidth="1"/>
    <col min="2567" max="2567" width="16.109375" style="7165" customWidth="1"/>
    <col min="2568" max="2816" width="9.109375" style="7165"/>
    <col min="2817" max="2817" width="34.88671875" style="7165" customWidth="1"/>
    <col min="2818" max="2818" width="9.109375" style="7165"/>
    <col min="2819" max="2819" width="8.44140625" style="7165" customWidth="1"/>
    <col min="2820" max="2820" width="10.109375" style="7165" customWidth="1"/>
    <col min="2821" max="2821" width="14.44140625" style="7165" customWidth="1"/>
    <col min="2822" max="2822" width="14.88671875" style="7165" customWidth="1"/>
    <col min="2823" max="2823" width="16.109375" style="7165" customWidth="1"/>
    <col min="2824" max="3072" width="9.109375" style="7165"/>
    <col min="3073" max="3073" width="34.88671875" style="7165" customWidth="1"/>
    <col min="3074" max="3074" width="9.109375" style="7165"/>
    <col min="3075" max="3075" width="8.44140625" style="7165" customWidth="1"/>
    <col min="3076" max="3076" width="10.109375" style="7165" customWidth="1"/>
    <col min="3077" max="3077" width="14.44140625" style="7165" customWidth="1"/>
    <col min="3078" max="3078" width="14.88671875" style="7165" customWidth="1"/>
    <col min="3079" max="3079" width="16.109375" style="7165" customWidth="1"/>
    <col min="3080" max="3328" width="9.109375" style="7165"/>
    <col min="3329" max="3329" width="34.88671875" style="7165" customWidth="1"/>
    <col min="3330" max="3330" width="9.109375" style="7165"/>
    <col min="3331" max="3331" width="8.44140625" style="7165" customWidth="1"/>
    <col min="3332" max="3332" width="10.109375" style="7165" customWidth="1"/>
    <col min="3333" max="3333" width="14.44140625" style="7165" customWidth="1"/>
    <col min="3334" max="3334" width="14.88671875" style="7165" customWidth="1"/>
    <col min="3335" max="3335" width="16.109375" style="7165" customWidth="1"/>
    <col min="3336" max="3584" width="9.109375" style="7165"/>
    <col min="3585" max="3585" width="34.88671875" style="7165" customWidth="1"/>
    <col min="3586" max="3586" width="9.109375" style="7165"/>
    <col min="3587" max="3587" width="8.44140625" style="7165" customWidth="1"/>
    <col min="3588" max="3588" width="10.109375" style="7165" customWidth="1"/>
    <col min="3589" max="3589" width="14.44140625" style="7165" customWidth="1"/>
    <col min="3590" max="3590" width="14.88671875" style="7165" customWidth="1"/>
    <col min="3591" max="3591" width="16.109375" style="7165" customWidth="1"/>
    <col min="3592" max="3840" width="9.109375" style="7165"/>
    <col min="3841" max="3841" width="34.88671875" style="7165" customWidth="1"/>
    <col min="3842" max="3842" width="9.109375" style="7165"/>
    <col min="3843" max="3843" width="8.44140625" style="7165" customWidth="1"/>
    <col min="3844" max="3844" width="10.109375" style="7165" customWidth="1"/>
    <col min="3845" max="3845" width="14.44140625" style="7165" customWidth="1"/>
    <col min="3846" max="3846" width="14.88671875" style="7165" customWidth="1"/>
    <col min="3847" max="3847" width="16.109375" style="7165" customWidth="1"/>
    <col min="3848" max="4096" width="9.109375" style="7165"/>
    <col min="4097" max="4097" width="34.88671875" style="7165" customWidth="1"/>
    <col min="4098" max="4098" width="9.109375" style="7165"/>
    <col min="4099" max="4099" width="8.44140625" style="7165" customWidth="1"/>
    <col min="4100" max="4100" width="10.109375" style="7165" customWidth="1"/>
    <col min="4101" max="4101" width="14.44140625" style="7165" customWidth="1"/>
    <col min="4102" max="4102" width="14.88671875" style="7165" customWidth="1"/>
    <col min="4103" max="4103" width="16.109375" style="7165" customWidth="1"/>
    <col min="4104" max="4352" width="9.109375" style="7165"/>
    <col min="4353" max="4353" width="34.88671875" style="7165" customWidth="1"/>
    <col min="4354" max="4354" width="9.109375" style="7165"/>
    <col min="4355" max="4355" width="8.44140625" style="7165" customWidth="1"/>
    <col min="4356" max="4356" width="10.109375" style="7165" customWidth="1"/>
    <col min="4357" max="4357" width="14.44140625" style="7165" customWidth="1"/>
    <col min="4358" max="4358" width="14.88671875" style="7165" customWidth="1"/>
    <col min="4359" max="4359" width="16.109375" style="7165" customWidth="1"/>
    <col min="4360" max="4608" width="9.109375" style="7165"/>
    <col min="4609" max="4609" width="34.88671875" style="7165" customWidth="1"/>
    <col min="4610" max="4610" width="9.109375" style="7165"/>
    <col min="4611" max="4611" width="8.44140625" style="7165" customWidth="1"/>
    <col min="4612" max="4612" width="10.109375" style="7165" customWidth="1"/>
    <col min="4613" max="4613" width="14.44140625" style="7165" customWidth="1"/>
    <col min="4614" max="4614" width="14.88671875" style="7165" customWidth="1"/>
    <col min="4615" max="4615" width="16.109375" style="7165" customWidth="1"/>
    <col min="4616" max="4864" width="9.109375" style="7165"/>
    <col min="4865" max="4865" width="34.88671875" style="7165" customWidth="1"/>
    <col min="4866" max="4866" width="9.109375" style="7165"/>
    <col min="4867" max="4867" width="8.44140625" style="7165" customWidth="1"/>
    <col min="4868" max="4868" width="10.109375" style="7165" customWidth="1"/>
    <col min="4869" max="4869" width="14.44140625" style="7165" customWidth="1"/>
    <col min="4870" max="4870" width="14.88671875" style="7165" customWidth="1"/>
    <col min="4871" max="4871" width="16.109375" style="7165" customWidth="1"/>
    <col min="4872" max="5120" width="9.109375" style="7165"/>
    <col min="5121" max="5121" width="34.88671875" style="7165" customWidth="1"/>
    <col min="5122" max="5122" width="9.109375" style="7165"/>
    <col min="5123" max="5123" width="8.44140625" style="7165" customWidth="1"/>
    <col min="5124" max="5124" width="10.109375" style="7165" customWidth="1"/>
    <col min="5125" max="5125" width="14.44140625" style="7165" customWidth="1"/>
    <col min="5126" max="5126" width="14.88671875" style="7165" customWidth="1"/>
    <col min="5127" max="5127" width="16.109375" style="7165" customWidth="1"/>
    <col min="5128" max="5376" width="9.109375" style="7165"/>
    <col min="5377" max="5377" width="34.88671875" style="7165" customWidth="1"/>
    <col min="5378" max="5378" width="9.109375" style="7165"/>
    <col min="5379" max="5379" width="8.44140625" style="7165" customWidth="1"/>
    <col min="5380" max="5380" width="10.109375" style="7165" customWidth="1"/>
    <col min="5381" max="5381" width="14.44140625" style="7165" customWidth="1"/>
    <col min="5382" max="5382" width="14.88671875" style="7165" customWidth="1"/>
    <col min="5383" max="5383" width="16.109375" style="7165" customWidth="1"/>
    <col min="5384" max="5632" width="9.109375" style="7165"/>
    <col min="5633" max="5633" width="34.88671875" style="7165" customWidth="1"/>
    <col min="5634" max="5634" width="9.109375" style="7165"/>
    <col min="5635" max="5635" width="8.44140625" style="7165" customWidth="1"/>
    <col min="5636" max="5636" width="10.109375" style="7165" customWidth="1"/>
    <col min="5637" max="5637" width="14.44140625" style="7165" customWidth="1"/>
    <col min="5638" max="5638" width="14.88671875" style="7165" customWidth="1"/>
    <col min="5639" max="5639" width="16.109375" style="7165" customWidth="1"/>
    <col min="5640" max="5888" width="9.109375" style="7165"/>
    <col min="5889" max="5889" width="34.88671875" style="7165" customWidth="1"/>
    <col min="5890" max="5890" width="9.109375" style="7165"/>
    <col min="5891" max="5891" width="8.44140625" style="7165" customWidth="1"/>
    <col min="5892" max="5892" width="10.109375" style="7165" customWidth="1"/>
    <col min="5893" max="5893" width="14.44140625" style="7165" customWidth="1"/>
    <col min="5894" max="5894" width="14.88671875" style="7165" customWidth="1"/>
    <col min="5895" max="5895" width="16.109375" style="7165" customWidth="1"/>
    <col min="5896" max="6144" width="9.109375" style="7165"/>
    <col min="6145" max="6145" width="34.88671875" style="7165" customWidth="1"/>
    <col min="6146" max="6146" width="9.109375" style="7165"/>
    <col min="6147" max="6147" width="8.44140625" style="7165" customWidth="1"/>
    <col min="6148" max="6148" width="10.109375" style="7165" customWidth="1"/>
    <col min="6149" max="6149" width="14.44140625" style="7165" customWidth="1"/>
    <col min="6150" max="6150" width="14.88671875" style="7165" customWidth="1"/>
    <col min="6151" max="6151" width="16.109375" style="7165" customWidth="1"/>
    <col min="6152" max="6400" width="9.109375" style="7165"/>
    <col min="6401" max="6401" width="34.88671875" style="7165" customWidth="1"/>
    <col min="6402" max="6402" width="9.109375" style="7165"/>
    <col min="6403" max="6403" width="8.44140625" style="7165" customWidth="1"/>
    <col min="6404" max="6404" width="10.109375" style="7165" customWidth="1"/>
    <col min="6405" max="6405" width="14.44140625" style="7165" customWidth="1"/>
    <col min="6406" max="6406" width="14.88671875" style="7165" customWidth="1"/>
    <col min="6407" max="6407" width="16.109375" style="7165" customWidth="1"/>
    <col min="6408" max="6656" width="9.109375" style="7165"/>
    <col min="6657" max="6657" width="34.88671875" style="7165" customWidth="1"/>
    <col min="6658" max="6658" width="9.109375" style="7165"/>
    <col min="6659" max="6659" width="8.44140625" style="7165" customWidth="1"/>
    <col min="6660" max="6660" width="10.109375" style="7165" customWidth="1"/>
    <col min="6661" max="6661" width="14.44140625" style="7165" customWidth="1"/>
    <col min="6662" max="6662" width="14.88671875" style="7165" customWidth="1"/>
    <col min="6663" max="6663" width="16.109375" style="7165" customWidth="1"/>
    <col min="6664" max="6912" width="9.109375" style="7165"/>
    <col min="6913" max="6913" width="34.88671875" style="7165" customWidth="1"/>
    <col min="6914" max="6914" width="9.109375" style="7165"/>
    <col min="6915" max="6915" width="8.44140625" style="7165" customWidth="1"/>
    <col min="6916" max="6916" width="10.109375" style="7165" customWidth="1"/>
    <col min="6917" max="6917" width="14.44140625" style="7165" customWidth="1"/>
    <col min="6918" max="6918" width="14.88671875" style="7165" customWidth="1"/>
    <col min="6919" max="6919" width="16.109375" style="7165" customWidth="1"/>
    <col min="6920" max="7168" width="9.109375" style="7165"/>
    <col min="7169" max="7169" width="34.88671875" style="7165" customWidth="1"/>
    <col min="7170" max="7170" width="9.109375" style="7165"/>
    <col min="7171" max="7171" width="8.44140625" style="7165" customWidth="1"/>
    <col min="7172" max="7172" width="10.109375" style="7165" customWidth="1"/>
    <col min="7173" max="7173" width="14.44140625" style="7165" customWidth="1"/>
    <col min="7174" max="7174" width="14.88671875" style="7165" customWidth="1"/>
    <col min="7175" max="7175" width="16.109375" style="7165" customWidth="1"/>
    <col min="7176" max="7424" width="9.109375" style="7165"/>
    <col min="7425" max="7425" width="34.88671875" style="7165" customWidth="1"/>
    <col min="7426" max="7426" width="9.109375" style="7165"/>
    <col min="7427" max="7427" width="8.44140625" style="7165" customWidth="1"/>
    <col min="7428" max="7428" width="10.109375" style="7165" customWidth="1"/>
    <col min="7429" max="7429" width="14.44140625" style="7165" customWidth="1"/>
    <col min="7430" max="7430" width="14.88671875" style="7165" customWidth="1"/>
    <col min="7431" max="7431" width="16.109375" style="7165" customWidth="1"/>
    <col min="7432" max="7680" width="9.109375" style="7165"/>
    <col min="7681" max="7681" width="34.88671875" style="7165" customWidth="1"/>
    <col min="7682" max="7682" width="9.109375" style="7165"/>
    <col min="7683" max="7683" width="8.44140625" style="7165" customWidth="1"/>
    <col min="7684" max="7684" width="10.109375" style="7165" customWidth="1"/>
    <col min="7685" max="7685" width="14.44140625" style="7165" customWidth="1"/>
    <col min="7686" max="7686" width="14.88671875" style="7165" customWidth="1"/>
    <col min="7687" max="7687" width="16.109375" style="7165" customWidth="1"/>
    <col min="7688" max="7936" width="9.109375" style="7165"/>
    <col min="7937" max="7937" width="34.88671875" style="7165" customWidth="1"/>
    <col min="7938" max="7938" width="9.109375" style="7165"/>
    <col min="7939" max="7939" width="8.44140625" style="7165" customWidth="1"/>
    <col min="7940" max="7940" width="10.109375" style="7165" customWidth="1"/>
    <col min="7941" max="7941" width="14.44140625" style="7165" customWidth="1"/>
    <col min="7942" max="7942" width="14.88671875" style="7165" customWidth="1"/>
    <col min="7943" max="7943" width="16.109375" style="7165" customWidth="1"/>
    <col min="7944" max="8192" width="9.109375" style="7165"/>
    <col min="8193" max="8193" width="34.88671875" style="7165" customWidth="1"/>
    <col min="8194" max="8194" width="9.109375" style="7165"/>
    <col min="8195" max="8195" width="8.44140625" style="7165" customWidth="1"/>
    <col min="8196" max="8196" width="10.109375" style="7165" customWidth="1"/>
    <col min="8197" max="8197" width="14.44140625" style="7165" customWidth="1"/>
    <col min="8198" max="8198" width="14.88671875" style="7165" customWidth="1"/>
    <col min="8199" max="8199" width="16.109375" style="7165" customWidth="1"/>
    <col min="8200" max="8448" width="9.109375" style="7165"/>
    <col min="8449" max="8449" width="34.88671875" style="7165" customWidth="1"/>
    <col min="8450" max="8450" width="9.109375" style="7165"/>
    <col min="8451" max="8451" width="8.44140625" style="7165" customWidth="1"/>
    <col min="8452" max="8452" width="10.109375" style="7165" customWidth="1"/>
    <col min="8453" max="8453" width="14.44140625" style="7165" customWidth="1"/>
    <col min="8454" max="8454" width="14.88671875" style="7165" customWidth="1"/>
    <col min="8455" max="8455" width="16.109375" style="7165" customWidth="1"/>
    <col min="8456" max="8704" width="9.109375" style="7165"/>
    <col min="8705" max="8705" width="34.88671875" style="7165" customWidth="1"/>
    <col min="8706" max="8706" width="9.109375" style="7165"/>
    <col min="8707" max="8707" width="8.44140625" style="7165" customWidth="1"/>
    <col min="8708" max="8708" width="10.109375" style="7165" customWidth="1"/>
    <col min="8709" max="8709" width="14.44140625" style="7165" customWidth="1"/>
    <col min="8710" max="8710" width="14.88671875" style="7165" customWidth="1"/>
    <col min="8711" max="8711" width="16.109375" style="7165" customWidth="1"/>
    <col min="8712" max="8960" width="9.109375" style="7165"/>
    <col min="8961" max="8961" width="34.88671875" style="7165" customWidth="1"/>
    <col min="8962" max="8962" width="9.109375" style="7165"/>
    <col min="8963" max="8963" width="8.44140625" style="7165" customWidth="1"/>
    <col min="8964" max="8964" width="10.109375" style="7165" customWidth="1"/>
    <col min="8965" max="8965" width="14.44140625" style="7165" customWidth="1"/>
    <col min="8966" max="8966" width="14.88671875" style="7165" customWidth="1"/>
    <col min="8967" max="8967" width="16.109375" style="7165" customWidth="1"/>
    <col min="8968" max="9216" width="9.109375" style="7165"/>
    <col min="9217" max="9217" width="34.88671875" style="7165" customWidth="1"/>
    <col min="9218" max="9218" width="9.109375" style="7165"/>
    <col min="9219" max="9219" width="8.44140625" style="7165" customWidth="1"/>
    <col min="9220" max="9220" width="10.109375" style="7165" customWidth="1"/>
    <col min="9221" max="9221" width="14.44140625" style="7165" customWidth="1"/>
    <col min="9222" max="9222" width="14.88671875" style="7165" customWidth="1"/>
    <col min="9223" max="9223" width="16.109375" style="7165" customWidth="1"/>
    <col min="9224" max="9472" width="9.109375" style="7165"/>
    <col min="9473" max="9473" width="34.88671875" style="7165" customWidth="1"/>
    <col min="9474" max="9474" width="9.109375" style="7165"/>
    <col min="9475" max="9475" width="8.44140625" style="7165" customWidth="1"/>
    <col min="9476" max="9476" width="10.109375" style="7165" customWidth="1"/>
    <col min="9477" max="9477" width="14.44140625" style="7165" customWidth="1"/>
    <col min="9478" max="9478" width="14.88671875" style="7165" customWidth="1"/>
    <col min="9479" max="9479" width="16.109375" style="7165" customWidth="1"/>
    <col min="9480" max="9728" width="9.109375" style="7165"/>
    <col min="9729" max="9729" width="34.88671875" style="7165" customWidth="1"/>
    <col min="9730" max="9730" width="9.109375" style="7165"/>
    <col min="9731" max="9731" width="8.44140625" style="7165" customWidth="1"/>
    <col min="9732" max="9732" width="10.109375" style="7165" customWidth="1"/>
    <col min="9733" max="9733" width="14.44140625" style="7165" customWidth="1"/>
    <col min="9734" max="9734" width="14.88671875" style="7165" customWidth="1"/>
    <col min="9735" max="9735" width="16.109375" style="7165" customWidth="1"/>
    <col min="9736" max="9984" width="9.109375" style="7165"/>
    <col min="9985" max="9985" width="34.88671875" style="7165" customWidth="1"/>
    <col min="9986" max="9986" width="9.109375" style="7165"/>
    <col min="9987" max="9987" width="8.44140625" style="7165" customWidth="1"/>
    <col min="9988" max="9988" width="10.109375" style="7165" customWidth="1"/>
    <col min="9989" max="9989" width="14.44140625" style="7165" customWidth="1"/>
    <col min="9990" max="9990" width="14.88671875" style="7165" customWidth="1"/>
    <col min="9991" max="9991" width="16.109375" style="7165" customWidth="1"/>
    <col min="9992" max="10240" width="9.109375" style="7165"/>
    <col min="10241" max="10241" width="34.88671875" style="7165" customWidth="1"/>
    <col min="10242" max="10242" width="9.109375" style="7165"/>
    <col min="10243" max="10243" width="8.44140625" style="7165" customWidth="1"/>
    <col min="10244" max="10244" width="10.109375" style="7165" customWidth="1"/>
    <col min="10245" max="10245" width="14.44140625" style="7165" customWidth="1"/>
    <col min="10246" max="10246" width="14.88671875" style="7165" customWidth="1"/>
    <col min="10247" max="10247" width="16.109375" style="7165" customWidth="1"/>
    <col min="10248" max="10496" width="9.109375" style="7165"/>
    <col min="10497" max="10497" width="34.88671875" style="7165" customWidth="1"/>
    <col min="10498" max="10498" width="9.109375" style="7165"/>
    <col min="10499" max="10499" width="8.44140625" style="7165" customWidth="1"/>
    <col min="10500" max="10500" width="10.109375" style="7165" customWidth="1"/>
    <col min="10501" max="10501" width="14.44140625" style="7165" customWidth="1"/>
    <col min="10502" max="10502" width="14.88671875" style="7165" customWidth="1"/>
    <col min="10503" max="10503" width="16.109375" style="7165" customWidth="1"/>
    <col min="10504" max="10752" width="9.109375" style="7165"/>
    <col min="10753" max="10753" width="34.88671875" style="7165" customWidth="1"/>
    <col min="10754" max="10754" width="9.109375" style="7165"/>
    <col min="10755" max="10755" width="8.44140625" style="7165" customWidth="1"/>
    <col min="10756" max="10756" width="10.109375" style="7165" customWidth="1"/>
    <col min="10757" max="10757" width="14.44140625" style="7165" customWidth="1"/>
    <col min="10758" max="10758" width="14.88671875" style="7165" customWidth="1"/>
    <col min="10759" max="10759" width="16.109375" style="7165" customWidth="1"/>
    <col min="10760" max="11008" width="9.109375" style="7165"/>
    <col min="11009" max="11009" width="34.88671875" style="7165" customWidth="1"/>
    <col min="11010" max="11010" width="9.109375" style="7165"/>
    <col min="11011" max="11011" width="8.44140625" style="7165" customWidth="1"/>
    <col min="11012" max="11012" width="10.109375" style="7165" customWidth="1"/>
    <col min="11013" max="11013" width="14.44140625" style="7165" customWidth="1"/>
    <col min="11014" max="11014" width="14.88671875" style="7165" customWidth="1"/>
    <col min="11015" max="11015" width="16.109375" style="7165" customWidth="1"/>
    <col min="11016" max="11264" width="9.109375" style="7165"/>
    <col min="11265" max="11265" width="34.88671875" style="7165" customWidth="1"/>
    <col min="11266" max="11266" width="9.109375" style="7165"/>
    <col min="11267" max="11267" width="8.44140625" style="7165" customWidth="1"/>
    <col min="11268" max="11268" width="10.109375" style="7165" customWidth="1"/>
    <col min="11269" max="11269" width="14.44140625" style="7165" customWidth="1"/>
    <col min="11270" max="11270" width="14.88671875" style="7165" customWidth="1"/>
    <col min="11271" max="11271" width="16.109375" style="7165" customWidth="1"/>
    <col min="11272" max="11520" width="9.109375" style="7165"/>
    <col min="11521" max="11521" width="34.88671875" style="7165" customWidth="1"/>
    <col min="11522" max="11522" width="9.109375" style="7165"/>
    <col min="11523" max="11523" width="8.44140625" style="7165" customWidth="1"/>
    <col min="11524" max="11524" width="10.109375" style="7165" customWidth="1"/>
    <col min="11525" max="11525" width="14.44140625" style="7165" customWidth="1"/>
    <col min="11526" max="11526" width="14.88671875" style="7165" customWidth="1"/>
    <col min="11527" max="11527" width="16.109375" style="7165" customWidth="1"/>
    <col min="11528" max="11776" width="9.109375" style="7165"/>
    <col min="11777" max="11777" width="34.88671875" style="7165" customWidth="1"/>
    <col min="11778" max="11778" width="9.109375" style="7165"/>
    <col min="11779" max="11779" width="8.44140625" style="7165" customWidth="1"/>
    <col min="11780" max="11780" width="10.109375" style="7165" customWidth="1"/>
    <col min="11781" max="11781" width="14.44140625" style="7165" customWidth="1"/>
    <col min="11782" max="11782" width="14.88671875" style="7165" customWidth="1"/>
    <col min="11783" max="11783" width="16.109375" style="7165" customWidth="1"/>
    <col min="11784" max="12032" width="9.109375" style="7165"/>
    <col min="12033" max="12033" width="34.88671875" style="7165" customWidth="1"/>
    <col min="12034" max="12034" width="9.109375" style="7165"/>
    <col min="12035" max="12035" width="8.44140625" style="7165" customWidth="1"/>
    <col min="12036" max="12036" width="10.109375" style="7165" customWidth="1"/>
    <col min="12037" max="12037" width="14.44140625" style="7165" customWidth="1"/>
    <col min="12038" max="12038" width="14.88671875" style="7165" customWidth="1"/>
    <col min="12039" max="12039" width="16.109375" style="7165" customWidth="1"/>
    <col min="12040" max="12288" width="9.109375" style="7165"/>
    <col min="12289" max="12289" width="34.88671875" style="7165" customWidth="1"/>
    <col min="12290" max="12290" width="9.109375" style="7165"/>
    <col min="12291" max="12291" width="8.44140625" style="7165" customWidth="1"/>
    <col min="12292" max="12292" width="10.109375" style="7165" customWidth="1"/>
    <col min="12293" max="12293" width="14.44140625" style="7165" customWidth="1"/>
    <col min="12294" max="12294" width="14.88671875" style="7165" customWidth="1"/>
    <col min="12295" max="12295" width="16.109375" style="7165" customWidth="1"/>
    <col min="12296" max="12544" width="9.109375" style="7165"/>
    <col min="12545" max="12545" width="34.88671875" style="7165" customWidth="1"/>
    <col min="12546" max="12546" width="9.109375" style="7165"/>
    <col min="12547" max="12547" width="8.44140625" style="7165" customWidth="1"/>
    <col min="12548" max="12548" width="10.109375" style="7165" customWidth="1"/>
    <col min="12549" max="12549" width="14.44140625" style="7165" customWidth="1"/>
    <col min="12550" max="12550" width="14.88671875" style="7165" customWidth="1"/>
    <col min="12551" max="12551" width="16.109375" style="7165" customWidth="1"/>
    <col min="12552" max="12800" width="9.109375" style="7165"/>
    <col min="12801" max="12801" width="34.88671875" style="7165" customWidth="1"/>
    <col min="12802" max="12802" width="9.109375" style="7165"/>
    <col min="12803" max="12803" width="8.44140625" style="7165" customWidth="1"/>
    <col min="12804" max="12804" width="10.109375" style="7165" customWidth="1"/>
    <col min="12805" max="12805" width="14.44140625" style="7165" customWidth="1"/>
    <col min="12806" max="12806" width="14.88671875" style="7165" customWidth="1"/>
    <col min="12807" max="12807" width="16.109375" style="7165" customWidth="1"/>
    <col min="12808" max="13056" width="9.109375" style="7165"/>
    <col min="13057" max="13057" width="34.88671875" style="7165" customWidth="1"/>
    <col min="13058" max="13058" width="9.109375" style="7165"/>
    <col min="13059" max="13059" width="8.44140625" style="7165" customWidth="1"/>
    <col min="13060" max="13060" width="10.109375" style="7165" customWidth="1"/>
    <col min="13061" max="13061" width="14.44140625" style="7165" customWidth="1"/>
    <col min="13062" max="13062" width="14.88671875" style="7165" customWidth="1"/>
    <col min="13063" max="13063" width="16.109375" style="7165" customWidth="1"/>
    <col min="13064" max="13312" width="9.109375" style="7165"/>
    <col min="13313" max="13313" width="34.88671875" style="7165" customWidth="1"/>
    <col min="13314" max="13314" width="9.109375" style="7165"/>
    <col min="13315" max="13315" width="8.44140625" style="7165" customWidth="1"/>
    <col min="13316" max="13316" width="10.109375" style="7165" customWidth="1"/>
    <col min="13317" max="13317" width="14.44140625" style="7165" customWidth="1"/>
    <col min="13318" max="13318" width="14.88671875" style="7165" customWidth="1"/>
    <col min="13319" max="13319" width="16.109375" style="7165" customWidth="1"/>
    <col min="13320" max="13568" width="9.109375" style="7165"/>
    <col min="13569" max="13569" width="34.88671875" style="7165" customWidth="1"/>
    <col min="13570" max="13570" width="9.109375" style="7165"/>
    <col min="13571" max="13571" width="8.44140625" style="7165" customWidth="1"/>
    <col min="13572" max="13572" width="10.109375" style="7165" customWidth="1"/>
    <col min="13573" max="13573" width="14.44140625" style="7165" customWidth="1"/>
    <col min="13574" max="13574" width="14.88671875" style="7165" customWidth="1"/>
    <col min="13575" max="13575" width="16.109375" style="7165" customWidth="1"/>
    <col min="13576" max="13824" width="9.109375" style="7165"/>
    <col min="13825" max="13825" width="34.88671875" style="7165" customWidth="1"/>
    <col min="13826" max="13826" width="9.109375" style="7165"/>
    <col min="13827" max="13827" width="8.44140625" style="7165" customWidth="1"/>
    <col min="13828" max="13828" width="10.109375" style="7165" customWidth="1"/>
    <col min="13829" max="13829" width="14.44140625" style="7165" customWidth="1"/>
    <col min="13830" max="13830" width="14.88671875" style="7165" customWidth="1"/>
    <col min="13831" max="13831" width="16.109375" style="7165" customWidth="1"/>
    <col min="13832" max="14080" width="9.109375" style="7165"/>
    <col min="14081" max="14081" width="34.88671875" style="7165" customWidth="1"/>
    <col min="14082" max="14082" width="9.109375" style="7165"/>
    <col min="14083" max="14083" width="8.44140625" style="7165" customWidth="1"/>
    <col min="14084" max="14084" width="10.109375" style="7165" customWidth="1"/>
    <col min="14085" max="14085" width="14.44140625" style="7165" customWidth="1"/>
    <col min="14086" max="14086" width="14.88671875" style="7165" customWidth="1"/>
    <col min="14087" max="14087" width="16.109375" style="7165" customWidth="1"/>
    <col min="14088" max="14336" width="9.109375" style="7165"/>
    <col min="14337" max="14337" width="34.88671875" style="7165" customWidth="1"/>
    <col min="14338" max="14338" width="9.109375" style="7165"/>
    <col min="14339" max="14339" width="8.44140625" style="7165" customWidth="1"/>
    <col min="14340" max="14340" width="10.109375" style="7165" customWidth="1"/>
    <col min="14341" max="14341" width="14.44140625" style="7165" customWidth="1"/>
    <col min="14342" max="14342" width="14.88671875" style="7165" customWidth="1"/>
    <col min="14343" max="14343" width="16.109375" style="7165" customWidth="1"/>
    <col min="14344" max="14592" width="9.109375" style="7165"/>
    <col min="14593" max="14593" width="34.88671875" style="7165" customWidth="1"/>
    <col min="14594" max="14594" width="9.109375" style="7165"/>
    <col min="14595" max="14595" width="8.44140625" style="7165" customWidth="1"/>
    <col min="14596" max="14596" width="10.109375" style="7165" customWidth="1"/>
    <col min="14597" max="14597" width="14.44140625" style="7165" customWidth="1"/>
    <col min="14598" max="14598" width="14.88671875" style="7165" customWidth="1"/>
    <col min="14599" max="14599" width="16.109375" style="7165" customWidth="1"/>
    <col min="14600" max="14848" width="9.109375" style="7165"/>
    <col min="14849" max="14849" width="34.88671875" style="7165" customWidth="1"/>
    <col min="14850" max="14850" width="9.109375" style="7165"/>
    <col min="14851" max="14851" width="8.44140625" style="7165" customWidth="1"/>
    <col min="14852" max="14852" width="10.109375" style="7165" customWidth="1"/>
    <col min="14853" max="14853" width="14.44140625" style="7165" customWidth="1"/>
    <col min="14854" max="14854" width="14.88671875" style="7165" customWidth="1"/>
    <col min="14855" max="14855" width="16.109375" style="7165" customWidth="1"/>
    <col min="14856" max="15104" width="9.109375" style="7165"/>
    <col min="15105" max="15105" width="34.88671875" style="7165" customWidth="1"/>
    <col min="15106" max="15106" width="9.109375" style="7165"/>
    <col min="15107" max="15107" width="8.44140625" style="7165" customWidth="1"/>
    <col min="15108" max="15108" width="10.109375" style="7165" customWidth="1"/>
    <col min="15109" max="15109" width="14.44140625" style="7165" customWidth="1"/>
    <col min="15110" max="15110" width="14.88671875" style="7165" customWidth="1"/>
    <col min="15111" max="15111" width="16.109375" style="7165" customWidth="1"/>
    <col min="15112" max="15360" width="9.109375" style="7165"/>
    <col min="15361" max="15361" width="34.88671875" style="7165" customWidth="1"/>
    <col min="15362" max="15362" width="9.109375" style="7165"/>
    <col min="15363" max="15363" width="8.44140625" style="7165" customWidth="1"/>
    <col min="15364" max="15364" width="10.109375" style="7165" customWidth="1"/>
    <col min="15365" max="15365" width="14.44140625" style="7165" customWidth="1"/>
    <col min="15366" max="15366" width="14.88671875" style="7165" customWidth="1"/>
    <col min="15367" max="15367" width="16.109375" style="7165" customWidth="1"/>
    <col min="15368" max="15616" width="9.109375" style="7165"/>
    <col min="15617" max="15617" width="34.88671875" style="7165" customWidth="1"/>
    <col min="15618" max="15618" width="9.109375" style="7165"/>
    <col min="15619" max="15619" width="8.44140625" style="7165" customWidth="1"/>
    <col min="15620" max="15620" width="10.109375" style="7165" customWidth="1"/>
    <col min="15621" max="15621" width="14.44140625" style="7165" customWidth="1"/>
    <col min="15622" max="15622" width="14.88671875" style="7165" customWidth="1"/>
    <col min="15623" max="15623" width="16.109375" style="7165" customWidth="1"/>
    <col min="15624" max="15872" width="9.109375" style="7165"/>
    <col min="15873" max="15873" width="34.88671875" style="7165" customWidth="1"/>
    <col min="15874" max="15874" width="9.109375" style="7165"/>
    <col min="15875" max="15875" width="8.44140625" style="7165" customWidth="1"/>
    <col min="15876" max="15876" width="10.109375" style="7165" customWidth="1"/>
    <col min="15877" max="15877" width="14.44140625" style="7165" customWidth="1"/>
    <col min="15878" max="15878" width="14.88671875" style="7165" customWidth="1"/>
    <col min="15879" max="15879" width="16.109375" style="7165" customWidth="1"/>
    <col min="15880" max="16128" width="9.109375" style="7165"/>
    <col min="16129" max="16129" width="34.88671875" style="7165" customWidth="1"/>
    <col min="16130" max="16130" width="9.109375" style="7165"/>
    <col min="16131" max="16131" width="8.44140625" style="7165" customWidth="1"/>
    <col min="16132" max="16132" width="10.109375" style="7165" customWidth="1"/>
    <col min="16133" max="16133" width="14.44140625" style="7165" customWidth="1"/>
    <col min="16134" max="16134" width="14.88671875" style="7165" customWidth="1"/>
    <col min="16135" max="16135" width="16.109375" style="7165" customWidth="1"/>
    <col min="16136" max="16384" width="9.109375" style="7165"/>
  </cols>
  <sheetData>
    <row r="1" spans="1:8" ht="12.9" customHeight="1">
      <c r="A1" s="14215" t="s">
        <v>1087</v>
      </c>
      <c r="B1" s="14215"/>
      <c r="C1" s="14215"/>
      <c r="D1" s="14215"/>
      <c r="E1" s="14215"/>
      <c r="F1" s="14215"/>
    </row>
    <row r="3" spans="1:8" ht="12.9" customHeight="1">
      <c r="A3" s="14210" t="s">
        <v>9236</v>
      </c>
      <c r="B3" s="14210"/>
      <c r="C3" s="14210"/>
      <c r="D3" s="14210"/>
      <c r="E3" s="14210"/>
      <c r="F3" s="14210"/>
    </row>
    <row r="4" spans="1:8" ht="12.9" customHeight="1" thickBot="1"/>
    <row r="5" spans="1:8" ht="12.9" customHeight="1">
      <c r="A5" s="9697" t="s">
        <v>842</v>
      </c>
      <c r="B5" s="10711" t="s">
        <v>1035</v>
      </c>
      <c r="C5" s="10711" t="s">
        <v>1036</v>
      </c>
      <c r="D5" s="14213" t="s">
        <v>1037</v>
      </c>
      <c r="E5" s="14213"/>
      <c r="F5" s="14214"/>
    </row>
    <row r="6" spans="1:8" ht="12.9" customHeight="1" thickBot="1">
      <c r="A6" s="7202" t="s">
        <v>1088</v>
      </c>
      <c r="B6" s="10416" t="s">
        <v>9</v>
      </c>
      <c r="C6" s="10416" t="s">
        <v>1039</v>
      </c>
      <c r="D6" s="9613" t="s">
        <v>10</v>
      </c>
      <c r="E6" s="9613" t="s">
        <v>11</v>
      </c>
      <c r="F6" s="7213" t="s">
        <v>11621</v>
      </c>
    </row>
    <row r="7" spans="1:8" ht="12.9" customHeight="1">
      <c r="A7" s="9715"/>
      <c r="B7" s="9624"/>
      <c r="C7" s="10716"/>
      <c r="D7" s="10716"/>
      <c r="E7" s="10716"/>
      <c r="F7" s="10717"/>
    </row>
    <row r="8" spans="1:8" ht="12.9" customHeight="1">
      <c r="A8" s="7209" t="s">
        <v>806</v>
      </c>
      <c r="B8" s="9615"/>
      <c r="C8" s="9614"/>
      <c r="D8" s="9614"/>
      <c r="E8" s="9614"/>
      <c r="F8" s="10741"/>
    </row>
    <row r="9" spans="1:8" ht="12.9" customHeight="1">
      <c r="A9" s="7209" t="s">
        <v>1107</v>
      </c>
      <c r="B9" s="9615"/>
      <c r="C9" s="9614"/>
      <c r="D9" s="9614"/>
      <c r="E9" s="9614"/>
      <c r="F9" s="10741"/>
    </row>
    <row r="10" spans="1:8" ht="12.9" customHeight="1">
      <c r="A10" s="7207" t="s">
        <v>1108</v>
      </c>
      <c r="B10" s="9615"/>
      <c r="C10" s="9614"/>
      <c r="D10" s="9614"/>
      <c r="E10" s="9614"/>
      <c r="F10" s="10741"/>
    </row>
    <row r="11" spans="1:8" ht="12.9" customHeight="1">
      <c r="A11" s="7207"/>
      <c r="B11" s="9615"/>
      <c r="C11" s="9615"/>
      <c r="D11" s="9615"/>
      <c r="E11" s="9615"/>
      <c r="F11" s="10406"/>
    </row>
    <row r="12" spans="1:8" ht="12.9" customHeight="1">
      <c r="A12" s="7209" t="s">
        <v>1091</v>
      </c>
      <c r="B12" s="9615"/>
      <c r="C12" s="9615"/>
      <c r="D12" s="9615"/>
      <c r="E12" s="9615"/>
      <c r="F12" s="10406"/>
    </row>
    <row r="13" spans="1:8" ht="12.9" customHeight="1">
      <c r="A13" s="7209" t="s">
        <v>1109</v>
      </c>
      <c r="B13" s="9615"/>
      <c r="C13" s="9615"/>
      <c r="D13" s="9615"/>
      <c r="E13" s="9615"/>
      <c r="F13" s="10406"/>
    </row>
    <row r="14" spans="1:8" ht="12.9" customHeight="1">
      <c r="A14" s="7207" t="s">
        <v>12031</v>
      </c>
      <c r="B14" s="9614">
        <v>1</v>
      </c>
      <c r="C14" s="9614">
        <v>22</v>
      </c>
      <c r="D14" s="9617">
        <v>0</v>
      </c>
      <c r="E14" s="9617">
        <v>0</v>
      </c>
      <c r="F14" s="10400">
        <v>783828</v>
      </c>
    </row>
    <row r="15" spans="1:8" ht="12.9" customHeight="1">
      <c r="A15" s="7207" t="s">
        <v>11280</v>
      </c>
      <c r="B15" s="9614">
        <v>0</v>
      </c>
      <c r="C15" s="9614">
        <v>20</v>
      </c>
      <c r="D15" s="9617">
        <v>0</v>
      </c>
      <c r="E15" s="9621">
        <v>572904</v>
      </c>
      <c r="F15" s="9951">
        <v>0</v>
      </c>
    </row>
    <row r="16" spans="1:8" ht="12.9" customHeight="1">
      <c r="A16" s="7207" t="s">
        <v>1120</v>
      </c>
      <c r="B16" s="9614">
        <v>1</v>
      </c>
      <c r="C16" s="9614">
        <v>20</v>
      </c>
      <c r="D16" s="9617">
        <v>519000</v>
      </c>
      <c r="E16" s="9617">
        <v>564444</v>
      </c>
      <c r="F16" s="9951">
        <v>613860</v>
      </c>
      <c r="G16" s="7217">
        <f>SUM(B14:B16)</f>
        <v>2</v>
      </c>
      <c r="H16" s="7198">
        <f>SUM(F14:F16)</f>
        <v>1397688</v>
      </c>
    </row>
    <row r="17" spans="1:8" ht="12.9" customHeight="1">
      <c r="A17" s="7207"/>
      <c r="B17" s="9615"/>
      <c r="C17" s="9615"/>
      <c r="D17" s="9615"/>
      <c r="E17" s="9615"/>
      <c r="F17" s="10406"/>
      <c r="G17" s="7218"/>
    </row>
    <row r="18" spans="1:8" ht="12.9" customHeight="1">
      <c r="A18" s="7209" t="s">
        <v>1111</v>
      </c>
      <c r="B18" s="9615"/>
      <c r="C18" s="9615"/>
      <c r="D18" s="9615"/>
      <c r="E18" s="9615"/>
      <c r="F18" s="10406"/>
      <c r="G18" s="7218"/>
    </row>
    <row r="19" spans="1:8" ht="12.9" customHeight="1">
      <c r="A19" s="7207" t="s">
        <v>10373</v>
      </c>
      <c r="B19" s="9614">
        <v>0</v>
      </c>
      <c r="C19" s="9614">
        <v>18</v>
      </c>
      <c r="D19" s="9626">
        <v>428316</v>
      </c>
      <c r="E19" s="9626">
        <v>462516</v>
      </c>
      <c r="F19" s="9951">
        <v>0</v>
      </c>
      <c r="G19" s="7219"/>
    </row>
    <row r="20" spans="1:8" ht="12.9" customHeight="1">
      <c r="A20" s="7207" t="s">
        <v>1121</v>
      </c>
      <c r="B20" s="9614">
        <v>1</v>
      </c>
      <c r="C20" s="9614">
        <v>15</v>
      </c>
      <c r="D20" s="9626">
        <v>350568</v>
      </c>
      <c r="E20" s="9626">
        <v>374040</v>
      </c>
      <c r="F20" s="9950">
        <v>394452</v>
      </c>
      <c r="G20" s="7219"/>
    </row>
    <row r="21" spans="1:8" ht="12.9" customHeight="1">
      <c r="A21" s="7207" t="s">
        <v>10124</v>
      </c>
      <c r="B21" s="9614">
        <v>1</v>
      </c>
      <c r="C21" s="9614">
        <v>15</v>
      </c>
      <c r="D21" s="9617">
        <v>0</v>
      </c>
      <c r="E21" s="9617">
        <v>0</v>
      </c>
      <c r="F21" s="9951">
        <v>375504</v>
      </c>
      <c r="G21" s="7217"/>
    </row>
    <row r="22" spans="1:8" ht="12.9" customHeight="1">
      <c r="A22" s="7207" t="s">
        <v>11654</v>
      </c>
      <c r="B22" s="9614">
        <v>1</v>
      </c>
      <c r="C22" s="9614">
        <v>12</v>
      </c>
      <c r="D22" s="9617"/>
      <c r="E22" s="9617"/>
      <c r="F22" s="9951">
        <v>275256</v>
      </c>
      <c r="G22" s="7217"/>
    </row>
    <row r="23" spans="1:8" ht="12.9" customHeight="1">
      <c r="A23" s="7207" t="s">
        <v>11655</v>
      </c>
      <c r="B23" s="9614">
        <v>1</v>
      </c>
      <c r="C23" s="9614">
        <v>11</v>
      </c>
      <c r="D23" s="9617"/>
      <c r="E23" s="9617"/>
      <c r="F23" s="9951">
        <v>249048</v>
      </c>
      <c r="G23" s="7217"/>
    </row>
    <row r="24" spans="1:8" ht="12.9" customHeight="1">
      <c r="A24" s="7207" t="s">
        <v>12032</v>
      </c>
      <c r="B24" s="9614">
        <v>0</v>
      </c>
      <c r="C24" s="9614">
        <v>10</v>
      </c>
      <c r="D24" s="9617">
        <v>233052</v>
      </c>
      <c r="E24" s="9617">
        <v>0</v>
      </c>
      <c r="F24" s="9951">
        <v>0</v>
      </c>
      <c r="G24" s="7217"/>
    </row>
    <row r="25" spans="1:8" ht="12.9" customHeight="1">
      <c r="A25" s="7207" t="s">
        <v>12033</v>
      </c>
      <c r="B25" s="9614">
        <v>1</v>
      </c>
      <c r="C25" s="9614">
        <v>6</v>
      </c>
      <c r="D25" s="9617">
        <v>176772</v>
      </c>
      <c r="E25" s="9617">
        <v>182280</v>
      </c>
      <c r="F25" s="9951">
        <v>187968</v>
      </c>
      <c r="G25" s="7217"/>
    </row>
    <row r="26" spans="1:8" ht="12.9" customHeight="1">
      <c r="A26" s="7207" t="s">
        <v>1067</v>
      </c>
      <c r="B26" s="9614">
        <v>1</v>
      </c>
      <c r="C26" s="9614">
        <v>5</v>
      </c>
      <c r="D26" s="9617">
        <v>157404</v>
      </c>
      <c r="E26" s="9617">
        <v>0</v>
      </c>
      <c r="F26" s="9951">
        <v>168084</v>
      </c>
      <c r="G26" s="7217"/>
    </row>
    <row r="27" spans="1:8" ht="12.9" customHeight="1">
      <c r="A27" s="7207" t="s">
        <v>12034</v>
      </c>
      <c r="B27" s="9614">
        <v>1</v>
      </c>
      <c r="C27" s="9614">
        <v>9</v>
      </c>
      <c r="D27" s="9617">
        <v>203832</v>
      </c>
      <c r="E27" s="9617">
        <v>421200</v>
      </c>
      <c r="F27" s="9951">
        <v>215700</v>
      </c>
      <c r="G27" s="7217"/>
    </row>
    <row r="28" spans="1:8" ht="12.9" customHeight="1">
      <c r="A28" s="7207" t="s">
        <v>12035</v>
      </c>
      <c r="B28" s="9614">
        <v>2</v>
      </c>
      <c r="C28" s="9614">
        <v>7</v>
      </c>
      <c r="D28" s="9617">
        <v>188700</v>
      </c>
      <c r="E28" s="9617">
        <v>376944</v>
      </c>
      <c r="F28" s="9951">
        <v>389556</v>
      </c>
      <c r="G28" s="7217"/>
    </row>
    <row r="29" spans="1:8" ht="12.9" hidden="1" customHeight="1">
      <c r="A29" s="7207" t="s">
        <v>11654</v>
      </c>
      <c r="B29" s="9614">
        <v>0</v>
      </c>
      <c r="C29" s="9614">
        <v>12</v>
      </c>
      <c r="D29" s="9650">
        <v>0</v>
      </c>
      <c r="E29" s="9650">
        <v>0</v>
      </c>
      <c r="F29" s="10408">
        <v>0</v>
      </c>
      <c r="G29" s="7217"/>
    </row>
    <row r="30" spans="1:8" ht="12.9" customHeight="1">
      <c r="A30" s="7207"/>
      <c r="B30" s="9614"/>
      <c r="C30" s="9614"/>
      <c r="D30" s="9617"/>
      <c r="E30" s="9617"/>
      <c r="F30" s="9951"/>
      <c r="G30" s="7217">
        <f>SUM(B19:B30)</f>
        <v>9</v>
      </c>
      <c r="H30" s="7198">
        <f>SUM(F19:F30)</f>
        <v>2255568</v>
      </c>
    </row>
    <row r="31" spans="1:8" ht="12.9" customHeight="1">
      <c r="A31" s="7209" t="s">
        <v>1054</v>
      </c>
      <c r="B31" s="9614"/>
      <c r="C31" s="9614"/>
      <c r="D31" s="9617"/>
      <c r="E31" s="9617"/>
      <c r="F31" s="9951"/>
      <c r="G31" s="7217"/>
    </row>
    <row r="32" spans="1:8" ht="12.9" customHeight="1">
      <c r="A32" s="7207" t="s">
        <v>12036</v>
      </c>
      <c r="B32" s="9614">
        <v>2</v>
      </c>
      <c r="C32" s="9614">
        <v>8</v>
      </c>
      <c r="D32" s="9617">
        <v>191628</v>
      </c>
      <c r="E32" s="9617">
        <v>197196</v>
      </c>
      <c r="F32" s="9951">
        <v>405852</v>
      </c>
      <c r="G32" s="7217"/>
    </row>
    <row r="33" spans="1:8" ht="12.9" customHeight="1">
      <c r="A33" s="7207" t="s">
        <v>11272</v>
      </c>
      <c r="B33" s="9614">
        <v>2</v>
      </c>
      <c r="C33" s="9614">
        <v>3</v>
      </c>
      <c r="D33" s="9617">
        <v>284388</v>
      </c>
      <c r="E33" s="9617">
        <v>296784</v>
      </c>
      <c r="F33" s="9951">
        <v>310896</v>
      </c>
      <c r="G33" s="7217"/>
    </row>
    <row r="34" spans="1:8" ht="12.9" customHeight="1">
      <c r="A34" s="7207" t="s">
        <v>12037</v>
      </c>
      <c r="B34" s="9614">
        <v>1</v>
      </c>
      <c r="C34" s="9614">
        <v>2</v>
      </c>
      <c r="D34" s="9617"/>
      <c r="E34" s="9617">
        <v>134400</v>
      </c>
      <c r="F34" s="9951">
        <v>142212</v>
      </c>
      <c r="G34" s="7217"/>
    </row>
    <row r="35" spans="1:8" ht="4.5" customHeight="1">
      <c r="A35" s="7207"/>
      <c r="B35" s="9614"/>
      <c r="C35" s="9614"/>
      <c r="D35" s="9617"/>
      <c r="E35" s="9617"/>
      <c r="F35" s="9951"/>
    </row>
    <row r="36" spans="1:8" ht="12.9" customHeight="1">
      <c r="A36" s="7209" t="s">
        <v>1098</v>
      </c>
      <c r="B36" s="9630">
        <f>SUM(B10:B34)</f>
        <v>16</v>
      </c>
      <c r="C36" s="9630"/>
      <c r="D36" s="9619">
        <f>SUM(D7:D35)</f>
        <v>2733660</v>
      </c>
      <c r="E36" s="9619">
        <f>SUM(E7:E35)</f>
        <v>3582708</v>
      </c>
      <c r="F36" s="7221">
        <f>SUM(F7:F35)</f>
        <v>4512216</v>
      </c>
      <c r="G36" s="7196">
        <f>SUM(B32:B35)</f>
        <v>5</v>
      </c>
      <c r="H36" s="7198">
        <f>SUM(F32:F35)</f>
        <v>858960</v>
      </c>
    </row>
    <row r="37" spans="1:8" s="7223" customFormat="1" ht="9.6" customHeight="1">
      <c r="A37" s="10748"/>
      <c r="B37" s="9403"/>
      <c r="C37" s="9403"/>
      <c r="D37" s="10742"/>
      <c r="E37" s="10742"/>
      <c r="F37" s="10743"/>
      <c r="G37" s="7222"/>
    </row>
    <row r="38" spans="1:8" ht="12.9" customHeight="1">
      <c r="A38" s="9615" t="s">
        <v>1113</v>
      </c>
      <c r="B38" s="9614"/>
      <c r="C38" s="9614"/>
      <c r="D38" s="9617"/>
      <c r="E38" s="9617"/>
      <c r="F38" s="9951"/>
    </row>
    <row r="39" spans="1:8" ht="12.9" customHeight="1">
      <c r="A39" s="9615" t="s">
        <v>12031</v>
      </c>
      <c r="B39" s="9614">
        <v>0</v>
      </c>
      <c r="C39" s="9614">
        <v>22</v>
      </c>
      <c r="D39" s="9617">
        <v>0</v>
      </c>
      <c r="E39" s="9617">
        <v>704604</v>
      </c>
      <c r="F39" s="9951">
        <v>0</v>
      </c>
    </row>
    <row r="40" spans="1:8" ht="12.9" customHeight="1">
      <c r="A40" s="9615" t="s">
        <v>11280</v>
      </c>
      <c r="B40" s="9614">
        <v>1</v>
      </c>
      <c r="C40" s="9614">
        <v>20</v>
      </c>
      <c r="D40" s="9617">
        <v>0</v>
      </c>
      <c r="E40" s="9617">
        <v>0</v>
      </c>
      <c r="F40" s="9951">
        <v>613860</v>
      </c>
    </row>
    <row r="41" spans="1:8" ht="12.9" customHeight="1">
      <c r="A41" s="7207" t="s">
        <v>12038</v>
      </c>
      <c r="B41" s="9614">
        <v>1</v>
      </c>
      <c r="C41" s="9614">
        <v>18</v>
      </c>
      <c r="D41" s="9617">
        <v>0</v>
      </c>
      <c r="E41" s="9617">
        <v>0</v>
      </c>
      <c r="F41" s="9951">
        <v>487644</v>
      </c>
    </row>
    <row r="42" spans="1:8" ht="12.9" customHeight="1">
      <c r="A42" s="7207" t="s">
        <v>12039</v>
      </c>
      <c r="B42" s="9614">
        <v>0</v>
      </c>
      <c r="C42" s="9614">
        <v>16</v>
      </c>
      <c r="D42" s="9617">
        <v>0</v>
      </c>
      <c r="E42" s="9617">
        <v>0</v>
      </c>
      <c r="F42" s="9951">
        <v>0</v>
      </c>
    </row>
    <row r="43" spans="1:8" ht="12.9" customHeight="1">
      <c r="A43" s="7207" t="s">
        <v>12040</v>
      </c>
      <c r="B43" s="9614">
        <v>0</v>
      </c>
      <c r="C43" s="9614">
        <v>12</v>
      </c>
      <c r="D43" s="9617">
        <v>256644</v>
      </c>
      <c r="E43" s="9617">
        <v>265788</v>
      </c>
      <c r="F43" s="9951">
        <v>0</v>
      </c>
    </row>
    <row r="44" spans="1:8" ht="12.9" customHeight="1">
      <c r="A44" s="7207" t="s">
        <v>12042</v>
      </c>
      <c r="B44" s="9614">
        <v>0</v>
      </c>
      <c r="C44" s="9614">
        <v>11</v>
      </c>
      <c r="D44" s="9617">
        <v>235440</v>
      </c>
      <c r="E44" s="9617">
        <v>242148</v>
      </c>
      <c r="F44" s="9951">
        <v>0</v>
      </c>
    </row>
    <row r="45" spans="1:8" ht="12.9" customHeight="1">
      <c r="A45" s="7207" t="s">
        <v>12041</v>
      </c>
      <c r="B45" s="9614">
        <v>1</v>
      </c>
      <c r="C45" s="9614">
        <v>9</v>
      </c>
      <c r="D45" s="9617">
        <v>203832</v>
      </c>
      <c r="E45" s="9617">
        <v>0</v>
      </c>
      <c r="F45" s="9951">
        <v>215700</v>
      </c>
    </row>
    <row r="46" spans="1:8" ht="12.9" customHeight="1">
      <c r="A46" s="7207" t="s">
        <v>12043</v>
      </c>
      <c r="B46" s="9614">
        <v>0</v>
      </c>
      <c r="C46" s="9614">
        <v>8</v>
      </c>
      <c r="D46" s="9617">
        <v>189816</v>
      </c>
      <c r="E46" s="9617">
        <v>195384</v>
      </c>
      <c r="F46" s="9951">
        <v>0</v>
      </c>
    </row>
    <row r="47" spans="1:8" ht="12.9" customHeight="1">
      <c r="A47" s="7207" t="s">
        <v>12044</v>
      </c>
      <c r="B47" s="9614">
        <v>0</v>
      </c>
      <c r="C47" s="9614">
        <v>7</v>
      </c>
      <c r="D47" s="9617">
        <v>177420</v>
      </c>
      <c r="E47" s="9617">
        <v>0</v>
      </c>
      <c r="F47" s="9951">
        <v>0</v>
      </c>
    </row>
    <row r="48" spans="1:8" ht="12.9" customHeight="1">
      <c r="A48" s="7207" t="s">
        <v>12045</v>
      </c>
      <c r="B48" s="9614">
        <v>0</v>
      </c>
      <c r="C48" s="9614">
        <v>5</v>
      </c>
      <c r="D48" s="9617"/>
      <c r="E48" s="9617">
        <v>161772</v>
      </c>
      <c r="F48" s="9951">
        <v>0</v>
      </c>
    </row>
    <row r="49" spans="1:6" ht="12.9" customHeight="1">
      <c r="A49" s="7207" t="s">
        <v>12037</v>
      </c>
      <c r="B49" s="9614">
        <v>2</v>
      </c>
      <c r="C49" s="9614">
        <v>2</v>
      </c>
      <c r="D49" s="9617">
        <v>128004</v>
      </c>
      <c r="E49" s="9617">
        <v>268800</v>
      </c>
      <c r="F49" s="9951">
        <v>282264</v>
      </c>
    </row>
    <row r="50" spans="1:6" ht="12.9" customHeight="1">
      <c r="A50" s="7207" t="s">
        <v>12017</v>
      </c>
      <c r="B50" s="9614">
        <v>5</v>
      </c>
      <c r="C50" s="9614">
        <v>1</v>
      </c>
      <c r="D50" s="9617"/>
      <c r="E50" s="9617"/>
      <c r="F50" s="9951">
        <f>132816*B50</f>
        <v>664080</v>
      </c>
    </row>
    <row r="51" spans="1:6" ht="3" customHeight="1">
      <c r="A51" s="7209"/>
      <c r="B51" s="10744"/>
      <c r="C51" s="10744"/>
      <c r="D51" s="10745"/>
      <c r="E51" s="10745"/>
      <c r="F51" s="9714"/>
    </row>
    <row r="52" spans="1:6" ht="12.9" customHeight="1">
      <c r="A52" s="7209" t="s">
        <v>1100</v>
      </c>
      <c r="B52" s="9672">
        <f>SUM(B38:B51)</f>
        <v>10</v>
      </c>
      <c r="C52" s="9630"/>
      <c r="D52" s="9619">
        <f>SUM(D38:D51)</f>
        <v>1191156</v>
      </c>
      <c r="E52" s="9619">
        <f>SUM(E38:E51)</f>
        <v>1838496</v>
      </c>
      <c r="F52" s="7221">
        <f>SUM(F38:F51)</f>
        <v>2263548</v>
      </c>
    </row>
    <row r="53" spans="1:6" ht="6.9" customHeight="1" thickBot="1">
      <c r="A53" s="7207"/>
      <c r="B53" s="9673"/>
      <c r="C53" s="9673"/>
      <c r="D53" s="7224"/>
      <c r="E53" s="7224"/>
      <c r="F53" s="7225"/>
    </row>
    <row r="54" spans="1:6" ht="12.9" customHeight="1" thickBot="1">
      <c r="A54" s="10422" t="s">
        <v>1114</v>
      </c>
      <c r="B54" s="10725">
        <f>B52+B36</f>
        <v>26</v>
      </c>
      <c r="C54" s="10414"/>
      <c r="D54" s="10419">
        <f>D52+D36</f>
        <v>3924816</v>
      </c>
      <c r="E54" s="10419">
        <f>E52+E36</f>
        <v>5421204</v>
      </c>
      <c r="F54" s="10420">
        <f>F52+F36</f>
        <v>6775764</v>
      </c>
    </row>
    <row r="55" spans="1:6" ht="12.9" customHeight="1">
      <c r="A55" s="7209" t="s">
        <v>1075</v>
      </c>
      <c r="B55" s="9614"/>
      <c r="C55" s="9615"/>
      <c r="D55" s="9621"/>
      <c r="E55" s="9621"/>
      <c r="F55" s="10400"/>
    </row>
    <row r="56" spans="1:6" ht="12.9" customHeight="1">
      <c r="A56" s="7209" t="s">
        <v>1115</v>
      </c>
      <c r="B56" s="9614"/>
      <c r="C56" s="9615"/>
      <c r="D56" s="9621"/>
      <c r="E56" s="9621"/>
      <c r="F56" s="10400"/>
    </row>
    <row r="57" spans="1:6" ht="12.9" customHeight="1">
      <c r="A57" s="7207" t="s">
        <v>1116</v>
      </c>
      <c r="B57" s="9614">
        <v>5</v>
      </c>
      <c r="C57" s="9615"/>
      <c r="D57" s="9621"/>
      <c r="E57" s="9621"/>
      <c r="F57" s="10400"/>
    </row>
    <row r="58" spans="1:6" ht="12.9" customHeight="1">
      <c r="A58" s="7207" t="s">
        <v>1117</v>
      </c>
      <c r="B58" s="9614"/>
      <c r="C58" s="9615"/>
      <c r="D58" s="9621"/>
      <c r="E58" s="9621"/>
      <c r="F58" s="10400"/>
    </row>
    <row r="59" spans="1:6" ht="12.9" customHeight="1">
      <c r="A59" s="7207" t="s">
        <v>1118</v>
      </c>
      <c r="B59" s="9614"/>
      <c r="C59" s="9615"/>
      <c r="D59" s="9621"/>
      <c r="E59" s="9621"/>
      <c r="F59" s="10400"/>
    </row>
    <row r="60" spans="1:6" ht="12.9" customHeight="1">
      <c r="A60" s="7207" t="s">
        <v>11276</v>
      </c>
      <c r="B60" s="9614">
        <v>1</v>
      </c>
      <c r="C60" s="9615"/>
      <c r="D60" s="9621"/>
      <c r="E60" s="9621"/>
      <c r="F60" s="10400"/>
    </row>
    <row r="61" spans="1:6" ht="3.9" customHeight="1">
      <c r="A61" s="7207"/>
      <c r="B61" s="9614"/>
      <c r="C61" s="9615"/>
      <c r="D61" s="9621"/>
      <c r="E61" s="9621"/>
      <c r="F61" s="10400"/>
    </row>
    <row r="62" spans="1:6" ht="12.9" customHeight="1">
      <c r="A62" s="7207" t="s">
        <v>1080</v>
      </c>
      <c r="B62" s="9614"/>
      <c r="C62" s="9615"/>
      <c r="D62" s="9621"/>
      <c r="E62" s="9621"/>
      <c r="F62" s="10400"/>
    </row>
    <row r="63" spans="1:6" ht="12.9" customHeight="1">
      <c r="A63" s="7207" t="s">
        <v>1119</v>
      </c>
      <c r="B63" s="9614"/>
      <c r="C63" s="9615"/>
      <c r="D63" s="9621"/>
      <c r="E63" s="9621"/>
      <c r="F63" s="10400"/>
    </row>
    <row r="64" spans="1:6" ht="12.9" customHeight="1">
      <c r="A64" s="7207" t="s">
        <v>9235</v>
      </c>
      <c r="B64" s="9614"/>
      <c r="C64" s="9615"/>
      <c r="D64" s="9621"/>
      <c r="E64" s="9621"/>
      <c r="F64" s="10400"/>
    </row>
    <row r="65" spans="1:6" ht="12.9" customHeight="1">
      <c r="A65" s="7229" t="s">
        <v>1083</v>
      </c>
      <c r="B65" s="9630"/>
      <c r="C65" s="9631"/>
      <c r="D65" s="9622"/>
      <c r="E65" s="9622"/>
      <c r="F65" s="10747"/>
    </row>
    <row r="66" spans="1:6" ht="12.9" customHeight="1">
      <c r="A66" s="7207"/>
      <c r="B66" s="9614"/>
      <c r="C66" s="9615"/>
      <c r="D66" s="9621"/>
      <c r="E66" s="9621"/>
      <c r="F66" s="10400"/>
    </row>
    <row r="67" spans="1:6" ht="12.9" customHeight="1" thickBot="1">
      <c r="A67" s="7207" t="s">
        <v>1123</v>
      </c>
      <c r="B67" s="9614"/>
      <c r="C67" s="9615"/>
      <c r="D67" s="9621"/>
      <c r="E67" s="9621"/>
      <c r="F67" s="10400"/>
    </row>
    <row r="68" spans="1:6" ht="8.4" customHeight="1">
      <c r="A68" s="9715"/>
      <c r="B68" s="10716"/>
      <c r="C68" s="9624"/>
      <c r="D68" s="9775"/>
      <c r="E68" s="9775"/>
      <c r="F68" s="10749"/>
    </row>
    <row r="69" spans="1:6" ht="12.9" customHeight="1">
      <c r="A69" s="7209" t="s">
        <v>1086</v>
      </c>
      <c r="B69" s="9614"/>
      <c r="C69" s="9615"/>
      <c r="D69" s="9621"/>
      <c r="E69" s="9621"/>
      <c r="F69" s="10400"/>
    </row>
    <row r="70" spans="1:6" ht="8.4" customHeight="1" thickBot="1">
      <c r="A70" s="9709"/>
      <c r="B70" s="9634"/>
      <c r="C70" s="9634"/>
      <c r="D70" s="9634"/>
      <c r="E70" s="9634"/>
      <c r="F70" s="9753"/>
    </row>
  </sheetData>
  <mergeCells count="3">
    <mergeCell ref="A3:F3"/>
    <mergeCell ref="D5:F5"/>
    <mergeCell ref="A1:F1"/>
  </mergeCells>
  <pageMargins left="0.25" right="0.25" top="0.5" bottom="0.5" header="0.3" footer="0.3"/>
  <pageSetup paperSize="119" firstPageNumber="56" orientation="portrait" useFirstPageNumber="1" r:id="rId1"/>
  <headerFooter alignWithMargins="0"/>
</worksheet>
</file>

<file path=xl/worksheets/sheet36.xml><?xml version="1.0" encoding="utf-8"?>
<worksheet xmlns="http://schemas.openxmlformats.org/spreadsheetml/2006/main" xmlns:r="http://schemas.openxmlformats.org/officeDocument/2006/relationships">
  <sheetPr codeName="Sheet27">
    <tabColor rgb="FFFFFF00"/>
  </sheetPr>
  <dimension ref="A1:G143"/>
  <sheetViews>
    <sheetView showGridLines="0" topLeftCell="C135" workbookViewId="0">
      <selection activeCell="H135" sqref="H1:AB1048576"/>
    </sheetView>
  </sheetViews>
  <sheetFormatPr defaultRowHeight="13.2"/>
  <cols>
    <col min="1" max="1" width="4.88671875" style="1628" customWidth="1"/>
    <col min="2" max="2" width="27.44140625" style="1625" customWidth="1"/>
    <col min="3" max="3" width="11" style="1626" customWidth="1"/>
    <col min="4" max="4" width="20.88671875" style="1649" customWidth="1"/>
    <col min="5" max="5" width="21.109375" style="1629" customWidth="1"/>
    <col min="6" max="6" width="6.88671875" style="1629" customWidth="1"/>
    <col min="7" max="7" width="6.44140625" style="1629" customWidth="1"/>
    <col min="8" max="235" width="9.109375" style="1629"/>
    <col min="236" max="236" width="4.88671875" style="1629" customWidth="1"/>
    <col min="237" max="237" width="18.44140625" style="1629" customWidth="1"/>
    <col min="238" max="238" width="11.109375" style="1629" customWidth="1"/>
    <col min="239" max="239" width="14.109375" style="1629" customWidth="1"/>
    <col min="240" max="240" width="9.109375" style="1629"/>
    <col min="241" max="241" width="5.44140625" style="1629" customWidth="1"/>
    <col min="242" max="242" width="6.44140625" style="1629" customWidth="1"/>
    <col min="243" max="243" width="7.109375" style="1629" customWidth="1"/>
    <col min="244" max="244" width="8.44140625" style="1629" customWidth="1"/>
    <col min="245" max="245" width="7.44140625" style="1629" customWidth="1"/>
    <col min="246" max="246" width="7" style="1629" customWidth="1"/>
    <col min="247" max="491" width="9.109375" style="1629"/>
    <col min="492" max="492" width="4.88671875" style="1629" customWidth="1"/>
    <col min="493" max="493" width="18.44140625" style="1629" customWidth="1"/>
    <col min="494" max="494" width="11.109375" style="1629" customWidth="1"/>
    <col min="495" max="495" width="14.109375" style="1629" customWidth="1"/>
    <col min="496" max="496" width="9.109375" style="1629"/>
    <col min="497" max="497" width="5.44140625" style="1629" customWidth="1"/>
    <col min="498" max="498" width="6.44140625" style="1629" customWidth="1"/>
    <col min="499" max="499" width="7.109375" style="1629" customWidth="1"/>
    <col min="500" max="500" width="8.44140625" style="1629" customWidth="1"/>
    <col min="501" max="501" width="7.44140625" style="1629" customWidth="1"/>
    <col min="502" max="502" width="7" style="1629" customWidth="1"/>
    <col min="503" max="747" width="9.109375" style="1629"/>
    <col min="748" max="748" width="4.88671875" style="1629" customWidth="1"/>
    <col min="749" max="749" width="18.44140625" style="1629" customWidth="1"/>
    <col min="750" max="750" width="11.109375" style="1629" customWidth="1"/>
    <col min="751" max="751" width="14.109375" style="1629" customWidth="1"/>
    <col min="752" max="752" width="9.109375" style="1629"/>
    <col min="753" max="753" width="5.44140625" style="1629" customWidth="1"/>
    <col min="754" max="754" width="6.44140625" style="1629" customWidth="1"/>
    <col min="755" max="755" width="7.109375" style="1629" customWidth="1"/>
    <col min="756" max="756" width="8.44140625" style="1629" customWidth="1"/>
    <col min="757" max="757" width="7.44140625" style="1629" customWidth="1"/>
    <col min="758" max="758" width="7" style="1629" customWidth="1"/>
    <col min="759" max="1003" width="9.109375" style="1629"/>
    <col min="1004" max="1004" width="4.88671875" style="1629" customWidth="1"/>
    <col min="1005" max="1005" width="18.44140625" style="1629" customWidth="1"/>
    <col min="1006" max="1006" width="11.109375" style="1629" customWidth="1"/>
    <col min="1007" max="1007" width="14.109375" style="1629" customWidth="1"/>
    <col min="1008" max="1008" width="9.109375" style="1629"/>
    <col min="1009" max="1009" width="5.44140625" style="1629" customWidth="1"/>
    <col min="1010" max="1010" width="6.44140625" style="1629" customWidth="1"/>
    <col min="1011" max="1011" width="7.109375" style="1629" customWidth="1"/>
    <col min="1012" max="1012" width="8.44140625" style="1629" customWidth="1"/>
    <col min="1013" max="1013" width="7.44140625" style="1629" customWidth="1"/>
    <col min="1014" max="1014" width="7" style="1629" customWidth="1"/>
    <col min="1015" max="1259" width="9.109375" style="1629"/>
    <col min="1260" max="1260" width="4.88671875" style="1629" customWidth="1"/>
    <col min="1261" max="1261" width="18.44140625" style="1629" customWidth="1"/>
    <col min="1262" max="1262" width="11.109375" style="1629" customWidth="1"/>
    <col min="1263" max="1263" width="14.109375" style="1629" customWidth="1"/>
    <col min="1264" max="1264" width="9.109375" style="1629"/>
    <col min="1265" max="1265" width="5.44140625" style="1629" customWidth="1"/>
    <col min="1266" max="1266" width="6.44140625" style="1629" customWidth="1"/>
    <col min="1267" max="1267" width="7.109375" style="1629" customWidth="1"/>
    <col min="1268" max="1268" width="8.44140625" style="1629" customWidth="1"/>
    <col min="1269" max="1269" width="7.44140625" style="1629" customWidth="1"/>
    <col min="1270" max="1270" width="7" style="1629" customWidth="1"/>
    <col min="1271" max="1515" width="9.109375" style="1629"/>
    <col min="1516" max="1516" width="4.88671875" style="1629" customWidth="1"/>
    <col min="1517" max="1517" width="18.44140625" style="1629" customWidth="1"/>
    <col min="1518" max="1518" width="11.109375" style="1629" customWidth="1"/>
    <col min="1519" max="1519" width="14.109375" style="1629" customWidth="1"/>
    <col min="1520" max="1520" width="9.109375" style="1629"/>
    <col min="1521" max="1521" width="5.44140625" style="1629" customWidth="1"/>
    <col min="1522" max="1522" width="6.44140625" style="1629" customWidth="1"/>
    <col min="1523" max="1523" width="7.109375" style="1629" customWidth="1"/>
    <col min="1524" max="1524" width="8.44140625" style="1629" customWidth="1"/>
    <col min="1525" max="1525" width="7.44140625" style="1629" customWidth="1"/>
    <col min="1526" max="1526" width="7" style="1629" customWidth="1"/>
    <col min="1527" max="1771" width="9.109375" style="1629"/>
    <col min="1772" max="1772" width="4.88671875" style="1629" customWidth="1"/>
    <col min="1773" max="1773" width="18.44140625" style="1629" customWidth="1"/>
    <col min="1774" max="1774" width="11.109375" style="1629" customWidth="1"/>
    <col min="1775" max="1775" width="14.109375" style="1629" customWidth="1"/>
    <col min="1776" max="1776" width="9.109375" style="1629"/>
    <col min="1777" max="1777" width="5.44140625" style="1629" customWidth="1"/>
    <col min="1778" max="1778" width="6.44140625" style="1629" customWidth="1"/>
    <col min="1779" max="1779" width="7.109375" style="1629" customWidth="1"/>
    <col min="1780" max="1780" width="8.44140625" style="1629" customWidth="1"/>
    <col min="1781" max="1781" width="7.44140625" style="1629" customWidth="1"/>
    <col min="1782" max="1782" width="7" style="1629" customWidth="1"/>
    <col min="1783" max="2027" width="9.109375" style="1629"/>
    <col min="2028" max="2028" width="4.88671875" style="1629" customWidth="1"/>
    <col min="2029" max="2029" width="18.44140625" style="1629" customWidth="1"/>
    <col min="2030" max="2030" width="11.109375" style="1629" customWidth="1"/>
    <col min="2031" max="2031" width="14.109375" style="1629" customWidth="1"/>
    <col min="2032" max="2032" width="9.109375" style="1629"/>
    <col min="2033" max="2033" width="5.44140625" style="1629" customWidth="1"/>
    <col min="2034" max="2034" width="6.44140625" style="1629" customWidth="1"/>
    <col min="2035" max="2035" width="7.109375" style="1629" customWidth="1"/>
    <col min="2036" max="2036" width="8.44140625" style="1629" customWidth="1"/>
    <col min="2037" max="2037" width="7.44140625" style="1629" customWidth="1"/>
    <col min="2038" max="2038" width="7" style="1629" customWidth="1"/>
    <col min="2039" max="2283" width="9.109375" style="1629"/>
    <col min="2284" max="2284" width="4.88671875" style="1629" customWidth="1"/>
    <col min="2285" max="2285" width="18.44140625" style="1629" customWidth="1"/>
    <col min="2286" max="2286" width="11.109375" style="1629" customWidth="1"/>
    <col min="2287" max="2287" width="14.109375" style="1629" customWidth="1"/>
    <col min="2288" max="2288" width="9.109375" style="1629"/>
    <col min="2289" max="2289" width="5.44140625" style="1629" customWidth="1"/>
    <col min="2290" max="2290" width="6.44140625" style="1629" customWidth="1"/>
    <col min="2291" max="2291" width="7.109375" style="1629" customWidth="1"/>
    <col min="2292" max="2292" width="8.44140625" style="1629" customWidth="1"/>
    <col min="2293" max="2293" width="7.44140625" style="1629" customWidth="1"/>
    <col min="2294" max="2294" width="7" style="1629" customWidth="1"/>
    <col min="2295" max="2539" width="9.109375" style="1629"/>
    <col min="2540" max="2540" width="4.88671875" style="1629" customWidth="1"/>
    <col min="2541" max="2541" width="18.44140625" style="1629" customWidth="1"/>
    <col min="2542" max="2542" width="11.109375" style="1629" customWidth="1"/>
    <col min="2543" max="2543" width="14.109375" style="1629" customWidth="1"/>
    <col min="2544" max="2544" width="9.109375" style="1629"/>
    <col min="2545" max="2545" width="5.44140625" style="1629" customWidth="1"/>
    <col min="2546" max="2546" width="6.44140625" style="1629" customWidth="1"/>
    <col min="2547" max="2547" width="7.109375" style="1629" customWidth="1"/>
    <col min="2548" max="2548" width="8.44140625" style="1629" customWidth="1"/>
    <col min="2549" max="2549" width="7.44140625" style="1629" customWidth="1"/>
    <col min="2550" max="2550" width="7" style="1629" customWidth="1"/>
    <col min="2551" max="2795" width="9.109375" style="1629"/>
    <col min="2796" max="2796" width="4.88671875" style="1629" customWidth="1"/>
    <col min="2797" max="2797" width="18.44140625" style="1629" customWidth="1"/>
    <col min="2798" max="2798" width="11.109375" style="1629" customWidth="1"/>
    <col min="2799" max="2799" width="14.109375" style="1629" customWidth="1"/>
    <col min="2800" max="2800" width="9.109375" style="1629"/>
    <col min="2801" max="2801" width="5.44140625" style="1629" customWidth="1"/>
    <col min="2802" max="2802" width="6.44140625" style="1629" customWidth="1"/>
    <col min="2803" max="2803" width="7.109375" style="1629" customWidth="1"/>
    <col min="2804" max="2804" width="8.44140625" style="1629" customWidth="1"/>
    <col min="2805" max="2805" width="7.44140625" style="1629" customWidth="1"/>
    <col min="2806" max="2806" width="7" style="1629" customWidth="1"/>
    <col min="2807" max="3051" width="9.109375" style="1629"/>
    <col min="3052" max="3052" width="4.88671875" style="1629" customWidth="1"/>
    <col min="3053" max="3053" width="18.44140625" style="1629" customWidth="1"/>
    <col min="3054" max="3054" width="11.109375" style="1629" customWidth="1"/>
    <col min="3055" max="3055" width="14.109375" style="1629" customWidth="1"/>
    <col min="3056" max="3056" width="9.109375" style="1629"/>
    <col min="3057" max="3057" width="5.44140625" style="1629" customWidth="1"/>
    <col min="3058" max="3058" width="6.44140625" style="1629" customWidth="1"/>
    <col min="3059" max="3059" width="7.109375" style="1629" customWidth="1"/>
    <col min="3060" max="3060" width="8.44140625" style="1629" customWidth="1"/>
    <col min="3061" max="3061" width="7.44140625" style="1629" customWidth="1"/>
    <col min="3062" max="3062" width="7" style="1629" customWidth="1"/>
    <col min="3063" max="3307" width="9.109375" style="1629"/>
    <col min="3308" max="3308" width="4.88671875" style="1629" customWidth="1"/>
    <col min="3309" max="3309" width="18.44140625" style="1629" customWidth="1"/>
    <col min="3310" max="3310" width="11.109375" style="1629" customWidth="1"/>
    <col min="3311" max="3311" width="14.109375" style="1629" customWidth="1"/>
    <col min="3312" max="3312" width="9.109375" style="1629"/>
    <col min="3313" max="3313" width="5.44140625" style="1629" customWidth="1"/>
    <col min="3314" max="3314" width="6.44140625" style="1629" customWidth="1"/>
    <col min="3315" max="3315" width="7.109375" style="1629" customWidth="1"/>
    <col min="3316" max="3316" width="8.44140625" style="1629" customWidth="1"/>
    <col min="3317" max="3317" width="7.44140625" style="1629" customWidth="1"/>
    <col min="3318" max="3318" width="7" style="1629" customWidth="1"/>
    <col min="3319" max="3563" width="9.109375" style="1629"/>
    <col min="3564" max="3564" width="4.88671875" style="1629" customWidth="1"/>
    <col min="3565" max="3565" width="18.44140625" style="1629" customWidth="1"/>
    <col min="3566" max="3566" width="11.109375" style="1629" customWidth="1"/>
    <col min="3567" max="3567" width="14.109375" style="1629" customWidth="1"/>
    <col min="3568" max="3568" width="9.109375" style="1629"/>
    <col min="3569" max="3569" width="5.44140625" style="1629" customWidth="1"/>
    <col min="3570" max="3570" width="6.44140625" style="1629" customWidth="1"/>
    <col min="3571" max="3571" width="7.109375" style="1629" customWidth="1"/>
    <col min="3572" max="3572" width="8.44140625" style="1629" customWidth="1"/>
    <col min="3573" max="3573" width="7.44140625" style="1629" customWidth="1"/>
    <col min="3574" max="3574" width="7" style="1629" customWidth="1"/>
    <col min="3575" max="3819" width="9.109375" style="1629"/>
    <col min="3820" max="3820" width="4.88671875" style="1629" customWidth="1"/>
    <col min="3821" max="3821" width="18.44140625" style="1629" customWidth="1"/>
    <col min="3822" max="3822" width="11.109375" style="1629" customWidth="1"/>
    <col min="3823" max="3823" width="14.109375" style="1629" customWidth="1"/>
    <col min="3824" max="3824" width="9.109375" style="1629"/>
    <col min="3825" max="3825" width="5.44140625" style="1629" customWidth="1"/>
    <col min="3826" max="3826" width="6.44140625" style="1629" customWidth="1"/>
    <col min="3827" max="3827" width="7.109375" style="1629" customWidth="1"/>
    <col min="3828" max="3828" width="8.44140625" style="1629" customWidth="1"/>
    <col min="3829" max="3829" width="7.44140625" style="1629" customWidth="1"/>
    <col min="3830" max="3830" width="7" style="1629" customWidth="1"/>
    <col min="3831" max="4075" width="9.109375" style="1629"/>
    <col min="4076" max="4076" width="4.88671875" style="1629" customWidth="1"/>
    <col min="4077" max="4077" width="18.44140625" style="1629" customWidth="1"/>
    <col min="4078" max="4078" width="11.109375" style="1629" customWidth="1"/>
    <col min="4079" max="4079" width="14.109375" style="1629" customWidth="1"/>
    <col min="4080" max="4080" width="9.109375" style="1629"/>
    <col min="4081" max="4081" width="5.44140625" style="1629" customWidth="1"/>
    <col min="4082" max="4082" width="6.44140625" style="1629" customWidth="1"/>
    <col min="4083" max="4083" width="7.109375" style="1629" customWidth="1"/>
    <col min="4084" max="4084" width="8.44140625" style="1629" customWidth="1"/>
    <col min="4085" max="4085" width="7.44140625" style="1629" customWidth="1"/>
    <col min="4086" max="4086" width="7" style="1629" customWidth="1"/>
    <col min="4087" max="4331" width="9.109375" style="1629"/>
    <col min="4332" max="4332" width="4.88671875" style="1629" customWidth="1"/>
    <col min="4333" max="4333" width="18.44140625" style="1629" customWidth="1"/>
    <col min="4334" max="4334" width="11.109375" style="1629" customWidth="1"/>
    <col min="4335" max="4335" width="14.109375" style="1629" customWidth="1"/>
    <col min="4336" max="4336" width="9.109375" style="1629"/>
    <col min="4337" max="4337" width="5.44140625" style="1629" customWidth="1"/>
    <col min="4338" max="4338" width="6.44140625" style="1629" customWidth="1"/>
    <col min="4339" max="4339" width="7.109375" style="1629" customWidth="1"/>
    <col min="4340" max="4340" width="8.44140625" style="1629" customWidth="1"/>
    <col min="4341" max="4341" width="7.44140625" style="1629" customWidth="1"/>
    <col min="4342" max="4342" width="7" style="1629" customWidth="1"/>
    <col min="4343" max="4587" width="9.109375" style="1629"/>
    <col min="4588" max="4588" width="4.88671875" style="1629" customWidth="1"/>
    <col min="4589" max="4589" width="18.44140625" style="1629" customWidth="1"/>
    <col min="4590" max="4590" width="11.109375" style="1629" customWidth="1"/>
    <col min="4591" max="4591" width="14.109375" style="1629" customWidth="1"/>
    <col min="4592" max="4592" width="9.109375" style="1629"/>
    <col min="4593" max="4593" width="5.44140625" style="1629" customWidth="1"/>
    <col min="4594" max="4594" width="6.44140625" style="1629" customWidth="1"/>
    <col min="4595" max="4595" width="7.109375" style="1629" customWidth="1"/>
    <col min="4596" max="4596" width="8.44140625" style="1629" customWidth="1"/>
    <col min="4597" max="4597" width="7.44140625" style="1629" customWidth="1"/>
    <col min="4598" max="4598" width="7" style="1629" customWidth="1"/>
    <col min="4599" max="4843" width="9.109375" style="1629"/>
    <col min="4844" max="4844" width="4.88671875" style="1629" customWidth="1"/>
    <col min="4845" max="4845" width="18.44140625" style="1629" customWidth="1"/>
    <col min="4846" max="4846" width="11.109375" style="1629" customWidth="1"/>
    <col min="4847" max="4847" width="14.109375" style="1629" customWidth="1"/>
    <col min="4848" max="4848" width="9.109375" style="1629"/>
    <col min="4849" max="4849" width="5.44140625" style="1629" customWidth="1"/>
    <col min="4850" max="4850" width="6.44140625" style="1629" customWidth="1"/>
    <col min="4851" max="4851" width="7.109375" style="1629" customWidth="1"/>
    <col min="4852" max="4852" width="8.44140625" style="1629" customWidth="1"/>
    <col min="4853" max="4853" width="7.44140625" style="1629" customWidth="1"/>
    <col min="4854" max="4854" width="7" style="1629" customWidth="1"/>
    <col min="4855" max="5099" width="9.109375" style="1629"/>
    <col min="5100" max="5100" width="4.88671875" style="1629" customWidth="1"/>
    <col min="5101" max="5101" width="18.44140625" style="1629" customWidth="1"/>
    <col min="5102" max="5102" width="11.109375" style="1629" customWidth="1"/>
    <col min="5103" max="5103" width="14.109375" style="1629" customWidth="1"/>
    <col min="5104" max="5104" width="9.109375" style="1629"/>
    <col min="5105" max="5105" width="5.44140625" style="1629" customWidth="1"/>
    <col min="5106" max="5106" width="6.44140625" style="1629" customWidth="1"/>
    <col min="5107" max="5107" width="7.109375" style="1629" customWidth="1"/>
    <col min="5108" max="5108" width="8.44140625" style="1629" customWidth="1"/>
    <col min="5109" max="5109" width="7.44140625" style="1629" customWidth="1"/>
    <col min="5110" max="5110" width="7" style="1629" customWidth="1"/>
    <col min="5111" max="5355" width="9.109375" style="1629"/>
    <col min="5356" max="5356" width="4.88671875" style="1629" customWidth="1"/>
    <col min="5357" max="5357" width="18.44140625" style="1629" customWidth="1"/>
    <col min="5358" max="5358" width="11.109375" style="1629" customWidth="1"/>
    <col min="5359" max="5359" width="14.109375" style="1629" customWidth="1"/>
    <col min="5360" max="5360" width="9.109375" style="1629"/>
    <col min="5361" max="5361" width="5.44140625" style="1629" customWidth="1"/>
    <col min="5362" max="5362" width="6.44140625" style="1629" customWidth="1"/>
    <col min="5363" max="5363" width="7.109375" style="1629" customWidth="1"/>
    <col min="5364" max="5364" width="8.44140625" style="1629" customWidth="1"/>
    <col min="5365" max="5365" width="7.44140625" style="1629" customWidth="1"/>
    <col min="5366" max="5366" width="7" style="1629" customWidth="1"/>
    <col min="5367" max="5611" width="9.109375" style="1629"/>
    <col min="5612" max="5612" width="4.88671875" style="1629" customWidth="1"/>
    <col min="5613" max="5613" width="18.44140625" style="1629" customWidth="1"/>
    <col min="5614" max="5614" width="11.109375" style="1629" customWidth="1"/>
    <col min="5615" max="5615" width="14.109375" style="1629" customWidth="1"/>
    <col min="5616" max="5616" width="9.109375" style="1629"/>
    <col min="5617" max="5617" width="5.44140625" style="1629" customWidth="1"/>
    <col min="5618" max="5618" width="6.44140625" style="1629" customWidth="1"/>
    <col min="5619" max="5619" width="7.109375" style="1629" customWidth="1"/>
    <col min="5620" max="5620" width="8.44140625" style="1629" customWidth="1"/>
    <col min="5621" max="5621" width="7.44140625" style="1629" customWidth="1"/>
    <col min="5622" max="5622" width="7" style="1629" customWidth="1"/>
    <col min="5623" max="5867" width="9.109375" style="1629"/>
    <col min="5868" max="5868" width="4.88671875" style="1629" customWidth="1"/>
    <col min="5869" max="5869" width="18.44140625" style="1629" customWidth="1"/>
    <col min="5870" max="5870" width="11.109375" style="1629" customWidth="1"/>
    <col min="5871" max="5871" width="14.109375" style="1629" customWidth="1"/>
    <col min="5872" max="5872" width="9.109375" style="1629"/>
    <col min="5873" max="5873" width="5.44140625" style="1629" customWidth="1"/>
    <col min="5874" max="5874" width="6.44140625" style="1629" customWidth="1"/>
    <col min="5875" max="5875" width="7.109375" style="1629" customWidth="1"/>
    <col min="5876" max="5876" width="8.44140625" style="1629" customWidth="1"/>
    <col min="5877" max="5877" width="7.44140625" style="1629" customWidth="1"/>
    <col min="5878" max="5878" width="7" style="1629" customWidth="1"/>
    <col min="5879" max="6123" width="9.109375" style="1629"/>
    <col min="6124" max="6124" width="4.88671875" style="1629" customWidth="1"/>
    <col min="6125" max="6125" width="18.44140625" style="1629" customWidth="1"/>
    <col min="6126" max="6126" width="11.109375" style="1629" customWidth="1"/>
    <col min="6127" max="6127" width="14.109375" style="1629" customWidth="1"/>
    <col min="6128" max="6128" width="9.109375" style="1629"/>
    <col min="6129" max="6129" width="5.44140625" style="1629" customWidth="1"/>
    <col min="6130" max="6130" width="6.44140625" style="1629" customWidth="1"/>
    <col min="6131" max="6131" width="7.109375" style="1629" customWidth="1"/>
    <col min="6132" max="6132" width="8.44140625" style="1629" customWidth="1"/>
    <col min="6133" max="6133" width="7.44140625" style="1629" customWidth="1"/>
    <col min="6134" max="6134" width="7" style="1629" customWidth="1"/>
    <col min="6135" max="6379" width="9.109375" style="1629"/>
    <col min="6380" max="6380" width="4.88671875" style="1629" customWidth="1"/>
    <col min="6381" max="6381" width="18.44140625" style="1629" customWidth="1"/>
    <col min="6382" max="6382" width="11.109375" style="1629" customWidth="1"/>
    <col min="6383" max="6383" width="14.109375" style="1629" customWidth="1"/>
    <col min="6384" max="6384" width="9.109375" style="1629"/>
    <col min="6385" max="6385" width="5.44140625" style="1629" customWidth="1"/>
    <col min="6386" max="6386" width="6.44140625" style="1629" customWidth="1"/>
    <col min="6387" max="6387" width="7.109375" style="1629" customWidth="1"/>
    <col min="6388" max="6388" width="8.44140625" style="1629" customWidth="1"/>
    <col min="6389" max="6389" width="7.44140625" style="1629" customWidth="1"/>
    <col min="6390" max="6390" width="7" style="1629" customWidth="1"/>
    <col min="6391" max="6635" width="9.109375" style="1629"/>
    <col min="6636" max="6636" width="4.88671875" style="1629" customWidth="1"/>
    <col min="6637" max="6637" width="18.44140625" style="1629" customWidth="1"/>
    <col min="6638" max="6638" width="11.109375" style="1629" customWidth="1"/>
    <col min="6639" max="6639" width="14.109375" style="1629" customWidth="1"/>
    <col min="6640" max="6640" width="9.109375" style="1629"/>
    <col min="6641" max="6641" width="5.44140625" style="1629" customWidth="1"/>
    <col min="6642" max="6642" width="6.44140625" style="1629" customWidth="1"/>
    <col min="6643" max="6643" width="7.109375" style="1629" customWidth="1"/>
    <col min="6644" max="6644" width="8.44140625" style="1629" customWidth="1"/>
    <col min="6645" max="6645" width="7.44140625" style="1629" customWidth="1"/>
    <col min="6646" max="6646" width="7" style="1629" customWidth="1"/>
    <col min="6647" max="6891" width="9.109375" style="1629"/>
    <col min="6892" max="6892" width="4.88671875" style="1629" customWidth="1"/>
    <col min="6893" max="6893" width="18.44140625" style="1629" customWidth="1"/>
    <col min="6894" max="6894" width="11.109375" style="1629" customWidth="1"/>
    <col min="6895" max="6895" width="14.109375" style="1629" customWidth="1"/>
    <col min="6896" max="6896" width="9.109375" style="1629"/>
    <col min="6897" max="6897" width="5.44140625" style="1629" customWidth="1"/>
    <col min="6898" max="6898" width="6.44140625" style="1629" customWidth="1"/>
    <col min="6899" max="6899" width="7.109375" style="1629" customWidth="1"/>
    <col min="6900" max="6900" width="8.44140625" style="1629" customWidth="1"/>
    <col min="6901" max="6901" width="7.44140625" style="1629" customWidth="1"/>
    <col min="6902" max="6902" width="7" style="1629" customWidth="1"/>
    <col min="6903" max="7147" width="9.109375" style="1629"/>
    <col min="7148" max="7148" width="4.88671875" style="1629" customWidth="1"/>
    <col min="7149" max="7149" width="18.44140625" style="1629" customWidth="1"/>
    <col min="7150" max="7150" width="11.109375" style="1629" customWidth="1"/>
    <col min="7151" max="7151" width="14.109375" style="1629" customWidth="1"/>
    <col min="7152" max="7152" width="9.109375" style="1629"/>
    <col min="7153" max="7153" width="5.44140625" style="1629" customWidth="1"/>
    <col min="7154" max="7154" width="6.44140625" style="1629" customWidth="1"/>
    <col min="7155" max="7155" width="7.109375" style="1629" customWidth="1"/>
    <col min="7156" max="7156" width="8.44140625" style="1629" customWidth="1"/>
    <col min="7157" max="7157" width="7.44140625" style="1629" customWidth="1"/>
    <col min="7158" max="7158" width="7" style="1629" customWidth="1"/>
    <col min="7159" max="7403" width="9.109375" style="1629"/>
    <col min="7404" max="7404" width="4.88671875" style="1629" customWidth="1"/>
    <col min="7405" max="7405" width="18.44140625" style="1629" customWidth="1"/>
    <col min="7406" max="7406" width="11.109375" style="1629" customWidth="1"/>
    <col min="7407" max="7407" width="14.109375" style="1629" customWidth="1"/>
    <col min="7408" max="7408" width="9.109375" style="1629"/>
    <col min="7409" max="7409" width="5.44140625" style="1629" customWidth="1"/>
    <col min="7410" max="7410" width="6.44140625" style="1629" customWidth="1"/>
    <col min="7411" max="7411" width="7.109375" style="1629" customWidth="1"/>
    <col min="7412" max="7412" width="8.44140625" style="1629" customWidth="1"/>
    <col min="7413" max="7413" width="7.44140625" style="1629" customWidth="1"/>
    <col min="7414" max="7414" width="7" style="1629" customWidth="1"/>
    <col min="7415" max="7659" width="9.109375" style="1629"/>
    <col min="7660" max="7660" width="4.88671875" style="1629" customWidth="1"/>
    <col min="7661" max="7661" width="18.44140625" style="1629" customWidth="1"/>
    <col min="7662" max="7662" width="11.109375" style="1629" customWidth="1"/>
    <col min="7663" max="7663" width="14.109375" style="1629" customWidth="1"/>
    <col min="7664" max="7664" width="9.109375" style="1629"/>
    <col min="7665" max="7665" width="5.44140625" style="1629" customWidth="1"/>
    <col min="7666" max="7666" width="6.44140625" style="1629" customWidth="1"/>
    <col min="7667" max="7667" width="7.109375" style="1629" customWidth="1"/>
    <col min="7668" max="7668" width="8.44140625" style="1629" customWidth="1"/>
    <col min="7669" max="7669" width="7.44140625" style="1629" customWidth="1"/>
    <col min="7670" max="7670" width="7" style="1629" customWidth="1"/>
    <col min="7671" max="7915" width="9.109375" style="1629"/>
    <col min="7916" max="7916" width="4.88671875" style="1629" customWidth="1"/>
    <col min="7917" max="7917" width="18.44140625" style="1629" customWidth="1"/>
    <col min="7918" max="7918" width="11.109375" style="1629" customWidth="1"/>
    <col min="7919" max="7919" width="14.109375" style="1629" customWidth="1"/>
    <col min="7920" max="7920" width="9.109375" style="1629"/>
    <col min="7921" max="7921" width="5.44140625" style="1629" customWidth="1"/>
    <col min="7922" max="7922" width="6.44140625" style="1629" customWidth="1"/>
    <col min="7923" max="7923" width="7.109375" style="1629" customWidth="1"/>
    <col min="7924" max="7924" width="8.44140625" style="1629" customWidth="1"/>
    <col min="7925" max="7925" width="7.44140625" style="1629" customWidth="1"/>
    <col min="7926" max="7926" width="7" style="1629" customWidth="1"/>
    <col min="7927" max="8171" width="9.109375" style="1629"/>
    <col min="8172" max="8172" width="4.88671875" style="1629" customWidth="1"/>
    <col min="8173" max="8173" width="18.44140625" style="1629" customWidth="1"/>
    <col min="8174" max="8174" width="11.109375" style="1629" customWidth="1"/>
    <col min="8175" max="8175" width="14.109375" style="1629" customWidth="1"/>
    <col min="8176" max="8176" width="9.109375" style="1629"/>
    <col min="8177" max="8177" width="5.44140625" style="1629" customWidth="1"/>
    <col min="8178" max="8178" width="6.44140625" style="1629" customWidth="1"/>
    <col min="8179" max="8179" width="7.109375" style="1629" customWidth="1"/>
    <col min="8180" max="8180" width="8.44140625" style="1629" customWidth="1"/>
    <col min="8181" max="8181" width="7.44140625" style="1629" customWidth="1"/>
    <col min="8182" max="8182" width="7" style="1629" customWidth="1"/>
    <col min="8183" max="8427" width="9.109375" style="1629"/>
    <col min="8428" max="8428" width="4.88671875" style="1629" customWidth="1"/>
    <col min="8429" max="8429" width="18.44140625" style="1629" customWidth="1"/>
    <col min="8430" max="8430" width="11.109375" style="1629" customWidth="1"/>
    <col min="8431" max="8431" width="14.109375" style="1629" customWidth="1"/>
    <col min="8432" max="8432" width="9.109375" style="1629"/>
    <col min="8433" max="8433" width="5.44140625" style="1629" customWidth="1"/>
    <col min="8434" max="8434" width="6.44140625" style="1629" customWidth="1"/>
    <col min="8435" max="8435" width="7.109375" style="1629" customWidth="1"/>
    <col min="8436" max="8436" width="8.44140625" style="1629" customWidth="1"/>
    <col min="8437" max="8437" width="7.44140625" style="1629" customWidth="1"/>
    <col min="8438" max="8438" width="7" style="1629" customWidth="1"/>
    <col min="8439" max="8683" width="9.109375" style="1629"/>
    <col min="8684" max="8684" width="4.88671875" style="1629" customWidth="1"/>
    <col min="8685" max="8685" width="18.44140625" style="1629" customWidth="1"/>
    <col min="8686" max="8686" width="11.109375" style="1629" customWidth="1"/>
    <col min="8687" max="8687" width="14.109375" style="1629" customWidth="1"/>
    <col min="8688" max="8688" width="9.109375" style="1629"/>
    <col min="8689" max="8689" width="5.44140625" style="1629" customWidth="1"/>
    <col min="8690" max="8690" width="6.44140625" style="1629" customWidth="1"/>
    <col min="8691" max="8691" width="7.109375" style="1629" customWidth="1"/>
    <col min="8692" max="8692" width="8.44140625" style="1629" customWidth="1"/>
    <col min="8693" max="8693" width="7.44140625" style="1629" customWidth="1"/>
    <col min="8694" max="8694" width="7" style="1629" customWidth="1"/>
    <col min="8695" max="8939" width="9.109375" style="1629"/>
    <col min="8940" max="8940" width="4.88671875" style="1629" customWidth="1"/>
    <col min="8941" max="8941" width="18.44140625" style="1629" customWidth="1"/>
    <col min="8942" max="8942" width="11.109375" style="1629" customWidth="1"/>
    <col min="8943" max="8943" width="14.109375" style="1629" customWidth="1"/>
    <col min="8944" max="8944" width="9.109375" style="1629"/>
    <col min="8945" max="8945" width="5.44140625" style="1629" customWidth="1"/>
    <col min="8946" max="8946" width="6.44140625" style="1629" customWidth="1"/>
    <col min="8947" max="8947" width="7.109375" style="1629" customWidth="1"/>
    <col min="8948" max="8948" width="8.44140625" style="1629" customWidth="1"/>
    <col min="8949" max="8949" width="7.44140625" style="1629" customWidth="1"/>
    <col min="8950" max="8950" width="7" style="1629" customWidth="1"/>
    <col min="8951" max="9195" width="9.109375" style="1629"/>
    <col min="9196" max="9196" width="4.88671875" style="1629" customWidth="1"/>
    <col min="9197" max="9197" width="18.44140625" style="1629" customWidth="1"/>
    <col min="9198" max="9198" width="11.109375" style="1629" customWidth="1"/>
    <col min="9199" max="9199" width="14.109375" style="1629" customWidth="1"/>
    <col min="9200" max="9200" width="9.109375" style="1629"/>
    <col min="9201" max="9201" width="5.44140625" style="1629" customWidth="1"/>
    <col min="9202" max="9202" width="6.44140625" style="1629" customWidth="1"/>
    <col min="9203" max="9203" width="7.109375" style="1629" customWidth="1"/>
    <col min="9204" max="9204" width="8.44140625" style="1629" customWidth="1"/>
    <col min="9205" max="9205" width="7.44140625" style="1629" customWidth="1"/>
    <col min="9206" max="9206" width="7" style="1629" customWidth="1"/>
    <col min="9207" max="9451" width="9.109375" style="1629"/>
    <col min="9452" max="9452" width="4.88671875" style="1629" customWidth="1"/>
    <col min="9453" max="9453" width="18.44140625" style="1629" customWidth="1"/>
    <col min="9454" max="9454" width="11.109375" style="1629" customWidth="1"/>
    <col min="9455" max="9455" width="14.109375" style="1629" customWidth="1"/>
    <col min="9456" max="9456" width="9.109375" style="1629"/>
    <col min="9457" max="9457" width="5.44140625" style="1629" customWidth="1"/>
    <col min="9458" max="9458" width="6.44140625" style="1629" customWidth="1"/>
    <col min="9459" max="9459" width="7.109375" style="1629" customWidth="1"/>
    <col min="9460" max="9460" width="8.44140625" style="1629" customWidth="1"/>
    <col min="9461" max="9461" width="7.44140625" style="1629" customWidth="1"/>
    <col min="9462" max="9462" width="7" style="1629" customWidth="1"/>
    <col min="9463" max="9707" width="9.109375" style="1629"/>
    <col min="9708" max="9708" width="4.88671875" style="1629" customWidth="1"/>
    <col min="9709" max="9709" width="18.44140625" style="1629" customWidth="1"/>
    <col min="9710" max="9710" width="11.109375" style="1629" customWidth="1"/>
    <col min="9711" max="9711" width="14.109375" style="1629" customWidth="1"/>
    <col min="9712" max="9712" width="9.109375" style="1629"/>
    <col min="9713" max="9713" width="5.44140625" style="1629" customWidth="1"/>
    <col min="9714" max="9714" width="6.44140625" style="1629" customWidth="1"/>
    <col min="9715" max="9715" width="7.109375" style="1629" customWidth="1"/>
    <col min="9716" max="9716" width="8.44140625" style="1629" customWidth="1"/>
    <col min="9717" max="9717" width="7.44140625" style="1629" customWidth="1"/>
    <col min="9718" max="9718" width="7" style="1629" customWidth="1"/>
    <col min="9719" max="9963" width="9.109375" style="1629"/>
    <col min="9964" max="9964" width="4.88671875" style="1629" customWidth="1"/>
    <col min="9965" max="9965" width="18.44140625" style="1629" customWidth="1"/>
    <col min="9966" max="9966" width="11.109375" style="1629" customWidth="1"/>
    <col min="9967" max="9967" width="14.109375" style="1629" customWidth="1"/>
    <col min="9968" max="9968" width="9.109375" style="1629"/>
    <col min="9969" max="9969" width="5.44140625" style="1629" customWidth="1"/>
    <col min="9970" max="9970" width="6.44140625" style="1629" customWidth="1"/>
    <col min="9971" max="9971" width="7.109375" style="1629" customWidth="1"/>
    <col min="9972" max="9972" width="8.44140625" style="1629" customWidth="1"/>
    <col min="9973" max="9973" width="7.44140625" style="1629" customWidth="1"/>
    <col min="9974" max="9974" width="7" style="1629" customWidth="1"/>
    <col min="9975" max="10219" width="9.109375" style="1629"/>
    <col min="10220" max="10220" width="4.88671875" style="1629" customWidth="1"/>
    <col min="10221" max="10221" width="18.44140625" style="1629" customWidth="1"/>
    <col min="10222" max="10222" width="11.109375" style="1629" customWidth="1"/>
    <col min="10223" max="10223" width="14.109375" style="1629" customWidth="1"/>
    <col min="10224" max="10224" width="9.109375" style="1629"/>
    <col min="10225" max="10225" width="5.44140625" style="1629" customWidth="1"/>
    <col min="10226" max="10226" width="6.44140625" style="1629" customWidth="1"/>
    <col min="10227" max="10227" width="7.109375" style="1629" customWidth="1"/>
    <col min="10228" max="10228" width="8.44140625" style="1629" customWidth="1"/>
    <col min="10229" max="10229" width="7.44140625" style="1629" customWidth="1"/>
    <col min="10230" max="10230" width="7" style="1629" customWidth="1"/>
    <col min="10231" max="10475" width="9.109375" style="1629"/>
    <col min="10476" max="10476" width="4.88671875" style="1629" customWidth="1"/>
    <col min="10477" max="10477" width="18.44140625" style="1629" customWidth="1"/>
    <col min="10478" max="10478" width="11.109375" style="1629" customWidth="1"/>
    <col min="10479" max="10479" width="14.109375" style="1629" customWidth="1"/>
    <col min="10480" max="10480" width="9.109375" style="1629"/>
    <col min="10481" max="10481" width="5.44140625" style="1629" customWidth="1"/>
    <col min="10482" max="10482" width="6.44140625" style="1629" customWidth="1"/>
    <col min="10483" max="10483" width="7.109375" style="1629" customWidth="1"/>
    <col min="10484" max="10484" width="8.44140625" style="1629" customWidth="1"/>
    <col min="10485" max="10485" width="7.44140625" style="1629" customWidth="1"/>
    <col min="10486" max="10486" width="7" style="1629" customWidth="1"/>
    <col min="10487" max="10731" width="9.109375" style="1629"/>
    <col min="10732" max="10732" width="4.88671875" style="1629" customWidth="1"/>
    <col min="10733" max="10733" width="18.44140625" style="1629" customWidth="1"/>
    <col min="10734" max="10734" width="11.109375" style="1629" customWidth="1"/>
    <col min="10735" max="10735" width="14.109375" style="1629" customWidth="1"/>
    <col min="10736" max="10736" width="9.109375" style="1629"/>
    <col min="10737" max="10737" width="5.44140625" style="1629" customWidth="1"/>
    <col min="10738" max="10738" width="6.44140625" style="1629" customWidth="1"/>
    <col min="10739" max="10739" width="7.109375" style="1629" customWidth="1"/>
    <col min="10740" max="10740" width="8.44140625" style="1629" customWidth="1"/>
    <col min="10741" max="10741" width="7.44140625" style="1629" customWidth="1"/>
    <col min="10742" max="10742" width="7" style="1629" customWidth="1"/>
    <col min="10743" max="10987" width="9.109375" style="1629"/>
    <col min="10988" max="10988" width="4.88671875" style="1629" customWidth="1"/>
    <col min="10989" max="10989" width="18.44140625" style="1629" customWidth="1"/>
    <col min="10990" max="10990" width="11.109375" style="1629" customWidth="1"/>
    <col min="10991" max="10991" width="14.109375" style="1629" customWidth="1"/>
    <col min="10992" max="10992" width="9.109375" style="1629"/>
    <col min="10993" max="10993" width="5.44140625" style="1629" customWidth="1"/>
    <col min="10994" max="10994" width="6.44140625" style="1629" customWidth="1"/>
    <col min="10995" max="10995" width="7.109375" style="1629" customWidth="1"/>
    <col min="10996" max="10996" width="8.44140625" style="1629" customWidth="1"/>
    <col min="10997" max="10997" width="7.44140625" style="1629" customWidth="1"/>
    <col min="10998" max="10998" width="7" style="1629" customWidth="1"/>
    <col min="10999" max="11243" width="9.109375" style="1629"/>
    <col min="11244" max="11244" width="4.88671875" style="1629" customWidth="1"/>
    <col min="11245" max="11245" width="18.44140625" style="1629" customWidth="1"/>
    <col min="11246" max="11246" width="11.109375" style="1629" customWidth="1"/>
    <col min="11247" max="11247" width="14.109375" style="1629" customWidth="1"/>
    <col min="11248" max="11248" width="9.109375" style="1629"/>
    <col min="11249" max="11249" width="5.44140625" style="1629" customWidth="1"/>
    <col min="11250" max="11250" width="6.44140625" style="1629" customWidth="1"/>
    <col min="11251" max="11251" width="7.109375" style="1629" customWidth="1"/>
    <col min="11252" max="11252" width="8.44140625" style="1629" customWidth="1"/>
    <col min="11253" max="11253" width="7.44140625" style="1629" customWidth="1"/>
    <col min="11254" max="11254" width="7" style="1629" customWidth="1"/>
    <col min="11255" max="11499" width="9.109375" style="1629"/>
    <col min="11500" max="11500" width="4.88671875" style="1629" customWidth="1"/>
    <col min="11501" max="11501" width="18.44140625" style="1629" customWidth="1"/>
    <col min="11502" max="11502" width="11.109375" style="1629" customWidth="1"/>
    <col min="11503" max="11503" width="14.109375" style="1629" customWidth="1"/>
    <col min="11504" max="11504" width="9.109375" style="1629"/>
    <col min="11505" max="11505" width="5.44140625" style="1629" customWidth="1"/>
    <col min="11506" max="11506" width="6.44140625" style="1629" customWidth="1"/>
    <col min="11507" max="11507" width="7.109375" style="1629" customWidth="1"/>
    <col min="11508" max="11508" width="8.44140625" style="1629" customWidth="1"/>
    <col min="11509" max="11509" width="7.44140625" style="1629" customWidth="1"/>
    <col min="11510" max="11510" width="7" style="1629" customWidth="1"/>
    <col min="11511" max="11755" width="9.109375" style="1629"/>
    <col min="11756" max="11756" width="4.88671875" style="1629" customWidth="1"/>
    <col min="11757" max="11757" width="18.44140625" style="1629" customWidth="1"/>
    <col min="11758" max="11758" width="11.109375" style="1629" customWidth="1"/>
    <col min="11759" max="11759" width="14.109375" style="1629" customWidth="1"/>
    <col min="11760" max="11760" width="9.109375" style="1629"/>
    <col min="11761" max="11761" width="5.44140625" style="1629" customWidth="1"/>
    <col min="11762" max="11762" width="6.44140625" style="1629" customWidth="1"/>
    <col min="11763" max="11763" width="7.109375" style="1629" customWidth="1"/>
    <col min="11764" max="11764" width="8.44140625" style="1629" customWidth="1"/>
    <col min="11765" max="11765" width="7.44140625" style="1629" customWidth="1"/>
    <col min="11766" max="11766" width="7" style="1629" customWidth="1"/>
    <col min="11767" max="12011" width="9.109375" style="1629"/>
    <col min="12012" max="12012" width="4.88671875" style="1629" customWidth="1"/>
    <col min="12013" max="12013" width="18.44140625" style="1629" customWidth="1"/>
    <col min="12014" max="12014" width="11.109375" style="1629" customWidth="1"/>
    <col min="12015" max="12015" width="14.109375" style="1629" customWidth="1"/>
    <col min="12016" max="12016" width="9.109375" style="1629"/>
    <col min="12017" max="12017" width="5.44140625" style="1629" customWidth="1"/>
    <col min="12018" max="12018" width="6.44140625" style="1629" customWidth="1"/>
    <col min="12019" max="12019" width="7.109375" style="1629" customWidth="1"/>
    <col min="12020" max="12020" width="8.44140625" style="1629" customWidth="1"/>
    <col min="12021" max="12021" width="7.44140625" style="1629" customWidth="1"/>
    <col min="12022" max="12022" width="7" style="1629" customWidth="1"/>
    <col min="12023" max="12267" width="9.109375" style="1629"/>
    <col min="12268" max="12268" width="4.88671875" style="1629" customWidth="1"/>
    <col min="12269" max="12269" width="18.44140625" style="1629" customWidth="1"/>
    <col min="12270" max="12270" width="11.109375" style="1629" customWidth="1"/>
    <col min="12271" max="12271" width="14.109375" style="1629" customWidth="1"/>
    <col min="12272" max="12272" width="9.109375" style="1629"/>
    <col min="12273" max="12273" width="5.44140625" style="1629" customWidth="1"/>
    <col min="12274" max="12274" width="6.44140625" style="1629" customWidth="1"/>
    <col min="12275" max="12275" width="7.109375" style="1629" customWidth="1"/>
    <col min="12276" max="12276" width="8.44140625" style="1629" customWidth="1"/>
    <col min="12277" max="12277" width="7.44140625" style="1629" customWidth="1"/>
    <col min="12278" max="12278" width="7" style="1629" customWidth="1"/>
    <col min="12279" max="12523" width="9.109375" style="1629"/>
    <col min="12524" max="12524" width="4.88671875" style="1629" customWidth="1"/>
    <col min="12525" max="12525" width="18.44140625" style="1629" customWidth="1"/>
    <col min="12526" max="12526" width="11.109375" style="1629" customWidth="1"/>
    <col min="12527" max="12527" width="14.109375" style="1629" customWidth="1"/>
    <col min="12528" max="12528" width="9.109375" style="1629"/>
    <col min="12529" max="12529" width="5.44140625" style="1629" customWidth="1"/>
    <col min="12530" max="12530" width="6.44140625" style="1629" customWidth="1"/>
    <col min="12531" max="12531" width="7.109375" style="1629" customWidth="1"/>
    <col min="12532" max="12532" width="8.44140625" style="1629" customWidth="1"/>
    <col min="12533" max="12533" width="7.44140625" style="1629" customWidth="1"/>
    <col min="12534" max="12534" width="7" style="1629" customWidth="1"/>
    <col min="12535" max="12779" width="9.109375" style="1629"/>
    <col min="12780" max="12780" width="4.88671875" style="1629" customWidth="1"/>
    <col min="12781" max="12781" width="18.44140625" style="1629" customWidth="1"/>
    <col min="12782" max="12782" width="11.109375" style="1629" customWidth="1"/>
    <col min="12783" max="12783" width="14.109375" style="1629" customWidth="1"/>
    <col min="12784" max="12784" width="9.109375" style="1629"/>
    <col min="12785" max="12785" width="5.44140625" style="1629" customWidth="1"/>
    <col min="12786" max="12786" width="6.44140625" style="1629" customWidth="1"/>
    <col min="12787" max="12787" width="7.109375" style="1629" customWidth="1"/>
    <col min="12788" max="12788" width="8.44140625" style="1629" customWidth="1"/>
    <col min="12789" max="12789" width="7.44140625" style="1629" customWidth="1"/>
    <col min="12790" max="12790" width="7" style="1629" customWidth="1"/>
    <col min="12791" max="13035" width="9.109375" style="1629"/>
    <col min="13036" max="13036" width="4.88671875" style="1629" customWidth="1"/>
    <col min="13037" max="13037" width="18.44140625" style="1629" customWidth="1"/>
    <col min="13038" max="13038" width="11.109375" style="1629" customWidth="1"/>
    <col min="13039" max="13039" width="14.109375" style="1629" customWidth="1"/>
    <col min="13040" max="13040" width="9.109375" style="1629"/>
    <col min="13041" max="13041" width="5.44140625" style="1629" customWidth="1"/>
    <col min="13042" max="13042" width="6.44140625" style="1629" customWidth="1"/>
    <col min="13043" max="13043" width="7.109375" style="1629" customWidth="1"/>
    <col min="13044" max="13044" width="8.44140625" style="1629" customWidth="1"/>
    <col min="13045" max="13045" width="7.44140625" style="1629" customWidth="1"/>
    <col min="13046" max="13046" width="7" style="1629" customWidth="1"/>
    <col min="13047" max="13291" width="9.109375" style="1629"/>
    <col min="13292" max="13292" width="4.88671875" style="1629" customWidth="1"/>
    <col min="13293" max="13293" width="18.44140625" style="1629" customWidth="1"/>
    <col min="13294" max="13294" width="11.109375" style="1629" customWidth="1"/>
    <col min="13295" max="13295" width="14.109375" style="1629" customWidth="1"/>
    <col min="13296" max="13296" width="9.109375" style="1629"/>
    <col min="13297" max="13297" width="5.44140625" style="1629" customWidth="1"/>
    <col min="13298" max="13298" width="6.44140625" style="1629" customWidth="1"/>
    <col min="13299" max="13299" width="7.109375" style="1629" customWidth="1"/>
    <col min="13300" max="13300" width="8.44140625" style="1629" customWidth="1"/>
    <col min="13301" max="13301" width="7.44140625" style="1629" customWidth="1"/>
    <col min="13302" max="13302" width="7" style="1629" customWidth="1"/>
    <col min="13303" max="13547" width="9.109375" style="1629"/>
    <col min="13548" max="13548" width="4.88671875" style="1629" customWidth="1"/>
    <col min="13549" max="13549" width="18.44140625" style="1629" customWidth="1"/>
    <col min="13550" max="13550" width="11.109375" style="1629" customWidth="1"/>
    <col min="13551" max="13551" width="14.109375" style="1629" customWidth="1"/>
    <col min="13552" max="13552" width="9.109375" style="1629"/>
    <col min="13553" max="13553" width="5.44140625" style="1629" customWidth="1"/>
    <col min="13554" max="13554" width="6.44140625" style="1629" customWidth="1"/>
    <col min="13555" max="13555" width="7.109375" style="1629" customWidth="1"/>
    <col min="13556" max="13556" width="8.44140625" style="1629" customWidth="1"/>
    <col min="13557" max="13557" width="7.44140625" style="1629" customWidth="1"/>
    <col min="13558" max="13558" width="7" style="1629" customWidth="1"/>
    <col min="13559" max="13803" width="9.109375" style="1629"/>
    <col min="13804" max="13804" width="4.88671875" style="1629" customWidth="1"/>
    <col min="13805" max="13805" width="18.44140625" style="1629" customWidth="1"/>
    <col min="13806" max="13806" width="11.109375" style="1629" customWidth="1"/>
    <col min="13807" max="13807" width="14.109375" style="1629" customWidth="1"/>
    <col min="13808" max="13808" width="9.109375" style="1629"/>
    <col min="13809" max="13809" width="5.44140625" style="1629" customWidth="1"/>
    <col min="13810" max="13810" width="6.44140625" style="1629" customWidth="1"/>
    <col min="13811" max="13811" width="7.109375" style="1629" customWidth="1"/>
    <col min="13812" max="13812" width="8.44140625" style="1629" customWidth="1"/>
    <col min="13813" max="13813" width="7.44140625" style="1629" customWidth="1"/>
    <col min="13814" max="13814" width="7" style="1629" customWidth="1"/>
    <col min="13815" max="14059" width="9.109375" style="1629"/>
    <col min="14060" max="14060" width="4.88671875" style="1629" customWidth="1"/>
    <col min="14061" max="14061" width="18.44140625" style="1629" customWidth="1"/>
    <col min="14062" max="14062" width="11.109375" style="1629" customWidth="1"/>
    <col min="14063" max="14063" width="14.109375" style="1629" customWidth="1"/>
    <col min="14064" max="14064" width="9.109375" style="1629"/>
    <col min="14065" max="14065" width="5.44140625" style="1629" customWidth="1"/>
    <col min="14066" max="14066" width="6.44140625" style="1629" customWidth="1"/>
    <col min="14067" max="14067" width="7.109375" style="1629" customWidth="1"/>
    <col min="14068" max="14068" width="8.44140625" style="1629" customWidth="1"/>
    <col min="14069" max="14069" width="7.44140625" style="1629" customWidth="1"/>
    <col min="14070" max="14070" width="7" style="1629" customWidth="1"/>
    <col min="14071" max="14315" width="9.109375" style="1629"/>
    <col min="14316" max="14316" width="4.88671875" style="1629" customWidth="1"/>
    <col min="14317" max="14317" width="18.44140625" style="1629" customWidth="1"/>
    <col min="14318" max="14318" width="11.109375" style="1629" customWidth="1"/>
    <col min="14319" max="14319" width="14.109375" style="1629" customWidth="1"/>
    <col min="14320" max="14320" width="9.109375" style="1629"/>
    <col min="14321" max="14321" width="5.44140625" style="1629" customWidth="1"/>
    <col min="14322" max="14322" width="6.44140625" style="1629" customWidth="1"/>
    <col min="14323" max="14323" width="7.109375" style="1629" customWidth="1"/>
    <col min="14324" max="14324" width="8.44140625" style="1629" customWidth="1"/>
    <col min="14325" max="14325" width="7.44140625" style="1629" customWidth="1"/>
    <col min="14326" max="14326" width="7" style="1629" customWidth="1"/>
    <col min="14327" max="14571" width="9.109375" style="1629"/>
    <col min="14572" max="14572" width="4.88671875" style="1629" customWidth="1"/>
    <col min="14573" max="14573" width="18.44140625" style="1629" customWidth="1"/>
    <col min="14574" max="14574" width="11.109375" style="1629" customWidth="1"/>
    <col min="14575" max="14575" width="14.109375" style="1629" customWidth="1"/>
    <col min="14576" max="14576" width="9.109375" style="1629"/>
    <col min="14577" max="14577" width="5.44140625" style="1629" customWidth="1"/>
    <col min="14578" max="14578" width="6.44140625" style="1629" customWidth="1"/>
    <col min="14579" max="14579" width="7.109375" style="1629" customWidth="1"/>
    <col min="14580" max="14580" width="8.44140625" style="1629" customWidth="1"/>
    <col min="14581" max="14581" width="7.44140625" style="1629" customWidth="1"/>
    <col min="14582" max="14582" width="7" style="1629" customWidth="1"/>
    <col min="14583" max="14827" width="9.109375" style="1629"/>
    <col min="14828" max="14828" width="4.88671875" style="1629" customWidth="1"/>
    <col min="14829" max="14829" width="18.44140625" style="1629" customWidth="1"/>
    <col min="14830" max="14830" width="11.109375" style="1629" customWidth="1"/>
    <col min="14831" max="14831" width="14.109375" style="1629" customWidth="1"/>
    <col min="14832" max="14832" width="9.109375" style="1629"/>
    <col min="14833" max="14833" width="5.44140625" style="1629" customWidth="1"/>
    <col min="14834" max="14834" width="6.44140625" style="1629" customWidth="1"/>
    <col min="14835" max="14835" width="7.109375" style="1629" customWidth="1"/>
    <col min="14836" max="14836" width="8.44140625" style="1629" customWidth="1"/>
    <col min="14837" max="14837" width="7.44140625" style="1629" customWidth="1"/>
    <col min="14838" max="14838" width="7" style="1629" customWidth="1"/>
    <col min="14839" max="15083" width="9.109375" style="1629"/>
    <col min="15084" max="15084" width="4.88671875" style="1629" customWidth="1"/>
    <col min="15085" max="15085" width="18.44140625" style="1629" customWidth="1"/>
    <col min="15086" max="15086" width="11.109375" style="1629" customWidth="1"/>
    <col min="15087" max="15087" width="14.109375" style="1629" customWidth="1"/>
    <col min="15088" max="15088" width="9.109375" style="1629"/>
    <col min="15089" max="15089" width="5.44140625" style="1629" customWidth="1"/>
    <col min="15090" max="15090" width="6.44140625" style="1629" customWidth="1"/>
    <col min="15091" max="15091" width="7.109375" style="1629" customWidth="1"/>
    <col min="15092" max="15092" width="8.44140625" style="1629" customWidth="1"/>
    <col min="15093" max="15093" width="7.44140625" style="1629" customWidth="1"/>
    <col min="15094" max="15094" width="7" style="1629" customWidth="1"/>
    <col min="15095" max="15339" width="9.109375" style="1629"/>
    <col min="15340" max="15340" width="4.88671875" style="1629" customWidth="1"/>
    <col min="15341" max="15341" width="18.44140625" style="1629" customWidth="1"/>
    <col min="15342" max="15342" width="11.109375" style="1629" customWidth="1"/>
    <col min="15343" max="15343" width="14.109375" style="1629" customWidth="1"/>
    <col min="15344" max="15344" width="9.109375" style="1629"/>
    <col min="15345" max="15345" width="5.44140625" style="1629" customWidth="1"/>
    <col min="15346" max="15346" width="6.44140625" style="1629" customWidth="1"/>
    <col min="15347" max="15347" width="7.109375" style="1629" customWidth="1"/>
    <col min="15348" max="15348" width="8.44140625" style="1629" customWidth="1"/>
    <col min="15349" max="15349" width="7.44140625" style="1629" customWidth="1"/>
    <col min="15350" max="15350" width="7" style="1629" customWidth="1"/>
    <col min="15351" max="15595" width="9.109375" style="1629"/>
    <col min="15596" max="15596" width="4.88671875" style="1629" customWidth="1"/>
    <col min="15597" max="15597" width="18.44140625" style="1629" customWidth="1"/>
    <col min="15598" max="15598" width="11.109375" style="1629" customWidth="1"/>
    <col min="15599" max="15599" width="14.109375" style="1629" customWidth="1"/>
    <col min="15600" max="15600" width="9.109375" style="1629"/>
    <col min="15601" max="15601" width="5.44140625" style="1629" customWidth="1"/>
    <col min="15602" max="15602" width="6.44140625" style="1629" customWidth="1"/>
    <col min="15603" max="15603" width="7.109375" style="1629" customWidth="1"/>
    <col min="15604" max="15604" width="8.44140625" style="1629" customWidth="1"/>
    <col min="15605" max="15605" width="7.44140625" style="1629" customWidth="1"/>
    <col min="15606" max="15606" width="7" style="1629" customWidth="1"/>
    <col min="15607" max="15851" width="9.109375" style="1629"/>
    <col min="15852" max="15852" width="4.88671875" style="1629" customWidth="1"/>
    <col min="15853" max="15853" width="18.44140625" style="1629" customWidth="1"/>
    <col min="15854" max="15854" width="11.109375" style="1629" customWidth="1"/>
    <col min="15855" max="15855" width="14.109375" style="1629" customWidth="1"/>
    <col min="15856" max="15856" width="9.109375" style="1629"/>
    <col min="15857" max="15857" width="5.44140625" style="1629" customWidth="1"/>
    <col min="15858" max="15858" width="6.44140625" style="1629" customWidth="1"/>
    <col min="15859" max="15859" width="7.109375" style="1629" customWidth="1"/>
    <col min="15860" max="15860" width="8.44140625" style="1629" customWidth="1"/>
    <col min="15861" max="15861" width="7.44140625" style="1629" customWidth="1"/>
    <col min="15862" max="15862" width="7" style="1629" customWidth="1"/>
    <col min="15863" max="16107" width="9.109375" style="1629"/>
    <col min="16108" max="16108" width="4.88671875" style="1629" customWidth="1"/>
    <col min="16109" max="16109" width="18.44140625" style="1629" customWidth="1"/>
    <col min="16110" max="16110" width="11.109375" style="1629" customWidth="1"/>
    <col min="16111" max="16111" width="14.109375" style="1629" customWidth="1"/>
    <col min="16112" max="16112" width="9.109375" style="1629"/>
    <col min="16113" max="16113" width="5.44140625" style="1629" customWidth="1"/>
    <col min="16114" max="16114" width="6.44140625" style="1629" customWidth="1"/>
    <col min="16115" max="16115" width="7.109375" style="1629" customWidth="1"/>
    <col min="16116" max="16116" width="8.44140625" style="1629" customWidth="1"/>
    <col min="16117" max="16117" width="7.44140625" style="1629" customWidth="1"/>
    <col min="16118" max="16118" width="7" style="1629" customWidth="1"/>
    <col min="16119" max="16384" width="9.109375" style="1629"/>
  </cols>
  <sheetData>
    <row r="1" spans="1:7">
      <c r="A1" s="1624"/>
      <c r="D1" s="1627"/>
      <c r="E1" s="1625"/>
      <c r="F1" s="1625"/>
      <c r="G1" s="1625"/>
    </row>
    <row r="2" spans="1:7">
      <c r="A2" s="1624"/>
      <c r="D2" s="1627"/>
      <c r="E2" s="1625"/>
      <c r="F2" s="1625"/>
      <c r="G2" s="1625"/>
    </row>
    <row r="3" spans="1:7" s="1631" customFormat="1" ht="15.6">
      <c r="A3" s="14359" t="s">
        <v>1801</v>
      </c>
      <c r="B3" s="14359"/>
      <c r="C3" s="14359"/>
      <c r="D3" s="14359"/>
      <c r="E3" s="14359"/>
      <c r="F3" s="14359"/>
      <c r="G3" s="14359"/>
    </row>
    <row r="4" spans="1:7">
      <c r="A4" s="1624"/>
      <c r="D4" s="1627"/>
      <c r="E4" s="1625"/>
      <c r="F4" s="1625"/>
      <c r="G4" s="1625"/>
    </row>
    <row r="5" spans="1:7" s="1634" customFormat="1" ht="15.6">
      <c r="A5" s="14375" t="s">
        <v>734</v>
      </c>
      <c r="B5" s="14375"/>
      <c r="C5" s="1632" t="s">
        <v>1469</v>
      </c>
      <c r="D5" s="1633"/>
      <c r="E5" s="1633"/>
      <c r="F5" s="1633"/>
    </row>
    <row r="6" spans="1:7" s="1631" customFormat="1" ht="15.6">
      <c r="A6" s="14375" t="s">
        <v>12</v>
      </c>
      <c r="B6" s="14375"/>
      <c r="C6" s="1635">
        <v>2014</v>
      </c>
      <c r="D6" s="1636"/>
      <c r="E6" s="1630"/>
      <c r="F6" s="1630"/>
      <c r="G6" s="1630"/>
    </row>
    <row r="7" spans="1:7" s="1631" customFormat="1" ht="15.6">
      <c r="A7" s="14375" t="s">
        <v>1986</v>
      </c>
      <c r="B7" s="14375"/>
      <c r="C7" s="1637" t="s">
        <v>8</v>
      </c>
      <c r="D7" s="1636"/>
      <c r="E7" s="1630"/>
      <c r="F7" s="1630"/>
      <c r="G7" s="1630"/>
    </row>
    <row r="8" spans="1:7">
      <c r="A8" s="1624"/>
      <c r="D8" s="1627"/>
      <c r="E8" s="1625"/>
      <c r="F8" s="1625"/>
      <c r="G8" s="1625"/>
    </row>
    <row r="9" spans="1:7" s="1631" customFormat="1" ht="15" customHeight="1">
      <c r="A9" s="14376" t="s">
        <v>1987</v>
      </c>
      <c r="B9" s="14376"/>
      <c r="C9" s="14376"/>
      <c r="D9" s="14376"/>
      <c r="E9" s="14376"/>
      <c r="F9" s="14376"/>
      <c r="G9" s="14376"/>
    </row>
    <row r="10" spans="1:7">
      <c r="A10" s="14360"/>
      <c r="B10" s="14360"/>
      <c r="C10" s="14360"/>
      <c r="D10" s="14360"/>
      <c r="E10" s="14360"/>
      <c r="F10" s="14360"/>
      <c r="G10" s="14360"/>
    </row>
    <row r="11" spans="1:7" ht="50.25" customHeight="1">
      <c r="A11" s="14377" t="s">
        <v>6371</v>
      </c>
      <c r="B11" s="14377"/>
      <c r="C11" s="14377"/>
      <c r="D11" s="14377"/>
      <c r="E11" s="14377"/>
      <c r="F11" s="14377"/>
      <c r="G11" s="14377"/>
    </row>
    <row r="12" spans="1:7">
      <c r="A12" s="14360"/>
      <c r="B12" s="14360"/>
      <c r="C12" s="14360"/>
      <c r="D12" s="14360"/>
      <c r="E12" s="14360"/>
      <c r="F12" s="14360"/>
      <c r="G12" s="14360"/>
    </row>
    <row r="13" spans="1:7" s="1639" customFormat="1" ht="15" customHeight="1">
      <c r="A13" s="14362" t="s">
        <v>1753</v>
      </c>
      <c r="B13" s="14362"/>
      <c r="C13" s="14361"/>
      <c r="D13" s="14361"/>
      <c r="E13" s="14361"/>
      <c r="F13" s="14361"/>
      <c r="G13" s="14361"/>
    </row>
    <row r="14" spans="1:7">
      <c r="A14" s="14360"/>
      <c r="B14" s="14360"/>
      <c r="C14" s="14360"/>
      <c r="D14" s="14360"/>
      <c r="E14" s="14360"/>
      <c r="F14" s="14360"/>
      <c r="G14" s="14360"/>
    </row>
    <row r="15" spans="1:7" s="2248" customFormat="1" ht="15" customHeight="1">
      <c r="A15" s="3227" t="s">
        <v>6372</v>
      </c>
      <c r="B15" s="3228" t="s">
        <v>6373</v>
      </c>
      <c r="C15" s="1641"/>
      <c r="D15" s="1642"/>
      <c r="E15" s="1640"/>
      <c r="F15" s="1640"/>
      <c r="G15" s="1640"/>
    </row>
    <row r="16" spans="1:7" s="2248" customFormat="1" ht="15" customHeight="1">
      <c r="A16" s="3227" t="s">
        <v>6372</v>
      </c>
      <c r="B16" s="3228" t="s">
        <v>6374</v>
      </c>
      <c r="C16" s="1641"/>
      <c r="D16" s="1642"/>
      <c r="E16" s="1640"/>
      <c r="F16" s="1640"/>
      <c r="G16" s="1640"/>
    </row>
    <row r="17" spans="1:7" s="2248" customFormat="1" ht="15" customHeight="1">
      <c r="A17" s="3227" t="s">
        <v>6372</v>
      </c>
      <c r="B17" s="3228" t="s">
        <v>6375</v>
      </c>
      <c r="C17" s="1641"/>
      <c r="D17" s="1642"/>
      <c r="E17" s="1640"/>
      <c r="F17" s="1640"/>
      <c r="G17" s="1640"/>
    </row>
    <row r="18" spans="1:7" s="2248" customFormat="1" ht="15" customHeight="1">
      <c r="A18" s="3227" t="s">
        <v>6372</v>
      </c>
      <c r="B18" s="3228" t="s">
        <v>1985</v>
      </c>
      <c r="C18" s="1641"/>
      <c r="D18" s="1642"/>
      <c r="E18" s="1640"/>
      <c r="F18" s="1640"/>
      <c r="G18" s="1640"/>
    </row>
    <row r="19" spans="1:7" s="2248" customFormat="1" ht="29.25" customHeight="1">
      <c r="A19" s="3227" t="s">
        <v>6372</v>
      </c>
      <c r="B19" s="14374" t="s">
        <v>6376</v>
      </c>
      <c r="C19" s="14374"/>
      <c r="D19" s="14374"/>
      <c r="E19" s="14374"/>
      <c r="F19" s="14374"/>
      <c r="G19" s="14374"/>
    </row>
    <row r="20" spans="1:7" s="2248" customFormat="1" ht="18.75" customHeight="1">
      <c r="A20" s="3227" t="s">
        <v>6372</v>
      </c>
      <c r="B20" s="3228" t="s">
        <v>6377</v>
      </c>
      <c r="C20" s="1638"/>
      <c r="D20" s="1638"/>
      <c r="E20" s="1638"/>
      <c r="F20" s="1638"/>
      <c r="G20" s="1638"/>
    </row>
    <row r="21" spans="1:7" s="2248" customFormat="1" ht="30.75" customHeight="1">
      <c r="A21" s="3227" t="s">
        <v>6372</v>
      </c>
      <c r="B21" s="14373" t="s">
        <v>1984</v>
      </c>
      <c r="C21" s="14373"/>
      <c r="D21" s="14373"/>
      <c r="E21" s="14373"/>
      <c r="F21" s="14373"/>
      <c r="G21" s="14373"/>
    </row>
    <row r="22" spans="1:7" s="2248" customFormat="1" ht="18" customHeight="1">
      <c r="A22" s="3227" t="s">
        <v>6372</v>
      </c>
      <c r="B22" s="3228" t="s">
        <v>1983</v>
      </c>
      <c r="C22" s="1638"/>
      <c r="D22" s="1638"/>
      <c r="E22" s="1638"/>
      <c r="F22" s="1638"/>
      <c r="G22" s="1638"/>
    </row>
    <row r="23" spans="1:7" s="2248" customFormat="1" ht="30.75" customHeight="1">
      <c r="A23" s="3227" t="s">
        <v>6372</v>
      </c>
      <c r="B23" s="14373" t="s">
        <v>6378</v>
      </c>
      <c r="C23" s="14373"/>
      <c r="D23" s="14373"/>
      <c r="E23" s="14373"/>
      <c r="F23" s="14373"/>
      <c r="G23" s="14373"/>
    </row>
    <row r="24" spans="1:7" s="2248" customFormat="1" ht="30.75" customHeight="1">
      <c r="A24" s="3227"/>
      <c r="B24" s="3229"/>
      <c r="C24" s="3229"/>
      <c r="D24" s="3229"/>
      <c r="E24" s="3229"/>
      <c r="F24" s="3229"/>
      <c r="G24" s="3229"/>
    </row>
    <row r="25" spans="1:7" s="1645" customFormat="1" ht="15" customHeight="1" thickBot="1">
      <c r="A25" s="1643" t="s">
        <v>1982</v>
      </c>
      <c r="B25" s="1643"/>
      <c r="C25" s="1644"/>
      <c r="D25" s="1643"/>
      <c r="E25" s="1643"/>
      <c r="F25" s="1643"/>
      <c r="G25" s="1643"/>
    </row>
    <row r="26" spans="1:7" ht="5.25" customHeight="1">
      <c r="A26" s="3230"/>
      <c r="B26" s="3231"/>
      <c r="C26" s="3231"/>
      <c r="D26" s="3231"/>
      <c r="E26" s="3231"/>
      <c r="F26" s="14369"/>
      <c r="G26" s="14370"/>
    </row>
    <row r="27" spans="1:7" ht="27" customHeight="1">
      <c r="A27" s="3232" t="s">
        <v>3821</v>
      </c>
      <c r="B27" s="3233" t="s">
        <v>3820</v>
      </c>
      <c r="C27" s="3233" t="s">
        <v>1736</v>
      </c>
      <c r="D27" s="3233" t="s">
        <v>1787</v>
      </c>
      <c r="E27" s="3233" t="s">
        <v>1764</v>
      </c>
      <c r="F27" s="14371" t="s">
        <v>6486</v>
      </c>
      <c r="G27" s="14372"/>
    </row>
    <row r="28" spans="1:7" s="2249" customFormat="1" ht="12.75" customHeight="1">
      <c r="A28" s="3234">
        <v>-1</v>
      </c>
      <c r="B28" s="3235">
        <v>-2</v>
      </c>
      <c r="C28" s="3235">
        <v>-3</v>
      </c>
      <c r="D28" s="3235">
        <v>-4</v>
      </c>
      <c r="E28" s="3235">
        <v>-5</v>
      </c>
      <c r="F28" s="14345">
        <v>-6</v>
      </c>
      <c r="G28" s="14346"/>
    </row>
    <row r="29" spans="1:7" ht="16.5" customHeight="1" thickBot="1">
      <c r="A29" s="1646"/>
      <c r="B29" s="3236"/>
      <c r="C29" s="3237"/>
      <c r="D29" s="3237"/>
      <c r="E29" s="3237"/>
      <c r="F29" s="3238" t="s">
        <v>1789</v>
      </c>
      <c r="G29" s="3236" t="s">
        <v>1790</v>
      </c>
    </row>
    <row r="30" spans="1:7" ht="14.4" thickBot="1">
      <c r="A30" s="3239"/>
      <c r="B30" s="3240" t="s">
        <v>3792</v>
      </c>
      <c r="C30" s="3316">
        <v>205000</v>
      </c>
      <c r="D30" s="3242"/>
      <c r="E30" s="3242"/>
      <c r="F30" s="3238"/>
      <c r="G30" s="3236"/>
    </row>
    <row r="31" spans="1:7" ht="42.75" customHeight="1">
      <c r="A31" s="14329"/>
      <c r="B31" s="14349" t="s">
        <v>6379</v>
      </c>
      <c r="C31" s="3320" t="s">
        <v>3791</v>
      </c>
      <c r="D31" s="3243" t="s">
        <v>6380</v>
      </c>
      <c r="E31" s="3243" t="s">
        <v>6380</v>
      </c>
      <c r="F31" s="14342" t="s">
        <v>6386</v>
      </c>
      <c r="G31" s="14347" t="s">
        <v>1819</v>
      </c>
    </row>
    <row r="32" spans="1:7" ht="27.6">
      <c r="A32" s="14324"/>
      <c r="B32" s="14350"/>
      <c r="C32" s="3318"/>
      <c r="D32" s="3243" t="s">
        <v>6381</v>
      </c>
      <c r="E32" s="3243" t="s">
        <v>6384</v>
      </c>
      <c r="F32" s="14343"/>
      <c r="G32" s="14355"/>
    </row>
    <row r="33" spans="1:7" ht="27.6">
      <c r="A33" s="14324"/>
      <c r="B33" s="14350"/>
      <c r="C33" s="3318"/>
      <c r="D33" s="3243" t="s">
        <v>6382</v>
      </c>
      <c r="E33" s="3243" t="s">
        <v>6385</v>
      </c>
      <c r="F33" s="14343"/>
      <c r="G33" s="14355"/>
    </row>
    <row r="34" spans="1:7" ht="41.4">
      <c r="A34" s="14324"/>
      <c r="B34" s="14350"/>
      <c r="C34" s="3318"/>
      <c r="D34" s="3243" t="s">
        <v>6383</v>
      </c>
      <c r="E34" s="2250"/>
      <c r="F34" s="14343"/>
      <c r="G34" s="14355"/>
    </row>
    <row r="35" spans="1:7" ht="15" thickBot="1">
      <c r="A35" s="14330"/>
      <c r="B35" s="14351"/>
      <c r="C35" s="3319"/>
      <c r="D35" s="3237"/>
      <c r="E35" s="1648"/>
      <c r="F35" s="14344"/>
      <c r="G35" s="14348"/>
    </row>
    <row r="36" spans="1:7" s="1647" customFormat="1" ht="14.25" customHeight="1">
      <c r="A36" s="14329"/>
      <c r="B36" s="14349" t="s">
        <v>6387</v>
      </c>
      <c r="C36" s="14352"/>
      <c r="D36" s="3243" t="s">
        <v>6388</v>
      </c>
      <c r="E36" s="3243" t="s">
        <v>6392</v>
      </c>
      <c r="F36" s="14342" t="s">
        <v>1808</v>
      </c>
      <c r="G36" s="14347" t="s">
        <v>1819</v>
      </c>
    </row>
    <row r="37" spans="1:7" s="1647" customFormat="1" ht="14.25" customHeight="1">
      <c r="A37" s="14324"/>
      <c r="B37" s="14350"/>
      <c r="C37" s="14353"/>
      <c r="D37" s="3243" t="s">
        <v>6389</v>
      </c>
      <c r="E37" s="3243" t="s">
        <v>6393</v>
      </c>
      <c r="F37" s="14343"/>
      <c r="G37" s="14355"/>
    </row>
    <row r="38" spans="1:7" s="1647" customFormat="1" ht="14.25" customHeight="1">
      <c r="A38" s="14324"/>
      <c r="B38" s="14350"/>
      <c r="C38" s="14353"/>
      <c r="D38" s="3244"/>
      <c r="E38" s="3244"/>
      <c r="F38" s="14343"/>
      <c r="G38" s="14355"/>
    </row>
    <row r="39" spans="1:7" s="1647" customFormat="1" ht="14.25" customHeight="1">
      <c r="A39" s="14324"/>
      <c r="B39" s="14350"/>
      <c r="C39" s="14353"/>
      <c r="D39" s="3243" t="s">
        <v>6390</v>
      </c>
      <c r="E39" s="3243" t="s">
        <v>6394</v>
      </c>
      <c r="F39" s="14343"/>
      <c r="G39" s="14355"/>
    </row>
    <row r="40" spans="1:7" s="1647" customFormat="1" ht="14.25" customHeight="1">
      <c r="A40" s="14324"/>
      <c r="B40" s="14350"/>
      <c r="C40" s="14353"/>
      <c r="D40" s="3243" t="s">
        <v>6391</v>
      </c>
      <c r="E40" s="3243" t="s">
        <v>6395</v>
      </c>
      <c r="F40" s="14343"/>
      <c r="G40" s="14355"/>
    </row>
    <row r="41" spans="1:7" s="1647" customFormat="1" ht="14.25" customHeight="1" thickBot="1">
      <c r="A41" s="14330"/>
      <c r="B41" s="14351"/>
      <c r="C41" s="14354"/>
      <c r="D41" s="3237"/>
      <c r="E41" s="1648"/>
      <c r="F41" s="14344"/>
      <c r="G41" s="14348"/>
    </row>
    <row r="42" spans="1:7" ht="25.5" customHeight="1">
      <c r="A42" s="14329"/>
      <c r="B42" s="14349" t="s">
        <v>6396</v>
      </c>
      <c r="C42" s="14367">
        <v>50000</v>
      </c>
      <c r="D42" s="14358" t="s">
        <v>6397</v>
      </c>
      <c r="E42" s="14358" t="s">
        <v>6398</v>
      </c>
      <c r="F42" s="14342" t="s">
        <v>1808</v>
      </c>
      <c r="G42" s="14347" t="s">
        <v>1819</v>
      </c>
    </row>
    <row r="43" spans="1:7" ht="27" customHeight="1" thickBot="1">
      <c r="A43" s="14330"/>
      <c r="B43" s="14351"/>
      <c r="C43" s="14368"/>
      <c r="D43" s="14357"/>
      <c r="E43" s="14357"/>
      <c r="F43" s="14344"/>
      <c r="G43" s="14348"/>
    </row>
    <row r="44" spans="1:7" ht="27" customHeight="1">
      <c r="A44" s="3294"/>
      <c r="B44" s="3295"/>
      <c r="C44" s="3296"/>
      <c r="D44" s="3297"/>
      <c r="E44" s="3297"/>
      <c r="F44" s="3298"/>
      <c r="G44" s="3298"/>
    </row>
    <row r="45" spans="1:7" ht="27" customHeight="1" thickBot="1">
      <c r="A45" s="3299"/>
      <c r="B45" s="3300"/>
      <c r="C45" s="3301"/>
      <c r="D45" s="3302"/>
      <c r="E45" s="3302"/>
      <c r="F45" s="3287"/>
      <c r="G45" s="3287"/>
    </row>
    <row r="46" spans="1:7" ht="5.25" customHeight="1">
      <c r="A46" s="3230"/>
      <c r="B46" s="3231"/>
      <c r="C46" s="3231"/>
      <c r="D46" s="3231"/>
      <c r="E46" s="3231"/>
      <c r="F46" s="14369"/>
      <c r="G46" s="14370"/>
    </row>
    <row r="47" spans="1:7" ht="27" customHeight="1">
      <c r="A47" s="3232" t="s">
        <v>3821</v>
      </c>
      <c r="B47" s="3233" t="s">
        <v>3820</v>
      </c>
      <c r="C47" s="3233" t="s">
        <v>1736</v>
      </c>
      <c r="D47" s="3233" t="s">
        <v>1787</v>
      </c>
      <c r="E47" s="3233" t="s">
        <v>1764</v>
      </c>
      <c r="F47" s="14371" t="s">
        <v>6486</v>
      </c>
      <c r="G47" s="14372"/>
    </row>
    <row r="48" spans="1:7" s="2249" customFormat="1" ht="12.75" customHeight="1">
      <c r="A48" s="3234">
        <v>-1</v>
      </c>
      <c r="B48" s="3235">
        <v>-2</v>
      </c>
      <c r="C48" s="3235">
        <v>-3</v>
      </c>
      <c r="D48" s="3235">
        <v>-4</v>
      </c>
      <c r="E48" s="3235">
        <v>-5</v>
      </c>
      <c r="F48" s="14345">
        <v>-6</v>
      </c>
      <c r="G48" s="14346"/>
    </row>
    <row r="49" spans="1:7" ht="16.5" customHeight="1" thickBot="1">
      <c r="A49" s="1646"/>
      <c r="B49" s="3236"/>
      <c r="C49" s="3237"/>
      <c r="D49" s="3237"/>
      <c r="E49" s="3237"/>
      <c r="F49" s="3238" t="s">
        <v>1789</v>
      </c>
      <c r="G49" s="3236" t="s">
        <v>1790</v>
      </c>
    </row>
    <row r="50" spans="1:7" ht="12.75" customHeight="1">
      <c r="A50" s="14324"/>
      <c r="B50" s="14350" t="s">
        <v>6399</v>
      </c>
      <c r="C50" s="14353"/>
      <c r="D50" s="14356" t="s">
        <v>6400</v>
      </c>
      <c r="E50" s="3243" t="s">
        <v>6401</v>
      </c>
      <c r="F50" s="14343" t="s">
        <v>1810</v>
      </c>
      <c r="G50" s="14355" t="s">
        <v>1748</v>
      </c>
    </row>
    <row r="51" spans="1:7" ht="21.75" customHeight="1" thickBot="1">
      <c r="A51" s="14330"/>
      <c r="B51" s="14351"/>
      <c r="C51" s="14354"/>
      <c r="D51" s="14357"/>
      <c r="E51" s="3246" t="s">
        <v>6402</v>
      </c>
      <c r="F51" s="14344"/>
      <c r="G51" s="14348"/>
    </row>
    <row r="52" spans="1:7" ht="55.8" thickBot="1">
      <c r="A52" s="3239"/>
      <c r="B52" s="3247" t="s">
        <v>6403</v>
      </c>
      <c r="C52" s="3248"/>
      <c r="D52" s="3246" t="s">
        <v>6404</v>
      </c>
      <c r="E52" s="3246" t="s">
        <v>6405</v>
      </c>
      <c r="F52" s="3249" t="s">
        <v>1746</v>
      </c>
      <c r="G52" s="3250" t="s">
        <v>1744</v>
      </c>
    </row>
    <row r="53" spans="1:7" ht="37.5" customHeight="1">
      <c r="A53" s="14329"/>
      <c r="B53" s="14349" t="s">
        <v>6406</v>
      </c>
      <c r="C53" s="14352"/>
      <c r="D53" s="14358" t="s">
        <v>6407</v>
      </c>
      <c r="E53" s="14358" t="s">
        <v>6408</v>
      </c>
      <c r="F53" s="14342" t="s">
        <v>1808</v>
      </c>
      <c r="G53" s="14347" t="s">
        <v>1819</v>
      </c>
    </row>
    <row r="54" spans="1:7" ht="13.8" thickBot="1">
      <c r="A54" s="14330"/>
      <c r="B54" s="14351"/>
      <c r="C54" s="14354"/>
      <c r="D54" s="14357"/>
      <c r="E54" s="14357"/>
      <c r="F54" s="14344"/>
      <c r="G54" s="14348"/>
    </row>
    <row r="55" spans="1:7" ht="14.4" thickBot="1">
      <c r="A55" s="3239"/>
      <c r="B55" s="3240" t="s">
        <v>3793</v>
      </c>
      <c r="C55" s="3316">
        <v>345000</v>
      </c>
      <c r="D55" s="3242"/>
      <c r="E55" s="3242"/>
      <c r="F55" s="3251"/>
      <c r="G55" s="3252"/>
    </row>
    <row r="56" spans="1:7" ht="42" thickBot="1">
      <c r="A56" s="3239"/>
      <c r="B56" s="3253" t="s">
        <v>6409</v>
      </c>
      <c r="C56" s="3317" t="s">
        <v>9259</v>
      </c>
      <c r="D56" s="3253" t="s">
        <v>6410</v>
      </c>
      <c r="E56" s="3253" t="s">
        <v>6411</v>
      </c>
      <c r="F56" s="3249" t="s">
        <v>6412</v>
      </c>
      <c r="G56" s="3250" t="s">
        <v>6413</v>
      </c>
    </row>
    <row r="57" spans="1:7" ht="42" thickBot="1">
      <c r="A57" s="3239"/>
      <c r="B57" s="3253" t="s">
        <v>6414</v>
      </c>
      <c r="C57" s="3254"/>
      <c r="D57" s="3253" t="s">
        <v>6415</v>
      </c>
      <c r="E57" s="3253" t="s">
        <v>6416</v>
      </c>
      <c r="F57" s="3249" t="s">
        <v>1746</v>
      </c>
      <c r="G57" s="3250" t="s">
        <v>1748</v>
      </c>
    </row>
    <row r="58" spans="1:7" ht="51.75" customHeight="1">
      <c r="A58" s="14329"/>
      <c r="B58" s="14339" t="s">
        <v>6417</v>
      </c>
      <c r="C58" s="14336"/>
      <c r="D58" s="14339" t="s">
        <v>6418</v>
      </c>
      <c r="E58" s="14339" t="s">
        <v>6419</v>
      </c>
      <c r="F58" s="14342" t="s">
        <v>6386</v>
      </c>
      <c r="G58" s="14347" t="s">
        <v>1819</v>
      </c>
    </row>
    <row r="59" spans="1:7" ht="13.8" thickBot="1">
      <c r="A59" s="14330"/>
      <c r="B59" s="14341"/>
      <c r="C59" s="14338"/>
      <c r="D59" s="14341"/>
      <c r="E59" s="14341"/>
      <c r="F59" s="14344"/>
      <c r="G59" s="14348"/>
    </row>
    <row r="60" spans="1:7" ht="13.8">
      <c r="A60" s="14329"/>
      <c r="B60" s="3255" t="s">
        <v>6420</v>
      </c>
      <c r="C60" s="14336"/>
      <c r="D60" s="3255" t="s">
        <v>6427</v>
      </c>
      <c r="E60" s="14339" t="s">
        <v>6432</v>
      </c>
      <c r="F60" s="3256" t="s">
        <v>1808</v>
      </c>
      <c r="G60" s="3244" t="s">
        <v>1819</v>
      </c>
    </row>
    <row r="61" spans="1:7" ht="14.25" customHeight="1">
      <c r="A61" s="14324"/>
      <c r="B61" s="3257" t="s">
        <v>6421</v>
      </c>
      <c r="C61" s="14337"/>
      <c r="D61" s="3255" t="s">
        <v>6428</v>
      </c>
      <c r="E61" s="14340"/>
      <c r="F61" s="3256"/>
      <c r="G61" s="3244"/>
    </row>
    <row r="62" spans="1:7" ht="13.8">
      <c r="A62" s="14324"/>
      <c r="B62" s="3257" t="s">
        <v>6422</v>
      </c>
      <c r="C62" s="14337"/>
      <c r="D62" s="3255"/>
      <c r="E62" s="14340"/>
      <c r="F62" s="3256"/>
      <c r="G62" s="3244"/>
    </row>
    <row r="63" spans="1:7" ht="13.8">
      <c r="A63" s="14324"/>
      <c r="B63" s="3257" t="s">
        <v>6423</v>
      </c>
      <c r="C63" s="14337"/>
      <c r="D63" s="3255" t="s">
        <v>6429</v>
      </c>
      <c r="E63" s="14340"/>
      <c r="F63" s="3256"/>
      <c r="G63" s="3244"/>
    </row>
    <row r="64" spans="1:7" ht="13.8">
      <c r="A64" s="14324"/>
      <c r="B64" s="3255" t="s">
        <v>6424</v>
      </c>
      <c r="C64" s="14337"/>
      <c r="D64" s="3255"/>
      <c r="E64" s="14340"/>
      <c r="F64" s="3256"/>
      <c r="G64" s="3244"/>
    </row>
    <row r="65" spans="1:7" ht="27" customHeight="1">
      <c r="A65" s="14324"/>
      <c r="B65" s="3257" t="s">
        <v>6425</v>
      </c>
      <c r="C65" s="14337"/>
      <c r="D65" s="3255" t="s">
        <v>6430</v>
      </c>
      <c r="E65" s="14340"/>
      <c r="F65" s="3256" t="s">
        <v>1741</v>
      </c>
      <c r="G65" s="3244" t="s">
        <v>1748</v>
      </c>
    </row>
    <row r="66" spans="1:7" ht="55.8" thickBot="1">
      <c r="A66" s="14324"/>
      <c r="B66" s="3257" t="s">
        <v>6426</v>
      </c>
      <c r="C66" s="14337"/>
      <c r="D66" s="3255" t="s">
        <v>6431</v>
      </c>
      <c r="E66" s="14340"/>
      <c r="F66" s="3256" t="s">
        <v>1808</v>
      </c>
      <c r="G66" s="3250" t="s">
        <v>1748</v>
      </c>
    </row>
    <row r="67" spans="1:7" ht="33" customHeight="1">
      <c r="A67" s="14329"/>
      <c r="B67" s="3258" t="s">
        <v>6433</v>
      </c>
      <c r="C67" s="14336"/>
      <c r="D67" s="14339" t="s">
        <v>6437</v>
      </c>
      <c r="E67" s="3258" t="s">
        <v>6438</v>
      </c>
      <c r="F67" s="14342" t="s">
        <v>1746</v>
      </c>
      <c r="G67" s="14347" t="s">
        <v>1741</v>
      </c>
    </row>
    <row r="68" spans="1:7" ht="27.6">
      <c r="A68" s="14324"/>
      <c r="B68" s="3257" t="s">
        <v>6434</v>
      </c>
      <c r="C68" s="14337"/>
      <c r="D68" s="14340"/>
      <c r="E68" s="3244" t="s">
        <v>3797</v>
      </c>
      <c r="F68" s="14343"/>
      <c r="G68" s="14355"/>
    </row>
    <row r="69" spans="1:7" ht="13.8">
      <c r="A69" s="14324"/>
      <c r="B69" s="3257" t="s">
        <v>6435</v>
      </c>
      <c r="C69" s="14337"/>
      <c r="D69" s="14340"/>
      <c r="E69" s="3255"/>
      <c r="F69" s="14343"/>
      <c r="G69" s="14355"/>
    </row>
    <row r="70" spans="1:7" ht="18" customHeight="1" thickBot="1">
      <c r="A70" s="14330"/>
      <c r="B70" s="3259" t="s">
        <v>6436</v>
      </c>
      <c r="C70" s="14338"/>
      <c r="D70" s="14341"/>
      <c r="E70" s="3237"/>
      <c r="F70" s="14344"/>
      <c r="G70" s="14348"/>
    </row>
    <row r="71" spans="1:7" ht="20.25" customHeight="1" thickBot="1">
      <c r="A71" s="3239"/>
      <c r="B71" s="3253" t="s">
        <v>6439</v>
      </c>
      <c r="C71" s="3254"/>
      <c r="D71" s="3253" t="s">
        <v>6440</v>
      </c>
      <c r="E71" s="3253" t="s">
        <v>6441</v>
      </c>
      <c r="F71" s="3249" t="s">
        <v>1808</v>
      </c>
      <c r="G71" s="3250" t="s">
        <v>1819</v>
      </c>
    </row>
    <row r="72" spans="1:7" ht="42" thickBot="1">
      <c r="A72" s="3239"/>
      <c r="B72" s="3253" t="s">
        <v>6442</v>
      </c>
      <c r="C72" s="3254"/>
      <c r="D72" s="3253" t="s">
        <v>6443</v>
      </c>
      <c r="E72" s="3253" t="s">
        <v>5275</v>
      </c>
      <c r="F72" s="3249" t="s">
        <v>1808</v>
      </c>
      <c r="G72" s="3250" t="s">
        <v>1819</v>
      </c>
    </row>
    <row r="73" spans="1:7" ht="28.2" thickBot="1">
      <c r="A73" s="3239"/>
      <c r="B73" s="3253" t="s">
        <v>6444</v>
      </c>
      <c r="C73" s="3254"/>
      <c r="D73" s="3253" t="s">
        <v>6445</v>
      </c>
      <c r="E73" s="3253" t="s">
        <v>6446</v>
      </c>
      <c r="F73" s="3249" t="s">
        <v>1808</v>
      </c>
      <c r="G73" s="3250" t="s">
        <v>1819</v>
      </c>
    </row>
    <row r="74" spans="1:7" ht="38.25" customHeight="1" thickBot="1">
      <c r="A74" s="3239"/>
      <c r="B74" s="3253" t="s">
        <v>6447</v>
      </c>
      <c r="C74" s="3254"/>
      <c r="D74" s="3253" t="s">
        <v>6448</v>
      </c>
      <c r="E74" s="3260"/>
      <c r="F74" s="3249" t="s">
        <v>1808</v>
      </c>
      <c r="G74" s="3250" t="s">
        <v>1819</v>
      </c>
    </row>
    <row r="75" spans="1:7" s="1647" customFormat="1" ht="23.25" customHeight="1">
      <c r="A75" s="3299"/>
      <c r="B75" s="3303"/>
      <c r="C75" s="3304"/>
      <c r="D75" s="3303"/>
      <c r="E75" s="3305"/>
      <c r="F75" s="3287"/>
      <c r="G75" s="3287"/>
    </row>
    <row r="76" spans="1:7" s="1647" customFormat="1" ht="23.25" customHeight="1">
      <c r="A76" s="3299"/>
      <c r="B76" s="3303"/>
      <c r="C76" s="3304"/>
      <c r="D76" s="3303"/>
      <c r="E76" s="3305"/>
      <c r="F76" s="3287"/>
      <c r="G76" s="3287"/>
    </row>
    <row r="77" spans="1:7" s="1647" customFormat="1" ht="23.25" customHeight="1">
      <c r="A77" s="3299"/>
      <c r="B77" s="3303"/>
      <c r="C77" s="3304"/>
      <c r="D77" s="3303"/>
      <c r="E77" s="3305"/>
      <c r="F77" s="3287"/>
      <c r="G77" s="3287"/>
    </row>
    <row r="78" spans="1:7" s="1647" customFormat="1" ht="23.25" customHeight="1">
      <c r="A78" s="3299"/>
      <c r="B78" s="3303"/>
      <c r="C78" s="3304"/>
      <c r="D78" s="3303"/>
      <c r="E78" s="3305"/>
      <c r="F78" s="3287"/>
      <c r="G78" s="3287"/>
    </row>
    <row r="79" spans="1:7" s="1647" customFormat="1" ht="23.25" customHeight="1">
      <c r="A79" s="3299"/>
      <c r="B79" s="3303"/>
      <c r="C79" s="3304"/>
      <c r="D79" s="3303"/>
      <c r="E79" s="3305"/>
      <c r="F79" s="3287"/>
      <c r="G79" s="3287"/>
    </row>
    <row r="80" spans="1:7" s="1647" customFormat="1" ht="23.25" customHeight="1" thickBot="1">
      <c r="A80" s="3299"/>
      <c r="B80" s="3303"/>
      <c r="C80" s="3304"/>
      <c r="D80" s="3303"/>
      <c r="E80" s="3305"/>
      <c r="F80" s="3287"/>
      <c r="G80" s="3287"/>
    </row>
    <row r="81" spans="1:7" ht="5.25" customHeight="1">
      <c r="A81" s="3230"/>
      <c r="B81" s="3231"/>
      <c r="C81" s="3231"/>
      <c r="D81" s="3231"/>
      <c r="E81" s="3231"/>
      <c r="F81" s="14369"/>
      <c r="G81" s="14370"/>
    </row>
    <row r="82" spans="1:7" ht="27" customHeight="1">
      <c r="A82" s="3232" t="s">
        <v>3821</v>
      </c>
      <c r="B82" s="3233" t="s">
        <v>3820</v>
      </c>
      <c r="C82" s="3233" t="s">
        <v>1736</v>
      </c>
      <c r="D82" s="3233" t="s">
        <v>1787</v>
      </c>
      <c r="E82" s="3233" t="s">
        <v>1764</v>
      </c>
      <c r="F82" s="14371" t="s">
        <v>6486</v>
      </c>
      <c r="G82" s="14372"/>
    </row>
    <row r="83" spans="1:7" s="2249" customFormat="1" ht="12.75" customHeight="1">
      <c r="A83" s="3234">
        <v>-1</v>
      </c>
      <c r="B83" s="3235">
        <v>-2</v>
      </c>
      <c r="C83" s="3235">
        <v>-3</v>
      </c>
      <c r="D83" s="3235">
        <v>-4</v>
      </c>
      <c r="E83" s="3235">
        <v>-5</v>
      </c>
      <c r="F83" s="14345">
        <v>-6</v>
      </c>
      <c r="G83" s="14346"/>
    </row>
    <row r="84" spans="1:7" ht="16.5" customHeight="1" thickBot="1">
      <c r="A84" s="1646"/>
      <c r="B84" s="3236"/>
      <c r="C84" s="3237"/>
      <c r="D84" s="3237"/>
      <c r="E84" s="3237"/>
      <c r="F84" s="3238" t="s">
        <v>1789</v>
      </c>
      <c r="G84" s="3236" t="s">
        <v>1790</v>
      </c>
    </row>
    <row r="85" spans="1:7" ht="13.5" customHeight="1">
      <c r="A85" s="14329"/>
      <c r="B85" s="14333" t="s">
        <v>3794</v>
      </c>
      <c r="C85" s="3261">
        <v>60000</v>
      </c>
      <c r="D85" s="14333"/>
      <c r="E85" s="14333"/>
      <c r="F85" s="14334"/>
      <c r="G85" s="14379"/>
    </row>
    <row r="86" spans="1:7" ht="17.25" customHeight="1" thickBot="1">
      <c r="A86" s="14330"/>
      <c r="B86" s="14332"/>
      <c r="C86" s="3241" t="s">
        <v>3791</v>
      </c>
      <c r="D86" s="14332"/>
      <c r="E86" s="14332"/>
      <c r="F86" s="14335"/>
      <c r="G86" s="14380"/>
    </row>
    <row r="87" spans="1:7" ht="28.2" thickBot="1">
      <c r="A87" s="3239"/>
      <c r="B87" s="3253" t="s">
        <v>6449</v>
      </c>
      <c r="C87" s="3241"/>
      <c r="D87" s="3262" t="s">
        <v>3795</v>
      </c>
      <c r="E87" s="3262" t="s">
        <v>3796</v>
      </c>
      <c r="F87" s="3251" t="s">
        <v>1808</v>
      </c>
      <c r="G87" s="3252" t="s">
        <v>1819</v>
      </c>
    </row>
    <row r="88" spans="1:7" ht="37.5" customHeight="1">
      <c r="A88" s="14329"/>
      <c r="B88" s="14339" t="s">
        <v>6450</v>
      </c>
      <c r="C88" s="14363"/>
      <c r="D88" s="14365" t="s">
        <v>6451</v>
      </c>
      <c r="E88" s="14365" t="s">
        <v>6452</v>
      </c>
      <c r="F88" s="14334" t="s">
        <v>1808</v>
      </c>
      <c r="G88" s="14379" t="s">
        <v>1819</v>
      </c>
    </row>
    <row r="89" spans="1:7" ht="13.8" thickBot="1">
      <c r="A89" s="14330"/>
      <c r="B89" s="14341"/>
      <c r="C89" s="14364"/>
      <c r="D89" s="14366"/>
      <c r="E89" s="14366"/>
      <c r="F89" s="14335"/>
      <c r="G89" s="14380"/>
    </row>
    <row r="90" spans="1:7" s="1647" customFormat="1" ht="28.2" thickBot="1">
      <c r="A90" s="3239"/>
      <c r="B90" s="3240" t="s">
        <v>6453</v>
      </c>
      <c r="C90" s="3241" t="s">
        <v>3798</v>
      </c>
      <c r="D90" s="3240"/>
      <c r="E90" s="3240"/>
      <c r="F90" s="3251"/>
      <c r="G90" s="3252"/>
    </row>
    <row r="91" spans="1:7" s="1647" customFormat="1" ht="13.8">
      <c r="A91" s="14329"/>
      <c r="B91" s="3263" t="s">
        <v>6454</v>
      </c>
      <c r="C91" s="3264"/>
      <c r="D91" s="3244"/>
      <c r="E91" s="3244"/>
      <c r="F91" s="3265"/>
      <c r="G91" s="3266"/>
    </row>
    <row r="92" spans="1:7" s="1647" customFormat="1" ht="13.8">
      <c r="A92" s="14324"/>
      <c r="B92" s="3263" t="s">
        <v>3095</v>
      </c>
      <c r="C92" s="3264"/>
      <c r="D92" s="3244"/>
      <c r="E92" s="3244"/>
      <c r="F92" s="3265"/>
      <c r="G92" s="3266"/>
    </row>
    <row r="93" spans="1:7" s="1647" customFormat="1" ht="15" customHeight="1">
      <c r="A93" s="14324"/>
      <c r="B93" s="3244" t="s">
        <v>6455</v>
      </c>
      <c r="C93" s="3261">
        <v>1204133</v>
      </c>
      <c r="D93" s="14325" t="s">
        <v>3799</v>
      </c>
      <c r="E93" s="3244" t="s">
        <v>6458</v>
      </c>
      <c r="F93" s="3265" t="s">
        <v>3803</v>
      </c>
      <c r="G93" s="3266" t="s">
        <v>1819</v>
      </c>
    </row>
    <row r="94" spans="1:7" ht="25.5" customHeight="1">
      <c r="A94" s="14324"/>
      <c r="B94" s="3244"/>
      <c r="C94" s="3264"/>
      <c r="D94" s="14325"/>
      <c r="E94" s="3244" t="s">
        <v>6459</v>
      </c>
      <c r="F94" s="3267"/>
      <c r="G94" s="3245"/>
    </row>
    <row r="95" spans="1:7" ht="14.25" customHeight="1">
      <c r="A95" s="14324"/>
      <c r="B95" s="3244" t="s">
        <v>6456</v>
      </c>
      <c r="C95" s="3261">
        <f>'lbpf 3-BIPC'!K53+'lbpf 3-BIPC'!K52</f>
        <v>835200</v>
      </c>
      <c r="D95" s="14325" t="s">
        <v>3800</v>
      </c>
      <c r="E95" s="3244" t="s">
        <v>3801</v>
      </c>
      <c r="F95" s="3267"/>
      <c r="G95" s="3245"/>
    </row>
    <row r="96" spans="1:7" ht="15" thickBot="1">
      <c r="A96" s="14330"/>
      <c r="B96" s="3250" t="s">
        <v>6457</v>
      </c>
      <c r="C96" s="3237"/>
      <c r="D96" s="14326"/>
      <c r="E96" s="3250" t="s">
        <v>3802</v>
      </c>
      <c r="F96" s="3268"/>
      <c r="G96" s="3237"/>
    </row>
    <row r="97" spans="1:7" ht="27.6">
      <c r="A97" s="14329"/>
      <c r="B97" s="3269" t="s">
        <v>3804</v>
      </c>
      <c r="C97" s="3270"/>
      <c r="D97" s="3271"/>
      <c r="E97" s="3271"/>
      <c r="F97" s="3272"/>
      <c r="G97" s="3272"/>
    </row>
    <row r="98" spans="1:7" ht="15.75" customHeight="1">
      <c r="A98" s="14324"/>
      <c r="B98" s="3273" t="s">
        <v>6460</v>
      </c>
      <c r="C98" s="3274"/>
      <c r="D98" s="3273"/>
      <c r="E98" s="3273"/>
      <c r="F98" s="3275"/>
      <c r="G98" s="3275"/>
    </row>
    <row r="99" spans="1:7" ht="18.75" customHeight="1">
      <c r="A99" s="14324"/>
      <c r="B99" s="3273" t="s">
        <v>6461</v>
      </c>
      <c r="C99" s="3276">
        <f>'lbpf 3-BIPC'!K44+'lbpf 3-BIPC'!K45</f>
        <v>290182</v>
      </c>
      <c r="D99" s="14325" t="s">
        <v>3805</v>
      </c>
      <c r="E99" s="3273" t="s">
        <v>3806</v>
      </c>
      <c r="F99" s="3275" t="s">
        <v>3803</v>
      </c>
      <c r="G99" s="3275" t="s">
        <v>1819</v>
      </c>
    </row>
    <row r="100" spans="1:7" ht="32.25" customHeight="1">
      <c r="A100" s="14324"/>
      <c r="B100" s="3277"/>
      <c r="C100" s="2250"/>
      <c r="D100" s="14325"/>
      <c r="E100" s="3273" t="s">
        <v>3807</v>
      </c>
      <c r="F100" s="2250"/>
      <c r="G100" s="2250"/>
    </row>
    <row r="101" spans="1:7" ht="27.6">
      <c r="A101" s="14324"/>
      <c r="B101" s="2252"/>
      <c r="C101" s="2252"/>
      <c r="D101" s="14325"/>
      <c r="E101" s="3273" t="s">
        <v>3808</v>
      </c>
      <c r="F101" s="2252"/>
      <c r="G101" s="2252"/>
    </row>
    <row r="102" spans="1:7" ht="44.25" customHeight="1" thickBot="1">
      <c r="A102" s="14330"/>
      <c r="B102" s="1646"/>
      <c r="C102" s="1646"/>
      <c r="D102" s="14326"/>
      <c r="E102" s="3278" t="s">
        <v>3809</v>
      </c>
      <c r="F102" s="1646"/>
      <c r="G102" s="1646"/>
    </row>
    <row r="103" spans="1:7" ht="29.25" customHeight="1">
      <c r="A103" s="14329"/>
      <c r="B103" s="3279" t="s">
        <v>3810</v>
      </c>
      <c r="C103" s="3280"/>
      <c r="D103" s="3281"/>
      <c r="E103" s="3281"/>
      <c r="F103" s="3282"/>
      <c r="G103" s="3283"/>
    </row>
    <row r="104" spans="1:7" ht="32.25" customHeight="1">
      <c r="A104" s="14324"/>
      <c r="B104" s="3244" t="s">
        <v>6462</v>
      </c>
      <c r="C104" s="3261">
        <f>'lbpf 3-BIPC'!K46</f>
        <v>121553</v>
      </c>
      <c r="D104" s="3244" t="s">
        <v>3811</v>
      </c>
      <c r="E104" s="3244" t="s">
        <v>6464</v>
      </c>
      <c r="F104" s="3265" t="s">
        <v>3803</v>
      </c>
      <c r="G104" s="3266" t="s">
        <v>1819</v>
      </c>
    </row>
    <row r="105" spans="1:7" ht="41.25" customHeight="1" thickBot="1">
      <c r="A105" s="14330"/>
      <c r="B105" s="3250" t="s">
        <v>6463</v>
      </c>
      <c r="C105" s="3237"/>
      <c r="D105" s="3250"/>
      <c r="E105" s="3237"/>
      <c r="F105" s="3268"/>
      <c r="G105" s="3237"/>
    </row>
    <row r="106" spans="1:7" ht="30.75" customHeight="1">
      <c r="A106" s="14324"/>
      <c r="B106" s="3263" t="s">
        <v>3812</v>
      </c>
      <c r="C106" s="3264"/>
      <c r="D106" s="14331" t="s">
        <v>3813</v>
      </c>
      <c r="E106" s="3284"/>
      <c r="F106" s="14381" t="s">
        <v>3803</v>
      </c>
      <c r="G106" s="14382" t="s">
        <v>1819</v>
      </c>
    </row>
    <row r="107" spans="1:7" ht="18" customHeight="1">
      <c r="A107" s="14324"/>
      <c r="B107" s="14327" t="s">
        <v>6465</v>
      </c>
      <c r="C107" s="3261">
        <v>33075</v>
      </c>
      <c r="D107" s="14331"/>
      <c r="E107" s="3244" t="s">
        <v>710</v>
      </c>
      <c r="F107" s="14381"/>
      <c r="G107" s="14382"/>
    </row>
    <row r="108" spans="1:7" ht="18" customHeight="1">
      <c r="A108" s="14324"/>
      <c r="B108" s="14327"/>
      <c r="C108" s="3261">
        <v>88200</v>
      </c>
      <c r="D108" s="14331"/>
      <c r="E108" s="3244" t="s">
        <v>711</v>
      </c>
      <c r="F108" s="14381"/>
      <c r="G108" s="14382"/>
    </row>
    <row r="109" spans="1:7" ht="18" customHeight="1">
      <c r="A109" s="14324"/>
      <c r="B109" s="3285"/>
      <c r="C109" s="3261">
        <v>110000</v>
      </c>
      <c r="D109" s="14331"/>
      <c r="E109" s="3244" t="s">
        <v>3814</v>
      </c>
      <c r="F109" s="14381"/>
      <c r="G109" s="14382"/>
    </row>
    <row r="110" spans="1:7" ht="18" customHeight="1">
      <c r="A110" s="14324"/>
      <c r="B110" s="3285"/>
      <c r="C110" s="3261">
        <v>24255</v>
      </c>
      <c r="D110" s="14331"/>
      <c r="E110" s="3244" t="s">
        <v>6466</v>
      </c>
      <c r="F110" s="14381"/>
      <c r="G110" s="14382"/>
    </row>
    <row r="111" spans="1:7" ht="18" customHeight="1">
      <c r="A111" s="14324"/>
      <c r="B111" s="3285"/>
      <c r="C111" s="3261">
        <v>6615</v>
      </c>
      <c r="D111" s="14331"/>
      <c r="E111" s="3244" t="s">
        <v>6467</v>
      </c>
      <c r="F111" s="14381"/>
      <c r="G111" s="14382"/>
    </row>
    <row r="112" spans="1:7" ht="18" customHeight="1">
      <c r="A112" s="14324"/>
      <c r="B112" s="3285"/>
      <c r="C112" s="3261">
        <v>38500</v>
      </c>
      <c r="D112" s="14331"/>
      <c r="E112" s="3244" t="s">
        <v>6468</v>
      </c>
      <c r="F112" s="14381"/>
      <c r="G112" s="14382"/>
    </row>
    <row r="113" spans="1:7" ht="18" customHeight="1">
      <c r="A113" s="14324"/>
      <c r="B113" s="3285"/>
      <c r="C113" s="3261">
        <v>77175</v>
      </c>
      <c r="D113" s="14331"/>
      <c r="E113" s="3244" t="s">
        <v>6469</v>
      </c>
      <c r="F113" s="14381"/>
      <c r="G113" s="14382"/>
    </row>
    <row r="114" spans="1:7" ht="27.6">
      <c r="A114" s="14324"/>
      <c r="B114" s="3285"/>
      <c r="C114" s="3261">
        <v>77175</v>
      </c>
      <c r="D114" s="14331"/>
      <c r="E114" s="3244" t="s">
        <v>6470</v>
      </c>
      <c r="F114" s="14381"/>
      <c r="G114" s="14382"/>
    </row>
    <row r="115" spans="1:7" ht="15" thickBot="1">
      <c r="A115" s="14330"/>
      <c r="B115" s="3240"/>
      <c r="C115" s="3237"/>
      <c r="D115" s="14332"/>
      <c r="E115" s="3237"/>
      <c r="F115" s="14335"/>
      <c r="G115" s="14380"/>
    </row>
    <row r="116" spans="1:7" ht="14.4">
      <c r="A116" s="3294"/>
      <c r="B116" s="3306"/>
      <c r="C116" s="3307"/>
      <c r="D116" s="3298"/>
      <c r="E116" s="3307"/>
      <c r="F116" s="3308"/>
      <c r="G116" s="3308"/>
    </row>
    <row r="117" spans="1:7" ht="14.4">
      <c r="A117" s="3299"/>
      <c r="B117" s="3309"/>
      <c r="C117" s="14378"/>
      <c r="D117" s="14378"/>
      <c r="E117" s="3288"/>
      <c r="F117" s="3310"/>
      <c r="G117" s="3310"/>
    </row>
    <row r="118" spans="1:7" ht="14.4">
      <c r="A118" s="3299"/>
      <c r="B118" s="3309"/>
      <c r="C118" s="3288"/>
      <c r="D118" s="3287"/>
      <c r="E118" s="3288"/>
      <c r="F118" s="3310"/>
      <c r="G118" s="3310"/>
    </row>
    <row r="119" spans="1:7" ht="14.4">
      <c r="A119" s="3299"/>
      <c r="B119" s="3309"/>
      <c r="C119" s="3288"/>
      <c r="D119" s="3287"/>
      <c r="E119" s="3288"/>
      <c r="F119" s="3310"/>
      <c r="G119" s="3310"/>
    </row>
    <row r="120" spans="1:7" ht="14.4">
      <c r="A120" s="3299"/>
      <c r="B120" s="3309"/>
      <c r="C120" s="3288"/>
      <c r="D120" s="3287"/>
      <c r="E120" s="3288"/>
      <c r="F120" s="3310"/>
      <c r="G120" s="3310"/>
    </row>
    <row r="121" spans="1:7" ht="14.4">
      <c r="A121" s="3299"/>
      <c r="B121" s="3309"/>
      <c r="C121" s="3288"/>
      <c r="D121" s="3287"/>
      <c r="E121" s="3288"/>
      <c r="F121" s="3310"/>
      <c r="G121" s="3310"/>
    </row>
    <row r="122" spans="1:7" ht="15" thickBot="1">
      <c r="A122" s="3311"/>
      <c r="B122" s="3312"/>
      <c r="C122" s="3313"/>
      <c r="D122" s="3314"/>
      <c r="E122" s="3313"/>
      <c r="F122" s="3315"/>
      <c r="G122" s="3315"/>
    </row>
    <row r="123" spans="1:7" ht="5.25" customHeight="1">
      <c r="A123" s="3230"/>
      <c r="B123" s="3231"/>
      <c r="C123" s="3231"/>
      <c r="D123" s="3231"/>
      <c r="E123" s="3231"/>
      <c r="F123" s="14369"/>
      <c r="G123" s="14370"/>
    </row>
    <row r="124" spans="1:7" ht="27" customHeight="1">
      <c r="A124" s="3232" t="s">
        <v>3821</v>
      </c>
      <c r="B124" s="3233" t="s">
        <v>3820</v>
      </c>
      <c r="C124" s="3233" t="s">
        <v>1736</v>
      </c>
      <c r="D124" s="3233" t="s">
        <v>1787</v>
      </c>
      <c r="E124" s="3233" t="s">
        <v>1764</v>
      </c>
      <c r="F124" s="14371" t="s">
        <v>6486</v>
      </c>
      <c r="G124" s="14372"/>
    </row>
    <row r="125" spans="1:7" s="2249" customFormat="1" ht="12.75" customHeight="1">
      <c r="A125" s="3234">
        <v>-1</v>
      </c>
      <c r="B125" s="3235">
        <v>-2</v>
      </c>
      <c r="C125" s="3235">
        <v>-3</v>
      </c>
      <c r="D125" s="3235">
        <v>-4</v>
      </c>
      <c r="E125" s="3235">
        <v>-5</v>
      </c>
      <c r="F125" s="14345">
        <v>-6</v>
      </c>
      <c r="G125" s="14346"/>
    </row>
    <row r="126" spans="1:7" ht="16.5" customHeight="1" thickBot="1">
      <c r="A126" s="1646"/>
      <c r="B126" s="3236"/>
      <c r="C126" s="3237"/>
      <c r="D126" s="3237"/>
      <c r="E126" s="3237"/>
      <c r="F126" s="3238" t="s">
        <v>1789</v>
      </c>
      <c r="G126" s="3236" t="s">
        <v>1790</v>
      </c>
    </row>
    <row r="127" spans="1:7" ht="20.25" customHeight="1">
      <c r="A127" s="14324"/>
      <c r="B127" s="3263" t="s">
        <v>3815</v>
      </c>
      <c r="C127" s="3286"/>
      <c r="D127" s="3244"/>
      <c r="E127" s="3244"/>
      <c r="F127" s="3265"/>
      <c r="G127" s="3266"/>
    </row>
    <row r="128" spans="1:7" ht="16.5" customHeight="1">
      <c r="A128" s="14324"/>
      <c r="B128" s="3244" t="s">
        <v>6471</v>
      </c>
      <c r="C128" s="3286"/>
      <c r="D128" s="3244"/>
      <c r="E128" s="3244"/>
      <c r="F128" s="3265"/>
      <c r="G128" s="3266"/>
    </row>
    <row r="129" spans="1:7" ht="54.75" customHeight="1">
      <c r="A129" s="14324"/>
      <c r="B129" s="3244"/>
      <c r="C129" s="3261">
        <v>150000</v>
      </c>
      <c r="D129" s="3287" t="s">
        <v>6473</v>
      </c>
      <c r="E129" s="3273" t="s">
        <v>6474</v>
      </c>
      <c r="F129" s="3265" t="s">
        <v>3803</v>
      </c>
      <c r="G129" s="3266" t="s">
        <v>1819</v>
      </c>
    </row>
    <row r="130" spans="1:7" ht="15" customHeight="1">
      <c r="A130" s="14324"/>
      <c r="B130" s="3244" t="s">
        <v>6472</v>
      </c>
      <c r="C130" s="3261">
        <v>35000</v>
      </c>
      <c r="D130" s="14328" t="s">
        <v>3816</v>
      </c>
      <c r="E130" s="3273" t="s">
        <v>6475</v>
      </c>
      <c r="F130" s="3267"/>
      <c r="G130" s="3245"/>
    </row>
    <row r="131" spans="1:7" ht="15" customHeight="1">
      <c r="A131" s="14324"/>
      <c r="B131" s="3245"/>
      <c r="C131" s="3261">
        <v>100000</v>
      </c>
      <c r="D131" s="14328"/>
      <c r="E131" s="3273" t="s">
        <v>3818</v>
      </c>
      <c r="F131" s="3267"/>
      <c r="G131" s="3245"/>
    </row>
    <row r="132" spans="1:7" ht="15" customHeight="1">
      <c r="A132" s="14324"/>
      <c r="B132" s="3245"/>
      <c r="C132" s="3261">
        <v>50000</v>
      </c>
      <c r="D132" s="14328"/>
      <c r="E132" s="3273" t="s">
        <v>6476</v>
      </c>
      <c r="F132" s="3267"/>
      <c r="G132" s="3245"/>
    </row>
    <row r="133" spans="1:7" ht="15" customHeight="1">
      <c r="A133" s="14324"/>
      <c r="B133" s="3245"/>
      <c r="C133" s="3261">
        <v>30000</v>
      </c>
      <c r="D133" s="14328"/>
      <c r="E133" s="3273" t="s">
        <v>3819</v>
      </c>
      <c r="F133" s="3267"/>
      <c r="G133" s="3245"/>
    </row>
    <row r="134" spans="1:7" ht="15" customHeight="1">
      <c r="A134" s="14324"/>
      <c r="B134" s="3245"/>
      <c r="C134" s="3261">
        <v>35000</v>
      </c>
      <c r="D134" s="14328"/>
      <c r="E134" s="3273" t="s">
        <v>6477</v>
      </c>
      <c r="F134" s="3267"/>
      <c r="G134" s="3245"/>
    </row>
    <row r="135" spans="1:7" ht="15" customHeight="1">
      <c r="A135" s="14324"/>
      <c r="B135" s="3245"/>
      <c r="C135" s="3261">
        <v>8000</v>
      </c>
      <c r="D135" s="14328"/>
      <c r="E135" s="3273" t="s">
        <v>6478</v>
      </c>
      <c r="F135" s="3267"/>
      <c r="G135" s="3245"/>
    </row>
    <row r="136" spans="1:7" ht="15" customHeight="1">
      <c r="A136" s="14324"/>
      <c r="B136" s="3245"/>
      <c r="C136" s="3261">
        <v>10000</v>
      </c>
      <c r="D136" s="14328"/>
      <c r="E136" s="3273" t="s">
        <v>6479</v>
      </c>
      <c r="F136" s="3267"/>
      <c r="G136" s="3245"/>
    </row>
    <row r="137" spans="1:7" ht="15" customHeight="1">
      <c r="A137" s="14324"/>
      <c r="B137" s="3245"/>
      <c r="C137" s="3261">
        <v>5000</v>
      </c>
      <c r="D137" s="3288"/>
      <c r="E137" s="3273" t="s">
        <v>6480</v>
      </c>
      <c r="F137" s="3267"/>
      <c r="G137" s="3245"/>
    </row>
    <row r="138" spans="1:7" ht="15" customHeight="1">
      <c r="A138" s="14324"/>
      <c r="B138" s="3245"/>
      <c r="C138" s="3261">
        <v>6000</v>
      </c>
      <c r="D138" s="3288"/>
      <c r="E138" s="3273" t="s">
        <v>6481</v>
      </c>
      <c r="F138" s="3267"/>
      <c r="G138" s="3245"/>
    </row>
    <row r="139" spans="1:7" ht="13.5" customHeight="1">
      <c r="A139" s="14324"/>
      <c r="B139" s="3245"/>
      <c r="C139" s="3261">
        <v>10000</v>
      </c>
      <c r="D139" s="3288"/>
      <c r="E139" s="3273" t="s">
        <v>6482</v>
      </c>
      <c r="F139" s="3267"/>
      <c r="G139" s="3245"/>
    </row>
    <row r="140" spans="1:7" ht="12.75" customHeight="1">
      <c r="A140" s="14324"/>
      <c r="B140" s="3245"/>
      <c r="C140" s="3261"/>
      <c r="D140" s="3288"/>
      <c r="E140" s="3273" t="s">
        <v>6483</v>
      </c>
      <c r="F140" s="3267"/>
      <c r="G140" s="3245"/>
    </row>
    <row r="141" spans="1:7" ht="27.6">
      <c r="A141" s="14324"/>
      <c r="B141" s="3245"/>
      <c r="C141" s="3261">
        <v>25000</v>
      </c>
      <c r="D141" s="3245"/>
      <c r="E141" s="3244" t="s">
        <v>6484</v>
      </c>
      <c r="F141" s="3267"/>
      <c r="G141" s="3245"/>
    </row>
    <row r="142" spans="1:7" ht="15" thickBot="1">
      <c r="A142" s="14324"/>
      <c r="B142" s="3245"/>
      <c r="C142" s="3261"/>
      <c r="D142" s="3245"/>
      <c r="E142" s="3244" t="s">
        <v>6485</v>
      </c>
      <c r="F142" s="3267"/>
      <c r="G142" s="3245"/>
    </row>
    <row r="143" spans="1:7" ht="14.4" thickBot="1">
      <c r="A143" s="3289"/>
      <c r="B143" s="3290" t="s">
        <v>220</v>
      </c>
      <c r="C143" s="3291">
        <f>SUM(C129:C142,C92:C115,C85,C55,C30)</f>
        <v>3980063</v>
      </c>
      <c r="D143" s="3290"/>
      <c r="E143" s="3290"/>
      <c r="F143" s="3292"/>
      <c r="G143" s="3293"/>
    </row>
  </sheetData>
  <mergeCells count="99">
    <mergeCell ref="F123:G123"/>
    <mergeCell ref="F124:G124"/>
    <mergeCell ref="F125:G125"/>
    <mergeCell ref="C117:D117"/>
    <mergeCell ref="F46:G46"/>
    <mergeCell ref="F47:G47"/>
    <mergeCell ref="F48:G48"/>
    <mergeCell ref="F81:G81"/>
    <mergeCell ref="F82:G82"/>
    <mergeCell ref="G85:G86"/>
    <mergeCell ref="G67:G70"/>
    <mergeCell ref="F106:F115"/>
    <mergeCell ref="G106:G115"/>
    <mergeCell ref="F88:F89"/>
    <mergeCell ref="G88:G89"/>
    <mergeCell ref="G50:G51"/>
    <mergeCell ref="B19:G19"/>
    <mergeCell ref="A5:B5"/>
    <mergeCell ref="A6:B6"/>
    <mergeCell ref="A7:B7"/>
    <mergeCell ref="A9:E9"/>
    <mergeCell ref="F9:G9"/>
    <mergeCell ref="A10:G10"/>
    <mergeCell ref="A12:G12"/>
    <mergeCell ref="A11:G11"/>
    <mergeCell ref="F26:G26"/>
    <mergeCell ref="F27:G27"/>
    <mergeCell ref="B21:G21"/>
    <mergeCell ref="B23:G23"/>
    <mergeCell ref="A31:A35"/>
    <mergeCell ref="B31:B35"/>
    <mergeCell ref="A42:A43"/>
    <mergeCell ref="B42:B43"/>
    <mergeCell ref="C42:C43"/>
    <mergeCell ref="D42:D43"/>
    <mergeCell ref="E42:E43"/>
    <mergeCell ref="F42:F43"/>
    <mergeCell ref="G42:G43"/>
    <mergeCell ref="F28:G28"/>
    <mergeCell ref="F31:F35"/>
    <mergeCell ref="G31:G35"/>
    <mergeCell ref="A88:A89"/>
    <mergeCell ref="B88:B89"/>
    <mergeCell ref="C88:C89"/>
    <mergeCell ref="D88:D89"/>
    <mergeCell ref="E88:E89"/>
    <mergeCell ref="A3:G3"/>
    <mergeCell ref="A14:G14"/>
    <mergeCell ref="F13:G13"/>
    <mergeCell ref="A13:B13"/>
    <mergeCell ref="C13:E13"/>
    <mergeCell ref="F53:F54"/>
    <mergeCell ref="G53:G54"/>
    <mergeCell ref="A50:A51"/>
    <mergeCell ref="B50:B51"/>
    <mergeCell ref="C50:C51"/>
    <mergeCell ref="D50:D51"/>
    <mergeCell ref="F50:F51"/>
    <mergeCell ref="A53:A54"/>
    <mergeCell ref="B53:B54"/>
    <mergeCell ref="C53:C54"/>
    <mergeCell ref="D53:D54"/>
    <mergeCell ref="E53:E54"/>
    <mergeCell ref="A36:A41"/>
    <mergeCell ref="B36:B41"/>
    <mergeCell ref="C36:C41"/>
    <mergeCell ref="F36:F41"/>
    <mergeCell ref="G36:G41"/>
    <mergeCell ref="F58:F59"/>
    <mergeCell ref="G58:G59"/>
    <mergeCell ref="A60:A66"/>
    <mergeCell ref="C60:C66"/>
    <mergeCell ref="E60:E66"/>
    <mergeCell ref="A58:A59"/>
    <mergeCell ref="B58:B59"/>
    <mergeCell ref="C58:C59"/>
    <mergeCell ref="D58:D59"/>
    <mergeCell ref="E58:E59"/>
    <mergeCell ref="A67:A70"/>
    <mergeCell ref="C67:C70"/>
    <mergeCell ref="D67:D70"/>
    <mergeCell ref="F67:F70"/>
    <mergeCell ref="F83:G83"/>
    <mergeCell ref="A85:A86"/>
    <mergeCell ref="B85:B86"/>
    <mergeCell ref="D85:D86"/>
    <mergeCell ref="E85:E86"/>
    <mergeCell ref="F85:F86"/>
    <mergeCell ref="A127:A142"/>
    <mergeCell ref="D95:D96"/>
    <mergeCell ref="D93:D94"/>
    <mergeCell ref="D99:D102"/>
    <mergeCell ref="B107:B108"/>
    <mergeCell ref="D130:D136"/>
    <mergeCell ref="A91:A96"/>
    <mergeCell ref="A97:A102"/>
    <mergeCell ref="A103:A105"/>
    <mergeCell ref="A106:A115"/>
    <mergeCell ref="D106:D115"/>
  </mergeCells>
  <pageMargins left="0.5" right="0.25" top="0.75" bottom="0.5" header="0.5" footer="0.25"/>
  <pageSetup paperSize="119" firstPageNumber="61" orientation="portrait" useFirstPageNumber="1" verticalDpi="300" r:id="rId1"/>
  <headerFooter alignWithMargins="0"/>
</worksheet>
</file>

<file path=xl/worksheets/sheet37.xml><?xml version="1.0" encoding="utf-8"?>
<worksheet xmlns="http://schemas.openxmlformats.org/spreadsheetml/2006/main" xmlns:r="http://schemas.openxmlformats.org/officeDocument/2006/relationships">
  <sheetPr codeName="Sheet28">
    <tabColor theme="8" tint="-0.249977111117893"/>
  </sheetPr>
  <dimension ref="A1:N141"/>
  <sheetViews>
    <sheetView showGridLines="0" workbookViewId="0">
      <selection activeCell="K2" sqref="K1:T1048576"/>
    </sheetView>
  </sheetViews>
  <sheetFormatPr defaultRowHeight="15" customHeight="1"/>
  <cols>
    <col min="1" max="1" width="3.88671875" style="7900" customWidth="1"/>
    <col min="2" max="2" width="55.5546875" style="7900" customWidth="1"/>
    <col min="3" max="3" width="15" style="7915" hidden="1" customWidth="1"/>
    <col min="4" max="4" width="12.5546875" style="7932" customWidth="1"/>
    <col min="5" max="6" width="15.5546875" style="7914" customWidth="1"/>
    <col min="7" max="7" width="15.5546875" style="9579" customWidth="1"/>
    <col min="8" max="8" width="15.5546875" style="7914" customWidth="1"/>
    <col min="9" max="9" width="16.88671875" style="7914" hidden="1" customWidth="1"/>
    <col min="10" max="10" width="8.6640625" style="7935" hidden="1" customWidth="1"/>
    <col min="11" max="12" width="15.5546875" style="7914" customWidth="1"/>
    <col min="13" max="13" width="16.6640625" style="7912" customWidth="1"/>
    <col min="14" max="14" width="8.88671875" style="7932" customWidth="1"/>
    <col min="15" max="19" width="8.88671875" style="7900" customWidth="1"/>
    <col min="20" max="237" width="9.109375" style="7900"/>
    <col min="238" max="238" width="3.88671875" style="7900" customWidth="1"/>
    <col min="239" max="239" width="40.44140625" style="7900" customWidth="1"/>
    <col min="240" max="240" width="12.44140625" style="7900" customWidth="1"/>
    <col min="241" max="241" width="14" style="7900" customWidth="1"/>
    <col min="242" max="243" width="16.44140625" style="7900" customWidth="1"/>
    <col min="244" max="493" width="9.109375" style="7900"/>
    <col min="494" max="494" width="3.88671875" style="7900" customWidth="1"/>
    <col min="495" max="495" width="40.44140625" style="7900" customWidth="1"/>
    <col min="496" max="496" width="12.44140625" style="7900" customWidth="1"/>
    <col min="497" max="497" width="14" style="7900" customWidth="1"/>
    <col min="498" max="499" width="16.44140625" style="7900" customWidth="1"/>
    <col min="500" max="749" width="9.109375" style="7900"/>
    <col min="750" max="750" width="3.88671875" style="7900" customWidth="1"/>
    <col min="751" max="751" width="40.44140625" style="7900" customWidth="1"/>
    <col min="752" max="752" width="12.44140625" style="7900" customWidth="1"/>
    <col min="753" max="753" width="14" style="7900" customWidth="1"/>
    <col min="754" max="755" width="16.44140625" style="7900" customWidth="1"/>
    <col min="756" max="1005" width="9.109375" style="7900"/>
    <col min="1006" max="1006" width="3.88671875" style="7900" customWidth="1"/>
    <col min="1007" max="1007" width="40.44140625" style="7900" customWidth="1"/>
    <col min="1008" max="1008" width="12.44140625" style="7900" customWidth="1"/>
    <col min="1009" max="1009" width="14" style="7900" customWidth="1"/>
    <col min="1010" max="1011" width="16.44140625" style="7900" customWidth="1"/>
    <col min="1012" max="1261" width="9.109375" style="7900"/>
    <col min="1262" max="1262" width="3.88671875" style="7900" customWidth="1"/>
    <col min="1263" max="1263" width="40.44140625" style="7900" customWidth="1"/>
    <col min="1264" max="1264" width="12.44140625" style="7900" customWidth="1"/>
    <col min="1265" max="1265" width="14" style="7900" customWidth="1"/>
    <col min="1266" max="1267" width="16.44140625" style="7900" customWidth="1"/>
    <col min="1268" max="1517" width="9.109375" style="7900"/>
    <col min="1518" max="1518" width="3.88671875" style="7900" customWidth="1"/>
    <col min="1519" max="1519" width="40.44140625" style="7900" customWidth="1"/>
    <col min="1520" max="1520" width="12.44140625" style="7900" customWidth="1"/>
    <col min="1521" max="1521" width="14" style="7900" customWidth="1"/>
    <col min="1522" max="1523" width="16.44140625" style="7900" customWidth="1"/>
    <col min="1524" max="1773" width="9.109375" style="7900"/>
    <col min="1774" max="1774" width="3.88671875" style="7900" customWidth="1"/>
    <col min="1775" max="1775" width="40.44140625" style="7900" customWidth="1"/>
    <col min="1776" max="1776" width="12.44140625" style="7900" customWidth="1"/>
    <col min="1777" max="1777" width="14" style="7900" customWidth="1"/>
    <col min="1778" max="1779" width="16.44140625" style="7900" customWidth="1"/>
    <col min="1780" max="2029" width="9.109375" style="7900"/>
    <col min="2030" max="2030" width="3.88671875" style="7900" customWidth="1"/>
    <col min="2031" max="2031" width="40.44140625" style="7900" customWidth="1"/>
    <col min="2032" max="2032" width="12.44140625" style="7900" customWidth="1"/>
    <col min="2033" max="2033" width="14" style="7900" customWidth="1"/>
    <col min="2034" max="2035" width="16.44140625" style="7900" customWidth="1"/>
    <col min="2036" max="2285" width="9.109375" style="7900"/>
    <col min="2286" max="2286" width="3.88671875" style="7900" customWidth="1"/>
    <col min="2287" max="2287" width="40.44140625" style="7900" customWidth="1"/>
    <col min="2288" max="2288" width="12.44140625" style="7900" customWidth="1"/>
    <col min="2289" max="2289" width="14" style="7900" customWidth="1"/>
    <col min="2290" max="2291" width="16.44140625" style="7900" customWidth="1"/>
    <col min="2292" max="2541" width="9.109375" style="7900"/>
    <col min="2542" max="2542" width="3.88671875" style="7900" customWidth="1"/>
    <col min="2543" max="2543" width="40.44140625" style="7900" customWidth="1"/>
    <col min="2544" max="2544" width="12.44140625" style="7900" customWidth="1"/>
    <col min="2545" max="2545" width="14" style="7900" customWidth="1"/>
    <col min="2546" max="2547" width="16.44140625" style="7900" customWidth="1"/>
    <col min="2548" max="2797" width="9.109375" style="7900"/>
    <col min="2798" max="2798" width="3.88671875" style="7900" customWidth="1"/>
    <col min="2799" max="2799" width="40.44140625" style="7900" customWidth="1"/>
    <col min="2800" max="2800" width="12.44140625" style="7900" customWidth="1"/>
    <col min="2801" max="2801" width="14" style="7900" customWidth="1"/>
    <col min="2802" max="2803" width="16.44140625" style="7900" customWidth="1"/>
    <col min="2804" max="3053" width="9.109375" style="7900"/>
    <col min="3054" max="3054" width="3.88671875" style="7900" customWidth="1"/>
    <col min="3055" max="3055" width="40.44140625" style="7900" customWidth="1"/>
    <col min="3056" max="3056" width="12.44140625" style="7900" customWidth="1"/>
    <col min="3057" max="3057" width="14" style="7900" customWidth="1"/>
    <col min="3058" max="3059" width="16.44140625" style="7900" customWidth="1"/>
    <col min="3060" max="3309" width="9.109375" style="7900"/>
    <col min="3310" max="3310" width="3.88671875" style="7900" customWidth="1"/>
    <col min="3311" max="3311" width="40.44140625" style="7900" customWidth="1"/>
    <col min="3312" max="3312" width="12.44140625" style="7900" customWidth="1"/>
    <col min="3313" max="3313" width="14" style="7900" customWidth="1"/>
    <col min="3314" max="3315" width="16.44140625" style="7900" customWidth="1"/>
    <col min="3316" max="3565" width="9.109375" style="7900"/>
    <col min="3566" max="3566" width="3.88671875" style="7900" customWidth="1"/>
    <col min="3567" max="3567" width="40.44140625" style="7900" customWidth="1"/>
    <col min="3568" max="3568" width="12.44140625" style="7900" customWidth="1"/>
    <col min="3569" max="3569" width="14" style="7900" customWidth="1"/>
    <col min="3570" max="3571" width="16.44140625" style="7900" customWidth="1"/>
    <col min="3572" max="3821" width="9.109375" style="7900"/>
    <col min="3822" max="3822" width="3.88671875" style="7900" customWidth="1"/>
    <col min="3823" max="3823" width="40.44140625" style="7900" customWidth="1"/>
    <col min="3824" max="3824" width="12.44140625" style="7900" customWidth="1"/>
    <col min="3825" max="3825" width="14" style="7900" customWidth="1"/>
    <col min="3826" max="3827" width="16.44140625" style="7900" customWidth="1"/>
    <col min="3828" max="4077" width="9.109375" style="7900"/>
    <col min="4078" max="4078" width="3.88671875" style="7900" customWidth="1"/>
    <col min="4079" max="4079" width="40.44140625" style="7900" customWidth="1"/>
    <col min="4080" max="4080" width="12.44140625" style="7900" customWidth="1"/>
    <col min="4081" max="4081" width="14" style="7900" customWidth="1"/>
    <col min="4082" max="4083" width="16.44140625" style="7900" customWidth="1"/>
    <col min="4084" max="4333" width="9.109375" style="7900"/>
    <col min="4334" max="4334" width="3.88671875" style="7900" customWidth="1"/>
    <col min="4335" max="4335" width="40.44140625" style="7900" customWidth="1"/>
    <col min="4336" max="4336" width="12.44140625" style="7900" customWidth="1"/>
    <col min="4337" max="4337" width="14" style="7900" customWidth="1"/>
    <col min="4338" max="4339" width="16.44140625" style="7900" customWidth="1"/>
    <col min="4340" max="4589" width="9.109375" style="7900"/>
    <col min="4590" max="4590" width="3.88671875" style="7900" customWidth="1"/>
    <col min="4591" max="4591" width="40.44140625" style="7900" customWidth="1"/>
    <col min="4592" max="4592" width="12.44140625" style="7900" customWidth="1"/>
    <col min="4593" max="4593" width="14" style="7900" customWidth="1"/>
    <col min="4594" max="4595" width="16.44140625" style="7900" customWidth="1"/>
    <col min="4596" max="4845" width="9.109375" style="7900"/>
    <col min="4846" max="4846" width="3.88671875" style="7900" customWidth="1"/>
    <col min="4847" max="4847" width="40.44140625" style="7900" customWidth="1"/>
    <col min="4848" max="4848" width="12.44140625" style="7900" customWidth="1"/>
    <col min="4849" max="4849" width="14" style="7900" customWidth="1"/>
    <col min="4850" max="4851" width="16.44140625" style="7900" customWidth="1"/>
    <col min="4852" max="5101" width="9.109375" style="7900"/>
    <col min="5102" max="5102" width="3.88671875" style="7900" customWidth="1"/>
    <col min="5103" max="5103" width="40.44140625" style="7900" customWidth="1"/>
    <col min="5104" max="5104" width="12.44140625" style="7900" customWidth="1"/>
    <col min="5105" max="5105" width="14" style="7900" customWidth="1"/>
    <col min="5106" max="5107" width="16.44140625" style="7900" customWidth="1"/>
    <col min="5108" max="5357" width="9.109375" style="7900"/>
    <col min="5358" max="5358" width="3.88671875" style="7900" customWidth="1"/>
    <col min="5359" max="5359" width="40.44140625" style="7900" customWidth="1"/>
    <col min="5360" max="5360" width="12.44140625" style="7900" customWidth="1"/>
    <col min="5361" max="5361" width="14" style="7900" customWidth="1"/>
    <col min="5362" max="5363" width="16.44140625" style="7900" customWidth="1"/>
    <col min="5364" max="5613" width="9.109375" style="7900"/>
    <col min="5614" max="5614" width="3.88671875" style="7900" customWidth="1"/>
    <col min="5615" max="5615" width="40.44140625" style="7900" customWidth="1"/>
    <col min="5616" max="5616" width="12.44140625" style="7900" customWidth="1"/>
    <col min="5617" max="5617" width="14" style="7900" customWidth="1"/>
    <col min="5618" max="5619" width="16.44140625" style="7900" customWidth="1"/>
    <col min="5620" max="5869" width="9.109375" style="7900"/>
    <col min="5870" max="5870" width="3.88671875" style="7900" customWidth="1"/>
    <col min="5871" max="5871" width="40.44140625" style="7900" customWidth="1"/>
    <col min="5872" max="5872" width="12.44140625" style="7900" customWidth="1"/>
    <col min="5873" max="5873" width="14" style="7900" customWidth="1"/>
    <col min="5874" max="5875" width="16.44140625" style="7900" customWidth="1"/>
    <col min="5876" max="6125" width="9.109375" style="7900"/>
    <col min="6126" max="6126" width="3.88671875" style="7900" customWidth="1"/>
    <col min="6127" max="6127" width="40.44140625" style="7900" customWidth="1"/>
    <col min="6128" max="6128" width="12.44140625" style="7900" customWidth="1"/>
    <col min="6129" max="6129" width="14" style="7900" customWidth="1"/>
    <col min="6130" max="6131" width="16.44140625" style="7900" customWidth="1"/>
    <col min="6132" max="6381" width="9.109375" style="7900"/>
    <col min="6382" max="6382" width="3.88671875" style="7900" customWidth="1"/>
    <col min="6383" max="6383" width="40.44140625" style="7900" customWidth="1"/>
    <col min="6384" max="6384" width="12.44140625" style="7900" customWidth="1"/>
    <col min="6385" max="6385" width="14" style="7900" customWidth="1"/>
    <col min="6386" max="6387" width="16.44140625" style="7900" customWidth="1"/>
    <col min="6388" max="6637" width="9.109375" style="7900"/>
    <col min="6638" max="6638" width="3.88671875" style="7900" customWidth="1"/>
    <col min="6639" max="6639" width="40.44140625" style="7900" customWidth="1"/>
    <col min="6640" max="6640" width="12.44140625" style="7900" customWidth="1"/>
    <col min="6641" max="6641" width="14" style="7900" customWidth="1"/>
    <col min="6642" max="6643" width="16.44140625" style="7900" customWidth="1"/>
    <col min="6644" max="6893" width="9.109375" style="7900"/>
    <col min="6894" max="6894" width="3.88671875" style="7900" customWidth="1"/>
    <col min="6895" max="6895" width="40.44140625" style="7900" customWidth="1"/>
    <col min="6896" max="6896" width="12.44140625" style="7900" customWidth="1"/>
    <col min="6897" max="6897" width="14" style="7900" customWidth="1"/>
    <col min="6898" max="6899" width="16.44140625" style="7900" customWidth="1"/>
    <col min="6900" max="7149" width="9.109375" style="7900"/>
    <col min="7150" max="7150" width="3.88671875" style="7900" customWidth="1"/>
    <col min="7151" max="7151" width="40.44140625" style="7900" customWidth="1"/>
    <col min="7152" max="7152" width="12.44140625" style="7900" customWidth="1"/>
    <col min="7153" max="7153" width="14" style="7900" customWidth="1"/>
    <col min="7154" max="7155" width="16.44140625" style="7900" customWidth="1"/>
    <col min="7156" max="7405" width="9.109375" style="7900"/>
    <col min="7406" max="7406" width="3.88671875" style="7900" customWidth="1"/>
    <col min="7407" max="7407" width="40.44140625" style="7900" customWidth="1"/>
    <col min="7408" max="7408" width="12.44140625" style="7900" customWidth="1"/>
    <col min="7409" max="7409" width="14" style="7900" customWidth="1"/>
    <col min="7410" max="7411" width="16.44140625" style="7900" customWidth="1"/>
    <col min="7412" max="7661" width="9.109375" style="7900"/>
    <col min="7662" max="7662" width="3.88671875" style="7900" customWidth="1"/>
    <col min="7663" max="7663" width="40.44140625" style="7900" customWidth="1"/>
    <col min="7664" max="7664" width="12.44140625" style="7900" customWidth="1"/>
    <col min="7665" max="7665" width="14" style="7900" customWidth="1"/>
    <col min="7666" max="7667" width="16.44140625" style="7900" customWidth="1"/>
    <col min="7668" max="7917" width="9.109375" style="7900"/>
    <col min="7918" max="7918" width="3.88671875" style="7900" customWidth="1"/>
    <col min="7919" max="7919" width="40.44140625" style="7900" customWidth="1"/>
    <col min="7920" max="7920" width="12.44140625" style="7900" customWidth="1"/>
    <col min="7921" max="7921" width="14" style="7900" customWidth="1"/>
    <col min="7922" max="7923" width="16.44140625" style="7900" customWidth="1"/>
    <col min="7924" max="8173" width="9.109375" style="7900"/>
    <col min="8174" max="8174" width="3.88671875" style="7900" customWidth="1"/>
    <col min="8175" max="8175" width="40.44140625" style="7900" customWidth="1"/>
    <col min="8176" max="8176" width="12.44140625" style="7900" customWidth="1"/>
    <col min="8177" max="8177" width="14" style="7900" customWidth="1"/>
    <col min="8178" max="8179" width="16.44140625" style="7900" customWidth="1"/>
    <col min="8180" max="8429" width="9.109375" style="7900"/>
    <col min="8430" max="8430" width="3.88671875" style="7900" customWidth="1"/>
    <col min="8431" max="8431" width="40.44140625" style="7900" customWidth="1"/>
    <col min="8432" max="8432" width="12.44140625" style="7900" customWidth="1"/>
    <col min="8433" max="8433" width="14" style="7900" customWidth="1"/>
    <col min="8434" max="8435" width="16.44140625" style="7900" customWidth="1"/>
    <col min="8436" max="8685" width="9.109375" style="7900"/>
    <col min="8686" max="8686" width="3.88671875" style="7900" customWidth="1"/>
    <col min="8687" max="8687" width="40.44140625" style="7900" customWidth="1"/>
    <col min="8688" max="8688" width="12.44140625" style="7900" customWidth="1"/>
    <col min="8689" max="8689" width="14" style="7900" customWidth="1"/>
    <col min="8690" max="8691" width="16.44140625" style="7900" customWidth="1"/>
    <col min="8692" max="8941" width="9.109375" style="7900"/>
    <col min="8942" max="8942" width="3.88671875" style="7900" customWidth="1"/>
    <col min="8943" max="8943" width="40.44140625" style="7900" customWidth="1"/>
    <col min="8944" max="8944" width="12.44140625" style="7900" customWidth="1"/>
    <col min="8945" max="8945" width="14" style="7900" customWidth="1"/>
    <col min="8946" max="8947" width="16.44140625" style="7900" customWidth="1"/>
    <col min="8948" max="9197" width="9.109375" style="7900"/>
    <col min="9198" max="9198" width="3.88671875" style="7900" customWidth="1"/>
    <col min="9199" max="9199" width="40.44140625" style="7900" customWidth="1"/>
    <col min="9200" max="9200" width="12.44140625" style="7900" customWidth="1"/>
    <col min="9201" max="9201" width="14" style="7900" customWidth="1"/>
    <col min="9202" max="9203" width="16.44140625" style="7900" customWidth="1"/>
    <col min="9204" max="9453" width="9.109375" style="7900"/>
    <col min="9454" max="9454" width="3.88671875" style="7900" customWidth="1"/>
    <col min="9455" max="9455" width="40.44140625" style="7900" customWidth="1"/>
    <col min="9456" max="9456" width="12.44140625" style="7900" customWidth="1"/>
    <col min="9457" max="9457" width="14" style="7900" customWidth="1"/>
    <col min="9458" max="9459" width="16.44140625" style="7900" customWidth="1"/>
    <col min="9460" max="9709" width="9.109375" style="7900"/>
    <col min="9710" max="9710" width="3.88671875" style="7900" customWidth="1"/>
    <col min="9711" max="9711" width="40.44140625" style="7900" customWidth="1"/>
    <col min="9712" max="9712" width="12.44140625" style="7900" customWidth="1"/>
    <col min="9713" max="9713" width="14" style="7900" customWidth="1"/>
    <col min="9714" max="9715" width="16.44140625" style="7900" customWidth="1"/>
    <col min="9716" max="9965" width="9.109375" style="7900"/>
    <col min="9966" max="9966" width="3.88671875" style="7900" customWidth="1"/>
    <col min="9967" max="9967" width="40.44140625" style="7900" customWidth="1"/>
    <col min="9968" max="9968" width="12.44140625" style="7900" customWidth="1"/>
    <col min="9969" max="9969" width="14" style="7900" customWidth="1"/>
    <col min="9970" max="9971" width="16.44140625" style="7900" customWidth="1"/>
    <col min="9972" max="10221" width="9.109375" style="7900"/>
    <col min="10222" max="10222" width="3.88671875" style="7900" customWidth="1"/>
    <col min="10223" max="10223" width="40.44140625" style="7900" customWidth="1"/>
    <col min="10224" max="10224" width="12.44140625" style="7900" customWidth="1"/>
    <col min="10225" max="10225" width="14" style="7900" customWidth="1"/>
    <col min="10226" max="10227" width="16.44140625" style="7900" customWidth="1"/>
    <col min="10228" max="10477" width="9.109375" style="7900"/>
    <col min="10478" max="10478" width="3.88671875" style="7900" customWidth="1"/>
    <col min="10479" max="10479" width="40.44140625" style="7900" customWidth="1"/>
    <col min="10480" max="10480" width="12.44140625" style="7900" customWidth="1"/>
    <col min="10481" max="10481" width="14" style="7900" customWidth="1"/>
    <col min="10482" max="10483" width="16.44140625" style="7900" customWidth="1"/>
    <col min="10484" max="10733" width="9.109375" style="7900"/>
    <col min="10734" max="10734" width="3.88671875" style="7900" customWidth="1"/>
    <col min="10735" max="10735" width="40.44140625" style="7900" customWidth="1"/>
    <col min="10736" max="10736" width="12.44140625" style="7900" customWidth="1"/>
    <col min="10737" max="10737" width="14" style="7900" customWidth="1"/>
    <col min="10738" max="10739" width="16.44140625" style="7900" customWidth="1"/>
    <col min="10740" max="10989" width="9.109375" style="7900"/>
    <col min="10990" max="10990" width="3.88671875" style="7900" customWidth="1"/>
    <col min="10991" max="10991" width="40.44140625" style="7900" customWidth="1"/>
    <col min="10992" max="10992" width="12.44140625" style="7900" customWidth="1"/>
    <col min="10993" max="10993" width="14" style="7900" customWidth="1"/>
    <col min="10994" max="10995" width="16.44140625" style="7900" customWidth="1"/>
    <col min="10996" max="11245" width="9.109375" style="7900"/>
    <col min="11246" max="11246" width="3.88671875" style="7900" customWidth="1"/>
    <col min="11247" max="11247" width="40.44140625" style="7900" customWidth="1"/>
    <col min="11248" max="11248" width="12.44140625" style="7900" customWidth="1"/>
    <col min="11249" max="11249" width="14" style="7900" customWidth="1"/>
    <col min="11250" max="11251" width="16.44140625" style="7900" customWidth="1"/>
    <col min="11252" max="11501" width="9.109375" style="7900"/>
    <col min="11502" max="11502" width="3.88671875" style="7900" customWidth="1"/>
    <col min="11503" max="11503" width="40.44140625" style="7900" customWidth="1"/>
    <col min="11504" max="11504" width="12.44140625" style="7900" customWidth="1"/>
    <col min="11505" max="11505" width="14" style="7900" customWidth="1"/>
    <col min="11506" max="11507" width="16.44140625" style="7900" customWidth="1"/>
    <col min="11508" max="11757" width="9.109375" style="7900"/>
    <col min="11758" max="11758" width="3.88671875" style="7900" customWidth="1"/>
    <col min="11759" max="11759" width="40.44140625" style="7900" customWidth="1"/>
    <col min="11760" max="11760" width="12.44140625" style="7900" customWidth="1"/>
    <col min="11761" max="11761" width="14" style="7900" customWidth="1"/>
    <col min="11762" max="11763" width="16.44140625" style="7900" customWidth="1"/>
    <col min="11764" max="12013" width="9.109375" style="7900"/>
    <col min="12014" max="12014" width="3.88671875" style="7900" customWidth="1"/>
    <col min="12015" max="12015" width="40.44140625" style="7900" customWidth="1"/>
    <col min="12016" max="12016" width="12.44140625" style="7900" customWidth="1"/>
    <col min="12017" max="12017" width="14" style="7900" customWidth="1"/>
    <col min="12018" max="12019" width="16.44140625" style="7900" customWidth="1"/>
    <col min="12020" max="12269" width="9.109375" style="7900"/>
    <col min="12270" max="12270" width="3.88671875" style="7900" customWidth="1"/>
    <col min="12271" max="12271" width="40.44140625" style="7900" customWidth="1"/>
    <col min="12272" max="12272" width="12.44140625" style="7900" customWidth="1"/>
    <col min="12273" max="12273" width="14" style="7900" customWidth="1"/>
    <col min="12274" max="12275" width="16.44140625" style="7900" customWidth="1"/>
    <col min="12276" max="12525" width="9.109375" style="7900"/>
    <col min="12526" max="12526" width="3.88671875" style="7900" customWidth="1"/>
    <col min="12527" max="12527" width="40.44140625" style="7900" customWidth="1"/>
    <col min="12528" max="12528" width="12.44140625" style="7900" customWidth="1"/>
    <col min="12529" max="12529" width="14" style="7900" customWidth="1"/>
    <col min="12530" max="12531" width="16.44140625" style="7900" customWidth="1"/>
    <col min="12532" max="12781" width="9.109375" style="7900"/>
    <col min="12782" max="12782" width="3.88671875" style="7900" customWidth="1"/>
    <col min="12783" max="12783" width="40.44140625" style="7900" customWidth="1"/>
    <col min="12784" max="12784" width="12.44140625" style="7900" customWidth="1"/>
    <col min="12785" max="12785" width="14" style="7900" customWidth="1"/>
    <col min="12786" max="12787" width="16.44140625" style="7900" customWidth="1"/>
    <col min="12788" max="13037" width="9.109375" style="7900"/>
    <col min="13038" max="13038" width="3.88671875" style="7900" customWidth="1"/>
    <col min="13039" max="13039" width="40.44140625" style="7900" customWidth="1"/>
    <col min="13040" max="13040" width="12.44140625" style="7900" customWidth="1"/>
    <col min="13041" max="13041" width="14" style="7900" customWidth="1"/>
    <col min="13042" max="13043" width="16.44140625" style="7900" customWidth="1"/>
    <col min="13044" max="13293" width="9.109375" style="7900"/>
    <col min="13294" max="13294" width="3.88671875" style="7900" customWidth="1"/>
    <col min="13295" max="13295" width="40.44140625" style="7900" customWidth="1"/>
    <col min="13296" max="13296" width="12.44140625" style="7900" customWidth="1"/>
    <col min="13297" max="13297" width="14" style="7900" customWidth="1"/>
    <col min="13298" max="13299" width="16.44140625" style="7900" customWidth="1"/>
    <col min="13300" max="13549" width="9.109375" style="7900"/>
    <col min="13550" max="13550" width="3.88671875" style="7900" customWidth="1"/>
    <col min="13551" max="13551" width="40.44140625" style="7900" customWidth="1"/>
    <col min="13552" max="13552" width="12.44140625" style="7900" customWidth="1"/>
    <col min="13553" max="13553" width="14" style="7900" customWidth="1"/>
    <col min="13554" max="13555" width="16.44140625" style="7900" customWidth="1"/>
    <col min="13556" max="13805" width="9.109375" style="7900"/>
    <col min="13806" max="13806" width="3.88671875" style="7900" customWidth="1"/>
    <col min="13807" max="13807" width="40.44140625" style="7900" customWidth="1"/>
    <col min="13808" max="13808" width="12.44140625" style="7900" customWidth="1"/>
    <col min="13809" max="13809" width="14" style="7900" customWidth="1"/>
    <col min="13810" max="13811" width="16.44140625" style="7900" customWidth="1"/>
    <col min="13812" max="14061" width="9.109375" style="7900"/>
    <col min="14062" max="14062" width="3.88671875" style="7900" customWidth="1"/>
    <col min="14063" max="14063" width="40.44140625" style="7900" customWidth="1"/>
    <col min="14064" max="14064" width="12.44140625" style="7900" customWidth="1"/>
    <col min="14065" max="14065" width="14" style="7900" customWidth="1"/>
    <col min="14066" max="14067" width="16.44140625" style="7900" customWidth="1"/>
    <col min="14068" max="14317" width="9.109375" style="7900"/>
    <col min="14318" max="14318" width="3.88671875" style="7900" customWidth="1"/>
    <col min="14319" max="14319" width="40.44140625" style="7900" customWidth="1"/>
    <col min="14320" max="14320" width="12.44140625" style="7900" customWidth="1"/>
    <col min="14321" max="14321" width="14" style="7900" customWidth="1"/>
    <col min="14322" max="14323" width="16.44140625" style="7900" customWidth="1"/>
    <col min="14324" max="14573" width="9.109375" style="7900"/>
    <col min="14574" max="14574" width="3.88671875" style="7900" customWidth="1"/>
    <col min="14575" max="14575" width="40.44140625" style="7900" customWidth="1"/>
    <col min="14576" max="14576" width="12.44140625" style="7900" customWidth="1"/>
    <col min="14577" max="14577" width="14" style="7900" customWidth="1"/>
    <col min="14578" max="14579" width="16.44140625" style="7900" customWidth="1"/>
    <col min="14580" max="14829" width="9.109375" style="7900"/>
    <col min="14830" max="14830" width="3.88671875" style="7900" customWidth="1"/>
    <col min="14831" max="14831" width="40.44140625" style="7900" customWidth="1"/>
    <col min="14832" max="14832" width="12.44140625" style="7900" customWidth="1"/>
    <col min="14833" max="14833" width="14" style="7900" customWidth="1"/>
    <col min="14834" max="14835" width="16.44140625" style="7900" customWidth="1"/>
    <col min="14836" max="15085" width="9.109375" style="7900"/>
    <col min="15086" max="15086" width="3.88671875" style="7900" customWidth="1"/>
    <col min="15087" max="15087" width="40.44140625" style="7900" customWidth="1"/>
    <col min="15088" max="15088" width="12.44140625" style="7900" customWidth="1"/>
    <col min="15089" max="15089" width="14" style="7900" customWidth="1"/>
    <col min="15090" max="15091" width="16.44140625" style="7900" customWidth="1"/>
    <col min="15092" max="15341" width="9.109375" style="7900"/>
    <col min="15342" max="15342" width="3.88671875" style="7900" customWidth="1"/>
    <col min="15343" max="15343" width="40.44140625" style="7900" customWidth="1"/>
    <col min="15344" max="15344" width="12.44140625" style="7900" customWidth="1"/>
    <col min="15345" max="15345" width="14" style="7900" customWidth="1"/>
    <col min="15346" max="15347" width="16.44140625" style="7900" customWidth="1"/>
    <col min="15348" max="15597" width="9.109375" style="7900"/>
    <col min="15598" max="15598" width="3.88671875" style="7900" customWidth="1"/>
    <col min="15599" max="15599" width="40.44140625" style="7900" customWidth="1"/>
    <col min="15600" max="15600" width="12.44140625" style="7900" customWidth="1"/>
    <col min="15601" max="15601" width="14" style="7900" customWidth="1"/>
    <col min="15602" max="15603" width="16.44140625" style="7900" customWidth="1"/>
    <col min="15604" max="15853" width="9.109375" style="7900"/>
    <col min="15854" max="15854" width="3.88671875" style="7900" customWidth="1"/>
    <col min="15855" max="15855" width="40.44140625" style="7900" customWidth="1"/>
    <col min="15856" max="15856" width="12.44140625" style="7900" customWidth="1"/>
    <col min="15857" max="15857" width="14" style="7900" customWidth="1"/>
    <col min="15858" max="15859" width="16.44140625" style="7900" customWidth="1"/>
    <col min="15860" max="16109" width="9.109375" style="7900"/>
    <col min="16110" max="16110" width="3.88671875" style="7900" customWidth="1"/>
    <col min="16111" max="16111" width="40.44140625" style="7900" customWidth="1"/>
    <col min="16112" max="16112" width="12.44140625" style="7900" customWidth="1"/>
    <col min="16113" max="16113" width="14" style="7900" customWidth="1"/>
    <col min="16114" max="16115" width="16.44140625" style="7900" customWidth="1"/>
    <col min="16116" max="16384" width="9.109375" style="7900"/>
  </cols>
  <sheetData>
    <row r="1" spans="1:14" ht="15" customHeight="1">
      <c r="A1" s="14383" t="s">
        <v>1</v>
      </c>
      <c r="B1" s="14383"/>
      <c r="C1" s="14383"/>
      <c r="D1" s="14383"/>
      <c r="E1" s="14383"/>
      <c r="F1" s="14383"/>
      <c r="G1" s="14383"/>
      <c r="H1" s="14383"/>
      <c r="I1" s="14383"/>
      <c r="J1" s="14383"/>
      <c r="K1" s="14383"/>
      <c r="L1" s="13767"/>
    </row>
    <row r="3" spans="1:14" ht="15" customHeight="1">
      <c r="A3" s="7900" t="s">
        <v>10770</v>
      </c>
      <c r="B3" s="7912"/>
      <c r="C3" s="10538"/>
      <c r="D3" s="9567" t="s">
        <v>11255</v>
      </c>
      <c r="E3" s="8116"/>
      <c r="F3" s="8116"/>
      <c r="G3" s="9569"/>
      <c r="H3" s="8116"/>
      <c r="I3" s="8116"/>
      <c r="J3" s="8117"/>
      <c r="K3" s="14386"/>
      <c r="L3" s="8514"/>
    </row>
    <row r="4" spans="1:14" ht="15" customHeight="1">
      <c r="A4" s="7922" t="s">
        <v>88</v>
      </c>
      <c r="B4" s="7922"/>
      <c r="C4" s="10539"/>
      <c r="D4" s="9568" t="s">
        <v>8</v>
      </c>
      <c r="E4" s="8118"/>
      <c r="F4" s="8118"/>
      <c r="G4" s="9570"/>
      <c r="H4" s="8119"/>
      <c r="I4" s="8118"/>
      <c r="J4" s="8120"/>
      <c r="K4" s="14386"/>
      <c r="L4" s="8134"/>
    </row>
    <row r="5" spans="1:14" ht="15" customHeight="1" thickBot="1">
      <c r="A5" s="8121"/>
      <c r="B5" s="8121"/>
      <c r="C5" s="10540"/>
      <c r="D5" s="8122"/>
      <c r="E5" s="8123"/>
      <c r="F5" s="8124"/>
      <c r="G5" s="9571"/>
      <c r="H5" s="8123"/>
      <c r="I5" s="8124"/>
      <c r="J5" s="8125"/>
      <c r="K5" s="8123"/>
      <c r="L5" s="8118"/>
    </row>
    <row r="6" spans="1:14" ht="15" customHeight="1">
      <c r="A6" s="11325"/>
      <c r="B6" s="11326"/>
      <c r="C6" s="11327"/>
      <c r="D6" s="11328" t="s">
        <v>9</v>
      </c>
      <c r="E6" s="11329" t="s">
        <v>10</v>
      </c>
      <c r="F6" s="14188" t="s">
        <v>10711</v>
      </c>
      <c r="G6" s="14189"/>
      <c r="H6" s="14190"/>
      <c r="I6" s="11080" t="s">
        <v>9985</v>
      </c>
      <c r="J6" s="8206"/>
      <c r="K6" s="11330" t="s">
        <v>12</v>
      </c>
      <c r="L6" s="13771"/>
    </row>
    <row r="7" spans="1:14" ht="15" customHeight="1">
      <c r="A7" s="11331"/>
      <c r="B7" s="8126" t="s">
        <v>13</v>
      </c>
      <c r="C7" s="10541"/>
      <c r="D7" s="14384" t="s">
        <v>14</v>
      </c>
      <c r="E7" s="11332" t="s">
        <v>15</v>
      </c>
      <c r="F7" s="9502" t="s">
        <v>10709</v>
      </c>
      <c r="G7" s="11083" t="s">
        <v>10710</v>
      </c>
      <c r="H7" s="14191" t="s">
        <v>458</v>
      </c>
      <c r="I7" s="11084" t="s">
        <v>11820</v>
      </c>
      <c r="J7" s="11085"/>
      <c r="K7" s="11333" t="s">
        <v>16</v>
      </c>
      <c r="L7" s="13771"/>
    </row>
    <row r="8" spans="1:14" s="8127" customFormat="1" ht="15" customHeight="1" thickBot="1">
      <c r="A8" s="11334"/>
      <c r="B8" s="11335"/>
      <c r="C8" s="10542"/>
      <c r="D8" s="14385"/>
      <c r="E8" s="11336">
        <v>2017</v>
      </c>
      <c r="F8" s="9467" t="s">
        <v>457</v>
      </c>
      <c r="G8" s="11076" t="s">
        <v>456</v>
      </c>
      <c r="H8" s="14192"/>
      <c r="I8" s="7302">
        <v>2018</v>
      </c>
      <c r="J8" s="7322"/>
      <c r="K8" s="11337">
        <v>2019</v>
      </c>
      <c r="L8" s="13772"/>
      <c r="M8" s="11302"/>
      <c r="N8" s="11303"/>
    </row>
    <row r="9" spans="1:14" s="8127" customFormat="1" ht="15" customHeight="1">
      <c r="A9" s="11338"/>
      <c r="B9" s="8134"/>
      <c r="C9" s="10541"/>
      <c r="D9" s="11339"/>
      <c r="E9" s="11340"/>
      <c r="F9" s="11340"/>
      <c r="G9" s="11341"/>
      <c r="H9" s="11342"/>
      <c r="I9" s="11181"/>
      <c r="J9" s="11108"/>
      <c r="K9" s="11343"/>
      <c r="L9" s="13772"/>
      <c r="M9" s="11302"/>
      <c r="N9" s="11303"/>
    </row>
    <row r="10" spans="1:14" ht="15" customHeight="1">
      <c r="A10" s="11344" t="s">
        <v>17</v>
      </c>
      <c r="B10" s="7922" t="s">
        <v>18</v>
      </c>
      <c r="C10" s="10539"/>
      <c r="D10" s="11279"/>
      <c r="E10" s="11345"/>
      <c r="F10" s="11345"/>
      <c r="G10" s="11346"/>
      <c r="H10" s="11345"/>
      <c r="I10" s="11345"/>
      <c r="J10" s="11347"/>
      <c r="K10" s="11348"/>
      <c r="L10" s="8118"/>
    </row>
    <row r="11" spans="1:14" ht="15" customHeight="1">
      <c r="A11" s="11331"/>
      <c r="B11" s="7922" t="s">
        <v>19</v>
      </c>
      <c r="C11" s="10539"/>
      <c r="D11" s="11279"/>
      <c r="E11" s="11349"/>
      <c r="F11" s="11349"/>
      <c r="G11" s="11350"/>
      <c r="H11" s="11349"/>
      <c r="I11" s="11349"/>
      <c r="J11" s="11351"/>
      <c r="K11" s="11352"/>
      <c r="L11" s="8118"/>
    </row>
    <row r="12" spans="1:14" ht="15" customHeight="1">
      <c r="A12" s="11331"/>
      <c r="B12" s="7913" t="s">
        <v>56</v>
      </c>
      <c r="C12" s="10543"/>
      <c r="D12" s="11353">
        <v>50101010</v>
      </c>
      <c r="E12" s="11354">
        <f>'WS-PS 2017'!B43</f>
        <v>1271061.78</v>
      </c>
      <c r="F12" s="11354">
        <f>'WS-PS ACTUAL JUNE 2018'!B44</f>
        <v>682407.4</v>
      </c>
      <c r="G12" s="11355">
        <f>H12-F12</f>
        <v>1180016.6000000001</v>
      </c>
      <c r="H12" s="11354">
        <v>1862424</v>
      </c>
      <c r="I12" s="11354"/>
      <c r="J12" s="11356"/>
      <c r="K12" s="11357">
        <f>M12</f>
        <v>1988484</v>
      </c>
      <c r="L12" s="13773"/>
      <c r="M12" s="11304">
        <f>'staffing-bipc'!F36</f>
        <v>1988484</v>
      </c>
      <c r="N12" s="7932">
        <f>'staffing-bipc'!B36</f>
        <v>7</v>
      </c>
    </row>
    <row r="13" spans="1:14" ht="15" customHeight="1">
      <c r="A13" s="11331"/>
      <c r="B13" s="7913" t="s">
        <v>58</v>
      </c>
      <c r="C13" s="10543"/>
      <c r="D13" s="11353">
        <v>50102010</v>
      </c>
      <c r="E13" s="11358">
        <f>'WS-PS 2017'!F43</f>
        <v>119483.27</v>
      </c>
      <c r="F13" s="11358">
        <f>'WS-PS ACTUAL JUNE 2018'!D44</f>
        <v>58895.360000000001</v>
      </c>
      <c r="G13" s="11355">
        <f t="shared" ref="G13:G25" si="0">H13-F13</f>
        <v>109104.64</v>
      </c>
      <c r="H13" s="11358">
        <v>168000</v>
      </c>
      <c r="I13" s="11358"/>
      <c r="J13" s="10172"/>
      <c r="K13" s="11357">
        <f t="shared" ref="K13:K25" si="1">M13</f>
        <v>168000</v>
      </c>
      <c r="L13" s="13773"/>
      <c r="M13" s="7502">
        <f>24000*N12</f>
        <v>168000</v>
      </c>
    </row>
    <row r="14" spans="1:14" ht="15" customHeight="1">
      <c r="A14" s="11331"/>
      <c r="B14" s="7913" t="s">
        <v>79</v>
      </c>
      <c r="C14" s="10543"/>
      <c r="D14" s="11353">
        <v>50102040</v>
      </c>
      <c r="E14" s="11358">
        <f>'WS-PS 2017'!I43</f>
        <v>25000</v>
      </c>
      <c r="F14" s="11358">
        <f>'WS-PS ACTUAL JUNE 2018'!G44</f>
        <v>31000</v>
      </c>
      <c r="G14" s="11355">
        <f t="shared" si="0"/>
        <v>4000</v>
      </c>
      <c r="H14" s="11358">
        <v>35000</v>
      </c>
      <c r="I14" s="11358"/>
      <c r="J14" s="10172"/>
      <c r="K14" s="11357">
        <f t="shared" si="1"/>
        <v>42000</v>
      </c>
      <c r="L14" s="13773"/>
      <c r="M14" s="7502">
        <f>6000*N12</f>
        <v>42000</v>
      </c>
    </row>
    <row r="15" spans="1:14" ht="15" customHeight="1">
      <c r="A15" s="11331"/>
      <c r="B15" s="7488" t="s">
        <v>10932</v>
      </c>
      <c r="C15" s="10078"/>
      <c r="D15" s="11359">
        <v>50102080</v>
      </c>
      <c r="E15" s="11358">
        <f>'WS-PS 2017'!P43</f>
        <v>0</v>
      </c>
      <c r="F15" s="11358">
        <f>'WS-PS ACTUAL JUNE 2018'!J44</f>
        <v>0</v>
      </c>
      <c r="G15" s="11355">
        <f t="shared" si="0"/>
        <v>35000</v>
      </c>
      <c r="H15" s="11358">
        <v>35000</v>
      </c>
      <c r="I15" s="11358"/>
      <c r="J15" s="10172"/>
      <c r="K15" s="11357">
        <f t="shared" si="1"/>
        <v>35000</v>
      </c>
      <c r="L15" s="13773"/>
      <c r="M15" s="7502">
        <f>5000*N12</f>
        <v>35000</v>
      </c>
    </row>
    <row r="16" spans="1:14" ht="15" customHeight="1">
      <c r="A16" s="11331"/>
      <c r="B16" s="7488" t="s">
        <v>10934</v>
      </c>
      <c r="C16" s="10078"/>
      <c r="D16" s="10387">
        <v>50102120</v>
      </c>
      <c r="E16" s="11358">
        <f>'WS-PS 2017'!O43</f>
        <v>10000</v>
      </c>
      <c r="F16" s="11358">
        <f>'WS-PS ACTUAL JUNE 2018'!M44</f>
        <v>0</v>
      </c>
      <c r="G16" s="11355">
        <f>H16-F16</f>
        <v>5000</v>
      </c>
      <c r="H16" s="11358">
        <v>5000</v>
      </c>
      <c r="I16" s="11358"/>
      <c r="J16" s="10172"/>
      <c r="K16" s="11357">
        <f t="shared" si="1"/>
        <v>0</v>
      </c>
      <c r="L16" s="13773"/>
    </row>
    <row r="17" spans="1:14" ht="15" customHeight="1">
      <c r="A17" s="11331"/>
      <c r="B17" s="7488" t="s">
        <v>10933</v>
      </c>
      <c r="C17" s="10078"/>
      <c r="D17" s="10387">
        <v>50102140</v>
      </c>
      <c r="E17" s="11354">
        <f>'WS-PS 2017'!U43+'WS-PS 2017'!S43</f>
        <v>212206</v>
      </c>
      <c r="F17" s="11354">
        <f>'WS-PS ACTUAL JUNE 2018'!O44</f>
        <v>114746</v>
      </c>
      <c r="G17" s="11355">
        <f>H17-F17</f>
        <v>195658</v>
      </c>
      <c r="H17" s="11354">
        <v>310404</v>
      </c>
      <c r="I17" s="11354"/>
      <c r="J17" s="11356"/>
      <c r="K17" s="11357">
        <f t="shared" si="1"/>
        <v>331414</v>
      </c>
      <c r="L17" s="13773"/>
      <c r="M17" s="7502">
        <f>M12/12*2</f>
        <v>331414</v>
      </c>
    </row>
    <row r="18" spans="1:14" ht="15" customHeight="1">
      <c r="A18" s="11331"/>
      <c r="B18" s="7913" t="s">
        <v>26</v>
      </c>
      <c r="C18" s="10543"/>
      <c r="D18" s="11353">
        <v>50102150</v>
      </c>
      <c r="E18" s="11358">
        <f>'WS-PS 2017'!T43</f>
        <v>25000</v>
      </c>
      <c r="F18" s="11358">
        <f>'WS-PS ACTUAL JUNE 2018'!Q44</f>
        <v>0</v>
      </c>
      <c r="G18" s="11355">
        <f t="shared" si="0"/>
        <v>35000</v>
      </c>
      <c r="H18" s="11358">
        <v>35000</v>
      </c>
      <c r="I18" s="11358"/>
      <c r="J18" s="10172"/>
      <c r="K18" s="11357">
        <f t="shared" si="1"/>
        <v>35000</v>
      </c>
      <c r="L18" s="13773"/>
      <c r="M18" s="10573">
        <f>M15</f>
        <v>35000</v>
      </c>
    </row>
    <row r="19" spans="1:14" ht="15" customHeight="1">
      <c r="A19" s="11331"/>
      <c r="B19" s="7488" t="s">
        <v>11497</v>
      </c>
      <c r="C19" s="10078"/>
      <c r="D19" s="11360">
        <v>50102990</v>
      </c>
      <c r="E19" s="11358">
        <v>0</v>
      </c>
      <c r="F19" s="11358">
        <f>'WS-PS ACTUAL JUNE 2018'!R44</f>
        <v>0</v>
      </c>
      <c r="G19" s="11355">
        <f>H19-F19</f>
        <v>89242</v>
      </c>
      <c r="H19" s="11358">
        <v>89242</v>
      </c>
      <c r="I19" s="11358"/>
      <c r="J19" s="10172"/>
      <c r="K19" s="11357">
        <v>0</v>
      </c>
      <c r="L19" s="13773"/>
      <c r="M19" s="7502">
        <f>0.575*(M12/12)</f>
        <v>95281.524999999994</v>
      </c>
    </row>
    <row r="20" spans="1:14" ht="15" customHeight="1">
      <c r="A20" s="11331"/>
      <c r="B20" s="7803" t="s">
        <v>11499</v>
      </c>
      <c r="C20" s="7860"/>
      <c r="D20" s="11059" t="s">
        <v>11495</v>
      </c>
      <c r="E20" s="11358">
        <f>'WS-PS 2017'!Q43</f>
        <v>0</v>
      </c>
      <c r="F20" s="11358">
        <f>'WS-PS ACTUAL JUNE 2018'!S44</f>
        <v>0</v>
      </c>
      <c r="G20" s="11355">
        <f>H20-F20</f>
        <v>0</v>
      </c>
      <c r="H20" s="11358">
        <v>0</v>
      </c>
      <c r="I20" s="11358"/>
      <c r="J20" s="10172"/>
      <c r="K20" s="11357">
        <f t="shared" si="1"/>
        <v>21000</v>
      </c>
      <c r="L20" s="13773"/>
      <c r="M20" s="7502">
        <f>3000*N12</f>
        <v>21000</v>
      </c>
    </row>
    <row r="21" spans="1:14" ht="15" customHeight="1">
      <c r="A21" s="11331"/>
      <c r="B21" s="7913" t="s">
        <v>59</v>
      </c>
      <c r="C21" s="10543"/>
      <c r="D21" s="11353">
        <v>50103010</v>
      </c>
      <c r="E21" s="11358">
        <f>'WS-PS 2017'!V43</f>
        <v>152527.44</v>
      </c>
      <c r="F21" s="11358">
        <f>'WS-PS ACTUAL JUNE 2018'!T44</f>
        <v>81888.89</v>
      </c>
      <c r="G21" s="11355">
        <f t="shared" si="0"/>
        <v>141602.10999999999</v>
      </c>
      <c r="H21" s="11358">
        <v>223491</v>
      </c>
      <c r="I21" s="11358"/>
      <c r="J21" s="10172"/>
      <c r="K21" s="11357">
        <f t="shared" si="1"/>
        <v>238618.08</v>
      </c>
      <c r="L21" s="13773"/>
      <c r="M21" s="7502">
        <f>M12*12%</f>
        <v>238618.08</v>
      </c>
    </row>
    <row r="22" spans="1:14" ht="15" customHeight="1">
      <c r="A22" s="11331"/>
      <c r="B22" s="7913" t="s">
        <v>28</v>
      </c>
      <c r="C22" s="10543"/>
      <c r="D22" s="11353">
        <v>50103020</v>
      </c>
      <c r="E22" s="11358">
        <f>'WS-PS 2017'!W43</f>
        <v>6000</v>
      </c>
      <c r="F22" s="11358">
        <f>'WS-PS ACTUAL JUNE 2018'!U44</f>
        <v>3000</v>
      </c>
      <c r="G22" s="11355">
        <f t="shared" si="0"/>
        <v>5400</v>
      </c>
      <c r="H22" s="11358">
        <v>8400</v>
      </c>
      <c r="I22" s="11358"/>
      <c r="J22" s="10172"/>
      <c r="K22" s="11357">
        <f t="shared" si="1"/>
        <v>8400</v>
      </c>
      <c r="L22" s="13773"/>
      <c r="M22" s="7502">
        <f>1200*N12</f>
        <v>8400</v>
      </c>
    </row>
    <row r="23" spans="1:14" ht="15" customHeight="1">
      <c r="A23" s="11331"/>
      <c r="B23" s="7913" t="s">
        <v>29</v>
      </c>
      <c r="C23" s="10543"/>
      <c r="D23" s="11353">
        <v>50103030</v>
      </c>
      <c r="E23" s="11358">
        <f>'WS-PS 2017'!X43</f>
        <v>12362.5</v>
      </c>
      <c r="F23" s="11358">
        <f>'WS-PS ACTUAL JUNE 2018'!V44</f>
        <v>7849.86</v>
      </c>
      <c r="G23" s="11355">
        <f t="shared" si="0"/>
        <v>16150.14</v>
      </c>
      <c r="H23" s="11358">
        <v>24000</v>
      </c>
      <c r="I23" s="11358"/>
      <c r="J23" s="10172"/>
      <c r="K23" s="11357">
        <v>22988.130000000005</v>
      </c>
      <c r="L23" s="13773"/>
      <c r="M23" s="7502">
        <f>3600*N12</f>
        <v>25200</v>
      </c>
    </row>
    <row r="24" spans="1:14" ht="15" customHeight="1">
      <c r="A24" s="11331"/>
      <c r="B24" s="7913" t="s">
        <v>30</v>
      </c>
      <c r="C24" s="10543"/>
      <c r="D24" s="11353">
        <v>50103040</v>
      </c>
      <c r="E24" s="11358">
        <f>'WS-PS 2017'!Y43</f>
        <v>5994.82</v>
      </c>
      <c r="F24" s="11358">
        <f>'WS-PS ACTUAL JUNE 2018'!W44</f>
        <v>2994.84</v>
      </c>
      <c r="G24" s="11355">
        <f t="shared" si="0"/>
        <v>5405.16</v>
      </c>
      <c r="H24" s="11358">
        <v>8400</v>
      </c>
      <c r="I24" s="11358"/>
      <c r="J24" s="10172"/>
      <c r="K24" s="11357">
        <f t="shared" si="1"/>
        <v>8400</v>
      </c>
      <c r="L24" s="13773"/>
      <c r="M24" s="7502">
        <f>M22</f>
        <v>8400</v>
      </c>
    </row>
    <row r="25" spans="1:14" ht="15" customHeight="1">
      <c r="A25" s="11331"/>
      <c r="B25" s="7488" t="s">
        <v>5025</v>
      </c>
      <c r="C25" s="10078"/>
      <c r="D25" s="11059">
        <v>50104990</v>
      </c>
      <c r="E25" s="11358">
        <f>'WS-PS 2017'!Z43</f>
        <v>125000</v>
      </c>
      <c r="F25" s="11358"/>
      <c r="G25" s="11355">
        <f t="shared" si="0"/>
        <v>0</v>
      </c>
      <c r="H25" s="11358">
        <v>0</v>
      </c>
      <c r="I25" s="11358"/>
      <c r="J25" s="10172"/>
      <c r="K25" s="11357">
        <f t="shared" si="1"/>
        <v>0</v>
      </c>
      <c r="L25" s="13773"/>
    </row>
    <row r="26" spans="1:14" s="8128" customFormat="1" ht="15" customHeight="1">
      <c r="A26" s="11361"/>
      <c r="B26" s="7731"/>
      <c r="C26" s="7733"/>
      <c r="D26" s="10105" t="s">
        <v>9</v>
      </c>
      <c r="E26" s="8880" t="s">
        <v>9</v>
      </c>
      <c r="F26" s="8880"/>
      <c r="G26" s="11362"/>
      <c r="H26" s="8880"/>
      <c r="I26" s="8880"/>
      <c r="J26" s="10662"/>
      <c r="K26" s="11363"/>
      <c r="L26" s="13774"/>
      <c r="M26" s="11324"/>
      <c r="N26" s="11305"/>
    </row>
    <row r="27" spans="1:14" s="7837" customFormat="1" ht="15" customHeight="1" thickBot="1">
      <c r="A27" s="11364"/>
      <c r="B27" s="11365" t="s">
        <v>37</v>
      </c>
      <c r="C27" s="11366"/>
      <c r="D27" s="11367"/>
      <c r="E27" s="11368">
        <f>SUM(E11:E26)</f>
        <v>1964635.81</v>
      </c>
      <c r="F27" s="11368">
        <f>SUM(F11:F26)</f>
        <v>982782.35</v>
      </c>
      <c r="G27" s="11368">
        <f>SUM(G11:G26)</f>
        <v>1821578.65</v>
      </c>
      <c r="H27" s="11369">
        <f>SUM(H11:H26)</f>
        <v>2804361</v>
      </c>
      <c r="I27" s="11369"/>
      <c r="J27" s="11370"/>
      <c r="K27" s="11371">
        <f>SUM(K11:K26)</f>
        <v>2899304.21</v>
      </c>
      <c r="L27" s="8136"/>
      <c r="M27" s="11306">
        <f>SUM(M12:M26)</f>
        <v>2996797.605</v>
      </c>
      <c r="N27" s="7838"/>
    </row>
    <row r="28" spans="1:14" s="7837" customFormat="1" ht="15" customHeight="1">
      <c r="A28" s="8137"/>
      <c r="B28" s="8138"/>
      <c r="C28" s="10544"/>
      <c r="D28" s="8139"/>
      <c r="E28" s="8140"/>
      <c r="F28" s="8140"/>
      <c r="G28" s="9572"/>
      <c r="H28" s="8140"/>
      <c r="I28" s="8140"/>
      <c r="J28" s="8141"/>
      <c r="K28" s="8140"/>
      <c r="L28" s="8136"/>
      <c r="M28" s="7924"/>
      <c r="N28" s="7838"/>
    </row>
    <row r="29" spans="1:14" s="7837" customFormat="1" ht="15" customHeight="1">
      <c r="A29" s="8132"/>
      <c r="B29" s="8129"/>
      <c r="C29" s="7503"/>
      <c r="D29" s="8135"/>
      <c r="E29" s="8136"/>
      <c r="F29" s="8136"/>
      <c r="G29" s="9573"/>
      <c r="H29" s="8136"/>
      <c r="I29" s="8136"/>
      <c r="J29" s="8073"/>
      <c r="K29" s="8136"/>
      <c r="L29" s="8136"/>
      <c r="M29" s="7924"/>
      <c r="N29" s="7838"/>
    </row>
    <row r="30" spans="1:14" s="7837" customFormat="1" ht="15" customHeight="1">
      <c r="A30" s="8132"/>
      <c r="B30" s="8129"/>
      <c r="C30" s="7503"/>
      <c r="D30" s="8135"/>
      <c r="E30" s="8136"/>
      <c r="F30" s="8136"/>
      <c r="G30" s="9573"/>
      <c r="H30" s="8136"/>
      <c r="I30" s="8136"/>
      <c r="J30" s="8073"/>
      <c r="K30" s="8136"/>
      <c r="L30" s="8136"/>
      <c r="M30" s="7924"/>
      <c r="N30" s="7838"/>
    </row>
    <row r="31" spans="1:14" s="7837" customFormat="1" ht="15" customHeight="1">
      <c r="A31" s="8132"/>
      <c r="B31" s="8129"/>
      <c r="C31" s="7503"/>
      <c r="D31" s="8135"/>
      <c r="E31" s="8136"/>
      <c r="F31" s="8136"/>
      <c r="G31" s="9573"/>
      <c r="H31" s="8136"/>
      <c r="I31" s="8136"/>
      <c r="J31" s="8073"/>
      <c r="K31" s="8136"/>
      <c r="L31" s="8136"/>
      <c r="M31" s="7924"/>
      <c r="N31" s="7838"/>
    </row>
    <row r="32" spans="1:14" s="7837" customFormat="1" ht="15" customHeight="1">
      <c r="A32" s="8132"/>
      <c r="B32" s="8129"/>
      <c r="C32" s="7503"/>
      <c r="D32" s="8135"/>
      <c r="E32" s="8136"/>
      <c r="F32" s="8136"/>
      <c r="G32" s="9573"/>
      <c r="H32" s="8136"/>
      <c r="I32" s="8136"/>
      <c r="J32" s="8073"/>
      <c r="K32" s="8136"/>
      <c r="L32" s="8136"/>
      <c r="M32" s="7924"/>
      <c r="N32" s="7838"/>
    </row>
    <row r="33" spans="1:14" s="7837" customFormat="1" ht="15" customHeight="1">
      <c r="A33" s="8132"/>
      <c r="B33" s="8129"/>
      <c r="C33" s="7503"/>
      <c r="D33" s="8135"/>
      <c r="E33" s="8136"/>
      <c r="F33" s="8136"/>
      <c r="G33" s="9573"/>
      <c r="H33" s="8136"/>
      <c r="I33" s="8136"/>
      <c r="J33" s="8073"/>
      <c r="K33" s="8136"/>
      <c r="L33" s="8136"/>
      <c r="M33" s="7924"/>
      <c r="N33" s="7838"/>
    </row>
    <row r="34" spans="1:14" s="7837" customFormat="1" ht="15" customHeight="1">
      <c r="A34" s="8132"/>
      <c r="B34" s="8129"/>
      <c r="C34" s="7503"/>
      <c r="D34" s="8135"/>
      <c r="E34" s="8136"/>
      <c r="F34" s="8136"/>
      <c r="G34" s="9573"/>
      <c r="H34" s="8136"/>
      <c r="I34" s="8136"/>
      <c r="J34" s="8073"/>
      <c r="K34" s="8136"/>
      <c r="L34" s="8136"/>
      <c r="M34" s="7924"/>
      <c r="N34" s="7838"/>
    </row>
    <row r="35" spans="1:14" s="7837" customFormat="1" ht="15" customHeight="1">
      <c r="A35" s="8132"/>
      <c r="B35" s="8129"/>
      <c r="C35" s="7503"/>
      <c r="D35" s="8135"/>
      <c r="E35" s="8136"/>
      <c r="F35" s="8136"/>
      <c r="G35" s="9573"/>
      <c r="H35" s="8136"/>
      <c r="I35" s="8136"/>
      <c r="J35" s="8073"/>
      <c r="K35" s="8136"/>
      <c r="L35" s="8136"/>
      <c r="M35" s="7924"/>
      <c r="N35" s="7838"/>
    </row>
    <row r="36" spans="1:14" s="7837" customFormat="1" ht="15" customHeight="1">
      <c r="A36" s="8132"/>
      <c r="B36" s="8129"/>
      <c r="C36" s="7503"/>
      <c r="D36" s="8135"/>
      <c r="E36" s="8136"/>
      <c r="F36" s="8136"/>
      <c r="G36" s="9573"/>
      <c r="H36" s="8136"/>
      <c r="I36" s="8136"/>
      <c r="J36" s="8073"/>
      <c r="K36" s="8136"/>
      <c r="L36" s="8136"/>
      <c r="M36" s="7924"/>
      <c r="N36" s="7838"/>
    </row>
    <row r="37" spans="1:14" s="7837" customFormat="1" ht="15" customHeight="1">
      <c r="A37" s="8132"/>
      <c r="B37" s="8129"/>
      <c r="C37" s="7503"/>
      <c r="D37" s="8135"/>
      <c r="E37" s="8136"/>
      <c r="F37" s="8136"/>
      <c r="G37" s="9573"/>
      <c r="H37" s="8136"/>
      <c r="I37" s="8136"/>
      <c r="J37" s="8073"/>
      <c r="K37" s="8136"/>
      <c r="L37" s="8136"/>
      <c r="M37" s="7924"/>
      <c r="N37" s="7838"/>
    </row>
    <row r="38" spans="1:14" ht="15" customHeight="1" thickBot="1">
      <c r="A38" s="8142" t="s">
        <v>10802</v>
      </c>
      <c r="B38" s="8142"/>
      <c r="C38" s="10540"/>
      <c r="D38" s="8143"/>
      <c r="E38" s="8124"/>
      <c r="F38" s="8124"/>
      <c r="G38" s="9571"/>
      <c r="H38" s="8124"/>
      <c r="I38" s="8124"/>
      <c r="J38" s="8125"/>
      <c r="K38" s="8124"/>
      <c r="L38" s="8118"/>
    </row>
    <row r="39" spans="1:14" ht="15" customHeight="1">
      <c r="A39" s="11325"/>
      <c r="B39" s="11326"/>
      <c r="C39" s="11327"/>
      <c r="D39" s="11328" t="s">
        <v>9</v>
      </c>
      <c r="E39" s="11329" t="s">
        <v>10</v>
      </c>
      <c r="F39" s="14188" t="s">
        <v>10711</v>
      </c>
      <c r="G39" s="14189"/>
      <c r="H39" s="14190"/>
      <c r="I39" s="11080" t="s">
        <v>9985</v>
      </c>
      <c r="J39" s="8206"/>
      <c r="K39" s="11330" t="s">
        <v>12</v>
      </c>
      <c r="L39" s="13771"/>
    </row>
    <row r="40" spans="1:14" ht="15" customHeight="1">
      <c r="A40" s="11331"/>
      <c r="B40" s="8126" t="s">
        <v>13</v>
      </c>
      <c r="C40" s="10541"/>
      <c r="D40" s="14384" t="s">
        <v>14</v>
      </c>
      <c r="E40" s="11332" t="s">
        <v>15</v>
      </c>
      <c r="F40" s="9502" t="s">
        <v>10709</v>
      </c>
      <c r="G40" s="11083" t="s">
        <v>10710</v>
      </c>
      <c r="H40" s="14191" t="s">
        <v>458</v>
      </c>
      <c r="I40" s="11084"/>
      <c r="J40" s="11085"/>
      <c r="K40" s="11333" t="s">
        <v>16</v>
      </c>
      <c r="L40" s="13771"/>
    </row>
    <row r="41" spans="1:14" s="8127" customFormat="1" ht="15" customHeight="1" thickBot="1">
      <c r="A41" s="11334"/>
      <c r="B41" s="11335"/>
      <c r="C41" s="10542"/>
      <c r="D41" s="14385"/>
      <c r="E41" s="11336">
        <v>2017</v>
      </c>
      <c r="F41" s="9467" t="s">
        <v>457</v>
      </c>
      <c r="G41" s="11076" t="s">
        <v>456</v>
      </c>
      <c r="H41" s="14192"/>
      <c r="I41" s="7302"/>
      <c r="J41" s="7322"/>
      <c r="K41" s="11337">
        <v>2019</v>
      </c>
      <c r="L41" s="13772"/>
      <c r="M41" s="11302"/>
      <c r="N41" s="11303"/>
    </row>
    <row r="42" spans="1:14" s="8127" customFormat="1" ht="15" customHeight="1">
      <c r="A42" s="11338"/>
      <c r="B42" s="8134"/>
      <c r="C42" s="10541"/>
      <c r="D42" s="11339"/>
      <c r="E42" s="11340"/>
      <c r="F42" s="11123"/>
      <c r="G42" s="11073"/>
      <c r="H42" s="11123"/>
      <c r="I42" s="11181"/>
      <c r="J42" s="11108"/>
      <c r="K42" s="11343"/>
      <c r="L42" s="13772"/>
      <c r="M42" s="11302"/>
      <c r="N42" s="11303"/>
    </row>
    <row r="43" spans="1:14" ht="15" customHeight="1">
      <c r="A43" s="11344"/>
      <c r="B43" s="7922" t="s">
        <v>38</v>
      </c>
      <c r="C43" s="10539"/>
      <c r="D43" s="11279"/>
      <c r="E43" s="11372"/>
      <c r="F43" s="11372"/>
      <c r="G43" s="11373"/>
      <c r="H43" s="11345"/>
      <c r="I43" s="11345"/>
      <c r="J43" s="11347"/>
      <c r="K43" s="11348"/>
      <c r="L43" s="8118"/>
    </row>
    <row r="44" spans="1:14" ht="15" customHeight="1">
      <c r="A44" s="11374"/>
      <c r="B44" s="7913" t="s">
        <v>39</v>
      </c>
      <c r="C44" s="10543"/>
      <c r="D44" s="11353">
        <v>50201010</v>
      </c>
      <c r="E44" s="11358">
        <f>'WS-MOOE 2017'!B43</f>
        <v>73206</v>
      </c>
      <c r="F44" s="11375">
        <f>'WS-MOOE ACTUAL JUNE 2018'!B45</f>
        <v>12555</v>
      </c>
      <c r="G44" s="11355">
        <f t="shared" ref="G44:G57" si="2">H44-F44</f>
        <v>69345</v>
      </c>
      <c r="H44" s="11375">
        <v>81900</v>
      </c>
      <c r="I44" s="11375">
        <v>35100</v>
      </c>
      <c r="J44" s="11376">
        <f>I44/H44</f>
        <v>0.42857142857142855</v>
      </c>
      <c r="K44" s="11377">
        <v>85995</v>
      </c>
      <c r="L44" s="13775"/>
    </row>
    <row r="45" spans="1:14" ht="15" customHeight="1">
      <c r="A45" s="11374"/>
      <c r="B45" s="7913" t="s">
        <v>41</v>
      </c>
      <c r="C45" s="10543"/>
      <c r="D45" s="11353">
        <v>50202010</v>
      </c>
      <c r="E45" s="11358">
        <f>'WS-MOOE 2017'!H43</f>
        <v>29900</v>
      </c>
      <c r="F45" s="11375">
        <f>'WS-MOOE ACTUAL JUNE 2018'!G45</f>
        <v>18739.669999999998</v>
      </c>
      <c r="G45" s="11355">
        <f t="shared" si="2"/>
        <v>80486.33</v>
      </c>
      <c r="H45" s="11375">
        <v>99226</v>
      </c>
      <c r="I45" s="11375">
        <v>18739.669999999998</v>
      </c>
      <c r="J45" s="11376">
        <f t="shared" ref="J45:J57" si="3">I45/H45</f>
        <v>0.1888584645153488</v>
      </c>
      <c r="K45" s="11377">
        <f>104187+100000</f>
        <v>204187</v>
      </c>
      <c r="L45" s="13775"/>
    </row>
    <row r="46" spans="1:14" ht="15" customHeight="1">
      <c r="A46" s="11374"/>
      <c r="B46" s="7913" t="s">
        <v>42</v>
      </c>
      <c r="C46" s="10543"/>
      <c r="D46" s="11353">
        <v>50203010</v>
      </c>
      <c r="E46" s="11358">
        <f>'WS-MOOE 2017'!J43</f>
        <v>107218.62</v>
      </c>
      <c r="F46" s="11375">
        <f>'WS-MOOE ACTUAL JUNE 2018'!H45</f>
        <v>0</v>
      </c>
      <c r="G46" s="11355">
        <f t="shared" si="2"/>
        <v>115765</v>
      </c>
      <c r="H46" s="11375">
        <v>115765</v>
      </c>
      <c r="I46" s="11375">
        <v>102857.16</v>
      </c>
      <c r="J46" s="11376">
        <f t="shared" si="3"/>
        <v>0.888499632876949</v>
      </c>
      <c r="K46" s="11377">
        <v>121553</v>
      </c>
      <c r="L46" s="13775"/>
    </row>
    <row r="47" spans="1:14" ht="15" customHeight="1">
      <c r="A47" s="11374"/>
      <c r="B47" s="7913" t="s">
        <v>45</v>
      </c>
      <c r="C47" s="10543"/>
      <c r="D47" s="11353">
        <v>50204010</v>
      </c>
      <c r="E47" s="11358">
        <f>'WS-MOOE 2017'!W43</f>
        <v>1147</v>
      </c>
      <c r="F47" s="11375">
        <f>'WS-MOOE ACTUAL JUNE 2018'!R45</f>
        <v>625.5</v>
      </c>
      <c r="G47" s="11355">
        <f t="shared" si="2"/>
        <v>36124.5</v>
      </c>
      <c r="H47" s="11375">
        <v>36750</v>
      </c>
      <c r="I47" s="11375">
        <v>821.5</v>
      </c>
      <c r="J47" s="11376">
        <f t="shared" si="3"/>
        <v>2.2353741496598641E-2</v>
      </c>
      <c r="K47" s="11348">
        <v>0</v>
      </c>
      <c r="L47" s="8118"/>
      <c r="M47" s="8892">
        <v>38588</v>
      </c>
    </row>
    <row r="48" spans="1:14" ht="15" customHeight="1">
      <c r="A48" s="11374"/>
      <c r="B48" s="7913" t="s">
        <v>46</v>
      </c>
      <c r="C48" s="10543"/>
      <c r="D48" s="11353">
        <v>50204020</v>
      </c>
      <c r="E48" s="11358">
        <f>'WS-MOOE 2017'!X43</f>
        <v>130286.76</v>
      </c>
      <c r="F48" s="11375">
        <f>'WS-MOOE ACTUAL JUNE 2018'!S45</f>
        <v>49407.57</v>
      </c>
      <c r="G48" s="11355">
        <f t="shared" si="2"/>
        <v>89192.43</v>
      </c>
      <c r="H48" s="11375">
        <v>138600</v>
      </c>
      <c r="I48" s="11375">
        <v>74863.990000000005</v>
      </c>
      <c r="J48" s="11376">
        <f t="shared" si="3"/>
        <v>0.54014422799422801</v>
      </c>
      <c r="K48" s="11348">
        <v>0</v>
      </c>
      <c r="L48" s="8118"/>
      <c r="M48" s="8892">
        <v>145530</v>
      </c>
    </row>
    <row r="49" spans="1:14" ht="15" customHeight="1">
      <c r="A49" s="11374"/>
      <c r="B49" s="7835" t="s">
        <v>10941</v>
      </c>
      <c r="C49" s="7860"/>
      <c r="D49" s="10387">
        <v>50205020</v>
      </c>
      <c r="E49" s="11358">
        <f>'WS-MOOE 2017'!AA43+'WS-MOOE 2017'!AE43+'WS-MOOE 2017'!AC43</f>
        <v>162039.46</v>
      </c>
      <c r="F49" s="11375">
        <f>'WS-MOOE ACTUAL JUNE 2018'!V45</f>
        <v>67100.08</v>
      </c>
      <c r="G49" s="11355">
        <f t="shared" si="2"/>
        <v>99252.92</v>
      </c>
      <c r="H49" s="11375">
        <v>166353</v>
      </c>
      <c r="I49" s="11375">
        <v>88816.56</v>
      </c>
      <c r="J49" s="11376">
        <f t="shared" si="3"/>
        <v>0.53390416764350501</v>
      </c>
      <c r="K49" s="11377">
        <f>145530+29141</f>
        <v>174671</v>
      </c>
      <c r="L49" s="13775"/>
    </row>
    <row r="50" spans="1:14" ht="15" hidden="1" customHeight="1">
      <c r="A50" s="11374"/>
      <c r="B50" s="7913" t="s">
        <v>89</v>
      </c>
      <c r="C50" s="10543"/>
      <c r="D50" s="11353"/>
      <c r="E50" s="11358"/>
      <c r="F50" s="11375"/>
      <c r="G50" s="11355">
        <f t="shared" si="2"/>
        <v>0</v>
      </c>
      <c r="H50" s="11375"/>
      <c r="I50" s="11375"/>
      <c r="J50" s="11376" t="e">
        <f t="shared" si="3"/>
        <v>#DIV/0!</v>
      </c>
      <c r="K50" s="11377"/>
      <c r="L50" s="13775"/>
    </row>
    <row r="51" spans="1:14" ht="15" customHeight="1">
      <c r="A51" s="11374"/>
      <c r="B51" s="7488" t="s">
        <v>283</v>
      </c>
      <c r="C51" s="10078"/>
      <c r="D51" s="11353">
        <v>50205040</v>
      </c>
      <c r="E51" s="11378">
        <f>'WS-MOOE 2017'!AF43</f>
        <v>6160</v>
      </c>
      <c r="F51" s="11379">
        <f>'WS-MOOE ACTUAL JUNE 2018'!AB45</f>
        <v>0</v>
      </c>
      <c r="G51" s="11355">
        <f t="shared" si="2"/>
        <v>7718</v>
      </c>
      <c r="H51" s="11375">
        <v>7718</v>
      </c>
      <c r="I51" s="11375">
        <v>0</v>
      </c>
      <c r="J51" s="11376">
        <f t="shared" si="3"/>
        <v>0</v>
      </c>
      <c r="K51" s="11377">
        <v>8104</v>
      </c>
      <c r="L51" s="13775"/>
    </row>
    <row r="52" spans="1:14" ht="15" customHeight="1">
      <c r="A52" s="11374"/>
      <c r="B52" s="7488" t="s">
        <v>10944</v>
      </c>
      <c r="C52" s="10078"/>
      <c r="D52" s="11380">
        <v>50211990</v>
      </c>
      <c r="E52" s="11358">
        <f>'WS-MOOE 2017'!AL43</f>
        <v>236999.64</v>
      </c>
      <c r="F52" s="11375">
        <f>'WS-MOOE ACTUAL JUNE 2018'!AF45</f>
        <v>35855.1</v>
      </c>
      <c r="G52" s="11355">
        <f>H52-F52</f>
        <v>324144.90000000002</v>
      </c>
      <c r="H52" s="11375">
        <v>360000</v>
      </c>
      <c r="I52" s="11375">
        <v>35855.1</v>
      </c>
      <c r="J52" s="11376">
        <f>I52/H52</f>
        <v>9.9597499999999992E-2</v>
      </c>
      <c r="K52" s="11377">
        <v>360000</v>
      </c>
      <c r="L52" s="13775"/>
    </row>
    <row r="53" spans="1:14" ht="15" customHeight="1">
      <c r="A53" s="11374"/>
      <c r="B53" s="7352" t="s">
        <v>10940</v>
      </c>
      <c r="C53" s="7860"/>
      <c r="D53" s="10387">
        <v>50212990</v>
      </c>
      <c r="E53" s="11358">
        <f>'WS-MOOE 2017'!AO43</f>
        <v>364870.87</v>
      </c>
      <c r="F53" s="11375">
        <f>'WS-MOOE ACTUAL JUNE 2018'!AJ45</f>
        <v>98912.37</v>
      </c>
      <c r="G53" s="11355">
        <f t="shared" si="2"/>
        <v>619167.63</v>
      </c>
      <c r="H53" s="11375">
        <v>718080</v>
      </c>
      <c r="I53" s="11375">
        <v>126792.37</v>
      </c>
      <c r="J53" s="11376">
        <f t="shared" si="3"/>
        <v>0.17657137087789659</v>
      </c>
      <c r="K53" s="11377">
        <v>475200</v>
      </c>
      <c r="L53" s="13775"/>
    </row>
    <row r="54" spans="1:14" ht="15" hidden="1" customHeight="1">
      <c r="A54" s="11374"/>
      <c r="B54" s="7913" t="s">
        <v>9118</v>
      </c>
      <c r="C54" s="10543"/>
      <c r="D54" s="11359">
        <v>811</v>
      </c>
      <c r="E54" s="11358"/>
      <c r="F54" s="11375"/>
      <c r="G54" s="11355">
        <f t="shared" si="2"/>
        <v>0</v>
      </c>
      <c r="H54" s="11375">
        <v>0</v>
      </c>
      <c r="I54" s="11375"/>
      <c r="J54" s="11376"/>
      <c r="K54" s="11377">
        <v>0</v>
      </c>
      <c r="L54" s="13775"/>
    </row>
    <row r="55" spans="1:14" ht="15" customHeight="1">
      <c r="A55" s="11374"/>
      <c r="B55" s="7488" t="s">
        <v>10938</v>
      </c>
      <c r="C55" s="10078"/>
      <c r="D55" s="10387">
        <v>50213050</v>
      </c>
      <c r="E55" s="11358">
        <f>'WS-MOOE 2017'!AW43</f>
        <v>1500</v>
      </c>
      <c r="F55" s="11375">
        <f>'WS-MOOE ACTUAL JUNE 2018'!AS45</f>
        <v>0</v>
      </c>
      <c r="G55" s="11355">
        <f t="shared" si="2"/>
        <v>42000</v>
      </c>
      <c r="H55" s="11375">
        <v>42000</v>
      </c>
      <c r="I55" s="11375">
        <v>3000</v>
      </c>
      <c r="J55" s="11376">
        <f t="shared" si="3"/>
        <v>7.1428571428571425E-2</v>
      </c>
      <c r="K55" s="11377">
        <v>44100</v>
      </c>
      <c r="L55" s="13775"/>
    </row>
    <row r="56" spans="1:14" ht="15" hidden="1" customHeight="1">
      <c r="A56" s="11374"/>
      <c r="B56" s="7913" t="s">
        <v>91</v>
      </c>
      <c r="C56" s="10543"/>
      <c r="D56" s="11353">
        <v>841</v>
      </c>
      <c r="E56" s="11358">
        <f>'WS-MOOE 2017'!BB43</f>
        <v>0</v>
      </c>
      <c r="F56" s="11375"/>
      <c r="G56" s="11355">
        <f t="shared" si="2"/>
        <v>0</v>
      </c>
      <c r="H56" s="11375">
        <v>0</v>
      </c>
      <c r="I56" s="11375"/>
      <c r="J56" s="11376" t="s">
        <v>9</v>
      </c>
      <c r="K56" s="11377">
        <v>0</v>
      </c>
      <c r="L56" s="13775"/>
    </row>
    <row r="57" spans="1:14" ht="15" customHeight="1">
      <c r="A57" s="11374"/>
      <c r="B57" s="7913" t="s">
        <v>50</v>
      </c>
      <c r="C57" s="10543"/>
      <c r="D57" s="11353">
        <v>50299990</v>
      </c>
      <c r="E57" s="11358">
        <f>'WS-MOOE 2017'!BO43+'WS-MOOE 2017'!AG43</f>
        <v>49531.35</v>
      </c>
      <c r="F57" s="11375">
        <f>'WS-MOOE ACTUAL JUNE 2018'!BI45</f>
        <v>17347.5</v>
      </c>
      <c r="G57" s="11355">
        <f t="shared" si="2"/>
        <v>155902.5</v>
      </c>
      <c r="H57" s="11375">
        <v>173250</v>
      </c>
      <c r="I57" s="11375">
        <v>68889.5</v>
      </c>
      <c r="J57" s="11376">
        <f t="shared" si="3"/>
        <v>0.39763059163059161</v>
      </c>
      <c r="K57" s="11377">
        <v>89302</v>
      </c>
      <c r="L57" s="13775"/>
    </row>
    <row r="58" spans="1:14" s="8128" customFormat="1" ht="15" customHeight="1">
      <c r="A58" s="11381"/>
      <c r="B58" s="7913" t="s">
        <v>11614</v>
      </c>
      <c r="C58" s="10543"/>
      <c r="D58" s="11382"/>
      <c r="E58" s="11383"/>
      <c r="F58" s="11383"/>
      <c r="G58" s="11384"/>
      <c r="H58" s="11383"/>
      <c r="I58" s="11383"/>
      <c r="J58" s="11061"/>
      <c r="K58" s="11385">
        <v>92610</v>
      </c>
      <c r="L58" s="13776"/>
      <c r="M58" s="11307"/>
      <c r="N58" s="11305"/>
    </row>
    <row r="59" spans="1:14" s="7837" customFormat="1" ht="15" customHeight="1">
      <c r="A59" s="11197"/>
      <c r="B59" s="8129" t="s">
        <v>37</v>
      </c>
      <c r="C59" s="7503"/>
      <c r="D59" s="11386"/>
      <c r="E59" s="11387">
        <f>SUM(E44:E57)</f>
        <v>1162859.7000000002</v>
      </c>
      <c r="F59" s="11387">
        <f>SUM(F44:F57)</f>
        <v>300542.79000000004</v>
      </c>
      <c r="G59" s="11387">
        <f>SUM(G44:G57)</f>
        <v>1639099.21</v>
      </c>
      <c r="H59" s="11388">
        <f>SUM(H44:H57)</f>
        <v>1939642</v>
      </c>
      <c r="I59" s="11388">
        <f>SUM(I44:I57)</f>
        <v>555735.85</v>
      </c>
      <c r="J59" s="11389">
        <f>I59/H59</f>
        <v>0.28651465064171633</v>
      </c>
      <c r="K59" s="11390">
        <f>SUM(K44:K58)</f>
        <v>1655722</v>
      </c>
      <c r="L59" s="8136"/>
      <c r="M59" s="10391">
        <f>(K59-H59)/H59</f>
        <v>-0.14637752739938606</v>
      </c>
      <c r="N59" s="7838"/>
    </row>
    <row r="60" spans="1:14" s="7837" customFormat="1" ht="15" customHeight="1">
      <c r="A60" s="11197"/>
      <c r="B60" s="8129"/>
      <c r="C60" s="7503"/>
      <c r="D60" s="11386"/>
      <c r="E60" s="11391"/>
      <c r="F60" s="11391"/>
      <c r="G60" s="11392"/>
      <c r="H60" s="11391"/>
      <c r="I60" s="11391"/>
      <c r="J60" s="11276"/>
      <c r="K60" s="11393"/>
      <c r="L60" s="8136"/>
      <c r="M60" s="7924"/>
      <c r="N60" s="7838"/>
    </row>
    <row r="61" spans="1:14" ht="15" customHeight="1">
      <c r="A61" s="11344" t="s">
        <v>51</v>
      </c>
      <c r="B61" s="7922" t="s">
        <v>52</v>
      </c>
      <c r="C61" s="10539"/>
      <c r="D61" s="11279"/>
      <c r="E61" s="11345"/>
      <c r="F61" s="11345"/>
      <c r="G61" s="11346"/>
      <c r="H61" s="11345"/>
      <c r="I61" s="11345"/>
      <c r="J61" s="11347"/>
      <c r="K61" s="11348"/>
      <c r="L61" s="8118"/>
    </row>
    <row r="62" spans="1:14" ht="15" customHeight="1">
      <c r="A62" s="11344"/>
      <c r="B62" s="7922" t="s">
        <v>11824</v>
      </c>
      <c r="C62" s="10539"/>
      <c r="D62" s="11279">
        <v>50707010</v>
      </c>
      <c r="E62" s="11345">
        <v>0</v>
      </c>
      <c r="F62" s="11345">
        <v>0</v>
      </c>
      <c r="G62" s="11355">
        <f t="shared" ref="G62:G72" si="4">H62-F62</f>
        <v>250000</v>
      </c>
      <c r="H62" s="11345">
        <v>250000</v>
      </c>
      <c r="I62" s="11345">
        <v>0</v>
      </c>
      <c r="J62" s="11376">
        <f t="shared" ref="J62:J67" si="5">I62/H62</f>
        <v>0</v>
      </c>
      <c r="K62" s="11348">
        <v>50000</v>
      </c>
      <c r="L62" s="8118"/>
    </row>
    <row r="63" spans="1:14" ht="15" hidden="1" customHeight="1">
      <c r="A63" s="11344"/>
      <c r="B63" s="7922" t="s">
        <v>9989</v>
      </c>
      <c r="C63" s="10539"/>
      <c r="D63" s="11279"/>
      <c r="E63" s="11345"/>
      <c r="F63" s="11345"/>
      <c r="G63" s="11355">
        <f t="shared" si="4"/>
        <v>0</v>
      </c>
      <c r="H63" s="11345"/>
      <c r="I63" s="11345"/>
      <c r="J63" s="11376" t="e">
        <f t="shared" si="5"/>
        <v>#DIV/0!</v>
      </c>
      <c r="K63" s="11348"/>
      <c r="L63" s="8118"/>
    </row>
    <row r="64" spans="1:14" ht="15" hidden="1" customHeight="1">
      <c r="A64" s="11344"/>
      <c r="B64" s="7922" t="s">
        <v>6347</v>
      </c>
      <c r="C64" s="10539"/>
      <c r="D64" s="11279"/>
      <c r="E64" s="11345"/>
      <c r="F64" s="11345"/>
      <c r="G64" s="11355">
        <f t="shared" si="4"/>
        <v>0</v>
      </c>
      <c r="H64" s="11345"/>
      <c r="I64" s="11345"/>
      <c r="J64" s="11376" t="e">
        <f t="shared" si="5"/>
        <v>#DIV/0!</v>
      </c>
      <c r="K64" s="11348"/>
      <c r="L64" s="8118"/>
    </row>
    <row r="65" spans="1:12" ht="15" hidden="1" customHeight="1">
      <c r="A65" s="11344"/>
      <c r="B65" s="7922" t="s">
        <v>9991</v>
      </c>
      <c r="C65" s="10539"/>
      <c r="D65" s="11279"/>
      <c r="E65" s="11345"/>
      <c r="F65" s="11345"/>
      <c r="G65" s="11355">
        <f t="shared" si="4"/>
        <v>0</v>
      </c>
      <c r="H65" s="11345"/>
      <c r="I65" s="11345"/>
      <c r="J65" s="11376" t="e">
        <f t="shared" si="5"/>
        <v>#DIV/0!</v>
      </c>
      <c r="K65" s="11348"/>
      <c r="L65" s="8118"/>
    </row>
    <row r="66" spans="1:12" ht="15" hidden="1" customHeight="1">
      <c r="A66" s="11344"/>
      <c r="B66" s="7922" t="s">
        <v>9990</v>
      </c>
      <c r="C66" s="10539"/>
      <c r="D66" s="11279"/>
      <c r="E66" s="11345"/>
      <c r="F66" s="11345"/>
      <c r="G66" s="11355">
        <f t="shared" si="4"/>
        <v>0</v>
      </c>
      <c r="H66" s="11345"/>
      <c r="I66" s="11345"/>
      <c r="J66" s="11376" t="e">
        <f t="shared" si="5"/>
        <v>#DIV/0!</v>
      </c>
      <c r="K66" s="11348"/>
      <c r="L66" s="8118"/>
    </row>
    <row r="67" spans="1:12" ht="15" customHeight="1">
      <c r="A67" s="11344"/>
      <c r="B67" s="7309" t="s">
        <v>10946</v>
      </c>
      <c r="C67" s="7860"/>
      <c r="D67" s="11279">
        <v>50705030</v>
      </c>
      <c r="E67" s="11345">
        <f>'WS-CO 2017'!H42</f>
        <v>0</v>
      </c>
      <c r="F67" s="11345">
        <v>0</v>
      </c>
      <c r="G67" s="11355">
        <f t="shared" si="4"/>
        <v>150000</v>
      </c>
      <c r="H67" s="11345">
        <v>150000</v>
      </c>
      <c r="I67" s="11345">
        <v>130000</v>
      </c>
      <c r="J67" s="11376">
        <f t="shared" si="5"/>
        <v>0.8666666666666667</v>
      </c>
      <c r="K67" s="11348">
        <v>40000</v>
      </c>
      <c r="L67" s="8118"/>
    </row>
    <row r="68" spans="1:12" ht="15" hidden="1" customHeight="1">
      <c r="A68" s="11344"/>
      <c r="B68" s="7922" t="s">
        <v>9117</v>
      </c>
      <c r="C68" s="10539"/>
      <c r="D68" s="11279"/>
      <c r="E68" s="11345"/>
      <c r="F68" s="11345"/>
      <c r="G68" s="11355">
        <f t="shared" si="4"/>
        <v>0</v>
      </c>
      <c r="H68" s="11345"/>
      <c r="I68" s="11345"/>
      <c r="J68" s="11347" t="e">
        <f t="shared" ref="J68:J77" si="6">I68/H68</f>
        <v>#DIV/0!</v>
      </c>
      <c r="K68" s="11348"/>
      <c r="L68" s="8118"/>
    </row>
    <row r="69" spans="1:12" ht="15" hidden="1" customHeight="1">
      <c r="A69" s="11344"/>
      <c r="B69" s="7922" t="s">
        <v>6339</v>
      </c>
      <c r="C69" s="10539"/>
      <c r="D69" s="11279"/>
      <c r="E69" s="11345"/>
      <c r="F69" s="11345"/>
      <c r="G69" s="11355">
        <f t="shared" si="4"/>
        <v>0</v>
      </c>
      <c r="H69" s="11345"/>
      <c r="I69" s="11345"/>
      <c r="J69" s="11347" t="e">
        <f t="shared" si="6"/>
        <v>#DIV/0!</v>
      </c>
      <c r="K69" s="11348"/>
      <c r="L69" s="8118"/>
    </row>
    <row r="70" spans="1:12" ht="15" hidden="1" customHeight="1">
      <c r="A70" s="11344"/>
      <c r="B70" s="7922" t="s">
        <v>6341</v>
      </c>
      <c r="C70" s="10539"/>
      <c r="D70" s="11279"/>
      <c r="E70" s="11345"/>
      <c r="F70" s="11345"/>
      <c r="G70" s="11355">
        <f t="shared" si="4"/>
        <v>0</v>
      </c>
      <c r="H70" s="11345"/>
      <c r="I70" s="11345"/>
      <c r="J70" s="11347" t="e">
        <f t="shared" si="6"/>
        <v>#DIV/0!</v>
      </c>
      <c r="K70" s="11348"/>
      <c r="L70" s="8118"/>
    </row>
    <row r="71" spans="1:12" ht="15" hidden="1" customHeight="1">
      <c r="A71" s="11344"/>
      <c r="B71" s="7922" t="s">
        <v>6342</v>
      </c>
      <c r="C71" s="10539"/>
      <c r="D71" s="11279"/>
      <c r="E71" s="11345"/>
      <c r="F71" s="11345"/>
      <c r="G71" s="11355">
        <f t="shared" si="4"/>
        <v>0</v>
      </c>
      <c r="H71" s="11345"/>
      <c r="I71" s="11345"/>
      <c r="J71" s="11347" t="e">
        <f t="shared" si="6"/>
        <v>#DIV/0!</v>
      </c>
      <c r="K71" s="11348"/>
      <c r="L71" s="8118"/>
    </row>
    <row r="72" spans="1:12" ht="15" customHeight="1">
      <c r="A72" s="11344"/>
      <c r="B72" s="7922" t="s">
        <v>122</v>
      </c>
      <c r="C72" s="10539"/>
      <c r="D72" s="11279">
        <v>50705020</v>
      </c>
      <c r="E72" s="11345">
        <f>'WS-CO 2017'!F42</f>
        <v>0</v>
      </c>
      <c r="F72" s="11345">
        <v>0</v>
      </c>
      <c r="G72" s="11355">
        <f t="shared" si="4"/>
        <v>50000</v>
      </c>
      <c r="H72" s="11345">
        <v>50000</v>
      </c>
      <c r="I72" s="11345">
        <v>50000</v>
      </c>
      <c r="J72" s="11347">
        <f t="shared" si="6"/>
        <v>1</v>
      </c>
      <c r="K72" s="11348">
        <v>168000</v>
      </c>
      <c r="L72" s="8118"/>
    </row>
    <row r="73" spans="1:12" ht="15" hidden="1" customHeight="1">
      <c r="A73" s="11344"/>
      <c r="B73" s="7922" t="s">
        <v>6340</v>
      </c>
      <c r="C73" s="10539"/>
      <c r="D73" s="11279"/>
      <c r="E73" s="11345"/>
      <c r="F73" s="11345"/>
      <c r="G73" s="11346"/>
      <c r="H73" s="11345"/>
      <c r="I73" s="11345"/>
      <c r="J73" s="11347" t="e">
        <f t="shared" si="6"/>
        <v>#DIV/0!</v>
      </c>
      <c r="K73" s="11348"/>
      <c r="L73" s="8118"/>
    </row>
    <row r="74" spans="1:12" ht="15" hidden="1" customHeight="1">
      <c r="A74" s="11344"/>
      <c r="B74" s="7922" t="s">
        <v>6343</v>
      </c>
      <c r="C74" s="10539"/>
      <c r="D74" s="11279"/>
      <c r="E74" s="11345"/>
      <c r="F74" s="11345"/>
      <c r="G74" s="11346"/>
      <c r="H74" s="11345"/>
      <c r="I74" s="11345"/>
      <c r="J74" s="11347" t="e">
        <f t="shared" si="6"/>
        <v>#DIV/0!</v>
      </c>
      <c r="K74" s="11348"/>
      <c r="L74" s="8118"/>
    </row>
    <row r="75" spans="1:12" ht="15" hidden="1" customHeight="1">
      <c r="A75" s="11344"/>
      <c r="B75" s="7922" t="s">
        <v>6344</v>
      </c>
      <c r="C75" s="10539"/>
      <c r="D75" s="11279"/>
      <c r="E75" s="11345"/>
      <c r="F75" s="11345"/>
      <c r="G75" s="11346"/>
      <c r="H75" s="11345"/>
      <c r="I75" s="11345"/>
      <c r="J75" s="11347" t="e">
        <f t="shared" si="6"/>
        <v>#DIV/0!</v>
      </c>
      <c r="K75" s="11348"/>
      <c r="L75" s="8118"/>
    </row>
    <row r="76" spans="1:12" ht="15" hidden="1" customHeight="1">
      <c r="A76" s="11344"/>
      <c r="B76" s="7922" t="s">
        <v>6345</v>
      </c>
      <c r="C76" s="10539"/>
      <c r="D76" s="11279"/>
      <c r="E76" s="11345"/>
      <c r="F76" s="11345"/>
      <c r="G76" s="11346"/>
      <c r="H76" s="11345"/>
      <c r="I76" s="11345"/>
      <c r="J76" s="11347" t="e">
        <f t="shared" si="6"/>
        <v>#DIV/0!</v>
      </c>
      <c r="K76" s="11348"/>
      <c r="L76" s="8118"/>
    </row>
    <row r="77" spans="1:12" ht="15" hidden="1" customHeight="1">
      <c r="A77" s="11344"/>
      <c r="B77" s="7922" t="s">
        <v>6346</v>
      </c>
      <c r="C77" s="10539"/>
      <c r="D77" s="11279"/>
      <c r="E77" s="11345"/>
      <c r="F77" s="11345"/>
      <c r="G77" s="11346"/>
      <c r="H77" s="11345"/>
      <c r="I77" s="11345"/>
      <c r="J77" s="11347" t="e">
        <f t="shared" si="6"/>
        <v>#DIV/0!</v>
      </c>
      <c r="K77" s="11348"/>
      <c r="L77" s="8118"/>
    </row>
    <row r="78" spans="1:12" ht="15" hidden="1" customHeight="1">
      <c r="A78" s="11344"/>
      <c r="B78" s="7922"/>
      <c r="C78" s="10539"/>
      <c r="D78" s="11279"/>
      <c r="E78" s="11345"/>
      <c r="F78" s="11345"/>
      <c r="G78" s="11346"/>
      <c r="H78" s="11345"/>
      <c r="I78" s="11345"/>
      <c r="J78" s="11347"/>
      <c r="K78" s="11348"/>
      <c r="L78" s="8118"/>
    </row>
    <row r="79" spans="1:12" ht="15" customHeight="1">
      <c r="A79" s="11344"/>
      <c r="B79" s="11280" t="s">
        <v>11673</v>
      </c>
      <c r="C79" s="11394"/>
      <c r="D79" s="8872">
        <v>50706010</v>
      </c>
      <c r="E79" s="11345"/>
      <c r="F79" s="11345"/>
      <c r="G79" s="11346"/>
      <c r="H79" s="11345"/>
      <c r="I79" s="11345"/>
      <c r="J79" s="11347"/>
      <c r="K79" s="11348">
        <v>80000</v>
      </c>
      <c r="L79" s="8118"/>
    </row>
    <row r="80" spans="1:12" ht="15" customHeight="1">
      <c r="A80" s="11344"/>
      <c r="B80" s="7922"/>
      <c r="C80" s="10539"/>
      <c r="D80" s="11279"/>
      <c r="E80" s="11345"/>
      <c r="F80" s="11345"/>
      <c r="G80" s="11346"/>
      <c r="H80" s="11345"/>
      <c r="I80" s="11345"/>
      <c r="J80" s="11347"/>
      <c r="K80" s="11348"/>
      <c r="L80" s="8118"/>
    </row>
    <row r="81" spans="1:14" s="7924" customFormat="1" ht="15" customHeight="1" thickBot="1">
      <c r="A81" s="11395"/>
      <c r="B81" s="11365" t="s">
        <v>37</v>
      </c>
      <c r="C81" s="11366"/>
      <c r="D81" s="11396"/>
      <c r="E81" s="11397">
        <f>SUM(E62:E78)</f>
        <v>0</v>
      </c>
      <c r="F81" s="11397">
        <f>SUM(F62:F78)</f>
        <v>0</v>
      </c>
      <c r="G81" s="11397">
        <f>SUM(G62:G78)</f>
        <v>450000</v>
      </c>
      <c r="H81" s="11369">
        <f>SUM(H62:H78)</f>
        <v>450000</v>
      </c>
      <c r="I81" s="11369">
        <f>SUM(I62:I78)</f>
        <v>180000</v>
      </c>
      <c r="J81" s="11370"/>
      <c r="K81" s="11371">
        <f>SUM(K62:K80)</f>
        <v>338000</v>
      </c>
      <c r="L81" s="8136"/>
      <c r="M81" s="10391">
        <f>(K81-H81)/H81</f>
        <v>-0.24888888888888888</v>
      </c>
      <c r="N81" s="11308"/>
    </row>
    <row r="82" spans="1:14" s="7912" customFormat="1" ht="15" customHeight="1">
      <c r="A82" s="8130"/>
      <c r="B82" s="8130"/>
      <c r="C82" s="10545"/>
      <c r="D82" s="8126"/>
      <c r="E82" s="9574"/>
      <c r="F82" s="9574"/>
      <c r="G82" s="9575"/>
      <c r="H82" s="8119"/>
      <c r="I82" s="8119"/>
      <c r="J82" s="8131"/>
      <c r="K82" s="8119"/>
      <c r="L82" s="8119"/>
      <c r="N82" s="11148"/>
    </row>
    <row r="83" spans="1:14" s="7912" customFormat="1" ht="15" customHeight="1">
      <c r="A83" s="8130"/>
      <c r="B83" s="8130"/>
      <c r="C83" s="10545"/>
      <c r="D83" s="8126"/>
      <c r="E83" s="9574"/>
      <c r="F83" s="9574"/>
      <c r="G83" s="9575"/>
      <c r="H83" s="8119"/>
      <c r="I83" s="8119"/>
      <c r="J83" s="8131"/>
      <c r="K83" s="8119"/>
      <c r="L83" s="8119"/>
      <c r="N83" s="11148"/>
    </row>
    <row r="84" spans="1:14" s="7912" customFormat="1" ht="15" customHeight="1">
      <c r="A84" s="8130"/>
      <c r="B84" s="8130"/>
      <c r="C84" s="10545"/>
      <c r="D84" s="8126"/>
      <c r="E84" s="9574"/>
      <c r="F84" s="9574"/>
      <c r="G84" s="9575"/>
      <c r="H84" s="8119"/>
      <c r="I84" s="8119"/>
      <c r="J84" s="8131"/>
      <c r="K84" s="8119"/>
      <c r="L84" s="8119"/>
      <c r="N84" s="11148"/>
    </row>
    <row r="85" spans="1:14" s="7912" customFormat="1" ht="15" customHeight="1">
      <c r="A85" s="8130"/>
      <c r="B85" s="8130"/>
      <c r="C85" s="10545"/>
      <c r="D85" s="8126"/>
      <c r="E85" s="9574"/>
      <c r="F85" s="9574"/>
      <c r="G85" s="9575"/>
      <c r="H85" s="8119"/>
      <c r="I85" s="8119"/>
      <c r="J85" s="8131"/>
      <c r="K85" s="8119"/>
      <c r="L85" s="8119"/>
      <c r="N85" s="11148"/>
    </row>
    <row r="86" spans="1:14" s="7912" customFormat="1" ht="15" customHeight="1">
      <c r="A86" s="8130"/>
      <c r="B86" s="8130"/>
      <c r="C86" s="10545"/>
      <c r="D86" s="8126"/>
      <c r="E86" s="9574"/>
      <c r="F86" s="9574"/>
      <c r="G86" s="9575"/>
      <c r="H86" s="8119"/>
      <c r="I86" s="8119"/>
      <c r="J86" s="8131"/>
      <c r="K86" s="8119"/>
      <c r="L86" s="8119"/>
      <c r="N86" s="11148"/>
    </row>
    <row r="87" spans="1:14" s="7912" customFormat="1" ht="15" customHeight="1">
      <c r="A87" s="8130"/>
      <c r="B87" s="8130"/>
      <c r="C87" s="10545"/>
      <c r="D87" s="8126"/>
      <c r="E87" s="9574"/>
      <c r="F87" s="9574"/>
      <c r="G87" s="9575"/>
      <c r="H87" s="8119"/>
      <c r="I87" s="8119"/>
      <c r="J87" s="8131"/>
      <c r="K87" s="8119"/>
      <c r="L87" s="8119"/>
      <c r="N87" s="11148"/>
    </row>
    <row r="88" spans="1:14" s="7912" customFormat="1" ht="15" customHeight="1">
      <c r="A88" s="8130"/>
      <c r="B88" s="8130"/>
      <c r="C88" s="10545"/>
      <c r="D88" s="8126"/>
      <c r="E88" s="9574"/>
      <c r="F88" s="9574"/>
      <c r="G88" s="9575"/>
      <c r="H88" s="8119"/>
      <c r="I88" s="8119"/>
      <c r="J88" s="8131"/>
      <c r="K88" s="8119"/>
      <c r="L88" s="8119"/>
      <c r="N88" s="11148"/>
    </row>
    <row r="89" spans="1:14" s="7912" customFormat="1" ht="15" customHeight="1">
      <c r="A89" s="8130"/>
      <c r="B89" s="8130"/>
      <c r="C89" s="10545"/>
      <c r="D89" s="8126"/>
      <c r="E89" s="9574"/>
      <c r="F89" s="9574"/>
      <c r="G89" s="9575"/>
      <c r="H89" s="8119"/>
      <c r="I89" s="8119"/>
      <c r="J89" s="8131"/>
      <c r="K89" s="8119"/>
      <c r="L89" s="8119"/>
      <c r="N89" s="11148"/>
    </row>
    <row r="90" spans="1:14" s="7912" customFormat="1" ht="15" customHeight="1">
      <c r="A90" s="8130"/>
      <c r="B90" s="8130"/>
      <c r="C90" s="10545"/>
      <c r="D90" s="8126"/>
      <c r="E90" s="9574"/>
      <c r="F90" s="9574"/>
      <c r="G90" s="9575"/>
      <c r="H90" s="8119"/>
      <c r="I90" s="8119"/>
      <c r="J90" s="8131"/>
      <c r="K90" s="8119"/>
      <c r="L90" s="8119"/>
      <c r="N90" s="11148"/>
    </row>
    <row r="91" spans="1:14" s="7912" customFormat="1" ht="15" customHeight="1">
      <c r="A91" s="8130"/>
      <c r="B91" s="8130"/>
      <c r="C91" s="10545"/>
      <c r="D91" s="8126"/>
      <c r="E91" s="9574"/>
      <c r="F91" s="9574"/>
      <c r="G91" s="9575"/>
      <c r="H91" s="8119"/>
      <c r="I91" s="8119"/>
      <c r="J91" s="8131"/>
      <c r="K91" s="8119"/>
      <c r="L91" s="8119"/>
      <c r="N91" s="11148"/>
    </row>
    <row r="92" spans="1:14" s="7912" customFormat="1" ht="15" customHeight="1" thickBot="1">
      <c r="A92" s="7922" t="s">
        <v>10803</v>
      </c>
      <c r="B92" s="8130"/>
      <c r="C92" s="10545"/>
      <c r="D92" s="8126"/>
      <c r="E92" s="9574"/>
      <c r="F92" s="9574"/>
      <c r="G92" s="9575"/>
      <c r="H92" s="8119"/>
      <c r="I92" s="8119"/>
      <c r="J92" s="8131"/>
      <c r="K92" s="8119"/>
      <c r="L92" s="8119"/>
      <c r="N92" s="11148"/>
    </row>
    <row r="93" spans="1:14" ht="15" customHeight="1">
      <c r="A93" s="11325"/>
      <c r="B93" s="11326"/>
      <c r="C93" s="11327"/>
      <c r="D93" s="11328" t="s">
        <v>9</v>
      </c>
      <c r="E93" s="11329" t="s">
        <v>10</v>
      </c>
      <c r="F93" s="14188" t="s">
        <v>10711</v>
      </c>
      <c r="G93" s="14189"/>
      <c r="H93" s="14190"/>
      <c r="I93" s="11080"/>
      <c r="J93" s="8206"/>
      <c r="K93" s="11330" t="s">
        <v>12</v>
      </c>
      <c r="L93" s="13771"/>
    </row>
    <row r="94" spans="1:14" ht="15" customHeight="1">
      <c r="A94" s="11331"/>
      <c r="B94" s="8126" t="s">
        <v>13</v>
      </c>
      <c r="C94" s="10541"/>
      <c r="D94" s="14384" t="s">
        <v>14</v>
      </c>
      <c r="E94" s="11332" t="s">
        <v>15</v>
      </c>
      <c r="F94" s="9502" t="s">
        <v>10709</v>
      </c>
      <c r="G94" s="11083" t="s">
        <v>10710</v>
      </c>
      <c r="H94" s="14191" t="s">
        <v>458</v>
      </c>
      <c r="I94" s="11084"/>
      <c r="J94" s="11085"/>
      <c r="K94" s="11333" t="s">
        <v>16</v>
      </c>
      <c r="L94" s="13771"/>
    </row>
    <row r="95" spans="1:14" ht="15" customHeight="1" thickBot="1">
      <c r="A95" s="11398"/>
      <c r="B95" s="11399"/>
      <c r="C95" s="10542"/>
      <c r="D95" s="14385"/>
      <c r="E95" s="11336">
        <v>2017</v>
      </c>
      <c r="F95" s="9467" t="s">
        <v>457</v>
      </c>
      <c r="G95" s="11076" t="s">
        <v>456</v>
      </c>
      <c r="H95" s="14192"/>
      <c r="I95" s="7302"/>
      <c r="J95" s="7322"/>
      <c r="K95" s="11337">
        <v>2019</v>
      </c>
      <c r="L95" s="13772"/>
    </row>
    <row r="96" spans="1:14" ht="15" customHeight="1">
      <c r="A96" s="11331"/>
      <c r="B96" s="8126"/>
      <c r="C96" s="10541"/>
      <c r="D96" s="11339"/>
      <c r="E96" s="11340"/>
      <c r="F96" s="11340"/>
      <c r="G96" s="11341"/>
      <c r="H96" s="11342"/>
      <c r="I96" s="11181"/>
      <c r="J96" s="11108"/>
      <c r="K96" s="11343"/>
      <c r="L96" s="13772"/>
    </row>
    <row r="97" spans="1:14" ht="15" customHeight="1">
      <c r="A97" s="11344" t="s">
        <v>53</v>
      </c>
      <c r="B97" s="8130" t="s">
        <v>54</v>
      </c>
      <c r="C97" s="10545"/>
      <c r="D97" s="11279"/>
      <c r="E97" s="11372"/>
      <c r="F97" s="11372"/>
      <c r="G97" s="11373"/>
      <c r="H97" s="11345"/>
      <c r="I97" s="11345"/>
      <c r="J97" s="11347"/>
      <c r="K97" s="11348"/>
      <c r="L97" s="8118"/>
    </row>
    <row r="98" spans="1:14" ht="15" customHeight="1">
      <c r="A98" s="11344"/>
      <c r="B98" s="7922" t="s">
        <v>3784</v>
      </c>
      <c r="C98" s="10539"/>
      <c r="D98" s="11279">
        <v>899906</v>
      </c>
      <c r="E98" s="11400">
        <v>296584.5</v>
      </c>
      <c r="F98" s="11400">
        <v>4000</v>
      </c>
      <c r="G98" s="11355">
        <f>H98-F98</f>
        <v>1186000</v>
      </c>
      <c r="H98" s="11345">
        <v>1190000</v>
      </c>
      <c r="I98" s="11345">
        <v>357690</v>
      </c>
      <c r="J98" s="11347">
        <f>I98/H98</f>
        <v>0.3005798319327731</v>
      </c>
      <c r="K98" s="11348"/>
      <c r="L98" s="8118"/>
    </row>
    <row r="99" spans="1:14" ht="15" customHeight="1">
      <c r="A99" s="11344"/>
      <c r="B99" s="8130" t="s">
        <v>11677</v>
      </c>
      <c r="C99" s="10539"/>
      <c r="D99" s="11279"/>
      <c r="E99" s="11372"/>
      <c r="F99" s="11372"/>
      <c r="G99" s="11355"/>
      <c r="H99" s="11345"/>
      <c r="I99" s="11345"/>
      <c r="J99" s="11347"/>
      <c r="K99" s="11348">
        <v>329250</v>
      </c>
      <c r="L99" s="8118"/>
    </row>
    <row r="100" spans="1:14" s="11315" customFormat="1" ht="15" hidden="1" customHeight="1">
      <c r="A100" s="11401"/>
      <c r="B100" s="11309" t="s">
        <v>11783</v>
      </c>
      <c r="C100" s="11310">
        <f>113750+52500+70000</f>
        <v>236250</v>
      </c>
      <c r="D100" s="11311"/>
      <c r="E100" s="11402"/>
      <c r="F100" s="11402"/>
      <c r="G100" s="11312"/>
      <c r="H100" s="11403"/>
      <c r="I100" s="11403"/>
      <c r="J100" s="11404"/>
      <c r="K100" s="11405"/>
      <c r="L100" s="13777"/>
      <c r="M100" s="11313">
        <f>SUM(C100:C104)</f>
        <v>329250</v>
      </c>
      <c r="N100" s="11314"/>
    </row>
    <row r="101" spans="1:14" s="11315" customFormat="1" ht="15" hidden="1" customHeight="1">
      <c r="A101" s="11401"/>
      <c r="B101" s="11309" t="s">
        <v>11784</v>
      </c>
      <c r="C101" s="11310">
        <v>10000</v>
      </c>
      <c r="D101" s="11311"/>
      <c r="E101" s="11402"/>
      <c r="F101" s="11402"/>
      <c r="G101" s="11312"/>
      <c r="H101" s="11403"/>
      <c r="I101" s="11403"/>
      <c r="J101" s="11404"/>
      <c r="K101" s="11405"/>
      <c r="L101" s="13777"/>
      <c r="M101" s="11313"/>
      <c r="N101" s="11314"/>
    </row>
    <row r="102" spans="1:14" s="11315" customFormat="1" ht="15" hidden="1" customHeight="1">
      <c r="A102" s="11401"/>
      <c r="B102" s="11309" t="s">
        <v>11782</v>
      </c>
      <c r="C102" s="11310">
        <v>10000</v>
      </c>
      <c r="D102" s="11311"/>
      <c r="E102" s="11402"/>
      <c r="F102" s="11402"/>
      <c r="G102" s="11312"/>
      <c r="H102" s="11403"/>
      <c r="I102" s="11403"/>
      <c r="J102" s="11404"/>
      <c r="K102" s="11405"/>
      <c r="L102" s="13777"/>
      <c r="M102" s="11316"/>
      <c r="N102" s="11314"/>
    </row>
    <row r="103" spans="1:14" s="11315" customFormat="1" ht="15" hidden="1" customHeight="1">
      <c r="A103" s="11401"/>
      <c r="B103" s="11309" t="s">
        <v>11781</v>
      </c>
      <c r="C103" s="11310">
        <v>53000</v>
      </c>
      <c r="D103" s="11311"/>
      <c r="E103" s="11402"/>
      <c r="F103" s="11402"/>
      <c r="G103" s="11312"/>
      <c r="H103" s="11403"/>
      <c r="I103" s="11403"/>
      <c r="J103" s="11404"/>
      <c r="K103" s="11405"/>
      <c r="L103" s="13777"/>
      <c r="M103" s="11316"/>
      <c r="N103" s="11314"/>
    </row>
    <row r="104" spans="1:14" s="11315" customFormat="1" ht="15" hidden="1" customHeight="1">
      <c r="A104" s="11401"/>
      <c r="B104" s="11309" t="s">
        <v>10331</v>
      </c>
      <c r="C104" s="11310">
        <v>20000</v>
      </c>
      <c r="D104" s="11311"/>
      <c r="E104" s="11402"/>
      <c r="F104" s="11402"/>
      <c r="G104" s="11312"/>
      <c r="H104" s="11403"/>
      <c r="I104" s="11403"/>
      <c r="J104" s="11404"/>
      <c r="K104" s="11405"/>
      <c r="L104" s="13777"/>
      <c r="M104" s="11316"/>
      <c r="N104" s="11314"/>
    </row>
    <row r="105" spans="1:14" ht="15" customHeight="1">
      <c r="A105" s="11344"/>
      <c r="B105" s="8130" t="s">
        <v>11678</v>
      </c>
      <c r="C105" s="10539"/>
      <c r="D105" s="11279"/>
      <c r="E105" s="11372"/>
      <c r="F105" s="11372"/>
      <c r="G105" s="11355"/>
      <c r="H105" s="11345"/>
      <c r="I105" s="11345"/>
      <c r="J105" s="11347"/>
      <c r="K105" s="11348">
        <v>688125</v>
      </c>
      <c r="L105" s="8118"/>
    </row>
    <row r="106" spans="1:14" s="11321" customFormat="1" ht="15" hidden="1" customHeight="1">
      <c r="A106" s="11406"/>
      <c r="B106" s="11309" t="s">
        <v>11783</v>
      </c>
      <c r="C106" s="11317">
        <f>30000+52500+35625</f>
        <v>118125</v>
      </c>
      <c r="D106" s="11318"/>
      <c r="E106" s="11402"/>
      <c r="F106" s="11402"/>
      <c r="G106" s="11319"/>
      <c r="H106" s="11402"/>
      <c r="I106" s="11402"/>
      <c r="J106" s="11407"/>
      <c r="K106" s="11408"/>
      <c r="L106" s="13778"/>
      <c r="M106" s="11320">
        <f>SUM(C106:C115)</f>
        <v>688125</v>
      </c>
    </row>
    <row r="107" spans="1:14" s="11321" customFormat="1" ht="15" hidden="1" customHeight="1">
      <c r="A107" s="11406"/>
      <c r="B107" s="11309" t="s">
        <v>11784</v>
      </c>
      <c r="C107" s="11310">
        <v>10000</v>
      </c>
      <c r="D107" s="11318"/>
      <c r="E107" s="11402"/>
      <c r="F107" s="11402"/>
      <c r="G107" s="11319"/>
      <c r="H107" s="11402"/>
      <c r="I107" s="11402"/>
      <c r="J107" s="11407"/>
      <c r="K107" s="11408"/>
      <c r="L107" s="13778"/>
      <c r="M107" s="11322"/>
    </row>
    <row r="108" spans="1:14" s="11321" customFormat="1" ht="15" hidden="1" customHeight="1">
      <c r="A108" s="11406"/>
      <c r="B108" s="11309" t="s">
        <v>700</v>
      </c>
      <c r="C108" s="11310">
        <v>120000</v>
      </c>
      <c r="D108" s="11318"/>
      <c r="E108" s="11402"/>
      <c r="F108" s="11402"/>
      <c r="G108" s="11319"/>
      <c r="H108" s="11402"/>
      <c r="I108" s="11402"/>
      <c r="J108" s="11407"/>
      <c r="K108" s="11408"/>
      <c r="L108" s="13778"/>
      <c r="M108" s="11322"/>
    </row>
    <row r="109" spans="1:14" s="11321" customFormat="1" ht="15" hidden="1" customHeight="1">
      <c r="A109" s="11406"/>
      <c r="B109" s="11309" t="s">
        <v>11785</v>
      </c>
      <c r="C109" s="11310">
        <f>200000</f>
        <v>200000</v>
      </c>
      <c r="D109" s="11318"/>
      <c r="E109" s="11402"/>
      <c r="F109" s="11402"/>
      <c r="G109" s="11319"/>
      <c r="H109" s="11402"/>
      <c r="I109" s="11402"/>
      <c r="J109" s="11407"/>
      <c r="K109" s="11408"/>
      <c r="L109" s="13778"/>
      <c r="M109" s="11322"/>
    </row>
    <row r="110" spans="1:14" s="11321" customFormat="1" ht="15" hidden="1" customHeight="1">
      <c r="A110" s="11406"/>
      <c r="B110" s="11309" t="s">
        <v>11781</v>
      </c>
      <c r="C110" s="11310">
        <v>40000</v>
      </c>
      <c r="D110" s="11318"/>
      <c r="E110" s="11402"/>
      <c r="F110" s="11402"/>
      <c r="G110" s="11319"/>
      <c r="H110" s="11402"/>
      <c r="I110" s="11402"/>
      <c r="J110" s="11407"/>
      <c r="K110" s="11408"/>
      <c r="L110" s="13778"/>
      <c r="M110" s="11322"/>
    </row>
    <row r="111" spans="1:14" s="11321" customFormat="1" ht="15" hidden="1" customHeight="1">
      <c r="A111" s="11406"/>
      <c r="B111" s="11309" t="s">
        <v>10331</v>
      </c>
      <c r="C111" s="11310">
        <v>20000</v>
      </c>
      <c r="D111" s="11318"/>
      <c r="E111" s="11402"/>
      <c r="F111" s="11402"/>
      <c r="G111" s="11319"/>
      <c r="H111" s="11402"/>
      <c r="I111" s="11402"/>
      <c r="J111" s="11407"/>
      <c r="K111" s="11408"/>
      <c r="L111" s="13778"/>
      <c r="M111" s="11322"/>
    </row>
    <row r="112" spans="1:14" s="11321" customFormat="1" ht="15" hidden="1" customHeight="1">
      <c r="A112" s="11406"/>
      <c r="B112" s="11309" t="s">
        <v>11782</v>
      </c>
      <c r="C112" s="11310">
        <v>20000</v>
      </c>
      <c r="D112" s="11318"/>
      <c r="E112" s="11402"/>
      <c r="F112" s="11402"/>
      <c r="G112" s="11319"/>
      <c r="H112" s="11402"/>
      <c r="I112" s="11402"/>
      <c r="J112" s="11407"/>
      <c r="K112" s="11408"/>
      <c r="L112" s="13778"/>
      <c r="M112" s="11322"/>
    </row>
    <row r="113" spans="1:14" s="11321" customFormat="1" ht="15" hidden="1" customHeight="1">
      <c r="A113" s="11406"/>
      <c r="B113" s="11309" t="s">
        <v>11786</v>
      </c>
      <c r="C113" s="11310">
        <v>50000</v>
      </c>
      <c r="D113" s="11318"/>
      <c r="E113" s="11402"/>
      <c r="F113" s="11402"/>
      <c r="G113" s="11319"/>
      <c r="H113" s="11402"/>
      <c r="I113" s="11402"/>
      <c r="J113" s="11407"/>
      <c r="K113" s="11408"/>
      <c r="L113" s="13778"/>
      <c r="M113" s="11322"/>
    </row>
    <row r="114" spans="1:14" s="11321" customFormat="1" ht="15" hidden="1" customHeight="1">
      <c r="A114" s="11406"/>
      <c r="B114" s="11309" t="s">
        <v>11787</v>
      </c>
      <c r="C114" s="11310">
        <v>100000</v>
      </c>
      <c r="D114" s="11318"/>
      <c r="E114" s="11402"/>
      <c r="F114" s="11402"/>
      <c r="G114" s="11319"/>
      <c r="H114" s="11402"/>
      <c r="I114" s="11402"/>
      <c r="J114" s="11407"/>
      <c r="K114" s="11408"/>
      <c r="L114" s="13778"/>
      <c r="M114" s="11322"/>
    </row>
    <row r="115" spans="1:14" s="11321" customFormat="1" ht="15" hidden="1" customHeight="1">
      <c r="A115" s="11406"/>
      <c r="B115" s="11309" t="s">
        <v>11788</v>
      </c>
      <c r="C115" s="11317">
        <v>10000</v>
      </c>
      <c r="D115" s="11318"/>
      <c r="E115" s="11402"/>
      <c r="F115" s="11402"/>
      <c r="G115" s="11319"/>
      <c r="H115" s="11402"/>
      <c r="I115" s="11402"/>
      <c r="J115" s="11407"/>
      <c r="K115" s="11408"/>
      <c r="L115" s="13778"/>
      <c r="M115" s="11322"/>
    </row>
    <row r="116" spans="1:14" ht="15" customHeight="1">
      <c r="A116" s="11344"/>
      <c r="B116" s="8130" t="s">
        <v>11679</v>
      </c>
      <c r="C116" s="10539"/>
      <c r="D116" s="11279"/>
      <c r="E116" s="11372"/>
      <c r="F116" s="11372"/>
      <c r="G116" s="11355"/>
      <c r="H116" s="11345"/>
      <c r="I116" s="11345"/>
      <c r="J116" s="11347"/>
      <c r="K116" s="11348">
        <v>175000</v>
      </c>
      <c r="L116" s="8118"/>
    </row>
    <row r="117" spans="1:14" ht="15" hidden="1" customHeight="1">
      <c r="A117" s="11344"/>
      <c r="B117" s="11309" t="s">
        <v>11783</v>
      </c>
      <c r="C117" s="11310">
        <v>175000</v>
      </c>
      <c r="D117" s="11279"/>
      <c r="E117" s="11372"/>
      <c r="F117" s="11372"/>
      <c r="G117" s="11373"/>
      <c r="H117" s="11345"/>
      <c r="I117" s="11345"/>
      <c r="J117" s="11347"/>
      <c r="K117" s="11348"/>
      <c r="L117" s="8118"/>
    </row>
    <row r="118" spans="1:14" ht="15" hidden="1" customHeight="1">
      <c r="A118" s="11344"/>
      <c r="B118" s="7922"/>
      <c r="C118" s="10539"/>
      <c r="D118" s="11279"/>
      <c r="E118" s="11372"/>
      <c r="F118" s="11372"/>
      <c r="G118" s="11373"/>
      <c r="H118" s="11345"/>
      <c r="I118" s="11345"/>
      <c r="J118" s="11347"/>
      <c r="K118" s="11348"/>
      <c r="L118" s="8118"/>
    </row>
    <row r="119" spans="1:14" s="7837" customFormat="1" ht="15" hidden="1" customHeight="1">
      <c r="A119" s="11409"/>
      <c r="B119" s="8132"/>
      <c r="C119" s="7483"/>
      <c r="D119" s="11386"/>
      <c r="E119" s="11410"/>
      <c r="F119" s="11410"/>
      <c r="G119" s="11411"/>
      <c r="H119" s="11412"/>
      <c r="I119" s="11412"/>
      <c r="J119" s="11413"/>
      <c r="K119" s="11414"/>
      <c r="L119" s="13779"/>
      <c r="M119" s="7924"/>
      <c r="N119" s="7838"/>
    </row>
    <row r="120" spans="1:14" s="7837" customFormat="1" ht="15" customHeight="1">
      <c r="A120" s="11409"/>
      <c r="B120" s="8132"/>
      <c r="C120" s="7483"/>
      <c r="D120" s="11386"/>
      <c r="E120" s="11410"/>
      <c r="F120" s="11410"/>
      <c r="G120" s="11411"/>
      <c r="H120" s="11412"/>
      <c r="I120" s="11412"/>
      <c r="J120" s="11413"/>
      <c r="K120" s="11414"/>
      <c r="L120" s="13779"/>
      <c r="M120" s="7924"/>
      <c r="N120" s="7838"/>
    </row>
    <row r="121" spans="1:14" s="7837" customFormat="1" ht="15" customHeight="1">
      <c r="A121" s="11409"/>
      <c r="B121" s="8129" t="s">
        <v>37</v>
      </c>
      <c r="C121" s="7503"/>
      <c r="D121" s="11386"/>
      <c r="E121" s="11415">
        <f>SUM(E98:E119)</f>
        <v>296584.5</v>
      </c>
      <c r="F121" s="11415">
        <f>SUM(F98:F119)</f>
        <v>4000</v>
      </c>
      <c r="G121" s="11415">
        <f>SUM(G98:G119)</f>
        <v>1186000</v>
      </c>
      <c r="H121" s="11388">
        <f>SUM(H98)</f>
        <v>1190000</v>
      </c>
      <c r="I121" s="11388">
        <v>531355</v>
      </c>
      <c r="J121" s="11389">
        <f>I121/H121</f>
        <v>0.44651680672268906</v>
      </c>
      <c r="K121" s="11390">
        <f>SUM(K99:K119)</f>
        <v>1192375</v>
      </c>
      <c r="L121" s="8136"/>
      <c r="M121" s="10391">
        <f>(K121-H121)/H121</f>
        <v>1.9957983193277309E-3</v>
      </c>
      <c r="N121" s="7838"/>
    </row>
    <row r="122" spans="1:14" s="8132" customFormat="1" ht="15" customHeight="1">
      <c r="A122" s="11409"/>
      <c r="B122" s="8129"/>
      <c r="C122" s="7503"/>
      <c r="D122" s="11386"/>
      <c r="E122" s="11410"/>
      <c r="F122" s="11410"/>
      <c r="G122" s="11411"/>
      <c r="H122" s="11391"/>
      <c r="I122" s="11391"/>
      <c r="J122" s="11276"/>
      <c r="K122" s="11393"/>
      <c r="L122" s="8136"/>
      <c r="M122" s="8129"/>
      <c r="N122" s="8135"/>
    </row>
    <row r="123" spans="1:14" s="7837" customFormat="1" ht="15" customHeight="1" thickBot="1">
      <c r="A123" s="11416"/>
      <c r="B123" s="11417" t="s">
        <v>55</v>
      </c>
      <c r="C123" s="11418"/>
      <c r="D123" s="11419"/>
      <c r="E123" s="11369">
        <f>(E27+E59+E81+E121)</f>
        <v>3424080.0100000002</v>
      </c>
      <c r="F123" s="11369">
        <f>(F27+F59+F81+F121)</f>
        <v>1287325.1400000001</v>
      </c>
      <c r="G123" s="11369">
        <f>(G27+G59+G81+G121)</f>
        <v>5096677.8599999994</v>
      </c>
      <c r="H123" s="11368">
        <f>(H27+H59+H81+H121)</f>
        <v>6384003</v>
      </c>
      <c r="I123" s="11368">
        <f>I27+I59+I81+I121</f>
        <v>1267090.8500000001</v>
      </c>
      <c r="J123" s="11420">
        <f>I123/H123</f>
        <v>0.19847904990019585</v>
      </c>
      <c r="K123" s="11421">
        <f>(K27+K59+K81+K121)</f>
        <v>6085401.21</v>
      </c>
      <c r="L123" s="8136"/>
      <c r="M123" s="10391">
        <f>(K123-H123)/H123</f>
        <v>-4.6773441365864026E-2</v>
      </c>
      <c r="N123" s="7838"/>
    </row>
    <row r="124" spans="1:14" s="7925" customFormat="1" ht="15" customHeight="1">
      <c r="A124" s="7926" t="s">
        <v>4763</v>
      </c>
      <c r="B124" s="7926"/>
      <c r="C124" s="10546"/>
      <c r="D124" s="7927"/>
      <c r="E124" s="7928"/>
      <c r="F124" s="7928"/>
      <c r="G124" s="9576"/>
      <c r="H124" s="7929"/>
      <c r="I124" s="7928"/>
      <c r="J124" s="7930"/>
      <c r="K124" s="7929"/>
      <c r="L124" s="7929"/>
      <c r="M124" s="11323"/>
      <c r="N124" s="10250"/>
    </row>
    <row r="125" spans="1:14" s="7925" customFormat="1" ht="15" customHeight="1">
      <c r="A125" s="7926"/>
      <c r="B125" s="7926"/>
      <c r="C125" s="10546"/>
      <c r="D125" s="7927"/>
      <c r="E125" s="7928"/>
      <c r="F125" s="7928"/>
      <c r="G125" s="9576"/>
      <c r="H125" s="7929"/>
      <c r="I125" s="7928"/>
      <c r="J125" s="7930"/>
      <c r="K125" s="7929"/>
      <c r="L125" s="7929"/>
      <c r="M125" s="11323"/>
      <c r="N125" s="10250"/>
    </row>
    <row r="126" spans="1:14" ht="15" hidden="1" customHeight="1">
      <c r="A126" s="7761" t="s">
        <v>3483</v>
      </c>
      <c r="B126" s="7761"/>
      <c r="C126" s="7990"/>
      <c r="D126" s="9577" t="s">
        <v>3484</v>
      </c>
      <c r="E126" s="7900"/>
      <c r="F126" s="7763"/>
      <c r="G126" s="9459" t="s">
        <v>10666</v>
      </c>
      <c r="H126" s="7900"/>
      <c r="I126" s="7763"/>
      <c r="J126" s="7286"/>
      <c r="K126" s="7339"/>
      <c r="L126" s="7339"/>
    </row>
    <row r="127" spans="1:14" s="7912" customFormat="1" ht="15" hidden="1" customHeight="1">
      <c r="A127" s="7761"/>
      <c r="B127" s="7761"/>
      <c r="C127" s="7990"/>
      <c r="E127" s="10870"/>
      <c r="F127" s="7763"/>
      <c r="G127" s="9531"/>
      <c r="H127" s="7339"/>
      <c r="I127" s="7763"/>
      <c r="J127" s="7286"/>
      <c r="K127" s="7339"/>
      <c r="L127" s="7339"/>
      <c r="N127" s="11148"/>
    </row>
    <row r="128" spans="1:14" ht="15" hidden="1" customHeight="1">
      <c r="A128" s="7761"/>
      <c r="B128" s="7761"/>
      <c r="C128" s="7990"/>
      <c r="D128" s="7900"/>
      <c r="E128" s="10870"/>
      <c r="F128" s="7763"/>
      <c r="G128" s="9531"/>
      <c r="H128" s="7339"/>
      <c r="I128" s="7763"/>
      <c r="J128" s="7286"/>
      <c r="K128" s="7339"/>
      <c r="L128" s="7339"/>
    </row>
    <row r="129" spans="1:12" ht="15" hidden="1" customHeight="1">
      <c r="A129" s="14244" t="s">
        <v>11256</v>
      </c>
      <c r="B129" s="14244"/>
      <c r="C129" s="10547"/>
      <c r="D129" s="7900"/>
      <c r="E129" s="9604" t="s">
        <v>12059</v>
      </c>
      <c r="F129" s="7933"/>
      <c r="G129" s="9578"/>
      <c r="H129" s="7342" t="s">
        <v>9154</v>
      </c>
      <c r="I129" s="7933"/>
      <c r="J129" s="7934"/>
      <c r="K129" s="8133"/>
      <c r="L129" s="8133"/>
    </row>
    <row r="130" spans="1:12" ht="15" hidden="1" customHeight="1">
      <c r="A130" s="14245" t="s">
        <v>11257</v>
      </c>
      <c r="B130" s="14245"/>
      <c r="C130" s="10548"/>
      <c r="D130" s="7900"/>
      <c r="E130" s="7821" t="s">
        <v>10346</v>
      </c>
      <c r="F130" s="7763"/>
      <c r="G130" s="9531"/>
      <c r="H130" s="7344" t="s">
        <v>10665</v>
      </c>
      <c r="I130" s="7763"/>
      <c r="J130" s="7763"/>
      <c r="K130" s="7763"/>
      <c r="L130" s="7763"/>
    </row>
    <row r="131" spans="1:12" ht="15" hidden="1" customHeight="1"/>
    <row r="132" spans="1:12" ht="15" hidden="1" customHeight="1">
      <c r="G132" s="9580" t="s">
        <v>11078</v>
      </c>
      <c r="I132" s="8894" t="s">
        <v>11080</v>
      </c>
    </row>
    <row r="133" spans="1:12" ht="15" hidden="1" customHeight="1">
      <c r="F133" s="7914">
        <v>4056724</v>
      </c>
      <c r="G133" s="9581">
        <f>H123-F133</f>
        <v>2327279</v>
      </c>
      <c r="I133" s="9582">
        <f>K123-H123</f>
        <v>-298601.79000000004</v>
      </c>
      <c r="J133" s="7935">
        <f>I133/H123</f>
        <v>-4.6773441365864026E-2</v>
      </c>
    </row>
    <row r="134" spans="1:12" ht="15" hidden="1" customHeight="1">
      <c r="G134" s="9583">
        <f>G133/F133</f>
        <v>0.57368433248108575</v>
      </c>
      <c r="I134" s="9584">
        <f>J133</f>
        <v>-4.6773441365864026E-2</v>
      </c>
    </row>
    <row r="135" spans="1:12" ht="15" hidden="1" customHeight="1">
      <c r="G135" s="9581"/>
      <c r="I135" s="8893"/>
    </row>
    <row r="136" spans="1:12" ht="15" hidden="1" customHeight="1"/>
    <row r="137" spans="1:12" ht="15" hidden="1" customHeight="1">
      <c r="H137" s="7936"/>
      <c r="I137" s="7936"/>
      <c r="K137" s="7936"/>
      <c r="L137" s="7936"/>
    </row>
    <row r="138" spans="1:12" ht="15" hidden="1" customHeight="1">
      <c r="A138" s="7900" t="s">
        <v>9</v>
      </c>
    </row>
    <row r="139" spans="1:12" ht="15" hidden="1" customHeight="1"/>
    <row r="140" spans="1:12" ht="15" hidden="1" customHeight="1"/>
    <row r="141" spans="1:12" ht="15" hidden="1" customHeight="1"/>
  </sheetData>
  <mergeCells count="13">
    <mergeCell ref="A129:B129"/>
    <mergeCell ref="A130:B130"/>
    <mergeCell ref="F93:H93"/>
    <mergeCell ref="H94:H95"/>
    <mergeCell ref="D7:D8"/>
    <mergeCell ref="D94:D95"/>
    <mergeCell ref="A1:K1"/>
    <mergeCell ref="F6:H6"/>
    <mergeCell ref="H7:H8"/>
    <mergeCell ref="F39:H39"/>
    <mergeCell ref="D40:D41"/>
    <mergeCell ref="H40:H41"/>
    <mergeCell ref="K3:K4"/>
  </mergeCells>
  <printOptions horizontalCentered="1" gridLinesSet="0"/>
  <pageMargins left="0.25" right="0.25" top="0.5" bottom="0.25" header="0.25" footer="0.25"/>
  <pageSetup paperSize="119" firstPageNumber="65" orientation="landscape" useFirstPageNumber="1" r:id="rId1"/>
  <headerFooter alignWithMargins="0"/>
</worksheet>
</file>

<file path=xl/worksheets/sheet38.xml><?xml version="1.0" encoding="utf-8"?>
<worksheet xmlns="http://schemas.openxmlformats.org/spreadsheetml/2006/main" xmlns:r="http://schemas.openxmlformats.org/officeDocument/2006/relationships">
  <sheetPr codeName="Sheet63">
    <tabColor rgb="FFFFFF00"/>
  </sheetPr>
  <dimension ref="A1:F32"/>
  <sheetViews>
    <sheetView topLeftCell="A22" workbookViewId="0">
      <selection activeCell="G27" sqref="G27"/>
    </sheetView>
  </sheetViews>
  <sheetFormatPr defaultColWidth="12.88671875" defaultRowHeight="14.4"/>
  <cols>
    <col min="1" max="1" width="33.88671875" style="3321" customWidth="1"/>
    <col min="2" max="2" width="13.88671875" style="3322" customWidth="1"/>
    <col min="3" max="3" width="12.88671875" style="3322" customWidth="1"/>
    <col min="4" max="4" width="12.44140625" style="3322" customWidth="1"/>
    <col min="5" max="5" width="11.44140625" style="3322" customWidth="1"/>
    <col min="6" max="6" width="12.88671875" style="3322" customWidth="1"/>
    <col min="7" max="16384" width="12.88671875" style="3321"/>
  </cols>
  <sheetData>
    <row r="1" spans="1:6" s="1975" customFormat="1" ht="17.100000000000001" customHeight="1">
      <c r="A1" s="2810" t="s">
        <v>3874</v>
      </c>
      <c r="B1" s="3156"/>
      <c r="C1" s="3156"/>
      <c r="D1" s="3156"/>
      <c r="E1" s="3156"/>
      <c r="F1" s="3155"/>
    </row>
    <row r="2" spans="1:6" s="1975" customFormat="1" ht="17.100000000000001" customHeight="1">
      <c r="A2" s="2810"/>
      <c r="B2" s="3156"/>
      <c r="C2" s="3156"/>
      <c r="D2" s="3156"/>
      <c r="E2" s="3156"/>
      <c r="F2" s="3155"/>
    </row>
    <row r="3" spans="1:6" s="1975" customFormat="1" ht="17.100000000000001" customHeight="1">
      <c r="A3" s="2810" t="s">
        <v>4770</v>
      </c>
      <c r="B3" s="3156"/>
      <c r="C3" s="3156"/>
      <c r="D3" s="3156"/>
      <c r="E3" s="3156"/>
      <c r="F3" s="3155"/>
    </row>
    <row r="4" spans="1:6" ht="15" thickBot="1"/>
    <row r="5" spans="1:6" s="3323" customFormat="1" ht="30" customHeight="1" thickBot="1">
      <c r="A5" s="14389" t="s">
        <v>3822</v>
      </c>
      <c r="B5" s="14391" t="s">
        <v>18</v>
      </c>
      <c r="C5" s="14392"/>
      <c r="D5" s="14387" t="s">
        <v>52</v>
      </c>
      <c r="E5" s="14387" t="s">
        <v>3445</v>
      </c>
      <c r="F5" s="14387" t="s">
        <v>458</v>
      </c>
    </row>
    <row r="6" spans="1:6" s="3323" customFormat="1" ht="29.4" thickBot="1">
      <c r="A6" s="14390"/>
      <c r="B6" s="1133" t="s">
        <v>2151</v>
      </c>
      <c r="C6" s="1133" t="s">
        <v>1973</v>
      </c>
      <c r="D6" s="14388"/>
      <c r="E6" s="14388"/>
      <c r="F6" s="14388"/>
    </row>
    <row r="7" spans="1:6" s="3324" customFormat="1" ht="15" thickBot="1">
      <c r="A7" s="2251" t="s">
        <v>3823</v>
      </c>
      <c r="B7" s="3333"/>
      <c r="C7" s="3333"/>
      <c r="D7" s="3334"/>
      <c r="E7" s="3334"/>
      <c r="F7" s="3334"/>
    </row>
    <row r="8" spans="1:6" s="3324" customFormat="1">
      <c r="A8" s="3325" t="s">
        <v>3824</v>
      </c>
      <c r="B8" s="3335"/>
      <c r="C8" s="3335"/>
      <c r="D8" s="3335"/>
      <c r="E8" s="3335">
        <v>205000</v>
      </c>
      <c r="F8" s="3347">
        <f>SUM(B8:E8)</f>
        <v>205000</v>
      </c>
    </row>
    <row r="9" spans="1:6" s="3324" customFormat="1">
      <c r="A9" s="3326" t="s">
        <v>3786</v>
      </c>
      <c r="B9" s="3336"/>
      <c r="C9" s="3336"/>
      <c r="D9" s="3336"/>
      <c r="E9" s="3336">
        <v>345000</v>
      </c>
      <c r="F9" s="3348">
        <f>SUM(B9:E9)</f>
        <v>345000</v>
      </c>
    </row>
    <row r="10" spans="1:6" s="3324" customFormat="1" ht="41.25" customHeight="1" thickBot="1">
      <c r="A10" s="3327" t="s">
        <v>3825</v>
      </c>
      <c r="B10" s="3337"/>
      <c r="C10" s="3337"/>
      <c r="D10" s="3337"/>
      <c r="E10" s="3337">
        <v>60000</v>
      </c>
      <c r="F10" s="3348">
        <f>SUM(B10:E10)</f>
        <v>60000</v>
      </c>
    </row>
    <row r="11" spans="1:6" s="3324" customFormat="1" ht="15" thickBot="1">
      <c r="A11" s="2251" t="s">
        <v>3826</v>
      </c>
      <c r="B11" s="3337"/>
      <c r="C11" s="3337"/>
      <c r="D11" s="3337"/>
      <c r="E11" s="3337"/>
      <c r="F11" s="3349"/>
    </row>
    <row r="12" spans="1:6">
      <c r="A12" s="3328" t="s">
        <v>3827</v>
      </c>
      <c r="B12" s="3338">
        <v>1204133</v>
      </c>
      <c r="C12" s="3338">
        <v>782775</v>
      </c>
      <c r="D12" s="3338"/>
      <c r="E12" s="3338"/>
      <c r="F12" s="3338">
        <f>SUM(B12:E12)</f>
        <v>1986908</v>
      </c>
    </row>
    <row r="13" spans="1:6" s="1797" customFormat="1" ht="28.8">
      <c r="A13" s="3329" t="s">
        <v>3828</v>
      </c>
      <c r="B13" s="3339"/>
      <c r="C13" s="3339">
        <v>154350</v>
      </c>
      <c r="D13" s="3340"/>
      <c r="E13" s="3340"/>
      <c r="F13" s="3344">
        <f>SUM(B13:E13)</f>
        <v>154350</v>
      </c>
    </row>
    <row r="14" spans="1:6">
      <c r="A14" s="3329" t="s">
        <v>3829</v>
      </c>
      <c r="B14" s="3339"/>
      <c r="C14" s="3339">
        <v>100000</v>
      </c>
      <c r="D14" s="3339"/>
      <c r="E14" s="3339"/>
      <c r="F14" s="3344">
        <f>SUM(B14:E14)</f>
        <v>100000</v>
      </c>
    </row>
    <row r="15" spans="1:6" s="1798" customFormat="1" ht="35.25" customHeight="1" thickBot="1">
      <c r="A15" s="3330" t="s">
        <v>3830</v>
      </c>
      <c r="B15" s="3341"/>
      <c r="C15" s="3341">
        <v>454995</v>
      </c>
      <c r="D15" s="3341"/>
      <c r="E15" s="3341"/>
      <c r="F15" s="3344">
        <f>SUM(B15:E15)</f>
        <v>454995</v>
      </c>
    </row>
    <row r="16" spans="1:6" ht="26.25" customHeight="1">
      <c r="A16" s="2253" t="s">
        <v>3831</v>
      </c>
      <c r="B16" s="3342"/>
      <c r="C16" s="3342">
        <v>150000</v>
      </c>
      <c r="D16" s="3339"/>
      <c r="E16" s="3342"/>
      <c r="F16" s="3338">
        <v>150000</v>
      </c>
    </row>
    <row r="17" spans="1:6" ht="19.5" customHeight="1">
      <c r="A17" s="2254" t="s">
        <v>3832</v>
      </c>
      <c r="B17" s="3343"/>
      <c r="C17" s="3343"/>
      <c r="D17" s="3339"/>
      <c r="E17" s="3343"/>
      <c r="F17" s="3339"/>
    </row>
    <row r="18" spans="1:6">
      <c r="A18" s="3329" t="s">
        <v>3817</v>
      </c>
      <c r="B18" s="3343"/>
      <c r="C18" s="3343"/>
      <c r="D18" s="3339">
        <v>35000</v>
      </c>
      <c r="E18" s="3343"/>
      <c r="F18" s="3339">
        <v>35000</v>
      </c>
    </row>
    <row r="19" spans="1:6" ht="18" customHeight="1">
      <c r="A19" s="3329" t="s">
        <v>3818</v>
      </c>
      <c r="B19" s="3343"/>
      <c r="C19" s="3343"/>
      <c r="D19" s="3339">
        <v>100000</v>
      </c>
      <c r="E19" s="3343"/>
      <c r="F19" s="3339">
        <v>100000</v>
      </c>
    </row>
    <row r="20" spans="1:6">
      <c r="A20" s="3329" t="s">
        <v>6476</v>
      </c>
      <c r="B20" s="3343"/>
      <c r="C20" s="3343"/>
      <c r="D20" s="3339">
        <v>50000</v>
      </c>
      <c r="E20" s="3343"/>
      <c r="F20" s="3339">
        <v>50000</v>
      </c>
    </row>
    <row r="21" spans="1:6" ht="18.75" customHeight="1">
      <c r="A21" s="3329" t="s">
        <v>3819</v>
      </c>
      <c r="B21" s="3343"/>
      <c r="C21" s="3343"/>
      <c r="D21" s="3339">
        <v>30000</v>
      </c>
      <c r="E21" s="3343"/>
      <c r="F21" s="3339">
        <v>30000</v>
      </c>
    </row>
    <row r="22" spans="1:6">
      <c r="A22" s="3329" t="s">
        <v>6477</v>
      </c>
      <c r="B22" s="3343"/>
      <c r="C22" s="3343"/>
      <c r="D22" s="3339">
        <v>35000</v>
      </c>
      <c r="E22" s="3343"/>
      <c r="F22" s="3339">
        <v>35000</v>
      </c>
    </row>
    <row r="23" spans="1:6">
      <c r="A23" s="3329" t="s">
        <v>6478</v>
      </c>
      <c r="B23" s="3343"/>
      <c r="C23" s="3343"/>
      <c r="D23" s="3339">
        <v>8000</v>
      </c>
      <c r="E23" s="3343"/>
      <c r="F23" s="3339">
        <v>8000</v>
      </c>
    </row>
    <row r="24" spans="1:6">
      <c r="A24" s="3329" t="s">
        <v>6479</v>
      </c>
      <c r="B24" s="3343"/>
      <c r="C24" s="3343"/>
      <c r="D24" s="3339">
        <v>10000</v>
      </c>
      <c r="E24" s="3343"/>
      <c r="F24" s="3339">
        <v>10000</v>
      </c>
    </row>
    <row r="25" spans="1:6">
      <c r="A25" s="3329" t="s">
        <v>6480</v>
      </c>
      <c r="B25" s="3343"/>
      <c r="C25" s="3343"/>
      <c r="D25" s="3339">
        <v>5000</v>
      </c>
      <c r="E25" s="3343"/>
      <c r="F25" s="3339">
        <v>5000</v>
      </c>
    </row>
    <row r="26" spans="1:6">
      <c r="A26" s="3329" t="s">
        <v>6481</v>
      </c>
      <c r="B26" s="3343"/>
      <c r="C26" s="3343"/>
      <c r="D26" s="3339">
        <v>6000</v>
      </c>
      <c r="E26" s="3343"/>
      <c r="F26" s="3339">
        <v>6000</v>
      </c>
    </row>
    <row r="27" spans="1:6">
      <c r="A27" s="3329" t="s">
        <v>6482</v>
      </c>
      <c r="B27" s="3343"/>
      <c r="C27" s="3343"/>
      <c r="D27" s="3344">
        <v>10000</v>
      </c>
      <c r="E27" s="3343"/>
      <c r="F27" s="3344">
        <v>10000</v>
      </c>
    </row>
    <row r="28" spans="1:6">
      <c r="A28" s="3329" t="s">
        <v>6484</v>
      </c>
      <c r="B28" s="3343"/>
      <c r="C28" s="3343"/>
      <c r="D28" s="3344">
        <v>25000</v>
      </c>
      <c r="E28" s="3343"/>
      <c r="F28" s="3344">
        <v>25000</v>
      </c>
    </row>
    <row r="29" spans="1:6">
      <c r="A29" s="3329" t="s">
        <v>6483</v>
      </c>
      <c r="B29" s="3343"/>
      <c r="C29" s="3343"/>
      <c r="D29" s="3344"/>
      <c r="E29" s="3343"/>
      <c r="F29" s="3344"/>
    </row>
    <row r="30" spans="1:6">
      <c r="A30" s="3329" t="s">
        <v>6485</v>
      </c>
      <c r="B30" s="3343"/>
      <c r="C30" s="3343"/>
      <c r="D30" s="3344"/>
      <c r="E30" s="3343"/>
      <c r="F30" s="3344"/>
    </row>
    <row r="31" spans="1:6" ht="15" thickBot="1">
      <c r="A31" s="3330"/>
      <c r="B31" s="3345"/>
      <c r="C31" s="3345"/>
      <c r="D31" s="3346"/>
      <c r="E31" s="3346"/>
      <c r="F31" s="3346"/>
    </row>
    <row r="32" spans="1:6" s="3322" customFormat="1" ht="15" thickBot="1">
      <c r="A32" s="3331" t="s">
        <v>220</v>
      </c>
      <c r="B32" s="1133">
        <f>SUM(B7:B31)</f>
        <v>1204133</v>
      </c>
      <c r="C32" s="1133">
        <f>SUM(C7:C31)</f>
        <v>1642120</v>
      </c>
      <c r="D32" s="1133">
        <f>SUM(D7:D31)</f>
        <v>314000</v>
      </c>
      <c r="E32" s="1133">
        <f>SUM(E7:E31)</f>
        <v>610000</v>
      </c>
      <c r="F32" s="3332">
        <f>SUM(F8:F31)</f>
        <v>3770253</v>
      </c>
    </row>
  </sheetData>
  <mergeCells count="5">
    <mergeCell ref="F5:F6"/>
    <mergeCell ref="A5:A6"/>
    <mergeCell ref="B5:C5"/>
    <mergeCell ref="D5:D6"/>
    <mergeCell ref="E5:E6"/>
  </mergeCells>
  <pageMargins left="0.5" right="0.25" top="0.75" bottom="0.5" header="0.3" footer="0.25"/>
  <pageSetup paperSize="119" firstPageNumber="66" orientation="portrait" useFirstPageNumber="1" verticalDpi="300" r:id="rId1"/>
</worksheet>
</file>

<file path=xl/worksheets/sheet39.xml><?xml version="1.0" encoding="utf-8"?>
<worksheet xmlns="http://schemas.openxmlformats.org/spreadsheetml/2006/main" xmlns:r="http://schemas.openxmlformats.org/officeDocument/2006/relationships">
  <sheetPr codeName="Sheet29">
    <tabColor rgb="FFFFFF00"/>
  </sheetPr>
  <dimension ref="A1:I55"/>
  <sheetViews>
    <sheetView workbookViewId="0">
      <selection activeCell="I16" sqref="I16"/>
    </sheetView>
  </sheetViews>
  <sheetFormatPr defaultRowHeight="12.9" customHeight="1"/>
  <cols>
    <col min="1" max="1" width="40.5546875" style="7001" customWidth="1"/>
    <col min="2" max="3" width="8.5546875" style="7001" customWidth="1"/>
    <col min="4" max="6" width="14.5546875" style="7001" customWidth="1"/>
    <col min="7" max="7" width="9.109375" style="7001"/>
    <col min="8" max="8" width="8.88671875" style="7166" customWidth="1"/>
    <col min="9" max="9" width="14" style="7001" customWidth="1"/>
    <col min="10" max="16" width="8.88671875" style="7001" customWidth="1"/>
    <col min="17" max="256" width="9.109375" style="7001"/>
    <col min="257" max="257" width="31" style="7001" customWidth="1"/>
    <col min="258" max="258" width="7.44140625" style="7001" customWidth="1"/>
    <col min="259" max="259" width="8" style="7001" customWidth="1"/>
    <col min="260" max="260" width="11.44140625" style="7001" customWidth="1"/>
    <col min="261" max="261" width="14.109375" style="7001" customWidth="1"/>
    <col min="262" max="262" width="14.88671875" style="7001" customWidth="1"/>
    <col min="263" max="512" width="9.109375" style="7001"/>
    <col min="513" max="513" width="31" style="7001" customWidth="1"/>
    <col min="514" max="514" width="7.44140625" style="7001" customWidth="1"/>
    <col min="515" max="515" width="8" style="7001" customWidth="1"/>
    <col min="516" max="516" width="11.44140625" style="7001" customWidth="1"/>
    <col min="517" max="517" width="14.109375" style="7001" customWidth="1"/>
    <col min="518" max="518" width="14.88671875" style="7001" customWidth="1"/>
    <col min="519" max="768" width="9.109375" style="7001"/>
    <col min="769" max="769" width="31" style="7001" customWidth="1"/>
    <col min="770" max="770" width="7.44140625" style="7001" customWidth="1"/>
    <col min="771" max="771" width="8" style="7001" customWidth="1"/>
    <col min="772" max="772" width="11.44140625" style="7001" customWidth="1"/>
    <col min="773" max="773" width="14.109375" style="7001" customWidth="1"/>
    <col min="774" max="774" width="14.88671875" style="7001" customWidth="1"/>
    <col min="775" max="1024" width="9.109375" style="7001"/>
    <col min="1025" max="1025" width="31" style="7001" customWidth="1"/>
    <col min="1026" max="1026" width="7.44140625" style="7001" customWidth="1"/>
    <col min="1027" max="1027" width="8" style="7001" customWidth="1"/>
    <col min="1028" max="1028" width="11.44140625" style="7001" customWidth="1"/>
    <col min="1029" max="1029" width="14.109375" style="7001" customWidth="1"/>
    <col min="1030" max="1030" width="14.88671875" style="7001" customWidth="1"/>
    <col min="1031" max="1280" width="9.109375" style="7001"/>
    <col min="1281" max="1281" width="31" style="7001" customWidth="1"/>
    <col min="1282" max="1282" width="7.44140625" style="7001" customWidth="1"/>
    <col min="1283" max="1283" width="8" style="7001" customWidth="1"/>
    <col min="1284" max="1284" width="11.44140625" style="7001" customWidth="1"/>
    <col min="1285" max="1285" width="14.109375" style="7001" customWidth="1"/>
    <col min="1286" max="1286" width="14.88671875" style="7001" customWidth="1"/>
    <col min="1287" max="1536" width="9.109375" style="7001"/>
    <col min="1537" max="1537" width="31" style="7001" customWidth="1"/>
    <col min="1538" max="1538" width="7.44140625" style="7001" customWidth="1"/>
    <col min="1539" max="1539" width="8" style="7001" customWidth="1"/>
    <col min="1540" max="1540" width="11.44140625" style="7001" customWidth="1"/>
    <col min="1541" max="1541" width="14.109375" style="7001" customWidth="1"/>
    <col min="1542" max="1542" width="14.88671875" style="7001" customWidth="1"/>
    <col min="1543" max="1792" width="9.109375" style="7001"/>
    <col min="1793" max="1793" width="31" style="7001" customWidth="1"/>
    <col min="1794" max="1794" width="7.44140625" style="7001" customWidth="1"/>
    <col min="1795" max="1795" width="8" style="7001" customWidth="1"/>
    <col min="1796" max="1796" width="11.44140625" style="7001" customWidth="1"/>
    <col min="1797" max="1797" width="14.109375" style="7001" customWidth="1"/>
    <col min="1798" max="1798" width="14.88671875" style="7001" customWidth="1"/>
    <col min="1799" max="2048" width="9.109375" style="7001"/>
    <col min="2049" max="2049" width="31" style="7001" customWidth="1"/>
    <col min="2050" max="2050" width="7.44140625" style="7001" customWidth="1"/>
    <col min="2051" max="2051" width="8" style="7001" customWidth="1"/>
    <col min="2052" max="2052" width="11.44140625" style="7001" customWidth="1"/>
    <col min="2053" max="2053" width="14.109375" style="7001" customWidth="1"/>
    <col min="2054" max="2054" width="14.88671875" style="7001" customWidth="1"/>
    <col min="2055" max="2304" width="9.109375" style="7001"/>
    <col min="2305" max="2305" width="31" style="7001" customWidth="1"/>
    <col min="2306" max="2306" width="7.44140625" style="7001" customWidth="1"/>
    <col min="2307" max="2307" width="8" style="7001" customWidth="1"/>
    <col min="2308" max="2308" width="11.44140625" style="7001" customWidth="1"/>
    <col min="2309" max="2309" width="14.109375" style="7001" customWidth="1"/>
    <col min="2310" max="2310" width="14.88671875" style="7001" customWidth="1"/>
    <col min="2311" max="2560" width="9.109375" style="7001"/>
    <col min="2561" max="2561" width="31" style="7001" customWidth="1"/>
    <col min="2562" max="2562" width="7.44140625" style="7001" customWidth="1"/>
    <col min="2563" max="2563" width="8" style="7001" customWidth="1"/>
    <col min="2564" max="2564" width="11.44140625" style="7001" customWidth="1"/>
    <col min="2565" max="2565" width="14.109375" style="7001" customWidth="1"/>
    <col min="2566" max="2566" width="14.88671875" style="7001" customWidth="1"/>
    <col min="2567" max="2816" width="9.109375" style="7001"/>
    <col min="2817" max="2817" width="31" style="7001" customWidth="1"/>
    <col min="2818" max="2818" width="7.44140625" style="7001" customWidth="1"/>
    <col min="2819" max="2819" width="8" style="7001" customWidth="1"/>
    <col min="2820" max="2820" width="11.44140625" style="7001" customWidth="1"/>
    <col min="2821" max="2821" width="14.109375" style="7001" customWidth="1"/>
    <col min="2822" max="2822" width="14.88671875" style="7001" customWidth="1"/>
    <col min="2823" max="3072" width="9.109375" style="7001"/>
    <col min="3073" max="3073" width="31" style="7001" customWidth="1"/>
    <col min="3074" max="3074" width="7.44140625" style="7001" customWidth="1"/>
    <col min="3075" max="3075" width="8" style="7001" customWidth="1"/>
    <col min="3076" max="3076" width="11.44140625" style="7001" customWidth="1"/>
    <col min="3077" max="3077" width="14.109375" style="7001" customWidth="1"/>
    <col min="3078" max="3078" width="14.88671875" style="7001" customWidth="1"/>
    <col min="3079" max="3328" width="9.109375" style="7001"/>
    <col min="3329" max="3329" width="31" style="7001" customWidth="1"/>
    <col min="3330" max="3330" width="7.44140625" style="7001" customWidth="1"/>
    <col min="3331" max="3331" width="8" style="7001" customWidth="1"/>
    <col min="3332" max="3332" width="11.44140625" style="7001" customWidth="1"/>
    <col min="3333" max="3333" width="14.109375" style="7001" customWidth="1"/>
    <col min="3334" max="3334" width="14.88671875" style="7001" customWidth="1"/>
    <col min="3335" max="3584" width="9.109375" style="7001"/>
    <col min="3585" max="3585" width="31" style="7001" customWidth="1"/>
    <col min="3586" max="3586" width="7.44140625" style="7001" customWidth="1"/>
    <col min="3587" max="3587" width="8" style="7001" customWidth="1"/>
    <col min="3588" max="3588" width="11.44140625" style="7001" customWidth="1"/>
    <col min="3589" max="3589" width="14.109375" style="7001" customWidth="1"/>
    <col min="3590" max="3590" width="14.88671875" style="7001" customWidth="1"/>
    <col min="3591" max="3840" width="9.109375" style="7001"/>
    <col min="3841" max="3841" width="31" style="7001" customWidth="1"/>
    <col min="3842" max="3842" width="7.44140625" style="7001" customWidth="1"/>
    <col min="3843" max="3843" width="8" style="7001" customWidth="1"/>
    <col min="3844" max="3844" width="11.44140625" style="7001" customWidth="1"/>
    <col min="3845" max="3845" width="14.109375" style="7001" customWidth="1"/>
    <col min="3846" max="3846" width="14.88671875" style="7001" customWidth="1"/>
    <col min="3847" max="4096" width="9.109375" style="7001"/>
    <col min="4097" max="4097" width="31" style="7001" customWidth="1"/>
    <col min="4098" max="4098" width="7.44140625" style="7001" customWidth="1"/>
    <col min="4099" max="4099" width="8" style="7001" customWidth="1"/>
    <col min="4100" max="4100" width="11.44140625" style="7001" customWidth="1"/>
    <col min="4101" max="4101" width="14.109375" style="7001" customWidth="1"/>
    <col min="4102" max="4102" width="14.88671875" style="7001" customWidth="1"/>
    <col min="4103" max="4352" width="9.109375" style="7001"/>
    <col min="4353" max="4353" width="31" style="7001" customWidth="1"/>
    <col min="4354" max="4354" width="7.44140625" style="7001" customWidth="1"/>
    <col min="4355" max="4355" width="8" style="7001" customWidth="1"/>
    <col min="4356" max="4356" width="11.44140625" style="7001" customWidth="1"/>
    <col min="4357" max="4357" width="14.109375" style="7001" customWidth="1"/>
    <col min="4358" max="4358" width="14.88671875" style="7001" customWidth="1"/>
    <col min="4359" max="4608" width="9.109375" style="7001"/>
    <col min="4609" max="4609" width="31" style="7001" customWidth="1"/>
    <col min="4610" max="4610" width="7.44140625" style="7001" customWidth="1"/>
    <col min="4611" max="4611" width="8" style="7001" customWidth="1"/>
    <col min="4612" max="4612" width="11.44140625" style="7001" customWidth="1"/>
    <col min="4613" max="4613" width="14.109375" style="7001" customWidth="1"/>
    <col min="4614" max="4614" width="14.88671875" style="7001" customWidth="1"/>
    <col min="4615" max="4864" width="9.109375" style="7001"/>
    <col min="4865" max="4865" width="31" style="7001" customWidth="1"/>
    <col min="4866" max="4866" width="7.44140625" style="7001" customWidth="1"/>
    <col min="4867" max="4867" width="8" style="7001" customWidth="1"/>
    <col min="4868" max="4868" width="11.44140625" style="7001" customWidth="1"/>
    <col min="4869" max="4869" width="14.109375" style="7001" customWidth="1"/>
    <col min="4870" max="4870" width="14.88671875" style="7001" customWidth="1"/>
    <col min="4871" max="5120" width="9.109375" style="7001"/>
    <col min="5121" max="5121" width="31" style="7001" customWidth="1"/>
    <col min="5122" max="5122" width="7.44140625" style="7001" customWidth="1"/>
    <col min="5123" max="5123" width="8" style="7001" customWidth="1"/>
    <col min="5124" max="5124" width="11.44140625" style="7001" customWidth="1"/>
    <col min="5125" max="5125" width="14.109375" style="7001" customWidth="1"/>
    <col min="5126" max="5126" width="14.88671875" style="7001" customWidth="1"/>
    <col min="5127" max="5376" width="9.109375" style="7001"/>
    <col min="5377" max="5377" width="31" style="7001" customWidth="1"/>
    <col min="5378" max="5378" width="7.44140625" style="7001" customWidth="1"/>
    <col min="5379" max="5379" width="8" style="7001" customWidth="1"/>
    <col min="5380" max="5380" width="11.44140625" style="7001" customWidth="1"/>
    <col min="5381" max="5381" width="14.109375" style="7001" customWidth="1"/>
    <col min="5382" max="5382" width="14.88671875" style="7001" customWidth="1"/>
    <col min="5383" max="5632" width="9.109375" style="7001"/>
    <col min="5633" max="5633" width="31" style="7001" customWidth="1"/>
    <col min="5634" max="5634" width="7.44140625" style="7001" customWidth="1"/>
    <col min="5635" max="5635" width="8" style="7001" customWidth="1"/>
    <col min="5636" max="5636" width="11.44140625" style="7001" customWidth="1"/>
    <col min="5637" max="5637" width="14.109375" style="7001" customWidth="1"/>
    <col min="5638" max="5638" width="14.88671875" style="7001" customWidth="1"/>
    <col min="5639" max="5888" width="9.109375" style="7001"/>
    <col min="5889" max="5889" width="31" style="7001" customWidth="1"/>
    <col min="5890" max="5890" width="7.44140625" style="7001" customWidth="1"/>
    <col min="5891" max="5891" width="8" style="7001" customWidth="1"/>
    <col min="5892" max="5892" width="11.44140625" style="7001" customWidth="1"/>
    <col min="5893" max="5893" width="14.109375" style="7001" customWidth="1"/>
    <col min="5894" max="5894" width="14.88671875" style="7001" customWidth="1"/>
    <col min="5895" max="6144" width="9.109375" style="7001"/>
    <col min="6145" max="6145" width="31" style="7001" customWidth="1"/>
    <col min="6146" max="6146" width="7.44140625" style="7001" customWidth="1"/>
    <col min="6147" max="6147" width="8" style="7001" customWidth="1"/>
    <col min="6148" max="6148" width="11.44140625" style="7001" customWidth="1"/>
    <col min="6149" max="6149" width="14.109375" style="7001" customWidth="1"/>
    <col min="6150" max="6150" width="14.88671875" style="7001" customWidth="1"/>
    <col min="6151" max="6400" width="9.109375" style="7001"/>
    <col min="6401" max="6401" width="31" style="7001" customWidth="1"/>
    <col min="6402" max="6402" width="7.44140625" style="7001" customWidth="1"/>
    <col min="6403" max="6403" width="8" style="7001" customWidth="1"/>
    <col min="6404" max="6404" width="11.44140625" style="7001" customWidth="1"/>
    <col min="6405" max="6405" width="14.109375" style="7001" customWidth="1"/>
    <col min="6406" max="6406" width="14.88671875" style="7001" customWidth="1"/>
    <col min="6407" max="6656" width="9.109375" style="7001"/>
    <col min="6657" max="6657" width="31" style="7001" customWidth="1"/>
    <col min="6658" max="6658" width="7.44140625" style="7001" customWidth="1"/>
    <col min="6659" max="6659" width="8" style="7001" customWidth="1"/>
    <col min="6660" max="6660" width="11.44140625" style="7001" customWidth="1"/>
    <col min="6661" max="6661" width="14.109375" style="7001" customWidth="1"/>
    <col min="6662" max="6662" width="14.88671875" style="7001" customWidth="1"/>
    <col min="6663" max="6912" width="9.109375" style="7001"/>
    <col min="6913" max="6913" width="31" style="7001" customWidth="1"/>
    <col min="6914" max="6914" width="7.44140625" style="7001" customWidth="1"/>
    <col min="6915" max="6915" width="8" style="7001" customWidth="1"/>
    <col min="6916" max="6916" width="11.44140625" style="7001" customWidth="1"/>
    <col min="6917" max="6917" width="14.109375" style="7001" customWidth="1"/>
    <col min="6918" max="6918" width="14.88671875" style="7001" customWidth="1"/>
    <col min="6919" max="7168" width="9.109375" style="7001"/>
    <col min="7169" max="7169" width="31" style="7001" customWidth="1"/>
    <col min="7170" max="7170" width="7.44140625" style="7001" customWidth="1"/>
    <col min="7171" max="7171" width="8" style="7001" customWidth="1"/>
    <col min="7172" max="7172" width="11.44140625" style="7001" customWidth="1"/>
    <col min="7173" max="7173" width="14.109375" style="7001" customWidth="1"/>
    <col min="7174" max="7174" width="14.88671875" style="7001" customWidth="1"/>
    <col min="7175" max="7424" width="9.109375" style="7001"/>
    <col min="7425" max="7425" width="31" style="7001" customWidth="1"/>
    <col min="7426" max="7426" width="7.44140625" style="7001" customWidth="1"/>
    <col min="7427" max="7427" width="8" style="7001" customWidth="1"/>
    <col min="7428" max="7428" width="11.44140625" style="7001" customWidth="1"/>
    <col min="7429" max="7429" width="14.109375" style="7001" customWidth="1"/>
    <col min="7430" max="7430" width="14.88671875" style="7001" customWidth="1"/>
    <col min="7431" max="7680" width="9.109375" style="7001"/>
    <col min="7681" max="7681" width="31" style="7001" customWidth="1"/>
    <col min="7682" max="7682" width="7.44140625" style="7001" customWidth="1"/>
    <col min="7683" max="7683" width="8" style="7001" customWidth="1"/>
    <col min="7684" max="7684" width="11.44140625" style="7001" customWidth="1"/>
    <col min="7685" max="7685" width="14.109375" style="7001" customWidth="1"/>
    <col min="7686" max="7686" width="14.88671875" style="7001" customWidth="1"/>
    <col min="7687" max="7936" width="9.109375" style="7001"/>
    <col min="7937" max="7937" width="31" style="7001" customWidth="1"/>
    <col min="7938" max="7938" width="7.44140625" style="7001" customWidth="1"/>
    <col min="7939" max="7939" width="8" style="7001" customWidth="1"/>
    <col min="7940" max="7940" width="11.44140625" style="7001" customWidth="1"/>
    <col min="7941" max="7941" width="14.109375" style="7001" customWidth="1"/>
    <col min="7942" max="7942" width="14.88671875" style="7001" customWidth="1"/>
    <col min="7943" max="8192" width="9.109375" style="7001"/>
    <col min="8193" max="8193" width="31" style="7001" customWidth="1"/>
    <col min="8194" max="8194" width="7.44140625" style="7001" customWidth="1"/>
    <col min="8195" max="8195" width="8" style="7001" customWidth="1"/>
    <col min="8196" max="8196" width="11.44140625" style="7001" customWidth="1"/>
    <col min="8197" max="8197" width="14.109375" style="7001" customWidth="1"/>
    <col min="8198" max="8198" width="14.88671875" style="7001" customWidth="1"/>
    <col min="8199" max="8448" width="9.109375" style="7001"/>
    <col min="8449" max="8449" width="31" style="7001" customWidth="1"/>
    <col min="8450" max="8450" width="7.44140625" style="7001" customWidth="1"/>
    <col min="8451" max="8451" width="8" style="7001" customWidth="1"/>
    <col min="8452" max="8452" width="11.44140625" style="7001" customWidth="1"/>
    <col min="8453" max="8453" width="14.109375" style="7001" customWidth="1"/>
    <col min="8454" max="8454" width="14.88671875" style="7001" customWidth="1"/>
    <col min="8455" max="8704" width="9.109375" style="7001"/>
    <col min="8705" max="8705" width="31" style="7001" customWidth="1"/>
    <col min="8706" max="8706" width="7.44140625" style="7001" customWidth="1"/>
    <col min="8707" max="8707" width="8" style="7001" customWidth="1"/>
    <col min="8708" max="8708" width="11.44140625" style="7001" customWidth="1"/>
    <col min="8709" max="8709" width="14.109375" style="7001" customWidth="1"/>
    <col min="8710" max="8710" width="14.88671875" style="7001" customWidth="1"/>
    <col min="8711" max="8960" width="9.109375" style="7001"/>
    <col min="8961" max="8961" width="31" style="7001" customWidth="1"/>
    <col min="8962" max="8962" width="7.44140625" style="7001" customWidth="1"/>
    <col min="8963" max="8963" width="8" style="7001" customWidth="1"/>
    <col min="8964" max="8964" width="11.44140625" style="7001" customWidth="1"/>
    <col min="8965" max="8965" width="14.109375" style="7001" customWidth="1"/>
    <col min="8966" max="8966" width="14.88671875" style="7001" customWidth="1"/>
    <col min="8967" max="9216" width="9.109375" style="7001"/>
    <col min="9217" max="9217" width="31" style="7001" customWidth="1"/>
    <col min="9218" max="9218" width="7.44140625" style="7001" customWidth="1"/>
    <col min="9219" max="9219" width="8" style="7001" customWidth="1"/>
    <col min="9220" max="9220" width="11.44140625" style="7001" customWidth="1"/>
    <col min="9221" max="9221" width="14.109375" style="7001" customWidth="1"/>
    <col min="9222" max="9222" width="14.88671875" style="7001" customWidth="1"/>
    <col min="9223" max="9472" width="9.109375" style="7001"/>
    <col min="9473" max="9473" width="31" style="7001" customWidth="1"/>
    <col min="9474" max="9474" width="7.44140625" style="7001" customWidth="1"/>
    <col min="9475" max="9475" width="8" style="7001" customWidth="1"/>
    <col min="9476" max="9476" width="11.44140625" style="7001" customWidth="1"/>
    <col min="9477" max="9477" width="14.109375" style="7001" customWidth="1"/>
    <col min="9478" max="9478" width="14.88671875" style="7001" customWidth="1"/>
    <col min="9479" max="9728" width="9.109375" style="7001"/>
    <col min="9729" max="9729" width="31" style="7001" customWidth="1"/>
    <col min="9730" max="9730" width="7.44140625" style="7001" customWidth="1"/>
    <col min="9731" max="9731" width="8" style="7001" customWidth="1"/>
    <col min="9732" max="9732" width="11.44140625" style="7001" customWidth="1"/>
    <col min="9733" max="9733" width="14.109375" style="7001" customWidth="1"/>
    <col min="9734" max="9734" width="14.88671875" style="7001" customWidth="1"/>
    <col min="9735" max="9984" width="9.109375" style="7001"/>
    <col min="9985" max="9985" width="31" style="7001" customWidth="1"/>
    <col min="9986" max="9986" width="7.44140625" style="7001" customWidth="1"/>
    <col min="9987" max="9987" width="8" style="7001" customWidth="1"/>
    <col min="9988" max="9988" width="11.44140625" style="7001" customWidth="1"/>
    <col min="9989" max="9989" width="14.109375" style="7001" customWidth="1"/>
    <col min="9990" max="9990" width="14.88671875" style="7001" customWidth="1"/>
    <col min="9991" max="10240" width="9.109375" style="7001"/>
    <col min="10241" max="10241" width="31" style="7001" customWidth="1"/>
    <col min="10242" max="10242" width="7.44140625" style="7001" customWidth="1"/>
    <col min="10243" max="10243" width="8" style="7001" customWidth="1"/>
    <col min="10244" max="10244" width="11.44140625" style="7001" customWidth="1"/>
    <col min="10245" max="10245" width="14.109375" style="7001" customWidth="1"/>
    <col min="10246" max="10246" width="14.88671875" style="7001" customWidth="1"/>
    <col min="10247" max="10496" width="9.109375" style="7001"/>
    <col min="10497" max="10497" width="31" style="7001" customWidth="1"/>
    <col min="10498" max="10498" width="7.44140625" style="7001" customWidth="1"/>
    <col min="10499" max="10499" width="8" style="7001" customWidth="1"/>
    <col min="10500" max="10500" width="11.44140625" style="7001" customWidth="1"/>
    <col min="10501" max="10501" width="14.109375" style="7001" customWidth="1"/>
    <col min="10502" max="10502" width="14.88671875" style="7001" customWidth="1"/>
    <col min="10503" max="10752" width="9.109375" style="7001"/>
    <col min="10753" max="10753" width="31" style="7001" customWidth="1"/>
    <col min="10754" max="10754" width="7.44140625" style="7001" customWidth="1"/>
    <col min="10755" max="10755" width="8" style="7001" customWidth="1"/>
    <col min="10756" max="10756" width="11.44140625" style="7001" customWidth="1"/>
    <col min="10757" max="10757" width="14.109375" style="7001" customWidth="1"/>
    <col min="10758" max="10758" width="14.88671875" style="7001" customWidth="1"/>
    <col min="10759" max="11008" width="9.109375" style="7001"/>
    <col min="11009" max="11009" width="31" style="7001" customWidth="1"/>
    <col min="11010" max="11010" width="7.44140625" style="7001" customWidth="1"/>
    <col min="11011" max="11011" width="8" style="7001" customWidth="1"/>
    <col min="11012" max="11012" width="11.44140625" style="7001" customWidth="1"/>
    <col min="11013" max="11013" width="14.109375" style="7001" customWidth="1"/>
    <col min="11014" max="11014" width="14.88671875" style="7001" customWidth="1"/>
    <col min="11015" max="11264" width="9.109375" style="7001"/>
    <col min="11265" max="11265" width="31" style="7001" customWidth="1"/>
    <col min="11266" max="11266" width="7.44140625" style="7001" customWidth="1"/>
    <col min="11267" max="11267" width="8" style="7001" customWidth="1"/>
    <col min="11268" max="11268" width="11.44140625" style="7001" customWidth="1"/>
    <col min="11269" max="11269" width="14.109375" style="7001" customWidth="1"/>
    <col min="11270" max="11270" width="14.88671875" style="7001" customWidth="1"/>
    <col min="11271" max="11520" width="9.109375" style="7001"/>
    <col min="11521" max="11521" width="31" style="7001" customWidth="1"/>
    <col min="11522" max="11522" width="7.44140625" style="7001" customWidth="1"/>
    <col min="11523" max="11523" width="8" style="7001" customWidth="1"/>
    <col min="11524" max="11524" width="11.44140625" style="7001" customWidth="1"/>
    <col min="11525" max="11525" width="14.109375" style="7001" customWidth="1"/>
    <col min="11526" max="11526" width="14.88671875" style="7001" customWidth="1"/>
    <col min="11527" max="11776" width="9.109375" style="7001"/>
    <col min="11777" max="11777" width="31" style="7001" customWidth="1"/>
    <col min="11778" max="11778" width="7.44140625" style="7001" customWidth="1"/>
    <col min="11779" max="11779" width="8" style="7001" customWidth="1"/>
    <col min="11780" max="11780" width="11.44140625" style="7001" customWidth="1"/>
    <col min="11781" max="11781" width="14.109375" style="7001" customWidth="1"/>
    <col min="11782" max="11782" width="14.88671875" style="7001" customWidth="1"/>
    <col min="11783" max="12032" width="9.109375" style="7001"/>
    <col min="12033" max="12033" width="31" style="7001" customWidth="1"/>
    <col min="12034" max="12034" width="7.44140625" style="7001" customWidth="1"/>
    <col min="12035" max="12035" width="8" style="7001" customWidth="1"/>
    <col min="12036" max="12036" width="11.44140625" style="7001" customWidth="1"/>
    <col min="12037" max="12037" width="14.109375" style="7001" customWidth="1"/>
    <col min="12038" max="12038" width="14.88671875" style="7001" customWidth="1"/>
    <col min="12039" max="12288" width="9.109375" style="7001"/>
    <col min="12289" max="12289" width="31" style="7001" customWidth="1"/>
    <col min="12290" max="12290" width="7.44140625" style="7001" customWidth="1"/>
    <col min="12291" max="12291" width="8" style="7001" customWidth="1"/>
    <col min="12292" max="12292" width="11.44140625" style="7001" customWidth="1"/>
    <col min="12293" max="12293" width="14.109375" style="7001" customWidth="1"/>
    <col min="12294" max="12294" width="14.88671875" style="7001" customWidth="1"/>
    <col min="12295" max="12544" width="9.109375" style="7001"/>
    <col min="12545" max="12545" width="31" style="7001" customWidth="1"/>
    <col min="12546" max="12546" width="7.44140625" style="7001" customWidth="1"/>
    <col min="12547" max="12547" width="8" style="7001" customWidth="1"/>
    <col min="12548" max="12548" width="11.44140625" style="7001" customWidth="1"/>
    <col min="12549" max="12549" width="14.109375" style="7001" customWidth="1"/>
    <col min="12550" max="12550" width="14.88671875" style="7001" customWidth="1"/>
    <col min="12551" max="12800" width="9.109375" style="7001"/>
    <col min="12801" max="12801" width="31" style="7001" customWidth="1"/>
    <col min="12802" max="12802" width="7.44140625" style="7001" customWidth="1"/>
    <col min="12803" max="12803" width="8" style="7001" customWidth="1"/>
    <col min="12804" max="12804" width="11.44140625" style="7001" customWidth="1"/>
    <col min="12805" max="12805" width="14.109375" style="7001" customWidth="1"/>
    <col min="12806" max="12806" width="14.88671875" style="7001" customWidth="1"/>
    <col min="12807" max="13056" width="9.109375" style="7001"/>
    <col min="13057" max="13057" width="31" style="7001" customWidth="1"/>
    <col min="13058" max="13058" width="7.44140625" style="7001" customWidth="1"/>
    <col min="13059" max="13059" width="8" style="7001" customWidth="1"/>
    <col min="13060" max="13060" width="11.44140625" style="7001" customWidth="1"/>
    <col min="13061" max="13061" width="14.109375" style="7001" customWidth="1"/>
    <col min="13062" max="13062" width="14.88671875" style="7001" customWidth="1"/>
    <col min="13063" max="13312" width="9.109375" style="7001"/>
    <col min="13313" max="13313" width="31" style="7001" customWidth="1"/>
    <col min="13314" max="13314" width="7.44140625" style="7001" customWidth="1"/>
    <col min="13315" max="13315" width="8" style="7001" customWidth="1"/>
    <col min="13316" max="13316" width="11.44140625" style="7001" customWidth="1"/>
    <col min="13317" max="13317" width="14.109375" style="7001" customWidth="1"/>
    <col min="13318" max="13318" width="14.88671875" style="7001" customWidth="1"/>
    <col min="13319" max="13568" width="9.109375" style="7001"/>
    <col min="13569" max="13569" width="31" style="7001" customWidth="1"/>
    <col min="13570" max="13570" width="7.44140625" style="7001" customWidth="1"/>
    <col min="13571" max="13571" width="8" style="7001" customWidth="1"/>
    <col min="13572" max="13572" width="11.44140625" style="7001" customWidth="1"/>
    <col min="13573" max="13573" width="14.109375" style="7001" customWidth="1"/>
    <col min="13574" max="13574" width="14.88671875" style="7001" customWidth="1"/>
    <col min="13575" max="13824" width="9.109375" style="7001"/>
    <col min="13825" max="13825" width="31" style="7001" customWidth="1"/>
    <col min="13826" max="13826" width="7.44140625" style="7001" customWidth="1"/>
    <col min="13827" max="13827" width="8" style="7001" customWidth="1"/>
    <col min="13828" max="13828" width="11.44140625" style="7001" customWidth="1"/>
    <col min="13829" max="13829" width="14.109375" style="7001" customWidth="1"/>
    <col min="13830" max="13830" width="14.88671875" style="7001" customWidth="1"/>
    <col min="13831" max="14080" width="9.109375" style="7001"/>
    <col min="14081" max="14081" width="31" style="7001" customWidth="1"/>
    <col min="14082" max="14082" width="7.44140625" style="7001" customWidth="1"/>
    <col min="14083" max="14083" width="8" style="7001" customWidth="1"/>
    <col min="14084" max="14084" width="11.44140625" style="7001" customWidth="1"/>
    <col min="14085" max="14085" width="14.109375" style="7001" customWidth="1"/>
    <col min="14086" max="14086" width="14.88671875" style="7001" customWidth="1"/>
    <col min="14087" max="14336" width="9.109375" style="7001"/>
    <col min="14337" max="14337" width="31" style="7001" customWidth="1"/>
    <col min="14338" max="14338" width="7.44140625" style="7001" customWidth="1"/>
    <col min="14339" max="14339" width="8" style="7001" customWidth="1"/>
    <col min="14340" max="14340" width="11.44140625" style="7001" customWidth="1"/>
    <col min="14341" max="14341" width="14.109375" style="7001" customWidth="1"/>
    <col min="14342" max="14342" width="14.88671875" style="7001" customWidth="1"/>
    <col min="14343" max="14592" width="9.109375" style="7001"/>
    <col min="14593" max="14593" width="31" style="7001" customWidth="1"/>
    <col min="14594" max="14594" width="7.44140625" style="7001" customWidth="1"/>
    <col min="14595" max="14595" width="8" style="7001" customWidth="1"/>
    <col min="14596" max="14596" width="11.44140625" style="7001" customWidth="1"/>
    <col min="14597" max="14597" width="14.109375" style="7001" customWidth="1"/>
    <col min="14598" max="14598" width="14.88671875" style="7001" customWidth="1"/>
    <col min="14599" max="14848" width="9.109375" style="7001"/>
    <col min="14849" max="14849" width="31" style="7001" customWidth="1"/>
    <col min="14850" max="14850" width="7.44140625" style="7001" customWidth="1"/>
    <col min="14851" max="14851" width="8" style="7001" customWidth="1"/>
    <col min="14852" max="14852" width="11.44140625" style="7001" customWidth="1"/>
    <col min="14853" max="14853" width="14.109375" style="7001" customWidth="1"/>
    <col min="14854" max="14854" width="14.88671875" style="7001" customWidth="1"/>
    <col min="14855" max="15104" width="9.109375" style="7001"/>
    <col min="15105" max="15105" width="31" style="7001" customWidth="1"/>
    <col min="15106" max="15106" width="7.44140625" style="7001" customWidth="1"/>
    <col min="15107" max="15107" width="8" style="7001" customWidth="1"/>
    <col min="15108" max="15108" width="11.44140625" style="7001" customWidth="1"/>
    <col min="15109" max="15109" width="14.109375" style="7001" customWidth="1"/>
    <col min="15110" max="15110" width="14.88671875" style="7001" customWidth="1"/>
    <col min="15111" max="15360" width="9.109375" style="7001"/>
    <col min="15361" max="15361" width="31" style="7001" customWidth="1"/>
    <col min="15362" max="15362" width="7.44140625" style="7001" customWidth="1"/>
    <col min="15363" max="15363" width="8" style="7001" customWidth="1"/>
    <col min="15364" max="15364" width="11.44140625" style="7001" customWidth="1"/>
    <col min="15365" max="15365" width="14.109375" style="7001" customWidth="1"/>
    <col min="15366" max="15366" width="14.88671875" style="7001" customWidth="1"/>
    <col min="15367" max="15616" width="9.109375" style="7001"/>
    <col min="15617" max="15617" width="31" style="7001" customWidth="1"/>
    <col min="15618" max="15618" width="7.44140625" style="7001" customWidth="1"/>
    <col min="15619" max="15619" width="8" style="7001" customWidth="1"/>
    <col min="15620" max="15620" width="11.44140625" style="7001" customWidth="1"/>
    <col min="15621" max="15621" width="14.109375" style="7001" customWidth="1"/>
    <col min="15622" max="15622" width="14.88671875" style="7001" customWidth="1"/>
    <col min="15623" max="15872" width="9.109375" style="7001"/>
    <col min="15873" max="15873" width="31" style="7001" customWidth="1"/>
    <col min="15874" max="15874" width="7.44140625" style="7001" customWidth="1"/>
    <col min="15875" max="15875" width="8" style="7001" customWidth="1"/>
    <col min="15876" max="15876" width="11.44140625" style="7001" customWidth="1"/>
    <col min="15877" max="15877" width="14.109375" style="7001" customWidth="1"/>
    <col min="15878" max="15878" width="14.88671875" style="7001" customWidth="1"/>
    <col min="15879" max="16128" width="9.109375" style="7001"/>
    <col min="16129" max="16129" width="31" style="7001" customWidth="1"/>
    <col min="16130" max="16130" width="7.44140625" style="7001" customWidth="1"/>
    <col min="16131" max="16131" width="8" style="7001" customWidth="1"/>
    <col min="16132" max="16132" width="11.44140625" style="7001" customWidth="1"/>
    <col min="16133" max="16133" width="14.109375" style="7001" customWidth="1"/>
    <col min="16134" max="16134" width="14.88671875" style="7001" customWidth="1"/>
    <col min="16135" max="16384" width="9.109375" style="7001"/>
  </cols>
  <sheetData>
    <row r="1" spans="1:6" ht="12.9" customHeight="1">
      <c r="A1" s="14395" t="s">
        <v>1087</v>
      </c>
      <c r="B1" s="14395"/>
      <c r="C1" s="14395"/>
      <c r="D1" s="14395"/>
      <c r="E1" s="14395"/>
      <c r="F1" s="14395"/>
    </row>
    <row r="3" spans="1:6" ht="12.9" customHeight="1">
      <c r="A3" s="7162" t="s">
        <v>1124</v>
      </c>
    </row>
    <row r="4" spans="1:6" ht="12.9" customHeight="1" thickBot="1"/>
    <row r="5" spans="1:6" ht="12.9" customHeight="1">
      <c r="A5" s="9675" t="s">
        <v>842</v>
      </c>
      <c r="B5" s="10713" t="s">
        <v>1035</v>
      </c>
      <c r="C5" s="10713" t="s">
        <v>1036</v>
      </c>
      <c r="D5" s="14393" t="s">
        <v>1037</v>
      </c>
      <c r="E5" s="14393"/>
      <c r="F5" s="14394"/>
    </row>
    <row r="6" spans="1:6" ht="12.9" customHeight="1" thickBot="1">
      <c r="A6" s="7167" t="s">
        <v>1088</v>
      </c>
      <c r="B6" s="10750" t="s">
        <v>9</v>
      </c>
      <c r="C6" s="10750" t="s">
        <v>1039</v>
      </c>
      <c r="D6" s="10750" t="s">
        <v>10</v>
      </c>
      <c r="E6" s="10750" t="s">
        <v>11</v>
      </c>
      <c r="F6" s="9651" t="s">
        <v>11621</v>
      </c>
    </row>
    <row r="7" spans="1:6" ht="12.9" customHeight="1">
      <c r="A7" s="9675" t="s">
        <v>9</v>
      </c>
      <c r="B7" s="10713" t="s">
        <v>9</v>
      </c>
      <c r="C7" s="10713" t="s">
        <v>9</v>
      </c>
      <c r="D7" s="10713" t="s">
        <v>9</v>
      </c>
      <c r="E7" s="10713" t="s">
        <v>9</v>
      </c>
      <c r="F7" s="10714" t="s">
        <v>9</v>
      </c>
    </row>
    <row r="8" spans="1:6" ht="12.9" customHeight="1">
      <c r="A8" s="6230" t="s">
        <v>806</v>
      </c>
      <c r="B8" s="10751"/>
      <c r="C8" s="10751"/>
      <c r="D8" s="10751"/>
      <c r="E8" s="10751"/>
      <c r="F8" s="7242"/>
    </row>
    <row r="9" spans="1:6" ht="12.9" customHeight="1">
      <c r="A9" s="6230" t="s">
        <v>1089</v>
      </c>
      <c r="B9" s="10751"/>
      <c r="C9" s="10751"/>
      <c r="D9" s="10751"/>
      <c r="E9" s="10751"/>
      <c r="F9" s="7242"/>
    </row>
    <row r="10" spans="1:6" ht="12.9" customHeight="1">
      <c r="A10" s="7231" t="s">
        <v>1110</v>
      </c>
      <c r="B10" s="10751"/>
      <c r="C10" s="10751"/>
      <c r="D10" s="10751"/>
      <c r="E10" s="10751"/>
      <c r="F10" s="7242"/>
    </row>
    <row r="11" spans="1:6" ht="12.9" customHeight="1">
      <c r="A11" s="7231" t="s">
        <v>9</v>
      </c>
      <c r="B11" s="10751"/>
      <c r="C11" s="10751"/>
      <c r="D11" s="10751"/>
      <c r="E11" s="10751"/>
      <c r="F11" s="7242"/>
    </row>
    <row r="12" spans="1:6" ht="12.9" customHeight="1">
      <c r="A12" s="7231"/>
      <c r="B12" s="10751"/>
      <c r="C12" s="10751"/>
      <c r="D12" s="10751"/>
      <c r="E12" s="10751"/>
      <c r="F12" s="7242"/>
    </row>
    <row r="13" spans="1:6" ht="12.9" customHeight="1">
      <c r="A13" s="6230" t="s">
        <v>1091</v>
      </c>
      <c r="B13" s="10751"/>
      <c r="C13" s="10751"/>
      <c r="D13" s="10751"/>
      <c r="E13" s="10751"/>
      <c r="F13" s="7242"/>
    </row>
    <row r="14" spans="1:6" ht="12.9" customHeight="1">
      <c r="A14" s="6230" t="s">
        <v>1092</v>
      </c>
      <c r="B14" s="10751"/>
      <c r="C14" s="10751"/>
      <c r="D14" s="10751"/>
      <c r="E14" s="10751"/>
      <c r="F14" s="7242"/>
    </row>
    <row r="15" spans="1:6" ht="12.9" customHeight="1">
      <c r="A15" s="7231" t="s">
        <v>1125</v>
      </c>
      <c r="B15" s="8414">
        <v>0</v>
      </c>
      <c r="C15" s="8414">
        <v>18</v>
      </c>
      <c r="D15" s="10752" t="s">
        <v>10214</v>
      </c>
      <c r="E15" s="10752">
        <v>0</v>
      </c>
      <c r="F15" s="7246">
        <v>0</v>
      </c>
    </row>
    <row r="16" spans="1:6" ht="12.9" customHeight="1">
      <c r="A16" s="7231" t="s">
        <v>1126</v>
      </c>
      <c r="B16" s="8414">
        <v>1</v>
      </c>
      <c r="C16" s="8414">
        <v>11</v>
      </c>
      <c r="D16" s="8415">
        <v>241056</v>
      </c>
      <c r="E16" s="8415">
        <v>248376</v>
      </c>
      <c r="F16" s="7245">
        <v>259428</v>
      </c>
    </row>
    <row r="17" spans="1:9" ht="12.9" customHeight="1">
      <c r="A17" s="7231"/>
      <c r="B17" s="8414"/>
      <c r="C17" s="8414"/>
      <c r="D17" s="8415"/>
      <c r="E17" s="8415"/>
      <c r="F17" s="7245"/>
      <c r="H17" s="7166">
        <f>SUM(B15:B17)</f>
        <v>1</v>
      </c>
      <c r="I17" s="7164">
        <f>SUM(F15:F17)</f>
        <v>259428</v>
      </c>
    </row>
    <row r="18" spans="1:9" ht="12.9" customHeight="1">
      <c r="A18" s="6230" t="s">
        <v>1127</v>
      </c>
      <c r="B18" s="8414"/>
      <c r="C18" s="8414"/>
      <c r="D18" s="8415"/>
      <c r="E18" s="8415"/>
      <c r="F18" s="7245"/>
    </row>
    <row r="19" spans="1:9" ht="12.9" customHeight="1">
      <c r="A19" s="7231" t="s">
        <v>10125</v>
      </c>
      <c r="B19" s="8414">
        <v>1</v>
      </c>
      <c r="C19" s="8414">
        <v>22</v>
      </c>
      <c r="D19" s="8415">
        <v>642036</v>
      </c>
      <c r="E19" s="8415">
        <v>715164</v>
      </c>
      <c r="F19" s="7245">
        <v>796620</v>
      </c>
    </row>
    <row r="20" spans="1:9" ht="12.9" customHeight="1">
      <c r="A20" s="7231" t="s">
        <v>11269</v>
      </c>
      <c r="B20" s="8414">
        <v>1</v>
      </c>
      <c r="C20" s="10753">
        <v>11</v>
      </c>
      <c r="D20" s="10754">
        <v>0</v>
      </c>
      <c r="E20" s="10754">
        <v>0</v>
      </c>
      <c r="F20" s="7244">
        <v>249048</v>
      </c>
    </row>
    <row r="21" spans="1:9" ht="12.9" customHeight="1">
      <c r="A21" s="7231" t="s">
        <v>11653</v>
      </c>
      <c r="B21" s="8414">
        <v>1</v>
      </c>
      <c r="C21" s="10753">
        <v>11</v>
      </c>
      <c r="D21" s="10754">
        <v>0</v>
      </c>
      <c r="E21" s="10754">
        <v>0</v>
      </c>
      <c r="F21" s="7244">
        <v>249048</v>
      </c>
    </row>
    <row r="22" spans="1:9" ht="12.9" customHeight="1">
      <c r="A22" s="7231" t="s">
        <v>1260</v>
      </c>
      <c r="B22" s="8414">
        <v>0</v>
      </c>
      <c r="C22" s="8414">
        <v>4</v>
      </c>
      <c r="D22" s="8415">
        <v>147144</v>
      </c>
      <c r="E22" s="8415">
        <v>153336</v>
      </c>
      <c r="F22" s="7216">
        <v>0</v>
      </c>
    </row>
    <row r="23" spans="1:9" ht="12.9" customHeight="1">
      <c r="A23" s="7231" t="s">
        <v>1263</v>
      </c>
      <c r="B23" s="8414">
        <v>2</v>
      </c>
      <c r="C23" s="8414">
        <v>1</v>
      </c>
      <c r="D23" s="8415">
        <v>247320</v>
      </c>
      <c r="E23" s="8415">
        <v>261252</v>
      </c>
      <c r="F23" s="7245">
        <v>275772</v>
      </c>
    </row>
    <row r="24" spans="1:9" ht="12.9" customHeight="1">
      <c r="A24" s="7231"/>
      <c r="B24" s="8414"/>
      <c r="C24" s="8414"/>
      <c r="D24" s="8415"/>
      <c r="E24" s="8415"/>
      <c r="F24" s="7245"/>
    </row>
    <row r="25" spans="1:9" ht="12.9" customHeight="1">
      <c r="A25" s="6230" t="s">
        <v>1128</v>
      </c>
      <c r="B25" s="9652">
        <f>SUM(B15:B23)</f>
        <v>6</v>
      </c>
      <c r="C25" s="9653"/>
      <c r="D25" s="9654">
        <f>SUM(D16:D23)</f>
        <v>1277556</v>
      </c>
      <c r="E25" s="9654">
        <f>SUM(E15:E23)</f>
        <v>1378128</v>
      </c>
      <c r="F25" s="9655">
        <f>SUM(F15:F23)</f>
        <v>1829916</v>
      </c>
      <c r="H25" s="7166">
        <f>SUM(B19:B23)</f>
        <v>5</v>
      </c>
      <c r="I25" s="7164">
        <f>SUM(F19:F23)</f>
        <v>1570488</v>
      </c>
    </row>
    <row r="26" spans="1:9" ht="12.9" customHeight="1">
      <c r="A26" s="6230"/>
      <c r="B26" s="8414"/>
      <c r="C26" s="8414"/>
      <c r="D26" s="10755"/>
      <c r="E26" s="10755"/>
      <c r="F26" s="7243"/>
    </row>
    <row r="27" spans="1:9" ht="12.9" customHeight="1">
      <c r="A27" s="7231"/>
      <c r="B27" s="8414"/>
      <c r="C27" s="8414"/>
      <c r="D27" s="8415"/>
      <c r="E27" s="8415"/>
      <c r="F27" s="7245"/>
    </row>
    <row r="28" spans="1:9" ht="12.9" customHeight="1">
      <c r="A28" s="7231" t="s">
        <v>1129</v>
      </c>
      <c r="B28" s="8414"/>
      <c r="C28" s="8414"/>
      <c r="D28" s="8415"/>
      <c r="E28" s="8415"/>
      <c r="F28" s="7245"/>
    </row>
    <row r="29" spans="1:9" ht="12.9" customHeight="1">
      <c r="A29" s="7231" t="s">
        <v>11269</v>
      </c>
      <c r="B29" s="8414">
        <v>0</v>
      </c>
      <c r="C29" s="8414">
        <v>11</v>
      </c>
      <c r="D29" s="10756">
        <f>SUM(D26:D27)</f>
        <v>0</v>
      </c>
      <c r="E29" s="8415">
        <v>242148</v>
      </c>
      <c r="F29" s="9649">
        <f>SUM(F26:F27)</f>
        <v>0</v>
      </c>
    </row>
    <row r="30" spans="1:9" ht="12.9" customHeight="1">
      <c r="A30" s="7231" t="s">
        <v>11270</v>
      </c>
      <c r="B30" s="8414">
        <v>0</v>
      </c>
      <c r="C30" s="8414">
        <v>11</v>
      </c>
      <c r="D30" s="10756">
        <f>SUM(D27:D28)</f>
        <v>0</v>
      </c>
      <c r="E30" s="8415">
        <v>242148</v>
      </c>
      <c r="F30" s="9649">
        <f>SUM(F27:F28)</f>
        <v>0</v>
      </c>
    </row>
    <row r="31" spans="1:9" ht="12.9" customHeight="1">
      <c r="A31" s="7231" t="s">
        <v>1260</v>
      </c>
      <c r="B31" s="8414">
        <v>1</v>
      </c>
      <c r="C31" s="8414">
        <v>4</v>
      </c>
      <c r="D31" s="10756">
        <f>SUM(D28:D29)</f>
        <v>0</v>
      </c>
      <c r="E31" s="10756">
        <f>SUM(D28:D29)</f>
        <v>0</v>
      </c>
      <c r="F31" s="7245">
        <v>158568</v>
      </c>
    </row>
    <row r="32" spans="1:9" ht="12.9" customHeight="1">
      <c r="A32" s="7231"/>
      <c r="B32" s="10402"/>
      <c r="C32" s="10402"/>
      <c r="D32" s="10757"/>
      <c r="E32" s="10757"/>
      <c r="F32" s="9746"/>
    </row>
    <row r="33" spans="1:8" s="7162" customFormat="1" ht="12.9" customHeight="1">
      <c r="A33" s="6230" t="s">
        <v>4781</v>
      </c>
      <c r="B33" s="9652">
        <f>SUM(B29:B32)</f>
        <v>1</v>
      </c>
      <c r="C33" s="9652"/>
      <c r="D33" s="9643">
        <f>SUM(D29:D30)</f>
        <v>0</v>
      </c>
      <c r="E33" s="9642">
        <f t="shared" ref="E33:F33" si="0">SUM(E29:E32)</f>
        <v>484296</v>
      </c>
      <c r="F33" s="9667">
        <f t="shared" si="0"/>
        <v>158568</v>
      </c>
      <c r="H33" s="7273"/>
    </row>
    <row r="34" spans="1:8" ht="12.9" customHeight="1" thickBot="1">
      <c r="A34" s="7235" t="s">
        <v>9</v>
      </c>
      <c r="B34" s="9645" t="s">
        <v>9</v>
      </c>
      <c r="C34" s="9645" t="s">
        <v>9</v>
      </c>
      <c r="D34" s="9646"/>
      <c r="E34" s="9646"/>
      <c r="F34" s="9781"/>
    </row>
    <row r="35" spans="1:8" ht="12.9" customHeight="1">
      <c r="A35" s="7231"/>
      <c r="B35" s="8414"/>
      <c r="C35" s="8414"/>
      <c r="D35" s="8415"/>
      <c r="E35" s="8415"/>
      <c r="F35" s="7245"/>
      <c r="H35" s="9656">
        <f>SUM(H31:H33)</f>
        <v>0</v>
      </c>
    </row>
    <row r="36" spans="1:8" ht="12.9" customHeight="1">
      <c r="A36" s="6230" t="s">
        <v>1131</v>
      </c>
      <c r="B36" s="10750">
        <f>B33+B25</f>
        <v>7</v>
      </c>
      <c r="C36" s="8414"/>
      <c r="D36" s="10755">
        <f>D33+D25</f>
        <v>1277556</v>
      </c>
      <c r="E36" s="10755">
        <f>E33+E25</f>
        <v>1862424</v>
      </c>
      <c r="F36" s="7243">
        <f>F33+F25</f>
        <v>1988484</v>
      </c>
    </row>
    <row r="37" spans="1:8" ht="12.9" customHeight="1" thickBot="1">
      <c r="A37" s="7235"/>
      <c r="B37" s="9645"/>
      <c r="C37" s="9645"/>
      <c r="D37" s="9646"/>
      <c r="E37" s="9646"/>
      <c r="F37" s="9781"/>
    </row>
    <row r="38" spans="1:8" ht="12.9" customHeight="1">
      <c r="A38" s="7231"/>
      <c r="B38" s="8414"/>
      <c r="C38" s="8414"/>
      <c r="D38" s="8415"/>
      <c r="E38" s="8415"/>
      <c r="F38" s="7245"/>
    </row>
    <row r="39" spans="1:8" ht="12.9" customHeight="1">
      <c r="A39" s="6230" t="s">
        <v>1075</v>
      </c>
      <c r="B39" s="8414"/>
      <c r="C39" s="8414"/>
      <c r="D39" s="8415"/>
      <c r="E39" s="8415"/>
      <c r="F39" s="7245"/>
    </row>
    <row r="40" spans="1:8" ht="12.9" customHeight="1">
      <c r="A40" s="6230" t="s">
        <v>1102</v>
      </c>
      <c r="B40" s="8414"/>
      <c r="C40" s="8414"/>
      <c r="D40" s="8415"/>
      <c r="E40" s="8415"/>
      <c r="F40" s="7245"/>
    </row>
    <row r="41" spans="1:8" ht="12.9" customHeight="1">
      <c r="A41" s="7231" t="s">
        <v>1103</v>
      </c>
      <c r="B41" s="8414"/>
      <c r="C41" s="8414"/>
      <c r="D41" s="8415"/>
      <c r="E41" s="8415"/>
      <c r="F41" s="7245"/>
    </row>
    <row r="42" spans="1:8" ht="12.9" customHeight="1">
      <c r="A42" s="7231" t="s">
        <v>1078</v>
      </c>
      <c r="B42" s="8414"/>
      <c r="C42" s="8414"/>
      <c r="D42" s="8415"/>
      <c r="E42" s="8415"/>
      <c r="F42" s="7245"/>
    </row>
    <row r="43" spans="1:8" ht="12.9" customHeight="1">
      <c r="A43" s="7231" t="s">
        <v>1079</v>
      </c>
      <c r="B43" s="8414"/>
      <c r="C43" s="8414"/>
      <c r="D43" s="8415"/>
      <c r="E43" s="8415"/>
      <c r="F43" s="7245"/>
    </row>
    <row r="44" spans="1:8" ht="12.9" customHeight="1">
      <c r="A44" s="7231" t="s">
        <v>168</v>
      </c>
      <c r="B44" s="8414"/>
      <c r="C44" s="8414"/>
      <c r="D44" s="8415"/>
      <c r="E44" s="8415"/>
      <c r="F44" s="7245"/>
    </row>
    <row r="45" spans="1:8" ht="12.9" customHeight="1">
      <c r="A45" s="6230" t="s">
        <v>1080</v>
      </c>
      <c r="B45" s="8414"/>
      <c r="C45" s="8414"/>
      <c r="D45" s="8415"/>
      <c r="E45" s="8415"/>
      <c r="F45" s="7245"/>
    </row>
    <row r="46" spans="1:8" ht="12.9" customHeight="1">
      <c r="A46" s="7231" t="s">
        <v>1104</v>
      </c>
      <c r="B46" s="8414"/>
      <c r="C46" s="8414"/>
      <c r="D46" s="8415"/>
      <c r="E46" s="8415"/>
      <c r="F46" s="7245"/>
    </row>
    <row r="47" spans="1:8" ht="12.9" customHeight="1">
      <c r="A47" s="7231" t="s">
        <v>1105</v>
      </c>
      <c r="B47" s="8414"/>
      <c r="C47" s="8414"/>
      <c r="D47" s="8415"/>
      <c r="E47" s="8415"/>
      <c r="F47" s="7245"/>
    </row>
    <row r="48" spans="1:8" ht="12.9" customHeight="1">
      <c r="A48" s="7231"/>
      <c r="B48" s="8414"/>
      <c r="C48" s="8414"/>
      <c r="D48" s="8415"/>
      <c r="E48" s="8415"/>
      <c r="F48" s="7245"/>
    </row>
    <row r="49" spans="1:6" ht="12.9" customHeight="1">
      <c r="A49" s="6230" t="s">
        <v>1083</v>
      </c>
      <c r="B49" s="9653"/>
      <c r="C49" s="9653"/>
      <c r="D49" s="10758"/>
      <c r="E49" s="10758"/>
      <c r="F49" s="10759"/>
    </row>
    <row r="50" spans="1:6" ht="12.9" customHeight="1">
      <c r="A50" s="7231"/>
      <c r="B50" s="8414"/>
      <c r="C50" s="8414"/>
      <c r="D50" s="8415"/>
      <c r="E50" s="8415"/>
      <c r="F50" s="7245"/>
    </row>
    <row r="51" spans="1:6" ht="12.9" customHeight="1">
      <c r="A51" s="7231" t="s">
        <v>1106</v>
      </c>
      <c r="B51" s="8414"/>
      <c r="C51" s="8414"/>
      <c r="D51" s="8415"/>
      <c r="E51" s="8415"/>
      <c r="F51" s="7245"/>
    </row>
    <row r="52" spans="1:6" ht="12.9" customHeight="1" thickBot="1">
      <c r="A52" s="7235"/>
      <c r="B52" s="9645"/>
      <c r="C52" s="9645"/>
      <c r="D52" s="9646"/>
      <c r="E52" s="9646"/>
      <c r="F52" s="9781"/>
    </row>
    <row r="53" spans="1:6" ht="12.9" customHeight="1">
      <c r="A53" s="7231"/>
      <c r="B53" s="8414"/>
      <c r="C53" s="8414"/>
      <c r="D53" s="8415"/>
      <c r="E53" s="8415"/>
      <c r="F53" s="7245"/>
    </row>
    <row r="54" spans="1:6" ht="12.9" customHeight="1">
      <c r="A54" s="6230" t="s">
        <v>1086</v>
      </c>
      <c r="B54" s="8414"/>
      <c r="C54" s="8414"/>
      <c r="D54" s="8415"/>
      <c r="E54" s="8415"/>
      <c r="F54" s="7245"/>
    </row>
    <row r="55" spans="1:6" ht="12.9" customHeight="1" thickBot="1">
      <c r="A55" s="7235"/>
      <c r="B55" s="9645"/>
      <c r="C55" s="9645"/>
      <c r="D55" s="9646"/>
      <c r="E55" s="9646"/>
      <c r="F55" s="9781"/>
    </row>
  </sheetData>
  <mergeCells count="2">
    <mergeCell ref="D5:F5"/>
    <mergeCell ref="A1:F1"/>
  </mergeCells>
  <printOptions horizontalCentered="1"/>
  <pageMargins left="0.25" right="0.25" top="0.5" bottom="0.5" header="0.3" footer="0.3"/>
  <pageSetup paperSize="119" firstPageNumber="63" orientation="portrait" useFirstPageNumber="1" r:id="rId1"/>
  <headerFooter alignWithMargins="0"/>
</worksheet>
</file>

<file path=xl/worksheets/sheet4.xml><?xml version="1.0" encoding="utf-8"?>
<worksheet xmlns="http://schemas.openxmlformats.org/spreadsheetml/2006/main" xmlns:r="http://schemas.openxmlformats.org/officeDocument/2006/relationships">
  <sheetPr codeName="Sheet2">
    <tabColor rgb="FF7030A0"/>
  </sheetPr>
  <dimension ref="A1:K61"/>
  <sheetViews>
    <sheetView showGridLines="0" topLeftCell="A13" workbookViewId="0">
      <selection activeCell="K40" sqref="K40"/>
    </sheetView>
  </sheetViews>
  <sheetFormatPr defaultRowHeight="14.4"/>
  <cols>
    <col min="1" max="1" width="3.44140625" style="8488" customWidth="1"/>
    <col min="2" max="2" width="27.109375" style="8488" customWidth="1"/>
    <col min="3" max="3" width="17.88671875" style="8488" customWidth="1"/>
    <col min="4" max="4" width="1.109375" style="8488" customWidth="1"/>
    <col min="5" max="5" width="16.44140625" style="8488" customWidth="1"/>
    <col min="6" max="6" width="5.44140625" style="8488" customWidth="1"/>
    <col min="7" max="7" width="16.5546875" style="8488" customWidth="1"/>
    <col min="8" max="8" width="0.88671875" style="8488" customWidth="1"/>
    <col min="9" max="9" width="16.44140625" style="13631" customWidth="1"/>
    <col min="10" max="10" width="9.109375" style="8488" customWidth="1"/>
    <col min="11" max="11" width="17.44140625" style="8488" customWidth="1"/>
    <col min="12" max="256" width="9.109375" style="8488"/>
    <col min="257" max="257" width="3.44140625" style="8488" customWidth="1"/>
    <col min="258" max="258" width="27.109375" style="8488" customWidth="1"/>
    <col min="259" max="259" width="17.109375" style="8488" customWidth="1"/>
    <col min="260" max="260" width="1.109375" style="8488" customWidth="1"/>
    <col min="261" max="261" width="15.88671875" style="8488" customWidth="1"/>
    <col min="262" max="262" width="5.44140625" style="8488" customWidth="1"/>
    <col min="263" max="263" width="15.88671875" style="8488" customWidth="1"/>
    <col min="264" max="264" width="0.88671875" style="8488" customWidth="1"/>
    <col min="265" max="265" width="15.88671875" style="8488" customWidth="1"/>
    <col min="266" max="266" width="9.109375" style="8488" customWidth="1"/>
    <col min="267" max="512" width="9.109375" style="8488"/>
    <col min="513" max="513" width="3.44140625" style="8488" customWidth="1"/>
    <col min="514" max="514" width="27.109375" style="8488" customWidth="1"/>
    <col min="515" max="515" width="17.109375" style="8488" customWidth="1"/>
    <col min="516" max="516" width="1.109375" style="8488" customWidth="1"/>
    <col min="517" max="517" width="15.88671875" style="8488" customWidth="1"/>
    <col min="518" max="518" width="5.44140625" style="8488" customWidth="1"/>
    <col min="519" max="519" width="15.88671875" style="8488" customWidth="1"/>
    <col min="520" max="520" width="0.88671875" style="8488" customWidth="1"/>
    <col min="521" max="521" width="15.88671875" style="8488" customWidth="1"/>
    <col min="522" max="522" width="9.109375" style="8488" customWidth="1"/>
    <col min="523" max="768" width="9.109375" style="8488"/>
    <col min="769" max="769" width="3.44140625" style="8488" customWidth="1"/>
    <col min="770" max="770" width="27.109375" style="8488" customWidth="1"/>
    <col min="771" max="771" width="17.109375" style="8488" customWidth="1"/>
    <col min="772" max="772" width="1.109375" style="8488" customWidth="1"/>
    <col min="773" max="773" width="15.88671875" style="8488" customWidth="1"/>
    <col min="774" max="774" width="5.44140625" style="8488" customWidth="1"/>
    <col min="775" max="775" width="15.88671875" style="8488" customWidth="1"/>
    <col min="776" max="776" width="0.88671875" style="8488" customWidth="1"/>
    <col min="777" max="777" width="15.88671875" style="8488" customWidth="1"/>
    <col min="778" max="778" width="9.109375" style="8488" customWidth="1"/>
    <col min="779" max="1024" width="9.109375" style="8488"/>
    <col min="1025" max="1025" width="3.44140625" style="8488" customWidth="1"/>
    <col min="1026" max="1026" width="27.109375" style="8488" customWidth="1"/>
    <col min="1027" max="1027" width="17.109375" style="8488" customWidth="1"/>
    <col min="1028" max="1028" width="1.109375" style="8488" customWidth="1"/>
    <col min="1029" max="1029" width="15.88671875" style="8488" customWidth="1"/>
    <col min="1030" max="1030" width="5.44140625" style="8488" customWidth="1"/>
    <col min="1031" max="1031" width="15.88671875" style="8488" customWidth="1"/>
    <col min="1032" max="1032" width="0.88671875" style="8488" customWidth="1"/>
    <col min="1033" max="1033" width="15.88671875" style="8488" customWidth="1"/>
    <col min="1034" max="1034" width="9.109375" style="8488" customWidth="1"/>
    <col min="1035" max="1280" width="9.109375" style="8488"/>
    <col min="1281" max="1281" width="3.44140625" style="8488" customWidth="1"/>
    <col min="1282" max="1282" width="27.109375" style="8488" customWidth="1"/>
    <col min="1283" max="1283" width="17.109375" style="8488" customWidth="1"/>
    <col min="1284" max="1284" width="1.109375" style="8488" customWidth="1"/>
    <col min="1285" max="1285" width="15.88671875" style="8488" customWidth="1"/>
    <col min="1286" max="1286" width="5.44140625" style="8488" customWidth="1"/>
    <col min="1287" max="1287" width="15.88671875" style="8488" customWidth="1"/>
    <col min="1288" max="1288" width="0.88671875" style="8488" customWidth="1"/>
    <col min="1289" max="1289" width="15.88671875" style="8488" customWidth="1"/>
    <col min="1290" max="1290" width="9.109375" style="8488" customWidth="1"/>
    <col min="1291" max="1536" width="9.109375" style="8488"/>
    <col min="1537" max="1537" width="3.44140625" style="8488" customWidth="1"/>
    <col min="1538" max="1538" width="27.109375" style="8488" customWidth="1"/>
    <col min="1539" max="1539" width="17.109375" style="8488" customWidth="1"/>
    <col min="1540" max="1540" width="1.109375" style="8488" customWidth="1"/>
    <col min="1541" max="1541" width="15.88671875" style="8488" customWidth="1"/>
    <col min="1542" max="1542" width="5.44140625" style="8488" customWidth="1"/>
    <col min="1543" max="1543" width="15.88671875" style="8488" customWidth="1"/>
    <col min="1544" max="1544" width="0.88671875" style="8488" customWidth="1"/>
    <col min="1545" max="1545" width="15.88671875" style="8488" customWidth="1"/>
    <col min="1546" max="1546" width="9.109375" style="8488" customWidth="1"/>
    <col min="1547" max="1792" width="9.109375" style="8488"/>
    <col min="1793" max="1793" width="3.44140625" style="8488" customWidth="1"/>
    <col min="1794" max="1794" width="27.109375" style="8488" customWidth="1"/>
    <col min="1795" max="1795" width="17.109375" style="8488" customWidth="1"/>
    <col min="1796" max="1796" width="1.109375" style="8488" customWidth="1"/>
    <col min="1797" max="1797" width="15.88671875" style="8488" customWidth="1"/>
    <col min="1798" max="1798" width="5.44140625" style="8488" customWidth="1"/>
    <col min="1799" max="1799" width="15.88671875" style="8488" customWidth="1"/>
    <col min="1800" max="1800" width="0.88671875" style="8488" customWidth="1"/>
    <col min="1801" max="1801" width="15.88671875" style="8488" customWidth="1"/>
    <col min="1802" max="1802" width="9.109375" style="8488" customWidth="1"/>
    <col min="1803" max="2048" width="9.109375" style="8488"/>
    <col min="2049" max="2049" width="3.44140625" style="8488" customWidth="1"/>
    <col min="2050" max="2050" width="27.109375" style="8488" customWidth="1"/>
    <col min="2051" max="2051" width="17.109375" style="8488" customWidth="1"/>
    <col min="2052" max="2052" width="1.109375" style="8488" customWidth="1"/>
    <col min="2053" max="2053" width="15.88671875" style="8488" customWidth="1"/>
    <col min="2054" max="2054" width="5.44140625" style="8488" customWidth="1"/>
    <col min="2055" max="2055" width="15.88671875" style="8488" customWidth="1"/>
    <col min="2056" max="2056" width="0.88671875" style="8488" customWidth="1"/>
    <col min="2057" max="2057" width="15.88671875" style="8488" customWidth="1"/>
    <col min="2058" max="2058" width="9.109375" style="8488" customWidth="1"/>
    <col min="2059" max="2304" width="9.109375" style="8488"/>
    <col min="2305" max="2305" width="3.44140625" style="8488" customWidth="1"/>
    <col min="2306" max="2306" width="27.109375" style="8488" customWidth="1"/>
    <col min="2307" max="2307" width="17.109375" style="8488" customWidth="1"/>
    <col min="2308" max="2308" width="1.109375" style="8488" customWidth="1"/>
    <col min="2309" max="2309" width="15.88671875" style="8488" customWidth="1"/>
    <col min="2310" max="2310" width="5.44140625" style="8488" customWidth="1"/>
    <col min="2311" max="2311" width="15.88671875" style="8488" customWidth="1"/>
    <col min="2312" max="2312" width="0.88671875" style="8488" customWidth="1"/>
    <col min="2313" max="2313" width="15.88671875" style="8488" customWidth="1"/>
    <col min="2314" max="2314" width="9.109375" style="8488" customWidth="1"/>
    <col min="2315" max="2560" width="9.109375" style="8488"/>
    <col min="2561" max="2561" width="3.44140625" style="8488" customWidth="1"/>
    <col min="2562" max="2562" width="27.109375" style="8488" customWidth="1"/>
    <col min="2563" max="2563" width="17.109375" style="8488" customWidth="1"/>
    <col min="2564" max="2564" width="1.109375" style="8488" customWidth="1"/>
    <col min="2565" max="2565" width="15.88671875" style="8488" customWidth="1"/>
    <col min="2566" max="2566" width="5.44140625" style="8488" customWidth="1"/>
    <col min="2567" max="2567" width="15.88671875" style="8488" customWidth="1"/>
    <col min="2568" max="2568" width="0.88671875" style="8488" customWidth="1"/>
    <col min="2569" max="2569" width="15.88671875" style="8488" customWidth="1"/>
    <col min="2570" max="2570" width="9.109375" style="8488" customWidth="1"/>
    <col min="2571" max="2816" width="9.109375" style="8488"/>
    <col min="2817" max="2817" width="3.44140625" style="8488" customWidth="1"/>
    <col min="2818" max="2818" width="27.109375" style="8488" customWidth="1"/>
    <col min="2819" max="2819" width="17.109375" style="8488" customWidth="1"/>
    <col min="2820" max="2820" width="1.109375" style="8488" customWidth="1"/>
    <col min="2821" max="2821" width="15.88671875" style="8488" customWidth="1"/>
    <col min="2822" max="2822" width="5.44140625" style="8488" customWidth="1"/>
    <col min="2823" max="2823" width="15.88671875" style="8488" customWidth="1"/>
    <col min="2824" max="2824" width="0.88671875" style="8488" customWidth="1"/>
    <col min="2825" max="2825" width="15.88671875" style="8488" customWidth="1"/>
    <col min="2826" max="2826" width="9.109375" style="8488" customWidth="1"/>
    <col min="2827" max="3072" width="9.109375" style="8488"/>
    <col min="3073" max="3073" width="3.44140625" style="8488" customWidth="1"/>
    <col min="3074" max="3074" width="27.109375" style="8488" customWidth="1"/>
    <col min="3075" max="3075" width="17.109375" style="8488" customWidth="1"/>
    <col min="3076" max="3076" width="1.109375" style="8488" customWidth="1"/>
    <col min="3077" max="3077" width="15.88671875" style="8488" customWidth="1"/>
    <col min="3078" max="3078" width="5.44140625" style="8488" customWidth="1"/>
    <col min="3079" max="3079" width="15.88671875" style="8488" customWidth="1"/>
    <col min="3080" max="3080" width="0.88671875" style="8488" customWidth="1"/>
    <col min="3081" max="3081" width="15.88671875" style="8488" customWidth="1"/>
    <col min="3082" max="3082" width="9.109375" style="8488" customWidth="1"/>
    <col min="3083" max="3328" width="9.109375" style="8488"/>
    <col min="3329" max="3329" width="3.44140625" style="8488" customWidth="1"/>
    <col min="3330" max="3330" width="27.109375" style="8488" customWidth="1"/>
    <col min="3331" max="3331" width="17.109375" style="8488" customWidth="1"/>
    <col min="3332" max="3332" width="1.109375" style="8488" customWidth="1"/>
    <col min="3333" max="3333" width="15.88671875" style="8488" customWidth="1"/>
    <col min="3334" max="3334" width="5.44140625" style="8488" customWidth="1"/>
    <col min="3335" max="3335" width="15.88671875" style="8488" customWidth="1"/>
    <col min="3336" max="3336" width="0.88671875" style="8488" customWidth="1"/>
    <col min="3337" max="3337" width="15.88671875" style="8488" customWidth="1"/>
    <col min="3338" max="3338" width="9.109375" style="8488" customWidth="1"/>
    <col min="3339" max="3584" width="9.109375" style="8488"/>
    <col min="3585" max="3585" width="3.44140625" style="8488" customWidth="1"/>
    <col min="3586" max="3586" width="27.109375" style="8488" customWidth="1"/>
    <col min="3587" max="3587" width="17.109375" style="8488" customWidth="1"/>
    <col min="3588" max="3588" width="1.109375" style="8488" customWidth="1"/>
    <col min="3589" max="3589" width="15.88671875" style="8488" customWidth="1"/>
    <col min="3590" max="3590" width="5.44140625" style="8488" customWidth="1"/>
    <col min="3591" max="3591" width="15.88671875" style="8488" customWidth="1"/>
    <col min="3592" max="3592" width="0.88671875" style="8488" customWidth="1"/>
    <col min="3593" max="3593" width="15.88671875" style="8488" customWidth="1"/>
    <col min="3594" max="3594" width="9.109375" style="8488" customWidth="1"/>
    <col min="3595" max="3840" width="9.109375" style="8488"/>
    <col min="3841" max="3841" width="3.44140625" style="8488" customWidth="1"/>
    <col min="3842" max="3842" width="27.109375" style="8488" customWidth="1"/>
    <col min="3843" max="3843" width="17.109375" style="8488" customWidth="1"/>
    <col min="3844" max="3844" width="1.109375" style="8488" customWidth="1"/>
    <col min="3845" max="3845" width="15.88671875" style="8488" customWidth="1"/>
    <col min="3846" max="3846" width="5.44140625" style="8488" customWidth="1"/>
    <col min="3847" max="3847" width="15.88671875" style="8488" customWidth="1"/>
    <col min="3848" max="3848" width="0.88671875" style="8488" customWidth="1"/>
    <col min="3849" max="3849" width="15.88671875" style="8488" customWidth="1"/>
    <col min="3850" max="3850" width="9.109375" style="8488" customWidth="1"/>
    <col min="3851" max="4096" width="9.109375" style="8488"/>
    <col min="4097" max="4097" width="3.44140625" style="8488" customWidth="1"/>
    <col min="4098" max="4098" width="27.109375" style="8488" customWidth="1"/>
    <col min="4099" max="4099" width="17.109375" style="8488" customWidth="1"/>
    <col min="4100" max="4100" width="1.109375" style="8488" customWidth="1"/>
    <col min="4101" max="4101" width="15.88671875" style="8488" customWidth="1"/>
    <col min="4102" max="4102" width="5.44140625" style="8488" customWidth="1"/>
    <col min="4103" max="4103" width="15.88671875" style="8488" customWidth="1"/>
    <col min="4104" max="4104" width="0.88671875" style="8488" customWidth="1"/>
    <col min="4105" max="4105" width="15.88671875" style="8488" customWidth="1"/>
    <col min="4106" max="4106" width="9.109375" style="8488" customWidth="1"/>
    <col min="4107" max="4352" width="9.109375" style="8488"/>
    <col min="4353" max="4353" width="3.44140625" style="8488" customWidth="1"/>
    <col min="4354" max="4354" width="27.109375" style="8488" customWidth="1"/>
    <col min="4355" max="4355" width="17.109375" style="8488" customWidth="1"/>
    <col min="4356" max="4356" width="1.109375" style="8488" customWidth="1"/>
    <col min="4357" max="4357" width="15.88671875" style="8488" customWidth="1"/>
    <col min="4358" max="4358" width="5.44140625" style="8488" customWidth="1"/>
    <col min="4359" max="4359" width="15.88671875" style="8488" customWidth="1"/>
    <col min="4360" max="4360" width="0.88671875" style="8488" customWidth="1"/>
    <col min="4361" max="4361" width="15.88671875" style="8488" customWidth="1"/>
    <col min="4362" max="4362" width="9.109375" style="8488" customWidth="1"/>
    <col min="4363" max="4608" width="9.109375" style="8488"/>
    <col min="4609" max="4609" width="3.44140625" style="8488" customWidth="1"/>
    <col min="4610" max="4610" width="27.109375" style="8488" customWidth="1"/>
    <col min="4611" max="4611" width="17.109375" style="8488" customWidth="1"/>
    <col min="4612" max="4612" width="1.109375" style="8488" customWidth="1"/>
    <col min="4613" max="4613" width="15.88671875" style="8488" customWidth="1"/>
    <col min="4614" max="4614" width="5.44140625" style="8488" customWidth="1"/>
    <col min="4615" max="4615" width="15.88671875" style="8488" customWidth="1"/>
    <col min="4616" max="4616" width="0.88671875" style="8488" customWidth="1"/>
    <col min="4617" max="4617" width="15.88671875" style="8488" customWidth="1"/>
    <col min="4618" max="4618" width="9.109375" style="8488" customWidth="1"/>
    <col min="4619" max="4864" width="9.109375" style="8488"/>
    <col min="4865" max="4865" width="3.44140625" style="8488" customWidth="1"/>
    <col min="4866" max="4866" width="27.109375" style="8488" customWidth="1"/>
    <col min="4867" max="4867" width="17.109375" style="8488" customWidth="1"/>
    <col min="4868" max="4868" width="1.109375" style="8488" customWidth="1"/>
    <col min="4869" max="4869" width="15.88671875" style="8488" customWidth="1"/>
    <col min="4870" max="4870" width="5.44140625" style="8488" customWidth="1"/>
    <col min="4871" max="4871" width="15.88671875" style="8488" customWidth="1"/>
    <col min="4872" max="4872" width="0.88671875" style="8488" customWidth="1"/>
    <col min="4873" max="4873" width="15.88671875" style="8488" customWidth="1"/>
    <col min="4874" max="4874" width="9.109375" style="8488" customWidth="1"/>
    <col min="4875" max="5120" width="9.109375" style="8488"/>
    <col min="5121" max="5121" width="3.44140625" style="8488" customWidth="1"/>
    <col min="5122" max="5122" width="27.109375" style="8488" customWidth="1"/>
    <col min="5123" max="5123" width="17.109375" style="8488" customWidth="1"/>
    <col min="5124" max="5124" width="1.109375" style="8488" customWidth="1"/>
    <col min="5125" max="5125" width="15.88671875" style="8488" customWidth="1"/>
    <col min="5126" max="5126" width="5.44140625" style="8488" customWidth="1"/>
    <col min="5127" max="5127" width="15.88671875" style="8488" customWidth="1"/>
    <col min="5128" max="5128" width="0.88671875" style="8488" customWidth="1"/>
    <col min="5129" max="5129" width="15.88671875" style="8488" customWidth="1"/>
    <col min="5130" max="5130" width="9.109375" style="8488" customWidth="1"/>
    <col min="5131" max="5376" width="9.109375" style="8488"/>
    <col min="5377" max="5377" width="3.44140625" style="8488" customWidth="1"/>
    <col min="5378" max="5378" width="27.109375" style="8488" customWidth="1"/>
    <col min="5379" max="5379" width="17.109375" style="8488" customWidth="1"/>
    <col min="5380" max="5380" width="1.109375" style="8488" customWidth="1"/>
    <col min="5381" max="5381" width="15.88671875" style="8488" customWidth="1"/>
    <col min="5382" max="5382" width="5.44140625" style="8488" customWidth="1"/>
    <col min="5383" max="5383" width="15.88671875" style="8488" customWidth="1"/>
    <col min="5384" max="5384" width="0.88671875" style="8488" customWidth="1"/>
    <col min="5385" max="5385" width="15.88671875" style="8488" customWidth="1"/>
    <col min="5386" max="5386" width="9.109375" style="8488" customWidth="1"/>
    <col min="5387" max="5632" width="9.109375" style="8488"/>
    <col min="5633" max="5633" width="3.44140625" style="8488" customWidth="1"/>
    <col min="5634" max="5634" width="27.109375" style="8488" customWidth="1"/>
    <col min="5635" max="5635" width="17.109375" style="8488" customWidth="1"/>
    <col min="5636" max="5636" width="1.109375" style="8488" customWidth="1"/>
    <col min="5637" max="5637" width="15.88671875" style="8488" customWidth="1"/>
    <col min="5638" max="5638" width="5.44140625" style="8488" customWidth="1"/>
    <col min="5639" max="5639" width="15.88671875" style="8488" customWidth="1"/>
    <col min="5640" max="5640" width="0.88671875" style="8488" customWidth="1"/>
    <col min="5641" max="5641" width="15.88671875" style="8488" customWidth="1"/>
    <col min="5642" max="5642" width="9.109375" style="8488" customWidth="1"/>
    <col min="5643" max="5888" width="9.109375" style="8488"/>
    <col min="5889" max="5889" width="3.44140625" style="8488" customWidth="1"/>
    <col min="5890" max="5890" width="27.109375" style="8488" customWidth="1"/>
    <col min="5891" max="5891" width="17.109375" style="8488" customWidth="1"/>
    <col min="5892" max="5892" width="1.109375" style="8488" customWidth="1"/>
    <col min="5893" max="5893" width="15.88671875" style="8488" customWidth="1"/>
    <col min="5894" max="5894" width="5.44140625" style="8488" customWidth="1"/>
    <col min="5895" max="5895" width="15.88671875" style="8488" customWidth="1"/>
    <col min="5896" max="5896" width="0.88671875" style="8488" customWidth="1"/>
    <col min="5897" max="5897" width="15.88671875" style="8488" customWidth="1"/>
    <col min="5898" max="5898" width="9.109375" style="8488" customWidth="1"/>
    <col min="5899" max="6144" width="9.109375" style="8488"/>
    <col min="6145" max="6145" width="3.44140625" style="8488" customWidth="1"/>
    <col min="6146" max="6146" width="27.109375" style="8488" customWidth="1"/>
    <col min="6147" max="6147" width="17.109375" style="8488" customWidth="1"/>
    <col min="6148" max="6148" width="1.109375" style="8488" customWidth="1"/>
    <col min="6149" max="6149" width="15.88671875" style="8488" customWidth="1"/>
    <col min="6150" max="6150" width="5.44140625" style="8488" customWidth="1"/>
    <col min="6151" max="6151" width="15.88671875" style="8488" customWidth="1"/>
    <col min="6152" max="6152" width="0.88671875" style="8488" customWidth="1"/>
    <col min="6153" max="6153" width="15.88671875" style="8488" customWidth="1"/>
    <col min="6154" max="6154" width="9.109375" style="8488" customWidth="1"/>
    <col min="6155" max="6400" width="9.109375" style="8488"/>
    <col min="6401" max="6401" width="3.44140625" style="8488" customWidth="1"/>
    <col min="6402" max="6402" width="27.109375" style="8488" customWidth="1"/>
    <col min="6403" max="6403" width="17.109375" style="8488" customWidth="1"/>
    <col min="6404" max="6404" width="1.109375" style="8488" customWidth="1"/>
    <col min="6405" max="6405" width="15.88671875" style="8488" customWidth="1"/>
    <col min="6406" max="6406" width="5.44140625" style="8488" customWidth="1"/>
    <col min="6407" max="6407" width="15.88671875" style="8488" customWidth="1"/>
    <col min="6408" max="6408" width="0.88671875" style="8488" customWidth="1"/>
    <col min="6409" max="6409" width="15.88671875" style="8488" customWidth="1"/>
    <col min="6410" max="6410" width="9.109375" style="8488" customWidth="1"/>
    <col min="6411" max="6656" width="9.109375" style="8488"/>
    <col min="6657" max="6657" width="3.44140625" style="8488" customWidth="1"/>
    <col min="6658" max="6658" width="27.109375" style="8488" customWidth="1"/>
    <col min="6659" max="6659" width="17.109375" style="8488" customWidth="1"/>
    <col min="6660" max="6660" width="1.109375" style="8488" customWidth="1"/>
    <col min="6661" max="6661" width="15.88671875" style="8488" customWidth="1"/>
    <col min="6662" max="6662" width="5.44140625" style="8488" customWidth="1"/>
    <col min="6663" max="6663" width="15.88671875" style="8488" customWidth="1"/>
    <col min="6664" max="6664" width="0.88671875" style="8488" customWidth="1"/>
    <col min="6665" max="6665" width="15.88671875" style="8488" customWidth="1"/>
    <col min="6666" max="6666" width="9.109375" style="8488" customWidth="1"/>
    <col min="6667" max="6912" width="9.109375" style="8488"/>
    <col min="6913" max="6913" width="3.44140625" style="8488" customWidth="1"/>
    <col min="6914" max="6914" width="27.109375" style="8488" customWidth="1"/>
    <col min="6915" max="6915" width="17.109375" style="8488" customWidth="1"/>
    <col min="6916" max="6916" width="1.109375" style="8488" customWidth="1"/>
    <col min="6917" max="6917" width="15.88671875" style="8488" customWidth="1"/>
    <col min="6918" max="6918" width="5.44140625" style="8488" customWidth="1"/>
    <col min="6919" max="6919" width="15.88671875" style="8488" customWidth="1"/>
    <col min="6920" max="6920" width="0.88671875" style="8488" customWidth="1"/>
    <col min="6921" max="6921" width="15.88671875" style="8488" customWidth="1"/>
    <col min="6922" max="6922" width="9.109375" style="8488" customWidth="1"/>
    <col min="6923" max="7168" width="9.109375" style="8488"/>
    <col min="7169" max="7169" width="3.44140625" style="8488" customWidth="1"/>
    <col min="7170" max="7170" width="27.109375" style="8488" customWidth="1"/>
    <col min="7171" max="7171" width="17.109375" style="8488" customWidth="1"/>
    <col min="7172" max="7172" width="1.109375" style="8488" customWidth="1"/>
    <col min="7173" max="7173" width="15.88671875" style="8488" customWidth="1"/>
    <col min="7174" max="7174" width="5.44140625" style="8488" customWidth="1"/>
    <col min="7175" max="7175" width="15.88671875" style="8488" customWidth="1"/>
    <col min="7176" max="7176" width="0.88671875" style="8488" customWidth="1"/>
    <col min="7177" max="7177" width="15.88671875" style="8488" customWidth="1"/>
    <col min="7178" max="7178" width="9.109375" style="8488" customWidth="1"/>
    <col min="7179" max="7424" width="9.109375" style="8488"/>
    <col min="7425" max="7425" width="3.44140625" style="8488" customWidth="1"/>
    <col min="7426" max="7426" width="27.109375" style="8488" customWidth="1"/>
    <col min="7427" max="7427" width="17.109375" style="8488" customWidth="1"/>
    <col min="7428" max="7428" width="1.109375" style="8488" customWidth="1"/>
    <col min="7429" max="7429" width="15.88671875" style="8488" customWidth="1"/>
    <col min="7430" max="7430" width="5.44140625" style="8488" customWidth="1"/>
    <col min="7431" max="7431" width="15.88671875" style="8488" customWidth="1"/>
    <col min="7432" max="7432" width="0.88671875" style="8488" customWidth="1"/>
    <col min="7433" max="7433" width="15.88671875" style="8488" customWidth="1"/>
    <col min="7434" max="7434" width="9.109375" style="8488" customWidth="1"/>
    <col min="7435" max="7680" width="9.109375" style="8488"/>
    <col min="7681" max="7681" width="3.44140625" style="8488" customWidth="1"/>
    <col min="7682" max="7682" width="27.109375" style="8488" customWidth="1"/>
    <col min="7683" max="7683" width="17.109375" style="8488" customWidth="1"/>
    <col min="7684" max="7684" width="1.109375" style="8488" customWidth="1"/>
    <col min="7685" max="7685" width="15.88671875" style="8488" customWidth="1"/>
    <col min="7686" max="7686" width="5.44140625" style="8488" customWidth="1"/>
    <col min="7687" max="7687" width="15.88671875" style="8488" customWidth="1"/>
    <col min="7688" max="7688" width="0.88671875" style="8488" customWidth="1"/>
    <col min="7689" max="7689" width="15.88671875" style="8488" customWidth="1"/>
    <col min="7690" max="7690" width="9.109375" style="8488" customWidth="1"/>
    <col min="7691" max="7936" width="9.109375" style="8488"/>
    <col min="7937" max="7937" width="3.44140625" style="8488" customWidth="1"/>
    <col min="7938" max="7938" width="27.109375" style="8488" customWidth="1"/>
    <col min="7939" max="7939" width="17.109375" style="8488" customWidth="1"/>
    <col min="7940" max="7940" width="1.109375" style="8488" customWidth="1"/>
    <col min="7941" max="7941" width="15.88671875" style="8488" customWidth="1"/>
    <col min="7942" max="7942" width="5.44140625" style="8488" customWidth="1"/>
    <col min="7943" max="7943" width="15.88671875" style="8488" customWidth="1"/>
    <col min="7944" max="7944" width="0.88671875" style="8488" customWidth="1"/>
    <col min="7945" max="7945" width="15.88671875" style="8488" customWidth="1"/>
    <col min="7946" max="7946" width="9.109375" style="8488" customWidth="1"/>
    <col min="7947" max="8192" width="9.109375" style="8488"/>
    <col min="8193" max="8193" width="3.44140625" style="8488" customWidth="1"/>
    <col min="8194" max="8194" width="27.109375" style="8488" customWidth="1"/>
    <col min="8195" max="8195" width="17.109375" style="8488" customWidth="1"/>
    <col min="8196" max="8196" width="1.109375" style="8488" customWidth="1"/>
    <col min="8197" max="8197" width="15.88671875" style="8488" customWidth="1"/>
    <col min="8198" max="8198" width="5.44140625" style="8488" customWidth="1"/>
    <col min="8199" max="8199" width="15.88671875" style="8488" customWidth="1"/>
    <col min="8200" max="8200" width="0.88671875" style="8488" customWidth="1"/>
    <col min="8201" max="8201" width="15.88671875" style="8488" customWidth="1"/>
    <col min="8202" max="8202" width="9.109375" style="8488" customWidth="1"/>
    <col min="8203" max="8448" width="9.109375" style="8488"/>
    <col min="8449" max="8449" width="3.44140625" style="8488" customWidth="1"/>
    <col min="8450" max="8450" width="27.109375" style="8488" customWidth="1"/>
    <col min="8451" max="8451" width="17.109375" style="8488" customWidth="1"/>
    <col min="8452" max="8452" width="1.109375" style="8488" customWidth="1"/>
    <col min="8453" max="8453" width="15.88671875" style="8488" customWidth="1"/>
    <col min="8454" max="8454" width="5.44140625" style="8488" customWidth="1"/>
    <col min="8455" max="8455" width="15.88671875" style="8488" customWidth="1"/>
    <col min="8456" max="8456" width="0.88671875" style="8488" customWidth="1"/>
    <col min="8457" max="8457" width="15.88671875" style="8488" customWidth="1"/>
    <col min="8458" max="8458" width="9.109375" style="8488" customWidth="1"/>
    <col min="8459" max="8704" width="9.109375" style="8488"/>
    <col min="8705" max="8705" width="3.44140625" style="8488" customWidth="1"/>
    <col min="8706" max="8706" width="27.109375" style="8488" customWidth="1"/>
    <col min="8707" max="8707" width="17.109375" style="8488" customWidth="1"/>
    <col min="8708" max="8708" width="1.109375" style="8488" customWidth="1"/>
    <col min="8709" max="8709" width="15.88671875" style="8488" customWidth="1"/>
    <col min="8710" max="8710" width="5.44140625" style="8488" customWidth="1"/>
    <col min="8711" max="8711" width="15.88671875" style="8488" customWidth="1"/>
    <col min="8712" max="8712" width="0.88671875" style="8488" customWidth="1"/>
    <col min="8713" max="8713" width="15.88671875" style="8488" customWidth="1"/>
    <col min="8714" max="8714" width="9.109375" style="8488" customWidth="1"/>
    <col min="8715" max="8960" width="9.109375" style="8488"/>
    <col min="8961" max="8961" width="3.44140625" style="8488" customWidth="1"/>
    <col min="8962" max="8962" width="27.109375" style="8488" customWidth="1"/>
    <col min="8963" max="8963" width="17.109375" style="8488" customWidth="1"/>
    <col min="8964" max="8964" width="1.109375" style="8488" customWidth="1"/>
    <col min="8965" max="8965" width="15.88671875" style="8488" customWidth="1"/>
    <col min="8966" max="8966" width="5.44140625" style="8488" customWidth="1"/>
    <col min="8967" max="8967" width="15.88671875" style="8488" customWidth="1"/>
    <col min="8968" max="8968" width="0.88671875" style="8488" customWidth="1"/>
    <col min="8969" max="8969" width="15.88671875" style="8488" customWidth="1"/>
    <col min="8970" max="8970" width="9.109375" style="8488" customWidth="1"/>
    <col min="8971" max="9216" width="9.109375" style="8488"/>
    <col min="9217" max="9217" width="3.44140625" style="8488" customWidth="1"/>
    <col min="9218" max="9218" width="27.109375" style="8488" customWidth="1"/>
    <col min="9219" max="9219" width="17.109375" style="8488" customWidth="1"/>
    <col min="9220" max="9220" width="1.109375" style="8488" customWidth="1"/>
    <col min="9221" max="9221" width="15.88671875" style="8488" customWidth="1"/>
    <col min="9222" max="9222" width="5.44140625" style="8488" customWidth="1"/>
    <col min="9223" max="9223" width="15.88671875" style="8488" customWidth="1"/>
    <col min="9224" max="9224" width="0.88671875" style="8488" customWidth="1"/>
    <col min="9225" max="9225" width="15.88671875" style="8488" customWidth="1"/>
    <col min="9226" max="9226" width="9.109375" style="8488" customWidth="1"/>
    <col min="9227" max="9472" width="9.109375" style="8488"/>
    <col min="9473" max="9473" width="3.44140625" style="8488" customWidth="1"/>
    <col min="9474" max="9474" width="27.109375" style="8488" customWidth="1"/>
    <col min="9475" max="9475" width="17.109375" style="8488" customWidth="1"/>
    <col min="9476" max="9476" width="1.109375" style="8488" customWidth="1"/>
    <col min="9477" max="9477" width="15.88671875" style="8488" customWidth="1"/>
    <col min="9478" max="9478" width="5.44140625" style="8488" customWidth="1"/>
    <col min="9479" max="9479" width="15.88671875" style="8488" customWidth="1"/>
    <col min="9480" max="9480" width="0.88671875" style="8488" customWidth="1"/>
    <col min="9481" max="9481" width="15.88671875" style="8488" customWidth="1"/>
    <col min="9482" max="9482" width="9.109375" style="8488" customWidth="1"/>
    <col min="9483" max="9728" width="9.109375" style="8488"/>
    <col min="9729" max="9729" width="3.44140625" style="8488" customWidth="1"/>
    <col min="9730" max="9730" width="27.109375" style="8488" customWidth="1"/>
    <col min="9731" max="9731" width="17.109375" style="8488" customWidth="1"/>
    <col min="9732" max="9732" width="1.109375" style="8488" customWidth="1"/>
    <col min="9733" max="9733" width="15.88671875" style="8488" customWidth="1"/>
    <col min="9734" max="9734" width="5.44140625" style="8488" customWidth="1"/>
    <col min="9735" max="9735" width="15.88671875" style="8488" customWidth="1"/>
    <col min="9736" max="9736" width="0.88671875" style="8488" customWidth="1"/>
    <col min="9737" max="9737" width="15.88671875" style="8488" customWidth="1"/>
    <col min="9738" max="9738" width="9.109375" style="8488" customWidth="1"/>
    <col min="9739" max="9984" width="9.109375" style="8488"/>
    <col min="9985" max="9985" width="3.44140625" style="8488" customWidth="1"/>
    <col min="9986" max="9986" width="27.109375" style="8488" customWidth="1"/>
    <col min="9987" max="9987" width="17.109375" style="8488" customWidth="1"/>
    <col min="9988" max="9988" width="1.109375" style="8488" customWidth="1"/>
    <col min="9989" max="9989" width="15.88671875" style="8488" customWidth="1"/>
    <col min="9990" max="9990" width="5.44140625" style="8488" customWidth="1"/>
    <col min="9991" max="9991" width="15.88671875" style="8488" customWidth="1"/>
    <col min="9992" max="9992" width="0.88671875" style="8488" customWidth="1"/>
    <col min="9993" max="9993" width="15.88671875" style="8488" customWidth="1"/>
    <col min="9994" max="9994" width="9.109375" style="8488" customWidth="1"/>
    <col min="9995" max="10240" width="9.109375" style="8488"/>
    <col min="10241" max="10241" width="3.44140625" style="8488" customWidth="1"/>
    <col min="10242" max="10242" width="27.109375" style="8488" customWidth="1"/>
    <col min="10243" max="10243" width="17.109375" style="8488" customWidth="1"/>
    <col min="10244" max="10244" width="1.109375" style="8488" customWidth="1"/>
    <col min="10245" max="10245" width="15.88671875" style="8488" customWidth="1"/>
    <col min="10246" max="10246" width="5.44140625" style="8488" customWidth="1"/>
    <col min="10247" max="10247" width="15.88671875" style="8488" customWidth="1"/>
    <col min="10248" max="10248" width="0.88671875" style="8488" customWidth="1"/>
    <col min="10249" max="10249" width="15.88671875" style="8488" customWidth="1"/>
    <col min="10250" max="10250" width="9.109375" style="8488" customWidth="1"/>
    <col min="10251" max="10496" width="9.109375" style="8488"/>
    <col min="10497" max="10497" width="3.44140625" style="8488" customWidth="1"/>
    <col min="10498" max="10498" width="27.109375" style="8488" customWidth="1"/>
    <col min="10499" max="10499" width="17.109375" style="8488" customWidth="1"/>
    <col min="10500" max="10500" width="1.109375" style="8488" customWidth="1"/>
    <col min="10501" max="10501" width="15.88671875" style="8488" customWidth="1"/>
    <col min="10502" max="10502" width="5.44140625" style="8488" customWidth="1"/>
    <col min="10503" max="10503" width="15.88671875" style="8488" customWidth="1"/>
    <col min="10504" max="10504" width="0.88671875" style="8488" customWidth="1"/>
    <col min="10505" max="10505" width="15.88671875" style="8488" customWidth="1"/>
    <col min="10506" max="10506" width="9.109375" style="8488" customWidth="1"/>
    <col min="10507" max="10752" width="9.109375" style="8488"/>
    <col min="10753" max="10753" width="3.44140625" style="8488" customWidth="1"/>
    <col min="10754" max="10754" width="27.109375" style="8488" customWidth="1"/>
    <col min="10755" max="10755" width="17.109375" style="8488" customWidth="1"/>
    <col min="10756" max="10756" width="1.109375" style="8488" customWidth="1"/>
    <col min="10757" max="10757" width="15.88671875" style="8488" customWidth="1"/>
    <col min="10758" max="10758" width="5.44140625" style="8488" customWidth="1"/>
    <col min="10759" max="10759" width="15.88671875" style="8488" customWidth="1"/>
    <col min="10760" max="10760" width="0.88671875" style="8488" customWidth="1"/>
    <col min="10761" max="10761" width="15.88671875" style="8488" customWidth="1"/>
    <col min="10762" max="10762" width="9.109375" style="8488" customWidth="1"/>
    <col min="10763" max="11008" width="9.109375" style="8488"/>
    <col min="11009" max="11009" width="3.44140625" style="8488" customWidth="1"/>
    <col min="11010" max="11010" width="27.109375" style="8488" customWidth="1"/>
    <col min="11011" max="11011" width="17.109375" style="8488" customWidth="1"/>
    <col min="11012" max="11012" width="1.109375" style="8488" customWidth="1"/>
    <col min="11013" max="11013" width="15.88671875" style="8488" customWidth="1"/>
    <col min="11014" max="11014" width="5.44140625" style="8488" customWidth="1"/>
    <col min="11015" max="11015" width="15.88671875" style="8488" customWidth="1"/>
    <col min="11016" max="11016" width="0.88671875" style="8488" customWidth="1"/>
    <col min="11017" max="11017" width="15.88671875" style="8488" customWidth="1"/>
    <col min="11018" max="11018" width="9.109375" style="8488" customWidth="1"/>
    <col min="11019" max="11264" width="9.109375" style="8488"/>
    <col min="11265" max="11265" width="3.44140625" style="8488" customWidth="1"/>
    <col min="11266" max="11266" width="27.109375" style="8488" customWidth="1"/>
    <col min="11267" max="11267" width="17.109375" style="8488" customWidth="1"/>
    <col min="11268" max="11268" width="1.109375" style="8488" customWidth="1"/>
    <col min="11269" max="11269" width="15.88671875" style="8488" customWidth="1"/>
    <col min="11270" max="11270" width="5.44140625" style="8488" customWidth="1"/>
    <col min="11271" max="11271" width="15.88671875" style="8488" customWidth="1"/>
    <col min="11272" max="11272" width="0.88671875" style="8488" customWidth="1"/>
    <col min="11273" max="11273" width="15.88671875" style="8488" customWidth="1"/>
    <col min="11274" max="11274" width="9.109375" style="8488" customWidth="1"/>
    <col min="11275" max="11520" width="9.109375" style="8488"/>
    <col min="11521" max="11521" width="3.44140625" style="8488" customWidth="1"/>
    <col min="11522" max="11522" width="27.109375" style="8488" customWidth="1"/>
    <col min="11523" max="11523" width="17.109375" style="8488" customWidth="1"/>
    <col min="11524" max="11524" width="1.109375" style="8488" customWidth="1"/>
    <col min="11525" max="11525" width="15.88671875" style="8488" customWidth="1"/>
    <col min="11526" max="11526" width="5.44140625" style="8488" customWidth="1"/>
    <col min="11527" max="11527" width="15.88671875" style="8488" customWidth="1"/>
    <col min="11528" max="11528" width="0.88671875" style="8488" customWidth="1"/>
    <col min="11529" max="11529" width="15.88671875" style="8488" customWidth="1"/>
    <col min="11530" max="11530" width="9.109375" style="8488" customWidth="1"/>
    <col min="11531" max="11776" width="9.109375" style="8488"/>
    <col min="11777" max="11777" width="3.44140625" style="8488" customWidth="1"/>
    <col min="11778" max="11778" width="27.109375" style="8488" customWidth="1"/>
    <col min="11779" max="11779" width="17.109375" style="8488" customWidth="1"/>
    <col min="11780" max="11780" width="1.109375" style="8488" customWidth="1"/>
    <col min="11781" max="11781" width="15.88671875" style="8488" customWidth="1"/>
    <col min="11782" max="11782" width="5.44140625" style="8488" customWidth="1"/>
    <col min="11783" max="11783" width="15.88671875" style="8488" customWidth="1"/>
    <col min="11784" max="11784" width="0.88671875" style="8488" customWidth="1"/>
    <col min="11785" max="11785" width="15.88671875" style="8488" customWidth="1"/>
    <col min="11786" max="11786" width="9.109375" style="8488" customWidth="1"/>
    <col min="11787" max="12032" width="9.109375" style="8488"/>
    <col min="12033" max="12033" width="3.44140625" style="8488" customWidth="1"/>
    <col min="12034" max="12034" width="27.109375" style="8488" customWidth="1"/>
    <col min="12035" max="12035" width="17.109375" style="8488" customWidth="1"/>
    <col min="12036" max="12036" width="1.109375" style="8488" customWidth="1"/>
    <col min="12037" max="12037" width="15.88671875" style="8488" customWidth="1"/>
    <col min="12038" max="12038" width="5.44140625" style="8488" customWidth="1"/>
    <col min="12039" max="12039" width="15.88671875" style="8488" customWidth="1"/>
    <col min="12040" max="12040" width="0.88671875" style="8488" customWidth="1"/>
    <col min="12041" max="12041" width="15.88671875" style="8488" customWidth="1"/>
    <col min="12042" max="12042" width="9.109375" style="8488" customWidth="1"/>
    <col min="12043" max="12288" width="9.109375" style="8488"/>
    <col min="12289" max="12289" width="3.44140625" style="8488" customWidth="1"/>
    <col min="12290" max="12290" width="27.109375" style="8488" customWidth="1"/>
    <col min="12291" max="12291" width="17.109375" style="8488" customWidth="1"/>
    <col min="12292" max="12292" width="1.109375" style="8488" customWidth="1"/>
    <col min="12293" max="12293" width="15.88671875" style="8488" customWidth="1"/>
    <col min="12294" max="12294" width="5.44140625" style="8488" customWidth="1"/>
    <col min="12295" max="12295" width="15.88671875" style="8488" customWidth="1"/>
    <col min="12296" max="12296" width="0.88671875" style="8488" customWidth="1"/>
    <col min="12297" max="12297" width="15.88671875" style="8488" customWidth="1"/>
    <col min="12298" max="12298" width="9.109375" style="8488" customWidth="1"/>
    <col min="12299" max="12544" width="9.109375" style="8488"/>
    <col min="12545" max="12545" width="3.44140625" style="8488" customWidth="1"/>
    <col min="12546" max="12546" width="27.109375" style="8488" customWidth="1"/>
    <col min="12547" max="12547" width="17.109375" style="8488" customWidth="1"/>
    <col min="12548" max="12548" width="1.109375" style="8488" customWidth="1"/>
    <col min="12549" max="12549" width="15.88671875" style="8488" customWidth="1"/>
    <col min="12550" max="12550" width="5.44140625" style="8488" customWidth="1"/>
    <col min="12551" max="12551" width="15.88671875" style="8488" customWidth="1"/>
    <col min="12552" max="12552" width="0.88671875" style="8488" customWidth="1"/>
    <col min="12553" max="12553" width="15.88671875" style="8488" customWidth="1"/>
    <col min="12554" max="12554" width="9.109375" style="8488" customWidth="1"/>
    <col min="12555" max="12800" width="9.109375" style="8488"/>
    <col min="12801" max="12801" width="3.44140625" style="8488" customWidth="1"/>
    <col min="12802" max="12802" width="27.109375" style="8488" customWidth="1"/>
    <col min="12803" max="12803" width="17.109375" style="8488" customWidth="1"/>
    <col min="12804" max="12804" width="1.109375" style="8488" customWidth="1"/>
    <col min="12805" max="12805" width="15.88671875" style="8488" customWidth="1"/>
    <col min="12806" max="12806" width="5.44140625" style="8488" customWidth="1"/>
    <col min="12807" max="12807" width="15.88671875" style="8488" customWidth="1"/>
    <col min="12808" max="12808" width="0.88671875" style="8488" customWidth="1"/>
    <col min="12809" max="12809" width="15.88671875" style="8488" customWidth="1"/>
    <col min="12810" max="12810" width="9.109375" style="8488" customWidth="1"/>
    <col min="12811" max="13056" width="9.109375" style="8488"/>
    <col min="13057" max="13057" width="3.44140625" style="8488" customWidth="1"/>
    <col min="13058" max="13058" width="27.109375" style="8488" customWidth="1"/>
    <col min="13059" max="13059" width="17.109375" style="8488" customWidth="1"/>
    <col min="13060" max="13060" width="1.109375" style="8488" customWidth="1"/>
    <col min="13061" max="13061" width="15.88671875" style="8488" customWidth="1"/>
    <col min="13062" max="13062" width="5.44140625" style="8488" customWidth="1"/>
    <col min="13063" max="13063" width="15.88671875" style="8488" customWidth="1"/>
    <col min="13064" max="13064" width="0.88671875" style="8488" customWidth="1"/>
    <col min="13065" max="13065" width="15.88671875" style="8488" customWidth="1"/>
    <col min="13066" max="13066" width="9.109375" style="8488" customWidth="1"/>
    <col min="13067" max="13312" width="9.109375" style="8488"/>
    <col min="13313" max="13313" width="3.44140625" style="8488" customWidth="1"/>
    <col min="13314" max="13314" width="27.109375" style="8488" customWidth="1"/>
    <col min="13315" max="13315" width="17.109375" style="8488" customWidth="1"/>
    <col min="13316" max="13316" width="1.109375" style="8488" customWidth="1"/>
    <col min="13317" max="13317" width="15.88671875" style="8488" customWidth="1"/>
    <col min="13318" max="13318" width="5.44140625" style="8488" customWidth="1"/>
    <col min="13319" max="13319" width="15.88671875" style="8488" customWidth="1"/>
    <col min="13320" max="13320" width="0.88671875" style="8488" customWidth="1"/>
    <col min="13321" max="13321" width="15.88671875" style="8488" customWidth="1"/>
    <col min="13322" max="13322" width="9.109375" style="8488" customWidth="1"/>
    <col min="13323" max="13568" width="9.109375" style="8488"/>
    <col min="13569" max="13569" width="3.44140625" style="8488" customWidth="1"/>
    <col min="13570" max="13570" width="27.109375" style="8488" customWidth="1"/>
    <col min="13571" max="13571" width="17.109375" style="8488" customWidth="1"/>
    <col min="13572" max="13572" width="1.109375" style="8488" customWidth="1"/>
    <col min="13573" max="13573" width="15.88671875" style="8488" customWidth="1"/>
    <col min="13574" max="13574" width="5.44140625" style="8488" customWidth="1"/>
    <col min="13575" max="13575" width="15.88671875" style="8488" customWidth="1"/>
    <col min="13576" max="13576" width="0.88671875" style="8488" customWidth="1"/>
    <col min="13577" max="13577" width="15.88671875" style="8488" customWidth="1"/>
    <col min="13578" max="13578" width="9.109375" style="8488" customWidth="1"/>
    <col min="13579" max="13824" width="9.109375" style="8488"/>
    <col min="13825" max="13825" width="3.44140625" style="8488" customWidth="1"/>
    <col min="13826" max="13826" width="27.109375" style="8488" customWidth="1"/>
    <col min="13827" max="13827" width="17.109375" style="8488" customWidth="1"/>
    <col min="13828" max="13828" width="1.109375" style="8488" customWidth="1"/>
    <col min="13829" max="13829" width="15.88671875" style="8488" customWidth="1"/>
    <col min="13830" max="13830" width="5.44140625" style="8488" customWidth="1"/>
    <col min="13831" max="13831" width="15.88671875" style="8488" customWidth="1"/>
    <col min="13832" max="13832" width="0.88671875" style="8488" customWidth="1"/>
    <col min="13833" max="13833" width="15.88671875" style="8488" customWidth="1"/>
    <col min="13834" max="13834" width="9.109375" style="8488" customWidth="1"/>
    <col min="13835" max="14080" width="9.109375" style="8488"/>
    <col min="14081" max="14081" width="3.44140625" style="8488" customWidth="1"/>
    <col min="14082" max="14082" width="27.109375" style="8488" customWidth="1"/>
    <col min="14083" max="14083" width="17.109375" style="8488" customWidth="1"/>
    <col min="14084" max="14084" width="1.109375" style="8488" customWidth="1"/>
    <col min="14085" max="14085" width="15.88671875" style="8488" customWidth="1"/>
    <col min="14086" max="14086" width="5.44140625" style="8488" customWidth="1"/>
    <col min="14087" max="14087" width="15.88671875" style="8488" customWidth="1"/>
    <col min="14088" max="14088" width="0.88671875" style="8488" customWidth="1"/>
    <col min="14089" max="14089" width="15.88671875" style="8488" customWidth="1"/>
    <col min="14090" max="14090" width="9.109375" style="8488" customWidth="1"/>
    <col min="14091" max="14336" width="9.109375" style="8488"/>
    <col min="14337" max="14337" width="3.44140625" style="8488" customWidth="1"/>
    <col min="14338" max="14338" width="27.109375" style="8488" customWidth="1"/>
    <col min="14339" max="14339" width="17.109375" style="8488" customWidth="1"/>
    <col min="14340" max="14340" width="1.109375" style="8488" customWidth="1"/>
    <col min="14341" max="14341" width="15.88671875" style="8488" customWidth="1"/>
    <col min="14342" max="14342" width="5.44140625" style="8488" customWidth="1"/>
    <col min="14343" max="14343" width="15.88671875" style="8488" customWidth="1"/>
    <col min="14344" max="14344" width="0.88671875" style="8488" customWidth="1"/>
    <col min="14345" max="14345" width="15.88671875" style="8488" customWidth="1"/>
    <col min="14346" max="14346" width="9.109375" style="8488" customWidth="1"/>
    <col min="14347" max="14592" width="9.109375" style="8488"/>
    <col min="14593" max="14593" width="3.44140625" style="8488" customWidth="1"/>
    <col min="14594" max="14594" width="27.109375" style="8488" customWidth="1"/>
    <col min="14595" max="14595" width="17.109375" style="8488" customWidth="1"/>
    <col min="14596" max="14596" width="1.109375" style="8488" customWidth="1"/>
    <col min="14597" max="14597" width="15.88671875" style="8488" customWidth="1"/>
    <col min="14598" max="14598" width="5.44140625" style="8488" customWidth="1"/>
    <col min="14599" max="14599" width="15.88671875" style="8488" customWidth="1"/>
    <col min="14600" max="14600" width="0.88671875" style="8488" customWidth="1"/>
    <col min="14601" max="14601" width="15.88671875" style="8488" customWidth="1"/>
    <col min="14602" max="14602" width="9.109375" style="8488" customWidth="1"/>
    <col min="14603" max="14848" width="9.109375" style="8488"/>
    <col min="14849" max="14849" width="3.44140625" style="8488" customWidth="1"/>
    <col min="14850" max="14850" width="27.109375" style="8488" customWidth="1"/>
    <col min="14851" max="14851" width="17.109375" style="8488" customWidth="1"/>
    <col min="14852" max="14852" width="1.109375" style="8488" customWidth="1"/>
    <col min="14853" max="14853" width="15.88671875" style="8488" customWidth="1"/>
    <col min="14854" max="14854" width="5.44140625" style="8488" customWidth="1"/>
    <col min="14855" max="14855" width="15.88671875" style="8488" customWidth="1"/>
    <col min="14856" max="14856" width="0.88671875" style="8488" customWidth="1"/>
    <col min="14857" max="14857" width="15.88671875" style="8488" customWidth="1"/>
    <col min="14858" max="14858" width="9.109375" style="8488" customWidth="1"/>
    <col min="14859" max="15104" width="9.109375" style="8488"/>
    <col min="15105" max="15105" width="3.44140625" style="8488" customWidth="1"/>
    <col min="15106" max="15106" width="27.109375" style="8488" customWidth="1"/>
    <col min="15107" max="15107" width="17.109375" style="8488" customWidth="1"/>
    <col min="15108" max="15108" width="1.109375" style="8488" customWidth="1"/>
    <col min="15109" max="15109" width="15.88671875" style="8488" customWidth="1"/>
    <col min="15110" max="15110" width="5.44140625" style="8488" customWidth="1"/>
    <col min="15111" max="15111" width="15.88671875" style="8488" customWidth="1"/>
    <col min="15112" max="15112" width="0.88671875" style="8488" customWidth="1"/>
    <col min="15113" max="15113" width="15.88671875" style="8488" customWidth="1"/>
    <col min="15114" max="15114" width="9.109375" style="8488" customWidth="1"/>
    <col min="15115" max="15360" width="9.109375" style="8488"/>
    <col min="15361" max="15361" width="3.44140625" style="8488" customWidth="1"/>
    <col min="15362" max="15362" width="27.109375" style="8488" customWidth="1"/>
    <col min="15363" max="15363" width="17.109375" style="8488" customWidth="1"/>
    <col min="15364" max="15364" width="1.109375" style="8488" customWidth="1"/>
    <col min="15365" max="15365" width="15.88671875" style="8488" customWidth="1"/>
    <col min="15366" max="15366" width="5.44140625" style="8488" customWidth="1"/>
    <col min="15367" max="15367" width="15.88671875" style="8488" customWidth="1"/>
    <col min="15368" max="15368" width="0.88671875" style="8488" customWidth="1"/>
    <col min="15369" max="15369" width="15.88671875" style="8488" customWidth="1"/>
    <col min="15370" max="15370" width="9.109375" style="8488" customWidth="1"/>
    <col min="15371" max="15616" width="9.109375" style="8488"/>
    <col min="15617" max="15617" width="3.44140625" style="8488" customWidth="1"/>
    <col min="15618" max="15618" width="27.109375" style="8488" customWidth="1"/>
    <col min="15619" max="15619" width="17.109375" style="8488" customWidth="1"/>
    <col min="15620" max="15620" width="1.109375" style="8488" customWidth="1"/>
    <col min="15621" max="15621" width="15.88671875" style="8488" customWidth="1"/>
    <col min="15622" max="15622" width="5.44140625" style="8488" customWidth="1"/>
    <col min="15623" max="15623" width="15.88671875" style="8488" customWidth="1"/>
    <col min="15624" max="15624" width="0.88671875" style="8488" customWidth="1"/>
    <col min="15625" max="15625" width="15.88671875" style="8488" customWidth="1"/>
    <col min="15626" max="15626" width="9.109375" style="8488" customWidth="1"/>
    <col min="15627" max="15872" width="9.109375" style="8488"/>
    <col min="15873" max="15873" width="3.44140625" style="8488" customWidth="1"/>
    <col min="15874" max="15874" width="27.109375" style="8488" customWidth="1"/>
    <col min="15875" max="15875" width="17.109375" style="8488" customWidth="1"/>
    <col min="15876" max="15876" width="1.109375" style="8488" customWidth="1"/>
    <col min="15877" max="15877" width="15.88671875" style="8488" customWidth="1"/>
    <col min="15878" max="15878" width="5.44140625" style="8488" customWidth="1"/>
    <col min="15879" max="15879" width="15.88671875" style="8488" customWidth="1"/>
    <col min="15880" max="15880" width="0.88671875" style="8488" customWidth="1"/>
    <col min="15881" max="15881" width="15.88671875" style="8488" customWidth="1"/>
    <col min="15882" max="15882" width="9.109375" style="8488" customWidth="1"/>
    <col min="15883" max="16128" width="9.109375" style="8488"/>
    <col min="16129" max="16129" width="3.44140625" style="8488" customWidth="1"/>
    <col min="16130" max="16130" width="27.109375" style="8488" customWidth="1"/>
    <col min="16131" max="16131" width="17.109375" style="8488" customWidth="1"/>
    <col min="16132" max="16132" width="1.109375" style="8488" customWidth="1"/>
    <col min="16133" max="16133" width="15.88671875" style="8488" customWidth="1"/>
    <col min="16134" max="16134" width="5.44140625" style="8488" customWidth="1"/>
    <col min="16135" max="16135" width="15.88671875" style="8488" customWidth="1"/>
    <col min="16136" max="16136" width="0.88671875" style="8488" customWidth="1"/>
    <col min="16137" max="16137" width="15.88671875" style="8488" customWidth="1"/>
    <col min="16138" max="16138" width="9.109375" style="8488" customWidth="1"/>
    <col min="16139" max="16384" width="9.109375" style="8488"/>
  </cols>
  <sheetData>
    <row r="1" spans="1:9">
      <c r="A1" s="8486" t="s">
        <v>1502</v>
      </c>
      <c r="B1" s="8487"/>
      <c r="C1" s="8487"/>
      <c r="D1" s="8487"/>
      <c r="E1" s="8487"/>
      <c r="F1" s="8487"/>
      <c r="G1" s="8487"/>
      <c r="H1" s="8487"/>
      <c r="I1" s="13623"/>
    </row>
    <row r="2" spans="1:9">
      <c r="A2" s="8486"/>
      <c r="B2" s="8487"/>
      <c r="C2" s="8487"/>
      <c r="D2" s="8487"/>
      <c r="E2" s="8487"/>
      <c r="F2" s="8487"/>
      <c r="G2" s="8487"/>
      <c r="H2" s="8487"/>
      <c r="I2" s="13623"/>
    </row>
    <row r="3" spans="1:9">
      <c r="A3" s="8487" t="s">
        <v>1503</v>
      </c>
      <c r="B3" s="8487"/>
      <c r="C3" s="8487"/>
      <c r="D3" s="8487"/>
      <c r="E3" s="8487"/>
      <c r="F3" s="8487"/>
      <c r="G3" s="8487"/>
      <c r="H3" s="8487"/>
      <c r="I3" s="13623"/>
    </row>
    <row r="4" spans="1:9">
      <c r="A4" s="8487" t="s">
        <v>1504</v>
      </c>
      <c r="B4" s="8487"/>
      <c r="C4" s="8487"/>
      <c r="D4" s="8487"/>
      <c r="E4" s="8487"/>
      <c r="F4" s="8487"/>
      <c r="G4" s="8487"/>
      <c r="H4" s="8487"/>
      <c r="I4" s="13623"/>
    </row>
    <row r="5" spans="1:9">
      <c r="A5" s="8487"/>
      <c r="B5" s="8487"/>
      <c r="C5" s="8487"/>
      <c r="D5" s="8487"/>
      <c r="E5" s="8487"/>
      <c r="F5" s="8487"/>
      <c r="G5" s="8487"/>
      <c r="H5" s="8487"/>
      <c r="I5" s="13623"/>
    </row>
    <row r="6" spans="1:9">
      <c r="A6" s="8487"/>
      <c r="B6" s="8487"/>
      <c r="C6" s="8487"/>
      <c r="D6" s="8487"/>
      <c r="E6" s="8487"/>
      <c r="F6" s="8487"/>
      <c r="G6" s="8487"/>
      <c r="H6" s="8487"/>
      <c r="I6" s="13623"/>
    </row>
    <row r="7" spans="1:9" s="8489" customFormat="1">
      <c r="A7" s="13988" t="s">
        <v>3110</v>
      </c>
      <c r="B7" s="13988"/>
      <c r="G7" s="13989" t="s">
        <v>12095</v>
      </c>
      <c r="H7" s="13989"/>
      <c r="I7" s="13989"/>
    </row>
    <row r="8" spans="1:9">
      <c r="A8" s="8487" t="s">
        <v>1505</v>
      </c>
      <c r="B8" s="8487"/>
      <c r="G8" s="13990" t="s">
        <v>1506</v>
      </c>
      <c r="H8" s="13990"/>
      <c r="I8" s="13990"/>
    </row>
    <row r="9" spans="1:9" ht="15" thickBot="1">
      <c r="A9" s="8490"/>
      <c r="B9" s="8490"/>
      <c r="C9" s="8490"/>
      <c r="D9" s="8490"/>
      <c r="E9" s="8490"/>
      <c r="F9" s="8490"/>
      <c r="G9" s="8490"/>
      <c r="H9" s="8490"/>
      <c r="I9" s="13624"/>
    </row>
    <row r="10" spans="1:9">
      <c r="A10" s="8491"/>
      <c r="I10" s="13625"/>
    </row>
    <row r="11" spans="1:9">
      <c r="A11" s="8492" t="s">
        <v>1507</v>
      </c>
      <c r="B11" s="8486"/>
      <c r="E11" s="8493" t="s">
        <v>1508</v>
      </c>
      <c r="F11" s="8493"/>
      <c r="G11" s="8493" t="s">
        <v>1509</v>
      </c>
      <c r="H11" s="8493"/>
      <c r="I11" s="13626" t="s">
        <v>1510</v>
      </c>
    </row>
    <row r="12" spans="1:9">
      <c r="A12" s="8491"/>
      <c r="E12" s="8493" t="s">
        <v>1034</v>
      </c>
      <c r="F12" s="8493"/>
      <c r="G12" s="8493"/>
      <c r="H12" s="8493"/>
      <c r="I12" s="13626" t="s">
        <v>1511</v>
      </c>
    </row>
    <row r="13" spans="1:9">
      <c r="A13" s="8491"/>
      <c r="I13" s="13625"/>
    </row>
    <row r="14" spans="1:9">
      <c r="A14" s="8494" t="s">
        <v>17</v>
      </c>
      <c r="B14" s="8488" t="s">
        <v>1512</v>
      </c>
      <c r="I14" s="13625" t="s">
        <v>9</v>
      </c>
    </row>
    <row r="15" spans="1:9">
      <c r="A15" s="8491"/>
      <c r="B15" s="8495" t="s">
        <v>10864</v>
      </c>
      <c r="E15" s="8496">
        <f>'lbr 4'!B14</f>
        <v>22180000</v>
      </c>
      <c r="G15" s="8496">
        <f>'lbr 4'!C14</f>
        <v>22180000</v>
      </c>
      <c r="I15" s="13627">
        <f>(G15-E15)</f>
        <v>0</v>
      </c>
    </row>
    <row r="16" spans="1:9">
      <c r="A16" s="8491"/>
      <c r="E16" s="8497"/>
      <c r="G16" s="8497"/>
      <c r="I16" s="13625"/>
    </row>
    <row r="17" spans="1:9">
      <c r="A17" s="8491"/>
      <c r="I17" s="13625"/>
    </row>
    <row r="18" spans="1:9">
      <c r="A18" s="8494" t="s">
        <v>51</v>
      </c>
      <c r="B18" s="8488" t="s">
        <v>1513</v>
      </c>
      <c r="I18" s="13625"/>
    </row>
    <row r="19" spans="1:9">
      <c r="A19" s="8491"/>
      <c r="B19" s="8488" t="s">
        <v>1514</v>
      </c>
      <c r="C19" s="8496">
        <f>'LGBRPS-2'!L19</f>
        <v>2405342881</v>
      </c>
      <c r="D19" s="8498"/>
      <c r="E19" s="8498"/>
      <c r="F19" s="8498"/>
      <c r="G19" s="8498"/>
      <c r="H19" s="8498"/>
      <c r="I19" s="13625"/>
    </row>
    <row r="20" spans="1:9">
      <c r="A20" s="8491"/>
      <c r="C20" s="8498"/>
      <c r="D20" s="8498"/>
      <c r="E20" s="8496">
        <f>C19*5%</f>
        <v>120267144.05000001</v>
      </c>
      <c r="F20" s="8498"/>
      <c r="G20" s="8496">
        <f>'lbr 4'!C19</f>
        <v>120267144.05000001</v>
      </c>
      <c r="H20" s="8498"/>
      <c r="I20" s="13627">
        <f>(G20-E20)</f>
        <v>0</v>
      </c>
    </row>
    <row r="21" spans="1:9">
      <c r="A21" s="8491"/>
      <c r="C21" s="8498"/>
      <c r="D21" s="8498"/>
      <c r="E21" s="8497"/>
      <c r="F21" s="8498"/>
      <c r="G21" s="8497"/>
      <c r="H21" s="8498"/>
      <c r="I21" s="13625"/>
    </row>
    <row r="22" spans="1:9">
      <c r="A22" s="8491"/>
      <c r="B22" s="8488" t="s">
        <v>9</v>
      </c>
      <c r="C22" s="8498"/>
      <c r="D22" s="8498"/>
      <c r="E22" s="8498"/>
      <c r="F22" s="8498"/>
      <c r="G22" s="8498"/>
      <c r="H22" s="8498"/>
      <c r="I22" s="13625"/>
    </row>
    <row r="23" spans="1:9">
      <c r="A23" s="8494" t="s">
        <v>53</v>
      </c>
      <c r="B23" s="8488" t="s">
        <v>1515</v>
      </c>
      <c r="C23" s="8498"/>
      <c r="D23" s="8498"/>
      <c r="E23" s="8498"/>
      <c r="F23" s="8498"/>
      <c r="G23" s="8498"/>
      <c r="H23" s="8498"/>
      <c r="I23" s="13625"/>
    </row>
    <row r="24" spans="1:9">
      <c r="A24" s="8491"/>
      <c r="B24" s="8488" t="s">
        <v>1516</v>
      </c>
      <c r="C24" s="8498"/>
      <c r="D24" s="8498"/>
      <c r="E24" s="8498"/>
      <c r="F24" s="8498"/>
      <c r="G24" s="8498"/>
      <c r="H24" s="8498"/>
      <c r="I24" s="13625"/>
    </row>
    <row r="25" spans="1:9">
      <c r="A25" s="8491"/>
      <c r="B25" s="8488" t="s">
        <v>1517</v>
      </c>
      <c r="C25" s="8498"/>
      <c r="D25" s="8498"/>
      <c r="E25" s="8498"/>
      <c r="F25" s="8498"/>
      <c r="G25" s="8498"/>
      <c r="H25" s="8498"/>
      <c r="I25" s="13625"/>
    </row>
    <row r="26" spans="1:9">
      <c r="A26" s="8491"/>
      <c r="B26" s="8488" t="s">
        <v>1518</v>
      </c>
      <c r="C26" s="8498"/>
      <c r="D26" s="8498"/>
      <c r="E26" s="8498"/>
      <c r="F26" s="8498"/>
      <c r="G26" s="8498"/>
      <c r="H26" s="8498"/>
      <c r="I26" s="13625"/>
    </row>
    <row r="27" spans="1:9">
      <c r="A27" s="8491"/>
      <c r="B27" s="8488" t="s">
        <v>1519</v>
      </c>
      <c r="C27" s="8496">
        <f>'receipts program'!D15+'receipts program'!D16</f>
        <v>41890949.100000001</v>
      </c>
      <c r="D27" s="8498"/>
      <c r="E27" s="8498"/>
      <c r="F27" s="8498"/>
      <c r="G27" s="8498"/>
      <c r="H27" s="8498"/>
      <c r="I27" s="13625"/>
    </row>
    <row r="28" spans="1:9">
      <c r="A28" s="8491"/>
      <c r="B28" s="8488" t="s">
        <v>1520</v>
      </c>
      <c r="C28" s="8498"/>
      <c r="D28" s="8498"/>
      <c r="E28" s="8496">
        <f>C27*2%</f>
        <v>837818.98200000008</v>
      </c>
      <c r="F28" s="8498"/>
      <c r="G28" s="8496">
        <f>'lbpf 3-GO'!K62</f>
        <v>623000</v>
      </c>
      <c r="H28" s="8498"/>
      <c r="I28" s="13627">
        <f>(G28-E28)</f>
        <v>-214818.98200000008</v>
      </c>
    </row>
    <row r="29" spans="1:9">
      <c r="A29" s="8491"/>
      <c r="C29" s="8498"/>
      <c r="D29" s="8498"/>
      <c r="E29" s="8497"/>
      <c r="F29" s="8498"/>
      <c r="G29" s="8497"/>
      <c r="H29" s="8498"/>
      <c r="I29" s="13625"/>
    </row>
    <row r="30" spans="1:9">
      <c r="A30" s="8491"/>
      <c r="C30" s="8498"/>
      <c r="D30" s="8498"/>
      <c r="E30" s="8498"/>
      <c r="F30" s="8498"/>
      <c r="G30" s="8498"/>
      <c r="H30" s="8498"/>
      <c r="I30" s="13625"/>
    </row>
    <row r="31" spans="1:9">
      <c r="A31" s="8494" t="s">
        <v>188</v>
      </c>
      <c r="B31" s="8488" t="s">
        <v>1521</v>
      </c>
      <c r="C31" s="8498"/>
      <c r="D31" s="8498"/>
      <c r="E31" s="8498"/>
      <c r="F31" s="8498"/>
      <c r="G31" s="8498"/>
      <c r="H31" s="8498"/>
      <c r="I31" s="13625"/>
    </row>
    <row r="32" spans="1:9">
      <c r="A32" s="8491"/>
      <c r="B32" s="8488" t="s">
        <v>1522</v>
      </c>
      <c r="C32" s="8496">
        <f>'receipts program'!M88</f>
        <v>2021897881</v>
      </c>
      <c r="D32" s="8498"/>
      <c r="E32" s="8498"/>
      <c r="F32" s="8498"/>
      <c r="G32" s="8498"/>
      <c r="H32" s="8498"/>
      <c r="I32" s="13625"/>
    </row>
    <row r="33" spans="1:11">
      <c r="A33" s="8491"/>
      <c r="B33" s="8488" t="s">
        <v>1523</v>
      </c>
      <c r="C33" s="8498" t="s">
        <v>492</v>
      </c>
      <c r="D33" s="8498"/>
      <c r="E33" s="8496">
        <f>'lbr 4'!B31</f>
        <v>404379576.20000005</v>
      </c>
      <c r="F33" s="8498"/>
      <c r="G33" s="8496">
        <f>'lbr 4'!C31</f>
        <v>404379576.20000005</v>
      </c>
      <c r="H33" s="8498"/>
      <c r="I33" s="13627">
        <f>(G33-E33)</f>
        <v>0</v>
      </c>
    </row>
    <row r="34" spans="1:11">
      <c r="A34" s="8491"/>
      <c r="C34" s="8498"/>
      <c r="D34" s="8498"/>
      <c r="E34" s="8497"/>
      <c r="F34" s="8498"/>
      <c r="G34" s="8497"/>
      <c r="H34" s="8498"/>
      <c r="I34" s="13625"/>
    </row>
    <row r="35" spans="1:11">
      <c r="A35" s="8491"/>
      <c r="C35" s="8498"/>
      <c r="D35" s="8498"/>
      <c r="E35" s="8498"/>
      <c r="F35" s="8498"/>
      <c r="G35" s="8498"/>
      <c r="H35" s="8498"/>
      <c r="I35" s="13625"/>
    </row>
    <row r="36" spans="1:11">
      <c r="A36" s="8494" t="s">
        <v>685</v>
      </c>
      <c r="B36" s="8488" t="s">
        <v>1524</v>
      </c>
      <c r="C36" s="8498"/>
      <c r="D36" s="8498"/>
      <c r="E36" s="8498"/>
      <c r="F36" s="8498"/>
      <c r="G36" s="8498"/>
      <c r="H36" s="8498"/>
      <c r="I36" s="13625"/>
    </row>
    <row r="37" spans="1:11">
      <c r="A37" s="8491"/>
      <c r="B37" s="8488" t="s">
        <v>1525</v>
      </c>
      <c r="C37" s="8498"/>
      <c r="D37" s="8498"/>
      <c r="E37" s="8496">
        <f>'lbr 4'!B38</f>
        <v>20536322.439999998</v>
      </c>
      <c r="F37" s="8498"/>
      <c r="G37" s="8498"/>
      <c r="H37" s="8498"/>
      <c r="I37" s="13625"/>
    </row>
    <row r="38" spans="1:11">
      <c r="A38" s="8491"/>
      <c r="B38" s="8488" t="s">
        <v>1526</v>
      </c>
      <c r="C38" s="8498"/>
      <c r="D38" s="8498"/>
      <c r="E38" s="8498"/>
      <c r="F38" s="8499"/>
      <c r="G38" s="8496">
        <f>'LBPF No. 5'!K24</f>
        <v>20536322.439999998</v>
      </c>
      <c r="H38" s="8498"/>
      <c r="I38" s="13627">
        <f>G38-E37</f>
        <v>0</v>
      </c>
    </row>
    <row r="39" spans="1:11">
      <c r="A39" s="8491"/>
      <c r="C39" s="8498"/>
      <c r="D39" s="8498"/>
      <c r="E39" s="8498"/>
      <c r="F39" s="8498"/>
      <c r="G39" s="8497"/>
      <c r="H39" s="8498"/>
      <c r="I39" s="13625"/>
    </row>
    <row r="40" spans="1:11">
      <c r="A40" s="8491"/>
      <c r="C40" s="8498"/>
      <c r="D40" s="8498"/>
      <c r="E40" s="8498"/>
      <c r="F40" s="8498"/>
      <c r="G40" s="8498"/>
      <c r="H40" s="8498"/>
      <c r="I40" s="13625"/>
    </row>
    <row r="41" spans="1:11">
      <c r="A41" s="8494" t="s">
        <v>1527</v>
      </c>
      <c r="B41" s="8488" t="s">
        <v>1528</v>
      </c>
      <c r="C41" s="8498"/>
      <c r="D41" s="8498"/>
      <c r="E41" s="8498"/>
      <c r="F41" s="8498"/>
      <c r="G41" s="8498"/>
      <c r="H41" s="8498"/>
      <c r="I41" s="13625"/>
    </row>
    <row r="42" spans="1:11">
      <c r="A42" s="8491"/>
      <c r="B42" s="8488" t="s">
        <v>1514</v>
      </c>
      <c r="C42" s="8496">
        <f>'LGBRPS-2'!L19</f>
        <v>2405342881</v>
      </c>
      <c r="D42" s="8498"/>
      <c r="E42" s="8498"/>
      <c r="F42" s="8498"/>
      <c r="G42" s="8498"/>
      <c r="H42" s="8498"/>
      <c r="I42" s="13625"/>
    </row>
    <row r="43" spans="1:11">
      <c r="A43" s="8491"/>
      <c r="B43" s="8488" t="s">
        <v>1523</v>
      </c>
      <c r="C43" s="8498"/>
      <c r="D43" s="8498"/>
      <c r="E43" s="8496">
        <f>C42*20%</f>
        <v>481068576.20000005</v>
      </c>
      <c r="F43" s="8498"/>
      <c r="G43" s="8498"/>
      <c r="H43" s="8498"/>
      <c r="I43" s="13625"/>
    </row>
    <row r="44" spans="1:11">
      <c r="A44" s="8491"/>
      <c r="B44" s="8488" t="s">
        <v>1529</v>
      </c>
      <c r="C44" s="8498"/>
      <c r="D44" s="8498"/>
      <c r="E44" s="8498"/>
      <c r="F44" s="8499"/>
      <c r="G44" s="8496">
        <f>'lbr 4'!C44</f>
        <v>0</v>
      </c>
      <c r="H44" s="8498"/>
      <c r="I44" s="13627">
        <f>E43-G44</f>
        <v>481068576.20000005</v>
      </c>
      <c r="K44" s="8500"/>
    </row>
    <row r="45" spans="1:11">
      <c r="A45" s="8491"/>
      <c r="C45" s="8498"/>
      <c r="D45" s="8498"/>
      <c r="E45" s="8498"/>
      <c r="F45" s="8498"/>
      <c r="G45" s="8497"/>
      <c r="H45" s="8498"/>
      <c r="I45" s="13625"/>
    </row>
    <row r="46" spans="1:11">
      <c r="A46" s="8491"/>
      <c r="C46" s="8498"/>
      <c r="D46" s="8498"/>
      <c r="E46" s="8498"/>
      <c r="F46" s="8498"/>
      <c r="G46" s="8498"/>
      <c r="H46" s="8498"/>
      <c r="I46" s="13625"/>
    </row>
    <row r="47" spans="1:11">
      <c r="A47" s="8494" t="s">
        <v>1530</v>
      </c>
      <c r="B47" s="8488" t="s">
        <v>1531</v>
      </c>
      <c r="C47" s="8498"/>
      <c r="D47" s="8498"/>
      <c r="E47" s="8498"/>
      <c r="F47" s="8498"/>
      <c r="G47" s="8498"/>
      <c r="H47" s="8498"/>
      <c r="I47" s="13625"/>
    </row>
    <row r="48" spans="1:11">
      <c r="A48" s="8491"/>
      <c r="B48" s="8488" t="s">
        <v>1532</v>
      </c>
      <c r="C48" s="8498"/>
      <c r="D48" s="8498"/>
      <c r="E48" s="8498"/>
      <c r="F48" s="8498"/>
      <c r="G48" s="8498"/>
      <c r="H48" s="8498"/>
      <c r="I48" s="13625"/>
    </row>
    <row r="49" spans="1:11">
      <c r="A49" s="8491"/>
      <c r="B49" s="8488" t="s">
        <v>1533</v>
      </c>
      <c r="C49" s="8501" t="s">
        <v>1534</v>
      </c>
      <c r="D49" s="8502"/>
      <c r="E49" s="8502"/>
      <c r="F49" s="8502"/>
      <c r="G49" s="8502"/>
      <c r="H49" s="8502"/>
      <c r="I49" s="13628"/>
    </row>
    <row r="50" spans="1:11">
      <c r="A50" s="8491"/>
      <c r="B50" s="8488" t="s">
        <v>1535</v>
      </c>
      <c r="C50" s="8502"/>
      <c r="D50" s="8502"/>
      <c r="E50" s="8501" t="s">
        <v>1534</v>
      </c>
      <c r="F50" s="8502"/>
      <c r="G50" s="8501" t="s">
        <v>1534</v>
      </c>
      <c r="H50" s="8502"/>
      <c r="I50" s="13629" t="s">
        <v>1534</v>
      </c>
    </row>
    <row r="51" spans="1:11">
      <c r="A51" s="8491"/>
      <c r="C51" s="8502"/>
      <c r="D51" s="8502"/>
      <c r="E51" s="8503"/>
      <c r="F51" s="8502"/>
      <c r="G51" s="8503"/>
      <c r="H51" s="8502"/>
      <c r="I51" s="13628"/>
    </row>
    <row r="52" spans="1:11" ht="15" thickBot="1">
      <c r="A52" s="8504"/>
      <c r="B52" s="8490"/>
      <c r="C52" s="8490"/>
      <c r="D52" s="8490"/>
      <c r="E52" s="8490"/>
      <c r="F52" s="8490"/>
      <c r="G52" s="8490"/>
      <c r="H52" s="8490"/>
      <c r="I52" s="13630"/>
    </row>
    <row r="53" spans="1:11" ht="12.75" customHeight="1"/>
    <row r="54" spans="1:11" s="8505" customFormat="1" ht="12.75" hidden="1" customHeight="1">
      <c r="B54" s="8506" t="s">
        <v>9177</v>
      </c>
      <c r="F54" s="8507" t="s">
        <v>3485</v>
      </c>
      <c r="G54" s="8506"/>
      <c r="I54" s="13631"/>
    </row>
    <row r="55" spans="1:11" s="8509" customFormat="1" ht="12.75" hidden="1" customHeight="1">
      <c r="A55" s="8508"/>
      <c r="B55" s="8508"/>
      <c r="C55" s="8508"/>
      <c r="D55" s="8508"/>
      <c r="E55" s="8508"/>
      <c r="F55" s="8508"/>
      <c r="G55" s="8508"/>
      <c r="H55" s="8508"/>
      <c r="I55" s="13632"/>
      <c r="J55" s="8508"/>
      <c r="K55" s="8508"/>
    </row>
    <row r="56" spans="1:11" s="8509" customFormat="1" ht="12.75" hidden="1" customHeight="1">
      <c r="A56" s="8508"/>
      <c r="B56" s="8508"/>
      <c r="C56" s="8508"/>
      <c r="D56" s="8508"/>
      <c r="E56" s="8508"/>
      <c r="F56" s="8508"/>
      <c r="G56" s="8508"/>
      <c r="H56" s="8508"/>
      <c r="I56" s="13632"/>
      <c r="J56" s="8508"/>
      <c r="K56" s="8508"/>
    </row>
    <row r="57" spans="1:11" s="8509" customFormat="1" ht="12.75" hidden="1" customHeight="1">
      <c r="A57" s="8508"/>
      <c r="B57" s="8508"/>
      <c r="C57" s="8508"/>
      <c r="D57" s="8508"/>
      <c r="E57" s="8508"/>
      <c r="F57" s="8508"/>
      <c r="G57" s="8508"/>
      <c r="H57" s="8508"/>
      <c r="I57" s="13632"/>
      <c r="J57" s="8508"/>
      <c r="K57" s="8508"/>
    </row>
    <row r="58" spans="1:11" s="8505" customFormat="1" ht="12.75" hidden="1" customHeight="1">
      <c r="A58" s="8508"/>
      <c r="B58" s="9605" t="s">
        <v>12096</v>
      </c>
      <c r="D58" s="8508"/>
      <c r="E58" s="8508"/>
      <c r="F58" s="8508"/>
      <c r="G58" s="8508" t="s">
        <v>5182</v>
      </c>
      <c r="H58" s="8508"/>
      <c r="I58" s="13632"/>
      <c r="J58" s="8508"/>
      <c r="K58" s="8510"/>
    </row>
    <row r="59" spans="1:11" s="8489" customFormat="1" ht="12.75" hidden="1" customHeight="1">
      <c r="A59" s="8511"/>
      <c r="B59" s="13622" t="s">
        <v>10453</v>
      </c>
      <c r="D59" s="8511"/>
      <c r="E59" s="8511"/>
      <c r="F59" s="8511"/>
      <c r="G59" s="8511" t="s">
        <v>9178</v>
      </c>
      <c r="I59" s="13633"/>
      <c r="J59" s="8511"/>
      <c r="K59" s="8511"/>
    </row>
    <row r="60" spans="1:11" ht="12.75" hidden="1" customHeight="1">
      <c r="A60" s="8511"/>
      <c r="B60" s="8511"/>
      <c r="C60" s="8511"/>
      <c r="F60" s="8511"/>
      <c r="G60" s="8511"/>
      <c r="H60" s="8511"/>
      <c r="I60" s="13633"/>
    </row>
    <row r="61" spans="1:11" hidden="1"/>
  </sheetData>
  <mergeCells count="3">
    <mergeCell ref="A7:B7"/>
    <mergeCell ref="G7:I7"/>
    <mergeCell ref="G8:I8"/>
  </mergeCells>
  <printOptions horizontalCentered="1" gridLinesSet="0"/>
  <pageMargins left="0.25" right="0.25" top="0.5" bottom="0.25" header="0.25" footer="0.25"/>
  <pageSetup paperSize="119" scale="95" orientation="portrait" r:id="rId1"/>
  <headerFooter alignWithMargins="0"/>
</worksheet>
</file>

<file path=xl/worksheets/sheet40.xml><?xml version="1.0" encoding="utf-8"?>
<worksheet xmlns="http://schemas.openxmlformats.org/spreadsheetml/2006/main" xmlns:r="http://schemas.openxmlformats.org/officeDocument/2006/relationships">
  <sheetPr codeName="Sheet67"/>
  <dimension ref="A1:I61"/>
  <sheetViews>
    <sheetView showGridLines="0" workbookViewId="0">
      <selection activeCell="B15" sqref="B15:I15"/>
    </sheetView>
  </sheetViews>
  <sheetFormatPr defaultColWidth="9.109375" defaultRowHeight="10.199999999999999"/>
  <cols>
    <col min="1" max="2" width="5.88671875" style="211" customWidth="1"/>
    <col min="3" max="3" width="8.44140625" style="211" customWidth="1"/>
    <col min="4" max="4" width="23.44140625" style="211" customWidth="1"/>
    <col min="5" max="5" width="8.44140625" style="211" customWidth="1"/>
    <col min="6" max="6" width="12.44140625" style="211" customWidth="1"/>
    <col min="7" max="7" width="7.44140625" style="211" customWidth="1"/>
    <col min="8" max="8" width="12.44140625" style="211" customWidth="1"/>
    <col min="9" max="9" width="12.109375" style="211" customWidth="1"/>
    <col min="10" max="10" width="9.109375" style="211"/>
    <col min="11" max="11" width="23.44140625" style="211" customWidth="1"/>
    <col min="12" max="16384" width="9.109375" style="211"/>
  </cols>
  <sheetData>
    <row r="1" spans="1:9" ht="11.4">
      <c r="A1" s="210"/>
      <c r="B1" s="210"/>
      <c r="C1" s="210"/>
      <c r="D1" s="210"/>
      <c r="E1" s="210"/>
      <c r="F1" s="210"/>
      <c r="G1" s="210"/>
      <c r="H1" s="210"/>
    </row>
    <row r="2" spans="1:9" ht="11.4">
      <c r="A2" s="210"/>
      <c r="B2" s="210"/>
      <c r="C2" s="210"/>
      <c r="D2" s="210"/>
      <c r="E2" s="210"/>
      <c r="F2" s="210"/>
      <c r="G2" s="210"/>
      <c r="H2" s="210"/>
    </row>
    <row r="3" spans="1:9" ht="12">
      <c r="A3" s="212" t="s">
        <v>837</v>
      </c>
      <c r="B3" s="213"/>
      <c r="C3" s="213"/>
      <c r="D3" s="213"/>
      <c r="E3" s="213"/>
      <c r="F3" s="213"/>
      <c r="G3" s="213"/>
      <c r="H3" s="213"/>
    </row>
    <row r="4" spans="1:9" ht="11.4">
      <c r="A4" s="210"/>
      <c r="B4" s="210"/>
      <c r="C4" s="210"/>
      <c r="D4" s="210"/>
      <c r="E4" s="210"/>
      <c r="F4" s="210"/>
      <c r="G4" s="210"/>
      <c r="H4" s="210"/>
    </row>
    <row r="5" spans="1:9" ht="12">
      <c r="A5" s="210" t="s">
        <v>894</v>
      </c>
      <c r="B5" s="210"/>
      <c r="C5" s="210"/>
      <c r="D5" s="210" t="s">
        <v>903</v>
      </c>
      <c r="E5" s="210"/>
      <c r="F5" s="210"/>
      <c r="G5" s="210"/>
      <c r="H5" s="210"/>
    </row>
    <row r="6" spans="1:9" ht="11.4">
      <c r="A6" s="210" t="s">
        <v>838</v>
      </c>
      <c r="B6" s="210"/>
      <c r="C6" s="210"/>
      <c r="D6" s="210" t="s">
        <v>895</v>
      </c>
      <c r="E6" s="210"/>
      <c r="F6" s="210"/>
      <c r="G6" s="210"/>
      <c r="H6" s="210"/>
    </row>
    <row r="7" spans="1:9" ht="11.4">
      <c r="A7" s="210" t="s">
        <v>839</v>
      </c>
      <c r="B7" s="210"/>
      <c r="C7" s="210"/>
      <c r="D7" s="210" t="s">
        <v>840</v>
      </c>
      <c r="E7" s="210"/>
      <c r="F7" s="210"/>
      <c r="G7" s="210"/>
      <c r="H7" s="210"/>
    </row>
    <row r="8" spans="1:9" ht="11.4">
      <c r="A8" s="210" t="s">
        <v>896</v>
      </c>
      <c r="B8" s="210"/>
      <c r="C8" s="210"/>
      <c r="D8" s="210" t="s">
        <v>897</v>
      </c>
      <c r="E8" s="210"/>
      <c r="F8" s="210"/>
      <c r="G8" s="210"/>
      <c r="H8" s="210"/>
    </row>
    <row r="9" spans="1:9" ht="12" thickBot="1">
      <c r="A9" s="215"/>
      <c r="B9" s="215"/>
      <c r="C9" s="215"/>
      <c r="D9" s="215"/>
      <c r="E9" s="215"/>
      <c r="F9" s="215"/>
      <c r="G9" s="215"/>
      <c r="H9" s="215"/>
      <c r="I9" s="254"/>
    </row>
    <row r="10" spans="1:9" ht="12">
      <c r="A10" s="217"/>
      <c r="B10" s="218"/>
      <c r="C10" s="219"/>
      <c r="D10" s="218"/>
      <c r="E10" s="14396" t="s">
        <v>842</v>
      </c>
      <c r="F10" s="14396"/>
      <c r="G10" s="14396" t="s">
        <v>842</v>
      </c>
      <c r="H10" s="14396"/>
      <c r="I10" s="739"/>
    </row>
    <row r="11" spans="1:9" ht="12">
      <c r="A11" s="648" t="s">
        <v>843</v>
      </c>
      <c r="B11" s="220"/>
      <c r="C11" s="221" t="s">
        <v>844</v>
      </c>
      <c r="D11" s="220"/>
      <c r="E11" s="14397" t="s">
        <v>845</v>
      </c>
      <c r="F11" s="14397"/>
      <c r="G11" s="14397" t="s">
        <v>845</v>
      </c>
      <c r="H11" s="14397"/>
      <c r="I11" s="738" t="s">
        <v>849</v>
      </c>
    </row>
    <row r="12" spans="1:9" ht="12">
      <c r="A12" s="648" t="s">
        <v>846</v>
      </c>
      <c r="B12" s="220"/>
      <c r="C12" s="221" t="s">
        <v>847</v>
      </c>
      <c r="D12" s="220"/>
      <c r="E12" s="14398" t="s">
        <v>848</v>
      </c>
      <c r="F12" s="14398"/>
      <c r="G12" s="14398" t="s">
        <v>3310</v>
      </c>
      <c r="H12" s="14398"/>
      <c r="I12" s="658"/>
    </row>
    <row r="13" spans="1:9" ht="12">
      <c r="A13" s="751"/>
      <c r="B13" s="752"/>
      <c r="C13" s="221" t="s">
        <v>850</v>
      </c>
      <c r="D13" s="220"/>
      <c r="E13" s="241" t="s">
        <v>851</v>
      </c>
      <c r="F13" s="639"/>
      <c r="G13" s="241" t="s">
        <v>851</v>
      </c>
      <c r="H13" s="639"/>
      <c r="I13" s="639"/>
    </row>
    <row r="14" spans="1:9" ht="12" thickBot="1">
      <c r="A14" s="640" t="s">
        <v>852</v>
      </c>
      <c r="B14" s="737" t="s">
        <v>853</v>
      </c>
      <c r="C14" s="222"/>
      <c r="D14" s="649"/>
      <c r="E14" s="242" t="s">
        <v>854</v>
      </c>
      <c r="F14" s="640" t="s">
        <v>855</v>
      </c>
      <c r="G14" s="242" t="s">
        <v>854</v>
      </c>
      <c r="H14" s="640" t="s">
        <v>855</v>
      </c>
      <c r="I14" s="640" t="s">
        <v>855</v>
      </c>
    </row>
    <row r="15" spans="1:9" ht="13.2">
      <c r="A15" s="641" t="s">
        <v>9</v>
      </c>
      <c r="B15" s="641" t="s">
        <v>9</v>
      </c>
      <c r="C15" s="232" t="s">
        <v>9</v>
      </c>
      <c r="D15" s="244"/>
      <c r="E15" s="240"/>
      <c r="F15" s="643"/>
      <c r="G15" s="240"/>
      <c r="H15" s="643"/>
      <c r="I15" s="643"/>
    </row>
    <row r="16" spans="1:9" ht="13.2">
      <c r="A16" s="641"/>
      <c r="B16" s="641"/>
      <c r="C16" s="227"/>
      <c r="D16" s="244"/>
      <c r="E16" s="228"/>
      <c r="F16" s="245"/>
      <c r="G16" s="228"/>
      <c r="H16" s="245"/>
      <c r="I16" s="245"/>
    </row>
    <row r="17" spans="1:9" ht="13.2">
      <c r="A17" s="641">
        <v>97</v>
      </c>
      <c r="B17" s="641">
        <v>93</v>
      </c>
      <c r="C17" s="224" t="s">
        <v>904</v>
      </c>
      <c r="D17" s="244"/>
      <c r="E17" s="243"/>
      <c r="F17" s="245"/>
      <c r="G17" s="243" t="s">
        <v>9</v>
      </c>
      <c r="H17" s="245" t="s">
        <v>9</v>
      </c>
      <c r="I17" s="245" t="s">
        <v>9</v>
      </c>
    </row>
    <row r="18" spans="1:9" ht="13.2">
      <c r="A18" s="641"/>
      <c r="B18" s="641"/>
      <c r="C18" s="227" t="s">
        <v>905</v>
      </c>
      <c r="D18" s="244"/>
      <c r="E18" s="243" t="s">
        <v>906</v>
      </c>
      <c r="F18" s="245">
        <v>367992</v>
      </c>
      <c r="G18" s="243" t="s">
        <v>923</v>
      </c>
      <c r="H18" s="245">
        <v>406152</v>
      </c>
      <c r="I18" s="245">
        <f>H18-F18</f>
        <v>38160</v>
      </c>
    </row>
    <row r="19" spans="1:9" ht="13.2">
      <c r="A19" s="641"/>
      <c r="B19" s="641"/>
      <c r="C19" s="227"/>
      <c r="D19" s="244"/>
      <c r="E19" s="243"/>
      <c r="F19" s="245"/>
      <c r="G19" s="243"/>
      <c r="H19" s="245"/>
      <c r="I19" s="245"/>
    </row>
    <row r="20" spans="1:9" ht="13.2">
      <c r="A20" s="641">
        <v>98</v>
      </c>
      <c r="B20" s="641">
        <v>94</v>
      </c>
      <c r="C20" s="224" t="s">
        <v>907</v>
      </c>
      <c r="D20" s="244"/>
      <c r="E20" s="243"/>
      <c r="F20" s="245"/>
      <c r="G20" s="243"/>
      <c r="H20" s="245"/>
      <c r="I20" s="245"/>
    </row>
    <row r="21" spans="1:9" ht="13.2">
      <c r="A21" s="641"/>
      <c r="B21" s="641"/>
      <c r="C21" s="227" t="s">
        <v>908</v>
      </c>
      <c r="D21" s="244"/>
      <c r="E21" s="243" t="s">
        <v>873</v>
      </c>
      <c r="F21" s="245">
        <v>205188</v>
      </c>
      <c r="G21" s="243" t="s">
        <v>918</v>
      </c>
      <c r="H21" s="245">
        <v>224820</v>
      </c>
      <c r="I21" s="245">
        <f>H21-F21</f>
        <v>19632</v>
      </c>
    </row>
    <row r="22" spans="1:9" ht="13.2">
      <c r="A22" s="641"/>
      <c r="B22" s="641"/>
      <c r="C22" s="227"/>
      <c r="D22" s="244"/>
      <c r="E22" s="243"/>
      <c r="F22" s="245"/>
      <c r="G22" s="243"/>
      <c r="H22" s="245"/>
      <c r="I22" s="245"/>
    </row>
    <row r="23" spans="1:9" ht="13.2">
      <c r="A23" s="641"/>
      <c r="B23" s="641">
        <v>95</v>
      </c>
      <c r="C23" s="224" t="s">
        <v>865</v>
      </c>
      <c r="D23" s="224"/>
      <c r="E23" s="641"/>
      <c r="F23" s="643"/>
      <c r="G23" s="641"/>
      <c r="H23" s="643"/>
      <c r="I23" s="643"/>
    </row>
    <row r="24" spans="1:9" ht="13.2">
      <c r="A24" s="641"/>
      <c r="B24" s="641"/>
      <c r="C24" s="231" t="s">
        <v>866</v>
      </c>
      <c r="D24" s="224"/>
      <c r="E24" s="641"/>
      <c r="F24" s="643"/>
      <c r="G24" s="641"/>
      <c r="H24" s="1612" t="s">
        <v>4971</v>
      </c>
      <c r="I24" s="643"/>
    </row>
    <row r="25" spans="1:9" ht="13.2">
      <c r="A25" s="647"/>
      <c r="B25" s="647"/>
      <c r="C25" s="227" t="s">
        <v>867</v>
      </c>
      <c r="D25" s="224"/>
      <c r="E25" s="642" t="s">
        <v>869</v>
      </c>
      <c r="F25" s="643">
        <v>0</v>
      </c>
      <c r="G25" s="642" t="s">
        <v>869</v>
      </c>
      <c r="H25" s="643">
        <v>111276</v>
      </c>
      <c r="I25" s="643">
        <f>H25-F25</f>
        <v>111276</v>
      </c>
    </row>
    <row r="26" spans="1:9" ht="13.2">
      <c r="A26" s="647"/>
      <c r="B26" s="647"/>
      <c r="C26" s="227"/>
      <c r="D26" s="224"/>
      <c r="E26" s="642"/>
      <c r="F26" s="643"/>
      <c r="G26" s="642"/>
      <c r="H26" s="643"/>
      <c r="I26" s="643"/>
    </row>
    <row r="27" spans="1:9" ht="13.2">
      <c r="A27" s="641"/>
      <c r="B27" s="641">
        <v>96</v>
      </c>
      <c r="C27" s="224" t="s">
        <v>865</v>
      </c>
      <c r="D27" s="224"/>
      <c r="E27" s="641"/>
      <c r="F27" s="643"/>
      <c r="G27" s="641"/>
      <c r="H27" s="643"/>
      <c r="I27" s="643"/>
    </row>
    <row r="28" spans="1:9" ht="13.2">
      <c r="A28" s="641"/>
      <c r="B28" s="641"/>
      <c r="C28" s="231" t="s">
        <v>866</v>
      </c>
      <c r="D28" s="224"/>
      <c r="E28" s="641"/>
      <c r="F28" s="643"/>
      <c r="G28" s="641"/>
      <c r="H28" s="1612" t="s">
        <v>4971</v>
      </c>
      <c r="I28" s="643"/>
    </row>
    <row r="29" spans="1:9" ht="13.2">
      <c r="A29" s="641"/>
      <c r="B29" s="641"/>
      <c r="C29" s="227" t="s">
        <v>870</v>
      </c>
      <c r="D29" s="224"/>
      <c r="E29" s="642" t="s">
        <v>871</v>
      </c>
      <c r="F29" s="643">
        <v>0</v>
      </c>
      <c r="G29" s="642" t="s">
        <v>868</v>
      </c>
      <c r="H29" s="643">
        <v>110172</v>
      </c>
      <c r="I29" s="643">
        <f>H29-F29</f>
        <v>110172</v>
      </c>
    </row>
    <row r="30" spans="1:9" ht="13.2">
      <c r="A30" s="641"/>
      <c r="B30" s="641"/>
      <c r="C30" s="227"/>
      <c r="D30" s="244"/>
      <c r="E30" s="243"/>
      <c r="F30" s="245"/>
      <c r="G30" s="243"/>
      <c r="H30" s="245"/>
      <c r="I30" s="245"/>
    </row>
    <row r="31" spans="1:9" ht="13.2">
      <c r="A31" s="641"/>
      <c r="B31" s="641"/>
      <c r="C31" s="227"/>
      <c r="D31" s="244"/>
      <c r="E31" s="243"/>
      <c r="F31" s="245"/>
      <c r="G31" s="243"/>
      <c r="H31" s="245"/>
      <c r="I31" s="245"/>
    </row>
    <row r="32" spans="1:9" ht="13.2">
      <c r="A32" s="641"/>
      <c r="B32" s="641"/>
      <c r="C32" s="227"/>
      <c r="D32" s="244"/>
      <c r="E32" s="243"/>
      <c r="F32" s="245"/>
      <c r="G32" s="243"/>
      <c r="H32" s="245"/>
      <c r="I32" s="245"/>
    </row>
    <row r="33" spans="1:9" ht="13.2">
      <c r="A33" s="641"/>
      <c r="B33" s="641"/>
      <c r="C33" s="224"/>
      <c r="D33" s="244"/>
      <c r="E33" s="243"/>
      <c r="F33" s="245"/>
      <c r="G33" s="243"/>
      <c r="H33" s="245"/>
      <c r="I33" s="245"/>
    </row>
    <row r="34" spans="1:9" ht="13.2">
      <c r="A34" s="641"/>
      <c r="B34" s="641"/>
      <c r="C34" s="227"/>
      <c r="D34" s="244"/>
      <c r="E34" s="243"/>
      <c r="F34" s="245"/>
      <c r="G34" s="243"/>
      <c r="H34" s="245"/>
      <c r="I34" s="245"/>
    </row>
    <row r="35" spans="1:9" ht="13.2">
      <c r="A35" s="641"/>
      <c r="B35" s="641"/>
      <c r="C35" s="224"/>
      <c r="D35" s="244"/>
      <c r="E35" s="243"/>
      <c r="F35" s="245"/>
      <c r="G35" s="243"/>
      <c r="H35" s="245"/>
      <c r="I35" s="245"/>
    </row>
    <row r="36" spans="1:9" ht="13.2">
      <c r="A36" s="641"/>
      <c r="B36" s="641"/>
      <c r="C36" s="224"/>
      <c r="D36" s="244"/>
      <c r="E36" s="642"/>
      <c r="F36" s="268"/>
      <c r="G36" s="642"/>
      <c r="H36" s="268"/>
      <c r="I36" s="268"/>
    </row>
    <row r="37" spans="1:9" ht="13.2">
      <c r="A37" s="641"/>
      <c r="B37" s="641"/>
      <c r="C37" s="227"/>
      <c r="D37" s="244"/>
      <c r="E37" s="243"/>
      <c r="F37" s="245"/>
      <c r="G37" s="243"/>
      <c r="H37" s="245"/>
      <c r="I37" s="245"/>
    </row>
    <row r="38" spans="1:9" ht="13.2">
      <c r="A38" s="644"/>
      <c r="B38" s="644"/>
      <c r="C38" s="234"/>
      <c r="D38" s="233"/>
      <c r="E38" s="644"/>
      <c r="F38" s="645"/>
      <c r="G38" s="644"/>
      <c r="H38" s="645"/>
      <c r="I38" s="267"/>
    </row>
    <row r="39" spans="1:9" ht="13.2">
      <c r="A39" s="641"/>
      <c r="B39" s="228"/>
      <c r="C39" s="224"/>
      <c r="D39" s="244"/>
      <c r="E39" s="642"/>
      <c r="F39" s="245"/>
      <c r="G39" s="642"/>
      <c r="H39" s="245"/>
      <c r="I39" s="245"/>
    </row>
    <row r="40" spans="1:9" ht="13.2">
      <c r="A40" s="641"/>
      <c r="B40" s="228"/>
      <c r="C40" s="227"/>
      <c r="D40" s="244"/>
      <c r="E40" s="243"/>
      <c r="F40" s="245"/>
      <c r="G40" s="243"/>
      <c r="H40" s="245"/>
      <c r="I40" s="245"/>
    </row>
    <row r="41" spans="1:9" ht="13.2">
      <c r="A41" s="641"/>
      <c r="B41" s="228"/>
      <c r="C41" s="224"/>
      <c r="D41" s="244"/>
      <c r="E41" s="240"/>
      <c r="F41" s="643"/>
      <c r="G41" s="240"/>
      <c r="H41" s="643"/>
      <c r="I41" s="643"/>
    </row>
    <row r="42" spans="1:9" ht="13.2">
      <c r="A42" s="641"/>
      <c r="B42" s="228"/>
      <c r="C42" s="224"/>
      <c r="D42" s="244"/>
      <c r="E42" s="642"/>
      <c r="F42" s="245"/>
      <c r="G42" s="642"/>
      <c r="H42" s="245"/>
      <c r="I42" s="245"/>
    </row>
    <row r="43" spans="1:9" ht="13.2">
      <c r="A43" s="641"/>
      <c r="B43" s="228"/>
      <c r="C43" s="227"/>
      <c r="D43" s="244"/>
      <c r="E43" s="243"/>
      <c r="F43" s="245"/>
      <c r="G43" s="243"/>
      <c r="H43" s="245"/>
      <c r="I43" s="245"/>
    </row>
    <row r="44" spans="1:9" ht="13.2">
      <c r="A44" s="641"/>
      <c r="B44" s="228"/>
      <c r="C44" s="249"/>
      <c r="D44" s="256"/>
      <c r="E44" s="243"/>
      <c r="F44" s="245"/>
      <c r="G44" s="243"/>
      <c r="H44" s="245"/>
      <c r="I44" s="245"/>
    </row>
    <row r="45" spans="1:9" ht="13.2">
      <c r="A45" s="641"/>
      <c r="B45" s="228"/>
      <c r="C45" s="224"/>
      <c r="D45" s="244"/>
      <c r="E45" s="642"/>
      <c r="F45" s="245"/>
      <c r="G45" s="642"/>
      <c r="H45" s="245"/>
      <c r="I45" s="245"/>
    </row>
    <row r="46" spans="1:9" ht="13.8" thickBot="1">
      <c r="A46" s="651"/>
      <c r="B46" s="651"/>
      <c r="C46" s="257"/>
      <c r="D46" s="653"/>
      <c r="E46" s="756"/>
      <c r="F46" s="654"/>
      <c r="G46" s="756"/>
      <c r="H46" s="654"/>
      <c r="I46" s="654"/>
    </row>
    <row r="47" spans="1:9" ht="13.2">
      <c r="A47" s="657"/>
      <c r="B47" s="657"/>
      <c r="C47" s="224"/>
      <c r="D47" s="224"/>
      <c r="E47" s="657"/>
      <c r="F47" s="258"/>
      <c r="G47" s="657"/>
      <c r="H47" s="258"/>
      <c r="I47" s="245"/>
    </row>
    <row r="48" spans="1:9" ht="13.2">
      <c r="A48" s="657"/>
      <c r="B48" s="657"/>
      <c r="C48" s="227" t="s">
        <v>898</v>
      </c>
      <c r="D48" s="224"/>
      <c r="E48" s="659"/>
      <c r="F48" s="259">
        <f>SUM(F16:F46)</f>
        <v>573180</v>
      </c>
      <c r="G48" s="659"/>
      <c r="H48" s="259">
        <f>SUM(H16:H46)</f>
        <v>852420</v>
      </c>
      <c r="I48" s="259">
        <f>SUM(I16:I46)</f>
        <v>279240</v>
      </c>
    </row>
    <row r="49" spans="1:9" ht="13.8" thickBot="1">
      <c r="A49" s="260"/>
      <c r="B49" s="260"/>
      <c r="C49" s="261"/>
      <c r="D49" s="261"/>
      <c r="E49" s="260"/>
      <c r="F49" s="262"/>
      <c r="G49" s="260"/>
      <c r="H49" s="262"/>
      <c r="I49" s="262"/>
    </row>
    <row r="50" spans="1:9" ht="12" thickTop="1">
      <c r="A50" s="251"/>
      <c r="B50" s="241"/>
      <c r="C50" s="216"/>
      <c r="D50" s="263"/>
      <c r="G50" s="241"/>
      <c r="H50" s="263"/>
    </row>
    <row r="51" spans="1:9" s="214" customFormat="1" ht="12" customHeight="1">
      <c r="A51" s="236"/>
      <c r="B51" s="237"/>
      <c r="C51" s="224"/>
      <c r="D51" s="224"/>
      <c r="E51" s="237"/>
      <c r="F51" s="238"/>
      <c r="G51" s="237"/>
      <c r="H51" s="238"/>
    </row>
    <row r="52" spans="1:9" s="214" customFormat="1" ht="12" customHeight="1">
      <c r="A52" s="236"/>
      <c r="B52" s="237"/>
      <c r="C52" s="224"/>
      <c r="D52" s="224"/>
      <c r="E52" s="237"/>
      <c r="F52" s="238"/>
      <c r="G52" s="237"/>
      <c r="H52" s="238"/>
    </row>
    <row r="53" spans="1:9" s="214" customFormat="1" ht="12" customHeight="1"/>
    <row r="54" spans="1:9" s="214" customFormat="1" ht="12" customHeight="1"/>
    <row r="55" spans="1:9" s="239" customFormat="1" ht="12" customHeight="1"/>
    <row r="56" spans="1:9" s="214" customFormat="1" ht="12" customHeight="1"/>
    <row r="57" spans="1:9" s="214" customFormat="1" ht="13.2">
      <c r="A57" s="237"/>
      <c r="B57" s="237"/>
      <c r="C57" s="246"/>
      <c r="D57" s="246"/>
      <c r="E57" s="240"/>
      <c r="F57" s="1280"/>
      <c r="G57" s="240"/>
      <c r="H57" s="1280"/>
      <c r="I57" s="1280"/>
    </row>
    <row r="58" spans="1:9" ht="11.4">
      <c r="A58" s="210"/>
      <c r="B58" s="210"/>
      <c r="C58" s="210"/>
      <c r="D58" s="210"/>
      <c r="E58" s="210"/>
      <c r="F58" s="210"/>
      <c r="G58" s="210"/>
      <c r="H58" s="210"/>
    </row>
    <row r="59" spans="1:9" ht="11.4">
      <c r="A59" s="210"/>
      <c r="B59" s="210"/>
      <c r="C59" s="210"/>
      <c r="D59" s="210"/>
      <c r="E59" s="210"/>
      <c r="F59" s="210"/>
      <c r="G59" s="210"/>
      <c r="H59" s="210"/>
    </row>
    <row r="60" spans="1:9" ht="12">
      <c r="A60" s="210"/>
      <c r="B60" s="210"/>
      <c r="C60" s="253"/>
      <c r="D60" s="210"/>
      <c r="E60" s="210"/>
      <c r="F60" s="210"/>
      <c r="G60" s="253"/>
      <c r="H60" s="210"/>
    </row>
    <row r="61" spans="1:9" ht="11.4">
      <c r="A61" s="210"/>
      <c r="B61" s="210"/>
      <c r="C61" s="210"/>
      <c r="D61" s="210"/>
      <c r="E61" s="210"/>
      <c r="F61" s="210"/>
      <c r="G61" s="210"/>
      <c r="H61" s="210"/>
    </row>
  </sheetData>
  <mergeCells count="6">
    <mergeCell ref="E10:F10"/>
    <mergeCell ref="G10:H10"/>
    <mergeCell ref="E11:F11"/>
    <mergeCell ref="G11:H11"/>
    <mergeCell ref="E12:F12"/>
    <mergeCell ref="G12:H12"/>
  </mergeCells>
  <printOptions horizontalCentered="1"/>
  <pageMargins left="0.5" right="0.25" top="0.75" bottom="1.25" header="0.5" footer="1.5"/>
  <pageSetup paperSize="5" firstPageNumber="68" orientation="portrait" useFirstPageNumber="1" horizontalDpi="4294967295" r:id="rId1"/>
  <headerFooter alignWithMargins="0">
    <oddFooter>&amp;C&amp;"-,Bold"&amp;12&amp;P</oddFooter>
  </headerFooter>
</worksheet>
</file>

<file path=xl/worksheets/sheet41.xml><?xml version="1.0" encoding="utf-8"?>
<worksheet xmlns="http://schemas.openxmlformats.org/spreadsheetml/2006/main" xmlns:r="http://schemas.openxmlformats.org/officeDocument/2006/relationships">
  <sheetPr codeName="Sheet31">
    <tabColor rgb="FFFFFF00"/>
  </sheetPr>
  <dimension ref="A1:H209"/>
  <sheetViews>
    <sheetView topLeftCell="D143" workbookViewId="0">
      <selection activeCell="I143" sqref="I1:AI1048576"/>
    </sheetView>
  </sheetViews>
  <sheetFormatPr defaultRowHeight="11.4"/>
  <cols>
    <col min="1" max="1" width="5.109375" style="3357" customWidth="1"/>
    <col min="2" max="2" width="1.88671875" style="3357" customWidth="1"/>
    <col min="3" max="3" width="34" style="3437" customWidth="1"/>
    <col min="4" max="4" width="12.44140625" style="3438" customWidth="1"/>
    <col min="5" max="5" width="22.88671875" style="3439" customWidth="1"/>
    <col min="6" max="6" width="8.109375" style="3357" customWidth="1"/>
    <col min="7" max="8" width="6.88671875" style="3435" customWidth="1"/>
    <col min="9" max="220" width="9.109375" style="3435"/>
    <col min="221" max="221" width="5.109375" style="3435" customWidth="1"/>
    <col min="222" max="222" width="32.109375" style="3435" customWidth="1"/>
    <col min="223" max="223" width="14.88671875" style="3435" customWidth="1"/>
    <col min="224" max="224" width="16.44140625" style="3435" customWidth="1"/>
    <col min="225" max="225" width="15.44140625" style="3435" customWidth="1"/>
    <col min="226" max="226" width="9.109375" style="3435" customWidth="1"/>
    <col min="227" max="227" width="6.109375" style="3435" customWidth="1"/>
    <col min="228" max="476" width="9.109375" style="3435"/>
    <col min="477" max="477" width="5.109375" style="3435" customWidth="1"/>
    <col min="478" max="478" width="32.109375" style="3435" customWidth="1"/>
    <col min="479" max="479" width="14.88671875" style="3435" customWidth="1"/>
    <col min="480" max="480" width="16.44140625" style="3435" customWidth="1"/>
    <col min="481" max="481" width="15.44140625" style="3435" customWidth="1"/>
    <col min="482" max="482" width="9.109375" style="3435" customWidth="1"/>
    <col min="483" max="483" width="6.109375" style="3435" customWidth="1"/>
    <col min="484" max="732" width="9.109375" style="3435"/>
    <col min="733" max="733" width="5.109375" style="3435" customWidth="1"/>
    <col min="734" max="734" width="32.109375" style="3435" customWidth="1"/>
    <col min="735" max="735" width="14.88671875" style="3435" customWidth="1"/>
    <col min="736" max="736" width="16.44140625" style="3435" customWidth="1"/>
    <col min="737" max="737" width="15.44140625" style="3435" customWidth="1"/>
    <col min="738" max="738" width="9.109375" style="3435" customWidth="1"/>
    <col min="739" max="739" width="6.109375" style="3435" customWidth="1"/>
    <col min="740" max="988" width="9.109375" style="3435"/>
    <col min="989" max="989" width="5.109375" style="3435" customWidth="1"/>
    <col min="990" max="990" width="32.109375" style="3435" customWidth="1"/>
    <col min="991" max="991" width="14.88671875" style="3435" customWidth="1"/>
    <col min="992" max="992" width="16.44140625" style="3435" customWidth="1"/>
    <col min="993" max="993" width="15.44140625" style="3435" customWidth="1"/>
    <col min="994" max="994" width="9.109375" style="3435" customWidth="1"/>
    <col min="995" max="995" width="6.109375" style="3435" customWidth="1"/>
    <col min="996" max="1244" width="9.109375" style="3435"/>
    <col min="1245" max="1245" width="5.109375" style="3435" customWidth="1"/>
    <col min="1246" max="1246" width="32.109375" style="3435" customWidth="1"/>
    <col min="1247" max="1247" width="14.88671875" style="3435" customWidth="1"/>
    <col min="1248" max="1248" width="16.44140625" style="3435" customWidth="1"/>
    <col min="1249" max="1249" width="15.44140625" style="3435" customWidth="1"/>
    <col min="1250" max="1250" width="9.109375" style="3435" customWidth="1"/>
    <col min="1251" max="1251" width="6.109375" style="3435" customWidth="1"/>
    <col min="1252" max="1500" width="9.109375" style="3435"/>
    <col min="1501" max="1501" width="5.109375" style="3435" customWidth="1"/>
    <col min="1502" max="1502" width="32.109375" style="3435" customWidth="1"/>
    <col min="1503" max="1503" width="14.88671875" style="3435" customWidth="1"/>
    <col min="1504" max="1504" width="16.44140625" style="3435" customWidth="1"/>
    <col min="1505" max="1505" width="15.44140625" style="3435" customWidth="1"/>
    <col min="1506" max="1506" width="9.109375" style="3435" customWidth="1"/>
    <col min="1507" max="1507" width="6.109375" style="3435" customWidth="1"/>
    <col min="1508" max="1756" width="9.109375" style="3435"/>
    <col min="1757" max="1757" width="5.109375" style="3435" customWidth="1"/>
    <col min="1758" max="1758" width="32.109375" style="3435" customWidth="1"/>
    <col min="1759" max="1759" width="14.88671875" style="3435" customWidth="1"/>
    <col min="1760" max="1760" width="16.44140625" style="3435" customWidth="1"/>
    <col min="1761" max="1761" width="15.44140625" style="3435" customWidth="1"/>
    <col min="1762" max="1762" width="9.109375" style="3435" customWidth="1"/>
    <col min="1763" max="1763" width="6.109375" style="3435" customWidth="1"/>
    <col min="1764" max="2012" width="9.109375" style="3435"/>
    <col min="2013" max="2013" width="5.109375" style="3435" customWidth="1"/>
    <col min="2014" max="2014" width="32.109375" style="3435" customWidth="1"/>
    <col min="2015" max="2015" width="14.88671875" style="3435" customWidth="1"/>
    <col min="2016" max="2016" width="16.44140625" style="3435" customWidth="1"/>
    <col min="2017" max="2017" width="15.44140625" style="3435" customWidth="1"/>
    <col min="2018" max="2018" width="9.109375" style="3435" customWidth="1"/>
    <col min="2019" max="2019" width="6.109375" style="3435" customWidth="1"/>
    <col min="2020" max="2268" width="9.109375" style="3435"/>
    <col min="2269" max="2269" width="5.109375" style="3435" customWidth="1"/>
    <col min="2270" max="2270" width="32.109375" style="3435" customWidth="1"/>
    <col min="2271" max="2271" width="14.88671875" style="3435" customWidth="1"/>
    <col min="2272" max="2272" width="16.44140625" style="3435" customWidth="1"/>
    <col min="2273" max="2273" width="15.44140625" style="3435" customWidth="1"/>
    <col min="2274" max="2274" width="9.109375" style="3435" customWidth="1"/>
    <col min="2275" max="2275" width="6.109375" style="3435" customWidth="1"/>
    <col min="2276" max="2524" width="9.109375" style="3435"/>
    <col min="2525" max="2525" width="5.109375" style="3435" customWidth="1"/>
    <col min="2526" max="2526" width="32.109375" style="3435" customWidth="1"/>
    <col min="2527" max="2527" width="14.88671875" style="3435" customWidth="1"/>
    <col min="2528" max="2528" width="16.44140625" style="3435" customWidth="1"/>
    <col min="2529" max="2529" width="15.44140625" style="3435" customWidth="1"/>
    <col min="2530" max="2530" width="9.109375" style="3435" customWidth="1"/>
    <col min="2531" max="2531" width="6.109375" style="3435" customWidth="1"/>
    <col min="2532" max="2780" width="9.109375" style="3435"/>
    <col min="2781" max="2781" width="5.109375" style="3435" customWidth="1"/>
    <col min="2782" max="2782" width="32.109375" style="3435" customWidth="1"/>
    <col min="2783" max="2783" width="14.88671875" style="3435" customWidth="1"/>
    <col min="2784" max="2784" width="16.44140625" style="3435" customWidth="1"/>
    <col min="2785" max="2785" width="15.44140625" style="3435" customWidth="1"/>
    <col min="2786" max="2786" width="9.109375" style="3435" customWidth="1"/>
    <col min="2787" max="2787" width="6.109375" style="3435" customWidth="1"/>
    <col min="2788" max="3036" width="9.109375" style="3435"/>
    <col min="3037" max="3037" width="5.109375" style="3435" customWidth="1"/>
    <col min="3038" max="3038" width="32.109375" style="3435" customWidth="1"/>
    <col min="3039" max="3039" width="14.88671875" style="3435" customWidth="1"/>
    <col min="3040" max="3040" width="16.44140625" style="3435" customWidth="1"/>
    <col min="3041" max="3041" width="15.44140625" style="3435" customWidth="1"/>
    <col min="3042" max="3042" width="9.109375" style="3435" customWidth="1"/>
    <col min="3043" max="3043" width="6.109375" style="3435" customWidth="1"/>
    <col min="3044" max="3292" width="9.109375" style="3435"/>
    <col min="3293" max="3293" width="5.109375" style="3435" customWidth="1"/>
    <col min="3294" max="3294" width="32.109375" style="3435" customWidth="1"/>
    <col min="3295" max="3295" width="14.88671875" style="3435" customWidth="1"/>
    <col min="3296" max="3296" width="16.44140625" style="3435" customWidth="1"/>
    <col min="3297" max="3297" width="15.44140625" style="3435" customWidth="1"/>
    <col min="3298" max="3298" width="9.109375" style="3435" customWidth="1"/>
    <col min="3299" max="3299" width="6.109375" style="3435" customWidth="1"/>
    <col min="3300" max="3548" width="9.109375" style="3435"/>
    <col min="3549" max="3549" width="5.109375" style="3435" customWidth="1"/>
    <col min="3550" max="3550" width="32.109375" style="3435" customWidth="1"/>
    <col min="3551" max="3551" width="14.88671875" style="3435" customWidth="1"/>
    <col min="3552" max="3552" width="16.44140625" style="3435" customWidth="1"/>
    <col min="3553" max="3553" width="15.44140625" style="3435" customWidth="1"/>
    <col min="3554" max="3554" width="9.109375" style="3435" customWidth="1"/>
    <col min="3555" max="3555" width="6.109375" style="3435" customWidth="1"/>
    <col min="3556" max="3804" width="9.109375" style="3435"/>
    <col min="3805" max="3805" width="5.109375" style="3435" customWidth="1"/>
    <col min="3806" max="3806" width="32.109375" style="3435" customWidth="1"/>
    <col min="3807" max="3807" width="14.88671875" style="3435" customWidth="1"/>
    <col min="3808" max="3808" width="16.44140625" style="3435" customWidth="1"/>
    <col min="3809" max="3809" width="15.44140625" style="3435" customWidth="1"/>
    <col min="3810" max="3810" width="9.109375" style="3435" customWidth="1"/>
    <col min="3811" max="3811" width="6.109375" style="3435" customWidth="1"/>
    <col min="3812" max="4060" width="9.109375" style="3435"/>
    <col min="4061" max="4061" width="5.109375" style="3435" customWidth="1"/>
    <col min="4062" max="4062" width="32.109375" style="3435" customWidth="1"/>
    <col min="4063" max="4063" width="14.88671875" style="3435" customWidth="1"/>
    <col min="4064" max="4064" width="16.44140625" style="3435" customWidth="1"/>
    <col min="4065" max="4065" width="15.44140625" style="3435" customWidth="1"/>
    <col min="4066" max="4066" width="9.109375" style="3435" customWidth="1"/>
    <col min="4067" max="4067" width="6.109375" style="3435" customWidth="1"/>
    <col min="4068" max="4316" width="9.109375" style="3435"/>
    <col min="4317" max="4317" width="5.109375" style="3435" customWidth="1"/>
    <col min="4318" max="4318" width="32.109375" style="3435" customWidth="1"/>
    <col min="4319" max="4319" width="14.88671875" style="3435" customWidth="1"/>
    <col min="4320" max="4320" width="16.44140625" style="3435" customWidth="1"/>
    <col min="4321" max="4321" width="15.44140625" style="3435" customWidth="1"/>
    <col min="4322" max="4322" width="9.109375" style="3435" customWidth="1"/>
    <col min="4323" max="4323" width="6.109375" style="3435" customWidth="1"/>
    <col min="4324" max="4572" width="9.109375" style="3435"/>
    <col min="4573" max="4573" width="5.109375" style="3435" customWidth="1"/>
    <col min="4574" max="4574" width="32.109375" style="3435" customWidth="1"/>
    <col min="4575" max="4575" width="14.88671875" style="3435" customWidth="1"/>
    <col min="4576" max="4576" width="16.44140625" style="3435" customWidth="1"/>
    <col min="4577" max="4577" width="15.44140625" style="3435" customWidth="1"/>
    <col min="4578" max="4578" width="9.109375" style="3435" customWidth="1"/>
    <col min="4579" max="4579" width="6.109375" style="3435" customWidth="1"/>
    <col min="4580" max="4828" width="9.109375" style="3435"/>
    <col min="4829" max="4829" width="5.109375" style="3435" customWidth="1"/>
    <col min="4830" max="4830" width="32.109375" style="3435" customWidth="1"/>
    <col min="4831" max="4831" width="14.88671875" style="3435" customWidth="1"/>
    <col min="4832" max="4832" width="16.44140625" style="3435" customWidth="1"/>
    <col min="4833" max="4833" width="15.44140625" style="3435" customWidth="1"/>
    <col min="4834" max="4834" width="9.109375" style="3435" customWidth="1"/>
    <col min="4835" max="4835" width="6.109375" style="3435" customWidth="1"/>
    <col min="4836" max="5084" width="9.109375" style="3435"/>
    <col min="5085" max="5085" width="5.109375" style="3435" customWidth="1"/>
    <col min="5086" max="5086" width="32.109375" style="3435" customWidth="1"/>
    <col min="5087" max="5087" width="14.88671875" style="3435" customWidth="1"/>
    <col min="5088" max="5088" width="16.44140625" style="3435" customWidth="1"/>
    <col min="5089" max="5089" width="15.44140625" style="3435" customWidth="1"/>
    <col min="5090" max="5090" width="9.109375" style="3435" customWidth="1"/>
    <col min="5091" max="5091" width="6.109375" style="3435" customWidth="1"/>
    <col min="5092" max="5340" width="9.109375" style="3435"/>
    <col min="5341" max="5341" width="5.109375" style="3435" customWidth="1"/>
    <col min="5342" max="5342" width="32.109375" style="3435" customWidth="1"/>
    <col min="5343" max="5343" width="14.88671875" style="3435" customWidth="1"/>
    <col min="5344" max="5344" width="16.44140625" style="3435" customWidth="1"/>
    <col min="5345" max="5345" width="15.44140625" style="3435" customWidth="1"/>
    <col min="5346" max="5346" width="9.109375" style="3435" customWidth="1"/>
    <col min="5347" max="5347" width="6.109375" style="3435" customWidth="1"/>
    <col min="5348" max="5596" width="9.109375" style="3435"/>
    <col min="5597" max="5597" width="5.109375" style="3435" customWidth="1"/>
    <col min="5598" max="5598" width="32.109375" style="3435" customWidth="1"/>
    <col min="5599" max="5599" width="14.88671875" style="3435" customWidth="1"/>
    <col min="5600" max="5600" width="16.44140625" style="3435" customWidth="1"/>
    <col min="5601" max="5601" width="15.44140625" style="3435" customWidth="1"/>
    <col min="5602" max="5602" width="9.109375" style="3435" customWidth="1"/>
    <col min="5603" max="5603" width="6.109375" style="3435" customWidth="1"/>
    <col min="5604" max="5852" width="9.109375" style="3435"/>
    <col min="5853" max="5853" width="5.109375" style="3435" customWidth="1"/>
    <col min="5854" max="5854" width="32.109375" style="3435" customWidth="1"/>
    <col min="5855" max="5855" width="14.88671875" style="3435" customWidth="1"/>
    <col min="5856" max="5856" width="16.44140625" style="3435" customWidth="1"/>
    <col min="5857" max="5857" width="15.44140625" style="3435" customWidth="1"/>
    <col min="5858" max="5858" width="9.109375" style="3435" customWidth="1"/>
    <col min="5859" max="5859" width="6.109375" style="3435" customWidth="1"/>
    <col min="5860" max="6108" width="9.109375" style="3435"/>
    <col min="6109" max="6109" width="5.109375" style="3435" customWidth="1"/>
    <col min="6110" max="6110" width="32.109375" style="3435" customWidth="1"/>
    <col min="6111" max="6111" width="14.88671875" style="3435" customWidth="1"/>
    <col min="6112" max="6112" width="16.44140625" style="3435" customWidth="1"/>
    <col min="6113" max="6113" width="15.44140625" style="3435" customWidth="1"/>
    <col min="6114" max="6114" width="9.109375" style="3435" customWidth="1"/>
    <col min="6115" max="6115" width="6.109375" style="3435" customWidth="1"/>
    <col min="6116" max="6364" width="9.109375" style="3435"/>
    <col min="6365" max="6365" width="5.109375" style="3435" customWidth="1"/>
    <col min="6366" max="6366" width="32.109375" style="3435" customWidth="1"/>
    <col min="6367" max="6367" width="14.88671875" style="3435" customWidth="1"/>
    <col min="6368" max="6368" width="16.44140625" style="3435" customWidth="1"/>
    <col min="6369" max="6369" width="15.44140625" style="3435" customWidth="1"/>
    <col min="6370" max="6370" width="9.109375" style="3435" customWidth="1"/>
    <col min="6371" max="6371" width="6.109375" style="3435" customWidth="1"/>
    <col min="6372" max="6620" width="9.109375" style="3435"/>
    <col min="6621" max="6621" width="5.109375" style="3435" customWidth="1"/>
    <col min="6622" max="6622" width="32.109375" style="3435" customWidth="1"/>
    <col min="6623" max="6623" width="14.88671875" style="3435" customWidth="1"/>
    <col min="6624" max="6624" width="16.44140625" style="3435" customWidth="1"/>
    <col min="6625" max="6625" width="15.44140625" style="3435" customWidth="1"/>
    <col min="6626" max="6626" width="9.109375" style="3435" customWidth="1"/>
    <col min="6627" max="6627" width="6.109375" style="3435" customWidth="1"/>
    <col min="6628" max="6876" width="9.109375" style="3435"/>
    <col min="6877" max="6877" width="5.109375" style="3435" customWidth="1"/>
    <col min="6878" max="6878" width="32.109375" style="3435" customWidth="1"/>
    <col min="6879" max="6879" width="14.88671875" style="3435" customWidth="1"/>
    <col min="6880" max="6880" width="16.44140625" style="3435" customWidth="1"/>
    <col min="6881" max="6881" width="15.44140625" style="3435" customWidth="1"/>
    <col min="6882" max="6882" width="9.109375" style="3435" customWidth="1"/>
    <col min="6883" max="6883" width="6.109375" style="3435" customWidth="1"/>
    <col min="6884" max="7132" width="9.109375" style="3435"/>
    <col min="7133" max="7133" width="5.109375" style="3435" customWidth="1"/>
    <col min="7134" max="7134" width="32.109375" style="3435" customWidth="1"/>
    <col min="7135" max="7135" width="14.88671875" style="3435" customWidth="1"/>
    <col min="7136" max="7136" width="16.44140625" style="3435" customWidth="1"/>
    <col min="7137" max="7137" width="15.44140625" style="3435" customWidth="1"/>
    <col min="7138" max="7138" width="9.109375" style="3435" customWidth="1"/>
    <col min="7139" max="7139" width="6.109375" style="3435" customWidth="1"/>
    <col min="7140" max="7388" width="9.109375" style="3435"/>
    <col min="7389" max="7389" width="5.109375" style="3435" customWidth="1"/>
    <col min="7390" max="7390" width="32.109375" style="3435" customWidth="1"/>
    <col min="7391" max="7391" width="14.88671875" style="3435" customWidth="1"/>
    <col min="7392" max="7392" width="16.44140625" style="3435" customWidth="1"/>
    <col min="7393" max="7393" width="15.44140625" style="3435" customWidth="1"/>
    <col min="7394" max="7394" width="9.109375" style="3435" customWidth="1"/>
    <col min="7395" max="7395" width="6.109375" style="3435" customWidth="1"/>
    <col min="7396" max="7644" width="9.109375" style="3435"/>
    <col min="7645" max="7645" width="5.109375" style="3435" customWidth="1"/>
    <col min="7646" max="7646" width="32.109375" style="3435" customWidth="1"/>
    <col min="7647" max="7647" width="14.88671875" style="3435" customWidth="1"/>
    <col min="7648" max="7648" width="16.44140625" style="3435" customWidth="1"/>
    <col min="7649" max="7649" width="15.44140625" style="3435" customWidth="1"/>
    <col min="7650" max="7650" width="9.109375" style="3435" customWidth="1"/>
    <col min="7651" max="7651" width="6.109375" style="3435" customWidth="1"/>
    <col min="7652" max="7900" width="9.109375" style="3435"/>
    <col min="7901" max="7901" width="5.109375" style="3435" customWidth="1"/>
    <col min="7902" max="7902" width="32.109375" style="3435" customWidth="1"/>
    <col min="7903" max="7903" width="14.88671875" style="3435" customWidth="1"/>
    <col min="7904" max="7904" width="16.44140625" style="3435" customWidth="1"/>
    <col min="7905" max="7905" width="15.44140625" style="3435" customWidth="1"/>
    <col min="7906" max="7906" width="9.109375" style="3435" customWidth="1"/>
    <col min="7907" max="7907" width="6.109375" style="3435" customWidth="1"/>
    <col min="7908" max="8156" width="9.109375" style="3435"/>
    <col min="8157" max="8157" width="5.109375" style="3435" customWidth="1"/>
    <col min="8158" max="8158" width="32.109375" style="3435" customWidth="1"/>
    <col min="8159" max="8159" width="14.88671875" style="3435" customWidth="1"/>
    <col min="8160" max="8160" width="16.44140625" style="3435" customWidth="1"/>
    <col min="8161" max="8161" width="15.44140625" style="3435" customWidth="1"/>
    <col min="8162" max="8162" width="9.109375" style="3435" customWidth="1"/>
    <col min="8163" max="8163" width="6.109375" style="3435" customWidth="1"/>
    <col min="8164" max="8412" width="9.109375" style="3435"/>
    <col min="8413" max="8413" width="5.109375" style="3435" customWidth="1"/>
    <col min="8414" max="8414" width="32.109375" style="3435" customWidth="1"/>
    <col min="8415" max="8415" width="14.88671875" style="3435" customWidth="1"/>
    <col min="8416" max="8416" width="16.44140625" style="3435" customWidth="1"/>
    <col min="8417" max="8417" width="15.44140625" style="3435" customWidth="1"/>
    <col min="8418" max="8418" width="9.109375" style="3435" customWidth="1"/>
    <col min="8419" max="8419" width="6.109375" style="3435" customWidth="1"/>
    <col min="8420" max="8668" width="9.109375" style="3435"/>
    <col min="8669" max="8669" width="5.109375" style="3435" customWidth="1"/>
    <col min="8670" max="8670" width="32.109375" style="3435" customWidth="1"/>
    <col min="8671" max="8671" width="14.88671875" style="3435" customWidth="1"/>
    <col min="8672" max="8672" width="16.44140625" style="3435" customWidth="1"/>
    <col min="8673" max="8673" width="15.44140625" style="3435" customWidth="1"/>
    <col min="8674" max="8674" width="9.109375" style="3435" customWidth="1"/>
    <col min="8675" max="8675" width="6.109375" style="3435" customWidth="1"/>
    <col min="8676" max="8924" width="9.109375" style="3435"/>
    <col min="8925" max="8925" width="5.109375" style="3435" customWidth="1"/>
    <col min="8926" max="8926" width="32.109375" style="3435" customWidth="1"/>
    <col min="8927" max="8927" width="14.88671875" style="3435" customWidth="1"/>
    <col min="8928" max="8928" width="16.44140625" style="3435" customWidth="1"/>
    <col min="8929" max="8929" width="15.44140625" style="3435" customWidth="1"/>
    <col min="8930" max="8930" width="9.109375" style="3435" customWidth="1"/>
    <col min="8931" max="8931" width="6.109375" style="3435" customWidth="1"/>
    <col min="8932" max="9180" width="9.109375" style="3435"/>
    <col min="9181" max="9181" width="5.109375" style="3435" customWidth="1"/>
    <col min="9182" max="9182" width="32.109375" style="3435" customWidth="1"/>
    <col min="9183" max="9183" width="14.88671875" style="3435" customWidth="1"/>
    <col min="9184" max="9184" width="16.44140625" style="3435" customWidth="1"/>
    <col min="9185" max="9185" width="15.44140625" style="3435" customWidth="1"/>
    <col min="9186" max="9186" width="9.109375" style="3435" customWidth="1"/>
    <col min="9187" max="9187" width="6.109375" style="3435" customWidth="1"/>
    <col min="9188" max="9436" width="9.109375" style="3435"/>
    <col min="9437" max="9437" width="5.109375" style="3435" customWidth="1"/>
    <col min="9438" max="9438" width="32.109375" style="3435" customWidth="1"/>
    <col min="9439" max="9439" width="14.88671875" style="3435" customWidth="1"/>
    <col min="9440" max="9440" width="16.44140625" style="3435" customWidth="1"/>
    <col min="9441" max="9441" width="15.44140625" style="3435" customWidth="1"/>
    <col min="9442" max="9442" width="9.109375" style="3435" customWidth="1"/>
    <col min="9443" max="9443" width="6.109375" style="3435" customWidth="1"/>
    <col min="9444" max="9692" width="9.109375" style="3435"/>
    <col min="9693" max="9693" width="5.109375" style="3435" customWidth="1"/>
    <col min="9694" max="9694" width="32.109375" style="3435" customWidth="1"/>
    <col min="9695" max="9695" width="14.88671875" style="3435" customWidth="1"/>
    <col min="9696" max="9696" width="16.44140625" style="3435" customWidth="1"/>
    <col min="9697" max="9697" width="15.44140625" style="3435" customWidth="1"/>
    <col min="9698" max="9698" width="9.109375" style="3435" customWidth="1"/>
    <col min="9699" max="9699" width="6.109375" style="3435" customWidth="1"/>
    <col min="9700" max="9948" width="9.109375" style="3435"/>
    <col min="9949" max="9949" width="5.109375" style="3435" customWidth="1"/>
    <col min="9950" max="9950" width="32.109375" style="3435" customWidth="1"/>
    <col min="9951" max="9951" width="14.88671875" style="3435" customWidth="1"/>
    <col min="9952" max="9952" width="16.44140625" style="3435" customWidth="1"/>
    <col min="9953" max="9953" width="15.44140625" style="3435" customWidth="1"/>
    <col min="9954" max="9954" width="9.109375" style="3435" customWidth="1"/>
    <col min="9955" max="9955" width="6.109375" style="3435" customWidth="1"/>
    <col min="9956" max="10204" width="9.109375" style="3435"/>
    <col min="10205" max="10205" width="5.109375" style="3435" customWidth="1"/>
    <col min="10206" max="10206" width="32.109375" style="3435" customWidth="1"/>
    <col min="10207" max="10207" width="14.88671875" style="3435" customWidth="1"/>
    <col min="10208" max="10208" width="16.44140625" style="3435" customWidth="1"/>
    <col min="10209" max="10209" width="15.44140625" style="3435" customWidth="1"/>
    <col min="10210" max="10210" width="9.109375" style="3435" customWidth="1"/>
    <col min="10211" max="10211" width="6.109375" style="3435" customWidth="1"/>
    <col min="10212" max="10460" width="9.109375" style="3435"/>
    <col min="10461" max="10461" width="5.109375" style="3435" customWidth="1"/>
    <col min="10462" max="10462" width="32.109375" style="3435" customWidth="1"/>
    <col min="10463" max="10463" width="14.88671875" style="3435" customWidth="1"/>
    <col min="10464" max="10464" width="16.44140625" style="3435" customWidth="1"/>
    <col min="10465" max="10465" width="15.44140625" style="3435" customWidth="1"/>
    <col min="10466" max="10466" width="9.109375" style="3435" customWidth="1"/>
    <col min="10467" max="10467" width="6.109375" style="3435" customWidth="1"/>
    <col min="10468" max="10716" width="9.109375" style="3435"/>
    <col min="10717" max="10717" width="5.109375" style="3435" customWidth="1"/>
    <col min="10718" max="10718" width="32.109375" style="3435" customWidth="1"/>
    <col min="10719" max="10719" width="14.88671875" style="3435" customWidth="1"/>
    <col min="10720" max="10720" width="16.44140625" style="3435" customWidth="1"/>
    <col min="10721" max="10721" width="15.44140625" style="3435" customWidth="1"/>
    <col min="10722" max="10722" width="9.109375" style="3435" customWidth="1"/>
    <col min="10723" max="10723" width="6.109375" style="3435" customWidth="1"/>
    <col min="10724" max="10972" width="9.109375" style="3435"/>
    <col min="10973" max="10973" width="5.109375" style="3435" customWidth="1"/>
    <col min="10974" max="10974" width="32.109375" style="3435" customWidth="1"/>
    <col min="10975" max="10975" width="14.88671875" style="3435" customWidth="1"/>
    <col min="10976" max="10976" width="16.44140625" style="3435" customWidth="1"/>
    <col min="10977" max="10977" width="15.44140625" style="3435" customWidth="1"/>
    <col min="10978" max="10978" width="9.109375" style="3435" customWidth="1"/>
    <col min="10979" max="10979" width="6.109375" style="3435" customWidth="1"/>
    <col min="10980" max="11228" width="9.109375" style="3435"/>
    <col min="11229" max="11229" width="5.109375" style="3435" customWidth="1"/>
    <col min="11230" max="11230" width="32.109375" style="3435" customWidth="1"/>
    <col min="11231" max="11231" width="14.88671875" style="3435" customWidth="1"/>
    <col min="11232" max="11232" width="16.44140625" style="3435" customWidth="1"/>
    <col min="11233" max="11233" width="15.44140625" style="3435" customWidth="1"/>
    <col min="11234" max="11234" width="9.109375" style="3435" customWidth="1"/>
    <col min="11235" max="11235" width="6.109375" style="3435" customWidth="1"/>
    <col min="11236" max="11484" width="9.109375" style="3435"/>
    <col min="11485" max="11485" width="5.109375" style="3435" customWidth="1"/>
    <col min="11486" max="11486" width="32.109375" style="3435" customWidth="1"/>
    <col min="11487" max="11487" width="14.88671875" style="3435" customWidth="1"/>
    <col min="11488" max="11488" width="16.44140625" style="3435" customWidth="1"/>
    <col min="11489" max="11489" width="15.44140625" style="3435" customWidth="1"/>
    <col min="11490" max="11490" width="9.109375" style="3435" customWidth="1"/>
    <col min="11491" max="11491" width="6.109375" style="3435" customWidth="1"/>
    <col min="11492" max="11740" width="9.109375" style="3435"/>
    <col min="11741" max="11741" width="5.109375" style="3435" customWidth="1"/>
    <col min="11742" max="11742" width="32.109375" style="3435" customWidth="1"/>
    <col min="11743" max="11743" width="14.88671875" style="3435" customWidth="1"/>
    <col min="11744" max="11744" width="16.44140625" style="3435" customWidth="1"/>
    <col min="11745" max="11745" width="15.44140625" style="3435" customWidth="1"/>
    <col min="11746" max="11746" width="9.109375" style="3435" customWidth="1"/>
    <col min="11747" max="11747" width="6.109375" style="3435" customWidth="1"/>
    <col min="11748" max="11996" width="9.109375" style="3435"/>
    <col min="11997" max="11997" width="5.109375" style="3435" customWidth="1"/>
    <col min="11998" max="11998" width="32.109375" style="3435" customWidth="1"/>
    <col min="11999" max="11999" width="14.88671875" style="3435" customWidth="1"/>
    <col min="12000" max="12000" width="16.44140625" style="3435" customWidth="1"/>
    <col min="12001" max="12001" width="15.44140625" style="3435" customWidth="1"/>
    <col min="12002" max="12002" width="9.109375" style="3435" customWidth="1"/>
    <col min="12003" max="12003" width="6.109375" style="3435" customWidth="1"/>
    <col min="12004" max="12252" width="9.109375" style="3435"/>
    <col min="12253" max="12253" width="5.109375" style="3435" customWidth="1"/>
    <col min="12254" max="12254" width="32.109375" style="3435" customWidth="1"/>
    <col min="12255" max="12255" width="14.88671875" style="3435" customWidth="1"/>
    <col min="12256" max="12256" width="16.44140625" style="3435" customWidth="1"/>
    <col min="12257" max="12257" width="15.44140625" style="3435" customWidth="1"/>
    <col min="12258" max="12258" width="9.109375" style="3435" customWidth="1"/>
    <col min="12259" max="12259" width="6.109375" style="3435" customWidth="1"/>
    <col min="12260" max="12508" width="9.109375" style="3435"/>
    <col min="12509" max="12509" width="5.109375" style="3435" customWidth="1"/>
    <col min="12510" max="12510" width="32.109375" style="3435" customWidth="1"/>
    <col min="12511" max="12511" width="14.88671875" style="3435" customWidth="1"/>
    <col min="12512" max="12512" width="16.44140625" style="3435" customWidth="1"/>
    <col min="12513" max="12513" width="15.44140625" style="3435" customWidth="1"/>
    <col min="12514" max="12514" width="9.109375" style="3435" customWidth="1"/>
    <col min="12515" max="12515" width="6.109375" style="3435" customWidth="1"/>
    <col min="12516" max="12764" width="9.109375" style="3435"/>
    <col min="12765" max="12765" width="5.109375" style="3435" customWidth="1"/>
    <col min="12766" max="12766" width="32.109375" style="3435" customWidth="1"/>
    <col min="12767" max="12767" width="14.88671875" style="3435" customWidth="1"/>
    <col min="12768" max="12768" width="16.44140625" style="3435" customWidth="1"/>
    <col min="12769" max="12769" width="15.44140625" style="3435" customWidth="1"/>
    <col min="12770" max="12770" width="9.109375" style="3435" customWidth="1"/>
    <col min="12771" max="12771" width="6.109375" style="3435" customWidth="1"/>
    <col min="12772" max="13020" width="9.109375" style="3435"/>
    <col min="13021" max="13021" width="5.109375" style="3435" customWidth="1"/>
    <col min="13022" max="13022" width="32.109375" style="3435" customWidth="1"/>
    <col min="13023" max="13023" width="14.88671875" style="3435" customWidth="1"/>
    <col min="13024" max="13024" width="16.44140625" style="3435" customWidth="1"/>
    <col min="13025" max="13025" width="15.44140625" style="3435" customWidth="1"/>
    <col min="13026" max="13026" width="9.109375" style="3435" customWidth="1"/>
    <col min="13027" max="13027" width="6.109375" style="3435" customWidth="1"/>
    <col min="13028" max="13276" width="9.109375" style="3435"/>
    <col min="13277" max="13277" width="5.109375" style="3435" customWidth="1"/>
    <col min="13278" max="13278" width="32.109375" style="3435" customWidth="1"/>
    <col min="13279" max="13279" width="14.88671875" style="3435" customWidth="1"/>
    <col min="13280" max="13280" width="16.44140625" style="3435" customWidth="1"/>
    <col min="13281" max="13281" width="15.44140625" style="3435" customWidth="1"/>
    <col min="13282" max="13282" width="9.109375" style="3435" customWidth="1"/>
    <col min="13283" max="13283" width="6.109375" style="3435" customWidth="1"/>
    <col min="13284" max="13532" width="9.109375" style="3435"/>
    <col min="13533" max="13533" width="5.109375" style="3435" customWidth="1"/>
    <col min="13534" max="13534" width="32.109375" style="3435" customWidth="1"/>
    <col min="13535" max="13535" width="14.88671875" style="3435" customWidth="1"/>
    <col min="13536" max="13536" width="16.44140625" style="3435" customWidth="1"/>
    <col min="13537" max="13537" width="15.44140625" style="3435" customWidth="1"/>
    <col min="13538" max="13538" width="9.109375" style="3435" customWidth="1"/>
    <col min="13539" max="13539" width="6.109375" style="3435" customWidth="1"/>
    <col min="13540" max="13788" width="9.109375" style="3435"/>
    <col min="13789" max="13789" width="5.109375" style="3435" customWidth="1"/>
    <col min="13790" max="13790" width="32.109375" style="3435" customWidth="1"/>
    <col min="13791" max="13791" width="14.88671875" style="3435" customWidth="1"/>
    <col min="13792" max="13792" width="16.44140625" style="3435" customWidth="1"/>
    <col min="13793" max="13793" width="15.44140625" style="3435" customWidth="1"/>
    <col min="13794" max="13794" width="9.109375" style="3435" customWidth="1"/>
    <col min="13795" max="13795" width="6.109375" style="3435" customWidth="1"/>
    <col min="13796" max="14044" width="9.109375" style="3435"/>
    <col min="14045" max="14045" width="5.109375" style="3435" customWidth="1"/>
    <col min="14046" max="14046" width="32.109375" style="3435" customWidth="1"/>
    <col min="14047" max="14047" width="14.88671875" style="3435" customWidth="1"/>
    <col min="14048" max="14048" width="16.44140625" style="3435" customWidth="1"/>
    <col min="14049" max="14049" width="15.44140625" style="3435" customWidth="1"/>
    <col min="14050" max="14050" width="9.109375" style="3435" customWidth="1"/>
    <col min="14051" max="14051" width="6.109375" style="3435" customWidth="1"/>
    <col min="14052" max="14300" width="9.109375" style="3435"/>
    <col min="14301" max="14301" width="5.109375" style="3435" customWidth="1"/>
    <col min="14302" max="14302" width="32.109375" style="3435" customWidth="1"/>
    <col min="14303" max="14303" width="14.88671875" style="3435" customWidth="1"/>
    <col min="14304" max="14304" width="16.44140625" style="3435" customWidth="1"/>
    <col min="14305" max="14305" width="15.44140625" style="3435" customWidth="1"/>
    <col min="14306" max="14306" width="9.109375" style="3435" customWidth="1"/>
    <col min="14307" max="14307" width="6.109375" style="3435" customWidth="1"/>
    <col min="14308" max="14556" width="9.109375" style="3435"/>
    <col min="14557" max="14557" width="5.109375" style="3435" customWidth="1"/>
    <col min="14558" max="14558" width="32.109375" style="3435" customWidth="1"/>
    <col min="14559" max="14559" width="14.88671875" style="3435" customWidth="1"/>
    <col min="14560" max="14560" width="16.44140625" style="3435" customWidth="1"/>
    <col min="14561" max="14561" width="15.44140625" style="3435" customWidth="1"/>
    <col min="14562" max="14562" width="9.109375" style="3435" customWidth="1"/>
    <col min="14563" max="14563" width="6.109375" style="3435" customWidth="1"/>
    <col min="14564" max="14812" width="9.109375" style="3435"/>
    <col min="14813" max="14813" width="5.109375" style="3435" customWidth="1"/>
    <col min="14814" max="14814" width="32.109375" style="3435" customWidth="1"/>
    <col min="14815" max="14815" width="14.88671875" style="3435" customWidth="1"/>
    <col min="14816" max="14816" width="16.44140625" style="3435" customWidth="1"/>
    <col min="14817" max="14817" width="15.44140625" style="3435" customWidth="1"/>
    <col min="14818" max="14818" width="9.109375" style="3435" customWidth="1"/>
    <col min="14819" max="14819" width="6.109375" style="3435" customWidth="1"/>
    <col min="14820" max="15068" width="9.109375" style="3435"/>
    <col min="15069" max="15069" width="5.109375" style="3435" customWidth="1"/>
    <col min="15070" max="15070" width="32.109375" style="3435" customWidth="1"/>
    <col min="15071" max="15071" width="14.88671875" style="3435" customWidth="1"/>
    <col min="15072" max="15072" width="16.44140625" style="3435" customWidth="1"/>
    <col min="15073" max="15073" width="15.44140625" style="3435" customWidth="1"/>
    <col min="15074" max="15074" width="9.109375" style="3435" customWidth="1"/>
    <col min="15075" max="15075" width="6.109375" style="3435" customWidth="1"/>
    <col min="15076" max="15324" width="9.109375" style="3435"/>
    <col min="15325" max="15325" width="5.109375" style="3435" customWidth="1"/>
    <col min="15326" max="15326" width="32.109375" style="3435" customWidth="1"/>
    <col min="15327" max="15327" width="14.88671875" style="3435" customWidth="1"/>
    <col min="15328" max="15328" width="16.44140625" style="3435" customWidth="1"/>
    <col min="15329" max="15329" width="15.44140625" style="3435" customWidth="1"/>
    <col min="15330" max="15330" width="9.109375" style="3435" customWidth="1"/>
    <col min="15331" max="15331" width="6.109375" style="3435" customWidth="1"/>
    <col min="15332" max="15580" width="9.109375" style="3435"/>
    <col min="15581" max="15581" width="5.109375" style="3435" customWidth="1"/>
    <col min="15582" max="15582" width="32.109375" style="3435" customWidth="1"/>
    <col min="15583" max="15583" width="14.88671875" style="3435" customWidth="1"/>
    <col min="15584" max="15584" width="16.44140625" style="3435" customWidth="1"/>
    <col min="15585" max="15585" width="15.44140625" style="3435" customWidth="1"/>
    <col min="15586" max="15586" width="9.109375" style="3435" customWidth="1"/>
    <col min="15587" max="15587" width="6.109375" style="3435" customWidth="1"/>
    <col min="15588" max="15836" width="9.109375" style="3435"/>
    <col min="15837" max="15837" width="5.109375" style="3435" customWidth="1"/>
    <col min="15838" max="15838" width="32.109375" style="3435" customWidth="1"/>
    <col min="15839" max="15839" width="14.88671875" style="3435" customWidth="1"/>
    <col min="15840" max="15840" width="16.44140625" style="3435" customWidth="1"/>
    <col min="15841" max="15841" width="15.44140625" style="3435" customWidth="1"/>
    <col min="15842" max="15842" width="9.109375" style="3435" customWidth="1"/>
    <col min="15843" max="15843" width="6.109375" style="3435" customWidth="1"/>
    <col min="15844" max="16092" width="9.109375" style="3435"/>
    <col min="16093" max="16093" width="5.109375" style="3435" customWidth="1"/>
    <col min="16094" max="16094" width="32.109375" style="3435" customWidth="1"/>
    <col min="16095" max="16095" width="14.88671875" style="3435" customWidth="1"/>
    <col min="16096" max="16096" width="16.44140625" style="3435" customWidth="1"/>
    <col min="16097" max="16097" width="15.44140625" style="3435" customWidth="1"/>
    <col min="16098" max="16098" width="9.109375" style="3435" customWidth="1"/>
    <col min="16099" max="16099" width="6.109375" style="3435" customWidth="1"/>
    <col min="16100" max="16384" width="9.109375" style="3435"/>
  </cols>
  <sheetData>
    <row r="1" spans="1:8" s="1140" customFormat="1" ht="13.8">
      <c r="A1" s="14414" t="s">
        <v>1801</v>
      </c>
      <c r="B1" s="14414"/>
      <c r="C1" s="14414"/>
      <c r="D1" s="14414"/>
      <c r="E1" s="14414"/>
      <c r="F1" s="14414"/>
      <c r="G1" s="14414"/>
      <c r="H1" s="14414"/>
    </row>
    <row r="2" spans="1:8" s="1140" customFormat="1" ht="13.8">
      <c r="A2" s="3374"/>
      <c r="B2" s="3374"/>
      <c r="C2" s="3351"/>
      <c r="D2" s="3522"/>
      <c r="E2" s="3374"/>
      <c r="F2" s="3374"/>
      <c r="G2" s="3374"/>
      <c r="H2" s="3374"/>
    </row>
    <row r="3" spans="1:8" s="487" customFormat="1" ht="13.8">
      <c r="A3" s="2538" t="s">
        <v>2</v>
      </c>
      <c r="B3" s="3350"/>
      <c r="C3" s="1086"/>
      <c r="D3" s="1062" t="s">
        <v>1470</v>
      </c>
      <c r="E3" s="3350"/>
      <c r="F3" s="3434"/>
    </row>
    <row r="4" spans="1:8" s="1140" customFormat="1" ht="13.8">
      <c r="A4" s="14415" t="s">
        <v>9347</v>
      </c>
      <c r="B4" s="14415"/>
      <c r="C4" s="14415"/>
      <c r="D4" s="14415"/>
      <c r="E4" s="14415"/>
      <c r="F4" s="14415"/>
      <c r="G4" s="14415"/>
      <c r="H4" s="14415"/>
    </row>
    <row r="5" spans="1:8">
      <c r="A5" s="3354"/>
      <c r="B5" s="3354"/>
    </row>
    <row r="6" spans="1:8" s="3355" customFormat="1" ht="17.25" customHeight="1">
      <c r="A6" s="3355" t="s">
        <v>2059</v>
      </c>
      <c r="C6" s="3437"/>
      <c r="D6" s="3438"/>
      <c r="E6" s="3439"/>
      <c r="F6" s="3357"/>
      <c r="G6" s="3435"/>
      <c r="H6" s="3435"/>
    </row>
    <row r="7" spans="1:8" ht="84" customHeight="1">
      <c r="A7" s="14416" t="s">
        <v>6519</v>
      </c>
      <c r="B7" s="14416"/>
      <c r="C7" s="14416"/>
      <c r="D7" s="14416"/>
      <c r="E7" s="14416"/>
      <c r="F7" s="14416"/>
      <c r="G7" s="14416"/>
      <c r="H7" s="14416"/>
    </row>
    <row r="8" spans="1:8" ht="44.25" customHeight="1">
      <c r="A8" s="14416" t="s">
        <v>6520</v>
      </c>
      <c r="B8" s="14416"/>
      <c r="C8" s="14416"/>
      <c r="D8" s="14416"/>
      <c r="E8" s="14416"/>
      <c r="F8" s="14416"/>
      <c r="G8" s="14416"/>
      <c r="H8" s="14416"/>
    </row>
    <row r="9" spans="1:8" ht="13.5" customHeight="1">
      <c r="A9" s="3440"/>
      <c r="B9" s="3440"/>
      <c r="C9" s="2599"/>
      <c r="D9" s="3523"/>
      <c r="E9" s="3440"/>
      <c r="F9" s="3441"/>
      <c r="G9" s="3440"/>
      <c r="H9" s="3440"/>
    </row>
    <row r="10" spans="1:8" s="3355" customFormat="1" ht="18.75" customHeight="1">
      <c r="A10" s="14417" t="s">
        <v>2556</v>
      </c>
      <c r="B10" s="14417"/>
      <c r="C10" s="14417"/>
      <c r="D10" s="14417"/>
      <c r="E10" s="14417"/>
      <c r="F10" s="14417"/>
      <c r="G10" s="14417"/>
      <c r="H10" s="14417"/>
    </row>
    <row r="11" spans="1:8" ht="39.75" customHeight="1">
      <c r="A11" s="3356" t="s">
        <v>2090</v>
      </c>
      <c r="B11" s="14418" t="s">
        <v>6523</v>
      </c>
      <c r="C11" s="14418"/>
      <c r="D11" s="14418"/>
      <c r="E11" s="14418"/>
      <c r="F11" s="14418"/>
      <c r="G11" s="14418"/>
      <c r="H11" s="14418"/>
    </row>
    <row r="12" spans="1:8" s="3355" customFormat="1" ht="27.75" customHeight="1">
      <c r="A12" s="3356" t="s">
        <v>2091</v>
      </c>
      <c r="B12" s="14418" t="s">
        <v>2557</v>
      </c>
      <c r="C12" s="14418"/>
      <c r="D12" s="14418"/>
      <c r="E12" s="14418"/>
      <c r="F12" s="14418"/>
      <c r="G12" s="14418"/>
      <c r="H12" s="14418"/>
    </row>
    <row r="13" spans="1:8" ht="30" customHeight="1">
      <c r="A13" s="3356" t="s">
        <v>2092</v>
      </c>
      <c r="B13" s="14418" t="s">
        <v>6522</v>
      </c>
      <c r="C13" s="14418"/>
      <c r="D13" s="14418"/>
      <c r="E13" s="14418"/>
      <c r="F13" s="14418"/>
      <c r="G13" s="14418"/>
      <c r="H13" s="14418"/>
    </row>
    <row r="14" spans="1:8" ht="28.5" customHeight="1">
      <c r="A14" s="3356" t="s">
        <v>2094</v>
      </c>
      <c r="B14" s="14418" t="s">
        <v>6521</v>
      </c>
      <c r="C14" s="14418"/>
      <c r="D14" s="14418"/>
      <c r="E14" s="14418"/>
      <c r="F14" s="14418"/>
      <c r="G14" s="14418"/>
      <c r="H14" s="14418"/>
    </row>
    <row r="15" spans="1:8" ht="15.75" customHeight="1">
      <c r="A15" s="3356"/>
      <c r="B15" s="3442"/>
      <c r="C15" s="2599"/>
      <c r="D15" s="3524"/>
      <c r="E15" s="3442"/>
      <c r="F15" s="3441"/>
      <c r="G15" s="3442"/>
      <c r="H15" s="3442"/>
    </row>
    <row r="16" spans="1:8" s="3355" customFormat="1" ht="15" customHeight="1">
      <c r="A16" s="3355" t="s">
        <v>2558</v>
      </c>
      <c r="C16" s="3436"/>
      <c r="D16" s="3443"/>
      <c r="E16" s="3444"/>
      <c r="F16" s="3445"/>
      <c r="G16" s="3436"/>
      <c r="H16" s="3436"/>
    </row>
    <row r="17" spans="1:8" ht="5.25" customHeight="1" thickBot="1"/>
    <row r="18" spans="1:8" s="3363" customFormat="1" ht="25.5" customHeight="1">
      <c r="A18" s="14399" t="s">
        <v>2056</v>
      </c>
      <c r="B18" s="3359"/>
      <c r="C18" s="3360" t="s">
        <v>4593</v>
      </c>
      <c r="D18" s="3525" t="s">
        <v>1736</v>
      </c>
      <c r="E18" s="3362" t="s">
        <v>1787</v>
      </c>
      <c r="F18" s="3361" t="s">
        <v>1764</v>
      </c>
      <c r="G18" s="14401" t="s">
        <v>1739</v>
      </c>
      <c r="H18" s="14402"/>
    </row>
    <row r="19" spans="1:8" s="3363" customFormat="1" ht="15.75" customHeight="1" thickBot="1">
      <c r="A19" s="14400"/>
      <c r="B19" s="3375"/>
      <c r="C19" s="3364" t="s">
        <v>1762</v>
      </c>
      <c r="D19" s="3526"/>
      <c r="E19" s="3365" t="s">
        <v>1804</v>
      </c>
      <c r="F19" s="3358"/>
      <c r="G19" s="14403">
        <v>-6</v>
      </c>
      <c r="H19" s="14404"/>
    </row>
    <row r="20" spans="1:8" s="3363" customFormat="1" ht="12.6" thickBot="1">
      <c r="A20" s="3358">
        <v>1</v>
      </c>
      <c r="B20" s="3446"/>
      <c r="C20" s="3376">
        <v>2</v>
      </c>
      <c r="D20" s="3552">
        <v>3</v>
      </c>
      <c r="E20" s="3365">
        <v>4</v>
      </c>
      <c r="F20" s="3365">
        <v>5</v>
      </c>
      <c r="G20" s="3365" t="s">
        <v>1789</v>
      </c>
      <c r="H20" s="3365" t="s">
        <v>1790</v>
      </c>
    </row>
    <row r="21" spans="1:8" ht="15.75" customHeight="1">
      <c r="A21" s="14419"/>
      <c r="B21" s="3447" t="s">
        <v>3286</v>
      </c>
      <c r="C21" s="3448"/>
      <c r="D21" s="3527"/>
      <c r="E21" s="3450"/>
      <c r="F21" s="3449"/>
      <c r="G21" s="3449"/>
      <c r="H21" s="3449"/>
    </row>
    <row r="22" spans="1:8" ht="34.5" customHeight="1">
      <c r="A22" s="14407"/>
      <c r="B22" s="3451"/>
      <c r="C22" s="14420" t="s">
        <v>6524</v>
      </c>
      <c r="D22" s="3528"/>
      <c r="E22" s="3453" t="s">
        <v>9260</v>
      </c>
      <c r="F22" s="3452"/>
      <c r="G22" s="3452"/>
      <c r="H22" s="3452"/>
    </row>
    <row r="23" spans="1:8" ht="38.25" customHeight="1">
      <c r="A23" s="14407"/>
      <c r="B23" s="3451"/>
      <c r="C23" s="14420"/>
      <c r="D23" s="3528"/>
      <c r="E23" s="3453" t="s">
        <v>9261</v>
      </c>
      <c r="F23" s="3452"/>
      <c r="G23" s="3452"/>
      <c r="H23" s="3452"/>
    </row>
    <row r="24" spans="1:8" ht="36.75" customHeight="1">
      <c r="A24" s="3454"/>
      <c r="B24" s="3451"/>
      <c r="C24" s="14420"/>
      <c r="D24" s="3528"/>
      <c r="E24" s="3453" t="s">
        <v>9267</v>
      </c>
      <c r="F24" s="3452"/>
      <c r="G24" s="3452"/>
      <c r="H24" s="3452"/>
    </row>
    <row r="25" spans="1:8" s="3460" customFormat="1" ht="19.5" customHeight="1">
      <c r="A25" s="3455"/>
      <c r="B25" s="3456" t="s">
        <v>9268</v>
      </c>
      <c r="C25" s="3457" t="s">
        <v>6525</v>
      </c>
      <c r="D25" s="3529"/>
      <c r="E25" s="3459"/>
      <c r="F25" s="3458"/>
      <c r="G25" s="3459"/>
      <c r="H25" s="3459"/>
    </row>
    <row r="26" spans="1:8" s="3438" customFormat="1" ht="39.75" customHeight="1">
      <c r="A26" s="3454"/>
      <c r="B26" s="3461"/>
      <c r="C26" s="3462" t="s">
        <v>9322</v>
      </c>
      <c r="D26" s="3530"/>
      <c r="E26" s="3464" t="s">
        <v>6526</v>
      </c>
      <c r="F26" s="3463"/>
      <c r="G26" s="3464"/>
      <c r="H26" s="3464"/>
    </row>
    <row r="27" spans="1:8" s="3438" customFormat="1" ht="18" customHeight="1">
      <c r="A27" s="3454"/>
      <c r="B27" s="3461"/>
      <c r="C27" s="14421" t="s">
        <v>9323</v>
      </c>
      <c r="D27" s="14422">
        <v>400000</v>
      </c>
      <c r="E27" s="14405" t="s">
        <v>6527</v>
      </c>
      <c r="F27" s="14410">
        <v>5</v>
      </c>
      <c r="G27" s="14405" t="s">
        <v>1814</v>
      </c>
      <c r="H27" s="14405" t="s">
        <v>1743</v>
      </c>
    </row>
    <row r="28" spans="1:8" s="3438" customFormat="1" ht="9" customHeight="1">
      <c r="A28" s="3454"/>
      <c r="B28" s="3461"/>
      <c r="C28" s="14421"/>
      <c r="D28" s="14422"/>
      <c r="E28" s="14405"/>
      <c r="F28" s="14410"/>
      <c r="G28" s="14405"/>
      <c r="H28" s="14405"/>
    </row>
    <row r="29" spans="1:8" s="3438" customFormat="1" ht="18" customHeight="1">
      <c r="A29" s="3454"/>
      <c r="B29" s="3461"/>
      <c r="C29" s="14421" t="s">
        <v>9324</v>
      </c>
      <c r="D29" s="14422">
        <v>985000</v>
      </c>
      <c r="E29" s="14405" t="s">
        <v>6528</v>
      </c>
      <c r="F29" s="14410">
        <v>1</v>
      </c>
      <c r="G29" s="14405" t="s">
        <v>1742</v>
      </c>
      <c r="H29" s="14405" t="s">
        <v>1742</v>
      </c>
    </row>
    <row r="30" spans="1:8" s="3438" customFormat="1" ht="8.25" customHeight="1">
      <c r="A30" s="3454"/>
      <c r="B30" s="3461"/>
      <c r="C30" s="14421"/>
      <c r="D30" s="14422"/>
      <c r="E30" s="14405"/>
      <c r="F30" s="14410"/>
      <c r="G30" s="14405"/>
      <c r="H30" s="14405"/>
    </row>
    <row r="31" spans="1:8" s="3438" customFormat="1" ht="27" customHeight="1">
      <c r="A31" s="3454"/>
      <c r="B31" s="3461"/>
      <c r="C31" s="3465" t="s">
        <v>9325</v>
      </c>
      <c r="D31" s="3530"/>
      <c r="E31" s="3464" t="s">
        <v>6529</v>
      </c>
      <c r="F31" s="3463">
        <v>4</v>
      </c>
      <c r="G31" s="3464"/>
      <c r="H31" s="3464"/>
    </row>
    <row r="32" spans="1:8" s="3438" customFormat="1" ht="7.5" customHeight="1">
      <c r="A32" s="14407"/>
      <c r="B32" s="3461"/>
      <c r="C32" s="14420" t="s">
        <v>9262</v>
      </c>
      <c r="D32" s="14409">
        <v>60000</v>
      </c>
      <c r="E32" s="14405" t="s">
        <v>6530</v>
      </c>
      <c r="F32" s="14423">
        <v>10000</v>
      </c>
      <c r="G32" s="14405" t="s">
        <v>1740</v>
      </c>
      <c r="H32" s="14405"/>
    </row>
    <row r="33" spans="1:8" s="3438" customFormat="1" ht="5.25" customHeight="1">
      <c r="A33" s="14407"/>
      <c r="B33" s="3461"/>
      <c r="C33" s="14420"/>
      <c r="D33" s="14409"/>
      <c r="E33" s="14405"/>
      <c r="F33" s="14423"/>
      <c r="G33" s="14405"/>
      <c r="H33" s="14405"/>
    </row>
    <row r="34" spans="1:8" s="3438" customFormat="1" ht="7.5" customHeight="1">
      <c r="A34" s="14407"/>
      <c r="B34" s="3461"/>
      <c r="C34" s="14420" t="s">
        <v>9263</v>
      </c>
      <c r="D34" s="14409">
        <v>60000</v>
      </c>
      <c r="E34" s="14405" t="s">
        <v>6530</v>
      </c>
      <c r="F34" s="14423">
        <v>1500</v>
      </c>
      <c r="G34" s="14405" t="s">
        <v>1740</v>
      </c>
      <c r="H34" s="14405"/>
    </row>
    <row r="35" spans="1:8" s="3438" customFormat="1" ht="9" customHeight="1">
      <c r="A35" s="14407"/>
      <c r="B35" s="3461"/>
      <c r="C35" s="14420"/>
      <c r="D35" s="14409"/>
      <c r="E35" s="14405"/>
      <c r="F35" s="14423"/>
      <c r="G35" s="14405"/>
      <c r="H35" s="14405"/>
    </row>
    <row r="36" spans="1:8" s="3357" customFormat="1" ht="12" customHeight="1">
      <c r="A36" s="14407"/>
      <c r="B36" s="3466"/>
      <c r="C36" s="3467" t="s">
        <v>9264</v>
      </c>
      <c r="D36" s="3531">
        <v>350000</v>
      </c>
      <c r="E36" s="3464" t="s">
        <v>6531</v>
      </c>
      <c r="F36" s="3463">
        <v>1</v>
      </c>
      <c r="G36" s="3464" t="s">
        <v>1748</v>
      </c>
      <c r="H36" s="3464"/>
    </row>
    <row r="37" spans="1:8" ht="11.25" customHeight="1">
      <c r="A37" s="3454"/>
      <c r="B37" s="3451"/>
      <c r="C37" s="14420" t="s">
        <v>9265</v>
      </c>
      <c r="D37" s="14409">
        <v>20000</v>
      </c>
      <c r="E37" s="14405" t="s">
        <v>6530</v>
      </c>
      <c r="F37" s="14423">
        <v>5000</v>
      </c>
      <c r="G37" s="14405" t="s">
        <v>1976</v>
      </c>
      <c r="H37" s="14405"/>
    </row>
    <row r="38" spans="1:8" ht="4.5" customHeight="1" thickBot="1">
      <c r="A38" s="3454"/>
      <c r="B38" s="3451"/>
      <c r="C38" s="14420"/>
      <c r="D38" s="14409"/>
      <c r="E38" s="14405"/>
      <c r="F38" s="14423"/>
      <c r="G38" s="14405"/>
      <c r="H38" s="14405"/>
    </row>
    <row r="39" spans="1:8" ht="18.75" customHeight="1">
      <c r="A39" s="3497"/>
      <c r="B39" s="3497"/>
      <c r="C39" s="3498"/>
      <c r="D39" s="3532"/>
      <c r="E39" s="3499"/>
      <c r="F39" s="3500"/>
      <c r="G39" s="3500"/>
      <c r="H39" s="3500"/>
    </row>
    <row r="40" spans="1:8" ht="13.5" customHeight="1">
      <c r="A40" s="3437"/>
      <c r="B40" s="3437"/>
      <c r="C40" s="2599"/>
      <c r="D40" s="3533"/>
      <c r="E40" s="3473"/>
      <c r="F40" s="3474"/>
      <c r="G40" s="3474"/>
      <c r="H40" s="3474"/>
    </row>
    <row r="41" spans="1:8" ht="13.5" customHeight="1">
      <c r="A41" s="3437"/>
      <c r="B41" s="3437"/>
      <c r="C41" s="2599"/>
      <c r="D41" s="3533"/>
      <c r="E41" s="3473"/>
      <c r="F41" s="3474"/>
      <c r="G41" s="3474"/>
      <c r="H41" s="3474"/>
    </row>
    <row r="42" spans="1:8" ht="13.5" customHeight="1">
      <c r="A42" s="3437"/>
      <c r="B42" s="3437"/>
      <c r="C42" s="2599"/>
      <c r="D42" s="3533"/>
      <c r="E42" s="3473"/>
      <c r="F42" s="3474"/>
      <c r="G42" s="3474"/>
      <c r="H42" s="3474"/>
    </row>
    <row r="43" spans="1:8" ht="13.5" customHeight="1">
      <c r="A43" s="3437"/>
      <c r="B43" s="3437"/>
      <c r="C43" s="2599"/>
      <c r="D43" s="3533"/>
      <c r="E43" s="3473"/>
      <c r="F43" s="3474"/>
      <c r="G43" s="3474"/>
      <c r="H43" s="3474"/>
    </row>
    <row r="44" spans="1:8" ht="16.5" customHeight="1" thickBot="1">
      <c r="A44" s="3437"/>
      <c r="B44" s="3437"/>
      <c r="C44" s="2599"/>
      <c r="D44" s="3533"/>
      <c r="E44" s="3473"/>
      <c r="F44" s="3474"/>
      <c r="G44" s="3474"/>
      <c r="H44" s="3474"/>
    </row>
    <row r="45" spans="1:8" s="3363" customFormat="1" ht="40.5" customHeight="1">
      <c r="A45" s="14399" t="s">
        <v>2056</v>
      </c>
      <c r="B45" s="3359"/>
      <c r="C45" s="3360" t="s">
        <v>4593</v>
      </c>
      <c r="D45" s="3525" t="s">
        <v>1736</v>
      </c>
      <c r="E45" s="3362" t="s">
        <v>1787</v>
      </c>
      <c r="F45" s="3361" t="s">
        <v>1764</v>
      </c>
      <c r="G45" s="14401" t="s">
        <v>1739</v>
      </c>
      <c r="H45" s="14402"/>
    </row>
    <row r="46" spans="1:8" s="3363" customFormat="1" ht="15.75" customHeight="1" thickBot="1">
      <c r="A46" s="14400"/>
      <c r="B46" s="3375"/>
      <c r="C46" s="3364" t="s">
        <v>1762</v>
      </c>
      <c r="D46" s="3526"/>
      <c r="E46" s="3365" t="s">
        <v>1804</v>
      </c>
      <c r="F46" s="3358"/>
      <c r="G46" s="14403">
        <v>-6</v>
      </c>
      <c r="H46" s="14404"/>
    </row>
    <row r="47" spans="1:8" s="3363" customFormat="1" ht="12.6" thickBot="1">
      <c r="A47" s="3358">
        <v>1</v>
      </c>
      <c r="B47" s="3446"/>
      <c r="C47" s="3364">
        <v>2</v>
      </c>
      <c r="D47" s="3552">
        <v>3</v>
      </c>
      <c r="E47" s="3365">
        <v>4</v>
      </c>
      <c r="F47" s="3365">
        <v>5</v>
      </c>
      <c r="G47" s="3365" t="s">
        <v>1789</v>
      </c>
      <c r="H47" s="3365" t="s">
        <v>1790</v>
      </c>
    </row>
    <row r="48" spans="1:8" ht="51.75" customHeight="1" thickBot="1">
      <c r="A48" s="3468"/>
      <c r="B48" s="3469"/>
      <c r="C48" s="3470" t="s">
        <v>9266</v>
      </c>
      <c r="D48" s="3534">
        <v>250000</v>
      </c>
      <c r="E48" s="3471" t="s">
        <v>9320</v>
      </c>
      <c r="F48" s="3472">
        <v>2</v>
      </c>
      <c r="G48" s="3471" t="s">
        <v>6532</v>
      </c>
      <c r="H48" s="3471"/>
    </row>
    <row r="49" spans="1:8" ht="29.25" customHeight="1">
      <c r="A49" s="3450"/>
      <c r="B49" s="3475"/>
      <c r="C49" s="3476" t="s">
        <v>9269</v>
      </c>
      <c r="D49" s="14412">
        <v>30000</v>
      </c>
      <c r="E49" s="3477" t="s">
        <v>6534</v>
      </c>
      <c r="F49" s="3478">
        <v>10</v>
      </c>
      <c r="G49" s="14413" t="s">
        <v>1748</v>
      </c>
      <c r="H49" s="14413" t="s">
        <v>1743</v>
      </c>
    </row>
    <row r="50" spans="1:8" ht="43.5" customHeight="1">
      <c r="A50" s="3454"/>
      <c r="B50" s="3451"/>
      <c r="C50" s="3467" t="s">
        <v>6533</v>
      </c>
      <c r="D50" s="14409"/>
      <c r="E50" s="3464" t="s">
        <v>6535</v>
      </c>
      <c r="F50" s="3463">
        <v>1</v>
      </c>
      <c r="G50" s="14405"/>
      <c r="H50" s="14405"/>
    </row>
    <row r="51" spans="1:8">
      <c r="A51" s="3454"/>
      <c r="B51" s="3451"/>
      <c r="C51" s="3479" t="s">
        <v>6536</v>
      </c>
      <c r="D51" s="3530"/>
      <c r="E51" s="3463"/>
      <c r="F51" s="3463"/>
      <c r="G51" s="3464"/>
      <c r="H51" s="3464"/>
    </row>
    <row r="52" spans="1:8" ht="17.25" customHeight="1">
      <c r="A52" s="3454"/>
      <c r="B52" s="3451"/>
      <c r="C52" s="14408" t="s">
        <v>9270</v>
      </c>
      <c r="D52" s="14409">
        <v>40000</v>
      </c>
      <c r="E52" s="3464" t="s">
        <v>6537</v>
      </c>
      <c r="F52" s="3463">
        <v>5</v>
      </c>
      <c r="G52" s="14410" t="s">
        <v>1814</v>
      </c>
      <c r="H52" s="14410" t="s">
        <v>1748</v>
      </c>
    </row>
    <row r="53" spans="1:8" ht="27" customHeight="1">
      <c r="A53" s="3454"/>
      <c r="B53" s="3451"/>
      <c r="C53" s="14408"/>
      <c r="D53" s="14409"/>
      <c r="E53" s="3464" t="s">
        <v>6538</v>
      </c>
      <c r="F53" s="3463">
        <v>1</v>
      </c>
      <c r="G53" s="14410"/>
      <c r="H53" s="14410"/>
    </row>
    <row r="54" spans="1:8" ht="70.5" customHeight="1">
      <c r="A54" s="14407"/>
      <c r="B54" s="3480"/>
      <c r="C54" s="3481" t="s">
        <v>9271</v>
      </c>
      <c r="D54" s="3530">
        <v>200000</v>
      </c>
      <c r="E54" s="3464" t="s">
        <v>6539</v>
      </c>
      <c r="F54" s="3463">
        <v>7</v>
      </c>
      <c r="G54" s="3463" t="s">
        <v>1814</v>
      </c>
      <c r="H54" s="3463" t="s">
        <v>1743</v>
      </c>
    </row>
    <row r="55" spans="1:8" ht="30.75" customHeight="1">
      <c r="A55" s="14407"/>
      <c r="B55" s="3451"/>
      <c r="C55" s="14408" t="s">
        <v>9272</v>
      </c>
      <c r="D55" s="14409">
        <v>20000</v>
      </c>
      <c r="E55" s="3464" t="s">
        <v>6540</v>
      </c>
      <c r="F55" s="3463">
        <v>3</v>
      </c>
      <c r="G55" s="14410" t="s">
        <v>9340</v>
      </c>
      <c r="H55" s="14410" t="s">
        <v>9341</v>
      </c>
    </row>
    <row r="56" spans="1:8" ht="34.5" customHeight="1">
      <c r="A56" s="14407"/>
      <c r="B56" s="3451"/>
      <c r="C56" s="14408"/>
      <c r="D56" s="14409"/>
      <c r="E56" s="3464" t="s">
        <v>6541</v>
      </c>
      <c r="F56" s="3463">
        <v>5</v>
      </c>
      <c r="G56" s="14410"/>
      <c r="H56" s="14410"/>
    </row>
    <row r="57" spans="1:8" ht="14.25" customHeight="1">
      <c r="A57" s="14407"/>
      <c r="B57" s="3451"/>
      <c r="C57" s="14408" t="s">
        <v>6542</v>
      </c>
      <c r="D57" s="3531" t="s">
        <v>6543</v>
      </c>
      <c r="E57" s="3464" t="s">
        <v>6544</v>
      </c>
      <c r="F57" s="3463">
        <v>1</v>
      </c>
      <c r="G57" s="14405" t="s">
        <v>1814</v>
      </c>
      <c r="H57" s="14405" t="s">
        <v>1748</v>
      </c>
    </row>
    <row r="58" spans="1:8" ht="21.75" customHeight="1">
      <c r="A58" s="14407"/>
      <c r="B58" s="3451"/>
      <c r="C58" s="14408"/>
      <c r="D58" s="3530">
        <v>50000</v>
      </c>
      <c r="E58" s="3464"/>
      <c r="F58" s="3463"/>
      <c r="G58" s="14405"/>
      <c r="H58" s="14405"/>
    </row>
    <row r="59" spans="1:8" ht="28.5" customHeight="1">
      <c r="A59" s="14407"/>
      <c r="B59" s="3451"/>
      <c r="C59" s="14408"/>
      <c r="D59" s="3535" t="s">
        <v>9321</v>
      </c>
      <c r="E59" s="3464" t="s">
        <v>6545</v>
      </c>
      <c r="F59" s="3463">
        <v>1</v>
      </c>
      <c r="G59" s="14405"/>
      <c r="H59" s="14405"/>
    </row>
    <row r="60" spans="1:8" ht="28.5" customHeight="1">
      <c r="A60" s="14407"/>
      <c r="B60" s="3451"/>
      <c r="C60" s="14408"/>
      <c r="D60" s="3535"/>
      <c r="E60" s="3464" t="s">
        <v>6546</v>
      </c>
      <c r="F60" s="3463">
        <v>1</v>
      </c>
      <c r="G60" s="14405"/>
      <c r="H60" s="14405"/>
    </row>
    <row r="61" spans="1:8" ht="42.75" customHeight="1">
      <c r="A61" s="3504"/>
      <c r="B61" s="3451"/>
      <c r="C61" s="14411"/>
      <c r="D61" s="3536"/>
      <c r="E61" s="3502" t="s">
        <v>6547</v>
      </c>
      <c r="F61" s="3505">
        <v>1</v>
      </c>
      <c r="G61" s="14406"/>
      <c r="H61" s="14406"/>
    </row>
    <row r="62" spans="1:8" ht="27.75" customHeight="1">
      <c r="A62" s="3504"/>
      <c r="B62" s="3451"/>
      <c r="C62" s="3506" t="s">
        <v>9273</v>
      </c>
      <c r="D62" s="3536" t="s">
        <v>275</v>
      </c>
      <c r="E62" s="3502"/>
      <c r="F62" s="3505"/>
      <c r="G62" s="3502"/>
      <c r="H62" s="3502"/>
    </row>
    <row r="63" spans="1:8" ht="18.75" customHeight="1">
      <c r="A63" s="3504"/>
      <c r="B63" s="3451"/>
      <c r="C63" s="3501" t="s">
        <v>9274</v>
      </c>
      <c r="D63" s="3537"/>
      <c r="E63" s="3504"/>
      <c r="F63" s="3507"/>
      <c r="G63" s="3504"/>
      <c r="H63" s="3504"/>
    </row>
    <row r="64" spans="1:8" ht="15" customHeight="1">
      <c r="A64" s="3504"/>
      <c r="B64" s="3451"/>
      <c r="C64" s="3501" t="s">
        <v>9275</v>
      </c>
      <c r="D64" s="3536">
        <v>40000</v>
      </c>
      <c r="E64" s="14425" t="s">
        <v>6548</v>
      </c>
      <c r="F64" s="3505">
        <v>3</v>
      </c>
      <c r="G64" s="3502" t="s">
        <v>1741</v>
      </c>
      <c r="H64" s="3502"/>
    </row>
    <row r="65" spans="1:8" ht="14.25" customHeight="1">
      <c r="A65" s="3504"/>
      <c r="B65" s="3451"/>
      <c r="C65" s="3501"/>
      <c r="D65" s="3536"/>
      <c r="E65" s="14425"/>
      <c r="F65" s="3505"/>
      <c r="G65" s="3502" t="s">
        <v>1744</v>
      </c>
      <c r="H65" s="3502"/>
    </row>
    <row r="66" spans="1:8">
      <c r="A66" s="3504"/>
      <c r="B66" s="3451"/>
      <c r="C66" s="3501"/>
      <c r="D66" s="3536"/>
      <c r="E66" s="14425"/>
      <c r="F66" s="3505"/>
      <c r="G66" s="3502" t="s">
        <v>1747</v>
      </c>
      <c r="H66" s="3502"/>
    </row>
    <row r="67" spans="1:8" ht="51" customHeight="1">
      <c r="A67" s="3504"/>
      <c r="B67" s="3451"/>
      <c r="C67" s="3501" t="s">
        <v>9276</v>
      </c>
      <c r="D67" s="3537">
        <v>30000</v>
      </c>
      <c r="E67" s="3502" t="s">
        <v>6549</v>
      </c>
      <c r="F67" s="3505">
        <v>16</v>
      </c>
      <c r="G67" s="3502" t="s">
        <v>1814</v>
      </c>
      <c r="H67" s="3502" t="s">
        <v>1743</v>
      </c>
    </row>
    <row r="68" spans="1:8" ht="53.25" customHeight="1">
      <c r="A68" s="3504"/>
      <c r="B68" s="3466"/>
      <c r="C68" s="3509"/>
      <c r="D68" s="3537"/>
      <c r="E68" s="3502" t="s">
        <v>6550</v>
      </c>
      <c r="F68" s="3505">
        <v>95</v>
      </c>
      <c r="G68" s="3502"/>
      <c r="H68" s="3502"/>
    </row>
    <row r="69" spans="1:8" ht="33.75" customHeight="1" thickBot="1">
      <c r="A69" s="3468"/>
      <c r="B69" s="3510"/>
      <c r="C69" s="3511" t="s">
        <v>4594</v>
      </c>
      <c r="D69" s="3538"/>
      <c r="E69" s="3471" t="s">
        <v>6551</v>
      </c>
      <c r="F69" s="3472">
        <v>12</v>
      </c>
      <c r="G69" s="3471"/>
      <c r="H69" s="3471"/>
    </row>
    <row r="70" spans="1:8" s="3437" customFormat="1" ht="18" customHeight="1">
      <c r="B70" s="3474"/>
      <c r="D70" s="3539"/>
      <c r="E70" s="3473"/>
      <c r="F70" s="3474"/>
      <c r="G70" s="3474"/>
      <c r="H70" s="3474"/>
    </row>
    <row r="71" spans="1:8" s="3437" customFormat="1" ht="18" customHeight="1">
      <c r="B71" s="3474"/>
      <c r="D71" s="3539"/>
      <c r="E71" s="3473"/>
      <c r="F71" s="3474"/>
      <c r="G71" s="3474"/>
      <c r="H71" s="3474"/>
    </row>
    <row r="72" spans="1:8" s="3437" customFormat="1" ht="18" customHeight="1">
      <c r="B72" s="3474"/>
      <c r="D72" s="3539"/>
      <c r="E72" s="3473"/>
      <c r="F72" s="3474"/>
      <c r="G72" s="3474"/>
      <c r="H72" s="3474"/>
    </row>
    <row r="73" spans="1:8" s="3437" customFormat="1" ht="18" customHeight="1">
      <c r="B73" s="3474"/>
      <c r="D73" s="3539"/>
      <c r="E73" s="3473"/>
      <c r="F73" s="3474"/>
      <c r="G73" s="3474"/>
      <c r="H73" s="3474"/>
    </row>
    <row r="74" spans="1:8" s="3437" customFormat="1" ht="18" customHeight="1">
      <c r="B74" s="3474"/>
      <c r="D74" s="3539"/>
      <c r="E74" s="3473"/>
      <c r="F74" s="3474"/>
      <c r="G74" s="3474"/>
      <c r="H74" s="3474"/>
    </row>
    <row r="75" spans="1:8" s="3437" customFormat="1" ht="18" customHeight="1">
      <c r="B75" s="3474"/>
      <c r="D75" s="3539"/>
      <c r="E75" s="3473"/>
      <c r="F75" s="3474"/>
      <c r="G75" s="3474"/>
      <c r="H75" s="3474"/>
    </row>
    <row r="76" spans="1:8" s="3437" customFormat="1" ht="18" customHeight="1" thickBot="1">
      <c r="B76" s="3474"/>
      <c r="D76" s="3539"/>
      <c r="E76" s="3473"/>
      <c r="F76" s="3474"/>
      <c r="G76" s="3474"/>
      <c r="H76" s="3474"/>
    </row>
    <row r="77" spans="1:8" s="3363" customFormat="1" ht="40.5" customHeight="1">
      <c r="A77" s="14399" t="s">
        <v>2056</v>
      </c>
      <c r="B77" s="3359"/>
      <c r="C77" s="3360" t="s">
        <v>4593</v>
      </c>
      <c r="D77" s="3525" t="s">
        <v>1736</v>
      </c>
      <c r="E77" s="3362" t="s">
        <v>1787</v>
      </c>
      <c r="F77" s="3361" t="s">
        <v>1764</v>
      </c>
      <c r="G77" s="14401" t="s">
        <v>1739</v>
      </c>
      <c r="H77" s="14402"/>
    </row>
    <row r="78" spans="1:8" s="3363" customFormat="1" ht="15.75" customHeight="1" thickBot="1">
      <c r="A78" s="14400"/>
      <c r="B78" s="3375"/>
      <c r="C78" s="3364" t="s">
        <v>1762</v>
      </c>
      <c r="D78" s="3526"/>
      <c r="E78" s="3365" t="s">
        <v>1804</v>
      </c>
      <c r="F78" s="3358"/>
      <c r="G78" s="14403">
        <v>-6</v>
      </c>
      <c r="H78" s="14404"/>
    </row>
    <row r="79" spans="1:8" s="3363" customFormat="1" ht="12.6" thickBot="1">
      <c r="A79" s="3358">
        <v>1</v>
      </c>
      <c r="B79" s="3446"/>
      <c r="C79" s="3364">
        <v>2</v>
      </c>
      <c r="D79" s="3552">
        <v>3</v>
      </c>
      <c r="E79" s="3365">
        <v>4</v>
      </c>
      <c r="F79" s="3365">
        <v>5</v>
      </c>
      <c r="G79" s="3365" t="s">
        <v>1789</v>
      </c>
      <c r="H79" s="3365" t="s">
        <v>1790</v>
      </c>
    </row>
    <row r="80" spans="1:8" ht="17.25" customHeight="1">
      <c r="A80" s="3454"/>
      <c r="B80" s="3483"/>
      <c r="C80" s="14420" t="s">
        <v>9277</v>
      </c>
      <c r="D80" s="14409">
        <v>400000</v>
      </c>
      <c r="E80" s="14405" t="s">
        <v>6552</v>
      </c>
      <c r="F80" s="14410">
        <v>6</v>
      </c>
      <c r="G80" s="14405"/>
      <c r="H80" s="14405" t="s">
        <v>9342</v>
      </c>
    </row>
    <row r="81" spans="1:8" ht="24.75" customHeight="1">
      <c r="A81" s="14407"/>
      <c r="B81" s="3466"/>
      <c r="C81" s="14420"/>
      <c r="D81" s="14409"/>
      <c r="E81" s="14405"/>
      <c r="F81" s="14410"/>
      <c r="G81" s="14405"/>
      <c r="H81" s="14405"/>
    </row>
    <row r="82" spans="1:8" ht="16.5" customHeight="1">
      <c r="A82" s="14407"/>
      <c r="B82" s="3466"/>
      <c r="C82" s="3479" t="s">
        <v>6553</v>
      </c>
      <c r="D82" s="3535"/>
      <c r="E82" s="3464"/>
      <c r="F82" s="3463"/>
      <c r="G82" s="3464"/>
      <c r="H82" s="3464"/>
    </row>
    <row r="83" spans="1:8" ht="40.5" customHeight="1">
      <c r="A83" s="14407"/>
      <c r="B83" s="3466"/>
      <c r="C83" s="3481" t="s">
        <v>9278</v>
      </c>
      <c r="D83" s="14424">
        <v>40000</v>
      </c>
      <c r="E83" s="3464" t="s">
        <v>6554</v>
      </c>
      <c r="F83" s="3463">
        <v>1</v>
      </c>
      <c r="G83" s="3464" t="s">
        <v>9343</v>
      </c>
      <c r="H83" s="3464" t="s">
        <v>9341</v>
      </c>
    </row>
    <row r="84" spans="1:8" ht="17.25" customHeight="1">
      <c r="A84" s="14407"/>
      <c r="B84" s="3466"/>
      <c r="C84" s="3467" t="s">
        <v>9279</v>
      </c>
      <c r="D84" s="14424"/>
      <c r="E84" s="3464" t="s">
        <v>6555</v>
      </c>
      <c r="F84" s="3463">
        <v>60</v>
      </c>
      <c r="G84" s="3454"/>
      <c r="H84" s="3464"/>
    </row>
    <row r="85" spans="1:8" s="3485" customFormat="1" ht="19.5" customHeight="1">
      <c r="A85" s="3464"/>
      <c r="B85" s="3484"/>
      <c r="C85" s="14420" t="s">
        <v>9280</v>
      </c>
      <c r="D85" s="3531"/>
      <c r="E85" s="3464" t="s">
        <v>6556</v>
      </c>
      <c r="F85" s="3463">
        <v>1</v>
      </c>
      <c r="G85" s="14405" t="s">
        <v>1740</v>
      </c>
      <c r="H85" s="14405"/>
    </row>
    <row r="86" spans="1:8" s="3485" customFormat="1" ht="18.75" customHeight="1">
      <c r="A86" s="3464"/>
      <c r="B86" s="3484"/>
      <c r="C86" s="14420"/>
      <c r="D86" s="3531">
        <v>100000</v>
      </c>
      <c r="E86" s="3464" t="s">
        <v>6557</v>
      </c>
      <c r="F86" s="3463">
        <v>35</v>
      </c>
      <c r="G86" s="14405"/>
      <c r="H86" s="14405"/>
    </row>
    <row r="87" spans="1:8" s="3485" customFormat="1">
      <c r="A87" s="3464"/>
      <c r="B87" s="3484"/>
      <c r="C87" s="14420"/>
      <c r="D87" s="3535"/>
      <c r="E87" s="3464" t="s">
        <v>6558</v>
      </c>
      <c r="F87" s="3463">
        <v>12</v>
      </c>
      <c r="G87" s="14405"/>
      <c r="H87" s="14405"/>
    </row>
    <row r="88" spans="1:8" s="2599" customFormat="1" ht="16.5" customHeight="1">
      <c r="A88" s="3464"/>
      <c r="B88" s="3484"/>
      <c r="C88" s="14420" t="s">
        <v>9281</v>
      </c>
      <c r="D88" s="14409">
        <v>25000</v>
      </c>
      <c r="E88" s="3464" t="s">
        <v>6559</v>
      </c>
      <c r="F88" s="3463">
        <v>1</v>
      </c>
      <c r="G88" s="14405" t="s">
        <v>1740</v>
      </c>
      <c r="H88" s="14405" t="s">
        <v>1743</v>
      </c>
    </row>
    <row r="89" spans="1:8" s="2599" customFormat="1" ht="16.5" customHeight="1">
      <c r="A89" s="3464"/>
      <c r="B89" s="3484"/>
      <c r="C89" s="14420"/>
      <c r="D89" s="14409"/>
      <c r="E89" s="3464" t="s">
        <v>6560</v>
      </c>
      <c r="F89" s="3463">
        <v>20</v>
      </c>
      <c r="G89" s="14405"/>
      <c r="H89" s="14405"/>
    </row>
    <row r="90" spans="1:8" s="2599" customFormat="1" ht="39.75" customHeight="1">
      <c r="A90" s="3464"/>
      <c r="B90" s="3484"/>
      <c r="C90" s="3481" t="s">
        <v>9282</v>
      </c>
      <c r="D90" s="3535"/>
      <c r="E90" s="3486" t="s">
        <v>6562</v>
      </c>
      <c r="F90" s="3463"/>
      <c r="G90" s="3464" t="s">
        <v>6565</v>
      </c>
      <c r="H90" s="3464"/>
    </row>
    <row r="91" spans="1:8" s="2599" customFormat="1" ht="29.25" customHeight="1">
      <c r="A91" s="3464"/>
      <c r="B91" s="3484"/>
      <c r="C91" s="3467" t="s">
        <v>9283</v>
      </c>
      <c r="D91" s="3531">
        <v>70000</v>
      </c>
      <c r="E91" s="3464" t="s">
        <v>6626</v>
      </c>
      <c r="F91" s="3463">
        <v>10</v>
      </c>
      <c r="G91" s="3464" t="s">
        <v>6566</v>
      </c>
      <c r="H91" s="3464" t="s">
        <v>1743</v>
      </c>
    </row>
    <row r="92" spans="1:8" s="2599" customFormat="1" ht="27" customHeight="1">
      <c r="A92" s="3502"/>
      <c r="B92" s="3484"/>
      <c r="C92" s="3501"/>
      <c r="D92" s="3540"/>
      <c r="E92" s="3502" t="s">
        <v>6563</v>
      </c>
      <c r="F92" s="3505">
        <v>1</v>
      </c>
      <c r="G92" s="3502"/>
      <c r="H92" s="3502"/>
    </row>
    <row r="93" spans="1:8" s="3363" customFormat="1" ht="30" customHeight="1">
      <c r="A93" s="3496"/>
      <c r="B93" s="3512"/>
      <c r="C93" s="3501" t="s">
        <v>6561</v>
      </c>
      <c r="D93" s="3541">
        <v>30000</v>
      </c>
      <c r="E93" s="3502" t="s">
        <v>6564</v>
      </c>
      <c r="F93" s="3505">
        <v>14</v>
      </c>
      <c r="G93" s="3502" t="s">
        <v>1814</v>
      </c>
      <c r="H93" s="3502" t="s">
        <v>1743</v>
      </c>
    </row>
    <row r="94" spans="1:8" s="3485" customFormat="1" ht="16.5" customHeight="1">
      <c r="A94" s="14406"/>
      <c r="B94" s="3480"/>
      <c r="C94" s="3506" t="s">
        <v>6567</v>
      </c>
      <c r="D94" s="14428">
        <v>80000</v>
      </c>
      <c r="E94" s="14406" t="s">
        <v>6568</v>
      </c>
      <c r="F94" s="14429">
        <v>6</v>
      </c>
      <c r="G94" s="14429" t="s">
        <v>1814</v>
      </c>
      <c r="H94" s="14429" t="s">
        <v>1819</v>
      </c>
    </row>
    <row r="95" spans="1:8" s="3485" customFormat="1" ht="18" customHeight="1">
      <c r="A95" s="14406"/>
      <c r="B95" s="3484"/>
      <c r="C95" s="3501" t="s">
        <v>9284</v>
      </c>
      <c r="D95" s="14428"/>
      <c r="E95" s="14406"/>
      <c r="F95" s="14429"/>
      <c r="G95" s="14429"/>
      <c r="H95" s="14429"/>
    </row>
    <row r="96" spans="1:8" s="3485" customFormat="1">
      <c r="A96" s="3502"/>
      <c r="B96" s="3484"/>
      <c r="C96" s="3513" t="s">
        <v>6569</v>
      </c>
      <c r="D96" s="3541"/>
      <c r="E96" s="3505"/>
      <c r="F96" s="3505"/>
      <c r="G96" s="3502"/>
      <c r="H96" s="3502"/>
    </row>
    <row r="97" spans="1:8" s="3485" customFormat="1" ht="42" customHeight="1">
      <c r="A97" s="3502"/>
      <c r="B97" s="3484"/>
      <c r="C97" s="3506" t="s">
        <v>9285</v>
      </c>
      <c r="D97" s="3536"/>
      <c r="E97" s="3514" t="s">
        <v>6570</v>
      </c>
      <c r="F97" s="3505"/>
      <c r="G97" s="3502" t="s">
        <v>6572</v>
      </c>
      <c r="H97" s="3502"/>
    </row>
    <row r="98" spans="1:8" s="3485" customFormat="1" ht="51.75" customHeight="1">
      <c r="A98" s="3502"/>
      <c r="B98" s="3484"/>
      <c r="C98" s="3501" t="s">
        <v>9286</v>
      </c>
      <c r="D98" s="3540">
        <v>10000</v>
      </c>
      <c r="E98" s="3502" t="s">
        <v>6571</v>
      </c>
      <c r="F98" s="3505">
        <v>1</v>
      </c>
      <c r="G98" s="3502"/>
      <c r="H98" s="3502"/>
    </row>
    <row r="99" spans="1:8" s="3485" customFormat="1" ht="32.25" customHeight="1">
      <c r="A99" s="3502"/>
      <c r="B99" s="3484"/>
      <c r="C99" s="3506" t="s">
        <v>9287</v>
      </c>
      <c r="D99" s="3536">
        <v>50000</v>
      </c>
      <c r="E99" s="3502" t="s">
        <v>6573</v>
      </c>
      <c r="F99" s="3505" t="s">
        <v>6579</v>
      </c>
      <c r="G99" s="3502" t="s">
        <v>1814</v>
      </c>
      <c r="H99" s="3502" t="s">
        <v>1743</v>
      </c>
    </row>
    <row r="100" spans="1:8" s="3485" customFormat="1" ht="28.5" customHeight="1">
      <c r="A100" s="3502"/>
      <c r="B100" s="3488"/>
      <c r="C100" s="3501"/>
      <c r="D100" s="3536"/>
      <c r="E100" s="3502" t="s">
        <v>6574</v>
      </c>
      <c r="F100" s="3505">
        <v>50</v>
      </c>
      <c r="G100" s="3502" t="s">
        <v>1814</v>
      </c>
      <c r="H100" s="3502" t="s">
        <v>1743</v>
      </c>
    </row>
    <row r="101" spans="1:8" s="2599" customFormat="1" ht="26.25" customHeight="1">
      <c r="A101" s="3502"/>
      <c r="B101" s="3488"/>
      <c r="C101" s="3501"/>
      <c r="D101" s="3536"/>
      <c r="E101" s="3502" t="s">
        <v>6575</v>
      </c>
      <c r="F101" s="3505">
        <v>30</v>
      </c>
      <c r="G101" s="3502" t="s">
        <v>1814</v>
      </c>
      <c r="H101" s="3502" t="s">
        <v>1743</v>
      </c>
    </row>
    <row r="102" spans="1:8" s="3485" customFormat="1" ht="39.75" customHeight="1">
      <c r="A102" s="3502"/>
      <c r="B102" s="3488"/>
      <c r="C102" s="3501"/>
      <c r="D102" s="3536"/>
      <c r="E102" s="3502" t="s">
        <v>6576</v>
      </c>
      <c r="F102" s="3505">
        <v>25</v>
      </c>
      <c r="G102" s="3502" t="s">
        <v>1814</v>
      </c>
      <c r="H102" s="3502" t="s">
        <v>1743</v>
      </c>
    </row>
    <row r="103" spans="1:8" s="3485" customFormat="1" ht="40.5" customHeight="1">
      <c r="A103" s="3502"/>
      <c r="B103" s="3488"/>
      <c r="C103" s="3501"/>
      <c r="D103" s="3536"/>
      <c r="E103" s="3502" t="s">
        <v>6577</v>
      </c>
      <c r="F103" s="3505">
        <v>20</v>
      </c>
      <c r="G103" s="3502" t="s">
        <v>1814</v>
      </c>
      <c r="H103" s="3502" t="s">
        <v>1743</v>
      </c>
    </row>
    <row r="104" spans="1:8" s="3485" customFormat="1" ht="41.25" customHeight="1" thickBot="1">
      <c r="A104" s="3471"/>
      <c r="B104" s="3515"/>
      <c r="C104" s="3508"/>
      <c r="D104" s="3542"/>
      <c r="E104" s="3471" t="s">
        <v>6578</v>
      </c>
      <c r="F104" s="3472">
        <v>10</v>
      </c>
      <c r="G104" s="3471" t="s">
        <v>1814</v>
      </c>
      <c r="H104" s="3471" t="s">
        <v>1743</v>
      </c>
    </row>
    <row r="105" spans="1:8" s="2599" customFormat="1" ht="19.5" customHeight="1">
      <c r="B105" s="3487"/>
      <c r="D105" s="3543"/>
      <c r="E105" s="3473"/>
      <c r="F105" s="3487"/>
    </row>
    <row r="106" spans="1:8" s="2599" customFormat="1" ht="19.5" customHeight="1">
      <c r="B106" s="3487"/>
      <c r="D106" s="3543"/>
      <c r="E106" s="3473"/>
      <c r="F106" s="3487"/>
    </row>
    <row r="107" spans="1:8" s="2599" customFormat="1" ht="19.5" customHeight="1">
      <c r="B107" s="3487"/>
      <c r="D107" s="3543"/>
      <c r="E107" s="3473"/>
      <c r="F107" s="3487"/>
    </row>
    <row r="108" spans="1:8" s="2599" customFormat="1" ht="19.5" customHeight="1">
      <c r="B108" s="3487"/>
      <c r="D108" s="3543"/>
      <c r="E108" s="3473"/>
      <c r="F108" s="3487"/>
    </row>
    <row r="109" spans="1:8" s="2599" customFormat="1" ht="19.5" customHeight="1">
      <c r="B109" s="3487"/>
      <c r="D109" s="3543"/>
      <c r="E109" s="3473"/>
      <c r="F109" s="3487"/>
    </row>
    <row r="110" spans="1:8" s="2599" customFormat="1" ht="19.5" customHeight="1" thickBot="1">
      <c r="B110" s="3487"/>
      <c r="D110" s="3543"/>
      <c r="E110" s="3473"/>
      <c r="F110" s="3487"/>
    </row>
    <row r="111" spans="1:8" s="3363" customFormat="1" ht="27" customHeight="1">
      <c r="A111" s="14399" t="s">
        <v>2056</v>
      </c>
      <c r="B111" s="3359"/>
      <c r="C111" s="3360" t="s">
        <v>4593</v>
      </c>
      <c r="D111" s="3525" t="s">
        <v>1736</v>
      </c>
      <c r="E111" s="3362" t="s">
        <v>1787</v>
      </c>
      <c r="F111" s="3361" t="s">
        <v>1764</v>
      </c>
      <c r="G111" s="14401" t="s">
        <v>1739</v>
      </c>
      <c r="H111" s="14402"/>
    </row>
    <row r="112" spans="1:8" s="3363" customFormat="1" ht="15.75" customHeight="1" thickBot="1">
      <c r="A112" s="14400"/>
      <c r="B112" s="3375"/>
      <c r="C112" s="3364" t="s">
        <v>1762</v>
      </c>
      <c r="D112" s="3526"/>
      <c r="E112" s="3365" t="s">
        <v>1804</v>
      </c>
      <c r="F112" s="3358"/>
      <c r="G112" s="14403">
        <v>-6</v>
      </c>
      <c r="H112" s="14404"/>
    </row>
    <row r="113" spans="1:8" s="3363" customFormat="1" ht="12.6" thickBot="1">
      <c r="A113" s="3358">
        <v>1</v>
      </c>
      <c r="B113" s="3446"/>
      <c r="C113" s="3364">
        <v>2</v>
      </c>
      <c r="D113" s="3552">
        <v>3</v>
      </c>
      <c r="E113" s="3365">
        <v>4</v>
      </c>
      <c r="F113" s="3365">
        <v>5</v>
      </c>
      <c r="G113" s="3365" t="s">
        <v>1789</v>
      </c>
      <c r="H113" s="3365" t="s">
        <v>1790</v>
      </c>
    </row>
    <row r="114" spans="1:8" s="3485" customFormat="1">
      <c r="A114" s="3464"/>
      <c r="B114" s="3488"/>
      <c r="C114" s="3479" t="s">
        <v>6580</v>
      </c>
      <c r="D114" s="3535"/>
      <c r="E114" s="3464"/>
      <c r="F114" s="3463"/>
      <c r="G114" s="3464"/>
      <c r="H114" s="3464"/>
    </row>
    <row r="115" spans="1:8" s="3485" customFormat="1" ht="24">
      <c r="A115" s="3464"/>
      <c r="B115" s="3488"/>
      <c r="C115" s="3481" t="s">
        <v>6581</v>
      </c>
      <c r="D115" s="3530"/>
      <c r="E115" s="3463"/>
      <c r="F115" s="3463"/>
      <c r="G115" s="3464"/>
      <c r="H115" s="3464"/>
    </row>
    <row r="116" spans="1:8" s="3485" customFormat="1" ht="36">
      <c r="A116" s="3464"/>
      <c r="B116" s="3488"/>
      <c r="C116" s="3481" t="s">
        <v>9288</v>
      </c>
      <c r="D116" s="3535"/>
      <c r="E116" s="3486" t="s">
        <v>6582</v>
      </c>
      <c r="F116" s="3463"/>
      <c r="G116" s="3464"/>
      <c r="H116" s="3464"/>
    </row>
    <row r="117" spans="1:8" s="3485" customFormat="1" ht="22.8">
      <c r="A117" s="3464"/>
      <c r="B117" s="3488"/>
      <c r="C117" s="3467" t="s">
        <v>9289</v>
      </c>
      <c r="D117" s="3531"/>
      <c r="E117" s="3464"/>
      <c r="F117" s="3463"/>
      <c r="G117" s="3464"/>
      <c r="H117" s="3464"/>
    </row>
    <row r="118" spans="1:8" s="3489" customFormat="1" ht="22.8">
      <c r="A118" s="14405"/>
      <c r="B118" s="3488"/>
      <c r="C118" s="3467" t="s">
        <v>9290</v>
      </c>
      <c r="D118" s="3531">
        <v>10000</v>
      </c>
      <c r="E118" s="3464" t="s">
        <v>6583</v>
      </c>
      <c r="F118" s="3463">
        <v>3</v>
      </c>
      <c r="G118" s="3464" t="s">
        <v>1740</v>
      </c>
      <c r="H118" s="3464" t="s">
        <v>1748</v>
      </c>
    </row>
    <row r="119" spans="1:8" s="3489" customFormat="1" ht="37.5" customHeight="1">
      <c r="A119" s="14405"/>
      <c r="B119" s="3488"/>
      <c r="C119" s="3467" t="s">
        <v>9291</v>
      </c>
      <c r="D119" s="3535">
        <f>483840-97929</f>
        <v>385911</v>
      </c>
      <c r="E119" s="3464" t="s">
        <v>6584</v>
      </c>
      <c r="F119" s="3463">
        <v>5</v>
      </c>
      <c r="G119" s="3464" t="s">
        <v>1814</v>
      </c>
      <c r="H119" s="3464" t="s">
        <v>1743</v>
      </c>
    </row>
    <row r="120" spans="1:8" ht="37.5" customHeight="1">
      <c r="A120" s="14405"/>
      <c r="B120" s="3488"/>
      <c r="C120" s="3467"/>
      <c r="D120" s="3535"/>
      <c r="E120" s="3464" t="s">
        <v>6585</v>
      </c>
      <c r="F120" s="3463">
        <v>2</v>
      </c>
      <c r="G120" s="3464" t="s">
        <v>1814</v>
      </c>
      <c r="H120" s="3464" t="s">
        <v>1743</v>
      </c>
    </row>
    <row r="121" spans="1:8" s="3485" customFormat="1">
      <c r="A121" s="3464"/>
      <c r="B121" s="3488"/>
      <c r="C121" s="3467"/>
      <c r="D121" s="3535"/>
      <c r="E121" s="3464" t="s">
        <v>6586</v>
      </c>
      <c r="F121" s="3463">
        <v>1</v>
      </c>
      <c r="G121" s="3464" t="s">
        <v>1814</v>
      </c>
      <c r="H121" s="3464" t="s">
        <v>1743</v>
      </c>
    </row>
    <row r="122" spans="1:8" s="3489" customFormat="1" ht="12">
      <c r="A122" s="14405"/>
      <c r="B122" s="3488"/>
      <c r="C122" s="3467"/>
      <c r="D122" s="3544"/>
      <c r="E122" s="3464"/>
      <c r="F122" s="1137"/>
      <c r="G122" s="3486"/>
      <c r="H122" s="3486"/>
    </row>
    <row r="123" spans="1:8" s="3485" customFormat="1" ht="24">
      <c r="A123" s="14405"/>
      <c r="B123" s="3488"/>
      <c r="C123" s="3481" t="s">
        <v>9292</v>
      </c>
      <c r="D123" s="3531"/>
      <c r="E123" s="3486" t="s">
        <v>6587</v>
      </c>
      <c r="F123" s="3463"/>
      <c r="G123" s="3464"/>
      <c r="H123" s="3464"/>
    </row>
    <row r="124" spans="1:8" s="3485" customFormat="1" ht="14.25" customHeight="1">
      <c r="A124" s="14405"/>
      <c r="B124" s="3484"/>
      <c r="C124" s="3467" t="s">
        <v>9293</v>
      </c>
      <c r="D124" s="3531"/>
      <c r="E124" s="3464"/>
      <c r="F124" s="3463"/>
      <c r="G124" s="3464"/>
      <c r="H124" s="3464"/>
    </row>
    <row r="125" spans="1:8" s="3485" customFormat="1" ht="22.8">
      <c r="A125" s="14405"/>
      <c r="B125" s="3484"/>
      <c r="C125" s="3467" t="s">
        <v>9294</v>
      </c>
      <c r="D125" s="3531">
        <v>40000</v>
      </c>
      <c r="E125" s="3464" t="s">
        <v>6588</v>
      </c>
      <c r="F125" s="3463"/>
      <c r="G125" s="3464"/>
      <c r="H125" s="3464"/>
    </row>
    <row r="126" spans="1:8" s="3485" customFormat="1">
      <c r="A126" s="3463"/>
      <c r="B126" s="3484"/>
      <c r="C126" s="3467"/>
      <c r="D126" s="3535"/>
      <c r="E126" s="3464" t="s">
        <v>6589</v>
      </c>
      <c r="F126" s="3463">
        <v>1</v>
      </c>
      <c r="G126" s="3464" t="s">
        <v>1747</v>
      </c>
      <c r="H126" s="3464" t="s">
        <v>1747</v>
      </c>
    </row>
    <row r="127" spans="1:8">
      <c r="A127" s="3452"/>
      <c r="B127" s="3466"/>
      <c r="C127" s="3467" t="s">
        <v>9295</v>
      </c>
      <c r="D127" s="3531"/>
      <c r="E127" s="3454"/>
      <c r="F127" s="3463"/>
      <c r="G127" s="3464"/>
      <c r="H127" s="3464"/>
    </row>
    <row r="128" spans="1:8" ht="22.8">
      <c r="A128" s="3452"/>
      <c r="B128" s="3466"/>
      <c r="C128" s="3467" t="s">
        <v>9296</v>
      </c>
      <c r="D128" s="3545"/>
      <c r="E128" s="3464" t="s">
        <v>6590</v>
      </c>
      <c r="F128" s="3463">
        <v>12</v>
      </c>
      <c r="G128" s="3464" t="s">
        <v>1814</v>
      </c>
      <c r="H128" s="3464" t="s">
        <v>1743</v>
      </c>
    </row>
    <row r="129" spans="1:8" ht="22.8">
      <c r="A129" s="3452"/>
      <c r="B129" s="3466"/>
      <c r="C129" s="3467" t="s">
        <v>9297</v>
      </c>
      <c r="D129" s="3531">
        <v>2000</v>
      </c>
      <c r="E129" s="3464" t="s">
        <v>6591</v>
      </c>
      <c r="F129" s="3463">
        <v>72</v>
      </c>
      <c r="G129" s="3464" t="s">
        <v>1814</v>
      </c>
      <c r="H129" s="3464" t="s">
        <v>1743</v>
      </c>
    </row>
    <row r="130" spans="1:8">
      <c r="A130" s="3452"/>
      <c r="B130" s="3466"/>
      <c r="C130" s="3467" t="s">
        <v>9298</v>
      </c>
      <c r="D130" s="3531"/>
      <c r="E130" s="3464" t="s">
        <v>6592</v>
      </c>
      <c r="F130" s="3463">
        <v>48</v>
      </c>
      <c r="G130" s="3464" t="s">
        <v>1814</v>
      </c>
      <c r="H130" s="3464" t="s">
        <v>1743</v>
      </c>
    </row>
    <row r="131" spans="1:8" ht="45.6">
      <c r="A131" s="3452"/>
      <c r="B131" s="3466"/>
      <c r="C131" s="3467" t="s">
        <v>9299</v>
      </c>
      <c r="D131" s="3531">
        <v>808260</v>
      </c>
      <c r="E131" s="3464" t="s">
        <v>6593</v>
      </c>
      <c r="F131" s="3463">
        <v>26</v>
      </c>
      <c r="G131" s="3464" t="s">
        <v>1808</v>
      </c>
      <c r="H131" s="3464" t="s">
        <v>1743</v>
      </c>
    </row>
    <row r="132" spans="1:8" ht="12">
      <c r="A132" s="3452"/>
      <c r="B132" s="3466"/>
      <c r="C132" s="3481" t="s">
        <v>9300</v>
      </c>
      <c r="D132" s="3531"/>
      <c r="E132" s="3464"/>
      <c r="F132" s="3463"/>
      <c r="G132" s="3464"/>
      <c r="H132" s="3464"/>
    </row>
    <row r="133" spans="1:8" ht="38.25" customHeight="1">
      <c r="A133" s="3452"/>
      <c r="B133" s="3466"/>
      <c r="C133" s="3467" t="s">
        <v>9301</v>
      </c>
      <c r="D133" s="3531">
        <v>40000</v>
      </c>
      <c r="E133" s="3464" t="s">
        <v>6594</v>
      </c>
      <c r="F133" s="3463">
        <v>1</v>
      </c>
      <c r="G133" s="3464"/>
      <c r="H133" s="3464" t="s">
        <v>1748</v>
      </c>
    </row>
    <row r="134" spans="1:8" ht="51.75" customHeight="1">
      <c r="A134" s="3452"/>
      <c r="B134" s="3466"/>
      <c r="C134" s="3467"/>
      <c r="D134" s="3531"/>
      <c r="E134" s="3464" t="s">
        <v>6595</v>
      </c>
      <c r="F134" s="3463">
        <v>1</v>
      </c>
      <c r="G134" s="3464"/>
      <c r="H134" s="3486"/>
    </row>
    <row r="135" spans="1:8" ht="31.5" customHeight="1">
      <c r="A135" s="3452"/>
      <c r="B135" s="3466"/>
      <c r="C135" s="3467" t="s">
        <v>9302</v>
      </c>
      <c r="D135" s="3531">
        <v>40000</v>
      </c>
      <c r="E135" s="3464" t="s">
        <v>6596</v>
      </c>
      <c r="F135" s="3463">
        <v>2</v>
      </c>
      <c r="G135" s="3464"/>
      <c r="H135" s="3464" t="s">
        <v>6600</v>
      </c>
    </row>
    <row r="136" spans="1:8" ht="29.25" customHeight="1">
      <c r="A136" s="3452"/>
      <c r="B136" s="3466"/>
      <c r="C136" s="3467"/>
      <c r="D136" s="3531"/>
      <c r="E136" s="3464" t="s">
        <v>6597</v>
      </c>
      <c r="F136" s="3463">
        <v>2</v>
      </c>
      <c r="G136" s="3464"/>
      <c r="H136" s="3486"/>
    </row>
    <row r="137" spans="1:8" ht="38.25" customHeight="1">
      <c r="A137" s="3452"/>
      <c r="B137" s="3466"/>
      <c r="C137" s="3482"/>
      <c r="D137" s="3531"/>
      <c r="E137" s="3464" t="s">
        <v>6598</v>
      </c>
      <c r="F137" s="3490">
        <v>1</v>
      </c>
      <c r="G137" s="3464"/>
      <c r="H137" s="3486"/>
    </row>
    <row r="138" spans="1:8">
      <c r="A138" s="3452"/>
      <c r="B138" s="3466"/>
      <c r="C138" s="3467" t="s">
        <v>9303</v>
      </c>
      <c r="D138" s="3531">
        <v>8000</v>
      </c>
      <c r="E138" s="3464" t="s">
        <v>6599</v>
      </c>
      <c r="F138" s="3463">
        <v>1</v>
      </c>
      <c r="G138" s="3464" t="s">
        <v>1814</v>
      </c>
      <c r="H138" s="3464" t="s">
        <v>1743</v>
      </c>
    </row>
    <row r="139" spans="1:8" ht="12">
      <c r="A139" s="3452"/>
      <c r="B139" s="3466"/>
      <c r="C139" s="3481" t="s">
        <v>9304</v>
      </c>
      <c r="D139" s="3531"/>
      <c r="E139" s="3464"/>
      <c r="F139" s="3463"/>
      <c r="G139" s="3486"/>
      <c r="H139" s="3486"/>
    </row>
    <row r="140" spans="1:8" ht="12">
      <c r="A140" s="3452"/>
      <c r="B140" s="3466"/>
      <c r="C140" s="3467" t="s">
        <v>9305</v>
      </c>
      <c r="D140" s="3531"/>
      <c r="E140" s="3464"/>
      <c r="F140" s="3463"/>
      <c r="G140" s="3486"/>
      <c r="H140" s="3486"/>
    </row>
    <row r="141" spans="1:8" ht="22.8">
      <c r="A141" s="3452"/>
      <c r="B141" s="3466"/>
      <c r="C141" s="3481" t="s">
        <v>1974</v>
      </c>
      <c r="D141" s="3531">
        <v>80000</v>
      </c>
      <c r="E141" s="3464" t="s">
        <v>6601</v>
      </c>
      <c r="F141" s="3490">
        <v>1</v>
      </c>
      <c r="G141" s="3464" t="s">
        <v>1897</v>
      </c>
      <c r="H141" s="3486"/>
    </row>
    <row r="142" spans="1:8" ht="12">
      <c r="A142" s="3452"/>
      <c r="B142" s="3466"/>
      <c r="C142" s="3467" t="s">
        <v>9306</v>
      </c>
      <c r="D142" s="3531"/>
      <c r="E142" s="3464"/>
      <c r="F142" s="3463"/>
      <c r="G142" s="3464"/>
      <c r="H142" s="3486"/>
    </row>
    <row r="143" spans="1:8" ht="22.8">
      <c r="A143" s="3452"/>
      <c r="B143" s="3466"/>
      <c r="C143" s="3467" t="s">
        <v>9307</v>
      </c>
      <c r="D143" s="3531">
        <v>20200</v>
      </c>
      <c r="E143" s="3464" t="s">
        <v>6602</v>
      </c>
      <c r="F143" s="3463" t="s">
        <v>6608</v>
      </c>
      <c r="G143" s="3464" t="s">
        <v>1826</v>
      </c>
      <c r="H143" s="3486"/>
    </row>
    <row r="144" spans="1:8" ht="23.4" thickBot="1">
      <c r="A144" s="3452"/>
      <c r="B144" s="3466"/>
      <c r="C144" s="3467" t="s">
        <v>9308</v>
      </c>
      <c r="D144" s="3531">
        <v>80000</v>
      </c>
      <c r="E144" s="3464" t="s">
        <v>6603</v>
      </c>
      <c r="F144" s="3463">
        <v>2</v>
      </c>
      <c r="G144" s="3464" t="s">
        <v>1976</v>
      </c>
      <c r="H144" s="3486"/>
    </row>
    <row r="145" spans="1:8" ht="12">
      <c r="A145" s="3500"/>
      <c r="B145" s="3500"/>
      <c r="C145" s="3498"/>
      <c r="D145" s="3546"/>
      <c r="E145" s="3498"/>
      <c r="F145" s="3516"/>
      <c r="G145" s="3498"/>
      <c r="H145" s="3517"/>
    </row>
    <row r="146" spans="1:8" ht="12">
      <c r="A146" s="3474"/>
      <c r="B146" s="3474"/>
      <c r="C146" s="2599"/>
      <c r="D146" s="3547"/>
      <c r="E146" s="2599"/>
      <c r="F146" s="3487"/>
      <c r="G146" s="2599"/>
      <c r="H146" s="3503"/>
    </row>
    <row r="147" spans="1:8" ht="12">
      <c r="A147" s="3474"/>
      <c r="B147" s="3474"/>
      <c r="C147" s="2599"/>
      <c r="D147" s="3547"/>
      <c r="E147" s="2599"/>
      <c r="F147" s="3487"/>
      <c r="G147" s="2599"/>
      <c r="H147" s="3503"/>
    </row>
    <row r="148" spans="1:8" ht="12">
      <c r="A148" s="3474"/>
      <c r="B148" s="3474"/>
      <c r="C148" s="2599"/>
      <c r="D148" s="3547"/>
      <c r="E148" s="2599"/>
      <c r="F148" s="3487"/>
      <c r="G148" s="2599"/>
      <c r="H148" s="3503"/>
    </row>
    <row r="149" spans="1:8" ht="12.6" thickBot="1">
      <c r="A149" s="3518"/>
      <c r="B149" s="3518"/>
      <c r="C149" s="3519"/>
      <c r="D149" s="3548"/>
      <c r="E149" s="3519"/>
      <c r="F149" s="3520"/>
      <c r="G149" s="3519"/>
      <c r="H149" s="3521"/>
    </row>
    <row r="150" spans="1:8" s="3363" customFormat="1" ht="26.25" customHeight="1">
      <c r="A150" s="14399" t="s">
        <v>2056</v>
      </c>
      <c r="B150" s="3359"/>
      <c r="C150" s="3360" t="s">
        <v>4593</v>
      </c>
      <c r="D150" s="3525" t="s">
        <v>1736</v>
      </c>
      <c r="E150" s="3362" t="s">
        <v>1787</v>
      </c>
      <c r="F150" s="3361" t="s">
        <v>1764</v>
      </c>
      <c r="G150" s="14401" t="s">
        <v>1739</v>
      </c>
      <c r="H150" s="14402"/>
    </row>
    <row r="151" spans="1:8" s="3363" customFormat="1" ht="15" customHeight="1" thickBot="1">
      <c r="A151" s="14400"/>
      <c r="B151" s="3375"/>
      <c r="C151" s="3364" t="s">
        <v>1762</v>
      </c>
      <c r="D151" s="3526"/>
      <c r="E151" s="3365" t="s">
        <v>1804</v>
      </c>
      <c r="F151" s="3358"/>
      <c r="G151" s="14403"/>
      <c r="H151" s="14404"/>
    </row>
    <row r="152" spans="1:8" ht="27.75" customHeight="1">
      <c r="A152" s="3452"/>
      <c r="B152" s="3466"/>
      <c r="C152" s="3467" t="s">
        <v>9309</v>
      </c>
      <c r="D152" s="3531">
        <v>100000</v>
      </c>
      <c r="E152" s="3464" t="s">
        <v>6604</v>
      </c>
      <c r="F152" s="3463">
        <v>2</v>
      </c>
      <c r="G152" s="3464" t="s">
        <v>1976</v>
      </c>
      <c r="H152" s="3486"/>
    </row>
    <row r="153" spans="1:8" ht="27" customHeight="1">
      <c r="A153" s="3452"/>
      <c r="B153" s="3466"/>
      <c r="C153" s="3467" t="s">
        <v>9310</v>
      </c>
      <c r="D153" s="3531">
        <v>16000</v>
      </c>
      <c r="E153" s="3464" t="s">
        <v>6605</v>
      </c>
      <c r="F153" s="3463">
        <v>1</v>
      </c>
      <c r="G153" s="3464" t="s">
        <v>1975</v>
      </c>
      <c r="H153" s="3486"/>
    </row>
    <row r="154" spans="1:8" ht="12">
      <c r="A154" s="3452"/>
      <c r="B154" s="3466"/>
      <c r="C154" s="3467" t="s">
        <v>9311</v>
      </c>
      <c r="D154" s="3531">
        <v>36000</v>
      </c>
      <c r="E154" s="3464" t="s">
        <v>6606</v>
      </c>
      <c r="F154" s="3463">
        <v>1</v>
      </c>
      <c r="G154" s="3464" t="s">
        <v>1975</v>
      </c>
      <c r="H154" s="3486"/>
    </row>
    <row r="155" spans="1:8" ht="12">
      <c r="A155" s="3452"/>
      <c r="B155" s="3466"/>
      <c r="C155" s="3467"/>
      <c r="D155" s="3545"/>
      <c r="E155" s="3453"/>
      <c r="F155" s="3463"/>
      <c r="G155" s="3464"/>
      <c r="H155" s="3486"/>
    </row>
    <row r="156" spans="1:8" ht="12">
      <c r="A156" s="3452"/>
      <c r="B156" s="3466"/>
      <c r="C156" s="3467" t="s">
        <v>9312</v>
      </c>
      <c r="D156" s="3531">
        <v>45000</v>
      </c>
      <c r="E156" s="3464" t="s">
        <v>6607</v>
      </c>
      <c r="F156" s="3463">
        <v>1</v>
      </c>
      <c r="G156" s="3464" t="s">
        <v>1740</v>
      </c>
      <c r="H156" s="3486"/>
    </row>
    <row r="157" spans="1:8" ht="12">
      <c r="A157" s="3452"/>
      <c r="B157" s="3466"/>
      <c r="C157" s="3467" t="s">
        <v>9344</v>
      </c>
      <c r="D157" s="3531"/>
      <c r="E157" s="3464"/>
      <c r="F157" s="3463"/>
      <c r="G157" s="14410" t="s">
        <v>1814</v>
      </c>
      <c r="H157" s="14410" t="s">
        <v>1743</v>
      </c>
    </row>
    <row r="158" spans="1:8" ht="21" customHeight="1">
      <c r="A158" s="3452"/>
      <c r="B158" s="3466"/>
      <c r="C158" s="3467" t="s">
        <v>9313</v>
      </c>
      <c r="D158" s="3531"/>
      <c r="E158" s="14426" t="s">
        <v>6611</v>
      </c>
      <c r="F158" s="3463">
        <v>75</v>
      </c>
      <c r="G158" s="14410"/>
      <c r="H158" s="14410"/>
    </row>
    <row r="159" spans="1:8">
      <c r="A159" s="3452"/>
      <c r="B159" s="3466"/>
      <c r="C159" s="3467" t="s">
        <v>6609</v>
      </c>
      <c r="D159" s="3531">
        <v>80000</v>
      </c>
      <c r="E159" s="14426"/>
      <c r="F159" s="3463"/>
      <c r="G159" s="14410"/>
      <c r="H159" s="14410"/>
    </row>
    <row r="160" spans="1:8">
      <c r="A160" s="3452"/>
      <c r="B160" s="3466"/>
      <c r="C160" s="3467" t="s">
        <v>6610</v>
      </c>
      <c r="D160" s="3531">
        <v>12000</v>
      </c>
      <c r="E160" s="14426"/>
      <c r="F160" s="3463"/>
      <c r="G160" s="14410"/>
      <c r="H160" s="14410"/>
    </row>
    <row r="161" spans="1:8" ht="18.75" customHeight="1">
      <c r="A161" s="3452"/>
      <c r="B161" s="3466"/>
      <c r="C161" s="3467" t="s">
        <v>9314</v>
      </c>
      <c r="D161" s="3531">
        <v>72000</v>
      </c>
      <c r="E161" s="14426" t="s">
        <v>6612</v>
      </c>
      <c r="F161" s="3463">
        <v>5</v>
      </c>
      <c r="G161" s="14410"/>
      <c r="H161" s="14410"/>
    </row>
    <row r="162" spans="1:8">
      <c r="A162" s="3452"/>
      <c r="B162" s="3466"/>
      <c r="C162" s="3467" t="s">
        <v>9315</v>
      </c>
      <c r="D162" s="3531">
        <v>6000</v>
      </c>
      <c r="E162" s="14426"/>
      <c r="F162" s="3463"/>
      <c r="G162" s="14410"/>
      <c r="H162" s="14410"/>
    </row>
    <row r="163" spans="1:8">
      <c r="A163" s="3452"/>
      <c r="B163" s="3466"/>
      <c r="C163" s="3467"/>
      <c r="D163" s="3545"/>
      <c r="E163" s="3464"/>
      <c r="F163" s="3463"/>
      <c r="G163" s="14410"/>
      <c r="H163" s="14410"/>
    </row>
    <row r="164" spans="1:8" ht="36">
      <c r="A164" s="3452"/>
      <c r="B164" s="3466"/>
      <c r="C164" s="3467" t="s">
        <v>9345</v>
      </c>
      <c r="D164" s="3535"/>
      <c r="E164" s="3464"/>
      <c r="F164" s="3463"/>
      <c r="G164" s="14410" t="s">
        <v>1814</v>
      </c>
      <c r="H164" s="14410" t="s">
        <v>1743</v>
      </c>
    </row>
    <row r="165" spans="1:8" ht="22.8">
      <c r="A165" s="3452"/>
      <c r="B165" s="3466"/>
      <c r="C165" s="3467" t="s">
        <v>9316</v>
      </c>
      <c r="D165" s="3531"/>
      <c r="E165" s="3464" t="s">
        <v>6613</v>
      </c>
      <c r="F165" s="3463">
        <v>9</v>
      </c>
      <c r="G165" s="14410"/>
      <c r="H165" s="14410"/>
    </row>
    <row r="166" spans="1:8">
      <c r="A166" s="3452"/>
      <c r="B166" s="3466"/>
      <c r="C166" s="3467" t="s">
        <v>9317</v>
      </c>
      <c r="D166" s="3531"/>
      <c r="E166" s="3464" t="s">
        <v>6614</v>
      </c>
      <c r="F166" s="3463">
        <v>1</v>
      </c>
      <c r="G166" s="14410"/>
      <c r="H166" s="14410"/>
    </row>
    <row r="167" spans="1:8" ht="22.8">
      <c r="A167" s="3452"/>
      <c r="B167" s="3466"/>
      <c r="C167" s="3467" t="s">
        <v>9318</v>
      </c>
      <c r="D167" s="3531"/>
      <c r="E167" s="3464" t="s">
        <v>6615</v>
      </c>
      <c r="F167" s="3463">
        <v>1</v>
      </c>
      <c r="G167" s="14410"/>
      <c r="H167" s="14410"/>
    </row>
    <row r="168" spans="1:8">
      <c r="A168" s="3452"/>
      <c r="B168" s="3466"/>
      <c r="C168" s="14420" t="s">
        <v>9346</v>
      </c>
      <c r="D168" s="3531"/>
      <c r="E168" s="14405" t="s">
        <v>6616</v>
      </c>
      <c r="F168" s="14427">
        <v>1</v>
      </c>
      <c r="G168" s="14410" t="s">
        <v>1814</v>
      </c>
      <c r="H168" s="14410" t="s">
        <v>1743</v>
      </c>
    </row>
    <row r="169" spans="1:8">
      <c r="A169" s="3452"/>
      <c r="B169" s="3466"/>
      <c r="C169" s="14420"/>
      <c r="D169" s="3531">
        <v>2000</v>
      </c>
      <c r="E169" s="14405"/>
      <c r="F169" s="14427"/>
      <c r="G169" s="14410"/>
      <c r="H169" s="14410"/>
    </row>
    <row r="170" spans="1:8">
      <c r="A170" s="3452"/>
      <c r="B170" s="3466"/>
      <c r="C170" s="14408" t="s">
        <v>9319</v>
      </c>
      <c r="D170" s="3531">
        <v>10000</v>
      </c>
      <c r="E170" s="3464" t="s">
        <v>6617</v>
      </c>
      <c r="F170" s="3490">
        <v>1</v>
      </c>
      <c r="G170" s="14405" t="s">
        <v>1814</v>
      </c>
      <c r="H170" s="14405" t="s">
        <v>1743</v>
      </c>
    </row>
    <row r="171" spans="1:8" ht="34.200000000000003">
      <c r="A171" s="3452"/>
      <c r="B171" s="3466"/>
      <c r="C171" s="14408"/>
      <c r="D171" s="3535"/>
      <c r="E171" s="3464" t="s">
        <v>6618</v>
      </c>
      <c r="F171" s="3463">
        <v>10</v>
      </c>
      <c r="G171" s="14405"/>
      <c r="H171" s="14405"/>
    </row>
    <row r="172" spans="1:8">
      <c r="A172" s="3452"/>
      <c r="B172" s="3466"/>
      <c r="C172" s="14408"/>
      <c r="D172" s="3535"/>
      <c r="E172" s="3464"/>
      <c r="F172" s="3454"/>
      <c r="G172" s="14405"/>
      <c r="H172" s="14405"/>
    </row>
    <row r="173" spans="1:8" ht="12.6" thickBot="1">
      <c r="A173" s="3491"/>
      <c r="B173" s="3492"/>
      <c r="C173" s="3493" t="s">
        <v>458</v>
      </c>
      <c r="D173" s="3549">
        <f>SUM(D152:D172,D115:D144,D80:D104,D48:D69,D21:D38)</f>
        <v>5233371</v>
      </c>
      <c r="E173" s="3472"/>
      <c r="F173" s="3472"/>
      <c r="G173" s="3471"/>
      <c r="H173" s="3471"/>
    </row>
    <row r="174" spans="1:8">
      <c r="D174" s="3550"/>
      <c r="E174" s="3435"/>
    </row>
    <row r="175" spans="1:8" hidden="1">
      <c r="A175" s="3494" t="s">
        <v>3483</v>
      </c>
      <c r="B175" s="3494"/>
      <c r="C175" s="3495" t="s">
        <v>1803</v>
      </c>
      <c r="D175" s="3551" t="s">
        <v>6619</v>
      </c>
      <c r="E175" s="3494"/>
      <c r="F175" s="3494" t="s">
        <v>6620</v>
      </c>
    </row>
    <row r="176" spans="1:8" hidden="1">
      <c r="A176" s="3494"/>
      <c r="B176" s="3494"/>
      <c r="C176" s="3495"/>
      <c r="D176" s="3551"/>
      <c r="E176" s="3494"/>
      <c r="F176" s="3494"/>
    </row>
    <row r="177" spans="1:6" hidden="1">
      <c r="A177" s="3494" t="s">
        <v>9</v>
      </c>
      <c r="B177" s="3494"/>
      <c r="C177" s="3495"/>
      <c r="D177" s="3551"/>
      <c r="E177" s="3494"/>
      <c r="F177" s="3494"/>
    </row>
    <row r="178" spans="1:6" hidden="1">
      <c r="A178" s="3494"/>
      <c r="B178" s="3494"/>
      <c r="C178" s="3495" t="s">
        <v>6625</v>
      </c>
      <c r="D178" s="3551"/>
      <c r="E178" s="3494" t="s">
        <v>6621</v>
      </c>
      <c r="F178" s="3494" t="s">
        <v>6622</v>
      </c>
    </row>
    <row r="179" spans="1:6" hidden="1">
      <c r="A179" s="3435"/>
      <c r="B179" s="3435"/>
      <c r="C179" s="3495" t="s">
        <v>6624</v>
      </c>
      <c r="D179" s="3550"/>
      <c r="E179" s="3494" t="s">
        <v>6623</v>
      </c>
      <c r="F179" s="3494" t="s">
        <v>911</v>
      </c>
    </row>
    <row r="180" spans="1:6" hidden="1">
      <c r="D180" s="3550"/>
      <c r="E180" s="3435"/>
    </row>
    <row r="181" spans="1:6">
      <c r="D181" s="3550"/>
      <c r="E181" s="3435"/>
    </row>
    <row r="182" spans="1:6">
      <c r="D182" s="3550">
        <f>D173-5233371</f>
        <v>0</v>
      </c>
      <c r="E182" s="3435"/>
    </row>
    <row r="183" spans="1:6">
      <c r="D183" s="3550"/>
      <c r="E183" s="3435"/>
    </row>
    <row r="184" spans="1:6">
      <c r="D184" s="3550"/>
      <c r="E184" s="3435"/>
    </row>
    <row r="185" spans="1:6">
      <c r="D185" s="3550"/>
      <c r="E185" s="3435"/>
    </row>
    <row r="186" spans="1:6">
      <c r="D186" s="3550"/>
      <c r="E186" s="3435"/>
    </row>
    <row r="187" spans="1:6">
      <c r="D187" s="3550"/>
      <c r="E187" s="3435"/>
    </row>
    <row r="188" spans="1:6">
      <c r="D188" s="3550"/>
      <c r="E188" s="3435"/>
    </row>
    <row r="189" spans="1:6">
      <c r="D189" s="3550"/>
      <c r="E189" s="3435"/>
    </row>
    <row r="190" spans="1:6">
      <c r="D190" s="3550"/>
      <c r="E190" s="3435"/>
    </row>
    <row r="191" spans="1:6">
      <c r="D191" s="3550"/>
      <c r="E191" s="3435"/>
    </row>
    <row r="192" spans="1:6">
      <c r="D192" s="3550"/>
      <c r="E192" s="3435"/>
    </row>
    <row r="193" spans="4:5">
      <c r="D193" s="3550"/>
      <c r="E193" s="3435"/>
    </row>
    <row r="194" spans="4:5">
      <c r="D194" s="3550"/>
      <c r="E194" s="3435"/>
    </row>
    <row r="195" spans="4:5">
      <c r="D195" s="3550"/>
      <c r="E195" s="3435"/>
    </row>
    <row r="196" spans="4:5">
      <c r="D196" s="3550"/>
      <c r="E196" s="3435"/>
    </row>
    <row r="197" spans="4:5">
      <c r="D197" s="3550"/>
      <c r="E197" s="3435"/>
    </row>
    <row r="198" spans="4:5">
      <c r="D198" s="3550"/>
      <c r="E198" s="3435"/>
    </row>
    <row r="199" spans="4:5">
      <c r="D199" s="3550"/>
      <c r="E199" s="3435"/>
    </row>
    <row r="200" spans="4:5">
      <c r="D200" s="3550"/>
      <c r="E200" s="3435"/>
    </row>
    <row r="201" spans="4:5">
      <c r="D201" s="3550"/>
      <c r="E201" s="3435"/>
    </row>
    <row r="202" spans="4:5">
      <c r="D202" s="3550"/>
      <c r="E202" s="3435"/>
    </row>
    <row r="203" spans="4:5">
      <c r="D203" s="3550"/>
      <c r="E203" s="3435"/>
    </row>
    <row r="204" spans="4:5">
      <c r="D204" s="3550"/>
      <c r="E204" s="3435"/>
    </row>
    <row r="205" spans="4:5">
      <c r="D205" s="3550"/>
      <c r="E205" s="3435"/>
    </row>
    <row r="206" spans="4:5" ht="45" customHeight="1">
      <c r="D206" s="3550"/>
      <c r="E206" s="3435"/>
    </row>
    <row r="207" spans="4:5">
      <c r="D207" s="3550"/>
      <c r="E207" s="3435"/>
    </row>
    <row r="208" spans="4:5">
      <c r="D208" s="3550"/>
      <c r="E208" s="3435"/>
    </row>
    <row r="209" spans="4:5">
      <c r="D209" s="3550"/>
      <c r="E209" s="3435"/>
    </row>
  </sheetData>
  <mergeCells count="112">
    <mergeCell ref="E64:E66"/>
    <mergeCell ref="C170:C172"/>
    <mergeCell ref="G170:G172"/>
    <mergeCell ref="H170:H172"/>
    <mergeCell ref="E161:E162"/>
    <mergeCell ref="E158:E160"/>
    <mergeCell ref="G157:G163"/>
    <mergeCell ref="H157:H163"/>
    <mergeCell ref="G164:G167"/>
    <mergeCell ref="H164:H167"/>
    <mergeCell ref="C168:C169"/>
    <mergeCell ref="E168:E169"/>
    <mergeCell ref="F168:F169"/>
    <mergeCell ref="G168:G169"/>
    <mergeCell ref="H168:H169"/>
    <mergeCell ref="D94:D95"/>
    <mergeCell ref="E94:E95"/>
    <mergeCell ref="F94:F95"/>
    <mergeCell ref="G94:G95"/>
    <mergeCell ref="H94:H95"/>
    <mergeCell ref="C85:C87"/>
    <mergeCell ref="G85:G87"/>
    <mergeCell ref="H85:H87"/>
    <mergeCell ref="C88:C89"/>
    <mergeCell ref="D88:D89"/>
    <mergeCell ref="G88:G89"/>
    <mergeCell ref="H88:H89"/>
    <mergeCell ref="H80:H81"/>
    <mergeCell ref="D83:D84"/>
    <mergeCell ref="C80:C81"/>
    <mergeCell ref="D80:D81"/>
    <mergeCell ref="E80:E81"/>
    <mergeCell ref="F80:F81"/>
    <mergeCell ref="G80:G81"/>
    <mergeCell ref="C37:C38"/>
    <mergeCell ref="D37:D38"/>
    <mergeCell ref="E37:E38"/>
    <mergeCell ref="F37:F38"/>
    <mergeCell ref="G37:G38"/>
    <mergeCell ref="H37:H38"/>
    <mergeCell ref="H32:H33"/>
    <mergeCell ref="C34:C35"/>
    <mergeCell ref="D34:D35"/>
    <mergeCell ref="E34:E35"/>
    <mergeCell ref="F34:F35"/>
    <mergeCell ref="G34:G35"/>
    <mergeCell ref="H34:H35"/>
    <mergeCell ref="C32:C33"/>
    <mergeCell ref="D32:D33"/>
    <mergeCell ref="E32:E33"/>
    <mergeCell ref="F32:F33"/>
    <mergeCell ref="G32:G33"/>
    <mergeCell ref="G18:H18"/>
    <mergeCell ref="G19:H19"/>
    <mergeCell ref="A32:A36"/>
    <mergeCell ref="A18:A19"/>
    <mergeCell ref="A21:A23"/>
    <mergeCell ref="C22:C24"/>
    <mergeCell ref="H29:H30"/>
    <mergeCell ref="C29:C30"/>
    <mergeCell ref="D29:D30"/>
    <mergeCell ref="E29:E30"/>
    <mergeCell ref="F29:F30"/>
    <mergeCell ref="G29:G30"/>
    <mergeCell ref="C27:C28"/>
    <mergeCell ref="D27:D28"/>
    <mergeCell ref="E27:E28"/>
    <mergeCell ref="F27:F28"/>
    <mergeCell ref="G27:G28"/>
    <mergeCell ref="H27:H28"/>
    <mergeCell ref="A1:H1"/>
    <mergeCell ref="A4:H4"/>
    <mergeCell ref="A7:H7"/>
    <mergeCell ref="A8:H8"/>
    <mergeCell ref="A10:H10"/>
    <mergeCell ref="B11:H11"/>
    <mergeCell ref="B12:H12"/>
    <mergeCell ref="B13:H13"/>
    <mergeCell ref="B14:H14"/>
    <mergeCell ref="G45:H45"/>
    <mergeCell ref="G46:H46"/>
    <mergeCell ref="G77:H77"/>
    <mergeCell ref="G78:H78"/>
    <mergeCell ref="A45:A46"/>
    <mergeCell ref="A77:A78"/>
    <mergeCell ref="A57:A58"/>
    <mergeCell ref="A59:A60"/>
    <mergeCell ref="A81:A84"/>
    <mergeCell ref="A54:A56"/>
    <mergeCell ref="C55:C56"/>
    <mergeCell ref="D55:D56"/>
    <mergeCell ref="G55:G56"/>
    <mergeCell ref="H55:H56"/>
    <mergeCell ref="C57:C61"/>
    <mergeCell ref="G57:G61"/>
    <mergeCell ref="H57:H61"/>
    <mergeCell ref="D49:D50"/>
    <mergeCell ref="G49:G50"/>
    <mergeCell ref="H49:H50"/>
    <mergeCell ref="C52:C53"/>
    <mergeCell ref="D52:D53"/>
    <mergeCell ref="G52:G53"/>
    <mergeCell ref="H52:H53"/>
    <mergeCell ref="A111:A112"/>
    <mergeCell ref="G111:H111"/>
    <mergeCell ref="G112:H112"/>
    <mergeCell ref="A122:A125"/>
    <mergeCell ref="A118:A120"/>
    <mergeCell ref="A94:A95"/>
    <mergeCell ref="A150:A151"/>
    <mergeCell ref="G150:H150"/>
    <mergeCell ref="G151:H151"/>
  </mergeCells>
  <pageMargins left="0.5" right="0.25" top="0.75" bottom="0.5" header="0.5" footer="0.25"/>
  <pageSetup paperSize="119" firstPageNumber="69" orientation="portrait" useFirstPageNumber="1" verticalDpi="300" r:id="rId1"/>
  <headerFooter alignWithMargins="0"/>
</worksheet>
</file>

<file path=xl/worksheets/sheet42.xml><?xml version="1.0" encoding="utf-8"?>
<worksheet xmlns="http://schemas.openxmlformats.org/spreadsheetml/2006/main" xmlns:r="http://schemas.openxmlformats.org/officeDocument/2006/relationships">
  <sheetPr codeName="Sheet32">
    <tabColor theme="8" tint="-0.249977111117893"/>
  </sheetPr>
  <dimension ref="A1:O117"/>
  <sheetViews>
    <sheetView showGridLines="0" topLeftCell="B1" workbookViewId="0">
      <selection activeCell="L11" sqref="L11"/>
    </sheetView>
  </sheetViews>
  <sheetFormatPr defaultRowHeight="15" customHeight="1"/>
  <cols>
    <col min="1" max="1" width="3.88671875" style="7351" customWidth="1"/>
    <col min="2" max="2" width="55.5546875" style="7351" customWidth="1"/>
    <col min="3" max="3" width="14" style="7505" hidden="1" customWidth="1"/>
    <col min="4" max="4" width="12.5546875" style="7383" customWidth="1"/>
    <col min="5" max="6" width="15.5546875" style="7338" customWidth="1"/>
    <col min="7" max="7" width="15.5546875" style="9534" customWidth="1"/>
    <col min="8" max="8" width="15.5546875" style="7338" customWidth="1"/>
    <col min="9" max="9" width="14.44140625" style="7338" hidden="1" customWidth="1"/>
    <col min="10" max="10" width="8.109375" style="7348" hidden="1" customWidth="1"/>
    <col min="11" max="11" width="15.5546875" style="7338" customWidth="1"/>
    <col min="12" max="12" width="17.5546875" style="7351" customWidth="1"/>
    <col min="13" max="13" width="8.33203125" style="7780" customWidth="1"/>
    <col min="14" max="14" width="36.88671875" style="7351" customWidth="1"/>
    <col min="15" max="15" width="11.109375" style="7351" customWidth="1"/>
    <col min="16" max="18" width="8.88671875" style="7351" customWidth="1"/>
    <col min="19" max="258" width="9.109375" style="7351"/>
    <col min="259" max="259" width="3.88671875" style="7351" customWidth="1"/>
    <col min="260" max="260" width="42.44140625" style="7351" customWidth="1"/>
    <col min="261" max="261" width="11.109375" style="7351" customWidth="1"/>
    <col min="262" max="262" width="14" style="7351" customWidth="1"/>
    <col min="263" max="263" width="16.44140625" style="7351" customWidth="1"/>
    <col min="264" max="264" width="15.88671875" style="7351" customWidth="1"/>
    <col min="265" max="514" width="9.109375" style="7351"/>
    <col min="515" max="515" width="3.88671875" style="7351" customWidth="1"/>
    <col min="516" max="516" width="42.44140625" style="7351" customWidth="1"/>
    <col min="517" max="517" width="11.109375" style="7351" customWidth="1"/>
    <col min="518" max="518" width="14" style="7351" customWidth="1"/>
    <col min="519" max="519" width="16.44140625" style="7351" customWidth="1"/>
    <col min="520" max="520" width="15.88671875" style="7351" customWidth="1"/>
    <col min="521" max="770" width="9.109375" style="7351"/>
    <col min="771" max="771" width="3.88671875" style="7351" customWidth="1"/>
    <col min="772" max="772" width="42.44140625" style="7351" customWidth="1"/>
    <col min="773" max="773" width="11.109375" style="7351" customWidth="1"/>
    <col min="774" max="774" width="14" style="7351" customWidth="1"/>
    <col min="775" max="775" width="16.44140625" style="7351" customWidth="1"/>
    <col min="776" max="776" width="15.88671875" style="7351" customWidth="1"/>
    <col min="777" max="1026" width="9.109375" style="7351"/>
    <col min="1027" max="1027" width="3.88671875" style="7351" customWidth="1"/>
    <col min="1028" max="1028" width="42.44140625" style="7351" customWidth="1"/>
    <col min="1029" max="1029" width="11.109375" style="7351" customWidth="1"/>
    <col min="1030" max="1030" width="14" style="7351" customWidth="1"/>
    <col min="1031" max="1031" width="16.44140625" style="7351" customWidth="1"/>
    <col min="1032" max="1032" width="15.88671875" style="7351" customWidth="1"/>
    <col min="1033" max="1282" width="9.109375" style="7351"/>
    <col min="1283" max="1283" width="3.88671875" style="7351" customWidth="1"/>
    <col min="1284" max="1284" width="42.44140625" style="7351" customWidth="1"/>
    <col min="1285" max="1285" width="11.109375" style="7351" customWidth="1"/>
    <col min="1286" max="1286" width="14" style="7351" customWidth="1"/>
    <col min="1287" max="1287" width="16.44140625" style="7351" customWidth="1"/>
    <col min="1288" max="1288" width="15.88671875" style="7351" customWidth="1"/>
    <col min="1289" max="1538" width="9.109375" style="7351"/>
    <col min="1539" max="1539" width="3.88671875" style="7351" customWidth="1"/>
    <col min="1540" max="1540" width="42.44140625" style="7351" customWidth="1"/>
    <col min="1541" max="1541" width="11.109375" style="7351" customWidth="1"/>
    <col min="1542" max="1542" width="14" style="7351" customWidth="1"/>
    <col min="1543" max="1543" width="16.44140625" style="7351" customWidth="1"/>
    <col min="1544" max="1544" width="15.88671875" style="7351" customWidth="1"/>
    <col min="1545" max="1794" width="9.109375" style="7351"/>
    <col min="1795" max="1795" width="3.88671875" style="7351" customWidth="1"/>
    <col min="1796" max="1796" width="42.44140625" style="7351" customWidth="1"/>
    <col min="1797" max="1797" width="11.109375" style="7351" customWidth="1"/>
    <col min="1798" max="1798" width="14" style="7351" customWidth="1"/>
    <col min="1799" max="1799" width="16.44140625" style="7351" customWidth="1"/>
    <col min="1800" max="1800" width="15.88671875" style="7351" customWidth="1"/>
    <col min="1801" max="2050" width="9.109375" style="7351"/>
    <col min="2051" max="2051" width="3.88671875" style="7351" customWidth="1"/>
    <col min="2052" max="2052" width="42.44140625" style="7351" customWidth="1"/>
    <col min="2053" max="2053" width="11.109375" style="7351" customWidth="1"/>
    <col min="2054" max="2054" width="14" style="7351" customWidth="1"/>
    <col min="2055" max="2055" width="16.44140625" style="7351" customWidth="1"/>
    <col min="2056" max="2056" width="15.88671875" style="7351" customWidth="1"/>
    <col min="2057" max="2306" width="9.109375" style="7351"/>
    <col min="2307" max="2307" width="3.88671875" style="7351" customWidth="1"/>
    <col min="2308" max="2308" width="42.44140625" style="7351" customWidth="1"/>
    <col min="2309" max="2309" width="11.109375" style="7351" customWidth="1"/>
    <col min="2310" max="2310" width="14" style="7351" customWidth="1"/>
    <col min="2311" max="2311" width="16.44140625" style="7351" customWidth="1"/>
    <col min="2312" max="2312" width="15.88671875" style="7351" customWidth="1"/>
    <col min="2313" max="2562" width="9.109375" style="7351"/>
    <col min="2563" max="2563" width="3.88671875" style="7351" customWidth="1"/>
    <col min="2564" max="2564" width="42.44140625" style="7351" customWidth="1"/>
    <col min="2565" max="2565" width="11.109375" style="7351" customWidth="1"/>
    <col min="2566" max="2566" width="14" style="7351" customWidth="1"/>
    <col min="2567" max="2567" width="16.44140625" style="7351" customWidth="1"/>
    <col min="2568" max="2568" width="15.88671875" style="7351" customWidth="1"/>
    <col min="2569" max="2818" width="9.109375" style="7351"/>
    <col min="2819" max="2819" width="3.88671875" style="7351" customWidth="1"/>
    <col min="2820" max="2820" width="42.44140625" style="7351" customWidth="1"/>
    <col min="2821" max="2821" width="11.109375" style="7351" customWidth="1"/>
    <col min="2822" max="2822" width="14" style="7351" customWidth="1"/>
    <col min="2823" max="2823" width="16.44140625" style="7351" customWidth="1"/>
    <col min="2824" max="2824" width="15.88671875" style="7351" customWidth="1"/>
    <col min="2825" max="3074" width="9.109375" style="7351"/>
    <col min="3075" max="3075" width="3.88671875" style="7351" customWidth="1"/>
    <col min="3076" max="3076" width="42.44140625" style="7351" customWidth="1"/>
    <col min="3077" max="3077" width="11.109375" style="7351" customWidth="1"/>
    <col min="3078" max="3078" width="14" style="7351" customWidth="1"/>
    <col min="3079" max="3079" width="16.44140625" style="7351" customWidth="1"/>
    <col min="3080" max="3080" width="15.88671875" style="7351" customWidth="1"/>
    <col min="3081" max="3330" width="9.109375" style="7351"/>
    <col min="3331" max="3331" width="3.88671875" style="7351" customWidth="1"/>
    <col min="3332" max="3332" width="42.44140625" style="7351" customWidth="1"/>
    <col min="3333" max="3333" width="11.109375" style="7351" customWidth="1"/>
    <col min="3334" max="3334" width="14" style="7351" customWidth="1"/>
    <col min="3335" max="3335" width="16.44140625" style="7351" customWidth="1"/>
    <col min="3336" max="3336" width="15.88671875" style="7351" customWidth="1"/>
    <col min="3337" max="3586" width="9.109375" style="7351"/>
    <col min="3587" max="3587" width="3.88671875" style="7351" customWidth="1"/>
    <col min="3588" max="3588" width="42.44140625" style="7351" customWidth="1"/>
    <col min="3589" max="3589" width="11.109375" style="7351" customWidth="1"/>
    <col min="3590" max="3590" width="14" style="7351" customWidth="1"/>
    <col min="3591" max="3591" width="16.44140625" style="7351" customWidth="1"/>
    <col min="3592" max="3592" width="15.88671875" style="7351" customWidth="1"/>
    <col min="3593" max="3842" width="9.109375" style="7351"/>
    <col min="3843" max="3843" width="3.88671875" style="7351" customWidth="1"/>
    <col min="3844" max="3844" width="42.44140625" style="7351" customWidth="1"/>
    <col min="3845" max="3845" width="11.109375" style="7351" customWidth="1"/>
    <col min="3846" max="3846" width="14" style="7351" customWidth="1"/>
    <col min="3847" max="3847" width="16.44140625" style="7351" customWidth="1"/>
    <col min="3848" max="3848" width="15.88671875" style="7351" customWidth="1"/>
    <col min="3849" max="4098" width="9.109375" style="7351"/>
    <col min="4099" max="4099" width="3.88671875" style="7351" customWidth="1"/>
    <col min="4100" max="4100" width="42.44140625" style="7351" customWidth="1"/>
    <col min="4101" max="4101" width="11.109375" style="7351" customWidth="1"/>
    <col min="4102" max="4102" width="14" style="7351" customWidth="1"/>
    <col min="4103" max="4103" width="16.44140625" style="7351" customWidth="1"/>
    <col min="4104" max="4104" width="15.88671875" style="7351" customWidth="1"/>
    <col min="4105" max="4354" width="9.109375" style="7351"/>
    <col min="4355" max="4355" width="3.88671875" style="7351" customWidth="1"/>
    <col min="4356" max="4356" width="42.44140625" style="7351" customWidth="1"/>
    <col min="4357" max="4357" width="11.109375" style="7351" customWidth="1"/>
    <col min="4358" max="4358" width="14" style="7351" customWidth="1"/>
    <col min="4359" max="4359" width="16.44140625" style="7351" customWidth="1"/>
    <col min="4360" max="4360" width="15.88671875" style="7351" customWidth="1"/>
    <col min="4361" max="4610" width="9.109375" style="7351"/>
    <col min="4611" max="4611" width="3.88671875" style="7351" customWidth="1"/>
    <col min="4612" max="4612" width="42.44140625" style="7351" customWidth="1"/>
    <col min="4613" max="4613" width="11.109375" style="7351" customWidth="1"/>
    <col min="4614" max="4614" width="14" style="7351" customWidth="1"/>
    <col min="4615" max="4615" width="16.44140625" style="7351" customWidth="1"/>
    <col min="4616" max="4616" width="15.88671875" style="7351" customWidth="1"/>
    <col min="4617" max="4866" width="9.109375" style="7351"/>
    <col min="4867" max="4867" width="3.88671875" style="7351" customWidth="1"/>
    <col min="4868" max="4868" width="42.44140625" style="7351" customWidth="1"/>
    <col min="4869" max="4869" width="11.109375" style="7351" customWidth="1"/>
    <col min="4870" max="4870" width="14" style="7351" customWidth="1"/>
    <col min="4871" max="4871" width="16.44140625" style="7351" customWidth="1"/>
    <col min="4872" max="4872" width="15.88671875" style="7351" customWidth="1"/>
    <col min="4873" max="5122" width="9.109375" style="7351"/>
    <col min="5123" max="5123" width="3.88671875" style="7351" customWidth="1"/>
    <col min="5124" max="5124" width="42.44140625" style="7351" customWidth="1"/>
    <col min="5125" max="5125" width="11.109375" style="7351" customWidth="1"/>
    <col min="5126" max="5126" width="14" style="7351" customWidth="1"/>
    <col min="5127" max="5127" width="16.44140625" style="7351" customWidth="1"/>
    <col min="5128" max="5128" width="15.88671875" style="7351" customWidth="1"/>
    <col min="5129" max="5378" width="9.109375" style="7351"/>
    <col min="5379" max="5379" width="3.88671875" style="7351" customWidth="1"/>
    <col min="5380" max="5380" width="42.44140625" style="7351" customWidth="1"/>
    <col min="5381" max="5381" width="11.109375" style="7351" customWidth="1"/>
    <col min="5382" max="5382" width="14" style="7351" customWidth="1"/>
    <col min="5383" max="5383" width="16.44140625" style="7351" customWidth="1"/>
    <col min="5384" max="5384" width="15.88671875" style="7351" customWidth="1"/>
    <col min="5385" max="5634" width="9.109375" style="7351"/>
    <col min="5635" max="5635" width="3.88671875" style="7351" customWidth="1"/>
    <col min="5636" max="5636" width="42.44140625" style="7351" customWidth="1"/>
    <col min="5637" max="5637" width="11.109375" style="7351" customWidth="1"/>
    <col min="5638" max="5638" width="14" style="7351" customWidth="1"/>
    <col min="5639" max="5639" width="16.44140625" style="7351" customWidth="1"/>
    <col min="5640" max="5640" width="15.88671875" style="7351" customWidth="1"/>
    <col min="5641" max="5890" width="9.109375" style="7351"/>
    <col min="5891" max="5891" width="3.88671875" style="7351" customWidth="1"/>
    <col min="5892" max="5892" width="42.44140625" style="7351" customWidth="1"/>
    <col min="5893" max="5893" width="11.109375" style="7351" customWidth="1"/>
    <col min="5894" max="5894" width="14" style="7351" customWidth="1"/>
    <col min="5895" max="5895" width="16.44140625" style="7351" customWidth="1"/>
    <col min="5896" max="5896" width="15.88671875" style="7351" customWidth="1"/>
    <col min="5897" max="6146" width="9.109375" style="7351"/>
    <col min="6147" max="6147" width="3.88671875" style="7351" customWidth="1"/>
    <col min="6148" max="6148" width="42.44140625" style="7351" customWidth="1"/>
    <col min="6149" max="6149" width="11.109375" style="7351" customWidth="1"/>
    <col min="6150" max="6150" width="14" style="7351" customWidth="1"/>
    <col min="6151" max="6151" width="16.44140625" style="7351" customWidth="1"/>
    <col min="6152" max="6152" width="15.88671875" style="7351" customWidth="1"/>
    <col min="6153" max="6402" width="9.109375" style="7351"/>
    <col min="6403" max="6403" width="3.88671875" style="7351" customWidth="1"/>
    <col min="6404" max="6404" width="42.44140625" style="7351" customWidth="1"/>
    <col min="6405" max="6405" width="11.109375" style="7351" customWidth="1"/>
    <col min="6406" max="6406" width="14" style="7351" customWidth="1"/>
    <col min="6407" max="6407" width="16.44140625" style="7351" customWidth="1"/>
    <col min="6408" max="6408" width="15.88671875" style="7351" customWidth="1"/>
    <col min="6409" max="6658" width="9.109375" style="7351"/>
    <col min="6659" max="6659" width="3.88671875" style="7351" customWidth="1"/>
    <col min="6660" max="6660" width="42.44140625" style="7351" customWidth="1"/>
    <col min="6661" max="6661" width="11.109375" style="7351" customWidth="1"/>
    <col min="6662" max="6662" width="14" style="7351" customWidth="1"/>
    <col min="6663" max="6663" width="16.44140625" style="7351" customWidth="1"/>
    <col min="6664" max="6664" width="15.88671875" style="7351" customWidth="1"/>
    <col min="6665" max="6914" width="9.109375" style="7351"/>
    <col min="6915" max="6915" width="3.88671875" style="7351" customWidth="1"/>
    <col min="6916" max="6916" width="42.44140625" style="7351" customWidth="1"/>
    <col min="6917" max="6917" width="11.109375" style="7351" customWidth="1"/>
    <col min="6918" max="6918" width="14" style="7351" customWidth="1"/>
    <col min="6919" max="6919" width="16.44140625" style="7351" customWidth="1"/>
    <col min="6920" max="6920" width="15.88671875" style="7351" customWidth="1"/>
    <col min="6921" max="7170" width="9.109375" style="7351"/>
    <col min="7171" max="7171" width="3.88671875" style="7351" customWidth="1"/>
    <col min="7172" max="7172" width="42.44140625" style="7351" customWidth="1"/>
    <col min="7173" max="7173" width="11.109375" style="7351" customWidth="1"/>
    <col min="7174" max="7174" width="14" style="7351" customWidth="1"/>
    <col min="7175" max="7175" width="16.44140625" style="7351" customWidth="1"/>
    <col min="7176" max="7176" width="15.88671875" style="7351" customWidth="1"/>
    <col min="7177" max="7426" width="9.109375" style="7351"/>
    <col min="7427" max="7427" width="3.88671875" style="7351" customWidth="1"/>
    <col min="7428" max="7428" width="42.44140625" style="7351" customWidth="1"/>
    <col min="7429" max="7429" width="11.109375" style="7351" customWidth="1"/>
    <col min="7430" max="7430" width="14" style="7351" customWidth="1"/>
    <col min="7431" max="7431" width="16.44140625" style="7351" customWidth="1"/>
    <col min="7432" max="7432" width="15.88671875" style="7351" customWidth="1"/>
    <col min="7433" max="7682" width="9.109375" style="7351"/>
    <col min="7683" max="7683" width="3.88671875" style="7351" customWidth="1"/>
    <col min="7684" max="7684" width="42.44140625" style="7351" customWidth="1"/>
    <col min="7685" max="7685" width="11.109375" style="7351" customWidth="1"/>
    <col min="7686" max="7686" width="14" style="7351" customWidth="1"/>
    <col min="7687" max="7687" width="16.44140625" style="7351" customWidth="1"/>
    <col min="7688" max="7688" width="15.88671875" style="7351" customWidth="1"/>
    <col min="7689" max="7938" width="9.109375" style="7351"/>
    <col min="7939" max="7939" width="3.88671875" style="7351" customWidth="1"/>
    <col min="7940" max="7940" width="42.44140625" style="7351" customWidth="1"/>
    <col min="7941" max="7941" width="11.109375" style="7351" customWidth="1"/>
    <col min="7942" max="7942" width="14" style="7351" customWidth="1"/>
    <col min="7943" max="7943" width="16.44140625" style="7351" customWidth="1"/>
    <col min="7944" max="7944" width="15.88671875" style="7351" customWidth="1"/>
    <col min="7945" max="8194" width="9.109375" style="7351"/>
    <col min="8195" max="8195" width="3.88671875" style="7351" customWidth="1"/>
    <col min="8196" max="8196" width="42.44140625" style="7351" customWidth="1"/>
    <col min="8197" max="8197" width="11.109375" style="7351" customWidth="1"/>
    <col min="8198" max="8198" width="14" style="7351" customWidth="1"/>
    <col min="8199" max="8199" width="16.44140625" style="7351" customWidth="1"/>
    <col min="8200" max="8200" width="15.88671875" style="7351" customWidth="1"/>
    <col min="8201" max="8450" width="9.109375" style="7351"/>
    <col min="8451" max="8451" width="3.88671875" style="7351" customWidth="1"/>
    <col min="8452" max="8452" width="42.44140625" style="7351" customWidth="1"/>
    <col min="8453" max="8453" width="11.109375" style="7351" customWidth="1"/>
    <col min="8454" max="8454" width="14" style="7351" customWidth="1"/>
    <col min="8455" max="8455" width="16.44140625" style="7351" customWidth="1"/>
    <col min="8456" max="8456" width="15.88671875" style="7351" customWidth="1"/>
    <col min="8457" max="8706" width="9.109375" style="7351"/>
    <col min="8707" max="8707" width="3.88671875" style="7351" customWidth="1"/>
    <col min="8708" max="8708" width="42.44140625" style="7351" customWidth="1"/>
    <col min="8709" max="8709" width="11.109375" style="7351" customWidth="1"/>
    <col min="8710" max="8710" width="14" style="7351" customWidth="1"/>
    <col min="8711" max="8711" width="16.44140625" style="7351" customWidth="1"/>
    <col min="8712" max="8712" width="15.88671875" style="7351" customWidth="1"/>
    <col min="8713" max="8962" width="9.109375" style="7351"/>
    <col min="8963" max="8963" width="3.88671875" style="7351" customWidth="1"/>
    <col min="8964" max="8964" width="42.44140625" style="7351" customWidth="1"/>
    <col min="8965" max="8965" width="11.109375" style="7351" customWidth="1"/>
    <col min="8966" max="8966" width="14" style="7351" customWidth="1"/>
    <col min="8967" max="8967" width="16.44140625" style="7351" customWidth="1"/>
    <col min="8968" max="8968" width="15.88671875" style="7351" customWidth="1"/>
    <col min="8969" max="9218" width="9.109375" style="7351"/>
    <col min="9219" max="9219" width="3.88671875" style="7351" customWidth="1"/>
    <col min="9220" max="9220" width="42.44140625" style="7351" customWidth="1"/>
    <col min="9221" max="9221" width="11.109375" style="7351" customWidth="1"/>
    <col min="9222" max="9222" width="14" style="7351" customWidth="1"/>
    <col min="9223" max="9223" width="16.44140625" style="7351" customWidth="1"/>
    <col min="9224" max="9224" width="15.88671875" style="7351" customWidth="1"/>
    <col min="9225" max="9474" width="9.109375" style="7351"/>
    <col min="9475" max="9475" width="3.88671875" style="7351" customWidth="1"/>
    <col min="9476" max="9476" width="42.44140625" style="7351" customWidth="1"/>
    <col min="9477" max="9477" width="11.109375" style="7351" customWidth="1"/>
    <col min="9478" max="9478" width="14" style="7351" customWidth="1"/>
    <col min="9479" max="9479" width="16.44140625" style="7351" customWidth="1"/>
    <col min="9480" max="9480" width="15.88671875" style="7351" customWidth="1"/>
    <col min="9481" max="9730" width="9.109375" style="7351"/>
    <col min="9731" max="9731" width="3.88671875" style="7351" customWidth="1"/>
    <col min="9732" max="9732" width="42.44140625" style="7351" customWidth="1"/>
    <col min="9733" max="9733" width="11.109375" style="7351" customWidth="1"/>
    <col min="9734" max="9734" width="14" style="7351" customWidth="1"/>
    <col min="9735" max="9735" width="16.44140625" style="7351" customWidth="1"/>
    <col min="9736" max="9736" width="15.88671875" style="7351" customWidth="1"/>
    <col min="9737" max="9986" width="9.109375" style="7351"/>
    <col min="9987" max="9987" width="3.88671875" style="7351" customWidth="1"/>
    <col min="9988" max="9988" width="42.44140625" style="7351" customWidth="1"/>
    <col min="9989" max="9989" width="11.109375" style="7351" customWidth="1"/>
    <col min="9990" max="9990" width="14" style="7351" customWidth="1"/>
    <col min="9991" max="9991" width="16.44140625" style="7351" customWidth="1"/>
    <col min="9992" max="9992" width="15.88671875" style="7351" customWidth="1"/>
    <col min="9993" max="10242" width="9.109375" style="7351"/>
    <col min="10243" max="10243" width="3.88671875" style="7351" customWidth="1"/>
    <col min="10244" max="10244" width="42.44140625" style="7351" customWidth="1"/>
    <col min="10245" max="10245" width="11.109375" style="7351" customWidth="1"/>
    <col min="10246" max="10246" width="14" style="7351" customWidth="1"/>
    <col min="10247" max="10247" width="16.44140625" style="7351" customWidth="1"/>
    <col min="10248" max="10248" width="15.88671875" style="7351" customWidth="1"/>
    <col min="10249" max="10498" width="9.109375" style="7351"/>
    <col min="10499" max="10499" width="3.88671875" style="7351" customWidth="1"/>
    <col min="10500" max="10500" width="42.44140625" style="7351" customWidth="1"/>
    <col min="10501" max="10501" width="11.109375" style="7351" customWidth="1"/>
    <col min="10502" max="10502" width="14" style="7351" customWidth="1"/>
    <col min="10503" max="10503" width="16.44140625" style="7351" customWidth="1"/>
    <col min="10504" max="10504" width="15.88671875" style="7351" customWidth="1"/>
    <col min="10505" max="10754" width="9.109375" style="7351"/>
    <col min="10755" max="10755" width="3.88671875" style="7351" customWidth="1"/>
    <col min="10756" max="10756" width="42.44140625" style="7351" customWidth="1"/>
    <col min="10757" max="10757" width="11.109375" style="7351" customWidth="1"/>
    <col min="10758" max="10758" width="14" style="7351" customWidth="1"/>
    <col min="10759" max="10759" width="16.44140625" style="7351" customWidth="1"/>
    <col min="10760" max="10760" width="15.88671875" style="7351" customWidth="1"/>
    <col min="10761" max="11010" width="9.109375" style="7351"/>
    <col min="11011" max="11011" width="3.88671875" style="7351" customWidth="1"/>
    <col min="11012" max="11012" width="42.44140625" style="7351" customWidth="1"/>
    <col min="11013" max="11013" width="11.109375" style="7351" customWidth="1"/>
    <col min="11014" max="11014" width="14" style="7351" customWidth="1"/>
    <col min="11015" max="11015" width="16.44140625" style="7351" customWidth="1"/>
    <col min="11016" max="11016" width="15.88671875" style="7351" customWidth="1"/>
    <col min="11017" max="11266" width="9.109375" style="7351"/>
    <col min="11267" max="11267" width="3.88671875" style="7351" customWidth="1"/>
    <col min="11268" max="11268" width="42.44140625" style="7351" customWidth="1"/>
    <col min="11269" max="11269" width="11.109375" style="7351" customWidth="1"/>
    <col min="11270" max="11270" width="14" style="7351" customWidth="1"/>
    <col min="11271" max="11271" width="16.44140625" style="7351" customWidth="1"/>
    <col min="11272" max="11272" width="15.88671875" style="7351" customWidth="1"/>
    <col min="11273" max="11522" width="9.109375" style="7351"/>
    <col min="11523" max="11523" width="3.88671875" style="7351" customWidth="1"/>
    <col min="11524" max="11524" width="42.44140625" style="7351" customWidth="1"/>
    <col min="11525" max="11525" width="11.109375" style="7351" customWidth="1"/>
    <col min="11526" max="11526" width="14" style="7351" customWidth="1"/>
    <col min="11527" max="11527" width="16.44140625" style="7351" customWidth="1"/>
    <col min="11528" max="11528" width="15.88671875" style="7351" customWidth="1"/>
    <col min="11529" max="11778" width="9.109375" style="7351"/>
    <col min="11779" max="11779" width="3.88671875" style="7351" customWidth="1"/>
    <col min="11780" max="11780" width="42.44140625" style="7351" customWidth="1"/>
    <col min="11781" max="11781" width="11.109375" style="7351" customWidth="1"/>
    <col min="11782" max="11782" width="14" style="7351" customWidth="1"/>
    <col min="11783" max="11783" width="16.44140625" style="7351" customWidth="1"/>
    <col min="11784" max="11784" width="15.88671875" style="7351" customWidth="1"/>
    <col min="11785" max="12034" width="9.109375" style="7351"/>
    <col min="12035" max="12035" width="3.88671875" style="7351" customWidth="1"/>
    <col min="12036" max="12036" width="42.44140625" style="7351" customWidth="1"/>
    <col min="12037" max="12037" width="11.109375" style="7351" customWidth="1"/>
    <col min="12038" max="12038" width="14" style="7351" customWidth="1"/>
    <col min="12039" max="12039" width="16.44140625" style="7351" customWidth="1"/>
    <col min="12040" max="12040" width="15.88671875" style="7351" customWidth="1"/>
    <col min="12041" max="12290" width="9.109375" style="7351"/>
    <col min="12291" max="12291" width="3.88671875" style="7351" customWidth="1"/>
    <col min="12292" max="12292" width="42.44140625" style="7351" customWidth="1"/>
    <col min="12293" max="12293" width="11.109375" style="7351" customWidth="1"/>
    <col min="12294" max="12294" width="14" style="7351" customWidth="1"/>
    <col min="12295" max="12295" width="16.44140625" style="7351" customWidth="1"/>
    <col min="12296" max="12296" width="15.88671875" style="7351" customWidth="1"/>
    <col min="12297" max="12546" width="9.109375" style="7351"/>
    <col min="12547" max="12547" width="3.88671875" style="7351" customWidth="1"/>
    <col min="12548" max="12548" width="42.44140625" style="7351" customWidth="1"/>
    <col min="12549" max="12549" width="11.109375" style="7351" customWidth="1"/>
    <col min="12550" max="12550" width="14" style="7351" customWidth="1"/>
    <col min="12551" max="12551" width="16.44140625" style="7351" customWidth="1"/>
    <col min="12552" max="12552" width="15.88671875" style="7351" customWidth="1"/>
    <col min="12553" max="12802" width="9.109375" style="7351"/>
    <col min="12803" max="12803" width="3.88671875" style="7351" customWidth="1"/>
    <col min="12804" max="12804" width="42.44140625" style="7351" customWidth="1"/>
    <col min="12805" max="12805" width="11.109375" style="7351" customWidth="1"/>
    <col min="12806" max="12806" width="14" style="7351" customWidth="1"/>
    <col min="12807" max="12807" width="16.44140625" style="7351" customWidth="1"/>
    <col min="12808" max="12808" width="15.88671875" style="7351" customWidth="1"/>
    <col min="12809" max="13058" width="9.109375" style="7351"/>
    <col min="13059" max="13059" width="3.88671875" style="7351" customWidth="1"/>
    <col min="13060" max="13060" width="42.44140625" style="7351" customWidth="1"/>
    <col min="13061" max="13061" width="11.109375" style="7351" customWidth="1"/>
    <col min="13062" max="13062" width="14" style="7351" customWidth="1"/>
    <col min="13063" max="13063" width="16.44140625" style="7351" customWidth="1"/>
    <col min="13064" max="13064" width="15.88671875" style="7351" customWidth="1"/>
    <col min="13065" max="13314" width="9.109375" style="7351"/>
    <col min="13315" max="13315" width="3.88671875" style="7351" customWidth="1"/>
    <col min="13316" max="13316" width="42.44140625" style="7351" customWidth="1"/>
    <col min="13317" max="13317" width="11.109375" style="7351" customWidth="1"/>
    <col min="13318" max="13318" width="14" style="7351" customWidth="1"/>
    <col min="13319" max="13319" width="16.44140625" style="7351" customWidth="1"/>
    <col min="13320" max="13320" width="15.88671875" style="7351" customWidth="1"/>
    <col min="13321" max="13570" width="9.109375" style="7351"/>
    <col min="13571" max="13571" width="3.88671875" style="7351" customWidth="1"/>
    <col min="13572" max="13572" width="42.44140625" style="7351" customWidth="1"/>
    <col min="13573" max="13573" width="11.109375" style="7351" customWidth="1"/>
    <col min="13574" max="13574" width="14" style="7351" customWidth="1"/>
    <col min="13575" max="13575" width="16.44140625" style="7351" customWidth="1"/>
    <col min="13576" max="13576" width="15.88671875" style="7351" customWidth="1"/>
    <col min="13577" max="13826" width="9.109375" style="7351"/>
    <col min="13827" max="13827" width="3.88671875" style="7351" customWidth="1"/>
    <col min="13828" max="13828" width="42.44140625" style="7351" customWidth="1"/>
    <col min="13829" max="13829" width="11.109375" style="7351" customWidth="1"/>
    <col min="13830" max="13830" width="14" style="7351" customWidth="1"/>
    <col min="13831" max="13831" width="16.44140625" style="7351" customWidth="1"/>
    <col min="13832" max="13832" width="15.88671875" style="7351" customWidth="1"/>
    <col min="13833" max="14082" width="9.109375" style="7351"/>
    <col min="14083" max="14083" width="3.88671875" style="7351" customWidth="1"/>
    <col min="14084" max="14084" width="42.44140625" style="7351" customWidth="1"/>
    <col min="14085" max="14085" width="11.109375" style="7351" customWidth="1"/>
    <col min="14086" max="14086" width="14" style="7351" customWidth="1"/>
    <col min="14087" max="14087" width="16.44140625" style="7351" customWidth="1"/>
    <col min="14088" max="14088" width="15.88671875" style="7351" customWidth="1"/>
    <col min="14089" max="14338" width="9.109375" style="7351"/>
    <col min="14339" max="14339" width="3.88671875" style="7351" customWidth="1"/>
    <col min="14340" max="14340" width="42.44140625" style="7351" customWidth="1"/>
    <col min="14341" max="14341" width="11.109375" style="7351" customWidth="1"/>
    <col min="14342" max="14342" width="14" style="7351" customWidth="1"/>
    <col min="14343" max="14343" width="16.44140625" style="7351" customWidth="1"/>
    <col min="14344" max="14344" width="15.88671875" style="7351" customWidth="1"/>
    <col min="14345" max="14594" width="9.109375" style="7351"/>
    <col min="14595" max="14595" width="3.88671875" style="7351" customWidth="1"/>
    <col min="14596" max="14596" width="42.44140625" style="7351" customWidth="1"/>
    <col min="14597" max="14597" width="11.109375" style="7351" customWidth="1"/>
    <col min="14598" max="14598" width="14" style="7351" customWidth="1"/>
    <col min="14599" max="14599" width="16.44140625" style="7351" customWidth="1"/>
    <col min="14600" max="14600" width="15.88671875" style="7351" customWidth="1"/>
    <col min="14601" max="14850" width="9.109375" style="7351"/>
    <col min="14851" max="14851" width="3.88671875" style="7351" customWidth="1"/>
    <col min="14852" max="14852" width="42.44140625" style="7351" customWidth="1"/>
    <col min="14853" max="14853" width="11.109375" style="7351" customWidth="1"/>
    <col min="14854" max="14854" width="14" style="7351" customWidth="1"/>
    <col min="14855" max="14855" width="16.44140625" style="7351" customWidth="1"/>
    <col min="14856" max="14856" width="15.88671875" style="7351" customWidth="1"/>
    <col min="14857" max="15106" width="9.109375" style="7351"/>
    <col min="15107" max="15107" width="3.88671875" style="7351" customWidth="1"/>
    <col min="15108" max="15108" width="42.44140625" style="7351" customWidth="1"/>
    <col min="15109" max="15109" width="11.109375" style="7351" customWidth="1"/>
    <col min="15110" max="15110" width="14" style="7351" customWidth="1"/>
    <col min="15111" max="15111" width="16.44140625" style="7351" customWidth="1"/>
    <col min="15112" max="15112" width="15.88671875" style="7351" customWidth="1"/>
    <col min="15113" max="15362" width="9.109375" style="7351"/>
    <col min="15363" max="15363" width="3.88671875" style="7351" customWidth="1"/>
    <col min="15364" max="15364" width="42.44140625" style="7351" customWidth="1"/>
    <col min="15365" max="15365" width="11.109375" style="7351" customWidth="1"/>
    <col min="15366" max="15366" width="14" style="7351" customWidth="1"/>
    <col min="15367" max="15367" width="16.44140625" style="7351" customWidth="1"/>
    <col min="15368" max="15368" width="15.88671875" style="7351" customWidth="1"/>
    <col min="15369" max="15618" width="9.109375" style="7351"/>
    <col min="15619" max="15619" width="3.88671875" style="7351" customWidth="1"/>
    <col min="15620" max="15620" width="42.44140625" style="7351" customWidth="1"/>
    <col min="15621" max="15621" width="11.109375" style="7351" customWidth="1"/>
    <col min="15622" max="15622" width="14" style="7351" customWidth="1"/>
    <col min="15623" max="15623" width="16.44140625" style="7351" customWidth="1"/>
    <col min="15624" max="15624" width="15.88671875" style="7351" customWidth="1"/>
    <col min="15625" max="15874" width="9.109375" style="7351"/>
    <col min="15875" max="15875" width="3.88671875" style="7351" customWidth="1"/>
    <col min="15876" max="15876" width="42.44140625" style="7351" customWidth="1"/>
    <col min="15877" max="15877" width="11.109375" style="7351" customWidth="1"/>
    <col min="15878" max="15878" width="14" style="7351" customWidth="1"/>
    <col min="15879" max="15879" width="16.44140625" style="7351" customWidth="1"/>
    <col min="15880" max="15880" width="15.88671875" style="7351" customWidth="1"/>
    <col min="15881" max="16130" width="9.109375" style="7351"/>
    <col min="16131" max="16131" width="3.88671875" style="7351" customWidth="1"/>
    <col min="16132" max="16132" width="42.44140625" style="7351" customWidth="1"/>
    <col min="16133" max="16133" width="11.109375" style="7351" customWidth="1"/>
    <col min="16134" max="16134" width="14" style="7351" customWidth="1"/>
    <col min="16135" max="16135" width="16.44140625" style="7351" customWidth="1"/>
    <col min="16136" max="16136" width="15.88671875" style="7351" customWidth="1"/>
    <col min="16137" max="16384" width="9.109375" style="7351"/>
  </cols>
  <sheetData>
    <row r="1" spans="1:14" ht="15" customHeight="1">
      <c r="A1" s="14432" t="s">
        <v>1</v>
      </c>
      <c r="B1" s="14432"/>
      <c r="C1" s="14432"/>
      <c r="D1" s="14432"/>
      <c r="E1" s="14432"/>
      <c r="F1" s="14432"/>
      <c r="G1" s="14432"/>
      <c r="H1" s="14432"/>
      <c r="I1" s="14432"/>
      <c r="J1" s="14432"/>
      <c r="K1" s="14432"/>
    </row>
    <row r="2" spans="1:14" ht="15" customHeight="1">
      <c r="A2" s="7335"/>
      <c r="B2" s="7335"/>
      <c r="C2" s="7989"/>
      <c r="D2" s="10884"/>
      <c r="E2" s="7336"/>
      <c r="F2" s="7336"/>
      <c r="G2" s="9524"/>
      <c r="H2" s="7336"/>
      <c r="I2" s="7336"/>
      <c r="J2" s="7286"/>
      <c r="K2" s="7336"/>
    </row>
    <row r="3" spans="1:14" ht="15" customHeight="1">
      <c r="A3" s="7335" t="s">
        <v>2</v>
      </c>
      <c r="B3" s="7341"/>
      <c r="C3" s="7989"/>
      <c r="D3" s="9555" t="s">
        <v>11254</v>
      </c>
      <c r="E3" s="9431"/>
      <c r="F3" s="9431"/>
      <c r="G3" s="9523"/>
      <c r="H3" s="9431"/>
      <c r="I3" s="9431"/>
      <c r="J3" s="7284"/>
      <c r="K3" s="14433"/>
    </row>
    <row r="4" spans="1:14" ht="15" customHeight="1">
      <c r="A4" s="7352" t="s">
        <v>7</v>
      </c>
      <c r="B4" s="7352"/>
      <c r="C4" s="11422"/>
      <c r="D4" s="7498" t="s">
        <v>8</v>
      </c>
      <c r="E4" s="7354"/>
      <c r="F4" s="7354"/>
      <c r="G4" s="9525"/>
      <c r="H4" s="7364"/>
      <c r="I4" s="8056" t="s">
        <v>9</v>
      </c>
      <c r="J4" s="7290"/>
      <c r="K4" s="14433"/>
    </row>
    <row r="5" spans="1:14" ht="15" customHeight="1" thickBot="1">
      <c r="A5" s="7390"/>
      <c r="B5" s="7390"/>
      <c r="C5" s="11423"/>
      <c r="D5" s="7392"/>
      <c r="E5" s="7724"/>
      <c r="F5" s="7724"/>
      <c r="G5" s="9526"/>
      <c r="H5" s="7724"/>
      <c r="I5" s="7724"/>
      <c r="J5" s="7294"/>
      <c r="K5" s="7724"/>
    </row>
    <row r="6" spans="1:14" ht="15" customHeight="1">
      <c r="A6" s="11433"/>
      <c r="B6" s="11434"/>
      <c r="C6" s="11435"/>
      <c r="D6" s="11436" t="s">
        <v>9</v>
      </c>
      <c r="E6" s="9461" t="s">
        <v>10</v>
      </c>
      <c r="F6" s="14188" t="s">
        <v>10711</v>
      </c>
      <c r="G6" s="14189"/>
      <c r="H6" s="14190"/>
      <c r="I6" s="11080" t="s">
        <v>9985</v>
      </c>
      <c r="J6" s="8206"/>
      <c r="K6" s="11437" t="s">
        <v>12</v>
      </c>
    </row>
    <row r="7" spans="1:14" ht="15" customHeight="1">
      <c r="A7" s="11237"/>
      <c r="B7" s="7356" t="s">
        <v>13</v>
      </c>
      <c r="C7" s="10638"/>
      <c r="D7" s="14430" t="s">
        <v>14</v>
      </c>
      <c r="E7" s="11438" t="s">
        <v>15</v>
      </c>
      <c r="F7" s="9502" t="s">
        <v>10709</v>
      </c>
      <c r="G7" s="11083" t="s">
        <v>10710</v>
      </c>
      <c r="H7" s="14191" t="s">
        <v>458</v>
      </c>
      <c r="I7" s="11084" t="s">
        <v>11839</v>
      </c>
      <c r="J7" s="11085"/>
      <c r="K7" s="11439" t="s">
        <v>16</v>
      </c>
    </row>
    <row r="8" spans="1:14" s="7833" customFormat="1" ht="15" customHeight="1" thickBot="1">
      <c r="A8" s="11440"/>
      <c r="B8" s="11441"/>
      <c r="C8" s="11424"/>
      <c r="D8" s="14431"/>
      <c r="E8" s="7302">
        <v>2017</v>
      </c>
      <c r="F8" s="9467" t="s">
        <v>457</v>
      </c>
      <c r="G8" s="11076" t="s">
        <v>456</v>
      </c>
      <c r="H8" s="14192"/>
      <c r="I8" s="7302">
        <v>2018</v>
      </c>
      <c r="J8" s="7322"/>
      <c r="K8" s="11442">
        <v>2019</v>
      </c>
      <c r="M8" s="7780"/>
    </row>
    <row r="9" spans="1:14" ht="15" customHeight="1">
      <c r="A9" s="11241" t="s">
        <v>17</v>
      </c>
      <c r="B9" s="7352" t="s">
        <v>18</v>
      </c>
      <c r="C9" s="11422"/>
      <c r="D9" s="10387"/>
      <c r="E9" s="11252"/>
      <c r="F9" s="11252"/>
      <c r="G9" s="11243"/>
      <c r="H9" s="11252"/>
      <c r="I9" s="11252"/>
      <c r="J9" s="11163"/>
      <c r="K9" s="11269"/>
    </row>
    <row r="10" spans="1:14" ht="15" customHeight="1">
      <c r="A10" s="11237"/>
      <c r="B10" s="7352" t="s">
        <v>19</v>
      </c>
      <c r="C10" s="11422"/>
      <c r="D10" s="10387"/>
      <c r="E10" s="11252"/>
      <c r="F10" s="11252"/>
      <c r="G10" s="11243"/>
      <c r="H10" s="11252"/>
      <c r="I10" s="11252"/>
      <c r="J10" s="11163"/>
      <c r="K10" s="11269"/>
    </row>
    <row r="11" spans="1:14" ht="15" customHeight="1">
      <c r="A11" s="11237"/>
      <c r="B11" s="7352" t="s">
        <v>56</v>
      </c>
      <c r="C11" s="11422"/>
      <c r="D11" s="10387">
        <v>50101010</v>
      </c>
      <c r="E11" s="11443">
        <f>'WS-PS 2017'!B44</f>
        <v>713792.46</v>
      </c>
      <c r="F11" s="11443">
        <f>'WS-PS ACTUAL JUNE 2018'!B45</f>
        <v>365443.03</v>
      </c>
      <c r="G11" s="11444">
        <f>H11-F11</f>
        <v>1019632.97</v>
      </c>
      <c r="H11" s="10470">
        <v>1385076</v>
      </c>
      <c r="I11" s="10470"/>
      <c r="J11" s="11445"/>
      <c r="K11" s="11446">
        <f>L11</f>
        <v>1426140</v>
      </c>
      <c r="L11" s="7371">
        <f>'staffing-bto'!F32</f>
        <v>1426140</v>
      </c>
      <c r="M11" s="7780">
        <f>'staffing-bto'!B32</f>
        <v>5</v>
      </c>
      <c r="N11" s="7338"/>
    </row>
    <row r="12" spans="1:14" ht="15" customHeight="1">
      <c r="A12" s="11237"/>
      <c r="B12" s="7352" t="s">
        <v>58</v>
      </c>
      <c r="C12" s="11422"/>
      <c r="D12" s="10387">
        <v>50102010</v>
      </c>
      <c r="E12" s="11252">
        <f>'WS-PS 2017'!F44</f>
        <v>71559.09</v>
      </c>
      <c r="F12" s="11252">
        <f>'WS-PS ACTUAL JUNE 2018'!D45</f>
        <v>35301.18</v>
      </c>
      <c r="G12" s="11444">
        <f t="shared" ref="G12:G24" si="0">H12-F12</f>
        <v>84698.82</v>
      </c>
      <c r="H12" s="10138">
        <v>120000</v>
      </c>
      <c r="I12" s="10138"/>
      <c r="J12" s="8799"/>
      <c r="K12" s="11446">
        <f t="shared" ref="K12:K24" si="1">L12</f>
        <v>120000</v>
      </c>
      <c r="L12" s="7310">
        <f>24000*M11</f>
        <v>120000</v>
      </c>
    </row>
    <row r="13" spans="1:14" ht="15" customHeight="1">
      <c r="A13" s="11237"/>
      <c r="B13" s="7352" t="s">
        <v>314</v>
      </c>
      <c r="C13" s="11422"/>
      <c r="D13" s="10387">
        <v>50102040</v>
      </c>
      <c r="E13" s="11252">
        <f>'WS-PS 2017'!I44</f>
        <v>10000</v>
      </c>
      <c r="F13" s="11252">
        <f>'WS-PS ACTUAL JUNE 2018'!G45</f>
        <v>25000</v>
      </c>
      <c r="G13" s="11444">
        <f t="shared" si="0"/>
        <v>0</v>
      </c>
      <c r="H13" s="10138">
        <v>25000</v>
      </c>
      <c r="I13" s="10138"/>
      <c r="J13" s="8799"/>
      <c r="K13" s="11446">
        <f t="shared" si="1"/>
        <v>30000</v>
      </c>
      <c r="L13" s="7310">
        <f>6000*M11</f>
        <v>30000</v>
      </c>
    </row>
    <row r="14" spans="1:14" ht="15" customHeight="1">
      <c r="A14" s="11237"/>
      <c r="B14" s="7488" t="s">
        <v>10932</v>
      </c>
      <c r="C14" s="10617"/>
      <c r="D14" s="11359">
        <v>50102080</v>
      </c>
      <c r="E14" s="11252">
        <f>'WS-PS 2017'!L44</f>
        <v>15000</v>
      </c>
      <c r="F14" s="11252">
        <f>'WS-PS ACTUAL JUNE 2018'!J45</f>
        <v>0</v>
      </c>
      <c r="G14" s="11444">
        <f t="shared" si="0"/>
        <v>25000</v>
      </c>
      <c r="H14" s="10138">
        <v>25000</v>
      </c>
      <c r="I14" s="10138"/>
      <c r="J14" s="8799"/>
      <c r="K14" s="11446">
        <f t="shared" si="1"/>
        <v>25000</v>
      </c>
      <c r="L14" s="7310">
        <f>5000*M11</f>
        <v>25000</v>
      </c>
    </row>
    <row r="15" spans="1:14" ht="15" customHeight="1">
      <c r="A15" s="11237"/>
      <c r="B15" s="7488" t="s">
        <v>10934</v>
      </c>
      <c r="C15" s="10617"/>
      <c r="D15" s="10387">
        <v>50102120</v>
      </c>
      <c r="E15" s="8869">
        <f>'WS-PS 2017'!O44</f>
        <v>5000</v>
      </c>
      <c r="F15" s="8869">
        <f>'WS-PS ACTUAL JUNE 2018'!M45</f>
        <v>0</v>
      </c>
      <c r="G15" s="11444">
        <f>H15-F15</f>
        <v>5000</v>
      </c>
      <c r="H15" s="8882">
        <v>5000</v>
      </c>
      <c r="I15" s="8882"/>
      <c r="J15" s="9413"/>
      <c r="K15" s="11446">
        <f t="shared" si="1"/>
        <v>0</v>
      </c>
    </row>
    <row r="16" spans="1:14" ht="15" customHeight="1">
      <c r="A16" s="11237"/>
      <c r="B16" s="7488" t="s">
        <v>10933</v>
      </c>
      <c r="C16" s="10617"/>
      <c r="D16" s="10387">
        <v>50102140</v>
      </c>
      <c r="E16" s="11443">
        <f>'WS-PS 2017'!U44+'WS-PS 2017'!S44</f>
        <v>102450</v>
      </c>
      <c r="F16" s="11443">
        <f>'WS-PS ACTUAL JUNE 2018'!O45</f>
        <v>48426</v>
      </c>
      <c r="G16" s="11444">
        <f t="shared" si="0"/>
        <v>182420</v>
      </c>
      <c r="H16" s="10470">
        <v>230846</v>
      </c>
      <c r="I16" s="10470"/>
      <c r="J16" s="11445"/>
      <c r="K16" s="11446">
        <f t="shared" si="1"/>
        <v>237690</v>
      </c>
      <c r="L16" s="7310">
        <f>L11/12*2</f>
        <v>237690</v>
      </c>
      <c r="N16" s="7338"/>
    </row>
    <row r="17" spans="1:14" ht="15" customHeight="1">
      <c r="A17" s="11237"/>
      <c r="B17" s="7352" t="s">
        <v>26</v>
      </c>
      <c r="C17" s="11422"/>
      <c r="D17" s="10387">
        <v>50102150</v>
      </c>
      <c r="E17" s="11252">
        <f>'WS-PS 2017'!T44</f>
        <v>15000</v>
      </c>
      <c r="F17" s="11252">
        <f>'WS-PS ACTUAL JUNE 2018'!Q45</f>
        <v>0</v>
      </c>
      <c r="G17" s="11444">
        <f>H17-F17</f>
        <v>25000</v>
      </c>
      <c r="H17" s="10138">
        <v>25000</v>
      </c>
      <c r="I17" s="10138"/>
      <c r="J17" s="8799"/>
      <c r="K17" s="11446">
        <f t="shared" si="1"/>
        <v>25000</v>
      </c>
      <c r="L17" s="7371">
        <f>L14</f>
        <v>25000</v>
      </c>
      <c r="N17" s="7338"/>
    </row>
    <row r="18" spans="1:14" ht="15" customHeight="1">
      <c r="A18" s="11237"/>
      <c r="B18" s="7488" t="s">
        <v>11497</v>
      </c>
      <c r="C18" s="10617"/>
      <c r="D18" s="11360">
        <v>50102990</v>
      </c>
      <c r="E18" s="11252">
        <v>0</v>
      </c>
      <c r="F18" s="11252">
        <f>'WS-PS ACTUAL JUNE 2018'!R45</f>
        <v>0</v>
      </c>
      <c r="G18" s="11444">
        <f>H18-F18</f>
        <v>66369</v>
      </c>
      <c r="H18" s="10138">
        <v>66369</v>
      </c>
      <c r="I18" s="10138"/>
      <c r="J18" s="8799"/>
      <c r="K18" s="11446">
        <v>0</v>
      </c>
      <c r="L18" s="7310">
        <f>0.575*(L11/12)</f>
        <v>68335.875</v>
      </c>
      <c r="N18" s="7338"/>
    </row>
    <row r="19" spans="1:14" ht="15" customHeight="1">
      <c r="A19" s="11237"/>
      <c r="B19" s="7803" t="s">
        <v>11499</v>
      </c>
      <c r="C19" s="11422"/>
      <c r="D19" s="11059" t="s">
        <v>11495</v>
      </c>
      <c r="E19" s="11252">
        <f>'WS-PS 2017'!Q44</f>
        <v>0</v>
      </c>
      <c r="F19" s="11252">
        <f>'WS-PS ACTUAL JUNE 2018'!S45</f>
        <v>0</v>
      </c>
      <c r="G19" s="11444">
        <f>H19-F19</f>
        <v>0</v>
      </c>
      <c r="H19" s="10138">
        <v>0</v>
      </c>
      <c r="I19" s="10138"/>
      <c r="J19" s="8799"/>
      <c r="K19" s="11446">
        <f t="shared" si="1"/>
        <v>15000</v>
      </c>
      <c r="L19" s="7310">
        <f>3000*M11</f>
        <v>15000</v>
      </c>
      <c r="N19" s="7338"/>
    </row>
    <row r="20" spans="1:14" ht="15" customHeight="1">
      <c r="A20" s="11237"/>
      <c r="B20" s="7352" t="s">
        <v>59</v>
      </c>
      <c r="C20" s="11422"/>
      <c r="D20" s="10387">
        <v>50103010</v>
      </c>
      <c r="E20" s="11252">
        <f>'WS-PS 2017'!V44</f>
        <v>85655.1</v>
      </c>
      <c r="F20" s="11252">
        <f>'WS-PS ACTUAL JUNE 2018'!T45</f>
        <v>43853.17</v>
      </c>
      <c r="G20" s="11444">
        <f t="shared" si="0"/>
        <v>122355.83</v>
      </c>
      <c r="H20" s="10138">
        <v>166209</v>
      </c>
      <c r="I20" s="10138"/>
      <c r="J20" s="8799"/>
      <c r="K20" s="11446">
        <f t="shared" si="1"/>
        <v>171136.8</v>
      </c>
      <c r="L20" s="7310">
        <f>L11*12%</f>
        <v>171136.8</v>
      </c>
      <c r="N20" s="7338"/>
    </row>
    <row r="21" spans="1:14" ht="15" customHeight="1">
      <c r="A21" s="11237"/>
      <c r="B21" s="7352" t="s">
        <v>28</v>
      </c>
      <c r="C21" s="11422"/>
      <c r="D21" s="10387">
        <v>50103020</v>
      </c>
      <c r="E21" s="11252">
        <f>'WS-PS 2017'!W44</f>
        <v>3600</v>
      </c>
      <c r="F21" s="11252">
        <f>'WS-PS ACTUAL JUNE 2018'!U45</f>
        <v>1800</v>
      </c>
      <c r="G21" s="11444">
        <f t="shared" si="0"/>
        <v>4200</v>
      </c>
      <c r="H21" s="10138">
        <v>6000</v>
      </c>
      <c r="I21" s="10138"/>
      <c r="J21" s="8799"/>
      <c r="K21" s="11446">
        <f t="shared" si="1"/>
        <v>6000</v>
      </c>
      <c r="L21" s="7310">
        <f>1200*M11</f>
        <v>6000</v>
      </c>
      <c r="N21" s="7338"/>
    </row>
    <row r="22" spans="1:14" ht="15" customHeight="1">
      <c r="A22" s="11237"/>
      <c r="B22" s="7352" t="s">
        <v>29</v>
      </c>
      <c r="C22" s="11422"/>
      <c r="D22" s="10387">
        <v>50103030</v>
      </c>
      <c r="E22" s="11252">
        <f>'WS-PS 2017'!X44</f>
        <v>8850</v>
      </c>
      <c r="F22" s="11252">
        <f>'WS-PS ACTUAL JUNE 2018'!V45</f>
        <v>5109.29</v>
      </c>
      <c r="G22" s="11444">
        <f t="shared" si="0"/>
        <v>12290.71</v>
      </c>
      <c r="H22" s="10138">
        <v>17400</v>
      </c>
      <c r="I22" s="10138"/>
      <c r="J22" s="8799"/>
      <c r="K22" s="11446">
        <v>19504.32</v>
      </c>
      <c r="L22" s="7310">
        <f>3600*M11</f>
        <v>18000</v>
      </c>
      <c r="N22" s="7338"/>
    </row>
    <row r="23" spans="1:14" ht="15" customHeight="1">
      <c r="A23" s="11237"/>
      <c r="B23" s="7352" t="s">
        <v>30</v>
      </c>
      <c r="C23" s="11422"/>
      <c r="D23" s="10387">
        <v>50103040</v>
      </c>
      <c r="E23" s="11252">
        <f>'WS-PS 2017'!Y44</f>
        <v>3600</v>
      </c>
      <c r="F23" s="11252">
        <f>'WS-PS ACTUAL JUNE 2018'!W45</f>
        <v>1800</v>
      </c>
      <c r="G23" s="11444">
        <f t="shared" si="0"/>
        <v>4200</v>
      </c>
      <c r="H23" s="10138">
        <v>6000</v>
      </c>
      <c r="I23" s="10138"/>
      <c r="J23" s="8799"/>
      <c r="K23" s="11446">
        <f t="shared" si="1"/>
        <v>6000</v>
      </c>
      <c r="L23" s="7310">
        <f>L21</f>
        <v>6000</v>
      </c>
      <c r="N23" s="7338"/>
    </row>
    <row r="24" spans="1:14" ht="15" customHeight="1">
      <c r="A24" s="11237"/>
      <c r="B24" s="7488" t="s">
        <v>5025</v>
      </c>
      <c r="C24" s="10617"/>
      <c r="D24" s="11059">
        <v>50104990</v>
      </c>
      <c r="E24" s="8869">
        <f>'WS-PS 2017'!Z44</f>
        <v>75000</v>
      </c>
      <c r="F24" s="8869"/>
      <c r="G24" s="11444">
        <f t="shared" si="0"/>
        <v>0</v>
      </c>
      <c r="H24" s="8882">
        <v>0</v>
      </c>
      <c r="I24" s="8882"/>
      <c r="J24" s="9413"/>
      <c r="K24" s="11446">
        <f t="shared" si="1"/>
        <v>0</v>
      </c>
    </row>
    <row r="25" spans="1:14" ht="15" customHeight="1">
      <c r="A25" s="11237"/>
      <c r="B25" s="7352"/>
      <c r="C25" s="11422"/>
      <c r="D25" s="10387" t="s">
        <v>9</v>
      </c>
      <c r="E25" s="10486" t="s">
        <v>9</v>
      </c>
      <c r="F25" s="10486"/>
      <c r="G25" s="11447"/>
      <c r="H25" s="10486" t="s">
        <v>9</v>
      </c>
      <c r="I25" s="10486"/>
      <c r="J25" s="7373"/>
      <c r="K25" s="11448" t="s">
        <v>9</v>
      </c>
      <c r="L25" s="11432"/>
    </row>
    <row r="26" spans="1:14" ht="15" customHeight="1" thickBot="1">
      <c r="A26" s="11235"/>
      <c r="B26" s="7391" t="s">
        <v>37</v>
      </c>
      <c r="C26" s="11423"/>
      <c r="D26" s="11261"/>
      <c r="E26" s="9428">
        <f>SUM(E10:E25)</f>
        <v>1109506.6499999999</v>
      </c>
      <c r="F26" s="9428">
        <f>SUM(F10:F25)</f>
        <v>526732.67000000004</v>
      </c>
      <c r="G26" s="9428">
        <f>SUM(G10:G25)</f>
        <v>1551167.33</v>
      </c>
      <c r="H26" s="9428">
        <f>SUM(H10:H25)</f>
        <v>2077900</v>
      </c>
      <c r="I26" s="9428"/>
      <c r="J26" s="11449"/>
      <c r="K26" s="11450">
        <f>SUM(K10:K25)</f>
        <v>2081471.12</v>
      </c>
      <c r="L26" s="10573">
        <f>SUM(L11:L25)</f>
        <v>2148302.6749999998</v>
      </c>
      <c r="N26" s="7338"/>
    </row>
    <row r="27" spans="1:14" ht="15" customHeight="1">
      <c r="A27" s="7958"/>
      <c r="B27" s="7959"/>
      <c r="C27" s="11425"/>
      <c r="D27" s="7960"/>
      <c r="E27" s="7961"/>
      <c r="F27" s="7961"/>
      <c r="G27" s="9527"/>
      <c r="H27" s="7961"/>
      <c r="I27" s="7961"/>
      <c r="J27" s="7962"/>
      <c r="K27" s="7961"/>
      <c r="N27" s="7338"/>
    </row>
    <row r="28" spans="1:14" ht="15" customHeight="1">
      <c r="A28" s="7352"/>
      <c r="B28" s="7361"/>
      <c r="C28" s="11422"/>
      <c r="D28" s="7353"/>
      <c r="E28" s="7364"/>
      <c r="F28" s="7364"/>
      <c r="G28" s="9528"/>
      <c r="H28" s="7364"/>
      <c r="I28" s="7364"/>
      <c r="J28" s="7350"/>
      <c r="K28" s="7364"/>
      <c r="N28" s="7338"/>
    </row>
    <row r="29" spans="1:14" ht="15" customHeight="1">
      <c r="A29" s="7352"/>
      <c r="B29" s="7361"/>
      <c r="C29" s="11422"/>
      <c r="D29" s="7353"/>
      <c r="E29" s="7364"/>
      <c r="F29" s="7364"/>
      <c r="G29" s="9528"/>
      <c r="H29" s="7364"/>
      <c r="I29" s="7364"/>
      <c r="J29" s="7350"/>
      <c r="K29" s="7364"/>
      <c r="N29" s="7338"/>
    </row>
    <row r="30" spans="1:14" ht="15" customHeight="1">
      <c r="A30" s="7352"/>
      <c r="B30" s="7361"/>
      <c r="C30" s="11422"/>
      <c r="D30" s="7353"/>
      <c r="E30" s="7364"/>
      <c r="F30" s="7364"/>
      <c r="G30" s="9528"/>
      <c r="H30" s="7364"/>
      <c r="I30" s="7364"/>
      <c r="J30" s="7350"/>
      <c r="K30" s="7364"/>
      <c r="N30" s="7338"/>
    </row>
    <row r="31" spans="1:14" ht="15" customHeight="1">
      <c r="A31" s="7352"/>
      <c r="B31" s="7361"/>
      <c r="C31" s="11422"/>
      <c r="D31" s="7353"/>
      <c r="E31" s="7364"/>
      <c r="F31" s="7364"/>
      <c r="G31" s="9528"/>
      <c r="H31" s="7364"/>
      <c r="I31" s="7364"/>
      <c r="J31" s="7350"/>
      <c r="K31" s="7364"/>
      <c r="N31" s="7338"/>
    </row>
    <row r="32" spans="1:14" ht="15" customHeight="1">
      <c r="A32" s="7352"/>
      <c r="B32" s="7361"/>
      <c r="C32" s="11422"/>
      <c r="D32" s="7353"/>
      <c r="E32" s="7364"/>
      <c r="F32" s="7364"/>
      <c r="G32" s="9528"/>
      <c r="H32" s="7364"/>
      <c r="I32" s="7364"/>
      <c r="J32" s="7350"/>
      <c r="K32" s="7364"/>
      <c r="N32" s="7338"/>
    </row>
    <row r="33" spans="1:14" ht="15" customHeight="1">
      <c r="A33" s="7352"/>
      <c r="B33" s="7361"/>
      <c r="C33" s="11422"/>
      <c r="D33" s="7353"/>
      <c r="E33" s="7364"/>
      <c r="F33" s="7364"/>
      <c r="G33" s="9528"/>
      <c r="H33" s="7364"/>
      <c r="I33" s="7364"/>
      <c r="J33" s="7350"/>
      <c r="K33" s="7364"/>
      <c r="N33" s="7338"/>
    </row>
    <row r="34" spans="1:14" ht="15" customHeight="1">
      <c r="A34" s="7352"/>
      <c r="B34" s="7361"/>
      <c r="C34" s="11422"/>
      <c r="D34" s="7353"/>
      <c r="E34" s="7364"/>
      <c r="F34" s="7364"/>
      <c r="G34" s="9528"/>
      <c r="H34" s="7364"/>
      <c r="I34" s="7364"/>
      <c r="J34" s="7350"/>
      <c r="K34" s="7364"/>
      <c r="N34" s="7338"/>
    </row>
    <row r="35" spans="1:14" ht="15" customHeight="1">
      <c r="A35" s="7352"/>
      <c r="B35" s="7361"/>
      <c r="C35" s="11422"/>
      <c r="D35" s="7353"/>
      <c r="E35" s="7364"/>
      <c r="F35" s="7364"/>
      <c r="G35" s="9528"/>
      <c r="H35" s="7364"/>
      <c r="I35" s="7364"/>
      <c r="J35" s="7350"/>
      <c r="K35" s="7364"/>
      <c r="N35" s="7338"/>
    </row>
    <row r="36" spans="1:14" ht="15" customHeight="1">
      <c r="A36" s="7352"/>
      <c r="B36" s="7361"/>
      <c r="C36" s="11422"/>
      <c r="D36" s="7353"/>
      <c r="E36" s="7364"/>
      <c r="F36" s="7364"/>
      <c r="G36" s="9528"/>
      <c r="H36" s="7364"/>
      <c r="I36" s="7364"/>
      <c r="J36" s="7350"/>
      <c r="K36" s="7364"/>
      <c r="N36" s="7338"/>
    </row>
    <row r="37" spans="1:14" ht="15" customHeight="1">
      <c r="A37" s="7352"/>
      <c r="B37" s="7361"/>
      <c r="C37" s="11422"/>
      <c r="D37" s="7353"/>
      <c r="E37" s="7364"/>
      <c r="F37" s="7364"/>
      <c r="G37" s="9528"/>
      <c r="H37" s="7364"/>
      <c r="I37" s="7364"/>
      <c r="J37" s="7350"/>
      <c r="K37" s="7364"/>
      <c r="N37" s="7338"/>
    </row>
    <row r="38" spans="1:14" ht="15" customHeight="1" thickBot="1">
      <c r="A38" s="7390" t="s">
        <v>10800</v>
      </c>
      <c r="B38" s="7390"/>
      <c r="C38" s="11423"/>
      <c r="D38" s="7392"/>
      <c r="E38" s="7724"/>
      <c r="F38" s="7724"/>
      <c r="G38" s="9526"/>
      <c r="H38" s="7724"/>
      <c r="I38" s="7724"/>
      <c r="J38" s="7294"/>
      <c r="K38" s="7724"/>
    </row>
    <row r="39" spans="1:14" ht="15" customHeight="1">
      <c r="A39" s="11433"/>
      <c r="B39" s="11434"/>
      <c r="C39" s="11435"/>
      <c r="D39" s="11436" t="s">
        <v>9</v>
      </c>
      <c r="E39" s="9461" t="s">
        <v>10</v>
      </c>
      <c r="F39" s="14188" t="s">
        <v>10711</v>
      </c>
      <c r="G39" s="14189"/>
      <c r="H39" s="14190"/>
      <c r="I39" s="11080" t="s">
        <v>9985</v>
      </c>
      <c r="J39" s="8206"/>
      <c r="K39" s="11437" t="s">
        <v>12</v>
      </c>
    </row>
    <row r="40" spans="1:14" ht="15" customHeight="1">
      <c r="A40" s="11237"/>
      <c r="B40" s="7356" t="s">
        <v>13</v>
      </c>
      <c r="C40" s="10638"/>
      <c r="D40" s="14430" t="s">
        <v>14</v>
      </c>
      <c r="E40" s="11438" t="s">
        <v>15</v>
      </c>
      <c r="F40" s="9502" t="s">
        <v>10709</v>
      </c>
      <c r="G40" s="11083" t="s">
        <v>10710</v>
      </c>
      <c r="H40" s="14191" t="s">
        <v>458</v>
      </c>
      <c r="I40" s="11084"/>
      <c r="J40" s="11085"/>
      <c r="K40" s="11439" t="s">
        <v>16</v>
      </c>
    </row>
    <row r="41" spans="1:14" s="7833" customFormat="1" ht="15" customHeight="1" thickBot="1">
      <c r="A41" s="11440"/>
      <c r="B41" s="11441"/>
      <c r="C41" s="11424"/>
      <c r="D41" s="14431"/>
      <c r="E41" s="7302">
        <v>2017</v>
      </c>
      <c r="F41" s="9467" t="s">
        <v>457</v>
      </c>
      <c r="G41" s="11076" t="s">
        <v>456</v>
      </c>
      <c r="H41" s="14192"/>
      <c r="I41" s="7302">
        <v>2017</v>
      </c>
      <c r="J41" s="7322"/>
      <c r="K41" s="11442">
        <v>2019</v>
      </c>
      <c r="M41" s="7780"/>
    </row>
    <row r="42" spans="1:14" s="7833" customFormat="1" ht="15" customHeight="1">
      <c r="A42" s="11451"/>
      <c r="B42" s="8074"/>
      <c r="C42" s="10638"/>
      <c r="D42" s="11452"/>
      <c r="E42" s="11181"/>
      <c r="F42" s="11123"/>
      <c r="G42" s="11073"/>
      <c r="H42" s="11123"/>
      <c r="I42" s="11181"/>
      <c r="J42" s="11108"/>
      <c r="K42" s="11453"/>
      <c r="M42" s="7780"/>
    </row>
    <row r="43" spans="1:14" ht="15" customHeight="1">
      <c r="A43" s="11241"/>
      <c r="B43" s="7352" t="s">
        <v>38</v>
      </c>
      <c r="C43" s="11422"/>
      <c r="D43" s="10387"/>
      <c r="E43" s="11454"/>
      <c r="F43" s="11454"/>
      <c r="G43" s="11455"/>
      <c r="H43" s="11252"/>
      <c r="I43" s="8869"/>
      <c r="J43" s="8799"/>
      <c r="K43" s="11269"/>
    </row>
    <row r="44" spans="1:14" ht="15" customHeight="1">
      <c r="A44" s="11237"/>
      <c r="B44" s="7352" t="s">
        <v>117</v>
      </c>
      <c r="C44" s="11422"/>
      <c r="D44" s="10387">
        <v>50201010</v>
      </c>
      <c r="E44" s="11252">
        <f>'WS-MOOE 2017'!B44</f>
        <v>72406.039999999994</v>
      </c>
      <c r="F44" s="11252">
        <f>'WS-MOOE ACTUAL JUNE 2018'!B46</f>
        <v>32879.99</v>
      </c>
      <c r="G44" s="11444">
        <f t="shared" ref="G44:G61" si="2">H44-F44</f>
        <v>67120.010000000009</v>
      </c>
      <c r="H44" s="11252">
        <v>100000</v>
      </c>
      <c r="I44" s="8869">
        <v>48712.99</v>
      </c>
      <c r="J44" s="8799">
        <f>I44/H44</f>
        <v>0.4871299</v>
      </c>
      <c r="K44" s="11269">
        <v>100000</v>
      </c>
    </row>
    <row r="45" spans="1:14" ht="15" customHeight="1">
      <c r="A45" s="11237"/>
      <c r="B45" s="7352" t="s">
        <v>41</v>
      </c>
      <c r="C45" s="11422"/>
      <c r="D45" s="10387">
        <v>50202010</v>
      </c>
      <c r="E45" s="11252">
        <f>'WS-MOOE 2017'!H44</f>
        <v>0</v>
      </c>
      <c r="F45" s="11252">
        <f>'WS-MOOE ACTUAL JUNE 2018'!G46</f>
        <v>0</v>
      </c>
      <c r="G45" s="11444">
        <f t="shared" si="2"/>
        <v>0</v>
      </c>
      <c r="H45" s="11252">
        <v>0</v>
      </c>
      <c r="I45" s="11252"/>
      <c r="J45" s="8799" t="s">
        <v>9</v>
      </c>
      <c r="K45" s="11269">
        <v>100000</v>
      </c>
    </row>
    <row r="46" spans="1:14" ht="15" customHeight="1">
      <c r="A46" s="11237"/>
      <c r="B46" s="7352" t="s">
        <v>42</v>
      </c>
      <c r="C46" s="11422"/>
      <c r="D46" s="10387">
        <v>50203010</v>
      </c>
      <c r="E46" s="11252">
        <f>'WS-MOOE 2017'!J44</f>
        <v>32767.8</v>
      </c>
      <c r="F46" s="11252">
        <f>'WS-MOOE ACTUAL JUNE 2018'!H46</f>
        <v>5000</v>
      </c>
      <c r="G46" s="11444">
        <f t="shared" si="2"/>
        <v>45000</v>
      </c>
      <c r="H46" s="11252">
        <v>50000</v>
      </c>
      <c r="I46" s="11252">
        <v>41730</v>
      </c>
      <c r="J46" s="8799">
        <f t="shared" ref="J46:J63" si="3">I46/H46</f>
        <v>0.83460000000000001</v>
      </c>
      <c r="K46" s="11269">
        <v>50000</v>
      </c>
    </row>
    <row r="47" spans="1:14" ht="15" customHeight="1">
      <c r="A47" s="11237"/>
      <c r="B47" s="7352" t="s">
        <v>61</v>
      </c>
      <c r="C47" s="11422"/>
      <c r="D47" s="10387">
        <v>50203090</v>
      </c>
      <c r="E47" s="11252">
        <f>'WS-MOOE 2017'!R44</f>
        <v>52175.3</v>
      </c>
      <c r="F47" s="11252">
        <f>'WS-MOOE ACTUAL JUNE 2018'!O46</f>
        <v>0</v>
      </c>
      <c r="G47" s="11444">
        <f t="shared" si="2"/>
        <v>80000</v>
      </c>
      <c r="H47" s="11252">
        <v>80000</v>
      </c>
      <c r="I47" s="11252">
        <v>49650</v>
      </c>
      <c r="J47" s="8799">
        <f t="shared" si="3"/>
        <v>0.62062499999999998</v>
      </c>
      <c r="K47" s="11269">
        <v>80000</v>
      </c>
    </row>
    <row r="48" spans="1:14" ht="15" customHeight="1">
      <c r="A48" s="11237"/>
      <c r="B48" s="7352" t="s">
        <v>315</v>
      </c>
      <c r="C48" s="11422"/>
      <c r="D48" s="10387">
        <v>50204010</v>
      </c>
      <c r="E48" s="11252">
        <f>'WS-MOOE 2017'!W44</f>
        <v>2952</v>
      </c>
      <c r="F48" s="11252">
        <f>'WS-MOOE ACTUAL JUNE 2018'!R46</f>
        <v>1027.0999999999999</v>
      </c>
      <c r="G48" s="11444">
        <f t="shared" si="2"/>
        <v>972.90000000000009</v>
      </c>
      <c r="H48" s="11252">
        <v>2000</v>
      </c>
      <c r="I48" s="11252">
        <v>1737.4</v>
      </c>
      <c r="J48" s="8799">
        <f t="shared" si="3"/>
        <v>0.86870000000000003</v>
      </c>
      <c r="K48" s="11268">
        <v>0</v>
      </c>
      <c r="L48" s="7487">
        <v>3000</v>
      </c>
    </row>
    <row r="49" spans="1:13" ht="15" customHeight="1">
      <c r="A49" s="11237"/>
      <c r="B49" s="7352" t="s">
        <v>46</v>
      </c>
      <c r="C49" s="11422"/>
      <c r="D49" s="10387">
        <v>50204020</v>
      </c>
      <c r="E49" s="11252">
        <f>'WS-MOOE 2017'!X44</f>
        <v>8754.69</v>
      </c>
      <c r="F49" s="11252">
        <f>'WS-MOOE ACTUAL JUNE 2018'!S46</f>
        <v>0</v>
      </c>
      <c r="G49" s="11444">
        <f t="shared" si="2"/>
        <v>123000</v>
      </c>
      <c r="H49" s="11252">
        <v>123000</v>
      </c>
      <c r="I49" s="11252">
        <v>0</v>
      </c>
      <c r="J49" s="8799">
        <f t="shared" si="3"/>
        <v>0</v>
      </c>
      <c r="K49" s="11268">
        <v>0</v>
      </c>
      <c r="L49" s="7487">
        <v>123000</v>
      </c>
    </row>
    <row r="50" spans="1:13" ht="15" customHeight="1">
      <c r="A50" s="11237"/>
      <c r="B50" s="7352" t="s">
        <v>125</v>
      </c>
      <c r="C50" s="11422"/>
      <c r="D50" s="10387">
        <v>50205010</v>
      </c>
      <c r="E50" s="11252">
        <f>'WS-MOOE 2017'!Z44</f>
        <v>450</v>
      </c>
      <c r="F50" s="11252">
        <f>'WS-MOOE ACTUAL JUNE 2018'!U46</f>
        <v>0</v>
      </c>
      <c r="G50" s="11444">
        <f t="shared" si="2"/>
        <v>2000</v>
      </c>
      <c r="H50" s="11252">
        <v>2000</v>
      </c>
      <c r="I50" s="11252">
        <v>0</v>
      </c>
      <c r="J50" s="8799">
        <f t="shared" si="3"/>
        <v>0</v>
      </c>
      <c r="K50" s="11269">
        <v>2000</v>
      </c>
    </row>
    <row r="51" spans="1:13" ht="15" customHeight="1">
      <c r="A51" s="11237"/>
      <c r="B51" s="7835" t="s">
        <v>11762</v>
      </c>
      <c r="C51" s="11422"/>
      <c r="D51" s="10387">
        <v>50205020</v>
      </c>
      <c r="E51" s="11252">
        <f>'WS-MOOE 2017'!AA44+'WS-MOOE 2017'!AC44+'WS-MOOE 2017'!AE44</f>
        <v>90929.86</v>
      </c>
      <c r="F51" s="11252">
        <f>'WS-MOOE ACTUAL JUNE 2018'!V46</f>
        <v>25463.439999999999</v>
      </c>
      <c r="G51" s="11444">
        <f t="shared" si="2"/>
        <v>72536.56</v>
      </c>
      <c r="H51" s="11252">
        <v>98000</v>
      </c>
      <c r="I51" s="11252">
        <v>34249.15</v>
      </c>
      <c r="J51" s="8799">
        <f t="shared" si="3"/>
        <v>0.34948112244897961</v>
      </c>
      <c r="K51" s="11269">
        <v>50000</v>
      </c>
    </row>
    <row r="52" spans="1:13" ht="15" hidden="1" customHeight="1">
      <c r="A52" s="11237"/>
      <c r="B52" s="7352" t="s">
        <v>193</v>
      </c>
      <c r="C52" s="11422"/>
      <c r="D52" s="10387"/>
      <c r="E52" s="11252"/>
      <c r="F52" s="11252"/>
      <c r="G52" s="11444">
        <f t="shared" si="2"/>
        <v>0</v>
      </c>
      <c r="H52" s="11252"/>
      <c r="I52" s="11252"/>
      <c r="J52" s="8799" t="e">
        <f t="shared" si="3"/>
        <v>#DIV/0!</v>
      </c>
      <c r="K52" s="11269"/>
    </row>
    <row r="53" spans="1:13" ht="15" customHeight="1">
      <c r="A53" s="11237"/>
      <c r="B53" s="7352" t="s">
        <v>10039</v>
      </c>
      <c r="C53" s="11422"/>
      <c r="D53" s="11456">
        <v>50205030</v>
      </c>
      <c r="E53" s="11252"/>
      <c r="F53" s="11252">
        <f>'WS-MOOE ACTUAL JUNE 2018'!Z46</f>
        <v>11970</v>
      </c>
      <c r="G53" s="11444">
        <f t="shared" si="2"/>
        <v>18030</v>
      </c>
      <c r="H53" s="11252">
        <v>30000</v>
      </c>
      <c r="I53" s="11252">
        <v>15960</v>
      </c>
      <c r="J53" s="8799">
        <f t="shared" si="3"/>
        <v>0.53200000000000003</v>
      </c>
      <c r="K53" s="11269">
        <v>25000</v>
      </c>
    </row>
    <row r="54" spans="1:13" ht="15" customHeight="1">
      <c r="A54" s="11237"/>
      <c r="B54" s="7488" t="s">
        <v>283</v>
      </c>
      <c r="C54" s="10617"/>
      <c r="D54" s="11353">
        <v>50205040</v>
      </c>
      <c r="E54" s="11252">
        <f>'WS-MOOE 2017'!AF44</f>
        <v>3980</v>
      </c>
      <c r="F54" s="11252">
        <f>'WS-MOOE ACTUAL JUNE 2018'!AB46</f>
        <v>1320</v>
      </c>
      <c r="G54" s="11444">
        <f t="shared" si="2"/>
        <v>4680</v>
      </c>
      <c r="H54" s="11252">
        <v>6000</v>
      </c>
      <c r="I54" s="11252">
        <v>1320</v>
      </c>
      <c r="J54" s="8799">
        <f t="shared" si="3"/>
        <v>0.22</v>
      </c>
      <c r="K54" s="11269">
        <v>6000</v>
      </c>
    </row>
    <row r="55" spans="1:13" ht="15" customHeight="1">
      <c r="A55" s="11237"/>
      <c r="B55" s="7352" t="s">
        <v>10940</v>
      </c>
      <c r="C55" s="11422"/>
      <c r="D55" s="10387">
        <v>50212990</v>
      </c>
      <c r="E55" s="11252">
        <f>'WS-MOOE 2017'!AO44</f>
        <v>670181.14</v>
      </c>
      <c r="F55" s="11252">
        <f>'WS-MOOE ACTUAL JUNE 2018'!AJ46</f>
        <v>219609.43</v>
      </c>
      <c r="G55" s="11444">
        <f t="shared" si="2"/>
        <v>630390.57000000007</v>
      </c>
      <c r="H55" s="11252">
        <v>850000</v>
      </c>
      <c r="I55" s="11252">
        <v>384657.55</v>
      </c>
      <c r="J55" s="8799">
        <f t="shared" si="3"/>
        <v>0.45253829411764707</v>
      </c>
      <c r="K55" s="11269">
        <v>1600000</v>
      </c>
      <c r="M55" s="7780" t="s">
        <v>11671</v>
      </c>
    </row>
    <row r="56" spans="1:13" ht="15" customHeight="1">
      <c r="A56" s="11237"/>
      <c r="B56" s="7488" t="s">
        <v>10944</v>
      </c>
      <c r="C56" s="10617"/>
      <c r="D56" s="11380">
        <v>50211990</v>
      </c>
      <c r="E56" s="11252">
        <f>'WS-MOOE 2017'!AL44</f>
        <v>162994.74</v>
      </c>
      <c r="F56" s="11252">
        <f>'WS-MOOE ACTUAL JUNE 2018'!AF46</f>
        <v>54000</v>
      </c>
      <c r="G56" s="11444">
        <f t="shared" si="2"/>
        <v>246000</v>
      </c>
      <c r="H56" s="11252">
        <v>300000</v>
      </c>
      <c r="I56" s="11252">
        <v>124000</v>
      </c>
      <c r="J56" s="8799">
        <f t="shared" si="3"/>
        <v>0.41333333333333333</v>
      </c>
      <c r="K56" s="11269">
        <v>396000</v>
      </c>
    </row>
    <row r="57" spans="1:13" ht="15" customHeight="1">
      <c r="A57" s="11237"/>
      <c r="B57" s="7488" t="s">
        <v>10938</v>
      </c>
      <c r="C57" s="10617"/>
      <c r="D57" s="10387">
        <v>50213050</v>
      </c>
      <c r="E57" s="11252">
        <f>'WS-MOOE 2017'!AW44+'WS-MOOE 2017'!AY44</f>
        <v>23696.15</v>
      </c>
      <c r="F57" s="11252">
        <f>'WS-MOOE ACTUAL JUNE 2018'!AS46</f>
        <v>14095</v>
      </c>
      <c r="G57" s="11444">
        <f t="shared" si="2"/>
        <v>35905</v>
      </c>
      <c r="H57" s="11252">
        <v>50000</v>
      </c>
      <c r="I57" s="11252">
        <v>14095</v>
      </c>
      <c r="J57" s="8799">
        <f t="shared" si="3"/>
        <v>0.28189999999999998</v>
      </c>
      <c r="K57" s="11269">
        <f>30000+20000</f>
        <v>50000</v>
      </c>
    </row>
    <row r="58" spans="1:13" ht="15" hidden="1" customHeight="1">
      <c r="A58" s="11237"/>
      <c r="B58" s="7352" t="s">
        <v>316</v>
      </c>
      <c r="C58" s="11422"/>
      <c r="D58" s="10387"/>
      <c r="E58" s="11252"/>
      <c r="F58" s="11252"/>
      <c r="G58" s="11444">
        <f t="shared" si="2"/>
        <v>0</v>
      </c>
      <c r="H58" s="11252"/>
      <c r="I58" s="11252"/>
      <c r="J58" s="8799" t="e">
        <f t="shared" si="3"/>
        <v>#DIV/0!</v>
      </c>
      <c r="K58" s="11269"/>
    </row>
    <row r="59" spans="1:13" ht="15" customHeight="1">
      <c r="A59" s="11237"/>
      <c r="B59" s="7488" t="s">
        <v>10937</v>
      </c>
      <c r="C59" s="10617"/>
      <c r="D59" s="11059">
        <v>50213060</v>
      </c>
      <c r="E59" s="11252">
        <f>'WS-MOOE 2017'!BB44</f>
        <v>28506</v>
      </c>
      <c r="F59" s="11252">
        <f>'WS-MOOE ACTUAL JUNE 2018'!AT46</f>
        <v>16809.2</v>
      </c>
      <c r="G59" s="11444">
        <f t="shared" si="2"/>
        <v>63190.8</v>
      </c>
      <c r="H59" s="11252">
        <v>80000</v>
      </c>
      <c r="I59" s="11252">
        <v>16809.2</v>
      </c>
      <c r="J59" s="8799">
        <f t="shared" si="3"/>
        <v>0.210115</v>
      </c>
      <c r="K59" s="11269">
        <v>80000</v>
      </c>
    </row>
    <row r="60" spans="1:13" ht="15" customHeight="1">
      <c r="A60" s="11237"/>
      <c r="B60" s="7352" t="s">
        <v>72</v>
      </c>
      <c r="C60" s="11422"/>
      <c r="D60" s="10387">
        <v>50215020</v>
      </c>
      <c r="E60" s="11252">
        <f>'WS-MOOE 2017'!BH44</f>
        <v>3750</v>
      </c>
      <c r="F60" s="11252">
        <f>'WS-MOOE ACTUAL JUNE 2018'!AZ46</f>
        <v>0</v>
      </c>
      <c r="G60" s="11444">
        <f t="shared" si="2"/>
        <v>8000</v>
      </c>
      <c r="H60" s="11252">
        <v>8000</v>
      </c>
      <c r="I60" s="11252">
        <v>0</v>
      </c>
      <c r="J60" s="8799">
        <f t="shared" si="3"/>
        <v>0</v>
      </c>
      <c r="K60" s="11269">
        <v>8000</v>
      </c>
    </row>
    <row r="61" spans="1:13" ht="15" customHeight="1">
      <c r="A61" s="11237"/>
      <c r="B61" s="7913" t="s">
        <v>50</v>
      </c>
      <c r="C61" s="10546"/>
      <c r="D61" s="10387">
        <v>50299990</v>
      </c>
      <c r="E61" s="11252">
        <f>'WS-MOOE 2017'!BO44</f>
        <v>23877.5</v>
      </c>
      <c r="F61" s="11252">
        <f>'WS-MOOE ACTUAL JUNE 2018'!BI46</f>
        <v>5000</v>
      </c>
      <c r="G61" s="11444">
        <f t="shared" si="2"/>
        <v>197000</v>
      </c>
      <c r="H61" s="11252">
        <v>202000</v>
      </c>
      <c r="I61" s="11252">
        <v>5000</v>
      </c>
      <c r="J61" s="8799">
        <f t="shared" si="3"/>
        <v>2.4752475247524754E-2</v>
      </c>
      <c r="K61" s="11269">
        <v>161300</v>
      </c>
    </row>
    <row r="62" spans="1:13" ht="15" customHeight="1">
      <c r="A62" s="11237"/>
      <c r="B62" s="7352"/>
      <c r="C62" s="11422"/>
      <c r="D62" s="10387"/>
      <c r="E62" s="10486"/>
      <c r="F62" s="7725"/>
      <c r="G62" s="11259"/>
      <c r="H62" s="7725"/>
      <c r="I62" s="7725"/>
      <c r="J62" s="7373"/>
      <c r="K62" s="11287"/>
    </row>
    <row r="63" spans="1:13" ht="15" customHeight="1" thickBot="1">
      <c r="A63" s="11235"/>
      <c r="B63" s="7391" t="s">
        <v>37</v>
      </c>
      <c r="C63" s="11423"/>
      <c r="D63" s="11261"/>
      <c r="E63" s="11457">
        <f>SUM(E44:E61)</f>
        <v>1177421.22</v>
      </c>
      <c r="F63" s="11457">
        <f>SUM(F44:F61)</f>
        <v>387174.16</v>
      </c>
      <c r="G63" s="11457">
        <f>SUM(G44:G61)</f>
        <v>1593825.84</v>
      </c>
      <c r="H63" s="11457">
        <f>SUM(H44:H61)</f>
        <v>1981000</v>
      </c>
      <c r="I63" s="11457">
        <f>SUM(I44:I61)</f>
        <v>737921.28999999992</v>
      </c>
      <c r="J63" s="7573">
        <f t="shared" si="3"/>
        <v>0.37249938919737502</v>
      </c>
      <c r="K63" s="11458">
        <f>SUM(K44:K61)</f>
        <v>2708300</v>
      </c>
      <c r="L63" s="10391">
        <f>(K63-H63)/H63</f>
        <v>0.36713780918727917</v>
      </c>
    </row>
    <row r="64" spans="1:13" ht="15" customHeight="1">
      <c r="A64" s="7352"/>
      <c r="B64" s="7361"/>
      <c r="C64" s="11422"/>
      <c r="D64" s="7353"/>
      <c r="E64" s="7364"/>
      <c r="F64" s="7364"/>
      <c r="G64" s="9528"/>
      <c r="H64" s="7364"/>
      <c r="I64" s="7364"/>
      <c r="J64" s="7290"/>
      <c r="K64" s="7364"/>
      <c r="L64" s="7364"/>
    </row>
    <row r="65" spans="1:12" ht="15" customHeight="1">
      <c r="A65" s="7352"/>
      <c r="B65" s="7361"/>
      <c r="C65" s="11422"/>
      <c r="D65" s="7353"/>
      <c r="E65" s="7364"/>
      <c r="F65" s="7364"/>
      <c r="G65" s="9528"/>
      <c r="H65" s="7364"/>
      <c r="I65" s="7364"/>
      <c r="J65" s="7290"/>
      <c r="K65" s="7351"/>
      <c r="L65" s="10586"/>
    </row>
    <row r="66" spans="1:12" ht="15" customHeight="1">
      <c r="A66" s="7352"/>
      <c r="B66" s="7361"/>
      <c r="C66" s="11422"/>
      <c r="D66" s="7353"/>
      <c r="E66" s="7364"/>
      <c r="F66" s="7364"/>
      <c r="G66" s="9528"/>
      <c r="H66" s="7364"/>
      <c r="I66" s="7364"/>
      <c r="J66" s="7290"/>
      <c r="K66" s="7351"/>
      <c r="L66" s="7502"/>
    </row>
    <row r="67" spans="1:12" ht="15" customHeight="1">
      <c r="A67" s="7352"/>
      <c r="B67" s="7361"/>
      <c r="C67" s="11422"/>
      <c r="D67" s="7353"/>
      <c r="E67" s="7364"/>
      <c r="F67" s="7364"/>
      <c r="G67" s="9528"/>
      <c r="H67" s="7364"/>
      <c r="I67" s="7364"/>
      <c r="J67" s="7290"/>
      <c r="K67" s="7364"/>
      <c r="L67" s="7502"/>
    </row>
    <row r="68" spans="1:12" ht="15" customHeight="1">
      <c r="A68" s="7352"/>
      <c r="B68" s="7361"/>
      <c r="C68" s="11422"/>
      <c r="D68" s="7353"/>
      <c r="E68" s="7364"/>
      <c r="F68" s="7364"/>
      <c r="G68" s="9528"/>
      <c r="H68" s="7364"/>
      <c r="I68" s="7364"/>
      <c r="J68" s="7290"/>
      <c r="K68" s="7364"/>
      <c r="L68" s="7502"/>
    </row>
    <row r="69" spans="1:12" ht="15" customHeight="1">
      <c r="A69" s="7352"/>
      <c r="B69" s="7361"/>
      <c r="C69" s="11422"/>
      <c r="D69" s="7353"/>
      <c r="E69" s="7364"/>
      <c r="F69" s="7364"/>
      <c r="G69" s="9528"/>
      <c r="H69" s="7364"/>
      <c r="I69" s="7364"/>
      <c r="J69" s="7290"/>
      <c r="K69" s="7364"/>
      <c r="L69" s="7502"/>
    </row>
    <row r="70" spans="1:12" ht="15" customHeight="1">
      <c r="A70" s="7352"/>
      <c r="B70" s="7361"/>
      <c r="C70" s="11422"/>
      <c r="D70" s="7353"/>
      <c r="E70" s="7364"/>
      <c r="F70" s="7364"/>
      <c r="G70" s="9528"/>
      <c r="H70" s="7364"/>
      <c r="I70" s="7364"/>
      <c r="J70" s="7290"/>
      <c r="K70" s="7364"/>
      <c r="L70" s="7502"/>
    </row>
    <row r="71" spans="1:12" ht="15" customHeight="1">
      <c r="A71" s="7352"/>
      <c r="B71" s="7361"/>
      <c r="C71" s="11422"/>
      <c r="D71" s="7353"/>
      <c r="E71" s="7364"/>
      <c r="F71" s="7364"/>
      <c r="G71" s="9528"/>
      <c r="H71" s="7364"/>
      <c r="I71" s="7364"/>
      <c r="J71" s="7290"/>
      <c r="K71" s="7364"/>
      <c r="L71" s="7502"/>
    </row>
    <row r="72" spans="1:12" ht="15" customHeight="1">
      <c r="A72" s="7352"/>
      <c r="B72" s="7361"/>
      <c r="C72" s="11422"/>
      <c r="D72" s="7353"/>
      <c r="E72" s="7364"/>
      <c r="F72" s="7364"/>
      <c r="G72" s="9528"/>
      <c r="H72" s="7364"/>
      <c r="I72" s="7364"/>
      <c r="J72" s="7290"/>
      <c r="K72" s="7364"/>
      <c r="L72" s="7502"/>
    </row>
    <row r="73" spans="1:12" ht="15" customHeight="1">
      <c r="A73" s="7352"/>
      <c r="B73" s="7361"/>
      <c r="C73" s="11422"/>
      <c r="D73" s="7353"/>
      <c r="E73" s="7364"/>
      <c r="F73" s="7364"/>
      <c r="G73" s="9528"/>
      <c r="H73" s="7364"/>
      <c r="I73" s="7364"/>
      <c r="J73" s="7290"/>
      <c r="K73" s="7364"/>
      <c r="L73" s="7502"/>
    </row>
    <row r="74" spans="1:12" ht="15" customHeight="1">
      <c r="A74" s="7352"/>
      <c r="B74" s="7361"/>
      <c r="C74" s="11422"/>
      <c r="D74" s="7353"/>
      <c r="E74" s="7364"/>
      <c r="F74" s="7364"/>
      <c r="G74" s="9528"/>
      <c r="H74" s="7364"/>
      <c r="I74" s="7364"/>
      <c r="J74" s="7290"/>
      <c r="K74" s="7364"/>
      <c r="L74" s="7502"/>
    </row>
    <row r="75" spans="1:12" ht="15" customHeight="1">
      <c r="A75" s="7352"/>
      <c r="B75" s="7361"/>
      <c r="C75" s="11422"/>
      <c r="D75" s="7353"/>
      <c r="E75" s="7364"/>
      <c r="F75" s="7364"/>
      <c r="G75" s="9528"/>
      <c r="H75" s="7364"/>
      <c r="I75" s="7364"/>
      <c r="J75" s="7290"/>
      <c r="K75" s="7364"/>
      <c r="L75" s="7502"/>
    </row>
    <row r="76" spans="1:12" ht="15" customHeight="1">
      <c r="A76" s="7352"/>
      <c r="B76" s="7361"/>
      <c r="C76" s="11422"/>
      <c r="D76" s="7353"/>
      <c r="E76" s="7364"/>
      <c r="F76" s="7364"/>
      <c r="G76" s="9528"/>
      <c r="H76" s="7364"/>
      <c r="I76" s="7364"/>
      <c r="J76" s="7290"/>
      <c r="K76" s="7364"/>
      <c r="L76" s="7502"/>
    </row>
    <row r="77" spans="1:12" ht="15" customHeight="1" thickBot="1">
      <c r="A77" s="8111" t="s">
        <v>10801</v>
      </c>
      <c r="B77" s="8112"/>
      <c r="C77" s="11423"/>
      <c r="D77" s="8113"/>
      <c r="E77" s="8114"/>
      <c r="F77" s="7393"/>
      <c r="G77" s="9529"/>
      <c r="H77" s="8114"/>
      <c r="I77" s="8114"/>
      <c r="J77" s="7849"/>
      <c r="K77" s="8114"/>
      <c r="L77" s="7502"/>
    </row>
    <row r="78" spans="1:12" ht="15" customHeight="1">
      <c r="A78" s="11433"/>
      <c r="B78" s="11434"/>
      <c r="C78" s="11435"/>
      <c r="D78" s="11436" t="s">
        <v>9</v>
      </c>
      <c r="E78" s="9461" t="s">
        <v>10</v>
      </c>
      <c r="F78" s="14188" t="s">
        <v>10711</v>
      </c>
      <c r="G78" s="14189"/>
      <c r="H78" s="14190"/>
      <c r="I78" s="11080"/>
      <c r="J78" s="8206"/>
      <c r="K78" s="11437" t="s">
        <v>12</v>
      </c>
      <c r="L78" s="7502"/>
    </row>
    <row r="79" spans="1:12" ht="15" customHeight="1">
      <c r="A79" s="11237"/>
      <c r="B79" s="7356" t="s">
        <v>13</v>
      </c>
      <c r="C79" s="10638"/>
      <c r="D79" s="14430" t="s">
        <v>14</v>
      </c>
      <c r="E79" s="11438" t="s">
        <v>15</v>
      </c>
      <c r="F79" s="9502" t="s">
        <v>10709</v>
      </c>
      <c r="G79" s="11083" t="s">
        <v>10710</v>
      </c>
      <c r="H79" s="14191" t="s">
        <v>458</v>
      </c>
      <c r="I79" s="11084"/>
      <c r="J79" s="11085"/>
      <c r="K79" s="11439" t="s">
        <v>16</v>
      </c>
      <c r="L79" s="10573"/>
    </row>
    <row r="80" spans="1:12" ht="15" customHeight="1" thickBot="1">
      <c r="A80" s="11235"/>
      <c r="B80" s="7752"/>
      <c r="C80" s="11424"/>
      <c r="D80" s="14431"/>
      <c r="E80" s="7302">
        <v>2017</v>
      </c>
      <c r="F80" s="9467" t="s">
        <v>457</v>
      </c>
      <c r="G80" s="11076" t="s">
        <v>456</v>
      </c>
      <c r="H80" s="14192"/>
      <c r="I80" s="7302"/>
      <c r="J80" s="7322"/>
      <c r="K80" s="11442">
        <v>2019</v>
      </c>
      <c r="L80" s="7374"/>
    </row>
    <row r="81" spans="1:15" ht="15" customHeight="1">
      <c r="A81" s="11237"/>
      <c r="B81" s="7361"/>
      <c r="C81" s="11426"/>
      <c r="D81" s="10387"/>
      <c r="E81" s="8873"/>
      <c r="F81" s="8873"/>
      <c r="G81" s="11459"/>
      <c r="H81" s="8873"/>
      <c r="I81" s="8873"/>
      <c r="J81" s="8799"/>
      <c r="K81" s="11460"/>
      <c r="L81" s="7374"/>
      <c r="N81" s="14434"/>
      <c r="O81" s="8090">
        <v>600000</v>
      </c>
    </row>
    <row r="82" spans="1:15" ht="15" customHeight="1">
      <c r="A82" s="11241" t="s">
        <v>51</v>
      </c>
      <c r="B82" s="7352" t="s">
        <v>6518</v>
      </c>
      <c r="C82" s="11144"/>
      <c r="D82" s="10387"/>
      <c r="E82" s="11461"/>
      <c r="F82" s="11461"/>
      <c r="G82" s="11462"/>
      <c r="H82" s="8869"/>
      <c r="I82" s="8869"/>
      <c r="J82" s="8799"/>
      <c r="K82" s="11463"/>
      <c r="L82" s="7374"/>
      <c r="N82" s="14434"/>
    </row>
    <row r="83" spans="1:15" ht="15" customHeight="1">
      <c r="A83" s="11241"/>
      <c r="B83" s="7352" t="s">
        <v>11688</v>
      </c>
      <c r="C83" s="11144"/>
      <c r="D83" s="8872">
        <v>50704990</v>
      </c>
      <c r="E83" s="11213"/>
      <c r="F83" s="11213"/>
      <c r="G83" s="11444"/>
      <c r="H83" s="11252"/>
      <c r="I83" s="11252"/>
      <c r="J83" s="11163"/>
      <c r="K83" s="11269">
        <v>1000000</v>
      </c>
      <c r="L83" s="7374"/>
    </row>
    <row r="84" spans="1:15" ht="15" customHeight="1">
      <c r="A84" s="11241"/>
      <c r="B84" s="7352" t="s">
        <v>3343</v>
      </c>
      <c r="C84" s="11144"/>
      <c r="D84" s="10387">
        <v>50705020</v>
      </c>
      <c r="E84" s="11213">
        <f>'WS-CO 2017'!F43</f>
        <v>84779</v>
      </c>
      <c r="F84" s="11213">
        <v>0</v>
      </c>
      <c r="G84" s="11444">
        <f>H84-F84</f>
        <v>700000</v>
      </c>
      <c r="H84" s="11252">
        <v>700000</v>
      </c>
      <c r="I84" s="11252">
        <v>180000</v>
      </c>
      <c r="J84" s="11163">
        <f>I84/H84</f>
        <v>0.25714285714285712</v>
      </c>
      <c r="K84" s="11269">
        <v>0</v>
      </c>
      <c r="L84" s="7374"/>
    </row>
    <row r="85" spans="1:15" ht="15" customHeight="1">
      <c r="A85" s="11241"/>
      <c r="B85" s="7835" t="s">
        <v>11672</v>
      </c>
      <c r="C85" s="11144"/>
      <c r="D85" s="10553">
        <v>50707010</v>
      </c>
      <c r="E85" s="11213"/>
      <c r="F85" s="11213"/>
      <c r="G85" s="11444"/>
      <c r="H85" s="11252"/>
      <c r="I85" s="11252"/>
      <c r="J85" s="11163"/>
      <c r="K85" s="11269">
        <v>465600</v>
      </c>
      <c r="L85" s="7374"/>
    </row>
    <row r="86" spans="1:15" ht="15" customHeight="1">
      <c r="A86" s="11241"/>
      <c r="B86" s="7352"/>
      <c r="C86" s="11144"/>
      <c r="D86" s="10387"/>
      <c r="E86" s="11213"/>
      <c r="F86" s="11213"/>
      <c r="G86" s="11464"/>
      <c r="H86" s="11252"/>
      <c r="I86" s="11252"/>
      <c r="J86" s="11163"/>
      <c r="K86" s="11269"/>
      <c r="L86" s="7374"/>
    </row>
    <row r="87" spans="1:15" s="7374" customFormat="1" ht="15" customHeight="1">
      <c r="A87" s="11241"/>
      <c r="B87" s="7361" t="s">
        <v>37</v>
      </c>
      <c r="C87" s="11144"/>
      <c r="D87" s="10387"/>
      <c r="E87" s="11465">
        <f>SUM(E82:E86)</f>
        <v>84779</v>
      </c>
      <c r="F87" s="11465">
        <f>SUM(F82:F86)</f>
        <v>0</v>
      </c>
      <c r="G87" s="11465">
        <f>SUM(G82:G86)</f>
        <v>700000</v>
      </c>
      <c r="H87" s="11465">
        <f>SUM(H82:H86)</f>
        <v>700000</v>
      </c>
      <c r="I87" s="11465">
        <f>SUM(I84:I86)</f>
        <v>180000</v>
      </c>
      <c r="J87" s="11466"/>
      <c r="K87" s="11467">
        <f>SUM(K81:K86)</f>
        <v>1465600</v>
      </c>
      <c r="L87" s="10391">
        <f>(K87-H87)/H87</f>
        <v>1.0937142857142856</v>
      </c>
      <c r="M87" s="7870"/>
    </row>
    <row r="88" spans="1:15" s="7374" customFormat="1" ht="15" customHeight="1">
      <c r="A88" s="11241"/>
      <c r="B88" s="7361"/>
      <c r="C88" s="11144"/>
      <c r="D88" s="10387"/>
      <c r="E88" s="11468"/>
      <c r="F88" s="11468"/>
      <c r="G88" s="11469"/>
      <c r="H88" s="11468"/>
      <c r="I88" s="11468"/>
      <c r="J88" s="11470"/>
      <c r="K88" s="11471"/>
      <c r="L88" s="10573"/>
      <c r="M88" s="7870"/>
    </row>
    <row r="89" spans="1:15" ht="15" customHeight="1">
      <c r="A89" s="11241" t="s">
        <v>53</v>
      </c>
      <c r="B89" s="7352" t="s">
        <v>54</v>
      </c>
      <c r="C89" s="11144"/>
      <c r="D89" s="10387"/>
      <c r="E89" s="11454"/>
      <c r="F89" s="11454"/>
      <c r="G89" s="11455"/>
      <c r="H89" s="11252"/>
      <c r="I89" s="11252"/>
      <c r="J89" s="11163"/>
      <c r="K89" s="11269"/>
    </row>
    <row r="90" spans="1:15" ht="15" customHeight="1">
      <c r="A90" s="11241"/>
      <c r="B90" s="7352"/>
      <c r="C90" s="11144"/>
      <c r="D90" s="10387"/>
      <c r="E90" s="11454"/>
      <c r="F90" s="11454"/>
      <c r="G90" s="11455"/>
      <c r="H90" s="11252"/>
      <c r="I90" s="11252"/>
      <c r="J90" s="11163"/>
      <c r="K90" s="11269"/>
    </row>
    <row r="91" spans="1:15" s="8115" customFormat="1" ht="15" customHeight="1">
      <c r="A91" s="11472"/>
      <c r="B91" s="7730" t="s">
        <v>4737</v>
      </c>
      <c r="C91" s="10621"/>
      <c r="D91" s="10068">
        <v>899905</v>
      </c>
      <c r="E91" s="11110">
        <v>1484029.81</v>
      </c>
      <c r="F91" s="11473">
        <v>0</v>
      </c>
      <c r="G91" s="11444">
        <f>H91-F91</f>
        <v>3000000</v>
      </c>
      <c r="H91" s="11474">
        <v>3000000</v>
      </c>
      <c r="I91" s="11474">
        <v>1604600</v>
      </c>
      <c r="J91" s="11061">
        <f>I91/H91</f>
        <v>0.53486666666666671</v>
      </c>
      <c r="K91" s="11475">
        <v>2596965</v>
      </c>
      <c r="L91" s="11427"/>
      <c r="M91" s="11428"/>
    </row>
    <row r="92" spans="1:15" s="8115" customFormat="1" ht="15" hidden="1" customHeight="1">
      <c r="A92" s="11472"/>
      <c r="B92" s="11429" t="s">
        <v>117</v>
      </c>
      <c r="C92" s="10621">
        <f>18000+18000+6200+15600+32000+33960</f>
        <v>123760</v>
      </c>
      <c r="D92" s="10068"/>
      <c r="E92" s="11110"/>
      <c r="F92" s="11473"/>
      <c r="G92" s="11444"/>
      <c r="H92" s="11474"/>
      <c r="I92" s="11474"/>
      <c r="J92" s="11061"/>
      <c r="K92" s="11475"/>
      <c r="L92" s="11430">
        <f>SUM(C92:C101)</f>
        <v>2556965</v>
      </c>
      <c r="M92" s="11428"/>
    </row>
    <row r="93" spans="1:15" s="8115" customFormat="1" ht="15" hidden="1" customHeight="1">
      <c r="A93" s="11472"/>
      <c r="B93" s="11429" t="s">
        <v>41</v>
      </c>
      <c r="C93" s="10621">
        <f>60000+66250+16875</f>
        <v>143125</v>
      </c>
      <c r="D93" s="10068"/>
      <c r="E93" s="11110"/>
      <c r="F93" s="11473"/>
      <c r="G93" s="11444"/>
      <c r="H93" s="11474"/>
      <c r="I93" s="11474"/>
      <c r="J93" s="11061"/>
      <c r="K93" s="11475"/>
      <c r="L93" s="11427">
        <f>K91-L92</f>
        <v>40000</v>
      </c>
      <c r="M93" s="11428"/>
    </row>
    <row r="94" spans="1:15" s="8115" customFormat="1" ht="15" hidden="1" customHeight="1">
      <c r="A94" s="11472"/>
      <c r="B94" s="11429" t="s">
        <v>42</v>
      </c>
      <c r="C94" s="10621">
        <f>9000+1000+9250+1500+3600+450</f>
        <v>24800</v>
      </c>
      <c r="D94" s="10068"/>
      <c r="E94" s="11110"/>
      <c r="F94" s="11473"/>
      <c r="G94" s="11444"/>
      <c r="H94" s="11474"/>
      <c r="I94" s="11474"/>
      <c r="J94" s="11061"/>
      <c r="K94" s="11475"/>
      <c r="L94" s="11427"/>
      <c r="M94" s="11428"/>
    </row>
    <row r="95" spans="1:15" s="8115" customFormat="1" ht="15" hidden="1" customHeight="1">
      <c r="A95" s="11472"/>
      <c r="B95" s="11429" t="s">
        <v>11790</v>
      </c>
      <c r="C95" s="10621">
        <f>12000+8000</f>
        <v>20000</v>
      </c>
      <c r="D95" s="10068"/>
      <c r="E95" s="11110"/>
      <c r="F95" s="11473"/>
      <c r="G95" s="11444"/>
      <c r="H95" s="11474"/>
      <c r="I95" s="11474"/>
      <c r="J95" s="11061"/>
      <c r="K95" s="11475"/>
      <c r="L95" s="11427"/>
      <c r="M95" s="11428"/>
    </row>
    <row r="96" spans="1:15" s="8115" customFormat="1" ht="15" hidden="1" customHeight="1">
      <c r="A96" s="11472"/>
      <c r="B96" s="11429" t="s">
        <v>11806</v>
      </c>
      <c r="C96" s="10621">
        <f>15000+6000+10500+6000+18000</f>
        <v>55500</v>
      </c>
      <c r="D96" s="10068"/>
      <c r="E96" s="11110"/>
      <c r="F96" s="11473"/>
      <c r="G96" s="11444"/>
      <c r="H96" s="11474"/>
      <c r="I96" s="11474"/>
      <c r="J96" s="11061"/>
      <c r="K96" s="11475"/>
      <c r="L96" s="11427"/>
      <c r="M96" s="11428"/>
    </row>
    <row r="97" spans="1:13" s="8115" customFormat="1" ht="15" hidden="1" customHeight="1">
      <c r="A97" s="11472"/>
      <c r="B97" s="10626" t="s">
        <v>11814</v>
      </c>
      <c r="C97" s="10621">
        <f>185000+120000+60000+408000</f>
        <v>773000</v>
      </c>
      <c r="D97" s="10068"/>
      <c r="E97" s="11110"/>
      <c r="F97" s="11473"/>
      <c r="G97" s="11444"/>
      <c r="H97" s="11474"/>
      <c r="I97" s="11474"/>
      <c r="J97" s="11061"/>
      <c r="K97" s="11475"/>
      <c r="L97" s="11427"/>
      <c r="M97" s="11428"/>
    </row>
    <row r="98" spans="1:13" s="8115" customFormat="1" ht="15" hidden="1" customHeight="1">
      <c r="A98" s="11472"/>
      <c r="B98" s="10626" t="s">
        <v>11813</v>
      </c>
      <c r="C98" s="10621">
        <v>25000</v>
      </c>
      <c r="D98" s="10068"/>
      <c r="E98" s="11110"/>
      <c r="F98" s="11473"/>
      <c r="G98" s="11444"/>
      <c r="H98" s="11474"/>
      <c r="I98" s="11474"/>
      <c r="J98" s="11061"/>
      <c r="K98" s="11475"/>
      <c r="L98" s="11427"/>
      <c r="M98" s="11428"/>
    </row>
    <row r="99" spans="1:13" s="8115" customFormat="1" ht="15" hidden="1" customHeight="1">
      <c r="A99" s="11472"/>
      <c r="B99" s="10626" t="s">
        <v>718</v>
      </c>
      <c r="C99" s="10621">
        <v>8000</v>
      </c>
      <c r="D99" s="10068"/>
      <c r="E99" s="11110"/>
      <c r="F99" s="11473"/>
      <c r="G99" s="11444"/>
      <c r="H99" s="11474"/>
      <c r="I99" s="11474"/>
      <c r="J99" s="11061"/>
      <c r="K99" s="11475"/>
      <c r="L99" s="11427"/>
      <c r="M99" s="11428"/>
    </row>
    <row r="100" spans="1:13" s="8115" customFormat="1" ht="15" hidden="1" customHeight="1">
      <c r="A100" s="11472"/>
      <c r="B100" s="10628" t="s">
        <v>11812</v>
      </c>
      <c r="C100" s="10621">
        <f>8250+430000+247000+21000</f>
        <v>706250</v>
      </c>
      <c r="D100" s="10068"/>
      <c r="E100" s="11110"/>
      <c r="F100" s="11473"/>
      <c r="G100" s="11444"/>
      <c r="H100" s="11474"/>
      <c r="I100" s="11474"/>
      <c r="J100" s="11061"/>
      <c r="K100" s="11475"/>
      <c r="L100" s="11427"/>
      <c r="M100" s="11428"/>
    </row>
    <row r="101" spans="1:13" s="8115" customFormat="1" ht="15" hidden="1" customHeight="1">
      <c r="A101" s="11472"/>
      <c r="B101" s="10628" t="s">
        <v>11789</v>
      </c>
      <c r="C101" s="10621">
        <f>119750+12000+11400+4500+2500+500+106400+35000+95000+28800+95000+55680+111000</f>
        <v>677530</v>
      </c>
      <c r="D101" s="10068"/>
      <c r="E101" s="11110"/>
      <c r="F101" s="11473"/>
      <c r="G101" s="11444"/>
      <c r="H101" s="11474"/>
      <c r="I101" s="11474"/>
      <c r="J101" s="11061"/>
      <c r="K101" s="11475"/>
      <c r="L101" s="11427"/>
      <c r="M101" s="11428"/>
    </row>
    <row r="102" spans="1:13" s="7333" customFormat="1" ht="15" customHeight="1">
      <c r="A102" s="11288"/>
      <c r="B102" s="7361" t="s">
        <v>37</v>
      </c>
      <c r="C102" s="11144"/>
      <c r="D102" s="10111"/>
      <c r="E102" s="11281">
        <f>SUM(E91)</f>
        <v>1484029.81</v>
      </c>
      <c r="F102" s="11281">
        <f>SUM(F91)</f>
        <v>0</v>
      </c>
      <c r="G102" s="11281">
        <f>SUM(G91)</f>
        <v>3000000</v>
      </c>
      <c r="H102" s="11281">
        <f>H91</f>
        <v>3000000</v>
      </c>
      <c r="I102" s="11281">
        <f>SUM(I91)</f>
        <v>1604600</v>
      </c>
      <c r="J102" s="11206"/>
      <c r="K102" s="11282">
        <f>K91</f>
        <v>2596965</v>
      </c>
      <c r="L102" s="10391">
        <f>(K102-H102)/H102</f>
        <v>-0.13434499999999999</v>
      </c>
      <c r="M102" s="7869"/>
    </row>
    <row r="103" spans="1:13" s="7333" customFormat="1" ht="15" customHeight="1">
      <c r="A103" s="11292"/>
      <c r="B103" s="11293"/>
      <c r="C103" s="11431"/>
      <c r="D103" s="11294"/>
      <c r="E103" s="11284"/>
      <c r="F103" s="11284"/>
      <c r="G103" s="11284"/>
      <c r="H103" s="11284"/>
      <c r="I103" s="11284"/>
      <c r="J103" s="11220"/>
      <c r="K103" s="11286"/>
      <c r="L103" s="10585"/>
      <c r="M103" s="7869"/>
    </row>
    <row r="104" spans="1:13" ht="15" customHeight="1" thickBot="1">
      <c r="A104" s="11297"/>
      <c r="B104" s="11298" t="s">
        <v>55</v>
      </c>
      <c r="C104" s="11476"/>
      <c r="D104" s="11299"/>
      <c r="E104" s="11300">
        <f>(E26+E63+E87+E102)</f>
        <v>3855736.68</v>
      </c>
      <c r="F104" s="11300">
        <f>(F26+F63+F87+F102)</f>
        <v>913906.83000000007</v>
      </c>
      <c r="G104" s="11300">
        <f>(G26+G63+G87+G102)</f>
        <v>6844993.1699999999</v>
      </c>
      <c r="H104" s="11300">
        <f>(H26+H63+H87+H102)</f>
        <v>7758900</v>
      </c>
      <c r="I104" s="11300"/>
      <c r="J104" s="7327"/>
      <c r="K104" s="11301">
        <f>(K26+K63+K87+K102)</f>
        <v>8852336.120000001</v>
      </c>
      <c r="L104" s="10391">
        <f>(K104-H104)/H104</f>
        <v>0.14092669321682211</v>
      </c>
    </row>
    <row r="105" spans="1:13" ht="15" customHeight="1">
      <c r="A105" s="7738" t="s">
        <v>4763</v>
      </c>
      <c r="B105" s="7738"/>
      <c r="C105" s="11422"/>
      <c r="D105" s="7739"/>
      <c r="E105" s="7740"/>
      <c r="F105" s="7740"/>
      <c r="G105" s="9530"/>
      <c r="H105" s="7741"/>
      <c r="I105" s="7740"/>
      <c r="J105" s="7742"/>
      <c r="K105" s="7741"/>
      <c r="L105" s="7822"/>
    </row>
    <row r="106" spans="1:13" ht="15" customHeight="1">
      <c r="A106" s="7738"/>
      <c r="B106" s="7738"/>
      <c r="C106" s="11422"/>
      <c r="D106" s="7739"/>
      <c r="E106" s="7740"/>
      <c r="F106" s="7740"/>
      <c r="G106" s="9530"/>
      <c r="H106" s="7741"/>
      <c r="I106" s="7740"/>
      <c r="J106" s="7742"/>
      <c r="K106" s="7741"/>
      <c r="L106" s="7348"/>
    </row>
    <row r="107" spans="1:13" ht="15" hidden="1" customHeight="1">
      <c r="A107" s="7761" t="s">
        <v>3483</v>
      </c>
      <c r="B107" s="7761"/>
      <c r="C107" s="7989"/>
      <c r="D107" s="10870" t="s">
        <v>3484</v>
      </c>
      <c r="E107" s="7351"/>
      <c r="F107" s="7763"/>
      <c r="G107" s="7337" t="s">
        <v>10666</v>
      </c>
      <c r="H107" s="7351"/>
      <c r="I107" s="7763"/>
      <c r="J107" s="7286"/>
      <c r="K107" s="7351"/>
    </row>
    <row r="108" spans="1:13" ht="15" hidden="1" customHeight="1">
      <c r="A108" s="7761"/>
      <c r="B108" s="7761"/>
      <c r="C108" s="7989"/>
      <c r="D108" s="7351"/>
      <c r="E108" s="10870"/>
      <c r="F108" s="7763"/>
      <c r="G108" s="9531"/>
      <c r="H108" s="7339"/>
      <c r="I108" s="7763"/>
      <c r="J108" s="7286"/>
      <c r="K108" s="7351"/>
    </row>
    <row r="109" spans="1:13" ht="15" hidden="1" customHeight="1">
      <c r="A109" s="7761"/>
      <c r="B109" s="7761"/>
      <c r="C109" s="7989"/>
      <c r="D109" s="7351"/>
      <c r="E109" s="10870"/>
      <c r="F109" s="7763"/>
      <c r="G109" s="9531"/>
      <c r="H109" s="7339"/>
      <c r="I109" s="7763"/>
      <c r="J109" s="7286"/>
      <c r="K109" s="7339"/>
    </row>
    <row r="110" spans="1:13" ht="15" hidden="1" customHeight="1">
      <c r="A110" s="14304" t="s">
        <v>11252</v>
      </c>
      <c r="B110" s="14304"/>
      <c r="C110" s="10652"/>
      <c r="D110" s="7351"/>
      <c r="E110" s="9604" t="s">
        <v>12059</v>
      </c>
      <c r="F110" s="7766"/>
      <c r="G110" s="9552"/>
      <c r="H110" s="7342" t="s">
        <v>9154</v>
      </c>
      <c r="I110" s="7766"/>
      <c r="J110" s="7284"/>
      <c r="K110" s="7822"/>
    </row>
    <row r="111" spans="1:13" ht="15" hidden="1" customHeight="1">
      <c r="A111" s="14245" t="s">
        <v>11253</v>
      </c>
      <c r="B111" s="14245"/>
      <c r="C111" s="10652"/>
      <c r="D111" s="7351"/>
      <c r="E111" s="7821" t="s">
        <v>10346</v>
      </c>
      <c r="F111" s="7763"/>
      <c r="G111" s="9531"/>
      <c r="H111" s="7344" t="s">
        <v>10665</v>
      </c>
      <c r="I111" s="7763"/>
      <c r="J111" s="7763"/>
      <c r="K111" s="7763"/>
    </row>
    <row r="112" spans="1:13" ht="15" customHeight="1">
      <c r="A112" s="7335"/>
      <c r="B112" s="7335"/>
      <c r="C112" s="7989"/>
      <c r="D112" s="10884"/>
      <c r="E112" s="7336"/>
      <c r="F112" s="7336"/>
      <c r="G112" s="9524"/>
      <c r="H112" s="7336"/>
      <c r="I112" s="7336"/>
      <c r="J112" s="7286"/>
      <c r="K112" s="7336"/>
    </row>
    <row r="113" spans="1:11" ht="15" hidden="1" customHeight="1">
      <c r="A113" s="7335"/>
      <c r="B113" s="7335"/>
      <c r="C113" s="7989"/>
      <c r="D113" s="10884"/>
      <c r="E113" s="7336"/>
      <c r="F113" s="7336"/>
      <c r="G113" s="9524"/>
      <c r="H113" s="9558" t="s">
        <v>11078</v>
      </c>
      <c r="I113" s="7345"/>
      <c r="J113" s="8895" t="s">
        <v>11080</v>
      </c>
      <c r="K113" s="7336"/>
    </row>
    <row r="114" spans="1:11" ht="15" hidden="1" customHeight="1">
      <c r="H114" s="8901"/>
    </row>
    <row r="115" spans="1:11" ht="15" hidden="1" customHeight="1">
      <c r="G115" s="9534">
        <v>5971862</v>
      </c>
      <c r="H115" s="8901">
        <f>H104-G115</f>
        <v>1787038</v>
      </c>
      <c r="J115" s="8896">
        <f>K104-H104</f>
        <v>1093436.120000001</v>
      </c>
    </row>
    <row r="116" spans="1:11" ht="15" hidden="1" customHeight="1">
      <c r="H116" s="8867">
        <f>H115/G115</f>
        <v>0.29924301666716346</v>
      </c>
      <c r="J116" s="8897">
        <f>J115/H104</f>
        <v>0.14092669321682211</v>
      </c>
    </row>
    <row r="117" spans="1:11" ht="15" customHeight="1">
      <c r="J117" s="8897"/>
    </row>
  </sheetData>
  <mergeCells count="14">
    <mergeCell ref="A110:B110"/>
    <mergeCell ref="A111:B111"/>
    <mergeCell ref="F78:H78"/>
    <mergeCell ref="H79:H80"/>
    <mergeCell ref="N81:N82"/>
    <mergeCell ref="D7:D8"/>
    <mergeCell ref="D79:D80"/>
    <mergeCell ref="A1:K1"/>
    <mergeCell ref="F6:H6"/>
    <mergeCell ref="H7:H8"/>
    <mergeCell ref="F39:H39"/>
    <mergeCell ref="D40:D41"/>
    <mergeCell ref="H40:H41"/>
    <mergeCell ref="K3:K4"/>
  </mergeCells>
  <printOptions horizontalCentered="1" gridLinesSet="0"/>
  <pageMargins left="0.25" right="0.25" top="0.5" bottom="0.25" header="0.25" footer="0.25"/>
  <pageSetup paperSize="119" firstPageNumber="74" orientation="landscape" useFirstPageNumber="1" r:id="rId1"/>
  <headerFooter alignWithMargins="0"/>
</worksheet>
</file>

<file path=xl/worksheets/sheet43.xml><?xml version="1.0" encoding="utf-8"?>
<worksheet xmlns="http://schemas.openxmlformats.org/spreadsheetml/2006/main" xmlns:r="http://schemas.openxmlformats.org/officeDocument/2006/relationships">
  <sheetPr codeName="Sheet216"/>
  <dimension ref="A1"/>
  <sheetViews>
    <sheetView workbookViewId="0"/>
  </sheetViews>
  <sheetFormatPr defaultRowHeight="14.4"/>
  <sheetData/>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Sheet71">
    <tabColor rgb="FFFFFF00"/>
  </sheetPr>
  <dimension ref="A1:G97"/>
  <sheetViews>
    <sheetView workbookViewId="0">
      <selection activeCell="G50" sqref="G50"/>
    </sheetView>
  </sheetViews>
  <sheetFormatPr defaultColWidth="9.109375" defaultRowHeight="14.4"/>
  <cols>
    <col min="1" max="1" width="40.44140625" style="951" customWidth="1"/>
    <col min="2" max="2" width="11.88671875" style="951" hidden="1" customWidth="1"/>
    <col min="3" max="3" width="12.88671875" style="951" customWidth="1"/>
    <col min="4" max="4" width="13.88671875" style="951" customWidth="1"/>
    <col min="5" max="5" width="13.44140625" style="951" customWidth="1"/>
    <col min="6" max="6" width="14.44140625" style="951" customWidth="1"/>
    <col min="7" max="7" width="15" style="946" customWidth="1"/>
    <col min="8" max="16384" width="9.109375" style="951"/>
  </cols>
  <sheetData>
    <row r="1" spans="1:7" ht="15.6">
      <c r="A1" s="3553" t="s">
        <v>8937</v>
      </c>
    </row>
    <row r="2" spans="1:7" ht="15.6">
      <c r="A2" s="3553"/>
    </row>
    <row r="3" spans="1:7" s="1029" customFormat="1" ht="15.6">
      <c r="A3" s="3571" t="s">
        <v>4966</v>
      </c>
      <c r="B3" s="3572"/>
      <c r="C3" s="3572"/>
      <c r="D3" s="3572"/>
      <c r="E3" s="3572"/>
      <c r="F3" s="3572"/>
      <c r="G3" s="3579"/>
    </row>
    <row r="4" spans="1:7">
      <c r="A4" s="3554" t="s">
        <v>8960</v>
      </c>
      <c r="B4" s="3554"/>
      <c r="C4" s="3554"/>
      <c r="D4" s="3554"/>
      <c r="E4" s="3554"/>
      <c r="F4" s="3554"/>
      <c r="G4" s="3579"/>
    </row>
    <row r="5" spans="1:7">
      <c r="A5" s="3554" t="s">
        <v>8961</v>
      </c>
      <c r="B5" s="3554"/>
      <c r="C5" s="3554"/>
      <c r="D5" s="3554"/>
      <c r="E5" s="3554"/>
      <c r="F5" s="3554"/>
      <c r="G5" s="3579"/>
    </row>
    <row r="6" spans="1:7" s="946" customFormat="1">
      <c r="A6" s="14435" t="s">
        <v>8962</v>
      </c>
      <c r="C6" s="14437" t="s">
        <v>13</v>
      </c>
      <c r="D6" s="14438"/>
      <c r="E6" s="14439"/>
      <c r="F6" s="3573"/>
      <c r="G6" s="14435" t="s">
        <v>220</v>
      </c>
    </row>
    <row r="7" spans="1:7" s="946" customFormat="1" ht="21" customHeight="1">
      <c r="A7" s="14436"/>
      <c r="B7" s="3574" t="s">
        <v>8963</v>
      </c>
      <c r="C7" s="3575" t="s">
        <v>217</v>
      </c>
      <c r="D7" s="3574" t="s">
        <v>1973</v>
      </c>
      <c r="E7" s="3578" t="s">
        <v>52</v>
      </c>
      <c r="F7" s="3577" t="s">
        <v>259</v>
      </c>
      <c r="G7" s="14436"/>
    </row>
    <row r="8" spans="1:7">
      <c r="A8" s="3555" t="s">
        <v>6569</v>
      </c>
      <c r="B8" s="3556"/>
      <c r="C8" s="3556"/>
      <c r="D8" s="3556"/>
      <c r="E8" s="3556"/>
      <c r="F8" s="3556"/>
      <c r="G8" s="3580">
        <f t="shared" ref="G8:G38" si="0">SUM(B8:F8)</f>
        <v>0</v>
      </c>
    </row>
    <row r="9" spans="1:7" ht="35.25" customHeight="1">
      <c r="A9" s="2150" t="s">
        <v>8997</v>
      </c>
      <c r="B9" s="3556"/>
      <c r="C9" s="3556"/>
      <c r="D9" s="3556"/>
      <c r="E9" s="3556"/>
      <c r="F9" s="3556"/>
      <c r="G9" s="3580">
        <f t="shared" si="0"/>
        <v>0</v>
      </c>
    </row>
    <row r="10" spans="1:7" ht="17.25" customHeight="1">
      <c r="A10" s="2150" t="s">
        <v>8998</v>
      </c>
      <c r="B10" s="3556"/>
      <c r="C10" s="3556"/>
      <c r="D10" s="3556"/>
      <c r="E10" s="3556"/>
      <c r="F10" s="3556"/>
      <c r="G10" s="3580">
        <f t="shared" si="0"/>
        <v>0</v>
      </c>
    </row>
    <row r="11" spans="1:7" ht="35.25" customHeight="1">
      <c r="A11" s="2150" t="s">
        <v>8999</v>
      </c>
      <c r="B11" s="3556"/>
      <c r="C11" s="3556"/>
      <c r="D11" s="3556"/>
      <c r="E11" s="3556"/>
      <c r="F11" s="3556"/>
      <c r="G11" s="3580">
        <f t="shared" si="0"/>
        <v>0</v>
      </c>
    </row>
    <row r="12" spans="1:7" ht="18.75" customHeight="1">
      <c r="A12" s="2150" t="s">
        <v>9000</v>
      </c>
      <c r="B12" s="3556"/>
      <c r="C12" s="3556"/>
      <c r="D12" s="3556"/>
      <c r="E12" s="3556"/>
      <c r="F12" s="3556"/>
      <c r="G12" s="3580">
        <f t="shared" si="0"/>
        <v>0</v>
      </c>
    </row>
    <row r="13" spans="1:7">
      <c r="A13" s="2150"/>
      <c r="B13" s="3556"/>
      <c r="C13" s="3556"/>
      <c r="D13" s="3556"/>
      <c r="E13" s="3556"/>
      <c r="F13" s="3556"/>
      <c r="G13" s="3580">
        <f t="shared" si="0"/>
        <v>0</v>
      </c>
    </row>
    <row r="14" spans="1:7" ht="35.25" customHeight="1">
      <c r="A14" s="3557" t="s">
        <v>6581</v>
      </c>
      <c r="B14" s="3556"/>
      <c r="C14" s="3556">
        <f>'lbpf 3-BTO'!K26</f>
        <v>2081471.12</v>
      </c>
      <c r="D14" s="3556">
        <f>'lbpf 3-BTO'!K63</f>
        <v>2708300</v>
      </c>
      <c r="E14" s="3556"/>
      <c r="F14" s="3556"/>
      <c r="G14" s="3580">
        <f t="shared" si="0"/>
        <v>4789771.12</v>
      </c>
    </row>
    <row r="15" spans="1:7" ht="17.25" customHeight="1">
      <c r="A15" s="2150" t="s">
        <v>9001</v>
      </c>
      <c r="B15" s="3556"/>
      <c r="C15" s="3556"/>
      <c r="D15" s="3556"/>
      <c r="E15" s="3556"/>
      <c r="F15" s="3556"/>
      <c r="G15" s="3580">
        <f t="shared" si="0"/>
        <v>0</v>
      </c>
    </row>
    <row r="16" spans="1:7" ht="18.75" customHeight="1">
      <c r="A16" s="3558" t="s">
        <v>9002</v>
      </c>
      <c r="B16" s="3556"/>
      <c r="C16" s="3556"/>
      <c r="D16" s="3556"/>
      <c r="E16" s="3556"/>
      <c r="F16" s="3556"/>
      <c r="G16" s="3580">
        <f t="shared" si="0"/>
        <v>0</v>
      </c>
    </row>
    <row r="17" spans="1:7" ht="15.75" customHeight="1">
      <c r="A17" s="3558" t="s">
        <v>9003</v>
      </c>
      <c r="B17" s="3556"/>
      <c r="C17" s="3556"/>
      <c r="D17" s="3556"/>
      <c r="E17" s="3556"/>
      <c r="F17" s="3556"/>
      <c r="G17" s="3580">
        <f t="shared" si="0"/>
        <v>0</v>
      </c>
    </row>
    <row r="18" spans="1:7">
      <c r="A18" s="3559" t="s">
        <v>9004</v>
      </c>
      <c r="B18" s="3556"/>
      <c r="C18" s="3556"/>
      <c r="D18" s="3556"/>
      <c r="E18" s="3556"/>
      <c r="F18" s="3556"/>
      <c r="G18" s="3580">
        <f t="shared" si="0"/>
        <v>0</v>
      </c>
    </row>
    <row r="19" spans="1:7" ht="18" customHeight="1">
      <c r="A19" s="3560" t="s">
        <v>9005</v>
      </c>
      <c r="B19" s="3556"/>
      <c r="C19" s="3556"/>
      <c r="D19" s="3556"/>
      <c r="E19" s="3556"/>
      <c r="F19" s="3556"/>
      <c r="G19" s="3580">
        <f t="shared" si="0"/>
        <v>0</v>
      </c>
    </row>
    <row r="20" spans="1:7" ht="33" customHeight="1">
      <c r="A20" s="2150" t="s">
        <v>9006</v>
      </c>
      <c r="B20" s="3556"/>
      <c r="C20" s="3556"/>
      <c r="D20" s="3556"/>
      <c r="E20" s="3556"/>
      <c r="F20" s="3556"/>
      <c r="G20" s="3580">
        <f t="shared" si="0"/>
        <v>0</v>
      </c>
    </row>
    <row r="21" spans="1:7" ht="15" customHeight="1">
      <c r="A21" s="3561" t="s">
        <v>9007</v>
      </c>
      <c r="B21" s="3556"/>
      <c r="D21" s="3556"/>
      <c r="E21" s="3556"/>
      <c r="F21" s="3556"/>
      <c r="G21" s="3580">
        <f t="shared" si="0"/>
        <v>0</v>
      </c>
    </row>
    <row r="22" spans="1:7" ht="21" customHeight="1">
      <c r="A22" s="3560" t="s">
        <v>9028</v>
      </c>
      <c r="B22" s="3556"/>
      <c r="C22" s="3556"/>
      <c r="D22" s="3556"/>
      <c r="E22" s="3556"/>
      <c r="F22" s="3556"/>
      <c r="G22" s="3580">
        <f t="shared" si="0"/>
        <v>0</v>
      </c>
    </row>
    <row r="23" spans="1:7" ht="15.75" customHeight="1">
      <c r="A23" s="2150" t="s">
        <v>9008</v>
      </c>
      <c r="B23" s="3556"/>
      <c r="C23" s="3556"/>
      <c r="D23" s="3556"/>
      <c r="E23" s="3556"/>
      <c r="F23" s="3556"/>
      <c r="G23" s="3580">
        <f t="shared" si="0"/>
        <v>0</v>
      </c>
    </row>
    <row r="24" spans="1:7" ht="15.75" customHeight="1">
      <c r="A24" s="2150" t="s">
        <v>9009</v>
      </c>
      <c r="B24" s="3556"/>
      <c r="C24" s="3556"/>
      <c r="D24" s="3556"/>
      <c r="E24" s="3556"/>
      <c r="F24" s="3556"/>
      <c r="G24" s="3580">
        <f t="shared" si="0"/>
        <v>0</v>
      </c>
    </row>
    <row r="25" spans="1:7" ht="15.75" customHeight="1">
      <c r="A25" s="3558" t="s">
        <v>9010</v>
      </c>
      <c r="B25" s="3556"/>
      <c r="C25" s="3556"/>
      <c r="D25" s="3556"/>
      <c r="E25" s="3556"/>
      <c r="F25" s="3556"/>
      <c r="G25" s="3580">
        <f t="shared" si="0"/>
        <v>0</v>
      </c>
    </row>
    <row r="26" spans="1:7" ht="18" customHeight="1">
      <c r="A26" s="3558" t="s">
        <v>9029</v>
      </c>
      <c r="B26" s="3556"/>
      <c r="C26" s="3556"/>
      <c r="D26" s="3556"/>
      <c r="E26" s="3556"/>
      <c r="F26" s="3556"/>
      <c r="G26" s="3580">
        <f t="shared" si="0"/>
        <v>0</v>
      </c>
    </row>
    <row r="27" spans="1:7" ht="18.75" customHeight="1">
      <c r="A27" s="3560" t="s">
        <v>9011</v>
      </c>
      <c r="B27" s="3556"/>
      <c r="C27" s="3556"/>
      <c r="D27" s="3556"/>
      <c r="E27" s="3556"/>
      <c r="F27" s="3556"/>
      <c r="G27" s="3580">
        <f t="shared" si="0"/>
        <v>0</v>
      </c>
    </row>
    <row r="28" spans="1:7" ht="30.75" customHeight="1">
      <c r="A28" s="3558" t="s">
        <v>9012</v>
      </c>
      <c r="B28" s="3556"/>
      <c r="C28" s="3556"/>
      <c r="D28" s="3556"/>
      <c r="E28" s="3556"/>
      <c r="F28" s="3556"/>
      <c r="G28" s="3580">
        <f t="shared" si="0"/>
        <v>0</v>
      </c>
    </row>
    <row r="29" spans="1:7" ht="18.75" customHeight="1">
      <c r="A29" s="3561" t="s">
        <v>9013</v>
      </c>
      <c r="B29" s="3556"/>
      <c r="C29" s="3556"/>
      <c r="D29" s="3556"/>
      <c r="E29" s="3556"/>
      <c r="F29" s="3556"/>
      <c r="G29" s="3580">
        <f t="shared" si="0"/>
        <v>0</v>
      </c>
    </row>
    <row r="30" spans="1:7" ht="19.5" customHeight="1">
      <c r="A30" s="3561" t="s">
        <v>9014</v>
      </c>
      <c r="B30" s="3556"/>
      <c r="C30" s="3556"/>
      <c r="D30" s="3556"/>
      <c r="E30" s="3556"/>
      <c r="F30" s="3556"/>
      <c r="G30" s="3580">
        <f t="shared" si="0"/>
        <v>0</v>
      </c>
    </row>
    <row r="31" spans="1:7">
      <c r="A31" s="3560" t="s">
        <v>9015</v>
      </c>
      <c r="B31" s="3556"/>
      <c r="C31" s="3556"/>
      <c r="D31" s="3556"/>
      <c r="E31" s="3556"/>
      <c r="F31" s="3556"/>
      <c r="G31" s="3580">
        <f t="shared" si="0"/>
        <v>0</v>
      </c>
    </row>
    <row r="32" spans="1:7">
      <c r="A32" s="3562" t="s">
        <v>9016</v>
      </c>
      <c r="B32" s="3556"/>
      <c r="C32" s="3556"/>
      <c r="D32" s="3556"/>
      <c r="E32" s="3556"/>
      <c r="F32" s="3556"/>
      <c r="G32" s="3580">
        <f t="shared" si="0"/>
        <v>0</v>
      </c>
    </row>
    <row r="33" spans="1:7">
      <c r="A33" s="3559" t="s">
        <v>9017</v>
      </c>
      <c r="B33" s="3556"/>
      <c r="C33" s="3556"/>
      <c r="D33" s="3556"/>
      <c r="E33" s="3556"/>
      <c r="F33" s="3556"/>
      <c r="G33" s="3580">
        <f t="shared" si="0"/>
        <v>0</v>
      </c>
    </row>
    <row r="34" spans="1:7">
      <c r="A34" s="3559" t="s">
        <v>9018</v>
      </c>
      <c r="B34" s="3556"/>
      <c r="C34" s="3556"/>
      <c r="D34" s="3556"/>
      <c r="E34" s="3556">
        <f>'lbpf 3-BTO'!K84</f>
        <v>0</v>
      </c>
      <c r="F34" s="3556"/>
      <c r="G34" s="3580">
        <f t="shared" si="0"/>
        <v>0</v>
      </c>
    </row>
    <row r="35" spans="1:7">
      <c r="A35" s="3563" t="s">
        <v>9019</v>
      </c>
      <c r="B35" s="3556"/>
      <c r="C35" s="3556"/>
      <c r="D35" s="3556"/>
      <c r="E35" s="3556"/>
      <c r="F35" s="3556"/>
      <c r="G35" s="3580">
        <f t="shared" si="0"/>
        <v>0</v>
      </c>
    </row>
    <row r="36" spans="1:7">
      <c r="A36" s="3560" t="s">
        <v>9020</v>
      </c>
      <c r="B36" s="3556"/>
      <c r="C36" s="3556"/>
      <c r="D36" s="3556"/>
      <c r="E36" s="3556"/>
      <c r="F36" s="3556"/>
      <c r="G36" s="3580">
        <f t="shared" si="0"/>
        <v>0</v>
      </c>
    </row>
    <row r="37" spans="1:7">
      <c r="A37" s="3563" t="s">
        <v>9021</v>
      </c>
      <c r="B37" s="3556"/>
      <c r="C37" s="3556"/>
      <c r="D37" s="3556"/>
      <c r="E37" s="3556"/>
      <c r="F37" s="3556"/>
      <c r="G37" s="3580">
        <f t="shared" si="0"/>
        <v>0</v>
      </c>
    </row>
    <row r="38" spans="1:7">
      <c r="A38" s="3560" t="s">
        <v>9022</v>
      </c>
      <c r="B38" s="3556"/>
      <c r="C38" s="3556"/>
      <c r="D38" s="3556"/>
      <c r="E38" s="3556"/>
      <c r="F38" s="3556"/>
      <c r="G38" s="3580">
        <f t="shared" si="0"/>
        <v>0</v>
      </c>
    </row>
    <row r="39" spans="1:7" ht="34.5" customHeight="1">
      <c r="A39" s="3558" t="s">
        <v>9023</v>
      </c>
      <c r="B39" s="3556"/>
      <c r="C39" s="3556"/>
      <c r="D39" s="3556"/>
      <c r="E39" s="3556"/>
      <c r="F39" s="3556"/>
      <c r="G39" s="3580">
        <f t="shared" ref="G39:G44" si="1">SUM(B39:F39)</f>
        <v>0</v>
      </c>
    </row>
    <row r="40" spans="1:7">
      <c r="A40" s="3560" t="s">
        <v>9024</v>
      </c>
      <c r="B40" s="3556"/>
      <c r="C40" s="3556"/>
      <c r="D40" s="3556"/>
      <c r="E40" s="3556"/>
      <c r="F40" s="3556"/>
      <c r="G40" s="3580">
        <f t="shared" si="1"/>
        <v>0</v>
      </c>
    </row>
    <row r="41" spans="1:7" ht="16.5" customHeight="1">
      <c r="A41" s="2150" t="s">
        <v>9348</v>
      </c>
      <c r="B41" s="3556"/>
      <c r="C41" s="3556"/>
      <c r="D41" s="3556"/>
      <c r="E41" s="3556"/>
      <c r="F41" s="3556"/>
      <c r="G41" s="3580">
        <f t="shared" si="1"/>
        <v>0</v>
      </c>
    </row>
    <row r="42" spans="1:7">
      <c r="A42" s="3562" t="s">
        <v>9025</v>
      </c>
      <c r="B42" s="3556"/>
      <c r="C42" s="3556"/>
      <c r="D42" s="3556"/>
      <c r="E42" s="3556"/>
      <c r="F42" s="3556"/>
      <c r="G42" s="3580">
        <f t="shared" si="1"/>
        <v>0</v>
      </c>
    </row>
    <row r="43" spans="1:7">
      <c r="A43" s="3559" t="s">
        <v>9026</v>
      </c>
      <c r="B43" s="3556"/>
      <c r="C43" s="3556"/>
      <c r="D43" s="3556"/>
      <c r="E43" s="3556"/>
      <c r="F43" s="3556"/>
      <c r="G43" s="3580">
        <f t="shared" si="1"/>
        <v>0</v>
      </c>
    </row>
    <row r="44" spans="1:7" ht="35.25" customHeight="1">
      <c r="A44" s="3582" t="s">
        <v>9027</v>
      </c>
      <c r="B44" s="3569"/>
      <c r="C44" s="3569"/>
      <c r="D44" s="3569"/>
      <c r="E44" s="3569"/>
      <c r="F44" s="3569"/>
      <c r="G44" s="3581">
        <f t="shared" si="1"/>
        <v>0</v>
      </c>
    </row>
    <row r="57" spans="1:7" s="1029" customFormat="1" ht="15.6">
      <c r="A57" s="3571" t="s">
        <v>4966</v>
      </c>
      <c r="B57" s="3572"/>
      <c r="C57" s="3572"/>
      <c r="D57" s="3572"/>
      <c r="E57" s="3572"/>
      <c r="F57" s="3572"/>
      <c r="G57" s="3579"/>
    </row>
    <row r="58" spans="1:7" s="1029" customFormat="1" ht="15.6">
      <c r="A58" s="3571"/>
      <c r="B58" s="3572"/>
      <c r="C58" s="3572"/>
      <c r="D58" s="3572"/>
      <c r="E58" s="3572"/>
      <c r="F58" s="3572"/>
      <c r="G58" s="3579"/>
    </row>
    <row r="59" spans="1:7" s="946" customFormat="1">
      <c r="A59" s="14435" t="s">
        <v>8962</v>
      </c>
      <c r="C59" s="14437" t="s">
        <v>13</v>
      </c>
      <c r="D59" s="14438"/>
      <c r="E59" s="14439"/>
      <c r="F59" s="3573"/>
      <c r="G59" s="14435" t="s">
        <v>220</v>
      </c>
    </row>
    <row r="60" spans="1:7" s="946" customFormat="1" ht="18" customHeight="1">
      <c r="A60" s="14436"/>
      <c r="B60" s="3574" t="s">
        <v>8963</v>
      </c>
      <c r="C60" s="3575" t="s">
        <v>217</v>
      </c>
      <c r="D60" s="3574" t="s">
        <v>1973</v>
      </c>
      <c r="E60" s="3576" t="s">
        <v>52</v>
      </c>
      <c r="F60" s="3577" t="s">
        <v>259</v>
      </c>
      <c r="G60" s="14436"/>
    </row>
    <row r="61" spans="1:7">
      <c r="A61" s="3559" t="s">
        <v>8964</v>
      </c>
      <c r="C61" s="3567"/>
      <c r="D61" s="3567"/>
      <c r="E61" s="3567"/>
      <c r="F61" s="3567">
        <f>'lbpf 3-BTO'!K102</f>
        <v>2596965</v>
      </c>
      <c r="G61" s="3570">
        <f>SUM(C61:F61)</f>
        <v>2596965</v>
      </c>
    </row>
    <row r="62" spans="1:7">
      <c r="A62" s="3555" t="s">
        <v>8965</v>
      </c>
      <c r="C62" s="3556"/>
      <c r="D62" s="3556"/>
      <c r="E62" s="3556"/>
      <c r="F62" s="3556"/>
      <c r="G62" s="3580"/>
    </row>
    <row r="63" spans="1:7">
      <c r="A63" s="3559" t="s">
        <v>8966</v>
      </c>
      <c r="C63" s="3556"/>
      <c r="D63" s="3556"/>
      <c r="E63" s="3556"/>
      <c r="F63" s="3556"/>
      <c r="G63" s="3580"/>
    </row>
    <row r="64" spans="1:7">
      <c r="A64" s="3559" t="s">
        <v>8967</v>
      </c>
      <c r="C64" s="3556"/>
      <c r="D64" s="3556"/>
      <c r="E64" s="3556"/>
      <c r="F64" s="3556"/>
      <c r="G64" s="3580">
        <f t="shared" ref="G64:G71" si="2">SUM(C64:F64)</f>
        <v>0</v>
      </c>
    </row>
    <row r="65" spans="1:7">
      <c r="A65" s="3559" t="s">
        <v>8968</v>
      </c>
      <c r="C65" s="3556"/>
      <c r="D65" s="3556"/>
      <c r="E65" s="3556"/>
      <c r="F65" s="3556"/>
      <c r="G65" s="3580">
        <f t="shared" si="2"/>
        <v>0</v>
      </c>
    </row>
    <row r="66" spans="1:7">
      <c r="A66" s="3559" t="s">
        <v>8969</v>
      </c>
      <c r="C66" s="3556"/>
      <c r="D66" s="3556"/>
      <c r="E66" s="3556"/>
      <c r="F66" s="3556"/>
      <c r="G66" s="3580">
        <f t="shared" si="2"/>
        <v>0</v>
      </c>
    </row>
    <row r="67" spans="1:7">
      <c r="A67" s="3559" t="s">
        <v>8970</v>
      </c>
      <c r="C67" s="3556"/>
      <c r="D67" s="3556"/>
      <c r="E67" s="3556"/>
      <c r="F67" s="3556"/>
      <c r="G67" s="3580">
        <f t="shared" si="2"/>
        <v>0</v>
      </c>
    </row>
    <row r="68" spans="1:7">
      <c r="A68" s="3559" t="s">
        <v>8971</v>
      </c>
      <c r="C68" s="3556"/>
      <c r="D68" s="3556"/>
      <c r="E68" s="3556"/>
      <c r="F68" s="3556"/>
      <c r="G68" s="3580">
        <f t="shared" si="2"/>
        <v>0</v>
      </c>
    </row>
    <row r="69" spans="1:7">
      <c r="A69" s="3559" t="s">
        <v>8972</v>
      </c>
      <c r="C69" s="3556"/>
      <c r="D69" s="3556"/>
      <c r="E69" s="3556"/>
      <c r="F69" s="3556"/>
      <c r="G69" s="3580">
        <f t="shared" si="2"/>
        <v>0</v>
      </c>
    </row>
    <row r="70" spans="1:7">
      <c r="A70" s="3559" t="s">
        <v>8973</v>
      </c>
      <c r="C70" s="3556"/>
      <c r="D70" s="3556"/>
      <c r="E70" s="3556"/>
      <c r="F70" s="3556"/>
      <c r="G70" s="3580">
        <f t="shared" si="2"/>
        <v>0</v>
      </c>
    </row>
    <row r="71" spans="1:7">
      <c r="A71" s="3559" t="s">
        <v>8974</v>
      </c>
      <c r="C71" s="3556"/>
      <c r="D71" s="3556"/>
      <c r="E71" s="3556"/>
      <c r="F71" s="3556"/>
      <c r="G71" s="3580">
        <f t="shared" si="2"/>
        <v>0</v>
      </c>
    </row>
    <row r="72" spans="1:7">
      <c r="A72" s="3559" t="s">
        <v>8975</v>
      </c>
      <c r="B72" s="3556"/>
      <c r="C72" s="3556"/>
      <c r="D72" s="3556"/>
      <c r="E72" s="3556"/>
      <c r="F72" s="3556"/>
      <c r="G72" s="3580">
        <f t="shared" ref="G72:G96" si="3">SUM(B72:F72)</f>
        <v>0</v>
      </c>
    </row>
    <row r="73" spans="1:7" ht="33.75" customHeight="1">
      <c r="A73" s="3561" t="s">
        <v>8976</v>
      </c>
      <c r="B73" s="3556"/>
      <c r="C73" s="3556"/>
      <c r="D73" s="3556"/>
      <c r="E73" s="3556"/>
      <c r="F73" s="3556"/>
      <c r="G73" s="3580">
        <f t="shared" si="3"/>
        <v>0</v>
      </c>
    </row>
    <row r="74" spans="1:7">
      <c r="A74" s="3561"/>
      <c r="B74" s="3556"/>
      <c r="C74" s="3556"/>
      <c r="D74" s="3556"/>
      <c r="E74" s="3556"/>
      <c r="F74" s="3556"/>
      <c r="G74" s="3580">
        <f t="shared" si="3"/>
        <v>0</v>
      </c>
    </row>
    <row r="75" spans="1:7">
      <c r="A75" s="3555" t="s">
        <v>6536</v>
      </c>
      <c r="B75" s="3556"/>
      <c r="C75" s="3556"/>
      <c r="D75" s="3556"/>
      <c r="E75" s="3556"/>
      <c r="F75" s="3556"/>
      <c r="G75" s="3580">
        <f t="shared" si="3"/>
        <v>0</v>
      </c>
    </row>
    <row r="76" spans="1:7" ht="36.75" customHeight="1">
      <c r="A76" s="3561" t="s">
        <v>8977</v>
      </c>
      <c r="B76" s="3556"/>
      <c r="C76" s="3556"/>
      <c r="D76" s="3556"/>
      <c r="E76" s="3556"/>
      <c r="F76" s="3556"/>
      <c r="G76" s="3580">
        <f t="shared" si="3"/>
        <v>0</v>
      </c>
    </row>
    <row r="77" spans="1:7" ht="51.75" customHeight="1">
      <c r="A77" s="3561" t="s">
        <v>8978</v>
      </c>
      <c r="B77" s="3556"/>
      <c r="C77" s="3556"/>
      <c r="D77" s="3556"/>
      <c r="E77" s="3556"/>
      <c r="F77" s="3556"/>
      <c r="G77" s="3580">
        <f t="shared" si="3"/>
        <v>0</v>
      </c>
    </row>
    <row r="78" spans="1:7" ht="36" customHeight="1">
      <c r="A78" s="3561" t="s">
        <v>8979</v>
      </c>
      <c r="B78" s="3556"/>
      <c r="C78" s="3556"/>
      <c r="D78" s="3556"/>
      <c r="E78" s="3556"/>
      <c r="F78" s="3556"/>
      <c r="G78" s="3580">
        <f t="shared" si="3"/>
        <v>0</v>
      </c>
    </row>
    <row r="79" spans="1:7" ht="36.75" customHeight="1">
      <c r="A79" s="3561" t="s">
        <v>8980</v>
      </c>
      <c r="B79" s="3556"/>
      <c r="C79" s="3556"/>
      <c r="D79" s="3556"/>
      <c r="E79" s="3556"/>
      <c r="F79" s="3556"/>
      <c r="G79" s="3580">
        <f t="shared" si="3"/>
        <v>0</v>
      </c>
    </row>
    <row r="80" spans="1:7" ht="35.25" customHeight="1">
      <c r="A80" s="2150" t="s">
        <v>8981</v>
      </c>
      <c r="B80" s="3556"/>
      <c r="C80" s="3556"/>
      <c r="D80" s="3556"/>
      <c r="E80" s="3556"/>
      <c r="F80" s="3556"/>
      <c r="G80" s="3580">
        <f t="shared" si="3"/>
        <v>0</v>
      </c>
    </row>
    <row r="81" spans="1:7" ht="21" customHeight="1">
      <c r="A81" s="3561" t="s">
        <v>8982</v>
      </c>
      <c r="B81" s="3556"/>
      <c r="C81" s="3556"/>
      <c r="D81" s="3556"/>
      <c r="E81" s="3556"/>
      <c r="F81" s="3556"/>
      <c r="G81" s="3580">
        <f t="shared" si="3"/>
        <v>0</v>
      </c>
    </row>
    <row r="82" spans="1:7" ht="18" customHeight="1">
      <c r="A82" s="2150" t="s">
        <v>8983</v>
      </c>
      <c r="B82" s="3556"/>
      <c r="C82" s="3556"/>
      <c r="D82" s="3556"/>
      <c r="E82" s="3556"/>
      <c r="F82" s="3556"/>
      <c r="G82" s="3580">
        <f t="shared" si="3"/>
        <v>0</v>
      </c>
    </row>
    <row r="83" spans="1:7" ht="18" customHeight="1">
      <c r="A83" s="2150" t="s">
        <v>8984</v>
      </c>
      <c r="B83" s="3556"/>
      <c r="C83" s="3556"/>
      <c r="D83" s="3556"/>
      <c r="E83" s="3556"/>
      <c r="F83" s="3556"/>
      <c r="G83" s="3580">
        <f t="shared" si="3"/>
        <v>0</v>
      </c>
    </row>
    <row r="84" spans="1:7" ht="51" customHeight="1">
      <c r="A84" s="3558" t="s">
        <v>8985</v>
      </c>
      <c r="B84" s="3556"/>
      <c r="C84" s="3556"/>
      <c r="D84" s="3556"/>
      <c r="E84" s="3556"/>
      <c r="F84" s="3556"/>
      <c r="G84" s="3580">
        <f t="shared" si="3"/>
        <v>0</v>
      </c>
    </row>
    <row r="85" spans="1:7">
      <c r="A85" s="3558"/>
      <c r="B85" s="3556"/>
      <c r="C85" s="3556"/>
      <c r="D85" s="3556"/>
      <c r="E85" s="3556"/>
      <c r="F85" s="3556"/>
      <c r="G85" s="3580">
        <f t="shared" si="3"/>
        <v>0</v>
      </c>
    </row>
    <row r="86" spans="1:7">
      <c r="A86" s="3555" t="s">
        <v>8986</v>
      </c>
      <c r="B86" s="3556"/>
      <c r="C86" s="3556"/>
      <c r="D86" s="3556"/>
      <c r="E86" s="3556"/>
      <c r="F86" s="3556"/>
      <c r="G86" s="3580">
        <f t="shared" si="3"/>
        <v>0</v>
      </c>
    </row>
    <row r="87" spans="1:7" ht="36" customHeight="1">
      <c r="A87" s="2150" t="s">
        <v>8987</v>
      </c>
      <c r="B87" s="3556"/>
      <c r="C87" s="3556"/>
      <c r="D87" s="3556"/>
      <c r="E87" s="3556"/>
      <c r="F87" s="3556"/>
      <c r="G87" s="3580">
        <f t="shared" si="3"/>
        <v>0</v>
      </c>
    </row>
    <row r="88" spans="1:7">
      <c r="A88" s="3560" t="s">
        <v>8988</v>
      </c>
      <c r="B88" s="3556"/>
      <c r="D88" s="3556"/>
      <c r="E88" s="3556"/>
      <c r="F88" s="3556"/>
      <c r="G88" s="3580">
        <f t="shared" si="3"/>
        <v>0</v>
      </c>
    </row>
    <row r="89" spans="1:7" ht="36.75" customHeight="1">
      <c r="A89" s="2150" t="s">
        <v>8989</v>
      </c>
      <c r="B89" s="3556"/>
      <c r="D89" s="3556"/>
      <c r="E89" s="3556"/>
      <c r="F89" s="3556"/>
      <c r="G89" s="3580">
        <f t="shared" si="3"/>
        <v>0</v>
      </c>
    </row>
    <row r="90" spans="1:7" ht="34.5" customHeight="1">
      <c r="A90" s="3561" t="s">
        <v>8990</v>
      </c>
      <c r="B90" s="3556"/>
      <c r="D90" s="3556"/>
      <c r="E90" s="3556"/>
      <c r="F90" s="3556"/>
      <c r="G90" s="3580">
        <f t="shared" si="3"/>
        <v>0</v>
      </c>
    </row>
    <row r="91" spans="1:7">
      <c r="A91" s="3559" t="s">
        <v>8991</v>
      </c>
      <c r="B91" s="3556"/>
      <c r="D91" s="3556"/>
      <c r="E91" s="3556"/>
      <c r="F91" s="3556"/>
      <c r="G91" s="3580">
        <f t="shared" si="3"/>
        <v>0</v>
      </c>
    </row>
    <row r="92" spans="1:7" ht="18" customHeight="1">
      <c r="A92" s="2150" t="s">
        <v>8992</v>
      </c>
      <c r="B92" s="3556"/>
      <c r="C92" s="3556"/>
      <c r="D92" s="3556"/>
      <c r="E92" s="3556"/>
      <c r="F92" s="3556"/>
      <c r="G92" s="3580">
        <f t="shared" si="3"/>
        <v>0</v>
      </c>
    </row>
    <row r="93" spans="1:7" ht="17.25" customHeight="1">
      <c r="A93" s="3561" t="s">
        <v>8993</v>
      </c>
      <c r="B93" s="3556"/>
      <c r="C93" s="3556"/>
      <c r="D93" s="3556"/>
      <c r="E93" s="3556"/>
      <c r="F93" s="3556"/>
      <c r="G93" s="3580">
        <f t="shared" si="3"/>
        <v>0</v>
      </c>
    </row>
    <row r="94" spans="1:7" ht="36" customHeight="1">
      <c r="A94" s="3561" t="s">
        <v>8994</v>
      </c>
      <c r="B94" s="3556"/>
      <c r="D94" s="3556"/>
      <c r="E94" s="3556"/>
      <c r="F94" s="3556"/>
      <c r="G94" s="3580">
        <f t="shared" si="3"/>
        <v>0</v>
      </c>
    </row>
    <row r="95" spans="1:7" ht="25.5" customHeight="1">
      <c r="A95" s="3561" t="s">
        <v>8995</v>
      </c>
      <c r="B95" s="3556"/>
      <c r="C95" s="3556"/>
      <c r="D95" s="3556"/>
      <c r="E95" s="3556"/>
      <c r="F95" s="3556"/>
      <c r="G95" s="3580">
        <f t="shared" si="3"/>
        <v>0</v>
      </c>
    </row>
    <row r="96" spans="1:7" ht="18.75" customHeight="1">
      <c r="A96" s="3568" t="s">
        <v>8996</v>
      </c>
      <c r="B96" s="3569"/>
      <c r="C96" s="3569"/>
      <c r="D96" s="3569"/>
      <c r="E96" s="3569"/>
      <c r="F96" s="3569"/>
      <c r="G96" s="3581">
        <f t="shared" si="3"/>
        <v>0</v>
      </c>
    </row>
    <row r="97" spans="1:7" ht="20.25" customHeight="1">
      <c r="A97" s="3564" t="s">
        <v>458</v>
      </c>
      <c r="B97" s="3565">
        <f>SUM(B3:B44)</f>
        <v>0</v>
      </c>
      <c r="C97" s="3566">
        <f>SUM(C8:C44,C61:C96)</f>
        <v>2081471.12</v>
      </c>
      <c r="D97" s="3566">
        <f>SUM(D8:D44,D61:D96)</f>
        <v>2708300</v>
      </c>
      <c r="E97" s="3566">
        <f>SUM(E8:E44,E61:E96)</f>
        <v>0</v>
      </c>
      <c r="F97" s="3566">
        <f>SUM(F8:F44,F61:F96)</f>
        <v>2596965</v>
      </c>
      <c r="G97" s="3566">
        <f>SUM(G8:G44,G61:G96)</f>
        <v>7386736.1200000001</v>
      </c>
    </row>
  </sheetData>
  <mergeCells count="6">
    <mergeCell ref="A59:A60"/>
    <mergeCell ref="G59:G60"/>
    <mergeCell ref="C59:E59"/>
    <mergeCell ref="A6:A7"/>
    <mergeCell ref="C6:E6"/>
    <mergeCell ref="G6:G7"/>
  </mergeCells>
  <pageMargins left="0.5" right="0.25" top="0.5" bottom="0.5" header="0.3" footer="0.25"/>
  <pageSetup paperSize="119" scale="85" orientation="portrait" verticalDpi="300" r:id="rId1"/>
</worksheet>
</file>

<file path=xl/worksheets/sheet45.xml><?xml version="1.0" encoding="utf-8"?>
<worksheet xmlns="http://schemas.openxmlformats.org/spreadsheetml/2006/main" xmlns:r="http://schemas.openxmlformats.org/officeDocument/2006/relationships">
  <sheetPr codeName="Sheet33">
    <tabColor rgb="FFFFFF00"/>
  </sheetPr>
  <dimension ref="A1:I51"/>
  <sheetViews>
    <sheetView workbookViewId="0">
      <selection activeCell="I14" sqref="I14"/>
    </sheetView>
  </sheetViews>
  <sheetFormatPr defaultColWidth="9.109375" defaultRowHeight="12.9" customHeight="1"/>
  <cols>
    <col min="1" max="1" width="40.5546875" style="7165" customWidth="1"/>
    <col min="2" max="3" width="8.5546875" style="7165" customWidth="1"/>
    <col min="4" max="6" width="14.5546875" style="7165" customWidth="1"/>
    <col min="7" max="7" width="9.109375" style="7165" customWidth="1"/>
    <col min="8" max="8" width="4.109375" style="7195" customWidth="1"/>
    <col min="9" max="9" width="12.44140625" style="7165" customWidth="1"/>
    <col min="10" max="18" width="9.109375" style="7165" customWidth="1"/>
    <col min="19" max="16384" width="9.109375" style="7165"/>
  </cols>
  <sheetData>
    <row r="1" spans="1:6" ht="12.9" customHeight="1">
      <c r="A1" s="14215" t="s">
        <v>1140</v>
      </c>
      <c r="B1" s="14215"/>
      <c r="C1" s="14215"/>
      <c r="D1" s="14215"/>
      <c r="E1" s="14215"/>
      <c r="F1" s="14215"/>
    </row>
    <row r="3" spans="1:6" ht="12.9" customHeight="1">
      <c r="A3" s="7163" t="s">
        <v>4966</v>
      </c>
    </row>
    <row r="4" spans="1:6" ht="12.9" customHeight="1" thickBot="1"/>
    <row r="5" spans="1:6" ht="12.9" customHeight="1">
      <c r="A5" s="9697" t="s">
        <v>842</v>
      </c>
      <c r="B5" s="10711" t="s">
        <v>1035</v>
      </c>
      <c r="C5" s="10711" t="s">
        <v>1036</v>
      </c>
      <c r="D5" s="14213" t="s">
        <v>1037</v>
      </c>
      <c r="E5" s="14213"/>
      <c r="F5" s="14214"/>
    </row>
    <row r="6" spans="1:6" ht="12.9" customHeight="1">
      <c r="A6" s="7202" t="s">
        <v>1088</v>
      </c>
      <c r="B6" s="10760" t="s">
        <v>9</v>
      </c>
      <c r="C6" s="10760" t="s">
        <v>1039</v>
      </c>
      <c r="D6" s="10760" t="s">
        <v>10</v>
      </c>
      <c r="E6" s="10760" t="s">
        <v>11</v>
      </c>
      <c r="F6" s="10405" t="s">
        <v>11621</v>
      </c>
    </row>
    <row r="7" spans="1:6" ht="12.9" customHeight="1">
      <c r="A7" s="10761" t="s">
        <v>1139</v>
      </c>
      <c r="B7" s="10762"/>
      <c r="C7" s="10762"/>
      <c r="D7" s="10762"/>
      <c r="E7" s="10762"/>
      <c r="F7" s="10763"/>
    </row>
    <row r="8" spans="1:6" ht="12.9" customHeight="1">
      <c r="A8" s="9751"/>
      <c r="B8" s="10764"/>
      <c r="C8" s="10764"/>
      <c r="D8" s="10764"/>
      <c r="E8" s="10764"/>
      <c r="F8" s="9658"/>
    </row>
    <row r="9" spans="1:6" ht="12.9" customHeight="1">
      <c r="A9" s="7209" t="s">
        <v>1089</v>
      </c>
      <c r="B9" s="10753"/>
      <c r="C9" s="10753"/>
      <c r="D9" s="10753"/>
      <c r="E9" s="10753"/>
      <c r="F9" s="7214"/>
    </row>
    <row r="10" spans="1:6" ht="12.9" customHeight="1">
      <c r="A10" s="7207" t="s">
        <v>1138</v>
      </c>
      <c r="B10" s="10765"/>
      <c r="C10" s="10765"/>
      <c r="D10" s="10765"/>
      <c r="E10" s="10765"/>
      <c r="F10" s="7215"/>
    </row>
    <row r="11" spans="1:6" ht="12.9" customHeight="1">
      <c r="A11" s="7207"/>
      <c r="B11" s="10765"/>
      <c r="C11" s="10765"/>
      <c r="D11" s="10765"/>
      <c r="E11" s="10765"/>
      <c r="F11" s="7215"/>
    </row>
    <row r="12" spans="1:6" ht="12.9" customHeight="1">
      <c r="A12" s="7209" t="s">
        <v>1091</v>
      </c>
      <c r="B12" s="10765"/>
      <c r="C12" s="10765"/>
      <c r="D12" s="10765"/>
      <c r="E12" s="10765"/>
      <c r="F12" s="7215"/>
    </row>
    <row r="13" spans="1:6" ht="12.9" customHeight="1">
      <c r="A13" s="7207" t="s">
        <v>1092</v>
      </c>
      <c r="B13" s="10765"/>
      <c r="C13" s="10765"/>
      <c r="D13" s="10765"/>
      <c r="E13" s="10765"/>
      <c r="F13" s="7215"/>
    </row>
    <row r="14" spans="1:6" ht="12.9" customHeight="1">
      <c r="A14" s="7207" t="s">
        <v>11652</v>
      </c>
      <c r="B14" s="10753">
        <v>1</v>
      </c>
      <c r="C14" s="10753">
        <v>18</v>
      </c>
      <c r="D14" s="10754">
        <v>0</v>
      </c>
      <c r="E14" s="10754">
        <v>0</v>
      </c>
      <c r="F14" s="6142">
        <v>487644</v>
      </c>
    </row>
    <row r="15" spans="1:6" ht="12.9" customHeight="1">
      <c r="A15" s="7207" t="s">
        <v>407</v>
      </c>
      <c r="B15" s="10753"/>
      <c r="C15" s="10753"/>
      <c r="D15" s="10754"/>
      <c r="E15" s="10754"/>
      <c r="F15" s="7216"/>
    </row>
    <row r="16" spans="1:6" ht="12.9" customHeight="1">
      <c r="A16" s="7209" t="s">
        <v>1137</v>
      </c>
      <c r="B16" s="10753"/>
      <c r="C16" s="10753"/>
      <c r="D16" s="10754"/>
      <c r="E16" s="10754"/>
      <c r="F16" s="7216"/>
    </row>
    <row r="17" spans="1:9" ht="12.9" customHeight="1">
      <c r="A17" s="7207" t="s">
        <v>1136</v>
      </c>
      <c r="B17" s="10753">
        <v>1</v>
      </c>
      <c r="C17" s="10753">
        <v>5</v>
      </c>
      <c r="D17" s="10754">
        <v>161280</v>
      </c>
      <c r="E17" s="10754">
        <v>168564</v>
      </c>
      <c r="F17" s="7216">
        <v>174636</v>
      </c>
      <c r="H17" s="7195">
        <f>B17</f>
        <v>1</v>
      </c>
      <c r="I17" s="7198">
        <f>F17</f>
        <v>174636</v>
      </c>
    </row>
    <row r="18" spans="1:9" ht="12.9" customHeight="1">
      <c r="A18" s="7207"/>
      <c r="B18" s="10765"/>
      <c r="C18" s="10765"/>
      <c r="D18" s="10765"/>
      <c r="E18" s="10765"/>
      <c r="F18" s="7215"/>
    </row>
    <row r="19" spans="1:9" ht="12.9" customHeight="1">
      <c r="A19" s="7209" t="s">
        <v>1135</v>
      </c>
      <c r="B19" s="10753"/>
      <c r="C19" s="10753"/>
      <c r="D19" s="10754"/>
      <c r="E19" s="10754"/>
      <c r="F19" s="7216"/>
    </row>
    <row r="20" spans="1:9" ht="12.9" customHeight="1">
      <c r="A20" s="7207" t="s">
        <v>1134</v>
      </c>
      <c r="B20" s="10753">
        <v>0</v>
      </c>
      <c r="C20" s="10753">
        <v>15</v>
      </c>
      <c r="D20" s="10754">
        <v>350568</v>
      </c>
      <c r="E20" s="10754">
        <v>374040</v>
      </c>
      <c r="F20" s="7216">
        <v>0</v>
      </c>
    </row>
    <row r="21" spans="1:9" ht="12.9" customHeight="1">
      <c r="A21" s="7207" t="s">
        <v>7227</v>
      </c>
      <c r="B21" s="10753">
        <v>1</v>
      </c>
      <c r="C21" s="10753">
        <v>9</v>
      </c>
      <c r="D21" s="10754">
        <v>205704</v>
      </c>
      <c r="E21" s="10754">
        <v>213372</v>
      </c>
      <c r="F21" s="7216">
        <v>219324</v>
      </c>
    </row>
    <row r="22" spans="1:9" ht="12.9" customHeight="1">
      <c r="A22" s="7207"/>
      <c r="B22" s="10753"/>
      <c r="C22" s="10753"/>
      <c r="D22" s="10766"/>
      <c r="E22" s="10754"/>
      <c r="F22" s="7216"/>
    </row>
    <row r="23" spans="1:9" s="7163" customFormat="1" ht="12.9" customHeight="1">
      <c r="A23" s="7209" t="s">
        <v>1098</v>
      </c>
      <c r="B23" s="9613">
        <f>SUM(B14:B21)</f>
        <v>3</v>
      </c>
      <c r="C23" s="9613"/>
      <c r="D23" s="9619">
        <f>SUM(D14:D22)</f>
        <v>717552</v>
      </c>
      <c r="E23" s="9619">
        <f>SUM(E14:E22)</f>
        <v>755976</v>
      </c>
      <c r="F23" s="7221">
        <f>SUM(F14:F22)</f>
        <v>881604</v>
      </c>
      <c r="H23" s="7227">
        <f>SUM(B20:B22)</f>
        <v>1</v>
      </c>
      <c r="I23" s="7228">
        <f>SUM(F20:F22)</f>
        <v>219324</v>
      </c>
    </row>
    <row r="24" spans="1:9" ht="12.9" customHeight="1">
      <c r="A24" s="7207"/>
      <c r="B24" s="10753"/>
      <c r="C24" s="10753"/>
      <c r="D24" s="10766"/>
      <c r="E24" s="10754"/>
      <c r="F24" s="7216"/>
    </row>
    <row r="25" spans="1:9" ht="12.9" customHeight="1">
      <c r="A25" s="7209" t="s">
        <v>1065</v>
      </c>
      <c r="B25" s="10753"/>
      <c r="C25" s="10753"/>
      <c r="D25" s="10766"/>
      <c r="E25" s="10754"/>
      <c r="F25" s="7216"/>
    </row>
    <row r="26" spans="1:9" ht="12.9" customHeight="1">
      <c r="A26" s="7207" t="s">
        <v>11268</v>
      </c>
      <c r="B26" s="10753">
        <v>0</v>
      </c>
      <c r="C26" s="10753">
        <v>18</v>
      </c>
      <c r="D26" s="10754">
        <v>0</v>
      </c>
      <c r="E26" s="10754">
        <v>457020</v>
      </c>
      <c r="F26" s="7216">
        <v>0</v>
      </c>
    </row>
    <row r="27" spans="1:9" ht="12.9" customHeight="1">
      <c r="A27" s="7207" t="s">
        <v>1134</v>
      </c>
      <c r="B27" s="10753">
        <v>1</v>
      </c>
      <c r="C27" s="10753">
        <v>15</v>
      </c>
      <c r="D27" s="10754">
        <v>0</v>
      </c>
      <c r="E27" s="10754">
        <v>0</v>
      </c>
      <c r="F27" s="7216">
        <v>178164</v>
      </c>
    </row>
    <row r="28" spans="1:9" ht="12.9" customHeight="1">
      <c r="A28" s="7207" t="s">
        <v>10565</v>
      </c>
      <c r="B28" s="10753">
        <v>1</v>
      </c>
      <c r="C28" s="10753">
        <v>6</v>
      </c>
      <c r="D28" s="10767">
        <v>166212</v>
      </c>
      <c r="E28" s="10767">
        <v>172080</v>
      </c>
      <c r="F28" s="7220">
        <v>366372</v>
      </c>
    </row>
    <row r="29" spans="1:9" ht="12.9" customHeight="1">
      <c r="A29" s="7207"/>
      <c r="B29" s="10753"/>
      <c r="C29" s="10753"/>
      <c r="D29" s="10768"/>
      <c r="E29" s="10767"/>
      <c r="F29" s="7220"/>
    </row>
    <row r="30" spans="1:9" s="7163" customFormat="1" ht="12.9" customHeight="1">
      <c r="A30" s="7209" t="s">
        <v>4774</v>
      </c>
      <c r="B30" s="9613">
        <f>SUM(B26:B28)</f>
        <v>2</v>
      </c>
      <c r="C30" s="9613">
        <f>SUM(C26:C28)</f>
        <v>39</v>
      </c>
      <c r="D30" s="9659">
        <f>SUM(D26:D28)</f>
        <v>166212</v>
      </c>
      <c r="E30" s="9659">
        <f>SUM(E26:E28)</f>
        <v>629100</v>
      </c>
      <c r="F30" s="9660">
        <f>SUM(F26:F28)</f>
        <v>544536</v>
      </c>
      <c r="H30" s="7227"/>
    </row>
    <row r="31" spans="1:9" ht="12.9" customHeight="1" thickBot="1">
      <c r="A31" s="7207"/>
      <c r="B31" s="10753"/>
      <c r="C31" s="10753"/>
      <c r="D31" s="10768"/>
      <c r="E31" s="10767"/>
      <c r="F31" s="7220"/>
    </row>
    <row r="32" spans="1:9" ht="12.9" customHeight="1" thickBot="1">
      <c r="A32" s="10422" t="s">
        <v>1101</v>
      </c>
      <c r="B32" s="10725">
        <f>B23+B30</f>
        <v>5</v>
      </c>
      <c r="C32" s="10429"/>
      <c r="D32" s="10769">
        <f>SUM(D30+D23)</f>
        <v>883764</v>
      </c>
      <c r="E32" s="10769">
        <f>SUM(E30+E23)</f>
        <v>1385076</v>
      </c>
      <c r="F32" s="10771">
        <f>SUM(F30+F23)</f>
        <v>1426140</v>
      </c>
    </row>
    <row r="33" spans="1:8" ht="12.9" customHeight="1">
      <c r="A33" s="7207"/>
      <c r="B33" s="10753"/>
      <c r="C33" s="10753"/>
      <c r="D33" s="10754"/>
      <c r="E33" s="10754"/>
      <c r="F33" s="7216"/>
    </row>
    <row r="34" spans="1:8" ht="12.9" customHeight="1">
      <c r="A34" s="7207" t="s">
        <v>1075</v>
      </c>
      <c r="B34" s="10753"/>
      <c r="C34" s="10753"/>
      <c r="D34" s="10754"/>
      <c r="E34" s="10754"/>
      <c r="F34" s="7216"/>
    </row>
    <row r="35" spans="1:8" ht="12.9" customHeight="1">
      <c r="A35" s="7207" t="s">
        <v>1102</v>
      </c>
      <c r="B35" s="10765"/>
      <c r="C35" s="10765"/>
      <c r="D35" s="10765"/>
      <c r="E35" s="10765"/>
      <c r="F35" s="7215"/>
    </row>
    <row r="36" spans="1:8" ht="12.9" customHeight="1">
      <c r="A36" s="7207"/>
      <c r="B36" s="10765"/>
      <c r="C36" s="10765"/>
      <c r="D36" s="10765"/>
      <c r="E36" s="10765"/>
      <c r="F36" s="7215"/>
    </row>
    <row r="37" spans="1:8" ht="12.9" customHeight="1">
      <c r="A37" s="7207" t="s">
        <v>1103</v>
      </c>
      <c r="B37" s="10753"/>
      <c r="C37" s="10765"/>
      <c r="D37" s="10765"/>
      <c r="E37" s="10765"/>
      <c r="F37" s="7215"/>
    </row>
    <row r="38" spans="1:8" ht="12.9" customHeight="1">
      <c r="A38" s="7207" t="s">
        <v>1078</v>
      </c>
      <c r="B38" s="10765"/>
      <c r="C38" s="10765"/>
      <c r="D38" s="10765"/>
      <c r="E38" s="10765"/>
      <c r="F38" s="7215"/>
    </row>
    <row r="39" spans="1:8" ht="12.9" customHeight="1">
      <c r="A39" s="7207" t="s">
        <v>1079</v>
      </c>
      <c r="B39" s="10765"/>
      <c r="C39" s="10765"/>
      <c r="D39" s="10765"/>
      <c r="E39" s="10765"/>
      <c r="F39" s="7215"/>
    </row>
    <row r="40" spans="1:8" ht="12.9" customHeight="1">
      <c r="A40" s="7207" t="s">
        <v>168</v>
      </c>
      <c r="B40" s="10765"/>
      <c r="C40" s="10765"/>
      <c r="D40" s="10765"/>
      <c r="E40" s="10765"/>
      <c r="F40" s="7215"/>
    </row>
    <row r="41" spans="1:8" ht="12.9" customHeight="1">
      <c r="A41" s="7207" t="s">
        <v>1080</v>
      </c>
      <c r="B41" s="10765"/>
      <c r="C41" s="10765"/>
      <c r="D41" s="10770"/>
      <c r="E41" s="10765"/>
      <c r="F41" s="7215"/>
    </row>
    <row r="42" spans="1:8" ht="12.9" customHeight="1">
      <c r="A42" s="7207" t="s">
        <v>1104</v>
      </c>
      <c r="B42" s="10765"/>
      <c r="C42" s="10765"/>
      <c r="D42" s="10765"/>
      <c r="E42" s="10765"/>
      <c r="F42" s="7215"/>
    </row>
    <row r="43" spans="1:8" ht="12.9" customHeight="1">
      <c r="A43" s="7207" t="s">
        <v>1105</v>
      </c>
      <c r="B43" s="10765"/>
      <c r="C43" s="10765"/>
      <c r="D43" s="10765"/>
      <c r="E43" s="10765"/>
      <c r="F43" s="7215"/>
    </row>
    <row r="44" spans="1:8" ht="12.9" customHeight="1">
      <c r="A44" s="7207"/>
      <c r="B44" s="10765"/>
      <c r="C44" s="10765"/>
      <c r="D44" s="10765"/>
      <c r="E44" s="10765"/>
      <c r="F44" s="7215"/>
    </row>
    <row r="45" spans="1:8" s="7163" customFormat="1" ht="12.9" customHeight="1">
      <c r="A45" s="7209" t="s">
        <v>1083</v>
      </c>
      <c r="B45" s="9662"/>
      <c r="C45" s="9662"/>
      <c r="D45" s="9662"/>
      <c r="E45" s="9662"/>
      <c r="F45" s="9663"/>
      <c r="H45" s="7227"/>
    </row>
    <row r="46" spans="1:8" ht="12.9" customHeight="1">
      <c r="A46" s="7207" t="s">
        <v>9</v>
      </c>
      <c r="B46" s="10765"/>
      <c r="C46" s="10765"/>
      <c r="D46" s="10765"/>
      <c r="E46" s="10765"/>
      <c r="F46" s="7215"/>
    </row>
    <row r="47" spans="1:8" ht="12.9" customHeight="1">
      <c r="A47" s="7207" t="s">
        <v>1132</v>
      </c>
      <c r="B47" s="10765"/>
      <c r="C47" s="10765"/>
      <c r="D47" s="10765"/>
      <c r="E47" s="10765"/>
      <c r="F47" s="7215"/>
    </row>
    <row r="48" spans="1:8" ht="12.9" customHeight="1" thickBot="1">
      <c r="A48" s="9709"/>
      <c r="B48" s="9634"/>
      <c r="C48" s="9634"/>
      <c r="D48" s="9634"/>
      <c r="E48" s="9634"/>
      <c r="F48" s="9753"/>
    </row>
    <row r="49" spans="1:8" ht="12.9" customHeight="1">
      <c r="A49" s="7207"/>
      <c r="B49" s="10765"/>
      <c r="C49" s="10765"/>
      <c r="D49" s="10765"/>
      <c r="E49" s="10765"/>
      <c r="F49" s="7215"/>
    </row>
    <row r="50" spans="1:8" s="7163" customFormat="1" ht="12.9" customHeight="1">
      <c r="A50" s="7209" t="s">
        <v>1086</v>
      </c>
      <c r="B50" s="10770"/>
      <c r="C50" s="10770"/>
      <c r="D50" s="10770"/>
      <c r="E50" s="10770"/>
      <c r="F50" s="9664"/>
      <c r="H50" s="7227"/>
    </row>
    <row r="51" spans="1:8" ht="12.9" customHeight="1" thickBot="1">
      <c r="A51" s="9709"/>
      <c r="B51" s="9634"/>
      <c r="C51" s="9634"/>
      <c r="D51" s="9634"/>
      <c r="E51" s="9634"/>
      <c r="F51" s="9753"/>
    </row>
  </sheetData>
  <mergeCells count="2">
    <mergeCell ref="A1:F1"/>
    <mergeCell ref="D5:F5"/>
  </mergeCells>
  <printOptions horizontalCentered="1"/>
  <pageMargins left="0.25" right="0.25" top="0.5" bottom="0.5" header="0.3" footer="0.3"/>
  <pageSetup paperSize="119" firstPageNumber="71" orientation="portrait" useFirstPageNumber="1" r:id="rId1"/>
  <headerFooter alignWithMargins="0"/>
</worksheet>
</file>

<file path=xl/worksheets/sheet46.xml><?xml version="1.0" encoding="utf-8"?>
<worksheet xmlns="http://schemas.openxmlformats.org/spreadsheetml/2006/main" xmlns:r="http://schemas.openxmlformats.org/officeDocument/2006/relationships">
  <sheetPr codeName="Sheet72">
    <tabColor rgb="FFFFFF00"/>
  </sheetPr>
  <dimension ref="A1:N150"/>
  <sheetViews>
    <sheetView topLeftCell="A110" workbookViewId="0">
      <selection activeCell="E115" sqref="E115"/>
    </sheetView>
  </sheetViews>
  <sheetFormatPr defaultColWidth="9.109375" defaultRowHeight="13.8"/>
  <cols>
    <col min="1" max="1" width="3.88671875" style="5006" customWidth="1"/>
    <col min="2" max="3" width="9.109375" style="5006"/>
    <col min="4" max="4" width="20.109375" style="5006" customWidth="1"/>
    <col min="5" max="5" width="12.109375" style="5007" customWidth="1"/>
    <col min="6" max="7" width="10.109375" style="5006" customWidth="1"/>
    <col min="8" max="9" width="14.109375" style="5006" customWidth="1"/>
    <col min="10" max="10" width="5.44140625" style="5006" customWidth="1"/>
    <col min="11" max="11" width="5.109375" style="5006" customWidth="1"/>
    <col min="12" max="16384" width="9.109375" style="5008"/>
  </cols>
  <sheetData>
    <row r="1" spans="1:11" s="5001" customFormat="1">
      <c r="A1" s="14456" t="s">
        <v>1728</v>
      </c>
      <c r="B1" s="14456"/>
      <c r="C1" s="14456"/>
      <c r="D1" s="14456"/>
      <c r="E1" s="14456"/>
      <c r="F1" s="14456"/>
      <c r="G1" s="14456"/>
      <c r="H1" s="14456"/>
      <c r="I1" s="14456"/>
      <c r="J1" s="14456"/>
      <c r="K1" s="14456"/>
    </row>
    <row r="2" spans="1:11" s="5001" customFormat="1">
      <c r="A2" s="5002"/>
      <c r="B2" s="5002"/>
      <c r="C2" s="5002"/>
      <c r="D2" s="5002"/>
      <c r="E2" s="5003"/>
      <c r="F2" s="5002"/>
      <c r="G2" s="5002"/>
      <c r="H2" s="5002"/>
      <c r="I2" s="5002"/>
      <c r="J2" s="5002"/>
      <c r="K2" s="5002"/>
    </row>
    <row r="3" spans="1:11" s="5001" customFormat="1">
      <c r="A3" s="5002" t="s">
        <v>734</v>
      </c>
      <c r="B3" s="5002"/>
      <c r="C3" s="5002"/>
      <c r="D3" s="5002" t="s">
        <v>9884</v>
      </c>
      <c r="E3" s="5003"/>
      <c r="F3" s="5002"/>
      <c r="G3" s="5002"/>
      <c r="H3" s="5002"/>
      <c r="I3" s="5002"/>
      <c r="J3" s="5002"/>
      <c r="K3" s="5002"/>
    </row>
    <row r="4" spans="1:11" s="5001" customFormat="1">
      <c r="A4" s="5004" t="s">
        <v>9700</v>
      </c>
      <c r="B4" s="5002"/>
      <c r="C4" s="5002"/>
      <c r="D4" s="5002" t="s">
        <v>9885</v>
      </c>
      <c r="E4" s="5003"/>
      <c r="F4" s="5002"/>
      <c r="G4" s="5002"/>
      <c r="H4" s="5002"/>
      <c r="I4" s="5002"/>
      <c r="J4" s="5002"/>
      <c r="K4" s="5002"/>
    </row>
    <row r="5" spans="1:11" s="5001" customFormat="1">
      <c r="A5" s="5002"/>
      <c r="B5" s="5002"/>
      <c r="C5" s="5002"/>
      <c r="D5" s="5002"/>
      <c r="E5" s="5003"/>
      <c r="F5" s="5002"/>
      <c r="G5" s="5002"/>
      <c r="H5" s="5002"/>
      <c r="I5" s="5002"/>
      <c r="J5" s="5002"/>
      <c r="K5" s="5002"/>
    </row>
    <row r="6" spans="1:11" s="5001" customFormat="1">
      <c r="A6" s="5005" t="s">
        <v>9701</v>
      </c>
      <c r="B6" s="5002"/>
      <c r="C6" s="5002"/>
      <c r="D6" s="5002"/>
      <c r="E6" s="5003"/>
      <c r="F6" s="5002"/>
      <c r="G6" s="5002"/>
      <c r="H6" s="5002"/>
      <c r="I6" s="5002"/>
      <c r="J6" s="5002"/>
      <c r="K6" s="5002"/>
    </row>
    <row r="7" spans="1:11" s="5001" customFormat="1" ht="48" customHeight="1">
      <c r="A7" s="5002"/>
      <c r="B7" s="14461" t="s">
        <v>9895</v>
      </c>
      <c r="C7" s="14461"/>
      <c r="D7" s="14461"/>
      <c r="E7" s="14461"/>
      <c r="F7" s="14461"/>
      <c r="G7" s="14461"/>
      <c r="H7" s="14461"/>
      <c r="I7" s="14461"/>
      <c r="J7" s="14461"/>
      <c r="K7" s="14461"/>
    </row>
    <row r="8" spans="1:11" s="5001" customFormat="1">
      <c r="A8" s="5002"/>
      <c r="B8" s="5002"/>
      <c r="C8" s="5002"/>
      <c r="D8" s="5002"/>
      <c r="E8" s="5003"/>
      <c r="F8" s="5002"/>
      <c r="G8" s="5002"/>
      <c r="H8" s="5002"/>
      <c r="I8" s="5002"/>
      <c r="J8" s="5002"/>
      <c r="K8" s="5002"/>
    </row>
    <row r="9" spans="1:11" s="5001" customFormat="1">
      <c r="A9" s="5002"/>
      <c r="B9" s="5002"/>
      <c r="C9" s="5002"/>
      <c r="D9" s="5002"/>
      <c r="E9" s="5003"/>
      <c r="F9" s="5002"/>
      <c r="G9" s="5002"/>
      <c r="H9" s="5002"/>
      <c r="I9" s="5002"/>
      <c r="J9" s="5002"/>
      <c r="K9" s="5002"/>
    </row>
    <row r="10" spans="1:11" s="5001" customFormat="1">
      <c r="A10" s="5005" t="s">
        <v>1835</v>
      </c>
      <c r="B10" s="5002"/>
      <c r="C10" s="5002"/>
      <c r="D10" s="5002"/>
      <c r="E10" s="5003"/>
      <c r="F10" s="5002"/>
      <c r="G10" s="5002"/>
      <c r="H10" s="5002"/>
      <c r="I10" s="5002"/>
      <c r="J10" s="5002"/>
      <c r="K10" s="5002"/>
    </row>
    <row r="11" spans="1:11" s="5001" customFormat="1">
      <c r="A11" s="5002"/>
      <c r="B11" s="5064" t="s">
        <v>9702</v>
      </c>
      <c r="C11" s="5002"/>
      <c r="D11" s="5002"/>
      <c r="E11" s="5003"/>
      <c r="F11" s="5002"/>
      <c r="G11" s="5002"/>
      <c r="H11" s="5002"/>
      <c r="I11" s="5002"/>
      <c r="J11" s="5002"/>
      <c r="K11" s="5002"/>
    </row>
    <row r="12" spans="1:11" s="5001" customFormat="1">
      <c r="A12" s="5002"/>
      <c r="B12" s="5004" t="s">
        <v>9896</v>
      </c>
      <c r="C12" s="5002"/>
      <c r="D12" s="5002"/>
      <c r="E12" s="5003"/>
      <c r="F12" s="5002"/>
      <c r="G12" s="5002"/>
      <c r="H12" s="5002"/>
      <c r="I12" s="5002"/>
      <c r="J12" s="5002"/>
      <c r="K12" s="5002"/>
    </row>
    <row r="13" spans="1:11" s="5001" customFormat="1">
      <c r="A13" s="5002"/>
      <c r="B13" s="5004" t="s">
        <v>9703</v>
      </c>
      <c r="C13" s="5002"/>
      <c r="D13" s="5002"/>
      <c r="E13" s="5003"/>
      <c r="F13" s="5002"/>
      <c r="G13" s="5002"/>
      <c r="H13" s="5002"/>
      <c r="I13" s="5002"/>
      <c r="J13" s="5002"/>
      <c r="K13" s="5002"/>
    </row>
    <row r="14" spans="1:11" s="5001" customFormat="1">
      <c r="A14" s="5002"/>
      <c r="B14" s="5004" t="s">
        <v>9897</v>
      </c>
      <c r="C14" s="5002"/>
      <c r="D14" s="5002"/>
      <c r="E14" s="5003"/>
      <c r="F14" s="5002"/>
      <c r="G14" s="5002"/>
      <c r="H14" s="5002"/>
      <c r="I14" s="5002"/>
      <c r="J14" s="5002"/>
      <c r="K14" s="5002"/>
    </row>
    <row r="15" spans="1:11" s="5001" customFormat="1">
      <c r="A15" s="5002"/>
      <c r="B15" s="5004" t="s">
        <v>2169</v>
      </c>
      <c r="C15" s="5002"/>
      <c r="D15" s="5002"/>
      <c r="E15" s="5003"/>
      <c r="F15" s="5002"/>
      <c r="G15" s="5002"/>
      <c r="H15" s="5002"/>
      <c r="I15" s="5002"/>
      <c r="J15" s="5002"/>
      <c r="K15" s="5002"/>
    </row>
    <row r="16" spans="1:11" s="5001" customFormat="1">
      <c r="A16" s="5002"/>
      <c r="B16" s="5065" t="s">
        <v>9704</v>
      </c>
      <c r="C16" s="5002"/>
      <c r="D16" s="5002"/>
      <c r="E16" s="5003"/>
      <c r="F16" s="5002"/>
      <c r="G16" s="5002"/>
      <c r="H16" s="5002"/>
      <c r="I16" s="5002"/>
      <c r="J16" s="5002"/>
      <c r="K16" s="5002"/>
    </row>
    <row r="17" spans="1:11" s="5001" customFormat="1">
      <c r="A17" s="5002"/>
      <c r="B17" s="5004" t="s">
        <v>9898</v>
      </c>
      <c r="C17" s="5002"/>
      <c r="D17" s="5002"/>
      <c r="E17" s="5003"/>
      <c r="F17" s="5002"/>
      <c r="G17" s="5002"/>
      <c r="H17" s="5002"/>
      <c r="I17" s="5002"/>
      <c r="J17" s="5002"/>
      <c r="K17" s="5002"/>
    </row>
    <row r="18" spans="1:11" s="5001" customFormat="1">
      <c r="A18" s="5002"/>
      <c r="B18" s="5004" t="s">
        <v>9899</v>
      </c>
      <c r="C18" s="5002"/>
      <c r="D18" s="5002"/>
      <c r="E18" s="5003"/>
      <c r="F18" s="5002"/>
      <c r="G18" s="5002"/>
      <c r="H18" s="5002"/>
      <c r="I18" s="5002"/>
      <c r="J18" s="5002"/>
      <c r="K18" s="5002"/>
    </row>
    <row r="19" spans="1:11" s="5001" customFormat="1">
      <c r="A19" s="5002"/>
      <c r="B19" s="5004" t="s">
        <v>9900</v>
      </c>
      <c r="C19" s="5002"/>
      <c r="D19" s="5002"/>
      <c r="E19" s="5003"/>
      <c r="F19" s="5002"/>
      <c r="G19" s="5002"/>
      <c r="H19" s="5002"/>
      <c r="I19" s="5002"/>
      <c r="J19" s="5002"/>
      <c r="K19" s="5002"/>
    </row>
    <row r="20" spans="1:11" s="5001" customFormat="1">
      <c r="A20" s="5002"/>
      <c r="B20" s="5004" t="s">
        <v>9705</v>
      </c>
      <c r="C20" s="5002"/>
      <c r="D20" s="5002"/>
      <c r="E20" s="5003"/>
      <c r="F20" s="5002"/>
      <c r="G20" s="5002"/>
      <c r="H20" s="5002"/>
      <c r="I20" s="5002"/>
      <c r="J20" s="5002"/>
      <c r="K20" s="5002"/>
    </row>
    <row r="21" spans="1:11" s="5001" customFormat="1">
      <c r="A21" s="5002"/>
      <c r="B21" s="5004" t="s">
        <v>9706</v>
      </c>
      <c r="C21" s="5002"/>
      <c r="D21" s="5002"/>
      <c r="E21" s="5003"/>
      <c r="F21" s="5002"/>
      <c r="G21" s="5002"/>
      <c r="H21" s="5002"/>
      <c r="I21" s="5002"/>
      <c r="J21" s="5002"/>
      <c r="K21" s="5002"/>
    </row>
    <row r="22" spans="1:11" s="5001" customFormat="1">
      <c r="A22" s="5002"/>
      <c r="B22" s="5004" t="s">
        <v>9707</v>
      </c>
      <c r="C22" s="5002"/>
      <c r="D22" s="5002"/>
      <c r="E22" s="5003"/>
      <c r="F22" s="5002"/>
      <c r="G22" s="5002"/>
      <c r="H22" s="5002"/>
      <c r="I22" s="5002"/>
      <c r="J22" s="5002"/>
      <c r="K22" s="5002"/>
    </row>
    <row r="23" spans="1:11" s="5001" customFormat="1">
      <c r="A23" s="5002"/>
      <c r="B23" s="5002"/>
      <c r="C23" s="5002"/>
      <c r="D23" s="5002"/>
      <c r="E23" s="5003"/>
      <c r="F23" s="5002"/>
      <c r="G23" s="5002"/>
      <c r="H23" s="5002"/>
      <c r="I23" s="5002"/>
      <c r="J23" s="5002"/>
      <c r="K23" s="5002"/>
    </row>
    <row r="24" spans="1:11" s="5001" customFormat="1">
      <c r="A24" s="5002"/>
      <c r="B24" s="5065" t="s">
        <v>9708</v>
      </c>
      <c r="C24" s="5002"/>
      <c r="D24" s="5002"/>
      <c r="E24" s="5003"/>
      <c r="F24" s="5002"/>
      <c r="G24" s="5002"/>
      <c r="H24" s="5002"/>
      <c r="I24" s="5002"/>
      <c r="J24" s="5002"/>
      <c r="K24" s="5002"/>
    </row>
    <row r="25" spans="1:11" s="5001" customFormat="1">
      <c r="A25" s="5002"/>
      <c r="B25" s="5004" t="s">
        <v>9901</v>
      </c>
      <c r="C25" s="5002"/>
      <c r="D25" s="5002"/>
      <c r="E25" s="5003"/>
      <c r="F25" s="5002"/>
      <c r="G25" s="5002"/>
      <c r="H25" s="5002"/>
      <c r="I25" s="5002"/>
      <c r="J25" s="5002"/>
      <c r="K25" s="5002"/>
    </row>
    <row r="26" spans="1:11" s="5001" customFormat="1">
      <c r="A26" s="5002"/>
      <c r="B26" s="5004" t="s">
        <v>9709</v>
      </c>
      <c r="C26" s="5002"/>
      <c r="D26" s="5002"/>
      <c r="E26" s="5003"/>
      <c r="F26" s="5002"/>
      <c r="G26" s="5002"/>
      <c r="H26" s="5002"/>
      <c r="I26" s="5002"/>
      <c r="J26" s="5002"/>
      <c r="K26" s="5002"/>
    </row>
    <row r="28" spans="1:11" s="5001" customFormat="1">
      <c r="A28" s="5057" t="s">
        <v>9710</v>
      </c>
      <c r="B28" s="5057"/>
      <c r="C28" s="5057"/>
      <c r="D28" s="5057"/>
      <c r="E28" s="5058"/>
      <c r="F28" s="5057"/>
      <c r="G28" s="5059"/>
      <c r="H28" s="5059"/>
      <c r="I28" s="5059"/>
      <c r="J28" s="5059"/>
      <c r="K28" s="5059"/>
    </row>
    <row r="29" spans="1:11">
      <c r="A29" s="5030" t="s">
        <v>9711</v>
      </c>
      <c r="B29" s="14442" t="s">
        <v>3241</v>
      </c>
      <c r="C29" s="14443"/>
      <c r="D29" s="14444"/>
      <c r="E29" s="14445" t="s">
        <v>1736</v>
      </c>
      <c r="F29" s="14447" t="s">
        <v>9712</v>
      </c>
      <c r="G29" s="14448"/>
      <c r="H29" s="5034" t="s">
        <v>9713</v>
      </c>
      <c r="I29" s="5034" t="s">
        <v>9714</v>
      </c>
      <c r="J29" s="14459" t="s">
        <v>1840</v>
      </c>
      <c r="K29" s="14459"/>
    </row>
    <row r="30" spans="1:11">
      <c r="A30" s="5031" t="s">
        <v>94</v>
      </c>
      <c r="B30" s="14449" t="s">
        <v>1992</v>
      </c>
      <c r="C30" s="14450"/>
      <c r="D30" s="14451"/>
      <c r="E30" s="14446"/>
      <c r="F30" s="14452" t="s">
        <v>1787</v>
      </c>
      <c r="G30" s="14453"/>
      <c r="H30" s="5009" t="s">
        <v>9715</v>
      </c>
      <c r="I30" s="5009" t="s">
        <v>9716</v>
      </c>
      <c r="J30" s="14460" t="s">
        <v>9717</v>
      </c>
      <c r="K30" s="14460"/>
    </row>
    <row r="31" spans="1:11">
      <c r="A31" s="5028"/>
      <c r="B31" s="5028"/>
      <c r="D31" s="5010"/>
      <c r="E31" s="5035"/>
      <c r="F31" s="14452" t="s">
        <v>1804</v>
      </c>
      <c r="G31" s="14453"/>
      <c r="H31" s="5011"/>
      <c r="I31" s="5009" t="s">
        <v>9718</v>
      </c>
      <c r="J31" s="5009" t="s">
        <v>9719</v>
      </c>
      <c r="K31" s="5009" t="s">
        <v>2033</v>
      </c>
    </row>
    <row r="32" spans="1:11">
      <c r="A32" s="5015" t="s">
        <v>472</v>
      </c>
      <c r="B32" s="5053"/>
      <c r="C32" s="5013" t="s">
        <v>473</v>
      </c>
      <c r="D32" s="5014"/>
      <c r="E32" s="5036" t="s">
        <v>474</v>
      </c>
      <c r="F32" s="14454" t="s">
        <v>475</v>
      </c>
      <c r="G32" s="14455"/>
      <c r="H32" s="5016" t="s">
        <v>476</v>
      </c>
      <c r="I32" s="5016"/>
      <c r="J32" s="5016" t="s">
        <v>477</v>
      </c>
      <c r="K32" s="5016" t="s">
        <v>9720</v>
      </c>
    </row>
    <row r="33" spans="1:11">
      <c r="A33" s="5032"/>
      <c r="B33" s="5054" t="s">
        <v>9721</v>
      </c>
      <c r="C33" s="5017"/>
      <c r="D33" s="5018"/>
      <c r="E33" s="5037">
        <f>SUM(E36:E64,E76:E102)</f>
        <v>365178</v>
      </c>
      <c r="F33" s="5032"/>
      <c r="G33" s="5018"/>
      <c r="H33" s="5039"/>
      <c r="I33" s="5039"/>
      <c r="J33" s="5040" t="s">
        <v>1814</v>
      </c>
      <c r="K33" s="5040" t="s">
        <v>1743</v>
      </c>
    </row>
    <row r="34" spans="1:11">
      <c r="A34" s="5032"/>
      <c r="B34" s="5050" t="s">
        <v>9886</v>
      </c>
      <c r="C34" s="5017"/>
      <c r="D34" s="5018"/>
      <c r="E34" s="5041"/>
      <c r="F34" s="5050" t="s">
        <v>9722</v>
      </c>
      <c r="G34" s="5018"/>
      <c r="H34" s="5039"/>
      <c r="I34" s="5042"/>
      <c r="J34" s="5038"/>
      <c r="K34" s="5038"/>
    </row>
    <row r="35" spans="1:11">
      <c r="A35" s="5032"/>
      <c r="B35" s="5050"/>
      <c r="C35" s="5017"/>
      <c r="D35" s="5018"/>
      <c r="E35" s="5041"/>
      <c r="F35" s="5050" t="s">
        <v>9723</v>
      </c>
      <c r="G35" s="5018"/>
      <c r="H35" s="5039"/>
      <c r="I35" s="5038"/>
      <c r="J35" s="5038"/>
      <c r="K35" s="5038"/>
    </row>
    <row r="36" spans="1:11">
      <c r="A36" s="5032"/>
      <c r="B36" s="5054" t="s">
        <v>9724</v>
      </c>
      <c r="C36" s="5017"/>
      <c r="D36" s="5018"/>
      <c r="E36" s="5041">
        <v>100000</v>
      </c>
      <c r="F36" s="5050" t="s">
        <v>9725</v>
      </c>
      <c r="G36" s="5018"/>
      <c r="H36" s="5038"/>
      <c r="I36" s="5039" t="s">
        <v>9726</v>
      </c>
      <c r="J36" s="5038"/>
      <c r="K36" s="5038"/>
    </row>
    <row r="37" spans="1:11">
      <c r="A37" s="5032"/>
      <c r="B37" s="5055" t="s">
        <v>9727</v>
      </c>
      <c r="C37" s="5017"/>
      <c r="D37" s="5018"/>
      <c r="E37" s="5041"/>
      <c r="F37" s="5050" t="s">
        <v>2052</v>
      </c>
      <c r="G37" s="5018"/>
      <c r="H37" s="5038"/>
      <c r="I37" s="5039" t="s">
        <v>9728</v>
      </c>
      <c r="J37" s="5038"/>
      <c r="K37" s="5038"/>
    </row>
    <row r="38" spans="1:11">
      <c r="A38" s="5032"/>
      <c r="B38" s="5051" t="s">
        <v>9729</v>
      </c>
      <c r="C38" s="5017"/>
      <c r="D38" s="5018"/>
      <c r="E38" s="5041"/>
      <c r="F38" s="5050" t="s">
        <v>9730</v>
      </c>
      <c r="G38" s="5018"/>
      <c r="H38" s="5038" t="s">
        <v>9731</v>
      </c>
      <c r="I38" s="5039" t="s">
        <v>9732</v>
      </c>
      <c r="J38" s="5038"/>
      <c r="K38" s="5038"/>
    </row>
    <row r="39" spans="1:11">
      <c r="A39" s="5032"/>
      <c r="B39" s="5051" t="s">
        <v>9733</v>
      </c>
      <c r="C39" s="5017"/>
      <c r="D39" s="5018"/>
      <c r="E39" s="5041"/>
      <c r="F39" s="5050" t="s">
        <v>9734</v>
      </c>
      <c r="G39" s="5018"/>
      <c r="H39" s="5038" t="s">
        <v>9735</v>
      </c>
      <c r="I39" s="5038"/>
      <c r="J39" s="5038"/>
      <c r="K39" s="5038"/>
    </row>
    <row r="40" spans="1:11">
      <c r="A40" s="5032"/>
      <c r="B40" s="5051" t="s">
        <v>9736</v>
      </c>
      <c r="C40" s="5017"/>
      <c r="D40" s="5018"/>
      <c r="E40" s="5041"/>
      <c r="F40" s="5050" t="s">
        <v>9737</v>
      </c>
      <c r="G40" s="5018"/>
      <c r="H40" s="5038" t="s">
        <v>9738</v>
      </c>
      <c r="I40" s="5038"/>
      <c r="J40" s="5038"/>
      <c r="K40" s="5038"/>
    </row>
    <row r="41" spans="1:11">
      <c r="A41" s="5032"/>
      <c r="B41" s="5051" t="s">
        <v>9739</v>
      </c>
      <c r="C41" s="5017"/>
      <c r="D41" s="5018"/>
      <c r="E41" s="5041"/>
      <c r="F41" s="5032"/>
      <c r="G41" s="5018"/>
      <c r="H41" s="5038"/>
      <c r="I41" s="5038"/>
      <c r="J41" s="5038"/>
      <c r="K41" s="5038"/>
    </row>
    <row r="42" spans="1:11">
      <c r="A42" s="5032"/>
      <c r="B42" s="5051" t="s">
        <v>9909</v>
      </c>
      <c r="C42" s="5019"/>
      <c r="D42" s="5020"/>
      <c r="E42" s="5041"/>
      <c r="F42" s="5032"/>
      <c r="G42" s="5018"/>
      <c r="H42" s="5039" t="s">
        <v>9740</v>
      </c>
      <c r="I42" s="5039"/>
      <c r="J42" s="5040"/>
      <c r="K42" s="5040"/>
    </row>
    <row r="43" spans="1:11">
      <c r="A43" s="5032"/>
      <c r="B43" s="5051" t="s">
        <v>9907</v>
      </c>
      <c r="C43" s="5017"/>
      <c r="D43" s="5018"/>
      <c r="E43" s="5041"/>
      <c r="F43" s="5032"/>
      <c r="G43" s="5018"/>
      <c r="H43" s="5039" t="s">
        <v>9741</v>
      </c>
      <c r="I43" s="5039"/>
      <c r="J43" s="5038"/>
      <c r="K43" s="5038"/>
    </row>
    <row r="44" spans="1:11">
      <c r="A44" s="5032"/>
      <c r="B44" s="5050" t="s">
        <v>9906</v>
      </c>
      <c r="C44" s="5017"/>
      <c r="D44" s="5018"/>
      <c r="E44" s="5041"/>
      <c r="F44" s="5032"/>
      <c r="G44" s="5018"/>
      <c r="H44" s="5038" t="s">
        <v>9742</v>
      </c>
      <c r="I44" s="5038"/>
      <c r="J44" s="5038"/>
      <c r="K44" s="5038"/>
    </row>
    <row r="45" spans="1:11">
      <c r="A45" s="5032"/>
      <c r="B45" s="5054" t="s">
        <v>9743</v>
      </c>
      <c r="C45" s="5017"/>
      <c r="D45" s="5018"/>
      <c r="E45" s="5041">
        <v>25000</v>
      </c>
      <c r="F45" s="5032"/>
      <c r="G45" s="5018"/>
      <c r="H45" s="5038"/>
      <c r="I45" s="5039" t="s">
        <v>9726</v>
      </c>
      <c r="J45" s="5038"/>
      <c r="K45" s="5038"/>
    </row>
    <row r="46" spans="1:11">
      <c r="A46" s="5032"/>
      <c r="B46" s="5050" t="s">
        <v>9727</v>
      </c>
      <c r="C46" s="5019"/>
      <c r="D46" s="5020"/>
      <c r="E46" s="5041"/>
      <c r="F46" s="5032"/>
      <c r="G46" s="5018"/>
      <c r="H46" s="5039"/>
      <c r="I46" s="5039" t="s">
        <v>9728</v>
      </c>
      <c r="J46" s="5040"/>
      <c r="K46" s="5040"/>
    </row>
    <row r="47" spans="1:11">
      <c r="A47" s="5032"/>
      <c r="B47" s="5050" t="s">
        <v>9744</v>
      </c>
      <c r="C47" s="5019"/>
      <c r="D47" s="5020"/>
      <c r="E47" s="5041"/>
      <c r="F47" s="5032"/>
      <c r="G47" s="5018"/>
      <c r="H47" s="5039" t="s">
        <v>9731</v>
      </c>
      <c r="I47" s="5039" t="s">
        <v>9745</v>
      </c>
      <c r="J47" s="5038"/>
      <c r="K47" s="5038"/>
    </row>
    <row r="48" spans="1:11">
      <c r="A48" s="5032"/>
      <c r="B48" s="5055" t="s">
        <v>9746</v>
      </c>
      <c r="C48" s="5017"/>
      <c r="D48" s="5018"/>
      <c r="E48" s="5041"/>
      <c r="F48" s="5032"/>
      <c r="G48" s="5018"/>
      <c r="H48" s="5039"/>
      <c r="I48" s="5038"/>
      <c r="J48" s="5038"/>
      <c r="K48" s="5038"/>
    </row>
    <row r="49" spans="1:11">
      <c r="A49" s="5032"/>
      <c r="B49" s="5050" t="s">
        <v>9747</v>
      </c>
      <c r="C49" s="5017"/>
      <c r="D49" s="5018"/>
      <c r="E49" s="5041"/>
      <c r="F49" s="5032"/>
      <c r="G49" s="5018"/>
      <c r="H49" s="5039" t="s">
        <v>9735</v>
      </c>
      <c r="I49" s="5038"/>
      <c r="J49" s="5038"/>
      <c r="K49" s="5038"/>
    </row>
    <row r="50" spans="1:11">
      <c r="A50" s="5032"/>
      <c r="B50" s="5050" t="s">
        <v>9748</v>
      </c>
      <c r="C50" s="5017"/>
      <c r="D50" s="5018"/>
      <c r="E50" s="5041"/>
      <c r="F50" s="5032"/>
      <c r="G50" s="5018"/>
      <c r="H50" s="5039" t="s">
        <v>9738</v>
      </c>
      <c r="I50" s="5038"/>
      <c r="J50" s="5038"/>
      <c r="K50" s="5038"/>
    </row>
    <row r="51" spans="1:11">
      <c r="A51" s="5032"/>
      <c r="B51" s="5050" t="s">
        <v>9749</v>
      </c>
      <c r="C51" s="5017"/>
      <c r="D51" s="5018"/>
      <c r="E51" s="5041"/>
      <c r="F51" s="5032"/>
      <c r="G51" s="5018"/>
      <c r="H51" s="5039"/>
      <c r="I51" s="5038"/>
      <c r="J51" s="5038"/>
      <c r="K51" s="5038"/>
    </row>
    <row r="52" spans="1:11">
      <c r="A52" s="5032"/>
      <c r="B52" s="5050" t="s">
        <v>9904</v>
      </c>
      <c r="C52" s="5017"/>
      <c r="D52" s="5018"/>
      <c r="E52" s="5041"/>
      <c r="F52" s="5032"/>
      <c r="G52" s="5018"/>
      <c r="H52" s="5039"/>
      <c r="I52" s="5038"/>
      <c r="J52" s="5038"/>
      <c r="K52" s="5038"/>
    </row>
    <row r="53" spans="1:11">
      <c r="A53" s="5032"/>
      <c r="B53" s="5050" t="s">
        <v>9905</v>
      </c>
      <c r="C53" s="5017"/>
      <c r="D53" s="5018"/>
      <c r="E53" s="5041"/>
      <c r="F53" s="5032"/>
      <c r="G53" s="5018"/>
      <c r="H53" s="5038" t="s">
        <v>9738</v>
      </c>
      <c r="I53" s="5038"/>
      <c r="J53" s="5038"/>
      <c r="K53" s="5038"/>
    </row>
    <row r="54" spans="1:11">
      <c r="A54" s="5032"/>
      <c r="B54" s="5050" t="s">
        <v>9750</v>
      </c>
      <c r="C54" s="5017"/>
      <c r="D54" s="5018"/>
      <c r="E54" s="5041"/>
      <c r="F54" s="5032"/>
      <c r="G54" s="5018"/>
      <c r="H54" s="5038"/>
      <c r="I54" s="5038"/>
      <c r="J54" s="5038"/>
      <c r="K54" s="5038"/>
    </row>
    <row r="55" spans="1:11">
      <c r="A55" s="5032"/>
      <c r="B55" s="5050" t="s">
        <v>9751</v>
      </c>
      <c r="C55" s="5017"/>
      <c r="D55" s="5018"/>
      <c r="E55" s="5041"/>
      <c r="F55" s="5032"/>
      <c r="G55" s="5018"/>
      <c r="H55" s="5038" t="s">
        <v>9752</v>
      </c>
      <c r="I55" s="5038"/>
      <c r="J55" s="5038"/>
      <c r="K55" s="5038"/>
    </row>
    <row r="56" spans="1:11">
      <c r="A56" s="5032"/>
      <c r="B56" s="5050" t="s">
        <v>9753</v>
      </c>
      <c r="C56" s="5017"/>
      <c r="D56" s="5018"/>
      <c r="E56" s="5041"/>
      <c r="F56" s="5032"/>
      <c r="G56" s="5018"/>
      <c r="H56" s="5038"/>
      <c r="I56" s="5038"/>
      <c r="J56" s="5038"/>
      <c r="K56" s="5038"/>
    </row>
    <row r="57" spans="1:11">
      <c r="A57" s="5032"/>
      <c r="B57" s="5050" t="s">
        <v>9880</v>
      </c>
      <c r="C57" s="5017"/>
      <c r="D57" s="5018"/>
      <c r="E57" s="5038"/>
      <c r="F57" s="5032"/>
      <c r="G57" s="5018"/>
      <c r="H57" s="5038"/>
      <c r="I57" s="5038"/>
      <c r="J57" s="5038"/>
      <c r="K57" s="5038"/>
    </row>
    <row r="58" spans="1:11">
      <c r="A58" s="5032"/>
      <c r="B58" s="5050" t="s">
        <v>9881</v>
      </c>
      <c r="C58" s="5017"/>
      <c r="D58" s="5018"/>
      <c r="E58" s="5038"/>
      <c r="F58" s="5032"/>
      <c r="G58" s="5018"/>
      <c r="H58" s="5038"/>
      <c r="I58" s="5038"/>
      <c r="J58" s="5038"/>
      <c r="K58" s="5038"/>
    </row>
    <row r="59" spans="1:11">
      <c r="A59" s="5032"/>
      <c r="B59" s="5050" t="s">
        <v>9882</v>
      </c>
      <c r="C59" s="5017"/>
      <c r="D59" s="5018"/>
      <c r="E59" s="5038"/>
      <c r="F59" s="5032"/>
      <c r="G59" s="5018"/>
      <c r="H59" s="5038"/>
      <c r="I59" s="5038"/>
      <c r="J59" s="5038"/>
      <c r="K59" s="5038"/>
    </row>
    <row r="60" spans="1:11">
      <c r="A60" s="5032"/>
      <c r="B60" s="5050" t="s">
        <v>9883</v>
      </c>
      <c r="C60" s="5017"/>
      <c r="D60" s="5018"/>
      <c r="E60" s="5038"/>
      <c r="F60" s="5032"/>
      <c r="G60" s="5018"/>
      <c r="H60" s="5038"/>
      <c r="I60" s="5038"/>
      <c r="J60" s="5038"/>
      <c r="K60" s="5038"/>
    </row>
    <row r="61" spans="1:11">
      <c r="A61" s="5032"/>
      <c r="B61" s="5054" t="s">
        <v>9908</v>
      </c>
      <c r="C61" s="5017"/>
      <c r="D61" s="5018"/>
      <c r="E61" s="5041">
        <v>25178</v>
      </c>
      <c r="F61" s="5032"/>
      <c r="G61" s="5018"/>
      <c r="H61" s="5038"/>
      <c r="I61" s="5039" t="s">
        <v>9726</v>
      </c>
      <c r="J61" s="5038"/>
      <c r="K61" s="5038"/>
    </row>
    <row r="62" spans="1:11">
      <c r="A62" s="5032"/>
      <c r="B62" s="5050" t="s">
        <v>9754</v>
      </c>
      <c r="C62" s="5017"/>
      <c r="D62" s="5018"/>
      <c r="E62" s="5041"/>
      <c r="F62" s="5032"/>
      <c r="G62" s="5018"/>
      <c r="H62" s="5038"/>
      <c r="I62" s="5039" t="s">
        <v>9728</v>
      </c>
      <c r="J62" s="5038"/>
      <c r="K62" s="5038"/>
    </row>
    <row r="63" spans="1:11">
      <c r="A63" s="5032"/>
      <c r="B63" s="5050" t="s">
        <v>9755</v>
      </c>
      <c r="C63" s="5017"/>
      <c r="D63" s="5018"/>
      <c r="E63" s="5041"/>
      <c r="F63" s="5032"/>
      <c r="G63" s="5018"/>
      <c r="H63" s="5038" t="s">
        <v>1812</v>
      </c>
      <c r="I63" s="5039" t="s">
        <v>9732</v>
      </c>
      <c r="J63" s="5038"/>
      <c r="K63" s="5038"/>
    </row>
    <row r="64" spans="1:11">
      <c r="A64" s="5032"/>
      <c r="B64" s="5050" t="s">
        <v>9903</v>
      </c>
      <c r="C64" s="5017"/>
      <c r="D64" s="5018"/>
      <c r="E64" s="5041"/>
      <c r="F64" s="5032"/>
      <c r="G64" s="5018"/>
      <c r="H64" s="5038" t="s">
        <v>9756</v>
      </c>
      <c r="I64" s="5038"/>
      <c r="J64" s="5038"/>
      <c r="K64" s="5038"/>
    </row>
    <row r="65" spans="1:11" s="5006" customFormat="1">
      <c r="A65" s="5060"/>
      <c r="B65" s="2697"/>
      <c r="C65" s="5060"/>
      <c r="D65" s="5060"/>
      <c r="E65" s="5061"/>
      <c r="F65" s="5060"/>
      <c r="G65" s="5060"/>
      <c r="H65" s="5060"/>
      <c r="I65" s="5060"/>
      <c r="J65" s="5060"/>
      <c r="K65" s="5060"/>
    </row>
    <row r="66" spans="1:11" s="5006" customFormat="1">
      <c r="B66" s="2692"/>
      <c r="E66" s="5007"/>
    </row>
    <row r="67" spans="1:11" s="5006" customFormat="1">
      <c r="B67" s="2692"/>
      <c r="E67" s="5007"/>
    </row>
    <row r="68" spans="1:11" s="5006" customFormat="1">
      <c r="B68" s="2692"/>
      <c r="E68" s="5007"/>
    </row>
    <row r="69" spans="1:11" s="5006" customFormat="1">
      <c r="B69" s="2692"/>
      <c r="E69" s="5007"/>
    </row>
    <row r="70" spans="1:11" s="5006" customFormat="1">
      <c r="B70" s="2692"/>
      <c r="E70" s="5007"/>
    </row>
    <row r="71" spans="1:11" s="5006" customFormat="1">
      <c r="A71" s="5012"/>
      <c r="B71" s="5062"/>
      <c r="C71" s="5012"/>
      <c r="D71" s="5012"/>
      <c r="E71" s="5063"/>
      <c r="F71" s="5012"/>
      <c r="G71" s="5012"/>
      <c r="H71" s="5012"/>
      <c r="I71" s="5012"/>
      <c r="J71" s="5012"/>
      <c r="K71" s="5012"/>
    </row>
    <row r="72" spans="1:11">
      <c r="A72" s="5030" t="s">
        <v>9711</v>
      </c>
      <c r="B72" s="14442" t="s">
        <v>3241</v>
      </c>
      <c r="C72" s="14443"/>
      <c r="D72" s="14444"/>
      <c r="E72" s="14445" t="s">
        <v>1736</v>
      </c>
      <c r="F72" s="14447" t="s">
        <v>9712</v>
      </c>
      <c r="G72" s="14448"/>
      <c r="H72" s="5034" t="s">
        <v>9713</v>
      </c>
      <c r="I72" s="5034" t="s">
        <v>9714</v>
      </c>
      <c r="J72" s="14459" t="s">
        <v>1840</v>
      </c>
      <c r="K72" s="14459"/>
    </row>
    <row r="73" spans="1:11">
      <c r="A73" s="5031" t="s">
        <v>94</v>
      </c>
      <c r="B73" s="14449" t="s">
        <v>1992</v>
      </c>
      <c r="C73" s="14450"/>
      <c r="D73" s="14451"/>
      <c r="E73" s="14446"/>
      <c r="F73" s="14452" t="s">
        <v>1787</v>
      </c>
      <c r="G73" s="14453"/>
      <c r="H73" s="5009" t="s">
        <v>9715</v>
      </c>
      <c r="I73" s="5009" t="s">
        <v>9716</v>
      </c>
      <c r="J73" s="14460" t="s">
        <v>9717</v>
      </c>
      <c r="K73" s="14460"/>
    </row>
    <row r="74" spans="1:11">
      <c r="A74" s="5028"/>
      <c r="B74" s="5028"/>
      <c r="D74" s="5010"/>
      <c r="E74" s="5035"/>
      <c r="F74" s="14452" t="s">
        <v>1804</v>
      </c>
      <c r="G74" s="14453"/>
      <c r="H74" s="5011"/>
      <c r="I74" s="5009" t="s">
        <v>9718</v>
      </c>
      <c r="J74" s="5009" t="s">
        <v>9719</v>
      </c>
      <c r="K74" s="5009" t="s">
        <v>2033</v>
      </c>
    </row>
    <row r="75" spans="1:11">
      <c r="A75" s="5015" t="s">
        <v>472</v>
      </c>
      <c r="B75" s="5053"/>
      <c r="C75" s="5013" t="s">
        <v>473</v>
      </c>
      <c r="D75" s="5014"/>
      <c r="E75" s="5036" t="s">
        <v>474</v>
      </c>
      <c r="F75" s="14454" t="s">
        <v>475</v>
      </c>
      <c r="G75" s="14455"/>
      <c r="H75" s="5016" t="s">
        <v>476</v>
      </c>
      <c r="I75" s="5016"/>
      <c r="J75" s="5016" t="s">
        <v>477</v>
      </c>
      <c r="K75" s="5016" t="s">
        <v>9720</v>
      </c>
    </row>
    <row r="76" spans="1:11">
      <c r="A76" s="5032"/>
      <c r="B76" s="5050" t="s">
        <v>9757</v>
      </c>
      <c r="C76" s="5017"/>
      <c r="D76" s="5018"/>
      <c r="E76" s="5041"/>
      <c r="F76" s="5032"/>
      <c r="G76" s="5018"/>
      <c r="H76" s="5038"/>
      <c r="I76" s="5038"/>
      <c r="J76" s="5038"/>
      <c r="K76" s="5038"/>
    </row>
    <row r="77" spans="1:11">
      <c r="A77" s="5032"/>
      <c r="B77" s="5050" t="s">
        <v>9758</v>
      </c>
      <c r="C77" s="5017"/>
      <c r="D77" s="5018"/>
      <c r="E77" s="5041"/>
      <c r="F77" s="5032"/>
      <c r="G77" s="5018"/>
      <c r="H77" s="5038" t="s">
        <v>9759</v>
      </c>
      <c r="I77" s="5038"/>
      <c r="J77" s="5038"/>
      <c r="K77" s="5038"/>
    </row>
    <row r="78" spans="1:11">
      <c r="A78" s="5032"/>
      <c r="B78" s="5050" t="s">
        <v>9902</v>
      </c>
      <c r="C78" s="5017"/>
      <c r="D78" s="5018"/>
      <c r="E78" s="5041"/>
      <c r="F78" s="5032"/>
      <c r="G78" s="5018"/>
      <c r="H78" s="5038" t="s">
        <v>9759</v>
      </c>
      <c r="I78" s="5038"/>
      <c r="J78" s="5038"/>
      <c r="K78" s="5038"/>
    </row>
    <row r="79" spans="1:11">
      <c r="A79" s="5032"/>
      <c r="B79" s="5050" t="s">
        <v>9760</v>
      </c>
      <c r="C79" s="5017"/>
      <c r="D79" s="5018"/>
      <c r="E79" s="5041"/>
      <c r="F79" s="5032"/>
      <c r="G79" s="5018"/>
      <c r="H79" s="5038" t="s">
        <v>9738</v>
      </c>
      <c r="I79" s="5038"/>
      <c r="J79" s="5038"/>
      <c r="K79" s="5038"/>
    </row>
    <row r="80" spans="1:11">
      <c r="A80" s="5032"/>
      <c r="B80" s="5050" t="s">
        <v>9761</v>
      </c>
      <c r="C80" s="5017"/>
      <c r="D80" s="5018"/>
      <c r="E80" s="5041"/>
      <c r="F80" s="5032"/>
      <c r="G80" s="5018"/>
      <c r="H80" s="5038"/>
      <c r="I80" s="5038"/>
      <c r="J80" s="5038"/>
      <c r="K80" s="5038"/>
    </row>
    <row r="81" spans="1:11">
      <c r="A81" s="5032"/>
      <c r="B81" s="5054" t="s">
        <v>9762</v>
      </c>
      <c r="C81" s="5017"/>
      <c r="D81" s="5018"/>
      <c r="E81" s="5041">
        <v>40000</v>
      </c>
      <c r="F81" s="5032"/>
      <c r="G81" s="5018"/>
      <c r="H81" s="5038"/>
      <c r="I81" s="5039" t="s">
        <v>9726</v>
      </c>
      <c r="J81" s="5038"/>
      <c r="K81" s="5038"/>
    </row>
    <row r="82" spans="1:11">
      <c r="A82" s="5032"/>
      <c r="B82" s="5050" t="s">
        <v>9754</v>
      </c>
      <c r="C82" s="5021"/>
      <c r="D82" s="5022"/>
      <c r="E82" s="5041"/>
      <c r="F82" s="5032"/>
      <c r="G82" s="5018"/>
      <c r="H82" s="5039"/>
      <c r="I82" s="5039" t="s">
        <v>9728</v>
      </c>
      <c r="J82" s="5040"/>
      <c r="K82" s="5040"/>
    </row>
    <row r="83" spans="1:11">
      <c r="A83" s="5032"/>
      <c r="B83" s="5050" t="s">
        <v>9763</v>
      </c>
      <c r="C83" s="5021"/>
      <c r="D83" s="5022"/>
      <c r="E83" s="5041"/>
      <c r="F83" s="5032"/>
      <c r="G83" s="5018"/>
      <c r="H83" s="5039" t="s">
        <v>9764</v>
      </c>
      <c r="I83" s="5039" t="s">
        <v>9745</v>
      </c>
      <c r="J83" s="5038"/>
      <c r="K83" s="5038"/>
    </row>
    <row r="84" spans="1:11">
      <c r="A84" s="5032"/>
      <c r="B84" s="5050" t="s">
        <v>9765</v>
      </c>
      <c r="C84" s="5017"/>
      <c r="D84" s="5018"/>
      <c r="E84" s="5041"/>
      <c r="F84" s="5032"/>
      <c r="G84" s="5018"/>
      <c r="H84" s="5038"/>
      <c r="I84" s="5042"/>
      <c r="J84" s="5038"/>
      <c r="K84" s="5038"/>
    </row>
    <row r="85" spans="1:11">
      <c r="A85" s="5032"/>
      <c r="B85" s="5050" t="s">
        <v>9766</v>
      </c>
      <c r="C85" s="5017"/>
      <c r="D85" s="5018"/>
      <c r="E85" s="5041"/>
      <c r="F85" s="5032"/>
      <c r="G85" s="5018"/>
      <c r="H85" s="5038" t="s">
        <v>9738</v>
      </c>
      <c r="I85" s="5038"/>
      <c r="J85" s="5038"/>
      <c r="K85" s="5038"/>
    </row>
    <row r="86" spans="1:11">
      <c r="A86" s="5032"/>
      <c r="B86" s="5050" t="s">
        <v>9767</v>
      </c>
      <c r="C86" s="5017"/>
      <c r="D86" s="5018"/>
      <c r="E86" s="5041"/>
      <c r="F86" s="5032"/>
      <c r="G86" s="5018"/>
      <c r="H86" s="5038"/>
      <c r="I86" s="5038"/>
      <c r="J86" s="5038"/>
      <c r="K86" s="5038"/>
    </row>
    <row r="87" spans="1:11">
      <c r="A87" s="5032"/>
      <c r="B87" s="5050" t="s">
        <v>9768</v>
      </c>
      <c r="C87" s="5017"/>
      <c r="D87" s="5018"/>
      <c r="E87" s="5041"/>
      <c r="F87" s="5032"/>
      <c r="G87" s="5018"/>
      <c r="H87" s="5038"/>
      <c r="I87" s="5038"/>
      <c r="J87" s="5038"/>
      <c r="K87" s="5038"/>
    </row>
    <row r="88" spans="1:11">
      <c r="A88" s="5032"/>
      <c r="B88" s="5050" t="s">
        <v>9910</v>
      </c>
      <c r="C88" s="5017"/>
      <c r="D88" s="5018"/>
      <c r="E88" s="5041"/>
      <c r="F88" s="5032"/>
      <c r="G88" s="5018"/>
      <c r="H88" s="5038" t="s">
        <v>9769</v>
      </c>
      <c r="I88" s="5038"/>
      <c r="J88" s="5038"/>
      <c r="K88" s="5038"/>
    </row>
    <row r="89" spans="1:11">
      <c r="A89" s="5032"/>
      <c r="B89" s="5050" t="s">
        <v>9887</v>
      </c>
      <c r="C89" s="5017"/>
      <c r="D89" s="5018"/>
      <c r="E89" s="5041">
        <v>20000</v>
      </c>
      <c r="F89" s="5032"/>
      <c r="G89" s="5018"/>
      <c r="H89" s="5038"/>
      <c r="I89" s="5038"/>
      <c r="J89" s="5038"/>
      <c r="K89" s="5038"/>
    </row>
    <row r="90" spans="1:11">
      <c r="A90" s="5032"/>
      <c r="B90" s="5050" t="s">
        <v>9770</v>
      </c>
      <c r="C90" s="5017"/>
      <c r="D90" s="5018"/>
      <c r="E90" s="5041"/>
      <c r="F90" s="5032"/>
      <c r="G90" s="5018"/>
      <c r="H90" s="5038" t="s">
        <v>9771</v>
      </c>
      <c r="I90" s="5038" t="s">
        <v>9772</v>
      </c>
      <c r="J90" s="5038"/>
      <c r="K90" s="5038"/>
    </row>
    <row r="91" spans="1:11">
      <c r="A91" s="5032"/>
      <c r="B91" s="5054" t="s">
        <v>9773</v>
      </c>
      <c r="C91" s="5017"/>
      <c r="D91" s="5018"/>
      <c r="E91" s="5041">
        <v>30000</v>
      </c>
      <c r="F91" s="5032"/>
      <c r="G91" s="5018"/>
      <c r="H91" s="5038" t="s">
        <v>9774</v>
      </c>
      <c r="I91" s="5038" t="s">
        <v>9775</v>
      </c>
      <c r="J91" s="5038"/>
      <c r="K91" s="5038"/>
    </row>
    <row r="92" spans="1:11">
      <c r="A92" s="5032"/>
      <c r="B92" s="5050" t="s">
        <v>9888</v>
      </c>
      <c r="C92" s="5021"/>
      <c r="D92" s="5022"/>
      <c r="E92" s="5041"/>
      <c r="F92" s="5032"/>
      <c r="G92" s="5018"/>
      <c r="H92" s="5039"/>
      <c r="I92" s="5039"/>
      <c r="J92" s="5038"/>
      <c r="K92" s="5038"/>
    </row>
    <row r="93" spans="1:11">
      <c r="A93" s="5032"/>
      <c r="B93" s="5050" t="s">
        <v>9889</v>
      </c>
      <c r="C93" s="5017"/>
      <c r="D93" s="5018"/>
      <c r="E93" s="5041"/>
      <c r="F93" s="5032"/>
      <c r="G93" s="5018"/>
      <c r="H93" s="5039"/>
      <c r="I93" s="5039"/>
      <c r="J93" s="5040"/>
      <c r="K93" s="5038"/>
    </row>
    <row r="94" spans="1:11">
      <c r="A94" s="5032"/>
      <c r="B94" s="5050" t="s">
        <v>9890</v>
      </c>
      <c r="C94" s="5017"/>
      <c r="D94" s="5018"/>
      <c r="E94" s="5041">
        <v>75000</v>
      </c>
      <c r="F94" s="5032"/>
      <c r="G94" s="5018"/>
      <c r="H94" s="5038" t="s">
        <v>9776</v>
      </c>
      <c r="I94" s="5039" t="s">
        <v>9777</v>
      </c>
      <c r="J94" s="5040"/>
      <c r="K94" s="5038"/>
    </row>
    <row r="95" spans="1:11">
      <c r="A95" s="5032"/>
      <c r="B95" s="5050" t="s">
        <v>9891</v>
      </c>
      <c r="C95" s="5017"/>
      <c r="D95" s="5018"/>
      <c r="E95" s="5041"/>
      <c r="F95" s="5032"/>
      <c r="G95" s="5018"/>
      <c r="H95" s="5039" t="s">
        <v>9778</v>
      </c>
      <c r="I95" s="5042" t="s">
        <v>9779</v>
      </c>
      <c r="J95" s="5040"/>
      <c r="K95" s="5038"/>
    </row>
    <row r="96" spans="1:11">
      <c r="A96" s="5032"/>
      <c r="B96" s="5050" t="s">
        <v>9780</v>
      </c>
      <c r="C96" s="5017"/>
      <c r="D96" s="5018"/>
      <c r="E96" s="5041"/>
      <c r="F96" s="5032"/>
      <c r="G96" s="5018"/>
      <c r="H96" s="5039"/>
      <c r="I96" s="5042"/>
      <c r="J96" s="5040"/>
      <c r="K96" s="5038"/>
    </row>
    <row r="97" spans="1:14">
      <c r="A97" s="5032"/>
      <c r="B97" s="5050" t="s">
        <v>9781</v>
      </c>
      <c r="C97" s="5017"/>
      <c r="D97" s="5018"/>
      <c r="E97" s="5041"/>
      <c r="F97" s="5032"/>
      <c r="G97" s="5018"/>
      <c r="H97" s="5039"/>
      <c r="I97" s="5042"/>
      <c r="J97" s="5040"/>
      <c r="K97" s="5038"/>
    </row>
    <row r="98" spans="1:14">
      <c r="A98" s="5032"/>
      <c r="B98" s="5050" t="s">
        <v>9782</v>
      </c>
      <c r="C98" s="5017"/>
      <c r="D98" s="5018"/>
      <c r="E98" s="5041"/>
      <c r="F98" s="5032"/>
      <c r="G98" s="5018"/>
      <c r="H98" s="5039"/>
      <c r="I98" s="5042"/>
      <c r="J98" s="5040"/>
      <c r="K98" s="5038"/>
    </row>
    <row r="99" spans="1:14">
      <c r="A99" s="5032"/>
      <c r="B99" s="5054" t="s">
        <v>9783</v>
      </c>
      <c r="C99" s="5017"/>
      <c r="D99" s="5018"/>
      <c r="E99" s="5043">
        <v>50000</v>
      </c>
      <c r="F99" s="5032"/>
      <c r="G99" s="5018"/>
      <c r="H99" s="5039"/>
      <c r="I99" s="5042"/>
      <c r="J99" s="5040"/>
      <c r="K99" s="5038"/>
      <c r="N99" s="5006"/>
    </row>
    <row r="100" spans="1:14">
      <c r="A100" s="5032"/>
      <c r="B100" s="5050" t="s">
        <v>9892</v>
      </c>
      <c r="C100" s="5017"/>
      <c r="D100" s="5018"/>
      <c r="E100" s="5038"/>
      <c r="F100" s="5032"/>
      <c r="G100" s="5018"/>
      <c r="H100" s="5039"/>
      <c r="I100" s="5042"/>
      <c r="J100" s="5040"/>
      <c r="K100" s="5038"/>
    </row>
    <row r="101" spans="1:14">
      <c r="A101" s="5032"/>
      <c r="B101" s="5050" t="s">
        <v>9784</v>
      </c>
      <c r="C101" s="5017"/>
      <c r="D101" s="5018"/>
      <c r="E101" s="5038"/>
      <c r="F101" s="5032"/>
      <c r="G101" s="5018"/>
      <c r="H101" s="5039" t="s">
        <v>9785</v>
      </c>
      <c r="I101" s="5042" t="s">
        <v>9786</v>
      </c>
      <c r="J101" s="5040"/>
      <c r="K101" s="5038"/>
    </row>
    <row r="102" spans="1:14">
      <c r="A102" s="5032"/>
      <c r="B102" s="5050" t="s">
        <v>9787</v>
      </c>
      <c r="C102" s="5017"/>
      <c r="D102" s="5018"/>
      <c r="E102" s="5038"/>
      <c r="F102" s="5032"/>
      <c r="G102" s="5018"/>
      <c r="H102" s="5039" t="s">
        <v>9894</v>
      </c>
      <c r="I102" s="5042"/>
      <c r="J102" s="5040"/>
      <c r="K102" s="5038"/>
    </row>
    <row r="103" spans="1:14">
      <c r="A103" s="5032"/>
      <c r="B103" s="5054" t="s">
        <v>9788</v>
      </c>
      <c r="C103" s="5021"/>
      <c r="D103" s="5022"/>
      <c r="E103" s="5037">
        <f>SUM(E106:E107)</f>
        <v>40000</v>
      </c>
      <c r="F103" s="5032"/>
      <c r="G103" s="5018"/>
      <c r="H103" s="5038"/>
      <c r="I103" s="5039"/>
      <c r="J103" s="5040" t="s">
        <v>1814</v>
      </c>
      <c r="K103" s="5040" t="s">
        <v>1743</v>
      </c>
    </row>
    <row r="104" spans="1:14">
      <c r="A104" s="5032"/>
      <c r="B104" s="5054" t="s">
        <v>9789</v>
      </c>
      <c r="C104" s="5019"/>
      <c r="D104" s="5020"/>
      <c r="E104" s="5037"/>
      <c r="F104" s="5050" t="s">
        <v>9790</v>
      </c>
      <c r="G104" s="5018"/>
      <c r="H104" s="5039"/>
      <c r="I104" s="5038"/>
      <c r="J104" s="5040"/>
      <c r="K104" s="5040"/>
    </row>
    <row r="105" spans="1:14">
      <c r="A105" s="5032"/>
      <c r="B105" s="5054" t="s">
        <v>9791</v>
      </c>
      <c r="C105" s="5019"/>
      <c r="D105" s="5020"/>
      <c r="E105" s="5041"/>
      <c r="F105" s="5050" t="s">
        <v>9792</v>
      </c>
      <c r="G105" s="5018"/>
      <c r="H105" s="5039"/>
      <c r="I105" s="5038"/>
      <c r="J105" s="5038"/>
      <c r="K105" s="5038"/>
    </row>
    <row r="106" spans="1:14">
      <c r="A106" s="5032"/>
      <c r="B106" s="5055" t="s">
        <v>9793</v>
      </c>
      <c r="C106" s="5017"/>
      <c r="D106" s="5018"/>
      <c r="E106" s="5043">
        <v>20000</v>
      </c>
      <c r="F106" s="5050" t="s">
        <v>9794</v>
      </c>
      <c r="G106" s="5018"/>
      <c r="H106" s="5039" t="s">
        <v>9795</v>
      </c>
      <c r="I106" s="5038" t="s">
        <v>9796</v>
      </c>
      <c r="J106" s="5038"/>
      <c r="K106" s="5038"/>
    </row>
    <row r="107" spans="1:14">
      <c r="A107" s="5032"/>
      <c r="B107" s="5050" t="s">
        <v>9797</v>
      </c>
      <c r="C107" s="5017"/>
      <c r="D107" s="5018"/>
      <c r="E107" s="5043">
        <v>20000</v>
      </c>
      <c r="F107" s="5050" t="s">
        <v>9798</v>
      </c>
      <c r="G107" s="5018"/>
      <c r="H107" s="5044" t="s">
        <v>7556</v>
      </c>
      <c r="I107" s="5038" t="s">
        <v>9799</v>
      </c>
      <c r="J107" s="5038"/>
      <c r="K107" s="5038"/>
    </row>
    <row r="108" spans="1:14">
      <c r="A108" s="5032"/>
      <c r="B108" s="5050"/>
      <c r="C108" s="5017"/>
      <c r="D108" s="5018"/>
      <c r="E108" s="5043"/>
      <c r="F108" s="5050" t="s">
        <v>9800</v>
      </c>
      <c r="G108" s="5018"/>
      <c r="H108" s="5039"/>
      <c r="I108" s="5038" t="s">
        <v>9801</v>
      </c>
      <c r="J108" s="5038"/>
      <c r="K108" s="5038"/>
    </row>
    <row r="109" spans="1:14">
      <c r="A109" s="5032"/>
      <c r="B109" s="5054" t="s">
        <v>9802</v>
      </c>
      <c r="C109" s="5017"/>
      <c r="D109" s="5018"/>
      <c r="E109" s="5045">
        <f>SUM(E111:E119)</f>
        <v>545000</v>
      </c>
      <c r="F109" s="5050" t="s">
        <v>9803</v>
      </c>
      <c r="G109" s="5018"/>
      <c r="H109" s="5039"/>
      <c r="I109" s="5039" t="s">
        <v>9804</v>
      </c>
      <c r="J109" s="5040" t="s">
        <v>1814</v>
      </c>
      <c r="K109" s="5040" t="s">
        <v>1743</v>
      </c>
    </row>
    <row r="110" spans="1:14">
      <c r="A110" s="5032"/>
      <c r="B110" s="5054"/>
      <c r="C110" s="5017"/>
      <c r="D110" s="5018"/>
      <c r="E110" s="5045"/>
      <c r="F110" s="5050" t="s">
        <v>9805</v>
      </c>
      <c r="G110" s="5018"/>
      <c r="H110" s="5039"/>
      <c r="I110" s="5039" t="s">
        <v>9806</v>
      </c>
      <c r="J110" s="5040"/>
      <c r="K110" s="5040"/>
    </row>
    <row r="111" spans="1:14">
      <c r="A111" s="5032"/>
      <c r="B111" s="5054" t="s">
        <v>9893</v>
      </c>
      <c r="C111" s="5017"/>
      <c r="D111" s="5018"/>
      <c r="E111" s="5043">
        <v>75000</v>
      </c>
      <c r="F111" s="5050" t="s">
        <v>9807</v>
      </c>
      <c r="G111" s="5018"/>
      <c r="H111" s="5041" t="s">
        <v>1809</v>
      </c>
      <c r="I111" s="5039" t="s">
        <v>9808</v>
      </c>
      <c r="J111" s="5040"/>
      <c r="K111" s="5038"/>
    </row>
    <row r="112" spans="1:14">
      <c r="A112" s="5032"/>
      <c r="B112" s="5050" t="s">
        <v>9809</v>
      </c>
      <c r="C112" s="5017"/>
      <c r="D112" s="5018"/>
      <c r="E112" s="5038"/>
      <c r="F112" s="5051" t="s">
        <v>9810</v>
      </c>
      <c r="G112" s="5018"/>
      <c r="H112" s="5041"/>
      <c r="I112" s="5041" t="s">
        <v>568</v>
      </c>
      <c r="J112" s="5040"/>
      <c r="K112" s="5038"/>
    </row>
    <row r="113" spans="1:11">
      <c r="A113" s="5032"/>
      <c r="B113" s="5055" t="s">
        <v>9811</v>
      </c>
      <c r="C113" s="5017"/>
      <c r="D113" s="5018"/>
      <c r="E113" s="5038"/>
      <c r="F113" s="5050" t="s">
        <v>9812</v>
      </c>
      <c r="G113" s="5018"/>
      <c r="H113" s="5041"/>
      <c r="I113" s="5041"/>
      <c r="J113" s="5040"/>
      <c r="K113" s="5038"/>
    </row>
    <row r="114" spans="1:11">
      <c r="A114" s="5032"/>
      <c r="B114" s="5051" t="s">
        <v>9813</v>
      </c>
      <c r="C114" s="5017"/>
      <c r="D114" s="5018"/>
      <c r="E114" s="5043">
        <v>20000</v>
      </c>
      <c r="F114" s="5050"/>
      <c r="G114" s="5018"/>
      <c r="H114" s="5041" t="s">
        <v>9814</v>
      </c>
      <c r="I114" s="5041"/>
      <c r="J114" s="5040"/>
      <c r="K114" s="5038"/>
    </row>
    <row r="115" spans="1:11">
      <c r="A115" s="5032"/>
      <c r="B115" s="5050" t="s">
        <v>9815</v>
      </c>
      <c r="C115" s="5017"/>
      <c r="D115" s="5018"/>
      <c r="E115" s="5038"/>
      <c r="F115" s="5032"/>
      <c r="G115" s="5018"/>
      <c r="H115" s="5041"/>
      <c r="I115" s="5041"/>
      <c r="J115" s="5040"/>
      <c r="K115" s="5038"/>
    </row>
    <row r="116" spans="1:11">
      <c r="A116" s="5032"/>
      <c r="B116" s="5050" t="s">
        <v>9911</v>
      </c>
      <c r="C116" s="5017"/>
      <c r="D116" s="5018"/>
      <c r="E116" s="5043">
        <v>50000</v>
      </c>
      <c r="F116" s="5032"/>
      <c r="G116" s="5018"/>
      <c r="H116" s="5038" t="s">
        <v>9816</v>
      </c>
      <c r="I116" s="5038"/>
      <c r="J116" s="5040"/>
      <c r="K116" s="5038"/>
    </row>
    <row r="117" spans="1:11">
      <c r="A117" s="5032"/>
      <c r="B117" s="5050" t="s">
        <v>9817</v>
      </c>
      <c r="C117" s="5017"/>
      <c r="D117" s="5018"/>
      <c r="E117" s="5038"/>
      <c r="F117" s="5032"/>
      <c r="G117" s="5018"/>
      <c r="H117" s="5039"/>
      <c r="I117" s="5039"/>
      <c r="J117" s="5040"/>
      <c r="K117" s="5040"/>
    </row>
    <row r="118" spans="1:11">
      <c r="A118" s="5032"/>
      <c r="B118" s="5050" t="s">
        <v>9912</v>
      </c>
      <c r="C118" s="5021"/>
      <c r="D118" s="5022"/>
      <c r="E118" s="5043">
        <v>400000</v>
      </c>
      <c r="F118" s="5032"/>
      <c r="G118" s="5018"/>
      <c r="H118" s="5039" t="s">
        <v>9818</v>
      </c>
      <c r="I118" s="5039"/>
      <c r="J118" s="5038"/>
      <c r="K118" s="5038"/>
    </row>
    <row r="119" spans="1:11">
      <c r="A119" s="5032"/>
      <c r="B119" s="5050" t="s">
        <v>9819</v>
      </c>
      <c r="C119" s="5017"/>
      <c r="D119" s="5018"/>
      <c r="E119" s="5046"/>
      <c r="F119" s="5032"/>
      <c r="G119" s="5018"/>
      <c r="H119" s="5038"/>
      <c r="I119" s="5042"/>
      <c r="J119" s="5038"/>
      <c r="K119" s="5038"/>
    </row>
    <row r="120" spans="1:11">
      <c r="A120" s="5032"/>
      <c r="B120" s="5054" t="s">
        <v>9913</v>
      </c>
      <c r="C120" s="5017"/>
      <c r="D120" s="5018"/>
      <c r="E120" s="5037">
        <f>SUM(E122:E132)</f>
        <v>230000</v>
      </c>
      <c r="F120" s="5050" t="s">
        <v>2053</v>
      </c>
      <c r="G120" s="5018"/>
      <c r="H120" s="5038"/>
      <c r="I120" s="5039" t="s">
        <v>9820</v>
      </c>
      <c r="J120" s="5040" t="s">
        <v>1814</v>
      </c>
      <c r="K120" s="5040" t="s">
        <v>1743</v>
      </c>
    </row>
    <row r="121" spans="1:11">
      <c r="A121" s="5032"/>
      <c r="B121" s="5054"/>
      <c r="C121" s="5017"/>
      <c r="D121" s="5018"/>
      <c r="E121" s="5041"/>
      <c r="F121" s="5050" t="s">
        <v>9821</v>
      </c>
      <c r="G121" s="5018"/>
      <c r="H121" s="5038"/>
      <c r="I121" s="5039" t="s">
        <v>9822</v>
      </c>
      <c r="J121" s="5038"/>
      <c r="K121" s="5038"/>
    </row>
    <row r="122" spans="1:11">
      <c r="A122" s="5032"/>
      <c r="B122" s="5050" t="s">
        <v>9823</v>
      </c>
      <c r="C122" s="5017"/>
      <c r="D122" s="5018"/>
      <c r="E122" s="5047">
        <v>10000</v>
      </c>
      <c r="F122" s="5050" t="s">
        <v>9824</v>
      </c>
      <c r="G122" s="5018"/>
      <c r="H122" s="5038" t="s">
        <v>9825</v>
      </c>
      <c r="I122" s="5039" t="s">
        <v>9826</v>
      </c>
      <c r="J122" s="5040" t="s">
        <v>1814</v>
      </c>
      <c r="K122" s="5038"/>
    </row>
    <row r="123" spans="1:11">
      <c r="A123" s="5032"/>
      <c r="B123" s="5050" t="s">
        <v>9827</v>
      </c>
      <c r="C123" s="5021"/>
      <c r="D123" s="5022"/>
      <c r="E123" s="5047">
        <v>40000</v>
      </c>
      <c r="F123" s="5032"/>
      <c r="G123" s="5018"/>
      <c r="H123" s="5038" t="s">
        <v>9828</v>
      </c>
      <c r="I123" s="5042" t="s">
        <v>9829</v>
      </c>
      <c r="J123" s="5040" t="s">
        <v>1826</v>
      </c>
      <c r="K123" s="5040"/>
    </row>
    <row r="124" spans="1:11">
      <c r="A124" s="5032"/>
      <c r="B124" s="5051" t="s">
        <v>9830</v>
      </c>
      <c r="C124" s="5017"/>
      <c r="D124" s="5018"/>
      <c r="E124" s="5047">
        <v>10000</v>
      </c>
      <c r="F124" s="5032"/>
      <c r="G124" s="5018"/>
      <c r="H124" s="5038" t="s">
        <v>9831</v>
      </c>
      <c r="I124" s="5042" t="s">
        <v>9832</v>
      </c>
      <c r="J124" s="5040" t="s">
        <v>1740</v>
      </c>
      <c r="K124" s="5038"/>
    </row>
    <row r="125" spans="1:11">
      <c r="A125" s="5032"/>
      <c r="B125" s="5051" t="s">
        <v>9833</v>
      </c>
      <c r="C125" s="5017"/>
      <c r="D125" s="5018"/>
      <c r="E125" s="5047">
        <v>10000</v>
      </c>
      <c r="F125" s="5032"/>
      <c r="G125" s="5018"/>
      <c r="H125" s="5038" t="s">
        <v>9831</v>
      </c>
      <c r="I125" s="5042" t="s">
        <v>9834</v>
      </c>
      <c r="J125" s="5040" t="s">
        <v>1741</v>
      </c>
      <c r="K125" s="5038"/>
    </row>
    <row r="126" spans="1:11">
      <c r="A126" s="5032"/>
      <c r="B126" s="5051" t="s">
        <v>9835</v>
      </c>
      <c r="C126" s="5017"/>
      <c r="D126" s="5018"/>
      <c r="E126" s="5047">
        <v>10000</v>
      </c>
      <c r="F126" s="5032"/>
      <c r="G126" s="5018"/>
      <c r="H126" s="5038" t="s">
        <v>9831</v>
      </c>
      <c r="I126" s="5042" t="s">
        <v>9836</v>
      </c>
      <c r="J126" s="5040" t="s">
        <v>1741</v>
      </c>
      <c r="K126" s="5038"/>
    </row>
    <row r="127" spans="1:11">
      <c r="A127" s="5032"/>
      <c r="B127" s="5051" t="s">
        <v>9837</v>
      </c>
      <c r="C127" s="5017"/>
      <c r="D127" s="5018"/>
      <c r="E127" s="5047">
        <v>20000</v>
      </c>
      <c r="F127" s="5032"/>
      <c r="G127" s="5018"/>
      <c r="H127" s="5038" t="s">
        <v>9831</v>
      </c>
      <c r="I127" s="5042" t="s">
        <v>9838</v>
      </c>
      <c r="J127" s="5040" t="s">
        <v>9839</v>
      </c>
      <c r="K127" s="5038"/>
    </row>
    <row r="128" spans="1:11">
      <c r="A128" s="5032"/>
      <c r="B128" s="5051" t="s">
        <v>9840</v>
      </c>
      <c r="C128" s="5017"/>
      <c r="D128" s="5018"/>
      <c r="E128" s="5047">
        <v>25000</v>
      </c>
      <c r="F128" s="5032"/>
      <c r="G128" s="5018"/>
      <c r="H128" s="5038" t="s">
        <v>1932</v>
      </c>
      <c r="I128" s="5038"/>
      <c r="J128" s="5040" t="s">
        <v>1744</v>
      </c>
      <c r="K128" s="5038"/>
    </row>
    <row r="129" spans="1:11">
      <c r="A129" s="5032"/>
      <c r="B129" s="5051" t="s">
        <v>9841</v>
      </c>
      <c r="C129" s="5017"/>
      <c r="D129" s="5018"/>
      <c r="E129" s="5047">
        <v>35000</v>
      </c>
      <c r="F129" s="5032"/>
      <c r="G129" s="5018"/>
      <c r="H129" s="5038" t="s">
        <v>9831</v>
      </c>
      <c r="I129" s="5038"/>
      <c r="J129" s="5040" t="s">
        <v>1744</v>
      </c>
      <c r="K129" s="5038"/>
    </row>
    <row r="130" spans="1:11">
      <c r="A130" s="5032"/>
      <c r="B130" s="5051" t="s">
        <v>9842</v>
      </c>
      <c r="C130" s="5017"/>
      <c r="D130" s="5018"/>
      <c r="E130" s="5047">
        <v>25000</v>
      </c>
      <c r="F130" s="5032"/>
      <c r="G130" s="5018"/>
      <c r="H130" s="5038" t="s">
        <v>9831</v>
      </c>
      <c r="I130" s="5038"/>
      <c r="J130" s="5040" t="s">
        <v>1745</v>
      </c>
      <c r="K130" s="5038"/>
    </row>
    <row r="131" spans="1:11">
      <c r="A131" s="5032"/>
      <c r="B131" s="5051" t="s">
        <v>9843</v>
      </c>
      <c r="C131" s="5017"/>
      <c r="D131" s="5018"/>
      <c r="E131" s="5047">
        <v>25000</v>
      </c>
      <c r="F131" s="5032"/>
      <c r="G131" s="5018"/>
      <c r="H131" s="5038" t="s">
        <v>9831</v>
      </c>
      <c r="I131" s="5038"/>
      <c r="J131" s="5040" t="s">
        <v>1743</v>
      </c>
      <c r="K131" s="5038"/>
    </row>
    <row r="132" spans="1:11">
      <c r="A132" s="5032"/>
      <c r="B132" s="5051" t="s">
        <v>9844</v>
      </c>
      <c r="C132" s="5017"/>
      <c r="D132" s="5018"/>
      <c r="E132" s="5047">
        <v>20000</v>
      </c>
      <c r="F132" s="5032"/>
      <c r="G132" s="5018"/>
      <c r="H132" s="5038" t="s">
        <v>9831</v>
      </c>
      <c r="I132" s="5038"/>
      <c r="J132" s="5040" t="s">
        <v>1743</v>
      </c>
      <c r="K132" s="5038"/>
    </row>
    <row r="133" spans="1:11">
      <c r="A133" s="5032"/>
      <c r="B133" s="5054" t="s">
        <v>9845</v>
      </c>
      <c r="C133" s="5017"/>
      <c r="D133" s="5018"/>
      <c r="E133" s="5045">
        <f>SUM(E134:E138)</f>
        <v>200000</v>
      </c>
      <c r="F133" s="5050" t="s">
        <v>9846</v>
      </c>
      <c r="G133" s="5018"/>
      <c r="H133" s="5038" t="s">
        <v>9847</v>
      </c>
      <c r="I133" s="5039" t="s">
        <v>9848</v>
      </c>
      <c r="J133" s="5040" t="s">
        <v>1814</v>
      </c>
      <c r="K133" s="5040" t="s">
        <v>1743</v>
      </c>
    </row>
    <row r="134" spans="1:11">
      <c r="A134" s="5032"/>
      <c r="B134" s="5050" t="s">
        <v>9849</v>
      </c>
      <c r="C134" s="5017"/>
      <c r="D134" s="5018"/>
      <c r="E134" s="5043">
        <v>100000</v>
      </c>
      <c r="F134" s="5050" t="s">
        <v>9850</v>
      </c>
      <c r="G134" s="5018"/>
      <c r="H134" s="5038"/>
      <c r="I134" s="5039" t="s">
        <v>9851</v>
      </c>
      <c r="J134" s="5038"/>
      <c r="K134" s="5038"/>
    </row>
    <row r="135" spans="1:11">
      <c r="A135" s="5032"/>
      <c r="B135" s="5050" t="s">
        <v>2143</v>
      </c>
      <c r="C135" s="5017" t="s">
        <v>9852</v>
      </c>
      <c r="D135" s="5018"/>
      <c r="E135" s="5038"/>
      <c r="F135" s="5050" t="s">
        <v>9853</v>
      </c>
      <c r="G135" s="5018"/>
      <c r="H135" s="5038"/>
      <c r="I135" s="5039" t="s">
        <v>9854</v>
      </c>
      <c r="J135" s="5038"/>
      <c r="K135" s="5038"/>
    </row>
    <row r="136" spans="1:11">
      <c r="A136" s="5032"/>
      <c r="B136" s="5050" t="s">
        <v>9855</v>
      </c>
      <c r="C136" s="5017"/>
      <c r="D136" s="5018"/>
      <c r="E136" s="5043">
        <v>50000</v>
      </c>
      <c r="F136" s="5050" t="s">
        <v>9856</v>
      </c>
      <c r="G136" s="5018"/>
      <c r="H136" s="5038"/>
      <c r="I136" s="5039" t="s">
        <v>9857</v>
      </c>
      <c r="J136" s="5038"/>
      <c r="K136" s="5038"/>
    </row>
    <row r="137" spans="1:11">
      <c r="A137" s="5032"/>
      <c r="B137" s="5050" t="s">
        <v>9879</v>
      </c>
      <c r="C137" s="5017"/>
      <c r="D137" s="5018"/>
      <c r="E137" s="5041">
        <v>50000</v>
      </c>
      <c r="F137" s="5032"/>
      <c r="G137" s="5018"/>
      <c r="H137" s="5038"/>
      <c r="I137" s="5038"/>
      <c r="J137" s="5038"/>
      <c r="K137" s="5038"/>
    </row>
    <row r="138" spans="1:11">
      <c r="A138" s="5032"/>
      <c r="B138" s="5050" t="s">
        <v>9858</v>
      </c>
      <c r="C138" s="5017"/>
      <c r="D138" s="5018"/>
      <c r="E138" s="5041"/>
      <c r="F138" s="5032"/>
      <c r="G138" s="5018"/>
      <c r="H138" s="5038"/>
      <c r="I138" s="5038"/>
      <c r="J138" s="5038"/>
      <c r="K138" s="5038"/>
    </row>
    <row r="139" spans="1:11">
      <c r="A139" s="5032"/>
      <c r="B139" s="5054" t="s">
        <v>9859</v>
      </c>
      <c r="C139" s="5017"/>
      <c r="D139" s="5018"/>
      <c r="E139" s="5037">
        <f>'lbpf 3-CCAD'!J27+'lbpf 3-CCAD'!J73</f>
        <v>2711376.5050000004</v>
      </c>
      <c r="F139" s="5050" t="s">
        <v>9860</v>
      </c>
      <c r="G139" s="5018"/>
      <c r="H139" s="5038"/>
      <c r="I139" s="5039" t="s">
        <v>9861</v>
      </c>
      <c r="J139" s="5040" t="s">
        <v>1814</v>
      </c>
      <c r="K139" s="5040" t="s">
        <v>1743</v>
      </c>
    </row>
    <row r="140" spans="1:11">
      <c r="A140" s="5032"/>
      <c r="B140" s="5050" t="s">
        <v>9862</v>
      </c>
      <c r="C140" s="5017"/>
      <c r="D140" s="5018"/>
      <c r="E140" s="5041"/>
      <c r="F140" s="5050" t="s">
        <v>9863</v>
      </c>
      <c r="G140" s="5018"/>
      <c r="H140" s="5038" t="s">
        <v>9864</v>
      </c>
      <c r="I140" s="5042" t="s">
        <v>9865</v>
      </c>
      <c r="J140" s="5038"/>
      <c r="K140" s="5038"/>
    </row>
    <row r="141" spans="1:11">
      <c r="A141" s="5032"/>
      <c r="B141" s="5051" t="s">
        <v>9866</v>
      </c>
      <c r="C141" s="5017"/>
      <c r="D141" s="5018"/>
      <c r="E141" s="5041"/>
      <c r="F141" s="5050" t="s">
        <v>9867</v>
      </c>
      <c r="G141" s="5018"/>
      <c r="H141" s="5038" t="s">
        <v>9868</v>
      </c>
      <c r="I141" s="5042" t="s">
        <v>9869</v>
      </c>
      <c r="J141" s="5038"/>
      <c r="K141" s="5038"/>
    </row>
    <row r="142" spans="1:11">
      <c r="A142" s="5032"/>
      <c r="B142" s="5051" t="s">
        <v>9870</v>
      </c>
      <c r="C142" s="5017"/>
      <c r="D142" s="5018"/>
      <c r="E142" s="5041"/>
      <c r="F142" s="5032"/>
      <c r="G142" s="5018"/>
      <c r="H142" s="5038" t="s">
        <v>9871</v>
      </c>
      <c r="I142" s="5038"/>
      <c r="J142" s="5038"/>
      <c r="K142" s="5038"/>
    </row>
    <row r="143" spans="1:11">
      <c r="A143" s="5032"/>
      <c r="B143" s="5051" t="s">
        <v>9872</v>
      </c>
      <c r="C143" s="5017"/>
      <c r="D143" s="5018"/>
      <c r="E143" s="5041"/>
      <c r="F143" s="5032"/>
      <c r="G143" s="5018"/>
      <c r="H143" s="5038" t="s">
        <v>9873</v>
      </c>
      <c r="I143" s="5038"/>
      <c r="J143" s="5038"/>
      <c r="K143" s="5038"/>
    </row>
    <row r="144" spans="1:11" ht="14.4" thickBot="1">
      <c r="A144" s="5033"/>
      <c r="B144" s="5056"/>
      <c r="C144" s="5023" t="s">
        <v>220</v>
      </c>
      <c r="D144" s="5052" t="s">
        <v>405</v>
      </c>
      <c r="E144" s="5048">
        <f>E133+E120+E109+E33+E139+E103</f>
        <v>4091554.5050000004</v>
      </c>
      <c r="F144" s="5033"/>
      <c r="G144" s="5052"/>
      <c r="H144" s="5048"/>
      <c r="I144" s="5048"/>
      <c r="J144" s="5049"/>
      <c r="K144" s="5049"/>
    </row>
    <row r="145" spans="1:11" hidden="1">
      <c r="A145" s="5024"/>
      <c r="B145" s="5025" t="s">
        <v>3483</v>
      </c>
      <c r="D145" s="5024"/>
      <c r="E145" s="14457" t="s">
        <v>9874</v>
      </c>
      <c r="F145" s="14457"/>
      <c r="G145" s="14457"/>
      <c r="H145" s="5024"/>
      <c r="I145" s="5024" t="s">
        <v>3485</v>
      </c>
      <c r="J145" s="5024"/>
      <c r="K145" s="5024"/>
    </row>
    <row r="146" spans="1:11" hidden="1"/>
    <row r="147" spans="1:11" hidden="1"/>
    <row r="148" spans="1:11" hidden="1">
      <c r="B148" s="5026" t="s">
        <v>9875</v>
      </c>
      <c r="C148" s="5026"/>
      <c r="E148" s="14458" t="s">
        <v>9876</v>
      </c>
      <c r="F148" s="14458"/>
      <c r="G148" s="14458"/>
      <c r="I148" s="5026" t="s">
        <v>5378</v>
      </c>
    </row>
    <row r="149" spans="1:11" hidden="1">
      <c r="B149" s="14440" t="s">
        <v>9877</v>
      </c>
      <c r="C149" s="14440"/>
      <c r="E149" s="14441" t="s">
        <v>9878</v>
      </c>
      <c r="F149" s="14441"/>
      <c r="G149" s="14441"/>
      <c r="I149" s="5027" t="s">
        <v>737</v>
      </c>
    </row>
    <row r="150" spans="1:11" hidden="1"/>
  </sheetData>
  <mergeCells count="24">
    <mergeCell ref="A1:K1"/>
    <mergeCell ref="F31:G31"/>
    <mergeCell ref="F32:G32"/>
    <mergeCell ref="E145:G145"/>
    <mergeCell ref="E148:G148"/>
    <mergeCell ref="J29:K29"/>
    <mergeCell ref="J30:K30"/>
    <mergeCell ref="B7:K7"/>
    <mergeCell ref="J72:K72"/>
    <mergeCell ref="J73:K73"/>
    <mergeCell ref="B149:C149"/>
    <mergeCell ref="E149:G149"/>
    <mergeCell ref="B29:D29"/>
    <mergeCell ref="E29:E30"/>
    <mergeCell ref="F29:G29"/>
    <mergeCell ref="B30:D30"/>
    <mergeCell ref="F30:G30"/>
    <mergeCell ref="B72:D72"/>
    <mergeCell ref="E72:E73"/>
    <mergeCell ref="F72:G72"/>
    <mergeCell ref="B73:D73"/>
    <mergeCell ref="F73:G73"/>
    <mergeCell ref="F74:G74"/>
    <mergeCell ref="F75:G75"/>
  </mergeCells>
  <pageMargins left="0.5" right="0.25" top="0.75" bottom="0.5" header="0.3" footer="0.25"/>
  <pageSetup paperSize="119" scale="85" orientation="portrait" verticalDpi="300" r:id="rId1"/>
</worksheet>
</file>

<file path=xl/worksheets/sheet47.xml><?xml version="1.0" encoding="utf-8"?>
<worksheet xmlns="http://schemas.openxmlformats.org/spreadsheetml/2006/main" xmlns:r="http://schemas.openxmlformats.org/officeDocument/2006/relationships">
  <sheetPr codeName="Sheet36">
    <tabColor theme="8" tint="-0.249977111117893"/>
  </sheetPr>
  <dimension ref="A1:P90"/>
  <sheetViews>
    <sheetView showGridLines="0" topLeftCell="B1" workbookViewId="0">
      <selection activeCell="J2" sqref="J1:R1048576"/>
    </sheetView>
  </sheetViews>
  <sheetFormatPr defaultRowHeight="15" customHeight="1"/>
  <cols>
    <col min="1" max="1" width="3.88671875" style="8095" customWidth="1"/>
    <col min="2" max="2" width="55.5546875" style="8095" customWidth="1"/>
    <col min="3" max="3" width="12.5546875" style="8772" customWidth="1"/>
    <col min="4" max="5" width="15.5546875" style="7339" customWidth="1"/>
    <col min="6" max="6" width="15.5546875" style="9494" customWidth="1"/>
    <col min="7" max="7" width="15.5546875" style="7339" customWidth="1"/>
    <col min="8" max="8" width="13.5546875" style="7339" hidden="1" customWidth="1"/>
    <col min="9" max="9" width="8.44140625" style="7348" hidden="1" customWidth="1"/>
    <col min="10" max="10" width="15.5546875" style="7339" customWidth="1"/>
    <col min="11" max="11" width="16.5546875" style="8095" customWidth="1"/>
    <col min="12" max="12" width="5.5546875" style="10237" customWidth="1"/>
    <col min="13" max="15" width="8.88671875" style="8095" customWidth="1"/>
    <col min="16" max="16" width="12.44140625" style="8095" customWidth="1"/>
    <col min="17" max="17" width="8.88671875" style="8095" customWidth="1"/>
    <col min="18" max="243" width="9.109375" style="8095"/>
    <col min="244" max="244" width="3.88671875" style="8095" customWidth="1"/>
    <col min="245" max="245" width="38.109375" style="8095" customWidth="1"/>
    <col min="246" max="246" width="12.109375" style="8095" customWidth="1"/>
    <col min="247" max="247" width="14.44140625" style="8095" customWidth="1"/>
    <col min="248" max="248" width="16.109375" style="8095" customWidth="1"/>
    <col min="249" max="249" width="16.44140625" style="8095" customWidth="1"/>
    <col min="250" max="499" width="9.109375" style="8095"/>
    <col min="500" max="500" width="3.88671875" style="8095" customWidth="1"/>
    <col min="501" max="501" width="38.109375" style="8095" customWidth="1"/>
    <col min="502" max="502" width="12.109375" style="8095" customWidth="1"/>
    <col min="503" max="503" width="14.44140625" style="8095" customWidth="1"/>
    <col min="504" max="504" width="16.109375" style="8095" customWidth="1"/>
    <col min="505" max="505" width="16.44140625" style="8095" customWidth="1"/>
    <col min="506" max="755" width="9.109375" style="8095"/>
    <col min="756" max="756" width="3.88671875" style="8095" customWidth="1"/>
    <col min="757" max="757" width="38.109375" style="8095" customWidth="1"/>
    <col min="758" max="758" width="12.109375" style="8095" customWidth="1"/>
    <col min="759" max="759" width="14.44140625" style="8095" customWidth="1"/>
    <col min="760" max="760" width="16.109375" style="8095" customWidth="1"/>
    <col min="761" max="761" width="16.44140625" style="8095" customWidth="1"/>
    <col min="762" max="1011" width="9.109375" style="8095"/>
    <col min="1012" max="1012" width="3.88671875" style="8095" customWidth="1"/>
    <col min="1013" max="1013" width="38.109375" style="8095" customWidth="1"/>
    <col min="1014" max="1014" width="12.109375" style="8095" customWidth="1"/>
    <col min="1015" max="1015" width="14.44140625" style="8095" customWidth="1"/>
    <col min="1016" max="1016" width="16.109375" style="8095" customWidth="1"/>
    <col min="1017" max="1017" width="16.44140625" style="8095" customWidth="1"/>
    <col min="1018" max="1267" width="9.109375" style="8095"/>
    <col min="1268" max="1268" width="3.88671875" style="8095" customWidth="1"/>
    <col min="1269" max="1269" width="38.109375" style="8095" customWidth="1"/>
    <col min="1270" max="1270" width="12.109375" style="8095" customWidth="1"/>
    <col min="1271" max="1271" width="14.44140625" style="8095" customWidth="1"/>
    <col min="1272" max="1272" width="16.109375" style="8095" customWidth="1"/>
    <col min="1273" max="1273" width="16.44140625" style="8095" customWidth="1"/>
    <col min="1274" max="1523" width="9.109375" style="8095"/>
    <col min="1524" max="1524" width="3.88671875" style="8095" customWidth="1"/>
    <col min="1525" max="1525" width="38.109375" style="8095" customWidth="1"/>
    <col min="1526" max="1526" width="12.109375" style="8095" customWidth="1"/>
    <col min="1527" max="1527" width="14.44140625" style="8095" customWidth="1"/>
    <col min="1528" max="1528" width="16.109375" style="8095" customWidth="1"/>
    <col min="1529" max="1529" width="16.44140625" style="8095" customWidth="1"/>
    <col min="1530" max="1779" width="9.109375" style="8095"/>
    <col min="1780" max="1780" width="3.88671875" style="8095" customWidth="1"/>
    <col min="1781" max="1781" width="38.109375" style="8095" customWidth="1"/>
    <col min="1782" max="1782" width="12.109375" style="8095" customWidth="1"/>
    <col min="1783" max="1783" width="14.44140625" style="8095" customWidth="1"/>
    <col min="1784" max="1784" width="16.109375" style="8095" customWidth="1"/>
    <col min="1785" max="1785" width="16.44140625" style="8095" customWidth="1"/>
    <col min="1786" max="2035" width="9.109375" style="8095"/>
    <col min="2036" max="2036" width="3.88671875" style="8095" customWidth="1"/>
    <col min="2037" max="2037" width="38.109375" style="8095" customWidth="1"/>
    <col min="2038" max="2038" width="12.109375" style="8095" customWidth="1"/>
    <col min="2039" max="2039" width="14.44140625" style="8095" customWidth="1"/>
    <col min="2040" max="2040" width="16.109375" style="8095" customWidth="1"/>
    <col min="2041" max="2041" width="16.44140625" style="8095" customWidth="1"/>
    <col min="2042" max="2291" width="9.109375" style="8095"/>
    <col min="2292" max="2292" width="3.88671875" style="8095" customWidth="1"/>
    <col min="2293" max="2293" width="38.109375" style="8095" customWidth="1"/>
    <col min="2294" max="2294" width="12.109375" style="8095" customWidth="1"/>
    <col min="2295" max="2295" width="14.44140625" style="8095" customWidth="1"/>
    <col min="2296" max="2296" width="16.109375" style="8095" customWidth="1"/>
    <col min="2297" max="2297" width="16.44140625" style="8095" customWidth="1"/>
    <col min="2298" max="2547" width="9.109375" style="8095"/>
    <col min="2548" max="2548" width="3.88671875" style="8095" customWidth="1"/>
    <col min="2549" max="2549" width="38.109375" style="8095" customWidth="1"/>
    <col min="2550" max="2550" width="12.109375" style="8095" customWidth="1"/>
    <col min="2551" max="2551" width="14.44140625" style="8095" customWidth="1"/>
    <col min="2552" max="2552" width="16.109375" style="8095" customWidth="1"/>
    <col min="2553" max="2553" width="16.44140625" style="8095" customWidth="1"/>
    <col min="2554" max="2803" width="9.109375" style="8095"/>
    <col min="2804" max="2804" width="3.88671875" style="8095" customWidth="1"/>
    <col min="2805" max="2805" width="38.109375" style="8095" customWidth="1"/>
    <col min="2806" max="2806" width="12.109375" style="8095" customWidth="1"/>
    <col min="2807" max="2807" width="14.44140625" style="8095" customWidth="1"/>
    <col min="2808" max="2808" width="16.109375" style="8095" customWidth="1"/>
    <col min="2809" max="2809" width="16.44140625" style="8095" customWidth="1"/>
    <col min="2810" max="3059" width="9.109375" style="8095"/>
    <col min="3060" max="3060" width="3.88671875" style="8095" customWidth="1"/>
    <col min="3061" max="3061" width="38.109375" style="8095" customWidth="1"/>
    <col min="3062" max="3062" width="12.109375" style="8095" customWidth="1"/>
    <col min="3063" max="3063" width="14.44140625" style="8095" customWidth="1"/>
    <col min="3064" max="3064" width="16.109375" style="8095" customWidth="1"/>
    <col min="3065" max="3065" width="16.44140625" style="8095" customWidth="1"/>
    <col min="3066" max="3315" width="9.109375" style="8095"/>
    <col min="3316" max="3316" width="3.88671875" style="8095" customWidth="1"/>
    <col min="3317" max="3317" width="38.109375" style="8095" customWidth="1"/>
    <col min="3318" max="3318" width="12.109375" style="8095" customWidth="1"/>
    <col min="3319" max="3319" width="14.44140625" style="8095" customWidth="1"/>
    <col min="3320" max="3320" width="16.109375" style="8095" customWidth="1"/>
    <col min="3321" max="3321" width="16.44140625" style="8095" customWidth="1"/>
    <col min="3322" max="3571" width="9.109375" style="8095"/>
    <col min="3572" max="3572" width="3.88671875" style="8095" customWidth="1"/>
    <col min="3573" max="3573" width="38.109375" style="8095" customWidth="1"/>
    <col min="3574" max="3574" width="12.109375" style="8095" customWidth="1"/>
    <col min="3575" max="3575" width="14.44140625" style="8095" customWidth="1"/>
    <col min="3576" max="3576" width="16.109375" style="8095" customWidth="1"/>
    <col min="3577" max="3577" width="16.44140625" style="8095" customWidth="1"/>
    <col min="3578" max="3827" width="9.109375" style="8095"/>
    <col min="3828" max="3828" width="3.88671875" style="8095" customWidth="1"/>
    <col min="3829" max="3829" width="38.109375" style="8095" customWidth="1"/>
    <col min="3830" max="3830" width="12.109375" style="8095" customWidth="1"/>
    <col min="3831" max="3831" width="14.44140625" style="8095" customWidth="1"/>
    <col min="3832" max="3832" width="16.109375" style="8095" customWidth="1"/>
    <col min="3833" max="3833" width="16.44140625" style="8095" customWidth="1"/>
    <col min="3834" max="4083" width="9.109375" style="8095"/>
    <col min="4084" max="4084" width="3.88671875" style="8095" customWidth="1"/>
    <col min="4085" max="4085" width="38.109375" style="8095" customWidth="1"/>
    <col min="4086" max="4086" width="12.109375" style="8095" customWidth="1"/>
    <col min="4087" max="4087" width="14.44140625" style="8095" customWidth="1"/>
    <col min="4088" max="4088" width="16.109375" style="8095" customWidth="1"/>
    <col min="4089" max="4089" width="16.44140625" style="8095" customWidth="1"/>
    <col min="4090" max="4339" width="9.109375" style="8095"/>
    <col min="4340" max="4340" width="3.88671875" style="8095" customWidth="1"/>
    <col min="4341" max="4341" width="38.109375" style="8095" customWidth="1"/>
    <col min="4342" max="4342" width="12.109375" style="8095" customWidth="1"/>
    <col min="4343" max="4343" width="14.44140625" style="8095" customWidth="1"/>
    <col min="4344" max="4344" width="16.109375" style="8095" customWidth="1"/>
    <col min="4345" max="4345" width="16.44140625" style="8095" customWidth="1"/>
    <col min="4346" max="4595" width="9.109375" style="8095"/>
    <col min="4596" max="4596" width="3.88671875" style="8095" customWidth="1"/>
    <col min="4597" max="4597" width="38.109375" style="8095" customWidth="1"/>
    <col min="4598" max="4598" width="12.109375" style="8095" customWidth="1"/>
    <col min="4599" max="4599" width="14.44140625" style="8095" customWidth="1"/>
    <col min="4600" max="4600" width="16.109375" style="8095" customWidth="1"/>
    <col min="4601" max="4601" width="16.44140625" style="8095" customWidth="1"/>
    <col min="4602" max="4851" width="9.109375" style="8095"/>
    <col min="4852" max="4852" width="3.88671875" style="8095" customWidth="1"/>
    <col min="4853" max="4853" width="38.109375" style="8095" customWidth="1"/>
    <col min="4854" max="4854" width="12.109375" style="8095" customWidth="1"/>
    <col min="4855" max="4855" width="14.44140625" style="8095" customWidth="1"/>
    <col min="4856" max="4856" width="16.109375" style="8095" customWidth="1"/>
    <col min="4857" max="4857" width="16.44140625" style="8095" customWidth="1"/>
    <col min="4858" max="5107" width="9.109375" style="8095"/>
    <col min="5108" max="5108" width="3.88671875" style="8095" customWidth="1"/>
    <col min="5109" max="5109" width="38.109375" style="8095" customWidth="1"/>
    <col min="5110" max="5110" width="12.109375" style="8095" customWidth="1"/>
    <col min="5111" max="5111" width="14.44140625" style="8095" customWidth="1"/>
    <col min="5112" max="5112" width="16.109375" style="8095" customWidth="1"/>
    <col min="5113" max="5113" width="16.44140625" style="8095" customWidth="1"/>
    <col min="5114" max="5363" width="9.109375" style="8095"/>
    <col min="5364" max="5364" width="3.88671875" style="8095" customWidth="1"/>
    <col min="5365" max="5365" width="38.109375" style="8095" customWidth="1"/>
    <col min="5366" max="5366" width="12.109375" style="8095" customWidth="1"/>
    <col min="5367" max="5367" width="14.44140625" style="8095" customWidth="1"/>
    <col min="5368" max="5368" width="16.109375" style="8095" customWidth="1"/>
    <col min="5369" max="5369" width="16.44140625" style="8095" customWidth="1"/>
    <col min="5370" max="5619" width="9.109375" style="8095"/>
    <col min="5620" max="5620" width="3.88671875" style="8095" customWidth="1"/>
    <col min="5621" max="5621" width="38.109375" style="8095" customWidth="1"/>
    <col min="5622" max="5622" width="12.109375" style="8095" customWidth="1"/>
    <col min="5623" max="5623" width="14.44140625" style="8095" customWidth="1"/>
    <col min="5624" max="5624" width="16.109375" style="8095" customWidth="1"/>
    <col min="5625" max="5625" width="16.44140625" style="8095" customWidth="1"/>
    <col min="5626" max="5875" width="9.109375" style="8095"/>
    <col min="5876" max="5876" width="3.88671875" style="8095" customWidth="1"/>
    <col min="5877" max="5877" width="38.109375" style="8095" customWidth="1"/>
    <col min="5878" max="5878" width="12.109375" style="8095" customWidth="1"/>
    <col min="5879" max="5879" width="14.44140625" style="8095" customWidth="1"/>
    <col min="5880" max="5880" width="16.109375" style="8095" customWidth="1"/>
    <col min="5881" max="5881" width="16.44140625" style="8095" customWidth="1"/>
    <col min="5882" max="6131" width="9.109375" style="8095"/>
    <col min="6132" max="6132" width="3.88671875" style="8095" customWidth="1"/>
    <col min="6133" max="6133" width="38.109375" style="8095" customWidth="1"/>
    <col min="6134" max="6134" width="12.109375" style="8095" customWidth="1"/>
    <col min="6135" max="6135" width="14.44140625" style="8095" customWidth="1"/>
    <col min="6136" max="6136" width="16.109375" style="8095" customWidth="1"/>
    <col min="6137" max="6137" width="16.44140625" style="8095" customWidth="1"/>
    <col min="6138" max="6387" width="9.109375" style="8095"/>
    <col min="6388" max="6388" width="3.88671875" style="8095" customWidth="1"/>
    <col min="6389" max="6389" width="38.109375" style="8095" customWidth="1"/>
    <col min="6390" max="6390" width="12.109375" style="8095" customWidth="1"/>
    <col min="6391" max="6391" width="14.44140625" style="8095" customWidth="1"/>
    <col min="6392" max="6392" width="16.109375" style="8095" customWidth="1"/>
    <col min="6393" max="6393" width="16.44140625" style="8095" customWidth="1"/>
    <col min="6394" max="6643" width="9.109375" style="8095"/>
    <col min="6644" max="6644" width="3.88671875" style="8095" customWidth="1"/>
    <col min="6645" max="6645" width="38.109375" style="8095" customWidth="1"/>
    <col min="6646" max="6646" width="12.109375" style="8095" customWidth="1"/>
    <col min="6647" max="6647" width="14.44140625" style="8095" customWidth="1"/>
    <col min="6648" max="6648" width="16.109375" style="8095" customWidth="1"/>
    <col min="6649" max="6649" width="16.44140625" style="8095" customWidth="1"/>
    <col min="6650" max="6899" width="9.109375" style="8095"/>
    <col min="6900" max="6900" width="3.88671875" style="8095" customWidth="1"/>
    <col min="6901" max="6901" width="38.109375" style="8095" customWidth="1"/>
    <col min="6902" max="6902" width="12.109375" style="8095" customWidth="1"/>
    <col min="6903" max="6903" width="14.44140625" style="8095" customWidth="1"/>
    <col min="6904" max="6904" width="16.109375" style="8095" customWidth="1"/>
    <col min="6905" max="6905" width="16.44140625" style="8095" customWidth="1"/>
    <col min="6906" max="7155" width="9.109375" style="8095"/>
    <col min="7156" max="7156" width="3.88671875" style="8095" customWidth="1"/>
    <col min="7157" max="7157" width="38.109375" style="8095" customWidth="1"/>
    <col min="7158" max="7158" width="12.109375" style="8095" customWidth="1"/>
    <col min="7159" max="7159" width="14.44140625" style="8095" customWidth="1"/>
    <col min="7160" max="7160" width="16.109375" style="8095" customWidth="1"/>
    <col min="7161" max="7161" width="16.44140625" style="8095" customWidth="1"/>
    <col min="7162" max="7411" width="9.109375" style="8095"/>
    <col min="7412" max="7412" width="3.88671875" style="8095" customWidth="1"/>
    <col min="7413" max="7413" width="38.109375" style="8095" customWidth="1"/>
    <col min="7414" max="7414" width="12.109375" style="8095" customWidth="1"/>
    <col min="7415" max="7415" width="14.44140625" style="8095" customWidth="1"/>
    <col min="7416" max="7416" width="16.109375" style="8095" customWidth="1"/>
    <col min="7417" max="7417" width="16.44140625" style="8095" customWidth="1"/>
    <col min="7418" max="7667" width="9.109375" style="8095"/>
    <col min="7668" max="7668" width="3.88671875" style="8095" customWidth="1"/>
    <col min="7669" max="7669" width="38.109375" style="8095" customWidth="1"/>
    <col min="7670" max="7670" width="12.109375" style="8095" customWidth="1"/>
    <col min="7671" max="7671" width="14.44140625" style="8095" customWidth="1"/>
    <col min="7672" max="7672" width="16.109375" style="8095" customWidth="1"/>
    <col min="7673" max="7673" width="16.44140625" style="8095" customWidth="1"/>
    <col min="7674" max="7923" width="9.109375" style="8095"/>
    <col min="7924" max="7924" width="3.88671875" style="8095" customWidth="1"/>
    <col min="7925" max="7925" width="38.109375" style="8095" customWidth="1"/>
    <col min="7926" max="7926" width="12.109375" style="8095" customWidth="1"/>
    <col min="7927" max="7927" width="14.44140625" style="8095" customWidth="1"/>
    <col min="7928" max="7928" width="16.109375" style="8095" customWidth="1"/>
    <col min="7929" max="7929" width="16.44140625" style="8095" customWidth="1"/>
    <col min="7930" max="8179" width="9.109375" style="8095"/>
    <col min="8180" max="8180" width="3.88671875" style="8095" customWidth="1"/>
    <col min="8181" max="8181" width="38.109375" style="8095" customWidth="1"/>
    <col min="8182" max="8182" width="12.109375" style="8095" customWidth="1"/>
    <col min="8183" max="8183" width="14.44140625" style="8095" customWidth="1"/>
    <col min="8184" max="8184" width="16.109375" style="8095" customWidth="1"/>
    <col min="8185" max="8185" width="16.44140625" style="8095" customWidth="1"/>
    <col min="8186" max="8435" width="9.109375" style="8095"/>
    <col min="8436" max="8436" width="3.88671875" style="8095" customWidth="1"/>
    <col min="8437" max="8437" width="38.109375" style="8095" customWidth="1"/>
    <col min="8438" max="8438" width="12.109375" style="8095" customWidth="1"/>
    <col min="8439" max="8439" width="14.44140625" style="8095" customWidth="1"/>
    <col min="8440" max="8440" width="16.109375" style="8095" customWidth="1"/>
    <col min="8441" max="8441" width="16.44140625" style="8095" customWidth="1"/>
    <col min="8442" max="8691" width="9.109375" style="8095"/>
    <col min="8692" max="8692" width="3.88671875" style="8095" customWidth="1"/>
    <col min="8693" max="8693" width="38.109375" style="8095" customWidth="1"/>
    <col min="8694" max="8694" width="12.109375" style="8095" customWidth="1"/>
    <col min="8695" max="8695" width="14.44140625" style="8095" customWidth="1"/>
    <col min="8696" max="8696" width="16.109375" style="8095" customWidth="1"/>
    <col min="8697" max="8697" width="16.44140625" style="8095" customWidth="1"/>
    <col min="8698" max="8947" width="9.109375" style="8095"/>
    <col min="8948" max="8948" width="3.88671875" style="8095" customWidth="1"/>
    <col min="8949" max="8949" width="38.109375" style="8095" customWidth="1"/>
    <col min="8950" max="8950" width="12.109375" style="8095" customWidth="1"/>
    <col min="8951" max="8951" width="14.44140625" style="8095" customWidth="1"/>
    <col min="8952" max="8952" width="16.109375" style="8095" customWidth="1"/>
    <col min="8953" max="8953" width="16.44140625" style="8095" customWidth="1"/>
    <col min="8954" max="9203" width="9.109375" style="8095"/>
    <col min="9204" max="9204" width="3.88671875" style="8095" customWidth="1"/>
    <col min="9205" max="9205" width="38.109375" style="8095" customWidth="1"/>
    <col min="9206" max="9206" width="12.109375" style="8095" customWidth="1"/>
    <col min="9207" max="9207" width="14.44140625" style="8095" customWidth="1"/>
    <col min="9208" max="9208" width="16.109375" style="8095" customWidth="1"/>
    <col min="9209" max="9209" width="16.44140625" style="8095" customWidth="1"/>
    <col min="9210" max="9459" width="9.109375" style="8095"/>
    <col min="9460" max="9460" width="3.88671875" style="8095" customWidth="1"/>
    <col min="9461" max="9461" width="38.109375" style="8095" customWidth="1"/>
    <col min="9462" max="9462" width="12.109375" style="8095" customWidth="1"/>
    <col min="9463" max="9463" width="14.44140625" style="8095" customWidth="1"/>
    <col min="9464" max="9464" width="16.109375" style="8095" customWidth="1"/>
    <col min="9465" max="9465" width="16.44140625" style="8095" customWidth="1"/>
    <col min="9466" max="9715" width="9.109375" style="8095"/>
    <col min="9716" max="9716" width="3.88671875" style="8095" customWidth="1"/>
    <col min="9717" max="9717" width="38.109375" style="8095" customWidth="1"/>
    <col min="9718" max="9718" width="12.109375" style="8095" customWidth="1"/>
    <col min="9719" max="9719" width="14.44140625" style="8095" customWidth="1"/>
    <col min="9720" max="9720" width="16.109375" style="8095" customWidth="1"/>
    <col min="9721" max="9721" width="16.44140625" style="8095" customWidth="1"/>
    <col min="9722" max="9971" width="9.109375" style="8095"/>
    <col min="9972" max="9972" width="3.88671875" style="8095" customWidth="1"/>
    <col min="9973" max="9973" width="38.109375" style="8095" customWidth="1"/>
    <col min="9974" max="9974" width="12.109375" style="8095" customWidth="1"/>
    <col min="9975" max="9975" width="14.44140625" style="8095" customWidth="1"/>
    <col min="9976" max="9976" width="16.109375" style="8095" customWidth="1"/>
    <col min="9977" max="9977" width="16.44140625" style="8095" customWidth="1"/>
    <col min="9978" max="10227" width="9.109375" style="8095"/>
    <col min="10228" max="10228" width="3.88671875" style="8095" customWidth="1"/>
    <col min="10229" max="10229" width="38.109375" style="8095" customWidth="1"/>
    <col min="10230" max="10230" width="12.109375" style="8095" customWidth="1"/>
    <col min="10231" max="10231" width="14.44140625" style="8095" customWidth="1"/>
    <col min="10232" max="10232" width="16.109375" style="8095" customWidth="1"/>
    <col min="10233" max="10233" width="16.44140625" style="8095" customWidth="1"/>
    <col min="10234" max="10483" width="9.109375" style="8095"/>
    <col min="10484" max="10484" width="3.88671875" style="8095" customWidth="1"/>
    <col min="10485" max="10485" width="38.109375" style="8095" customWidth="1"/>
    <col min="10486" max="10486" width="12.109375" style="8095" customWidth="1"/>
    <col min="10487" max="10487" width="14.44140625" style="8095" customWidth="1"/>
    <col min="10488" max="10488" width="16.109375" style="8095" customWidth="1"/>
    <col min="10489" max="10489" width="16.44140625" style="8095" customWidth="1"/>
    <col min="10490" max="10739" width="9.109375" style="8095"/>
    <col min="10740" max="10740" width="3.88671875" style="8095" customWidth="1"/>
    <col min="10741" max="10741" width="38.109375" style="8095" customWidth="1"/>
    <col min="10742" max="10742" width="12.109375" style="8095" customWidth="1"/>
    <col min="10743" max="10743" width="14.44140625" style="8095" customWidth="1"/>
    <col min="10744" max="10744" width="16.109375" style="8095" customWidth="1"/>
    <col min="10745" max="10745" width="16.44140625" style="8095" customWidth="1"/>
    <col min="10746" max="10995" width="9.109375" style="8095"/>
    <col min="10996" max="10996" width="3.88671875" style="8095" customWidth="1"/>
    <col min="10997" max="10997" width="38.109375" style="8095" customWidth="1"/>
    <col min="10998" max="10998" width="12.109375" style="8095" customWidth="1"/>
    <col min="10999" max="10999" width="14.44140625" style="8095" customWidth="1"/>
    <col min="11000" max="11000" width="16.109375" style="8095" customWidth="1"/>
    <col min="11001" max="11001" width="16.44140625" style="8095" customWidth="1"/>
    <col min="11002" max="11251" width="9.109375" style="8095"/>
    <col min="11252" max="11252" width="3.88671875" style="8095" customWidth="1"/>
    <col min="11253" max="11253" width="38.109375" style="8095" customWidth="1"/>
    <col min="11254" max="11254" width="12.109375" style="8095" customWidth="1"/>
    <col min="11255" max="11255" width="14.44140625" style="8095" customWidth="1"/>
    <col min="11256" max="11256" width="16.109375" style="8095" customWidth="1"/>
    <col min="11257" max="11257" width="16.44140625" style="8095" customWidth="1"/>
    <col min="11258" max="11507" width="9.109375" style="8095"/>
    <col min="11508" max="11508" width="3.88671875" style="8095" customWidth="1"/>
    <col min="11509" max="11509" width="38.109375" style="8095" customWidth="1"/>
    <col min="11510" max="11510" width="12.109375" style="8095" customWidth="1"/>
    <col min="11511" max="11511" width="14.44140625" style="8095" customWidth="1"/>
    <col min="11512" max="11512" width="16.109375" style="8095" customWidth="1"/>
    <col min="11513" max="11513" width="16.44140625" style="8095" customWidth="1"/>
    <col min="11514" max="11763" width="9.109375" style="8095"/>
    <col min="11764" max="11764" width="3.88671875" style="8095" customWidth="1"/>
    <col min="11765" max="11765" width="38.109375" style="8095" customWidth="1"/>
    <col min="11766" max="11766" width="12.109375" style="8095" customWidth="1"/>
    <col min="11767" max="11767" width="14.44140625" style="8095" customWidth="1"/>
    <col min="11768" max="11768" width="16.109375" style="8095" customWidth="1"/>
    <col min="11769" max="11769" width="16.44140625" style="8095" customWidth="1"/>
    <col min="11770" max="12019" width="9.109375" style="8095"/>
    <col min="12020" max="12020" width="3.88671875" style="8095" customWidth="1"/>
    <col min="12021" max="12021" width="38.109375" style="8095" customWidth="1"/>
    <col min="12022" max="12022" width="12.109375" style="8095" customWidth="1"/>
    <col min="12023" max="12023" width="14.44140625" style="8095" customWidth="1"/>
    <col min="12024" max="12024" width="16.109375" style="8095" customWidth="1"/>
    <col min="12025" max="12025" width="16.44140625" style="8095" customWidth="1"/>
    <col min="12026" max="12275" width="9.109375" style="8095"/>
    <col min="12276" max="12276" width="3.88671875" style="8095" customWidth="1"/>
    <col min="12277" max="12277" width="38.109375" style="8095" customWidth="1"/>
    <col min="12278" max="12278" width="12.109375" style="8095" customWidth="1"/>
    <col min="12279" max="12279" width="14.44140625" style="8095" customWidth="1"/>
    <col min="12280" max="12280" width="16.109375" style="8095" customWidth="1"/>
    <col min="12281" max="12281" width="16.44140625" style="8095" customWidth="1"/>
    <col min="12282" max="12531" width="9.109375" style="8095"/>
    <col min="12532" max="12532" width="3.88671875" style="8095" customWidth="1"/>
    <col min="12533" max="12533" width="38.109375" style="8095" customWidth="1"/>
    <col min="12534" max="12534" width="12.109375" style="8095" customWidth="1"/>
    <col min="12535" max="12535" width="14.44140625" style="8095" customWidth="1"/>
    <col min="12536" max="12536" width="16.109375" style="8095" customWidth="1"/>
    <col min="12537" max="12537" width="16.44140625" style="8095" customWidth="1"/>
    <col min="12538" max="12787" width="9.109375" style="8095"/>
    <col min="12788" max="12788" width="3.88671875" style="8095" customWidth="1"/>
    <col min="12789" max="12789" width="38.109375" style="8095" customWidth="1"/>
    <col min="12790" max="12790" width="12.109375" style="8095" customWidth="1"/>
    <col min="12791" max="12791" width="14.44140625" style="8095" customWidth="1"/>
    <col min="12792" max="12792" width="16.109375" style="8095" customWidth="1"/>
    <col min="12793" max="12793" width="16.44140625" style="8095" customWidth="1"/>
    <col min="12794" max="13043" width="9.109375" style="8095"/>
    <col min="13044" max="13044" width="3.88671875" style="8095" customWidth="1"/>
    <col min="13045" max="13045" width="38.109375" style="8095" customWidth="1"/>
    <col min="13046" max="13046" width="12.109375" style="8095" customWidth="1"/>
    <col min="13047" max="13047" width="14.44140625" style="8095" customWidth="1"/>
    <col min="13048" max="13048" width="16.109375" style="8095" customWidth="1"/>
    <col min="13049" max="13049" width="16.44140625" style="8095" customWidth="1"/>
    <col min="13050" max="13299" width="9.109375" style="8095"/>
    <col min="13300" max="13300" width="3.88671875" style="8095" customWidth="1"/>
    <col min="13301" max="13301" width="38.109375" style="8095" customWidth="1"/>
    <col min="13302" max="13302" width="12.109375" style="8095" customWidth="1"/>
    <col min="13303" max="13303" width="14.44140625" style="8095" customWidth="1"/>
    <col min="13304" max="13304" width="16.109375" style="8095" customWidth="1"/>
    <col min="13305" max="13305" width="16.44140625" style="8095" customWidth="1"/>
    <col min="13306" max="13555" width="9.109375" style="8095"/>
    <col min="13556" max="13556" width="3.88671875" style="8095" customWidth="1"/>
    <col min="13557" max="13557" width="38.109375" style="8095" customWidth="1"/>
    <col min="13558" max="13558" width="12.109375" style="8095" customWidth="1"/>
    <col min="13559" max="13559" width="14.44140625" style="8095" customWidth="1"/>
    <col min="13560" max="13560" width="16.109375" style="8095" customWidth="1"/>
    <col min="13561" max="13561" width="16.44140625" style="8095" customWidth="1"/>
    <col min="13562" max="13811" width="9.109375" style="8095"/>
    <col min="13812" max="13812" width="3.88671875" style="8095" customWidth="1"/>
    <col min="13813" max="13813" width="38.109375" style="8095" customWidth="1"/>
    <col min="13814" max="13814" width="12.109375" style="8095" customWidth="1"/>
    <col min="13815" max="13815" width="14.44140625" style="8095" customWidth="1"/>
    <col min="13816" max="13816" width="16.109375" style="8095" customWidth="1"/>
    <col min="13817" max="13817" width="16.44140625" style="8095" customWidth="1"/>
    <col min="13818" max="14067" width="9.109375" style="8095"/>
    <col min="14068" max="14068" width="3.88671875" style="8095" customWidth="1"/>
    <col min="14069" max="14069" width="38.109375" style="8095" customWidth="1"/>
    <col min="14070" max="14070" width="12.109375" style="8095" customWidth="1"/>
    <col min="14071" max="14071" width="14.44140625" style="8095" customWidth="1"/>
    <col min="14072" max="14072" width="16.109375" style="8095" customWidth="1"/>
    <col min="14073" max="14073" width="16.44140625" style="8095" customWidth="1"/>
    <col min="14074" max="14323" width="9.109375" style="8095"/>
    <col min="14324" max="14324" width="3.88671875" style="8095" customWidth="1"/>
    <col min="14325" max="14325" width="38.109375" style="8095" customWidth="1"/>
    <col min="14326" max="14326" width="12.109375" style="8095" customWidth="1"/>
    <col min="14327" max="14327" width="14.44140625" style="8095" customWidth="1"/>
    <col min="14328" max="14328" width="16.109375" style="8095" customWidth="1"/>
    <col min="14329" max="14329" width="16.44140625" style="8095" customWidth="1"/>
    <col min="14330" max="14579" width="9.109375" style="8095"/>
    <col min="14580" max="14580" width="3.88671875" style="8095" customWidth="1"/>
    <col min="14581" max="14581" width="38.109375" style="8095" customWidth="1"/>
    <col min="14582" max="14582" width="12.109375" style="8095" customWidth="1"/>
    <col min="14583" max="14583" width="14.44140625" style="8095" customWidth="1"/>
    <col min="14584" max="14584" width="16.109375" style="8095" customWidth="1"/>
    <col min="14585" max="14585" width="16.44140625" style="8095" customWidth="1"/>
    <col min="14586" max="14835" width="9.109375" style="8095"/>
    <col min="14836" max="14836" width="3.88671875" style="8095" customWidth="1"/>
    <col min="14837" max="14837" width="38.109375" style="8095" customWidth="1"/>
    <col min="14838" max="14838" width="12.109375" style="8095" customWidth="1"/>
    <col min="14839" max="14839" width="14.44140625" style="8095" customWidth="1"/>
    <col min="14840" max="14840" width="16.109375" style="8095" customWidth="1"/>
    <col min="14841" max="14841" width="16.44140625" style="8095" customWidth="1"/>
    <col min="14842" max="15091" width="9.109375" style="8095"/>
    <col min="15092" max="15092" width="3.88671875" style="8095" customWidth="1"/>
    <col min="15093" max="15093" width="38.109375" style="8095" customWidth="1"/>
    <col min="15094" max="15094" width="12.109375" style="8095" customWidth="1"/>
    <col min="15095" max="15095" width="14.44140625" style="8095" customWidth="1"/>
    <col min="15096" max="15096" width="16.109375" style="8095" customWidth="1"/>
    <col min="15097" max="15097" width="16.44140625" style="8095" customWidth="1"/>
    <col min="15098" max="15347" width="9.109375" style="8095"/>
    <col min="15348" max="15348" width="3.88671875" style="8095" customWidth="1"/>
    <col min="15349" max="15349" width="38.109375" style="8095" customWidth="1"/>
    <col min="15350" max="15350" width="12.109375" style="8095" customWidth="1"/>
    <col min="15351" max="15351" width="14.44140625" style="8095" customWidth="1"/>
    <col min="15352" max="15352" width="16.109375" style="8095" customWidth="1"/>
    <col min="15353" max="15353" width="16.44140625" style="8095" customWidth="1"/>
    <col min="15354" max="15603" width="9.109375" style="8095"/>
    <col min="15604" max="15604" width="3.88671875" style="8095" customWidth="1"/>
    <col min="15605" max="15605" width="38.109375" style="8095" customWidth="1"/>
    <col min="15606" max="15606" width="12.109375" style="8095" customWidth="1"/>
    <col min="15607" max="15607" width="14.44140625" style="8095" customWidth="1"/>
    <col min="15608" max="15608" width="16.109375" style="8095" customWidth="1"/>
    <col min="15609" max="15609" width="16.44140625" style="8095" customWidth="1"/>
    <col min="15610" max="15859" width="9.109375" style="8095"/>
    <col min="15860" max="15860" width="3.88671875" style="8095" customWidth="1"/>
    <col min="15861" max="15861" width="38.109375" style="8095" customWidth="1"/>
    <col min="15862" max="15862" width="12.109375" style="8095" customWidth="1"/>
    <col min="15863" max="15863" width="14.44140625" style="8095" customWidth="1"/>
    <col min="15864" max="15864" width="16.109375" style="8095" customWidth="1"/>
    <col min="15865" max="15865" width="16.44140625" style="8095" customWidth="1"/>
    <col min="15866" max="16115" width="9.109375" style="8095"/>
    <col min="16116" max="16116" width="3.88671875" style="8095" customWidth="1"/>
    <col min="16117" max="16117" width="38.109375" style="8095" customWidth="1"/>
    <col min="16118" max="16118" width="12.109375" style="8095" customWidth="1"/>
    <col min="16119" max="16119" width="14.44140625" style="8095" customWidth="1"/>
    <col min="16120" max="16120" width="16.109375" style="8095" customWidth="1"/>
    <col min="16121" max="16121" width="16.44140625" style="8095" customWidth="1"/>
    <col min="16122" max="16384" width="9.109375" style="8095"/>
  </cols>
  <sheetData>
    <row r="1" spans="1:12" ht="15" customHeight="1">
      <c r="A1" s="14464" t="s">
        <v>1</v>
      </c>
      <c r="B1" s="14464"/>
      <c r="C1" s="14464"/>
      <c r="D1" s="14464"/>
      <c r="E1" s="14464"/>
      <c r="F1" s="14464"/>
      <c r="G1" s="14464"/>
      <c r="H1" s="14464"/>
      <c r="I1" s="14464"/>
      <c r="J1" s="14464"/>
    </row>
    <row r="2" spans="1:12" ht="15" customHeight="1">
      <c r="A2" s="8096"/>
      <c r="B2" s="8096"/>
      <c r="C2" s="8766"/>
      <c r="D2" s="7684"/>
      <c r="E2" s="7684"/>
      <c r="F2" s="9481"/>
      <c r="G2" s="7684"/>
      <c r="H2" s="7684"/>
      <c r="I2" s="7286"/>
      <c r="J2" s="7684"/>
    </row>
    <row r="3" spans="1:12" ht="15" customHeight="1">
      <c r="A3" s="8096" t="s">
        <v>10762</v>
      </c>
      <c r="B3" s="8097"/>
      <c r="C3" s="9559" t="s">
        <v>11251</v>
      </c>
      <c r="D3" s="8014"/>
      <c r="E3" s="8014"/>
      <c r="F3" s="9482"/>
      <c r="G3" s="8014"/>
      <c r="H3" s="8014"/>
      <c r="I3" s="7284"/>
      <c r="J3" s="14465"/>
    </row>
    <row r="4" spans="1:12" ht="15" customHeight="1">
      <c r="A4" s="8100" t="s">
        <v>10781</v>
      </c>
      <c r="B4" s="8100"/>
      <c r="C4" s="9560" t="s">
        <v>8</v>
      </c>
      <c r="D4" s="8015"/>
      <c r="E4" s="8015"/>
      <c r="F4" s="9490"/>
      <c r="G4" s="8015"/>
      <c r="H4" s="8015"/>
      <c r="I4" s="7290"/>
      <c r="J4" s="14465"/>
    </row>
    <row r="5" spans="1:12" ht="15" customHeight="1" thickBot="1">
      <c r="A5" s="8108"/>
      <c r="B5" s="8108"/>
      <c r="C5" s="8768"/>
      <c r="D5" s="8016"/>
      <c r="E5" s="8016"/>
      <c r="F5" s="9483"/>
      <c r="G5" s="8016"/>
      <c r="H5" s="8016"/>
      <c r="I5" s="7294"/>
      <c r="J5" s="8016"/>
    </row>
    <row r="6" spans="1:12" ht="15" customHeight="1">
      <c r="A6" s="11480"/>
      <c r="B6" s="11481"/>
      <c r="C6" s="11482" t="s">
        <v>9</v>
      </c>
      <c r="D6" s="8207" t="s">
        <v>10</v>
      </c>
      <c r="E6" s="14188" t="s">
        <v>10711</v>
      </c>
      <c r="F6" s="14189"/>
      <c r="G6" s="14190"/>
      <c r="H6" s="11080" t="s">
        <v>9985</v>
      </c>
      <c r="I6" s="8206"/>
      <c r="J6" s="11151" t="s">
        <v>12</v>
      </c>
    </row>
    <row r="7" spans="1:12" ht="15" customHeight="1">
      <c r="A7" s="11483"/>
      <c r="B7" s="8099" t="s">
        <v>13</v>
      </c>
      <c r="C7" s="14462" t="s">
        <v>14</v>
      </c>
      <c r="D7" s="11191" t="s">
        <v>15</v>
      </c>
      <c r="E7" s="9502" t="s">
        <v>10709</v>
      </c>
      <c r="F7" s="11083" t="s">
        <v>10710</v>
      </c>
      <c r="G7" s="14191" t="s">
        <v>458</v>
      </c>
      <c r="H7" s="11084" t="s">
        <v>11820</v>
      </c>
      <c r="I7" s="11085"/>
      <c r="J7" s="11154" t="s">
        <v>16</v>
      </c>
    </row>
    <row r="8" spans="1:12" ht="15" customHeight="1" thickBot="1">
      <c r="A8" s="11484"/>
      <c r="B8" s="11485"/>
      <c r="C8" s="14463"/>
      <c r="D8" s="7974">
        <v>2017</v>
      </c>
      <c r="E8" s="9467" t="s">
        <v>457</v>
      </c>
      <c r="F8" s="11076" t="s">
        <v>456</v>
      </c>
      <c r="G8" s="14192"/>
      <c r="H8" s="7302">
        <v>2018</v>
      </c>
      <c r="I8" s="7322"/>
      <c r="J8" s="11157">
        <v>2019</v>
      </c>
    </row>
    <row r="9" spans="1:12" ht="15" customHeight="1">
      <c r="A9" s="11486"/>
      <c r="B9" s="8100"/>
      <c r="C9" s="11487"/>
      <c r="D9" s="11132"/>
      <c r="E9" s="11132"/>
      <c r="F9" s="11488"/>
      <c r="G9" s="11132"/>
      <c r="H9" s="11132"/>
      <c r="I9" s="11163"/>
      <c r="J9" s="11162"/>
    </row>
    <row r="10" spans="1:12" ht="15" customHeight="1">
      <c r="A10" s="11241" t="s">
        <v>17</v>
      </c>
      <c r="B10" s="7352" t="s">
        <v>18</v>
      </c>
      <c r="C10" s="11489"/>
      <c r="D10" s="11132"/>
      <c r="E10" s="11132"/>
      <c r="F10" s="11488"/>
      <c r="G10" s="11132"/>
      <c r="H10" s="11132"/>
      <c r="I10" s="11163"/>
      <c r="J10" s="11162"/>
    </row>
    <row r="11" spans="1:12" ht="15" customHeight="1">
      <c r="A11" s="11241"/>
      <c r="B11" s="7803" t="s">
        <v>19</v>
      </c>
      <c r="C11" s="11489"/>
      <c r="D11" s="11132"/>
      <c r="E11" s="11132"/>
      <c r="F11" s="11488"/>
      <c r="G11" s="8882"/>
      <c r="H11" s="11132"/>
      <c r="I11" s="11163"/>
      <c r="J11" s="11251"/>
    </row>
    <row r="12" spans="1:12" ht="15" customHeight="1">
      <c r="A12" s="11241"/>
      <c r="B12" s="7803" t="s">
        <v>56</v>
      </c>
      <c r="C12" s="11489">
        <v>50101010</v>
      </c>
      <c r="D12" s="11132">
        <f>'WS-PS 2017'!B45</f>
        <v>1291811.08</v>
      </c>
      <c r="E12" s="11132">
        <f>'WS-PS ACTUAL JUNE 2018'!B46</f>
        <v>459472</v>
      </c>
      <c r="F12" s="11488">
        <f>G12-E12</f>
        <v>474560</v>
      </c>
      <c r="G12" s="11132">
        <v>934032</v>
      </c>
      <c r="H12" s="11132"/>
      <c r="I12" s="11163"/>
      <c r="J12" s="11162">
        <f>K12</f>
        <v>1534752</v>
      </c>
      <c r="K12" s="11477">
        <f>'staffing-CCAD'!G37</f>
        <v>1534752</v>
      </c>
      <c r="L12" s="10237">
        <f>'staffing-CCAD'!B37</f>
        <v>6</v>
      </c>
    </row>
    <row r="13" spans="1:12" ht="15" customHeight="1">
      <c r="A13" s="11241"/>
      <c r="B13" s="7803" t="s">
        <v>58</v>
      </c>
      <c r="C13" s="11489">
        <v>50102010</v>
      </c>
      <c r="D13" s="11132">
        <f>'WS-PS 2017'!F45</f>
        <v>71851.91</v>
      </c>
      <c r="E13" s="11132">
        <f>'WS-PS ACTUAL JUNE 2018'!D46</f>
        <v>24000</v>
      </c>
      <c r="F13" s="11488">
        <f t="shared" ref="F13:F25" si="0">G13-E13</f>
        <v>24000</v>
      </c>
      <c r="G13" s="11132">
        <v>48000</v>
      </c>
      <c r="H13" s="11132"/>
      <c r="I13" s="11163"/>
      <c r="J13" s="11162">
        <f t="shared" ref="J13:J25" si="1">K13</f>
        <v>144000</v>
      </c>
      <c r="K13" s="7310">
        <f>24000*L12</f>
        <v>144000</v>
      </c>
    </row>
    <row r="14" spans="1:12" ht="15" customHeight="1">
      <c r="A14" s="11241"/>
      <c r="B14" s="7803" t="s">
        <v>79</v>
      </c>
      <c r="C14" s="11489">
        <v>50102010</v>
      </c>
      <c r="D14" s="11132">
        <f>'WS-PS 2017'!I45</f>
        <v>15000</v>
      </c>
      <c r="E14" s="11132">
        <f>'WS-PS ACTUAL JUNE 2018'!G46</f>
        <v>6000</v>
      </c>
      <c r="F14" s="11488">
        <f t="shared" si="0"/>
        <v>4000</v>
      </c>
      <c r="G14" s="11132">
        <v>10000</v>
      </c>
      <c r="H14" s="11132"/>
      <c r="I14" s="11163"/>
      <c r="J14" s="11162">
        <f t="shared" si="1"/>
        <v>36000</v>
      </c>
      <c r="K14" s="7310">
        <f>6000*L12</f>
        <v>36000</v>
      </c>
    </row>
    <row r="15" spans="1:12" ht="15" customHeight="1">
      <c r="A15" s="11241"/>
      <c r="B15" s="7488" t="s">
        <v>10932</v>
      </c>
      <c r="C15" s="11490">
        <v>50102080</v>
      </c>
      <c r="D15" s="11132">
        <f>'WS-PS 2017'!L45</f>
        <v>15000</v>
      </c>
      <c r="E15" s="11132">
        <f>'WS-PS ACTUAL JUNE 2018'!J46</f>
        <v>0</v>
      </c>
      <c r="F15" s="11488">
        <f t="shared" si="0"/>
        <v>10000</v>
      </c>
      <c r="G15" s="11132">
        <v>10000</v>
      </c>
      <c r="H15" s="11132"/>
      <c r="I15" s="11163"/>
      <c r="J15" s="11162">
        <f t="shared" si="1"/>
        <v>30000</v>
      </c>
      <c r="K15" s="7310">
        <f>5000*L12</f>
        <v>30000</v>
      </c>
    </row>
    <row r="16" spans="1:12" ht="15" customHeight="1">
      <c r="A16" s="11241"/>
      <c r="B16" s="7488" t="s">
        <v>10934</v>
      </c>
      <c r="C16" s="10387">
        <v>50102120</v>
      </c>
      <c r="D16" s="11132"/>
      <c r="E16" s="11132">
        <f>'WS-PS ACTUAL JUNE 2018'!M46</f>
        <v>0</v>
      </c>
      <c r="F16" s="11488">
        <f>G16-E16</f>
        <v>5000</v>
      </c>
      <c r="G16" s="11132">
        <v>5000</v>
      </c>
      <c r="H16" s="11132"/>
      <c r="I16" s="11163"/>
      <c r="J16" s="11162">
        <f t="shared" si="1"/>
        <v>0</v>
      </c>
    </row>
    <row r="17" spans="1:12" ht="15" customHeight="1">
      <c r="A17" s="11241"/>
      <c r="B17" s="7488" t="s">
        <v>10933</v>
      </c>
      <c r="C17" s="11489">
        <v>50102140</v>
      </c>
      <c r="D17" s="11132">
        <f>'WS-PS 2017'!U45+'WS-PS 2017'!S45</f>
        <v>215640</v>
      </c>
      <c r="E17" s="11132">
        <f>'WS-PS ACTUAL JUNE 2018'!O46</f>
        <v>77469</v>
      </c>
      <c r="F17" s="11488">
        <f>G17-E17</f>
        <v>78203</v>
      </c>
      <c r="G17" s="11132">
        <v>155672</v>
      </c>
      <c r="H17" s="11132"/>
      <c r="I17" s="11163"/>
      <c r="J17" s="11162">
        <f t="shared" si="1"/>
        <v>255792</v>
      </c>
      <c r="K17" s="7310">
        <f>K12/12*2</f>
        <v>255792</v>
      </c>
    </row>
    <row r="18" spans="1:12" ht="15" customHeight="1">
      <c r="A18" s="11241"/>
      <c r="B18" s="7803" t="s">
        <v>26</v>
      </c>
      <c r="C18" s="11489">
        <v>50102150</v>
      </c>
      <c r="D18" s="11132">
        <f>'WS-PS 2017'!T45</f>
        <v>15000</v>
      </c>
      <c r="E18" s="11132">
        <f>'WS-PS ACTUAL JUNE 2018'!Q46</f>
        <v>0</v>
      </c>
      <c r="F18" s="11488">
        <f t="shared" si="0"/>
        <v>10000</v>
      </c>
      <c r="G18" s="11132">
        <v>10000</v>
      </c>
      <c r="H18" s="11132"/>
      <c r="I18" s="11163"/>
      <c r="J18" s="11162">
        <f t="shared" si="1"/>
        <v>30000</v>
      </c>
      <c r="K18" s="7371">
        <f>K15</f>
        <v>30000</v>
      </c>
    </row>
    <row r="19" spans="1:12" ht="15" customHeight="1">
      <c r="A19" s="11131"/>
      <c r="B19" s="7488" t="s">
        <v>11497</v>
      </c>
      <c r="C19" s="10553">
        <v>50102990</v>
      </c>
      <c r="D19" s="11491">
        <v>0</v>
      </c>
      <c r="E19" s="11491">
        <f>'WS-PS ACTUAL JUNE 2018'!R46</f>
        <v>0</v>
      </c>
      <c r="F19" s="11488">
        <f>G19-E19</f>
        <v>44756</v>
      </c>
      <c r="G19" s="11492">
        <v>44756</v>
      </c>
      <c r="H19" s="11492"/>
      <c r="I19" s="11163"/>
      <c r="J19" s="11162">
        <v>0</v>
      </c>
      <c r="K19" s="7310">
        <f>0.575*(K12/12)</f>
        <v>73540.2</v>
      </c>
    </row>
    <row r="20" spans="1:12" ht="15" customHeight="1">
      <c r="A20" s="11131"/>
      <c r="B20" s="7803" t="s">
        <v>11499</v>
      </c>
      <c r="C20" s="11059" t="s">
        <v>11495</v>
      </c>
      <c r="D20" s="11491">
        <f>'WS-PS 2017'!Q45</f>
        <v>0</v>
      </c>
      <c r="E20" s="11491">
        <f>'WS-PS ACTUAL JUNE 2018'!S46</f>
        <v>0</v>
      </c>
      <c r="F20" s="11488">
        <f>G20-E20</f>
        <v>0</v>
      </c>
      <c r="G20" s="11492">
        <v>0</v>
      </c>
      <c r="H20" s="11492"/>
      <c r="I20" s="11163"/>
      <c r="J20" s="11162">
        <f t="shared" si="1"/>
        <v>18000</v>
      </c>
      <c r="K20" s="7310">
        <f>3000*L12</f>
        <v>18000</v>
      </c>
    </row>
    <row r="21" spans="1:12" ht="15" customHeight="1">
      <c r="A21" s="11241"/>
      <c r="B21" s="7803" t="s">
        <v>59</v>
      </c>
      <c r="C21" s="11489">
        <v>50103010</v>
      </c>
      <c r="D21" s="11132">
        <f>'WS-PS 2017'!V45</f>
        <v>155017.32999999999</v>
      </c>
      <c r="E21" s="11132">
        <f>'WS-PS ACTUAL JUNE 2018'!T46</f>
        <v>55136.639999999999</v>
      </c>
      <c r="F21" s="11488">
        <f t="shared" si="0"/>
        <v>56947.360000000001</v>
      </c>
      <c r="G21" s="11132">
        <v>112084</v>
      </c>
      <c r="H21" s="11132"/>
      <c r="I21" s="11163"/>
      <c r="J21" s="11162">
        <f t="shared" si="1"/>
        <v>184170.23999999999</v>
      </c>
      <c r="K21" s="7310">
        <f>K12*12%</f>
        <v>184170.23999999999</v>
      </c>
    </row>
    <row r="22" spans="1:12" ht="15" customHeight="1">
      <c r="A22" s="11241"/>
      <c r="B22" s="7803" t="s">
        <v>28</v>
      </c>
      <c r="C22" s="11489">
        <v>50103020</v>
      </c>
      <c r="D22" s="11132">
        <f>'WS-PS 2017'!W45</f>
        <v>3600</v>
      </c>
      <c r="E22" s="11132">
        <f>'WS-PS ACTUAL JUNE 2018'!U46</f>
        <v>1200</v>
      </c>
      <c r="F22" s="11488">
        <f t="shared" si="0"/>
        <v>1200</v>
      </c>
      <c r="G22" s="11132">
        <v>2400</v>
      </c>
      <c r="H22" s="11132"/>
      <c r="I22" s="11163"/>
      <c r="J22" s="11162">
        <f t="shared" si="1"/>
        <v>7200</v>
      </c>
      <c r="K22" s="7310">
        <f>1200*L12</f>
        <v>7200</v>
      </c>
    </row>
    <row r="23" spans="1:12" ht="15" customHeight="1">
      <c r="A23" s="11241"/>
      <c r="B23" s="7803" t="s">
        <v>29</v>
      </c>
      <c r="C23" s="11489">
        <v>50103030</v>
      </c>
      <c r="D23" s="11132">
        <f>'WS-PS 2017'!X45</f>
        <v>13450</v>
      </c>
      <c r="E23" s="11132">
        <f>'WS-PS ACTUAL JUNE 2018'!V46</f>
        <v>5789.26</v>
      </c>
      <c r="F23" s="11488">
        <f t="shared" si="0"/>
        <v>3210.74</v>
      </c>
      <c r="G23" s="11132">
        <v>9000</v>
      </c>
      <c r="H23" s="11132"/>
      <c r="I23" s="11163"/>
      <c r="J23" s="11162">
        <v>19262.264999999999</v>
      </c>
      <c r="K23" s="7310">
        <f>3600*L12</f>
        <v>21600</v>
      </c>
    </row>
    <row r="24" spans="1:12" ht="15" customHeight="1">
      <c r="A24" s="11241"/>
      <c r="B24" s="7803" t="s">
        <v>30</v>
      </c>
      <c r="C24" s="11489">
        <v>50103040</v>
      </c>
      <c r="D24" s="11132">
        <f>'WS-PS 2017'!Y45</f>
        <v>3600</v>
      </c>
      <c r="E24" s="11132">
        <f>'WS-PS ACTUAL JUNE 2018'!W46</f>
        <v>1200</v>
      </c>
      <c r="F24" s="11488">
        <f t="shared" si="0"/>
        <v>1200</v>
      </c>
      <c r="G24" s="11132">
        <v>2400</v>
      </c>
      <c r="H24" s="11132"/>
      <c r="I24" s="11163"/>
      <c r="J24" s="11162">
        <f t="shared" si="1"/>
        <v>7200</v>
      </c>
      <c r="K24" s="7310">
        <f>K22</f>
        <v>7200</v>
      </c>
    </row>
    <row r="25" spans="1:12" ht="15" customHeight="1">
      <c r="A25" s="11241"/>
      <c r="B25" s="7488" t="s">
        <v>5025</v>
      </c>
      <c r="C25" s="11059">
        <v>50104990</v>
      </c>
      <c r="D25" s="11132">
        <f>'WS-PS 2017'!Z45</f>
        <v>75000</v>
      </c>
      <c r="E25" s="11132"/>
      <c r="F25" s="11488">
        <f t="shared" si="0"/>
        <v>0</v>
      </c>
      <c r="G25" s="11132">
        <v>0</v>
      </c>
      <c r="H25" s="11132"/>
      <c r="I25" s="11163"/>
      <c r="J25" s="11162">
        <f t="shared" si="1"/>
        <v>0</v>
      </c>
      <c r="K25" s="8101"/>
    </row>
    <row r="26" spans="1:12" ht="15" customHeight="1">
      <c r="A26" s="11483"/>
      <c r="B26" s="8100"/>
      <c r="C26" s="11487"/>
      <c r="D26" s="11213"/>
      <c r="E26" s="11213"/>
      <c r="F26" s="11464"/>
      <c r="G26" s="11132"/>
      <c r="H26" s="11132"/>
      <c r="I26" s="11163"/>
      <c r="J26" s="11162"/>
      <c r="K26" s="11479"/>
    </row>
    <row r="27" spans="1:12" ht="15" customHeight="1" thickBot="1">
      <c r="A27" s="11484"/>
      <c r="B27" s="11493" t="s">
        <v>37</v>
      </c>
      <c r="C27" s="11494"/>
      <c r="D27" s="11187">
        <f>SUM(D12:D26)</f>
        <v>1874970.32</v>
      </c>
      <c r="E27" s="11187">
        <f>SUM(E12:E26)</f>
        <v>630266.9</v>
      </c>
      <c r="F27" s="11495">
        <f>SUM(F12:F26)</f>
        <v>713077.1</v>
      </c>
      <c r="G27" s="11187">
        <f>SUM(G12:G26)</f>
        <v>1343344</v>
      </c>
      <c r="H27" s="11187"/>
      <c r="I27" s="11449"/>
      <c r="J27" s="11496">
        <f>SUM(J12:J26)</f>
        <v>2266376.5050000004</v>
      </c>
      <c r="K27" s="11478">
        <f>SUM(K12:K26)</f>
        <v>2342254.4400000004</v>
      </c>
      <c r="L27" s="10238"/>
    </row>
    <row r="28" spans="1:12" ht="15" customHeight="1">
      <c r="A28" s="8109"/>
      <c r="B28" s="8110"/>
      <c r="C28" s="8769"/>
      <c r="D28" s="9561"/>
      <c r="E28" s="9561"/>
      <c r="F28" s="9562"/>
      <c r="G28" s="8017"/>
      <c r="H28" s="8017"/>
      <c r="I28" s="7962"/>
      <c r="J28" s="8017"/>
    </row>
    <row r="29" spans="1:12" ht="15" customHeight="1">
      <c r="A29" s="8100"/>
      <c r="B29" s="8102"/>
      <c r="C29" s="8767"/>
      <c r="D29" s="9563"/>
      <c r="E29" s="9563"/>
      <c r="F29" s="9564"/>
      <c r="G29" s="8018"/>
      <c r="H29" s="8018"/>
      <c r="I29" s="7350"/>
      <c r="J29" s="8018"/>
    </row>
    <row r="30" spans="1:12" ht="15" customHeight="1">
      <c r="A30" s="8100"/>
      <c r="B30" s="8102"/>
      <c r="C30" s="8767"/>
      <c r="D30" s="9563"/>
      <c r="E30" s="9563"/>
      <c r="F30" s="9564"/>
      <c r="G30" s="8018"/>
      <c r="H30" s="8018"/>
      <c r="I30" s="7350"/>
      <c r="J30" s="8018"/>
    </row>
    <row r="31" spans="1:12" ht="15" customHeight="1">
      <c r="A31" s="8100"/>
      <c r="B31" s="8102"/>
      <c r="C31" s="8767"/>
      <c r="D31" s="9563"/>
      <c r="E31" s="9563"/>
      <c r="F31" s="9564"/>
      <c r="G31" s="8018"/>
      <c r="H31" s="8018"/>
      <c r="I31" s="7350"/>
      <c r="J31" s="8018"/>
    </row>
    <row r="32" spans="1:12" ht="15" customHeight="1">
      <c r="A32" s="8100"/>
      <c r="B32" s="8102"/>
      <c r="C32" s="8767"/>
      <c r="D32" s="9563"/>
      <c r="E32" s="9563"/>
      <c r="F32" s="9564"/>
      <c r="G32" s="8018"/>
      <c r="H32" s="8018"/>
      <c r="I32" s="7350"/>
      <c r="J32" s="8018"/>
    </row>
    <row r="33" spans="1:11" ht="15" customHeight="1">
      <c r="A33" s="8100"/>
      <c r="B33" s="8102"/>
      <c r="C33" s="8767"/>
      <c r="D33" s="9563"/>
      <c r="E33" s="9563"/>
      <c r="F33" s="9564"/>
      <c r="G33" s="8018"/>
      <c r="H33" s="8018"/>
      <c r="I33" s="7350"/>
      <c r="J33" s="8018"/>
    </row>
    <row r="34" spans="1:11" ht="15" customHeight="1">
      <c r="A34" s="8100"/>
      <c r="B34" s="8102"/>
      <c r="C34" s="8767"/>
      <c r="D34" s="9563"/>
      <c r="E34" s="9563"/>
      <c r="F34" s="9564"/>
      <c r="G34" s="8018"/>
      <c r="H34" s="8018"/>
      <c r="I34" s="7350"/>
      <c r="J34" s="8018"/>
    </row>
    <row r="35" spans="1:11" ht="15" customHeight="1">
      <c r="A35" s="8100"/>
      <c r="B35" s="8102"/>
      <c r="C35" s="8767"/>
      <c r="D35" s="9563"/>
      <c r="E35" s="9563"/>
      <c r="F35" s="9564"/>
      <c r="G35" s="8018"/>
      <c r="H35" s="8018"/>
      <c r="I35" s="7350"/>
      <c r="J35" s="8018"/>
    </row>
    <row r="36" spans="1:11" ht="15" customHeight="1">
      <c r="A36" s="8100"/>
      <c r="B36" s="8102"/>
      <c r="C36" s="8767"/>
      <c r="D36" s="9563"/>
      <c r="E36" s="9563"/>
      <c r="F36" s="9564"/>
      <c r="G36" s="8018"/>
      <c r="H36" s="8018"/>
      <c r="I36" s="7350"/>
      <c r="J36" s="8018"/>
    </row>
    <row r="37" spans="1:11" ht="15" customHeight="1">
      <c r="A37" s="8100"/>
      <c r="B37" s="8102"/>
      <c r="C37" s="8767"/>
      <c r="D37" s="9563"/>
      <c r="E37" s="9563"/>
      <c r="F37" s="9564"/>
      <c r="G37" s="8018"/>
      <c r="H37" s="8018"/>
      <c r="I37" s="7350"/>
      <c r="J37" s="8018"/>
    </row>
    <row r="38" spans="1:11" ht="15" customHeight="1" thickBot="1">
      <c r="A38" s="8108" t="s">
        <v>10799</v>
      </c>
      <c r="B38" s="8108"/>
      <c r="C38" s="8768"/>
      <c r="D38" s="8016"/>
      <c r="E38" s="8016"/>
      <c r="F38" s="9483"/>
      <c r="G38" s="8016"/>
      <c r="H38" s="8016"/>
      <c r="I38" s="7294"/>
      <c r="J38" s="8016"/>
    </row>
    <row r="39" spans="1:11" ht="15" customHeight="1">
      <c r="A39" s="11480"/>
      <c r="B39" s="11481"/>
      <c r="C39" s="11482" t="s">
        <v>9</v>
      </c>
      <c r="D39" s="8207" t="s">
        <v>10</v>
      </c>
      <c r="E39" s="14188" t="s">
        <v>10711</v>
      </c>
      <c r="F39" s="14189"/>
      <c r="G39" s="14190"/>
      <c r="H39" s="11080" t="s">
        <v>9985</v>
      </c>
      <c r="I39" s="8206"/>
      <c r="J39" s="11151" t="s">
        <v>12</v>
      </c>
    </row>
    <row r="40" spans="1:11" ht="15" customHeight="1">
      <c r="A40" s="11483"/>
      <c r="B40" s="8099" t="s">
        <v>13</v>
      </c>
      <c r="C40" s="14462" t="s">
        <v>14</v>
      </c>
      <c r="D40" s="11191" t="s">
        <v>15</v>
      </c>
      <c r="E40" s="9502" t="s">
        <v>10709</v>
      </c>
      <c r="F40" s="11083" t="s">
        <v>10710</v>
      </c>
      <c r="G40" s="14191" t="s">
        <v>458</v>
      </c>
      <c r="H40" s="11084"/>
      <c r="I40" s="11085"/>
      <c r="J40" s="11154" t="s">
        <v>16</v>
      </c>
    </row>
    <row r="41" spans="1:11" ht="15" customHeight="1" thickBot="1">
      <c r="A41" s="11484"/>
      <c r="B41" s="11485"/>
      <c r="C41" s="14463"/>
      <c r="D41" s="7974">
        <v>2017</v>
      </c>
      <c r="E41" s="9467" t="s">
        <v>457</v>
      </c>
      <c r="F41" s="11076" t="s">
        <v>456</v>
      </c>
      <c r="G41" s="14192"/>
      <c r="H41" s="7302"/>
      <c r="I41" s="7322"/>
      <c r="J41" s="11157">
        <v>2019</v>
      </c>
    </row>
    <row r="42" spans="1:11" ht="15" customHeight="1">
      <c r="A42" s="11486"/>
      <c r="B42" s="8100" t="s">
        <v>38</v>
      </c>
      <c r="C42" s="11487"/>
      <c r="D42" s="11213"/>
      <c r="E42" s="11213"/>
      <c r="F42" s="11464"/>
      <c r="G42" s="11132"/>
      <c r="H42" s="11132"/>
      <c r="I42" s="11163"/>
      <c r="J42" s="11162"/>
    </row>
    <row r="43" spans="1:11" ht="15" customHeight="1">
      <c r="A43" s="11483"/>
      <c r="B43" s="8100" t="s">
        <v>117</v>
      </c>
      <c r="C43" s="11456">
        <v>50201010</v>
      </c>
      <c r="D43" s="11132">
        <f>'WS-MOOE 2017'!B45</f>
        <v>88323</v>
      </c>
      <c r="E43" s="11132">
        <f>'WS-MOOE ACTUAL JUNE 2018'!B47</f>
        <v>22381</v>
      </c>
      <c r="F43" s="11488">
        <f t="shared" ref="F43:F59" si="2">G43-E43</f>
        <v>57619</v>
      </c>
      <c r="G43" s="11132">
        <v>80000</v>
      </c>
      <c r="H43" s="11132">
        <v>27147</v>
      </c>
      <c r="I43" s="11163">
        <f>H43/G43</f>
        <v>0.33933750000000001</v>
      </c>
      <c r="J43" s="11162">
        <v>80000</v>
      </c>
    </row>
    <row r="44" spans="1:11" ht="15" customHeight="1">
      <c r="A44" s="11483"/>
      <c r="B44" s="8100" t="s">
        <v>41</v>
      </c>
      <c r="C44" s="11487">
        <v>50202010</v>
      </c>
      <c r="D44" s="11213">
        <f>'WS-MOOE 2017'!H45</f>
        <v>9000</v>
      </c>
      <c r="E44" s="11213">
        <f>'WS-MOOE ACTUAL JUNE 2018'!G47</f>
        <v>0</v>
      </c>
      <c r="F44" s="11488">
        <f t="shared" si="2"/>
        <v>10000</v>
      </c>
      <c r="G44" s="11132">
        <v>10000</v>
      </c>
      <c r="H44" s="11132">
        <v>0</v>
      </c>
      <c r="I44" s="11163">
        <f t="shared" ref="I44:I59" si="3">H44/G44</f>
        <v>0</v>
      </c>
      <c r="J44" s="11162">
        <v>10000</v>
      </c>
    </row>
    <row r="45" spans="1:11" ht="15" customHeight="1">
      <c r="A45" s="11483"/>
      <c r="B45" s="8100" t="s">
        <v>42</v>
      </c>
      <c r="C45" s="11487">
        <v>50203010</v>
      </c>
      <c r="D45" s="11213">
        <f>'WS-MOOE 2017'!J45</f>
        <v>39176.25</v>
      </c>
      <c r="E45" s="11213">
        <f>'WS-MOOE ACTUAL JUNE 2018'!H47</f>
        <v>0</v>
      </c>
      <c r="F45" s="11488">
        <f t="shared" si="2"/>
        <v>100000</v>
      </c>
      <c r="G45" s="11132">
        <v>100000</v>
      </c>
      <c r="H45" s="11132">
        <v>82448.600000000006</v>
      </c>
      <c r="I45" s="11163">
        <f t="shared" si="3"/>
        <v>0.82448600000000005</v>
      </c>
      <c r="J45" s="11162">
        <v>100000</v>
      </c>
    </row>
    <row r="46" spans="1:11" ht="15" customHeight="1">
      <c r="A46" s="11483"/>
      <c r="B46" s="7352" t="s">
        <v>61</v>
      </c>
      <c r="C46" s="11487">
        <v>50203090</v>
      </c>
      <c r="D46" s="11213">
        <v>0</v>
      </c>
      <c r="E46" s="11213">
        <f>'WS-MOOE ACTUAL JUNE 2018'!O47</f>
        <v>0</v>
      </c>
      <c r="F46" s="11488">
        <f t="shared" si="2"/>
        <v>60000</v>
      </c>
      <c r="G46" s="11132">
        <v>60000</v>
      </c>
      <c r="H46" s="11132">
        <v>0</v>
      </c>
      <c r="I46" s="11163">
        <f t="shared" si="3"/>
        <v>0</v>
      </c>
      <c r="J46" s="11162">
        <v>60000</v>
      </c>
      <c r="K46" s="8095">
        <v>30000</v>
      </c>
    </row>
    <row r="47" spans="1:11" ht="15" customHeight="1">
      <c r="A47" s="11483"/>
      <c r="B47" s="8100" t="s">
        <v>46</v>
      </c>
      <c r="C47" s="11487">
        <v>50204020</v>
      </c>
      <c r="D47" s="11213">
        <f>'WS-MOOE 2017'!X45</f>
        <v>0</v>
      </c>
      <c r="E47" s="11213">
        <f>'WS-MOOE ACTUAL JUNE 2018'!S47</f>
        <v>0</v>
      </c>
      <c r="F47" s="11488">
        <f t="shared" si="2"/>
        <v>10000</v>
      </c>
      <c r="G47" s="11132">
        <v>10000</v>
      </c>
      <c r="H47" s="11132">
        <v>0</v>
      </c>
      <c r="I47" s="11163">
        <f t="shared" si="3"/>
        <v>0</v>
      </c>
      <c r="J47" s="11497">
        <v>0</v>
      </c>
      <c r="K47" s="8884">
        <v>10000</v>
      </c>
    </row>
    <row r="48" spans="1:11" ht="15" customHeight="1">
      <c r="A48" s="11483"/>
      <c r="B48" s="7835" t="s">
        <v>11762</v>
      </c>
      <c r="C48" s="11487">
        <v>50205020</v>
      </c>
      <c r="D48" s="11213">
        <f>'WS-MOOE 2017'!AA45</f>
        <v>85908.4</v>
      </c>
      <c r="E48" s="11213">
        <f>'WS-MOOE ACTUAL JUNE 2018'!V47</f>
        <v>16322.18</v>
      </c>
      <c r="F48" s="11488">
        <f t="shared" si="2"/>
        <v>61677.82</v>
      </c>
      <c r="G48" s="11132">
        <v>78000</v>
      </c>
      <c r="H48" s="11132">
        <v>30977.94</v>
      </c>
      <c r="I48" s="11163">
        <f t="shared" si="3"/>
        <v>0.39715307692307689</v>
      </c>
      <c r="J48" s="11162">
        <f>60000+18000</f>
        <v>78000</v>
      </c>
    </row>
    <row r="49" spans="1:12" ht="15" hidden="1" customHeight="1">
      <c r="A49" s="11483"/>
      <c r="B49" s="8100" t="s">
        <v>89</v>
      </c>
      <c r="C49" s="11487"/>
      <c r="D49" s="11213">
        <f>'WS-MOOE 2017'!AC45</f>
        <v>0</v>
      </c>
      <c r="E49" s="11213"/>
      <c r="F49" s="11488">
        <f t="shared" si="2"/>
        <v>0</v>
      </c>
      <c r="G49" s="11132"/>
      <c r="H49" s="11132">
        <v>0</v>
      </c>
      <c r="I49" s="11163" t="e">
        <f t="shared" si="3"/>
        <v>#DIV/0!</v>
      </c>
      <c r="J49" s="11162"/>
    </row>
    <row r="50" spans="1:12" ht="15" hidden="1" customHeight="1">
      <c r="A50" s="11483"/>
      <c r="B50" s="8100" t="s">
        <v>9984</v>
      </c>
      <c r="C50" s="11487"/>
      <c r="D50" s="11213">
        <f>'WS-MOOE 2017'!AE45</f>
        <v>0</v>
      </c>
      <c r="E50" s="11213"/>
      <c r="F50" s="11488">
        <f t="shared" si="2"/>
        <v>0</v>
      </c>
      <c r="G50" s="11132">
        <v>0</v>
      </c>
      <c r="H50" s="11132"/>
      <c r="I50" s="11163"/>
      <c r="J50" s="11162">
        <v>0</v>
      </c>
    </row>
    <row r="51" spans="1:12" ht="15" customHeight="1">
      <c r="A51" s="11483"/>
      <c r="B51" s="8100" t="s">
        <v>118</v>
      </c>
      <c r="C51" s="11487">
        <v>50205040</v>
      </c>
      <c r="D51" s="11213">
        <f>'WS-MOOE 2017'!AF45</f>
        <v>5280</v>
      </c>
      <c r="E51" s="11213">
        <f>'WS-MOOE ACTUAL JUNE 2018'!AB47</f>
        <v>0</v>
      </c>
      <c r="F51" s="11488">
        <f t="shared" si="2"/>
        <v>6000</v>
      </c>
      <c r="G51" s="11132">
        <v>6000</v>
      </c>
      <c r="H51" s="11132">
        <v>0</v>
      </c>
      <c r="I51" s="11163">
        <f t="shared" si="3"/>
        <v>0</v>
      </c>
      <c r="J51" s="11162">
        <v>6000</v>
      </c>
    </row>
    <row r="52" spans="1:12" ht="15" customHeight="1">
      <c r="A52" s="11483"/>
      <c r="B52" s="7488" t="s">
        <v>10944</v>
      </c>
      <c r="C52" s="11380">
        <v>50211990</v>
      </c>
      <c r="D52" s="11213">
        <f>'WS-MOOE 2017'!AL45</f>
        <v>419304.82</v>
      </c>
      <c r="E52" s="11213">
        <f>'WS-MOOE ACTUAL JUNE 2018'!AF47</f>
        <v>0</v>
      </c>
      <c r="F52" s="11488">
        <f>G52-E52</f>
        <v>500000</v>
      </c>
      <c r="G52" s="11132">
        <v>500000</v>
      </c>
      <c r="H52" s="11132">
        <v>345000</v>
      </c>
      <c r="I52" s="11163">
        <f>H52/G52</f>
        <v>0.69</v>
      </c>
      <c r="J52" s="11162">
        <v>500000</v>
      </c>
    </row>
    <row r="53" spans="1:12" s="8103" customFormat="1" ht="15" customHeight="1">
      <c r="A53" s="11483"/>
      <c r="B53" s="7352" t="s">
        <v>10940</v>
      </c>
      <c r="C53" s="10387">
        <v>50212990</v>
      </c>
      <c r="D53" s="11132">
        <f>'WS-MOOE 2017'!AO45</f>
        <v>419732.51</v>
      </c>
      <c r="E53" s="11132">
        <f>'WS-MOOE ACTUAL JUNE 2018'!AJ47</f>
        <v>143082.5</v>
      </c>
      <c r="F53" s="11488">
        <f t="shared" si="2"/>
        <v>306917.5</v>
      </c>
      <c r="G53" s="11132">
        <v>450000</v>
      </c>
      <c r="H53" s="11132">
        <v>232713.75</v>
      </c>
      <c r="I53" s="11163">
        <f t="shared" si="3"/>
        <v>0.51714166666666672</v>
      </c>
      <c r="J53" s="11162">
        <v>450000</v>
      </c>
    </row>
    <row r="54" spans="1:12" ht="15" customHeight="1">
      <c r="A54" s="11483"/>
      <c r="B54" s="8100" t="s">
        <v>10986</v>
      </c>
      <c r="C54" s="11487">
        <v>50213040</v>
      </c>
      <c r="D54" s="11132"/>
      <c r="E54" s="11132">
        <f>'WS-MOOE ACTUAL JUNE 2018'!AN47</f>
        <v>0</v>
      </c>
      <c r="F54" s="11488">
        <f>G54-E54</f>
        <v>50000</v>
      </c>
      <c r="G54" s="11132">
        <v>50000</v>
      </c>
      <c r="H54" s="11132">
        <v>18376.400000000001</v>
      </c>
      <c r="I54" s="11163">
        <f>H54/G54</f>
        <v>0.36752800000000002</v>
      </c>
      <c r="J54" s="11162">
        <v>50000</v>
      </c>
    </row>
    <row r="55" spans="1:12" ht="15" customHeight="1">
      <c r="A55" s="11483"/>
      <c r="B55" s="7488" t="s">
        <v>10938</v>
      </c>
      <c r="C55" s="10387">
        <v>50213050</v>
      </c>
      <c r="D55" s="11213">
        <f>'WS-MOOE 2017'!AY45</f>
        <v>0</v>
      </c>
      <c r="E55" s="11213">
        <f>'WS-MOOE ACTUAL JUNE 2018'!AS47</f>
        <v>0</v>
      </c>
      <c r="F55" s="11488">
        <f t="shared" si="2"/>
        <v>5000</v>
      </c>
      <c r="G55" s="11132">
        <v>5000</v>
      </c>
      <c r="H55" s="11132">
        <v>0</v>
      </c>
      <c r="I55" s="11163">
        <f t="shared" si="3"/>
        <v>0</v>
      </c>
      <c r="J55" s="11162">
        <v>5000</v>
      </c>
    </row>
    <row r="56" spans="1:12" ht="15" customHeight="1">
      <c r="A56" s="11483"/>
      <c r="B56" s="7488" t="s">
        <v>10937</v>
      </c>
      <c r="C56" s="11059">
        <v>50213060</v>
      </c>
      <c r="D56" s="11213">
        <v>0</v>
      </c>
      <c r="E56" s="11213">
        <f>'WS-MOOE ACTUAL JUNE 2018'!AT47</f>
        <v>0</v>
      </c>
      <c r="F56" s="11488">
        <f t="shared" si="2"/>
        <v>10000</v>
      </c>
      <c r="G56" s="11132">
        <v>10000</v>
      </c>
      <c r="H56" s="11132">
        <v>0</v>
      </c>
      <c r="I56" s="11163">
        <f t="shared" si="3"/>
        <v>0</v>
      </c>
      <c r="J56" s="11162">
        <v>10000</v>
      </c>
    </row>
    <row r="57" spans="1:12" ht="15" customHeight="1">
      <c r="A57" s="11483"/>
      <c r="B57" s="8100" t="s">
        <v>10985</v>
      </c>
      <c r="C57" s="11487">
        <v>50213990</v>
      </c>
      <c r="D57" s="11132">
        <f>'WS-MOOE 2017'!BC45</f>
        <v>7500</v>
      </c>
      <c r="E57" s="11132">
        <f>'WS-MOOE ACTUAL JUNE 2018'!AV47</f>
        <v>0</v>
      </c>
      <c r="F57" s="11488">
        <f t="shared" si="2"/>
        <v>80000</v>
      </c>
      <c r="G57" s="11132">
        <v>80000</v>
      </c>
      <c r="H57" s="11132">
        <v>0</v>
      </c>
      <c r="I57" s="11163">
        <f t="shared" si="3"/>
        <v>0</v>
      </c>
      <c r="J57" s="11162">
        <v>20000</v>
      </c>
    </row>
    <row r="58" spans="1:12" ht="15" customHeight="1">
      <c r="A58" s="11483"/>
      <c r="B58" s="7352" t="s">
        <v>72</v>
      </c>
      <c r="C58" s="10387">
        <v>50215020</v>
      </c>
      <c r="D58" s="11132">
        <f>'WS-MOOE 2017'!BH45</f>
        <v>0</v>
      </c>
      <c r="E58" s="11132">
        <f>'WS-MOOE ACTUAL JUNE 2018'!AZ47</f>
        <v>0</v>
      </c>
      <c r="F58" s="11488">
        <f t="shared" si="2"/>
        <v>5000</v>
      </c>
      <c r="G58" s="11132">
        <v>5000</v>
      </c>
      <c r="H58" s="11132">
        <v>0</v>
      </c>
      <c r="I58" s="11163">
        <f t="shared" si="3"/>
        <v>0</v>
      </c>
      <c r="J58" s="11162">
        <v>5000</v>
      </c>
    </row>
    <row r="59" spans="1:12" s="7333" customFormat="1" ht="15" customHeight="1">
      <c r="A59" s="11483"/>
      <c r="B59" s="7913" t="s">
        <v>50</v>
      </c>
      <c r="C59" s="10387">
        <v>50299990</v>
      </c>
      <c r="D59" s="11213">
        <f>'WS-MOOE 2017'!BO45</f>
        <v>19300</v>
      </c>
      <c r="E59" s="11213">
        <f>'WS-MOOE ACTUAL JUNE 2018'!BI47</f>
        <v>0</v>
      </c>
      <c r="F59" s="11488">
        <f t="shared" si="2"/>
        <v>40000</v>
      </c>
      <c r="G59" s="11132">
        <v>40000</v>
      </c>
      <c r="H59" s="11132">
        <v>13190.8</v>
      </c>
      <c r="I59" s="11163">
        <f t="shared" si="3"/>
        <v>0.32977000000000001</v>
      </c>
      <c r="J59" s="11162">
        <v>40000</v>
      </c>
      <c r="L59" s="7842"/>
    </row>
    <row r="60" spans="1:12" s="7351" customFormat="1" ht="15" customHeight="1">
      <c r="A60" s="11483"/>
      <c r="B60" s="8102" t="s">
        <v>37</v>
      </c>
      <c r="C60" s="11487"/>
      <c r="D60" s="11136">
        <f>SUM(D43:D59)</f>
        <v>1093524.98</v>
      </c>
      <c r="E60" s="11136">
        <f>SUM(E43:E59)</f>
        <v>181785.68</v>
      </c>
      <c r="F60" s="11498">
        <f>SUM(F43:F59)</f>
        <v>1302214.32</v>
      </c>
      <c r="G60" s="11205">
        <f>SUM(G43:G59)</f>
        <v>1484000</v>
      </c>
      <c r="H60" s="11205">
        <f>SUM(H43:H59)</f>
        <v>749854.49000000011</v>
      </c>
      <c r="I60" s="9466">
        <f>H60/G60</f>
        <v>0.50529278301886804</v>
      </c>
      <c r="J60" s="11207">
        <f>SUM(J43:J59)</f>
        <v>1414000</v>
      </c>
      <c r="K60" s="10399">
        <f>(J60-G60)/G60</f>
        <v>-4.716981132075472E-2</v>
      </c>
      <c r="L60" s="10239"/>
    </row>
    <row r="61" spans="1:12" s="7351" customFormat="1" ht="15" customHeight="1">
      <c r="A61" s="11483"/>
      <c r="B61" s="8100"/>
      <c r="C61" s="11487"/>
      <c r="D61" s="11499"/>
      <c r="E61" s="11500"/>
      <c r="F61" s="11501"/>
      <c r="G61" s="11502"/>
      <c r="H61" s="11502"/>
      <c r="I61" s="11503"/>
      <c r="J61" s="11504"/>
      <c r="K61" s="8902"/>
      <c r="L61" s="7383"/>
    </row>
    <row r="62" spans="1:12" s="7351" customFormat="1" ht="15" customHeight="1">
      <c r="A62" s="11505">
        <v>2</v>
      </c>
      <c r="B62" s="8100" t="s">
        <v>52</v>
      </c>
      <c r="C62" s="11487"/>
      <c r="D62" s="11506"/>
      <c r="E62" s="11213"/>
      <c r="F62" s="11464"/>
      <c r="G62" s="11132"/>
      <c r="H62" s="11132"/>
      <c r="I62" s="11163"/>
      <c r="J62" s="11162"/>
      <c r="L62" s="7383"/>
    </row>
    <row r="63" spans="1:12" ht="15" customHeight="1">
      <c r="A63" s="11486"/>
      <c r="B63" s="8100" t="s">
        <v>11827</v>
      </c>
      <c r="C63" s="11487">
        <v>50705020</v>
      </c>
      <c r="D63" s="11213">
        <f>'WS-CO 2017'!F44</f>
        <v>30810</v>
      </c>
      <c r="E63" s="11213"/>
      <c r="F63" s="11488">
        <f>G63-E63</f>
        <v>90000</v>
      </c>
      <c r="G63" s="11132">
        <v>90000</v>
      </c>
      <c r="H63" s="11132">
        <v>88991.25</v>
      </c>
      <c r="I63" s="11163">
        <f>H63/G63</f>
        <v>0.98879166666666662</v>
      </c>
      <c r="J63" s="11133">
        <v>250000</v>
      </c>
    </row>
    <row r="64" spans="1:12" ht="15" customHeight="1">
      <c r="A64" s="11486"/>
      <c r="B64" s="7922" t="s">
        <v>10945</v>
      </c>
      <c r="C64" s="11487">
        <v>50707010</v>
      </c>
      <c r="D64" s="11213">
        <v>0</v>
      </c>
      <c r="E64" s="11213"/>
      <c r="F64" s="11488">
        <f>G64-E64</f>
        <v>84000</v>
      </c>
      <c r="G64" s="11132">
        <v>84000</v>
      </c>
      <c r="H64" s="11132">
        <v>71600</v>
      </c>
      <c r="I64" s="11163">
        <f>H64/G64</f>
        <v>0.85238095238095235</v>
      </c>
      <c r="J64" s="11133">
        <v>100000</v>
      </c>
    </row>
    <row r="65" spans="1:12" ht="15" hidden="1" customHeight="1">
      <c r="A65" s="11486"/>
      <c r="B65" s="8100" t="s">
        <v>10624</v>
      </c>
      <c r="C65" s="11487"/>
      <c r="D65" s="11213"/>
      <c r="E65" s="11213"/>
      <c r="F65" s="11488">
        <f>G65-E65</f>
        <v>0</v>
      </c>
      <c r="G65" s="11132"/>
      <c r="H65" s="11132"/>
      <c r="I65" s="11163"/>
      <c r="J65" s="11251"/>
      <c r="L65" s="10240"/>
    </row>
    <row r="66" spans="1:12" ht="15" hidden="1" customHeight="1">
      <c r="A66" s="11486"/>
      <c r="B66" s="8100" t="s">
        <v>10625</v>
      </c>
      <c r="C66" s="11487"/>
      <c r="D66" s="11213"/>
      <c r="E66" s="11213"/>
      <c r="F66" s="11488">
        <f>G66-E66</f>
        <v>0</v>
      </c>
      <c r="G66" s="11132"/>
      <c r="H66" s="11132"/>
      <c r="I66" s="11163"/>
      <c r="J66" s="11251"/>
      <c r="L66" s="10240"/>
    </row>
    <row r="67" spans="1:12" ht="15" hidden="1" customHeight="1">
      <c r="A67" s="11486"/>
      <c r="B67" s="8100" t="s">
        <v>10948</v>
      </c>
      <c r="C67" s="11487">
        <v>50799990</v>
      </c>
      <c r="D67" s="11213"/>
      <c r="E67" s="11213"/>
      <c r="F67" s="11488"/>
      <c r="G67" s="11132" t="s">
        <v>9</v>
      </c>
      <c r="H67" s="11132"/>
      <c r="I67" s="11163"/>
      <c r="J67" s="11133"/>
    </row>
    <row r="68" spans="1:12" ht="15" customHeight="1">
      <c r="A68" s="11486"/>
      <c r="B68" s="7488" t="s">
        <v>10963</v>
      </c>
      <c r="C68" s="11279">
        <v>50705030</v>
      </c>
      <c r="D68" s="11506">
        <f>'WS-CO 2017'!H44</f>
        <v>37200</v>
      </c>
      <c r="E68" s="11213"/>
      <c r="F68" s="11488"/>
      <c r="G68" s="11132" t="s">
        <v>9</v>
      </c>
      <c r="H68" s="11132"/>
      <c r="I68" s="11163"/>
      <c r="J68" s="11162">
        <v>95000</v>
      </c>
    </row>
    <row r="69" spans="1:12" ht="15" hidden="1" customHeight="1">
      <c r="A69" s="11486"/>
      <c r="B69" s="8100" t="s">
        <v>10280</v>
      </c>
      <c r="C69" s="11487"/>
      <c r="D69" s="11213"/>
      <c r="E69" s="11213"/>
      <c r="F69" s="11464"/>
      <c r="G69" s="11132">
        <v>0</v>
      </c>
      <c r="H69" s="11132"/>
      <c r="I69" s="11163" t="e">
        <f>H69/G69</f>
        <v>#DIV/0!</v>
      </c>
      <c r="J69" s="11162">
        <v>0</v>
      </c>
    </row>
    <row r="70" spans="1:12" ht="15" hidden="1" customHeight="1">
      <c r="A70" s="11486"/>
      <c r="B70" s="8100" t="s">
        <v>10281</v>
      </c>
      <c r="C70" s="11487"/>
      <c r="D70" s="11213"/>
      <c r="E70" s="11213"/>
      <c r="F70" s="11464"/>
      <c r="G70" s="11132">
        <v>0</v>
      </c>
      <c r="H70" s="11132"/>
      <c r="I70" s="11163" t="e">
        <f>H70/G70</f>
        <v>#DIV/0!</v>
      </c>
      <c r="J70" s="11162">
        <v>0</v>
      </c>
    </row>
    <row r="71" spans="1:12" ht="15" hidden="1" customHeight="1">
      <c r="A71" s="11486"/>
      <c r="B71" s="8100" t="s">
        <v>10282</v>
      </c>
      <c r="C71" s="11487"/>
      <c r="D71" s="11213"/>
      <c r="E71" s="11213"/>
      <c r="F71" s="11464"/>
      <c r="G71" s="11132">
        <v>0</v>
      </c>
      <c r="H71" s="11132"/>
      <c r="I71" s="11163" t="e">
        <f>H71/G71</f>
        <v>#DIV/0!</v>
      </c>
      <c r="J71" s="11162">
        <v>0</v>
      </c>
    </row>
    <row r="72" spans="1:12" ht="15" customHeight="1">
      <c r="A72" s="11483"/>
      <c r="B72" s="8100"/>
      <c r="C72" s="11487"/>
      <c r="D72" s="11213"/>
      <c r="E72" s="11213"/>
      <c r="F72" s="11488"/>
      <c r="G72" s="11132"/>
      <c r="H72" s="11132"/>
      <c r="I72" s="11163"/>
      <c r="J72" s="11162"/>
    </row>
    <row r="73" spans="1:12" ht="15" customHeight="1">
      <c r="A73" s="11483"/>
      <c r="B73" s="8102" t="s">
        <v>37</v>
      </c>
      <c r="C73" s="11487"/>
      <c r="D73" s="11136">
        <f>SUM(D62:D72)</f>
        <v>68010</v>
      </c>
      <c r="E73" s="11136">
        <f>SUM(E62:E72)</f>
        <v>0</v>
      </c>
      <c r="F73" s="11498">
        <f>SUM(F62:F72)</f>
        <v>174000</v>
      </c>
      <c r="G73" s="11136">
        <f>SUM(G63:G72)</f>
        <v>174000</v>
      </c>
      <c r="H73" s="11136">
        <f>SUM(H63:H72)</f>
        <v>160591.25</v>
      </c>
      <c r="I73" s="9466">
        <f>H73/G73</f>
        <v>0.92293821839080459</v>
      </c>
      <c r="J73" s="11137">
        <f>SUM(J63:J72)</f>
        <v>445000</v>
      </c>
      <c r="K73" s="10399">
        <f>(J73-G73)/G73</f>
        <v>1.5574712643678161</v>
      </c>
      <c r="L73" s="8867"/>
    </row>
    <row r="74" spans="1:12" ht="15" customHeight="1">
      <c r="A74" s="11483"/>
      <c r="B74" s="8100"/>
      <c r="C74" s="11487"/>
      <c r="D74" s="11213"/>
      <c r="E74" s="11213"/>
      <c r="F74" s="11464"/>
      <c r="G74" s="11132"/>
      <c r="H74" s="11132"/>
      <c r="I74" s="11163"/>
      <c r="J74" s="11162"/>
    </row>
    <row r="75" spans="1:12" ht="15" customHeight="1" thickBot="1">
      <c r="A75" s="11484"/>
      <c r="B75" s="11493" t="s">
        <v>55</v>
      </c>
      <c r="C75" s="11494"/>
      <c r="D75" s="11187">
        <f>(D27+D60+D73)</f>
        <v>3036505.3</v>
      </c>
      <c r="E75" s="11187">
        <f>(E27+E60+E73)</f>
        <v>812052.58000000007</v>
      </c>
      <c r="F75" s="11495">
        <f>(F27+F60+F73)</f>
        <v>2189291.42</v>
      </c>
      <c r="G75" s="11188">
        <f>G73+G60+G27</f>
        <v>3001344</v>
      </c>
      <c r="H75" s="11188"/>
      <c r="I75" s="7327"/>
      <c r="J75" s="11189">
        <f>J73+J60+J27</f>
        <v>4125376.5050000004</v>
      </c>
      <c r="K75" s="10399">
        <f>(J75-G75)/G75</f>
        <v>0.37450972131151922</v>
      </c>
      <c r="L75" s="10238"/>
    </row>
    <row r="76" spans="1:12" ht="15" customHeight="1">
      <c r="A76" s="7738" t="s">
        <v>4763</v>
      </c>
      <c r="B76" s="7738"/>
      <c r="C76" s="8770"/>
      <c r="D76" s="8104"/>
      <c r="E76" s="8104"/>
      <c r="F76" s="9565"/>
      <c r="G76" s="8105"/>
      <c r="H76" s="8104"/>
      <c r="I76" s="7742"/>
      <c r="J76" s="8105"/>
    </row>
    <row r="77" spans="1:12" ht="15" customHeight="1">
      <c r="A77" s="7738"/>
      <c r="B77" s="7738"/>
      <c r="C77" s="8770"/>
      <c r="D77" s="8104"/>
      <c r="E77" s="8104"/>
      <c r="F77" s="9565"/>
      <c r="G77" s="8105"/>
      <c r="H77" s="8104"/>
      <c r="I77" s="7742"/>
      <c r="J77" s="8105"/>
    </row>
    <row r="78" spans="1:12" ht="15" hidden="1" customHeight="1">
      <c r="A78" s="7761" t="s">
        <v>3483</v>
      </c>
      <c r="B78" s="7761"/>
      <c r="C78" s="10870" t="s">
        <v>3484</v>
      </c>
      <c r="E78" s="7763"/>
      <c r="F78" s="9459" t="s">
        <v>10666</v>
      </c>
      <c r="H78" s="7763"/>
      <c r="I78" s="7286"/>
    </row>
    <row r="79" spans="1:12" ht="15" hidden="1" customHeight="1">
      <c r="A79" s="7761"/>
      <c r="B79" s="7761"/>
      <c r="C79" s="10870"/>
      <c r="E79" s="7763"/>
      <c r="F79" s="9459"/>
      <c r="H79" s="7763"/>
      <c r="I79" s="7286"/>
    </row>
    <row r="80" spans="1:12" ht="15" hidden="1" customHeight="1">
      <c r="A80" s="7761"/>
      <c r="B80" s="7761"/>
      <c r="C80" s="8771"/>
      <c r="D80" s="10870"/>
      <c r="E80" s="7763"/>
      <c r="F80" s="9531"/>
      <c r="H80" s="7763"/>
      <c r="I80" s="7286"/>
    </row>
    <row r="81" spans="1:10" ht="15" hidden="1" customHeight="1">
      <c r="A81" s="14304" t="s">
        <v>11249</v>
      </c>
      <c r="B81" s="14304"/>
      <c r="C81" s="8771"/>
      <c r="D81" s="9604" t="s">
        <v>12059</v>
      </c>
      <c r="E81" s="7766"/>
      <c r="F81" s="9552"/>
      <c r="G81" s="7342" t="s">
        <v>9154</v>
      </c>
      <c r="H81" s="7766"/>
      <c r="I81" s="7284"/>
      <c r="J81" s="7822"/>
    </row>
    <row r="82" spans="1:10" ht="15" hidden="1" customHeight="1">
      <c r="A82" s="14245" t="s">
        <v>11250</v>
      </c>
      <c r="B82" s="14245"/>
      <c r="C82" s="8771"/>
      <c r="D82" s="7761" t="s">
        <v>3486</v>
      </c>
      <c r="E82" s="7821"/>
      <c r="F82" s="9553"/>
      <c r="G82" s="7344" t="s">
        <v>10665</v>
      </c>
      <c r="H82" s="7763"/>
      <c r="I82" s="7763"/>
      <c r="J82" s="7763"/>
    </row>
    <row r="83" spans="1:10" ht="15" customHeight="1">
      <c r="A83" s="7767"/>
      <c r="B83" s="7799"/>
      <c r="C83" s="8744"/>
      <c r="D83" s="10871"/>
      <c r="E83" s="10871"/>
      <c r="F83" s="9533"/>
      <c r="G83" s="10871"/>
      <c r="H83" s="10871"/>
      <c r="I83" s="8106"/>
      <c r="J83" s="10871"/>
    </row>
    <row r="84" spans="1:10" ht="15" customHeight="1">
      <c r="A84" s="7767"/>
      <c r="B84" s="7799"/>
      <c r="C84" s="8744"/>
      <c r="D84" s="10871"/>
      <c r="E84" s="10871"/>
      <c r="F84" s="9533"/>
      <c r="G84" s="10871"/>
      <c r="H84" s="10871"/>
      <c r="I84" s="8106"/>
      <c r="J84" s="10871"/>
    </row>
    <row r="85" spans="1:10" ht="15" hidden="1" customHeight="1">
      <c r="A85" s="7767"/>
      <c r="B85" s="7799"/>
      <c r="C85" s="8744"/>
      <c r="D85" s="10871"/>
      <c r="E85" s="10871"/>
      <c r="F85" s="9533"/>
      <c r="G85" s="9566" t="s">
        <v>11078</v>
      </c>
      <c r="H85" s="8107"/>
      <c r="I85" s="8898" t="s">
        <v>11080</v>
      </c>
      <c r="J85" s="10871"/>
    </row>
    <row r="86" spans="1:10" ht="15" hidden="1" customHeight="1">
      <c r="A86" s="7767"/>
      <c r="B86" s="7799"/>
      <c r="C86" s="8744"/>
      <c r="D86" s="10871"/>
      <c r="E86" s="10871"/>
      <c r="F86" s="9533"/>
      <c r="G86" s="10871"/>
      <c r="H86" s="10871"/>
      <c r="I86" s="8106"/>
      <c r="J86" s="10871"/>
    </row>
    <row r="87" spans="1:10" ht="15" hidden="1" customHeight="1">
      <c r="A87" s="7767"/>
      <c r="B87" s="7799"/>
      <c r="C87" s="8744"/>
      <c r="D87" s="10871"/>
      <c r="E87" s="10871"/>
      <c r="F87" s="9533">
        <v>3802400</v>
      </c>
      <c r="G87" s="10871">
        <f>G75-F87</f>
        <v>-801056</v>
      </c>
      <c r="H87" s="10871"/>
      <c r="I87" s="8107">
        <f>J75-G75</f>
        <v>1124032.5050000004</v>
      </c>
      <c r="J87" s="10871"/>
    </row>
    <row r="88" spans="1:10" ht="15" hidden="1" customHeight="1">
      <c r="A88" s="7767"/>
      <c r="B88" s="7799"/>
      <c r="C88" s="8744"/>
      <c r="D88" s="10871"/>
      <c r="E88" s="10871"/>
      <c r="F88" s="9533"/>
      <c r="G88" s="8865">
        <f>G87/F87</f>
        <v>-0.21067115505996212</v>
      </c>
      <c r="H88" s="10871"/>
      <c r="I88" s="8865">
        <f>I87/G75</f>
        <v>0.37450972131151922</v>
      </c>
      <c r="J88" s="10871"/>
    </row>
    <row r="89" spans="1:10" ht="15" customHeight="1">
      <c r="A89" s="7767"/>
      <c r="B89" s="7799"/>
      <c r="C89" s="8744"/>
      <c r="D89" s="10871"/>
      <c r="E89" s="10871"/>
      <c r="F89" s="9533"/>
      <c r="G89" s="10871"/>
      <c r="H89" s="10871"/>
      <c r="I89" s="8106"/>
      <c r="J89" s="10871"/>
    </row>
    <row r="90" spans="1:10" ht="15" customHeight="1">
      <c r="A90" s="7767"/>
      <c r="B90" s="7799"/>
      <c r="C90" s="8744"/>
      <c r="D90" s="10871"/>
      <c r="E90" s="10871"/>
      <c r="F90" s="9533"/>
      <c r="G90" s="10871"/>
      <c r="H90" s="10871"/>
      <c r="I90" s="8106"/>
      <c r="J90" s="10871"/>
    </row>
  </sheetData>
  <mergeCells count="10">
    <mergeCell ref="A82:B82"/>
    <mergeCell ref="A81:B81"/>
    <mergeCell ref="C7:C8"/>
    <mergeCell ref="A1:J1"/>
    <mergeCell ref="E6:G6"/>
    <mergeCell ref="G7:G8"/>
    <mergeCell ref="E39:G39"/>
    <mergeCell ref="C40:C41"/>
    <mergeCell ref="G40:G41"/>
    <mergeCell ref="J3:J4"/>
  </mergeCells>
  <printOptions horizontalCentered="1" gridLinesSet="0"/>
  <pageMargins left="0.25" right="0.25" top="0.5" bottom="0.25" header="0.25" footer="0.25"/>
  <pageSetup paperSize="119" firstPageNumber="81" orientation="landscape" useFirstPageNumber="1" r:id="rId1"/>
  <headerFooter alignWithMargins="0"/>
</worksheet>
</file>

<file path=xl/worksheets/sheet48.xml><?xml version="1.0" encoding="utf-8"?>
<worksheet xmlns="http://schemas.openxmlformats.org/spreadsheetml/2006/main" xmlns:r="http://schemas.openxmlformats.org/officeDocument/2006/relationships">
  <sheetPr codeName="Sheet75">
    <tabColor rgb="FFFFFF00"/>
  </sheetPr>
  <dimension ref="A1:E17"/>
  <sheetViews>
    <sheetView workbookViewId="0">
      <selection activeCell="C23" sqref="C23"/>
    </sheetView>
  </sheetViews>
  <sheetFormatPr defaultColWidth="12.88671875" defaultRowHeight="14.4"/>
  <cols>
    <col min="1" max="1" width="34.88671875" style="5176" customWidth="1"/>
    <col min="2" max="2" width="13.88671875" style="5177" customWidth="1"/>
    <col min="3" max="3" width="14" style="5177" customWidth="1"/>
    <col min="4" max="4" width="13.109375" style="5177" customWidth="1"/>
    <col min="5" max="5" width="14.88671875" style="5177" customWidth="1"/>
    <col min="6" max="16384" width="12.88671875" style="5176"/>
  </cols>
  <sheetData>
    <row r="1" spans="1:5" s="5175" customFormat="1" ht="17.100000000000001" customHeight="1">
      <c r="A1" s="5173" t="s">
        <v>3874</v>
      </c>
      <c r="B1" s="5174"/>
      <c r="C1" s="5174"/>
      <c r="D1" s="5174"/>
    </row>
    <row r="2" spans="1:5" s="5175" customFormat="1" ht="17.100000000000001" customHeight="1">
      <c r="A2" s="5173"/>
      <c r="B2" s="5174"/>
      <c r="C2" s="5174"/>
      <c r="D2" s="5174"/>
    </row>
    <row r="3" spans="1:5" s="5175" customFormat="1" ht="17.100000000000001" customHeight="1">
      <c r="A3" s="5173" t="s">
        <v>4967</v>
      </c>
      <c r="B3" s="5174"/>
      <c r="C3" s="5174"/>
      <c r="D3" s="5174"/>
    </row>
    <row r="4" spans="1:5" ht="15" thickBot="1"/>
    <row r="5" spans="1:5" s="4851" customFormat="1" ht="30" customHeight="1" thickBot="1">
      <c r="A5" s="14466" t="s">
        <v>3822</v>
      </c>
      <c r="B5" s="14468" t="s">
        <v>18</v>
      </c>
      <c r="C5" s="14469"/>
      <c r="D5" s="14470" t="s">
        <v>52</v>
      </c>
      <c r="E5" s="14470" t="s">
        <v>458</v>
      </c>
    </row>
    <row r="6" spans="1:5" s="4851" customFormat="1" ht="29.4" thickBot="1">
      <c r="A6" s="14467"/>
      <c r="B6" s="5178" t="s">
        <v>2151</v>
      </c>
      <c r="C6" s="5178" t="s">
        <v>1973</v>
      </c>
      <c r="D6" s="14471"/>
      <c r="E6" s="14471"/>
    </row>
    <row r="7" spans="1:5" s="4851" customFormat="1">
      <c r="A7" s="5179"/>
      <c r="B7" s="5180"/>
      <c r="C7" s="5180"/>
      <c r="D7" s="5180"/>
      <c r="E7" s="5180"/>
    </row>
    <row r="8" spans="1:5" s="4851" customFormat="1" ht="24.9" customHeight="1">
      <c r="A8" s="5181" t="s">
        <v>9721</v>
      </c>
      <c r="B8" s="5180"/>
      <c r="C8" s="5182">
        <f>'lbpf 5 -CCAD'!E33</f>
        <v>365178</v>
      </c>
      <c r="D8" s="5180"/>
      <c r="E8" s="5183">
        <f>SUM(C8:D8)</f>
        <v>365178</v>
      </c>
    </row>
    <row r="9" spans="1:5" s="5184" customFormat="1" ht="24.9" customHeight="1">
      <c r="A9" s="5181" t="s">
        <v>9788</v>
      </c>
      <c r="B9" s="5182"/>
      <c r="C9" s="5182">
        <f>'lbpf 5 -CCAD'!E103</f>
        <v>40000</v>
      </c>
      <c r="D9" s="5182"/>
      <c r="E9" s="5183">
        <f>SUM(C9:D9)</f>
        <v>40000</v>
      </c>
    </row>
    <row r="10" spans="1:5" s="5185" customFormat="1" ht="24.9" customHeight="1">
      <c r="A10" s="5181" t="s">
        <v>9802</v>
      </c>
      <c r="B10" s="5183"/>
      <c r="C10" s="5183">
        <f>'lbpf 5 -CCAD'!E109</f>
        <v>545000</v>
      </c>
      <c r="D10" s="5183"/>
      <c r="E10" s="5183">
        <f>SUM(C10:D10)</f>
        <v>545000</v>
      </c>
    </row>
    <row r="11" spans="1:5" ht="24.9" customHeight="1">
      <c r="A11" s="5181" t="s">
        <v>9913</v>
      </c>
      <c r="B11" s="5186"/>
      <c r="C11" s="5187">
        <f>'lbpf 5 -CCAD'!E120</f>
        <v>230000</v>
      </c>
      <c r="D11" s="5187"/>
      <c r="E11" s="5183">
        <f>SUM(C11:D11)</f>
        <v>230000</v>
      </c>
    </row>
    <row r="12" spans="1:5" ht="24.9" customHeight="1">
      <c r="A12" s="5181" t="s">
        <v>9845</v>
      </c>
      <c r="B12" s="5186"/>
      <c r="C12" s="5186">
        <f>'lbpf 5 -CCAD'!E133</f>
        <v>200000</v>
      </c>
      <c r="D12" s="5186"/>
      <c r="E12" s="5183">
        <f>SUM(B12:D12)</f>
        <v>200000</v>
      </c>
    </row>
    <row r="13" spans="1:5" ht="24.9" customHeight="1">
      <c r="A13" s="5181" t="s">
        <v>9859</v>
      </c>
      <c r="B13" s="5186">
        <f>'lbpf 3-CCAD'!J27</f>
        <v>2266376.5050000004</v>
      </c>
      <c r="C13" s="5186"/>
      <c r="D13" s="5186">
        <f>'lbpf 3-CCAD'!J73</f>
        <v>445000</v>
      </c>
      <c r="E13" s="5186">
        <f>SUM(B13:D13)</f>
        <v>2711376.5050000004</v>
      </c>
    </row>
    <row r="14" spans="1:5" ht="18" customHeight="1">
      <c r="A14" s="5188"/>
      <c r="B14" s="5186"/>
      <c r="C14" s="5186"/>
      <c r="D14" s="5186"/>
      <c r="E14" s="5186"/>
    </row>
    <row r="15" spans="1:5" ht="18" customHeight="1">
      <c r="A15" s="5189"/>
      <c r="B15" s="14472"/>
      <c r="C15" s="14474"/>
      <c r="D15" s="5186"/>
      <c r="E15" s="5186"/>
    </row>
    <row r="16" spans="1:5" ht="15" thickBot="1">
      <c r="A16" s="5190"/>
      <c r="B16" s="14473"/>
      <c r="C16" s="14475"/>
      <c r="D16" s="5191"/>
      <c r="E16" s="5191"/>
    </row>
    <row r="17" spans="1:5" s="5194" customFormat="1" ht="24.75" customHeight="1" thickBot="1">
      <c r="A17" s="5192" t="s">
        <v>220</v>
      </c>
      <c r="B17" s="5193">
        <f>SUM(B8:B16)</f>
        <v>2266376.5050000004</v>
      </c>
      <c r="C17" s="5193">
        <f>SUM(C8:C16)</f>
        <v>1380178</v>
      </c>
      <c r="D17" s="5193">
        <f>SUM(D8:D16)</f>
        <v>445000</v>
      </c>
      <c r="E17" s="5193">
        <f>SUM(E7:E16)</f>
        <v>4091554.5050000004</v>
      </c>
    </row>
  </sheetData>
  <mergeCells count="6">
    <mergeCell ref="A5:A6"/>
    <mergeCell ref="B5:C5"/>
    <mergeCell ref="D5:D6"/>
    <mergeCell ref="E5:E6"/>
    <mergeCell ref="B15:B16"/>
    <mergeCell ref="C15:C16"/>
  </mergeCells>
  <printOptions horizontalCentered="1"/>
  <pageMargins left="0.5" right="0.25" top="0.75" bottom="0.5" header="0.3" footer="0.25"/>
  <pageSetup paperSize="119" firstPageNumber="82" orientation="portrait" useFirstPageNumber="1" verticalDpi="300" r:id="rId1"/>
</worksheet>
</file>

<file path=xl/worksheets/sheet49.xml><?xml version="1.0" encoding="utf-8"?>
<worksheet xmlns="http://schemas.openxmlformats.org/spreadsheetml/2006/main" xmlns:r="http://schemas.openxmlformats.org/officeDocument/2006/relationships">
  <sheetPr codeName="Sheet78">
    <tabColor rgb="FFFFFF00"/>
  </sheetPr>
  <dimension ref="A1:J63"/>
  <sheetViews>
    <sheetView workbookViewId="0">
      <selection activeCell="G2" sqref="G1:Q1048576"/>
    </sheetView>
  </sheetViews>
  <sheetFormatPr defaultRowHeight="12.9" customHeight="1"/>
  <cols>
    <col min="1" max="1" width="40.5546875" style="7165" customWidth="1"/>
    <col min="2" max="3" width="8.5546875" style="7165" customWidth="1"/>
    <col min="4" max="4" width="27.109375" style="7165" hidden="1" customWidth="1"/>
    <col min="5" max="7" width="14.5546875" style="7165" customWidth="1"/>
    <col min="8" max="9" width="8.88671875" style="7165" customWidth="1"/>
    <col min="10" max="10" width="12.44140625" style="7165" customWidth="1"/>
    <col min="11" max="16" width="8.88671875" style="7165" customWidth="1"/>
    <col min="17" max="256" width="9.109375" style="7165"/>
    <col min="257" max="257" width="33.44140625" style="7165" customWidth="1"/>
    <col min="258" max="258" width="7.44140625" style="7165" customWidth="1"/>
    <col min="259" max="259" width="7" style="7165" customWidth="1"/>
    <col min="260" max="260" width="0" style="7165" hidden="1" customWidth="1"/>
    <col min="261" max="261" width="10.109375" style="7165" customWidth="1"/>
    <col min="262" max="262" width="14.44140625" style="7165" customWidth="1"/>
    <col min="263" max="263" width="17.109375" style="7165" customWidth="1"/>
    <col min="264" max="512" width="9.109375" style="7165"/>
    <col min="513" max="513" width="33.44140625" style="7165" customWidth="1"/>
    <col min="514" max="514" width="7.44140625" style="7165" customWidth="1"/>
    <col min="515" max="515" width="7" style="7165" customWidth="1"/>
    <col min="516" max="516" width="0" style="7165" hidden="1" customWidth="1"/>
    <col min="517" max="517" width="10.109375" style="7165" customWidth="1"/>
    <col min="518" max="518" width="14.44140625" style="7165" customWidth="1"/>
    <col min="519" max="519" width="17.109375" style="7165" customWidth="1"/>
    <col min="520" max="768" width="9.109375" style="7165"/>
    <col min="769" max="769" width="33.44140625" style="7165" customWidth="1"/>
    <col min="770" max="770" width="7.44140625" style="7165" customWidth="1"/>
    <col min="771" max="771" width="7" style="7165" customWidth="1"/>
    <col min="772" max="772" width="0" style="7165" hidden="1" customWidth="1"/>
    <col min="773" max="773" width="10.109375" style="7165" customWidth="1"/>
    <col min="774" max="774" width="14.44140625" style="7165" customWidth="1"/>
    <col min="775" max="775" width="17.109375" style="7165" customWidth="1"/>
    <col min="776" max="1024" width="9.109375" style="7165"/>
    <col min="1025" max="1025" width="33.44140625" style="7165" customWidth="1"/>
    <col min="1026" max="1026" width="7.44140625" style="7165" customWidth="1"/>
    <col min="1027" max="1027" width="7" style="7165" customWidth="1"/>
    <col min="1028" max="1028" width="0" style="7165" hidden="1" customWidth="1"/>
    <col min="1029" max="1029" width="10.109375" style="7165" customWidth="1"/>
    <col min="1030" max="1030" width="14.44140625" style="7165" customWidth="1"/>
    <col min="1031" max="1031" width="17.109375" style="7165" customWidth="1"/>
    <col min="1032" max="1280" width="9.109375" style="7165"/>
    <col min="1281" max="1281" width="33.44140625" style="7165" customWidth="1"/>
    <col min="1282" max="1282" width="7.44140625" style="7165" customWidth="1"/>
    <col min="1283" max="1283" width="7" style="7165" customWidth="1"/>
    <col min="1284" max="1284" width="0" style="7165" hidden="1" customWidth="1"/>
    <col min="1285" max="1285" width="10.109375" style="7165" customWidth="1"/>
    <col min="1286" max="1286" width="14.44140625" style="7165" customWidth="1"/>
    <col min="1287" max="1287" width="17.109375" style="7165" customWidth="1"/>
    <col min="1288" max="1536" width="9.109375" style="7165"/>
    <col min="1537" max="1537" width="33.44140625" style="7165" customWidth="1"/>
    <col min="1538" max="1538" width="7.44140625" style="7165" customWidth="1"/>
    <col min="1539" max="1539" width="7" style="7165" customWidth="1"/>
    <col min="1540" max="1540" width="0" style="7165" hidden="1" customWidth="1"/>
    <col min="1541" max="1541" width="10.109375" style="7165" customWidth="1"/>
    <col min="1542" max="1542" width="14.44140625" style="7165" customWidth="1"/>
    <col min="1543" max="1543" width="17.109375" style="7165" customWidth="1"/>
    <col min="1544" max="1792" width="9.109375" style="7165"/>
    <col min="1793" max="1793" width="33.44140625" style="7165" customWidth="1"/>
    <col min="1794" max="1794" width="7.44140625" style="7165" customWidth="1"/>
    <col min="1795" max="1795" width="7" style="7165" customWidth="1"/>
    <col min="1796" max="1796" width="0" style="7165" hidden="1" customWidth="1"/>
    <col min="1797" max="1797" width="10.109375" style="7165" customWidth="1"/>
    <col min="1798" max="1798" width="14.44140625" style="7165" customWidth="1"/>
    <col min="1799" max="1799" width="17.109375" style="7165" customWidth="1"/>
    <col min="1800" max="2048" width="9.109375" style="7165"/>
    <col min="2049" max="2049" width="33.44140625" style="7165" customWidth="1"/>
    <col min="2050" max="2050" width="7.44140625" style="7165" customWidth="1"/>
    <col min="2051" max="2051" width="7" style="7165" customWidth="1"/>
    <col min="2052" max="2052" width="0" style="7165" hidden="1" customWidth="1"/>
    <col min="2053" max="2053" width="10.109375" style="7165" customWidth="1"/>
    <col min="2054" max="2054" width="14.44140625" style="7165" customWidth="1"/>
    <col min="2055" max="2055" width="17.109375" style="7165" customWidth="1"/>
    <col min="2056" max="2304" width="9.109375" style="7165"/>
    <col min="2305" max="2305" width="33.44140625" style="7165" customWidth="1"/>
    <col min="2306" max="2306" width="7.44140625" style="7165" customWidth="1"/>
    <col min="2307" max="2307" width="7" style="7165" customWidth="1"/>
    <col min="2308" max="2308" width="0" style="7165" hidden="1" customWidth="1"/>
    <col min="2309" max="2309" width="10.109375" style="7165" customWidth="1"/>
    <col min="2310" max="2310" width="14.44140625" style="7165" customWidth="1"/>
    <col min="2311" max="2311" width="17.109375" style="7165" customWidth="1"/>
    <col min="2312" max="2560" width="9.109375" style="7165"/>
    <col min="2561" max="2561" width="33.44140625" style="7165" customWidth="1"/>
    <col min="2562" max="2562" width="7.44140625" style="7165" customWidth="1"/>
    <col min="2563" max="2563" width="7" style="7165" customWidth="1"/>
    <col min="2564" max="2564" width="0" style="7165" hidden="1" customWidth="1"/>
    <col min="2565" max="2565" width="10.109375" style="7165" customWidth="1"/>
    <col min="2566" max="2566" width="14.44140625" style="7165" customWidth="1"/>
    <col min="2567" max="2567" width="17.109375" style="7165" customWidth="1"/>
    <col min="2568" max="2816" width="9.109375" style="7165"/>
    <col min="2817" max="2817" width="33.44140625" style="7165" customWidth="1"/>
    <col min="2818" max="2818" width="7.44140625" style="7165" customWidth="1"/>
    <col min="2819" max="2819" width="7" style="7165" customWidth="1"/>
    <col min="2820" max="2820" width="0" style="7165" hidden="1" customWidth="1"/>
    <col min="2821" max="2821" width="10.109375" style="7165" customWidth="1"/>
    <col min="2822" max="2822" width="14.44140625" style="7165" customWidth="1"/>
    <col min="2823" max="2823" width="17.109375" style="7165" customWidth="1"/>
    <col min="2824" max="3072" width="9.109375" style="7165"/>
    <col min="3073" max="3073" width="33.44140625" style="7165" customWidth="1"/>
    <col min="3074" max="3074" width="7.44140625" style="7165" customWidth="1"/>
    <col min="3075" max="3075" width="7" style="7165" customWidth="1"/>
    <col min="3076" max="3076" width="0" style="7165" hidden="1" customWidth="1"/>
    <col min="3077" max="3077" width="10.109375" style="7165" customWidth="1"/>
    <col min="3078" max="3078" width="14.44140625" style="7165" customWidth="1"/>
    <col min="3079" max="3079" width="17.109375" style="7165" customWidth="1"/>
    <col min="3080" max="3328" width="9.109375" style="7165"/>
    <col min="3329" max="3329" width="33.44140625" style="7165" customWidth="1"/>
    <col min="3330" max="3330" width="7.44140625" style="7165" customWidth="1"/>
    <col min="3331" max="3331" width="7" style="7165" customWidth="1"/>
    <col min="3332" max="3332" width="0" style="7165" hidden="1" customWidth="1"/>
    <col min="3333" max="3333" width="10.109375" style="7165" customWidth="1"/>
    <col min="3334" max="3334" width="14.44140625" style="7165" customWidth="1"/>
    <col min="3335" max="3335" width="17.109375" style="7165" customWidth="1"/>
    <col min="3336" max="3584" width="9.109375" style="7165"/>
    <col min="3585" max="3585" width="33.44140625" style="7165" customWidth="1"/>
    <col min="3586" max="3586" width="7.44140625" style="7165" customWidth="1"/>
    <col min="3587" max="3587" width="7" style="7165" customWidth="1"/>
    <col min="3588" max="3588" width="0" style="7165" hidden="1" customWidth="1"/>
    <col min="3589" max="3589" width="10.109375" style="7165" customWidth="1"/>
    <col min="3590" max="3590" width="14.44140625" style="7165" customWidth="1"/>
    <col min="3591" max="3591" width="17.109375" style="7165" customWidth="1"/>
    <col min="3592" max="3840" width="9.109375" style="7165"/>
    <col min="3841" max="3841" width="33.44140625" style="7165" customWidth="1"/>
    <col min="3842" max="3842" width="7.44140625" style="7165" customWidth="1"/>
    <col min="3843" max="3843" width="7" style="7165" customWidth="1"/>
    <col min="3844" max="3844" width="0" style="7165" hidden="1" customWidth="1"/>
    <col min="3845" max="3845" width="10.109375" style="7165" customWidth="1"/>
    <col min="3846" max="3846" width="14.44140625" style="7165" customWidth="1"/>
    <col min="3847" max="3847" width="17.109375" style="7165" customWidth="1"/>
    <col min="3848" max="4096" width="9.109375" style="7165"/>
    <col min="4097" max="4097" width="33.44140625" style="7165" customWidth="1"/>
    <col min="4098" max="4098" width="7.44140625" style="7165" customWidth="1"/>
    <col min="4099" max="4099" width="7" style="7165" customWidth="1"/>
    <col min="4100" max="4100" width="0" style="7165" hidden="1" customWidth="1"/>
    <col min="4101" max="4101" width="10.109375" style="7165" customWidth="1"/>
    <col min="4102" max="4102" width="14.44140625" style="7165" customWidth="1"/>
    <col min="4103" max="4103" width="17.109375" style="7165" customWidth="1"/>
    <col min="4104" max="4352" width="9.109375" style="7165"/>
    <col min="4353" max="4353" width="33.44140625" style="7165" customWidth="1"/>
    <col min="4354" max="4354" width="7.44140625" style="7165" customWidth="1"/>
    <col min="4355" max="4355" width="7" style="7165" customWidth="1"/>
    <col min="4356" max="4356" width="0" style="7165" hidden="1" customWidth="1"/>
    <col min="4357" max="4357" width="10.109375" style="7165" customWidth="1"/>
    <col min="4358" max="4358" width="14.44140625" style="7165" customWidth="1"/>
    <col min="4359" max="4359" width="17.109375" style="7165" customWidth="1"/>
    <col min="4360" max="4608" width="9.109375" style="7165"/>
    <col min="4609" max="4609" width="33.44140625" style="7165" customWidth="1"/>
    <col min="4610" max="4610" width="7.44140625" style="7165" customWidth="1"/>
    <col min="4611" max="4611" width="7" style="7165" customWidth="1"/>
    <col min="4612" max="4612" width="0" style="7165" hidden="1" customWidth="1"/>
    <col min="4613" max="4613" width="10.109375" style="7165" customWidth="1"/>
    <col min="4614" max="4614" width="14.44140625" style="7165" customWidth="1"/>
    <col min="4615" max="4615" width="17.109375" style="7165" customWidth="1"/>
    <col min="4616" max="4864" width="9.109375" style="7165"/>
    <col min="4865" max="4865" width="33.44140625" style="7165" customWidth="1"/>
    <col min="4866" max="4866" width="7.44140625" style="7165" customWidth="1"/>
    <col min="4867" max="4867" width="7" style="7165" customWidth="1"/>
    <col min="4868" max="4868" width="0" style="7165" hidden="1" customWidth="1"/>
    <col min="4869" max="4869" width="10.109375" style="7165" customWidth="1"/>
    <col min="4870" max="4870" width="14.44140625" style="7165" customWidth="1"/>
    <col min="4871" max="4871" width="17.109375" style="7165" customWidth="1"/>
    <col min="4872" max="5120" width="9.109375" style="7165"/>
    <col min="5121" max="5121" width="33.44140625" style="7165" customWidth="1"/>
    <col min="5122" max="5122" width="7.44140625" style="7165" customWidth="1"/>
    <col min="5123" max="5123" width="7" style="7165" customWidth="1"/>
    <col min="5124" max="5124" width="0" style="7165" hidden="1" customWidth="1"/>
    <col min="5125" max="5125" width="10.109375" style="7165" customWidth="1"/>
    <col min="5126" max="5126" width="14.44140625" style="7165" customWidth="1"/>
    <col min="5127" max="5127" width="17.109375" style="7165" customWidth="1"/>
    <col min="5128" max="5376" width="9.109375" style="7165"/>
    <col min="5377" max="5377" width="33.44140625" style="7165" customWidth="1"/>
    <col min="5378" max="5378" width="7.44140625" style="7165" customWidth="1"/>
    <col min="5379" max="5379" width="7" style="7165" customWidth="1"/>
    <col min="5380" max="5380" width="0" style="7165" hidden="1" customWidth="1"/>
    <col min="5381" max="5381" width="10.109375" style="7165" customWidth="1"/>
    <col min="5382" max="5382" width="14.44140625" style="7165" customWidth="1"/>
    <col min="5383" max="5383" width="17.109375" style="7165" customWidth="1"/>
    <col min="5384" max="5632" width="9.109375" style="7165"/>
    <col min="5633" max="5633" width="33.44140625" style="7165" customWidth="1"/>
    <col min="5634" max="5634" width="7.44140625" style="7165" customWidth="1"/>
    <col min="5635" max="5635" width="7" style="7165" customWidth="1"/>
    <col min="5636" max="5636" width="0" style="7165" hidden="1" customWidth="1"/>
    <col min="5637" max="5637" width="10.109375" style="7165" customWidth="1"/>
    <col min="5638" max="5638" width="14.44140625" style="7165" customWidth="1"/>
    <col min="5639" max="5639" width="17.109375" style="7165" customWidth="1"/>
    <col min="5640" max="5888" width="9.109375" style="7165"/>
    <col min="5889" max="5889" width="33.44140625" style="7165" customWidth="1"/>
    <col min="5890" max="5890" width="7.44140625" style="7165" customWidth="1"/>
    <col min="5891" max="5891" width="7" style="7165" customWidth="1"/>
    <col min="5892" max="5892" width="0" style="7165" hidden="1" customWidth="1"/>
    <col min="5893" max="5893" width="10.109375" style="7165" customWidth="1"/>
    <col min="5894" max="5894" width="14.44140625" style="7165" customWidth="1"/>
    <col min="5895" max="5895" width="17.109375" style="7165" customWidth="1"/>
    <col min="5896" max="6144" width="9.109375" style="7165"/>
    <col min="6145" max="6145" width="33.44140625" style="7165" customWidth="1"/>
    <col min="6146" max="6146" width="7.44140625" style="7165" customWidth="1"/>
    <col min="6147" max="6147" width="7" style="7165" customWidth="1"/>
    <col min="6148" max="6148" width="0" style="7165" hidden="1" customWidth="1"/>
    <col min="6149" max="6149" width="10.109375" style="7165" customWidth="1"/>
    <col min="6150" max="6150" width="14.44140625" style="7165" customWidth="1"/>
    <col min="6151" max="6151" width="17.109375" style="7165" customWidth="1"/>
    <col min="6152" max="6400" width="9.109375" style="7165"/>
    <col min="6401" max="6401" width="33.44140625" style="7165" customWidth="1"/>
    <col min="6402" max="6402" width="7.44140625" style="7165" customWidth="1"/>
    <col min="6403" max="6403" width="7" style="7165" customWidth="1"/>
    <col min="6404" max="6404" width="0" style="7165" hidden="1" customWidth="1"/>
    <col min="6405" max="6405" width="10.109375" style="7165" customWidth="1"/>
    <col min="6406" max="6406" width="14.44140625" style="7165" customWidth="1"/>
    <col min="6407" max="6407" width="17.109375" style="7165" customWidth="1"/>
    <col min="6408" max="6656" width="9.109375" style="7165"/>
    <col min="6657" max="6657" width="33.44140625" style="7165" customWidth="1"/>
    <col min="6658" max="6658" width="7.44140625" style="7165" customWidth="1"/>
    <col min="6659" max="6659" width="7" style="7165" customWidth="1"/>
    <col min="6660" max="6660" width="0" style="7165" hidden="1" customWidth="1"/>
    <col min="6661" max="6661" width="10.109375" style="7165" customWidth="1"/>
    <col min="6662" max="6662" width="14.44140625" style="7165" customWidth="1"/>
    <col min="6663" max="6663" width="17.109375" style="7165" customWidth="1"/>
    <col min="6664" max="6912" width="9.109375" style="7165"/>
    <col min="6913" max="6913" width="33.44140625" style="7165" customWidth="1"/>
    <col min="6914" max="6914" width="7.44140625" style="7165" customWidth="1"/>
    <col min="6915" max="6915" width="7" style="7165" customWidth="1"/>
    <col min="6916" max="6916" width="0" style="7165" hidden="1" customWidth="1"/>
    <col min="6917" max="6917" width="10.109375" style="7165" customWidth="1"/>
    <col min="6918" max="6918" width="14.44140625" style="7165" customWidth="1"/>
    <col min="6919" max="6919" width="17.109375" style="7165" customWidth="1"/>
    <col min="6920" max="7168" width="9.109375" style="7165"/>
    <col min="7169" max="7169" width="33.44140625" style="7165" customWidth="1"/>
    <col min="7170" max="7170" width="7.44140625" style="7165" customWidth="1"/>
    <col min="7171" max="7171" width="7" style="7165" customWidth="1"/>
    <col min="7172" max="7172" width="0" style="7165" hidden="1" customWidth="1"/>
    <col min="7173" max="7173" width="10.109375" style="7165" customWidth="1"/>
    <col min="7174" max="7174" width="14.44140625" style="7165" customWidth="1"/>
    <col min="7175" max="7175" width="17.109375" style="7165" customWidth="1"/>
    <col min="7176" max="7424" width="9.109375" style="7165"/>
    <col min="7425" max="7425" width="33.44140625" style="7165" customWidth="1"/>
    <col min="7426" max="7426" width="7.44140625" style="7165" customWidth="1"/>
    <col min="7427" max="7427" width="7" style="7165" customWidth="1"/>
    <col min="7428" max="7428" width="0" style="7165" hidden="1" customWidth="1"/>
    <col min="7429" max="7429" width="10.109375" style="7165" customWidth="1"/>
    <col min="7430" max="7430" width="14.44140625" style="7165" customWidth="1"/>
    <col min="7431" max="7431" width="17.109375" style="7165" customWidth="1"/>
    <col min="7432" max="7680" width="9.109375" style="7165"/>
    <col min="7681" max="7681" width="33.44140625" style="7165" customWidth="1"/>
    <col min="7682" max="7682" width="7.44140625" style="7165" customWidth="1"/>
    <col min="7683" max="7683" width="7" style="7165" customWidth="1"/>
    <col min="7684" max="7684" width="0" style="7165" hidden="1" customWidth="1"/>
    <col min="7685" max="7685" width="10.109375" style="7165" customWidth="1"/>
    <col min="7686" max="7686" width="14.44140625" style="7165" customWidth="1"/>
    <col min="7687" max="7687" width="17.109375" style="7165" customWidth="1"/>
    <col min="7688" max="7936" width="9.109375" style="7165"/>
    <col min="7937" max="7937" width="33.44140625" style="7165" customWidth="1"/>
    <col min="7938" max="7938" width="7.44140625" style="7165" customWidth="1"/>
    <col min="7939" max="7939" width="7" style="7165" customWidth="1"/>
    <col min="7940" max="7940" width="0" style="7165" hidden="1" customWidth="1"/>
    <col min="7941" max="7941" width="10.109375" style="7165" customWidth="1"/>
    <col min="7942" max="7942" width="14.44140625" style="7165" customWidth="1"/>
    <col min="7943" max="7943" width="17.109375" style="7165" customWidth="1"/>
    <col min="7944" max="8192" width="9.109375" style="7165"/>
    <col min="8193" max="8193" width="33.44140625" style="7165" customWidth="1"/>
    <col min="8194" max="8194" width="7.44140625" style="7165" customWidth="1"/>
    <col min="8195" max="8195" width="7" style="7165" customWidth="1"/>
    <col min="8196" max="8196" width="0" style="7165" hidden="1" customWidth="1"/>
    <col min="8197" max="8197" width="10.109375" style="7165" customWidth="1"/>
    <col min="8198" max="8198" width="14.44140625" style="7165" customWidth="1"/>
    <col min="8199" max="8199" width="17.109375" style="7165" customWidth="1"/>
    <col min="8200" max="8448" width="9.109375" style="7165"/>
    <col min="8449" max="8449" width="33.44140625" style="7165" customWidth="1"/>
    <col min="8450" max="8450" width="7.44140625" style="7165" customWidth="1"/>
    <col min="8451" max="8451" width="7" style="7165" customWidth="1"/>
    <col min="8452" max="8452" width="0" style="7165" hidden="1" customWidth="1"/>
    <col min="8453" max="8453" width="10.109375" style="7165" customWidth="1"/>
    <col min="8454" max="8454" width="14.44140625" style="7165" customWidth="1"/>
    <col min="8455" max="8455" width="17.109375" style="7165" customWidth="1"/>
    <col min="8456" max="8704" width="9.109375" style="7165"/>
    <col min="8705" max="8705" width="33.44140625" style="7165" customWidth="1"/>
    <col min="8706" max="8706" width="7.44140625" style="7165" customWidth="1"/>
    <col min="8707" max="8707" width="7" style="7165" customWidth="1"/>
    <col min="8708" max="8708" width="0" style="7165" hidden="1" customWidth="1"/>
    <col min="8709" max="8709" width="10.109375" style="7165" customWidth="1"/>
    <col min="8710" max="8710" width="14.44140625" style="7165" customWidth="1"/>
    <col min="8711" max="8711" width="17.109375" style="7165" customWidth="1"/>
    <col min="8712" max="8960" width="9.109375" style="7165"/>
    <col min="8961" max="8961" width="33.44140625" style="7165" customWidth="1"/>
    <col min="8962" max="8962" width="7.44140625" style="7165" customWidth="1"/>
    <col min="8963" max="8963" width="7" style="7165" customWidth="1"/>
    <col min="8964" max="8964" width="0" style="7165" hidden="1" customWidth="1"/>
    <col min="8965" max="8965" width="10.109375" style="7165" customWidth="1"/>
    <col min="8966" max="8966" width="14.44140625" style="7165" customWidth="1"/>
    <col min="8967" max="8967" width="17.109375" style="7165" customWidth="1"/>
    <col min="8968" max="9216" width="9.109375" style="7165"/>
    <col min="9217" max="9217" width="33.44140625" style="7165" customWidth="1"/>
    <col min="9218" max="9218" width="7.44140625" style="7165" customWidth="1"/>
    <col min="9219" max="9219" width="7" style="7165" customWidth="1"/>
    <col min="9220" max="9220" width="0" style="7165" hidden="1" customWidth="1"/>
    <col min="9221" max="9221" width="10.109375" style="7165" customWidth="1"/>
    <col min="9222" max="9222" width="14.44140625" style="7165" customWidth="1"/>
    <col min="9223" max="9223" width="17.109375" style="7165" customWidth="1"/>
    <col min="9224" max="9472" width="9.109375" style="7165"/>
    <col min="9473" max="9473" width="33.44140625" style="7165" customWidth="1"/>
    <col min="9474" max="9474" width="7.44140625" style="7165" customWidth="1"/>
    <col min="9475" max="9475" width="7" style="7165" customWidth="1"/>
    <col min="9476" max="9476" width="0" style="7165" hidden="1" customWidth="1"/>
    <col min="9477" max="9477" width="10.109375" style="7165" customWidth="1"/>
    <col min="9478" max="9478" width="14.44140625" style="7165" customWidth="1"/>
    <col min="9479" max="9479" width="17.109375" style="7165" customWidth="1"/>
    <col min="9480" max="9728" width="9.109375" style="7165"/>
    <col min="9729" max="9729" width="33.44140625" style="7165" customWidth="1"/>
    <col min="9730" max="9730" width="7.44140625" style="7165" customWidth="1"/>
    <col min="9731" max="9731" width="7" style="7165" customWidth="1"/>
    <col min="9732" max="9732" width="0" style="7165" hidden="1" customWidth="1"/>
    <col min="9733" max="9733" width="10.109375" style="7165" customWidth="1"/>
    <col min="9734" max="9734" width="14.44140625" style="7165" customWidth="1"/>
    <col min="9735" max="9735" width="17.109375" style="7165" customWidth="1"/>
    <col min="9736" max="9984" width="9.109375" style="7165"/>
    <col min="9985" max="9985" width="33.44140625" style="7165" customWidth="1"/>
    <col min="9986" max="9986" width="7.44140625" style="7165" customWidth="1"/>
    <col min="9987" max="9987" width="7" style="7165" customWidth="1"/>
    <col min="9988" max="9988" width="0" style="7165" hidden="1" customWidth="1"/>
    <col min="9989" max="9989" width="10.109375" style="7165" customWidth="1"/>
    <col min="9990" max="9990" width="14.44140625" style="7165" customWidth="1"/>
    <col min="9991" max="9991" width="17.109375" style="7165" customWidth="1"/>
    <col min="9992" max="10240" width="9.109375" style="7165"/>
    <col min="10241" max="10241" width="33.44140625" style="7165" customWidth="1"/>
    <col min="10242" max="10242" width="7.44140625" style="7165" customWidth="1"/>
    <col min="10243" max="10243" width="7" style="7165" customWidth="1"/>
    <col min="10244" max="10244" width="0" style="7165" hidden="1" customWidth="1"/>
    <col min="10245" max="10245" width="10.109375" style="7165" customWidth="1"/>
    <col min="10246" max="10246" width="14.44140625" style="7165" customWidth="1"/>
    <col min="10247" max="10247" width="17.109375" style="7165" customWidth="1"/>
    <col min="10248" max="10496" width="9.109375" style="7165"/>
    <col min="10497" max="10497" width="33.44140625" style="7165" customWidth="1"/>
    <col min="10498" max="10498" width="7.44140625" style="7165" customWidth="1"/>
    <col min="10499" max="10499" width="7" style="7165" customWidth="1"/>
    <col min="10500" max="10500" width="0" style="7165" hidden="1" customWidth="1"/>
    <col min="10501" max="10501" width="10.109375" style="7165" customWidth="1"/>
    <col min="10502" max="10502" width="14.44140625" style="7165" customWidth="1"/>
    <col min="10503" max="10503" width="17.109375" style="7165" customWidth="1"/>
    <col min="10504" max="10752" width="9.109375" style="7165"/>
    <col min="10753" max="10753" width="33.44140625" style="7165" customWidth="1"/>
    <col min="10754" max="10754" width="7.44140625" style="7165" customWidth="1"/>
    <col min="10755" max="10755" width="7" style="7165" customWidth="1"/>
    <col min="10756" max="10756" width="0" style="7165" hidden="1" customWidth="1"/>
    <col min="10757" max="10757" width="10.109375" style="7165" customWidth="1"/>
    <col min="10758" max="10758" width="14.44140625" style="7165" customWidth="1"/>
    <col min="10759" max="10759" width="17.109375" style="7165" customWidth="1"/>
    <col min="10760" max="11008" width="9.109375" style="7165"/>
    <col min="11009" max="11009" width="33.44140625" style="7165" customWidth="1"/>
    <col min="11010" max="11010" width="7.44140625" style="7165" customWidth="1"/>
    <col min="11011" max="11011" width="7" style="7165" customWidth="1"/>
    <col min="11012" max="11012" width="0" style="7165" hidden="1" customWidth="1"/>
    <col min="11013" max="11013" width="10.109375" style="7165" customWidth="1"/>
    <col min="11014" max="11014" width="14.44140625" style="7165" customWidth="1"/>
    <col min="11015" max="11015" width="17.109375" style="7165" customWidth="1"/>
    <col min="11016" max="11264" width="9.109375" style="7165"/>
    <col min="11265" max="11265" width="33.44140625" style="7165" customWidth="1"/>
    <col min="11266" max="11266" width="7.44140625" style="7165" customWidth="1"/>
    <col min="11267" max="11267" width="7" style="7165" customWidth="1"/>
    <col min="11268" max="11268" width="0" style="7165" hidden="1" customWidth="1"/>
    <col min="11269" max="11269" width="10.109375" style="7165" customWidth="1"/>
    <col min="11270" max="11270" width="14.44140625" style="7165" customWidth="1"/>
    <col min="11271" max="11271" width="17.109375" style="7165" customWidth="1"/>
    <col min="11272" max="11520" width="9.109375" style="7165"/>
    <col min="11521" max="11521" width="33.44140625" style="7165" customWidth="1"/>
    <col min="11522" max="11522" width="7.44140625" style="7165" customWidth="1"/>
    <col min="11523" max="11523" width="7" style="7165" customWidth="1"/>
    <col min="11524" max="11524" width="0" style="7165" hidden="1" customWidth="1"/>
    <col min="11525" max="11525" width="10.109375" style="7165" customWidth="1"/>
    <col min="11526" max="11526" width="14.44140625" style="7165" customWidth="1"/>
    <col min="11527" max="11527" width="17.109375" style="7165" customWidth="1"/>
    <col min="11528" max="11776" width="9.109375" style="7165"/>
    <col min="11777" max="11777" width="33.44140625" style="7165" customWidth="1"/>
    <col min="11778" max="11778" width="7.44140625" style="7165" customWidth="1"/>
    <col min="11779" max="11779" width="7" style="7165" customWidth="1"/>
    <col min="11780" max="11780" width="0" style="7165" hidden="1" customWidth="1"/>
    <col min="11781" max="11781" width="10.109375" style="7165" customWidth="1"/>
    <col min="11782" max="11782" width="14.44140625" style="7165" customWidth="1"/>
    <col min="11783" max="11783" width="17.109375" style="7165" customWidth="1"/>
    <col min="11784" max="12032" width="9.109375" style="7165"/>
    <col min="12033" max="12033" width="33.44140625" style="7165" customWidth="1"/>
    <col min="12034" max="12034" width="7.44140625" style="7165" customWidth="1"/>
    <col min="12035" max="12035" width="7" style="7165" customWidth="1"/>
    <col min="12036" max="12036" width="0" style="7165" hidden="1" customWidth="1"/>
    <col min="12037" max="12037" width="10.109375" style="7165" customWidth="1"/>
    <col min="12038" max="12038" width="14.44140625" style="7165" customWidth="1"/>
    <col min="12039" max="12039" width="17.109375" style="7165" customWidth="1"/>
    <col min="12040" max="12288" width="9.109375" style="7165"/>
    <col min="12289" max="12289" width="33.44140625" style="7165" customWidth="1"/>
    <col min="12290" max="12290" width="7.44140625" style="7165" customWidth="1"/>
    <col min="12291" max="12291" width="7" style="7165" customWidth="1"/>
    <col min="12292" max="12292" width="0" style="7165" hidden="1" customWidth="1"/>
    <col min="12293" max="12293" width="10.109375" style="7165" customWidth="1"/>
    <col min="12294" max="12294" width="14.44140625" style="7165" customWidth="1"/>
    <col min="12295" max="12295" width="17.109375" style="7165" customWidth="1"/>
    <col min="12296" max="12544" width="9.109375" style="7165"/>
    <col min="12545" max="12545" width="33.44140625" style="7165" customWidth="1"/>
    <col min="12546" max="12546" width="7.44140625" style="7165" customWidth="1"/>
    <col min="12547" max="12547" width="7" style="7165" customWidth="1"/>
    <col min="12548" max="12548" width="0" style="7165" hidden="1" customWidth="1"/>
    <col min="12549" max="12549" width="10.109375" style="7165" customWidth="1"/>
    <col min="12550" max="12550" width="14.44140625" style="7165" customWidth="1"/>
    <col min="12551" max="12551" width="17.109375" style="7165" customWidth="1"/>
    <col min="12552" max="12800" width="9.109375" style="7165"/>
    <col min="12801" max="12801" width="33.44140625" style="7165" customWidth="1"/>
    <col min="12802" max="12802" width="7.44140625" style="7165" customWidth="1"/>
    <col min="12803" max="12803" width="7" style="7165" customWidth="1"/>
    <col min="12804" max="12804" width="0" style="7165" hidden="1" customWidth="1"/>
    <col min="12805" max="12805" width="10.109375" style="7165" customWidth="1"/>
    <col min="12806" max="12806" width="14.44140625" style="7165" customWidth="1"/>
    <col min="12807" max="12807" width="17.109375" style="7165" customWidth="1"/>
    <col min="12808" max="13056" width="9.109375" style="7165"/>
    <col min="13057" max="13057" width="33.44140625" style="7165" customWidth="1"/>
    <col min="13058" max="13058" width="7.44140625" style="7165" customWidth="1"/>
    <col min="13059" max="13059" width="7" style="7165" customWidth="1"/>
    <col min="13060" max="13060" width="0" style="7165" hidden="1" customWidth="1"/>
    <col min="13061" max="13061" width="10.109375" style="7165" customWidth="1"/>
    <col min="13062" max="13062" width="14.44140625" style="7165" customWidth="1"/>
    <col min="13063" max="13063" width="17.109375" style="7165" customWidth="1"/>
    <col min="13064" max="13312" width="9.109375" style="7165"/>
    <col min="13313" max="13313" width="33.44140625" style="7165" customWidth="1"/>
    <col min="13314" max="13314" width="7.44140625" style="7165" customWidth="1"/>
    <col min="13315" max="13315" width="7" style="7165" customWidth="1"/>
    <col min="13316" max="13316" width="0" style="7165" hidden="1" customWidth="1"/>
    <col min="13317" max="13317" width="10.109375" style="7165" customWidth="1"/>
    <col min="13318" max="13318" width="14.44140625" style="7165" customWidth="1"/>
    <col min="13319" max="13319" width="17.109375" style="7165" customWidth="1"/>
    <col min="13320" max="13568" width="9.109375" style="7165"/>
    <col min="13569" max="13569" width="33.44140625" style="7165" customWidth="1"/>
    <col min="13570" max="13570" width="7.44140625" style="7165" customWidth="1"/>
    <col min="13571" max="13571" width="7" style="7165" customWidth="1"/>
    <col min="13572" max="13572" width="0" style="7165" hidden="1" customWidth="1"/>
    <col min="13573" max="13573" width="10.109375" style="7165" customWidth="1"/>
    <col min="13574" max="13574" width="14.44140625" style="7165" customWidth="1"/>
    <col min="13575" max="13575" width="17.109375" style="7165" customWidth="1"/>
    <col min="13576" max="13824" width="9.109375" style="7165"/>
    <col min="13825" max="13825" width="33.44140625" style="7165" customWidth="1"/>
    <col min="13826" max="13826" width="7.44140625" style="7165" customWidth="1"/>
    <col min="13827" max="13827" width="7" style="7165" customWidth="1"/>
    <col min="13828" max="13828" width="0" style="7165" hidden="1" customWidth="1"/>
    <col min="13829" max="13829" width="10.109375" style="7165" customWidth="1"/>
    <col min="13830" max="13830" width="14.44140625" style="7165" customWidth="1"/>
    <col min="13831" max="13831" width="17.109375" style="7165" customWidth="1"/>
    <col min="13832" max="14080" width="9.109375" style="7165"/>
    <col min="14081" max="14081" width="33.44140625" style="7165" customWidth="1"/>
    <col min="14082" max="14082" width="7.44140625" style="7165" customWidth="1"/>
    <col min="14083" max="14083" width="7" style="7165" customWidth="1"/>
    <col min="14084" max="14084" width="0" style="7165" hidden="1" customWidth="1"/>
    <col min="14085" max="14085" width="10.109375" style="7165" customWidth="1"/>
    <col min="14086" max="14086" width="14.44140625" style="7165" customWidth="1"/>
    <col min="14087" max="14087" width="17.109375" style="7165" customWidth="1"/>
    <col min="14088" max="14336" width="9.109375" style="7165"/>
    <col min="14337" max="14337" width="33.44140625" style="7165" customWidth="1"/>
    <col min="14338" max="14338" width="7.44140625" style="7165" customWidth="1"/>
    <col min="14339" max="14339" width="7" style="7165" customWidth="1"/>
    <col min="14340" max="14340" width="0" style="7165" hidden="1" customWidth="1"/>
    <col min="14341" max="14341" width="10.109375" style="7165" customWidth="1"/>
    <col min="14342" max="14342" width="14.44140625" style="7165" customWidth="1"/>
    <col min="14343" max="14343" width="17.109375" style="7165" customWidth="1"/>
    <col min="14344" max="14592" width="9.109375" style="7165"/>
    <col min="14593" max="14593" width="33.44140625" style="7165" customWidth="1"/>
    <col min="14594" max="14594" width="7.44140625" style="7165" customWidth="1"/>
    <col min="14595" max="14595" width="7" style="7165" customWidth="1"/>
    <col min="14596" max="14596" width="0" style="7165" hidden="1" customWidth="1"/>
    <col min="14597" max="14597" width="10.109375" style="7165" customWidth="1"/>
    <col min="14598" max="14598" width="14.44140625" style="7165" customWidth="1"/>
    <col min="14599" max="14599" width="17.109375" style="7165" customWidth="1"/>
    <col min="14600" max="14848" width="9.109375" style="7165"/>
    <col min="14849" max="14849" width="33.44140625" style="7165" customWidth="1"/>
    <col min="14850" max="14850" width="7.44140625" style="7165" customWidth="1"/>
    <col min="14851" max="14851" width="7" style="7165" customWidth="1"/>
    <col min="14852" max="14852" width="0" style="7165" hidden="1" customWidth="1"/>
    <col min="14853" max="14853" width="10.109375" style="7165" customWidth="1"/>
    <col min="14854" max="14854" width="14.44140625" style="7165" customWidth="1"/>
    <col min="14855" max="14855" width="17.109375" style="7165" customWidth="1"/>
    <col min="14856" max="15104" width="9.109375" style="7165"/>
    <col min="15105" max="15105" width="33.44140625" style="7165" customWidth="1"/>
    <col min="15106" max="15106" width="7.44140625" style="7165" customWidth="1"/>
    <col min="15107" max="15107" width="7" style="7165" customWidth="1"/>
    <col min="15108" max="15108" width="0" style="7165" hidden="1" customWidth="1"/>
    <col min="15109" max="15109" width="10.109375" style="7165" customWidth="1"/>
    <col min="15110" max="15110" width="14.44140625" style="7165" customWidth="1"/>
    <col min="15111" max="15111" width="17.109375" style="7165" customWidth="1"/>
    <col min="15112" max="15360" width="9.109375" style="7165"/>
    <col min="15361" max="15361" width="33.44140625" style="7165" customWidth="1"/>
    <col min="15362" max="15362" width="7.44140625" style="7165" customWidth="1"/>
    <col min="15363" max="15363" width="7" style="7165" customWidth="1"/>
    <col min="15364" max="15364" width="0" style="7165" hidden="1" customWidth="1"/>
    <col min="15365" max="15365" width="10.109375" style="7165" customWidth="1"/>
    <col min="15366" max="15366" width="14.44140625" style="7165" customWidth="1"/>
    <col min="15367" max="15367" width="17.109375" style="7165" customWidth="1"/>
    <col min="15368" max="15616" width="9.109375" style="7165"/>
    <col min="15617" max="15617" width="33.44140625" style="7165" customWidth="1"/>
    <col min="15618" max="15618" width="7.44140625" style="7165" customWidth="1"/>
    <col min="15619" max="15619" width="7" style="7165" customWidth="1"/>
    <col min="15620" max="15620" width="0" style="7165" hidden="1" customWidth="1"/>
    <col min="15621" max="15621" width="10.109375" style="7165" customWidth="1"/>
    <col min="15622" max="15622" width="14.44140625" style="7165" customWidth="1"/>
    <col min="15623" max="15623" width="17.109375" style="7165" customWidth="1"/>
    <col min="15624" max="15872" width="9.109375" style="7165"/>
    <col min="15873" max="15873" width="33.44140625" style="7165" customWidth="1"/>
    <col min="15874" max="15874" width="7.44140625" style="7165" customWidth="1"/>
    <col min="15875" max="15875" width="7" style="7165" customWidth="1"/>
    <col min="15876" max="15876" width="0" style="7165" hidden="1" customWidth="1"/>
    <col min="15877" max="15877" width="10.109375" style="7165" customWidth="1"/>
    <col min="15878" max="15878" width="14.44140625" style="7165" customWidth="1"/>
    <col min="15879" max="15879" width="17.109375" style="7165" customWidth="1"/>
    <col min="15880" max="16128" width="9.109375" style="7165"/>
    <col min="16129" max="16129" width="33.44140625" style="7165" customWidth="1"/>
    <col min="16130" max="16130" width="7.44140625" style="7165" customWidth="1"/>
    <col min="16131" max="16131" width="7" style="7165" customWidth="1"/>
    <col min="16132" max="16132" width="0" style="7165" hidden="1" customWidth="1"/>
    <col min="16133" max="16133" width="10.109375" style="7165" customWidth="1"/>
    <col min="16134" max="16134" width="14.44140625" style="7165" customWidth="1"/>
    <col min="16135" max="16135" width="17.109375" style="7165" customWidth="1"/>
    <col min="16136" max="16384" width="9.109375" style="7165"/>
  </cols>
  <sheetData>
    <row r="1" spans="1:8" ht="12.9" customHeight="1">
      <c r="A1" s="14215" t="s">
        <v>1087</v>
      </c>
      <c r="B1" s="14215"/>
      <c r="C1" s="14215"/>
      <c r="D1" s="14215"/>
      <c r="E1" s="14215"/>
      <c r="F1" s="14215"/>
      <c r="G1" s="14215"/>
    </row>
    <row r="3" spans="1:8" ht="12.9" customHeight="1">
      <c r="A3" s="14210" t="s">
        <v>9141</v>
      </c>
      <c r="B3" s="14210"/>
      <c r="C3" s="14210"/>
      <c r="D3" s="14210"/>
      <c r="E3" s="14210"/>
      <c r="F3" s="14210"/>
      <c r="G3" s="14210"/>
    </row>
    <row r="4" spans="1:8" ht="12.9" customHeight="1" thickBot="1"/>
    <row r="5" spans="1:8" ht="12.9" customHeight="1">
      <c r="A5" s="9697" t="s">
        <v>842</v>
      </c>
      <c r="B5" s="10711" t="s">
        <v>1035</v>
      </c>
      <c r="C5" s="10711" t="s">
        <v>1036</v>
      </c>
      <c r="D5" s="14213" t="s">
        <v>1037</v>
      </c>
      <c r="E5" s="14213"/>
      <c r="F5" s="14213"/>
      <c r="G5" s="14214"/>
      <c r="H5" s="7163"/>
    </row>
    <row r="6" spans="1:8" ht="12.9" customHeight="1" thickBot="1">
      <c r="A6" s="9738" t="s">
        <v>1088</v>
      </c>
      <c r="B6" s="10760" t="s">
        <v>9</v>
      </c>
      <c r="C6" s="10760" t="s">
        <v>1039</v>
      </c>
      <c r="D6" s="10760" t="s">
        <v>1040</v>
      </c>
      <c r="E6" s="10777" t="s">
        <v>10</v>
      </c>
      <c r="F6" s="10777" t="s">
        <v>11</v>
      </c>
      <c r="G6" s="10405" t="s">
        <v>11621</v>
      </c>
      <c r="H6" s="7163"/>
    </row>
    <row r="7" spans="1:8" ht="12.9" customHeight="1">
      <c r="A7" s="10734" t="s">
        <v>9</v>
      </c>
      <c r="B7" s="10716" t="s">
        <v>9</v>
      </c>
      <c r="C7" s="10716" t="s">
        <v>9</v>
      </c>
      <c r="D7" s="9701" t="s">
        <v>476</v>
      </c>
      <c r="E7" s="10716" t="s">
        <v>9</v>
      </c>
      <c r="F7" s="10716" t="s">
        <v>9</v>
      </c>
      <c r="G7" s="10717" t="s">
        <v>9</v>
      </c>
    </row>
    <row r="8" spans="1:8" ht="12.9" customHeight="1">
      <c r="A8" s="7209" t="s">
        <v>806</v>
      </c>
      <c r="B8" s="10765"/>
      <c r="C8" s="10753"/>
      <c r="D8" s="10753"/>
      <c r="E8" s="10753"/>
      <c r="F8" s="10753"/>
      <c r="G8" s="7214"/>
    </row>
    <row r="9" spans="1:8" ht="12.9" customHeight="1">
      <c r="A9" s="7209" t="s">
        <v>1107</v>
      </c>
      <c r="B9" s="10765"/>
      <c r="C9" s="10753"/>
      <c r="D9" s="10753"/>
      <c r="E9" s="10753"/>
      <c r="F9" s="10753"/>
      <c r="G9" s="7214"/>
    </row>
    <row r="10" spans="1:8" ht="12.9" customHeight="1">
      <c r="A10" s="7207" t="s">
        <v>1108</v>
      </c>
      <c r="B10" s="10765"/>
      <c r="C10" s="10753"/>
      <c r="D10" s="10753"/>
      <c r="E10" s="10753"/>
      <c r="F10" s="10753"/>
      <c r="G10" s="7214"/>
    </row>
    <row r="11" spans="1:8" ht="12.9" customHeight="1">
      <c r="A11" s="7207"/>
      <c r="B11" s="10765"/>
      <c r="C11" s="10753"/>
      <c r="D11" s="10753"/>
      <c r="E11" s="10753"/>
      <c r="F11" s="10753"/>
      <c r="G11" s="7214"/>
    </row>
    <row r="12" spans="1:8" ht="12.9" customHeight="1">
      <c r="A12" s="7207"/>
      <c r="B12" s="10765"/>
      <c r="C12" s="10765"/>
      <c r="D12" s="10765"/>
      <c r="E12" s="10765"/>
      <c r="F12" s="10765"/>
      <c r="G12" s="7215"/>
    </row>
    <row r="13" spans="1:8" ht="12.9" customHeight="1">
      <c r="A13" s="7209" t="s">
        <v>1091</v>
      </c>
      <c r="B13" s="10765"/>
      <c r="C13" s="10765"/>
      <c r="D13" s="10765"/>
      <c r="E13" s="10765"/>
      <c r="F13" s="10765"/>
      <c r="G13" s="7215"/>
    </row>
    <row r="14" spans="1:8" ht="12.9" customHeight="1">
      <c r="A14" s="7209" t="s">
        <v>1109</v>
      </c>
      <c r="B14" s="10765"/>
      <c r="C14" s="10765"/>
      <c r="D14" s="10765"/>
      <c r="E14" s="10765"/>
      <c r="F14" s="10765"/>
      <c r="G14" s="7215"/>
    </row>
    <row r="15" spans="1:8" ht="12.9" customHeight="1">
      <c r="A15" s="7207"/>
      <c r="B15" s="10753"/>
      <c r="C15" s="10753"/>
      <c r="D15" s="10753"/>
      <c r="E15" s="10768"/>
      <c r="F15" s="10768"/>
      <c r="G15" s="7204"/>
    </row>
    <row r="16" spans="1:8" ht="12.9" customHeight="1">
      <c r="A16" s="7207"/>
      <c r="B16" s="10753"/>
      <c r="C16" s="10753"/>
      <c r="D16" s="10753"/>
      <c r="E16" s="10753"/>
      <c r="F16" s="10753"/>
      <c r="G16" s="7214"/>
    </row>
    <row r="17" spans="1:10" ht="12.9" customHeight="1">
      <c r="A17" s="7209" t="s">
        <v>1111</v>
      </c>
      <c r="B17" s="10753"/>
      <c r="C17" s="10753"/>
      <c r="D17" s="10753"/>
      <c r="E17" s="10753"/>
      <c r="F17" s="10753"/>
      <c r="G17" s="7214"/>
    </row>
    <row r="18" spans="1:10" ht="12.9" customHeight="1">
      <c r="A18" s="7207" t="s">
        <v>2169</v>
      </c>
      <c r="B18" s="10753"/>
      <c r="C18" s="10753"/>
      <c r="D18" s="10753"/>
      <c r="E18" s="10753"/>
      <c r="F18" s="10753"/>
      <c r="G18" s="7214"/>
    </row>
    <row r="19" spans="1:10" ht="12.9" customHeight="1">
      <c r="A19" s="7207" t="s">
        <v>1120</v>
      </c>
      <c r="B19" s="10753">
        <v>1</v>
      </c>
      <c r="C19" s="10753">
        <v>20</v>
      </c>
      <c r="D19" s="10753"/>
      <c r="E19" s="10768">
        <v>519000</v>
      </c>
      <c r="F19" s="10768">
        <v>564444</v>
      </c>
      <c r="G19" s="7204">
        <v>613860</v>
      </c>
      <c r="I19" s="7165">
        <f>B19</f>
        <v>1</v>
      </c>
      <c r="J19" s="7198">
        <f>G19</f>
        <v>613860</v>
      </c>
    </row>
    <row r="20" spans="1:10" ht="12.9" customHeight="1">
      <c r="A20" s="7207"/>
      <c r="B20" s="10753"/>
      <c r="C20" s="10753"/>
      <c r="D20" s="10753"/>
      <c r="E20" s="10753"/>
      <c r="F20" s="10753"/>
      <c r="G20" s="7214"/>
    </row>
    <row r="21" spans="1:10" ht="12.9" customHeight="1">
      <c r="A21" s="7207"/>
      <c r="B21" s="10753"/>
      <c r="C21" s="10753"/>
      <c r="D21" s="10753"/>
      <c r="E21" s="10753"/>
      <c r="F21" s="10753"/>
      <c r="G21" s="7214"/>
    </row>
    <row r="22" spans="1:10" ht="12.9" customHeight="1">
      <c r="A22" s="7209" t="s">
        <v>1054</v>
      </c>
      <c r="B22" s="10765"/>
      <c r="C22" s="10765"/>
      <c r="D22" s="10765"/>
      <c r="E22" s="10765"/>
      <c r="F22" s="10765"/>
      <c r="G22" s="7215"/>
    </row>
    <row r="23" spans="1:10" ht="12.9" customHeight="1">
      <c r="A23" s="7207"/>
      <c r="B23" s="10753"/>
      <c r="C23" s="10753"/>
      <c r="D23" s="10753"/>
      <c r="E23" s="10768"/>
      <c r="F23" s="10768"/>
      <c r="G23" s="7204"/>
    </row>
    <row r="24" spans="1:10" ht="12.9" hidden="1" customHeight="1">
      <c r="A24" s="7207" t="s">
        <v>1295</v>
      </c>
      <c r="B24" s="10753">
        <v>0</v>
      </c>
      <c r="C24" s="10753">
        <v>18</v>
      </c>
      <c r="D24" s="10754"/>
      <c r="E24" s="10754">
        <v>0</v>
      </c>
      <c r="F24" s="10754">
        <v>0</v>
      </c>
      <c r="G24" s="7216">
        <v>0</v>
      </c>
    </row>
    <row r="25" spans="1:10" ht="12.9" customHeight="1">
      <c r="A25" s="7207" t="s">
        <v>11651</v>
      </c>
      <c r="B25" s="10753">
        <v>1</v>
      </c>
      <c r="C25" s="10753">
        <v>15</v>
      </c>
      <c r="D25" s="10754"/>
      <c r="E25" s="10754">
        <v>346524</v>
      </c>
      <c r="F25" s="10754">
        <v>369588</v>
      </c>
      <c r="G25" s="7216">
        <v>389628</v>
      </c>
    </row>
    <row r="26" spans="1:10" ht="12.9" customHeight="1">
      <c r="A26" s="7207"/>
      <c r="B26" s="10753"/>
      <c r="C26" s="10753"/>
      <c r="D26" s="10754"/>
      <c r="E26" s="10754" t="s">
        <v>9</v>
      </c>
      <c r="F26" s="10754" t="s">
        <v>9</v>
      </c>
      <c r="G26" s="7216" t="s">
        <v>9</v>
      </c>
      <c r="I26" s="7165">
        <f>SUM(B24:B26)</f>
        <v>1</v>
      </c>
      <c r="J26" s="7198">
        <f>SUM(G24:G26)</f>
        <v>389628</v>
      </c>
    </row>
    <row r="27" spans="1:10" ht="12.9" customHeight="1">
      <c r="A27" s="7209" t="s">
        <v>1098</v>
      </c>
      <c r="B27" s="9613">
        <f>SUM(B15:B26)</f>
        <v>2</v>
      </c>
      <c r="C27" s="9613"/>
      <c r="D27" s="9619"/>
      <c r="E27" s="9627">
        <f>SUM(E15:E26)</f>
        <v>865524</v>
      </c>
      <c r="F27" s="9627">
        <f t="shared" ref="F27:G27" si="0">SUM(F15:F26)</f>
        <v>934032</v>
      </c>
      <c r="G27" s="7203">
        <f t="shared" si="0"/>
        <v>1003488</v>
      </c>
    </row>
    <row r="28" spans="1:10" ht="12.9" customHeight="1">
      <c r="A28" s="7209" t="s">
        <v>9</v>
      </c>
      <c r="B28" s="10760" t="s">
        <v>9</v>
      </c>
      <c r="C28" s="10760"/>
      <c r="D28" s="10772"/>
      <c r="E28" s="10772" t="s">
        <v>9</v>
      </c>
      <c r="F28" s="10772" t="s">
        <v>9</v>
      </c>
      <c r="G28" s="9740" t="s">
        <v>9</v>
      </c>
    </row>
    <row r="29" spans="1:10" ht="12.9" customHeight="1">
      <c r="A29" s="7207"/>
      <c r="B29" s="10753"/>
      <c r="C29" s="10753"/>
      <c r="D29" s="10754"/>
      <c r="E29" s="10754"/>
      <c r="F29" s="10754"/>
      <c r="G29" s="7216"/>
    </row>
    <row r="30" spans="1:10" ht="12.9" customHeight="1">
      <c r="A30" s="7207" t="s">
        <v>1113</v>
      </c>
      <c r="B30" s="10753"/>
      <c r="C30" s="10753"/>
      <c r="D30" s="10754"/>
      <c r="E30" s="10754"/>
      <c r="F30" s="10754"/>
      <c r="G30" s="7216"/>
    </row>
    <row r="31" spans="1:10" ht="12.9" customHeight="1">
      <c r="A31" s="7207"/>
      <c r="B31" s="10753"/>
      <c r="C31" s="10753"/>
      <c r="D31" s="10754"/>
      <c r="E31" s="10754"/>
      <c r="F31" s="10754"/>
      <c r="G31" s="7216"/>
    </row>
    <row r="32" spans="1:10" ht="12.9" customHeight="1">
      <c r="A32" s="7207" t="s">
        <v>1295</v>
      </c>
      <c r="B32" s="10753">
        <v>0</v>
      </c>
      <c r="C32" s="10753">
        <v>18</v>
      </c>
      <c r="D32" s="10754"/>
      <c r="E32" s="10754">
        <v>428316</v>
      </c>
      <c r="F32" s="10754">
        <v>0</v>
      </c>
      <c r="G32" s="7216">
        <v>0</v>
      </c>
    </row>
    <row r="33" spans="1:7" ht="12.9" customHeight="1">
      <c r="A33" s="7207" t="s">
        <v>12017</v>
      </c>
      <c r="B33" s="10753">
        <v>4</v>
      </c>
      <c r="C33" s="10753">
        <v>1</v>
      </c>
      <c r="D33" s="10754"/>
      <c r="E33" s="10754"/>
      <c r="F33" s="10754"/>
      <c r="G33" s="7216">
        <f>132816*B33</f>
        <v>531264</v>
      </c>
    </row>
    <row r="34" spans="1:7" ht="12.9" customHeight="1">
      <c r="A34" s="7207"/>
      <c r="B34" s="10753"/>
      <c r="C34" s="10753"/>
      <c r="D34" s="10754"/>
      <c r="E34" s="10773"/>
      <c r="F34" s="10773"/>
      <c r="G34" s="7216"/>
    </row>
    <row r="35" spans="1:7" ht="12.9" customHeight="1">
      <c r="A35" s="7209" t="s">
        <v>4774</v>
      </c>
      <c r="B35" s="9613">
        <f>SUM(B31:B34)</f>
        <v>4</v>
      </c>
      <c r="C35" s="9613"/>
      <c r="D35" s="9619"/>
      <c r="E35" s="9619">
        <f>SUM(E31:E34)</f>
        <v>428316</v>
      </c>
      <c r="F35" s="9619">
        <f>SUM(F31:F34)</f>
        <v>0</v>
      </c>
      <c r="G35" s="7221">
        <f>SUM(G31:G34)</f>
        <v>531264</v>
      </c>
    </row>
    <row r="36" spans="1:7" ht="12.9" customHeight="1" thickBot="1">
      <c r="A36" s="7207"/>
      <c r="B36" s="10753"/>
      <c r="C36" s="10753"/>
      <c r="D36" s="10754"/>
      <c r="E36" s="10754"/>
      <c r="F36" s="9618"/>
      <c r="G36" s="9754"/>
    </row>
    <row r="37" spans="1:7" ht="12.9" customHeight="1" thickBot="1">
      <c r="A37" s="10422" t="s">
        <v>1114</v>
      </c>
      <c r="B37" s="10774">
        <f>B35+B27</f>
        <v>6</v>
      </c>
      <c r="C37" s="10414"/>
      <c r="D37" s="10737">
        <f>SUM(D18:D36)</f>
        <v>0</v>
      </c>
      <c r="E37" s="10419">
        <f>E35+E27</f>
        <v>1293840</v>
      </c>
      <c r="F37" s="10419">
        <f>F35+F27</f>
        <v>934032</v>
      </c>
      <c r="G37" s="10420">
        <f>G35+G27</f>
        <v>1534752</v>
      </c>
    </row>
    <row r="38" spans="1:7" ht="12.9" customHeight="1">
      <c r="A38" s="7209"/>
      <c r="B38" s="10760"/>
      <c r="C38" s="10765"/>
      <c r="D38" s="10775"/>
      <c r="E38" s="10776"/>
      <c r="F38" s="10776"/>
      <c r="G38" s="9718"/>
    </row>
    <row r="39" spans="1:7" ht="12.9" customHeight="1">
      <c r="A39" s="7209"/>
      <c r="B39" s="10760"/>
      <c r="C39" s="10765"/>
      <c r="D39" s="10775"/>
      <c r="E39" s="10776"/>
      <c r="F39" s="10776"/>
      <c r="G39" s="9718"/>
    </row>
    <row r="40" spans="1:7" ht="12.9" customHeight="1">
      <c r="A40" s="7207"/>
      <c r="B40" s="10753"/>
      <c r="C40" s="10765"/>
      <c r="D40" s="10775"/>
      <c r="E40" s="10775"/>
      <c r="F40" s="10775"/>
      <c r="G40" s="9776"/>
    </row>
    <row r="41" spans="1:7" ht="12.9" customHeight="1">
      <c r="A41" s="7209" t="s">
        <v>1075</v>
      </c>
      <c r="B41" s="10753"/>
      <c r="C41" s="10765"/>
      <c r="D41" s="10775"/>
      <c r="E41" s="10775"/>
      <c r="F41" s="10775"/>
      <c r="G41" s="9776"/>
    </row>
    <row r="42" spans="1:7" ht="12.9" customHeight="1">
      <c r="A42" s="7209" t="s">
        <v>1115</v>
      </c>
      <c r="B42" s="10753"/>
      <c r="C42" s="10765"/>
      <c r="D42" s="10775"/>
      <c r="E42" s="10775"/>
      <c r="F42" s="10775"/>
      <c r="G42" s="9776"/>
    </row>
    <row r="43" spans="1:7" ht="12.9" customHeight="1">
      <c r="A43" s="7207" t="s">
        <v>1116</v>
      </c>
      <c r="B43" s="10753">
        <v>4</v>
      </c>
      <c r="C43" s="10765"/>
      <c r="D43" s="10775"/>
      <c r="E43" s="10775"/>
      <c r="F43" s="10775"/>
      <c r="G43" s="9776"/>
    </row>
    <row r="44" spans="1:7" ht="12.9" customHeight="1">
      <c r="A44" s="7207" t="s">
        <v>1117</v>
      </c>
      <c r="B44" s="10753"/>
      <c r="C44" s="10765"/>
      <c r="D44" s="10775"/>
      <c r="E44" s="10775"/>
      <c r="F44" s="10775"/>
      <c r="G44" s="9776"/>
    </row>
    <row r="45" spans="1:7" ht="12.9" customHeight="1">
      <c r="A45" s="7207" t="s">
        <v>1118</v>
      </c>
      <c r="B45" s="10753"/>
      <c r="C45" s="10765"/>
      <c r="D45" s="10775"/>
      <c r="E45" s="10775"/>
      <c r="F45" s="10775"/>
      <c r="G45" s="9776"/>
    </row>
    <row r="46" spans="1:7" ht="12.9" customHeight="1">
      <c r="A46" s="7207" t="s">
        <v>11285</v>
      </c>
      <c r="B46" s="10753"/>
      <c r="C46" s="10765"/>
      <c r="D46" s="10775"/>
      <c r="E46" s="10775"/>
      <c r="F46" s="10775"/>
      <c r="G46" s="9776"/>
    </row>
    <row r="47" spans="1:7" ht="12.9" customHeight="1">
      <c r="A47" s="7207" t="s">
        <v>1080</v>
      </c>
      <c r="B47" s="10753"/>
      <c r="C47" s="10765"/>
      <c r="D47" s="10775"/>
      <c r="E47" s="10775"/>
      <c r="F47" s="10775"/>
      <c r="G47" s="9776"/>
    </row>
    <row r="48" spans="1:7" ht="12.9" customHeight="1">
      <c r="A48" s="7207" t="s">
        <v>1119</v>
      </c>
      <c r="B48" s="10753"/>
      <c r="C48" s="10765"/>
      <c r="D48" s="10775"/>
      <c r="E48" s="10775"/>
      <c r="F48" s="10775"/>
      <c r="G48" s="9776"/>
    </row>
    <row r="49" spans="1:7" ht="12.9" customHeight="1">
      <c r="A49" s="7207" t="s">
        <v>1082</v>
      </c>
      <c r="B49" s="10753"/>
      <c r="C49" s="10765"/>
      <c r="D49" s="10775"/>
      <c r="E49" s="10775"/>
      <c r="F49" s="10775"/>
      <c r="G49" s="9776"/>
    </row>
    <row r="50" spans="1:7" ht="12.9" customHeight="1">
      <c r="A50" s="7207"/>
      <c r="B50" s="10753"/>
      <c r="C50" s="10765"/>
      <c r="D50" s="10775"/>
      <c r="E50" s="10775"/>
      <c r="F50" s="10775"/>
      <c r="G50" s="9776"/>
    </row>
    <row r="51" spans="1:7" ht="12.9" customHeight="1">
      <c r="A51" s="7207"/>
      <c r="B51" s="10753"/>
      <c r="C51" s="10765"/>
      <c r="D51" s="10775"/>
      <c r="E51" s="10775"/>
      <c r="F51" s="10775"/>
      <c r="G51" s="9776"/>
    </row>
    <row r="52" spans="1:7" ht="12.9" customHeight="1">
      <c r="A52" s="7209" t="s">
        <v>1083</v>
      </c>
      <c r="B52" s="9630"/>
      <c r="C52" s="9631"/>
      <c r="D52" s="9622"/>
      <c r="E52" s="9622"/>
      <c r="F52" s="9622"/>
      <c r="G52" s="10747"/>
    </row>
    <row r="53" spans="1:7" ht="12.9" customHeight="1">
      <c r="A53" s="7209"/>
      <c r="B53" s="10753"/>
      <c r="C53" s="10765"/>
      <c r="D53" s="10775"/>
      <c r="E53" s="10775"/>
      <c r="F53" s="10775"/>
      <c r="G53" s="9776"/>
    </row>
    <row r="54" spans="1:7" ht="12.9" customHeight="1">
      <c r="A54" s="7207" t="s">
        <v>1106</v>
      </c>
      <c r="B54" s="10753"/>
      <c r="C54" s="10765"/>
      <c r="D54" s="10775"/>
      <c r="E54" s="10775"/>
      <c r="F54" s="10775"/>
      <c r="G54" s="9776"/>
    </row>
    <row r="55" spans="1:7" ht="12.9" customHeight="1" thickBot="1">
      <c r="A55" s="9709"/>
      <c r="B55" s="9633"/>
      <c r="C55" s="9634"/>
      <c r="D55" s="9623"/>
      <c r="E55" s="9623"/>
      <c r="F55" s="9623"/>
      <c r="G55" s="9774"/>
    </row>
    <row r="56" spans="1:7" ht="12.9" customHeight="1">
      <c r="A56" s="7207"/>
      <c r="B56" s="10753"/>
      <c r="C56" s="10765"/>
      <c r="D56" s="10775"/>
      <c r="E56" s="10775"/>
      <c r="F56" s="10775"/>
      <c r="G56" s="9776"/>
    </row>
    <row r="57" spans="1:7" ht="12.9" customHeight="1">
      <c r="A57" s="7209" t="s">
        <v>1086</v>
      </c>
      <c r="B57" s="10753"/>
      <c r="C57" s="10765"/>
      <c r="D57" s="10775"/>
      <c r="E57" s="10775"/>
      <c r="F57" s="10775"/>
      <c r="G57" s="9776"/>
    </row>
    <row r="58" spans="1:7" ht="12.9" customHeight="1" thickBot="1">
      <c r="A58" s="9709"/>
      <c r="B58" s="9634"/>
      <c r="C58" s="9634"/>
      <c r="D58" s="9634"/>
      <c r="E58" s="9634"/>
      <c r="F58" s="9634"/>
      <c r="G58" s="9753"/>
    </row>
    <row r="63" spans="1:7" ht="12.9" customHeight="1">
      <c r="A63" s="7163"/>
      <c r="E63" s="7163"/>
    </row>
  </sheetData>
  <mergeCells count="3">
    <mergeCell ref="A3:G3"/>
    <mergeCell ref="D5:G5"/>
    <mergeCell ref="A1:G1"/>
  </mergeCells>
  <printOptions horizontalCentered="1"/>
  <pageMargins left="0.25" right="0.25" top="0.5" bottom="0.5" header="0.3" footer="0.3"/>
  <pageSetup paperSize="119" firstPageNumber="76" orientation="portrait" useFirstPageNumber="1" r:id="rId1"/>
</worksheet>
</file>

<file path=xl/worksheets/sheet5.xml><?xml version="1.0" encoding="utf-8"?>
<worksheet xmlns="http://schemas.openxmlformats.org/spreadsheetml/2006/main" xmlns:r="http://schemas.openxmlformats.org/officeDocument/2006/relationships">
  <sheetPr codeName="Sheet3">
    <tabColor rgb="FF7030A0"/>
  </sheetPr>
  <dimension ref="A2:H147"/>
  <sheetViews>
    <sheetView showGridLines="0" workbookViewId="0">
      <selection activeCell="G3" sqref="G3"/>
    </sheetView>
  </sheetViews>
  <sheetFormatPr defaultRowHeight="14.4"/>
  <cols>
    <col min="1" max="1" width="3.88671875" style="2667" customWidth="1"/>
    <col min="2" max="2" width="13.44140625" style="2667" customWidth="1"/>
    <col min="3" max="3" width="14.109375" style="2667" customWidth="1"/>
    <col min="4" max="5" width="9.109375" style="2667"/>
    <col min="6" max="6" width="17.109375" style="2667" customWidth="1"/>
    <col min="7" max="7" width="10.88671875" style="2667" customWidth="1"/>
    <col min="8" max="8" width="20.44140625" style="2667" customWidth="1"/>
    <col min="9" max="256" width="9.109375" style="2667"/>
    <col min="257" max="257" width="3.88671875" style="2667" customWidth="1"/>
    <col min="258" max="258" width="13.44140625" style="2667" customWidth="1"/>
    <col min="259" max="259" width="14.109375" style="2667" customWidth="1"/>
    <col min="260" max="261" width="9.109375" style="2667"/>
    <col min="262" max="262" width="17.109375" style="2667" customWidth="1"/>
    <col min="263" max="263" width="10.88671875" style="2667" customWidth="1"/>
    <col min="264" max="264" width="20.44140625" style="2667" customWidth="1"/>
    <col min="265" max="512" width="9.109375" style="2667"/>
    <col min="513" max="513" width="3.88671875" style="2667" customWidth="1"/>
    <col min="514" max="514" width="13.44140625" style="2667" customWidth="1"/>
    <col min="515" max="515" width="14.109375" style="2667" customWidth="1"/>
    <col min="516" max="517" width="9.109375" style="2667"/>
    <col min="518" max="518" width="17.109375" style="2667" customWidth="1"/>
    <col min="519" max="519" width="10.88671875" style="2667" customWidth="1"/>
    <col min="520" max="520" width="20.44140625" style="2667" customWidth="1"/>
    <col min="521" max="768" width="9.109375" style="2667"/>
    <col min="769" max="769" width="3.88671875" style="2667" customWidth="1"/>
    <col min="770" max="770" width="13.44140625" style="2667" customWidth="1"/>
    <col min="771" max="771" width="14.109375" style="2667" customWidth="1"/>
    <col min="772" max="773" width="9.109375" style="2667"/>
    <col min="774" max="774" width="17.109375" style="2667" customWidth="1"/>
    <col min="775" max="775" width="10.88671875" style="2667" customWidth="1"/>
    <col min="776" max="776" width="20.44140625" style="2667" customWidth="1"/>
    <col min="777" max="1024" width="9.109375" style="2667"/>
    <col min="1025" max="1025" width="3.88671875" style="2667" customWidth="1"/>
    <col min="1026" max="1026" width="13.44140625" style="2667" customWidth="1"/>
    <col min="1027" max="1027" width="14.109375" style="2667" customWidth="1"/>
    <col min="1028" max="1029" width="9.109375" style="2667"/>
    <col min="1030" max="1030" width="17.109375" style="2667" customWidth="1"/>
    <col min="1031" max="1031" width="10.88671875" style="2667" customWidth="1"/>
    <col min="1032" max="1032" width="20.44140625" style="2667" customWidth="1"/>
    <col min="1033" max="1280" width="9.109375" style="2667"/>
    <col min="1281" max="1281" width="3.88671875" style="2667" customWidth="1"/>
    <col min="1282" max="1282" width="13.44140625" style="2667" customWidth="1"/>
    <col min="1283" max="1283" width="14.109375" style="2667" customWidth="1"/>
    <col min="1284" max="1285" width="9.109375" style="2667"/>
    <col min="1286" max="1286" width="17.109375" style="2667" customWidth="1"/>
    <col min="1287" max="1287" width="10.88671875" style="2667" customWidth="1"/>
    <col min="1288" max="1288" width="20.44140625" style="2667" customWidth="1"/>
    <col min="1289" max="1536" width="9.109375" style="2667"/>
    <col min="1537" max="1537" width="3.88671875" style="2667" customWidth="1"/>
    <col min="1538" max="1538" width="13.44140625" style="2667" customWidth="1"/>
    <col min="1539" max="1539" width="14.109375" style="2667" customWidth="1"/>
    <col min="1540" max="1541" width="9.109375" style="2667"/>
    <col min="1542" max="1542" width="17.109375" style="2667" customWidth="1"/>
    <col min="1543" max="1543" width="10.88671875" style="2667" customWidth="1"/>
    <col min="1544" max="1544" width="20.44140625" style="2667" customWidth="1"/>
    <col min="1545" max="1792" width="9.109375" style="2667"/>
    <col min="1793" max="1793" width="3.88671875" style="2667" customWidth="1"/>
    <col min="1794" max="1794" width="13.44140625" style="2667" customWidth="1"/>
    <col min="1795" max="1795" width="14.109375" style="2667" customWidth="1"/>
    <col min="1796" max="1797" width="9.109375" style="2667"/>
    <col min="1798" max="1798" width="17.109375" style="2667" customWidth="1"/>
    <col min="1799" max="1799" width="10.88671875" style="2667" customWidth="1"/>
    <col min="1800" max="1800" width="20.44140625" style="2667" customWidth="1"/>
    <col min="1801" max="2048" width="9.109375" style="2667"/>
    <col min="2049" max="2049" width="3.88671875" style="2667" customWidth="1"/>
    <col min="2050" max="2050" width="13.44140625" style="2667" customWidth="1"/>
    <col min="2051" max="2051" width="14.109375" style="2667" customWidth="1"/>
    <col min="2052" max="2053" width="9.109375" style="2667"/>
    <col min="2054" max="2054" width="17.109375" style="2667" customWidth="1"/>
    <col min="2055" max="2055" width="10.88671875" style="2667" customWidth="1"/>
    <col min="2056" max="2056" width="20.44140625" style="2667" customWidth="1"/>
    <col min="2057" max="2304" width="9.109375" style="2667"/>
    <col min="2305" max="2305" width="3.88671875" style="2667" customWidth="1"/>
    <col min="2306" max="2306" width="13.44140625" style="2667" customWidth="1"/>
    <col min="2307" max="2307" width="14.109375" style="2667" customWidth="1"/>
    <col min="2308" max="2309" width="9.109375" style="2667"/>
    <col min="2310" max="2310" width="17.109375" style="2667" customWidth="1"/>
    <col min="2311" max="2311" width="10.88671875" style="2667" customWidth="1"/>
    <col min="2312" max="2312" width="20.44140625" style="2667" customWidth="1"/>
    <col min="2313" max="2560" width="9.109375" style="2667"/>
    <col min="2561" max="2561" width="3.88671875" style="2667" customWidth="1"/>
    <col min="2562" max="2562" width="13.44140625" style="2667" customWidth="1"/>
    <col min="2563" max="2563" width="14.109375" style="2667" customWidth="1"/>
    <col min="2564" max="2565" width="9.109375" style="2667"/>
    <col min="2566" max="2566" width="17.109375" style="2667" customWidth="1"/>
    <col min="2567" max="2567" width="10.88671875" style="2667" customWidth="1"/>
    <col min="2568" max="2568" width="20.44140625" style="2667" customWidth="1"/>
    <col min="2569" max="2816" width="9.109375" style="2667"/>
    <col min="2817" max="2817" width="3.88671875" style="2667" customWidth="1"/>
    <col min="2818" max="2818" width="13.44140625" style="2667" customWidth="1"/>
    <col min="2819" max="2819" width="14.109375" style="2667" customWidth="1"/>
    <col min="2820" max="2821" width="9.109375" style="2667"/>
    <col min="2822" max="2822" width="17.109375" style="2667" customWidth="1"/>
    <col min="2823" max="2823" width="10.88671875" style="2667" customWidth="1"/>
    <col min="2824" max="2824" width="20.44140625" style="2667" customWidth="1"/>
    <col min="2825" max="3072" width="9.109375" style="2667"/>
    <col min="3073" max="3073" width="3.88671875" style="2667" customWidth="1"/>
    <col min="3074" max="3074" width="13.44140625" style="2667" customWidth="1"/>
    <col min="3075" max="3075" width="14.109375" style="2667" customWidth="1"/>
    <col min="3076" max="3077" width="9.109375" style="2667"/>
    <col min="3078" max="3078" width="17.109375" style="2667" customWidth="1"/>
    <col min="3079" max="3079" width="10.88671875" style="2667" customWidth="1"/>
    <col min="3080" max="3080" width="20.44140625" style="2667" customWidth="1"/>
    <col min="3081" max="3328" width="9.109375" style="2667"/>
    <col min="3329" max="3329" width="3.88671875" style="2667" customWidth="1"/>
    <col min="3330" max="3330" width="13.44140625" style="2667" customWidth="1"/>
    <col min="3331" max="3331" width="14.109375" style="2667" customWidth="1"/>
    <col min="3332" max="3333" width="9.109375" style="2667"/>
    <col min="3334" max="3334" width="17.109375" style="2667" customWidth="1"/>
    <col min="3335" max="3335" width="10.88671875" style="2667" customWidth="1"/>
    <col min="3336" max="3336" width="20.44140625" style="2667" customWidth="1"/>
    <col min="3337" max="3584" width="9.109375" style="2667"/>
    <col min="3585" max="3585" width="3.88671875" style="2667" customWidth="1"/>
    <col min="3586" max="3586" width="13.44140625" style="2667" customWidth="1"/>
    <col min="3587" max="3587" width="14.109375" style="2667" customWidth="1"/>
    <col min="3588" max="3589" width="9.109375" style="2667"/>
    <col min="3590" max="3590" width="17.109375" style="2667" customWidth="1"/>
    <col min="3591" max="3591" width="10.88671875" style="2667" customWidth="1"/>
    <col min="3592" max="3592" width="20.44140625" style="2667" customWidth="1"/>
    <col min="3593" max="3840" width="9.109375" style="2667"/>
    <col min="3841" max="3841" width="3.88671875" style="2667" customWidth="1"/>
    <col min="3842" max="3842" width="13.44140625" style="2667" customWidth="1"/>
    <col min="3843" max="3843" width="14.109375" style="2667" customWidth="1"/>
    <col min="3844" max="3845" width="9.109375" style="2667"/>
    <col min="3846" max="3846" width="17.109375" style="2667" customWidth="1"/>
    <col min="3847" max="3847" width="10.88671875" style="2667" customWidth="1"/>
    <col min="3848" max="3848" width="20.44140625" style="2667" customWidth="1"/>
    <col min="3849" max="4096" width="9.109375" style="2667"/>
    <col min="4097" max="4097" width="3.88671875" style="2667" customWidth="1"/>
    <col min="4098" max="4098" width="13.44140625" style="2667" customWidth="1"/>
    <col min="4099" max="4099" width="14.109375" style="2667" customWidth="1"/>
    <col min="4100" max="4101" width="9.109375" style="2667"/>
    <col min="4102" max="4102" width="17.109375" style="2667" customWidth="1"/>
    <col min="4103" max="4103" width="10.88671875" style="2667" customWidth="1"/>
    <col min="4104" max="4104" width="20.44140625" style="2667" customWidth="1"/>
    <col min="4105" max="4352" width="9.109375" style="2667"/>
    <col min="4353" max="4353" width="3.88671875" style="2667" customWidth="1"/>
    <col min="4354" max="4354" width="13.44140625" style="2667" customWidth="1"/>
    <col min="4355" max="4355" width="14.109375" style="2667" customWidth="1"/>
    <col min="4356" max="4357" width="9.109375" style="2667"/>
    <col min="4358" max="4358" width="17.109375" style="2667" customWidth="1"/>
    <col min="4359" max="4359" width="10.88671875" style="2667" customWidth="1"/>
    <col min="4360" max="4360" width="20.44140625" style="2667" customWidth="1"/>
    <col min="4361" max="4608" width="9.109375" style="2667"/>
    <col min="4609" max="4609" width="3.88671875" style="2667" customWidth="1"/>
    <col min="4610" max="4610" width="13.44140625" style="2667" customWidth="1"/>
    <col min="4611" max="4611" width="14.109375" style="2667" customWidth="1"/>
    <col min="4612" max="4613" width="9.109375" style="2667"/>
    <col min="4614" max="4614" width="17.109375" style="2667" customWidth="1"/>
    <col min="4615" max="4615" width="10.88671875" style="2667" customWidth="1"/>
    <col min="4616" max="4616" width="20.44140625" style="2667" customWidth="1"/>
    <col min="4617" max="4864" width="9.109375" style="2667"/>
    <col min="4865" max="4865" width="3.88671875" style="2667" customWidth="1"/>
    <col min="4866" max="4866" width="13.44140625" style="2667" customWidth="1"/>
    <col min="4867" max="4867" width="14.109375" style="2667" customWidth="1"/>
    <col min="4868" max="4869" width="9.109375" style="2667"/>
    <col min="4870" max="4870" width="17.109375" style="2667" customWidth="1"/>
    <col min="4871" max="4871" width="10.88671875" style="2667" customWidth="1"/>
    <col min="4872" max="4872" width="20.44140625" style="2667" customWidth="1"/>
    <col min="4873" max="5120" width="9.109375" style="2667"/>
    <col min="5121" max="5121" width="3.88671875" style="2667" customWidth="1"/>
    <col min="5122" max="5122" width="13.44140625" style="2667" customWidth="1"/>
    <col min="5123" max="5123" width="14.109375" style="2667" customWidth="1"/>
    <col min="5124" max="5125" width="9.109375" style="2667"/>
    <col min="5126" max="5126" width="17.109375" style="2667" customWidth="1"/>
    <col min="5127" max="5127" width="10.88671875" style="2667" customWidth="1"/>
    <col min="5128" max="5128" width="20.44140625" style="2667" customWidth="1"/>
    <col min="5129" max="5376" width="9.109375" style="2667"/>
    <col min="5377" max="5377" width="3.88671875" style="2667" customWidth="1"/>
    <col min="5378" max="5378" width="13.44140625" style="2667" customWidth="1"/>
    <col min="5379" max="5379" width="14.109375" style="2667" customWidth="1"/>
    <col min="5380" max="5381" width="9.109375" style="2667"/>
    <col min="5382" max="5382" width="17.109375" style="2667" customWidth="1"/>
    <col min="5383" max="5383" width="10.88671875" style="2667" customWidth="1"/>
    <col min="5384" max="5384" width="20.44140625" style="2667" customWidth="1"/>
    <col min="5385" max="5632" width="9.109375" style="2667"/>
    <col min="5633" max="5633" width="3.88671875" style="2667" customWidth="1"/>
    <col min="5634" max="5634" width="13.44140625" style="2667" customWidth="1"/>
    <col min="5635" max="5635" width="14.109375" style="2667" customWidth="1"/>
    <col min="5636" max="5637" width="9.109375" style="2667"/>
    <col min="5638" max="5638" width="17.109375" style="2667" customWidth="1"/>
    <col min="5639" max="5639" width="10.88671875" style="2667" customWidth="1"/>
    <col min="5640" max="5640" width="20.44140625" style="2667" customWidth="1"/>
    <col min="5641" max="5888" width="9.109375" style="2667"/>
    <col min="5889" max="5889" width="3.88671875" style="2667" customWidth="1"/>
    <col min="5890" max="5890" width="13.44140625" style="2667" customWidth="1"/>
    <col min="5891" max="5891" width="14.109375" style="2667" customWidth="1"/>
    <col min="5892" max="5893" width="9.109375" style="2667"/>
    <col min="5894" max="5894" width="17.109375" style="2667" customWidth="1"/>
    <col min="5895" max="5895" width="10.88671875" style="2667" customWidth="1"/>
    <col min="5896" max="5896" width="20.44140625" style="2667" customWidth="1"/>
    <col min="5897" max="6144" width="9.109375" style="2667"/>
    <col min="6145" max="6145" width="3.88671875" style="2667" customWidth="1"/>
    <col min="6146" max="6146" width="13.44140625" style="2667" customWidth="1"/>
    <col min="6147" max="6147" width="14.109375" style="2667" customWidth="1"/>
    <col min="6148" max="6149" width="9.109375" style="2667"/>
    <col min="6150" max="6150" width="17.109375" style="2667" customWidth="1"/>
    <col min="6151" max="6151" width="10.88671875" style="2667" customWidth="1"/>
    <col min="6152" max="6152" width="20.44140625" style="2667" customWidth="1"/>
    <col min="6153" max="6400" width="9.109375" style="2667"/>
    <col min="6401" max="6401" width="3.88671875" style="2667" customWidth="1"/>
    <col min="6402" max="6402" width="13.44140625" style="2667" customWidth="1"/>
    <col min="6403" max="6403" width="14.109375" style="2667" customWidth="1"/>
    <col min="6404" max="6405" width="9.109375" style="2667"/>
    <col min="6406" max="6406" width="17.109375" style="2667" customWidth="1"/>
    <col min="6407" max="6407" width="10.88671875" style="2667" customWidth="1"/>
    <col min="6408" max="6408" width="20.44140625" style="2667" customWidth="1"/>
    <col min="6409" max="6656" width="9.109375" style="2667"/>
    <col min="6657" max="6657" width="3.88671875" style="2667" customWidth="1"/>
    <col min="6658" max="6658" width="13.44140625" style="2667" customWidth="1"/>
    <col min="6659" max="6659" width="14.109375" style="2667" customWidth="1"/>
    <col min="6660" max="6661" width="9.109375" style="2667"/>
    <col min="6662" max="6662" width="17.109375" style="2667" customWidth="1"/>
    <col min="6663" max="6663" width="10.88671875" style="2667" customWidth="1"/>
    <col min="6664" max="6664" width="20.44140625" style="2667" customWidth="1"/>
    <col min="6665" max="6912" width="9.109375" style="2667"/>
    <col min="6913" max="6913" width="3.88671875" style="2667" customWidth="1"/>
    <col min="6914" max="6914" width="13.44140625" style="2667" customWidth="1"/>
    <col min="6915" max="6915" width="14.109375" style="2667" customWidth="1"/>
    <col min="6916" max="6917" width="9.109375" style="2667"/>
    <col min="6918" max="6918" width="17.109375" style="2667" customWidth="1"/>
    <col min="6919" max="6919" width="10.88671875" style="2667" customWidth="1"/>
    <col min="6920" max="6920" width="20.44140625" style="2667" customWidth="1"/>
    <col min="6921" max="7168" width="9.109375" style="2667"/>
    <col min="7169" max="7169" width="3.88671875" style="2667" customWidth="1"/>
    <col min="7170" max="7170" width="13.44140625" style="2667" customWidth="1"/>
    <col min="7171" max="7171" width="14.109375" style="2667" customWidth="1"/>
    <col min="7172" max="7173" width="9.109375" style="2667"/>
    <col min="7174" max="7174" width="17.109375" style="2667" customWidth="1"/>
    <col min="7175" max="7175" width="10.88671875" style="2667" customWidth="1"/>
    <col min="7176" max="7176" width="20.44140625" style="2667" customWidth="1"/>
    <col min="7177" max="7424" width="9.109375" style="2667"/>
    <col min="7425" max="7425" width="3.88671875" style="2667" customWidth="1"/>
    <col min="7426" max="7426" width="13.44140625" style="2667" customWidth="1"/>
    <col min="7427" max="7427" width="14.109375" style="2667" customWidth="1"/>
    <col min="7428" max="7429" width="9.109375" style="2667"/>
    <col min="7430" max="7430" width="17.109375" style="2667" customWidth="1"/>
    <col min="7431" max="7431" width="10.88671875" style="2667" customWidth="1"/>
    <col min="7432" max="7432" width="20.44140625" style="2667" customWidth="1"/>
    <col min="7433" max="7680" width="9.109375" style="2667"/>
    <col min="7681" max="7681" width="3.88671875" style="2667" customWidth="1"/>
    <col min="7682" max="7682" width="13.44140625" style="2667" customWidth="1"/>
    <col min="7683" max="7683" width="14.109375" style="2667" customWidth="1"/>
    <col min="7684" max="7685" width="9.109375" style="2667"/>
    <col min="7686" max="7686" width="17.109375" style="2667" customWidth="1"/>
    <col min="7687" max="7687" width="10.88671875" style="2667" customWidth="1"/>
    <col min="7688" max="7688" width="20.44140625" style="2667" customWidth="1"/>
    <col min="7689" max="7936" width="9.109375" style="2667"/>
    <col min="7937" max="7937" width="3.88671875" style="2667" customWidth="1"/>
    <col min="7938" max="7938" width="13.44140625" style="2667" customWidth="1"/>
    <col min="7939" max="7939" width="14.109375" style="2667" customWidth="1"/>
    <col min="7940" max="7941" width="9.109375" style="2667"/>
    <col min="7942" max="7942" width="17.109375" style="2667" customWidth="1"/>
    <col min="7943" max="7943" width="10.88671875" style="2667" customWidth="1"/>
    <col min="7944" max="7944" width="20.44140625" style="2667" customWidth="1"/>
    <col min="7945" max="8192" width="9.109375" style="2667"/>
    <col min="8193" max="8193" width="3.88671875" style="2667" customWidth="1"/>
    <col min="8194" max="8194" width="13.44140625" style="2667" customWidth="1"/>
    <col min="8195" max="8195" width="14.109375" style="2667" customWidth="1"/>
    <col min="8196" max="8197" width="9.109375" style="2667"/>
    <col min="8198" max="8198" width="17.109375" style="2667" customWidth="1"/>
    <col min="8199" max="8199" width="10.88671875" style="2667" customWidth="1"/>
    <col min="8200" max="8200" width="20.44140625" style="2667" customWidth="1"/>
    <col min="8201" max="8448" width="9.109375" style="2667"/>
    <col min="8449" max="8449" width="3.88671875" style="2667" customWidth="1"/>
    <col min="8450" max="8450" width="13.44140625" style="2667" customWidth="1"/>
    <col min="8451" max="8451" width="14.109375" style="2667" customWidth="1"/>
    <col min="8452" max="8453" width="9.109375" style="2667"/>
    <col min="8454" max="8454" width="17.109375" style="2667" customWidth="1"/>
    <col min="8455" max="8455" width="10.88671875" style="2667" customWidth="1"/>
    <col min="8456" max="8456" width="20.44140625" style="2667" customWidth="1"/>
    <col min="8457" max="8704" width="9.109375" style="2667"/>
    <col min="8705" max="8705" width="3.88671875" style="2667" customWidth="1"/>
    <col min="8706" max="8706" width="13.44140625" style="2667" customWidth="1"/>
    <col min="8707" max="8707" width="14.109375" style="2667" customWidth="1"/>
    <col min="8708" max="8709" width="9.109375" style="2667"/>
    <col min="8710" max="8710" width="17.109375" style="2667" customWidth="1"/>
    <col min="8711" max="8711" width="10.88671875" style="2667" customWidth="1"/>
    <col min="8712" max="8712" width="20.44140625" style="2667" customWidth="1"/>
    <col min="8713" max="8960" width="9.109375" style="2667"/>
    <col min="8961" max="8961" width="3.88671875" style="2667" customWidth="1"/>
    <col min="8962" max="8962" width="13.44140625" style="2667" customWidth="1"/>
    <col min="8963" max="8963" width="14.109375" style="2667" customWidth="1"/>
    <col min="8964" max="8965" width="9.109375" style="2667"/>
    <col min="8966" max="8966" width="17.109375" style="2667" customWidth="1"/>
    <col min="8967" max="8967" width="10.88671875" style="2667" customWidth="1"/>
    <col min="8968" max="8968" width="20.44140625" style="2667" customWidth="1"/>
    <col min="8969" max="9216" width="9.109375" style="2667"/>
    <col min="9217" max="9217" width="3.88671875" style="2667" customWidth="1"/>
    <col min="9218" max="9218" width="13.44140625" style="2667" customWidth="1"/>
    <col min="9219" max="9219" width="14.109375" style="2667" customWidth="1"/>
    <col min="9220" max="9221" width="9.109375" style="2667"/>
    <col min="9222" max="9222" width="17.109375" style="2667" customWidth="1"/>
    <col min="9223" max="9223" width="10.88671875" style="2667" customWidth="1"/>
    <col min="9224" max="9224" width="20.44140625" style="2667" customWidth="1"/>
    <col min="9225" max="9472" width="9.109375" style="2667"/>
    <col min="9473" max="9473" width="3.88671875" style="2667" customWidth="1"/>
    <col min="9474" max="9474" width="13.44140625" style="2667" customWidth="1"/>
    <col min="9475" max="9475" width="14.109375" style="2667" customWidth="1"/>
    <col min="9476" max="9477" width="9.109375" style="2667"/>
    <col min="9478" max="9478" width="17.109375" style="2667" customWidth="1"/>
    <col min="9479" max="9479" width="10.88671875" style="2667" customWidth="1"/>
    <col min="9480" max="9480" width="20.44140625" style="2667" customWidth="1"/>
    <col min="9481" max="9728" width="9.109375" style="2667"/>
    <col min="9729" max="9729" width="3.88671875" style="2667" customWidth="1"/>
    <col min="9730" max="9730" width="13.44140625" style="2667" customWidth="1"/>
    <col min="9731" max="9731" width="14.109375" style="2667" customWidth="1"/>
    <col min="9732" max="9733" width="9.109375" style="2667"/>
    <col min="9734" max="9734" width="17.109375" style="2667" customWidth="1"/>
    <col min="9735" max="9735" width="10.88671875" style="2667" customWidth="1"/>
    <col min="9736" max="9736" width="20.44140625" style="2667" customWidth="1"/>
    <col min="9737" max="9984" width="9.109375" style="2667"/>
    <col min="9985" max="9985" width="3.88671875" style="2667" customWidth="1"/>
    <col min="9986" max="9986" width="13.44140625" style="2667" customWidth="1"/>
    <col min="9987" max="9987" width="14.109375" style="2667" customWidth="1"/>
    <col min="9988" max="9989" width="9.109375" style="2667"/>
    <col min="9990" max="9990" width="17.109375" style="2667" customWidth="1"/>
    <col min="9991" max="9991" width="10.88671875" style="2667" customWidth="1"/>
    <col min="9992" max="9992" width="20.44140625" style="2667" customWidth="1"/>
    <col min="9993" max="10240" width="9.109375" style="2667"/>
    <col min="10241" max="10241" width="3.88671875" style="2667" customWidth="1"/>
    <col min="10242" max="10242" width="13.44140625" style="2667" customWidth="1"/>
    <col min="10243" max="10243" width="14.109375" style="2667" customWidth="1"/>
    <col min="10244" max="10245" width="9.109375" style="2667"/>
    <col min="10246" max="10246" width="17.109375" style="2667" customWidth="1"/>
    <col min="10247" max="10247" width="10.88671875" style="2667" customWidth="1"/>
    <col min="10248" max="10248" width="20.44140625" style="2667" customWidth="1"/>
    <col min="10249" max="10496" width="9.109375" style="2667"/>
    <col min="10497" max="10497" width="3.88671875" style="2667" customWidth="1"/>
    <col min="10498" max="10498" width="13.44140625" style="2667" customWidth="1"/>
    <col min="10499" max="10499" width="14.109375" style="2667" customWidth="1"/>
    <col min="10500" max="10501" width="9.109375" style="2667"/>
    <col min="10502" max="10502" width="17.109375" style="2667" customWidth="1"/>
    <col min="10503" max="10503" width="10.88671875" style="2667" customWidth="1"/>
    <col min="10504" max="10504" width="20.44140625" style="2667" customWidth="1"/>
    <col min="10505" max="10752" width="9.109375" style="2667"/>
    <col min="10753" max="10753" width="3.88671875" style="2667" customWidth="1"/>
    <col min="10754" max="10754" width="13.44140625" style="2667" customWidth="1"/>
    <col min="10755" max="10755" width="14.109375" style="2667" customWidth="1"/>
    <col min="10756" max="10757" width="9.109375" style="2667"/>
    <col min="10758" max="10758" width="17.109375" style="2667" customWidth="1"/>
    <col min="10759" max="10759" width="10.88671875" style="2667" customWidth="1"/>
    <col min="10760" max="10760" width="20.44140625" style="2667" customWidth="1"/>
    <col min="10761" max="11008" width="9.109375" style="2667"/>
    <col min="11009" max="11009" width="3.88671875" style="2667" customWidth="1"/>
    <col min="11010" max="11010" width="13.44140625" style="2667" customWidth="1"/>
    <col min="11011" max="11011" width="14.109375" style="2667" customWidth="1"/>
    <col min="11012" max="11013" width="9.109375" style="2667"/>
    <col min="11014" max="11014" width="17.109375" style="2667" customWidth="1"/>
    <col min="11015" max="11015" width="10.88671875" style="2667" customWidth="1"/>
    <col min="11016" max="11016" width="20.44140625" style="2667" customWidth="1"/>
    <col min="11017" max="11264" width="9.109375" style="2667"/>
    <col min="11265" max="11265" width="3.88671875" style="2667" customWidth="1"/>
    <col min="11266" max="11266" width="13.44140625" style="2667" customWidth="1"/>
    <col min="11267" max="11267" width="14.109375" style="2667" customWidth="1"/>
    <col min="11268" max="11269" width="9.109375" style="2667"/>
    <col min="11270" max="11270" width="17.109375" style="2667" customWidth="1"/>
    <col min="11271" max="11271" width="10.88671875" style="2667" customWidth="1"/>
    <col min="11272" max="11272" width="20.44140625" style="2667" customWidth="1"/>
    <col min="11273" max="11520" width="9.109375" style="2667"/>
    <col min="11521" max="11521" width="3.88671875" style="2667" customWidth="1"/>
    <col min="11522" max="11522" width="13.44140625" style="2667" customWidth="1"/>
    <col min="11523" max="11523" width="14.109375" style="2667" customWidth="1"/>
    <col min="11524" max="11525" width="9.109375" style="2667"/>
    <col min="11526" max="11526" width="17.109375" style="2667" customWidth="1"/>
    <col min="11527" max="11527" width="10.88671875" style="2667" customWidth="1"/>
    <col min="11528" max="11528" width="20.44140625" style="2667" customWidth="1"/>
    <col min="11529" max="11776" width="9.109375" style="2667"/>
    <col min="11777" max="11777" width="3.88671875" style="2667" customWidth="1"/>
    <col min="11778" max="11778" width="13.44140625" style="2667" customWidth="1"/>
    <col min="11779" max="11779" width="14.109375" style="2667" customWidth="1"/>
    <col min="11780" max="11781" width="9.109375" style="2667"/>
    <col min="11782" max="11782" width="17.109375" style="2667" customWidth="1"/>
    <col min="11783" max="11783" width="10.88671875" style="2667" customWidth="1"/>
    <col min="11784" max="11784" width="20.44140625" style="2667" customWidth="1"/>
    <col min="11785" max="12032" width="9.109375" style="2667"/>
    <col min="12033" max="12033" width="3.88671875" style="2667" customWidth="1"/>
    <col min="12034" max="12034" width="13.44140625" style="2667" customWidth="1"/>
    <col min="12035" max="12035" width="14.109375" style="2667" customWidth="1"/>
    <col min="12036" max="12037" width="9.109375" style="2667"/>
    <col min="12038" max="12038" width="17.109375" style="2667" customWidth="1"/>
    <col min="12039" max="12039" width="10.88671875" style="2667" customWidth="1"/>
    <col min="12040" max="12040" width="20.44140625" style="2667" customWidth="1"/>
    <col min="12041" max="12288" width="9.109375" style="2667"/>
    <col min="12289" max="12289" width="3.88671875" style="2667" customWidth="1"/>
    <col min="12290" max="12290" width="13.44140625" style="2667" customWidth="1"/>
    <col min="12291" max="12291" width="14.109375" style="2667" customWidth="1"/>
    <col min="12292" max="12293" width="9.109375" style="2667"/>
    <col min="12294" max="12294" width="17.109375" style="2667" customWidth="1"/>
    <col min="12295" max="12295" width="10.88671875" style="2667" customWidth="1"/>
    <col min="12296" max="12296" width="20.44140625" style="2667" customWidth="1"/>
    <col min="12297" max="12544" width="9.109375" style="2667"/>
    <col min="12545" max="12545" width="3.88671875" style="2667" customWidth="1"/>
    <col min="12546" max="12546" width="13.44140625" style="2667" customWidth="1"/>
    <col min="12547" max="12547" width="14.109375" style="2667" customWidth="1"/>
    <col min="12548" max="12549" width="9.109375" style="2667"/>
    <col min="12550" max="12550" width="17.109375" style="2667" customWidth="1"/>
    <col min="12551" max="12551" width="10.88671875" style="2667" customWidth="1"/>
    <col min="12552" max="12552" width="20.44140625" style="2667" customWidth="1"/>
    <col min="12553" max="12800" width="9.109375" style="2667"/>
    <col min="12801" max="12801" width="3.88671875" style="2667" customWidth="1"/>
    <col min="12802" max="12802" width="13.44140625" style="2667" customWidth="1"/>
    <col min="12803" max="12803" width="14.109375" style="2667" customWidth="1"/>
    <col min="12804" max="12805" width="9.109375" style="2667"/>
    <col min="12806" max="12806" width="17.109375" style="2667" customWidth="1"/>
    <col min="12807" max="12807" width="10.88671875" style="2667" customWidth="1"/>
    <col min="12808" max="12808" width="20.44140625" style="2667" customWidth="1"/>
    <col min="12809" max="13056" width="9.109375" style="2667"/>
    <col min="13057" max="13057" width="3.88671875" style="2667" customWidth="1"/>
    <col min="13058" max="13058" width="13.44140625" style="2667" customWidth="1"/>
    <col min="13059" max="13059" width="14.109375" style="2667" customWidth="1"/>
    <col min="13060" max="13061" width="9.109375" style="2667"/>
    <col min="13062" max="13062" width="17.109375" style="2667" customWidth="1"/>
    <col min="13063" max="13063" width="10.88671875" style="2667" customWidth="1"/>
    <col min="13064" max="13064" width="20.44140625" style="2667" customWidth="1"/>
    <col min="13065" max="13312" width="9.109375" style="2667"/>
    <col min="13313" max="13313" width="3.88671875" style="2667" customWidth="1"/>
    <col min="13314" max="13314" width="13.44140625" style="2667" customWidth="1"/>
    <col min="13315" max="13315" width="14.109375" style="2667" customWidth="1"/>
    <col min="13316" max="13317" width="9.109375" style="2667"/>
    <col min="13318" max="13318" width="17.109375" style="2667" customWidth="1"/>
    <col min="13319" max="13319" width="10.88671875" style="2667" customWidth="1"/>
    <col min="13320" max="13320" width="20.44140625" style="2667" customWidth="1"/>
    <col min="13321" max="13568" width="9.109375" style="2667"/>
    <col min="13569" max="13569" width="3.88671875" style="2667" customWidth="1"/>
    <col min="13570" max="13570" width="13.44140625" style="2667" customWidth="1"/>
    <col min="13571" max="13571" width="14.109375" style="2667" customWidth="1"/>
    <col min="13572" max="13573" width="9.109375" style="2667"/>
    <col min="13574" max="13574" width="17.109375" style="2667" customWidth="1"/>
    <col min="13575" max="13575" width="10.88671875" style="2667" customWidth="1"/>
    <col min="13576" max="13576" width="20.44140625" style="2667" customWidth="1"/>
    <col min="13577" max="13824" width="9.109375" style="2667"/>
    <col min="13825" max="13825" width="3.88671875" style="2667" customWidth="1"/>
    <col min="13826" max="13826" width="13.44140625" style="2667" customWidth="1"/>
    <col min="13827" max="13827" width="14.109375" style="2667" customWidth="1"/>
    <col min="13828" max="13829" width="9.109375" style="2667"/>
    <col min="13830" max="13830" width="17.109375" style="2667" customWidth="1"/>
    <col min="13831" max="13831" width="10.88671875" style="2667" customWidth="1"/>
    <col min="13832" max="13832" width="20.44140625" style="2667" customWidth="1"/>
    <col min="13833" max="14080" width="9.109375" style="2667"/>
    <col min="14081" max="14081" width="3.88671875" style="2667" customWidth="1"/>
    <col min="14082" max="14082" width="13.44140625" style="2667" customWidth="1"/>
    <col min="14083" max="14083" width="14.109375" style="2667" customWidth="1"/>
    <col min="14084" max="14085" width="9.109375" style="2667"/>
    <col min="14086" max="14086" width="17.109375" style="2667" customWidth="1"/>
    <col min="14087" max="14087" width="10.88671875" style="2667" customWidth="1"/>
    <col min="14088" max="14088" width="20.44140625" style="2667" customWidth="1"/>
    <col min="14089" max="14336" width="9.109375" style="2667"/>
    <col min="14337" max="14337" width="3.88671875" style="2667" customWidth="1"/>
    <col min="14338" max="14338" width="13.44140625" style="2667" customWidth="1"/>
    <col min="14339" max="14339" width="14.109375" style="2667" customWidth="1"/>
    <col min="14340" max="14341" width="9.109375" style="2667"/>
    <col min="14342" max="14342" width="17.109375" style="2667" customWidth="1"/>
    <col min="14343" max="14343" width="10.88671875" style="2667" customWidth="1"/>
    <col min="14344" max="14344" width="20.44140625" style="2667" customWidth="1"/>
    <col min="14345" max="14592" width="9.109375" style="2667"/>
    <col min="14593" max="14593" width="3.88671875" style="2667" customWidth="1"/>
    <col min="14594" max="14594" width="13.44140625" style="2667" customWidth="1"/>
    <col min="14595" max="14595" width="14.109375" style="2667" customWidth="1"/>
    <col min="14596" max="14597" width="9.109375" style="2667"/>
    <col min="14598" max="14598" width="17.109375" style="2667" customWidth="1"/>
    <col min="14599" max="14599" width="10.88671875" style="2667" customWidth="1"/>
    <col min="14600" max="14600" width="20.44140625" style="2667" customWidth="1"/>
    <col min="14601" max="14848" width="9.109375" style="2667"/>
    <col min="14849" max="14849" width="3.88671875" style="2667" customWidth="1"/>
    <col min="14850" max="14850" width="13.44140625" style="2667" customWidth="1"/>
    <col min="14851" max="14851" width="14.109375" style="2667" customWidth="1"/>
    <col min="14852" max="14853" width="9.109375" style="2667"/>
    <col min="14854" max="14854" width="17.109375" style="2667" customWidth="1"/>
    <col min="14855" max="14855" width="10.88671875" style="2667" customWidth="1"/>
    <col min="14856" max="14856" width="20.44140625" style="2667" customWidth="1"/>
    <col min="14857" max="15104" width="9.109375" style="2667"/>
    <col min="15105" max="15105" width="3.88671875" style="2667" customWidth="1"/>
    <col min="15106" max="15106" width="13.44140625" style="2667" customWidth="1"/>
    <col min="15107" max="15107" width="14.109375" style="2667" customWidth="1"/>
    <col min="15108" max="15109" width="9.109375" style="2667"/>
    <col min="15110" max="15110" width="17.109375" style="2667" customWidth="1"/>
    <col min="15111" max="15111" width="10.88671875" style="2667" customWidth="1"/>
    <col min="15112" max="15112" width="20.44140625" style="2667" customWidth="1"/>
    <col min="15113" max="15360" width="9.109375" style="2667"/>
    <col min="15361" max="15361" width="3.88671875" style="2667" customWidth="1"/>
    <col min="15362" max="15362" width="13.44140625" style="2667" customWidth="1"/>
    <col min="15363" max="15363" width="14.109375" style="2667" customWidth="1"/>
    <col min="15364" max="15365" width="9.109375" style="2667"/>
    <col min="15366" max="15366" width="17.109375" style="2667" customWidth="1"/>
    <col min="15367" max="15367" width="10.88671875" style="2667" customWidth="1"/>
    <col min="15368" max="15368" width="20.44140625" style="2667" customWidth="1"/>
    <col min="15369" max="15616" width="9.109375" style="2667"/>
    <col min="15617" max="15617" width="3.88671875" style="2667" customWidth="1"/>
    <col min="15618" max="15618" width="13.44140625" style="2667" customWidth="1"/>
    <col min="15619" max="15619" width="14.109375" style="2667" customWidth="1"/>
    <col min="15620" max="15621" width="9.109375" style="2667"/>
    <col min="15622" max="15622" width="17.109375" style="2667" customWidth="1"/>
    <col min="15623" max="15623" width="10.88671875" style="2667" customWidth="1"/>
    <col min="15624" max="15624" width="20.44140625" style="2667" customWidth="1"/>
    <col min="15625" max="15872" width="9.109375" style="2667"/>
    <col min="15873" max="15873" width="3.88671875" style="2667" customWidth="1"/>
    <col min="15874" max="15874" width="13.44140625" style="2667" customWidth="1"/>
    <col min="15875" max="15875" width="14.109375" style="2667" customWidth="1"/>
    <col min="15876" max="15877" width="9.109375" style="2667"/>
    <col min="15878" max="15878" width="17.109375" style="2667" customWidth="1"/>
    <col min="15879" max="15879" width="10.88671875" style="2667" customWidth="1"/>
    <col min="15880" max="15880" width="20.44140625" style="2667" customWidth="1"/>
    <col min="15881" max="16128" width="9.109375" style="2667"/>
    <col min="16129" max="16129" width="3.88671875" style="2667" customWidth="1"/>
    <col min="16130" max="16130" width="13.44140625" style="2667" customWidth="1"/>
    <col min="16131" max="16131" width="14.109375" style="2667" customWidth="1"/>
    <col min="16132" max="16133" width="9.109375" style="2667"/>
    <col min="16134" max="16134" width="17.109375" style="2667" customWidth="1"/>
    <col min="16135" max="16135" width="10.88671875" style="2667" customWidth="1"/>
    <col min="16136" max="16136" width="20.44140625" style="2667" customWidth="1"/>
    <col min="16137" max="16384" width="9.109375" style="2667"/>
  </cols>
  <sheetData>
    <row r="2" spans="1:8" s="5658" customFormat="1">
      <c r="A2" s="13991" t="s">
        <v>3111</v>
      </c>
      <c r="B2" s="13991"/>
      <c r="C2" s="13991"/>
      <c r="D2" s="13991"/>
      <c r="G2" s="13991" t="s">
        <v>11317</v>
      </c>
      <c r="H2" s="13991"/>
    </row>
    <row r="3" spans="1:8">
      <c r="A3" s="6219" t="s">
        <v>1505</v>
      </c>
      <c r="B3" s="6219"/>
      <c r="C3" s="6219"/>
      <c r="D3" s="6219"/>
      <c r="G3" s="6219" t="s">
        <v>1506</v>
      </c>
      <c r="H3" s="6219"/>
    </row>
    <row r="5" spans="1:8">
      <c r="A5" s="6220" t="s">
        <v>1536</v>
      </c>
      <c r="B5" s="2667" t="s">
        <v>1537</v>
      </c>
    </row>
    <row r="6" spans="1:8">
      <c r="B6" s="2667" t="s">
        <v>1538</v>
      </c>
      <c r="H6" s="6221"/>
    </row>
    <row r="8" spans="1:8">
      <c r="B8" s="2667" t="s">
        <v>1539</v>
      </c>
    </row>
    <row r="9" spans="1:8">
      <c r="B9" s="2667" t="s">
        <v>1540</v>
      </c>
      <c r="H9" s="6222" t="s">
        <v>1541</v>
      </c>
    </row>
    <row r="10" spans="1:8">
      <c r="H10" s="5644"/>
    </row>
    <row r="11" spans="1:8">
      <c r="B11" s="2667" t="s">
        <v>1542</v>
      </c>
      <c r="H11" s="5644"/>
    </row>
    <row r="12" spans="1:8">
      <c r="B12" s="2667" t="s">
        <v>1543</v>
      </c>
      <c r="H12" s="5644"/>
    </row>
    <row r="13" spans="1:8">
      <c r="B13" s="2667" t="s">
        <v>1544</v>
      </c>
      <c r="H13" s="5644"/>
    </row>
    <row r="14" spans="1:8">
      <c r="B14" s="2667" t="s">
        <v>1545</v>
      </c>
      <c r="H14" s="6222" t="s">
        <v>1541</v>
      </c>
    </row>
    <row r="15" spans="1:8">
      <c r="H15" s="5644"/>
    </row>
    <row r="16" spans="1:8">
      <c r="B16" s="2667" t="s">
        <v>1546</v>
      </c>
      <c r="H16" s="5644"/>
    </row>
    <row r="17" spans="2:8">
      <c r="B17" s="2667" t="s">
        <v>10359</v>
      </c>
      <c r="H17" s="5644"/>
    </row>
    <row r="18" spans="2:8">
      <c r="B18" s="2667" t="s">
        <v>1547</v>
      </c>
      <c r="H18" s="6222" t="s">
        <v>1541</v>
      </c>
    </row>
    <row r="19" spans="2:8">
      <c r="H19" s="5644"/>
    </row>
    <row r="20" spans="2:8">
      <c r="B20" s="2667" t="s">
        <v>1548</v>
      </c>
      <c r="H20" s="5644"/>
    </row>
    <row r="21" spans="2:8">
      <c r="B21" s="2667" t="s">
        <v>1549</v>
      </c>
      <c r="H21" s="5644"/>
    </row>
    <row r="22" spans="2:8">
      <c r="B22" s="2667" t="s">
        <v>3278</v>
      </c>
      <c r="H22" s="5644"/>
    </row>
    <row r="23" spans="2:8">
      <c r="B23" s="2667" t="s">
        <v>1550</v>
      </c>
      <c r="H23" s="5644"/>
    </row>
    <row r="24" spans="2:8">
      <c r="B24" s="2667" t="s">
        <v>1551</v>
      </c>
      <c r="H24" s="6223" t="s">
        <v>1541</v>
      </c>
    </row>
    <row r="25" spans="2:8">
      <c r="H25" s="5644"/>
    </row>
    <row r="26" spans="2:8">
      <c r="B26" s="2667" t="s">
        <v>1552</v>
      </c>
      <c r="H26" s="5644"/>
    </row>
    <row r="27" spans="2:8">
      <c r="B27" s="2667" t="s">
        <v>1553</v>
      </c>
      <c r="H27" s="5644"/>
    </row>
    <row r="28" spans="2:8">
      <c r="B28" s="2667" t="s">
        <v>1554</v>
      </c>
      <c r="H28" s="5644"/>
    </row>
    <row r="29" spans="2:8">
      <c r="B29" s="2667" t="s">
        <v>1555</v>
      </c>
      <c r="H29" s="5644"/>
    </row>
    <row r="30" spans="2:8">
      <c r="B30" s="2667" t="s">
        <v>1556</v>
      </c>
      <c r="H30" s="6222" t="s">
        <v>1541</v>
      </c>
    </row>
    <row r="31" spans="2:8">
      <c r="H31" s="5644"/>
    </row>
    <row r="32" spans="2:8">
      <c r="B32" s="2667" t="s">
        <v>1557</v>
      </c>
      <c r="H32" s="5644"/>
    </row>
    <row r="33" spans="2:8">
      <c r="B33" s="2667" t="s">
        <v>1558</v>
      </c>
      <c r="H33" s="5644"/>
    </row>
    <row r="34" spans="2:8">
      <c r="B34" s="2667" t="s">
        <v>1559</v>
      </c>
      <c r="H34" s="5644"/>
    </row>
    <row r="35" spans="2:8">
      <c r="B35" s="2667" t="s">
        <v>1560</v>
      </c>
      <c r="H35" s="6222" t="s">
        <v>1541</v>
      </c>
    </row>
    <row r="36" spans="2:8">
      <c r="H36" s="5644"/>
    </row>
    <row r="37" spans="2:8">
      <c r="B37" s="2667" t="s">
        <v>1561</v>
      </c>
      <c r="H37" s="5644"/>
    </row>
    <row r="38" spans="2:8">
      <c r="B38" s="2667" t="s">
        <v>1562</v>
      </c>
      <c r="H38" s="6222"/>
    </row>
    <row r="39" spans="2:8">
      <c r="H39" s="5644"/>
    </row>
    <row r="40" spans="2:8">
      <c r="B40" s="2667" t="s">
        <v>1563</v>
      </c>
      <c r="H40" s="5644"/>
    </row>
    <row r="41" spans="2:8">
      <c r="B41" s="2667" t="s">
        <v>1564</v>
      </c>
      <c r="H41" s="5644"/>
    </row>
    <row r="42" spans="2:8">
      <c r="B42" s="2667" t="s">
        <v>1565</v>
      </c>
      <c r="H42" s="5644"/>
    </row>
    <row r="43" spans="2:8">
      <c r="B43" s="2667" t="s">
        <v>1566</v>
      </c>
      <c r="H43" s="5644"/>
    </row>
    <row r="44" spans="2:8">
      <c r="B44" s="2667" t="s">
        <v>3277</v>
      </c>
      <c r="H44" s="5644"/>
    </row>
    <row r="45" spans="2:8">
      <c r="B45" s="2667" t="s">
        <v>1567</v>
      </c>
      <c r="H45" s="6222"/>
    </row>
    <row r="46" spans="2:8">
      <c r="H46" s="5644"/>
    </row>
    <row r="47" spans="2:8">
      <c r="H47" s="5644"/>
    </row>
    <row r="48" spans="2:8">
      <c r="H48" s="5644"/>
    </row>
    <row r="49" spans="1:8">
      <c r="H49" s="5644"/>
    </row>
    <row r="50" spans="1:8">
      <c r="H50" s="5644"/>
    </row>
    <row r="51" spans="1:8">
      <c r="H51" s="5644"/>
    </row>
    <row r="52" spans="1:8">
      <c r="H52" s="5644"/>
    </row>
    <row r="53" spans="1:8">
      <c r="H53" s="5644"/>
    </row>
    <row r="54" spans="1:8">
      <c r="H54" s="5644"/>
    </row>
    <row r="55" spans="1:8">
      <c r="H55" s="5644"/>
    </row>
    <row r="56" spans="1:8">
      <c r="H56" s="8413"/>
    </row>
    <row r="57" spans="1:8">
      <c r="H57" s="8413"/>
    </row>
    <row r="58" spans="1:8">
      <c r="H58" s="8413"/>
    </row>
    <row r="59" spans="1:8">
      <c r="H59" s="5644"/>
    </row>
    <row r="60" spans="1:8">
      <c r="A60" s="6224" t="s">
        <v>53</v>
      </c>
      <c r="B60" s="2667" t="s">
        <v>1568</v>
      </c>
      <c r="H60" s="5644"/>
    </row>
    <row r="61" spans="1:8">
      <c r="B61" s="2667" t="s">
        <v>1569</v>
      </c>
      <c r="H61" s="5644"/>
    </row>
    <row r="62" spans="1:8">
      <c r="H62" s="5644"/>
    </row>
    <row r="63" spans="1:8">
      <c r="B63" s="2667" t="s">
        <v>1570</v>
      </c>
      <c r="H63" s="5644"/>
    </row>
    <row r="64" spans="1:8">
      <c r="B64" s="2667" t="s">
        <v>1571</v>
      </c>
      <c r="H64" s="5644"/>
    </row>
    <row r="65" spans="2:8" ht="16.2">
      <c r="B65" s="2667" t="s">
        <v>10360</v>
      </c>
      <c r="H65" s="5644"/>
    </row>
    <row r="66" spans="2:8">
      <c r="B66" s="2667" t="s">
        <v>1572</v>
      </c>
      <c r="H66" s="5644"/>
    </row>
    <row r="67" spans="2:8">
      <c r="B67" s="2667" t="s">
        <v>1573</v>
      </c>
      <c r="H67" s="5644"/>
    </row>
    <row r="68" spans="2:8">
      <c r="B68" s="2667" t="s">
        <v>3276</v>
      </c>
      <c r="H68" s="5644"/>
    </row>
    <row r="69" spans="2:8">
      <c r="B69" s="2667" t="s">
        <v>1574</v>
      </c>
      <c r="H69" s="5644"/>
    </row>
    <row r="70" spans="2:8">
      <c r="B70" s="2667" t="s">
        <v>3280</v>
      </c>
      <c r="H70" s="5644"/>
    </row>
    <row r="71" spans="2:8">
      <c r="B71" s="2667" t="s">
        <v>1575</v>
      </c>
      <c r="H71" s="5644"/>
    </row>
    <row r="72" spans="2:8">
      <c r="B72" s="2667" t="s">
        <v>1576</v>
      </c>
      <c r="H72" s="5644"/>
    </row>
    <row r="73" spans="2:8">
      <c r="B73" s="2667" t="s">
        <v>1577</v>
      </c>
      <c r="H73" s="5644"/>
    </row>
    <row r="74" spans="2:8">
      <c r="B74" s="2667" t="s">
        <v>1578</v>
      </c>
      <c r="H74" s="6222" t="s">
        <v>1541</v>
      </c>
    </row>
    <row r="75" spans="2:8">
      <c r="H75" s="6225"/>
    </row>
    <row r="76" spans="2:8">
      <c r="B76" s="2667" t="s">
        <v>1579</v>
      </c>
      <c r="H76" s="5644"/>
    </row>
    <row r="77" spans="2:8">
      <c r="B77" s="2667" t="s">
        <v>1580</v>
      </c>
      <c r="H77" s="5644"/>
    </row>
    <row r="78" spans="2:8">
      <c r="B78" s="2667" t="s">
        <v>3275</v>
      </c>
      <c r="H78" s="6222"/>
    </row>
    <row r="79" spans="2:8">
      <c r="H79" s="5644"/>
    </row>
    <row r="80" spans="2:8">
      <c r="B80" s="2667" t="s">
        <v>1581</v>
      </c>
      <c r="H80" s="5644"/>
    </row>
    <row r="81" spans="2:8">
      <c r="B81" s="2667" t="s">
        <v>1582</v>
      </c>
      <c r="H81" s="5644"/>
    </row>
    <row r="82" spans="2:8">
      <c r="B82" s="2667" t="s">
        <v>3279</v>
      </c>
      <c r="H82" s="5644"/>
    </row>
    <row r="83" spans="2:8">
      <c r="B83" s="2667" t="s">
        <v>1583</v>
      </c>
      <c r="H83" s="6222"/>
    </row>
    <row r="84" spans="2:8">
      <c r="H84" s="5644"/>
    </row>
    <row r="85" spans="2:8">
      <c r="B85" s="2667" t="s">
        <v>1584</v>
      </c>
      <c r="H85" s="5644"/>
    </row>
    <row r="86" spans="2:8">
      <c r="B86" s="2667" t="s">
        <v>3274</v>
      </c>
      <c r="H86" s="5644"/>
    </row>
    <row r="87" spans="2:8">
      <c r="B87" s="2667" t="s">
        <v>1585</v>
      </c>
      <c r="H87" s="6222" t="s">
        <v>1541</v>
      </c>
    </row>
    <row r="88" spans="2:8">
      <c r="H88" s="5644"/>
    </row>
    <row r="89" spans="2:8">
      <c r="B89" s="2667" t="s">
        <v>1586</v>
      </c>
      <c r="H89" s="5644"/>
    </row>
    <row r="90" spans="2:8">
      <c r="B90" s="2667" t="s">
        <v>1587</v>
      </c>
      <c r="H90" s="5644"/>
    </row>
    <row r="91" spans="2:8">
      <c r="B91" s="2667" t="s">
        <v>1588</v>
      </c>
      <c r="H91" s="6222" t="s">
        <v>1541</v>
      </c>
    </row>
    <row r="92" spans="2:8">
      <c r="H92" s="5644"/>
    </row>
    <row r="93" spans="2:8">
      <c r="B93" s="2667" t="s">
        <v>1589</v>
      </c>
      <c r="H93" s="5644"/>
    </row>
    <row r="94" spans="2:8">
      <c r="B94" s="2667" t="s">
        <v>1590</v>
      </c>
      <c r="H94" s="5644"/>
    </row>
    <row r="95" spans="2:8">
      <c r="B95" s="2667" t="s">
        <v>1591</v>
      </c>
      <c r="H95" s="5644"/>
    </row>
    <row r="96" spans="2:8">
      <c r="B96" s="2667" t="s">
        <v>1592</v>
      </c>
      <c r="H96" s="5644"/>
    </row>
    <row r="97" spans="2:8">
      <c r="B97" s="2667" t="s">
        <v>1593</v>
      </c>
      <c r="H97" s="6222" t="s">
        <v>1541</v>
      </c>
    </row>
    <row r="98" spans="2:8">
      <c r="H98" s="5644"/>
    </row>
    <row r="99" spans="2:8">
      <c r="B99" s="2667" t="s">
        <v>1594</v>
      </c>
      <c r="H99" s="5644"/>
    </row>
    <row r="100" spans="2:8">
      <c r="B100" s="2667" t="s">
        <v>1595</v>
      </c>
      <c r="H100" s="5644"/>
    </row>
    <row r="101" spans="2:8">
      <c r="B101" s="2667" t="s">
        <v>1596</v>
      </c>
      <c r="H101" s="6222" t="s">
        <v>1541</v>
      </c>
    </row>
    <row r="102" spans="2:8">
      <c r="H102" s="5644"/>
    </row>
    <row r="103" spans="2:8">
      <c r="B103" s="2667" t="s">
        <v>1597</v>
      </c>
      <c r="H103" s="5644"/>
    </row>
    <row r="104" spans="2:8">
      <c r="B104" s="2667" t="s">
        <v>3273</v>
      </c>
      <c r="H104" s="5644"/>
    </row>
    <row r="105" spans="2:8">
      <c r="B105" s="2667" t="s">
        <v>1598</v>
      </c>
      <c r="H105" s="5644"/>
    </row>
    <row r="106" spans="2:8">
      <c r="B106" s="2667" t="s">
        <v>3272</v>
      </c>
      <c r="H106" s="5644"/>
    </row>
    <row r="107" spans="2:8">
      <c r="B107" s="2667" t="s">
        <v>1599</v>
      </c>
      <c r="H107" s="6222" t="s">
        <v>1541</v>
      </c>
    </row>
    <row r="108" spans="2:8">
      <c r="H108" s="5644"/>
    </row>
    <row r="109" spans="2:8">
      <c r="B109" s="2667" t="s">
        <v>1600</v>
      </c>
      <c r="H109" s="5644"/>
    </row>
    <row r="110" spans="2:8">
      <c r="B110" s="2667" t="s">
        <v>1601</v>
      </c>
      <c r="H110" s="6222"/>
    </row>
    <row r="111" spans="2:8">
      <c r="H111" s="5644"/>
    </row>
    <row r="112" spans="2:8">
      <c r="H112" s="5644"/>
    </row>
    <row r="113" spans="2:8">
      <c r="H113" s="5644"/>
    </row>
    <row r="114" spans="2:8">
      <c r="H114" s="5644"/>
    </row>
    <row r="115" spans="2:8">
      <c r="H115" s="5644"/>
    </row>
    <row r="116" spans="2:8">
      <c r="H116" s="5644"/>
    </row>
    <row r="117" spans="2:8">
      <c r="H117" s="5644"/>
    </row>
    <row r="118" spans="2:8">
      <c r="B118" s="2667" t="s">
        <v>1602</v>
      </c>
      <c r="H118" s="5644"/>
    </row>
    <row r="119" spans="2:8">
      <c r="B119" s="2667" t="s">
        <v>1603</v>
      </c>
      <c r="H119" s="5644"/>
    </row>
    <row r="120" spans="2:8">
      <c r="B120" s="2667" t="s">
        <v>1604</v>
      </c>
      <c r="H120" s="5644"/>
    </row>
    <row r="121" spans="2:8">
      <c r="B121" s="2667" t="s">
        <v>1605</v>
      </c>
      <c r="H121" s="5644"/>
    </row>
    <row r="122" spans="2:8">
      <c r="B122" s="2667" t="s">
        <v>1606</v>
      </c>
      <c r="H122" s="6222" t="s">
        <v>1541</v>
      </c>
    </row>
    <row r="123" spans="2:8">
      <c r="H123" s="5644"/>
    </row>
    <row r="124" spans="2:8">
      <c r="B124" s="2667" t="s">
        <v>3271</v>
      </c>
      <c r="H124" s="5644"/>
    </row>
    <row r="125" spans="2:8">
      <c r="B125" s="2667" t="s">
        <v>1607</v>
      </c>
      <c r="H125" s="5644"/>
    </row>
    <row r="126" spans="2:8">
      <c r="B126" s="2667" t="s">
        <v>1608</v>
      </c>
      <c r="H126" s="5644"/>
    </row>
    <row r="127" spans="2:8">
      <c r="B127" s="2667" t="s">
        <v>1609</v>
      </c>
      <c r="H127" s="6222" t="s">
        <v>1541</v>
      </c>
    </row>
    <row r="128" spans="2:8">
      <c r="H128" s="6225"/>
    </row>
    <row r="129" spans="2:8">
      <c r="B129" s="2667" t="s">
        <v>1610</v>
      </c>
      <c r="H129" s="5644"/>
    </row>
    <row r="130" spans="2:8">
      <c r="B130" s="2667" t="s">
        <v>3281</v>
      </c>
      <c r="H130" s="5644"/>
    </row>
    <row r="131" spans="2:8">
      <c r="B131" s="2667" t="s">
        <v>1611</v>
      </c>
      <c r="H131" s="5644"/>
    </row>
    <row r="132" spans="2:8">
      <c r="B132" s="2667" t="s">
        <v>1612</v>
      </c>
      <c r="H132" s="6222" t="s">
        <v>1541</v>
      </c>
    </row>
    <row r="133" spans="2:8">
      <c r="H133" s="6225"/>
    </row>
    <row r="134" spans="2:8">
      <c r="B134" s="2667" t="s">
        <v>1613</v>
      </c>
      <c r="H134" s="5644"/>
    </row>
    <row r="135" spans="2:8">
      <c r="B135" s="2667" t="s">
        <v>1614</v>
      </c>
      <c r="H135" s="5644"/>
    </row>
    <row r="136" spans="2:8">
      <c r="B136" s="2667" t="s">
        <v>1615</v>
      </c>
      <c r="H136" s="5644"/>
    </row>
    <row r="137" spans="2:8">
      <c r="B137" s="2667" t="s">
        <v>1616</v>
      </c>
      <c r="H137" s="5644"/>
    </row>
    <row r="138" spans="2:8">
      <c r="B138" s="2667" t="s">
        <v>1617</v>
      </c>
      <c r="H138" s="6222" t="s">
        <v>1541</v>
      </c>
    </row>
    <row r="139" spans="2:8">
      <c r="H139" s="5644"/>
    </row>
    <row r="140" spans="2:8">
      <c r="B140" s="2667" t="s">
        <v>1618</v>
      </c>
      <c r="H140" s="5644"/>
    </row>
    <row r="141" spans="2:8">
      <c r="B141" s="2667" t="s">
        <v>1619</v>
      </c>
      <c r="H141" s="5644"/>
    </row>
    <row r="142" spans="2:8">
      <c r="B142" s="2667" t="s">
        <v>1620</v>
      </c>
      <c r="H142" s="5644"/>
    </row>
    <row r="143" spans="2:8">
      <c r="B143" s="2667" t="s">
        <v>1621</v>
      </c>
      <c r="H143" s="5644"/>
    </row>
    <row r="144" spans="2:8">
      <c r="B144" s="2667" t="s">
        <v>1622</v>
      </c>
      <c r="H144" s="6222" t="s">
        <v>1541</v>
      </c>
    </row>
    <row r="145" spans="2:8">
      <c r="B145" s="2667" t="s">
        <v>168</v>
      </c>
      <c r="H145" s="5644"/>
    </row>
    <row r="146" spans="2:8">
      <c r="B146" s="2667" t="s">
        <v>3282</v>
      </c>
      <c r="H146" s="5644"/>
    </row>
    <row r="147" spans="2:8">
      <c r="B147" s="2667" t="s">
        <v>1623</v>
      </c>
      <c r="H147" s="6222" t="s">
        <v>1541</v>
      </c>
    </row>
  </sheetData>
  <mergeCells count="2">
    <mergeCell ref="A2:D2"/>
    <mergeCell ref="G2:H2"/>
  </mergeCells>
  <printOptions gridLinesSet="0"/>
  <pageMargins left="0.5" right="0.25" top="0.75" bottom="0.5" header="0.5" footer="0.25"/>
  <pageSetup paperSize="136" orientation="portrait" verticalDpi="300" r:id="rId1"/>
  <headerFooter alignWithMargins="0"/>
</worksheet>
</file>

<file path=xl/worksheets/sheet50.xml><?xml version="1.0" encoding="utf-8"?>
<worksheet xmlns="http://schemas.openxmlformats.org/spreadsheetml/2006/main" xmlns:r="http://schemas.openxmlformats.org/officeDocument/2006/relationships">
  <sheetPr codeName="Sheet12">
    <tabColor rgb="FFFFFF00"/>
  </sheetPr>
  <dimension ref="A1:G101"/>
  <sheetViews>
    <sheetView showGridLines="0" workbookViewId="0">
      <selection activeCell="C102" sqref="C102"/>
    </sheetView>
  </sheetViews>
  <sheetFormatPr defaultColWidth="9.109375" defaultRowHeight="15"/>
  <cols>
    <col min="1" max="1" width="9.109375" style="373"/>
    <col min="2" max="2" width="25.88671875" style="373" customWidth="1"/>
    <col min="3" max="3" width="12.44140625" style="373" customWidth="1"/>
    <col min="4" max="4" width="19" style="373" customWidth="1"/>
    <col min="5" max="5" width="17.88671875" style="373" customWidth="1"/>
    <col min="6" max="6" width="7.44140625" style="373" customWidth="1"/>
    <col min="7" max="7" width="6.88671875" style="373" customWidth="1"/>
    <col min="8" max="16384" width="9.109375" style="373"/>
  </cols>
  <sheetData>
    <row r="1" spans="1:7" ht="21" customHeight="1">
      <c r="A1" s="14476" t="s">
        <v>1728</v>
      </c>
      <c r="B1" s="14476"/>
      <c r="C1" s="14476"/>
      <c r="D1" s="14476"/>
      <c r="E1" s="14476"/>
      <c r="F1" s="14476"/>
      <c r="G1" s="14476"/>
    </row>
    <row r="2" spans="1:7" s="1140" customFormat="1" ht="15" customHeight="1">
      <c r="A2" s="2642"/>
      <c r="B2" s="2642"/>
      <c r="C2" s="2642"/>
      <c r="D2" s="2642"/>
      <c r="E2" s="2642"/>
      <c r="F2" s="2642"/>
      <c r="G2" s="2642"/>
    </row>
    <row r="3" spans="1:7" ht="20.25" customHeight="1">
      <c r="A3" s="14477" t="s">
        <v>9349</v>
      </c>
      <c r="B3" s="14477"/>
      <c r="C3" s="14477"/>
      <c r="D3" s="14477"/>
      <c r="E3" s="14477"/>
      <c r="F3" s="14477"/>
      <c r="G3" s="14477"/>
    </row>
    <row r="4" spans="1:7" ht="15" customHeight="1">
      <c r="A4" s="14478" t="s">
        <v>9350</v>
      </c>
      <c r="B4" s="14478"/>
      <c r="C4" s="14478"/>
      <c r="D4" s="14478"/>
      <c r="E4" s="14478"/>
      <c r="F4" s="14478"/>
      <c r="G4" s="14478"/>
    </row>
    <row r="5" spans="1:7" s="475" customFormat="1" ht="15.6">
      <c r="A5" s="14479"/>
      <c r="B5" s="14479"/>
      <c r="C5" s="14479"/>
      <c r="D5" s="14479"/>
      <c r="E5" s="14479"/>
      <c r="F5" s="14479"/>
      <c r="G5" s="14479"/>
    </row>
    <row r="6" spans="1:7" s="1142" customFormat="1" ht="24.75" customHeight="1">
      <c r="A6" s="14480" t="s">
        <v>9077</v>
      </c>
      <c r="B6" s="14480"/>
      <c r="C6" s="14480"/>
      <c r="D6" s="14480"/>
      <c r="E6" s="14480"/>
      <c r="F6" s="14480"/>
      <c r="G6" s="14480"/>
    </row>
    <row r="7" spans="1:7" s="433" customFormat="1" ht="32.25" customHeight="1">
      <c r="A7" s="14479" t="s">
        <v>9078</v>
      </c>
      <c r="B7" s="14479"/>
      <c r="C7" s="14479"/>
      <c r="D7" s="14479"/>
      <c r="E7" s="14479"/>
      <c r="F7" s="14479"/>
      <c r="G7" s="14479"/>
    </row>
    <row r="8" spans="1:7" s="433" customFormat="1" ht="50.25" customHeight="1">
      <c r="A8" s="14479" t="s">
        <v>9351</v>
      </c>
      <c r="B8" s="14479"/>
      <c r="C8" s="14479"/>
      <c r="D8" s="14479"/>
      <c r="E8" s="14479"/>
      <c r="F8" s="14479"/>
      <c r="G8" s="14479"/>
    </row>
    <row r="9" spans="1:7" s="433" customFormat="1" ht="16.5" customHeight="1">
      <c r="A9" s="14479" t="s">
        <v>9352</v>
      </c>
      <c r="B9" s="14479"/>
      <c r="C9" s="14479"/>
      <c r="D9" s="14479"/>
      <c r="E9" s="14479"/>
      <c r="F9" s="14479"/>
      <c r="G9" s="14479"/>
    </row>
    <row r="10" spans="1:7" ht="15" customHeight="1">
      <c r="A10" s="14479" t="s">
        <v>9353</v>
      </c>
      <c r="B10" s="14479"/>
      <c r="C10" s="14479"/>
      <c r="D10" s="14479"/>
      <c r="E10" s="14479"/>
      <c r="F10" s="14479"/>
      <c r="G10" s="14479"/>
    </row>
    <row r="11" spans="1:7" s="475" customFormat="1" ht="30" customHeight="1">
      <c r="A11" s="14479"/>
      <c r="B11" s="14479"/>
      <c r="C11" s="14479"/>
      <c r="D11" s="14479"/>
      <c r="E11" s="14479"/>
      <c r="F11" s="14479"/>
      <c r="G11" s="14479"/>
    </row>
    <row r="12" spans="1:7" s="475" customFormat="1" ht="15.6">
      <c r="A12" s="14480" t="s">
        <v>1730</v>
      </c>
      <c r="B12" s="14480"/>
      <c r="C12" s="14480"/>
      <c r="D12" s="14480"/>
      <c r="E12" s="14480"/>
      <c r="F12" s="14480"/>
      <c r="G12" s="14480"/>
    </row>
    <row r="13" spans="1:7" s="433" customFormat="1" ht="16.5" customHeight="1">
      <c r="A13" s="14479"/>
      <c r="B13" s="14479"/>
      <c r="C13" s="14479"/>
      <c r="D13" s="14479"/>
      <c r="E13" s="14479"/>
      <c r="F13" s="14479"/>
      <c r="G13" s="14479"/>
    </row>
    <row r="14" spans="1:7" s="433" customFormat="1" ht="18.75" customHeight="1">
      <c r="A14" s="14479" t="s">
        <v>1731</v>
      </c>
      <c r="B14" s="14479"/>
      <c r="C14" s="14479"/>
      <c r="D14" s="14479"/>
      <c r="E14" s="14479"/>
      <c r="F14" s="14479"/>
      <c r="G14" s="14479"/>
    </row>
    <row r="15" spans="1:7" s="433" customFormat="1" ht="18.75" customHeight="1">
      <c r="A15" s="14479" t="s">
        <v>9079</v>
      </c>
      <c r="B15" s="14479"/>
      <c r="C15" s="14479"/>
      <c r="D15" s="14479"/>
      <c r="E15" s="14479"/>
      <c r="F15" s="14479"/>
      <c r="G15" s="14479"/>
    </row>
    <row r="16" spans="1:7" s="433" customFormat="1" ht="20.25" customHeight="1">
      <c r="A16" s="14479" t="s">
        <v>9080</v>
      </c>
      <c r="B16" s="14479"/>
      <c r="C16" s="14479"/>
      <c r="D16" s="14479"/>
      <c r="E16" s="14479"/>
      <c r="F16" s="14479"/>
      <c r="G16" s="14479"/>
    </row>
    <row r="17" spans="1:7" s="433" customFormat="1" ht="36" customHeight="1">
      <c r="A17" s="14479" t="s">
        <v>9081</v>
      </c>
      <c r="B17" s="14479"/>
      <c r="C17" s="14479"/>
      <c r="D17" s="14479"/>
      <c r="E17" s="14479"/>
      <c r="F17" s="14479"/>
      <c r="G17" s="14479"/>
    </row>
    <row r="18" spans="1:7" s="433" customFormat="1" ht="18.75" customHeight="1">
      <c r="A18" s="14479" t="s">
        <v>1732</v>
      </c>
      <c r="B18" s="14479"/>
      <c r="C18" s="14479"/>
      <c r="D18" s="14479"/>
      <c r="E18" s="14479"/>
      <c r="F18" s="14479"/>
      <c r="G18" s="14479"/>
    </row>
    <row r="19" spans="1:7" s="475" customFormat="1" ht="30" customHeight="1">
      <c r="A19" s="14479" t="s">
        <v>9082</v>
      </c>
      <c r="B19" s="14479"/>
      <c r="C19" s="14479"/>
      <c r="D19" s="14479"/>
      <c r="E19" s="14479"/>
      <c r="F19" s="14479"/>
      <c r="G19" s="14479"/>
    </row>
    <row r="20" spans="1:7" s="372" customFormat="1" ht="17.25" customHeight="1">
      <c r="A20" s="14480" t="s">
        <v>1733</v>
      </c>
      <c r="B20" s="14480"/>
      <c r="C20" s="14480"/>
      <c r="D20" s="14480"/>
      <c r="E20" s="14480"/>
      <c r="F20" s="14480"/>
      <c r="G20" s="14480"/>
    </row>
    <row r="21" spans="1:7" s="1151" customFormat="1" ht="15" customHeight="1" thickBot="1">
      <c r="A21" s="14481"/>
      <c r="B21" s="14481"/>
      <c r="C21" s="14481"/>
      <c r="D21" s="14481"/>
      <c r="E21" s="14481"/>
      <c r="F21" s="14481"/>
      <c r="G21" s="14481"/>
    </row>
    <row r="22" spans="1:7" s="3584" customFormat="1" ht="28.5" customHeight="1" thickBot="1">
      <c r="A22" s="3583" t="s">
        <v>1734</v>
      </c>
      <c r="B22" s="14493" t="s">
        <v>3241</v>
      </c>
      <c r="C22" s="14495" t="s">
        <v>1736</v>
      </c>
      <c r="D22" s="14497" t="s">
        <v>1737</v>
      </c>
      <c r="E22" s="14495" t="s">
        <v>1738</v>
      </c>
      <c r="F22" s="14499" t="s">
        <v>1739</v>
      </c>
      <c r="G22" s="14500"/>
    </row>
    <row r="23" spans="1:7" s="896" customFormat="1" ht="18.75" customHeight="1" thickBot="1">
      <c r="A23" s="3585"/>
      <c r="B23" s="14494"/>
      <c r="C23" s="14496"/>
      <c r="D23" s="14498"/>
      <c r="E23" s="14496"/>
      <c r="F23" s="3586" t="s">
        <v>1789</v>
      </c>
      <c r="G23" s="3586" t="s">
        <v>1790</v>
      </c>
    </row>
    <row r="24" spans="1:7" s="372" customFormat="1" ht="17.25" customHeight="1">
      <c r="A24" s="3383"/>
      <c r="B24" s="2625" t="s">
        <v>9083</v>
      </c>
      <c r="C24" s="3386"/>
      <c r="D24" s="3398"/>
      <c r="E24" s="3388">
        <v>1</v>
      </c>
      <c r="F24" s="3384" t="s">
        <v>1814</v>
      </c>
      <c r="G24" s="3390" t="s">
        <v>1743</v>
      </c>
    </row>
    <row r="25" spans="1:7" s="372" customFormat="1" ht="98.25" customHeight="1">
      <c r="A25" s="3384"/>
      <c r="B25" s="3398" t="s">
        <v>9084</v>
      </c>
      <c r="C25" s="3386"/>
      <c r="D25" s="1143" t="s">
        <v>9089</v>
      </c>
      <c r="E25" s="3388"/>
      <c r="F25" s="3384"/>
      <c r="G25" s="3390"/>
    </row>
    <row r="26" spans="1:7" s="372" customFormat="1" ht="51" customHeight="1">
      <c r="A26" s="3384"/>
      <c r="B26" s="3398" t="s">
        <v>9085</v>
      </c>
      <c r="C26" s="3386"/>
      <c r="D26" s="2627"/>
      <c r="E26" s="3388"/>
      <c r="F26" s="3384"/>
      <c r="G26" s="3390"/>
    </row>
    <row r="27" spans="1:7" s="372" customFormat="1" ht="40.5" customHeight="1">
      <c r="A27" s="3384"/>
      <c r="B27" s="3398" t="s">
        <v>9086</v>
      </c>
      <c r="C27" s="3386"/>
      <c r="D27" s="2627"/>
      <c r="E27" s="3388"/>
      <c r="F27" s="3384"/>
      <c r="G27" s="3390"/>
    </row>
    <row r="28" spans="1:7" s="372" customFormat="1" ht="32.25" customHeight="1">
      <c r="A28" s="3384"/>
      <c r="B28" s="3398" t="s">
        <v>9087</v>
      </c>
      <c r="C28" s="3386"/>
      <c r="D28" s="2628" t="s">
        <v>4641</v>
      </c>
      <c r="E28" s="3388"/>
      <c r="F28" s="3384"/>
      <c r="G28" s="3390"/>
    </row>
    <row r="29" spans="1:7" s="372" customFormat="1" ht="63" customHeight="1" thickBot="1">
      <c r="A29" s="3385"/>
      <c r="B29" s="1132" t="s">
        <v>9088</v>
      </c>
      <c r="C29" s="3387"/>
      <c r="D29" s="3598"/>
      <c r="E29" s="3389"/>
      <c r="F29" s="3385"/>
      <c r="G29" s="3391"/>
    </row>
    <row r="30" spans="1:7" s="3588" customFormat="1" ht="14.25" customHeight="1">
      <c r="A30" s="3378"/>
      <c r="B30" s="3397"/>
      <c r="C30" s="3590"/>
      <c r="D30" s="3587"/>
      <c r="E30" s="3591"/>
      <c r="F30" s="3378"/>
      <c r="G30" s="3395"/>
    </row>
    <row r="31" spans="1:7" s="3588" customFormat="1" ht="14.25" customHeight="1">
      <c r="A31" s="3378"/>
      <c r="B31" s="3397"/>
      <c r="C31" s="3590"/>
      <c r="D31" s="3587"/>
      <c r="E31" s="3591"/>
      <c r="F31" s="3378"/>
      <c r="G31" s="3395"/>
    </row>
    <row r="32" spans="1:7" s="3588" customFormat="1" ht="14.25" customHeight="1">
      <c r="A32" s="3378"/>
      <c r="B32" s="3397"/>
      <c r="C32" s="3590"/>
      <c r="D32" s="3587"/>
      <c r="E32" s="3591"/>
      <c r="F32" s="3378"/>
      <c r="G32" s="3395"/>
    </row>
    <row r="33" spans="1:7" s="3588" customFormat="1" ht="14.25" customHeight="1">
      <c r="A33" s="3378"/>
      <c r="B33" s="3397"/>
      <c r="C33" s="3590"/>
      <c r="D33" s="3587"/>
      <c r="E33" s="3591"/>
      <c r="F33" s="3378"/>
      <c r="G33" s="3395"/>
    </row>
    <row r="34" spans="1:7" s="3589" customFormat="1" ht="13.5" customHeight="1" thickBot="1">
      <c r="A34" s="3381"/>
      <c r="B34" s="1290"/>
      <c r="C34" s="3592"/>
      <c r="D34" s="1290"/>
      <c r="E34" s="3593"/>
      <c r="F34" s="3381"/>
      <c r="G34" s="3393"/>
    </row>
    <row r="35" spans="1:7" s="3584" customFormat="1" ht="28.5" customHeight="1" thickBot="1">
      <c r="A35" s="3583" t="s">
        <v>1734</v>
      </c>
      <c r="B35" s="14493" t="s">
        <v>3241</v>
      </c>
      <c r="C35" s="14495" t="s">
        <v>1736</v>
      </c>
      <c r="D35" s="14497" t="s">
        <v>1737</v>
      </c>
      <c r="E35" s="14495" t="s">
        <v>1738</v>
      </c>
      <c r="F35" s="14499" t="s">
        <v>1739</v>
      </c>
      <c r="G35" s="14500"/>
    </row>
    <row r="36" spans="1:7" s="896" customFormat="1" ht="18.75" customHeight="1" thickBot="1">
      <c r="A36" s="3585"/>
      <c r="B36" s="14494"/>
      <c r="C36" s="14496"/>
      <c r="D36" s="14498"/>
      <c r="E36" s="14496"/>
      <c r="F36" s="3586" t="s">
        <v>1789</v>
      </c>
      <c r="G36" s="3586" t="s">
        <v>1790</v>
      </c>
    </row>
    <row r="37" spans="1:7" ht="33" customHeight="1">
      <c r="A37" s="14482"/>
      <c r="B37" s="2632" t="s">
        <v>9090</v>
      </c>
      <c r="C37" s="14484"/>
      <c r="D37" s="2633"/>
      <c r="E37" s="14486">
        <v>1</v>
      </c>
      <c r="F37" s="14488" t="s">
        <v>1814</v>
      </c>
      <c r="G37" s="14488" t="s">
        <v>1743</v>
      </c>
    </row>
    <row r="38" spans="1:7" ht="33" customHeight="1">
      <c r="A38" s="14483"/>
      <c r="B38" s="2630" t="s">
        <v>9091</v>
      </c>
      <c r="C38" s="14485"/>
      <c r="D38" s="2628" t="s">
        <v>9096</v>
      </c>
      <c r="E38" s="14487"/>
      <c r="F38" s="14489"/>
      <c r="G38" s="14489"/>
    </row>
    <row r="39" spans="1:7" ht="33.75" customHeight="1">
      <c r="A39" s="14483"/>
      <c r="B39" s="2630" t="s">
        <v>9092</v>
      </c>
      <c r="C39" s="14485"/>
      <c r="D39" s="2629"/>
      <c r="E39" s="14487"/>
      <c r="F39" s="14489"/>
      <c r="G39" s="14489"/>
    </row>
    <row r="40" spans="1:7" ht="49.5" customHeight="1">
      <c r="A40" s="14483"/>
      <c r="B40" s="2630" t="s">
        <v>9093</v>
      </c>
      <c r="C40" s="14485"/>
      <c r="D40" s="2629"/>
      <c r="E40" s="14487"/>
      <c r="F40" s="14489"/>
      <c r="G40" s="14489"/>
    </row>
    <row r="41" spans="1:7" ht="15" customHeight="1">
      <c r="A41" s="14483"/>
      <c r="B41" s="2632" t="s">
        <v>9</v>
      </c>
      <c r="C41" s="14485"/>
      <c r="D41" s="2629"/>
      <c r="E41" s="14487"/>
      <c r="F41" s="14489"/>
      <c r="G41" s="14489"/>
    </row>
    <row r="42" spans="1:7" ht="47.25" customHeight="1">
      <c r="A42" s="14483"/>
      <c r="B42" s="2630" t="s">
        <v>9094</v>
      </c>
      <c r="C42" s="14485"/>
      <c r="D42" s="2629"/>
      <c r="E42" s="14487"/>
      <c r="F42" s="14489"/>
      <c r="G42" s="14489"/>
    </row>
    <row r="43" spans="1:7" ht="45.75" customHeight="1">
      <c r="A43" s="14483"/>
      <c r="B43" s="2630" t="s">
        <v>4642</v>
      </c>
      <c r="C43" s="14485"/>
      <c r="D43" s="2629"/>
      <c r="E43" s="14487"/>
      <c r="F43" s="14489"/>
      <c r="G43" s="14489"/>
    </row>
    <row r="44" spans="1:7" ht="69" customHeight="1" thickBot="1">
      <c r="A44" s="14483"/>
      <c r="B44" s="2630" t="s">
        <v>9095</v>
      </c>
      <c r="C44" s="14485"/>
      <c r="D44" s="2628" t="s">
        <v>9097</v>
      </c>
      <c r="E44" s="14487"/>
      <c r="F44" s="14489"/>
      <c r="G44" s="14489"/>
    </row>
    <row r="45" spans="1:7" ht="19.5" customHeight="1">
      <c r="A45" s="3383"/>
      <c r="B45" s="2639" t="s">
        <v>9098</v>
      </c>
      <c r="C45" s="2640"/>
      <c r="D45" s="2641"/>
      <c r="E45" s="3392">
        <v>1</v>
      </c>
      <c r="F45" s="3394"/>
      <c r="G45" s="3394"/>
    </row>
    <row r="46" spans="1:7" ht="33.75" customHeight="1">
      <c r="A46" s="3384"/>
      <c r="B46" s="3379" t="s">
        <v>9099</v>
      </c>
      <c r="C46" s="3396"/>
      <c r="D46" s="2628" t="s">
        <v>9107</v>
      </c>
      <c r="E46" s="3388"/>
      <c r="F46" s="3396"/>
      <c r="G46" s="3396"/>
    </row>
    <row r="47" spans="1:7" ht="33" customHeight="1">
      <c r="A47" s="3384"/>
      <c r="B47" s="1150" t="s">
        <v>9100</v>
      </c>
      <c r="C47" s="3396"/>
      <c r="D47" s="3398"/>
      <c r="E47" s="3388"/>
      <c r="F47" s="3396" t="s">
        <v>1816</v>
      </c>
      <c r="G47" s="3396" t="s">
        <v>1743</v>
      </c>
    </row>
    <row r="48" spans="1:7" ht="34.5" customHeight="1">
      <c r="A48" s="3384"/>
      <c r="B48" s="1150" t="s">
        <v>9101</v>
      </c>
      <c r="C48" s="3396"/>
      <c r="D48" s="3398"/>
      <c r="E48" s="3388"/>
      <c r="F48" s="3396"/>
      <c r="G48" s="3396"/>
    </row>
    <row r="49" spans="1:7" ht="33.75" customHeight="1">
      <c r="A49" s="3384"/>
      <c r="B49" s="1150" t="s">
        <v>4643</v>
      </c>
      <c r="C49" s="3396"/>
      <c r="D49" s="3398"/>
      <c r="E49" s="3388"/>
      <c r="F49" s="3396"/>
      <c r="G49" s="3396"/>
    </row>
    <row r="50" spans="1:7" ht="32.25" customHeight="1">
      <c r="A50" s="3384"/>
      <c r="B50" s="1150" t="s">
        <v>9102</v>
      </c>
      <c r="C50" s="3396"/>
      <c r="D50" s="3398"/>
      <c r="E50" s="3388"/>
      <c r="F50" s="3396"/>
      <c r="G50" s="3396"/>
    </row>
    <row r="51" spans="1:7" ht="20.25" customHeight="1">
      <c r="A51" s="3384"/>
      <c r="B51" s="3379" t="s">
        <v>9103</v>
      </c>
      <c r="C51" s="3396"/>
      <c r="D51" s="3398"/>
      <c r="E51" s="3388"/>
      <c r="F51" s="3396"/>
      <c r="G51" s="3396"/>
    </row>
    <row r="52" spans="1:7" ht="33" customHeight="1">
      <c r="A52" s="3384"/>
      <c r="B52" s="3379" t="s">
        <v>4644</v>
      </c>
      <c r="C52" s="3396"/>
      <c r="D52" s="3398"/>
      <c r="E52" s="3388"/>
      <c r="F52" s="3396"/>
      <c r="G52" s="3396"/>
    </row>
    <row r="53" spans="1:7" ht="50.25" customHeight="1">
      <c r="A53" s="3384"/>
      <c r="B53" s="3379" t="s">
        <v>4645</v>
      </c>
      <c r="C53" s="3396"/>
      <c r="D53" s="3398"/>
      <c r="E53" s="3388"/>
      <c r="F53" s="3396"/>
      <c r="G53" s="3396"/>
    </row>
    <row r="54" spans="1:7" ht="32.25" customHeight="1">
      <c r="A54" s="3384"/>
      <c r="B54" s="3379" t="s">
        <v>4646</v>
      </c>
      <c r="C54" s="3396"/>
      <c r="D54" s="3398"/>
      <c r="E54" s="3388"/>
      <c r="F54" s="3396"/>
      <c r="G54" s="3396"/>
    </row>
    <row r="55" spans="1:7" s="1292" customFormat="1" ht="52.5" customHeight="1">
      <c r="A55" s="3384"/>
      <c r="B55" s="1150" t="s">
        <v>9104</v>
      </c>
      <c r="C55" s="2626"/>
      <c r="D55" s="3398"/>
      <c r="E55" s="3388"/>
      <c r="F55" s="3396"/>
      <c r="G55" s="3396"/>
    </row>
    <row r="56" spans="1:7" s="1293" customFormat="1" ht="48.75" customHeight="1" thickBot="1">
      <c r="A56" s="3384"/>
      <c r="B56" s="3379" t="s">
        <v>4647</v>
      </c>
      <c r="C56" s="3398"/>
      <c r="D56" s="2628" t="s">
        <v>9108</v>
      </c>
      <c r="E56" s="3388"/>
      <c r="F56" s="3396" t="s">
        <v>1816</v>
      </c>
      <c r="G56" s="3396" t="s">
        <v>1748</v>
      </c>
    </row>
    <row r="57" spans="1:7" s="1293" customFormat="1" ht="15.75" customHeight="1">
      <c r="A57" s="3380"/>
      <c r="B57" s="3380"/>
      <c r="C57" s="3399"/>
      <c r="D57" s="3594"/>
      <c r="E57" s="3595"/>
      <c r="F57" s="3596"/>
      <c r="G57" s="3596"/>
    </row>
    <row r="58" spans="1:7" s="1293" customFormat="1" ht="15.75" customHeight="1">
      <c r="A58" s="3378"/>
      <c r="B58" s="3378"/>
      <c r="C58" s="3397"/>
      <c r="D58" s="3597"/>
      <c r="E58" s="3591"/>
      <c r="F58" s="3395"/>
      <c r="G58" s="3395"/>
    </row>
    <row r="59" spans="1:7" s="1293" customFormat="1" ht="15.75" customHeight="1">
      <c r="A59" s="3378"/>
      <c r="B59" s="3378"/>
      <c r="C59" s="3397"/>
      <c r="D59" s="3597"/>
      <c r="E59" s="3591"/>
      <c r="F59" s="3395"/>
      <c r="G59" s="3395"/>
    </row>
    <row r="60" spans="1:7" s="1293" customFormat="1" ht="15.75" customHeight="1" thickBot="1">
      <c r="A60" s="3378"/>
      <c r="B60" s="3378"/>
      <c r="C60" s="3397"/>
      <c r="D60" s="3597"/>
      <c r="E60" s="3591"/>
      <c r="F60" s="3395"/>
      <c r="G60" s="3395"/>
    </row>
    <row r="61" spans="1:7" s="3584" customFormat="1" ht="28.5" customHeight="1" thickBot="1">
      <c r="A61" s="3599" t="s">
        <v>1734</v>
      </c>
      <c r="B61" s="14493" t="s">
        <v>3241</v>
      </c>
      <c r="C61" s="14495" t="s">
        <v>1736</v>
      </c>
      <c r="D61" s="14497" t="s">
        <v>1737</v>
      </c>
      <c r="E61" s="14495" t="s">
        <v>1738</v>
      </c>
      <c r="F61" s="14499" t="s">
        <v>1739</v>
      </c>
      <c r="G61" s="14500"/>
    </row>
    <row r="62" spans="1:7" s="896" customFormat="1" ht="18.75" customHeight="1" thickBot="1">
      <c r="A62" s="3600"/>
      <c r="B62" s="14494"/>
      <c r="C62" s="14496"/>
      <c r="D62" s="14498"/>
      <c r="E62" s="14496"/>
      <c r="F62" s="3586" t="s">
        <v>1789</v>
      </c>
      <c r="G62" s="3586" t="s">
        <v>1790</v>
      </c>
    </row>
    <row r="63" spans="1:7" s="1293" customFormat="1" ht="48.75" customHeight="1">
      <c r="A63" s="3384"/>
      <c r="B63" s="1150" t="s">
        <v>9105</v>
      </c>
      <c r="C63" s="3398"/>
      <c r="D63" s="3398"/>
      <c r="E63" s="3388"/>
      <c r="F63" s="3398"/>
      <c r="G63" s="3398"/>
    </row>
    <row r="64" spans="1:7" ht="21" customHeight="1">
      <c r="A64" s="3384"/>
      <c r="B64" s="3379" t="s">
        <v>9106</v>
      </c>
      <c r="C64" s="3398"/>
      <c r="D64" s="3398"/>
      <c r="E64" s="3388"/>
      <c r="F64" s="3398"/>
      <c r="G64" s="3398"/>
    </row>
    <row r="65" spans="1:7" ht="31.5" customHeight="1">
      <c r="A65" s="3384"/>
      <c r="B65" s="3379" t="s">
        <v>4648</v>
      </c>
      <c r="C65" s="3398"/>
      <c r="D65" s="3398"/>
      <c r="E65" s="3388"/>
      <c r="F65" s="3398"/>
      <c r="G65" s="3398"/>
    </row>
    <row r="66" spans="1:7" ht="7.5" customHeight="1" thickBot="1">
      <c r="A66" s="3385"/>
      <c r="B66" s="3382"/>
      <c r="C66" s="1132"/>
      <c r="D66" s="1132"/>
      <c r="E66" s="3389"/>
      <c r="F66" s="1132"/>
      <c r="G66" s="1132"/>
    </row>
    <row r="67" spans="1:7" ht="19.5" customHeight="1">
      <c r="A67" s="14482"/>
      <c r="B67" s="2635" t="s">
        <v>9109</v>
      </c>
      <c r="C67" s="3432"/>
      <c r="D67" s="14490"/>
      <c r="E67" s="2623"/>
      <c r="F67" s="2636"/>
      <c r="G67" s="2636"/>
    </row>
    <row r="68" spans="1:7" ht="18" customHeight="1">
      <c r="A68" s="14483"/>
      <c r="B68" s="2637" t="s">
        <v>4649</v>
      </c>
      <c r="C68" s="1153">
        <v>80000</v>
      </c>
      <c r="D68" s="14491"/>
      <c r="E68" s="1153">
        <v>100000</v>
      </c>
      <c r="F68" s="2638" t="s">
        <v>1816</v>
      </c>
      <c r="G68" s="2638" t="s">
        <v>1743</v>
      </c>
    </row>
    <row r="69" spans="1:7" ht="38.25" customHeight="1">
      <c r="A69" s="14483"/>
      <c r="B69" s="2637" t="s">
        <v>4650</v>
      </c>
      <c r="C69" s="1153">
        <v>80000</v>
      </c>
      <c r="D69" s="14491"/>
      <c r="E69" s="1153">
        <v>100000</v>
      </c>
      <c r="F69" s="2620"/>
      <c r="G69" s="2620"/>
    </row>
    <row r="70" spans="1:7" ht="23.25" customHeight="1">
      <c r="A70" s="14483"/>
      <c r="B70" s="2637" t="s">
        <v>4651</v>
      </c>
      <c r="C70" s="1153">
        <v>100000</v>
      </c>
      <c r="D70" s="14491"/>
      <c r="E70" s="1153">
        <v>100000</v>
      </c>
      <c r="F70" s="2620"/>
      <c r="G70" s="2620"/>
    </row>
    <row r="71" spans="1:7" ht="18.75" customHeight="1">
      <c r="A71" s="14483"/>
      <c r="B71" s="2637" t="s">
        <v>4652</v>
      </c>
      <c r="C71" s="1153">
        <v>50000</v>
      </c>
      <c r="D71" s="14491"/>
      <c r="E71" s="1153">
        <v>50000</v>
      </c>
      <c r="F71" s="2620"/>
      <c r="G71" s="2620"/>
    </row>
    <row r="72" spans="1:7" ht="21" customHeight="1">
      <c r="A72" s="14483"/>
      <c r="B72" s="2637" t="s">
        <v>4653</v>
      </c>
      <c r="C72" s="1153">
        <v>24000</v>
      </c>
      <c r="D72" s="14491"/>
      <c r="E72" s="1153">
        <v>24000</v>
      </c>
      <c r="F72" s="2620"/>
      <c r="G72" s="2620"/>
    </row>
    <row r="73" spans="1:7" ht="21" customHeight="1">
      <c r="A73" s="14483"/>
      <c r="B73" s="2637" t="s">
        <v>4654</v>
      </c>
      <c r="C73" s="1153">
        <v>58850</v>
      </c>
      <c r="D73" s="14491"/>
      <c r="E73" s="1153">
        <v>58850</v>
      </c>
      <c r="F73" s="2620"/>
      <c r="G73" s="2620"/>
    </row>
    <row r="74" spans="1:7" ht="18.75" customHeight="1">
      <c r="A74" s="14483"/>
      <c r="B74" s="2637" t="s">
        <v>4655</v>
      </c>
      <c r="C74" s="1153">
        <v>5000</v>
      </c>
      <c r="D74" s="14491"/>
      <c r="E74" s="1153">
        <v>5000</v>
      </c>
      <c r="F74" s="2620"/>
      <c r="G74" s="2620"/>
    </row>
    <row r="75" spans="1:7" ht="35.25" customHeight="1">
      <c r="A75" s="14483"/>
      <c r="B75" s="2637" t="s">
        <v>4656</v>
      </c>
      <c r="C75" s="1153">
        <v>36000</v>
      </c>
      <c r="D75" s="14491"/>
      <c r="E75" s="1153">
        <v>36000</v>
      </c>
      <c r="F75" s="2620"/>
      <c r="G75" s="2620"/>
    </row>
    <row r="76" spans="1:7" ht="33.75" customHeight="1">
      <c r="A76" s="14483"/>
      <c r="B76" s="2637" t="s">
        <v>4657</v>
      </c>
      <c r="C76" s="1153">
        <v>24000</v>
      </c>
      <c r="D76" s="14491"/>
      <c r="E76" s="1153">
        <v>24000</v>
      </c>
      <c r="F76" s="2620"/>
      <c r="G76" s="2620"/>
    </row>
    <row r="77" spans="1:7" ht="49.5" customHeight="1">
      <c r="A77" s="14483"/>
      <c r="B77" s="2637" t="s">
        <v>4658</v>
      </c>
      <c r="C77" s="1153">
        <v>200000</v>
      </c>
      <c r="D77" s="14491"/>
      <c r="E77" s="1153">
        <v>200000</v>
      </c>
      <c r="F77" s="2620"/>
      <c r="G77" s="2620"/>
    </row>
    <row r="78" spans="1:7" ht="33.75" customHeight="1">
      <c r="A78" s="14483"/>
      <c r="B78" s="2637" t="s">
        <v>4659</v>
      </c>
      <c r="C78" s="1153">
        <v>260000</v>
      </c>
      <c r="D78" s="14491"/>
      <c r="E78" s="1153">
        <v>350000</v>
      </c>
      <c r="F78" s="2620"/>
      <c r="G78" s="2620"/>
    </row>
    <row r="79" spans="1:7" ht="20.25" customHeight="1">
      <c r="A79" s="14483"/>
      <c r="B79" s="2637" t="s">
        <v>4660</v>
      </c>
      <c r="C79" s="1153">
        <v>60000</v>
      </c>
      <c r="D79" s="14491"/>
      <c r="E79" s="1153">
        <v>60000</v>
      </c>
      <c r="F79" s="2620"/>
      <c r="G79" s="2620"/>
    </row>
    <row r="80" spans="1:7" ht="36" customHeight="1">
      <c r="A80" s="14483"/>
      <c r="B80" s="2637" t="s">
        <v>4661</v>
      </c>
      <c r="C80" s="1153">
        <v>30000</v>
      </c>
      <c r="D80" s="14491"/>
      <c r="E80" s="1153">
        <v>30000</v>
      </c>
      <c r="F80" s="2620"/>
      <c r="G80" s="2620"/>
    </row>
    <row r="81" spans="1:7" ht="20.25" customHeight="1">
      <c r="A81" s="14483"/>
      <c r="B81" s="2637" t="s">
        <v>4662</v>
      </c>
      <c r="C81" s="1153">
        <v>5000</v>
      </c>
      <c r="D81" s="14491"/>
      <c r="E81" s="1153">
        <v>5000</v>
      </c>
      <c r="F81" s="2620"/>
      <c r="G81" s="2620"/>
    </row>
    <row r="82" spans="1:7" ht="25.5" customHeight="1">
      <c r="A82" s="14483"/>
      <c r="B82" s="14504" t="s">
        <v>4663</v>
      </c>
      <c r="C82" s="1153">
        <v>20000</v>
      </c>
      <c r="D82" s="14491"/>
      <c r="E82" s="1153">
        <v>20000</v>
      </c>
      <c r="F82" s="2620"/>
      <c r="G82" s="2620"/>
    </row>
    <row r="83" spans="1:7" ht="17.25" customHeight="1" thickBot="1">
      <c r="A83" s="14514"/>
      <c r="B83" s="14505"/>
      <c r="C83" s="3431"/>
      <c r="D83" s="14492"/>
      <c r="E83" s="1154"/>
      <c r="F83" s="2621"/>
      <c r="G83" s="2621"/>
    </row>
    <row r="84" spans="1:7">
      <c r="A84" s="14483"/>
      <c r="B84" s="2632" t="s">
        <v>9110</v>
      </c>
      <c r="C84" s="3432"/>
      <c r="D84" s="14491" t="s">
        <v>4666</v>
      </c>
      <c r="E84" s="1144"/>
      <c r="F84" s="1285"/>
      <c r="G84" s="1285"/>
    </row>
    <row r="85" spans="1:7">
      <c r="A85" s="14483"/>
      <c r="B85" s="2630" t="s">
        <v>116</v>
      </c>
      <c r="C85" s="3430"/>
      <c r="D85" s="14491"/>
      <c r="E85" s="1146"/>
      <c r="F85" s="1285" t="s">
        <v>1816</v>
      </c>
      <c r="G85" s="1285" t="s">
        <v>1746</v>
      </c>
    </row>
    <row r="86" spans="1:7">
      <c r="A86" s="14483"/>
      <c r="B86" s="2630" t="s">
        <v>9111</v>
      </c>
      <c r="C86" s="1145">
        <v>80000</v>
      </c>
      <c r="D86" s="14491"/>
      <c r="E86" s="1145">
        <v>80000</v>
      </c>
      <c r="F86" s="1149"/>
      <c r="G86" s="1149"/>
    </row>
    <row r="87" spans="1:7" ht="21.75" customHeight="1">
      <c r="A87" s="14483"/>
      <c r="B87" s="2630" t="s">
        <v>4664</v>
      </c>
      <c r="C87" s="1145">
        <v>30000</v>
      </c>
      <c r="D87" s="14491"/>
      <c r="E87" s="1145">
        <v>30000</v>
      </c>
      <c r="F87" s="1149"/>
      <c r="G87" s="1149"/>
    </row>
    <row r="88" spans="1:7" ht="21" customHeight="1">
      <c r="A88" s="14483"/>
      <c r="B88" s="2630" t="s">
        <v>4665</v>
      </c>
      <c r="C88" s="1145">
        <v>20000</v>
      </c>
      <c r="D88" s="14491"/>
      <c r="E88" s="1145">
        <v>20000</v>
      </c>
      <c r="F88" s="1149"/>
      <c r="G88" s="1149"/>
    </row>
    <row r="89" spans="1:7" ht="16.5" customHeight="1">
      <c r="A89" s="14483"/>
      <c r="B89" s="2630" t="s">
        <v>9112</v>
      </c>
      <c r="C89" s="1145">
        <v>30000</v>
      </c>
      <c r="D89" s="14491"/>
      <c r="E89" s="1145">
        <v>30000</v>
      </c>
      <c r="F89" s="1149"/>
      <c r="G89" s="1149"/>
    </row>
    <row r="90" spans="1:7" ht="18" customHeight="1" thickBot="1">
      <c r="A90" s="14514"/>
      <c r="B90" s="2631"/>
      <c r="C90" s="3431"/>
      <c r="D90" s="14492"/>
      <c r="E90" s="1132"/>
      <c r="F90" s="1132"/>
      <c r="G90" s="1132"/>
    </row>
    <row r="91" spans="1:7" ht="15.6" thickBot="1">
      <c r="A91" s="2622"/>
      <c r="B91" s="1147" t="s">
        <v>220</v>
      </c>
      <c r="C91" s="3601">
        <f>SUM(C24:C90)</f>
        <v>1192850</v>
      </c>
      <c r="D91" s="2634"/>
      <c r="E91" s="1148"/>
      <c r="F91" s="2624"/>
      <c r="G91" s="2624"/>
    </row>
    <row r="92" spans="1:7" hidden="1">
      <c r="A92" s="14515" t="s">
        <v>9113</v>
      </c>
      <c r="B92" s="14516"/>
      <c r="C92" s="14516"/>
      <c r="D92" s="14516"/>
      <c r="E92" s="14516"/>
      <c r="F92" s="14516"/>
      <c r="G92" s="14517"/>
    </row>
    <row r="93" spans="1:7" ht="30" hidden="1" customHeight="1">
      <c r="A93" s="14506"/>
      <c r="B93" s="14507"/>
      <c r="C93" s="14507"/>
      <c r="D93" s="14507"/>
      <c r="E93" s="14507"/>
      <c r="F93" s="14507"/>
      <c r="G93" s="14508"/>
    </row>
    <row r="94" spans="1:7" hidden="1">
      <c r="A94" s="14506"/>
      <c r="B94" s="14507"/>
      <c r="C94" s="14507"/>
      <c r="D94" s="14507"/>
      <c r="E94" s="14507"/>
      <c r="F94" s="14507"/>
      <c r="G94" s="14508"/>
    </row>
    <row r="95" spans="1:7" hidden="1">
      <c r="A95" s="14509" t="s">
        <v>9114</v>
      </c>
      <c r="B95" s="14477"/>
      <c r="C95" s="14477"/>
      <c r="D95" s="14477"/>
      <c r="E95" s="14477"/>
      <c r="F95" s="14477"/>
      <c r="G95" s="14510"/>
    </row>
    <row r="96" spans="1:7" ht="30" hidden="1" customHeight="1">
      <c r="A96" s="14511" t="s">
        <v>9115</v>
      </c>
      <c r="B96" s="14512"/>
      <c r="C96" s="14512"/>
      <c r="D96" s="14512"/>
      <c r="E96" s="14512"/>
      <c r="F96" s="14512"/>
      <c r="G96" s="14513"/>
    </row>
    <row r="97" spans="1:7" ht="30" hidden="1" customHeight="1">
      <c r="A97" s="14506"/>
      <c r="B97" s="14507"/>
      <c r="C97" s="14507"/>
      <c r="D97" s="14507"/>
      <c r="E97" s="14507"/>
      <c r="F97" s="14507"/>
      <c r="G97" s="14508"/>
    </row>
    <row r="98" spans="1:7" hidden="1">
      <c r="A98" s="14506"/>
      <c r="B98" s="14507"/>
      <c r="C98" s="14507"/>
      <c r="D98" s="14507"/>
      <c r="E98" s="14507"/>
      <c r="F98" s="14507"/>
      <c r="G98" s="14508"/>
    </row>
    <row r="99" spans="1:7" ht="15.6" hidden="1" thickBot="1">
      <c r="A99" s="14501" t="s">
        <v>9116</v>
      </c>
      <c r="B99" s="14502"/>
      <c r="C99" s="14502"/>
      <c r="D99" s="14502"/>
      <c r="E99" s="14502"/>
      <c r="F99" s="14502"/>
      <c r="G99" s="14503"/>
    </row>
    <row r="100" spans="1:7" hidden="1"/>
    <row r="101" spans="1:7" hidden="1"/>
  </sheetData>
  <mergeCells count="53">
    <mergeCell ref="A99:G99"/>
    <mergeCell ref="B82:B83"/>
    <mergeCell ref="B22:B23"/>
    <mergeCell ref="C22:C23"/>
    <mergeCell ref="D22:D23"/>
    <mergeCell ref="E22:E23"/>
    <mergeCell ref="A94:G94"/>
    <mergeCell ref="A95:G95"/>
    <mergeCell ref="A96:G96"/>
    <mergeCell ref="A97:G97"/>
    <mergeCell ref="A98:G98"/>
    <mergeCell ref="A84:A90"/>
    <mergeCell ref="D84:D90"/>
    <mergeCell ref="A92:G92"/>
    <mergeCell ref="A93:G93"/>
    <mergeCell ref="A67:A83"/>
    <mergeCell ref="D67:D83"/>
    <mergeCell ref="B61:B62"/>
    <mergeCell ref="C61:C62"/>
    <mergeCell ref="D61:D62"/>
    <mergeCell ref="F22:G22"/>
    <mergeCell ref="F61:G61"/>
    <mergeCell ref="B35:B36"/>
    <mergeCell ref="C35:C36"/>
    <mergeCell ref="D35:D36"/>
    <mergeCell ref="E35:E36"/>
    <mergeCell ref="F35:G35"/>
    <mergeCell ref="E61:E62"/>
    <mergeCell ref="A37:A44"/>
    <mergeCell ref="C37:C44"/>
    <mergeCell ref="E37:E44"/>
    <mergeCell ref="F37:F44"/>
    <mergeCell ref="G37:G44"/>
    <mergeCell ref="A20:G20"/>
    <mergeCell ref="A21:G21"/>
    <mergeCell ref="A13:G13"/>
    <mergeCell ref="A14:G14"/>
    <mergeCell ref="A15:G15"/>
    <mergeCell ref="A16:G16"/>
    <mergeCell ref="A17:G17"/>
    <mergeCell ref="A1:G1"/>
    <mergeCell ref="A3:G3"/>
    <mergeCell ref="A4:G4"/>
    <mergeCell ref="A18:G18"/>
    <mergeCell ref="A19:G19"/>
    <mergeCell ref="A10:G10"/>
    <mergeCell ref="A11:G11"/>
    <mergeCell ref="A12:G12"/>
    <mergeCell ref="A5:G5"/>
    <mergeCell ref="A6:G6"/>
    <mergeCell ref="A7:G7"/>
    <mergeCell ref="A8:G8"/>
    <mergeCell ref="A9:G9"/>
  </mergeCells>
  <pageMargins left="0.5" right="0.25" top="0.75" bottom="0.5" header="0.31" footer="0.25"/>
  <pageSetup paperSize="119" firstPageNumber="33" orientation="portrait" useFirstPageNumber="1" r:id="rId1"/>
</worksheet>
</file>

<file path=xl/worksheets/sheet51.xml><?xml version="1.0" encoding="utf-8"?>
<worksheet xmlns="http://schemas.openxmlformats.org/spreadsheetml/2006/main" xmlns:r="http://schemas.openxmlformats.org/officeDocument/2006/relationships">
  <sheetPr codeName="Sheet81">
    <tabColor rgb="FFFFFF00"/>
  </sheetPr>
  <dimension ref="A1:E21"/>
  <sheetViews>
    <sheetView workbookViewId="0">
      <selection activeCell="F17" sqref="F17"/>
    </sheetView>
  </sheetViews>
  <sheetFormatPr defaultRowHeight="14.4"/>
  <cols>
    <col min="1" max="1" width="30.44140625" customWidth="1"/>
    <col min="2" max="2" width="15.109375" customWidth="1"/>
    <col min="3" max="3" width="19.109375" customWidth="1"/>
    <col min="4" max="4" width="13.44140625" customWidth="1"/>
    <col min="5" max="5" width="15" style="1298" customWidth="1"/>
  </cols>
  <sheetData>
    <row r="1" spans="1:5">
      <c r="A1" s="1158" t="s">
        <v>4673</v>
      </c>
    </row>
    <row r="2" spans="1:5">
      <c r="A2" s="1158"/>
    </row>
    <row r="3" spans="1:5">
      <c r="A3" s="1158" t="s">
        <v>4672</v>
      </c>
    </row>
    <row r="4" spans="1:5">
      <c r="A4" s="1158"/>
    </row>
    <row r="5" spans="1:5">
      <c r="A5" s="14518" t="s">
        <v>3822</v>
      </c>
      <c r="B5" s="14520" t="s">
        <v>4671</v>
      </c>
      <c r="C5" s="14521"/>
      <c r="D5" s="14522"/>
      <c r="E5" s="1299"/>
    </row>
    <row r="6" spans="1:5" ht="45" customHeight="1">
      <c r="A6" s="14519"/>
      <c r="B6" s="1157" t="s">
        <v>2151</v>
      </c>
      <c r="C6" s="1157" t="s">
        <v>4670</v>
      </c>
      <c r="D6" s="1157" t="s">
        <v>52</v>
      </c>
      <c r="E6" s="1297" t="s">
        <v>458</v>
      </c>
    </row>
    <row r="7" spans="1:5" ht="45" customHeight="1">
      <c r="A7" s="1570" t="s">
        <v>2435</v>
      </c>
      <c r="B7" s="1564"/>
      <c r="C7" s="1564"/>
      <c r="D7" s="1564"/>
      <c r="E7" s="1565"/>
    </row>
    <row r="8" spans="1:5">
      <c r="A8" s="1566" t="s">
        <v>4669</v>
      </c>
      <c r="B8" s="1567"/>
      <c r="C8" s="1568" t="e">
        <f>'lbpf 3-EDCOM'!#REF!</f>
        <v>#REF!</v>
      </c>
      <c r="D8" s="1569"/>
      <c r="E8" s="1562" t="e">
        <f>SUM(B8:D8)</f>
        <v>#REF!</v>
      </c>
    </row>
    <row r="9" spans="1:5">
      <c r="A9" s="3602"/>
      <c r="B9" s="1561"/>
      <c r="C9" s="1561"/>
      <c r="D9" s="1294"/>
      <c r="E9" s="1300">
        <f>SUM(B9:D9)</f>
        <v>0</v>
      </c>
    </row>
    <row r="10" spans="1:5">
      <c r="A10" s="2025"/>
      <c r="B10" s="1294"/>
      <c r="C10" s="1294"/>
      <c r="D10" s="1294"/>
      <c r="E10" s="1300">
        <f>SUM(B10:D10)</f>
        <v>0</v>
      </c>
    </row>
    <row r="11" spans="1:5">
      <c r="A11" s="2025" t="s">
        <v>116</v>
      </c>
      <c r="B11" s="1294"/>
      <c r="C11" s="1294"/>
      <c r="D11" s="1295">
        <f>'lbpf 3-EDCOM'!K65</f>
        <v>1100000</v>
      </c>
      <c r="E11" s="1300">
        <f>SUM(B11:D11)</f>
        <v>1100000</v>
      </c>
    </row>
    <row r="12" spans="1:5" s="3422" customFormat="1">
      <c r="A12" s="2025"/>
      <c r="B12" s="2025"/>
      <c r="C12" s="2025"/>
      <c r="D12" s="2386"/>
      <c r="E12" s="3604"/>
    </row>
    <row r="13" spans="1:5" s="3422" customFormat="1">
      <c r="A13" s="2025"/>
      <c r="B13" s="2025"/>
      <c r="C13" s="2025"/>
      <c r="D13" s="2386"/>
      <c r="E13" s="3604"/>
    </row>
    <row r="14" spans="1:5" s="3422" customFormat="1">
      <c r="A14" s="2025"/>
      <c r="B14" s="2025"/>
      <c r="C14" s="2025"/>
      <c r="D14" s="2386"/>
      <c r="E14" s="3604"/>
    </row>
    <row r="15" spans="1:5" s="3422" customFormat="1">
      <c r="A15" s="2025"/>
      <c r="B15" s="2025"/>
      <c r="C15" s="2025"/>
      <c r="D15" s="2386"/>
      <c r="E15" s="3604"/>
    </row>
    <row r="16" spans="1:5" s="3422" customFormat="1">
      <c r="A16" s="2025"/>
      <c r="B16" s="2025"/>
      <c r="C16" s="2025"/>
      <c r="D16" s="2386"/>
      <c r="E16" s="3604"/>
    </row>
    <row r="17" spans="1:5" s="3422" customFormat="1">
      <c r="A17" s="2025"/>
      <c r="B17" s="2025"/>
      <c r="C17" s="2025"/>
      <c r="D17" s="2386"/>
      <c r="E17" s="3604"/>
    </row>
    <row r="18" spans="1:5">
      <c r="A18" s="2025"/>
      <c r="B18" s="1294"/>
      <c r="C18" s="1294"/>
      <c r="D18" s="1294"/>
      <c r="E18" s="1300">
        <f>SUM(B18:D18)</f>
        <v>0</v>
      </c>
    </row>
    <row r="19" spans="1:5" s="882" customFormat="1" ht="21" customHeight="1">
      <c r="A19" s="1828" t="s">
        <v>458</v>
      </c>
      <c r="B19" s="3603">
        <f>SUM(B7:B18)</f>
        <v>0</v>
      </c>
      <c r="C19" s="3603" t="e">
        <f>SUM(C7:C18)</f>
        <v>#REF!</v>
      </c>
      <c r="D19" s="3603">
        <f>SUM(D7:D18)</f>
        <v>1100000</v>
      </c>
      <c r="E19" s="1563" t="e">
        <f>SUM(E8:E18)</f>
        <v>#REF!</v>
      </c>
    </row>
    <row r="20" spans="1:5">
      <c r="A20" s="1296"/>
      <c r="B20" s="1296"/>
      <c r="C20" s="1296"/>
      <c r="D20" s="1296"/>
      <c r="E20" s="1301"/>
    </row>
    <row r="21" spans="1:5">
      <c r="A21" s="1155"/>
      <c r="B21" s="1155"/>
      <c r="C21" s="1155"/>
      <c r="D21" s="1155"/>
      <c r="E21" s="1156"/>
    </row>
  </sheetData>
  <mergeCells count="2">
    <mergeCell ref="A5:A6"/>
    <mergeCell ref="B5:D5"/>
  </mergeCells>
  <printOptions horizontalCentered="1"/>
  <pageMargins left="0.5" right="0.25" top="0.75" bottom="0.5" header="0.3" footer="0.25"/>
  <pageSetup paperSize="119" firstPageNumber="37" orientation="portrait" useFirstPageNumber="1" r:id="rId1"/>
</worksheet>
</file>

<file path=xl/worksheets/sheet52.xml><?xml version="1.0" encoding="utf-8"?>
<worksheet xmlns="http://schemas.openxmlformats.org/spreadsheetml/2006/main" xmlns:r="http://schemas.openxmlformats.org/officeDocument/2006/relationships">
  <sheetPr codeName="Sheet84">
    <tabColor rgb="FFFFFF00"/>
  </sheetPr>
  <dimension ref="A1:G110"/>
  <sheetViews>
    <sheetView showGridLines="0" topLeftCell="A94" workbookViewId="0">
      <selection activeCell="A93" sqref="A93:XFD93"/>
    </sheetView>
  </sheetViews>
  <sheetFormatPr defaultColWidth="9.109375" defaultRowHeight="13.8"/>
  <cols>
    <col min="1" max="1" width="4.88671875" style="1140" customWidth="1"/>
    <col min="2" max="2" width="35.109375" style="1140" customWidth="1"/>
    <col min="3" max="3" width="10.109375" style="1140" customWidth="1"/>
    <col min="4" max="4" width="19.109375" style="1140" customWidth="1"/>
    <col min="5" max="5" width="13.109375" style="1140" customWidth="1"/>
    <col min="6" max="6" width="7.88671875" style="1141" customWidth="1"/>
    <col min="7" max="7" width="8" style="1141" customWidth="1"/>
    <col min="8" max="16384" width="9.109375" style="1140"/>
  </cols>
  <sheetData>
    <row r="1" spans="1:7" ht="15.6">
      <c r="A1" s="14549" t="s">
        <v>1801</v>
      </c>
      <c r="B1" s="14549"/>
      <c r="C1" s="14549"/>
      <c r="D1" s="14549"/>
      <c r="E1" s="14549"/>
      <c r="F1" s="14549"/>
      <c r="G1" s="14549"/>
    </row>
    <row r="2" spans="1:7" ht="15.6">
      <c r="A2" s="3377"/>
      <c r="B2" s="3377"/>
      <c r="C2" s="3377"/>
      <c r="D2" s="3377"/>
      <c r="E2" s="3377"/>
      <c r="F2" s="3377"/>
      <c r="G2" s="3377"/>
    </row>
    <row r="3" spans="1:7">
      <c r="A3" s="1140" t="s">
        <v>9354</v>
      </c>
    </row>
    <row r="4" spans="1:7">
      <c r="A4" s="1140" t="s">
        <v>9355</v>
      </c>
    </row>
    <row r="5" spans="1:7" ht="9.75" customHeight="1"/>
    <row r="6" spans="1:7" s="3605" customFormat="1">
      <c r="A6" s="3605" t="s">
        <v>2059</v>
      </c>
      <c r="F6" s="3606"/>
      <c r="G6" s="3606"/>
    </row>
    <row r="7" spans="1:7" s="3607" customFormat="1" ht="51.75" customHeight="1">
      <c r="A7" s="14548" t="s">
        <v>9030</v>
      </c>
      <c r="B7" s="14548"/>
      <c r="C7" s="14548"/>
      <c r="D7" s="14548"/>
      <c r="E7" s="14548"/>
      <c r="F7" s="14548"/>
      <c r="G7" s="14548"/>
    </row>
    <row r="8" spans="1:7" ht="6.75" customHeight="1">
      <c r="A8" s="2583"/>
      <c r="B8" s="3411"/>
      <c r="C8" s="3411"/>
      <c r="D8" s="3411"/>
      <c r="E8" s="3411"/>
      <c r="F8" s="3411"/>
      <c r="G8" s="3411"/>
    </row>
    <row r="9" spans="1:7" s="3605" customFormat="1">
      <c r="A9" s="3605" t="s">
        <v>3587</v>
      </c>
      <c r="F9" s="3606"/>
      <c r="G9" s="3606"/>
    </row>
    <row r="10" spans="1:7">
      <c r="A10" s="1140" t="s">
        <v>2090</v>
      </c>
      <c r="B10" s="14551" t="s">
        <v>9031</v>
      </c>
      <c r="C10" s="14551"/>
      <c r="D10" s="14551"/>
      <c r="E10" s="14551"/>
      <c r="F10" s="14551"/>
      <c r="G10" s="14551"/>
    </row>
    <row r="11" spans="1:7">
      <c r="A11" s="1140" t="s">
        <v>2091</v>
      </c>
      <c r="B11" s="14551" t="s">
        <v>9032</v>
      </c>
      <c r="C11" s="14551"/>
      <c r="D11" s="14551"/>
      <c r="E11" s="14551"/>
      <c r="F11" s="14551"/>
      <c r="G11" s="14551"/>
    </row>
    <row r="12" spans="1:7" ht="33" customHeight="1">
      <c r="A12" s="1140" t="s">
        <v>2092</v>
      </c>
      <c r="B12" s="14550" t="s">
        <v>9033</v>
      </c>
      <c r="C12" s="14550"/>
      <c r="D12" s="14550"/>
      <c r="E12" s="14550"/>
      <c r="F12" s="14550"/>
      <c r="G12" s="14550"/>
    </row>
    <row r="13" spans="1:7">
      <c r="A13" s="1140" t="s">
        <v>2094</v>
      </c>
      <c r="B13" s="14552" t="s">
        <v>9356</v>
      </c>
      <c r="C13" s="14552"/>
      <c r="D13" s="14552"/>
      <c r="E13" s="14552"/>
      <c r="F13" s="14552"/>
      <c r="G13" s="14552"/>
    </row>
    <row r="14" spans="1:7" ht="11.25" customHeight="1"/>
    <row r="15" spans="1:7" s="3605" customFormat="1" ht="14.4" thickBot="1">
      <c r="A15" s="3605" t="s">
        <v>2551</v>
      </c>
      <c r="F15" s="3606"/>
      <c r="G15" s="3606"/>
    </row>
    <row r="16" spans="1:7" s="3353" customFormat="1" ht="31.5" customHeight="1" thickBot="1">
      <c r="A16" s="2584" t="s">
        <v>2045</v>
      </c>
      <c r="B16" s="3412" t="s">
        <v>9034</v>
      </c>
      <c r="C16" s="3412" t="s">
        <v>1736</v>
      </c>
      <c r="D16" s="3412" t="s">
        <v>1760</v>
      </c>
      <c r="E16" s="3412" t="s">
        <v>1764</v>
      </c>
      <c r="F16" s="14523" t="s">
        <v>1739</v>
      </c>
      <c r="G16" s="14524"/>
    </row>
    <row r="17" spans="1:7" s="3608" customFormat="1" ht="28.5" customHeight="1" thickBot="1">
      <c r="A17" s="3413" t="s">
        <v>1734</v>
      </c>
      <c r="B17" s="2585"/>
      <c r="C17" s="2585"/>
      <c r="D17" s="2585"/>
      <c r="E17" s="2585"/>
      <c r="F17" s="2585" t="s">
        <v>1789</v>
      </c>
      <c r="G17" s="2585" t="s">
        <v>1790</v>
      </c>
    </row>
    <row r="18" spans="1:7" s="3609" customFormat="1" ht="5.25" customHeight="1">
      <c r="A18" s="14545"/>
      <c r="B18" s="3408"/>
      <c r="C18" s="14545"/>
      <c r="D18" s="14545"/>
      <c r="E18" s="14545"/>
      <c r="F18" s="14553" t="s">
        <v>1808</v>
      </c>
      <c r="G18" s="14553" t="s">
        <v>1819</v>
      </c>
    </row>
    <row r="19" spans="1:7" s="3609" customFormat="1" ht="11.25" customHeight="1">
      <c r="A19" s="14546"/>
      <c r="B19" s="3408" t="s">
        <v>3588</v>
      </c>
      <c r="C19" s="14546"/>
      <c r="D19" s="14546"/>
      <c r="E19" s="14546"/>
      <c r="F19" s="14554"/>
      <c r="G19" s="14554"/>
    </row>
    <row r="20" spans="1:7" s="3609" customFormat="1" ht="6.75" customHeight="1" thickBot="1">
      <c r="A20" s="14546"/>
      <c r="B20" s="2586"/>
      <c r="C20" s="14547"/>
      <c r="D20" s="14547"/>
      <c r="E20" s="14547"/>
      <c r="F20" s="14555"/>
      <c r="G20" s="14555"/>
    </row>
    <row r="21" spans="1:7" s="3609" customFormat="1" ht="27" thickBot="1">
      <c r="A21" s="14546"/>
      <c r="B21" s="2588" t="s">
        <v>9357</v>
      </c>
      <c r="C21" s="3410"/>
      <c r="D21" s="2589" t="s">
        <v>9035</v>
      </c>
      <c r="E21" s="2590" t="s">
        <v>3589</v>
      </c>
      <c r="F21" s="3410"/>
      <c r="G21" s="3410"/>
    </row>
    <row r="22" spans="1:7" s="3609" customFormat="1" ht="26.4">
      <c r="A22" s="14546"/>
      <c r="B22" s="2591" t="s">
        <v>9358</v>
      </c>
      <c r="C22" s="14525"/>
      <c r="D22" s="14528" t="s">
        <v>9036</v>
      </c>
      <c r="E22" s="14531" t="s">
        <v>9037</v>
      </c>
      <c r="F22" s="14525"/>
      <c r="G22" s="14525"/>
    </row>
    <row r="23" spans="1:7" s="3609" customFormat="1" ht="13.5" customHeight="1">
      <c r="A23" s="14546"/>
      <c r="B23" s="2592" t="s">
        <v>9359</v>
      </c>
      <c r="C23" s="14526"/>
      <c r="D23" s="14529"/>
      <c r="E23" s="14532"/>
      <c r="F23" s="14526"/>
      <c r="G23" s="14526"/>
    </row>
    <row r="24" spans="1:7" s="3609" customFormat="1" ht="13.5" customHeight="1">
      <c r="A24" s="14546"/>
      <c r="B24" s="2593" t="s">
        <v>9360</v>
      </c>
      <c r="C24" s="14526"/>
      <c r="D24" s="14529"/>
      <c r="E24" s="14532"/>
      <c r="F24" s="14526"/>
      <c r="G24" s="14526"/>
    </row>
    <row r="25" spans="1:7" s="3609" customFormat="1" ht="22.8">
      <c r="A25" s="14546"/>
      <c r="B25" s="2593" t="s">
        <v>9361</v>
      </c>
      <c r="C25" s="14526"/>
      <c r="D25" s="14529"/>
      <c r="E25" s="14532"/>
      <c r="F25" s="14526"/>
      <c r="G25" s="14526"/>
    </row>
    <row r="26" spans="1:7" s="3609" customFormat="1" ht="22.8">
      <c r="A26" s="14546"/>
      <c r="B26" s="2593" t="s">
        <v>9362</v>
      </c>
      <c r="C26" s="14526"/>
      <c r="D26" s="14529"/>
      <c r="E26" s="14532"/>
      <c r="F26" s="14526"/>
      <c r="G26" s="14526"/>
    </row>
    <row r="27" spans="1:7" s="3609" customFormat="1" ht="12.75" customHeight="1">
      <c r="A27" s="14546"/>
      <c r="B27" s="2593" t="s">
        <v>9363</v>
      </c>
      <c r="C27" s="14526"/>
      <c r="D27" s="14529"/>
      <c r="E27" s="14532"/>
      <c r="F27" s="14526"/>
      <c r="G27" s="14526"/>
    </row>
    <row r="28" spans="1:7" s="3609" customFormat="1" ht="12.75" customHeight="1">
      <c r="A28" s="14546"/>
      <c r="B28" s="2593" t="s">
        <v>9364</v>
      </c>
      <c r="C28" s="14526"/>
      <c r="D28" s="14529"/>
      <c r="E28" s="14532"/>
      <c r="F28" s="14526"/>
      <c r="G28" s="14526"/>
    </row>
    <row r="29" spans="1:7" s="3609" customFormat="1" ht="12.75" customHeight="1">
      <c r="A29" s="14546"/>
      <c r="B29" s="2593" t="s">
        <v>9365</v>
      </c>
      <c r="C29" s="14526"/>
      <c r="D29" s="14529"/>
      <c r="E29" s="14532"/>
      <c r="F29" s="14526"/>
      <c r="G29" s="14526"/>
    </row>
    <row r="30" spans="1:7" s="3609" customFormat="1" ht="12.75" customHeight="1">
      <c r="A30" s="14546"/>
      <c r="B30" s="2593" t="s">
        <v>9366</v>
      </c>
      <c r="C30" s="14526"/>
      <c r="D30" s="14529"/>
      <c r="E30" s="14532"/>
      <c r="F30" s="14526"/>
      <c r="G30" s="14526"/>
    </row>
    <row r="31" spans="1:7" s="3609" customFormat="1" ht="12.75" customHeight="1" thickBot="1">
      <c r="A31" s="14546"/>
      <c r="B31" s="2593" t="s">
        <v>9367</v>
      </c>
      <c r="C31" s="14526"/>
      <c r="D31" s="14529"/>
      <c r="E31" s="14532"/>
      <c r="F31" s="14526"/>
      <c r="G31" s="14526"/>
    </row>
    <row r="32" spans="1:7" s="3609" customFormat="1" ht="15" customHeight="1">
      <c r="A32" s="14546"/>
      <c r="B32" s="2603" t="s">
        <v>9368</v>
      </c>
      <c r="C32" s="14525"/>
      <c r="D32" s="14528" t="s">
        <v>9038</v>
      </c>
      <c r="E32" s="14531" t="s">
        <v>9039</v>
      </c>
      <c r="F32" s="14525"/>
      <c r="G32" s="14525"/>
    </row>
    <row r="33" spans="1:7" s="3609" customFormat="1" ht="3" customHeight="1">
      <c r="A33" s="14546"/>
      <c r="B33" s="2608"/>
      <c r="C33" s="14526"/>
      <c r="D33" s="14529"/>
      <c r="E33" s="14532"/>
      <c r="F33" s="14526"/>
      <c r="G33" s="14526"/>
    </row>
    <row r="34" spans="1:7" s="3609" customFormat="1" ht="12.75" customHeight="1">
      <c r="A34" s="14546"/>
      <c r="B34" s="2609" t="s">
        <v>9369</v>
      </c>
      <c r="C34" s="14526"/>
      <c r="D34" s="14529"/>
      <c r="E34" s="14532"/>
      <c r="F34" s="14526"/>
      <c r="G34" s="14526"/>
    </row>
    <row r="35" spans="1:7" s="3609" customFormat="1" ht="12.75" customHeight="1">
      <c r="A35" s="14546"/>
      <c r="B35" s="2609" t="s">
        <v>9370</v>
      </c>
      <c r="C35" s="14526"/>
      <c r="D35" s="14529"/>
      <c r="E35" s="14532"/>
      <c r="F35" s="14526"/>
      <c r="G35" s="14526"/>
    </row>
    <row r="36" spans="1:7" s="3609" customFormat="1" ht="12.75" customHeight="1">
      <c r="A36" s="14546"/>
      <c r="B36" s="2609" t="s">
        <v>9371</v>
      </c>
      <c r="C36" s="14526"/>
      <c r="D36" s="14529"/>
      <c r="E36" s="14532"/>
      <c r="F36" s="14526"/>
      <c r="G36" s="14526"/>
    </row>
    <row r="37" spans="1:7" s="3609" customFormat="1" ht="12.75" customHeight="1">
      <c r="A37" s="14546"/>
      <c r="B37" s="2609" t="s">
        <v>9372</v>
      </c>
      <c r="C37" s="14526"/>
      <c r="D37" s="14529"/>
      <c r="E37" s="14532"/>
      <c r="F37" s="14526"/>
      <c r="G37" s="14526"/>
    </row>
    <row r="38" spans="1:7" s="3609" customFormat="1" ht="12.75" customHeight="1">
      <c r="A38" s="14546"/>
      <c r="B38" s="2609" t="s">
        <v>9373</v>
      </c>
      <c r="C38" s="14526"/>
      <c r="D38" s="14529"/>
      <c r="E38" s="14532"/>
      <c r="F38" s="14526"/>
      <c r="G38" s="14526"/>
    </row>
    <row r="39" spans="1:7" s="3609" customFormat="1" ht="12.75" customHeight="1">
      <c r="A39" s="14546"/>
      <c r="B39" s="2609" t="s">
        <v>9374</v>
      </c>
      <c r="C39" s="14526"/>
      <c r="D39" s="14529"/>
      <c r="E39" s="14532"/>
      <c r="F39" s="14526"/>
      <c r="G39" s="14526"/>
    </row>
    <row r="40" spans="1:7" s="3609" customFormat="1" ht="12.75" customHeight="1">
      <c r="A40" s="14546"/>
      <c r="B40" s="2609" t="s">
        <v>9375</v>
      </c>
      <c r="C40" s="14526"/>
      <c r="D40" s="14529"/>
      <c r="E40" s="14532"/>
      <c r="F40" s="14526"/>
      <c r="G40" s="14526"/>
    </row>
    <row r="41" spans="1:7" s="3609" customFormat="1" ht="12.75" customHeight="1" thickBot="1">
      <c r="A41" s="14546"/>
      <c r="B41" s="2610" t="s">
        <v>9376</v>
      </c>
      <c r="C41" s="14527"/>
      <c r="D41" s="14530"/>
      <c r="E41" s="14533"/>
      <c r="F41" s="14527"/>
      <c r="G41" s="14527"/>
    </row>
    <row r="42" spans="1:7" s="3609" customFormat="1" ht="15.75" customHeight="1" thickBot="1">
      <c r="A42" s="14546"/>
      <c r="B42" s="2604" t="s">
        <v>9377</v>
      </c>
      <c r="C42" s="2605"/>
      <c r="D42" s="2606" t="s">
        <v>9040</v>
      </c>
      <c r="E42" s="2607"/>
      <c r="F42" s="2605"/>
      <c r="G42" s="2605"/>
    </row>
    <row r="43" spans="1:7" s="3610" customFormat="1" ht="42.75" customHeight="1" thickBot="1">
      <c r="A43" s="3402"/>
      <c r="B43" s="2588" t="s">
        <v>9378</v>
      </c>
      <c r="C43" s="3410"/>
      <c r="D43" s="3410" t="s">
        <v>9041</v>
      </c>
      <c r="E43" s="2598" t="s">
        <v>7139</v>
      </c>
      <c r="F43" s="3410"/>
      <c r="G43" s="3410"/>
    </row>
    <row r="44" spans="1:7" s="3609" customFormat="1" ht="6" customHeight="1">
      <c r="A44" s="14525"/>
      <c r="B44" s="3408"/>
      <c r="C44" s="14525"/>
      <c r="D44" s="14525"/>
      <c r="E44" s="14545"/>
      <c r="F44" s="14525"/>
      <c r="G44" s="14525"/>
    </row>
    <row r="45" spans="1:7" s="3609" customFormat="1">
      <c r="A45" s="14526"/>
      <c r="B45" s="3408" t="s">
        <v>3591</v>
      </c>
      <c r="C45" s="14526"/>
      <c r="D45" s="14526"/>
      <c r="E45" s="14546"/>
      <c r="F45" s="14526"/>
      <c r="G45" s="14526"/>
    </row>
    <row r="46" spans="1:7" s="3609" customFormat="1" ht="6.75" customHeight="1" thickBot="1">
      <c r="A46" s="14527"/>
      <c r="B46" s="2586"/>
      <c r="C46" s="14527"/>
      <c r="D46" s="14527"/>
      <c r="E46" s="14547"/>
      <c r="F46" s="14527"/>
      <c r="G46" s="14527"/>
    </row>
    <row r="47" spans="1:7" s="3609" customFormat="1" ht="14.4" thickBot="1">
      <c r="A47" s="3400"/>
      <c r="B47" s="2602" t="s">
        <v>9379</v>
      </c>
      <c r="C47" s="3403"/>
      <c r="D47" s="2600" t="s">
        <v>9042</v>
      </c>
      <c r="E47" s="2601" t="s">
        <v>9044</v>
      </c>
      <c r="F47" s="3400"/>
      <c r="G47" s="3400"/>
    </row>
    <row r="48" spans="1:7" s="3609" customFormat="1">
      <c r="A48" s="3616"/>
      <c r="B48" s="3617"/>
      <c r="C48" s="3618"/>
      <c r="D48" s="3618"/>
      <c r="E48" s="3619"/>
      <c r="F48" s="3616"/>
      <c r="G48" s="3616"/>
    </row>
    <row r="49" spans="1:7" s="3609" customFormat="1">
      <c r="A49" s="877"/>
      <c r="B49" s="3620"/>
      <c r="C49" s="2599"/>
      <c r="D49" s="2599"/>
      <c r="E49" s="3487"/>
      <c r="F49" s="877"/>
      <c r="G49" s="877"/>
    </row>
    <row r="50" spans="1:7" s="3609" customFormat="1">
      <c r="A50" s="877"/>
      <c r="B50" s="3620"/>
      <c r="C50" s="2599"/>
      <c r="D50" s="2599"/>
      <c r="E50" s="3487"/>
      <c r="F50" s="877"/>
      <c r="G50" s="877"/>
    </row>
    <row r="51" spans="1:7" s="3609" customFormat="1">
      <c r="A51" s="877"/>
      <c r="B51" s="3620"/>
      <c r="C51" s="2599"/>
      <c r="D51" s="2599"/>
      <c r="E51" s="3487"/>
      <c r="F51" s="877"/>
      <c r="G51" s="877"/>
    </row>
    <row r="52" spans="1:7" s="3609" customFormat="1">
      <c r="A52" s="877"/>
      <c r="B52" s="3620"/>
      <c r="C52" s="2599"/>
      <c r="D52" s="2599"/>
      <c r="E52" s="3487"/>
      <c r="F52" s="877"/>
      <c r="G52" s="877"/>
    </row>
    <row r="53" spans="1:7" s="3609" customFormat="1">
      <c r="A53" s="877"/>
      <c r="B53" s="3620"/>
      <c r="C53" s="2599"/>
      <c r="D53" s="2599"/>
      <c r="E53" s="3487"/>
      <c r="F53" s="877"/>
      <c r="G53" s="877"/>
    </row>
    <row r="54" spans="1:7" s="3609" customFormat="1">
      <c r="A54" s="877"/>
      <c r="B54" s="3620"/>
      <c r="C54" s="2599"/>
      <c r="D54" s="2599"/>
      <c r="E54" s="3487"/>
      <c r="F54" s="877"/>
      <c r="G54" s="877"/>
    </row>
    <row r="55" spans="1:7" s="3609" customFormat="1">
      <c r="A55" s="877"/>
      <c r="B55" s="3620"/>
      <c r="C55" s="2599"/>
      <c r="D55" s="2599"/>
      <c r="E55" s="3487"/>
      <c r="F55" s="877"/>
      <c r="G55" s="877"/>
    </row>
    <row r="56" spans="1:7" s="3609" customFormat="1" ht="14.4" thickBot="1">
      <c r="A56" s="3409"/>
      <c r="B56" s="3621"/>
      <c r="C56" s="3622"/>
      <c r="D56" s="3622"/>
      <c r="E56" s="3623"/>
      <c r="F56" s="3409"/>
      <c r="G56" s="3409"/>
    </row>
    <row r="57" spans="1:7" s="3353" customFormat="1" ht="33.75" customHeight="1" thickBot="1">
      <c r="A57" s="2584" t="s">
        <v>2045</v>
      </c>
      <c r="B57" s="3412" t="s">
        <v>9034</v>
      </c>
      <c r="C57" s="3412" t="s">
        <v>1736</v>
      </c>
      <c r="D57" s="3412" t="s">
        <v>1760</v>
      </c>
      <c r="E57" s="3412" t="s">
        <v>1764</v>
      </c>
      <c r="F57" s="14523" t="s">
        <v>1739</v>
      </c>
      <c r="G57" s="14524"/>
    </row>
    <row r="58" spans="1:7" s="3608" customFormat="1" ht="28.5" customHeight="1" thickBot="1">
      <c r="A58" s="3413" t="s">
        <v>1734</v>
      </c>
      <c r="B58" s="2585"/>
      <c r="C58" s="2585"/>
      <c r="D58" s="2585"/>
      <c r="E58" s="2585"/>
      <c r="F58" s="2585" t="s">
        <v>1789</v>
      </c>
      <c r="G58" s="2585" t="s">
        <v>1790</v>
      </c>
    </row>
    <row r="59" spans="1:7" s="3609" customFormat="1" ht="68.400000000000006">
      <c r="A59" s="3401"/>
      <c r="B59" s="2593" t="s">
        <v>9380</v>
      </c>
      <c r="C59" s="3404"/>
      <c r="D59" s="2596" t="s">
        <v>9035</v>
      </c>
      <c r="E59" s="2597" t="s">
        <v>9044</v>
      </c>
      <c r="F59" s="3401"/>
      <c r="G59" s="3401"/>
    </row>
    <row r="60" spans="1:7" s="3609" customFormat="1" ht="51.75" customHeight="1">
      <c r="A60" s="3401"/>
      <c r="B60" s="2593" t="s">
        <v>9381</v>
      </c>
      <c r="C60" s="3404"/>
      <c r="D60" s="2596" t="s">
        <v>9043</v>
      </c>
      <c r="E60" s="3611"/>
      <c r="F60" s="3401"/>
      <c r="G60" s="3401"/>
    </row>
    <row r="61" spans="1:7" s="3609" customFormat="1" ht="27.75" customHeight="1" thickBot="1">
      <c r="A61" s="3402"/>
      <c r="B61" s="2594" t="s">
        <v>9382</v>
      </c>
      <c r="C61" s="3405"/>
      <c r="D61" s="2589" t="s">
        <v>9043</v>
      </c>
      <c r="E61" s="3612"/>
      <c r="F61" s="3402"/>
      <c r="G61" s="3402"/>
    </row>
    <row r="62" spans="1:7" s="3609" customFormat="1" ht="2.25" customHeight="1">
      <c r="A62" s="14525"/>
      <c r="B62" s="14536"/>
      <c r="C62" s="14537"/>
      <c r="D62" s="14537"/>
      <c r="E62" s="14537"/>
      <c r="F62" s="14537"/>
      <c r="G62" s="14538"/>
    </row>
    <row r="63" spans="1:7" s="3610" customFormat="1" ht="13.5" customHeight="1">
      <c r="A63" s="14526"/>
      <c r="B63" s="14539" t="s">
        <v>3592</v>
      </c>
      <c r="C63" s="14540"/>
      <c r="D63" s="14540"/>
      <c r="E63" s="14540"/>
      <c r="F63" s="14540"/>
      <c r="G63" s="14541"/>
    </row>
    <row r="64" spans="1:7" s="3613" customFormat="1" ht="2.25" customHeight="1" thickBot="1">
      <c r="A64" s="14527"/>
      <c r="B64" s="14542"/>
      <c r="C64" s="14543"/>
      <c r="D64" s="14543"/>
      <c r="E64" s="14543"/>
      <c r="F64" s="14543"/>
      <c r="G64" s="14544"/>
    </row>
    <row r="65" spans="1:7" s="3609" customFormat="1" ht="22.8">
      <c r="A65" s="14525"/>
      <c r="B65" s="2596" t="s">
        <v>9383</v>
      </c>
      <c r="C65" s="14528"/>
      <c r="D65" s="2596" t="s">
        <v>9045</v>
      </c>
      <c r="E65" s="2597"/>
      <c r="F65" s="14525"/>
      <c r="G65" s="14525"/>
    </row>
    <row r="66" spans="1:7" s="3609" customFormat="1" ht="11.25" customHeight="1">
      <c r="A66" s="14526"/>
      <c r="B66" s="2596"/>
      <c r="C66" s="14529"/>
      <c r="D66" s="2596"/>
      <c r="E66" s="2597"/>
      <c r="F66" s="14526"/>
      <c r="G66" s="14526"/>
    </row>
    <row r="67" spans="1:7" s="3609" customFormat="1" ht="59.25" customHeight="1">
      <c r="A67" s="14526"/>
      <c r="B67" s="2596" t="s">
        <v>9384</v>
      </c>
      <c r="C67" s="14529"/>
      <c r="D67" s="2596" t="s">
        <v>9046</v>
      </c>
      <c r="E67" s="2597" t="s">
        <v>9047</v>
      </c>
      <c r="F67" s="14526"/>
      <c r="G67" s="14526"/>
    </row>
    <row r="68" spans="1:7" s="3609" customFormat="1" ht="50.25" customHeight="1" thickBot="1">
      <c r="A68" s="14526"/>
      <c r="B68" s="3404" t="s">
        <v>9385</v>
      </c>
      <c r="C68" s="14529"/>
      <c r="D68" s="2596" t="s">
        <v>9046</v>
      </c>
      <c r="E68" s="2597" t="s">
        <v>3594</v>
      </c>
      <c r="F68" s="14526"/>
      <c r="G68" s="14526"/>
    </row>
    <row r="69" spans="1:7" s="3613" customFormat="1" ht="11.25" customHeight="1">
      <c r="A69" s="14525"/>
      <c r="B69" s="14534" t="s">
        <v>857</v>
      </c>
      <c r="C69" s="14534"/>
      <c r="D69" s="14534"/>
      <c r="E69" s="14534"/>
      <c r="F69" s="14534"/>
      <c r="G69" s="14534"/>
    </row>
    <row r="70" spans="1:7" s="3609" customFormat="1" ht="3.75" customHeight="1" thickBot="1">
      <c r="A70" s="14527"/>
      <c r="B70" s="14527"/>
      <c r="C70" s="14527"/>
      <c r="D70" s="14527"/>
      <c r="E70" s="14527"/>
      <c r="F70" s="14527"/>
      <c r="G70" s="14527"/>
    </row>
    <row r="71" spans="1:7" s="3609" customFormat="1" ht="29.25" customHeight="1">
      <c r="A71" s="14525"/>
      <c r="B71" s="3408" t="s">
        <v>3595</v>
      </c>
      <c r="C71" s="14525"/>
      <c r="D71" s="2596"/>
      <c r="E71" s="2597"/>
      <c r="F71" s="14525"/>
      <c r="G71" s="14525"/>
    </row>
    <row r="72" spans="1:7" s="3609" customFormat="1" ht="34.200000000000003">
      <c r="A72" s="14526"/>
      <c r="B72" s="2593" t="s">
        <v>9386</v>
      </c>
      <c r="C72" s="14526"/>
      <c r="D72" s="2596" t="s">
        <v>9048</v>
      </c>
      <c r="E72" s="2597" t="s">
        <v>3596</v>
      </c>
      <c r="F72" s="14526"/>
      <c r="G72" s="14526"/>
    </row>
    <row r="73" spans="1:7" s="3609" customFormat="1" ht="22.8">
      <c r="A73" s="14526"/>
      <c r="B73" s="2593" t="s">
        <v>9387</v>
      </c>
      <c r="C73" s="14526"/>
      <c r="D73" s="2599" t="s">
        <v>9049</v>
      </c>
      <c r="E73" s="3406" t="s">
        <v>3596</v>
      </c>
      <c r="F73" s="14526"/>
      <c r="G73" s="14526"/>
    </row>
    <row r="74" spans="1:7" s="3609" customFormat="1" ht="32.25" customHeight="1">
      <c r="A74" s="14526"/>
      <c r="B74" s="2593" t="s">
        <v>9388</v>
      </c>
      <c r="C74" s="14526"/>
      <c r="D74" s="2599" t="s">
        <v>9050</v>
      </c>
      <c r="E74" s="3406" t="s">
        <v>3597</v>
      </c>
      <c r="F74" s="14526"/>
      <c r="G74" s="14526"/>
    </row>
    <row r="75" spans="1:7" s="3613" customFormat="1" ht="15" customHeight="1">
      <c r="A75" s="14526"/>
      <c r="B75" s="2593" t="s">
        <v>9389</v>
      </c>
      <c r="C75" s="14526"/>
      <c r="D75" s="14535" t="s">
        <v>9051</v>
      </c>
      <c r="E75" s="3406" t="s">
        <v>3598</v>
      </c>
      <c r="F75" s="14526"/>
      <c r="G75" s="14526"/>
    </row>
    <row r="76" spans="1:7" s="3609" customFormat="1" ht="14.25" customHeight="1">
      <c r="A76" s="14526"/>
      <c r="B76" s="2593" t="s">
        <v>9390</v>
      </c>
      <c r="C76" s="14526"/>
      <c r="D76" s="14535"/>
      <c r="E76" s="2597" t="s">
        <v>3599</v>
      </c>
      <c r="F76" s="14526"/>
      <c r="G76" s="14526"/>
    </row>
    <row r="77" spans="1:7" s="3613" customFormat="1" ht="14.4">
      <c r="A77" s="14526"/>
      <c r="B77" s="2593" t="s">
        <v>9391</v>
      </c>
      <c r="C77" s="14526"/>
      <c r="D77" s="3611"/>
      <c r="E77" s="3406"/>
      <c r="F77" s="14526"/>
      <c r="G77" s="14526"/>
    </row>
    <row r="78" spans="1:7" s="3609" customFormat="1" ht="14.4" thickBot="1">
      <c r="A78" s="14526"/>
      <c r="B78" s="2593" t="s">
        <v>9392</v>
      </c>
      <c r="C78" s="14526"/>
      <c r="D78" s="3611"/>
      <c r="E78" s="3417"/>
      <c r="F78" s="14526"/>
      <c r="G78" s="14526"/>
    </row>
    <row r="79" spans="1:7" s="3609" customFormat="1">
      <c r="A79" s="14525"/>
      <c r="B79" s="3407" t="s">
        <v>3600</v>
      </c>
      <c r="C79" s="14525"/>
      <c r="D79" s="2600"/>
      <c r="E79" s="2601"/>
      <c r="F79" s="14525"/>
      <c r="G79" s="14525"/>
    </row>
    <row r="80" spans="1:7" s="3609" customFormat="1">
      <c r="A80" s="14526"/>
      <c r="B80" s="2593" t="s">
        <v>9393</v>
      </c>
      <c r="C80" s="14526"/>
      <c r="D80" s="2596"/>
      <c r="E80" s="2597"/>
      <c r="F80" s="14526"/>
      <c r="G80" s="14526"/>
    </row>
    <row r="81" spans="1:7" s="3609" customFormat="1" ht="20.25" customHeight="1">
      <c r="A81" s="14526"/>
      <c r="B81" s="2593" t="s">
        <v>9394</v>
      </c>
      <c r="C81" s="14526"/>
      <c r="D81" s="2596" t="s">
        <v>3601</v>
      </c>
      <c r="E81" s="2597" t="s">
        <v>3602</v>
      </c>
      <c r="F81" s="14526"/>
      <c r="G81" s="14526"/>
    </row>
    <row r="82" spans="1:7" s="3609" customFormat="1" ht="26.25" customHeight="1">
      <c r="A82" s="14526"/>
      <c r="B82" s="2593" t="s">
        <v>9395</v>
      </c>
      <c r="C82" s="14526"/>
      <c r="D82" s="2596" t="s">
        <v>9052</v>
      </c>
      <c r="E82" s="2597" t="s">
        <v>3603</v>
      </c>
      <c r="F82" s="14526"/>
      <c r="G82" s="14526"/>
    </row>
    <row r="83" spans="1:7" s="3609" customFormat="1" ht="22.8">
      <c r="A83" s="14526"/>
      <c r="B83" s="2593" t="s">
        <v>9396</v>
      </c>
      <c r="C83" s="14526"/>
      <c r="D83" s="2596" t="s">
        <v>3604</v>
      </c>
      <c r="E83" s="2597" t="s">
        <v>9055</v>
      </c>
      <c r="F83" s="14526"/>
      <c r="G83" s="14526"/>
    </row>
    <row r="84" spans="1:7" s="3609" customFormat="1">
      <c r="A84" s="14526"/>
      <c r="B84" s="2593" t="s">
        <v>9397</v>
      </c>
      <c r="C84" s="14526"/>
      <c r="D84" s="3404" t="s">
        <v>3605</v>
      </c>
      <c r="E84" s="2597" t="s">
        <v>3606</v>
      </c>
      <c r="F84" s="14526"/>
      <c r="G84" s="14526"/>
    </row>
    <row r="85" spans="1:7" s="3609" customFormat="1">
      <c r="A85" s="14526"/>
      <c r="B85" s="2593" t="s">
        <v>9398</v>
      </c>
      <c r="C85" s="14526"/>
      <c r="D85" s="3404" t="s">
        <v>3607</v>
      </c>
      <c r="E85" s="2597" t="s">
        <v>9056</v>
      </c>
      <c r="F85" s="14526"/>
      <c r="G85" s="14526"/>
    </row>
    <row r="86" spans="1:7" s="3609" customFormat="1">
      <c r="A86" s="14526"/>
      <c r="B86" s="2593" t="s">
        <v>9399</v>
      </c>
      <c r="C86" s="14526"/>
      <c r="D86" s="3404" t="s">
        <v>9053</v>
      </c>
      <c r="E86" s="2597" t="s">
        <v>3608</v>
      </c>
      <c r="F86" s="14526"/>
      <c r="G86" s="14526"/>
    </row>
    <row r="87" spans="1:7" s="3609" customFormat="1" ht="34.799999999999997" thickBot="1">
      <c r="A87" s="14527"/>
      <c r="B87" s="3614" t="s">
        <v>9400</v>
      </c>
      <c r="C87" s="14527"/>
      <c r="D87" s="3405" t="s">
        <v>9054</v>
      </c>
      <c r="E87" s="3615"/>
      <c r="F87" s="14527"/>
      <c r="G87" s="14527"/>
    </row>
    <row r="88" spans="1:7" s="3609" customFormat="1">
      <c r="A88" s="3616"/>
      <c r="B88" s="3624"/>
      <c r="C88" s="3616"/>
      <c r="D88" s="3618"/>
      <c r="E88" s="3625"/>
      <c r="F88" s="3616"/>
      <c r="G88" s="3616"/>
    </row>
    <row r="89" spans="1:7" s="3609" customFormat="1">
      <c r="A89" s="877"/>
      <c r="B89" s="3626"/>
      <c r="C89" s="877"/>
      <c r="D89" s="2599"/>
      <c r="E89" s="1657"/>
      <c r="F89" s="877"/>
      <c r="G89" s="877"/>
    </row>
    <row r="90" spans="1:7" s="3609" customFormat="1">
      <c r="A90" s="877"/>
      <c r="B90" s="3626"/>
      <c r="C90" s="877"/>
      <c r="D90" s="2599"/>
      <c r="E90" s="1657"/>
      <c r="F90" s="877"/>
      <c r="G90" s="877"/>
    </row>
    <row r="91" spans="1:7" s="3609" customFormat="1">
      <c r="A91" s="877"/>
      <c r="B91" s="3626"/>
      <c r="C91" s="877"/>
      <c r="D91" s="2599"/>
      <c r="E91" s="1657"/>
      <c r="F91" s="877"/>
      <c r="G91" s="877"/>
    </row>
    <row r="92" spans="1:7" s="3609" customFormat="1">
      <c r="A92" s="877"/>
      <c r="B92" s="3626"/>
      <c r="C92" s="877"/>
      <c r="D92" s="2599"/>
      <c r="E92" s="1657"/>
      <c r="F92" s="877"/>
      <c r="G92" s="877"/>
    </row>
    <row r="93" spans="1:7" s="3609" customFormat="1" ht="14.4" thickBot="1">
      <c r="A93" s="3409"/>
      <c r="B93" s="3627"/>
      <c r="C93" s="3409"/>
      <c r="D93" s="3622"/>
      <c r="E93" s="3615"/>
      <c r="F93" s="3409"/>
      <c r="G93" s="3409"/>
    </row>
    <row r="94" spans="1:7" s="3353" customFormat="1" ht="36.75" customHeight="1" thickBot="1">
      <c r="A94" s="2584" t="s">
        <v>2045</v>
      </c>
      <c r="B94" s="3412" t="s">
        <v>9034</v>
      </c>
      <c r="C94" s="3412" t="s">
        <v>1736</v>
      </c>
      <c r="D94" s="3412" t="s">
        <v>1760</v>
      </c>
      <c r="E94" s="3412" t="s">
        <v>1764</v>
      </c>
      <c r="F94" s="14523" t="s">
        <v>1739</v>
      </c>
      <c r="G94" s="14524"/>
    </row>
    <row r="95" spans="1:7" s="3608" customFormat="1" ht="28.5" customHeight="1" thickBot="1">
      <c r="A95" s="3413" t="s">
        <v>1734</v>
      </c>
      <c r="B95" s="2585"/>
      <c r="C95" s="2585"/>
      <c r="D95" s="2585"/>
      <c r="E95" s="2585"/>
      <c r="F95" s="2585" t="s">
        <v>1789</v>
      </c>
      <c r="G95" s="2585" t="s">
        <v>1790</v>
      </c>
    </row>
    <row r="96" spans="1:7" s="3609" customFormat="1">
      <c r="A96" s="3400"/>
      <c r="B96" s="3407" t="s">
        <v>720</v>
      </c>
      <c r="C96" s="3400"/>
      <c r="D96" s="2611"/>
      <c r="E96" s="2612"/>
      <c r="F96" s="3400"/>
      <c r="G96" s="3400"/>
    </row>
    <row r="97" spans="1:7" s="3609" customFormat="1" ht="27" thickBot="1">
      <c r="A97" s="3402"/>
      <c r="B97" s="2593" t="s">
        <v>9401</v>
      </c>
      <c r="C97" s="3402"/>
      <c r="D97" s="2595" t="s">
        <v>3609</v>
      </c>
      <c r="E97" s="2587" t="s">
        <v>9057</v>
      </c>
      <c r="F97" s="3402"/>
      <c r="G97" s="3402"/>
    </row>
    <row r="98" spans="1:7" s="3609" customFormat="1">
      <c r="A98" s="3400"/>
      <c r="B98" s="3407" t="s">
        <v>9058</v>
      </c>
      <c r="C98" s="3400"/>
      <c r="D98" s="2600"/>
      <c r="E98" s="2601"/>
      <c r="F98" s="3400"/>
      <c r="G98" s="3400"/>
    </row>
    <row r="99" spans="1:7" s="3609" customFormat="1" ht="22.8">
      <c r="A99" s="3401"/>
      <c r="B99" s="2593" t="s">
        <v>9402</v>
      </c>
      <c r="C99" s="3401"/>
      <c r="D99" s="2596" t="s">
        <v>9059</v>
      </c>
      <c r="E99" s="2597" t="s">
        <v>9061</v>
      </c>
      <c r="F99" s="3401"/>
      <c r="G99" s="3401"/>
    </row>
    <row r="100" spans="1:7" s="3609" customFormat="1" ht="14.4" thickBot="1">
      <c r="A100" s="3402"/>
      <c r="B100" s="3614" t="s">
        <v>9403</v>
      </c>
      <c r="C100" s="3402"/>
      <c r="D100" s="2589" t="s">
        <v>9060</v>
      </c>
      <c r="E100" s="3612"/>
      <c r="F100" s="3402"/>
      <c r="G100" s="3402"/>
    </row>
    <row r="101" spans="1:7">
      <c r="A101" s="14525"/>
      <c r="B101" s="3407" t="s">
        <v>3573</v>
      </c>
      <c r="C101" s="14525"/>
      <c r="D101" s="14528" t="s">
        <v>9062</v>
      </c>
      <c r="E101" s="14531" t="s">
        <v>3568</v>
      </c>
      <c r="F101" s="14525"/>
      <c r="G101" s="14525"/>
    </row>
    <row r="102" spans="1:7">
      <c r="A102" s="14526"/>
      <c r="B102" s="2593" t="s">
        <v>9404</v>
      </c>
      <c r="C102" s="14526"/>
      <c r="D102" s="14529"/>
      <c r="E102" s="14532"/>
      <c r="F102" s="14526"/>
      <c r="G102" s="14526"/>
    </row>
    <row r="103" spans="1:7">
      <c r="A103" s="14526"/>
      <c r="B103" s="2593" t="s">
        <v>9405</v>
      </c>
      <c r="C103" s="14526"/>
      <c r="D103" s="14529"/>
      <c r="E103" s="14532"/>
      <c r="F103" s="14526"/>
      <c r="G103" s="14526"/>
    </row>
    <row r="104" spans="1:7">
      <c r="A104" s="14526"/>
      <c r="B104" s="2593" t="s">
        <v>9406</v>
      </c>
      <c r="C104" s="14526"/>
      <c r="D104" s="14529"/>
      <c r="E104" s="14532"/>
      <c r="F104" s="14526"/>
      <c r="G104" s="14526"/>
    </row>
    <row r="105" spans="1:7">
      <c r="A105" s="14526"/>
      <c r="B105" s="2593" t="s">
        <v>9407</v>
      </c>
      <c r="C105" s="14526"/>
      <c r="D105" s="14529"/>
      <c r="E105" s="14532"/>
      <c r="F105" s="14526"/>
      <c r="G105" s="14526"/>
    </row>
    <row r="106" spans="1:7" ht="11.25" customHeight="1">
      <c r="A106" s="14526"/>
      <c r="B106" s="2593" t="s">
        <v>9408</v>
      </c>
      <c r="C106" s="14526"/>
      <c r="D106" s="14529"/>
      <c r="E106" s="14532"/>
      <c r="F106" s="14526"/>
      <c r="G106" s="14526"/>
    </row>
    <row r="107" spans="1:7" ht="12" customHeight="1" thickBot="1">
      <c r="A107" s="14527"/>
      <c r="B107" s="2594" t="s">
        <v>9409</v>
      </c>
      <c r="C107" s="14527"/>
      <c r="D107" s="14530"/>
      <c r="E107" s="14533"/>
      <c r="F107" s="14527"/>
      <c r="G107" s="14527"/>
    </row>
    <row r="108" spans="1:7">
      <c r="A108" s="14525"/>
      <c r="B108" s="3408" t="s">
        <v>9063</v>
      </c>
      <c r="C108" s="14525"/>
      <c r="D108" s="14525"/>
      <c r="E108" s="2587"/>
      <c r="F108" s="14525"/>
      <c r="G108" s="14525"/>
    </row>
    <row r="109" spans="1:7" ht="22.8">
      <c r="A109" s="14526"/>
      <c r="B109" s="2593" t="s">
        <v>9410</v>
      </c>
      <c r="C109" s="14526"/>
      <c r="D109" s="14526"/>
      <c r="E109" s="3406"/>
      <c r="F109" s="14526"/>
      <c r="G109" s="14526"/>
    </row>
    <row r="110" spans="1:7" ht="25.2" thickBot="1">
      <c r="A110" s="14527"/>
      <c r="B110" s="3614" t="s">
        <v>9411</v>
      </c>
      <c r="C110" s="14527"/>
      <c r="D110" s="14527"/>
      <c r="E110" s="2590" t="s">
        <v>3577</v>
      </c>
      <c r="F110" s="14527"/>
      <c r="G110" s="14527"/>
    </row>
  </sheetData>
  <mergeCells count="62">
    <mergeCell ref="B13:G13"/>
    <mergeCell ref="A18:A42"/>
    <mergeCell ref="C18:C20"/>
    <mergeCell ref="D18:D20"/>
    <mergeCell ref="E18:E20"/>
    <mergeCell ref="F16:G16"/>
    <mergeCell ref="F18:F20"/>
    <mergeCell ref="G18:G20"/>
    <mergeCell ref="F22:F31"/>
    <mergeCell ref="G22:G31"/>
    <mergeCell ref="E32:E41"/>
    <mergeCell ref="F32:F41"/>
    <mergeCell ref="G32:G41"/>
    <mergeCell ref="C32:C41"/>
    <mergeCell ref="D32:D41"/>
    <mergeCell ref="C22:C31"/>
    <mergeCell ref="A7:G7"/>
    <mergeCell ref="A1:G1"/>
    <mergeCell ref="B12:G12"/>
    <mergeCell ref="B10:G10"/>
    <mergeCell ref="B11:G11"/>
    <mergeCell ref="D22:D31"/>
    <mergeCell ref="E22:E31"/>
    <mergeCell ref="G44:G46"/>
    <mergeCell ref="A44:A46"/>
    <mergeCell ref="C44:C46"/>
    <mergeCell ref="D44:D46"/>
    <mergeCell ref="E44:E46"/>
    <mergeCell ref="F44:F46"/>
    <mergeCell ref="A62:A64"/>
    <mergeCell ref="B62:G62"/>
    <mergeCell ref="B63:G63"/>
    <mergeCell ref="B64:G64"/>
    <mergeCell ref="A65:A68"/>
    <mergeCell ref="C65:C68"/>
    <mergeCell ref="F65:F68"/>
    <mergeCell ref="G65:G68"/>
    <mergeCell ref="G79:G87"/>
    <mergeCell ref="A69:A70"/>
    <mergeCell ref="B69:G69"/>
    <mergeCell ref="B70:G70"/>
    <mergeCell ref="A71:A78"/>
    <mergeCell ref="C71:C78"/>
    <mergeCell ref="F71:F78"/>
    <mergeCell ref="G71:G78"/>
    <mergeCell ref="D75:D76"/>
    <mergeCell ref="F57:G57"/>
    <mergeCell ref="F94:G94"/>
    <mergeCell ref="A108:A110"/>
    <mergeCell ref="C108:C110"/>
    <mergeCell ref="D108:D110"/>
    <mergeCell ref="F108:F110"/>
    <mergeCell ref="G108:G110"/>
    <mergeCell ref="A101:A107"/>
    <mergeCell ref="C101:C107"/>
    <mergeCell ref="D101:D107"/>
    <mergeCell ref="E101:E107"/>
    <mergeCell ref="F101:F107"/>
    <mergeCell ref="G101:G107"/>
    <mergeCell ref="A79:A87"/>
    <mergeCell ref="C79:C87"/>
    <mergeCell ref="F79:F87"/>
  </mergeCells>
  <pageMargins left="0.5" right="0.25" top="0.75" bottom="0.5" header="0.3" footer="0.25"/>
  <pageSetup paperSize="119" firstPageNumber="28" orientation="portrait" useFirstPageNumber="1" horizontalDpi="300" verticalDpi="300" r:id="rId1"/>
</worksheet>
</file>

<file path=xl/worksheets/sheet53.xml><?xml version="1.0" encoding="utf-8"?>
<worksheet xmlns="http://schemas.openxmlformats.org/spreadsheetml/2006/main" xmlns:r="http://schemas.openxmlformats.org/officeDocument/2006/relationships">
  <sheetPr codeName="Sheet14">
    <tabColor theme="8" tint="-0.249977111117893"/>
  </sheetPr>
  <dimension ref="A1:N94"/>
  <sheetViews>
    <sheetView showGridLines="0" topLeftCell="B1" workbookViewId="0">
      <selection activeCell="K2" sqref="K1:R1048576"/>
    </sheetView>
  </sheetViews>
  <sheetFormatPr defaultRowHeight="15" customHeight="1"/>
  <cols>
    <col min="1" max="1" width="3.88671875" style="7351" customWidth="1"/>
    <col min="2" max="2" width="55.5546875" style="7351" customWidth="1"/>
    <col min="3" max="3" width="16" style="7351" hidden="1" customWidth="1"/>
    <col min="4" max="4" width="12.5546875" style="7383" customWidth="1"/>
    <col min="5" max="6" width="15.5546875" style="7338" customWidth="1"/>
    <col min="7" max="7" width="15.5546875" style="9534" customWidth="1"/>
    <col min="8" max="8" width="15.5546875" style="7843" customWidth="1"/>
    <col min="9" max="9" width="14.109375" style="7338" hidden="1" customWidth="1"/>
    <col min="10" max="10" width="9" style="7348" hidden="1" customWidth="1"/>
    <col min="11" max="11" width="15.5546875" style="7843" customWidth="1"/>
    <col min="12" max="12" width="16" style="7351" customWidth="1"/>
    <col min="13" max="13" width="4.44140625" style="7383" customWidth="1"/>
    <col min="14" max="17" width="8.88671875" style="7351" customWidth="1"/>
    <col min="18" max="232" width="9.109375" style="7351"/>
    <col min="233" max="233" width="3.88671875" style="7351" customWidth="1"/>
    <col min="234" max="234" width="37.109375" style="7351" customWidth="1"/>
    <col min="235" max="235" width="15.88671875" style="7351" customWidth="1"/>
    <col min="236" max="236" width="13.44140625" style="7351" customWidth="1"/>
    <col min="237" max="237" width="14.109375" style="7351" customWidth="1"/>
    <col min="238" max="238" width="16.44140625" style="7351" customWidth="1"/>
    <col min="239" max="488" width="9.109375" style="7351"/>
    <col min="489" max="489" width="3.88671875" style="7351" customWidth="1"/>
    <col min="490" max="490" width="37.109375" style="7351" customWidth="1"/>
    <col min="491" max="491" width="15.88671875" style="7351" customWidth="1"/>
    <col min="492" max="492" width="13.44140625" style="7351" customWidth="1"/>
    <col min="493" max="493" width="14.109375" style="7351" customWidth="1"/>
    <col min="494" max="494" width="16.44140625" style="7351" customWidth="1"/>
    <col min="495" max="744" width="9.109375" style="7351"/>
    <col min="745" max="745" width="3.88671875" style="7351" customWidth="1"/>
    <col min="746" max="746" width="37.109375" style="7351" customWidth="1"/>
    <col min="747" max="747" width="15.88671875" style="7351" customWidth="1"/>
    <col min="748" max="748" width="13.44140625" style="7351" customWidth="1"/>
    <col min="749" max="749" width="14.109375" style="7351" customWidth="1"/>
    <col min="750" max="750" width="16.44140625" style="7351" customWidth="1"/>
    <col min="751" max="1000" width="9.109375" style="7351"/>
    <col min="1001" max="1001" width="3.88671875" style="7351" customWidth="1"/>
    <col min="1002" max="1002" width="37.109375" style="7351" customWidth="1"/>
    <col min="1003" max="1003" width="15.88671875" style="7351" customWidth="1"/>
    <col min="1004" max="1004" width="13.44140625" style="7351" customWidth="1"/>
    <col min="1005" max="1005" width="14.109375" style="7351" customWidth="1"/>
    <col min="1006" max="1006" width="16.44140625" style="7351" customWidth="1"/>
    <col min="1007" max="1256" width="9.109375" style="7351"/>
    <col min="1257" max="1257" width="3.88671875" style="7351" customWidth="1"/>
    <col min="1258" max="1258" width="37.109375" style="7351" customWidth="1"/>
    <col min="1259" max="1259" width="15.88671875" style="7351" customWidth="1"/>
    <col min="1260" max="1260" width="13.44140625" style="7351" customWidth="1"/>
    <col min="1261" max="1261" width="14.109375" style="7351" customWidth="1"/>
    <col min="1262" max="1262" width="16.44140625" style="7351" customWidth="1"/>
    <col min="1263" max="1512" width="9.109375" style="7351"/>
    <col min="1513" max="1513" width="3.88671875" style="7351" customWidth="1"/>
    <col min="1514" max="1514" width="37.109375" style="7351" customWidth="1"/>
    <col min="1515" max="1515" width="15.88671875" style="7351" customWidth="1"/>
    <col min="1516" max="1516" width="13.44140625" style="7351" customWidth="1"/>
    <col min="1517" max="1517" width="14.109375" style="7351" customWidth="1"/>
    <col min="1518" max="1518" width="16.44140625" style="7351" customWidth="1"/>
    <col min="1519" max="1768" width="9.109375" style="7351"/>
    <col min="1769" max="1769" width="3.88671875" style="7351" customWidth="1"/>
    <col min="1770" max="1770" width="37.109375" style="7351" customWidth="1"/>
    <col min="1771" max="1771" width="15.88671875" style="7351" customWidth="1"/>
    <col min="1772" max="1772" width="13.44140625" style="7351" customWidth="1"/>
    <col min="1773" max="1773" width="14.109375" style="7351" customWidth="1"/>
    <col min="1774" max="1774" width="16.44140625" style="7351" customWidth="1"/>
    <col min="1775" max="2024" width="9.109375" style="7351"/>
    <col min="2025" max="2025" width="3.88671875" style="7351" customWidth="1"/>
    <col min="2026" max="2026" width="37.109375" style="7351" customWidth="1"/>
    <col min="2027" max="2027" width="15.88671875" style="7351" customWidth="1"/>
    <col min="2028" max="2028" width="13.44140625" style="7351" customWidth="1"/>
    <col min="2029" max="2029" width="14.109375" style="7351" customWidth="1"/>
    <col min="2030" max="2030" width="16.44140625" style="7351" customWidth="1"/>
    <col min="2031" max="2280" width="9.109375" style="7351"/>
    <col min="2281" max="2281" width="3.88671875" style="7351" customWidth="1"/>
    <col min="2282" max="2282" width="37.109375" style="7351" customWidth="1"/>
    <col min="2283" max="2283" width="15.88671875" style="7351" customWidth="1"/>
    <col min="2284" max="2284" width="13.44140625" style="7351" customWidth="1"/>
    <col min="2285" max="2285" width="14.109375" style="7351" customWidth="1"/>
    <col min="2286" max="2286" width="16.44140625" style="7351" customWidth="1"/>
    <col min="2287" max="2536" width="9.109375" style="7351"/>
    <col min="2537" max="2537" width="3.88671875" style="7351" customWidth="1"/>
    <col min="2538" max="2538" width="37.109375" style="7351" customWidth="1"/>
    <col min="2539" max="2539" width="15.88671875" style="7351" customWidth="1"/>
    <col min="2540" max="2540" width="13.44140625" style="7351" customWidth="1"/>
    <col min="2541" max="2541" width="14.109375" style="7351" customWidth="1"/>
    <col min="2542" max="2542" width="16.44140625" style="7351" customWidth="1"/>
    <col min="2543" max="2792" width="9.109375" style="7351"/>
    <col min="2793" max="2793" width="3.88671875" style="7351" customWidth="1"/>
    <col min="2794" max="2794" width="37.109375" style="7351" customWidth="1"/>
    <col min="2795" max="2795" width="15.88671875" style="7351" customWidth="1"/>
    <col min="2796" max="2796" width="13.44140625" style="7351" customWidth="1"/>
    <col min="2797" max="2797" width="14.109375" style="7351" customWidth="1"/>
    <col min="2798" max="2798" width="16.44140625" style="7351" customWidth="1"/>
    <col min="2799" max="3048" width="9.109375" style="7351"/>
    <col min="3049" max="3049" width="3.88671875" style="7351" customWidth="1"/>
    <col min="3050" max="3050" width="37.109375" style="7351" customWidth="1"/>
    <col min="3051" max="3051" width="15.88671875" style="7351" customWidth="1"/>
    <col min="3052" max="3052" width="13.44140625" style="7351" customWidth="1"/>
    <col min="3053" max="3053" width="14.109375" style="7351" customWidth="1"/>
    <col min="3054" max="3054" width="16.44140625" style="7351" customWidth="1"/>
    <col min="3055" max="3304" width="9.109375" style="7351"/>
    <col min="3305" max="3305" width="3.88671875" style="7351" customWidth="1"/>
    <col min="3306" max="3306" width="37.109375" style="7351" customWidth="1"/>
    <col min="3307" max="3307" width="15.88671875" style="7351" customWidth="1"/>
    <col min="3308" max="3308" width="13.44140625" style="7351" customWidth="1"/>
    <col min="3309" max="3309" width="14.109375" style="7351" customWidth="1"/>
    <col min="3310" max="3310" width="16.44140625" style="7351" customWidth="1"/>
    <col min="3311" max="3560" width="9.109375" style="7351"/>
    <col min="3561" max="3561" width="3.88671875" style="7351" customWidth="1"/>
    <col min="3562" max="3562" width="37.109375" style="7351" customWidth="1"/>
    <col min="3563" max="3563" width="15.88671875" style="7351" customWidth="1"/>
    <col min="3564" max="3564" width="13.44140625" style="7351" customWidth="1"/>
    <col min="3565" max="3565" width="14.109375" style="7351" customWidth="1"/>
    <col min="3566" max="3566" width="16.44140625" style="7351" customWidth="1"/>
    <col min="3567" max="3816" width="9.109375" style="7351"/>
    <col min="3817" max="3817" width="3.88671875" style="7351" customWidth="1"/>
    <col min="3818" max="3818" width="37.109375" style="7351" customWidth="1"/>
    <col min="3819" max="3819" width="15.88671875" style="7351" customWidth="1"/>
    <col min="3820" max="3820" width="13.44140625" style="7351" customWidth="1"/>
    <col min="3821" max="3821" width="14.109375" style="7351" customWidth="1"/>
    <col min="3822" max="3822" width="16.44140625" style="7351" customWidth="1"/>
    <col min="3823" max="4072" width="9.109375" style="7351"/>
    <col min="4073" max="4073" width="3.88671875" style="7351" customWidth="1"/>
    <col min="4074" max="4074" width="37.109375" style="7351" customWidth="1"/>
    <col min="4075" max="4075" width="15.88671875" style="7351" customWidth="1"/>
    <col min="4076" max="4076" width="13.44140625" style="7351" customWidth="1"/>
    <col min="4077" max="4077" width="14.109375" style="7351" customWidth="1"/>
    <col min="4078" max="4078" width="16.44140625" style="7351" customWidth="1"/>
    <col min="4079" max="4328" width="9.109375" style="7351"/>
    <col min="4329" max="4329" width="3.88671875" style="7351" customWidth="1"/>
    <col min="4330" max="4330" width="37.109375" style="7351" customWidth="1"/>
    <col min="4331" max="4331" width="15.88671875" style="7351" customWidth="1"/>
    <col min="4332" max="4332" width="13.44140625" style="7351" customWidth="1"/>
    <col min="4333" max="4333" width="14.109375" style="7351" customWidth="1"/>
    <col min="4334" max="4334" width="16.44140625" style="7351" customWidth="1"/>
    <col min="4335" max="4584" width="9.109375" style="7351"/>
    <col min="4585" max="4585" width="3.88671875" style="7351" customWidth="1"/>
    <col min="4586" max="4586" width="37.109375" style="7351" customWidth="1"/>
    <col min="4587" max="4587" width="15.88671875" style="7351" customWidth="1"/>
    <col min="4588" max="4588" width="13.44140625" style="7351" customWidth="1"/>
    <col min="4589" max="4589" width="14.109375" style="7351" customWidth="1"/>
    <col min="4590" max="4590" width="16.44140625" style="7351" customWidth="1"/>
    <col min="4591" max="4840" width="9.109375" style="7351"/>
    <col min="4841" max="4841" width="3.88671875" style="7351" customWidth="1"/>
    <col min="4842" max="4842" width="37.109375" style="7351" customWidth="1"/>
    <col min="4843" max="4843" width="15.88671875" style="7351" customWidth="1"/>
    <col min="4844" max="4844" width="13.44140625" style="7351" customWidth="1"/>
    <col min="4845" max="4845" width="14.109375" style="7351" customWidth="1"/>
    <col min="4846" max="4846" width="16.44140625" style="7351" customWidth="1"/>
    <col min="4847" max="5096" width="9.109375" style="7351"/>
    <col min="5097" max="5097" width="3.88671875" style="7351" customWidth="1"/>
    <col min="5098" max="5098" width="37.109375" style="7351" customWidth="1"/>
    <col min="5099" max="5099" width="15.88671875" style="7351" customWidth="1"/>
    <col min="5100" max="5100" width="13.44140625" style="7351" customWidth="1"/>
    <col min="5101" max="5101" width="14.109375" style="7351" customWidth="1"/>
    <col min="5102" max="5102" width="16.44140625" style="7351" customWidth="1"/>
    <col min="5103" max="5352" width="9.109375" style="7351"/>
    <col min="5353" max="5353" width="3.88671875" style="7351" customWidth="1"/>
    <col min="5354" max="5354" width="37.109375" style="7351" customWidth="1"/>
    <col min="5355" max="5355" width="15.88671875" style="7351" customWidth="1"/>
    <col min="5356" max="5356" width="13.44140625" style="7351" customWidth="1"/>
    <col min="5357" max="5357" width="14.109375" style="7351" customWidth="1"/>
    <col min="5358" max="5358" width="16.44140625" style="7351" customWidth="1"/>
    <col min="5359" max="5608" width="9.109375" style="7351"/>
    <col min="5609" max="5609" width="3.88671875" style="7351" customWidth="1"/>
    <col min="5610" max="5610" width="37.109375" style="7351" customWidth="1"/>
    <col min="5611" max="5611" width="15.88671875" style="7351" customWidth="1"/>
    <col min="5612" max="5612" width="13.44140625" style="7351" customWidth="1"/>
    <col min="5613" max="5613" width="14.109375" style="7351" customWidth="1"/>
    <col min="5614" max="5614" width="16.44140625" style="7351" customWidth="1"/>
    <col min="5615" max="5864" width="9.109375" style="7351"/>
    <col min="5865" max="5865" width="3.88671875" style="7351" customWidth="1"/>
    <col min="5866" max="5866" width="37.109375" style="7351" customWidth="1"/>
    <col min="5867" max="5867" width="15.88671875" style="7351" customWidth="1"/>
    <col min="5868" max="5868" width="13.44140625" style="7351" customWidth="1"/>
    <col min="5869" max="5869" width="14.109375" style="7351" customWidth="1"/>
    <col min="5870" max="5870" width="16.44140625" style="7351" customWidth="1"/>
    <col min="5871" max="6120" width="9.109375" style="7351"/>
    <col min="6121" max="6121" width="3.88671875" style="7351" customWidth="1"/>
    <col min="6122" max="6122" width="37.109375" style="7351" customWidth="1"/>
    <col min="6123" max="6123" width="15.88671875" style="7351" customWidth="1"/>
    <col min="6124" max="6124" width="13.44140625" style="7351" customWidth="1"/>
    <col min="6125" max="6125" width="14.109375" style="7351" customWidth="1"/>
    <col min="6126" max="6126" width="16.44140625" style="7351" customWidth="1"/>
    <col min="6127" max="6376" width="9.109375" style="7351"/>
    <col min="6377" max="6377" width="3.88671875" style="7351" customWidth="1"/>
    <col min="6378" max="6378" width="37.109375" style="7351" customWidth="1"/>
    <col min="6379" max="6379" width="15.88671875" style="7351" customWidth="1"/>
    <col min="6380" max="6380" width="13.44140625" style="7351" customWidth="1"/>
    <col min="6381" max="6381" width="14.109375" style="7351" customWidth="1"/>
    <col min="6382" max="6382" width="16.44140625" style="7351" customWidth="1"/>
    <col min="6383" max="6632" width="9.109375" style="7351"/>
    <col min="6633" max="6633" width="3.88671875" style="7351" customWidth="1"/>
    <col min="6634" max="6634" width="37.109375" style="7351" customWidth="1"/>
    <col min="6635" max="6635" width="15.88671875" style="7351" customWidth="1"/>
    <col min="6636" max="6636" width="13.44140625" style="7351" customWidth="1"/>
    <col min="6637" max="6637" width="14.109375" style="7351" customWidth="1"/>
    <col min="6638" max="6638" width="16.44140625" style="7351" customWidth="1"/>
    <col min="6639" max="6888" width="9.109375" style="7351"/>
    <col min="6889" max="6889" width="3.88671875" style="7351" customWidth="1"/>
    <col min="6890" max="6890" width="37.109375" style="7351" customWidth="1"/>
    <col min="6891" max="6891" width="15.88671875" style="7351" customWidth="1"/>
    <col min="6892" max="6892" width="13.44140625" style="7351" customWidth="1"/>
    <col min="6893" max="6893" width="14.109375" style="7351" customWidth="1"/>
    <col min="6894" max="6894" width="16.44140625" style="7351" customWidth="1"/>
    <col min="6895" max="7144" width="9.109375" style="7351"/>
    <col min="7145" max="7145" width="3.88671875" style="7351" customWidth="1"/>
    <col min="7146" max="7146" width="37.109375" style="7351" customWidth="1"/>
    <col min="7147" max="7147" width="15.88671875" style="7351" customWidth="1"/>
    <col min="7148" max="7148" width="13.44140625" style="7351" customWidth="1"/>
    <col min="7149" max="7149" width="14.109375" style="7351" customWidth="1"/>
    <col min="7150" max="7150" width="16.44140625" style="7351" customWidth="1"/>
    <col min="7151" max="7400" width="9.109375" style="7351"/>
    <col min="7401" max="7401" width="3.88671875" style="7351" customWidth="1"/>
    <col min="7402" max="7402" width="37.109375" style="7351" customWidth="1"/>
    <col min="7403" max="7403" width="15.88671875" style="7351" customWidth="1"/>
    <col min="7404" max="7404" width="13.44140625" style="7351" customWidth="1"/>
    <col min="7405" max="7405" width="14.109375" style="7351" customWidth="1"/>
    <col min="7406" max="7406" width="16.44140625" style="7351" customWidth="1"/>
    <col min="7407" max="7656" width="9.109375" style="7351"/>
    <col min="7657" max="7657" width="3.88671875" style="7351" customWidth="1"/>
    <col min="7658" max="7658" width="37.109375" style="7351" customWidth="1"/>
    <col min="7659" max="7659" width="15.88671875" style="7351" customWidth="1"/>
    <col min="7660" max="7660" width="13.44140625" style="7351" customWidth="1"/>
    <col min="7661" max="7661" width="14.109375" style="7351" customWidth="1"/>
    <col min="7662" max="7662" width="16.44140625" style="7351" customWidth="1"/>
    <col min="7663" max="7912" width="9.109375" style="7351"/>
    <col min="7913" max="7913" width="3.88671875" style="7351" customWidth="1"/>
    <col min="7914" max="7914" width="37.109375" style="7351" customWidth="1"/>
    <col min="7915" max="7915" width="15.88671875" style="7351" customWidth="1"/>
    <col min="7916" max="7916" width="13.44140625" style="7351" customWidth="1"/>
    <col min="7917" max="7917" width="14.109375" style="7351" customWidth="1"/>
    <col min="7918" max="7918" width="16.44140625" style="7351" customWidth="1"/>
    <col min="7919" max="8168" width="9.109375" style="7351"/>
    <col min="8169" max="8169" width="3.88671875" style="7351" customWidth="1"/>
    <col min="8170" max="8170" width="37.109375" style="7351" customWidth="1"/>
    <col min="8171" max="8171" width="15.88671875" style="7351" customWidth="1"/>
    <col min="8172" max="8172" width="13.44140625" style="7351" customWidth="1"/>
    <col min="8173" max="8173" width="14.109375" style="7351" customWidth="1"/>
    <col min="8174" max="8174" width="16.44140625" style="7351" customWidth="1"/>
    <col min="8175" max="8424" width="9.109375" style="7351"/>
    <col min="8425" max="8425" width="3.88671875" style="7351" customWidth="1"/>
    <col min="8426" max="8426" width="37.109375" style="7351" customWidth="1"/>
    <col min="8427" max="8427" width="15.88671875" style="7351" customWidth="1"/>
    <col min="8428" max="8428" width="13.44140625" style="7351" customWidth="1"/>
    <col min="8429" max="8429" width="14.109375" style="7351" customWidth="1"/>
    <col min="8430" max="8430" width="16.44140625" style="7351" customWidth="1"/>
    <col min="8431" max="8680" width="9.109375" style="7351"/>
    <col min="8681" max="8681" width="3.88671875" style="7351" customWidth="1"/>
    <col min="8682" max="8682" width="37.109375" style="7351" customWidth="1"/>
    <col min="8683" max="8683" width="15.88671875" style="7351" customWidth="1"/>
    <col min="8684" max="8684" width="13.44140625" style="7351" customWidth="1"/>
    <col min="8685" max="8685" width="14.109375" style="7351" customWidth="1"/>
    <col min="8686" max="8686" width="16.44140625" style="7351" customWidth="1"/>
    <col min="8687" max="8936" width="9.109375" style="7351"/>
    <col min="8937" max="8937" width="3.88671875" style="7351" customWidth="1"/>
    <col min="8938" max="8938" width="37.109375" style="7351" customWidth="1"/>
    <col min="8939" max="8939" width="15.88671875" style="7351" customWidth="1"/>
    <col min="8940" max="8940" width="13.44140625" style="7351" customWidth="1"/>
    <col min="8941" max="8941" width="14.109375" style="7351" customWidth="1"/>
    <col min="8942" max="8942" width="16.44140625" style="7351" customWidth="1"/>
    <col min="8943" max="9192" width="9.109375" style="7351"/>
    <col min="9193" max="9193" width="3.88671875" style="7351" customWidth="1"/>
    <col min="9194" max="9194" width="37.109375" style="7351" customWidth="1"/>
    <col min="9195" max="9195" width="15.88671875" style="7351" customWidth="1"/>
    <col min="9196" max="9196" width="13.44140625" style="7351" customWidth="1"/>
    <col min="9197" max="9197" width="14.109375" style="7351" customWidth="1"/>
    <col min="9198" max="9198" width="16.44140625" style="7351" customWidth="1"/>
    <col min="9199" max="9448" width="9.109375" style="7351"/>
    <col min="9449" max="9449" width="3.88671875" style="7351" customWidth="1"/>
    <col min="9450" max="9450" width="37.109375" style="7351" customWidth="1"/>
    <col min="9451" max="9451" width="15.88671875" style="7351" customWidth="1"/>
    <col min="9452" max="9452" width="13.44140625" style="7351" customWidth="1"/>
    <col min="9453" max="9453" width="14.109375" style="7351" customWidth="1"/>
    <col min="9454" max="9454" width="16.44140625" style="7351" customWidth="1"/>
    <col min="9455" max="9704" width="9.109375" style="7351"/>
    <col min="9705" max="9705" width="3.88671875" style="7351" customWidth="1"/>
    <col min="9706" max="9706" width="37.109375" style="7351" customWidth="1"/>
    <col min="9707" max="9707" width="15.88671875" style="7351" customWidth="1"/>
    <col min="9708" max="9708" width="13.44140625" style="7351" customWidth="1"/>
    <col min="9709" max="9709" width="14.109375" style="7351" customWidth="1"/>
    <col min="9710" max="9710" width="16.44140625" style="7351" customWidth="1"/>
    <col min="9711" max="9960" width="9.109375" style="7351"/>
    <col min="9961" max="9961" width="3.88671875" style="7351" customWidth="1"/>
    <col min="9962" max="9962" width="37.109375" style="7351" customWidth="1"/>
    <col min="9963" max="9963" width="15.88671875" style="7351" customWidth="1"/>
    <col min="9964" max="9964" width="13.44140625" style="7351" customWidth="1"/>
    <col min="9965" max="9965" width="14.109375" style="7351" customWidth="1"/>
    <col min="9966" max="9966" width="16.44140625" style="7351" customWidth="1"/>
    <col min="9967" max="10216" width="9.109375" style="7351"/>
    <col min="10217" max="10217" width="3.88671875" style="7351" customWidth="1"/>
    <col min="10218" max="10218" width="37.109375" style="7351" customWidth="1"/>
    <col min="10219" max="10219" width="15.88671875" style="7351" customWidth="1"/>
    <col min="10220" max="10220" width="13.44140625" style="7351" customWidth="1"/>
    <col min="10221" max="10221" width="14.109375" style="7351" customWidth="1"/>
    <col min="10222" max="10222" width="16.44140625" style="7351" customWidth="1"/>
    <col min="10223" max="10472" width="9.109375" style="7351"/>
    <col min="10473" max="10473" width="3.88671875" style="7351" customWidth="1"/>
    <col min="10474" max="10474" width="37.109375" style="7351" customWidth="1"/>
    <col min="10475" max="10475" width="15.88671875" style="7351" customWidth="1"/>
    <col min="10476" max="10476" width="13.44140625" style="7351" customWidth="1"/>
    <col min="10477" max="10477" width="14.109375" style="7351" customWidth="1"/>
    <col min="10478" max="10478" width="16.44140625" style="7351" customWidth="1"/>
    <col min="10479" max="10728" width="9.109375" style="7351"/>
    <col min="10729" max="10729" width="3.88671875" style="7351" customWidth="1"/>
    <col min="10730" max="10730" width="37.109375" style="7351" customWidth="1"/>
    <col min="10731" max="10731" width="15.88671875" style="7351" customWidth="1"/>
    <col min="10732" max="10732" width="13.44140625" style="7351" customWidth="1"/>
    <col min="10733" max="10733" width="14.109375" style="7351" customWidth="1"/>
    <col min="10734" max="10734" width="16.44140625" style="7351" customWidth="1"/>
    <col min="10735" max="10984" width="9.109375" style="7351"/>
    <col min="10985" max="10985" width="3.88671875" style="7351" customWidth="1"/>
    <col min="10986" max="10986" width="37.109375" style="7351" customWidth="1"/>
    <col min="10987" max="10987" width="15.88671875" style="7351" customWidth="1"/>
    <col min="10988" max="10988" width="13.44140625" style="7351" customWidth="1"/>
    <col min="10989" max="10989" width="14.109375" style="7351" customWidth="1"/>
    <col min="10990" max="10990" width="16.44140625" style="7351" customWidth="1"/>
    <col min="10991" max="11240" width="9.109375" style="7351"/>
    <col min="11241" max="11241" width="3.88671875" style="7351" customWidth="1"/>
    <col min="11242" max="11242" width="37.109375" style="7351" customWidth="1"/>
    <col min="11243" max="11243" width="15.88671875" style="7351" customWidth="1"/>
    <col min="11244" max="11244" width="13.44140625" style="7351" customWidth="1"/>
    <col min="11245" max="11245" width="14.109375" style="7351" customWidth="1"/>
    <col min="11246" max="11246" width="16.44140625" style="7351" customWidth="1"/>
    <col min="11247" max="11496" width="9.109375" style="7351"/>
    <col min="11497" max="11497" width="3.88671875" style="7351" customWidth="1"/>
    <col min="11498" max="11498" width="37.109375" style="7351" customWidth="1"/>
    <col min="11499" max="11499" width="15.88671875" style="7351" customWidth="1"/>
    <col min="11500" max="11500" width="13.44140625" style="7351" customWidth="1"/>
    <col min="11501" max="11501" width="14.109375" style="7351" customWidth="1"/>
    <col min="11502" max="11502" width="16.44140625" style="7351" customWidth="1"/>
    <col min="11503" max="11752" width="9.109375" style="7351"/>
    <col min="11753" max="11753" width="3.88671875" style="7351" customWidth="1"/>
    <col min="11754" max="11754" width="37.109375" style="7351" customWidth="1"/>
    <col min="11755" max="11755" width="15.88671875" style="7351" customWidth="1"/>
    <col min="11756" max="11756" width="13.44140625" style="7351" customWidth="1"/>
    <col min="11757" max="11757" width="14.109375" style="7351" customWidth="1"/>
    <col min="11758" max="11758" width="16.44140625" style="7351" customWidth="1"/>
    <col min="11759" max="12008" width="9.109375" style="7351"/>
    <col min="12009" max="12009" width="3.88671875" style="7351" customWidth="1"/>
    <col min="12010" max="12010" width="37.109375" style="7351" customWidth="1"/>
    <col min="12011" max="12011" width="15.88671875" style="7351" customWidth="1"/>
    <col min="12012" max="12012" width="13.44140625" style="7351" customWidth="1"/>
    <col min="12013" max="12013" width="14.109375" style="7351" customWidth="1"/>
    <col min="12014" max="12014" width="16.44140625" style="7351" customWidth="1"/>
    <col min="12015" max="12264" width="9.109375" style="7351"/>
    <col min="12265" max="12265" width="3.88671875" style="7351" customWidth="1"/>
    <col min="12266" max="12266" width="37.109375" style="7351" customWidth="1"/>
    <col min="12267" max="12267" width="15.88671875" style="7351" customWidth="1"/>
    <col min="12268" max="12268" width="13.44140625" style="7351" customWidth="1"/>
    <col min="12269" max="12269" width="14.109375" style="7351" customWidth="1"/>
    <col min="12270" max="12270" width="16.44140625" style="7351" customWidth="1"/>
    <col min="12271" max="12520" width="9.109375" style="7351"/>
    <col min="12521" max="12521" width="3.88671875" style="7351" customWidth="1"/>
    <col min="12522" max="12522" width="37.109375" style="7351" customWidth="1"/>
    <col min="12523" max="12523" width="15.88671875" style="7351" customWidth="1"/>
    <col min="12524" max="12524" width="13.44140625" style="7351" customWidth="1"/>
    <col min="12525" max="12525" width="14.109375" style="7351" customWidth="1"/>
    <col min="12526" max="12526" width="16.44140625" style="7351" customWidth="1"/>
    <col min="12527" max="12776" width="9.109375" style="7351"/>
    <col min="12777" max="12777" width="3.88671875" style="7351" customWidth="1"/>
    <col min="12778" max="12778" width="37.109375" style="7351" customWidth="1"/>
    <col min="12779" max="12779" width="15.88671875" style="7351" customWidth="1"/>
    <col min="12780" max="12780" width="13.44140625" style="7351" customWidth="1"/>
    <col min="12781" max="12781" width="14.109375" style="7351" customWidth="1"/>
    <col min="12782" max="12782" width="16.44140625" style="7351" customWidth="1"/>
    <col min="12783" max="13032" width="9.109375" style="7351"/>
    <col min="13033" max="13033" width="3.88671875" style="7351" customWidth="1"/>
    <col min="13034" max="13034" width="37.109375" style="7351" customWidth="1"/>
    <col min="13035" max="13035" width="15.88671875" style="7351" customWidth="1"/>
    <col min="13036" max="13036" width="13.44140625" style="7351" customWidth="1"/>
    <col min="13037" max="13037" width="14.109375" style="7351" customWidth="1"/>
    <col min="13038" max="13038" width="16.44140625" style="7351" customWidth="1"/>
    <col min="13039" max="13288" width="9.109375" style="7351"/>
    <col min="13289" max="13289" width="3.88671875" style="7351" customWidth="1"/>
    <col min="13290" max="13290" width="37.109375" style="7351" customWidth="1"/>
    <col min="13291" max="13291" width="15.88671875" style="7351" customWidth="1"/>
    <col min="13292" max="13292" width="13.44140625" style="7351" customWidth="1"/>
    <col min="13293" max="13293" width="14.109375" style="7351" customWidth="1"/>
    <col min="13294" max="13294" width="16.44140625" style="7351" customWidth="1"/>
    <col min="13295" max="13544" width="9.109375" style="7351"/>
    <col min="13545" max="13545" width="3.88671875" style="7351" customWidth="1"/>
    <col min="13546" max="13546" width="37.109375" style="7351" customWidth="1"/>
    <col min="13547" max="13547" width="15.88671875" style="7351" customWidth="1"/>
    <col min="13548" max="13548" width="13.44140625" style="7351" customWidth="1"/>
    <col min="13549" max="13549" width="14.109375" style="7351" customWidth="1"/>
    <col min="13550" max="13550" width="16.44140625" style="7351" customWidth="1"/>
    <col min="13551" max="13800" width="9.109375" style="7351"/>
    <col min="13801" max="13801" width="3.88671875" style="7351" customWidth="1"/>
    <col min="13802" max="13802" width="37.109375" style="7351" customWidth="1"/>
    <col min="13803" max="13803" width="15.88671875" style="7351" customWidth="1"/>
    <col min="13804" max="13804" width="13.44140625" style="7351" customWidth="1"/>
    <col min="13805" max="13805" width="14.109375" style="7351" customWidth="1"/>
    <col min="13806" max="13806" width="16.44140625" style="7351" customWidth="1"/>
    <col min="13807" max="14056" width="9.109375" style="7351"/>
    <col min="14057" max="14057" width="3.88671875" style="7351" customWidth="1"/>
    <col min="14058" max="14058" width="37.109375" style="7351" customWidth="1"/>
    <col min="14059" max="14059" width="15.88671875" style="7351" customWidth="1"/>
    <col min="14060" max="14060" width="13.44140625" style="7351" customWidth="1"/>
    <col min="14061" max="14061" width="14.109375" style="7351" customWidth="1"/>
    <col min="14062" max="14062" width="16.44140625" style="7351" customWidth="1"/>
    <col min="14063" max="14312" width="9.109375" style="7351"/>
    <col min="14313" max="14313" width="3.88671875" style="7351" customWidth="1"/>
    <col min="14314" max="14314" width="37.109375" style="7351" customWidth="1"/>
    <col min="14315" max="14315" width="15.88671875" style="7351" customWidth="1"/>
    <col min="14316" max="14316" width="13.44140625" style="7351" customWidth="1"/>
    <col min="14317" max="14317" width="14.109375" style="7351" customWidth="1"/>
    <col min="14318" max="14318" width="16.44140625" style="7351" customWidth="1"/>
    <col min="14319" max="14568" width="9.109375" style="7351"/>
    <col min="14569" max="14569" width="3.88671875" style="7351" customWidth="1"/>
    <col min="14570" max="14570" width="37.109375" style="7351" customWidth="1"/>
    <col min="14571" max="14571" width="15.88671875" style="7351" customWidth="1"/>
    <col min="14572" max="14572" width="13.44140625" style="7351" customWidth="1"/>
    <col min="14573" max="14573" width="14.109375" style="7351" customWidth="1"/>
    <col min="14574" max="14574" width="16.44140625" style="7351" customWidth="1"/>
    <col min="14575" max="14824" width="9.109375" style="7351"/>
    <col min="14825" max="14825" width="3.88671875" style="7351" customWidth="1"/>
    <col min="14826" max="14826" width="37.109375" style="7351" customWidth="1"/>
    <col min="14827" max="14827" width="15.88671875" style="7351" customWidth="1"/>
    <col min="14828" max="14828" width="13.44140625" style="7351" customWidth="1"/>
    <col min="14829" max="14829" width="14.109375" style="7351" customWidth="1"/>
    <col min="14830" max="14830" width="16.44140625" style="7351" customWidth="1"/>
    <col min="14831" max="15080" width="9.109375" style="7351"/>
    <col min="15081" max="15081" width="3.88671875" style="7351" customWidth="1"/>
    <col min="15082" max="15082" width="37.109375" style="7351" customWidth="1"/>
    <col min="15083" max="15083" width="15.88671875" style="7351" customWidth="1"/>
    <col min="15084" max="15084" width="13.44140625" style="7351" customWidth="1"/>
    <col min="15085" max="15085" width="14.109375" style="7351" customWidth="1"/>
    <col min="15086" max="15086" width="16.44140625" style="7351" customWidth="1"/>
    <col min="15087" max="15336" width="9.109375" style="7351"/>
    <col min="15337" max="15337" width="3.88671875" style="7351" customWidth="1"/>
    <col min="15338" max="15338" width="37.109375" style="7351" customWidth="1"/>
    <col min="15339" max="15339" width="15.88671875" style="7351" customWidth="1"/>
    <col min="15340" max="15340" width="13.44140625" style="7351" customWidth="1"/>
    <col min="15341" max="15341" width="14.109375" style="7351" customWidth="1"/>
    <col min="15342" max="15342" width="16.44140625" style="7351" customWidth="1"/>
    <col min="15343" max="15592" width="9.109375" style="7351"/>
    <col min="15593" max="15593" width="3.88671875" style="7351" customWidth="1"/>
    <col min="15594" max="15594" width="37.109375" style="7351" customWidth="1"/>
    <col min="15595" max="15595" width="15.88671875" style="7351" customWidth="1"/>
    <col min="15596" max="15596" width="13.44140625" style="7351" customWidth="1"/>
    <col min="15597" max="15597" width="14.109375" style="7351" customWidth="1"/>
    <col min="15598" max="15598" width="16.44140625" style="7351" customWidth="1"/>
    <col min="15599" max="15848" width="9.109375" style="7351"/>
    <col min="15849" max="15849" width="3.88671875" style="7351" customWidth="1"/>
    <col min="15850" max="15850" width="37.109375" style="7351" customWidth="1"/>
    <col min="15851" max="15851" width="15.88671875" style="7351" customWidth="1"/>
    <col min="15852" max="15852" width="13.44140625" style="7351" customWidth="1"/>
    <col min="15853" max="15853" width="14.109375" style="7351" customWidth="1"/>
    <col min="15854" max="15854" width="16.44140625" style="7351" customWidth="1"/>
    <col min="15855" max="16104" width="9.109375" style="7351"/>
    <col min="16105" max="16105" width="3.88671875" style="7351" customWidth="1"/>
    <col min="16106" max="16106" width="37.109375" style="7351" customWidth="1"/>
    <col min="16107" max="16107" width="15.88671875" style="7351" customWidth="1"/>
    <col min="16108" max="16108" width="13.44140625" style="7351" customWidth="1"/>
    <col min="16109" max="16109" width="14.109375" style="7351" customWidth="1"/>
    <col min="16110" max="16110" width="16.44140625" style="7351" customWidth="1"/>
    <col min="16111" max="16384" width="9.109375" style="7351"/>
  </cols>
  <sheetData>
    <row r="1" spans="1:13" ht="15" customHeight="1">
      <c r="A1" s="14432" t="s">
        <v>1</v>
      </c>
      <c r="B1" s="14432"/>
      <c r="C1" s="14432"/>
      <c r="D1" s="14432"/>
      <c r="E1" s="14432"/>
      <c r="F1" s="14432"/>
      <c r="G1" s="14432"/>
      <c r="H1" s="14432"/>
      <c r="I1" s="14432"/>
      <c r="J1" s="14432"/>
      <c r="K1" s="14432"/>
    </row>
    <row r="2" spans="1:13" ht="15" customHeight="1">
      <c r="A2" s="7335"/>
      <c r="B2" s="7335"/>
      <c r="C2" s="7335"/>
      <c r="D2" s="10884"/>
      <c r="E2" s="7336"/>
      <c r="F2" s="7336"/>
      <c r="G2" s="9524"/>
      <c r="H2" s="7830"/>
      <c r="I2" s="7336"/>
      <c r="J2" s="7286"/>
      <c r="K2" s="7830"/>
    </row>
    <row r="3" spans="1:13" ht="15" customHeight="1">
      <c r="A3" s="7335" t="s">
        <v>10794</v>
      </c>
      <c r="B3" s="7341"/>
      <c r="C3" s="7341"/>
      <c r="D3" s="9555" t="s">
        <v>11247</v>
      </c>
      <c r="E3" s="9431"/>
      <c r="F3" s="9431"/>
      <c r="G3" s="9523"/>
      <c r="H3" s="8087"/>
      <c r="I3" s="9431"/>
      <c r="J3" s="7284"/>
      <c r="K3" s="8087"/>
    </row>
    <row r="4" spans="1:13" ht="15" customHeight="1">
      <c r="A4" s="7335" t="s">
        <v>10796</v>
      </c>
      <c r="B4" s="7335"/>
      <c r="C4" s="7335"/>
      <c r="D4" s="9416" t="s">
        <v>10795</v>
      </c>
      <c r="E4" s="7336"/>
      <c r="F4" s="7336"/>
      <c r="G4" s="9524"/>
      <c r="H4" s="7830"/>
      <c r="I4" s="7336"/>
      <c r="J4" s="7286"/>
      <c r="K4" s="14556"/>
    </row>
    <row r="5" spans="1:13" ht="15" customHeight="1">
      <c r="A5" s="7352" t="s">
        <v>9155</v>
      </c>
      <c r="B5" s="7352"/>
      <c r="C5" s="7352"/>
      <c r="D5" s="7498" t="s">
        <v>8</v>
      </c>
      <c r="E5" s="7354"/>
      <c r="F5" s="7354"/>
      <c r="G5" s="9525"/>
      <c r="H5" s="7848"/>
      <c r="I5" s="7354"/>
      <c r="J5" s="7290"/>
      <c r="K5" s="14556"/>
    </row>
    <row r="6" spans="1:13" ht="15" customHeight="1" thickBot="1">
      <c r="A6" s="7721"/>
      <c r="B6" s="7721"/>
      <c r="C6" s="7390"/>
      <c r="D6" s="7722"/>
      <c r="E6" s="7723"/>
      <c r="F6" s="7724"/>
      <c r="G6" s="9526"/>
      <c r="H6" s="7831"/>
      <c r="I6" s="7724"/>
      <c r="J6" s="7294"/>
      <c r="K6" s="7831"/>
    </row>
    <row r="7" spans="1:13" ht="15" customHeight="1">
      <c r="A7" s="11433"/>
      <c r="B7" s="11434"/>
      <c r="C7" s="11434"/>
      <c r="D7" s="11436" t="s">
        <v>103</v>
      </c>
      <c r="E7" s="9461" t="s">
        <v>10</v>
      </c>
      <c r="F7" s="14188" t="s">
        <v>10711</v>
      </c>
      <c r="G7" s="14189"/>
      <c r="H7" s="14190"/>
      <c r="I7" s="11080" t="s">
        <v>9985</v>
      </c>
      <c r="J7" s="8206"/>
      <c r="K7" s="11511" t="s">
        <v>12</v>
      </c>
    </row>
    <row r="8" spans="1:13" ht="15" customHeight="1">
      <c r="A8" s="11237"/>
      <c r="B8" s="7356" t="s">
        <v>13</v>
      </c>
      <c r="C8" s="7356"/>
      <c r="D8" s="10111" t="s">
        <v>94</v>
      </c>
      <c r="E8" s="11438" t="s">
        <v>15</v>
      </c>
      <c r="F8" s="9502" t="s">
        <v>10709</v>
      </c>
      <c r="G8" s="11083" t="s">
        <v>10710</v>
      </c>
      <c r="H8" s="14191" t="s">
        <v>458</v>
      </c>
      <c r="I8" s="11084" t="s">
        <v>11820</v>
      </c>
      <c r="J8" s="11085"/>
      <c r="K8" s="11512" t="s">
        <v>16</v>
      </c>
    </row>
    <row r="9" spans="1:13" ht="15" customHeight="1" thickBot="1">
      <c r="A9" s="11235"/>
      <c r="B9" s="7752"/>
      <c r="C9" s="7752"/>
      <c r="D9" s="7735"/>
      <c r="E9" s="7302">
        <v>2017</v>
      </c>
      <c r="F9" s="9467" t="s">
        <v>457</v>
      </c>
      <c r="G9" s="11076" t="s">
        <v>456</v>
      </c>
      <c r="H9" s="14192"/>
      <c r="I9" s="7302">
        <v>2018</v>
      </c>
      <c r="J9" s="7322"/>
      <c r="K9" s="11513">
        <v>2019</v>
      </c>
    </row>
    <row r="10" spans="1:13" ht="15" customHeight="1">
      <c r="A10" s="11241" t="s">
        <v>17</v>
      </c>
      <c r="B10" s="7352" t="s">
        <v>18</v>
      </c>
      <c r="C10" s="7352"/>
      <c r="D10" s="10387"/>
      <c r="E10" s="11252"/>
      <c r="F10" s="11252"/>
      <c r="G10" s="11243"/>
      <c r="H10" s="11514"/>
      <c r="I10" s="11252"/>
      <c r="J10" s="11163"/>
      <c r="K10" s="11515"/>
    </row>
    <row r="11" spans="1:13" ht="15" customHeight="1">
      <c r="A11" s="11241"/>
      <c r="B11" s="7803" t="s">
        <v>19</v>
      </c>
      <c r="C11" s="7803"/>
      <c r="D11" s="10387"/>
      <c r="E11" s="11252"/>
      <c r="F11" s="11252"/>
      <c r="G11" s="11243"/>
      <c r="H11" s="11516"/>
      <c r="I11" s="11252"/>
      <c r="J11" s="11163"/>
      <c r="K11" s="11517"/>
    </row>
    <row r="12" spans="1:13" ht="15" customHeight="1">
      <c r="A12" s="11241"/>
      <c r="B12" s="7803" t="s">
        <v>56</v>
      </c>
      <c r="C12" s="7803"/>
      <c r="D12" s="8872">
        <v>50101010</v>
      </c>
      <c r="E12" s="11252">
        <f>'WS-PS 2017'!B8</f>
        <v>1739857.48</v>
      </c>
      <c r="F12" s="11252">
        <f>'WS-PS ACTUAL JUNE 2018'!B6</f>
        <v>964325.93</v>
      </c>
      <c r="G12" s="11243">
        <f>H12-F12</f>
        <v>1395558.0699999998</v>
      </c>
      <c r="H12" s="11514">
        <v>2359884</v>
      </c>
      <c r="I12" s="11514"/>
      <c r="J12" s="11163"/>
      <c r="K12" s="11515">
        <f>L12</f>
        <v>3793776</v>
      </c>
      <c r="L12" s="7371">
        <f>'staffing-BICTU'!G49</f>
        <v>3793776</v>
      </c>
      <c r="M12" s="7383">
        <f>'staffing-BICTU'!B49</f>
        <v>17</v>
      </c>
    </row>
    <row r="13" spans="1:13" ht="15" customHeight="1">
      <c r="A13" s="11241"/>
      <c r="B13" s="11518" t="s">
        <v>58</v>
      </c>
      <c r="C13" s="11518"/>
      <c r="D13" s="8872">
        <v>50102010</v>
      </c>
      <c r="E13" s="11252">
        <f>'WS-PS 2017'!F8</f>
        <v>178277.65</v>
      </c>
      <c r="F13" s="11252">
        <f>'WS-PS ACTUAL JUNE 2018'!D6</f>
        <v>94810.98</v>
      </c>
      <c r="G13" s="11243">
        <f t="shared" ref="G13:G25" si="0">H13-F13</f>
        <v>145189.02000000002</v>
      </c>
      <c r="H13" s="11514">
        <v>240000</v>
      </c>
      <c r="I13" s="11514"/>
      <c r="J13" s="11163"/>
      <c r="K13" s="11515">
        <f>L13</f>
        <v>408000</v>
      </c>
      <c r="L13" s="7310">
        <f>24000*M12</f>
        <v>408000</v>
      </c>
    </row>
    <row r="14" spans="1:13" ht="15" customHeight="1">
      <c r="A14" s="11241"/>
      <c r="B14" s="11518" t="s">
        <v>79</v>
      </c>
      <c r="C14" s="11518"/>
      <c r="D14" s="8872">
        <v>50102040</v>
      </c>
      <c r="E14" s="11252">
        <f>'WS-PS 2017'!I8</f>
        <v>35000</v>
      </c>
      <c r="F14" s="11252">
        <f>'WS-PS ACTUAL JUNE 2018'!G6</f>
        <v>47000</v>
      </c>
      <c r="G14" s="11243">
        <f t="shared" si="0"/>
        <v>3000</v>
      </c>
      <c r="H14" s="11514">
        <v>50000</v>
      </c>
      <c r="I14" s="11514"/>
      <c r="J14" s="11163"/>
      <c r="K14" s="11515">
        <f t="shared" ref="K14:K25" si="1">L14</f>
        <v>102000</v>
      </c>
      <c r="L14" s="7310">
        <f>6000*M12</f>
        <v>102000</v>
      </c>
    </row>
    <row r="15" spans="1:13" ht="15" customHeight="1">
      <c r="A15" s="11241"/>
      <c r="B15" s="7488" t="s">
        <v>10932</v>
      </c>
      <c r="C15" s="7488"/>
      <c r="D15" s="10368">
        <v>50102080</v>
      </c>
      <c r="E15" s="11252">
        <f>'WS-PS 2017'!L8</f>
        <v>40000</v>
      </c>
      <c r="F15" s="11252">
        <f>'WS-PS ACTUAL JUNE 2018'!J6</f>
        <v>0</v>
      </c>
      <c r="G15" s="11243">
        <f t="shared" si="0"/>
        <v>50000</v>
      </c>
      <c r="H15" s="11514">
        <v>50000</v>
      </c>
      <c r="I15" s="11514"/>
      <c r="J15" s="11163"/>
      <c r="K15" s="11515">
        <f t="shared" si="1"/>
        <v>85000</v>
      </c>
      <c r="L15" s="7310">
        <f>5000*M12</f>
        <v>85000</v>
      </c>
    </row>
    <row r="16" spans="1:13" ht="15" customHeight="1">
      <c r="A16" s="11241"/>
      <c r="B16" s="7488" t="s">
        <v>10934</v>
      </c>
      <c r="C16" s="7488"/>
      <c r="D16" s="8872">
        <v>50102120</v>
      </c>
      <c r="E16" s="11252">
        <f>'WS-PS 2017'!O8</f>
        <v>0</v>
      </c>
      <c r="F16" s="11252">
        <f>'WS-PS ACTUAL JUNE 2018'!M6</f>
        <v>0</v>
      </c>
      <c r="G16" s="11243">
        <f>H16-F16</f>
        <v>0</v>
      </c>
      <c r="H16" s="11514">
        <v>0</v>
      </c>
      <c r="I16" s="11514"/>
      <c r="J16" s="11163"/>
      <c r="K16" s="11515">
        <f t="shared" si="1"/>
        <v>5000</v>
      </c>
      <c r="L16" s="7310">
        <v>5000</v>
      </c>
    </row>
    <row r="17" spans="1:13" ht="15" customHeight="1">
      <c r="A17" s="11241"/>
      <c r="B17" s="7488" t="s">
        <v>10933</v>
      </c>
      <c r="C17" s="7488"/>
      <c r="D17" s="8872">
        <v>50102140</v>
      </c>
      <c r="E17" s="11252">
        <f>'WS-PS 2017'!U8+'WS-PS 2017'!S8</f>
        <v>278250</v>
      </c>
      <c r="F17" s="11252">
        <f>'WS-PS ACTUAL JUNE 2018'!O6</f>
        <v>162395</v>
      </c>
      <c r="G17" s="11243">
        <f>H17-F17</f>
        <v>230919</v>
      </c>
      <c r="H17" s="11514">
        <v>393314</v>
      </c>
      <c r="I17" s="11514"/>
      <c r="J17" s="11163"/>
      <c r="K17" s="11515">
        <f t="shared" si="1"/>
        <v>632296</v>
      </c>
      <c r="L17" s="7310">
        <f>L12/12*2</f>
        <v>632296</v>
      </c>
    </row>
    <row r="18" spans="1:13" ht="15" customHeight="1">
      <c r="A18" s="11241"/>
      <c r="B18" s="11518" t="s">
        <v>26</v>
      </c>
      <c r="C18" s="11518"/>
      <c r="D18" s="8872">
        <v>50102150</v>
      </c>
      <c r="E18" s="11252">
        <f>'WS-PS 2017'!T8</f>
        <v>40000</v>
      </c>
      <c r="F18" s="11252">
        <f>'WS-PS ACTUAL JUNE 2018'!Q6</f>
        <v>0</v>
      </c>
      <c r="G18" s="11243">
        <f t="shared" si="0"/>
        <v>50000</v>
      </c>
      <c r="H18" s="11514">
        <v>50000</v>
      </c>
      <c r="I18" s="11514"/>
      <c r="J18" s="11163"/>
      <c r="K18" s="11515">
        <f t="shared" si="1"/>
        <v>85000</v>
      </c>
      <c r="L18" s="7371">
        <f>L15</f>
        <v>85000</v>
      </c>
    </row>
    <row r="19" spans="1:13" ht="15" customHeight="1">
      <c r="A19" s="11131"/>
      <c r="B19" s="7488" t="s">
        <v>11497</v>
      </c>
      <c r="C19" s="7488"/>
      <c r="D19" s="11257">
        <v>50102990</v>
      </c>
      <c r="E19" s="11491">
        <v>0</v>
      </c>
      <c r="F19" s="11491">
        <f>'WS-PS ACTUAL JUNE 2018'!R6</f>
        <v>0</v>
      </c>
      <c r="G19" s="11243">
        <f>H19-F19</f>
        <v>113078</v>
      </c>
      <c r="H19" s="11492">
        <v>113078</v>
      </c>
      <c r="I19" s="11492"/>
      <c r="J19" s="11163"/>
      <c r="K19" s="11515">
        <v>0</v>
      </c>
      <c r="L19" s="7310">
        <f>0.575*(L12/12)</f>
        <v>181785.09999999998</v>
      </c>
    </row>
    <row r="20" spans="1:13" ht="15" customHeight="1">
      <c r="A20" s="11131"/>
      <c r="B20" s="7803" t="s">
        <v>11499</v>
      </c>
      <c r="C20" s="7803"/>
      <c r="D20" s="11059" t="s">
        <v>11495</v>
      </c>
      <c r="E20" s="11491">
        <f>'WS-PS 2017'!Q8</f>
        <v>0</v>
      </c>
      <c r="F20" s="11491">
        <f>'WS-PS ACTUAL JUNE 2018'!S6</f>
        <v>0</v>
      </c>
      <c r="G20" s="11243">
        <f>H20-F20</f>
        <v>0</v>
      </c>
      <c r="H20" s="11492">
        <v>0</v>
      </c>
      <c r="I20" s="11492"/>
      <c r="J20" s="11163"/>
      <c r="K20" s="11515">
        <f t="shared" si="1"/>
        <v>51000</v>
      </c>
      <c r="L20" s="7310">
        <f>3000*M12</f>
        <v>51000</v>
      </c>
    </row>
    <row r="21" spans="1:13" ht="15" customHeight="1">
      <c r="A21" s="11241"/>
      <c r="B21" s="11518" t="s">
        <v>59</v>
      </c>
      <c r="C21" s="11518"/>
      <c r="D21" s="8872">
        <v>50103010</v>
      </c>
      <c r="E21" s="11252">
        <f>'WS-PS 2017'!V8</f>
        <v>208782.89</v>
      </c>
      <c r="F21" s="11252">
        <f>'WS-PS ACTUAL JUNE 2018'!T6</f>
        <v>115719.12</v>
      </c>
      <c r="G21" s="11243">
        <f t="shared" si="0"/>
        <v>167466.88</v>
      </c>
      <c r="H21" s="11514">
        <v>283186</v>
      </c>
      <c r="I21" s="11514"/>
      <c r="J21" s="11163"/>
      <c r="K21" s="11515">
        <f t="shared" si="1"/>
        <v>455253.12</v>
      </c>
      <c r="L21" s="7310">
        <f>L12*12%</f>
        <v>455253.12</v>
      </c>
    </row>
    <row r="22" spans="1:13" ht="15" customHeight="1">
      <c r="A22" s="11241"/>
      <c r="B22" s="7803" t="s">
        <v>28</v>
      </c>
      <c r="C22" s="7803"/>
      <c r="D22" s="8872">
        <v>50103020</v>
      </c>
      <c r="E22" s="11252">
        <f>'WS-PS 2017'!W8</f>
        <v>9000</v>
      </c>
      <c r="F22" s="11252">
        <f>'WS-PS ACTUAL JUNE 2018'!U6</f>
        <v>4800</v>
      </c>
      <c r="G22" s="11243">
        <f t="shared" si="0"/>
        <v>7200</v>
      </c>
      <c r="H22" s="11514">
        <v>12000</v>
      </c>
      <c r="I22" s="11514"/>
      <c r="J22" s="11163"/>
      <c r="K22" s="11515">
        <f t="shared" si="1"/>
        <v>20400</v>
      </c>
      <c r="L22" s="7310">
        <f>1200*M12</f>
        <v>20400</v>
      </c>
    </row>
    <row r="23" spans="1:13" ht="15" customHeight="1">
      <c r="A23" s="11241"/>
      <c r="B23" s="7803" t="s">
        <v>29</v>
      </c>
      <c r="C23" s="7803"/>
      <c r="D23" s="8872">
        <v>50103030</v>
      </c>
      <c r="E23" s="11252">
        <f>'WS-PS 2017'!X8</f>
        <v>21175</v>
      </c>
      <c r="F23" s="11252">
        <f>'WS-PS ACTUAL JUNE 2018'!V6</f>
        <v>13397.65</v>
      </c>
      <c r="G23" s="11243">
        <f t="shared" si="0"/>
        <v>19602.349999999999</v>
      </c>
      <c r="H23" s="11514">
        <v>33000</v>
      </c>
      <c r="I23" s="11514"/>
      <c r="J23" s="11163"/>
      <c r="K23" s="11515">
        <v>50002.425000000003</v>
      </c>
      <c r="L23" s="7310">
        <f>3600*M12</f>
        <v>61200</v>
      </c>
    </row>
    <row r="24" spans="1:13" ht="15" customHeight="1">
      <c r="A24" s="11241"/>
      <c r="B24" s="7803" t="s">
        <v>30</v>
      </c>
      <c r="C24" s="7803"/>
      <c r="D24" s="8872">
        <v>50103040</v>
      </c>
      <c r="E24" s="11252">
        <f>'WS-PS 2017'!Y8</f>
        <v>9000</v>
      </c>
      <c r="F24" s="11252">
        <f>'WS-PS ACTUAL JUNE 2018'!W6</f>
        <v>4800</v>
      </c>
      <c r="G24" s="11243">
        <f t="shared" si="0"/>
        <v>7200</v>
      </c>
      <c r="H24" s="11514">
        <v>12000</v>
      </c>
      <c r="I24" s="11514"/>
      <c r="J24" s="11163"/>
      <c r="K24" s="11515">
        <f>L24</f>
        <v>20400</v>
      </c>
      <c r="L24" s="7310">
        <f>L22</f>
        <v>20400</v>
      </c>
    </row>
    <row r="25" spans="1:13" s="7374" customFormat="1" ht="15" customHeight="1">
      <c r="A25" s="11241"/>
      <c r="B25" s="7488" t="s">
        <v>5025</v>
      </c>
      <c r="C25" s="7488"/>
      <c r="D25" s="11258">
        <v>50104990</v>
      </c>
      <c r="E25" s="11252">
        <f>'WS-PS 2017'!Z8</f>
        <v>200000</v>
      </c>
      <c r="F25" s="11252"/>
      <c r="G25" s="11243">
        <f t="shared" si="0"/>
        <v>0</v>
      </c>
      <c r="H25" s="11514">
        <v>0</v>
      </c>
      <c r="I25" s="11514"/>
      <c r="J25" s="11163"/>
      <c r="K25" s="11515">
        <f t="shared" si="1"/>
        <v>0</v>
      </c>
      <c r="M25" s="7839"/>
    </row>
    <row r="26" spans="1:13" s="7374" customFormat="1" ht="15" customHeight="1">
      <c r="A26" s="11241"/>
      <c r="B26" s="7803"/>
      <c r="C26" s="7803"/>
      <c r="D26" s="10387"/>
      <c r="E26" s="11252"/>
      <c r="F26" s="11252"/>
      <c r="G26" s="11243"/>
      <c r="H26" s="11514"/>
      <c r="I26" s="11514"/>
      <c r="J26" s="11163"/>
      <c r="K26" s="11515"/>
      <c r="L26" s="11510"/>
      <c r="M26" s="7839"/>
    </row>
    <row r="27" spans="1:13" ht="15" customHeight="1" thickBot="1">
      <c r="A27" s="11519"/>
      <c r="B27" s="7752" t="s">
        <v>182</v>
      </c>
      <c r="C27" s="7752"/>
      <c r="D27" s="7735"/>
      <c r="E27" s="11187">
        <f>SUM(E12:E25)</f>
        <v>2759343.02</v>
      </c>
      <c r="F27" s="11187">
        <f>SUM(F12:F25)</f>
        <v>1407248.6800000002</v>
      </c>
      <c r="G27" s="11495">
        <f>SUM(G12:G25)</f>
        <v>2189213.3199999998</v>
      </c>
      <c r="H27" s="11520">
        <f>SUM(H12:H25)</f>
        <v>3596462</v>
      </c>
      <c r="I27" s="11520"/>
      <c r="J27" s="7327"/>
      <c r="K27" s="11521">
        <f>SUM(K12:K25)</f>
        <v>5708127.5449999999</v>
      </c>
      <c r="L27" s="10573">
        <f>SUM(L12:L26)</f>
        <v>5901110.2199999997</v>
      </c>
    </row>
    <row r="28" spans="1:13" ht="15" customHeight="1">
      <c r="A28" s="7958"/>
      <c r="B28" s="7958"/>
      <c r="C28" s="10528"/>
      <c r="D28" s="7960"/>
      <c r="E28" s="8094"/>
      <c r="F28" s="8094"/>
      <c r="G28" s="9556"/>
      <c r="H28" s="8052"/>
      <c r="I28" s="8094"/>
      <c r="J28" s="8013"/>
      <c r="K28" s="8052"/>
    </row>
    <row r="29" spans="1:13" ht="15" customHeight="1">
      <c r="A29" s="7352"/>
      <c r="B29" s="7352"/>
      <c r="C29" s="7352"/>
      <c r="D29" s="7353"/>
      <c r="E29" s="7354"/>
      <c r="F29" s="7354"/>
      <c r="G29" s="9525"/>
      <c r="H29" s="7848"/>
      <c r="I29" s="7354"/>
      <c r="J29" s="7290"/>
      <c r="K29" s="7848"/>
    </row>
    <row r="30" spans="1:13" ht="15" customHeight="1">
      <c r="A30" s="7352"/>
      <c r="B30" s="7352"/>
      <c r="C30" s="7352"/>
      <c r="D30" s="7353"/>
      <c r="E30" s="7354"/>
      <c r="F30" s="7354"/>
      <c r="G30" s="9525"/>
      <c r="H30" s="7848"/>
      <c r="I30" s="7354"/>
      <c r="J30" s="7290"/>
      <c r="K30" s="7848"/>
    </row>
    <row r="31" spans="1:13" ht="15" customHeight="1">
      <c r="A31" s="7352"/>
      <c r="B31" s="7352"/>
      <c r="C31" s="7352"/>
      <c r="D31" s="7353"/>
      <c r="E31" s="7354"/>
      <c r="F31" s="7354"/>
      <c r="G31" s="9525"/>
      <c r="H31" s="7848"/>
      <c r="I31" s="7354"/>
      <c r="J31" s="7290"/>
      <c r="K31" s="7848"/>
    </row>
    <row r="32" spans="1:13" ht="15" customHeight="1">
      <c r="A32" s="7352"/>
      <c r="B32" s="7352"/>
      <c r="C32" s="7352"/>
      <c r="D32" s="7353"/>
      <c r="E32" s="7354"/>
      <c r="F32" s="7354"/>
      <c r="G32" s="9525"/>
      <c r="H32" s="7848"/>
      <c r="I32" s="7354"/>
      <c r="J32" s="7290"/>
      <c r="K32" s="7848"/>
    </row>
    <row r="33" spans="1:14" ht="15" customHeight="1">
      <c r="A33" s="7352"/>
      <c r="B33" s="7352"/>
      <c r="C33" s="7352"/>
      <c r="D33" s="7353"/>
      <c r="E33" s="7354"/>
      <c r="F33" s="7354"/>
      <c r="G33" s="9525"/>
      <c r="H33" s="7848"/>
      <c r="I33" s="7354"/>
      <c r="J33" s="7290"/>
      <c r="K33" s="7848"/>
    </row>
    <row r="34" spans="1:14" ht="15" customHeight="1">
      <c r="A34" s="7352"/>
      <c r="B34" s="7352"/>
      <c r="C34" s="7352"/>
      <c r="D34" s="7353"/>
      <c r="E34" s="7354"/>
      <c r="F34" s="7354"/>
      <c r="G34" s="9525"/>
      <c r="H34" s="7848"/>
      <c r="I34" s="7354"/>
      <c r="J34" s="7290"/>
      <c r="K34" s="7848"/>
    </row>
    <row r="35" spans="1:14" ht="15" customHeight="1">
      <c r="A35" s="7352"/>
      <c r="B35" s="7352"/>
      <c r="C35" s="7352"/>
      <c r="D35" s="7353"/>
      <c r="E35" s="7354"/>
      <c r="F35" s="7354"/>
      <c r="G35" s="9525"/>
      <c r="H35" s="7848"/>
      <c r="I35" s="7354"/>
      <c r="J35" s="7290"/>
      <c r="K35" s="7848"/>
    </row>
    <row r="36" spans="1:14" ht="15" customHeight="1">
      <c r="A36" s="7352"/>
      <c r="B36" s="7352"/>
      <c r="C36" s="7352"/>
      <c r="D36" s="7353"/>
      <c r="E36" s="7354"/>
      <c r="F36" s="7354"/>
      <c r="G36" s="9525"/>
      <c r="H36" s="7848"/>
      <c r="I36" s="7354"/>
      <c r="J36" s="7290"/>
      <c r="K36" s="7848"/>
    </row>
    <row r="37" spans="1:14" ht="15" customHeight="1">
      <c r="A37" s="7352"/>
      <c r="B37" s="7352"/>
      <c r="C37" s="7352"/>
      <c r="D37" s="7353"/>
      <c r="E37" s="7354"/>
      <c r="F37" s="7354"/>
      <c r="G37" s="9525"/>
      <c r="H37" s="7848"/>
      <c r="I37" s="7354"/>
      <c r="J37" s="7290"/>
      <c r="K37" s="7848"/>
    </row>
    <row r="38" spans="1:14" ht="15" customHeight="1" thickBot="1">
      <c r="A38" s="7390" t="s">
        <v>10797</v>
      </c>
      <c r="B38" s="7390"/>
      <c r="C38" s="7390"/>
      <c r="D38" s="7392"/>
      <c r="E38" s="7724"/>
      <c r="F38" s="7724"/>
      <c r="G38" s="9526"/>
      <c r="H38" s="7846"/>
      <c r="I38" s="7724"/>
      <c r="J38" s="7294"/>
      <c r="K38" s="7846"/>
    </row>
    <row r="39" spans="1:14" ht="15" customHeight="1">
      <c r="A39" s="11433"/>
      <c r="B39" s="11434"/>
      <c r="C39" s="11434"/>
      <c r="D39" s="11436" t="s">
        <v>103</v>
      </c>
      <c r="E39" s="9461" t="s">
        <v>10</v>
      </c>
      <c r="F39" s="14188" t="s">
        <v>10711</v>
      </c>
      <c r="G39" s="14189"/>
      <c r="H39" s="14190"/>
      <c r="I39" s="11080" t="s">
        <v>9985</v>
      </c>
      <c r="J39" s="8206"/>
      <c r="K39" s="11511" t="s">
        <v>12</v>
      </c>
    </row>
    <row r="40" spans="1:14" ht="15" customHeight="1">
      <c r="A40" s="11237"/>
      <c r="B40" s="7356" t="s">
        <v>13</v>
      </c>
      <c r="C40" s="7356"/>
      <c r="D40" s="10111" t="s">
        <v>94</v>
      </c>
      <c r="E40" s="11438" t="s">
        <v>15</v>
      </c>
      <c r="F40" s="9502" t="s">
        <v>10709</v>
      </c>
      <c r="G40" s="11083" t="s">
        <v>10710</v>
      </c>
      <c r="H40" s="14191" t="s">
        <v>458</v>
      </c>
      <c r="I40" s="11084"/>
      <c r="J40" s="11085"/>
      <c r="K40" s="11512" t="s">
        <v>16</v>
      </c>
    </row>
    <row r="41" spans="1:14" ht="15" customHeight="1" thickBot="1">
      <c r="A41" s="11235"/>
      <c r="B41" s="7752"/>
      <c r="C41" s="7752"/>
      <c r="D41" s="7735"/>
      <c r="E41" s="7302">
        <v>2017</v>
      </c>
      <c r="F41" s="9467" t="s">
        <v>457</v>
      </c>
      <c r="G41" s="11076" t="s">
        <v>456</v>
      </c>
      <c r="H41" s="14192"/>
      <c r="I41" s="7302"/>
      <c r="J41" s="7322"/>
      <c r="K41" s="11513">
        <v>2019</v>
      </c>
    </row>
    <row r="42" spans="1:14" ht="15" customHeight="1">
      <c r="A42" s="11241"/>
      <c r="B42" s="7352" t="s">
        <v>38</v>
      </c>
      <c r="C42" s="7352"/>
      <c r="D42" s="10387"/>
      <c r="E42" s="11454"/>
      <c r="F42" s="11454"/>
      <c r="G42" s="11455"/>
      <c r="H42" s="11514"/>
      <c r="I42" s="11252"/>
      <c r="J42" s="11163"/>
      <c r="K42" s="11515"/>
    </row>
    <row r="43" spans="1:14" ht="15" customHeight="1">
      <c r="A43" s="11237"/>
      <c r="B43" s="7352" t="s">
        <v>183</v>
      </c>
      <c r="C43" s="7352"/>
      <c r="D43" s="8872">
        <v>50201010</v>
      </c>
      <c r="E43" s="11252">
        <f>'WS-MOOE 2017'!B8</f>
        <v>3502</v>
      </c>
      <c r="F43" s="11252">
        <f>'WS-MOOE ACTUAL JUNE 2018'!B7</f>
        <v>9542</v>
      </c>
      <c r="G43" s="11243">
        <f t="shared" ref="G43:G56" si="2">H43-F43</f>
        <v>90458</v>
      </c>
      <c r="H43" s="11514">
        <v>100000</v>
      </c>
      <c r="I43" s="11514">
        <v>9142</v>
      </c>
      <c r="J43" s="11163">
        <f>I43/H43</f>
        <v>9.1420000000000001E-2</v>
      </c>
      <c r="K43" s="11515">
        <v>100000</v>
      </c>
    </row>
    <row r="44" spans="1:14" ht="15" customHeight="1">
      <c r="A44" s="11237"/>
      <c r="B44" s="7352" t="s">
        <v>10533</v>
      </c>
      <c r="C44" s="7352"/>
      <c r="D44" s="8872">
        <v>50202010</v>
      </c>
      <c r="E44" s="11252">
        <f>'WS-MOOE 2017'!H8</f>
        <v>39150</v>
      </c>
      <c r="F44" s="11252">
        <f>'WS-MOOE ACTUAL JUNE 2018'!G7</f>
        <v>0</v>
      </c>
      <c r="G44" s="11243">
        <f t="shared" si="2"/>
        <v>500000</v>
      </c>
      <c r="H44" s="11514">
        <v>500000</v>
      </c>
      <c r="I44" s="11514">
        <v>60000</v>
      </c>
      <c r="J44" s="11163">
        <f t="shared" ref="J44:J58" si="3">I44/H44</f>
        <v>0.12</v>
      </c>
      <c r="K44" s="11515">
        <v>1000000</v>
      </c>
    </row>
    <row r="45" spans="1:14" s="7818" customFormat="1" ht="15" customHeight="1">
      <c r="A45" s="11237"/>
      <c r="B45" s="7352" t="s">
        <v>42</v>
      </c>
      <c r="C45" s="7352"/>
      <c r="D45" s="8872">
        <v>50203010</v>
      </c>
      <c r="E45" s="11252">
        <f>'WS-MOOE 2017'!J8</f>
        <v>89070.05</v>
      </c>
      <c r="F45" s="11252">
        <f>'WS-MOOE ACTUAL JUNE 2018'!H7</f>
        <v>0</v>
      </c>
      <c r="G45" s="9557">
        <f t="shared" si="2"/>
        <v>100000</v>
      </c>
      <c r="H45" s="9282">
        <v>100000</v>
      </c>
      <c r="I45" s="9282">
        <v>88993</v>
      </c>
      <c r="J45" s="8799">
        <f t="shared" si="3"/>
        <v>0.88993</v>
      </c>
      <c r="K45" s="11522">
        <v>200000</v>
      </c>
      <c r="M45" s="7841"/>
    </row>
    <row r="46" spans="1:14" s="7818" customFormat="1" ht="15" customHeight="1">
      <c r="A46" s="11237"/>
      <c r="B46" s="7352" t="s">
        <v>61</v>
      </c>
      <c r="C46" s="7352"/>
      <c r="D46" s="8872">
        <v>50203090</v>
      </c>
      <c r="E46" s="11252">
        <v>0</v>
      </c>
      <c r="F46" s="11252">
        <f>'WS-MOOE ACTUAL JUNE 2018'!O7</f>
        <v>0</v>
      </c>
      <c r="G46" s="9557">
        <f t="shared" si="2"/>
        <v>80000</v>
      </c>
      <c r="H46" s="9282">
        <v>80000</v>
      </c>
      <c r="I46" s="9282">
        <v>0</v>
      </c>
      <c r="J46" s="8799">
        <f t="shared" si="3"/>
        <v>0</v>
      </c>
      <c r="K46" s="11522">
        <v>100000</v>
      </c>
      <c r="M46" s="7841"/>
    </row>
    <row r="47" spans="1:14" s="7818" customFormat="1" ht="15" customHeight="1">
      <c r="A47" s="11237"/>
      <c r="B47" s="7352" t="s">
        <v>46</v>
      </c>
      <c r="C47" s="7352"/>
      <c r="D47" s="8872">
        <v>50204020</v>
      </c>
      <c r="E47" s="11252">
        <f>'WS-MOOE 2017'!X8</f>
        <v>180000</v>
      </c>
      <c r="F47" s="11252">
        <f>'WS-MOOE ACTUAL JUNE 2018'!S7</f>
        <v>278730.96999999997</v>
      </c>
      <c r="G47" s="9557">
        <f t="shared" si="2"/>
        <v>171269.03000000003</v>
      </c>
      <c r="H47" s="9282">
        <v>450000</v>
      </c>
      <c r="I47" s="9282">
        <v>400500</v>
      </c>
      <c r="J47" s="8799">
        <f t="shared" si="3"/>
        <v>0.89</v>
      </c>
      <c r="K47" s="11522">
        <v>0</v>
      </c>
      <c r="L47" s="7818" t="s">
        <v>11825</v>
      </c>
      <c r="M47" s="7841"/>
    </row>
    <row r="48" spans="1:14" ht="15" customHeight="1">
      <c r="A48" s="11131"/>
      <c r="B48" s="7835" t="s">
        <v>11762</v>
      </c>
      <c r="C48" s="7835"/>
      <c r="D48" s="11456">
        <v>50205020</v>
      </c>
      <c r="E48" s="10370">
        <f>'WS-MOOE 2017'!AE8</f>
        <v>425793.54</v>
      </c>
      <c r="F48" s="10370"/>
      <c r="G48" s="9283"/>
      <c r="H48" s="9283"/>
      <c r="I48" s="9283"/>
      <c r="J48" s="9283"/>
      <c r="K48" s="11523"/>
      <c r="N48" s="8089"/>
    </row>
    <row r="49" spans="1:14" ht="15" customHeight="1">
      <c r="A49" s="11131"/>
      <c r="B49" s="7835" t="s">
        <v>10973</v>
      </c>
      <c r="C49" s="7835"/>
      <c r="D49" s="11456">
        <v>50205030</v>
      </c>
      <c r="E49" s="11492"/>
      <c r="F49" s="11492">
        <f>'WS-MOOE ACTUAL JUNE 2018'!Z7</f>
        <v>209661.35</v>
      </c>
      <c r="G49" s="9557">
        <f>H49-F49</f>
        <v>290338.65000000002</v>
      </c>
      <c r="H49" s="9282">
        <v>500000</v>
      </c>
      <c r="I49" s="9282">
        <v>295985.8</v>
      </c>
      <c r="J49" s="8799">
        <f>I49/H49</f>
        <v>0.59197159999999993</v>
      </c>
      <c r="K49" s="11522">
        <v>1500000</v>
      </c>
      <c r="L49" s="7310">
        <v>2688000</v>
      </c>
      <c r="N49" s="8089"/>
    </row>
    <row r="50" spans="1:14" ht="15" customHeight="1">
      <c r="A50" s="11237"/>
      <c r="B50" s="7488" t="s">
        <v>10944</v>
      </c>
      <c r="C50" s="7488"/>
      <c r="D50" s="11258">
        <v>50211990</v>
      </c>
      <c r="E50" s="11252">
        <f>'WS-MOOE 2017'!AL8</f>
        <v>1058071.55</v>
      </c>
      <c r="F50" s="11252">
        <f>'WS-MOOE ACTUAL JUNE 2018'!AF7</f>
        <v>726107.21</v>
      </c>
      <c r="G50" s="9557">
        <f>H50-F50</f>
        <v>1173892.79</v>
      </c>
      <c r="H50" s="9282">
        <v>1900000</v>
      </c>
      <c r="I50" s="9282">
        <v>1748165.27</v>
      </c>
      <c r="J50" s="8799">
        <f>I50/H50</f>
        <v>0.92008698421052637</v>
      </c>
      <c r="K50" s="11522">
        <v>1900000</v>
      </c>
      <c r="N50" s="7382"/>
    </row>
    <row r="51" spans="1:14" ht="15" customHeight="1">
      <c r="A51" s="11237"/>
      <c r="B51" s="7352" t="s">
        <v>10940</v>
      </c>
      <c r="C51" s="7352"/>
      <c r="D51" s="8872">
        <v>50212990</v>
      </c>
      <c r="E51" s="11252">
        <f>'WS-MOOE 2017'!AO8</f>
        <v>311368.15000000002</v>
      </c>
      <c r="F51" s="11252">
        <f>'WS-MOOE ACTUAL JUNE 2018'!AJ7</f>
        <v>62431.95</v>
      </c>
      <c r="G51" s="9557">
        <f t="shared" si="2"/>
        <v>837568.05</v>
      </c>
      <c r="H51" s="9282">
        <v>900000</v>
      </c>
      <c r="I51" s="9282">
        <v>92072.95</v>
      </c>
      <c r="J51" s="8799">
        <f t="shared" si="3"/>
        <v>0.10230327777777777</v>
      </c>
      <c r="K51" s="11522">
        <v>682440</v>
      </c>
      <c r="N51" s="8089"/>
    </row>
    <row r="52" spans="1:14" ht="15" customHeight="1">
      <c r="A52" s="11237"/>
      <c r="B52" s="7488" t="s">
        <v>10938</v>
      </c>
      <c r="C52" s="7488"/>
      <c r="D52" s="8872">
        <v>50213050</v>
      </c>
      <c r="E52" s="11252">
        <f>'WS-MOOE 2017'!AW8</f>
        <v>71142</v>
      </c>
      <c r="F52" s="11252">
        <f>'WS-MOOE ACTUAL JUNE 2018'!AS7</f>
        <v>0</v>
      </c>
      <c r="G52" s="9557">
        <f t="shared" si="2"/>
        <v>650000</v>
      </c>
      <c r="H52" s="9282">
        <v>650000</v>
      </c>
      <c r="I52" s="9282">
        <v>0</v>
      </c>
      <c r="J52" s="8799">
        <f t="shared" si="3"/>
        <v>0</v>
      </c>
      <c r="K52" s="11522">
        <v>650000</v>
      </c>
      <c r="N52" s="7382"/>
    </row>
    <row r="53" spans="1:14" ht="15" hidden="1" customHeight="1">
      <c r="A53" s="11237"/>
      <c r="B53" s="7352" t="s">
        <v>390</v>
      </c>
      <c r="C53" s="7352"/>
      <c r="D53" s="8872"/>
      <c r="E53" s="11252">
        <f>'WS-MOOE 2017'!BA8</f>
        <v>0</v>
      </c>
      <c r="F53" s="11252"/>
      <c r="G53" s="11243">
        <f t="shared" si="2"/>
        <v>0</v>
      </c>
      <c r="H53" s="11514"/>
      <c r="I53" s="11514"/>
      <c r="J53" s="11163" t="e">
        <f t="shared" si="3"/>
        <v>#DIV/0!</v>
      </c>
      <c r="K53" s="11515"/>
      <c r="N53" s="7382"/>
    </row>
    <row r="54" spans="1:14" ht="15" customHeight="1">
      <c r="A54" s="11237"/>
      <c r="B54" s="7488" t="s">
        <v>10937</v>
      </c>
      <c r="C54" s="7488"/>
      <c r="D54" s="11258">
        <v>50213060</v>
      </c>
      <c r="E54" s="11252">
        <v>0</v>
      </c>
      <c r="F54" s="11252">
        <f>'WS-MOOE ACTUAL JUNE 2018'!AT7</f>
        <v>0</v>
      </c>
      <c r="G54" s="11243">
        <f t="shared" si="2"/>
        <v>50000</v>
      </c>
      <c r="H54" s="11514">
        <v>50000</v>
      </c>
      <c r="I54" s="11514">
        <v>0</v>
      </c>
      <c r="J54" s="11163">
        <f t="shared" si="3"/>
        <v>0</v>
      </c>
      <c r="K54" s="11515">
        <v>50000</v>
      </c>
      <c r="N54" s="7382"/>
    </row>
    <row r="55" spans="1:14" ht="15" customHeight="1">
      <c r="A55" s="11237"/>
      <c r="B55" s="7352" t="s">
        <v>72</v>
      </c>
      <c r="C55" s="7352"/>
      <c r="D55" s="8872">
        <v>50215020</v>
      </c>
      <c r="E55" s="11252">
        <f>'WS-MOOE 2017'!BH8</f>
        <v>0</v>
      </c>
      <c r="F55" s="11252">
        <f>'WS-MOOE ACTUAL JUNE 2018'!AZ7</f>
        <v>0</v>
      </c>
      <c r="G55" s="11243">
        <f t="shared" si="2"/>
        <v>1500</v>
      </c>
      <c r="H55" s="11514">
        <v>1500</v>
      </c>
      <c r="I55" s="11514">
        <v>0</v>
      </c>
      <c r="J55" s="11163">
        <f t="shared" si="3"/>
        <v>0</v>
      </c>
      <c r="K55" s="11515">
        <v>1500</v>
      </c>
      <c r="N55" s="7382"/>
    </row>
    <row r="56" spans="1:14" ht="15" customHeight="1">
      <c r="A56" s="11237"/>
      <c r="B56" s="7913" t="s">
        <v>50</v>
      </c>
      <c r="C56" s="7913"/>
      <c r="D56" s="8872">
        <v>50299990</v>
      </c>
      <c r="E56" s="11252">
        <f>'WS-MOOE 2017'!BO8</f>
        <v>15668.25</v>
      </c>
      <c r="F56" s="11252">
        <f>'WS-MOOE ACTUAL JUNE 2018'!BI7</f>
        <v>0</v>
      </c>
      <c r="G56" s="11243">
        <f t="shared" si="2"/>
        <v>50000</v>
      </c>
      <c r="H56" s="11514">
        <v>50000</v>
      </c>
      <c r="I56" s="11514">
        <v>0</v>
      </c>
      <c r="J56" s="11163">
        <f t="shared" si="3"/>
        <v>0</v>
      </c>
      <c r="K56" s="11515">
        <v>50000</v>
      </c>
      <c r="N56" s="7382"/>
    </row>
    <row r="57" spans="1:14" ht="5.0999999999999996" customHeight="1">
      <c r="A57" s="11237"/>
      <c r="B57" s="7352"/>
      <c r="C57" s="7352"/>
      <c r="D57" s="10387"/>
      <c r="E57" s="11524"/>
      <c r="F57" s="11525"/>
      <c r="G57" s="11526"/>
      <c r="H57" s="11527"/>
      <c r="I57" s="7725"/>
      <c r="J57" s="7313"/>
      <c r="K57" s="11528"/>
      <c r="L57" s="7310"/>
      <c r="N57" s="7382"/>
    </row>
    <row r="58" spans="1:14" ht="15" customHeight="1">
      <c r="A58" s="11237"/>
      <c r="B58" s="7361" t="s">
        <v>37</v>
      </c>
      <c r="C58" s="7361"/>
      <c r="D58" s="10387"/>
      <c r="E58" s="11272">
        <f>SUM(E43:E56)</f>
        <v>2193765.54</v>
      </c>
      <c r="F58" s="11272">
        <f>SUM(F43:F56)</f>
        <v>1286473.4799999997</v>
      </c>
      <c r="G58" s="11273">
        <f>SUM(G43:G56)</f>
        <v>3995026.5200000005</v>
      </c>
      <c r="H58" s="11272">
        <f>SUM(H43:H56)</f>
        <v>5281500</v>
      </c>
      <c r="I58" s="11272">
        <f>SUM(I43:I56)</f>
        <v>2694859.0200000005</v>
      </c>
      <c r="J58" s="11210">
        <f t="shared" si="3"/>
        <v>0.51024500994035793</v>
      </c>
      <c r="K58" s="11529">
        <f>SUM(K43:K56)</f>
        <v>6233940</v>
      </c>
      <c r="L58" s="10391">
        <f>(K58-H58)/H58</f>
        <v>0.18033513206475432</v>
      </c>
      <c r="M58" s="8890"/>
    </row>
    <row r="59" spans="1:14" ht="15" customHeight="1">
      <c r="A59" s="11237"/>
      <c r="B59" s="7352"/>
      <c r="C59" s="7352"/>
      <c r="D59" s="10387"/>
      <c r="E59" s="11530"/>
      <c r="F59" s="11531"/>
      <c r="G59" s="11532"/>
      <c r="H59" s="11533"/>
      <c r="I59" s="11534"/>
      <c r="J59" s="11503"/>
      <c r="K59" s="11535"/>
      <c r="L59" s="7371"/>
    </row>
    <row r="60" spans="1:14" ht="15" customHeight="1">
      <c r="A60" s="11241" t="s">
        <v>51</v>
      </c>
      <c r="B60" s="7352" t="s">
        <v>52</v>
      </c>
      <c r="C60" s="7352"/>
      <c r="D60" s="10387"/>
      <c r="E60" s="11252"/>
      <c r="F60" s="11252"/>
      <c r="G60" s="11243"/>
      <c r="H60" s="11514"/>
      <c r="I60" s="11252"/>
      <c r="J60" s="11163"/>
      <c r="K60" s="11522"/>
      <c r="N60" s="8089"/>
    </row>
    <row r="61" spans="1:14" ht="15" customHeight="1">
      <c r="A61" s="11241"/>
      <c r="B61" s="7352" t="s">
        <v>10001</v>
      </c>
      <c r="C61" s="7352"/>
      <c r="D61" s="8872">
        <v>50705020</v>
      </c>
      <c r="E61" s="11252">
        <f>'WS-CO 2017'!F7</f>
        <v>0</v>
      </c>
      <c r="F61" s="11252">
        <v>0</v>
      </c>
      <c r="G61" s="11243">
        <f>H61-F61</f>
        <v>90000</v>
      </c>
      <c r="H61" s="10138">
        <v>90000</v>
      </c>
      <c r="I61" s="11252">
        <v>90000</v>
      </c>
      <c r="J61" s="11163">
        <f>I61/H61</f>
        <v>1</v>
      </c>
      <c r="K61" s="11133">
        <v>90000</v>
      </c>
      <c r="N61" s="8089"/>
    </row>
    <row r="62" spans="1:14" ht="15" customHeight="1">
      <c r="A62" s="11241"/>
      <c r="B62" s="7488" t="s">
        <v>10946</v>
      </c>
      <c r="C62" s="7488"/>
      <c r="D62" s="10144">
        <v>50705030</v>
      </c>
      <c r="E62" s="11252">
        <f>'WS-CO 2017'!H7</f>
        <v>0</v>
      </c>
      <c r="F62" s="11252">
        <v>0</v>
      </c>
      <c r="G62" s="11243">
        <f>H62-F62</f>
        <v>600000</v>
      </c>
      <c r="H62" s="10138">
        <v>600000</v>
      </c>
      <c r="I62" s="11132">
        <v>0</v>
      </c>
      <c r="J62" s="11163">
        <f>I62/H62</f>
        <v>0</v>
      </c>
      <c r="K62" s="11133">
        <v>400000</v>
      </c>
    </row>
    <row r="63" spans="1:14" ht="15" hidden="1" customHeight="1">
      <c r="A63" s="11241"/>
      <c r="B63" s="7352" t="s">
        <v>10534</v>
      </c>
      <c r="C63" s="7352"/>
      <c r="D63" s="8872"/>
      <c r="E63" s="11252"/>
      <c r="F63" s="11252"/>
      <c r="G63" s="11243"/>
      <c r="H63" s="11516"/>
      <c r="I63" s="11132"/>
      <c r="J63" s="11163"/>
      <c r="K63" s="11517"/>
      <c r="L63" s="8091">
        <v>1075000</v>
      </c>
    </row>
    <row r="64" spans="1:14" ht="15" hidden="1" customHeight="1">
      <c r="A64" s="11241"/>
      <c r="B64" s="7352" t="s">
        <v>11094</v>
      </c>
      <c r="C64" s="7352"/>
      <c r="D64" s="8872"/>
      <c r="E64" s="11252"/>
      <c r="F64" s="11252"/>
      <c r="G64" s="11243"/>
      <c r="H64" s="11132"/>
      <c r="I64" s="11132"/>
      <c r="J64" s="11163"/>
      <c r="K64" s="11133">
        <v>0</v>
      </c>
      <c r="L64" s="7351" t="s">
        <v>10105</v>
      </c>
    </row>
    <row r="65" spans="1:13" ht="5.4" customHeight="1">
      <c r="A65" s="11241"/>
      <c r="B65" s="7352"/>
      <c r="C65" s="7352"/>
      <c r="D65" s="8872"/>
      <c r="E65" s="11252"/>
      <c r="F65" s="11252"/>
      <c r="G65" s="11243"/>
      <c r="H65" s="11132"/>
      <c r="I65" s="11132"/>
      <c r="J65" s="11163"/>
      <c r="K65" s="11133"/>
    </row>
    <row r="66" spans="1:13" s="7374" customFormat="1" ht="15" customHeight="1">
      <c r="A66" s="11288"/>
      <c r="B66" s="7361" t="s">
        <v>37</v>
      </c>
      <c r="C66" s="7361"/>
      <c r="D66" s="11536"/>
      <c r="E66" s="11537">
        <f>SUM(E61:E63)</f>
        <v>0</v>
      </c>
      <c r="F66" s="11537">
        <f>SUM(F62)</f>
        <v>0</v>
      </c>
      <c r="G66" s="11538">
        <f>SUM(G60:G64)</f>
        <v>690000</v>
      </c>
      <c r="H66" s="11205">
        <f>SUM(H60:H62)</f>
        <v>690000</v>
      </c>
      <c r="I66" s="11205">
        <f>I62</f>
        <v>0</v>
      </c>
      <c r="J66" s="11206">
        <f>I66/H66</f>
        <v>0</v>
      </c>
      <c r="K66" s="11137">
        <f>SUM(K60:K64)</f>
        <v>490000</v>
      </c>
      <c r="L66" s="10391">
        <f>(K66-H66)/H66</f>
        <v>-0.28985507246376813</v>
      </c>
      <c r="M66" s="8890"/>
    </row>
    <row r="67" spans="1:13" s="8092" customFormat="1" ht="15" customHeight="1">
      <c r="A67" s="11539" t="s">
        <v>53</v>
      </c>
      <c r="B67" s="8055" t="s">
        <v>54</v>
      </c>
      <c r="C67" s="8055"/>
      <c r="D67" s="11540"/>
      <c r="E67" s="11541"/>
      <c r="F67" s="11541"/>
      <c r="G67" s="11542"/>
      <c r="H67" s="11543"/>
      <c r="I67" s="11543"/>
      <c r="J67" s="11544"/>
      <c r="K67" s="11545"/>
      <c r="M67" s="10241"/>
    </row>
    <row r="68" spans="1:13" ht="15" customHeight="1">
      <c r="A68" s="11232"/>
      <c r="B68" s="7504" t="s">
        <v>11680</v>
      </c>
      <c r="C68" s="7355"/>
      <c r="D68" s="10387">
        <v>1996</v>
      </c>
      <c r="E68" s="11506">
        <v>442880.6</v>
      </c>
      <c r="F68" s="11213">
        <v>0</v>
      </c>
      <c r="G68" s="11243">
        <f>H68-F68</f>
        <v>3000000</v>
      </c>
      <c r="H68" s="11514">
        <v>3000000</v>
      </c>
      <c r="I68" s="11132">
        <v>2961112</v>
      </c>
      <c r="J68" s="11163">
        <f>I68/H68</f>
        <v>0.98703733333333332</v>
      </c>
      <c r="K68" s="11515">
        <v>500000</v>
      </c>
      <c r="L68" s="7310" t="s">
        <v>11826</v>
      </c>
    </row>
    <row r="69" spans="1:13" ht="15" hidden="1" customHeight="1">
      <c r="A69" s="11232"/>
      <c r="B69" s="7355" t="s">
        <v>11771</v>
      </c>
      <c r="C69" s="7355"/>
      <c r="D69" s="10387"/>
      <c r="E69" s="11506"/>
      <c r="F69" s="11213"/>
      <c r="G69" s="11243"/>
      <c r="H69" s="11514"/>
      <c r="I69" s="11132"/>
      <c r="J69" s="11163"/>
      <c r="K69" s="11515"/>
      <c r="L69" s="7310"/>
    </row>
    <row r="70" spans="1:13" ht="15" hidden="1" customHeight="1">
      <c r="A70" s="11232"/>
      <c r="B70" s="11507" t="s">
        <v>11823</v>
      </c>
      <c r="C70" s="7483">
        <v>4500000</v>
      </c>
      <c r="D70" s="10387"/>
      <c r="E70" s="11506"/>
      <c r="F70" s="11213"/>
      <c r="G70" s="11243"/>
      <c r="H70" s="11514"/>
      <c r="I70" s="11132"/>
      <c r="J70" s="11163"/>
      <c r="K70" s="11515"/>
      <c r="L70" s="7310"/>
    </row>
    <row r="71" spans="1:13" s="7374" customFormat="1" ht="6.6" customHeight="1">
      <c r="A71" s="11232"/>
      <c r="B71" s="7355"/>
      <c r="C71" s="7355"/>
      <c r="D71" s="10387"/>
      <c r="E71" s="11524"/>
      <c r="F71" s="11525"/>
      <c r="G71" s="11526"/>
      <c r="H71" s="11527"/>
      <c r="I71" s="11527"/>
      <c r="J71" s="7313"/>
      <c r="K71" s="11528"/>
      <c r="M71" s="7839"/>
    </row>
    <row r="72" spans="1:13" ht="15" customHeight="1">
      <c r="A72" s="11288"/>
      <c r="B72" s="7361" t="s">
        <v>37</v>
      </c>
      <c r="C72" s="7361"/>
      <c r="D72" s="10111"/>
      <c r="E72" s="7726">
        <f>SUM(E68)</f>
        <v>442880.6</v>
      </c>
      <c r="F72" s="7726">
        <f>SUM(F68)</f>
        <v>0</v>
      </c>
      <c r="G72" s="11546">
        <f>SUM(G68)</f>
        <v>3000000</v>
      </c>
      <c r="H72" s="11547">
        <f>H68</f>
        <v>3000000</v>
      </c>
      <c r="I72" s="7726">
        <f>I68</f>
        <v>2961112</v>
      </c>
      <c r="J72" s="7446">
        <f>I72/H72</f>
        <v>0.98703733333333332</v>
      </c>
      <c r="K72" s="11548">
        <f>K68</f>
        <v>500000</v>
      </c>
      <c r="L72" s="10391">
        <f>(K72-H72)/H72</f>
        <v>-0.83333333333333337</v>
      </c>
      <c r="M72" s="8890"/>
    </row>
    <row r="73" spans="1:13" ht="15" customHeight="1">
      <c r="A73" s="11292"/>
      <c r="B73" s="11293"/>
      <c r="C73" s="11293"/>
      <c r="D73" s="11294"/>
      <c r="E73" s="11281"/>
      <c r="F73" s="11281"/>
      <c r="G73" s="11549"/>
      <c r="H73" s="11550"/>
      <c r="I73" s="11281"/>
      <c r="J73" s="11206"/>
      <c r="K73" s="11551"/>
    </row>
    <row r="74" spans="1:13" ht="15" customHeight="1" thickBot="1">
      <c r="A74" s="11235"/>
      <c r="B74" s="7391" t="s">
        <v>55</v>
      </c>
      <c r="C74" s="7391"/>
      <c r="D74" s="11261"/>
      <c r="E74" s="11552">
        <f>(E58+E66+E27+E72)</f>
        <v>5395989.1600000001</v>
      </c>
      <c r="F74" s="11552">
        <f>(F58+F66+F27+F72)</f>
        <v>2693722.16</v>
      </c>
      <c r="G74" s="11553">
        <f>(G58+G66+G27+G72)</f>
        <v>9874239.8399999999</v>
      </c>
      <c r="H74" s="11552">
        <f>(H58+H66+H27+H72)</f>
        <v>12567962</v>
      </c>
      <c r="I74" s="11552"/>
      <c r="J74" s="11176"/>
      <c r="K74" s="11554">
        <f>(K58+K66+K27+K72)</f>
        <v>12932067.545</v>
      </c>
      <c r="L74" s="10391">
        <f>(K74-H74)/H74</f>
        <v>2.8970929813441505E-2</v>
      </c>
    </row>
    <row r="75" spans="1:13" s="7333" customFormat="1" ht="15" customHeight="1">
      <c r="A75" s="7812" t="s">
        <v>4763</v>
      </c>
      <c r="B75" s="7812"/>
      <c r="C75" s="7812"/>
      <c r="D75" s="7813"/>
      <c r="E75" s="7814"/>
      <c r="F75" s="7814"/>
      <c r="G75" s="9519"/>
      <c r="H75" s="7815"/>
      <c r="I75" s="7814"/>
      <c r="J75" s="8043"/>
      <c r="K75" s="7815"/>
      <c r="M75" s="7842"/>
    </row>
    <row r="76" spans="1:13" ht="15" customHeight="1">
      <c r="A76" s="7812"/>
      <c r="B76" s="7812"/>
      <c r="C76" s="7812"/>
      <c r="D76" s="7813"/>
      <c r="E76" s="7814"/>
      <c r="F76" s="7814"/>
      <c r="G76" s="9519"/>
      <c r="H76" s="7815"/>
      <c r="I76" s="7814"/>
      <c r="J76" s="8043"/>
      <c r="K76" s="7815"/>
    </row>
    <row r="77" spans="1:13" s="7374" customFormat="1" ht="15" hidden="1" customHeight="1">
      <c r="A77" s="7761" t="s">
        <v>3483</v>
      </c>
      <c r="B77" s="7761"/>
      <c r="C77" s="7761"/>
      <c r="D77" s="10870" t="s">
        <v>3484</v>
      </c>
      <c r="F77" s="7763"/>
      <c r="G77" s="9459" t="s">
        <v>10666</v>
      </c>
      <c r="I77" s="7763"/>
      <c r="J77" s="7286"/>
      <c r="K77" s="7339"/>
      <c r="M77" s="7839"/>
    </row>
    <row r="78" spans="1:13" ht="12" hidden="1" customHeight="1">
      <c r="A78" s="7761"/>
      <c r="B78" s="7761"/>
      <c r="C78" s="7761"/>
      <c r="D78" s="7351"/>
      <c r="E78" s="10870"/>
      <c r="F78" s="7763"/>
      <c r="G78" s="9531"/>
      <c r="H78" s="7339"/>
      <c r="I78" s="7763"/>
      <c r="J78" s="7286"/>
      <c r="K78" s="7339"/>
    </row>
    <row r="79" spans="1:13" ht="12" hidden="1" customHeight="1">
      <c r="A79" s="7761"/>
      <c r="B79" s="7761"/>
      <c r="C79" s="7761"/>
      <c r="D79" s="7351"/>
      <c r="E79" s="10870"/>
      <c r="F79" s="7763"/>
      <c r="G79" s="9531"/>
      <c r="H79" s="7339"/>
      <c r="I79" s="7763"/>
      <c r="J79" s="7286"/>
      <c r="K79" s="7339"/>
    </row>
    <row r="80" spans="1:13" ht="15" hidden="1" customHeight="1">
      <c r="A80" s="14167" t="s">
        <v>10798</v>
      </c>
      <c r="B80" s="14167"/>
      <c r="C80" s="10874"/>
      <c r="D80" s="7351"/>
      <c r="E80" s="9604" t="s">
        <v>12059</v>
      </c>
      <c r="F80" s="7766"/>
      <c r="G80" s="9552"/>
      <c r="H80" s="7342" t="s">
        <v>9154</v>
      </c>
      <c r="I80" s="7766"/>
      <c r="J80" s="7284"/>
      <c r="K80" s="7822"/>
    </row>
    <row r="81" spans="1:11" ht="15" hidden="1" customHeight="1">
      <c r="A81" s="7767" t="s">
        <v>11248</v>
      </c>
      <c r="B81" s="7799"/>
      <c r="C81" s="7799"/>
      <c r="D81" s="7351"/>
      <c r="E81" s="7761" t="s">
        <v>3486</v>
      </c>
      <c r="F81" s="10870"/>
      <c r="G81" s="9533"/>
      <c r="H81" s="7344" t="s">
        <v>10665</v>
      </c>
      <c r="I81" s="7763"/>
      <c r="J81" s="7763"/>
      <c r="K81" s="7763"/>
    </row>
    <row r="82" spans="1:11" ht="15" customHeight="1">
      <c r="A82" s="7335"/>
      <c r="B82" s="7335"/>
      <c r="C82" s="7335"/>
      <c r="D82" s="10884"/>
      <c r="E82" s="7336"/>
      <c r="F82" s="7336"/>
      <c r="G82" s="9524"/>
      <c r="I82" s="7336"/>
      <c r="J82" s="7286"/>
    </row>
    <row r="83" spans="1:11" ht="15" hidden="1" customHeight="1">
      <c r="A83" s="7335"/>
      <c r="B83" s="7335"/>
      <c r="C83" s="7335"/>
      <c r="D83" s="10884"/>
      <c r="E83" s="7336"/>
      <c r="F83" s="9558" t="s">
        <v>11078</v>
      </c>
      <c r="G83" s="9524"/>
      <c r="H83" s="11508" t="s">
        <v>11080</v>
      </c>
      <c r="I83" s="7336"/>
      <c r="J83" s="7286"/>
      <c r="K83" s="7830"/>
    </row>
    <row r="84" spans="1:11" ht="15" hidden="1" customHeight="1">
      <c r="E84" s="7338">
        <v>8188447</v>
      </c>
      <c r="F84" s="8901">
        <f>H74-E84</f>
        <v>4379515</v>
      </c>
      <c r="H84" s="11509"/>
      <c r="I84" s="7334"/>
    </row>
    <row r="85" spans="1:11" ht="15" hidden="1" customHeight="1">
      <c r="F85" s="8867">
        <f>F84/E84</f>
        <v>0.53484073353591954</v>
      </c>
      <c r="H85" s="11509">
        <f>K74-H74</f>
        <v>364105.54499999993</v>
      </c>
    </row>
    <row r="86" spans="1:11" ht="15" hidden="1" customHeight="1">
      <c r="H86" s="8867">
        <f>H85/H74</f>
        <v>2.8970929813441505E-2</v>
      </c>
    </row>
    <row r="87" spans="1:11" ht="15" customHeight="1">
      <c r="H87" s="11509"/>
    </row>
    <row r="93" spans="1:11" ht="15" customHeight="1">
      <c r="A93" s="7351" t="s">
        <v>9</v>
      </c>
    </row>
    <row r="94" spans="1:11" ht="15" customHeight="1">
      <c r="A94" s="7351" t="s">
        <v>9</v>
      </c>
    </row>
  </sheetData>
  <mergeCells count="7">
    <mergeCell ref="A80:B80"/>
    <mergeCell ref="A1:K1"/>
    <mergeCell ref="F7:H7"/>
    <mergeCell ref="H8:H9"/>
    <mergeCell ref="F39:H39"/>
    <mergeCell ref="H40:H41"/>
    <mergeCell ref="K4:K5"/>
  </mergeCells>
  <printOptions horizontalCentered="1"/>
  <pageMargins left="0.25" right="0.25" top="0.5" bottom="0.25" header="0.25" footer="0.25"/>
  <pageSetup paperSize="119" firstPageNumber="31" orientation="landscape" useFirstPageNumber="1" r:id="rId1"/>
  <headerFooter alignWithMargins="0"/>
</worksheet>
</file>

<file path=xl/worksheets/sheet54.xml><?xml version="1.0" encoding="utf-8"?>
<worksheet xmlns="http://schemas.openxmlformats.org/spreadsheetml/2006/main" xmlns:r="http://schemas.openxmlformats.org/officeDocument/2006/relationships">
  <sheetPr codeName="Sheet87">
    <tabColor rgb="FFFFFF00"/>
  </sheetPr>
  <dimension ref="A1:E23"/>
  <sheetViews>
    <sheetView topLeftCell="A7" workbookViewId="0">
      <selection activeCell="D25" sqref="D25"/>
    </sheetView>
  </sheetViews>
  <sheetFormatPr defaultColWidth="9.109375" defaultRowHeight="14.4"/>
  <cols>
    <col min="1" max="1" width="37.109375" style="818" customWidth="1"/>
    <col min="2" max="2" width="15" style="889" customWidth="1"/>
    <col min="3" max="4" width="14.88671875" style="889" customWidth="1"/>
    <col min="5" max="5" width="14.109375" style="889" customWidth="1"/>
    <col min="6" max="16384" width="9.109375" style="818"/>
  </cols>
  <sheetData>
    <row r="1" spans="1:5" s="881" customFormat="1" ht="40.5" customHeight="1">
      <c r="A1" s="881" t="s">
        <v>3426</v>
      </c>
      <c r="B1" s="884"/>
      <c r="C1" s="884"/>
      <c r="D1" s="884"/>
      <c r="E1" s="884"/>
    </row>
    <row r="2" spans="1:5" s="881" customFormat="1" ht="20.25" customHeight="1">
      <c r="A2" s="881" t="s">
        <v>1724</v>
      </c>
      <c r="B2" s="884"/>
      <c r="C2" s="884"/>
      <c r="D2" s="884"/>
      <c r="E2" s="884"/>
    </row>
    <row r="3" spans="1:5" s="881" customFormat="1" ht="20.25" customHeight="1" thickBot="1">
      <c r="B3" s="884"/>
      <c r="C3" s="884"/>
      <c r="D3" s="884"/>
      <c r="E3" s="884"/>
    </row>
    <row r="4" spans="1:5" s="881" customFormat="1">
      <c r="A4" s="14568" t="s">
        <v>9064</v>
      </c>
      <c r="B4" s="14569" t="s">
        <v>18</v>
      </c>
      <c r="C4" s="14570"/>
      <c r="D4" s="14568" t="s">
        <v>9065</v>
      </c>
      <c r="E4" s="14568" t="s">
        <v>458</v>
      </c>
    </row>
    <row r="5" spans="1:5" s="882" customFormat="1" ht="15" thickBot="1">
      <c r="A5" s="14562"/>
      <c r="B5" s="14571"/>
      <c r="C5" s="14572"/>
      <c r="D5" s="14562"/>
      <c r="E5" s="14562"/>
    </row>
    <row r="6" spans="1:5" s="881" customFormat="1" ht="53.25" customHeight="1" thickBot="1">
      <c r="A6" s="14563"/>
      <c r="B6" s="2613" t="s">
        <v>9066</v>
      </c>
      <c r="C6" s="2613" t="s">
        <v>9067</v>
      </c>
      <c r="D6" s="14563"/>
      <c r="E6" s="14563"/>
    </row>
    <row r="7" spans="1:5" s="881" customFormat="1">
      <c r="A7" s="14575" t="s">
        <v>9068</v>
      </c>
      <c r="B7" s="14568"/>
      <c r="C7" s="14568"/>
      <c r="D7" s="14525"/>
      <c r="E7" s="14525"/>
    </row>
    <row r="8" spans="1:5" ht="15" thickBot="1">
      <c r="A8" s="14576"/>
      <c r="B8" s="14563"/>
      <c r="C8" s="14563"/>
      <c r="D8" s="14527"/>
      <c r="E8" s="14527"/>
    </row>
    <row r="9" spans="1:5">
      <c r="A9" s="2614" t="s">
        <v>9069</v>
      </c>
      <c r="B9" s="3414"/>
      <c r="C9" s="2619"/>
      <c r="D9" s="2619"/>
      <c r="E9" s="2619"/>
    </row>
    <row r="10" spans="1:5">
      <c r="A10" s="2614"/>
      <c r="B10" s="3416"/>
      <c r="C10" s="2617"/>
      <c r="D10" s="2617"/>
      <c r="E10" s="2617"/>
    </row>
    <row r="11" spans="1:5" ht="21" customHeight="1">
      <c r="A11" s="3628" t="s">
        <v>9070</v>
      </c>
      <c r="B11" s="3629">
        <f>'lbpf 3-BICTU'!K27</f>
        <v>5708127.5449999999</v>
      </c>
      <c r="C11" s="2617">
        <f>'lbpf 3-BICTU'!K58</f>
        <v>6233940</v>
      </c>
      <c r="D11" s="2617">
        <v>300000</v>
      </c>
      <c r="E11" s="2617">
        <f>SUM(B11:D11)</f>
        <v>12242067.545</v>
      </c>
    </row>
    <row r="12" spans="1:5" ht="21" customHeight="1">
      <c r="A12" s="2616" t="s">
        <v>9071</v>
      </c>
      <c r="B12" s="3416"/>
      <c r="C12" s="2617"/>
      <c r="D12" s="2617"/>
      <c r="E12" s="2617"/>
    </row>
    <row r="13" spans="1:5" ht="21" customHeight="1">
      <c r="A13" s="2616" t="s">
        <v>9072</v>
      </c>
      <c r="B13" s="3416"/>
      <c r="C13" s="2617"/>
      <c r="D13" s="2617"/>
      <c r="E13" s="2617"/>
    </row>
    <row r="14" spans="1:5" ht="21" customHeight="1">
      <c r="A14" s="2616" t="s">
        <v>9073</v>
      </c>
      <c r="B14" s="3416"/>
      <c r="C14" s="2617"/>
      <c r="D14" s="2617"/>
      <c r="E14" s="2617"/>
    </row>
    <row r="15" spans="1:5" ht="15" thickBot="1">
      <c r="A15" s="2615"/>
      <c r="B15" s="3415"/>
      <c r="C15" s="2618"/>
      <c r="D15" s="2618"/>
      <c r="E15" s="2618"/>
    </row>
    <row r="16" spans="1:5">
      <c r="A16" s="14575" t="s">
        <v>9074</v>
      </c>
      <c r="B16" s="14568"/>
      <c r="C16" s="14578"/>
      <c r="D16" s="14573"/>
      <c r="E16" s="14573"/>
    </row>
    <row r="17" spans="1:5">
      <c r="A17" s="14577"/>
      <c r="B17" s="14562"/>
      <c r="C17" s="14579"/>
      <c r="D17" s="14574"/>
      <c r="E17" s="14574"/>
    </row>
    <row r="18" spans="1:5" ht="44.25" customHeight="1">
      <c r="A18" s="14561" t="s">
        <v>9075</v>
      </c>
      <c r="B18" s="14562"/>
      <c r="C18" s="14564"/>
      <c r="D18" s="14566">
        <v>200000</v>
      </c>
      <c r="E18" s="14566">
        <f>SUM(B18:D19)</f>
        <v>200000</v>
      </c>
    </row>
    <row r="19" spans="1:5">
      <c r="A19" s="14561"/>
      <c r="B19" s="14562"/>
      <c r="C19" s="14564"/>
      <c r="D19" s="14566"/>
      <c r="E19" s="14566"/>
    </row>
    <row r="20" spans="1:5">
      <c r="A20" s="14561" t="s">
        <v>9076</v>
      </c>
      <c r="B20" s="14562"/>
      <c r="C20" s="14564"/>
      <c r="D20" s="14566"/>
      <c r="E20" s="14566"/>
    </row>
    <row r="21" spans="1:5" ht="15" thickBot="1">
      <c r="A21" s="14558"/>
      <c r="B21" s="14563"/>
      <c r="C21" s="14565"/>
      <c r="D21" s="14567"/>
      <c r="E21" s="14567"/>
    </row>
    <row r="22" spans="1:5" s="881" customFormat="1">
      <c r="A22" s="14557"/>
      <c r="B22" s="14559">
        <f>SUM(B10:B19)</f>
        <v>5708127.5449999999</v>
      </c>
      <c r="C22" s="14559">
        <f>SUM(C10:C19)</f>
        <v>6233940</v>
      </c>
      <c r="D22" s="14559">
        <f>SUM(D10:D19)</f>
        <v>500000</v>
      </c>
      <c r="E22" s="14559">
        <f>SUM(E10:E19)</f>
        <v>12442067.545</v>
      </c>
    </row>
    <row r="23" spans="1:5" s="881" customFormat="1" ht="15" thickBot="1">
      <c r="A23" s="14558"/>
      <c r="B23" s="14560"/>
      <c r="C23" s="14560"/>
      <c r="D23" s="14560"/>
      <c r="E23" s="14560"/>
    </row>
  </sheetData>
  <mergeCells count="29">
    <mergeCell ref="A4:A6"/>
    <mergeCell ref="B4:C5"/>
    <mergeCell ref="D4:D6"/>
    <mergeCell ref="E4:E6"/>
    <mergeCell ref="E16:E17"/>
    <mergeCell ref="A7:A8"/>
    <mergeCell ref="B7:B8"/>
    <mergeCell ref="C7:C8"/>
    <mergeCell ref="D7:D8"/>
    <mergeCell ref="E7:E8"/>
    <mergeCell ref="A16:A17"/>
    <mergeCell ref="B16:B17"/>
    <mergeCell ref="C16:C17"/>
    <mergeCell ref="D16:D17"/>
    <mergeCell ref="A18:A19"/>
    <mergeCell ref="B18:B19"/>
    <mergeCell ref="C18:C19"/>
    <mergeCell ref="D18:D19"/>
    <mergeCell ref="E18:E19"/>
    <mergeCell ref="A20:A21"/>
    <mergeCell ref="B20:B21"/>
    <mergeCell ref="C20:C21"/>
    <mergeCell ref="D20:D21"/>
    <mergeCell ref="E20:E21"/>
    <mergeCell ref="A22:A23"/>
    <mergeCell ref="B22:B23"/>
    <mergeCell ref="C22:C23"/>
    <mergeCell ref="D22:D23"/>
    <mergeCell ref="E22:E23"/>
  </mergeCells>
  <printOptions horizontalCentered="1"/>
  <pageMargins left="0.5" right="0.25" top="0.75" bottom="0.5" header="0.5" footer="0.25"/>
  <pageSetup paperSize="119" firstPageNumber="32" orientation="portrait" useFirstPageNumber="1" verticalDpi="300" r:id="rId1"/>
</worksheet>
</file>

<file path=xl/worksheets/sheet55.xml><?xml version="1.0" encoding="utf-8"?>
<worksheet xmlns="http://schemas.openxmlformats.org/spreadsheetml/2006/main" xmlns:r="http://schemas.openxmlformats.org/officeDocument/2006/relationships">
  <sheetPr codeName="Sheet88">
    <tabColor rgb="FFFFFF00"/>
  </sheetPr>
  <dimension ref="A1:J73"/>
  <sheetViews>
    <sheetView topLeftCell="A41" workbookViewId="0">
      <selection activeCell="G41" sqref="G1:O1048576"/>
    </sheetView>
  </sheetViews>
  <sheetFormatPr defaultRowHeight="12.9" customHeight="1"/>
  <cols>
    <col min="1" max="1" width="40.5546875" style="7001" customWidth="1"/>
    <col min="2" max="3" width="8.5546875" style="7001" customWidth="1"/>
    <col min="4" max="4" width="27.109375" style="7001" hidden="1" customWidth="1"/>
    <col min="5" max="7" width="14.5546875" style="7001" customWidth="1"/>
    <col min="8" max="8" width="9.109375" style="7001"/>
    <col min="9" max="9" width="8.88671875" style="7001" customWidth="1"/>
    <col min="10" max="10" width="16.44140625" style="7001" customWidth="1"/>
    <col min="11" max="14" width="8.88671875" style="7001" customWidth="1"/>
    <col min="15" max="256" width="9.109375" style="7001"/>
    <col min="257" max="257" width="33.44140625" style="7001" customWidth="1"/>
    <col min="258" max="258" width="7.44140625" style="7001" customWidth="1"/>
    <col min="259" max="259" width="7" style="7001" customWidth="1"/>
    <col min="260" max="260" width="0" style="7001" hidden="1" customWidth="1"/>
    <col min="261" max="261" width="10.109375" style="7001" customWidth="1"/>
    <col min="262" max="262" width="14.44140625" style="7001" customWidth="1"/>
    <col min="263" max="263" width="17.109375" style="7001" customWidth="1"/>
    <col min="264" max="512" width="9.109375" style="7001"/>
    <col min="513" max="513" width="33.44140625" style="7001" customWidth="1"/>
    <col min="514" max="514" width="7.44140625" style="7001" customWidth="1"/>
    <col min="515" max="515" width="7" style="7001" customWidth="1"/>
    <col min="516" max="516" width="0" style="7001" hidden="1" customWidth="1"/>
    <col min="517" max="517" width="10.109375" style="7001" customWidth="1"/>
    <col min="518" max="518" width="14.44140625" style="7001" customWidth="1"/>
    <col min="519" max="519" width="17.109375" style="7001" customWidth="1"/>
    <col min="520" max="768" width="9.109375" style="7001"/>
    <col min="769" max="769" width="33.44140625" style="7001" customWidth="1"/>
    <col min="770" max="770" width="7.44140625" style="7001" customWidth="1"/>
    <col min="771" max="771" width="7" style="7001" customWidth="1"/>
    <col min="772" max="772" width="0" style="7001" hidden="1" customWidth="1"/>
    <col min="773" max="773" width="10.109375" style="7001" customWidth="1"/>
    <col min="774" max="774" width="14.44140625" style="7001" customWidth="1"/>
    <col min="775" max="775" width="17.109375" style="7001" customWidth="1"/>
    <col min="776" max="1024" width="9.109375" style="7001"/>
    <col min="1025" max="1025" width="33.44140625" style="7001" customWidth="1"/>
    <col min="1026" max="1026" width="7.44140625" style="7001" customWidth="1"/>
    <col min="1027" max="1027" width="7" style="7001" customWidth="1"/>
    <col min="1028" max="1028" width="0" style="7001" hidden="1" customWidth="1"/>
    <col min="1029" max="1029" width="10.109375" style="7001" customWidth="1"/>
    <col min="1030" max="1030" width="14.44140625" style="7001" customWidth="1"/>
    <col min="1031" max="1031" width="17.109375" style="7001" customWidth="1"/>
    <col min="1032" max="1280" width="9.109375" style="7001"/>
    <col min="1281" max="1281" width="33.44140625" style="7001" customWidth="1"/>
    <col min="1282" max="1282" width="7.44140625" style="7001" customWidth="1"/>
    <col min="1283" max="1283" width="7" style="7001" customWidth="1"/>
    <col min="1284" max="1284" width="0" style="7001" hidden="1" customWidth="1"/>
    <col min="1285" max="1285" width="10.109375" style="7001" customWidth="1"/>
    <col min="1286" max="1286" width="14.44140625" style="7001" customWidth="1"/>
    <col min="1287" max="1287" width="17.109375" style="7001" customWidth="1"/>
    <col min="1288" max="1536" width="9.109375" style="7001"/>
    <col min="1537" max="1537" width="33.44140625" style="7001" customWidth="1"/>
    <col min="1538" max="1538" width="7.44140625" style="7001" customWidth="1"/>
    <col min="1539" max="1539" width="7" style="7001" customWidth="1"/>
    <col min="1540" max="1540" width="0" style="7001" hidden="1" customWidth="1"/>
    <col min="1541" max="1541" width="10.109375" style="7001" customWidth="1"/>
    <col min="1542" max="1542" width="14.44140625" style="7001" customWidth="1"/>
    <col min="1543" max="1543" width="17.109375" style="7001" customWidth="1"/>
    <col min="1544" max="1792" width="9.109375" style="7001"/>
    <col min="1793" max="1793" width="33.44140625" style="7001" customWidth="1"/>
    <col min="1794" max="1794" width="7.44140625" style="7001" customWidth="1"/>
    <col min="1795" max="1795" width="7" style="7001" customWidth="1"/>
    <col min="1796" max="1796" width="0" style="7001" hidden="1" customWidth="1"/>
    <col min="1797" max="1797" width="10.109375" style="7001" customWidth="1"/>
    <col min="1798" max="1798" width="14.44140625" style="7001" customWidth="1"/>
    <col min="1799" max="1799" width="17.109375" style="7001" customWidth="1"/>
    <col min="1800" max="2048" width="9.109375" style="7001"/>
    <col min="2049" max="2049" width="33.44140625" style="7001" customWidth="1"/>
    <col min="2050" max="2050" width="7.44140625" style="7001" customWidth="1"/>
    <col min="2051" max="2051" width="7" style="7001" customWidth="1"/>
    <col min="2052" max="2052" width="0" style="7001" hidden="1" customWidth="1"/>
    <col min="2053" max="2053" width="10.109375" style="7001" customWidth="1"/>
    <col min="2054" max="2054" width="14.44140625" style="7001" customWidth="1"/>
    <col min="2055" max="2055" width="17.109375" style="7001" customWidth="1"/>
    <col min="2056" max="2304" width="9.109375" style="7001"/>
    <col min="2305" max="2305" width="33.44140625" style="7001" customWidth="1"/>
    <col min="2306" max="2306" width="7.44140625" style="7001" customWidth="1"/>
    <col min="2307" max="2307" width="7" style="7001" customWidth="1"/>
    <col min="2308" max="2308" width="0" style="7001" hidden="1" customWidth="1"/>
    <col min="2309" max="2309" width="10.109375" style="7001" customWidth="1"/>
    <col min="2310" max="2310" width="14.44140625" style="7001" customWidth="1"/>
    <col min="2311" max="2311" width="17.109375" style="7001" customWidth="1"/>
    <col min="2312" max="2560" width="9.109375" style="7001"/>
    <col min="2561" max="2561" width="33.44140625" style="7001" customWidth="1"/>
    <col min="2562" max="2562" width="7.44140625" style="7001" customWidth="1"/>
    <col min="2563" max="2563" width="7" style="7001" customWidth="1"/>
    <col min="2564" max="2564" width="0" style="7001" hidden="1" customWidth="1"/>
    <col min="2565" max="2565" width="10.109375" style="7001" customWidth="1"/>
    <col min="2566" max="2566" width="14.44140625" style="7001" customWidth="1"/>
    <col min="2567" max="2567" width="17.109375" style="7001" customWidth="1"/>
    <col min="2568" max="2816" width="9.109375" style="7001"/>
    <col min="2817" max="2817" width="33.44140625" style="7001" customWidth="1"/>
    <col min="2818" max="2818" width="7.44140625" style="7001" customWidth="1"/>
    <col min="2819" max="2819" width="7" style="7001" customWidth="1"/>
    <col min="2820" max="2820" width="0" style="7001" hidden="1" customWidth="1"/>
    <col min="2821" max="2821" width="10.109375" style="7001" customWidth="1"/>
    <col min="2822" max="2822" width="14.44140625" style="7001" customWidth="1"/>
    <col min="2823" max="2823" width="17.109375" style="7001" customWidth="1"/>
    <col min="2824" max="3072" width="9.109375" style="7001"/>
    <col min="3073" max="3073" width="33.44140625" style="7001" customWidth="1"/>
    <col min="3074" max="3074" width="7.44140625" style="7001" customWidth="1"/>
    <col min="3075" max="3075" width="7" style="7001" customWidth="1"/>
    <col min="3076" max="3076" width="0" style="7001" hidden="1" customWidth="1"/>
    <col min="3077" max="3077" width="10.109375" style="7001" customWidth="1"/>
    <col min="3078" max="3078" width="14.44140625" style="7001" customWidth="1"/>
    <col min="3079" max="3079" width="17.109375" style="7001" customWidth="1"/>
    <col min="3080" max="3328" width="9.109375" style="7001"/>
    <col min="3329" max="3329" width="33.44140625" style="7001" customWidth="1"/>
    <col min="3330" max="3330" width="7.44140625" style="7001" customWidth="1"/>
    <col min="3331" max="3331" width="7" style="7001" customWidth="1"/>
    <col min="3332" max="3332" width="0" style="7001" hidden="1" customWidth="1"/>
    <col min="3333" max="3333" width="10.109375" style="7001" customWidth="1"/>
    <col min="3334" max="3334" width="14.44140625" style="7001" customWidth="1"/>
    <col min="3335" max="3335" width="17.109375" style="7001" customWidth="1"/>
    <col min="3336" max="3584" width="9.109375" style="7001"/>
    <col min="3585" max="3585" width="33.44140625" style="7001" customWidth="1"/>
    <col min="3586" max="3586" width="7.44140625" style="7001" customWidth="1"/>
    <col min="3587" max="3587" width="7" style="7001" customWidth="1"/>
    <col min="3588" max="3588" width="0" style="7001" hidden="1" customWidth="1"/>
    <col min="3589" max="3589" width="10.109375" style="7001" customWidth="1"/>
    <col min="3590" max="3590" width="14.44140625" style="7001" customWidth="1"/>
    <col min="3591" max="3591" width="17.109375" style="7001" customWidth="1"/>
    <col min="3592" max="3840" width="9.109375" style="7001"/>
    <col min="3841" max="3841" width="33.44140625" style="7001" customWidth="1"/>
    <col min="3842" max="3842" width="7.44140625" style="7001" customWidth="1"/>
    <col min="3843" max="3843" width="7" style="7001" customWidth="1"/>
    <col min="3844" max="3844" width="0" style="7001" hidden="1" customWidth="1"/>
    <col min="3845" max="3845" width="10.109375" style="7001" customWidth="1"/>
    <col min="3846" max="3846" width="14.44140625" style="7001" customWidth="1"/>
    <col min="3847" max="3847" width="17.109375" style="7001" customWidth="1"/>
    <col min="3848" max="4096" width="9.109375" style="7001"/>
    <col min="4097" max="4097" width="33.44140625" style="7001" customWidth="1"/>
    <col min="4098" max="4098" width="7.44140625" style="7001" customWidth="1"/>
    <col min="4099" max="4099" width="7" style="7001" customWidth="1"/>
    <col min="4100" max="4100" width="0" style="7001" hidden="1" customWidth="1"/>
    <col min="4101" max="4101" width="10.109375" style="7001" customWidth="1"/>
    <col min="4102" max="4102" width="14.44140625" style="7001" customWidth="1"/>
    <col min="4103" max="4103" width="17.109375" style="7001" customWidth="1"/>
    <col min="4104" max="4352" width="9.109375" style="7001"/>
    <col min="4353" max="4353" width="33.44140625" style="7001" customWidth="1"/>
    <col min="4354" max="4354" width="7.44140625" style="7001" customWidth="1"/>
    <col min="4355" max="4355" width="7" style="7001" customWidth="1"/>
    <col min="4356" max="4356" width="0" style="7001" hidden="1" customWidth="1"/>
    <col min="4357" max="4357" width="10.109375" style="7001" customWidth="1"/>
    <col min="4358" max="4358" width="14.44140625" style="7001" customWidth="1"/>
    <col min="4359" max="4359" width="17.109375" style="7001" customWidth="1"/>
    <col min="4360" max="4608" width="9.109375" style="7001"/>
    <col min="4609" max="4609" width="33.44140625" style="7001" customWidth="1"/>
    <col min="4610" max="4610" width="7.44140625" style="7001" customWidth="1"/>
    <col min="4611" max="4611" width="7" style="7001" customWidth="1"/>
    <col min="4612" max="4612" width="0" style="7001" hidden="1" customWidth="1"/>
    <col min="4613" max="4613" width="10.109375" style="7001" customWidth="1"/>
    <col min="4614" max="4614" width="14.44140625" style="7001" customWidth="1"/>
    <col min="4615" max="4615" width="17.109375" style="7001" customWidth="1"/>
    <col min="4616" max="4864" width="9.109375" style="7001"/>
    <col min="4865" max="4865" width="33.44140625" style="7001" customWidth="1"/>
    <col min="4866" max="4866" width="7.44140625" style="7001" customWidth="1"/>
    <col min="4867" max="4867" width="7" style="7001" customWidth="1"/>
    <col min="4868" max="4868" width="0" style="7001" hidden="1" customWidth="1"/>
    <col min="4869" max="4869" width="10.109375" style="7001" customWidth="1"/>
    <col min="4870" max="4870" width="14.44140625" style="7001" customWidth="1"/>
    <col min="4871" max="4871" width="17.109375" style="7001" customWidth="1"/>
    <col min="4872" max="5120" width="9.109375" style="7001"/>
    <col min="5121" max="5121" width="33.44140625" style="7001" customWidth="1"/>
    <col min="5122" max="5122" width="7.44140625" style="7001" customWidth="1"/>
    <col min="5123" max="5123" width="7" style="7001" customWidth="1"/>
    <col min="5124" max="5124" width="0" style="7001" hidden="1" customWidth="1"/>
    <col min="5125" max="5125" width="10.109375" style="7001" customWidth="1"/>
    <col min="5126" max="5126" width="14.44140625" style="7001" customWidth="1"/>
    <col min="5127" max="5127" width="17.109375" style="7001" customWidth="1"/>
    <col min="5128" max="5376" width="9.109375" style="7001"/>
    <col min="5377" max="5377" width="33.44140625" style="7001" customWidth="1"/>
    <col min="5378" max="5378" width="7.44140625" style="7001" customWidth="1"/>
    <col min="5379" max="5379" width="7" style="7001" customWidth="1"/>
    <col min="5380" max="5380" width="0" style="7001" hidden="1" customWidth="1"/>
    <col min="5381" max="5381" width="10.109375" style="7001" customWidth="1"/>
    <col min="5382" max="5382" width="14.44140625" style="7001" customWidth="1"/>
    <col min="5383" max="5383" width="17.109375" style="7001" customWidth="1"/>
    <col min="5384" max="5632" width="9.109375" style="7001"/>
    <col min="5633" max="5633" width="33.44140625" style="7001" customWidth="1"/>
    <col min="5634" max="5634" width="7.44140625" style="7001" customWidth="1"/>
    <col min="5635" max="5635" width="7" style="7001" customWidth="1"/>
    <col min="5636" max="5636" width="0" style="7001" hidden="1" customWidth="1"/>
    <col min="5637" max="5637" width="10.109375" style="7001" customWidth="1"/>
    <col min="5638" max="5638" width="14.44140625" style="7001" customWidth="1"/>
    <col min="5639" max="5639" width="17.109375" style="7001" customWidth="1"/>
    <col min="5640" max="5888" width="9.109375" style="7001"/>
    <col min="5889" max="5889" width="33.44140625" style="7001" customWidth="1"/>
    <col min="5890" max="5890" width="7.44140625" style="7001" customWidth="1"/>
    <col min="5891" max="5891" width="7" style="7001" customWidth="1"/>
    <col min="5892" max="5892" width="0" style="7001" hidden="1" customWidth="1"/>
    <col min="5893" max="5893" width="10.109375" style="7001" customWidth="1"/>
    <col min="5894" max="5894" width="14.44140625" style="7001" customWidth="1"/>
    <col min="5895" max="5895" width="17.109375" style="7001" customWidth="1"/>
    <col min="5896" max="6144" width="9.109375" style="7001"/>
    <col min="6145" max="6145" width="33.44140625" style="7001" customWidth="1"/>
    <col min="6146" max="6146" width="7.44140625" style="7001" customWidth="1"/>
    <col min="6147" max="6147" width="7" style="7001" customWidth="1"/>
    <col min="6148" max="6148" width="0" style="7001" hidden="1" customWidth="1"/>
    <col min="6149" max="6149" width="10.109375" style="7001" customWidth="1"/>
    <col min="6150" max="6150" width="14.44140625" style="7001" customWidth="1"/>
    <col min="6151" max="6151" width="17.109375" style="7001" customWidth="1"/>
    <col min="6152" max="6400" width="9.109375" style="7001"/>
    <col min="6401" max="6401" width="33.44140625" style="7001" customWidth="1"/>
    <col min="6402" max="6402" width="7.44140625" style="7001" customWidth="1"/>
    <col min="6403" max="6403" width="7" style="7001" customWidth="1"/>
    <col min="6404" max="6404" width="0" style="7001" hidden="1" customWidth="1"/>
    <col min="6405" max="6405" width="10.109375" style="7001" customWidth="1"/>
    <col min="6406" max="6406" width="14.44140625" style="7001" customWidth="1"/>
    <col min="6407" max="6407" width="17.109375" style="7001" customWidth="1"/>
    <col min="6408" max="6656" width="9.109375" style="7001"/>
    <col min="6657" max="6657" width="33.44140625" style="7001" customWidth="1"/>
    <col min="6658" max="6658" width="7.44140625" style="7001" customWidth="1"/>
    <col min="6659" max="6659" width="7" style="7001" customWidth="1"/>
    <col min="6660" max="6660" width="0" style="7001" hidden="1" customWidth="1"/>
    <col min="6661" max="6661" width="10.109375" style="7001" customWidth="1"/>
    <col min="6662" max="6662" width="14.44140625" style="7001" customWidth="1"/>
    <col min="6663" max="6663" width="17.109375" style="7001" customWidth="1"/>
    <col min="6664" max="6912" width="9.109375" style="7001"/>
    <col min="6913" max="6913" width="33.44140625" style="7001" customWidth="1"/>
    <col min="6914" max="6914" width="7.44140625" style="7001" customWidth="1"/>
    <col min="6915" max="6915" width="7" style="7001" customWidth="1"/>
    <col min="6916" max="6916" width="0" style="7001" hidden="1" customWidth="1"/>
    <col min="6917" max="6917" width="10.109375" style="7001" customWidth="1"/>
    <col min="6918" max="6918" width="14.44140625" style="7001" customWidth="1"/>
    <col min="6919" max="6919" width="17.109375" style="7001" customWidth="1"/>
    <col min="6920" max="7168" width="9.109375" style="7001"/>
    <col min="7169" max="7169" width="33.44140625" style="7001" customWidth="1"/>
    <col min="7170" max="7170" width="7.44140625" style="7001" customWidth="1"/>
    <col min="7171" max="7171" width="7" style="7001" customWidth="1"/>
    <col min="7172" max="7172" width="0" style="7001" hidden="1" customWidth="1"/>
    <col min="7173" max="7173" width="10.109375" style="7001" customWidth="1"/>
    <col min="7174" max="7174" width="14.44140625" style="7001" customWidth="1"/>
    <col min="7175" max="7175" width="17.109375" style="7001" customWidth="1"/>
    <col min="7176" max="7424" width="9.109375" style="7001"/>
    <col min="7425" max="7425" width="33.44140625" style="7001" customWidth="1"/>
    <col min="7426" max="7426" width="7.44140625" style="7001" customWidth="1"/>
    <col min="7427" max="7427" width="7" style="7001" customWidth="1"/>
    <col min="7428" max="7428" width="0" style="7001" hidden="1" customWidth="1"/>
    <col min="7429" max="7429" width="10.109375" style="7001" customWidth="1"/>
    <col min="7430" max="7430" width="14.44140625" style="7001" customWidth="1"/>
    <col min="7431" max="7431" width="17.109375" style="7001" customWidth="1"/>
    <col min="7432" max="7680" width="9.109375" style="7001"/>
    <col min="7681" max="7681" width="33.44140625" style="7001" customWidth="1"/>
    <col min="7682" max="7682" width="7.44140625" style="7001" customWidth="1"/>
    <col min="7683" max="7683" width="7" style="7001" customWidth="1"/>
    <col min="7684" max="7684" width="0" style="7001" hidden="1" customWidth="1"/>
    <col min="7685" max="7685" width="10.109375" style="7001" customWidth="1"/>
    <col min="7686" max="7686" width="14.44140625" style="7001" customWidth="1"/>
    <col min="7687" max="7687" width="17.109375" style="7001" customWidth="1"/>
    <col min="7688" max="7936" width="9.109375" style="7001"/>
    <col min="7937" max="7937" width="33.44140625" style="7001" customWidth="1"/>
    <col min="7938" max="7938" width="7.44140625" style="7001" customWidth="1"/>
    <col min="7939" max="7939" width="7" style="7001" customWidth="1"/>
    <col min="7940" max="7940" width="0" style="7001" hidden="1" customWidth="1"/>
    <col min="7941" max="7941" width="10.109375" style="7001" customWidth="1"/>
    <col min="7942" max="7942" width="14.44140625" style="7001" customWidth="1"/>
    <col min="7943" max="7943" width="17.109375" style="7001" customWidth="1"/>
    <col min="7944" max="8192" width="9.109375" style="7001"/>
    <col min="8193" max="8193" width="33.44140625" style="7001" customWidth="1"/>
    <col min="8194" max="8194" width="7.44140625" style="7001" customWidth="1"/>
    <col min="8195" max="8195" width="7" style="7001" customWidth="1"/>
    <col min="8196" max="8196" width="0" style="7001" hidden="1" customWidth="1"/>
    <col min="8197" max="8197" width="10.109375" style="7001" customWidth="1"/>
    <col min="8198" max="8198" width="14.44140625" style="7001" customWidth="1"/>
    <col min="8199" max="8199" width="17.109375" style="7001" customWidth="1"/>
    <col min="8200" max="8448" width="9.109375" style="7001"/>
    <col min="8449" max="8449" width="33.44140625" style="7001" customWidth="1"/>
    <col min="8450" max="8450" width="7.44140625" style="7001" customWidth="1"/>
    <col min="8451" max="8451" width="7" style="7001" customWidth="1"/>
    <col min="8452" max="8452" width="0" style="7001" hidden="1" customWidth="1"/>
    <col min="8453" max="8453" width="10.109375" style="7001" customWidth="1"/>
    <col min="8454" max="8454" width="14.44140625" style="7001" customWidth="1"/>
    <col min="8455" max="8455" width="17.109375" style="7001" customWidth="1"/>
    <col min="8456" max="8704" width="9.109375" style="7001"/>
    <col min="8705" max="8705" width="33.44140625" style="7001" customWidth="1"/>
    <col min="8706" max="8706" width="7.44140625" style="7001" customWidth="1"/>
    <col min="8707" max="8707" width="7" style="7001" customWidth="1"/>
    <col min="8708" max="8708" width="0" style="7001" hidden="1" customWidth="1"/>
    <col min="8709" max="8709" width="10.109375" style="7001" customWidth="1"/>
    <col min="8710" max="8710" width="14.44140625" style="7001" customWidth="1"/>
    <col min="8711" max="8711" width="17.109375" style="7001" customWidth="1"/>
    <col min="8712" max="8960" width="9.109375" style="7001"/>
    <col min="8961" max="8961" width="33.44140625" style="7001" customWidth="1"/>
    <col min="8962" max="8962" width="7.44140625" style="7001" customWidth="1"/>
    <col min="8963" max="8963" width="7" style="7001" customWidth="1"/>
    <col min="8964" max="8964" width="0" style="7001" hidden="1" customWidth="1"/>
    <col min="8965" max="8965" width="10.109375" style="7001" customWidth="1"/>
    <col min="8966" max="8966" width="14.44140625" style="7001" customWidth="1"/>
    <col min="8967" max="8967" width="17.109375" style="7001" customWidth="1"/>
    <col min="8968" max="9216" width="9.109375" style="7001"/>
    <col min="9217" max="9217" width="33.44140625" style="7001" customWidth="1"/>
    <col min="9218" max="9218" width="7.44140625" style="7001" customWidth="1"/>
    <col min="9219" max="9219" width="7" style="7001" customWidth="1"/>
    <col min="9220" max="9220" width="0" style="7001" hidden="1" customWidth="1"/>
    <col min="9221" max="9221" width="10.109375" style="7001" customWidth="1"/>
    <col min="9222" max="9222" width="14.44140625" style="7001" customWidth="1"/>
    <col min="9223" max="9223" width="17.109375" style="7001" customWidth="1"/>
    <col min="9224" max="9472" width="9.109375" style="7001"/>
    <col min="9473" max="9473" width="33.44140625" style="7001" customWidth="1"/>
    <col min="9474" max="9474" width="7.44140625" style="7001" customWidth="1"/>
    <col min="9475" max="9475" width="7" style="7001" customWidth="1"/>
    <col min="9476" max="9476" width="0" style="7001" hidden="1" customWidth="1"/>
    <col min="9477" max="9477" width="10.109375" style="7001" customWidth="1"/>
    <col min="9478" max="9478" width="14.44140625" style="7001" customWidth="1"/>
    <col min="9479" max="9479" width="17.109375" style="7001" customWidth="1"/>
    <col min="9480" max="9728" width="9.109375" style="7001"/>
    <col min="9729" max="9729" width="33.44140625" style="7001" customWidth="1"/>
    <col min="9730" max="9730" width="7.44140625" style="7001" customWidth="1"/>
    <col min="9731" max="9731" width="7" style="7001" customWidth="1"/>
    <col min="9732" max="9732" width="0" style="7001" hidden="1" customWidth="1"/>
    <col min="9733" max="9733" width="10.109375" style="7001" customWidth="1"/>
    <col min="9734" max="9734" width="14.44140625" style="7001" customWidth="1"/>
    <col min="9735" max="9735" width="17.109375" style="7001" customWidth="1"/>
    <col min="9736" max="9984" width="9.109375" style="7001"/>
    <col min="9985" max="9985" width="33.44140625" style="7001" customWidth="1"/>
    <col min="9986" max="9986" width="7.44140625" style="7001" customWidth="1"/>
    <col min="9987" max="9987" width="7" style="7001" customWidth="1"/>
    <col min="9988" max="9988" width="0" style="7001" hidden="1" customWidth="1"/>
    <col min="9989" max="9989" width="10.109375" style="7001" customWidth="1"/>
    <col min="9990" max="9990" width="14.44140625" style="7001" customWidth="1"/>
    <col min="9991" max="9991" width="17.109375" style="7001" customWidth="1"/>
    <col min="9992" max="10240" width="9.109375" style="7001"/>
    <col min="10241" max="10241" width="33.44140625" style="7001" customWidth="1"/>
    <col min="10242" max="10242" width="7.44140625" style="7001" customWidth="1"/>
    <col min="10243" max="10243" width="7" style="7001" customWidth="1"/>
    <col min="10244" max="10244" width="0" style="7001" hidden="1" customWidth="1"/>
    <col min="10245" max="10245" width="10.109375" style="7001" customWidth="1"/>
    <col min="10246" max="10246" width="14.44140625" style="7001" customWidth="1"/>
    <col min="10247" max="10247" width="17.109375" style="7001" customWidth="1"/>
    <col min="10248" max="10496" width="9.109375" style="7001"/>
    <col min="10497" max="10497" width="33.44140625" style="7001" customWidth="1"/>
    <col min="10498" max="10498" width="7.44140625" style="7001" customWidth="1"/>
    <col min="10499" max="10499" width="7" style="7001" customWidth="1"/>
    <col min="10500" max="10500" width="0" style="7001" hidden="1" customWidth="1"/>
    <col min="10501" max="10501" width="10.109375" style="7001" customWidth="1"/>
    <col min="10502" max="10502" width="14.44140625" style="7001" customWidth="1"/>
    <col min="10503" max="10503" width="17.109375" style="7001" customWidth="1"/>
    <col min="10504" max="10752" width="9.109375" style="7001"/>
    <col min="10753" max="10753" width="33.44140625" style="7001" customWidth="1"/>
    <col min="10754" max="10754" width="7.44140625" style="7001" customWidth="1"/>
    <col min="10755" max="10755" width="7" style="7001" customWidth="1"/>
    <col min="10756" max="10756" width="0" style="7001" hidden="1" customWidth="1"/>
    <col min="10757" max="10757" width="10.109375" style="7001" customWidth="1"/>
    <col min="10758" max="10758" width="14.44140625" style="7001" customWidth="1"/>
    <col min="10759" max="10759" width="17.109375" style="7001" customWidth="1"/>
    <col min="10760" max="11008" width="9.109375" style="7001"/>
    <col min="11009" max="11009" width="33.44140625" style="7001" customWidth="1"/>
    <col min="11010" max="11010" width="7.44140625" style="7001" customWidth="1"/>
    <col min="11011" max="11011" width="7" style="7001" customWidth="1"/>
    <col min="11012" max="11012" width="0" style="7001" hidden="1" customWidth="1"/>
    <col min="11013" max="11013" width="10.109375" style="7001" customWidth="1"/>
    <col min="11014" max="11014" width="14.44140625" style="7001" customWidth="1"/>
    <col min="11015" max="11015" width="17.109375" style="7001" customWidth="1"/>
    <col min="11016" max="11264" width="9.109375" style="7001"/>
    <col min="11265" max="11265" width="33.44140625" style="7001" customWidth="1"/>
    <col min="11266" max="11266" width="7.44140625" style="7001" customWidth="1"/>
    <col min="11267" max="11267" width="7" style="7001" customWidth="1"/>
    <col min="11268" max="11268" width="0" style="7001" hidden="1" customWidth="1"/>
    <col min="11269" max="11269" width="10.109375" style="7001" customWidth="1"/>
    <col min="11270" max="11270" width="14.44140625" style="7001" customWidth="1"/>
    <col min="11271" max="11271" width="17.109375" style="7001" customWidth="1"/>
    <col min="11272" max="11520" width="9.109375" style="7001"/>
    <col min="11521" max="11521" width="33.44140625" style="7001" customWidth="1"/>
    <col min="11522" max="11522" width="7.44140625" style="7001" customWidth="1"/>
    <col min="11523" max="11523" width="7" style="7001" customWidth="1"/>
    <col min="11524" max="11524" width="0" style="7001" hidden="1" customWidth="1"/>
    <col min="11525" max="11525" width="10.109375" style="7001" customWidth="1"/>
    <col min="11526" max="11526" width="14.44140625" style="7001" customWidth="1"/>
    <col min="11527" max="11527" width="17.109375" style="7001" customWidth="1"/>
    <col min="11528" max="11776" width="9.109375" style="7001"/>
    <col min="11777" max="11777" width="33.44140625" style="7001" customWidth="1"/>
    <col min="11778" max="11778" width="7.44140625" style="7001" customWidth="1"/>
    <col min="11779" max="11779" width="7" style="7001" customWidth="1"/>
    <col min="11780" max="11780" width="0" style="7001" hidden="1" customWidth="1"/>
    <col min="11781" max="11781" width="10.109375" style="7001" customWidth="1"/>
    <col min="11782" max="11782" width="14.44140625" style="7001" customWidth="1"/>
    <col min="11783" max="11783" width="17.109375" style="7001" customWidth="1"/>
    <col min="11784" max="12032" width="9.109375" style="7001"/>
    <col min="12033" max="12033" width="33.44140625" style="7001" customWidth="1"/>
    <col min="12034" max="12034" width="7.44140625" style="7001" customWidth="1"/>
    <col min="12035" max="12035" width="7" style="7001" customWidth="1"/>
    <col min="12036" max="12036" width="0" style="7001" hidden="1" customWidth="1"/>
    <col min="12037" max="12037" width="10.109375" style="7001" customWidth="1"/>
    <col min="12038" max="12038" width="14.44140625" style="7001" customWidth="1"/>
    <col min="12039" max="12039" width="17.109375" style="7001" customWidth="1"/>
    <col min="12040" max="12288" width="9.109375" style="7001"/>
    <col min="12289" max="12289" width="33.44140625" style="7001" customWidth="1"/>
    <col min="12290" max="12290" width="7.44140625" style="7001" customWidth="1"/>
    <col min="12291" max="12291" width="7" style="7001" customWidth="1"/>
    <col min="12292" max="12292" width="0" style="7001" hidden="1" customWidth="1"/>
    <col min="12293" max="12293" width="10.109375" style="7001" customWidth="1"/>
    <col min="12294" max="12294" width="14.44140625" style="7001" customWidth="1"/>
    <col min="12295" max="12295" width="17.109375" style="7001" customWidth="1"/>
    <col min="12296" max="12544" width="9.109375" style="7001"/>
    <col min="12545" max="12545" width="33.44140625" style="7001" customWidth="1"/>
    <col min="12546" max="12546" width="7.44140625" style="7001" customWidth="1"/>
    <col min="12547" max="12547" width="7" style="7001" customWidth="1"/>
    <col min="12548" max="12548" width="0" style="7001" hidden="1" customWidth="1"/>
    <col min="12549" max="12549" width="10.109375" style="7001" customWidth="1"/>
    <col min="12550" max="12550" width="14.44140625" style="7001" customWidth="1"/>
    <col min="12551" max="12551" width="17.109375" style="7001" customWidth="1"/>
    <col min="12552" max="12800" width="9.109375" style="7001"/>
    <col min="12801" max="12801" width="33.44140625" style="7001" customWidth="1"/>
    <col min="12802" max="12802" width="7.44140625" style="7001" customWidth="1"/>
    <col min="12803" max="12803" width="7" style="7001" customWidth="1"/>
    <col min="12804" max="12804" width="0" style="7001" hidden="1" customWidth="1"/>
    <col min="12805" max="12805" width="10.109375" style="7001" customWidth="1"/>
    <col min="12806" max="12806" width="14.44140625" style="7001" customWidth="1"/>
    <col min="12807" max="12807" width="17.109375" style="7001" customWidth="1"/>
    <col min="12808" max="13056" width="9.109375" style="7001"/>
    <col min="13057" max="13057" width="33.44140625" style="7001" customWidth="1"/>
    <col min="13058" max="13058" width="7.44140625" style="7001" customWidth="1"/>
    <col min="13059" max="13059" width="7" style="7001" customWidth="1"/>
    <col min="13060" max="13060" width="0" style="7001" hidden="1" customWidth="1"/>
    <col min="13061" max="13061" width="10.109375" style="7001" customWidth="1"/>
    <col min="13062" max="13062" width="14.44140625" style="7001" customWidth="1"/>
    <col min="13063" max="13063" width="17.109375" style="7001" customWidth="1"/>
    <col min="13064" max="13312" width="9.109375" style="7001"/>
    <col min="13313" max="13313" width="33.44140625" style="7001" customWidth="1"/>
    <col min="13314" max="13314" width="7.44140625" style="7001" customWidth="1"/>
    <col min="13315" max="13315" width="7" style="7001" customWidth="1"/>
    <col min="13316" max="13316" width="0" style="7001" hidden="1" customWidth="1"/>
    <col min="13317" max="13317" width="10.109375" style="7001" customWidth="1"/>
    <col min="13318" max="13318" width="14.44140625" style="7001" customWidth="1"/>
    <col min="13319" max="13319" width="17.109375" style="7001" customWidth="1"/>
    <col min="13320" max="13568" width="9.109375" style="7001"/>
    <col min="13569" max="13569" width="33.44140625" style="7001" customWidth="1"/>
    <col min="13570" max="13570" width="7.44140625" style="7001" customWidth="1"/>
    <col min="13571" max="13571" width="7" style="7001" customWidth="1"/>
    <col min="13572" max="13572" width="0" style="7001" hidden="1" customWidth="1"/>
    <col min="13573" max="13573" width="10.109375" style="7001" customWidth="1"/>
    <col min="13574" max="13574" width="14.44140625" style="7001" customWidth="1"/>
    <col min="13575" max="13575" width="17.109375" style="7001" customWidth="1"/>
    <col min="13576" max="13824" width="9.109375" style="7001"/>
    <col min="13825" max="13825" width="33.44140625" style="7001" customWidth="1"/>
    <col min="13826" max="13826" width="7.44140625" style="7001" customWidth="1"/>
    <col min="13827" max="13827" width="7" style="7001" customWidth="1"/>
    <col min="13828" max="13828" width="0" style="7001" hidden="1" customWidth="1"/>
    <col min="13829" max="13829" width="10.109375" style="7001" customWidth="1"/>
    <col min="13830" max="13830" width="14.44140625" style="7001" customWidth="1"/>
    <col min="13831" max="13831" width="17.109375" style="7001" customWidth="1"/>
    <col min="13832" max="14080" width="9.109375" style="7001"/>
    <col min="14081" max="14081" width="33.44140625" style="7001" customWidth="1"/>
    <col min="14082" max="14082" width="7.44140625" style="7001" customWidth="1"/>
    <col min="14083" max="14083" width="7" style="7001" customWidth="1"/>
    <col min="14084" max="14084" width="0" style="7001" hidden="1" customWidth="1"/>
    <col min="14085" max="14085" width="10.109375" style="7001" customWidth="1"/>
    <col min="14086" max="14086" width="14.44140625" style="7001" customWidth="1"/>
    <col min="14087" max="14087" width="17.109375" style="7001" customWidth="1"/>
    <col min="14088" max="14336" width="9.109375" style="7001"/>
    <col min="14337" max="14337" width="33.44140625" style="7001" customWidth="1"/>
    <col min="14338" max="14338" width="7.44140625" style="7001" customWidth="1"/>
    <col min="14339" max="14339" width="7" style="7001" customWidth="1"/>
    <col min="14340" max="14340" width="0" style="7001" hidden="1" customWidth="1"/>
    <col min="14341" max="14341" width="10.109375" style="7001" customWidth="1"/>
    <col min="14342" max="14342" width="14.44140625" style="7001" customWidth="1"/>
    <col min="14343" max="14343" width="17.109375" style="7001" customWidth="1"/>
    <col min="14344" max="14592" width="9.109375" style="7001"/>
    <col min="14593" max="14593" width="33.44140625" style="7001" customWidth="1"/>
    <col min="14594" max="14594" width="7.44140625" style="7001" customWidth="1"/>
    <col min="14595" max="14595" width="7" style="7001" customWidth="1"/>
    <col min="14596" max="14596" width="0" style="7001" hidden="1" customWidth="1"/>
    <col min="14597" max="14597" width="10.109375" style="7001" customWidth="1"/>
    <col min="14598" max="14598" width="14.44140625" style="7001" customWidth="1"/>
    <col min="14599" max="14599" width="17.109375" style="7001" customWidth="1"/>
    <col min="14600" max="14848" width="9.109375" style="7001"/>
    <col min="14849" max="14849" width="33.44140625" style="7001" customWidth="1"/>
    <col min="14850" max="14850" width="7.44140625" style="7001" customWidth="1"/>
    <col min="14851" max="14851" width="7" style="7001" customWidth="1"/>
    <col min="14852" max="14852" width="0" style="7001" hidden="1" customWidth="1"/>
    <col min="14853" max="14853" width="10.109375" style="7001" customWidth="1"/>
    <col min="14854" max="14854" width="14.44140625" style="7001" customWidth="1"/>
    <col min="14855" max="14855" width="17.109375" style="7001" customWidth="1"/>
    <col min="14856" max="15104" width="9.109375" style="7001"/>
    <col min="15105" max="15105" width="33.44140625" style="7001" customWidth="1"/>
    <col min="15106" max="15106" width="7.44140625" style="7001" customWidth="1"/>
    <col min="15107" max="15107" width="7" style="7001" customWidth="1"/>
    <col min="15108" max="15108" width="0" style="7001" hidden="1" customWidth="1"/>
    <col min="15109" max="15109" width="10.109375" style="7001" customWidth="1"/>
    <col min="15110" max="15110" width="14.44140625" style="7001" customWidth="1"/>
    <col min="15111" max="15111" width="17.109375" style="7001" customWidth="1"/>
    <col min="15112" max="15360" width="9.109375" style="7001"/>
    <col min="15361" max="15361" width="33.44140625" style="7001" customWidth="1"/>
    <col min="15362" max="15362" width="7.44140625" style="7001" customWidth="1"/>
    <col min="15363" max="15363" width="7" style="7001" customWidth="1"/>
    <col min="15364" max="15364" width="0" style="7001" hidden="1" customWidth="1"/>
    <col min="15365" max="15365" width="10.109375" style="7001" customWidth="1"/>
    <col min="15366" max="15366" width="14.44140625" style="7001" customWidth="1"/>
    <col min="15367" max="15367" width="17.109375" style="7001" customWidth="1"/>
    <col min="15368" max="15616" width="9.109375" style="7001"/>
    <col min="15617" max="15617" width="33.44140625" style="7001" customWidth="1"/>
    <col min="15618" max="15618" width="7.44140625" style="7001" customWidth="1"/>
    <col min="15619" max="15619" width="7" style="7001" customWidth="1"/>
    <col min="15620" max="15620" width="0" style="7001" hidden="1" customWidth="1"/>
    <col min="15621" max="15621" width="10.109375" style="7001" customWidth="1"/>
    <col min="15622" max="15622" width="14.44140625" style="7001" customWidth="1"/>
    <col min="15623" max="15623" width="17.109375" style="7001" customWidth="1"/>
    <col min="15624" max="15872" width="9.109375" style="7001"/>
    <col min="15873" max="15873" width="33.44140625" style="7001" customWidth="1"/>
    <col min="15874" max="15874" width="7.44140625" style="7001" customWidth="1"/>
    <col min="15875" max="15875" width="7" style="7001" customWidth="1"/>
    <col min="15876" max="15876" width="0" style="7001" hidden="1" customWidth="1"/>
    <col min="15877" max="15877" width="10.109375" style="7001" customWidth="1"/>
    <col min="15878" max="15878" width="14.44140625" style="7001" customWidth="1"/>
    <col min="15879" max="15879" width="17.109375" style="7001" customWidth="1"/>
    <col min="15880" max="16128" width="9.109375" style="7001"/>
    <col min="16129" max="16129" width="33.44140625" style="7001" customWidth="1"/>
    <col min="16130" max="16130" width="7.44140625" style="7001" customWidth="1"/>
    <col min="16131" max="16131" width="7" style="7001" customWidth="1"/>
    <col min="16132" max="16132" width="0" style="7001" hidden="1" customWidth="1"/>
    <col min="16133" max="16133" width="10.109375" style="7001" customWidth="1"/>
    <col min="16134" max="16134" width="14.44140625" style="7001" customWidth="1"/>
    <col min="16135" max="16135" width="17.109375" style="7001" customWidth="1"/>
    <col min="16136" max="16384" width="9.109375" style="7001"/>
  </cols>
  <sheetData>
    <row r="1" spans="1:10" ht="12.9" customHeight="1">
      <c r="A1" s="14395" t="s">
        <v>1087</v>
      </c>
      <c r="B1" s="14395"/>
      <c r="C1" s="14395"/>
      <c r="D1" s="14395"/>
      <c r="E1" s="14395"/>
      <c r="F1" s="14395"/>
      <c r="G1" s="14395"/>
    </row>
    <row r="3" spans="1:10" ht="12.9" customHeight="1">
      <c r="A3" s="14580" t="s">
        <v>9140</v>
      </c>
      <c r="B3" s="14580"/>
      <c r="C3" s="14580"/>
      <c r="D3" s="14580"/>
      <c r="E3" s="14580"/>
      <c r="F3" s="14580"/>
      <c r="G3" s="14580"/>
    </row>
    <row r="4" spans="1:10" ht="12.9" customHeight="1" thickBot="1"/>
    <row r="5" spans="1:10" ht="12.9" customHeight="1">
      <c r="A5" s="9675" t="s">
        <v>842</v>
      </c>
      <c r="B5" s="10713" t="s">
        <v>1035</v>
      </c>
      <c r="C5" s="10713" t="s">
        <v>1036</v>
      </c>
      <c r="D5" s="14393" t="s">
        <v>1037</v>
      </c>
      <c r="E5" s="14393"/>
      <c r="F5" s="14393"/>
      <c r="G5" s="14394"/>
      <c r="H5" s="7162"/>
    </row>
    <row r="6" spans="1:10" ht="12.9" customHeight="1" thickBot="1">
      <c r="A6" s="7230" t="s">
        <v>1088</v>
      </c>
      <c r="B6" s="10780" t="s">
        <v>9</v>
      </c>
      <c r="C6" s="10780" t="s">
        <v>1039</v>
      </c>
      <c r="D6" s="10780" t="s">
        <v>1040</v>
      </c>
      <c r="E6" s="10780" t="s">
        <v>10</v>
      </c>
      <c r="F6" s="10780" t="s">
        <v>11</v>
      </c>
      <c r="G6" s="10721" t="s">
        <v>11621</v>
      </c>
      <c r="H6" s="7162"/>
    </row>
    <row r="7" spans="1:10" ht="12.9" customHeight="1">
      <c r="A7" s="7248"/>
      <c r="B7" s="9665"/>
      <c r="C7" s="9666"/>
      <c r="D7" s="9666"/>
      <c r="E7" s="9666"/>
      <c r="F7" s="9666"/>
      <c r="G7" s="7240"/>
    </row>
    <row r="8" spans="1:10" ht="12.9" customHeight="1">
      <c r="A8" s="6230" t="s">
        <v>806</v>
      </c>
      <c r="B8" s="10751"/>
      <c r="C8" s="8414"/>
      <c r="D8" s="8414"/>
      <c r="E8" s="8414"/>
      <c r="F8" s="8414"/>
      <c r="G8" s="7241"/>
    </row>
    <row r="9" spans="1:10" ht="12.9" customHeight="1">
      <c r="A9" s="6230" t="s">
        <v>1107</v>
      </c>
      <c r="B9" s="10751"/>
      <c r="C9" s="8414"/>
      <c r="D9" s="8414"/>
      <c r="E9" s="8414"/>
      <c r="F9" s="8414"/>
      <c r="G9" s="7241"/>
    </row>
    <row r="10" spans="1:10" ht="12.9" customHeight="1">
      <c r="A10" s="7231" t="s">
        <v>1108</v>
      </c>
      <c r="B10" s="10751"/>
      <c r="C10" s="8414"/>
      <c r="D10" s="8414"/>
      <c r="E10" s="8414"/>
      <c r="F10" s="8414"/>
      <c r="G10" s="7241"/>
    </row>
    <row r="11" spans="1:10" s="6330" customFormat="1" ht="12.9" customHeight="1">
      <c r="A11" s="7231"/>
      <c r="B11" s="10751"/>
      <c r="C11" s="10751"/>
      <c r="D11" s="10751"/>
      <c r="E11" s="10751"/>
      <c r="F11" s="10751"/>
      <c r="G11" s="7242"/>
    </row>
    <row r="12" spans="1:10" ht="12.9" customHeight="1">
      <c r="A12" s="6230" t="s">
        <v>1091</v>
      </c>
      <c r="B12" s="10751"/>
      <c r="C12" s="10751"/>
      <c r="D12" s="10751"/>
      <c r="E12" s="10751"/>
      <c r="F12" s="10781"/>
      <c r="G12" s="7175"/>
    </row>
    <row r="13" spans="1:10" ht="12.9" customHeight="1">
      <c r="A13" s="6230" t="s">
        <v>1109</v>
      </c>
      <c r="B13" s="10751"/>
      <c r="C13" s="10751"/>
      <c r="D13" s="10751"/>
      <c r="E13" s="10751"/>
      <c r="F13" s="10781"/>
      <c r="G13" s="7175"/>
    </row>
    <row r="14" spans="1:10" ht="12.9" customHeight="1">
      <c r="A14" s="7231"/>
      <c r="B14" s="8414"/>
      <c r="C14" s="8414"/>
      <c r="D14" s="8414"/>
      <c r="E14" s="10782"/>
      <c r="F14" s="10782"/>
      <c r="G14" s="7173"/>
    </row>
    <row r="15" spans="1:10" ht="12.9" customHeight="1">
      <c r="A15" s="7231" t="s">
        <v>9142</v>
      </c>
      <c r="B15" s="8414">
        <v>1</v>
      </c>
      <c r="C15" s="8414">
        <v>15</v>
      </c>
      <c r="D15" s="8414"/>
      <c r="E15" s="10782">
        <v>334644</v>
      </c>
      <c r="F15" s="10782">
        <v>356556</v>
      </c>
      <c r="G15" s="7173">
        <v>375504</v>
      </c>
      <c r="I15" s="7001">
        <f>SUM(B15)</f>
        <v>1</v>
      </c>
      <c r="J15" s="7164">
        <f>SUM(G15)</f>
        <v>375504</v>
      </c>
    </row>
    <row r="16" spans="1:10" ht="12.9" customHeight="1">
      <c r="A16" s="7231"/>
      <c r="B16" s="8414"/>
      <c r="C16" s="8414"/>
      <c r="D16" s="8414"/>
      <c r="E16" s="10782"/>
      <c r="F16" s="10782"/>
      <c r="G16" s="7173"/>
    </row>
    <row r="17" spans="1:10" ht="12.9" customHeight="1">
      <c r="A17" s="6230" t="s">
        <v>1111</v>
      </c>
      <c r="B17" s="8414"/>
      <c r="C17" s="8414"/>
      <c r="D17" s="8414"/>
      <c r="E17" s="10782"/>
      <c r="F17" s="10782"/>
      <c r="G17" s="7173"/>
    </row>
    <row r="18" spans="1:10" ht="12.9" customHeight="1">
      <c r="A18" s="7231"/>
      <c r="B18" s="8414"/>
      <c r="C18" s="8414"/>
      <c r="D18" s="8414"/>
      <c r="E18" s="10782"/>
      <c r="F18" s="10782"/>
      <c r="G18" s="7173"/>
    </row>
    <row r="19" spans="1:10" ht="12.9" customHeight="1">
      <c r="A19" s="7231" t="s">
        <v>9143</v>
      </c>
      <c r="B19" s="8414">
        <v>1</v>
      </c>
      <c r="C19" s="8414">
        <v>15</v>
      </c>
      <c r="D19" s="8414"/>
      <c r="E19" s="10782">
        <v>338568</v>
      </c>
      <c r="F19" s="10782">
        <v>356556</v>
      </c>
      <c r="G19" s="7173">
        <v>380160</v>
      </c>
    </row>
    <row r="20" spans="1:10" ht="12.9" customHeight="1">
      <c r="A20" s="7231" t="s">
        <v>11277</v>
      </c>
      <c r="B20" s="8414">
        <v>1</v>
      </c>
      <c r="C20" s="8414">
        <v>11</v>
      </c>
      <c r="D20" s="8414"/>
      <c r="E20" s="10782">
        <v>238236</v>
      </c>
      <c r="F20" s="10782">
        <v>245244</v>
      </c>
      <c r="G20" s="7173">
        <v>255924</v>
      </c>
    </row>
    <row r="21" spans="1:10" ht="12.9" customHeight="1">
      <c r="A21" s="7231" t="s">
        <v>11650</v>
      </c>
      <c r="B21" s="8414">
        <v>1</v>
      </c>
      <c r="C21" s="8414">
        <v>11</v>
      </c>
      <c r="D21" s="8414"/>
      <c r="E21" s="10782"/>
      <c r="F21" s="10782">
        <v>242148</v>
      </c>
      <c r="G21" s="7173">
        <v>249048</v>
      </c>
    </row>
    <row r="22" spans="1:10" ht="12.9" hidden="1" customHeight="1">
      <c r="A22" s="7231" t="s">
        <v>9144</v>
      </c>
      <c r="B22" s="8414">
        <v>0</v>
      </c>
      <c r="C22" s="8414">
        <v>9</v>
      </c>
      <c r="D22" s="8414"/>
      <c r="E22" s="10782">
        <v>0</v>
      </c>
      <c r="F22" s="10782">
        <v>0</v>
      </c>
      <c r="G22" s="7173">
        <v>0</v>
      </c>
    </row>
    <row r="23" spans="1:10" ht="12.9" customHeight="1">
      <c r="A23" s="7231" t="s">
        <v>9146</v>
      </c>
      <c r="B23" s="8414">
        <v>1</v>
      </c>
      <c r="C23" s="8414">
        <v>8</v>
      </c>
      <c r="D23" s="8414"/>
      <c r="E23" s="10782">
        <v>197160</v>
      </c>
      <c r="F23" s="10782">
        <v>202740</v>
      </c>
      <c r="G23" s="7173">
        <v>208464</v>
      </c>
    </row>
    <row r="24" spans="1:10" ht="12.9" customHeight="1">
      <c r="A24" s="7231" t="s">
        <v>10371</v>
      </c>
      <c r="B24" s="8414">
        <v>1</v>
      </c>
      <c r="C24" s="8414">
        <v>8</v>
      </c>
      <c r="D24" s="8415"/>
      <c r="E24" s="8415"/>
      <c r="F24" s="8415">
        <v>195384</v>
      </c>
      <c r="G24" s="7245">
        <v>202920</v>
      </c>
    </row>
    <row r="25" spans="1:10" ht="12.9" hidden="1" customHeight="1">
      <c r="A25" s="7231" t="s">
        <v>9145</v>
      </c>
      <c r="B25" s="8414">
        <v>0</v>
      </c>
      <c r="C25" s="8414">
        <v>6</v>
      </c>
      <c r="D25" s="8414"/>
      <c r="E25" s="10782">
        <v>0</v>
      </c>
      <c r="F25" s="10782">
        <v>0</v>
      </c>
      <c r="G25" s="7173">
        <v>0</v>
      </c>
    </row>
    <row r="26" spans="1:10" ht="12.9" customHeight="1">
      <c r="A26" s="7231" t="s">
        <v>11278</v>
      </c>
      <c r="B26" s="8414">
        <v>1</v>
      </c>
      <c r="C26" s="8414">
        <v>6</v>
      </c>
      <c r="D26" s="8414"/>
      <c r="E26" s="10782">
        <v>0</v>
      </c>
      <c r="F26" s="10782">
        <v>172080</v>
      </c>
      <c r="G26" s="7173">
        <v>178164</v>
      </c>
    </row>
    <row r="27" spans="1:10" ht="12.9" customHeight="1">
      <c r="A27" s="7231"/>
      <c r="B27" s="8414"/>
      <c r="C27" s="8414"/>
      <c r="D27" s="8414"/>
      <c r="E27" s="10782"/>
      <c r="F27" s="10782"/>
      <c r="G27" s="7173"/>
      <c r="I27" s="7001">
        <f>SUM(B19:B27)</f>
        <v>6</v>
      </c>
      <c r="J27" s="7164">
        <f>SUM(G19:G27)</f>
        <v>1474680</v>
      </c>
    </row>
    <row r="28" spans="1:10" ht="12.9" customHeight="1">
      <c r="A28" s="6230" t="s">
        <v>1054</v>
      </c>
      <c r="B28" s="10751"/>
      <c r="C28" s="10751"/>
      <c r="D28" s="10751"/>
      <c r="E28" s="10751"/>
      <c r="F28" s="10751"/>
      <c r="G28" s="7242"/>
    </row>
    <row r="29" spans="1:10" ht="12.9" customHeight="1">
      <c r="A29" s="7231"/>
      <c r="B29" s="8414"/>
      <c r="C29" s="8414"/>
      <c r="D29" s="8414"/>
      <c r="E29" s="10782"/>
      <c r="F29" s="10782"/>
      <c r="G29" s="7173"/>
    </row>
    <row r="30" spans="1:10" ht="12.9" customHeight="1">
      <c r="A30" s="7231" t="s">
        <v>11408</v>
      </c>
      <c r="B30" s="8414">
        <v>2</v>
      </c>
      <c r="C30" s="8414">
        <v>6</v>
      </c>
      <c r="D30" s="8415"/>
      <c r="E30" s="8415">
        <v>353544</v>
      </c>
      <c r="F30" s="8415">
        <v>182280</v>
      </c>
      <c r="G30" s="7245">
        <f>187968+178164</f>
        <v>366132</v>
      </c>
    </row>
    <row r="31" spans="1:10" ht="12.9" hidden="1" customHeight="1">
      <c r="A31" s="7231" t="s">
        <v>11409</v>
      </c>
      <c r="B31" s="8414">
        <v>0</v>
      </c>
      <c r="C31" s="8414">
        <v>4</v>
      </c>
      <c r="D31" s="8415"/>
      <c r="E31" s="10752">
        <v>0</v>
      </c>
      <c r="F31" s="10752">
        <v>0</v>
      </c>
      <c r="G31" s="7246">
        <v>0</v>
      </c>
    </row>
    <row r="32" spans="1:10" ht="12.9" customHeight="1">
      <c r="A32" s="7231" t="s">
        <v>11272</v>
      </c>
      <c r="B32" s="8414">
        <v>1</v>
      </c>
      <c r="C32" s="8414">
        <v>3</v>
      </c>
      <c r="D32" s="8415"/>
      <c r="E32" s="10754">
        <v>0</v>
      </c>
      <c r="F32" s="10754">
        <v>0</v>
      </c>
      <c r="G32" s="7216">
        <v>149592</v>
      </c>
      <c r="H32" s="13961"/>
      <c r="I32" s="7001">
        <f>SUM(B30:B32)</f>
        <v>3</v>
      </c>
      <c r="J32" s="7164">
        <f>SUM(G30:G32)</f>
        <v>515724</v>
      </c>
    </row>
    <row r="33" spans="1:7" ht="12.9" customHeight="1">
      <c r="A33" s="7231"/>
      <c r="B33" s="8414"/>
      <c r="C33" s="8414"/>
      <c r="D33" s="8415"/>
      <c r="E33" s="10781" t="s">
        <v>9</v>
      </c>
      <c r="F33" s="8415" t="s">
        <v>9</v>
      </c>
      <c r="G33" s="7245" t="s">
        <v>9</v>
      </c>
    </row>
    <row r="34" spans="1:7" s="7165" customFormat="1" ht="12.9" customHeight="1">
      <c r="A34" s="7209" t="s">
        <v>1098</v>
      </c>
      <c r="B34" s="9613">
        <f>SUM(B14:B32)</f>
        <v>10</v>
      </c>
      <c r="C34" s="9613"/>
      <c r="D34" s="9619"/>
      <c r="E34" s="9627">
        <f>SUM(E14:E32)</f>
        <v>1462152</v>
      </c>
      <c r="F34" s="9627">
        <f>SUM(F14:F32)</f>
        <v>1952988</v>
      </c>
      <c r="G34" s="7203">
        <f>SUM(G14:G32)</f>
        <v>2365908</v>
      </c>
    </row>
    <row r="35" spans="1:7" ht="12.9" customHeight="1">
      <c r="A35" s="6230" t="s">
        <v>9</v>
      </c>
      <c r="B35" s="10750" t="s">
        <v>9</v>
      </c>
      <c r="C35" s="10750"/>
      <c r="D35" s="10756"/>
      <c r="E35" s="10783" t="s">
        <v>9</v>
      </c>
      <c r="F35" s="10756" t="s">
        <v>9</v>
      </c>
      <c r="G35" s="9649" t="s">
        <v>9</v>
      </c>
    </row>
    <row r="36" spans="1:7" ht="12.9" customHeight="1">
      <c r="A36" s="7231"/>
      <c r="B36" s="8414"/>
      <c r="C36" s="8414"/>
      <c r="D36" s="8415"/>
      <c r="E36" s="10781"/>
      <c r="F36" s="8415"/>
      <c r="G36" s="7245"/>
    </row>
    <row r="37" spans="1:7" ht="12.9" customHeight="1">
      <c r="A37" s="7231" t="s">
        <v>1113</v>
      </c>
      <c r="B37" s="8414"/>
      <c r="C37" s="8414"/>
      <c r="D37" s="8415"/>
      <c r="E37" s="10781"/>
      <c r="F37" s="8415"/>
      <c r="G37" s="7245"/>
    </row>
    <row r="38" spans="1:7" ht="12.9" customHeight="1">
      <c r="A38" s="7231" t="s">
        <v>12018</v>
      </c>
      <c r="B38" s="8414">
        <v>1</v>
      </c>
      <c r="C38" s="8414">
        <v>18</v>
      </c>
      <c r="D38" s="8415"/>
      <c r="E38" s="10781"/>
      <c r="F38" s="8415"/>
      <c r="G38" s="7245">
        <v>487644</v>
      </c>
    </row>
    <row r="39" spans="1:7" ht="12.9" customHeight="1">
      <c r="A39" s="7231" t="s">
        <v>11279</v>
      </c>
      <c r="B39" s="8414">
        <v>0</v>
      </c>
      <c r="C39" s="8414">
        <v>11</v>
      </c>
      <c r="D39" s="8415"/>
      <c r="E39" s="8415">
        <v>235440</v>
      </c>
      <c r="F39" s="8415">
        <v>0</v>
      </c>
      <c r="G39" s="7245">
        <v>0</v>
      </c>
    </row>
    <row r="40" spans="1:7" ht="12.9" customHeight="1">
      <c r="A40" s="7231" t="s">
        <v>10372</v>
      </c>
      <c r="B40" s="8414">
        <v>1</v>
      </c>
      <c r="C40" s="8414">
        <v>10</v>
      </c>
      <c r="D40" s="8415"/>
      <c r="E40" s="8415">
        <v>218604</v>
      </c>
      <c r="F40" s="8415">
        <v>224616</v>
      </c>
      <c r="G40" s="7245">
        <v>230796</v>
      </c>
    </row>
    <row r="41" spans="1:7" ht="12.9" customHeight="1">
      <c r="A41" s="7231" t="s">
        <v>10371</v>
      </c>
      <c r="B41" s="8414">
        <v>0</v>
      </c>
      <c r="C41" s="8414">
        <v>8</v>
      </c>
      <c r="D41" s="8415"/>
      <c r="E41" s="8415">
        <v>189816</v>
      </c>
      <c r="F41" s="8415">
        <v>0</v>
      </c>
      <c r="G41" s="7245">
        <v>0</v>
      </c>
    </row>
    <row r="42" spans="1:7" ht="12.9" customHeight="1">
      <c r="A42" s="7231" t="s">
        <v>12019</v>
      </c>
      <c r="B42" s="8414">
        <v>1</v>
      </c>
      <c r="C42" s="8414">
        <v>6</v>
      </c>
      <c r="D42" s="8415"/>
      <c r="E42" s="8415"/>
      <c r="F42" s="8415"/>
      <c r="G42" s="7245">
        <v>178164</v>
      </c>
    </row>
    <row r="43" spans="1:7" ht="12.9" customHeight="1">
      <c r="A43" s="7231" t="s">
        <v>9147</v>
      </c>
      <c r="B43" s="8414">
        <v>0</v>
      </c>
      <c r="C43" s="8414">
        <v>6</v>
      </c>
      <c r="D43" s="8415"/>
      <c r="E43" s="8415">
        <v>166212</v>
      </c>
      <c r="F43" s="8415">
        <v>0</v>
      </c>
      <c r="G43" s="7245">
        <v>0</v>
      </c>
    </row>
    <row r="44" spans="1:7" ht="12.9" customHeight="1">
      <c r="A44" s="7231" t="s">
        <v>11408</v>
      </c>
      <c r="B44" s="8414">
        <v>0</v>
      </c>
      <c r="C44" s="8414">
        <v>6</v>
      </c>
      <c r="D44" s="8415"/>
      <c r="E44" s="8415">
        <v>0</v>
      </c>
      <c r="F44" s="8415">
        <v>182280</v>
      </c>
      <c r="G44" s="7245">
        <v>0</v>
      </c>
    </row>
    <row r="45" spans="1:7" ht="12.9" customHeight="1">
      <c r="A45" s="7231" t="s">
        <v>12020</v>
      </c>
      <c r="B45" s="8414">
        <v>4</v>
      </c>
      <c r="C45" s="8414">
        <v>1</v>
      </c>
      <c r="D45" s="8415"/>
      <c r="E45" s="8415"/>
      <c r="F45" s="8415"/>
      <c r="G45" s="7245">
        <f>132816*B45</f>
        <v>531264</v>
      </c>
    </row>
    <row r="46" spans="1:7" ht="12.9" customHeight="1">
      <c r="A46" s="7231"/>
      <c r="B46" s="8414"/>
      <c r="C46" s="8414"/>
      <c r="D46" s="8415"/>
      <c r="E46" s="8415"/>
      <c r="F46" s="8415"/>
      <c r="G46" s="7245"/>
    </row>
    <row r="47" spans="1:7" s="7163" customFormat="1" ht="12.9" customHeight="1">
      <c r="A47" s="7209" t="s">
        <v>4774</v>
      </c>
      <c r="B47" s="9613">
        <f>SUM(B38:B46)</f>
        <v>7</v>
      </c>
      <c r="C47" s="9613"/>
      <c r="D47" s="9659">
        <f>SUM(D43:D44)</f>
        <v>0</v>
      </c>
      <c r="E47" s="9659">
        <f>SUM(E38:E46)</f>
        <v>810072</v>
      </c>
      <c r="F47" s="9659">
        <f t="shared" ref="F47" si="0">SUM(F38:F46)</f>
        <v>406896</v>
      </c>
      <c r="G47" s="9660">
        <f>SUM(G38:G46)</f>
        <v>1427868</v>
      </c>
    </row>
    <row r="48" spans="1:7" ht="12.9" customHeight="1" thickBot="1">
      <c r="A48" s="7235"/>
      <c r="B48" s="8414"/>
      <c r="C48" s="8414"/>
      <c r="D48" s="8415"/>
      <c r="E48" s="10781"/>
      <c r="F48" s="9646"/>
      <c r="G48" s="9781"/>
    </row>
    <row r="49" spans="1:10" ht="12.9" customHeight="1" thickBot="1">
      <c r="A49" s="9838" t="s">
        <v>1114</v>
      </c>
      <c r="B49" s="10784">
        <f>SUM(B34:B35,B47)</f>
        <v>17</v>
      </c>
      <c r="C49" s="10421"/>
      <c r="D49" s="10785">
        <f>SUM(D18:D48)</f>
        <v>0</v>
      </c>
      <c r="E49" s="9840">
        <f>E34+E47</f>
        <v>2272224</v>
      </c>
      <c r="F49" s="9840">
        <f t="shared" ref="F49:G49" si="1">F34+F47</f>
        <v>2359884</v>
      </c>
      <c r="G49" s="10786">
        <f t="shared" si="1"/>
        <v>3793776</v>
      </c>
      <c r="J49" s="7164">
        <f>2502852-142968</f>
        <v>2359884</v>
      </c>
    </row>
    <row r="50" spans="1:10" ht="12.9" customHeight="1">
      <c r="A50" s="6230"/>
      <c r="B50" s="10750"/>
      <c r="C50" s="10751"/>
      <c r="D50" s="10779"/>
      <c r="E50" s="10783"/>
      <c r="F50" s="10755"/>
      <c r="G50" s="7243"/>
      <c r="J50" s="5807">
        <v>2359884</v>
      </c>
    </row>
    <row r="51" spans="1:10" ht="12.9" customHeight="1">
      <c r="A51" s="6230" t="s">
        <v>1075</v>
      </c>
      <c r="B51" s="8414"/>
      <c r="C51" s="10751"/>
      <c r="D51" s="10779"/>
      <c r="E51" s="10781"/>
      <c r="F51" s="10779"/>
      <c r="G51" s="7244"/>
    </row>
    <row r="52" spans="1:10" ht="12.9" customHeight="1">
      <c r="A52" s="6230" t="s">
        <v>1115</v>
      </c>
      <c r="B52" s="8414"/>
      <c r="C52" s="10751"/>
      <c r="D52" s="10779"/>
      <c r="E52" s="10779"/>
      <c r="F52" s="10779"/>
      <c r="G52" s="7244"/>
    </row>
    <row r="53" spans="1:10" ht="12.9" customHeight="1">
      <c r="A53" s="7231" t="s">
        <v>1116</v>
      </c>
      <c r="B53" s="8414">
        <v>6</v>
      </c>
      <c r="C53" s="10751"/>
      <c r="D53" s="10779"/>
      <c r="E53" s="10779"/>
      <c r="F53" s="10779"/>
      <c r="G53" s="7244"/>
      <c r="J53" s="5807">
        <v>2359884</v>
      </c>
    </row>
    <row r="54" spans="1:10" ht="12.9" customHeight="1">
      <c r="A54" s="7231" t="s">
        <v>1117</v>
      </c>
      <c r="B54" s="8414"/>
      <c r="C54" s="10751"/>
      <c r="D54" s="10779"/>
      <c r="E54" s="10779"/>
      <c r="F54" s="10779"/>
      <c r="G54" s="7244"/>
    </row>
    <row r="55" spans="1:10" ht="12.9" customHeight="1">
      <c r="A55" s="7231" t="s">
        <v>1118</v>
      </c>
      <c r="B55" s="8414"/>
      <c r="C55" s="10751"/>
      <c r="D55" s="10779"/>
      <c r="E55" s="10779"/>
      <c r="F55" s="10779"/>
      <c r="G55" s="7244"/>
      <c r="J55" s="5807">
        <v>3793776</v>
      </c>
    </row>
    <row r="56" spans="1:10" ht="13.5" customHeight="1">
      <c r="A56" s="7231" t="s">
        <v>10698</v>
      </c>
      <c r="B56" s="9403">
        <v>1</v>
      </c>
      <c r="C56" s="9403"/>
      <c r="D56" s="13956"/>
      <c r="E56" s="13956"/>
      <c r="F56" s="13956"/>
      <c r="G56" s="13957"/>
      <c r="H56" s="13961"/>
    </row>
    <row r="57" spans="1:10" ht="12.9" customHeight="1">
      <c r="A57" s="7231"/>
      <c r="B57" s="8414"/>
      <c r="C57" s="10751"/>
      <c r="D57" s="10779"/>
      <c r="E57" s="10779"/>
      <c r="F57" s="10779"/>
      <c r="G57" s="7244"/>
    </row>
    <row r="58" spans="1:10" ht="12.9" customHeight="1">
      <c r="A58" s="7231" t="s">
        <v>1080</v>
      </c>
      <c r="B58" s="8414"/>
      <c r="C58" s="10751"/>
      <c r="D58" s="10779"/>
      <c r="E58" s="10779"/>
      <c r="F58" s="10779"/>
      <c r="G58" s="7244"/>
    </row>
    <row r="59" spans="1:10" ht="12.9" customHeight="1">
      <c r="A59" s="7231" t="s">
        <v>1119</v>
      </c>
      <c r="B59" s="8414"/>
      <c r="C59" s="10751"/>
      <c r="D59" s="10779"/>
      <c r="E59" s="10779"/>
      <c r="F59" s="10779"/>
      <c r="G59" s="7244"/>
    </row>
    <row r="60" spans="1:10" ht="12.9" customHeight="1">
      <c r="A60" s="7231" t="s">
        <v>1082</v>
      </c>
      <c r="B60" s="8414"/>
      <c r="C60" s="10751"/>
      <c r="D60" s="10779"/>
      <c r="E60" s="10779"/>
      <c r="F60" s="10779"/>
      <c r="G60" s="7244"/>
    </row>
    <row r="61" spans="1:10" ht="12.9" customHeight="1">
      <c r="A61" s="7231"/>
      <c r="B61" s="8414"/>
      <c r="C61" s="10751"/>
      <c r="D61" s="10779"/>
      <c r="E61" s="10779"/>
      <c r="F61" s="10779"/>
      <c r="G61" s="7244"/>
    </row>
    <row r="62" spans="1:10" ht="12.9" customHeight="1">
      <c r="A62" s="7238" t="s">
        <v>1083</v>
      </c>
      <c r="B62" s="9653"/>
      <c r="C62" s="9676"/>
      <c r="D62" s="7190"/>
      <c r="E62" s="7190"/>
      <c r="F62" s="7190"/>
      <c r="G62" s="9677"/>
    </row>
    <row r="63" spans="1:10" ht="12.9" customHeight="1">
      <c r="A63" s="6230"/>
      <c r="B63" s="8414"/>
      <c r="C63" s="10751"/>
      <c r="D63" s="10779"/>
      <c r="E63" s="10779"/>
      <c r="F63" s="10779"/>
      <c r="G63" s="7244"/>
    </row>
    <row r="64" spans="1:10" ht="12.9" customHeight="1">
      <c r="A64" s="7231" t="s">
        <v>1106</v>
      </c>
      <c r="B64" s="8414"/>
      <c r="C64" s="10751"/>
      <c r="D64" s="10779"/>
      <c r="E64" s="10779"/>
      <c r="F64" s="10779"/>
      <c r="G64" s="7244"/>
    </row>
    <row r="65" spans="1:7" ht="12.9" customHeight="1" thickBot="1">
      <c r="A65" s="7235"/>
      <c r="B65" s="9645"/>
      <c r="C65" s="9758"/>
      <c r="D65" s="9766"/>
      <c r="E65" s="9766"/>
      <c r="F65" s="9766"/>
      <c r="G65" s="10787"/>
    </row>
    <row r="66" spans="1:7" ht="12.9" customHeight="1">
      <c r="A66" s="7231"/>
      <c r="B66" s="8414"/>
      <c r="C66" s="10751"/>
      <c r="D66" s="10779"/>
      <c r="E66" s="10779"/>
      <c r="F66" s="10778"/>
      <c r="G66" s="7237"/>
    </row>
    <row r="67" spans="1:7" ht="12.9" customHeight="1">
      <c r="A67" s="6230" t="s">
        <v>1086</v>
      </c>
      <c r="B67" s="8414"/>
      <c r="C67" s="10751"/>
      <c r="D67" s="10779"/>
      <c r="E67" s="10779"/>
      <c r="F67" s="10779"/>
      <c r="G67" s="7237"/>
    </row>
    <row r="68" spans="1:7" ht="12.9" customHeight="1" thickBot="1">
      <c r="A68" s="7235"/>
      <c r="B68" s="10788"/>
      <c r="C68" s="9758"/>
      <c r="D68" s="9758"/>
      <c r="E68" s="9758"/>
      <c r="F68" s="9758"/>
      <c r="G68" s="10789"/>
    </row>
    <row r="73" spans="1:7" ht="12.9" customHeight="1">
      <c r="A73" s="7162"/>
      <c r="E73" s="7162"/>
    </row>
  </sheetData>
  <mergeCells count="3">
    <mergeCell ref="A3:G3"/>
    <mergeCell ref="D5:G5"/>
    <mergeCell ref="A1:G1"/>
  </mergeCells>
  <printOptions horizontalCentered="1"/>
  <pageMargins left="0.25" right="0.25" top="0.5" bottom="0.5" header="0.3" footer="0.3"/>
  <pageSetup paperSize="119" firstPageNumber="83" orientation="portrait" useFirstPageNumber="1" r:id="rId1"/>
</worksheet>
</file>

<file path=xl/worksheets/sheet56.xml><?xml version="1.0" encoding="utf-8"?>
<worksheet xmlns="http://schemas.openxmlformats.org/spreadsheetml/2006/main" xmlns:r="http://schemas.openxmlformats.org/officeDocument/2006/relationships">
  <sheetPr codeName="Sheet13">
    <tabColor theme="8" tint="-0.249977111117893"/>
  </sheetPr>
  <dimension ref="A1:N87"/>
  <sheetViews>
    <sheetView showGridLines="0" workbookViewId="0">
      <selection activeCell="L4" sqref="L4"/>
    </sheetView>
  </sheetViews>
  <sheetFormatPr defaultColWidth="9.109375" defaultRowHeight="15" customHeight="1"/>
  <cols>
    <col min="1" max="1" width="3.88671875" style="7799" customWidth="1"/>
    <col min="2" max="2" width="55.5546875" style="7799" customWidth="1"/>
    <col min="3" max="3" width="15.6640625" style="7310" hidden="1" customWidth="1"/>
    <col min="4" max="4" width="12.5546875" style="10883" customWidth="1"/>
    <col min="5" max="6" width="15.5546875" style="7799" customWidth="1"/>
    <col min="7" max="7" width="15.5546875" style="9554" customWidth="1"/>
    <col min="8" max="8" width="15.5546875" style="7799" customWidth="1"/>
    <col min="9" max="9" width="15" style="7799" hidden="1" customWidth="1"/>
    <col min="10" max="10" width="8.44140625" style="7348" hidden="1" customWidth="1"/>
    <col min="11" max="11" width="15.5546875" style="7799" customWidth="1"/>
    <col min="12" max="12" width="17.5546875" style="7799" customWidth="1"/>
    <col min="13" max="13" width="4" style="10883" customWidth="1"/>
    <col min="14" max="14" width="12" style="7799" customWidth="1"/>
    <col min="15" max="18" width="9.109375" style="7799" customWidth="1"/>
    <col min="19" max="16384" width="9.109375" style="7799"/>
  </cols>
  <sheetData>
    <row r="1" spans="1:13" ht="15" customHeight="1">
      <c r="A1" s="14583" t="s">
        <v>1</v>
      </c>
      <c r="B1" s="14583"/>
      <c r="C1" s="14583"/>
      <c r="D1" s="14583"/>
      <c r="E1" s="14583"/>
      <c r="F1" s="14583"/>
      <c r="G1" s="14583"/>
      <c r="H1" s="14583"/>
      <c r="I1" s="14583"/>
      <c r="J1" s="14583"/>
      <c r="K1" s="14583"/>
    </row>
    <row r="2" spans="1:13" ht="15" customHeight="1">
      <c r="A2" s="7767"/>
      <c r="B2" s="7767"/>
      <c r="C2" s="7990"/>
      <c r="D2" s="10878"/>
      <c r="E2" s="7767"/>
      <c r="F2" s="7767"/>
      <c r="G2" s="9545"/>
      <c r="H2" s="7767"/>
      <c r="I2" s="7767"/>
      <c r="J2" s="7286"/>
      <c r="K2" s="7767"/>
    </row>
    <row r="3" spans="1:13" ht="15" customHeight="1">
      <c r="A3" s="7767" t="s">
        <v>1467</v>
      </c>
      <c r="B3" s="7801"/>
      <c r="C3" s="7969"/>
      <c r="D3" s="9543" t="s">
        <v>11246</v>
      </c>
      <c r="E3" s="7801"/>
      <c r="F3" s="7801"/>
      <c r="G3" s="9546"/>
      <c r="H3" s="7801"/>
      <c r="I3" s="7801"/>
      <c r="J3" s="7284"/>
      <c r="K3" s="14584"/>
    </row>
    <row r="4" spans="1:13" ht="15" customHeight="1">
      <c r="A4" s="7803" t="s">
        <v>403</v>
      </c>
      <c r="B4" s="7803"/>
      <c r="C4" s="7860"/>
      <c r="D4" s="9544" t="s">
        <v>8</v>
      </c>
      <c r="E4" s="7803"/>
      <c r="F4" s="7803"/>
      <c r="G4" s="9547"/>
      <c r="H4" s="7809"/>
      <c r="I4" s="7809"/>
      <c r="J4" s="7350"/>
      <c r="K4" s="14584"/>
    </row>
    <row r="5" spans="1:13" ht="15" customHeight="1" thickBot="1">
      <c r="A5" s="7805"/>
      <c r="B5" s="7805"/>
      <c r="C5" s="7972"/>
      <c r="D5" s="7806"/>
      <c r="E5" s="7805"/>
      <c r="F5" s="7805"/>
      <c r="G5" s="9548"/>
      <c r="H5" s="7825"/>
      <c r="I5" s="7825"/>
      <c r="J5" s="7394"/>
      <c r="K5" s="7825"/>
    </row>
    <row r="6" spans="1:13" ht="15" customHeight="1">
      <c r="A6" s="11566"/>
      <c r="B6" s="10530"/>
      <c r="C6" s="10558"/>
      <c r="D6" s="11567" t="s">
        <v>9</v>
      </c>
      <c r="E6" s="11568" t="s">
        <v>78</v>
      </c>
      <c r="F6" s="14188" t="s">
        <v>10711</v>
      </c>
      <c r="G6" s="14189"/>
      <c r="H6" s="14190"/>
      <c r="I6" s="11080" t="s">
        <v>9985</v>
      </c>
      <c r="J6" s="9462"/>
      <c r="K6" s="11569" t="s">
        <v>12</v>
      </c>
    </row>
    <row r="7" spans="1:13" ht="15" customHeight="1">
      <c r="A7" s="11570"/>
      <c r="B7" s="7808" t="s">
        <v>13</v>
      </c>
      <c r="C7" s="10554"/>
      <c r="D7" s="14581" t="s">
        <v>14</v>
      </c>
      <c r="E7" s="11571" t="s">
        <v>15</v>
      </c>
      <c r="F7" s="9502" t="s">
        <v>10709</v>
      </c>
      <c r="G7" s="11083" t="s">
        <v>10710</v>
      </c>
      <c r="H7" s="14191" t="s">
        <v>458</v>
      </c>
      <c r="I7" s="11084" t="s">
        <v>11839</v>
      </c>
      <c r="J7" s="11108"/>
      <c r="K7" s="11572" t="s">
        <v>16</v>
      </c>
    </row>
    <row r="8" spans="1:13" ht="15" customHeight="1" thickBot="1">
      <c r="A8" s="11573"/>
      <c r="B8" s="7827"/>
      <c r="C8" s="10555"/>
      <c r="D8" s="14582"/>
      <c r="E8" s="11574">
        <v>2017</v>
      </c>
      <c r="F8" s="9467" t="s">
        <v>457</v>
      </c>
      <c r="G8" s="11076" t="s">
        <v>456</v>
      </c>
      <c r="H8" s="14192"/>
      <c r="I8" s="7302">
        <v>2018</v>
      </c>
      <c r="J8" s="7322"/>
      <c r="K8" s="11575">
        <v>2019</v>
      </c>
    </row>
    <row r="9" spans="1:13" ht="15" customHeight="1">
      <c r="A9" s="11570"/>
      <c r="B9" s="7808"/>
      <c r="C9" s="10554"/>
      <c r="D9" s="11576"/>
      <c r="E9" s="11571"/>
      <c r="F9" s="11123"/>
      <c r="G9" s="11073"/>
      <c r="H9" s="11123"/>
      <c r="I9" s="11571"/>
      <c r="J9" s="11108"/>
      <c r="K9" s="11572"/>
    </row>
    <row r="10" spans="1:13" ht="15" customHeight="1">
      <c r="A10" s="11577" t="s">
        <v>17</v>
      </c>
      <c r="B10" s="7803" t="s">
        <v>18</v>
      </c>
      <c r="C10" s="7860"/>
      <c r="D10" s="10141"/>
      <c r="E10" s="11518"/>
      <c r="F10" s="11518"/>
      <c r="G10" s="11578"/>
      <c r="H10" s="11518"/>
      <c r="I10" s="11518"/>
      <c r="J10" s="11163"/>
      <c r="K10" s="11579"/>
    </row>
    <row r="11" spans="1:13" ht="15" customHeight="1">
      <c r="A11" s="11570"/>
      <c r="B11" s="7803" t="s">
        <v>19</v>
      </c>
      <c r="C11" s="7860"/>
      <c r="D11" s="10141"/>
      <c r="E11" s="11518"/>
      <c r="F11" s="11518"/>
      <c r="G11" s="11578"/>
      <c r="H11" s="11518"/>
      <c r="I11" s="11518"/>
      <c r="J11" s="11163"/>
      <c r="K11" s="11579"/>
    </row>
    <row r="12" spans="1:13" ht="15" customHeight="1">
      <c r="A12" s="11570"/>
      <c r="B12" s="7803" t="s">
        <v>56</v>
      </c>
      <c r="C12" s="7860"/>
      <c r="D12" s="10141">
        <v>50101010</v>
      </c>
      <c r="E12" s="11580">
        <f>'WS-PS 2017'!B9</f>
        <v>1117664.06</v>
      </c>
      <c r="F12" s="11580">
        <f>'WS-PS ACTUAL JUNE 2018'!B7</f>
        <v>485148</v>
      </c>
      <c r="G12" s="11581">
        <f t="shared" ref="G12:G17" si="0">H12-F12</f>
        <v>1149540</v>
      </c>
      <c r="H12" s="11580">
        <v>1634688</v>
      </c>
      <c r="I12" s="11580"/>
      <c r="J12" s="11165"/>
      <c r="K12" s="11582">
        <f>L12</f>
        <v>1238304</v>
      </c>
      <c r="L12" s="11555">
        <f>'staffing-EDCOM'!G35</f>
        <v>1238304</v>
      </c>
      <c r="M12" s="10883">
        <f>'staffing-EDCOM'!B35</f>
        <v>4</v>
      </c>
    </row>
    <row r="13" spans="1:13" ht="15" customHeight="1">
      <c r="A13" s="11570"/>
      <c r="B13" s="7803" t="s">
        <v>58</v>
      </c>
      <c r="C13" s="7860"/>
      <c r="D13" s="10141">
        <v>50102010</v>
      </c>
      <c r="E13" s="11583">
        <f>'WS-PS 2017'!F9</f>
        <v>96000</v>
      </c>
      <c r="F13" s="11583">
        <f>'WS-PS ACTUAL JUNE 2018'!D7</f>
        <v>40000</v>
      </c>
      <c r="G13" s="11581">
        <f t="shared" si="0"/>
        <v>80000</v>
      </c>
      <c r="H13" s="11583">
        <v>120000</v>
      </c>
      <c r="I13" s="11583"/>
      <c r="J13" s="11163"/>
      <c r="K13" s="11582">
        <f t="shared" ref="K13:K24" si="1">L13</f>
        <v>96000</v>
      </c>
      <c r="L13" s="7310">
        <f>24000*M12</f>
        <v>96000</v>
      </c>
    </row>
    <row r="14" spans="1:13" ht="15" customHeight="1">
      <c r="A14" s="11570"/>
      <c r="B14" s="7803" t="s">
        <v>79</v>
      </c>
      <c r="C14" s="7860"/>
      <c r="D14" s="10141">
        <v>50102040</v>
      </c>
      <c r="E14" s="11583">
        <f>'WS-PS 2017'!I9</f>
        <v>20000</v>
      </c>
      <c r="F14" s="11583">
        <f>'WS-PS ACTUAL JUNE 2018'!G7</f>
        <v>24000</v>
      </c>
      <c r="G14" s="11581">
        <f t="shared" si="0"/>
        <v>1000</v>
      </c>
      <c r="H14" s="11583">
        <v>25000</v>
      </c>
      <c r="I14" s="11583"/>
      <c r="J14" s="11163"/>
      <c r="K14" s="11582">
        <f t="shared" si="1"/>
        <v>24000</v>
      </c>
      <c r="L14" s="7310">
        <f>6000*M12</f>
        <v>24000</v>
      </c>
    </row>
    <row r="15" spans="1:13" ht="15" customHeight="1">
      <c r="A15" s="11570"/>
      <c r="B15" s="7488" t="s">
        <v>10932</v>
      </c>
      <c r="C15" s="10078"/>
      <c r="D15" s="10368">
        <v>50102080</v>
      </c>
      <c r="E15" s="11583">
        <f>'WS-PS 2017'!L9</f>
        <v>20000</v>
      </c>
      <c r="F15" s="11583">
        <f>'WS-PS ACTUAL JUNE 2018'!J7</f>
        <v>0</v>
      </c>
      <c r="G15" s="11581">
        <f t="shared" si="0"/>
        <v>25000</v>
      </c>
      <c r="H15" s="11583">
        <v>25000</v>
      </c>
      <c r="I15" s="11583"/>
      <c r="J15" s="11163"/>
      <c r="K15" s="11582">
        <f t="shared" si="1"/>
        <v>20000</v>
      </c>
      <c r="L15" s="7310">
        <f>5000*M12</f>
        <v>20000</v>
      </c>
    </row>
    <row r="16" spans="1:13" ht="15" customHeight="1">
      <c r="A16" s="11570"/>
      <c r="B16" s="7488" t="s">
        <v>10934</v>
      </c>
      <c r="C16" s="10078"/>
      <c r="D16" s="8872">
        <v>50102120</v>
      </c>
      <c r="E16" s="11583">
        <f>'WS-PS 2017'!Z9</f>
        <v>100000</v>
      </c>
      <c r="F16" s="11583">
        <f>'WS-PS ACTUAL JUNE 2018'!M7</f>
        <v>0</v>
      </c>
      <c r="G16" s="11578">
        <f t="shared" si="0"/>
        <v>0</v>
      </c>
      <c r="H16" s="11583">
        <v>0</v>
      </c>
      <c r="I16" s="11583"/>
      <c r="J16" s="11163"/>
      <c r="K16" s="11582">
        <f t="shared" si="1"/>
        <v>0</v>
      </c>
    </row>
    <row r="17" spans="1:12" ht="15" customHeight="1">
      <c r="A17" s="11570"/>
      <c r="B17" s="7488" t="s">
        <v>10933</v>
      </c>
      <c r="C17" s="10078"/>
      <c r="D17" s="8872">
        <v>50102140</v>
      </c>
      <c r="E17" s="10277">
        <f>'WS-PS 2017'!U9+'WS-PS 2017'!S9</f>
        <v>158713</v>
      </c>
      <c r="F17" s="11580">
        <f>'WS-PS ACTUAL JUNE 2018'!O7</f>
        <v>97987</v>
      </c>
      <c r="G17" s="11581">
        <f t="shared" si="0"/>
        <v>174461</v>
      </c>
      <c r="H17" s="11580">
        <v>272448</v>
      </c>
      <c r="I17" s="11580"/>
      <c r="J17" s="11165"/>
      <c r="K17" s="11582">
        <f t="shared" si="1"/>
        <v>206384</v>
      </c>
      <c r="L17" s="7310">
        <f>L12/12*2</f>
        <v>206384</v>
      </c>
    </row>
    <row r="18" spans="1:12" ht="15" customHeight="1">
      <c r="A18" s="11570"/>
      <c r="B18" s="7803" t="s">
        <v>26</v>
      </c>
      <c r="C18" s="7860"/>
      <c r="D18" s="10141">
        <v>50102150</v>
      </c>
      <c r="E18" s="10278">
        <f>'WS-PS 2017'!T9</f>
        <v>20000</v>
      </c>
      <c r="F18" s="11583">
        <f>'WS-PS ACTUAL JUNE 2018'!Q7</f>
        <v>0</v>
      </c>
      <c r="G18" s="11581">
        <f t="shared" ref="G18:G24" si="2">H18-F18</f>
        <v>25000</v>
      </c>
      <c r="H18" s="11583">
        <v>25000</v>
      </c>
      <c r="I18" s="11583"/>
      <c r="J18" s="11163"/>
      <c r="K18" s="11582">
        <f t="shared" si="1"/>
        <v>20000</v>
      </c>
      <c r="L18" s="7371">
        <f>L15</f>
        <v>20000</v>
      </c>
    </row>
    <row r="19" spans="1:12" ht="15" customHeight="1">
      <c r="A19" s="11570"/>
      <c r="B19" s="7488" t="s">
        <v>11497</v>
      </c>
      <c r="C19" s="10078"/>
      <c r="D19" s="11257">
        <v>50102990</v>
      </c>
      <c r="E19" s="10278"/>
      <c r="F19" s="11583">
        <f>'WS-PS ACTUAL JUNE 2018'!R7</f>
        <v>0</v>
      </c>
      <c r="G19" s="11581">
        <f>H19-F19</f>
        <v>78329</v>
      </c>
      <c r="H19" s="11583">
        <v>78329</v>
      </c>
      <c r="I19" s="11583"/>
      <c r="J19" s="11163"/>
      <c r="K19" s="11582">
        <v>0</v>
      </c>
      <c r="L19" s="7310">
        <f>0.575*(L12/12)</f>
        <v>59335.399999999994</v>
      </c>
    </row>
    <row r="20" spans="1:12" ht="15" customHeight="1">
      <c r="A20" s="11570"/>
      <c r="B20" s="7803" t="s">
        <v>11499</v>
      </c>
      <c r="C20" s="7860"/>
      <c r="D20" s="11059" t="s">
        <v>11495</v>
      </c>
      <c r="E20" s="10278"/>
      <c r="F20" s="11583">
        <f>'WS-PS ACTUAL JUNE 2018'!S7</f>
        <v>0</v>
      </c>
      <c r="G20" s="11581">
        <f>H20-F20</f>
        <v>0</v>
      </c>
      <c r="H20" s="11583"/>
      <c r="I20" s="11583"/>
      <c r="J20" s="11163"/>
      <c r="K20" s="11582">
        <f t="shared" si="1"/>
        <v>12000</v>
      </c>
      <c r="L20" s="7310">
        <f>3000*M12</f>
        <v>12000</v>
      </c>
    </row>
    <row r="21" spans="1:12" ht="15" customHeight="1">
      <c r="A21" s="11570"/>
      <c r="B21" s="7803" t="s">
        <v>59</v>
      </c>
      <c r="C21" s="7860"/>
      <c r="D21" s="10141">
        <v>50103010</v>
      </c>
      <c r="E21" s="10278">
        <f>'WS-PS 2017'!V9</f>
        <v>134132.19</v>
      </c>
      <c r="F21" s="11583">
        <f>'WS-PS ACTUAL JUNE 2018'!T7</f>
        <v>58217.760000000002</v>
      </c>
      <c r="G21" s="11581">
        <f t="shared" si="2"/>
        <v>137945.24</v>
      </c>
      <c r="H21" s="11583">
        <v>196163</v>
      </c>
      <c r="I21" s="11583"/>
      <c r="J21" s="11163"/>
      <c r="K21" s="11582">
        <f t="shared" si="1"/>
        <v>148596.47999999998</v>
      </c>
      <c r="L21" s="7310">
        <f>L12*12%</f>
        <v>148596.47999999998</v>
      </c>
    </row>
    <row r="22" spans="1:12" ht="15" customHeight="1">
      <c r="A22" s="11570"/>
      <c r="B22" s="7803" t="s">
        <v>28</v>
      </c>
      <c r="C22" s="7860"/>
      <c r="D22" s="10141">
        <v>50103020</v>
      </c>
      <c r="E22" s="11583">
        <f>'WS-PS 2017'!W9</f>
        <v>4700</v>
      </c>
      <c r="F22" s="11583">
        <f>'WS-PS ACTUAL JUNE 2018'!U7</f>
        <v>2000</v>
      </c>
      <c r="G22" s="11581">
        <f t="shared" si="2"/>
        <v>4000</v>
      </c>
      <c r="H22" s="11583">
        <v>6000</v>
      </c>
      <c r="I22" s="11583"/>
      <c r="J22" s="11163"/>
      <c r="K22" s="11582">
        <f t="shared" si="1"/>
        <v>4800</v>
      </c>
      <c r="L22" s="7310">
        <f>1200*M12</f>
        <v>4800</v>
      </c>
    </row>
    <row r="23" spans="1:12" ht="15" customHeight="1">
      <c r="A23" s="11570"/>
      <c r="B23" s="7803" t="s">
        <v>29</v>
      </c>
      <c r="C23" s="7860"/>
      <c r="D23" s="10141">
        <v>50103030</v>
      </c>
      <c r="E23" s="11583">
        <f>'WS-PS 2017'!X9</f>
        <v>12800</v>
      </c>
      <c r="F23" s="11583">
        <f>'WS-PS ACTUAL JUNE 2018'!V7</f>
        <v>6670.78</v>
      </c>
      <c r="G23" s="11581">
        <f t="shared" si="2"/>
        <v>10729.220000000001</v>
      </c>
      <c r="H23" s="11583">
        <v>17400</v>
      </c>
      <c r="I23" s="11583"/>
      <c r="J23" s="11163"/>
      <c r="K23" s="11582">
        <v>23521.574999999997</v>
      </c>
      <c r="L23" s="7310">
        <f>3600*M12</f>
        <v>14400</v>
      </c>
    </row>
    <row r="24" spans="1:12" ht="15" customHeight="1">
      <c r="A24" s="11570"/>
      <c r="B24" s="7803" t="s">
        <v>30</v>
      </c>
      <c r="C24" s="7860"/>
      <c r="D24" s="10141">
        <v>50103040</v>
      </c>
      <c r="E24" s="11583">
        <f>'WS-PS 2017'!Y9</f>
        <v>4800</v>
      </c>
      <c r="F24" s="11583">
        <f>'WS-PS ACTUAL JUNE 2018'!W7</f>
        <v>2000</v>
      </c>
      <c r="G24" s="11581">
        <f t="shared" si="2"/>
        <v>4000</v>
      </c>
      <c r="H24" s="11583">
        <v>6000</v>
      </c>
      <c r="I24" s="11583"/>
      <c r="J24" s="11163"/>
      <c r="K24" s="11582">
        <f t="shared" si="1"/>
        <v>4800</v>
      </c>
      <c r="L24" s="11565">
        <f>L22</f>
        <v>4800</v>
      </c>
    </row>
    <row r="25" spans="1:12" ht="15" customHeight="1" thickBot="1">
      <c r="A25" s="11573"/>
      <c r="B25" s="7825" t="s">
        <v>37</v>
      </c>
      <c r="C25" s="8001"/>
      <c r="D25" s="11584"/>
      <c r="E25" s="11585">
        <f>SUM(E11:E24)</f>
        <v>1688809.25</v>
      </c>
      <c r="F25" s="11585">
        <f>SUM(F11:F24)</f>
        <v>716023.54</v>
      </c>
      <c r="G25" s="11585">
        <f>SUM(G11:G24)</f>
        <v>1690004.46</v>
      </c>
      <c r="H25" s="11586">
        <f>SUM(H11:H24)</f>
        <v>2406028</v>
      </c>
      <c r="I25" s="11586"/>
      <c r="J25" s="7327"/>
      <c r="K25" s="11587">
        <f>SUM(K11:K24)</f>
        <v>1798406.0549999999</v>
      </c>
      <c r="L25" s="11556">
        <f>SUM(L12:L24)</f>
        <v>1848619.88</v>
      </c>
    </row>
    <row r="26" spans="1:12" ht="15" customHeight="1">
      <c r="A26" s="8077"/>
      <c r="B26" s="8078"/>
      <c r="C26" s="10556"/>
      <c r="D26" s="8079"/>
      <c r="E26" s="8080"/>
      <c r="F26" s="8080"/>
      <c r="G26" s="9549"/>
      <c r="H26" s="8080"/>
      <c r="I26" s="8080"/>
      <c r="J26" s="7962"/>
      <c r="K26" s="8080"/>
    </row>
    <row r="27" spans="1:12" ht="15" customHeight="1">
      <c r="A27" s="7803"/>
      <c r="B27" s="7809"/>
      <c r="C27" s="7998"/>
      <c r="D27" s="7804"/>
      <c r="E27" s="7824"/>
      <c r="F27" s="7824"/>
      <c r="G27" s="9550"/>
      <c r="H27" s="7824"/>
      <c r="I27" s="7824"/>
      <c r="J27" s="7350"/>
      <c r="K27" s="7824"/>
    </row>
    <row r="28" spans="1:12" ht="15" customHeight="1">
      <c r="A28" s="7803"/>
      <c r="B28" s="7809"/>
      <c r="C28" s="7998"/>
      <c r="D28" s="7804"/>
      <c r="E28" s="7824"/>
      <c r="F28" s="7824"/>
      <c r="G28" s="9550"/>
      <c r="H28" s="7824"/>
      <c r="I28" s="7824"/>
      <c r="J28" s="7350"/>
      <c r="K28" s="7824"/>
    </row>
    <row r="29" spans="1:12" ht="15" customHeight="1">
      <c r="A29" s="7803"/>
      <c r="B29" s="7809"/>
      <c r="C29" s="7998"/>
      <c r="D29" s="7804"/>
      <c r="E29" s="7824"/>
      <c r="F29" s="7824"/>
      <c r="G29" s="9550"/>
      <c r="H29" s="7824"/>
      <c r="I29" s="7824"/>
      <c r="J29" s="7350"/>
      <c r="K29" s="7824"/>
    </row>
    <row r="30" spans="1:12" ht="15" customHeight="1">
      <c r="A30" s="7803"/>
      <c r="B30" s="7809"/>
      <c r="C30" s="7998"/>
      <c r="D30" s="7804"/>
      <c r="E30" s="7824"/>
      <c r="F30" s="7824"/>
      <c r="G30" s="9550"/>
      <c r="H30" s="7824"/>
      <c r="I30" s="7824"/>
      <c r="J30" s="7350"/>
      <c r="K30" s="7824"/>
    </row>
    <row r="31" spans="1:12" ht="15" customHeight="1">
      <c r="A31" s="7803"/>
      <c r="B31" s="7809"/>
      <c r="C31" s="7998"/>
      <c r="D31" s="7804"/>
      <c r="E31" s="7824"/>
      <c r="F31" s="7824"/>
      <c r="G31" s="9550"/>
      <c r="H31" s="7824"/>
      <c r="I31" s="7824"/>
      <c r="J31" s="7350"/>
      <c r="K31" s="7824"/>
    </row>
    <row r="32" spans="1:12" ht="15" customHeight="1">
      <c r="A32" s="7803"/>
      <c r="B32" s="7809"/>
      <c r="C32" s="7998"/>
      <c r="D32" s="7804"/>
      <c r="E32" s="7824"/>
      <c r="F32" s="7824"/>
      <c r="G32" s="9550"/>
      <c r="H32" s="7824"/>
      <c r="I32" s="7824"/>
      <c r="J32" s="7350"/>
      <c r="K32" s="7824"/>
    </row>
    <row r="33" spans="1:12" ht="15" customHeight="1">
      <c r="A33" s="7803"/>
      <c r="B33" s="7809"/>
      <c r="C33" s="7998"/>
      <c r="D33" s="7804"/>
      <c r="E33" s="7824"/>
      <c r="F33" s="7824"/>
      <c r="G33" s="9550"/>
      <c r="H33" s="7824"/>
      <c r="I33" s="7824"/>
      <c r="J33" s="7350"/>
      <c r="K33" s="7824"/>
    </row>
    <row r="34" spans="1:12" ht="15" customHeight="1">
      <c r="A34" s="7803"/>
      <c r="B34" s="7809"/>
      <c r="C34" s="7998"/>
      <c r="D34" s="7804"/>
      <c r="E34" s="7824"/>
      <c r="F34" s="7824"/>
      <c r="G34" s="9550"/>
      <c r="H34" s="7824"/>
      <c r="I34" s="7824"/>
      <c r="J34" s="7350"/>
      <c r="K34" s="7824"/>
    </row>
    <row r="35" spans="1:12" ht="15" customHeight="1">
      <c r="A35" s="7803"/>
      <c r="B35" s="7809"/>
      <c r="C35" s="7998"/>
      <c r="D35" s="7804"/>
      <c r="E35" s="7824"/>
      <c r="F35" s="7824"/>
      <c r="G35" s="9550"/>
      <c r="H35" s="7824"/>
      <c r="I35" s="7824"/>
      <c r="J35" s="7350"/>
      <c r="K35" s="7824"/>
    </row>
    <row r="36" spans="1:12" ht="15" customHeight="1">
      <c r="A36" s="7803"/>
      <c r="B36" s="7809"/>
      <c r="C36" s="7998"/>
      <c r="D36" s="7804"/>
      <c r="E36" s="7824"/>
      <c r="F36" s="7824"/>
      <c r="G36" s="9550"/>
      <c r="H36" s="7824"/>
      <c r="I36" s="7824"/>
      <c r="J36" s="7350"/>
      <c r="K36" s="7824"/>
    </row>
    <row r="37" spans="1:12" ht="15" customHeight="1">
      <c r="A37" s="7803"/>
      <c r="B37" s="7809"/>
      <c r="C37" s="7998"/>
      <c r="D37" s="7804"/>
      <c r="E37" s="7824"/>
      <c r="F37" s="7824"/>
      <c r="G37" s="9550"/>
      <c r="H37" s="7824"/>
      <c r="I37" s="7824"/>
      <c r="J37" s="7350"/>
      <c r="K37" s="7824"/>
    </row>
    <row r="38" spans="1:12" ht="15" customHeight="1" thickBot="1">
      <c r="A38" s="7805" t="s">
        <v>10792</v>
      </c>
      <c r="B38" s="7825"/>
      <c r="C38" s="8001"/>
      <c r="D38" s="7806"/>
      <c r="E38" s="7826"/>
      <c r="F38" s="7826"/>
      <c r="G38" s="9551"/>
      <c r="H38" s="7826"/>
      <c r="I38" s="7826"/>
      <c r="J38" s="7394"/>
      <c r="K38" s="7826"/>
    </row>
    <row r="39" spans="1:12" ht="15" customHeight="1">
      <c r="A39" s="11566"/>
      <c r="B39" s="10530"/>
      <c r="C39" s="10558"/>
      <c r="D39" s="11567" t="s">
        <v>9</v>
      </c>
      <c r="E39" s="11568" t="s">
        <v>78</v>
      </c>
      <c r="F39" s="14188" t="s">
        <v>10711</v>
      </c>
      <c r="G39" s="14189"/>
      <c r="H39" s="14190"/>
      <c r="I39" s="11568"/>
      <c r="J39" s="9462"/>
      <c r="K39" s="11569" t="s">
        <v>12</v>
      </c>
    </row>
    <row r="40" spans="1:12" ht="15" customHeight="1">
      <c r="A40" s="11570"/>
      <c r="B40" s="7808" t="s">
        <v>13</v>
      </c>
      <c r="C40" s="10554"/>
      <c r="D40" s="14581" t="s">
        <v>14</v>
      </c>
      <c r="E40" s="11571" t="s">
        <v>15</v>
      </c>
      <c r="F40" s="9502" t="s">
        <v>10709</v>
      </c>
      <c r="G40" s="11083" t="s">
        <v>10710</v>
      </c>
      <c r="H40" s="14191" t="s">
        <v>458</v>
      </c>
      <c r="I40" s="11571" t="s">
        <v>9985</v>
      </c>
      <c r="J40" s="11108"/>
      <c r="K40" s="11572" t="s">
        <v>16</v>
      </c>
    </row>
    <row r="41" spans="1:12" ht="15" customHeight="1" thickBot="1">
      <c r="A41" s="11573"/>
      <c r="B41" s="7827"/>
      <c r="C41" s="10555"/>
      <c r="D41" s="14582"/>
      <c r="E41" s="11574">
        <v>2017</v>
      </c>
      <c r="F41" s="9467" t="s">
        <v>457</v>
      </c>
      <c r="G41" s="11076" t="s">
        <v>456</v>
      </c>
      <c r="H41" s="14192"/>
      <c r="I41" s="11574">
        <v>2017</v>
      </c>
      <c r="J41" s="7322"/>
      <c r="K41" s="11575">
        <v>2019</v>
      </c>
    </row>
    <row r="42" spans="1:12" ht="15" customHeight="1">
      <c r="A42" s="11577"/>
      <c r="B42" s="7803" t="s">
        <v>38</v>
      </c>
      <c r="C42" s="7860"/>
      <c r="D42" s="10141"/>
      <c r="E42" s="11589"/>
      <c r="F42" s="11589"/>
      <c r="G42" s="11590"/>
      <c r="H42" s="11591"/>
      <c r="I42" s="11591"/>
      <c r="J42" s="11592"/>
      <c r="K42" s="11593"/>
    </row>
    <row r="43" spans="1:12" ht="15" customHeight="1">
      <c r="A43" s="11577"/>
      <c r="B43" s="7803" t="s">
        <v>391</v>
      </c>
      <c r="C43" s="7860"/>
      <c r="D43" s="10141">
        <v>50201010</v>
      </c>
      <c r="E43" s="11583">
        <f>'WS-MOOE 2017'!B9</f>
        <v>13492</v>
      </c>
      <c r="F43" s="11583">
        <f>'WS-MOOE ACTUAL JUNE 2018'!B8</f>
        <v>17490.32</v>
      </c>
      <c r="G43" s="11581">
        <f t="shared" ref="G43:G59" si="3">H43-F43</f>
        <v>76509.679999999993</v>
      </c>
      <c r="H43" s="10396">
        <v>94000</v>
      </c>
      <c r="I43" s="10396">
        <v>18290.32</v>
      </c>
      <c r="J43" s="10397">
        <f>I43/H43</f>
        <v>0.19457787234042553</v>
      </c>
      <c r="K43" s="11594">
        <v>90000</v>
      </c>
    </row>
    <row r="44" spans="1:12" ht="15" customHeight="1">
      <c r="A44" s="11577"/>
      <c r="B44" s="7803" t="s">
        <v>10324</v>
      </c>
      <c r="C44" s="7860"/>
      <c r="D44" s="10141">
        <v>50202010</v>
      </c>
      <c r="E44" s="11583"/>
      <c r="F44" s="11583">
        <f>'WS-MOOE ACTUAL JUNE 2018'!G8</f>
        <v>0</v>
      </c>
      <c r="G44" s="11581">
        <f t="shared" si="3"/>
        <v>80000</v>
      </c>
      <c r="H44" s="10396">
        <v>80000</v>
      </c>
      <c r="I44" s="10396">
        <v>0</v>
      </c>
      <c r="J44" s="10397">
        <f>I44/H44</f>
        <v>0</v>
      </c>
      <c r="K44" s="11594">
        <v>77600</v>
      </c>
    </row>
    <row r="45" spans="1:12" ht="15" customHeight="1">
      <c r="A45" s="11577"/>
      <c r="B45" s="7803" t="s">
        <v>392</v>
      </c>
      <c r="C45" s="7860"/>
      <c r="D45" s="10141">
        <v>50203010</v>
      </c>
      <c r="E45" s="11583"/>
      <c r="F45" s="11583">
        <f>'WS-MOOE ACTUAL JUNE 2018'!H8</f>
        <v>0</v>
      </c>
      <c r="G45" s="11581">
        <f t="shared" si="3"/>
        <v>400000</v>
      </c>
      <c r="H45" s="10396">
        <v>400000</v>
      </c>
      <c r="I45" s="10396">
        <v>85955</v>
      </c>
      <c r="J45" s="10397">
        <f>I45/H45</f>
        <v>0.21488750000000001</v>
      </c>
      <c r="K45" s="11594">
        <v>300000</v>
      </c>
    </row>
    <row r="46" spans="1:12" ht="15" hidden="1" customHeight="1">
      <c r="A46" s="11577"/>
      <c r="B46" s="7803" t="s">
        <v>393</v>
      </c>
      <c r="C46" s="7860"/>
      <c r="D46" s="10141">
        <v>50203090</v>
      </c>
      <c r="E46" s="11583"/>
      <c r="F46" s="11583"/>
      <c r="G46" s="11581">
        <f t="shared" si="3"/>
        <v>0</v>
      </c>
      <c r="H46" s="10396"/>
      <c r="I46" s="10396"/>
      <c r="J46" s="10397"/>
      <c r="K46" s="11594"/>
    </row>
    <row r="47" spans="1:12" ht="15" hidden="1" customHeight="1">
      <c r="A47" s="11577"/>
      <c r="B47" s="7803" t="s">
        <v>394</v>
      </c>
      <c r="C47" s="7860"/>
      <c r="D47" s="10141">
        <v>50204010</v>
      </c>
      <c r="E47" s="11583"/>
      <c r="F47" s="11583"/>
      <c r="G47" s="11581">
        <f t="shared" si="3"/>
        <v>0</v>
      </c>
      <c r="H47" s="10396"/>
      <c r="I47" s="10396"/>
      <c r="J47" s="10397"/>
      <c r="K47" s="11595"/>
      <c r="L47" s="11588">
        <v>15000</v>
      </c>
    </row>
    <row r="48" spans="1:12" ht="15" hidden="1" customHeight="1">
      <c r="A48" s="11577"/>
      <c r="B48" s="7803" t="s">
        <v>395</v>
      </c>
      <c r="C48" s="7860"/>
      <c r="D48" s="10141">
        <v>50204020</v>
      </c>
      <c r="E48" s="11583"/>
      <c r="F48" s="11583"/>
      <c r="G48" s="11581">
        <f t="shared" si="3"/>
        <v>0</v>
      </c>
      <c r="H48" s="10396"/>
      <c r="I48" s="10396"/>
      <c r="J48" s="10397"/>
      <c r="K48" s="11595"/>
      <c r="L48" s="11588">
        <v>24000</v>
      </c>
    </row>
    <row r="49" spans="1:13" ht="15" hidden="1" customHeight="1">
      <c r="A49" s="11577"/>
      <c r="B49" s="7803" t="s">
        <v>125</v>
      </c>
      <c r="C49" s="7860"/>
      <c r="D49" s="10141">
        <v>50205010</v>
      </c>
      <c r="E49" s="11583"/>
      <c r="F49" s="11583">
        <f>'WS-MOOE ACTUAL JUNE 2018'!U8</f>
        <v>0</v>
      </c>
      <c r="G49" s="11581">
        <f t="shared" si="3"/>
        <v>0</v>
      </c>
      <c r="H49" s="10396">
        <v>0</v>
      </c>
      <c r="I49" s="10396"/>
      <c r="J49" s="10397"/>
      <c r="K49" s="11594">
        <v>0</v>
      </c>
    </row>
    <row r="50" spans="1:13" ht="15" customHeight="1">
      <c r="A50" s="11577"/>
      <c r="B50" s="7803" t="s">
        <v>11061</v>
      </c>
      <c r="C50" s="7860"/>
      <c r="D50" s="11596">
        <v>50205020</v>
      </c>
      <c r="E50" s="11583">
        <f>'WS-MOOE 2017'!AA9+'WS-MOOE 2017'!AC9</f>
        <v>79897.56</v>
      </c>
      <c r="F50" s="11583">
        <f>'WS-MOOE ACTUAL JUNE 2018'!V8</f>
        <v>37339.19</v>
      </c>
      <c r="G50" s="11581">
        <f t="shared" si="3"/>
        <v>85060.81</v>
      </c>
      <c r="H50" s="10396">
        <v>122400</v>
      </c>
      <c r="I50" s="10396">
        <v>50414.18</v>
      </c>
      <c r="J50" s="10397">
        <f>I50/H50</f>
        <v>0.41188055555555558</v>
      </c>
      <c r="K50" s="11594">
        <v>114000</v>
      </c>
    </row>
    <row r="51" spans="1:13" ht="15" customHeight="1">
      <c r="A51" s="11577"/>
      <c r="B51" s="7488" t="s">
        <v>283</v>
      </c>
      <c r="C51" s="10078"/>
      <c r="D51" s="11353">
        <v>50205040</v>
      </c>
      <c r="E51" s="11583"/>
      <c r="F51" s="11583"/>
      <c r="G51" s="11581"/>
      <c r="H51" s="10396"/>
      <c r="I51" s="10396"/>
      <c r="J51" s="10397"/>
      <c r="K51" s="11594">
        <v>20000</v>
      </c>
    </row>
    <row r="52" spans="1:13" ht="15" customHeight="1">
      <c r="A52" s="11577"/>
      <c r="B52" s="7488" t="s">
        <v>10944</v>
      </c>
      <c r="C52" s="10078"/>
      <c r="D52" s="11258">
        <v>50211990</v>
      </c>
      <c r="E52" s="11583">
        <f>'WS-MOOE 2017'!AL9</f>
        <v>721608.19</v>
      </c>
      <c r="F52" s="11583">
        <f>'WS-MOOE ACTUAL JUNE 2018'!AF8</f>
        <v>314997</v>
      </c>
      <c r="G52" s="11581">
        <f>H52-F52</f>
        <v>765003</v>
      </c>
      <c r="H52" s="10396">
        <v>1080000</v>
      </c>
      <c r="I52" s="10396">
        <v>778497</v>
      </c>
      <c r="J52" s="10397">
        <f>I52/H52</f>
        <v>0.72083055555555553</v>
      </c>
      <c r="K52" s="11594">
        <v>1080000</v>
      </c>
    </row>
    <row r="53" spans="1:13" ht="15" customHeight="1">
      <c r="A53" s="11577"/>
      <c r="B53" s="7352" t="s">
        <v>10940</v>
      </c>
      <c r="C53" s="7860"/>
      <c r="D53" s="8872">
        <v>50212990</v>
      </c>
      <c r="E53" s="11583">
        <f>'WS-MOOE 2017'!AO9</f>
        <v>566140.06000000006</v>
      </c>
      <c r="F53" s="11583">
        <f>'WS-MOOE ACTUAL JUNE 2018'!AJ8</f>
        <v>247357.76</v>
      </c>
      <c r="G53" s="11581">
        <f t="shared" si="3"/>
        <v>723362.24</v>
      </c>
      <c r="H53" s="10396">
        <v>970720</v>
      </c>
      <c r="I53" s="10396">
        <v>380773.31</v>
      </c>
      <c r="J53" s="10397">
        <f>I53/H53</f>
        <v>0.39225864306906216</v>
      </c>
      <c r="K53" s="11594">
        <v>970720</v>
      </c>
    </row>
    <row r="54" spans="1:13" ht="15" hidden="1" customHeight="1">
      <c r="A54" s="11577"/>
      <c r="B54" s="7803" t="s">
        <v>11192</v>
      </c>
      <c r="C54" s="7860"/>
      <c r="D54" s="10141">
        <v>50213040</v>
      </c>
      <c r="E54" s="11583"/>
      <c r="F54" s="11583"/>
      <c r="G54" s="11581">
        <f t="shared" si="3"/>
        <v>0</v>
      </c>
      <c r="H54" s="10396"/>
      <c r="I54" s="10396"/>
      <c r="J54" s="10397" t="e">
        <f t="shared" ref="J54:J59" si="4">I54/H54</f>
        <v>#DIV/0!</v>
      </c>
      <c r="K54" s="11594"/>
      <c r="M54" s="7799"/>
    </row>
    <row r="55" spans="1:13" ht="15" customHeight="1">
      <c r="A55" s="11577"/>
      <c r="B55" s="7488" t="s">
        <v>10938</v>
      </c>
      <c r="C55" s="10078"/>
      <c r="D55" s="8872">
        <v>50213050</v>
      </c>
      <c r="E55" s="11583"/>
      <c r="F55" s="11583">
        <f>'WS-MOOE ACTUAL JUNE 2018'!AS8</f>
        <v>0</v>
      </c>
      <c r="G55" s="11581">
        <f t="shared" si="3"/>
        <v>40000</v>
      </c>
      <c r="H55" s="10396">
        <v>40000</v>
      </c>
      <c r="I55" s="10396">
        <v>0</v>
      </c>
      <c r="J55" s="10397">
        <f t="shared" si="4"/>
        <v>0</v>
      </c>
      <c r="K55" s="11594">
        <v>15000</v>
      </c>
    </row>
    <row r="56" spans="1:13" ht="15" hidden="1" customHeight="1">
      <c r="A56" s="11570"/>
      <c r="B56" s="7803" t="s">
        <v>402</v>
      </c>
      <c r="C56" s="7860"/>
      <c r="D56" s="10141">
        <v>892</v>
      </c>
      <c r="E56" s="11583"/>
      <c r="F56" s="11583"/>
      <c r="G56" s="11581">
        <f t="shared" si="3"/>
        <v>0</v>
      </c>
      <c r="H56" s="10396"/>
      <c r="I56" s="10396"/>
      <c r="J56" s="10397" t="e">
        <f t="shared" si="4"/>
        <v>#DIV/0!</v>
      </c>
      <c r="K56" s="11594"/>
    </row>
    <row r="57" spans="1:13" ht="15" customHeight="1">
      <c r="A57" s="11570"/>
      <c r="B57" s="7803" t="s">
        <v>10672</v>
      </c>
      <c r="C57" s="7860"/>
      <c r="D57" s="10141">
        <v>50299030</v>
      </c>
      <c r="E57" s="10563"/>
      <c r="F57" s="11597">
        <f>'WS-MOOE ACTUAL JUNE 2018'!BE8</f>
        <v>0</v>
      </c>
      <c r="G57" s="11581">
        <f>H57-F57</f>
        <v>300000</v>
      </c>
      <c r="H57" s="10396">
        <v>300000</v>
      </c>
      <c r="I57" s="10396">
        <v>135000</v>
      </c>
      <c r="J57" s="10397">
        <f t="shared" si="4"/>
        <v>0.45</v>
      </c>
      <c r="K57" s="11598">
        <v>417000</v>
      </c>
    </row>
    <row r="58" spans="1:13" ht="15" customHeight="1">
      <c r="A58" s="11577"/>
      <c r="B58" s="7803" t="s">
        <v>128</v>
      </c>
      <c r="C58" s="7860"/>
      <c r="D58" s="11596">
        <v>50299070</v>
      </c>
      <c r="E58" s="10278"/>
      <c r="F58" s="11583">
        <f>'WS-MOOE ACTUAL JUNE 2018'!BF8</f>
        <v>6820</v>
      </c>
      <c r="G58" s="11581">
        <f>H58-F58</f>
        <v>23180</v>
      </c>
      <c r="H58" s="10396">
        <v>30000</v>
      </c>
      <c r="I58" s="10396">
        <v>10010</v>
      </c>
      <c r="J58" s="10397">
        <f t="shared" si="4"/>
        <v>0.33366666666666667</v>
      </c>
      <c r="K58" s="11594">
        <v>15660</v>
      </c>
    </row>
    <row r="59" spans="1:13" ht="15" customHeight="1">
      <c r="A59" s="11570"/>
      <c r="B59" s="7803" t="s">
        <v>10323</v>
      </c>
      <c r="C59" s="7860"/>
      <c r="D59" s="10141">
        <v>50299990</v>
      </c>
      <c r="E59" s="10235"/>
      <c r="F59" s="10234">
        <f>'WS-MOOE ACTUAL JUNE 2018'!BI8</f>
        <v>0</v>
      </c>
      <c r="G59" s="11599">
        <f t="shared" si="3"/>
        <v>210000</v>
      </c>
      <c r="H59" s="10564">
        <v>210000</v>
      </c>
      <c r="I59" s="10564">
        <v>0</v>
      </c>
      <c r="J59" s="10397">
        <f t="shared" si="4"/>
        <v>0</v>
      </c>
      <c r="K59" s="11600">
        <v>112900</v>
      </c>
    </row>
    <row r="60" spans="1:13" ht="15" customHeight="1">
      <c r="A60" s="11570"/>
      <c r="B60" s="7809" t="s">
        <v>37</v>
      </c>
      <c r="C60" s="7998"/>
      <c r="D60" s="10141"/>
      <c r="E60" s="9540">
        <f>SUM(E43:E59)</f>
        <v>1381137.81</v>
      </c>
      <c r="F60" s="11601">
        <f>SUM(F43:F59)</f>
        <v>624004.27</v>
      </c>
      <c r="G60" s="11601">
        <f>SUM(G43:G59)</f>
        <v>2703115.73</v>
      </c>
      <c r="H60" s="11602">
        <f>SUM(H43:H59)</f>
        <v>3327120</v>
      </c>
      <c r="I60" s="11602">
        <f>SUM(I43:I59)</f>
        <v>1458939.81</v>
      </c>
      <c r="J60" s="11603">
        <f>I60/H60</f>
        <v>0.43849930570583567</v>
      </c>
      <c r="K60" s="11604">
        <f>SUM(K43:K59)</f>
        <v>3212880</v>
      </c>
      <c r="L60" s="10398">
        <f>(K60-H60)/H60</f>
        <v>-3.4336002308302679E-2</v>
      </c>
      <c r="M60" s="8867"/>
    </row>
    <row r="61" spans="1:13" ht="15" customHeight="1">
      <c r="A61" s="11570"/>
      <c r="B61" s="7803"/>
      <c r="C61" s="7860"/>
      <c r="D61" s="10141"/>
      <c r="E61" s="11605"/>
      <c r="F61" s="11606"/>
      <c r="G61" s="11607"/>
      <c r="H61" s="11608"/>
      <c r="I61" s="11608"/>
      <c r="J61" s="11503"/>
      <c r="K61" s="11609"/>
    </row>
    <row r="62" spans="1:13" ht="15" customHeight="1">
      <c r="A62" s="11577" t="s">
        <v>51</v>
      </c>
      <c r="B62" s="7803" t="s">
        <v>52</v>
      </c>
      <c r="C62" s="7860"/>
      <c r="D62" s="10141"/>
      <c r="E62" s="11610"/>
      <c r="F62" s="11610"/>
      <c r="G62" s="11611"/>
      <c r="H62" s="11583"/>
      <c r="I62" s="11583"/>
      <c r="J62" s="11163"/>
      <c r="K62" s="11612"/>
    </row>
    <row r="63" spans="1:13" ht="15" customHeight="1">
      <c r="A63" s="11577"/>
      <c r="B63" s="7803" t="s">
        <v>122</v>
      </c>
      <c r="C63" s="7860"/>
      <c r="D63" s="10141"/>
      <c r="E63" s="11610"/>
      <c r="F63" s="11610"/>
      <c r="G63" s="11613">
        <f>H63-F63</f>
        <v>1029000</v>
      </c>
      <c r="H63" s="11583">
        <v>1029000</v>
      </c>
      <c r="I63" s="11583">
        <v>960387</v>
      </c>
      <c r="J63" s="10397">
        <f>I63/H63</f>
        <v>0.93332069970845477</v>
      </c>
      <c r="K63" s="11612">
        <v>1000000</v>
      </c>
    </row>
    <row r="64" spans="1:13" ht="15" customHeight="1">
      <c r="A64" s="11577"/>
      <c r="B64" s="7803" t="s">
        <v>10945</v>
      </c>
      <c r="C64" s="7860"/>
      <c r="D64" s="10141"/>
      <c r="E64" s="11614"/>
      <c r="F64" s="11614"/>
      <c r="G64" s="11611"/>
      <c r="H64" s="11583"/>
      <c r="I64" s="11583"/>
      <c r="J64" s="11163"/>
      <c r="K64" s="11612">
        <v>100000</v>
      </c>
    </row>
    <row r="65" spans="1:14" s="7811" customFormat="1" ht="15" customHeight="1">
      <c r="A65" s="11615"/>
      <c r="B65" s="7809" t="s">
        <v>37</v>
      </c>
      <c r="C65" s="7998"/>
      <c r="D65" s="11616"/>
      <c r="E65" s="11617">
        <f>SUM(E64:E64)</f>
        <v>0</v>
      </c>
      <c r="F65" s="11618">
        <f>SUM(F64:F64)</f>
        <v>0</v>
      </c>
      <c r="G65" s="11618">
        <f>SUM(G61:G64)</f>
        <v>1029000</v>
      </c>
      <c r="H65" s="11601">
        <f>SUM(H63:H64)</f>
        <v>1029000</v>
      </c>
      <c r="I65" s="11601">
        <f>SUM(I63:I64)</f>
        <v>960387</v>
      </c>
      <c r="J65" s="11206"/>
      <c r="K65" s="11619">
        <f>SUM(K63:K64)</f>
        <v>1100000</v>
      </c>
      <c r="L65" s="10398">
        <f>(K65-H65)/H65</f>
        <v>6.8999028182701649E-2</v>
      </c>
      <c r="M65" s="10242"/>
    </row>
    <row r="66" spans="1:14" ht="15" customHeight="1">
      <c r="A66" s="11577" t="s">
        <v>53</v>
      </c>
      <c r="B66" s="7803" t="s">
        <v>54</v>
      </c>
      <c r="C66" s="7860"/>
      <c r="D66" s="10141"/>
      <c r="E66" s="11620"/>
      <c r="F66" s="11621"/>
      <c r="G66" s="11607"/>
      <c r="H66" s="11622"/>
      <c r="I66" s="11622"/>
      <c r="J66" s="11623"/>
      <c r="K66" s="11624"/>
      <c r="L66" s="7810"/>
      <c r="M66" s="10259"/>
      <c r="N66" s="8086"/>
    </row>
    <row r="67" spans="1:14" ht="15" hidden="1" customHeight="1">
      <c r="A67" s="11577"/>
      <c r="B67" s="7803" t="s">
        <v>11062</v>
      </c>
      <c r="C67" s="7860"/>
      <c r="D67" s="10141"/>
      <c r="E67" s="11625"/>
      <c r="F67" s="11614"/>
      <c r="G67" s="11611"/>
      <c r="H67" s="11199"/>
      <c r="I67" s="11199"/>
      <c r="J67" s="11413"/>
      <c r="K67" s="11626"/>
      <c r="L67" s="7483">
        <v>4304400</v>
      </c>
      <c r="M67" s="10259"/>
      <c r="N67" s="8086"/>
    </row>
    <row r="68" spans="1:14" ht="15" hidden="1" customHeight="1">
      <c r="A68" s="11577"/>
      <c r="B68" s="7803" t="s">
        <v>11063</v>
      </c>
      <c r="C68" s="7860"/>
      <c r="D68" s="10141"/>
      <c r="E68" s="11625"/>
      <c r="F68" s="11614"/>
      <c r="G68" s="11611"/>
      <c r="H68" s="11199"/>
      <c r="I68" s="11199"/>
      <c r="J68" s="11413"/>
      <c r="K68" s="11626"/>
      <c r="L68" s="7483">
        <v>2000000</v>
      </c>
      <c r="M68" s="10259"/>
      <c r="N68" s="8086"/>
    </row>
    <row r="69" spans="1:14" ht="15" hidden="1" customHeight="1">
      <c r="A69" s="11577"/>
      <c r="B69" s="8859" t="s">
        <v>11064</v>
      </c>
      <c r="C69" s="10557"/>
      <c r="D69" s="10141"/>
      <c r="E69" s="11625"/>
      <c r="F69" s="11614"/>
      <c r="G69" s="11611"/>
      <c r="H69" s="11199"/>
      <c r="I69" s="11199"/>
      <c r="J69" s="11413"/>
      <c r="K69" s="11626"/>
      <c r="L69" s="7483">
        <v>1688400</v>
      </c>
      <c r="M69" s="10259"/>
      <c r="N69" s="8086"/>
    </row>
    <row r="70" spans="1:14" ht="15" hidden="1" customHeight="1">
      <c r="A70" s="11577"/>
      <c r="B70" s="7803" t="s">
        <v>11060</v>
      </c>
      <c r="C70" s="7860"/>
      <c r="D70" s="10141"/>
      <c r="E70" s="11625"/>
      <c r="F70" s="11614"/>
      <c r="G70" s="11611"/>
      <c r="H70" s="11199"/>
      <c r="I70" s="11199"/>
      <c r="J70" s="11413"/>
      <c r="K70" s="11626"/>
      <c r="L70" s="7483">
        <v>50000</v>
      </c>
      <c r="M70" s="10259"/>
      <c r="N70" s="8086"/>
    </row>
    <row r="71" spans="1:14" s="8084" customFormat="1" ht="15" customHeight="1">
      <c r="A71" s="11627"/>
      <c r="B71" s="11628" t="s">
        <v>11681</v>
      </c>
      <c r="C71" s="11629"/>
      <c r="D71" s="11630">
        <v>1995</v>
      </c>
      <c r="E71" s="11631">
        <v>7219378.5</v>
      </c>
      <c r="F71" s="11632">
        <v>1735035</v>
      </c>
      <c r="G71" s="11613">
        <f>H71-F71</f>
        <v>6307765</v>
      </c>
      <c r="H71" s="11474">
        <v>8042800</v>
      </c>
      <c r="I71" s="11632">
        <v>5422442</v>
      </c>
      <c r="J71" s="11061">
        <f>I71/H71</f>
        <v>0.67419828915303126</v>
      </c>
      <c r="K71" s="11633">
        <v>8000000</v>
      </c>
      <c r="L71" s="11557"/>
      <c r="M71" s="11558"/>
      <c r="N71" s="8085"/>
    </row>
    <row r="72" spans="1:14" s="11564" customFormat="1" ht="15" hidden="1" customHeight="1">
      <c r="A72" s="11634"/>
      <c r="B72" s="11635" t="s">
        <v>11807</v>
      </c>
      <c r="C72" s="11636">
        <f>1141360+1172800+376320+1613920</f>
        <v>4304400</v>
      </c>
      <c r="D72" s="11559"/>
      <c r="E72" s="11560"/>
      <c r="F72" s="11637"/>
      <c r="G72" s="11638"/>
      <c r="H72" s="11639"/>
      <c r="I72" s="11637"/>
      <c r="J72" s="11640"/>
      <c r="K72" s="11641"/>
      <c r="L72" s="11561">
        <f>SUM(C72:C75)</f>
        <v>8000000</v>
      </c>
      <c r="M72" s="11562"/>
      <c r="N72" s="11563"/>
    </row>
    <row r="73" spans="1:14" s="11564" customFormat="1" ht="15" hidden="1" customHeight="1">
      <c r="A73" s="11634"/>
      <c r="B73" s="11635" t="s">
        <v>11063</v>
      </c>
      <c r="C73" s="11636">
        <f>1500000+500000</f>
        <v>2000000</v>
      </c>
      <c r="D73" s="11559"/>
      <c r="E73" s="11560"/>
      <c r="F73" s="11637"/>
      <c r="G73" s="11638"/>
      <c r="H73" s="11639"/>
      <c r="I73" s="11637"/>
      <c r="J73" s="11640"/>
      <c r="K73" s="11641"/>
      <c r="L73" s="11561"/>
      <c r="M73" s="11562"/>
      <c r="N73" s="11563"/>
    </row>
    <row r="74" spans="1:14" s="11564" customFormat="1" ht="15" hidden="1" customHeight="1">
      <c r="A74" s="11634"/>
      <c r="B74" s="11635" t="s">
        <v>11808</v>
      </c>
      <c r="C74" s="11636">
        <v>1000000</v>
      </c>
      <c r="D74" s="11559"/>
      <c r="E74" s="11560"/>
      <c r="F74" s="11637"/>
      <c r="G74" s="11638"/>
      <c r="H74" s="11639"/>
      <c r="I74" s="11637"/>
      <c r="J74" s="11640"/>
      <c r="K74" s="11641"/>
      <c r="L74" s="11561"/>
      <c r="M74" s="11562"/>
      <c r="N74" s="11563"/>
    </row>
    <row r="75" spans="1:14" s="11564" customFormat="1" ht="15" hidden="1" customHeight="1">
      <c r="A75" s="11634"/>
      <c r="B75" s="11635" t="s">
        <v>11789</v>
      </c>
      <c r="C75" s="11636">
        <v>695600</v>
      </c>
      <c r="D75" s="11559"/>
      <c r="E75" s="11560"/>
      <c r="F75" s="11637"/>
      <c r="G75" s="11638"/>
      <c r="H75" s="11639"/>
      <c r="I75" s="11637"/>
      <c r="J75" s="11640"/>
      <c r="K75" s="11641"/>
      <c r="L75" s="11561"/>
      <c r="M75" s="11562"/>
      <c r="N75" s="11563"/>
    </row>
    <row r="76" spans="1:14" s="7811" customFormat="1" ht="15" customHeight="1">
      <c r="A76" s="11642"/>
      <c r="B76" s="11643" t="s">
        <v>4680</v>
      </c>
      <c r="C76" s="11203"/>
      <c r="D76" s="11616"/>
      <c r="E76" s="9540">
        <f>E71</f>
        <v>7219378.5</v>
      </c>
      <c r="F76" s="9540">
        <f>F71</f>
        <v>1735035</v>
      </c>
      <c r="G76" s="9540">
        <f>G71</f>
        <v>6307765</v>
      </c>
      <c r="H76" s="9540">
        <f>H71</f>
        <v>8042800</v>
      </c>
      <c r="I76" s="9540"/>
      <c r="J76" s="9466"/>
      <c r="K76" s="11644">
        <f>SUM(K67:K75)</f>
        <v>8000000</v>
      </c>
      <c r="L76" s="10398">
        <f>(K76-H76)/H76</f>
        <v>-5.3215298154871441E-3</v>
      </c>
      <c r="M76" s="10242"/>
    </row>
    <row r="77" spans="1:14" s="7811" customFormat="1" ht="15" customHeight="1">
      <c r="A77" s="11645"/>
      <c r="B77" s="11646"/>
      <c r="C77" s="11647"/>
      <c r="D77" s="11648"/>
      <c r="E77" s="11601"/>
      <c r="F77" s="11601"/>
      <c r="G77" s="11601"/>
      <c r="H77" s="11601"/>
      <c r="I77" s="11601"/>
      <c r="J77" s="11206"/>
      <c r="K77" s="11619"/>
      <c r="M77" s="10242"/>
    </row>
    <row r="78" spans="1:14" ht="15" customHeight="1" thickBot="1">
      <c r="A78" s="11649"/>
      <c r="B78" s="11650" t="s">
        <v>55</v>
      </c>
      <c r="C78" s="11651"/>
      <c r="D78" s="11652"/>
      <c r="E78" s="11586">
        <f>(E25+E60+E76+E65)</f>
        <v>10289325.560000001</v>
      </c>
      <c r="F78" s="11586">
        <f>(F25+F60+F76+F65)</f>
        <v>3075062.81</v>
      </c>
      <c r="G78" s="11586">
        <f>(G25+G60+G76+G65)</f>
        <v>11729885.189999999</v>
      </c>
      <c r="H78" s="11586">
        <f>H76+H65+H60+H25</f>
        <v>14804948</v>
      </c>
      <c r="I78" s="11586">
        <f>I60</f>
        <v>1458939.81</v>
      </c>
      <c r="J78" s="7327">
        <f>I78/H78</f>
        <v>9.8544068510068389E-2</v>
      </c>
      <c r="K78" s="11587">
        <f>K76+K65+K60+K25</f>
        <v>14111286.055</v>
      </c>
      <c r="L78" s="10398">
        <f>(K78-H78)/H78</f>
        <v>-4.6853386111183927E-2</v>
      </c>
    </row>
    <row r="79" spans="1:14" s="7333" customFormat="1" ht="15" customHeight="1">
      <c r="A79" s="7812" t="s">
        <v>4763</v>
      </c>
      <c r="B79" s="7812"/>
      <c r="C79" s="7989"/>
      <c r="D79" s="7813"/>
      <c r="E79" s="7812"/>
      <c r="F79" s="7812"/>
      <c r="G79" s="9519"/>
      <c r="J79" s="7816"/>
      <c r="M79" s="7842"/>
    </row>
    <row r="80" spans="1:14" s="7333" customFormat="1" ht="15" customHeight="1">
      <c r="A80" s="7812"/>
      <c r="B80" s="7812"/>
      <c r="C80" s="7989"/>
      <c r="D80" s="7813"/>
      <c r="E80" s="7812"/>
      <c r="F80" s="7812"/>
      <c r="G80" s="9519"/>
      <c r="J80" s="7816"/>
      <c r="K80" s="8860"/>
      <c r="M80" s="7842"/>
    </row>
    <row r="81" spans="1:13" ht="15" hidden="1" customHeight="1">
      <c r="A81" s="7761" t="s">
        <v>3483</v>
      </c>
      <c r="B81" s="7761"/>
      <c r="C81" s="7990"/>
      <c r="D81" s="10870" t="s">
        <v>3484</v>
      </c>
      <c r="F81" s="7761"/>
      <c r="G81" s="9459" t="s">
        <v>10666</v>
      </c>
      <c r="I81" s="7310"/>
      <c r="K81" s="7310"/>
    </row>
    <row r="82" spans="1:13" s="7811" customFormat="1" ht="15" hidden="1" customHeight="1">
      <c r="A82" s="7761"/>
      <c r="B82" s="7761"/>
      <c r="C82" s="7990"/>
      <c r="E82" s="10870"/>
      <c r="F82" s="7761"/>
      <c r="G82" s="9531"/>
      <c r="H82" s="7339"/>
      <c r="I82" s="7310"/>
      <c r="J82" s="7348"/>
      <c r="K82" s="7310"/>
      <c r="M82" s="10242"/>
    </row>
    <row r="83" spans="1:13" ht="15" hidden="1" customHeight="1">
      <c r="A83" s="7761"/>
      <c r="B83" s="7761"/>
      <c r="C83" s="7990"/>
      <c r="D83" s="7799"/>
      <c r="E83" s="10870"/>
      <c r="F83" s="7761"/>
      <c r="G83" s="9531"/>
      <c r="H83" s="7339"/>
      <c r="I83" s="7310"/>
      <c r="K83" s="7310"/>
    </row>
    <row r="84" spans="1:13" ht="15" hidden="1" customHeight="1">
      <c r="A84" s="14167" t="s">
        <v>10793</v>
      </c>
      <c r="B84" s="14167"/>
      <c r="C84" s="10559"/>
      <c r="D84" s="7799"/>
      <c r="E84" s="9604" t="s">
        <v>12059</v>
      </c>
      <c r="F84" s="7765"/>
      <c r="G84" s="9552"/>
      <c r="H84" s="7342" t="s">
        <v>9154</v>
      </c>
      <c r="I84" s="7502"/>
      <c r="J84" s="7381"/>
      <c r="K84" s="7502"/>
    </row>
    <row r="85" spans="1:13" ht="15" hidden="1" customHeight="1">
      <c r="A85" s="7767" t="s">
        <v>12064</v>
      </c>
      <c r="D85" s="7799"/>
      <c r="E85" s="7761" t="s">
        <v>10347</v>
      </c>
      <c r="F85" s="7821"/>
      <c r="G85" s="9553"/>
      <c r="H85" s="7344" t="s">
        <v>10665</v>
      </c>
      <c r="I85" s="7761"/>
      <c r="J85" s="7761"/>
      <c r="K85" s="7761"/>
    </row>
    <row r="86" spans="1:13" ht="15" customHeight="1">
      <c r="I86" s="8861">
        <f>K78-H78</f>
        <v>-693661.9450000003</v>
      </c>
      <c r="J86" s="7381">
        <f>I86/H78</f>
        <v>-4.6853386111183927E-2</v>
      </c>
      <c r="K86" s="7811"/>
    </row>
    <row r="87" spans="1:13" ht="15" customHeight="1">
      <c r="I87" s="7811"/>
      <c r="J87" s="7381"/>
      <c r="K87" s="7811"/>
    </row>
  </sheetData>
  <mergeCells count="9">
    <mergeCell ref="A84:B84"/>
    <mergeCell ref="D7:D8"/>
    <mergeCell ref="A1:K1"/>
    <mergeCell ref="F6:H6"/>
    <mergeCell ref="H7:H8"/>
    <mergeCell ref="F39:H39"/>
    <mergeCell ref="D40:D41"/>
    <mergeCell ref="H40:H41"/>
    <mergeCell ref="K3:K4"/>
  </mergeCells>
  <printOptions horizontalCentered="1" gridLinesSet="0"/>
  <pageMargins left="0.25" right="0.25" top="0.5" bottom="0.25" header="0.25" footer="0.25"/>
  <pageSetup paperSize="119" firstPageNumber="36" orientation="landscape" useFirstPageNumber="1" r:id="rId1"/>
  <headerFooter alignWithMargins="0"/>
</worksheet>
</file>

<file path=xl/worksheets/sheet57.xml><?xml version="1.0" encoding="utf-8"?>
<worksheet xmlns="http://schemas.openxmlformats.org/spreadsheetml/2006/main" xmlns:r="http://schemas.openxmlformats.org/officeDocument/2006/relationships">
  <sheetPr codeName="Sheet91">
    <tabColor rgb="FFFFFF00"/>
  </sheetPr>
  <dimension ref="A1:J59"/>
  <sheetViews>
    <sheetView workbookViewId="0">
      <selection activeCell="G2" sqref="G1:O1048576"/>
    </sheetView>
  </sheetViews>
  <sheetFormatPr defaultRowHeight="12.9" customHeight="1"/>
  <cols>
    <col min="1" max="1" width="40.5546875" style="7001" customWidth="1"/>
    <col min="2" max="3" width="8.5546875" style="7001" customWidth="1"/>
    <col min="4" max="4" width="27.109375" style="7001" hidden="1" customWidth="1"/>
    <col min="5" max="7" width="14.5546875" style="7001" customWidth="1"/>
    <col min="8" max="9" width="8.88671875" style="7001" customWidth="1"/>
    <col min="10" max="10" width="13.88671875" style="7001" customWidth="1"/>
    <col min="11" max="14" width="8.88671875" style="7001" customWidth="1"/>
    <col min="15" max="256" width="9.109375" style="7001"/>
    <col min="257" max="257" width="33.44140625" style="7001" customWidth="1"/>
    <col min="258" max="258" width="7.44140625" style="7001" customWidth="1"/>
    <col min="259" max="259" width="7" style="7001" customWidth="1"/>
    <col min="260" max="260" width="0" style="7001" hidden="1" customWidth="1"/>
    <col min="261" max="261" width="10.109375" style="7001" customWidth="1"/>
    <col min="262" max="262" width="14.44140625" style="7001" customWidth="1"/>
    <col min="263" max="263" width="17.109375" style="7001" customWidth="1"/>
    <col min="264" max="512" width="9.109375" style="7001"/>
    <col min="513" max="513" width="33.44140625" style="7001" customWidth="1"/>
    <col min="514" max="514" width="7.44140625" style="7001" customWidth="1"/>
    <col min="515" max="515" width="7" style="7001" customWidth="1"/>
    <col min="516" max="516" width="0" style="7001" hidden="1" customWidth="1"/>
    <col min="517" max="517" width="10.109375" style="7001" customWidth="1"/>
    <col min="518" max="518" width="14.44140625" style="7001" customWidth="1"/>
    <col min="519" max="519" width="17.109375" style="7001" customWidth="1"/>
    <col min="520" max="768" width="9.109375" style="7001"/>
    <col min="769" max="769" width="33.44140625" style="7001" customWidth="1"/>
    <col min="770" max="770" width="7.44140625" style="7001" customWidth="1"/>
    <col min="771" max="771" width="7" style="7001" customWidth="1"/>
    <col min="772" max="772" width="0" style="7001" hidden="1" customWidth="1"/>
    <col min="773" max="773" width="10.109375" style="7001" customWidth="1"/>
    <col min="774" max="774" width="14.44140625" style="7001" customWidth="1"/>
    <col min="775" max="775" width="17.109375" style="7001" customWidth="1"/>
    <col min="776" max="1024" width="9.109375" style="7001"/>
    <col min="1025" max="1025" width="33.44140625" style="7001" customWidth="1"/>
    <col min="1026" max="1026" width="7.44140625" style="7001" customWidth="1"/>
    <col min="1027" max="1027" width="7" style="7001" customWidth="1"/>
    <col min="1028" max="1028" width="0" style="7001" hidden="1" customWidth="1"/>
    <col min="1029" max="1029" width="10.109375" style="7001" customWidth="1"/>
    <col min="1030" max="1030" width="14.44140625" style="7001" customWidth="1"/>
    <col min="1031" max="1031" width="17.109375" style="7001" customWidth="1"/>
    <col min="1032" max="1280" width="9.109375" style="7001"/>
    <col min="1281" max="1281" width="33.44140625" style="7001" customWidth="1"/>
    <col min="1282" max="1282" width="7.44140625" style="7001" customWidth="1"/>
    <col min="1283" max="1283" width="7" style="7001" customWidth="1"/>
    <col min="1284" max="1284" width="0" style="7001" hidden="1" customWidth="1"/>
    <col min="1285" max="1285" width="10.109375" style="7001" customWidth="1"/>
    <col min="1286" max="1286" width="14.44140625" style="7001" customWidth="1"/>
    <col min="1287" max="1287" width="17.109375" style="7001" customWidth="1"/>
    <col min="1288" max="1536" width="9.109375" style="7001"/>
    <col min="1537" max="1537" width="33.44140625" style="7001" customWidth="1"/>
    <col min="1538" max="1538" width="7.44140625" style="7001" customWidth="1"/>
    <col min="1539" max="1539" width="7" style="7001" customWidth="1"/>
    <col min="1540" max="1540" width="0" style="7001" hidden="1" customWidth="1"/>
    <col min="1541" max="1541" width="10.109375" style="7001" customWidth="1"/>
    <col min="1542" max="1542" width="14.44140625" style="7001" customWidth="1"/>
    <col min="1543" max="1543" width="17.109375" style="7001" customWidth="1"/>
    <col min="1544" max="1792" width="9.109375" style="7001"/>
    <col min="1793" max="1793" width="33.44140625" style="7001" customWidth="1"/>
    <col min="1794" max="1794" width="7.44140625" style="7001" customWidth="1"/>
    <col min="1795" max="1795" width="7" style="7001" customWidth="1"/>
    <col min="1796" max="1796" width="0" style="7001" hidden="1" customWidth="1"/>
    <col min="1797" max="1797" width="10.109375" style="7001" customWidth="1"/>
    <col min="1798" max="1798" width="14.44140625" style="7001" customWidth="1"/>
    <col min="1799" max="1799" width="17.109375" style="7001" customWidth="1"/>
    <col min="1800" max="2048" width="9.109375" style="7001"/>
    <col min="2049" max="2049" width="33.44140625" style="7001" customWidth="1"/>
    <col min="2050" max="2050" width="7.44140625" style="7001" customWidth="1"/>
    <col min="2051" max="2051" width="7" style="7001" customWidth="1"/>
    <col min="2052" max="2052" width="0" style="7001" hidden="1" customWidth="1"/>
    <col min="2053" max="2053" width="10.109375" style="7001" customWidth="1"/>
    <col min="2054" max="2054" width="14.44140625" style="7001" customWidth="1"/>
    <col min="2055" max="2055" width="17.109375" style="7001" customWidth="1"/>
    <col min="2056" max="2304" width="9.109375" style="7001"/>
    <col min="2305" max="2305" width="33.44140625" style="7001" customWidth="1"/>
    <col min="2306" max="2306" width="7.44140625" style="7001" customWidth="1"/>
    <col min="2307" max="2307" width="7" style="7001" customWidth="1"/>
    <col min="2308" max="2308" width="0" style="7001" hidden="1" customWidth="1"/>
    <col min="2309" max="2309" width="10.109375" style="7001" customWidth="1"/>
    <col min="2310" max="2310" width="14.44140625" style="7001" customWidth="1"/>
    <col min="2311" max="2311" width="17.109375" style="7001" customWidth="1"/>
    <col min="2312" max="2560" width="9.109375" style="7001"/>
    <col min="2561" max="2561" width="33.44140625" style="7001" customWidth="1"/>
    <col min="2562" max="2562" width="7.44140625" style="7001" customWidth="1"/>
    <col min="2563" max="2563" width="7" style="7001" customWidth="1"/>
    <col min="2564" max="2564" width="0" style="7001" hidden="1" customWidth="1"/>
    <col min="2565" max="2565" width="10.109375" style="7001" customWidth="1"/>
    <col min="2566" max="2566" width="14.44140625" style="7001" customWidth="1"/>
    <col min="2567" max="2567" width="17.109375" style="7001" customWidth="1"/>
    <col min="2568" max="2816" width="9.109375" style="7001"/>
    <col min="2817" max="2817" width="33.44140625" style="7001" customWidth="1"/>
    <col min="2818" max="2818" width="7.44140625" style="7001" customWidth="1"/>
    <col min="2819" max="2819" width="7" style="7001" customWidth="1"/>
    <col min="2820" max="2820" width="0" style="7001" hidden="1" customWidth="1"/>
    <col min="2821" max="2821" width="10.109375" style="7001" customWidth="1"/>
    <col min="2822" max="2822" width="14.44140625" style="7001" customWidth="1"/>
    <col min="2823" max="2823" width="17.109375" style="7001" customWidth="1"/>
    <col min="2824" max="3072" width="9.109375" style="7001"/>
    <col min="3073" max="3073" width="33.44140625" style="7001" customWidth="1"/>
    <col min="3074" max="3074" width="7.44140625" style="7001" customWidth="1"/>
    <col min="3075" max="3075" width="7" style="7001" customWidth="1"/>
    <col min="3076" max="3076" width="0" style="7001" hidden="1" customWidth="1"/>
    <col min="3077" max="3077" width="10.109375" style="7001" customWidth="1"/>
    <col min="3078" max="3078" width="14.44140625" style="7001" customWidth="1"/>
    <col min="3079" max="3079" width="17.109375" style="7001" customWidth="1"/>
    <col min="3080" max="3328" width="9.109375" style="7001"/>
    <col min="3329" max="3329" width="33.44140625" style="7001" customWidth="1"/>
    <col min="3330" max="3330" width="7.44140625" style="7001" customWidth="1"/>
    <col min="3331" max="3331" width="7" style="7001" customWidth="1"/>
    <col min="3332" max="3332" width="0" style="7001" hidden="1" customWidth="1"/>
    <col min="3333" max="3333" width="10.109375" style="7001" customWidth="1"/>
    <col min="3334" max="3334" width="14.44140625" style="7001" customWidth="1"/>
    <col min="3335" max="3335" width="17.109375" style="7001" customWidth="1"/>
    <col min="3336" max="3584" width="9.109375" style="7001"/>
    <col min="3585" max="3585" width="33.44140625" style="7001" customWidth="1"/>
    <col min="3586" max="3586" width="7.44140625" style="7001" customWidth="1"/>
    <col min="3587" max="3587" width="7" style="7001" customWidth="1"/>
    <col min="3588" max="3588" width="0" style="7001" hidden="1" customWidth="1"/>
    <col min="3589" max="3589" width="10.109375" style="7001" customWidth="1"/>
    <col min="3590" max="3590" width="14.44140625" style="7001" customWidth="1"/>
    <col min="3591" max="3591" width="17.109375" style="7001" customWidth="1"/>
    <col min="3592" max="3840" width="9.109375" style="7001"/>
    <col min="3841" max="3841" width="33.44140625" style="7001" customWidth="1"/>
    <col min="3842" max="3842" width="7.44140625" style="7001" customWidth="1"/>
    <col min="3843" max="3843" width="7" style="7001" customWidth="1"/>
    <col min="3844" max="3844" width="0" style="7001" hidden="1" customWidth="1"/>
    <col min="3845" max="3845" width="10.109375" style="7001" customWidth="1"/>
    <col min="3846" max="3846" width="14.44140625" style="7001" customWidth="1"/>
    <col min="3847" max="3847" width="17.109375" style="7001" customWidth="1"/>
    <col min="3848" max="4096" width="9.109375" style="7001"/>
    <col min="4097" max="4097" width="33.44140625" style="7001" customWidth="1"/>
    <col min="4098" max="4098" width="7.44140625" style="7001" customWidth="1"/>
    <col min="4099" max="4099" width="7" style="7001" customWidth="1"/>
    <col min="4100" max="4100" width="0" style="7001" hidden="1" customWidth="1"/>
    <col min="4101" max="4101" width="10.109375" style="7001" customWidth="1"/>
    <col min="4102" max="4102" width="14.44140625" style="7001" customWidth="1"/>
    <col min="4103" max="4103" width="17.109375" style="7001" customWidth="1"/>
    <col min="4104" max="4352" width="9.109375" style="7001"/>
    <col min="4353" max="4353" width="33.44140625" style="7001" customWidth="1"/>
    <col min="4354" max="4354" width="7.44140625" style="7001" customWidth="1"/>
    <col min="4355" max="4355" width="7" style="7001" customWidth="1"/>
    <col min="4356" max="4356" width="0" style="7001" hidden="1" customWidth="1"/>
    <col min="4357" max="4357" width="10.109375" style="7001" customWidth="1"/>
    <col min="4358" max="4358" width="14.44140625" style="7001" customWidth="1"/>
    <col min="4359" max="4359" width="17.109375" style="7001" customWidth="1"/>
    <col min="4360" max="4608" width="9.109375" style="7001"/>
    <col min="4609" max="4609" width="33.44140625" style="7001" customWidth="1"/>
    <col min="4610" max="4610" width="7.44140625" style="7001" customWidth="1"/>
    <col min="4611" max="4611" width="7" style="7001" customWidth="1"/>
    <col min="4612" max="4612" width="0" style="7001" hidden="1" customWidth="1"/>
    <col min="4613" max="4613" width="10.109375" style="7001" customWidth="1"/>
    <col min="4614" max="4614" width="14.44140625" style="7001" customWidth="1"/>
    <col min="4615" max="4615" width="17.109375" style="7001" customWidth="1"/>
    <col min="4616" max="4864" width="9.109375" style="7001"/>
    <col min="4865" max="4865" width="33.44140625" style="7001" customWidth="1"/>
    <col min="4866" max="4866" width="7.44140625" style="7001" customWidth="1"/>
    <col min="4867" max="4867" width="7" style="7001" customWidth="1"/>
    <col min="4868" max="4868" width="0" style="7001" hidden="1" customWidth="1"/>
    <col min="4869" max="4869" width="10.109375" style="7001" customWidth="1"/>
    <col min="4870" max="4870" width="14.44140625" style="7001" customWidth="1"/>
    <col min="4871" max="4871" width="17.109375" style="7001" customWidth="1"/>
    <col min="4872" max="5120" width="9.109375" style="7001"/>
    <col min="5121" max="5121" width="33.44140625" style="7001" customWidth="1"/>
    <col min="5122" max="5122" width="7.44140625" style="7001" customWidth="1"/>
    <col min="5123" max="5123" width="7" style="7001" customWidth="1"/>
    <col min="5124" max="5124" width="0" style="7001" hidden="1" customWidth="1"/>
    <col min="5125" max="5125" width="10.109375" style="7001" customWidth="1"/>
    <col min="5126" max="5126" width="14.44140625" style="7001" customWidth="1"/>
    <col min="5127" max="5127" width="17.109375" style="7001" customWidth="1"/>
    <col min="5128" max="5376" width="9.109375" style="7001"/>
    <col min="5377" max="5377" width="33.44140625" style="7001" customWidth="1"/>
    <col min="5378" max="5378" width="7.44140625" style="7001" customWidth="1"/>
    <col min="5379" max="5379" width="7" style="7001" customWidth="1"/>
    <col min="5380" max="5380" width="0" style="7001" hidden="1" customWidth="1"/>
    <col min="5381" max="5381" width="10.109375" style="7001" customWidth="1"/>
    <col min="5382" max="5382" width="14.44140625" style="7001" customWidth="1"/>
    <col min="5383" max="5383" width="17.109375" style="7001" customWidth="1"/>
    <col min="5384" max="5632" width="9.109375" style="7001"/>
    <col min="5633" max="5633" width="33.44140625" style="7001" customWidth="1"/>
    <col min="5634" max="5634" width="7.44140625" style="7001" customWidth="1"/>
    <col min="5635" max="5635" width="7" style="7001" customWidth="1"/>
    <col min="5636" max="5636" width="0" style="7001" hidden="1" customWidth="1"/>
    <col min="5637" max="5637" width="10.109375" style="7001" customWidth="1"/>
    <col min="5638" max="5638" width="14.44140625" style="7001" customWidth="1"/>
    <col min="5639" max="5639" width="17.109375" style="7001" customWidth="1"/>
    <col min="5640" max="5888" width="9.109375" style="7001"/>
    <col min="5889" max="5889" width="33.44140625" style="7001" customWidth="1"/>
    <col min="5890" max="5890" width="7.44140625" style="7001" customWidth="1"/>
    <col min="5891" max="5891" width="7" style="7001" customWidth="1"/>
    <col min="5892" max="5892" width="0" style="7001" hidden="1" customWidth="1"/>
    <col min="5893" max="5893" width="10.109375" style="7001" customWidth="1"/>
    <col min="5894" max="5894" width="14.44140625" style="7001" customWidth="1"/>
    <col min="5895" max="5895" width="17.109375" style="7001" customWidth="1"/>
    <col min="5896" max="6144" width="9.109375" style="7001"/>
    <col min="6145" max="6145" width="33.44140625" style="7001" customWidth="1"/>
    <col min="6146" max="6146" width="7.44140625" style="7001" customWidth="1"/>
    <col min="6147" max="6147" width="7" style="7001" customWidth="1"/>
    <col min="6148" max="6148" width="0" style="7001" hidden="1" customWidth="1"/>
    <col min="6149" max="6149" width="10.109375" style="7001" customWidth="1"/>
    <col min="6150" max="6150" width="14.44140625" style="7001" customWidth="1"/>
    <col min="6151" max="6151" width="17.109375" style="7001" customWidth="1"/>
    <col min="6152" max="6400" width="9.109375" style="7001"/>
    <col min="6401" max="6401" width="33.44140625" style="7001" customWidth="1"/>
    <col min="6402" max="6402" width="7.44140625" style="7001" customWidth="1"/>
    <col min="6403" max="6403" width="7" style="7001" customWidth="1"/>
    <col min="6404" max="6404" width="0" style="7001" hidden="1" customWidth="1"/>
    <col min="6405" max="6405" width="10.109375" style="7001" customWidth="1"/>
    <col min="6406" max="6406" width="14.44140625" style="7001" customWidth="1"/>
    <col min="6407" max="6407" width="17.109375" style="7001" customWidth="1"/>
    <col min="6408" max="6656" width="9.109375" style="7001"/>
    <col min="6657" max="6657" width="33.44140625" style="7001" customWidth="1"/>
    <col min="6658" max="6658" width="7.44140625" style="7001" customWidth="1"/>
    <col min="6659" max="6659" width="7" style="7001" customWidth="1"/>
    <col min="6660" max="6660" width="0" style="7001" hidden="1" customWidth="1"/>
    <col min="6661" max="6661" width="10.109375" style="7001" customWidth="1"/>
    <col min="6662" max="6662" width="14.44140625" style="7001" customWidth="1"/>
    <col min="6663" max="6663" width="17.109375" style="7001" customWidth="1"/>
    <col min="6664" max="6912" width="9.109375" style="7001"/>
    <col min="6913" max="6913" width="33.44140625" style="7001" customWidth="1"/>
    <col min="6914" max="6914" width="7.44140625" style="7001" customWidth="1"/>
    <col min="6915" max="6915" width="7" style="7001" customWidth="1"/>
    <col min="6916" max="6916" width="0" style="7001" hidden="1" customWidth="1"/>
    <col min="6917" max="6917" width="10.109375" style="7001" customWidth="1"/>
    <col min="6918" max="6918" width="14.44140625" style="7001" customWidth="1"/>
    <col min="6919" max="6919" width="17.109375" style="7001" customWidth="1"/>
    <col min="6920" max="7168" width="9.109375" style="7001"/>
    <col min="7169" max="7169" width="33.44140625" style="7001" customWidth="1"/>
    <col min="7170" max="7170" width="7.44140625" style="7001" customWidth="1"/>
    <col min="7171" max="7171" width="7" style="7001" customWidth="1"/>
    <col min="7172" max="7172" width="0" style="7001" hidden="1" customWidth="1"/>
    <col min="7173" max="7173" width="10.109375" style="7001" customWidth="1"/>
    <col min="7174" max="7174" width="14.44140625" style="7001" customWidth="1"/>
    <col min="7175" max="7175" width="17.109375" style="7001" customWidth="1"/>
    <col min="7176" max="7424" width="9.109375" style="7001"/>
    <col min="7425" max="7425" width="33.44140625" style="7001" customWidth="1"/>
    <col min="7426" max="7426" width="7.44140625" style="7001" customWidth="1"/>
    <col min="7427" max="7427" width="7" style="7001" customWidth="1"/>
    <col min="7428" max="7428" width="0" style="7001" hidden="1" customWidth="1"/>
    <col min="7429" max="7429" width="10.109375" style="7001" customWidth="1"/>
    <col min="7430" max="7430" width="14.44140625" style="7001" customWidth="1"/>
    <col min="7431" max="7431" width="17.109375" style="7001" customWidth="1"/>
    <col min="7432" max="7680" width="9.109375" style="7001"/>
    <col min="7681" max="7681" width="33.44140625" style="7001" customWidth="1"/>
    <col min="7682" max="7682" width="7.44140625" style="7001" customWidth="1"/>
    <col min="7683" max="7683" width="7" style="7001" customWidth="1"/>
    <col min="7684" max="7684" width="0" style="7001" hidden="1" customWidth="1"/>
    <col min="7685" max="7685" width="10.109375" style="7001" customWidth="1"/>
    <col min="7686" max="7686" width="14.44140625" style="7001" customWidth="1"/>
    <col min="7687" max="7687" width="17.109375" style="7001" customWidth="1"/>
    <col min="7688" max="7936" width="9.109375" style="7001"/>
    <col min="7937" max="7937" width="33.44140625" style="7001" customWidth="1"/>
    <col min="7938" max="7938" width="7.44140625" style="7001" customWidth="1"/>
    <col min="7939" max="7939" width="7" style="7001" customWidth="1"/>
    <col min="7940" max="7940" width="0" style="7001" hidden="1" customWidth="1"/>
    <col min="7941" max="7941" width="10.109375" style="7001" customWidth="1"/>
    <col min="7942" max="7942" width="14.44140625" style="7001" customWidth="1"/>
    <col min="7943" max="7943" width="17.109375" style="7001" customWidth="1"/>
    <col min="7944" max="8192" width="9.109375" style="7001"/>
    <col min="8193" max="8193" width="33.44140625" style="7001" customWidth="1"/>
    <col min="8194" max="8194" width="7.44140625" style="7001" customWidth="1"/>
    <col min="8195" max="8195" width="7" style="7001" customWidth="1"/>
    <col min="8196" max="8196" width="0" style="7001" hidden="1" customWidth="1"/>
    <col min="8197" max="8197" width="10.109375" style="7001" customWidth="1"/>
    <col min="8198" max="8198" width="14.44140625" style="7001" customWidth="1"/>
    <col min="8199" max="8199" width="17.109375" style="7001" customWidth="1"/>
    <col min="8200" max="8448" width="9.109375" style="7001"/>
    <col min="8449" max="8449" width="33.44140625" style="7001" customWidth="1"/>
    <col min="8450" max="8450" width="7.44140625" style="7001" customWidth="1"/>
    <col min="8451" max="8451" width="7" style="7001" customWidth="1"/>
    <col min="8452" max="8452" width="0" style="7001" hidden="1" customWidth="1"/>
    <col min="8453" max="8453" width="10.109375" style="7001" customWidth="1"/>
    <col min="8454" max="8454" width="14.44140625" style="7001" customWidth="1"/>
    <col min="8455" max="8455" width="17.109375" style="7001" customWidth="1"/>
    <col min="8456" max="8704" width="9.109375" style="7001"/>
    <col min="8705" max="8705" width="33.44140625" style="7001" customWidth="1"/>
    <col min="8706" max="8706" width="7.44140625" style="7001" customWidth="1"/>
    <col min="8707" max="8707" width="7" style="7001" customWidth="1"/>
    <col min="8708" max="8708" width="0" style="7001" hidden="1" customWidth="1"/>
    <col min="8709" max="8709" width="10.109375" style="7001" customWidth="1"/>
    <col min="8710" max="8710" width="14.44140625" style="7001" customWidth="1"/>
    <col min="8711" max="8711" width="17.109375" style="7001" customWidth="1"/>
    <col min="8712" max="8960" width="9.109375" style="7001"/>
    <col min="8961" max="8961" width="33.44140625" style="7001" customWidth="1"/>
    <col min="8962" max="8962" width="7.44140625" style="7001" customWidth="1"/>
    <col min="8963" max="8963" width="7" style="7001" customWidth="1"/>
    <col min="8964" max="8964" width="0" style="7001" hidden="1" customWidth="1"/>
    <col min="8965" max="8965" width="10.109375" style="7001" customWidth="1"/>
    <col min="8966" max="8966" width="14.44140625" style="7001" customWidth="1"/>
    <col min="8967" max="8967" width="17.109375" style="7001" customWidth="1"/>
    <col min="8968" max="9216" width="9.109375" style="7001"/>
    <col min="9217" max="9217" width="33.44140625" style="7001" customWidth="1"/>
    <col min="9218" max="9218" width="7.44140625" style="7001" customWidth="1"/>
    <col min="9219" max="9219" width="7" style="7001" customWidth="1"/>
    <col min="9220" max="9220" width="0" style="7001" hidden="1" customWidth="1"/>
    <col min="9221" max="9221" width="10.109375" style="7001" customWidth="1"/>
    <col min="9222" max="9222" width="14.44140625" style="7001" customWidth="1"/>
    <col min="9223" max="9223" width="17.109375" style="7001" customWidth="1"/>
    <col min="9224" max="9472" width="9.109375" style="7001"/>
    <col min="9473" max="9473" width="33.44140625" style="7001" customWidth="1"/>
    <col min="9474" max="9474" width="7.44140625" style="7001" customWidth="1"/>
    <col min="9475" max="9475" width="7" style="7001" customWidth="1"/>
    <col min="9476" max="9476" width="0" style="7001" hidden="1" customWidth="1"/>
    <col min="9477" max="9477" width="10.109375" style="7001" customWidth="1"/>
    <col min="9478" max="9478" width="14.44140625" style="7001" customWidth="1"/>
    <col min="9479" max="9479" width="17.109375" style="7001" customWidth="1"/>
    <col min="9480" max="9728" width="9.109375" style="7001"/>
    <col min="9729" max="9729" width="33.44140625" style="7001" customWidth="1"/>
    <col min="9730" max="9730" width="7.44140625" style="7001" customWidth="1"/>
    <col min="9731" max="9731" width="7" style="7001" customWidth="1"/>
    <col min="9732" max="9732" width="0" style="7001" hidden="1" customWidth="1"/>
    <col min="9733" max="9733" width="10.109375" style="7001" customWidth="1"/>
    <col min="9734" max="9734" width="14.44140625" style="7001" customWidth="1"/>
    <col min="9735" max="9735" width="17.109375" style="7001" customWidth="1"/>
    <col min="9736" max="9984" width="9.109375" style="7001"/>
    <col min="9985" max="9985" width="33.44140625" style="7001" customWidth="1"/>
    <col min="9986" max="9986" width="7.44140625" style="7001" customWidth="1"/>
    <col min="9987" max="9987" width="7" style="7001" customWidth="1"/>
    <col min="9988" max="9988" width="0" style="7001" hidden="1" customWidth="1"/>
    <col min="9989" max="9989" width="10.109375" style="7001" customWidth="1"/>
    <col min="9990" max="9990" width="14.44140625" style="7001" customWidth="1"/>
    <col min="9991" max="9991" width="17.109375" style="7001" customWidth="1"/>
    <col min="9992" max="10240" width="9.109375" style="7001"/>
    <col min="10241" max="10241" width="33.44140625" style="7001" customWidth="1"/>
    <col min="10242" max="10242" width="7.44140625" style="7001" customWidth="1"/>
    <col min="10243" max="10243" width="7" style="7001" customWidth="1"/>
    <col min="10244" max="10244" width="0" style="7001" hidden="1" customWidth="1"/>
    <col min="10245" max="10245" width="10.109375" style="7001" customWidth="1"/>
    <col min="10246" max="10246" width="14.44140625" style="7001" customWidth="1"/>
    <col min="10247" max="10247" width="17.109375" style="7001" customWidth="1"/>
    <col min="10248" max="10496" width="9.109375" style="7001"/>
    <col min="10497" max="10497" width="33.44140625" style="7001" customWidth="1"/>
    <col min="10498" max="10498" width="7.44140625" style="7001" customWidth="1"/>
    <col min="10499" max="10499" width="7" style="7001" customWidth="1"/>
    <col min="10500" max="10500" width="0" style="7001" hidden="1" customWidth="1"/>
    <col min="10501" max="10501" width="10.109375" style="7001" customWidth="1"/>
    <col min="10502" max="10502" width="14.44140625" style="7001" customWidth="1"/>
    <col min="10503" max="10503" width="17.109375" style="7001" customWidth="1"/>
    <col min="10504" max="10752" width="9.109375" style="7001"/>
    <col min="10753" max="10753" width="33.44140625" style="7001" customWidth="1"/>
    <col min="10754" max="10754" width="7.44140625" style="7001" customWidth="1"/>
    <col min="10755" max="10755" width="7" style="7001" customWidth="1"/>
    <col min="10756" max="10756" width="0" style="7001" hidden="1" customWidth="1"/>
    <col min="10757" max="10757" width="10.109375" style="7001" customWidth="1"/>
    <col min="10758" max="10758" width="14.44140625" style="7001" customWidth="1"/>
    <col min="10759" max="10759" width="17.109375" style="7001" customWidth="1"/>
    <col min="10760" max="11008" width="9.109375" style="7001"/>
    <col min="11009" max="11009" width="33.44140625" style="7001" customWidth="1"/>
    <col min="11010" max="11010" width="7.44140625" style="7001" customWidth="1"/>
    <col min="11011" max="11011" width="7" style="7001" customWidth="1"/>
    <col min="11012" max="11012" width="0" style="7001" hidden="1" customWidth="1"/>
    <col min="11013" max="11013" width="10.109375" style="7001" customWidth="1"/>
    <col min="11014" max="11014" width="14.44140625" style="7001" customWidth="1"/>
    <col min="11015" max="11015" width="17.109375" style="7001" customWidth="1"/>
    <col min="11016" max="11264" width="9.109375" style="7001"/>
    <col min="11265" max="11265" width="33.44140625" style="7001" customWidth="1"/>
    <col min="11266" max="11266" width="7.44140625" style="7001" customWidth="1"/>
    <col min="11267" max="11267" width="7" style="7001" customWidth="1"/>
    <col min="11268" max="11268" width="0" style="7001" hidden="1" customWidth="1"/>
    <col min="11269" max="11269" width="10.109375" style="7001" customWidth="1"/>
    <col min="11270" max="11270" width="14.44140625" style="7001" customWidth="1"/>
    <col min="11271" max="11271" width="17.109375" style="7001" customWidth="1"/>
    <col min="11272" max="11520" width="9.109375" style="7001"/>
    <col min="11521" max="11521" width="33.44140625" style="7001" customWidth="1"/>
    <col min="11522" max="11522" width="7.44140625" style="7001" customWidth="1"/>
    <col min="11523" max="11523" width="7" style="7001" customWidth="1"/>
    <col min="11524" max="11524" width="0" style="7001" hidden="1" customWidth="1"/>
    <col min="11525" max="11525" width="10.109375" style="7001" customWidth="1"/>
    <col min="11526" max="11526" width="14.44140625" style="7001" customWidth="1"/>
    <col min="11527" max="11527" width="17.109375" style="7001" customWidth="1"/>
    <col min="11528" max="11776" width="9.109375" style="7001"/>
    <col min="11777" max="11777" width="33.44140625" style="7001" customWidth="1"/>
    <col min="11778" max="11778" width="7.44140625" style="7001" customWidth="1"/>
    <col min="11779" max="11779" width="7" style="7001" customWidth="1"/>
    <col min="11780" max="11780" width="0" style="7001" hidden="1" customWidth="1"/>
    <col min="11781" max="11781" width="10.109375" style="7001" customWidth="1"/>
    <col min="11782" max="11782" width="14.44140625" style="7001" customWidth="1"/>
    <col min="11783" max="11783" width="17.109375" style="7001" customWidth="1"/>
    <col min="11784" max="12032" width="9.109375" style="7001"/>
    <col min="12033" max="12033" width="33.44140625" style="7001" customWidth="1"/>
    <col min="12034" max="12034" width="7.44140625" style="7001" customWidth="1"/>
    <col min="12035" max="12035" width="7" style="7001" customWidth="1"/>
    <col min="12036" max="12036" width="0" style="7001" hidden="1" customWidth="1"/>
    <col min="12037" max="12037" width="10.109375" style="7001" customWidth="1"/>
    <col min="12038" max="12038" width="14.44140625" style="7001" customWidth="1"/>
    <col min="12039" max="12039" width="17.109375" style="7001" customWidth="1"/>
    <col min="12040" max="12288" width="9.109375" style="7001"/>
    <col min="12289" max="12289" width="33.44140625" style="7001" customWidth="1"/>
    <col min="12290" max="12290" width="7.44140625" style="7001" customWidth="1"/>
    <col min="12291" max="12291" width="7" style="7001" customWidth="1"/>
    <col min="12292" max="12292" width="0" style="7001" hidden="1" customWidth="1"/>
    <col min="12293" max="12293" width="10.109375" style="7001" customWidth="1"/>
    <col min="12294" max="12294" width="14.44140625" style="7001" customWidth="1"/>
    <col min="12295" max="12295" width="17.109375" style="7001" customWidth="1"/>
    <col min="12296" max="12544" width="9.109375" style="7001"/>
    <col min="12545" max="12545" width="33.44140625" style="7001" customWidth="1"/>
    <col min="12546" max="12546" width="7.44140625" style="7001" customWidth="1"/>
    <col min="12547" max="12547" width="7" style="7001" customWidth="1"/>
    <col min="12548" max="12548" width="0" style="7001" hidden="1" customWidth="1"/>
    <col min="12549" max="12549" width="10.109375" style="7001" customWidth="1"/>
    <col min="12550" max="12550" width="14.44140625" style="7001" customWidth="1"/>
    <col min="12551" max="12551" width="17.109375" style="7001" customWidth="1"/>
    <col min="12552" max="12800" width="9.109375" style="7001"/>
    <col min="12801" max="12801" width="33.44140625" style="7001" customWidth="1"/>
    <col min="12802" max="12802" width="7.44140625" style="7001" customWidth="1"/>
    <col min="12803" max="12803" width="7" style="7001" customWidth="1"/>
    <col min="12804" max="12804" width="0" style="7001" hidden="1" customWidth="1"/>
    <col min="12805" max="12805" width="10.109375" style="7001" customWidth="1"/>
    <col min="12806" max="12806" width="14.44140625" style="7001" customWidth="1"/>
    <col min="12807" max="12807" width="17.109375" style="7001" customWidth="1"/>
    <col min="12808" max="13056" width="9.109375" style="7001"/>
    <col min="13057" max="13057" width="33.44140625" style="7001" customWidth="1"/>
    <col min="13058" max="13058" width="7.44140625" style="7001" customWidth="1"/>
    <col min="13059" max="13059" width="7" style="7001" customWidth="1"/>
    <col min="13060" max="13060" width="0" style="7001" hidden="1" customWidth="1"/>
    <col min="13061" max="13061" width="10.109375" style="7001" customWidth="1"/>
    <col min="13062" max="13062" width="14.44140625" style="7001" customWidth="1"/>
    <col min="13063" max="13063" width="17.109375" style="7001" customWidth="1"/>
    <col min="13064" max="13312" width="9.109375" style="7001"/>
    <col min="13313" max="13313" width="33.44140625" style="7001" customWidth="1"/>
    <col min="13314" max="13314" width="7.44140625" style="7001" customWidth="1"/>
    <col min="13315" max="13315" width="7" style="7001" customWidth="1"/>
    <col min="13316" max="13316" width="0" style="7001" hidden="1" customWidth="1"/>
    <col min="13317" max="13317" width="10.109375" style="7001" customWidth="1"/>
    <col min="13318" max="13318" width="14.44140625" style="7001" customWidth="1"/>
    <col min="13319" max="13319" width="17.109375" style="7001" customWidth="1"/>
    <col min="13320" max="13568" width="9.109375" style="7001"/>
    <col min="13569" max="13569" width="33.44140625" style="7001" customWidth="1"/>
    <col min="13570" max="13570" width="7.44140625" style="7001" customWidth="1"/>
    <col min="13571" max="13571" width="7" style="7001" customWidth="1"/>
    <col min="13572" max="13572" width="0" style="7001" hidden="1" customWidth="1"/>
    <col min="13573" max="13573" width="10.109375" style="7001" customWidth="1"/>
    <col min="13574" max="13574" width="14.44140625" style="7001" customWidth="1"/>
    <col min="13575" max="13575" width="17.109375" style="7001" customWidth="1"/>
    <col min="13576" max="13824" width="9.109375" style="7001"/>
    <col min="13825" max="13825" width="33.44140625" style="7001" customWidth="1"/>
    <col min="13826" max="13826" width="7.44140625" style="7001" customWidth="1"/>
    <col min="13827" max="13827" width="7" style="7001" customWidth="1"/>
    <col min="13828" max="13828" width="0" style="7001" hidden="1" customWidth="1"/>
    <col min="13829" max="13829" width="10.109375" style="7001" customWidth="1"/>
    <col min="13830" max="13830" width="14.44140625" style="7001" customWidth="1"/>
    <col min="13831" max="13831" width="17.109375" style="7001" customWidth="1"/>
    <col min="13832" max="14080" width="9.109375" style="7001"/>
    <col min="14081" max="14081" width="33.44140625" style="7001" customWidth="1"/>
    <col min="14082" max="14082" width="7.44140625" style="7001" customWidth="1"/>
    <col min="14083" max="14083" width="7" style="7001" customWidth="1"/>
    <col min="14084" max="14084" width="0" style="7001" hidden="1" customWidth="1"/>
    <col min="14085" max="14085" width="10.109375" style="7001" customWidth="1"/>
    <col min="14086" max="14086" width="14.44140625" style="7001" customWidth="1"/>
    <col min="14087" max="14087" width="17.109375" style="7001" customWidth="1"/>
    <col min="14088" max="14336" width="9.109375" style="7001"/>
    <col min="14337" max="14337" width="33.44140625" style="7001" customWidth="1"/>
    <col min="14338" max="14338" width="7.44140625" style="7001" customWidth="1"/>
    <col min="14339" max="14339" width="7" style="7001" customWidth="1"/>
    <col min="14340" max="14340" width="0" style="7001" hidden="1" customWidth="1"/>
    <col min="14341" max="14341" width="10.109375" style="7001" customWidth="1"/>
    <col min="14342" max="14342" width="14.44140625" style="7001" customWidth="1"/>
    <col min="14343" max="14343" width="17.109375" style="7001" customWidth="1"/>
    <col min="14344" max="14592" width="9.109375" style="7001"/>
    <col min="14593" max="14593" width="33.44140625" style="7001" customWidth="1"/>
    <col min="14594" max="14594" width="7.44140625" style="7001" customWidth="1"/>
    <col min="14595" max="14595" width="7" style="7001" customWidth="1"/>
    <col min="14596" max="14596" width="0" style="7001" hidden="1" customWidth="1"/>
    <col min="14597" max="14597" width="10.109375" style="7001" customWidth="1"/>
    <col min="14598" max="14598" width="14.44140625" style="7001" customWidth="1"/>
    <col min="14599" max="14599" width="17.109375" style="7001" customWidth="1"/>
    <col min="14600" max="14848" width="9.109375" style="7001"/>
    <col min="14849" max="14849" width="33.44140625" style="7001" customWidth="1"/>
    <col min="14850" max="14850" width="7.44140625" style="7001" customWidth="1"/>
    <col min="14851" max="14851" width="7" style="7001" customWidth="1"/>
    <col min="14852" max="14852" width="0" style="7001" hidden="1" customWidth="1"/>
    <col min="14853" max="14853" width="10.109375" style="7001" customWidth="1"/>
    <col min="14854" max="14854" width="14.44140625" style="7001" customWidth="1"/>
    <col min="14855" max="14855" width="17.109375" style="7001" customWidth="1"/>
    <col min="14856" max="15104" width="9.109375" style="7001"/>
    <col min="15105" max="15105" width="33.44140625" style="7001" customWidth="1"/>
    <col min="15106" max="15106" width="7.44140625" style="7001" customWidth="1"/>
    <col min="15107" max="15107" width="7" style="7001" customWidth="1"/>
    <col min="15108" max="15108" width="0" style="7001" hidden="1" customWidth="1"/>
    <col min="15109" max="15109" width="10.109375" style="7001" customWidth="1"/>
    <col min="15110" max="15110" width="14.44140625" style="7001" customWidth="1"/>
    <col min="15111" max="15111" width="17.109375" style="7001" customWidth="1"/>
    <col min="15112" max="15360" width="9.109375" style="7001"/>
    <col min="15361" max="15361" width="33.44140625" style="7001" customWidth="1"/>
    <col min="15362" max="15362" width="7.44140625" style="7001" customWidth="1"/>
    <col min="15363" max="15363" width="7" style="7001" customWidth="1"/>
    <col min="15364" max="15364" width="0" style="7001" hidden="1" customWidth="1"/>
    <col min="15365" max="15365" width="10.109375" style="7001" customWidth="1"/>
    <col min="15366" max="15366" width="14.44140625" style="7001" customWidth="1"/>
    <col min="15367" max="15367" width="17.109375" style="7001" customWidth="1"/>
    <col min="15368" max="15616" width="9.109375" style="7001"/>
    <col min="15617" max="15617" width="33.44140625" style="7001" customWidth="1"/>
    <col min="15618" max="15618" width="7.44140625" style="7001" customWidth="1"/>
    <col min="15619" max="15619" width="7" style="7001" customWidth="1"/>
    <col min="15620" max="15620" width="0" style="7001" hidden="1" customWidth="1"/>
    <col min="15621" max="15621" width="10.109375" style="7001" customWidth="1"/>
    <col min="15622" max="15622" width="14.44140625" style="7001" customWidth="1"/>
    <col min="15623" max="15623" width="17.109375" style="7001" customWidth="1"/>
    <col min="15624" max="15872" width="9.109375" style="7001"/>
    <col min="15873" max="15873" width="33.44140625" style="7001" customWidth="1"/>
    <col min="15874" max="15874" width="7.44140625" style="7001" customWidth="1"/>
    <col min="15875" max="15875" width="7" style="7001" customWidth="1"/>
    <col min="15876" max="15876" width="0" style="7001" hidden="1" customWidth="1"/>
    <col min="15877" max="15877" width="10.109375" style="7001" customWidth="1"/>
    <col min="15878" max="15878" width="14.44140625" style="7001" customWidth="1"/>
    <col min="15879" max="15879" width="17.109375" style="7001" customWidth="1"/>
    <col min="15880" max="16128" width="9.109375" style="7001"/>
    <col min="16129" max="16129" width="33.44140625" style="7001" customWidth="1"/>
    <col min="16130" max="16130" width="7.44140625" style="7001" customWidth="1"/>
    <col min="16131" max="16131" width="7" style="7001" customWidth="1"/>
    <col min="16132" max="16132" width="0" style="7001" hidden="1" customWidth="1"/>
    <col min="16133" max="16133" width="10.109375" style="7001" customWidth="1"/>
    <col min="16134" max="16134" width="14.44140625" style="7001" customWidth="1"/>
    <col min="16135" max="16135" width="17.109375" style="7001" customWidth="1"/>
    <col min="16136" max="16384" width="9.109375" style="7001"/>
  </cols>
  <sheetData>
    <row r="1" spans="1:8" ht="12.9" customHeight="1">
      <c r="A1" s="14395" t="s">
        <v>1087</v>
      </c>
      <c r="B1" s="14395"/>
      <c r="C1" s="14395"/>
      <c r="D1" s="14395"/>
      <c r="E1" s="14395"/>
      <c r="F1" s="14395"/>
      <c r="G1" s="14395"/>
    </row>
    <row r="3" spans="1:8" ht="12.9" customHeight="1">
      <c r="A3" s="14580" t="s">
        <v>10350</v>
      </c>
      <c r="B3" s="14580"/>
      <c r="C3" s="14580"/>
      <c r="D3" s="14580"/>
      <c r="E3" s="14580"/>
      <c r="F3" s="14580"/>
      <c r="G3" s="14580"/>
    </row>
    <row r="4" spans="1:8" ht="12.9" customHeight="1" thickBot="1"/>
    <row r="5" spans="1:8" ht="12.9" customHeight="1">
      <c r="A5" s="9675" t="s">
        <v>842</v>
      </c>
      <c r="B5" s="10713" t="s">
        <v>1035</v>
      </c>
      <c r="C5" s="10713" t="s">
        <v>1036</v>
      </c>
      <c r="D5" s="14393" t="s">
        <v>1037</v>
      </c>
      <c r="E5" s="14393"/>
      <c r="F5" s="14393"/>
      <c r="G5" s="14394"/>
      <c r="H5" s="7162"/>
    </row>
    <row r="6" spans="1:8" ht="12.9" customHeight="1" thickBot="1">
      <c r="A6" s="7230" t="s">
        <v>1088</v>
      </c>
      <c r="B6" s="10780" t="s">
        <v>9</v>
      </c>
      <c r="C6" s="10780" t="s">
        <v>1039</v>
      </c>
      <c r="D6" s="10780" t="s">
        <v>1040</v>
      </c>
      <c r="E6" s="10780" t="s">
        <v>1040</v>
      </c>
      <c r="F6" s="10780" t="s">
        <v>11</v>
      </c>
      <c r="G6" s="10721" t="s">
        <v>11621</v>
      </c>
      <c r="H6" s="7162"/>
    </row>
    <row r="7" spans="1:8" ht="12.9" customHeight="1">
      <c r="A7" s="7248"/>
      <c r="B7" s="9665"/>
      <c r="C7" s="9666"/>
      <c r="D7" s="9666"/>
      <c r="E7" s="9666"/>
      <c r="F7" s="9666"/>
      <c r="G7" s="7240"/>
    </row>
    <row r="8" spans="1:8" ht="12.9" customHeight="1">
      <c r="A8" s="6230" t="s">
        <v>806</v>
      </c>
      <c r="B8" s="10751"/>
      <c r="C8" s="8414"/>
      <c r="D8" s="8414"/>
      <c r="E8" s="8414"/>
      <c r="F8" s="8414"/>
      <c r="G8" s="7241"/>
    </row>
    <row r="9" spans="1:8" ht="12.9" customHeight="1">
      <c r="A9" s="6230" t="s">
        <v>1107</v>
      </c>
      <c r="B9" s="10751"/>
      <c r="C9" s="8414"/>
      <c r="D9" s="8414"/>
      <c r="E9" s="8414"/>
      <c r="F9" s="8414"/>
      <c r="G9" s="7241"/>
    </row>
    <row r="10" spans="1:8" ht="12.9" customHeight="1">
      <c r="A10" s="7231"/>
      <c r="B10" s="10751"/>
      <c r="C10" s="8414"/>
      <c r="D10" s="8414"/>
      <c r="E10" s="8414"/>
      <c r="F10" s="8414"/>
      <c r="G10" s="7241"/>
    </row>
    <row r="11" spans="1:8" ht="12.9" customHeight="1">
      <c r="A11" s="7231"/>
      <c r="B11" s="10751"/>
      <c r="C11" s="10751"/>
      <c r="D11" s="10751"/>
      <c r="E11" s="10751"/>
      <c r="F11" s="10751"/>
      <c r="G11" s="7242"/>
    </row>
    <row r="12" spans="1:8" ht="12.9" customHeight="1">
      <c r="A12" s="6230" t="s">
        <v>1091</v>
      </c>
      <c r="B12" s="10751"/>
      <c r="C12" s="10751"/>
      <c r="D12" s="10751"/>
      <c r="E12" s="10751"/>
      <c r="F12" s="10751"/>
      <c r="G12" s="7175"/>
    </row>
    <row r="13" spans="1:8" ht="12.9" customHeight="1">
      <c r="A13" s="6230" t="s">
        <v>1109</v>
      </c>
      <c r="B13" s="10751"/>
      <c r="C13" s="10751"/>
      <c r="D13" s="10751"/>
      <c r="E13" s="10751"/>
      <c r="F13" s="10751"/>
      <c r="G13" s="7175"/>
    </row>
    <row r="14" spans="1:8" ht="12.9" customHeight="1">
      <c r="A14" s="7231"/>
      <c r="B14" s="8414"/>
      <c r="C14" s="8414"/>
      <c r="D14" s="8414"/>
      <c r="E14" s="8414"/>
      <c r="F14" s="10782"/>
      <c r="G14" s="7173"/>
    </row>
    <row r="15" spans="1:8" ht="12.9" customHeight="1">
      <c r="A15" s="7231"/>
      <c r="B15" s="8414"/>
      <c r="C15" s="8414"/>
      <c r="D15" s="8414"/>
      <c r="E15" s="10782"/>
      <c r="F15" s="10782"/>
      <c r="G15" s="7173"/>
    </row>
    <row r="16" spans="1:8" ht="12.9" customHeight="1">
      <c r="A16" s="6230" t="s">
        <v>11273</v>
      </c>
      <c r="B16" s="8414"/>
      <c r="C16" s="8414"/>
      <c r="D16" s="8414"/>
      <c r="E16" s="10782"/>
      <c r="F16" s="10782"/>
      <c r="G16" s="7173"/>
    </row>
    <row r="17" spans="1:10" ht="12.9" customHeight="1">
      <c r="A17" s="7231"/>
      <c r="B17" s="8414"/>
      <c r="C17" s="8414"/>
      <c r="D17" s="8414"/>
      <c r="E17" s="10782"/>
      <c r="F17" s="10782"/>
      <c r="G17" s="7173"/>
    </row>
    <row r="18" spans="1:10" ht="12.9" customHeight="1">
      <c r="A18" s="7231"/>
      <c r="B18" s="8414"/>
      <c r="C18" s="8414"/>
      <c r="D18" s="8414"/>
      <c r="E18" s="10782"/>
      <c r="F18" s="10782"/>
      <c r="G18" s="7173"/>
    </row>
    <row r="19" spans="1:10" ht="12.9" customHeight="1">
      <c r="A19" s="6230" t="s">
        <v>1135</v>
      </c>
      <c r="B19" s="10751"/>
      <c r="C19" s="10751"/>
      <c r="D19" s="10751"/>
      <c r="E19" s="10781"/>
      <c r="F19" s="10751"/>
      <c r="G19" s="7242"/>
    </row>
    <row r="20" spans="1:10" ht="12.9" customHeight="1">
      <c r="A20" s="7231"/>
      <c r="B20" s="8414"/>
      <c r="C20" s="8414"/>
      <c r="D20" s="8414"/>
      <c r="E20" s="10782"/>
      <c r="F20" s="10782"/>
      <c r="G20" s="7173"/>
    </row>
    <row r="21" spans="1:10" ht="12.9" customHeight="1">
      <c r="A21" s="7231" t="s">
        <v>10368</v>
      </c>
      <c r="B21" s="8414">
        <v>1</v>
      </c>
      <c r="C21" s="8414">
        <v>18</v>
      </c>
      <c r="D21" s="8415"/>
      <c r="E21" s="10781">
        <v>0</v>
      </c>
      <c r="F21" s="8415">
        <v>457020</v>
      </c>
      <c r="G21" s="7002">
        <v>487644</v>
      </c>
    </row>
    <row r="22" spans="1:10" ht="12.9" customHeight="1">
      <c r="A22" s="7231" t="s">
        <v>11267</v>
      </c>
      <c r="B22" s="8414">
        <v>0</v>
      </c>
      <c r="C22" s="8414">
        <v>15</v>
      </c>
      <c r="D22" s="8415"/>
      <c r="E22" s="10781">
        <v>330780</v>
      </c>
      <c r="F22" s="8415">
        <v>348120</v>
      </c>
      <c r="G22" s="7175">
        <v>0</v>
      </c>
    </row>
    <row r="23" spans="1:10" ht="12.9" customHeight="1">
      <c r="A23" s="7231" t="s">
        <v>10369</v>
      </c>
      <c r="B23" s="8414">
        <v>1</v>
      </c>
      <c r="C23" s="8414">
        <v>8</v>
      </c>
      <c r="D23" s="8415"/>
      <c r="E23" s="10781">
        <v>191628</v>
      </c>
      <c r="F23" s="8415">
        <v>199020</v>
      </c>
      <c r="G23" s="7002">
        <v>204756</v>
      </c>
    </row>
    <row r="24" spans="1:10" ht="12.9" customHeight="1">
      <c r="A24" s="7231" t="s">
        <v>10370</v>
      </c>
      <c r="B24" s="8414">
        <v>1</v>
      </c>
      <c r="C24" s="8414">
        <v>6</v>
      </c>
      <c r="D24" s="8415"/>
      <c r="E24" s="10781">
        <v>167676</v>
      </c>
      <c r="F24" s="8415">
        <v>173508</v>
      </c>
      <c r="G24" s="7002">
        <v>179532</v>
      </c>
    </row>
    <row r="25" spans="1:10" ht="12.9" customHeight="1">
      <c r="A25" s="7231"/>
      <c r="B25" s="8414"/>
      <c r="C25" s="8414"/>
      <c r="D25" s="8415"/>
      <c r="E25" s="10781"/>
      <c r="F25" s="10752"/>
      <c r="G25" s="7239"/>
      <c r="I25" s="7001">
        <f>SUM(B21:B25)</f>
        <v>3</v>
      </c>
      <c r="J25" s="7164">
        <f>SUM(G21:G25)</f>
        <v>871932</v>
      </c>
    </row>
    <row r="26" spans="1:10" ht="12.9" customHeight="1">
      <c r="A26" s="6230" t="s">
        <v>1098</v>
      </c>
      <c r="B26" s="7169">
        <f>SUM(B14:B25)</f>
        <v>3</v>
      </c>
      <c r="C26" s="7169"/>
      <c r="D26" s="7249"/>
      <c r="E26" s="10791">
        <f>SUM(E14:E25)</f>
        <v>690084</v>
      </c>
      <c r="F26" s="10791">
        <f>SUM(F14:F25)</f>
        <v>1177668</v>
      </c>
      <c r="G26" s="9760">
        <f>SUM(G14:G25)</f>
        <v>871932</v>
      </c>
    </row>
    <row r="27" spans="1:10" ht="12.9" customHeight="1">
      <c r="A27" s="6230" t="s">
        <v>9</v>
      </c>
      <c r="B27" s="7169" t="s">
        <v>9</v>
      </c>
      <c r="C27" s="7169"/>
      <c r="D27" s="7249"/>
      <c r="E27" s="7249" t="s">
        <v>9</v>
      </c>
      <c r="F27" s="7250" t="s">
        <v>9</v>
      </c>
      <c r="G27" s="10792" t="s">
        <v>9</v>
      </c>
    </row>
    <row r="28" spans="1:10" ht="12.9" customHeight="1">
      <c r="A28" s="7231" t="s">
        <v>1113</v>
      </c>
      <c r="B28" s="8414"/>
      <c r="C28" s="8414"/>
      <c r="D28" s="8415"/>
      <c r="E28" s="10793"/>
      <c r="F28" s="10781"/>
      <c r="G28" s="7002"/>
    </row>
    <row r="29" spans="1:10" ht="12.9" customHeight="1">
      <c r="A29" s="7231"/>
      <c r="B29" s="8414"/>
      <c r="C29" s="8414"/>
      <c r="D29" s="8415"/>
      <c r="E29" s="10793"/>
      <c r="F29" s="10781"/>
      <c r="G29" s="7002"/>
    </row>
    <row r="30" spans="1:10" ht="12.9" customHeight="1">
      <c r="A30" s="7231" t="s">
        <v>10368</v>
      </c>
      <c r="B30" s="8414">
        <v>0</v>
      </c>
      <c r="C30" s="8414">
        <v>18</v>
      </c>
      <c r="D30" s="8415"/>
      <c r="E30" s="10793">
        <v>428316</v>
      </c>
      <c r="F30" s="8415">
        <v>457020</v>
      </c>
      <c r="G30" s="7002">
        <v>0</v>
      </c>
      <c r="H30" s="13961" t="s">
        <v>12262</v>
      </c>
    </row>
    <row r="31" spans="1:10" ht="12.9" customHeight="1">
      <c r="A31" s="7231" t="s">
        <v>11661</v>
      </c>
      <c r="B31" s="8414">
        <v>1</v>
      </c>
      <c r="C31" s="8414">
        <v>15</v>
      </c>
      <c r="D31" s="8415"/>
      <c r="E31" s="10781">
        <v>0</v>
      </c>
      <c r="F31" s="10781">
        <v>0</v>
      </c>
      <c r="G31" s="7002">
        <v>366372</v>
      </c>
    </row>
    <row r="32" spans="1:10" ht="12.9" customHeight="1">
      <c r="A32" s="7231"/>
      <c r="B32" s="8414"/>
      <c r="C32" s="8414"/>
      <c r="D32" s="8415"/>
      <c r="E32" s="10793"/>
      <c r="F32" s="10781"/>
      <c r="G32" s="7002"/>
    </row>
    <row r="33" spans="1:10" ht="12.9" customHeight="1">
      <c r="A33" s="7231" t="s">
        <v>1386</v>
      </c>
      <c r="B33" s="10794">
        <f>SUM(B28:B32)</f>
        <v>1</v>
      </c>
      <c r="C33" s="10794"/>
      <c r="D33" s="10430"/>
      <c r="E33" s="10795">
        <f>SUM(E28:E32)</f>
        <v>428316</v>
      </c>
      <c r="F33" s="10430">
        <f>SUM(F28:F32)</f>
        <v>457020</v>
      </c>
      <c r="G33" s="9647">
        <f>SUM(G28:G32)</f>
        <v>366372</v>
      </c>
      <c r="I33" s="7001">
        <f>B33</f>
        <v>1</v>
      </c>
      <c r="J33" s="7164">
        <f>G33</f>
        <v>366372</v>
      </c>
    </row>
    <row r="34" spans="1:10" ht="12.9" customHeight="1" thickBot="1">
      <c r="A34" s="7231"/>
      <c r="B34" s="8416"/>
      <c r="C34" s="8416"/>
      <c r="D34" s="8417"/>
      <c r="E34" s="9610"/>
      <c r="F34" s="8417"/>
      <c r="G34" s="9611"/>
      <c r="J34" s="7164"/>
    </row>
    <row r="35" spans="1:10" ht="12.9" customHeight="1" thickBot="1">
      <c r="A35" s="9838" t="s">
        <v>1114</v>
      </c>
      <c r="B35" s="10784">
        <f>B26+B33</f>
        <v>4</v>
      </c>
      <c r="C35" s="10421"/>
      <c r="D35" s="10785">
        <f>SUM(D17:D33)</f>
        <v>0</v>
      </c>
      <c r="E35" s="10796">
        <f>E26+E33</f>
        <v>1118400</v>
      </c>
      <c r="F35" s="10797">
        <f>F26+F33</f>
        <v>1634688</v>
      </c>
      <c r="G35" s="10790">
        <f>G26+G33</f>
        <v>1238304</v>
      </c>
      <c r="J35" s="7164"/>
    </row>
    <row r="36" spans="1:10" ht="12.9" customHeight="1">
      <c r="A36" s="6230"/>
      <c r="B36" s="10750"/>
      <c r="C36" s="10751"/>
      <c r="D36" s="10779"/>
      <c r="E36" s="10798"/>
      <c r="F36" s="10783"/>
      <c r="G36" s="7236"/>
    </row>
    <row r="37" spans="1:10" ht="12.9" customHeight="1">
      <c r="A37" s="6230" t="s">
        <v>1075</v>
      </c>
      <c r="B37" s="8414"/>
      <c r="C37" s="10751"/>
      <c r="D37" s="10779"/>
      <c r="E37" s="10799"/>
      <c r="F37" s="10781"/>
      <c r="G37" s="7237"/>
    </row>
    <row r="38" spans="1:10" ht="12.9" customHeight="1">
      <c r="A38" s="6230" t="s">
        <v>1115</v>
      </c>
      <c r="B38" s="8414"/>
      <c r="C38" s="10751"/>
      <c r="D38" s="10779"/>
      <c r="E38" s="10799"/>
      <c r="F38" s="10779"/>
      <c r="G38" s="7237"/>
    </row>
    <row r="39" spans="1:10" ht="12.9" customHeight="1">
      <c r="A39" s="7231" t="s">
        <v>11286</v>
      </c>
      <c r="B39" s="8414"/>
      <c r="C39" s="10751"/>
      <c r="D39" s="10779"/>
      <c r="E39" s="10779"/>
      <c r="F39" s="10779"/>
      <c r="G39" s="7244"/>
    </row>
    <row r="40" spans="1:10" ht="12.9" customHeight="1">
      <c r="A40" s="7231" t="s">
        <v>1117</v>
      </c>
      <c r="B40" s="8414"/>
      <c r="C40" s="10751"/>
      <c r="D40" s="10779"/>
      <c r="E40" s="10779"/>
      <c r="F40" s="10779"/>
      <c r="G40" s="7244"/>
    </row>
    <row r="41" spans="1:10" ht="12.9" customHeight="1">
      <c r="A41" s="7231" t="s">
        <v>1118</v>
      </c>
      <c r="B41" s="8414"/>
      <c r="C41" s="10751"/>
      <c r="D41" s="10779"/>
      <c r="E41" s="10779"/>
      <c r="F41" s="10779"/>
      <c r="G41" s="7244"/>
    </row>
    <row r="42" spans="1:10" ht="12.9" customHeight="1">
      <c r="A42" s="7231" t="s">
        <v>11285</v>
      </c>
      <c r="B42" s="9403">
        <v>1</v>
      </c>
      <c r="C42" s="9636"/>
      <c r="D42" s="13956"/>
      <c r="E42" s="13956"/>
      <c r="F42" s="13956"/>
      <c r="G42" s="13957"/>
      <c r="H42" s="13961" t="s">
        <v>12261</v>
      </c>
    </row>
    <row r="43" spans="1:10" ht="12.9" customHeight="1">
      <c r="A43" s="7231"/>
      <c r="B43" s="8414"/>
      <c r="C43" s="10751"/>
      <c r="D43" s="10779"/>
      <c r="E43" s="10779"/>
      <c r="F43" s="10779"/>
      <c r="G43" s="7244"/>
    </row>
    <row r="44" spans="1:10" ht="12.9" customHeight="1">
      <c r="A44" s="7231" t="s">
        <v>1080</v>
      </c>
      <c r="B44" s="8414"/>
      <c r="C44" s="10751"/>
      <c r="D44" s="10779"/>
      <c r="E44" s="10779"/>
      <c r="F44" s="10779"/>
      <c r="G44" s="7244"/>
    </row>
    <row r="45" spans="1:10" ht="12.9" customHeight="1">
      <c r="A45" s="7231" t="s">
        <v>1119</v>
      </c>
      <c r="B45" s="8414"/>
      <c r="C45" s="10751"/>
      <c r="D45" s="10779"/>
      <c r="E45" s="10779"/>
      <c r="F45" s="10779"/>
      <c r="G45" s="7244"/>
    </row>
    <row r="46" spans="1:10" ht="12.9" customHeight="1">
      <c r="A46" s="7231" t="s">
        <v>1082</v>
      </c>
      <c r="B46" s="8414"/>
      <c r="C46" s="10751"/>
      <c r="D46" s="10779"/>
      <c r="E46" s="10779"/>
      <c r="F46" s="10779"/>
      <c r="G46" s="7244"/>
    </row>
    <row r="47" spans="1:10" ht="12.9" customHeight="1">
      <c r="A47" s="7231"/>
      <c r="B47" s="8414"/>
      <c r="C47" s="10751"/>
      <c r="D47" s="10779"/>
      <c r="E47" s="10779"/>
      <c r="F47" s="10779"/>
      <c r="G47" s="7244"/>
    </row>
    <row r="48" spans="1:10" ht="12.9" customHeight="1">
      <c r="A48" s="6230" t="s">
        <v>1083</v>
      </c>
      <c r="B48" s="9653"/>
      <c r="C48" s="9676"/>
      <c r="D48" s="7190"/>
      <c r="E48" s="7190"/>
      <c r="F48" s="7190"/>
      <c r="G48" s="9677"/>
    </row>
    <row r="49" spans="1:7" ht="12.9" customHeight="1">
      <c r="A49" s="6230"/>
      <c r="B49" s="8414"/>
      <c r="C49" s="10751"/>
      <c r="D49" s="10779"/>
      <c r="E49" s="10779"/>
      <c r="F49" s="10779"/>
      <c r="G49" s="7244"/>
    </row>
    <row r="50" spans="1:7" ht="12.9" customHeight="1">
      <c r="A50" s="7231" t="s">
        <v>1106</v>
      </c>
      <c r="B50" s="8414"/>
      <c r="C50" s="10751"/>
      <c r="D50" s="10779"/>
      <c r="E50" s="10779"/>
      <c r="F50" s="10779"/>
      <c r="G50" s="7244"/>
    </row>
    <row r="51" spans="1:7" ht="12.9" customHeight="1" thickBot="1">
      <c r="A51" s="7235"/>
      <c r="B51" s="9645"/>
      <c r="C51" s="9758"/>
      <c r="D51" s="9766"/>
      <c r="E51" s="9766"/>
      <c r="F51" s="9766"/>
      <c r="G51" s="10787"/>
    </row>
    <row r="52" spans="1:7" ht="12.9" customHeight="1">
      <c r="A52" s="7231"/>
      <c r="B52" s="8414"/>
      <c r="C52" s="10751"/>
      <c r="D52" s="10779"/>
      <c r="E52" s="10779"/>
      <c r="F52" s="10779"/>
      <c r="G52" s="7244"/>
    </row>
    <row r="53" spans="1:7" ht="12.9" customHeight="1">
      <c r="A53" s="6230" t="s">
        <v>1086</v>
      </c>
      <c r="B53" s="8414"/>
      <c r="C53" s="10751"/>
      <c r="D53" s="10779"/>
      <c r="E53" s="10779"/>
      <c r="F53" s="10779"/>
      <c r="G53" s="7244"/>
    </row>
    <row r="54" spans="1:7" ht="12.9" customHeight="1" thickBot="1">
      <c r="A54" s="7235"/>
      <c r="B54" s="9758"/>
      <c r="C54" s="9758"/>
      <c r="D54" s="9758"/>
      <c r="E54" s="9758"/>
      <c r="F54" s="9758"/>
      <c r="G54" s="9759"/>
    </row>
    <row r="59" spans="1:7" ht="12.9" customHeight="1">
      <c r="A59" s="7162"/>
      <c r="F59" s="7162"/>
    </row>
  </sheetData>
  <mergeCells count="3">
    <mergeCell ref="A3:G3"/>
    <mergeCell ref="D5:G5"/>
    <mergeCell ref="A1:G1"/>
  </mergeCells>
  <printOptions horizontalCentered="1"/>
  <pageMargins left="0.25" right="0.25" top="0.5" bottom="0.5" header="0.3" footer="0.3"/>
  <pageSetup paperSize="119" firstPageNumber="83" orientation="portrait" useFirstPageNumber="1" r:id="rId1"/>
</worksheet>
</file>

<file path=xl/worksheets/sheet58.xml><?xml version="1.0" encoding="utf-8"?>
<worksheet xmlns="http://schemas.openxmlformats.org/spreadsheetml/2006/main" xmlns:r="http://schemas.openxmlformats.org/officeDocument/2006/relationships">
  <sheetPr codeName="Sheet95">
    <tabColor theme="8" tint="-0.249977111117893"/>
  </sheetPr>
  <dimension ref="A1:M89"/>
  <sheetViews>
    <sheetView showGridLines="0" topLeftCell="E1" workbookViewId="0">
      <selection activeCell="K2" sqref="K1:T1048576"/>
    </sheetView>
  </sheetViews>
  <sheetFormatPr defaultColWidth="9.109375" defaultRowHeight="15" customHeight="1"/>
  <cols>
    <col min="1" max="1" width="3.88671875" style="7799" customWidth="1"/>
    <col min="2" max="2" width="55.5546875" style="7799" customWidth="1"/>
    <col min="3" max="3" width="12.33203125" style="7799" hidden="1" customWidth="1"/>
    <col min="4" max="4" width="12.5546875" style="10883" customWidth="1"/>
    <col min="5" max="6" width="15.5546875" style="7799" customWidth="1"/>
    <col min="7" max="7" width="15.5546875" style="9554" customWidth="1"/>
    <col min="8" max="8" width="17" style="7799" customWidth="1"/>
    <col min="9" max="9" width="14.88671875" style="7799" hidden="1" customWidth="1"/>
    <col min="10" max="10" width="8.88671875" style="7348" hidden="1" customWidth="1"/>
    <col min="11" max="11" width="17.33203125" style="7799" customWidth="1"/>
    <col min="12" max="12" width="15.88671875" style="7811" customWidth="1"/>
    <col min="13" max="13" width="3.88671875" style="10883" customWidth="1"/>
    <col min="14" max="19" width="9.109375" style="7799" customWidth="1"/>
    <col min="20" max="16384" width="9.109375" style="7799"/>
  </cols>
  <sheetData>
    <row r="1" spans="1:13" ht="15" customHeight="1">
      <c r="A1" s="14583" t="s">
        <v>1</v>
      </c>
      <c r="B1" s="14583"/>
      <c r="C1" s="14583"/>
      <c r="D1" s="14583"/>
      <c r="E1" s="14583"/>
      <c r="F1" s="14583"/>
      <c r="G1" s="14583"/>
      <c r="H1" s="14583"/>
      <c r="I1" s="14583"/>
      <c r="J1" s="14583"/>
      <c r="K1" s="14583"/>
    </row>
    <row r="2" spans="1:13" ht="15" customHeight="1">
      <c r="A2" s="7767"/>
      <c r="B2" s="7767"/>
      <c r="C2" s="7767"/>
      <c r="D2" s="10878"/>
      <c r="E2" s="7767"/>
      <c r="F2" s="7767"/>
      <c r="G2" s="9545"/>
      <c r="H2" s="7767"/>
      <c r="I2" s="7767"/>
      <c r="J2" s="7286"/>
      <c r="K2" s="7767"/>
    </row>
    <row r="3" spans="1:13" ht="15" customHeight="1">
      <c r="A3" s="7767" t="s">
        <v>1467</v>
      </c>
      <c r="B3" s="7801"/>
      <c r="C3" s="7801"/>
      <c r="D3" s="9543" t="s">
        <v>11245</v>
      </c>
      <c r="E3" s="7801"/>
      <c r="F3" s="7801"/>
      <c r="G3" s="9546"/>
      <c r="H3" s="7801"/>
      <c r="I3" s="7801"/>
      <c r="J3" s="7284"/>
      <c r="K3" s="14584"/>
    </row>
    <row r="4" spans="1:13" ht="15" customHeight="1">
      <c r="A4" s="7803" t="s">
        <v>403</v>
      </c>
      <c r="B4" s="7803"/>
      <c r="C4" s="7803"/>
      <c r="D4" s="9544" t="s">
        <v>8</v>
      </c>
      <c r="E4" s="7803"/>
      <c r="F4" s="7803"/>
      <c r="G4" s="9547"/>
      <c r="H4" s="7809"/>
      <c r="I4" s="7809"/>
      <c r="J4" s="7350"/>
      <c r="K4" s="14584"/>
    </row>
    <row r="5" spans="1:13" ht="15" customHeight="1" thickBot="1">
      <c r="A5" s="7805"/>
      <c r="B5" s="7805"/>
      <c r="C5" s="7805"/>
      <c r="D5" s="7806"/>
      <c r="E5" s="7805"/>
      <c r="F5" s="7805"/>
      <c r="G5" s="9548"/>
      <c r="H5" s="7825"/>
      <c r="I5" s="7825"/>
      <c r="J5" s="7394"/>
      <c r="K5" s="7825"/>
    </row>
    <row r="6" spans="1:13" ht="15" customHeight="1">
      <c r="A6" s="11566"/>
      <c r="B6" s="10530"/>
      <c r="C6" s="10530"/>
      <c r="D6" s="11567" t="s">
        <v>9</v>
      </c>
      <c r="E6" s="11568" t="s">
        <v>78</v>
      </c>
      <c r="F6" s="14188" t="s">
        <v>10711</v>
      </c>
      <c r="G6" s="14189"/>
      <c r="H6" s="14190"/>
      <c r="I6" s="11080" t="s">
        <v>9985</v>
      </c>
      <c r="J6" s="9462"/>
      <c r="K6" s="11569" t="s">
        <v>12</v>
      </c>
    </row>
    <row r="7" spans="1:13" ht="15" customHeight="1">
      <c r="A7" s="11570"/>
      <c r="B7" s="7808" t="s">
        <v>13</v>
      </c>
      <c r="C7" s="7808"/>
      <c r="D7" s="14581" t="s">
        <v>14</v>
      </c>
      <c r="E7" s="11571" t="s">
        <v>15</v>
      </c>
      <c r="F7" s="9502" t="s">
        <v>10709</v>
      </c>
      <c r="G7" s="11083" t="s">
        <v>10710</v>
      </c>
      <c r="H7" s="14191" t="s">
        <v>458</v>
      </c>
      <c r="I7" s="11084" t="s">
        <v>11820</v>
      </c>
      <c r="J7" s="11108"/>
      <c r="K7" s="11572" t="s">
        <v>16</v>
      </c>
    </row>
    <row r="8" spans="1:13" ht="15" customHeight="1" thickBot="1">
      <c r="A8" s="11573"/>
      <c r="B8" s="7827"/>
      <c r="C8" s="7827"/>
      <c r="D8" s="14582"/>
      <c r="E8" s="11574">
        <v>2017</v>
      </c>
      <c r="F8" s="9467" t="s">
        <v>457</v>
      </c>
      <c r="G8" s="11076" t="s">
        <v>456</v>
      </c>
      <c r="H8" s="14192"/>
      <c r="I8" s="7302">
        <v>2018</v>
      </c>
      <c r="J8" s="7322"/>
      <c r="K8" s="11575">
        <v>2019</v>
      </c>
    </row>
    <row r="9" spans="1:13" ht="15" customHeight="1">
      <c r="A9" s="11570"/>
      <c r="B9" s="7808"/>
      <c r="C9" s="7808"/>
      <c r="D9" s="11576"/>
      <c r="E9" s="11571"/>
      <c r="F9" s="11123"/>
      <c r="G9" s="11073"/>
      <c r="H9" s="11123"/>
      <c r="I9" s="11571"/>
      <c r="J9" s="11108"/>
      <c r="K9" s="11572"/>
    </row>
    <row r="10" spans="1:13" ht="15" customHeight="1">
      <c r="A10" s="11577" t="s">
        <v>17</v>
      </c>
      <c r="B10" s="7803" t="s">
        <v>18</v>
      </c>
      <c r="C10" s="7803"/>
      <c r="D10" s="10141"/>
      <c r="E10" s="11518"/>
      <c r="F10" s="11518"/>
      <c r="G10" s="11578"/>
      <c r="H10" s="11518"/>
      <c r="I10" s="11518"/>
      <c r="J10" s="11163"/>
      <c r="K10" s="11579"/>
    </row>
    <row r="11" spans="1:13" ht="15" customHeight="1">
      <c r="A11" s="11570"/>
      <c r="B11" s="7803" t="s">
        <v>19</v>
      </c>
      <c r="C11" s="7803"/>
      <c r="D11" s="10141"/>
      <c r="E11" s="11518"/>
      <c r="F11" s="11518"/>
      <c r="G11" s="11578"/>
      <c r="H11" s="11518"/>
      <c r="I11" s="11518"/>
      <c r="J11" s="11163"/>
      <c r="K11" s="11579"/>
    </row>
    <row r="12" spans="1:13" ht="15" customHeight="1">
      <c r="A12" s="11570"/>
      <c r="B12" s="7803" t="s">
        <v>56</v>
      </c>
      <c r="C12" s="7803"/>
      <c r="D12" s="10141">
        <v>50101010</v>
      </c>
      <c r="E12" s="11580">
        <f>'WS-PS 2017'!B10</f>
        <v>333877.90000000002</v>
      </c>
      <c r="F12" s="11580">
        <f>'WS-PS ACTUAL JUNE 2018'!B8</f>
        <v>410699</v>
      </c>
      <c r="G12" s="11581">
        <f>H12-F12</f>
        <v>403501</v>
      </c>
      <c r="H12" s="11580">
        <v>814200</v>
      </c>
      <c r="I12" s="11580"/>
      <c r="J12" s="11165"/>
      <c r="K12" s="11582">
        <f>L12</f>
        <v>1570488</v>
      </c>
      <c r="L12" s="11556">
        <f>'staffing-EDCENTER'!G36</f>
        <v>1570488</v>
      </c>
      <c r="M12" s="10883">
        <f>'staffing-EDCENTER'!B36</f>
        <v>6</v>
      </c>
    </row>
    <row r="13" spans="1:13" ht="15" customHeight="1">
      <c r="A13" s="11570"/>
      <c r="B13" s="7803" t="s">
        <v>58</v>
      </c>
      <c r="C13" s="7803"/>
      <c r="D13" s="10141">
        <v>50102010</v>
      </c>
      <c r="E13" s="11583">
        <f>'WS-PS 2017'!F10</f>
        <v>24090.91</v>
      </c>
      <c r="F13" s="11583">
        <f>'WS-PS ACTUAL JUNE 2018'!D8</f>
        <v>48000</v>
      </c>
      <c r="G13" s="11581">
        <f t="shared" ref="G13:G24" si="0">H13-F13</f>
        <v>48000</v>
      </c>
      <c r="H13" s="11583">
        <v>96000</v>
      </c>
      <c r="I13" s="11583"/>
      <c r="J13" s="11163"/>
      <c r="K13" s="11582">
        <f t="shared" ref="K13:K24" si="1">L13</f>
        <v>144000</v>
      </c>
      <c r="L13" s="7502">
        <f>24000*M12</f>
        <v>144000</v>
      </c>
    </row>
    <row r="14" spans="1:13" ht="15" customHeight="1">
      <c r="A14" s="11570"/>
      <c r="B14" s="7803" t="s">
        <v>79</v>
      </c>
      <c r="C14" s="7803"/>
      <c r="D14" s="10141">
        <v>50102040</v>
      </c>
      <c r="E14" s="11583">
        <f>'WS-PS 2017'!I10</f>
        <v>5000</v>
      </c>
      <c r="F14" s="11583">
        <f>'WS-PS ACTUAL JUNE 2018'!G8</f>
        <v>18000</v>
      </c>
      <c r="G14" s="11581">
        <f t="shared" si="0"/>
        <v>2000</v>
      </c>
      <c r="H14" s="11583">
        <v>20000</v>
      </c>
      <c r="I14" s="11583"/>
      <c r="J14" s="11163"/>
      <c r="K14" s="11582">
        <f t="shared" si="1"/>
        <v>36000</v>
      </c>
      <c r="L14" s="7502">
        <f>6000*M12</f>
        <v>36000</v>
      </c>
    </row>
    <row r="15" spans="1:13" ht="15" customHeight="1">
      <c r="A15" s="11570"/>
      <c r="B15" s="7488" t="s">
        <v>11498</v>
      </c>
      <c r="C15" s="7488"/>
      <c r="D15" s="10368">
        <v>50102080</v>
      </c>
      <c r="E15" s="11583"/>
      <c r="F15" s="11583">
        <f>'WS-PS ACTUAL JUNE 2018'!J8</f>
        <v>0</v>
      </c>
      <c r="G15" s="11581">
        <f t="shared" si="0"/>
        <v>20000</v>
      </c>
      <c r="H15" s="11583">
        <v>20000</v>
      </c>
      <c r="I15" s="11583"/>
      <c r="J15" s="11163"/>
      <c r="K15" s="11582">
        <f t="shared" si="1"/>
        <v>30000</v>
      </c>
      <c r="L15" s="7502">
        <f>5000*M12</f>
        <v>30000</v>
      </c>
    </row>
    <row r="16" spans="1:13" ht="15" hidden="1" customHeight="1">
      <c r="A16" s="11570"/>
      <c r="B16" s="7488" t="s">
        <v>10934</v>
      </c>
      <c r="C16" s="7488"/>
      <c r="D16" s="10387">
        <v>50102120</v>
      </c>
      <c r="E16" s="11583"/>
      <c r="F16" s="11583">
        <f>'WS-PS ACTUAL JUNE 2018'!M8</f>
        <v>0</v>
      </c>
      <c r="G16" s="11578"/>
      <c r="H16" s="11583"/>
      <c r="I16" s="11583"/>
      <c r="J16" s="11163"/>
      <c r="K16" s="11582">
        <f t="shared" si="1"/>
        <v>0</v>
      </c>
    </row>
    <row r="17" spans="1:12" ht="15" customHeight="1">
      <c r="A17" s="11570"/>
      <c r="B17" s="7488" t="s">
        <v>10933</v>
      </c>
      <c r="C17" s="7488"/>
      <c r="D17" s="8872">
        <v>50102140</v>
      </c>
      <c r="E17" s="10277">
        <f>'WS-PS 2017'!U10+'WS-PS 2017'!S10</f>
        <v>27565</v>
      </c>
      <c r="F17" s="11580">
        <f>'WS-PS ACTUAL JUNE 2018'!O8</f>
        <v>54978</v>
      </c>
      <c r="G17" s="11581">
        <f>H17-F17</f>
        <v>80722</v>
      </c>
      <c r="H17" s="11580">
        <v>135700</v>
      </c>
      <c r="I17" s="11580"/>
      <c r="J17" s="11165"/>
      <c r="K17" s="11582">
        <f t="shared" si="1"/>
        <v>261748</v>
      </c>
      <c r="L17" s="7502">
        <f>L12/12*2</f>
        <v>261748</v>
      </c>
    </row>
    <row r="18" spans="1:12" ht="15" customHeight="1">
      <c r="A18" s="11570"/>
      <c r="B18" s="7803" t="s">
        <v>26</v>
      </c>
      <c r="C18" s="7803"/>
      <c r="D18" s="10141">
        <v>50102150</v>
      </c>
      <c r="E18" s="10278">
        <f>'WS-PS 2017'!T10</f>
        <v>0</v>
      </c>
      <c r="F18" s="11583">
        <f>'WS-PS ACTUAL JUNE 2018'!Q8</f>
        <v>0</v>
      </c>
      <c r="G18" s="11581">
        <f t="shared" si="0"/>
        <v>20000</v>
      </c>
      <c r="H18" s="11583">
        <v>20000</v>
      </c>
      <c r="I18" s="11583"/>
      <c r="J18" s="11163"/>
      <c r="K18" s="11582">
        <f t="shared" si="1"/>
        <v>30000</v>
      </c>
      <c r="L18" s="10573">
        <f>L15</f>
        <v>30000</v>
      </c>
    </row>
    <row r="19" spans="1:12" ht="15" customHeight="1">
      <c r="A19" s="11570"/>
      <c r="B19" s="7488" t="s">
        <v>11497</v>
      </c>
      <c r="C19" s="7488"/>
      <c r="D19" s="11257">
        <v>50102990</v>
      </c>
      <c r="E19" s="10278"/>
      <c r="F19" s="11583">
        <f>'WS-PS ACTUAL JUNE 2018'!R8</f>
        <v>0</v>
      </c>
      <c r="G19" s="11581">
        <f>H19-F19</f>
        <v>39014</v>
      </c>
      <c r="H19" s="11583">
        <v>39014</v>
      </c>
      <c r="I19" s="11583"/>
      <c r="J19" s="11163"/>
      <c r="K19" s="11582">
        <v>0</v>
      </c>
      <c r="L19" s="7502">
        <f>0.575*(L12/12)</f>
        <v>75252.549999999988</v>
      </c>
    </row>
    <row r="20" spans="1:12" ht="15" customHeight="1">
      <c r="A20" s="11570"/>
      <c r="B20" s="7803" t="s">
        <v>11499</v>
      </c>
      <c r="C20" s="7803"/>
      <c r="D20" s="11059" t="s">
        <v>11495</v>
      </c>
      <c r="E20" s="11583"/>
      <c r="F20" s="11583">
        <f>'WS-PS ACTUAL JUNE 2018'!S8</f>
        <v>0</v>
      </c>
      <c r="G20" s="11581">
        <v>0</v>
      </c>
      <c r="H20" s="11583">
        <v>0</v>
      </c>
      <c r="I20" s="11583"/>
      <c r="J20" s="11163"/>
      <c r="K20" s="11582">
        <f t="shared" si="1"/>
        <v>18000</v>
      </c>
      <c r="L20" s="7502">
        <f>3000*M12</f>
        <v>18000</v>
      </c>
    </row>
    <row r="21" spans="1:12" ht="15" customHeight="1">
      <c r="A21" s="11570"/>
      <c r="B21" s="7803" t="s">
        <v>59</v>
      </c>
      <c r="C21" s="7803"/>
      <c r="D21" s="10141">
        <v>50103010</v>
      </c>
      <c r="E21" s="11583">
        <f>'WS-PS 2017'!V10</f>
        <v>40065.339999999997</v>
      </c>
      <c r="F21" s="11583">
        <f>'WS-PS ACTUAL JUNE 2018'!T8</f>
        <v>49283.88</v>
      </c>
      <c r="G21" s="11581">
        <f t="shared" si="0"/>
        <v>48420.12</v>
      </c>
      <c r="H21" s="11583">
        <v>97704</v>
      </c>
      <c r="I21" s="11583"/>
      <c r="J21" s="11163"/>
      <c r="K21" s="11582">
        <f t="shared" si="1"/>
        <v>188458.56</v>
      </c>
      <c r="L21" s="7502">
        <f>L12*12%</f>
        <v>188458.56</v>
      </c>
    </row>
    <row r="22" spans="1:12" ht="15" customHeight="1">
      <c r="A22" s="11570"/>
      <c r="B22" s="7803" t="s">
        <v>28</v>
      </c>
      <c r="C22" s="7803"/>
      <c r="D22" s="10141">
        <v>50103020</v>
      </c>
      <c r="E22" s="11583">
        <f>'WS-PS 2017'!W10</f>
        <v>1300</v>
      </c>
      <c r="F22" s="11583">
        <f>'WS-PS ACTUAL JUNE 2018'!U8</f>
        <v>2400</v>
      </c>
      <c r="G22" s="11581">
        <f t="shared" si="0"/>
        <v>2400</v>
      </c>
      <c r="H22" s="11583">
        <v>4800</v>
      </c>
      <c r="I22" s="11583"/>
      <c r="J22" s="11163"/>
      <c r="K22" s="11582">
        <f t="shared" si="1"/>
        <v>7200</v>
      </c>
      <c r="L22" s="7502">
        <f>1200*M12</f>
        <v>7200</v>
      </c>
    </row>
    <row r="23" spans="1:12" ht="15" customHeight="1">
      <c r="A23" s="11570"/>
      <c r="B23" s="7803" t="s">
        <v>29</v>
      </c>
      <c r="C23" s="7803"/>
      <c r="D23" s="10141">
        <v>50103030</v>
      </c>
      <c r="E23" s="11583">
        <f>'WS-PS 2017'!X10</f>
        <v>4200</v>
      </c>
      <c r="F23" s="11583">
        <f>'WS-PS ACTUAL JUNE 2018'!V8</f>
        <v>5647.11</v>
      </c>
      <c r="G23" s="11581">
        <f t="shared" si="0"/>
        <v>3352.8900000000003</v>
      </c>
      <c r="H23" s="11583">
        <v>9000</v>
      </c>
      <c r="I23" s="11583"/>
      <c r="J23" s="11163"/>
      <c r="K23" s="11582">
        <v>14889.105</v>
      </c>
      <c r="L23" s="7502">
        <f>3600*M12</f>
        <v>21600</v>
      </c>
    </row>
    <row r="24" spans="1:12" ht="15" customHeight="1">
      <c r="A24" s="11570"/>
      <c r="B24" s="7803" t="s">
        <v>30</v>
      </c>
      <c r="C24" s="7803"/>
      <c r="D24" s="10141">
        <v>50103040</v>
      </c>
      <c r="E24" s="11583">
        <f>'WS-PS 2017'!Y10</f>
        <v>1211.76</v>
      </c>
      <c r="F24" s="11583">
        <f>'WS-PS ACTUAL JUNE 2018'!W8</f>
        <v>2400</v>
      </c>
      <c r="G24" s="11581">
        <f t="shared" si="0"/>
        <v>2400</v>
      </c>
      <c r="H24" s="11583">
        <v>4800</v>
      </c>
      <c r="I24" s="11583"/>
      <c r="J24" s="11163"/>
      <c r="K24" s="11582">
        <f t="shared" si="1"/>
        <v>7200</v>
      </c>
      <c r="L24" s="11933">
        <f>L22</f>
        <v>7200</v>
      </c>
    </row>
    <row r="25" spans="1:12" ht="15" customHeight="1" thickBot="1">
      <c r="A25" s="11573"/>
      <c r="B25" s="7825" t="s">
        <v>37</v>
      </c>
      <c r="C25" s="7825"/>
      <c r="D25" s="11584"/>
      <c r="E25" s="11585">
        <f>SUM(E11:E24)</f>
        <v>437310.91000000003</v>
      </c>
      <c r="F25" s="11585">
        <f>SUM(F11:F24)</f>
        <v>591407.99</v>
      </c>
      <c r="G25" s="11934">
        <f>SUM(G11:G24)</f>
        <v>669810.01</v>
      </c>
      <c r="H25" s="11586">
        <f>SUM(H11:H24)</f>
        <v>1261218</v>
      </c>
      <c r="I25" s="11586"/>
      <c r="J25" s="7327"/>
      <c r="K25" s="11587">
        <f>SUM(K11:K24)</f>
        <v>2307983.665</v>
      </c>
      <c r="L25" s="11556">
        <f>SUM(L12:L24)</f>
        <v>2389947.11</v>
      </c>
    </row>
    <row r="26" spans="1:12" ht="15" customHeight="1">
      <c r="A26" s="8077"/>
      <c r="B26" s="8078"/>
      <c r="C26" s="10529"/>
      <c r="D26" s="8079"/>
      <c r="E26" s="8080"/>
      <c r="F26" s="8080"/>
      <c r="G26" s="9549"/>
      <c r="H26" s="8080"/>
      <c r="I26" s="8080"/>
      <c r="J26" s="7962"/>
      <c r="K26" s="8080"/>
    </row>
    <row r="27" spans="1:12" ht="15" customHeight="1">
      <c r="A27" s="7803"/>
      <c r="B27" s="7809"/>
      <c r="C27" s="7809"/>
      <c r="D27" s="7804"/>
      <c r="E27" s="7824"/>
      <c r="F27" s="7824"/>
      <c r="G27" s="9550"/>
      <c r="H27" s="7824"/>
      <c r="I27" s="7824"/>
      <c r="J27" s="7350"/>
      <c r="K27" s="7824"/>
    </row>
    <row r="28" spans="1:12" ht="15" customHeight="1">
      <c r="A28" s="7803"/>
      <c r="B28" s="7809"/>
      <c r="C28" s="7809"/>
      <c r="D28" s="7804"/>
      <c r="E28" s="7824"/>
      <c r="F28" s="7824"/>
      <c r="G28" s="9550"/>
      <c r="H28" s="7824"/>
      <c r="I28" s="7824"/>
      <c r="J28" s="7350"/>
      <c r="K28" s="7824"/>
    </row>
    <row r="29" spans="1:12" ht="15" customHeight="1">
      <c r="A29" s="7803"/>
      <c r="B29" s="7809"/>
      <c r="C29" s="7809"/>
      <c r="D29" s="7804"/>
      <c r="E29" s="7824"/>
      <c r="F29" s="7824"/>
      <c r="G29" s="9550"/>
      <c r="H29" s="7824"/>
      <c r="I29" s="7824"/>
      <c r="J29" s="7350"/>
      <c r="K29" s="7824"/>
    </row>
    <row r="30" spans="1:12" ht="15" customHeight="1">
      <c r="A30" s="7803"/>
      <c r="B30" s="7809"/>
      <c r="C30" s="7809"/>
      <c r="D30" s="7804"/>
      <c r="E30" s="7824"/>
      <c r="F30" s="7824"/>
      <c r="G30" s="9550"/>
      <c r="H30" s="7824"/>
      <c r="I30" s="7824"/>
      <c r="J30" s="7350"/>
      <c r="K30" s="7824"/>
    </row>
    <row r="31" spans="1:12" ht="15" customHeight="1">
      <c r="A31" s="7803"/>
      <c r="B31" s="7809"/>
      <c r="C31" s="7809"/>
      <c r="D31" s="7804"/>
      <c r="E31" s="7824"/>
      <c r="F31" s="7824"/>
      <c r="G31" s="9550"/>
      <c r="H31" s="7824"/>
      <c r="I31" s="7824"/>
      <c r="J31" s="7350"/>
      <c r="K31" s="7824"/>
    </row>
    <row r="32" spans="1:12" ht="15" customHeight="1">
      <c r="A32" s="7803"/>
      <c r="B32" s="7809"/>
      <c r="C32" s="7809"/>
      <c r="D32" s="7804"/>
      <c r="E32" s="7824"/>
      <c r="F32" s="7824"/>
      <c r="G32" s="9550"/>
      <c r="H32" s="7824"/>
      <c r="I32" s="7824"/>
      <c r="J32" s="7350"/>
      <c r="K32" s="7824"/>
    </row>
    <row r="33" spans="1:11" ht="15" customHeight="1">
      <c r="A33" s="7803"/>
      <c r="B33" s="7809"/>
      <c r="C33" s="7809"/>
      <c r="D33" s="7804"/>
      <c r="E33" s="7824"/>
      <c r="F33" s="7824"/>
      <c r="G33" s="9550"/>
      <c r="H33" s="7824"/>
      <c r="I33" s="7824"/>
      <c r="J33" s="7350"/>
      <c r="K33" s="7824"/>
    </row>
    <row r="34" spans="1:11" ht="15" customHeight="1">
      <c r="A34" s="7803"/>
      <c r="B34" s="7809"/>
      <c r="C34" s="7809"/>
      <c r="D34" s="7804"/>
      <c r="E34" s="7824"/>
      <c r="F34" s="7824"/>
      <c r="G34" s="9550"/>
      <c r="H34" s="7824"/>
      <c r="I34" s="7824"/>
      <c r="J34" s="7350"/>
      <c r="K34" s="7824"/>
    </row>
    <row r="35" spans="1:11" ht="15" customHeight="1">
      <c r="A35" s="7803"/>
      <c r="B35" s="7809"/>
      <c r="C35" s="7809"/>
      <c r="D35" s="7804"/>
      <c r="E35" s="7824"/>
      <c r="F35" s="7824"/>
      <c r="G35" s="9550"/>
      <c r="H35" s="7824"/>
      <c r="I35" s="7824"/>
      <c r="J35" s="7350"/>
      <c r="K35" s="7824"/>
    </row>
    <row r="36" spans="1:11" ht="15" customHeight="1">
      <c r="A36" s="7803"/>
      <c r="B36" s="7809"/>
      <c r="C36" s="7809"/>
      <c r="D36" s="7804"/>
      <c r="E36" s="7824"/>
      <c r="F36" s="7824"/>
      <c r="G36" s="9550"/>
      <c r="H36" s="7824"/>
      <c r="I36" s="7824"/>
      <c r="J36" s="7350"/>
      <c r="K36" s="7824"/>
    </row>
    <row r="37" spans="1:11" ht="15" customHeight="1">
      <c r="A37" s="7803"/>
      <c r="B37" s="7809"/>
      <c r="C37" s="7809"/>
      <c r="D37" s="7804"/>
      <c r="E37" s="7824"/>
      <c r="F37" s="7824"/>
      <c r="G37" s="9550"/>
      <c r="H37" s="7824"/>
      <c r="I37" s="7824"/>
      <c r="J37" s="7350"/>
      <c r="K37" s="7824"/>
    </row>
    <row r="38" spans="1:11" ht="15" customHeight="1">
      <c r="A38" s="7803"/>
      <c r="B38" s="7809"/>
      <c r="C38" s="7809"/>
      <c r="D38" s="7804"/>
      <c r="E38" s="7824"/>
      <c r="F38" s="7824"/>
      <c r="G38" s="9550"/>
      <c r="H38" s="7824"/>
      <c r="I38" s="7824"/>
      <c r="J38" s="7350"/>
      <c r="K38" s="7824"/>
    </row>
    <row r="39" spans="1:11" ht="15" customHeight="1" thickBot="1">
      <c r="A39" s="7805" t="s">
        <v>10791</v>
      </c>
      <c r="B39" s="7825"/>
      <c r="C39" s="7825"/>
      <c r="D39" s="7806"/>
      <c r="E39" s="7826"/>
      <c r="F39" s="7826"/>
      <c r="G39" s="9551"/>
      <c r="H39" s="7826"/>
      <c r="I39" s="7826"/>
      <c r="J39" s="7394"/>
      <c r="K39" s="7826"/>
    </row>
    <row r="40" spans="1:11" ht="15" customHeight="1">
      <c r="A40" s="11566"/>
      <c r="B40" s="10530"/>
      <c r="C40" s="10530"/>
      <c r="D40" s="11567" t="s">
        <v>9</v>
      </c>
      <c r="E40" s="11568" t="s">
        <v>78</v>
      </c>
      <c r="F40" s="14188" t="s">
        <v>10711</v>
      </c>
      <c r="G40" s="14189"/>
      <c r="H40" s="14190"/>
      <c r="I40" s="11568"/>
      <c r="J40" s="9462"/>
      <c r="K40" s="11569" t="s">
        <v>12</v>
      </c>
    </row>
    <row r="41" spans="1:11" ht="15" customHeight="1">
      <c r="A41" s="11570"/>
      <c r="B41" s="7808" t="s">
        <v>13</v>
      </c>
      <c r="C41" s="7808"/>
      <c r="D41" s="14581" t="s">
        <v>14</v>
      </c>
      <c r="E41" s="11571" t="s">
        <v>15</v>
      </c>
      <c r="F41" s="9502" t="s">
        <v>10709</v>
      </c>
      <c r="G41" s="11083" t="s">
        <v>10710</v>
      </c>
      <c r="H41" s="14191" t="s">
        <v>458</v>
      </c>
      <c r="I41" s="11571" t="s">
        <v>9985</v>
      </c>
      <c r="J41" s="11108"/>
      <c r="K41" s="11572" t="s">
        <v>16</v>
      </c>
    </row>
    <row r="42" spans="1:11" ht="15" customHeight="1" thickBot="1">
      <c r="A42" s="11573"/>
      <c r="B42" s="7827"/>
      <c r="C42" s="7827"/>
      <c r="D42" s="14582"/>
      <c r="E42" s="11574">
        <v>2017</v>
      </c>
      <c r="F42" s="9467" t="s">
        <v>457</v>
      </c>
      <c r="G42" s="11076" t="s">
        <v>456</v>
      </c>
      <c r="H42" s="14192"/>
      <c r="I42" s="11574"/>
      <c r="J42" s="7322"/>
      <c r="K42" s="11575">
        <v>2019</v>
      </c>
    </row>
    <row r="43" spans="1:11" ht="15" customHeight="1">
      <c r="A43" s="11577"/>
      <c r="B43" s="7803" t="s">
        <v>38</v>
      </c>
      <c r="C43" s="7803"/>
      <c r="D43" s="10141"/>
      <c r="E43" s="11589"/>
      <c r="F43" s="11589"/>
      <c r="G43" s="11590"/>
      <c r="H43" s="11935"/>
      <c r="I43" s="11935"/>
      <c r="J43" s="11592"/>
      <c r="K43" s="11936"/>
    </row>
    <row r="44" spans="1:11" ht="15" customHeight="1">
      <c r="A44" s="11577"/>
      <c r="B44" s="7803" t="s">
        <v>391</v>
      </c>
      <c r="C44" s="7803"/>
      <c r="D44" s="10141">
        <v>50201010</v>
      </c>
      <c r="E44" s="11583">
        <f>'WS-MOOE 2017'!B10</f>
        <v>15510</v>
      </c>
      <c r="F44" s="11583">
        <f>'WS-MOOE ACTUAL JUNE 2018'!B9</f>
        <v>5210</v>
      </c>
      <c r="G44" s="11581">
        <f t="shared" ref="G44:G56" si="2">H44-F44</f>
        <v>18790</v>
      </c>
      <c r="H44" s="10108">
        <v>24000</v>
      </c>
      <c r="I44" s="11110">
        <v>7210</v>
      </c>
      <c r="J44" s="10110">
        <f>I44/H44</f>
        <v>0.30041666666666667</v>
      </c>
      <c r="K44" s="11937">
        <v>24000</v>
      </c>
    </row>
    <row r="45" spans="1:11" ht="15" customHeight="1">
      <c r="A45" s="11577"/>
      <c r="B45" s="7803" t="s">
        <v>10324</v>
      </c>
      <c r="C45" s="7803"/>
      <c r="D45" s="10141">
        <v>50202010</v>
      </c>
      <c r="E45" s="11583">
        <f>'WS-MOOE 2017'!H10</f>
        <v>0</v>
      </c>
      <c r="F45" s="11583">
        <f>'WS-MOOE ACTUAL JUNE 2018'!G9</f>
        <v>0</v>
      </c>
      <c r="G45" s="11581">
        <f t="shared" si="2"/>
        <v>25000</v>
      </c>
      <c r="H45" s="10396">
        <v>25000</v>
      </c>
      <c r="I45" s="11938">
        <v>0</v>
      </c>
      <c r="J45" s="10110">
        <f t="shared" ref="J45:J56" si="3">I45/H45</f>
        <v>0</v>
      </c>
      <c r="K45" s="11594">
        <v>0</v>
      </c>
    </row>
    <row r="46" spans="1:11" ht="15" customHeight="1">
      <c r="A46" s="11577"/>
      <c r="B46" s="7803" t="s">
        <v>392</v>
      </c>
      <c r="C46" s="7803"/>
      <c r="D46" s="10141">
        <v>50203010</v>
      </c>
      <c r="E46" s="11583">
        <f>'WS-MOOE 2017'!J10</f>
        <v>49628</v>
      </c>
      <c r="F46" s="11583">
        <f>'WS-MOOE ACTUAL JUNE 2018'!L9</f>
        <v>0</v>
      </c>
      <c r="G46" s="11581">
        <f t="shared" si="2"/>
        <v>72000</v>
      </c>
      <c r="H46" s="10108">
        <v>72000</v>
      </c>
      <c r="I46" s="11110">
        <v>30000</v>
      </c>
      <c r="J46" s="10110">
        <f t="shared" si="3"/>
        <v>0.41666666666666669</v>
      </c>
      <c r="K46" s="11937">
        <v>76000</v>
      </c>
    </row>
    <row r="47" spans="1:11" ht="15" hidden="1" customHeight="1">
      <c r="A47" s="11577"/>
      <c r="B47" s="7803" t="s">
        <v>10336</v>
      </c>
      <c r="C47" s="7803"/>
      <c r="D47" s="10141">
        <v>761</v>
      </c>
      <c r="E47" s="11583"/>
      <c r="F47" s="11583"/>
      <c r="G47" s="11581">
        <f t="shared" si="2"/>
        <v>0</v>
      </c>
      <c r="H47" s="10396"/>
      <c r="I47" s="11938"/>
      <c r="J47" s="10110" t="e">
        <f t="shared" si="3"/>
        <v>#DIV/0!</v>
      </c>
      <c r="K47" s="11594"/>
    </row>
    <row r="48" spans="1:11" ht="15" hidden="1" customHeight="1">
      <c r="A48" s="11577"/>
      <c r="B48" s="7803" t="s">
        <v>394</v>
      </c>
      <c r="C48" s="7803"/>
      <c r="D48" s="10141">
        <v>766</v>
      </c>
      <c r="E48" s="11583"/>
      <c r="F48" s="11583"/>
      <c r="G48" s="11581">
        <f t="shared" si="2"/>
        <v>0</v>
      </c>
      <c r="H48" s="10396"/>
      <c r="I48" s="11938"/>
      <c r="J48" s="10110" t="e">
        <f t="shared" si="3"/>
        <v>#DIV/0!</v>
      </c>
      <c r="K48" s="11594"/>
    </row>
    <row r="49" spans="1:12" ht="15" hidden="1" customHeight="1">
      <c r="A49" s="11577"/>
      <c r="B49" s="7803" t="s">
        <v>395</v>
      </c>
      <c r="C49" s="7803"/>
      <c r="D49" s="10141">
        <v>767</v>
      </c>
      <c r="E49" s="11583"/>
      <c r="F49" s="11583"/>
      <c r="G49" s="11581">
        <f t="shared" si="2"/>
        <v>0</v>
      </c>
      <c r="H49" s="10396"/>
      <c r="I49" s="11938"/>
      <c r="J49" s="10110" t="e">
        <f t="shared" si="3"/>
        <v>#DIV/0!</v>
      </c>
      <c r="K49" s="11594"/>
    </row>
    <row r="50" spans="1:12" ht="15" hidden="1" customHeight="1">
      <c r="A50" s="11577"/>
      <c r="B50" s="7803" t="s">
        <v>396</v>
      </c>
      <c r="C50" s="7803"/>
      <c r="D50" s="10141">
        <v>771</v>
      </c>
      <c r="E50" s="11583"/>
      <c r="F50" s="11583"/>
      <c r="G50" s="11581">
        <f t="shared" si="2"/>
        <v>0</v>
      </c>
      <c r="H50" s="10396"/>
      <c r="I50" s="11938"/>
      <c r="J50" s="10110" t="e">
        <f t="shared" si="3"/>
        <v>#DIV/0!</v>
      </c>
      <c r="K50" s="11594"/>
    </row>
    <row r="51" spans="1:12" ht="15" customHeight="1">
      <c r="A51" s="11577"/>
      <c r="B51" s="7803" t="s">
        <v>10337</v>
      </c>
      <c r="C51" s="7803"/>
      <c r="D51" s="11596">
        <v>50205020</v>
      </c>
      <c r="E51" s="11583">
        <f>'WS-MOOE 2017'!AA10</f>
        <v>22597.15</v>
      </c>
      <c r="F51" s="11583">
        <f>'WS-MOOE ACTUAL JUNE 2018'!V9</f>
        <v>8541.31</v>
      </c>
      <c r="G51" s="11581">
        <f t="shared" si="2"/>
        <v>39458.69</v>
      </c>
      <c r="H51" s="10108">
        <v>48000</v>
      </c>
      <c r="I51" s="11110">
        <v>11891.68</v>
      </c>
      <c r="J51" s="10110">
        <f t="shared" si="3"/>
        <v>0.24774333333333334</v>
      </c>
      <c r="K51" s="11937">
        <v>36000</v>
      </c>
    </row>
    <row r="52" spans="1:12" ht="15" hidden="1" customHeight="1">
      <c r="A52" s="11577"/>
      <c r="B52" s="7803" t="s">
        <v>10338</v>
      </c>
      <c r="C52" s="7803"/>
      <c r="D52" s="11939"/>
      <c r="E52" s="11583">
        <f>'WS-MOOE 2017'!AC10</f>
        <v>0</v>
      </c>
      <c r="F52" s="11583"/>
      <c r="G52" s="11581">
        <f t="shared" si="2"/>
        <v>0</v>
      </c>
      <c r="H52" s="10396"/>
      <c r="I52" s="11940">
        <v>0</v>
      </c>
      <c r="J52" s="10110" t="e">
        <f t="shared" si="3"/>
        <v>#DIV/0!</v>
      </c>
      <c r="K52" s="11594"/>
    </row>
    <row r="53" spans="1:12" ht="15" hidden="1" customHeight="1">
      <c r="A53" s="11577"/>
      <c r="B53" s="7803" t="s">
        <v>9969</v>
      </c>
      <c r="C53" s="7803"/>
      <c r="D53" s="11939">
        <v>795</v>
      </c>
      <c r="E53" s="11583"/>
      <c r="F53" s="11583"/>
      <c r="G53" s="11581">
        <f t="shared" si="2"/>
        <v>0</v>
      </c>
      <c r="H53" s="10396"/>
      <c r="I53" s="11940"/>
      <c r="J53" s="10110" t="e">
        <f t="shared" si="3"/>
        <v>#DIV/0!</v>
      </c>
      <c r="K53" s="11594"/>
    </row>
    <row r="54" spans="1:12" ht="15" hidden="1" customHeight="1">
      <c r="A54" s="11577"/>
      <c r="B54" s="7803" t="s">
        <v>397</v>
      </c>
      <c r="C54" s="7803"/>
      <c r="D54" s="10141"/>
      <c r="E54" s="11583"/>
      <c r="F54" s="11583"/>
      <c r="G54" s="11581">
        <f t="shared" si="2"/>
        <v>0</v>
      </c>
      <c r="H54" s="10396"/>
      <c r="I54" s="11940"/>
      <c r="J54" s="10110" t="e">
        <f t="shared" si="3"/>
        <v>#DIV/0!</v>
      </c>
      <c r="K54" s="11594"/>
    </row>
    <row r="55" spans="1:12" ht="15" hidden="1" customHeight="1">
      <c r="A55" s="11577"/>
      <c r="B55" s="7803" t="s">
        <v>398</v>
      </c>
      <c r="C55" s="7803"/>
      <c r="D55" s="10141" t="s">
        <v>119</v>
      </c>
      <c r="E55" s="11583"/>
      <c r="F55" s="11583"/>
      <c r="G55" s="11581">
        <f t="shared" si="2"/>
        <v>0</v>
      </c>
      <c r="H55" s="10396"/>
      <c r="I55" s="11940"/>
      <c r="J55" s="10110" t="e">
        <f t="shared" si="3"/>
        <v>#DIV/0!</v>
      </c>
      <c r="K55" s="11594"/>
    </row>
    <row r="56" spans="1:12" ht="15" hidden="1" customHeight="1">
      <c r="A56" s="11577"/>
      <c r="B56" s="7803" t="s">
        <v>399</v>
      </c>
      <c r="C56" s="7803"/>
      <c r="D56" s="10141"/>
      <c r="E56" s="11583">
        <f>'WS-MOOE 2017'!AO10</f>
        <v>0</v>
      </c>
      <c r="F56" s="11583"/>
      <c r="G56" s="11581">
        <f t="shared" si="2"/>
        <v>0</v>
      </c>
      <c r="H56" s="10396">
        <v>0</v>
      </c>
      <c r="I56" s="11940">
        <v>0</v>
      </c>
      <c r="J56" s="10110" t="e">
        <f t="shared" si="3"/>
        <v>#DIV/0!</v>
      </c>
      <c r="K56" s="11594">
        <v>0</v>
      </c>
    </row>
    <row r="57" spans="1:12" ht="15" hidden="1" customHeight="1">
      <c r="A57" s="11577"/>
      <c r="B57" s="7803" t="s">
        <v>400</v>
      </c>
      <c r="C57" s="7803"/>
      <c r="D57" s="10141">
        <v>811</v>
      </c>
      <c r="E57" s="11583"/>
      <c r="F57" s="11583"/>
      <c r="G57" s="11578"/>
      <c r="H57" s="10396"/>
      <c r="I57" s="10396"/>
      <c r="J57" s="10397"/>
      <c r="K57" s="11594"/>
    </row>
    <row r="58" spans="1:12" ht="15" hidden="1" customHeight="1">
      <c r="A58" s="11577"/>
      <c r="B58" s="7803" t="s">
        <v>401</v>
      </c>
      <c r="C58" s="7803"/>
      <c r="D58" s="10141">
        <v>823</v>
      </c>
      <c r="E58" s="11583"/>
      <c r="F58" s="11583"/>
      <c r="G58" s="11578"/>
      <c r="H58" s="10396"/>
      <c r="I58" s="10396"/>
      <c r="J58" s="10397"/>
      <c r="K58" s="11594"/>
    </row>
    <row r="59" spans="1:12" ht="15" hidden="1" customHeight="1">
      <c r="A59" s="11570"/>
      <c r="B59" s="7803" t="s">
        <v>402</v>
      </c>
      <c r="C59" s="7803"/>
      <c r="D59" s="10141">
        <v>892</v>
      </c>
      <c r="E59" s="11583"/>
      <c r="F59" s="11583"/>
      <c r="G59" s="11578"/>
      <c r="H59" s="10396"/>
      <c r="I59" s="10396"/>
      <c r="J59" s="10397"/>
      <c r="K59" s="11594"/>
    </row>
    <row r="60" spans="1:12" ht="15" hidden="1" customHeight="1">
      <c r="A60" s="11570"/>
      <c r="B60" s="7803" t="s">
        <v>10325</v>
      </c>
      <c r="C60" s="7803"/>
      <c r="D60" s="10141">
        <v>969</v>
      </c>
      <c r="E60" s="11583"/>
      <c r="F60" s="11583"/>
      <c r="G60" s="11578"/>
      <c r="H60" s="10396"/>
      <c r="I60" s="10396"/>
      <c r="J60" s="10397"/>
      <c r="K60" s="11594"/>
    </row>
    <row r="61" spans="1:12" ht="15" customHeight="1">
      <c r="A61" s="11570"/>
      <c r="B61" s="7803"/>
      <c r="C61" s="7803"/>
      <c r="D61" s="10141"/>
      <c r="E61" s="11583"/>
      <c r="F61" s="11583"/>
      <c r="G61" s="11578"/>
      <c r="H61" s="11588"/>
      <c r="I61" s="11588"/>
      <c r="J61" s="11941"/>
      <c r="K61" s="11942"/>
    </row>
    <row r="62" spans="1:12" ht="15" customHeight="1">
      <c r="A62" s="11570"/>
      <c r="B62" s="7809" t="s">
        <v>37</v>
      </c>
      <c r="C62" s="7809"/>
      <c r="D62" s="10141"/>
      <c r="E62" s="9540">
        <f>SUM(E44:E60)</f>
        <v>87735.15</v>
      </c>
      <c r="F62" s="11601">
        <f>SUM(F44:F60)</f>
        <v>13751.31</v>
      </c>
      <c r="G62" s="11943">
        <f>SUM(G44:G60)</f>
        <v>155248.69</v>
      </c>
      <c r="H62" s="11601">
        <f>SUM(H44:H60)</f>
        <v>169000</v>
      </c>
      <c r="I62" s="11601">
        <f>SUM(I44:I60)</f>
        <v>49101.68</v>
      </c>
      <c r="J62" s="11601"/>
      <c r="K62" s="11619">
        <f>SUM(K44:K60)</f>
        <v>136000</v>
      </c>
      <c r="L62" s="10391">
        <f>(K62-H62)/H62</f>
        <v>-0.19526627218934911</v>
      </c>
    </row>
    <row r="63" spans="1:12" ht="15" customHeight="1">
      <c r="A63" s="11570"/>
      <c r="B63" s="7803"/>
      <c r="C63" s="7803"/>
      <c r="D63" s="10141"/>
      <c r="E63" s="11605"/>
      <c r="F63" s="11606"/>
      <c r="G63" s="11607"/>
      <c r="H63" s="11608"/>
      <c r="I63" s="11608"/>
      <c r="J63" s="11503"/>
      <c r="K63" s="11609"/>
    </row>
    <row r="64" spans="1:12" ht="15" customHeight="1">
      <c r="A64" s="11577" t="s">
        <v>51</v>
      </c>
      <c r="B64" s="7803" t="s">
        <v>52</v>
      </c>
      <c r="C64" s="7803"/>
      <c r="D64" s="10141"/>
      <c r="E64" s="11610"/>
      <c r="F64" s="11610"/>
      <c r="G64" s="11611"/>
      <c r="H64" s="11583"/>
      <c r="I64" s="11583"/>
      <c r="J64" s="11583"/>
      <c r="K64" s="11612"/>
    </row>
    <row r="65" spans="1:13" ht="15" customHeight="1">
      <c r="A65" s="11577"/>
      <c r="B65" s="7803"/>
      <c r="C65" s="7803"/>
      <c r="D65" s="10141"/>
      <c r="E65" s="11610"/>
      <c r="F65" s="11610"/>
      <c r="G65" s="11611"/>
      <c r="H65" s="11583"/>
      <c r="I65" s="11583"/>
      <c r="J65" s="11163"/>
      <c r="K65" s="11612"/>
    </row>
    <row r="66" spans="1:13" ht="15" customHeight="1">
      <c r="A66" s="11577"/>
      <c r="B66" s="7810" t="s">
        <v>10001</v>
      </c>
      <c r="C66" s="7810"/>
      <c r="D66" s="10141">
        <v>50705020</v>
      </c>
      <c r="E66" s="11944">
        <f>'WS-CO 2017'!F9</f>
        <v>29500</v>
      </c>
      <c r="F66" s="11944">
        <v>0</v>
      </c>
      <c r="G66" s="11581">
        <f>H66-F66</f>
        <v>30000</v>
      </c>
      <c r="H66" s="10278">
        <v>30000</v>
      </c>
      <c r="I66" s="10278">
        <v>30000</v>
      </c>
      <c r="J66" s="8799">
        <f>I66/H66</f>
        <v>1</v>
      </c>
      <c r="K66" s="11945">
        <v>0</v>
      </c>
    </row>
    <row r="67" spans="1:13" ht="15" customHeight="1">
      <c r="A67" s="11577"/>
      <c r="B67" s="8100" t="s">
        <v>11761</v>
      </c>
      <c r="C67" s="8100"/>
      <c r="D67" s="11487">
        <v>50799990</v>
      </c>
      <c r="E67" s="11610"/>
      <c r="F67" s="11610"/>
      <c r="G67" s="11611"/>
      <c r="H67" s="11583"/>
      <c r="I67" s="11583"/>
      <c r="J67" s="11163"/>
      <c r="K67" s="11612">
        <v>35000</v>
      </c>
    </row>
    <row r="68" spans="1:13" ht="15" customHeight="1">
      <c r="A68" s="11946"/>
      <c r="B68" s="11947"/>
      <c r="C68" s="10392"/>
      <c r="D68" s="10394"/>
      <c r="E68" s="10392"/>
      <c r="F68" s="10392"/>
      <c r="G68" s="10395"/>
      <c r="H68" s="10392"/>
      <c r="I68" s="10392"/>
      <c r="J68" s="9413"/>
      <c r="K68" s="11626"/>
    </row>
    <row r="69" spans="1:13" ht="15" customHeight="1">
      <c r="A69" s="11577"/>
      <c r="B69" s="7803"/>
      <c r="C69" s="7803"/>
      <c r="D69" s="10141"/>
      <c r="E69" s="11614"/>
      <c r="F69" s="11614"/>
      <c r="G69" s="11611"/>
      <c r="H69" s="10278"/>
      <c r="I69" s="10278"/>
      <c r="J69" s="8799"/>
      <c r="K69" s="11945"/>
    </row>
    <row r="70" spans="1:13" s="7811" customFormat="1" ht="15" customHeight="1">
      <c r="A70" s="11615"/>
      <c r="B70" s="7809" t="s">
        <v>37</v>
      </c>
      <c r="C70" s="7809"/>
      <c r="D70" s="11616"/>
      <c r="E70" s="11617">
        <f>SUM(E66:E69)</f>
        <v>29500</v>
      </c>
      <c r="F70" s="11617">
        <f>SUM(F66:F69)</f>
        <v>0</v>
      </c>
      <c r="G70" s="11618">
        <f>SUM(G66:G69)</f>
        <v>30000</v>
      </c>
      <c r="H70" s="9540">
        <f>SUM(H66:H66)</f>
        <v>30000</v>
      </c>
      <c r="I70" s="9540">
        <f>SUM(I66:I66)</f>
        <v>30000</v>
      </c>
      <c r="J70" s="9466"/>
      <c r="K70" s="11644">
        <f>SUM(K66:K69)</f>
        <v>35000</v>
      </c>
      <c r="L70" s="10391">
        <f>(K70-H70)/H70</f>
        <v>0.16666666666666666</v>
      </c>
      <c r="M70" s="10242"/>
    </row>
    <row r="71" spans="1:13" s="7811" customFormat="1" ht="15" customHeight="1">
      <c r="A71" s="11615"/>
      <c r="B71" s="7809"/>
      <c r="C71" s="7809"/>
      <c r="D71" s="11616"/>
      <c r="E71" s="11948"/>
      <c r="F71" s="11948"/>
      <c r="G71" s="11949"/>
      <c r="H71" s="11950"/>
      <c r="I71" s="11950"/>
      <c r="J71" s="11951"/>
      <c r="K71" s="11952"/>
      <c r="M71" s="10242"/>
    </row>
    <row r="72" spans="1:13" ht="15" customHeight="1">
      <c r="A72" s="11577" t="s">
        <v>53</v>
      </c>
      <c r="B72" s="7803" t="s">
        <v>54</v>
      </c>
      <c r="C72" s="7803"/>
      <c r="D72" s="10141"/>
      <c r="E72" s="11614"/>
      <c r="F72" s="11944"/>
      <c r="G72" s="11464"/>
      <c r="H72" s="10393"/>
      <c r="I72" s="10393"/>
      <c r="J72" s="9413"/>
      <c r="K72" s="11821"/>
    </row>
    <row r="73" spans="1:13" ht="15" customHeight="1">
      <c r="A73" s="11577"/>
      <c r="B73" s="7803"/>
      <c r="C73" s="7803"/>
      <c r="D73" s="10141"/>
      <c r="E73" s="11614"/>
      <c r="F73" s="11944"/>
      <c r="G73" s="11464"/>
      <c r="H73" s="10393"/>
      <c r="I73" s="10393"/>
      <c r="J73" s="9413"/>
      <c r="K73" s="11821"/>
    </row>
    <row r="74" spans="1:13" ht="15" customHeight="1">
      <c r="A74" s="11577"/>
      <c r="B74" s="7352" t="s">
        <v>11682</v>
      </c>
      <c r="C74" s="7352"/>
      <c r="D74" s="10141">
        <v>3399</v>
      </c>
      <c r="E74" s="11932">
        <v>1339427.6000000001</v>
      </c>
      <c r="F74" s="11944">
        <v>141030</v>
      </c>
      <c r="G74" s="11581">
        <f>H74-F74</f>
        <v>5858970</v>
      </c>
      <c r="H74" s="10393">
        <v>6000000</v>
      </c>
      <c r="I74" s="10393">
        <v>3075320.72</v>
      </c>
      <c r="J74" s="9413">
        <f>I74/H74</f>
        <v>0.51255345333333335</v>
      </c>
      <c r="K74" s="11821">
        <v>6000000</v>
      </c>
    </row>
    <row r="75" spans="1:13" ht="15" hidden="1" customHeight="1">
      <c r="A75" s="11577"/>
      <c r="B75" s="11429" t="s">
        <v>11821</v>
      </c>
      <c r="C75" s="7352"/>
      <c r="D75" s="10141"/>
      <c r="E75" s="11932"/>
      <c r="F75" s="11944"/>
      <c r="G75" s="11581"/>
      <c r="H75" s="10393"/>
      <c r="I75" s="10393"/>
      <c r="J75" s="9413"/>
      <c r="K75" s="11821"/>
    </row>
    <row r="76" spans="1:13" ht="15" customHeight="1">
      <c r="A76" s="11577"/>
      <c r="B76" s="7501" t="s">
        <v>11683</v>
      </c>
      <c r="C76" s="7501"/>
      <c r="D76" s="10141">
        <v>3992</v>
      </c>
      <c r="E76" s="11932">
        <v>5532500</v>
      </c>
      <c r="F76" s="11944">
        <v>237500</v>
      </c>
      <c r="G76" s="11581">
        <f>H76-F76</f>
        <v>5762500</v>
      </c>
      <c r="H76" s="10393">
        <v>6000000</v>
      </c>
      <c r="I76" s="10393">
        <v>2615000</v>
      </c>
      <c r="J76" s="9413">
        <f>I76/H76</f>
        <v>0.43583333333333335</v>
      </c>
      <c r="K76" s="11821">
        <v>6000000</v>
      </c>
    </row>
    <row r="77" spans="1:13" ht="15" customHeight="1">
      <c r="A77" s="11577"/>
      <c r="B77" s="11429"/>
      <c r="C77" s="7501"/>
      <c r="D77" s="10141"/>
      <c r="E77" s="11953"/>
      <c r="F77" s="11954"/>
      <c r="G77" s="11464"/>
      <c r="H77" s="10393"/>
      <c r="I77" s="10393"/>
      <c r="J77" s="9413"/>
      <c r="K77" s="11821"/>
    </row>
    <row r="78" spans="1:13" s="7811" customFormat="1" ht="15" customHeight="1">
      <c r="A78" s="11642"/>
      <c r="B78" s="11643" t="s">
        <v>4680</v>
      </c>
      <c r="C78" s="11643"/>
      <c r="D78" s="11616"/>
      <c r="E78" s="9540">
        <f>SUM(E74:E76)</f>
        <v>6871927.5999999996</v>
      </c>
      <c r="F78" s="9540">
        <f>SUM(F74:F76)</f>
        <v>378530</v>
      </c>
      <c r="G78" s="11955">
        <f>SUM(G74:G76)</f>
        <v>11621470</v>
      </c>
      <c r="H78" s="9540">
        <f>SUM(H74:H76)</f>
        <v>12000000</v>
      </c>
      <c r="I78" s="9540">
        <f>SUM(I74:I76)</f>
        <v>5690320.7200000007</v>
      </c>
      <c r="J78" s="9466"/>
      <c r="K78" s="11644">
        <f>SUM(K74:K76)</f>
        <v>12000000</v>
      </c>
      <c r="L78" s="10391">
        <f>(K78-H78)/H78</f>
        <v>0</v>
      </c>
      <c r="M78" s="10242"/>
    </row>
    <row r="79" spans="1:13" s="7811" customFormat="1" ht="15" customHeight="1">
      <c r="A79" s="11645"/>
      <c r="B79" s="11646"/>
      <c r="C79" s="11646"/>
      <c r="D79" s="11648"/>
      <c r="E79" s="11956"/>
      <c r="F79" s="11956"/>
      <c r="G79" s="11957"/>
      <c r="H79" s="11950"/>
      <c r="I79" s="11950"/>
      <c r="J79" s="11951"/>
      <c r="K79" s="11952"/>
      <c r="M79" s="10242"/>
    </row>
    <row r="80" spans="1:13" ht="15" customHeight="1" thickBot="1">
      <c r="A80" s="11649"/>
      <c r="B80" s="11650" t="s">
        <v>55</v>
      </c>
      <c r="C80" s="11650"/>
      <c r="D80" s="11652"/>
      <c r="E80" s="11586">
        <f>(E25+E62+E78+E70)</f>
        <v>7426473.6600000001</v>
      </c>
      <c r="F80" s="11586">
        <f>(F25+F62+F78+F70)</f>
        <v>983689.3</v>
      </c>
      <c r="G80" s="11958">
        <f>(G25+G62+G78+G70)</f>
        <v>12476528.699999999</v>
      </c>
      <c r="H80" s="11585">
        <f>SUM(H62+H70+H78+H25)</f>
        <v>13460218</v>
      </c>
      <c r="I80" s="11585"/>
      <c r="J80" s="11449"/>
      <c r="K80" s="11959">
        <f>SUM(K62+K70+K78+K25)</f>
        <v>14478983.664999999</v>
      </c>
      <c r="L80" s="10391">
        <f>(K80-H80)/H80</f>
        <v>7.5687159375873336E-2</v>
      </c>
    </row>
    <row r="81" spans="1:13" s="7333" customFormat="1" ht="15" customHeight="1">
      <c r="A81" s="7812" t="s">
        <v>4763</v>
      </c>
      <c r="B81" s="7812"/>
      <c r="C81" s="7812"/>
      <c r="D81" s="7813"/>
      <c r="E81" s="7812"/>
      <c r="F81" s="7812"/>
      <c r="G81" s="9519"/>
      <c r="J81" s="7816"/>
      <c r="L81" s="7748"/>
      <c r="M81" s="7842"/>
    </row>
    <row r="82" spans="1:13" s="7333" customFormat="1" ht="15" customHeight="1">
      <c r="A82" s="7812"/>
      <c r="B82" s="7812"/>
      <c r="C82" s="7812"/>
      <c r="D82" s="7813"/>
      <c r="E82" s="7812"/>
      <c r="F82" s="7812"/>
      <c r="G82" s="9519"/>
      <c r="J82" s="7816"/>
      <c r="L82" s="7748"/>
      <c r="M82" s="7842"/>
    </row>
    <row r="83" spans="1:13" ht="15" hidden="1" customHeight="1">
      <c r="A83" s="7761" t="s">
        <v>3483</v>
      </c>
      <c r="B83" s="7761"/>
      <c r="C83" s="7761"/>
      <c r="D83" s="10870" t="s">
        <v>3484</v>
      </c>
      <c r="F83" s="7761"/>
      <c r="G83" s="9459" t="s">
        <v>10666</v>
      </c>
      <c r="I83" s="7337" t="s">
        <v>10666</v>
      </c>
      <c r="J83" s="7337"/>
      <c r="K83" s="7337"/>
    </row>
    <row r="84" spans="1:13" ht="15" hidden="1" customHeight="1">
      <c r="A84" s="7761"/>
      <c r="B84" s="7761"/>
      <c r="C84" s="7761"/>
      <c r="D84" s="10870"/>
      <c r="F84" s="7761"/>
      <c r="G84" s="9459"/>
      <c r="I84" s="7337"/>
      <c r="J84" s="7337"/>
      <c r="K84" s="7337"/>
    </row>
    <row r="85" spans="1:13" ht="15" hidden="1" customHeight="1">
      <c r="A85" s="7761"/>
      <c r="B85" s="7761"/>
      <c r="C85" s="7761"/>
      <c r="D85" s="7799"/>
      <c r="E85" s="10870"/>
      <c r="F85" s="7761"/>
      <c r="G85" s="9531"/>
      <c r="H85" s="7339"/>
      <c r="I85" s="7339"/>
      <c r="J85" s="7339"/>
      <c r="K85" s="7339"/>
    </row>
    <row r="86" spans="1:13" ht="15" hidden="1" customHeight="1">
      <c r="A86" s="14304" t="s">
        <v>12065</v>
      </c>
      <c r="B86" s="14304"/>
      <c r="C86" s="14304"/>
      <c r="D86" s="14304"/>
      <c r="E86" s="9604" t="s">
        <v>12059</v>
      </c>
      <c r="F86" s="7765"/>
      <c r="G86" s="9552"/>
      <c r="H86" s="7342" t="s">
        <v>10667</v>
      </c>
      <c r="I86" s="7342" t="s">
        <v>9154</v>
      </c>
      <c r="J86" s="7342"/>
      <c r="K86" s="7342"/>
    </row>
    <row r="87" spans="1:13" ht="15" hidden="1" customHeight="1">
      <c r="A87" s="14245" t="s">
        <v>12066</v>
      </c>
      <c r="B87" s="14245"/>
      <c r="C87" s="14245"/>
      <c r="D87" s="14245"/>
      <c r="E87" s="7821" t="s">
        <v>10347</v>
      </c>
      <c r="F87" s="7821"/>
      <c r="G87" s="9553"/>
      <c r="H87" s="7344" t="s">
        <v>10668</v>
      </c>
      <c r="I87" s="7344" t="s">
        <v>10665</v>
      </c>
      <c r="J87" s="7344"/>
      <c r="K87" s="7344"/>
    </row>
    <row r="89" spans="1:13" ht="15" customHeight="1">
      <c r="I89" s="7823"/>
    </row>
  </sheetData>
  <mergeCells count="10">
    <mergeCell ref="A1:K1"/>
    <mergeCell ref="F6:H6"/>
    <mergeCell ref="H7:H8"/>
    <mergeCell ref="F40:H40"/>
    <mergeCell ref="A87:D87"/>
    <mergeCell ref="D41:D42"/>
    <mergeCell ref="H41:H42"/>
    <mergeCell ref="A86:D86"/>
    <mergeCell ref="D7:D8"/>
    <mergeCell ref="K3:K4"/>
  </mergeCells>
  <printOptions horizontalCentered="1" gridLinesSet="0"/>
  <pageMargins left="0.25" right="0.25" top="0.5" bottom="0.25" header="0.25" footer="0.25"/>
  <pageSetup paperSize="119" firstPageNumber="36" orientation="landscape" useFirstPageNumber="1" r:id="rId1"/>
  <headerFooter alignWithMargins="0"/>
</worksheet>
</file>

<file path=xl/worksheets/sheet59.xml><?xml version="1.0" encoding="utf-8"?>
<worksheet xmlns="http://schemas.openxmlformats.org/spreadsheetml/2006/main" xmlns:r="http://schemas.openxmlformats.org/officeDocument/2006/relationships">
  <sheetPr codeName="Sheet99">
    <tabColor rgb="FFFFFF00"/>
  </sheetPr>
  <dimension ref="A1:J60"/>
  <sheetViews>
    <sheetView topLeftCell="A25" workbookViewId="0">
      <selection activeCell="G25" sqref="G1:Q1048576"/>
    </sheetView>
  </sheetViews>
  <sheetFormatPr defaultRowHeight="12.9" customHeight="1"/>
  <cols>
    <col min="1" max="1" width="40.5546875" style="7001" customWidth="1"/>
    <col min="2" max="3" width="8.5546875" style="7001" customWidth="1"/>
    <col min="4" max="4" width="27.109375" style="7001" hidden="1" customWidth="1"/>
    <col min="5" max="7" width="14.5546875" style="7001" customWidth="1"/>
    <col min="8" max="9" width="8.88671875" style="7001" customWidth="1"/>
    <col min="10" max="10" width="12.44140625" style="7001" customWidth="1"/>
    <col min="11" max="16" width="8.88671875" style="7001" customWidth="1"/>
    <col min="17" max="256" width="9.109375" style="7001"/>
    <col min="257" max="257" width="33.44140625" style="7001" customWidth="1"/>
    <col min="258" max="258" width="7.44140625" style="7001" customWidth="1"/>
    <col min="259" max="259" width="7" style="7001" customWidth="1"/>
    <col min="260" max="260" width="0" style="7001" hidden="1" customWidth="1"/>
    <col min="261" max="261" width="10.109375" style="7001" customWidth="1"/>
    <col min="262" max="262" width="14.44140625" style="7001" customWidth="1"/>
    <col min="263" max="263" width="17.109375" style="7001" customWidth="1"/>
    <col min="264" max="512" width="9.109375" style="7001"/>
    <col min="513" max="513" width="33.44140625" style="7001" customWidth="1"/>
    <col min="514" max="514" width="7.44140625" style="7001" customWidth="1"/>
    <col min="515" max="515" width="7" style="7001" customWidth="1"/>
    <col min="516" max="516" width="0" style="7001" hidden="1" customWidth="1"/>
    <col min="517" max="517" width="10.109375" style="7001" customWidth="1"/>
    <col min="518" max="518" width="14.44140625" style="7001" customWidth="1"/>
    <col min="519" max="519" width="17.109375" style="7001" customWidth="1"/>
    <col min="520" max="768" width="9.109375" style="7001"/>
    <col min="769" max="769" width="33.44140625" style="7001" customWidth="1"/>
    <col min="770" max="770" width="7.44140625" style="7001" customWidth="1"/>
    <col min="771" max="771" width="7" style="7001" customWidth="1"/>
    <col min="772" max="772" width="0" style="7001" hidden="1" customWidth="1"/>
    <col min="773" max="773" width="10.109375" style="7001" customWidth="1"/>
    <col min="774" max="774" width="14.44140625" style="7001" customWidth="1"/>
    <col min="775" max="775" width="17.109375" style="7001" customWidth="1"/>
    <col min="776" max="1024" width="9.109375" style="7001"/>
    <col min="1025" max="1025" width="33.44140625" style="7001" customWidth="1"/>
    <col min="1026" max="1026" width="7.44140625" style="7001" customWidth="1"/>
    <col min="1027" max="1027" width="7" style="7001" customWidth="1"/>
    <col min="1028" max="1028" width="0" style="7001" hidden="1" customWidth="1"/>
    <col min="1029" max="1029" width="10.109375" style="7001" customWidth="1"/>
    <col min="1030" max="1030" width="14.44140625" style="7001" customWidth="1"/>
    <col min="1031" max="1031" width="17.109375" style="7001" customWidth="1"/>
    <col min="1032" max="1280" width="9.109375" style="7001"/>
    <col min="1281" max="1281" width="33.44140625" style="7001" customWidth="1"/>
    <col min="1282" max="1282" width="7.44140625" style="7001" customWidth="1"/>
    <col min="1283" max="1283" width="7" style="7001" customWidth="1"/>
    <col min="1284" max="1284" width="0" style="7001" hidden="1" customWidth="1"/>
    <col min="1285" max="1285" width="10.109375" style="7001" customWidth="1"/>
    <col min="1286" max="1286" width="14.44140625" style="7001" customWidth="1"/>
    <col min="1287" max="1287" width="17.109375" style="7001" customWidth="1"/>
    <col min="1288" max="1536" width="9.109375" style="7001"/>
    <col min="1537" max="1537" width="33.44140625" style="7001" customWidth="1"/>
    <col min="1538" max="1538" width="7.44140625" style="7001" customWidth="1"/>
    <col min="1539" max="1539" width="7" style="7001" customWidth="1"/>
    <col min="1540" max="1540" width="0" style="7001" hidden="1" customWidth="1"/>
    <col min="1541" max="1541" width="10.109375" style="7001" customWidth="1"/>
    <col min="1542" max="1542" width="14.44140625" style="7001" customWidth="1"/>
    <col min="1543" max="1543" width="17.109375" style="7001" customWidth="1"/>
    <col min="1544" max="1792" width="9.109375" style="7001"/>
    <col min="1793" max="1793" width="33.44140625" style="7001" customWidth="1"/>
    <col min="1794" max="1794" width="7.44140625" style="7001" customWidth="1"/>
    <col min="1795" max="1795" width="7" style="7001" customWidth="1"/>
    <col min="1796" max="1796" width="0" style="7001" hidden="1" customWidth="1"/>
    <col min="1797" max="1797" width="10.109375" style="7001" customWidth="1"/>
    <col min="1798" max="1798" width="14.44140625" style="7001" customWidth="1"/>
    <col min="1799" max="1799" width="17.109375" style="7001" customWidth="1"/>
    <col min="1800" max="2048" width="9.109375" style="7001"/>
    <col min="2049" max="2049" width="33.44140625" style="7001" customWidth="1"/>
    <col min="2050" max="2050" width="7.44140625" style="7001" customWidth="1"/>
    <col min="2051" max="2051" width="7" style="7001" customWidth="1"/>
    <col min="2052" max="2052" width="0" style="7001" hidden="1" customWidth="1"/>
    <col min="2053" max="2053" width="10.109375" style="7001" customWidth="1"/>
    <col min="2054" max="2054" width="14.44140625" style="7001" customWidth="1"/>
    <col min="2055" max="2055" width="17.109375" style="7001" customWidth="1"/>
    <col min="2056" max="2304" width="9.109375" style="7001"/>
    <col min="2305" max="2305" width="33.44140625" style="7001" customWidth="1"/>
    <col min="2306" max="2306" width="7.44140625" style="7001" customWidth="1"/>
    <col min="2307" max="2307" width="7" style="7001" customWidth="1"/>
    <col min="2308" max="2308" width="0" style="7001" hidden="1" customWidth="1"/>
    <col min="2309" max="2309" width="10.109375" style="7001" customWidth="1"/>
    <col min="2310" max="2310" width="14.44140625" style="7001" customWidth="1"/>
    <col min="2311" max="2311" width="17.109375" style="7001" customWidth="1"/>
    <col min="2312" max="2560" width="9.109375" style="7001"/>
    <col min="2561" max="2561" width="33.44140625" style="7001" customWidth="1"/>
    <col min="2562" max="2562" width="7.44140625" style="7001" customWidth="1"/>
    <col min="2563" max="2563" width="7" style="7001" customWidth="1"/>
    <col min="2564" max="2564" width="0" style="7001" hidden="1" customWidth="1"/>
    <col min="2565" max="2565" width="10.109375" style="7001" customWidth="1"/>
    <col min="2566" max="2566" width="14.44140625" style="7001" customWidth="1"/>
    <col min="2567" max="2567" width="17.109375" style="7001" customWidth="1"/>
    <col min="2568" max="2816" width="9.109375" style="7001"/>
    <col min="2817" max="2817" width="33.44140625" style="7001" customWidth="1"/>
    <col min="2818" max="2818" width="7.44140625" style="7001" customWidth="1"/>
    <col min="2819" max="2819" width="7" style="7001" customWidth="1"/>
    <col min="2820" max="2820" width="0" style="7001" hidden="1" customWidth="1"/>
    <col min="2821" max="2821" width="10.109375" style="7001" customWidth="1"/>
    <col min="2822" max="2822" width="14.44140625" style="7001" customWidth="1"/>
    <col min="2823" max="2823" width="17.109375" style="7001" customWidth="1"/>
    <col min="2824" max="3072" width="9.109375" style="7001"/>
    <col min="3073" max="3073" width="33.44140625" style="7001" customWidth="1"/>
    <col min="3074" max="3074" width="7.44140625" style="7001" customWidth="1"/>
    <col min="3075" max="3075" width="7" style="7001" customWidth="1"/>
    <col min="3076" max="3076" width="0" style="7001" hidden="1" customWidth="1"/>
    <col min="3077" max="3077" width="10.109375" style="7001" customWidth="1"/>
    <col min="3078" max="3078" width="14.44140625" style="7001" customWidth="1"/>
    <col min="3079" max="3079" width="17.109375" style="7001" customWidth="1"/>
    <col min="3080" max="3328" width="9.109375" style="7001"/>
    <col min="3329" max="3329" width="33.44140625" style="7001" customWidth="1"/>
    <col min="3330" max="3330" width="7.44140625" style="7001" customWidth="1"/>
    <col min="3331" max="3331" width="7" style="7001" customWidth="1"/>
    <col min="3332" max="3332" width="0" style="7001" hidden="1" customWidth="1"/>
    <col min="3333" max="3333" width="10.109375" style="7001" customWidth="1"/>
    <col min="3334" max="3334" width="14.44140625" style="7001" customWidth="1"/>
    <col min="3335" max="3335" width="17.109375" style="7001" customWidth="1"/>
    <col min="3336" max="3584" width="9.109375" style="7001"/>
    <col min="3585" max="3585" width="33.44140625" style="7001" customWidth="1"/>
    <col min="3586" max="3586" width="7.44140625" style="7001" customWidth="1"/>
    <col min="3587" max="3587" width="7" style="7001" customWidth="1"/>
    <col min="3588" max="3588" width="0" style="7001" hidden="1" customWidth="1"/>
    <col min="3589" max="3589" width="10.109375" style="7001" customWidth="1"/>
    <col min="3590" max="3590" width="14.44140625" style="7001" customWidth="1"/>
    <col min="3591" max="3591" width="17.109375" style="7001" customWidth="1"/>
    <col min="3592" max="3840" width="9.109375" style="7001"/>
    <col min="3841" max="3841" width="33.44140625" style="7001" customWidth="1"/>
    <col min="3842" max="3842" width="7.44140625" style="7001" customWidth="1"/>
    <col min="3843" max="3843" width="7" style="7001" customWidth="1"/>
    <col min="3844" max="3844" width="0" style="7001" hidden="1" customWidth="1"/>
    <col min="3845" max="3845" width="10.109375" style="7001" customWidth="1"/>
    <col min="3846" max="3846" width="14.44140625" style="7001" customWidth="1"/>
    <col min="3847" max="3847" width="17.109375" style="7001" customWidth="1"/>
    <col min="3848" max="4096" width="9.109375" style="7001"/>
    <col min="4097" max="4097" width="33.44140625" style="7001" customWidth="1"/>
    <col min="4098" max="4098" width="7.44140625" style="7001" customWidth="1"/>
    <col min="4099" max="4099" width="7" style="7001" customWidth="1"/>
    <col min="4100" max="4100" width="0" style="7001" hidden="1" customWidth="1"/>
    <col min="4101" max="4101" width="10.109375" style="7001" customWidth="1"/>
    <col min="4102" max="4102" width="14.44140625" style="7001" customWidth="1"/>
    <col min="4103" max="4103" width="17.109375" style="7001" customWidth="1"/>
    <col min="4104" max="4352" width="9.109375" style="7001"/>
    <col min="4353" max="4353" width="33.44140625" style="7001" customWidth="1"/>
    <col min="4354" max="4354" width="7.44140625" style="7001" customWidth="1"/>
    <col min="4355" max="4355" width="7" style="7001" customWidth="1"/>
    <col min="4356" max="4356" width="0" style="7001" hidden="1" customWidth="1"/>
    <col min="4357" max="4357" width="10.109375" style="7001" customWidth="1"/>
    <col min="4358" max="4358" width="14.44140625" style="7001" customWidth="1"/>
    <col min="4359" max="4359" width="17.109375" style="7001" customWidth="1"/>
    <col min="4360" max="4608" width="9.109375" style="7001"/>
    <col min="4609" max="4609" width="33.44140625" style="7001" customWidth="1"/>
    <col min="4610" max="4610" width="7.44140625" style="7001" customWidth="1"/>
    <col min="4611" max="4611" width="7" style="7001" customWidth="1"/>
    <col min="4612" max="4612" width="0" style="7001" hidden="1" customWidth="1"/>
    <col min="4613" max="4613" width="10.109375" style="7001" customWidth="1"/>
    <col min="4614" max="4614" width="14.44140625" style="7001" customWidth="1"/>
    <col min="4615" max="4615" width="17.109375" style="7001" customWidth="1"/>
    <col min="4616" max="4864" width="9.109375" style="7001"/>
    <col min="4865" max="4865" width="33.44140625" style="7001" customWidth="1"/>
    <col min="4866" max="4866" width="7.44140625" style="7001" customWidth="1"/>
    <col min="4867" max="4867" width="7" style="7001" customWidth="1"/>
    <col min="4868" max="4868" width="0" style="7001" hidden="1" customWidth="1"/>
    <col min="4869" max="4869" width="10.109375" style="7001" customWidth="1"/>
    <col min="4870" max="4870" width="14.44140625" style="7001" customWidth="1"/>
    <col min="4871" max="4871" width="17.109375" style="7001" customWidth="1"/>
    <col min="4872" max="5120" width="9.109375" style="7001"/>
    <col min="5121" max="5121" width="33.44140625" style="7001" customWidth="1"/>
    <col min="5122" max="5122" width="7.44140625" style="7001" customWidth="1"/>
    <col min="5123" max="5123" width="7" style="7001" customWidth="1"/>
    <col min="5124" max="5124" width="0" style="7001" hidden="1" customWidth="1"/>
    <col min="5125" max="5125" width="10.109375" style="7001" customWidth="1"/>
    <col min="5126" max="5126" width="14.44140625" style="7001" customWidth="1"/>
    <col min="5127" max="5127" width="17.109375" style="7001" customWidth="1"/>
    <col min="5128" max="5376" width="9.109375" style="7001"/>
    <col min="5377" max="5377" width="33.44140625" style="7001" customWidth="1"/>
    <col min="5378" max="5378" width="7.44140625" style="7001" customWidth="1"/>
    <col min="5379" max="5379" width="7" style="7001" customWidth="1"/>
    <col min="5380" max="5380" width="0" style="7001" hidden="1" customWidth="1"/>
    <col min="5381" max="5381" width="10.109375" style="7001" customWidth="1"/>
    <col min="5382" max="5382" width="14.44140625" style="7001" customWidth="1"/>
    <col min="5383" max="5383" width="17.109375" style="7001" customWidth="1"/>
    <col min="5384" max="5632" width="9.109375" style="7001"/>
    <col min="5633" max="5633" width="33.44140625" style="7001" customWidth="1"/>
    <col min="5634" max="5634" width="7.44140625" style="7001" customWidth="1"/>
    <col min="5635" max="5635" width="7" style="7001" customWidth="1"/>
    <col min="5636" max="5636" width="0" style="7001" hidden="1" customWidth="1"/>
    <col min="5637" max="5637" width="10.109375" style="7001" customWidth="1"/>
    <col min="5638" max="5638" width="14.44140625" style="7001" customWidth="1"/>
    <col min="5639" max="5639" width="17.109375" style="7001" customWidth="1"/>
    <col min="5640" max="5888" width="9.109375" style="7001"/>
    <col min="5889" max="5889" width="33.44140625" style="7001" customWidth="1"/>
    <col min="5890" max="5890" width="7.44140625" style="7001" customWidth="1"/>
    <col min="5891" max="5891" width="7" style="7001" customWidth="1"/>
    <col min="5892" max="5892" width="0" style="7001" hidden="1" customWidth="1"/>
    <col min="5893" max="5893" width="10.109375" style="7001" customWidth="1"/>
    <col min="5894" max="5894" width="14.44140625" style="7001" customWidth="1"/>
    <col min="5895" max="5895" width="17.109375" style="7001" customWidth="1"/>
    <col min="5896" max="6144" width="9.109375" style="7001"/>
    <col min="6145" max="6145" width="33.44140625" style="7001" customWidth="1"/>
    <col min="6146" max="6146" width="7.44140625" style="7001" customWidth="1"/>
    <col min="6147" max="6147" width="7" style="7001" customWidth="1"/>
    <col min="6148" max="6148" width="0" style="7001" hidden="1" customWidth="1"/>
    <col min="6149" max="6149" width="10.109375" style="7001" customWidth="1"/>
    <col min="6150" max="6150" width="14.44140625" style="7001" customWidth="1"/>
    <col min="6151" max="6151" width="17.109375" style="7001" customWidth="1"/>
    <col min="6152" max="6400" width="9.109375" style="7001"/>
    <col min="6401" max="6401" width="33.44140625" style="7001" customWidth="1"/>
    <col min="6402" max="6402" width="7.44140625" style="7001" customWidth="1"/>
    <col min="6403" max="6403" width="7" style="7001" customWidth="1"/>
    <col min="6404" max="6404" width="0" style="7001" hidden="1" customWidth="1"/>
    <col min="6405" max="6405" width="10.109375" style="7001" customWidth="1"/>
    <col min="6406" max="6406" width="14.44140625" style="7001" customWidth="1"/>
    <col min="6407" max="6407" width="17.109375" style="7001" customWidth="1"/>
    <col min="6408" max="6656" width="9.109375" style="7001"/>
    <col min="6657" max="6657" width="33.44140625" style="7001" customWidth="1"/>
    <col min="6658" max="6658" width="7.44140625" style="7001" customWidth="1"/>
    <col min="6659" max="6659" width="7" style="7001" customWidth="1"/>
    <col min="6660" max="6660" width="0" style="7001" hidden="1" customWidth="1"/>
    <col min="6661" max="6661" width="10.109375" style="7001" customWidth="1"/>
    <col min="6662" max="6662" width="14.44140625" style="7001" customWidth="1"/>
    <col min="6663" max="6663" width="17.109375" style="7001" customWidth="1"/>
    <col min="6664" max="6912" width="9.109375" style="7001"/>
    <col min="6913" max="6913" width="33.44140625" style="7001" customWidth="1"/>
    <col min="6914" max="6914" width="7.44140625" style="7001" customWidth="1"/>
    <col min="6915" max="6915" width="7" style="7001" customWidth="1"/>
    <col min="6916" max="6916" width="0" style="7001" hidden="1" customWidth="1"/>
    <col min="6917" max="6917" width="10.109375" style="7001" customWidth="1"/>
    <col min="6918" max="6918" width="14.44140625" style="7001" customWidth="1"/>
    <col min="6919" max="6919" width="17.109375" style="7001" customWidth="1"/>
    <col min="6920" max="7168" width="9.109375" style="7001"/>
    <col min="7169" max="7169" width="33.44140625" style="7001" customWidth="1"/>
    <col min="7170" max="7170" width="7.44140625" style="7001" customWidth="1"/>
    <col min="7171" max="7171" width="7" style="7001" customWidth="1"/>
    <col min="7172" max="7172" width="0" style="7001" hidden="1" customWidth="1"/>
    <col min="7173" max="7173" width="10.109375" style="7001" customWidth="1"/>
    <col min="7174" max="7174" width="14.44140625" style="7001" customWidth="1"/>
    <col min="7175" max="7175" width="17.109375" style="7001" customWidth="1"/>
    <col min="7176" max="7424" width="9.109375" style="7001"/>
    <col min="7425" max="7425" width="33.44140625" style="7001" customWidth="1"/>
    <col min="7426" max="7426" width="7.44140625" style="7001" customWidth="1"/>
    <col min="7427" max="7427" width="7" style="7001" customWidth="1"/>
    <col min="7428" max="7428" width="0" style="7001" hidden="1" customWidth="1"/>
    <col min="7429" max="7429" width="10.109375" style="7001" customWidth="1"/>
    <col min="7430" max="7430" width="14.44140625" style="7001" customWidth="1"/>
    <col min="7431" max="7431" width="17.109375" style="7001" customWidth="1"/>
    <col min="7432" max="7680" width="9.109375" style="7001"/>
    <col min="7681" max="7681" width="33.44140625" style="7001" customWidth="1"/>
    <col min="7682" max="7682" width="7.44140625" style="7001" customWidth="1"/>
    <col min="7683" max="7683" width="7" style="7001" customWidth="1"/>
    <col min="7684" max="7684" width="0" style="7001" hidden="1" customWidth="1"/>
    <col min="7685" max="7685" width="10.109375" style="7001" customWidth="1"/>
    <col min="7686" max="7686" width="14.44140625" style="7001" customWidth="1"/>
    <col min="7687" max="7687" width="17.109375" style="7001" customWidth="1"/>
    <col min="7688" max="7936" width="9.109375" style="7001"/>
    <col min="7937" max="7937" width="33.44140625" style="7001" customWidth="1"/>
    <col min="7938" max="7938" width="7.44140625" style="7001" customWidth="1"/>
    <col min="7939" max="7939" width="7" style="7001" customWidth="1"/>
    <col min="7940" max="7940" width="0" style="7001" hidden="1" customWidth="1"/>
    <col min="7941" max="7941" width="10.109375" style="7001" customWidth="1"/>
    <col min="7942" max="7942" width="14.44140625" style="7001" customWidth="1"/>
    <col min="7943" max="7943" width="17.109375" style="7001" customWidth="1"/>
    <col min="7944" max="8192" width="9.109375" style="7001"/>
    <col min="8193" max="8193" width="33.44140625" style="7001" customWidth="1"/>
    <col min="8194" max="8194" width="7.44140625" style="7001" customWidth="1"/>
    <col min="8195" max="8195" width="7" style="7001" customWidth="1"/>
    <col min="8196" max="8196" width="0" style="7001" hidden="1" customWidth="1"/>
    <col min="8197" max="8197" width="10.109375" style="7001" customWidth="1"/>
    <col min="8198" max="8198" width="14.44140625" style="7001" customWidth="1"/>
    <col min="8199" max="8199" width="17.109375" style="7001" customWidth="1"/>
    <col min="8200" max="8448" width="9.109375" style="7001"/>
    <col min="8449" max="8449" width="33.44140625" style="7001" customWidth="1"/>
    <col min="8450" max="8450" width="7.44140625" style="7001" customWidth="1"/>
    <col min="8451" max="8451" width="7" style="7001" customWidth="1"/>
    <col min="8452" max="8452" width="0" style="7001" hidden="1" customWidth="1"/>
    <col min="8453" max="8453" width="10.109375" style="7001" customWidth="1"/>
    <col min="8454" max="8454" width="14.44140625" style="7001" customWidth="1"/>
    <col min="8455" max="8455" width="17.109375" style="7001" customWidth="1"/>
    <col min="8456" max="8704" width="9.109375" style="7001"/>
    <col min="8705" max="8705" width="33.44140625" style="7001" customWidth="1"/>
    <col min="8706" max="8706" width="7.44140625" style="7001" customWidth="1"/>
    <col min="8707" max="8707" width="7" style="7001" customWidth="1"/>
    <col min="8708" max="8708" width="0" style="7001" hidden="1" customWidth="1"/>
    <col min="8709" max="8709" width="10.109375" style="7001" customWidth="1"/>
    <col min="8710" max="8710" width="14.44140625" style="7001" customWidth="1"/>
    <col min="8711" max="8711" width="17.109375" style="7001" customWidth="1"/>
    <col min="8712" max="8960" width="9.109375" style="7001"/>
    <col min="8961" max="8961" width="33.44140625" style="7001" customWidth="1"/>
    <col min="8962" max="8962" width="7.44140625" style="7001" customWidth="1"/>
    <col min="8963" max="8963" width="7" style="7001" customWidth="1"/>
    <col min="8964" max="8964" width="0" style="7001" hidden="1" customWidth="1"/>
    <col min="8965" max="8965" width="10.109375" style="7001" customWidth="1"/>
    <col min="8966" max="8966" width="14.44140625" style="7001" customWidth="1"/>
    <col min="8967" max="8967" width="17.109375" style="7001" customWidth="1"/>
    <col min="8968" max="9216" width="9.109375" style="7001"/>
    <col min="9217" max="9217" width="33.44140625" style="7001" customWidth="1"/>
    <col min="9218" max="9218" width="7.44140625" style="7001" customWidth="1"/>
    <col min="9219" max="9219" width="7" style="7001" customWidth="1"/>
    <col min="9220" max="9220" width="0" style="7001" hidden="1" customWidth="1"/>
    <col min="9221" max="9221" width="10.109375" style="7001" customWidth="1"/>
    <col min="9222" max="9222" width="14.44140625" style="7001" customWidth="1"/>
    <col min="9223" max="9223" width="17.109375" style="7001" customWidth="1"/>
    <col min="9224" max="9472" width="9.109375" style="7001"/>
    <col min="9473" max="9473" width="33.44140625" style="7001" customWidth="1"/>
    <col min="9474" max="9474" width="7.44140625" style="7001" customWidth="1"/>
    <col min="9475" max="9475" width="7" style="7001" customWidth="1"/>
    <col min="9476" max="9476" width="0" style="7001" hidden="1" customWidth="1"/>
    <col min="9477" max="9477" width="10.109375" style="7001" customWidth="1"/>
    <col min="9478" max="9478" width="14.44140625" style="7001" customWidth="1"/>
    <col min="9479" max="9479" width="17.109375" style="7001" customWidth="1"/>
    <col min="9480" max="9728" width="9.109375" style="7001"/>
    <col min="9729" max="9729" width="33.44140625" style="7001" customWidth="1"/>
    <col min="9730" max="9730" width="7.44140625" style="7001" customWidth="1"/>
    <col min="9731" max="9731" width="7" style="7001" customWidth="1"/>
    <col min="9732" max="9732" width="0" style="7001" hidden="1" customWidth="1"/>
    <col min="9733" max="9733" width="10.109375" style="7001" customWidth="1"/>
    <col min="9734" max="9734" width="14.44140625" style="7001" customWidth="1"/>
    <col min="9735" max="9735" width="17.109375" style="7001" customWidth="1"/>
    <col min="9736" max="9984" width="9.109375" style="7001"/>
    <col min="9985" max="9985" width="33.44140625" style="7001" customWidth="1"/>
    <col min="9986" max="9986" width="7.44140625" style="7001" customWidth="1"/>
    <col min="9987" max="9987" width="7" style="7001" customWidth="1"/>
    <col min="9988" max="9988" width="0" style="7001" hidden="1" customWidth="1"/>
    <col min="9989" max="9989" width="10.109375" style="7001" customWidth="1"/>
    <col min="9990" max="9990" width="14.44140625" style="7001" customWidth="1"/>
    <col min="9991" max="9991" width="17.109375" style="7001" customWidth="1"/>
    <col min="9992" max="10240" width="9.109375" style="7001"/>
    <col min="10241" max="10241" width="33.44140625" style="7001" customWidth="1"/>
    <col min="10242" max="10242" width="7.44140625" style="7001" customWidth="1"/>
    <col min="10243" max="10243" width="7" style="7001" customWidth="1"/>
    <col min="10244" max="10244" width="0" style="7001" hidden="1" customWidth="1"/>
    <col min="10245" max="10245" width="10.109375" style="7001" customWidth="1"/>
    <col min="10246" max="10246" width="14.44140625" style="7001" customWidth="1"/>
    <col min="10247" max="10247" width="17.109375" style="7001" customWidth="1"/>
    <col min="10248" max="10496" width="9.109375" style="7001"/>
    <col min="10497" max="10497" width="33.44140625" style="7001" customWidth="1"/>
    <col min="10498" max="10498" width="7.44140625" style="7001" customWidth="1"/>
    <col min="10499" max="10499" width="7" style="7001" customWidth="1"/>
    <col min="10500" max="10500" width="0" style="7001" hidden="1" customWidth="1"/>
    <col min="10501" max="10501" width="10.109375" style="7001" customWidth="1"/>
    <col min="10502" max="10502" width="14.44140625" style="7001" customWidth="1"/>
    <col min="10503" max="10503" width="17.109375" style="7001" customWidth="1"/>
    <col min="10504" max="10752" width="9.109375" style="7001"/>
    <col min="10753" max="10753" width="33.44140625" style="7001" customWidth="1"/>
    <col min="10754" max="10754" width="7.44140625" style="7001" customWidth="1"/>
    <col min="10755" max="10755" width="7" style="7001" customWidth="1"/>
    <col min="10756" max="10756" width="0" style="7001" hidden="1" customWidth="1"/>
    <col min="10757" max="10757" width="10.109375" style="7001" customWidth="1"/>
    <col min="10758" max="10758" width="14.44140625" style="7001" customWidth="1"/>
    <col min="10759" max="10759" width="17.109375" style="7001" customWidth="1"/>
    <col min="10760" max="11008" width="9.109375" style="7001"/>
    <col min="11009" max="11009" width="33.44140625" style="7001" customWidth="1"/>
    <col min="11010" max="11010" width="7.44140625" style="7001" customWidth="1"/>
    <col min="11011" max="11011" width="7" style="7001" customWidth="1"/>
    <col min="11012" max="11012" width="0" style="7001" hidden="1" customWidth="1"/>
    <col min="11013" max="11013" width="10.109375" style="7001" customWidth="1"/>
    <col min="11014" max="11014" width="14.44140625" style="7001" customWidth="1"/>
    <col min="11015" max="11015" width="17.109375" style="7001" customWidth="1"/>
    <col min="11016" max="11264" width="9.109375" style="7001"/>
    <col min="11265" max="11265" width="33.44140625" style="7001" customWidth="1"/>
    <col min="11266" max="11266" width="7.44140625" style="7001" customWidth="1"/>
    <col min="11267" max="11267" width="7" style="7001" customWidth="1"/>
    <col min="11268" max="11268" width="0" style="7001" hidden="1" customWidth="1"/>
    <col min="11269" max="11269" width="10.109375" style="7001" customWidth="1"/>
    <col min="11270" max="11270" width="14.44140625" style="7001" customWidth="1"/>
    <col min="11271" max="11271" width="17.109375" style="7001" customWidth="1"/>
    <col min="11272" max="11520" width="9.109375" style="7001"/>
    <col min="11521" max="11521" width="33.44140625" style="7001" customWidth="1"/>
    <col min="11522" max="11522" width="7.44140625" style="7001" customWidth="1"/>
    <col min="11523" max="11523" width="7" style="7001" customWidth="1"/>
    <col min="11524" max="11524" width="0" style="7001" hidden="1" customWidth="1"/>
    <col min="11525" max="11525" width="10.109375" style="7001" customWidth="1"/>
    <col min="11526" max="11526" width="14.44140625" style="7001" customWidth="1"/>
    <col min="11527" max="11527" width="17.109375" style="7001" customWidth="1"/>
    <col min="11528" max="11776" width="9.109375" style="7001"/>
    <col min="11777" max="11777" width="33.44140625" style="7001" customWidth="1"/>
    <col min="11778" max="11778" width="7.44140625" style="7001" customWidth="1"/>
    <col min="11779" max="11779" width="7" style="7001" customWidth="1"/>
    <col min="11780" max="11780" width="0" style="7001" hidden="1" customWidth="1"/>
    <col min="11781" max="11781" width="10.109375" style="7001" customWidth="1"/>
    <col min="11782" max="11782" width="14.44140625" style="7001" customWidth="1"/>
    <col min="11783" max="11783" width="17.109375" style="7001" customWidth="1"/>
    <col min="11784" max="12032" width="9.109375" style="7001"/>
    <col min="12033" max="12033" width="33.44140625" style="7001" customWidth="1"/>
    <col min="12034" max="12034" width="7.44140625" style="7001" customWidth="1"/>
    <col min="12035" max="12035" width="7" style="7001" customWidth="1"/>
    <col min="12036" max="12036" width="0" style="7001" hidden="1" customWidth="1"/>
    <col min="12037" max="12037" width="10.109375" style="7001" customWidth="1"/>
    <col min="12038" max="12038" width="14.44140625" style="7001" customWidth="1"/>
    <col min="12039" max="12039" width="17.109375" style="7001" customWidth="1"/>
    <col min="12040" max="12288" width="9.109375" style="7001"/>
    <col min="12289" max="12289" width="33.44140625" style="7001" customWidth="1"/>
    <col min="12290" max="12290" width="7.44140625" style="7001" customWidth="1"/>
    <col min="12291" max="12291" width="7" style="7001" customWidth="1"/>
    <col min="12292" max="12292" width="0" style="7001" hidden="1" customWidth="1"/>
    <col min="12293" max="12293" width="10.109375" style="7001" customWidth="1"/>
    <col min="12294" max="12294" width="14.44140625" style="7001" customWidth="1"/>
    <col min="12295" max="12295" width="17.109375" style="7001" customWidth="1"/>
    <col min="12296" max="12544" width="9.109375" style="7001"/>
    <col min="12545" max="12545" width="33.44140625" style="7001" customWidth="1"/>
    <col min="12546" max="12546" width="7.44140625" style="7001" customWidth="1"/>
    <col min="12547" max="12547" width="7" style="7001" customWidth="1"/>
    <col min="12548" max="12548" width="0" style="7001" hidden="1" customWidth="1"/>
    <col min="12549" max="12549" width="10.109375" style="7001" customWidth="1"/>
    <col min="12550" max="12550" width="14.44140625" style="7001" customWidth="1"/>
    <col min="12551" max="12551" width="17.109375" style="7001" customWidth="1"/>
    <col min="12552" max="12800" width="9.109375" style="7001"/>
    <col min="12801" max="12801" width="33.44140625" style="7001" customWidth="1"/>
    <col min="12802" max="12802" width="7.44140625" style="7001" customWidth="1"/>
    <col min="12803" max="12803" width="7" style="7001" customWidth="1"/>
    <col min="12804" max="12804" width="0" style="7001" hidden="1" customWidth="1"/>
    <col min="12805" max="12805" width="10.109375" style="7001" customWidth="1"/>
    <col min="12806" max="12806" width="14.44140625" style="7001" customWidth="1"/>
    <col min="12807" max="12807" width="17.109375" style="7001" customWidth="1"/>
    <col min="12808" max="13056" width="9.109375" style="7001"/>
    <col min="13057" max="13057" width="33.44140625" style="7001" customWidth="1"/>
    <col min="13058" max="13058" width="7.44140625" style="7001" customWidth="1"/>
    <col min="13059" max="13059" width="7" style="7001" customWidth="1"/>
    <col min="13060" max="13060" width="0" style="7001" hidden="1" customWidth="1"/>
    <col min="13061" max="13061" width="10.109375" style="7001" customWidth="1"/>
    <col min="13062" max="13062" width="14.44140625" style="7001" customWidth="1"/>
    <col min="13063" max="13063" width="17.109375" style="7001" customWidth="1"/>
    <col min="13064" max="13312" width="9.109375" style="7001"/>
    <col min="13313" max="13313" width="33.44140625" style="7001" customWidth="1"/>
    <col min="13314" max="13314" width="7.44140625" style="7001" customWidth="1"/>
    <col min="13315" max="13315" width="7" style="7001" customWidth="1"/>
    <col min="13316" max="13316" width="0" style="7001" hidden="1" customWidth="1"/>
    <col min="13317" max="13317" width="10.109375" style="7001" customWidth="1"/>
    <col min="13318" max="13318" width="14.44140625" style="7001" customWidth="1"/>
    <col min="13319" max="13319" width="17.109375" style="7001" customWidth="1"/>
    <col min="13320" max="13568" width="9.109375" style="7001"/>
    <col min="13569" max="13569" width="33.44140625" style="7001" customWidth="1"/>
    <col min="13570" max="13570" width="7.44140625" style="7001" customWidth="1"/>
    <col min="13571" max="13571" width="7" style="7001" customWidth="1"/>
    <col min="13572" max="13572" width="0" style="7001" hidden="1" customWidth="1"/>
    <col min="13573" max="13573" width="10.109375" style="7001" customWidth="1"/>
    <col min="13574" max="13574" width="14.44140625" style="7001" customWidth="1"/>
    <col min="13575" max="13575" width="17.109375" style="7001" customWidth="1"/>
    <col min="13576" max="13824" width="9.109375" style="7001"/>
    <col min="13825" max="13825" width="33.44140625" style="7001" customWidth="1"/>
    <col min="13826" max="13826" width="7.44140625" style="7001" customWidth="1"/>
    <col min="13827" max="13827" width="7" style="7001" customWidth="1"/>
    <col min="13828" max="13828" width="0" style="7001" hidden="1" customWidth="1"/>
    <col min="13829" max="13829" width="10.109375" style="7001" customWidth="1"/>
    <col min="13830" max="13830" width="14.44140625" style="7001" customWidth="1"/>
    <col min="13831" max="13831" width="17.109375" style="7001" customWidth="1"/>
    <col min="13832" max="14080" width="9.109375" style="7001"/>
    <col min="14081" max="14081" width="33.44140625" style="7001" customWidth="1"/>
    <col min="14082" max="14082" width="7.44140625" style="7001" customWidth="1"/>
    <col min="14083" max="14083" width="7" style="7001" customWidth="1"/>
    <col min="14084" max="14084" width="0" style="7001" hidden="1" customWidth="1"/>
    <col min="14085" max="14085" width="10.109375" style="7001" customWidth="1"/>
    <col min="14086" max="14086" width="14.44140625" style="7001" customWidth="1"/>
    <col min="14087" max="14087" width="17.109375" style="7001" customWidth="1"/>
    <col min="14088" max="14336" width="9.109375" style="7001"/>
    <col min="14337" max="14337" width="33.44140625" style="7001" customWidth="1"/>
    <col min="14338" max="14338" width="7.44140625" style="7001" customWidth="1"/>
    <col min="14339" max="14339" width="7" style="7001" customWidth="1"/>
    <col min="14340" max="14340" width="0" style="7001" hidden="1" customWidth="1"/>
    <col min="14341" max="14341" width="10.109375" style="7001" customWidth="1"/>
    <col min="14342" max="14342" width="14.44140625" style="7001" customWidth="1"/>
    <col min="14343" max="14343" width="17.109375" style="7001" customWidth="1"/>
    <col min="14344" max="14592" width="9.109375" style="7001"/>
    <col min="14593" max="14593" width="33.44140625" style="7001" customWidth="1"/>
    <col min="14594" max="14594" width="7.44140625" style="7001" customWidth="1"/>
    <col min="14595" max="14595" width="7" style="7001" customWidth="1"/>
    <col min="14596" max="14596" width="0" style="7001" hidden="1" customWidth="1"/>
    <col min="14597" max="14597" width="10.109375" style="7001" customWidth="1"/>
    <col min="14598" max="14598" width="14.44140625" style="7001" customWidth="1"/>
    <col min="14599" max="14599" width="17.109375" style="7001" customWidth="1"/>
    <col min="14600" max="14848" width="9.109375" style="7001"/>
    <col min="14849" max="14849" width="33.44140625" style="7001" customWidth="1"/>
    <col min="14850" max="14850" width="7.44140625" style="7001" customWidth="1"/>
    <col min="14851" max="14851" width="7" style="7001" customWidth="1"/>
    <col min="14852" max="14852" width="0" style="7001" hidden="1" customWidth="1"/>
    <col min="14853" max="14853" width="10.109375" style="7001" customWidth="1"/>
    <col min="14854" max="14854" width="14.44140625" style="7001" customWidth="1"/>
    <col min="14855" max="14855" width="17.109375" style="7001" customWidth="1"/>
    <col min="14856" max="15104" width="9.109375" style="7001"/>
    <col min="15105" max="15105" width="33.44140625" style="7001" customWidth="1"/>
    <col min="15106" max="15106" width="7.44140625" style="7001" customWidth="1"/>
    <col min="15107" max="15107" width="7" style="7001" customWidth="1"/>
    <col min="15108" max="15108" width="0" style="7001" hidden="1" customWidth="1"/>
    <col min="15109" max="15109" width="10.109375" style="7001" customWidth="1"/>
    <col min="15110" max="15110" width="14.44140625" style="7001" customWidth="1"/>
    <col min="15111" max="15111" width="17.109375" style="7001" customWidth="1"/>
    <col min="15112" max="15360" width="9.109375" style="7001"/>
    <col min="15361" max="15361" width="33.44140625" style="7001" customWidth="1"/>
    <col min="15362" max="15362" width="7.44140625" style="7001" customWidth="1"/>
    <col min="15363" max="15363" width="7" style="7001" customWidth="1"/>
    <col min="15364" max="15364" width="0" style="7001" hidden="1" customWidth="1"/>
    <col min="15365" max="15365" width="10.109375" style="7001" customWidth="1"/>
    <col min="15366" max="15366" width="14.44140625" style="7001" customWidth="1"/>
    <col min="15367" max="15367" width="17.109375" style="7001" customWidth="1"/>
    <col min="15368" max="15616" width="9.109375" style="7001"/>
    <col min="15617" max="15617" width="33.44140625" style="7001" customWidth="1"/>
    <col min="15618" max="15618" width="7.44140625" style="7001" customWidth="1"/>
    <col min="15619" max="15619" width="7" style="7001" customWidth="1"/>
    <col min="15620" max="15620" width="0" style="7001" hidden="1" customWidth="1"/>
    <col min="15621" max="15621" width="10.109375" style="7001" customWidth="1"/>
    <col min="15622" max="15622" width="14.44140625" style="7001" customWidth="1"/>
    <col min="15623" max="15623" width="17.109375" style="7001" customWidth="1"/>
    <col min="15624" max="15872" width="9.109375" style="7001"/>
    <col min="15873" max="15873" width="33.44140625" style="7001" customWidth="1"/>
    <col min="15874" max="15874" width="7.44140625" style="7001" customWidth="1"/>
    <col min="15875" max="15875" width="7" style="7001" customWidth="1"/>
    <col min="15876" max="15876" width="0" style="7001" hidden="1" customWidth="1"/>
    <col min="15877" max="15877" width="10.109375" style="7001" customWidth="1"/>
    <col min="15878" max="15878" width="14.44140625" style="7001" customWidth="1"/>
    <col min="15879" max="15879" width="17.109375" style="7001" customWidth="1"/>
    <col min="15880" max="16128" width="9.109375" style="7001"/>
    <col min="16129" max="16129" width="33.44140625" style="7001" customWidth="1"/>
    <col min="16130" max="16130" width="7.44140625" style="7001" customWidth="1"/>
    <col min="16131" max="16131" width="7" style="7001" customWidth="1"/>
    <col min="16132" max="16132" width="0" style="7001" hidden="1" customWidth="1"/>
    <col min="16133" max="16133" width="10.109375" style="7001" customWidth="1"/>
    <col min="16134" max="16134" width="14.44140625" style="7001" customWidth="1"/>
    <col min="16135" max="16135" width="17.109375" style="7001" customWidth="1"/>
    <col min="16136" max="16384" width="9.109375" style="7001"/>
  </cols>
  <sheetData>
    <row r="1" spans="1:10" ht="12.9" customHeight="1">
      <c r="A1" s="14395" t="s">
        <v>1087</v>
      </c>
      <c r="B1" s="14395"/>
      <c r="C1" s="14395"/>
      <c r="D1" s="14395"/>
      <c r="E1" s="14395"/>
      <c r="F1" s="14395"/>
      <c r="G1" s="14395"/>
    </row>
    <row r="3" spans="1:10" ht="12.9" customHeight="1">
      <c r="A3" s="14580" t="s">
        <v>10351</v>
      </c>
      <c r="B3" s="14580"/>
      <c r="C3" s="14580"/>
      <c r="D3" s="14580"/>
      <c r="E3" s="14580"/>
      <c r="F3" s="14580"/>
      <c r="G3" s="14580"/>
    </row>
    <row r="4" spans="1:10" ht="12.9" customHeight="1" thickBot="1"/>
    <row r="5" spans="1:10" ht="12.9" customHeight="1">
      <c r="A5" s="9675" t="s">
        <v>842</v>
      </c>
      <c r="B5" s="10713" t="s">
        <v>1035</v>
      </c>
      <c r="C5" s="10713" t="s">
        <v>1036</v>
      </c>
      <c r="D5" s="14393" t="s">
        <v>1037</v>
      </c>
      <c r="E5" s="14393"/>
      <c r="F5" s="14393"/>
      <c r="G5" s="14394"/>
      <c r="H5" s="7162"/>
    </row>
    <row r="6" spans="1:10" ht="12.9" customHeight="1" thickBot="1">
      <c r="A6" s="7230" t="s">
        <v>1088</v>
      </c>
      <c r="B6" s="10780" t="s">
        <v>9</v>
      </c>
      <c r="C6" s="10780" t="s">
        <v>1039</v>
      </c>
      <c r="D6" s="10780" t="s">
        <v>1040</v>
      </c>
      <c r="E6" s="10780" t="s">
        <v>1040</v>
      </c>
      <c r="F6" s="10780" t="s">
        <v>11</v>
      </c>
      <c r="G6" s="10721" t="s">
        <v>11621</v>
      </c>
      <c r="H6" s="7162"/>
    </row>
    <row r="7" spans="1:10" ht="12.9" customHeight="1">
      <c r="A7" s="7248"/>
      <c r="B7" s="9665"/>
      <c r="C7" s="9666"/>
      <c r="D7" s="9666"/>
      <c r="E7" s="9666"/>
      <c r="F7" s="9666"/>
      <c r="G7" s="7240"/>
    </row>
    <row r="8" spans="1:10" ht="12.9" customHeight="1">
      <c r="A8" s="6230" t="s">
        <v>806</v>
      </c>
      <c r="B8" s="10751"/>
      <c r="C8" s="8414"/>
      <c r="D8" s="8414"/>
      <c r="E8" s="8414"/>
      <c r="F8" s="8414"/>
      <c r="G8" s="7241"/>
    </row>
    <row r="9" spans="1:10" ht="12.9" customHeight="1">
      <c r="A9" s="6230" t="s">
        <v>1107</v>
      </c>
      <c r="B9" s="10751"/>
      <c r="C9" s="8414"/>
      <c r="D9" s="8414"/>
      <c r="E9" s="8414"/>
      <c r="F9" s="8414"/>
      <c r="G9" s="7241"/>
    </row>
    <row r="10" spans="1:10" ht="12.9" customHeight="1">
      <c r="A10" s="7231"/>
      <c r="B10" s="10751"/>
      <c r="C10" s="8414"/>
      <c r="D10" s="8414"/>
      <c r="E10" s="8414"/>
      <c r="F10" s="8414"/>
      <c r="G10" s="7241"/>
    </row>
    <row r="11" spans="1:10" ht="12.9" customHeight="1">
      <c r="A11" s="7231"/>
      <c r="B11" s="10751"/>
      <c r="C11" s="10751"/>
      <c r="D11" s="10751"/>
      <c r="E11" s="10751"/>
      <c r="F11" s="10751"/>
      <c r="G11" s="7242"/>
    </row>
    <row r="12" spans="1:10" ht="12.9" customHeight="1">
      <c r="A12" s="6230" t="s">
        <v>1091</v>
      </c>
      <c r="B12" s="10751"/>
      <c r="C12" s="10751"/>
      <c r="D12" s="10751"/>
      <c r="E12" s="10751"/>
      <c r="F12" s="10751"/>
      <c r="G12" s="7175"/>
    </row>
    <row r="13" spans="1:10" ht="12.9" customHeight="1">
      <c r="A13" s="6230" t="s">
        <v>1109</v>
      </c>
      <c r="B13" s="10751"/>
      <c r="C13" s="10751"/>
      <c r="D13" s="10751"/>
      <c r="E13" s="10751"/>
      <c r="F13" s="10751"/>
      <c r="G13" s="7175"/>
    </row>
    <row r="14" spans="1:10" ht="12.9" customHeight="1">
      <c r="A14" s="7231" t="s">
        <v>1418</v>
      </c>
      <c r="B14" s="8414">
        <v>1</v>
      </c>
      <c r="C14" s="8414">
        <v>5</v>
      </c>
      <c r="D14" s="8414"/>
      <c r="E14" s="8415">
        <v>0</v>
      </c>
      <c r="F14" s="10782">
        <v>164460</v>
      </c>
      <c r="G14" s="7173">
        <v>170676</v>
      </c>
    </row>
    <row r="15" spans="1:10" ht="12.9" customHeight="1">
      <c r="A15" s="7231"/>
      <c r="B15" s="8414"/>
      <c r="C15" s="8414"/>
      <c r="D15" s="8414"/>
      <c r="E15" s="10782"/>
      <c r="F15" s="10782"/>
      <c r="G15" s="7173"/>
    </row>
    <row r="16" spans="1:10" ht="12.9" customHeight="1">
      <c r="A16" s="6230" t="s">
        <v>1152</v>
      </c>
      <c r="B16" s="8414"/>
      <c r="C16" s="8414"/>
      <c r="D16" s="8414"/>
      <c r="E16" s="10782"/>
      <c r="F16" s="10782"/>
      <c r="G16" s="7173"/>
      <c r="I16" s="7001">
        <f>SUM(B14)</f>
        <v>1</v>
      </c>
      <c r="J16" s="7164">
        <f>SUM(G14)</f>
        <v>170676</v>
      </c>
    </row>
    <row r="17" spans="1:10" ht="12.9" customHeight="1">
      <c r="A17" s="7231"/>
      <c r="B17" s="8414"/>
      <c r="C17" s="8414"/>
      <c r="D17" s="8414"/>
      <c r="E17" s="10782"/>
      <c r="F17" s="10782"/>
      <c r="G17" s="7173"/>
    </row>
    <row r="18" spans="1:10" ht="12.9" customHeight="1">
      <c r="A18" s="7231"/>
      <c r="B18" s="8414"/>
      <c r="C18" s="8414"/>
      <c r="D18" s="8414"/>
      <c r="E18" s="10782"/>
      <c r="F18" s="10782"/>
      <c r="G18" s="7234"/>
    </row>
    <row r="19" spans="1:10" ht="12.9" customHeight="1">
      <c r="A19" s="6230" t="s">
        <v>1094</v>
      </c>
      <c r="B19" s="10751"/>
      <c r="C19" s="10751"/>
      <c r="D19" s="10751"/>
      <c r="E19" s="10781"/>
      <c r="F19" s="10751"/>
      <c r="G19" s="7232"/>
    </row>
    <row r="20" spans="1:10" ht="12.9" customHeight="1">
      <c r="A20" s="7231" t="s">
        <v>80</v>
      </c>
      <c r="B20" s="8414"/>
      <c r="C20" s="8414"/>
      <c r="D20" s="8414"/>
      <c r="E20" s="10782"/>
      <c r="F20" s="10782"/>
      <c r="G20" s="7234"/>
    </row>
    <row r="21" spans="1:10" ht="12.9" customHeight="1">
      <c r="A21" s="7231" t="s">
        <v>11274</v>
      </c>
      <c r="B21" s="8414">
        <v>1</v>
      </c>
      <c r="C21" s="8414">
        <v>15</v>
      </c>
      <c r="D21" s="8415"/>
      <c r="E21" s="10801">
        <v>334644</v>
      </c>
      <c r="F21" s="8415">
        <v>352308</v>
      </c>
      <c r="G21" s="7002">
        <v>370908</v>
      </c>
      <c r="I21" s="7001">
        <f>SUM(B21:B23)</f>
        <v>3</v>
      </c>
      <c r="J21" s="7164">
        <f>SUM(G21:G23)</f>
        <v>681372</v>
      </c>
    </row>
    <row r="22" spans="1:10" ht="12.9" customHeight="1">
      <c r="A22" s="7231" t="s">
        <v>11660</v>
      </c>
      <c r="B22" s="8414">
        <v>1</v>
      </c>
      <c r="C22" s="8414">
        <v>4</v>
      </c>
      <c r="D22" s="8415"/>
      <c r="E22" s="8415">
        <v>0</v>
      </c>
      <c r="F22" s="8415">
        <v>0</v>
      </c>
      <c r="G22" s="7002">
        <v>158568</v>
      </c>
      <c r="J22" s="7164"/>
    </row>
    <row r="23" spans="1:10" ht="12.9" customHeight="1">
      <c r="A23" s="7231" t="s">
        <v>11275</v>
      </c>
      <c r="B23" s="8414">
        <v>1</v>
      </c>
      <c r="C23" s="8414">
        <v>3</v>
      </c>
      <c r="D23" s="8415"/>
      <c r="E23" s="8415">
        <v>0</v>
      </c>
      <c r="F23" s="10752">
        <v>145344</v>
      </c>
      <c r="G23" s="7239">
        <v>151896</v>
      </c>
    </row>
    <row r="24" spans="1:10" ht="12.9" customHeight="1">
      <c r="A24" s="7231"/>
      <c r="B24" s="8414"/>
      <c r="C24" s="8414"/>
      <c r="D24" s="8415"/>
      <c r="E24" s="8415"/>
      <c r="F24" s="10781"/>
      <c r="G24" s="7002"/>
    </row>
    <row r="25" spans="1:10" ht="12.9" customHeight="1">
      <c r="A25" s="7231"/>
      <c r="B25" s="10402"/>
      <c r="C25" s="10402"/>
      <c r="D25" s="10403"/>
      <c r="E25" s="10403"/>
      <c r="F25" s="10410" t="s">
        <v>9</v>
      </c>
      <c r="G25" s="9637" t="s">
        <v>9</v>
      </c>
    </row>
    <row r="26" spans="1:10" ht="12.9" customHeight="1">
      <c r="A26" s="6230" t="s">
        <v>1098</v>
      </c>
      <c r="B26" s="9652">
        <f>SUM(B14:B24)</f>
        <v>4</v>
      </c>
      <c r="C26" s="9652"/>
      <c r="D26" s="9643"/>
      <c r="E26" s="9642">
        <f>SUM(E14:E24)</f>
        <v>334644</v>
      </c>
      <c r="F26" s="9642">
        <f>SUM(F14:F24)</f>
        <v>662112</v>
      </c>
      <c r="G26" s="9638">
        <f>SUM(G14:G24)</f>
        <v>852048</v>
      </c>
    </row>
    <row r="27" spans="1:10" ht="12.9" customHeight="1">
      <c r="A27" s="6230" t="s">
        <v>9</v>
      </c>
      <c r="B27" s="7169" t="s">
        <v>9</v>
      </c>
      <c r="C27" s="7169"/>
      <c r="D27" s="7249"/>
      <c r="E27" s="7249" t="s">
        <v>9</v>
      </c>
      <c r="F27" s="7250" t="s">
        <v>9</v>
      </c>
      <c r="G27" s="9639" t="s">
        <v>9</v>
      </c>
    </row>
    <row r="28" spans="1:10" ht="12.9" customHeight="1">
      <c r="A28" s="7231"/>
      <c r="B28" s="8414"/>
      <c r="C28" s="8414"/>
      <c r="D28" s="8415"/>
      <c r="E28" s="8415"/>
      <c r="F28" s="10781"/>
      <c r="G28" s="7002"/>
    </row>
    <row r="29" spans="1:10" ht="12.9" customHeight="1">
      <c r="A29" s="7231" t="s">
        <v>1113</v>
      </c>
      <c r="B29" s="8414"/>
      <c r="C29" s="8414"/>
      <c r="D29" s="8415"/>
      <c r="E29" s="8415"/>
      <c r="F29" s="10781"/>
      <c r="G29" s="7245"/>
    </row>
    <row r="30" spans="1:10" ht="12.9" customHeight="1">
      <c r="A30" s="7231" t="s">
        <v>12264</v>
      </c>
      <c r="B30" s="9403">
        <v>1</v>
      </c>
      <c r="C30" s="9403">
        <v>18</v>
      </c>
      <c r="D30" s="9608"/>
      <c r="E30" s="9608"/>
      <c r="F30" s="9612"/>
      <c r="G30" s="9948">
        <v>487644</v>
      </c>
      <c r="H30" s="13961" t="s">
        <v>12263</v>
      </c>
    </row>
    <row r="31" spans="1:10" ht="12.9" customHeight="1">
      <c r="A31" s="7231" t="s">
        <v>12021</v>
      </c>
      <c r="B31" s="8414">
        <v>1</v>
      </c>
      <c r="C31" s="8414">
        <v>10</v>
      </c>
      <c r="D31" s="8415"/>
      <c r="E31" s="8415"/>
      <c r="F31" s="10781"/>
      <c r="G31" s="7245">
        <v>230796</v>
      </c>
    </row>
    <row r="32" spans="1:10" ht="12.9" customHeight="1">
      <c r="A32" s="7231" t="s">
        <v>10367</v>
      </c>
      <c r="B32" s="8414">
        <v>0</v>
      </c>
      <c r="C32" s="8414">
        <v>4</v>
      </c>
      <c r="D32" s="8415"/>
      <c r="E32" s="10801">
        <v>145860</v>
      </c>
      <c r="F32" s="8415">
        <v>152088</v>
      </c>
      <c r="G32" s="7245">
        <v>0</v>
      </c>
    </row>
    <row r="33" spans="1:8" ht="12.9" customHeight="1">
      <c r="A33" s="7231"/>
      <c r="B33" s="8414"/>
      <c r="C33" s="8414"/>
      <c r="D33" s="8415"/>
      <c r="E33" s="10781"/>
      <c r="F33" s="8415"/>
      <c r="G33" s="7245"/>
    </row>
    <row r="34" spans="1:8" s="7162" customFormat="1" ht="12.9" customHeight="1">
      <c r="A34" s="6230" t="s">
        <v>1249</v>
      </c>
      <c r="B34" s="9652">
        <f>SUM(B29:B33)</f>
        <v>2</v>
      </c>
      <c r="C34" s="9652"/>
      <c r="D34" s="9643"/>
      <c r="E34" s="9643">
        <f>SUM(E29:E33)</f>
        <v>145860</v>
      </c>
      <c r="F34" s="9643">
        <f t="shared" ref="F34:G34" si="0">SUM(F29:F33)</f>
        <v>152088</v>
      </c>
      <c r="G34" s="9656">
        <f t="shared" si="0"/>
        <v>718440</v>
      </c>
    </row>
    <row r="35" spans="1:8" ht="12.9" customHeight="1" thickBot="1">
      <c r="A35" s="7231"/>
      <c r="B35" s="8414"/>
      <c r="C35" s="8414"/>
      <c r="D35" s="8415"/>
      <c r="E35" s="8415"/>
      <c r="F35" s="10781"/>
      <c r="G35" s="9781"/>
    </row>
    <row r="36" spans="1:8" ht="12.9" customHeight="1" thickBot="1">
      <c r="A36" s="9838" t="s">
        <v>1114</v>
      </c>
      <c r="B36" s="10784">
        <f>B34+B26</f>
        <v>6</v>
      </c>
      <c r="C36" s="10421"/>
      <c r="D36" s="10785">
        <f>SUM(D17:D35)</f>
        <v>0</v>
      </c>
      <c r="E36" s="9840">
        <f>E26+E34</f>
        <v>480504</v>
      </c>
      <c r="F36" s="9840">
        <f>F26+F34</f>
        <v>814200</v>
      </c>
      <c r="G36" s="10800">
        <f>G26+G34</f>
        <v>1570488</v>
      </c>
    </row>
    <row r="37" spans="1:8" ht="12.9" customHeight="1">
      <c r="A37" s="6230"/>
      <c r="B37" s="10750"/>
      <c r="C37" s="10751"/>
      <c r="D37" s="10779"/>
      <c r="E37" s="10755"/>
      <c r="F37" s="10783"/>
      <c r="G37" s="7236"/>
    </row>
    <row r="38" spans="1:8" ht="12.9" customHeight="1">
      <c r="A38" s="6230" t="s">
        <v>1075</v>
      </c>
      <c r="B38" s="8414"/>
      <c r="C38" s="10751"/>
      <c r="D38" s="10779"/>
      <c r="E38" s="10779"/>
      <c r="F38" s="10781"/>
      <c r="G38" s="7237"/>
    </row>
    <row r="39" spans="1:8" ht="12.9" customHeight="1">
      <c r="A39" s="6230" t="s">
        <v>1115</v>
      </c>
      <c r="B39" s="8414"/>
      <c r="C39" s="10751"/>
      <c r="D39" s="10779"/>
      <c r="E39" s="10779"/>
      <c r="F39" s="10779"/>
      <c r="G39" s="7237"/>
    </row>
    <row r="40" spans="1:8" ht="12.9" customHeight="1">
      <c r="A40" s="7231" t="s">
        <v>1116</v>
      </c>
      <c r="B40" s="8414">
        <v>1</v>
      </c>
      <c r="C40" s="10751"/>
      <c r="D40" s="10779"/>
      <c r="E40" s="10779"/>
      <c r="F40" s="10779"/>
      <c r="G40" s="7237"/>
    </row>
    <row r="41" spans="1:8" ht="12.9" customHeight="1">
      <c r="A41" s="7231" t="s">
        <v>1117</v>
      </c>
      <c r="B41" s="8414"/>
      <c r="C41" s="10751"/>
      <c r="D41" s="10779"/>
      <c r="E41" s="10779"/>
      <c r="F41" s="10779"/>
      <c r="G41" s="7237"/>
    </row>
    <row r="42" spans="1:8" ht="12.9" customHeight="1">
      <c r="A42" s="7231" t="s">
        <v>1118</v>
      </c>
      <c r="B42" s="8414"/>
      <c r="C42" s="10751"/>
      <c r="D42" s="10779"/>
      <c r="E42" s="10779"/>
      <c r="F42" s="10779"/>
      <c r="G42" s="7237"/>
    </row>
    <row r="43" spans="1:8" ht="12.9" customHeight="1">
      <c r="A43" s="7231" t="s">
        <v>10698</v>
      </c>
      <c r="B43" s="8414">
        <v>1</v>
      </c>
      <c r="C43" s="10751"/>
      <c r="D43" s="10779"/>
      <c r="E43" s="10779"/>
      <c r="F43" s="10779"/>
      <c r="G43" s="7237"/>
      <c r="H43" s="13961" t="s">
        <v>12263</v>
      </c>
    </row>
    <row r="44" spans="1:8" ht="12.9" customHeight="1">
      <c r="A44" s="7231"/>
      <c r="B44" s="8414"/>
      <c r="C44" s="10751"/>
      <c r="D44" s="10779"/>
      <c r="E44" s="10779"/>
      <c r="F44" s="10779"/>
      <c r="G44" s="7237"/>
    </row>
    <row r="45" spans="1:8" ht="12.9" customHeight="1">
      <c r="A45" s="7231" t="s">
        <v>1080</v>
      </c>
      <c r="B45" s="8414"/>
      <c r="C45" s="10751"/>
      <c r="D45" s="10779"/>
      <c r="E45" s="10779"/>
      <c r="F45" s="10779"/>
      <c r="G45" s="7237"/>
    </row>
    <row r="46" spans="1:8" ht="12.9" customHeight="1">
      <c r="A46" s="7231" t="s">
        <v>1119</v>
      </c>
      <c r="B46" s="8414"/>
      <c r="C46" s="10751"/>
      <c r="D46" s="10779"/>
      <c r="E46" s="10779"/>
      <c r="F46" s="10779"/>
      <c r="G46" s="7237"/>
    </row>
    <row r="47" spans="1:8" ht="12.9" customHeight="1">
      <c r="A47" s="7231" t="s">
        <v>1082</v>
      </c>
      <c r="B47" s="8414"/>
      <c r="C47" s="10751"/>
      <c r="D47" s="10779"/>
      <c r="E47" s="10779"/>
      <c r="F47" s="10779"/>
      <c r="G47" s="7237"/>
    </row>
    <row r="48" spans="1:8" ht="12.9" customHeight="1">
      <c r="A48" s="7231"/>
      <c r="B48" s="8414"/>
      <c r="C48" s="10751"/>
      <c r="D48" s="10779"/>
      <c r="E48" s="10779"/>
      <c r="F48" s="10779"/>
      <c r="G48" s="7237"/>
    </row>
    <row r="49" spans="1:7" ht="12.9" customHeight="1">
      <c r="A49" s="6230" t="s">
        <v>1083</v>
      </c>
      <c r="B49" s="9653"/>
      <c r="C49" s="9676"/>
      <c r="D49" s="7190"/>
      <c r="E49" s="7190"/>
      <c r="F49" s="7190"/>
      <c r="G49" s="9640"/>
    </row>
    <row r="50" spans="1:7" ht="12.9" customHeight="1">
      <c r="A50" s="6230"/>
      <c r="B50" s="8414"/>
      <c r="C50" s="10751"/>
      <c r="D50" s="10779"/>
      <c r="E50" s="10779"/>
      <c r="F50" s="10779"/>
      <c r="G50" s="7244"/>
    </row>
    <row r="51" spans="1:7" ht="12.9" customHeight="1">
      <c r="A51" s="7231" t="s">
        <v>1106</v>
      </c>
      <c r="B51" s="8414"/>
      <c r="C51" s="10751"/>
      <c r="D51" s="10779"/>
      <c r="E51" s="10779"/>
      <c r="F51" s="10779"/>
      <c r="G51" s="7244"/>
    </row>
    <row r="52" spans="1:7" ht="12.9" customHeight="1" thickBot="1">
      <c r="A52" s="7235"/>
      <c r="B52" s="9645"/>
      <c r="C52" s="9758"/>
      <c r="D52" s="9766"/>
      <c r="E52" s="9766"/>
      <c r="F52" s="9766"/>
      <c r="G52" s="10787"/>
    </row>
    <row r="53" spans="1:7" ht="12.9" customHeight="1">
      <c r="A53" s="7231"/>
      <c r="B53" s="8414"/>
      <c r="C53" s="10751"/>
      <c r="D53" s="10779"/>
      <c r="E53" s="10779"/>
      <c r="F53" s="10779"/>
      <c r="G53" s="7244"/>
    </row>
    <row r="54" spans="1:7" ht="12.9" customHeight="1">
      <c r="A54" s="6230" t="s">
        <v>1086</v>
      </c>
      <c r="B54" s="8414"/>
      <c r="C54" s="10751"/>
      <c r="D54" s="10779"/>
      <c r="E54" s="10779"/>
      <c r="F54" s="10779"/>
      <c r="G54" s="7244"/>
    </row>
    <row r="55" spans="1:7" ht="12.9" customHeight="1" thickBot="1">
      <c r="A55" s="7235"/>
      <c r="B55" s="9758"/>
      <c r="C55" s="9758"/>
      <c r="D55" s="9758"/>
      <c r="E55" s="9758"/>
      <c r="F55" s="9758"/>
      <c r="G55" s="9759"/>
    </row>
    <row r="60" spans="1:7" ht="12.9" customHeight="1">
      <c r="A60" s="7162"/>
      <c r="F60" s="7162"/>
    </row>
  </sheetData>
  <mergeCells count="3">
    <mergeCell ref="A3:G3"/>
    <mergeCell ref="D5:G5"/>
    <mergeCell ref="A1:G1"/>
  </mergeCells>
  <printOptions horizontalCentered="1"/>
  <pageMargins left="0.25" right="0.25" top="0.5" bottom="0.5" header="0.3" footer="0.3"/>
  <pageSetup paperSize="119" firstPageNumber="83" orientation="portrait" useFirstPageNumber="1" r:id="rId1"/>
</worksheet>
</file>

<file path=xl/worksheets/sheet6.xml><?xml version="1.0" encoding="utf-8"?>
<worksheet xmlns="http://schemas.openxmlformats.org/spreadsheetml/2006/main" xmlns:r="http://schemas.openxmlformats.org/officeDocument/2006/relationships">
  <sheetPr codeName="Sheet18"/>
  <dimension ref="A1:H37"/>
  <sheetViews>
    <sheetView showGridLines="0" topLeftCell="B10" zoomScale="110" zoomScaleNormal="110" workbookViewId="0">
      <selection activeCell="E26" sqref="E26"/>
    </sheetView>
  </sheetViews>
  <sheetFormatPr defaultRowHeight="13.8"/>
  <cols>
    <col min="1" max="1" width="3.88671875" style="43" customWidth="1"/>
    <col min="2" max="2" width="38.109375" style="43" customWidth="1"/>
    <col min="3" max="3" width="10.44140625" style="43" customWidth="1"/>
    <col min="4" max="4" width="8.88671875" style="43" customWidth="1"/>
    <col min="5" max="5" width="11.88671875" style="43" customWidth="1"/>
    <col min="6" max="6" width="13.88671875" style="876" customWidth="1"/>
    <col min="7" max="7" width="10.44140625" style="369" bestFit="1" customWidth="1"/>
    <col min="8" max="256" width="9.109375" style="43"/>
    <col min="257" max="257" width="3.88671875" style="43" customWidth="1"/>
    <col min="258" max="258" width="38.109375" style="43" customWidth="1"/>
    <col min="259" max="259" width="10.44140625" style="43" customWidth="1"/>
    <col min="260" max="260" width="16.109375" style="43" customWidth="1"/>
    <col min="261" max="261" width="16.44140625" style="43" customWidth="1"/>
    <col min="262" max="262" width="15.44140625" style="43" customWidth="1"/>
    <col min="263" max="512" width="9.109375" style="43"/>
    <col min="513" max="513" width="3.88671875" style="43" customWidth="1"/>
    <col min="514" max="514" width="38.109375" style="43" customWidth="1"/>
    <col min="515" max="515" width="10.44140625" style="43" customWidth="1"/>
    <col min="516" max="516" width="16.109375" style="43" customWidth="1"/>
    <col min="517" max="517" width="16.44140625" style="43" customWidth="1"/>
    <col min="518" max="518" width="15.44140625" style="43" customWidth="1"/>
    <col min="519" max="768" width="9.109375" style="43"/>
    <col min="769" max="769" width="3.88671875" style="43" customWidth="1"/>
    <col min="770" max="770" width="38.109375" style="43" customWidth="1"/>
    <col min="771" max="771" width="10.44140625" style="43" customWidth="1"/>
    <col min="772" max="772" width="16.109375" style="43" customWidth="1"/>
    <col min="773" max="773" width="16.44140625" style="43" customWidth="1"/>
    <col min="774" max="774" width="15.44140625" style="43" customWidth="1"/>
    <col min="775" max="1024" width="9.109375" style="43"/>
    <col min="1025" max="1025" width="3.88671875" style="43" customWidth="1"/>
    <col min="1026" max="1026" width="38.109375" style="43" customWidth="1"/>
    <col min="1027" max="1027" width="10.44140625" style="43" customWidth="1"/>
    <col min="1028" max="1028" width="16.109375" style="43" customWidth="1"/>
    <col min="1029" max="1029" width="16.44140625" style="43" customWidth="1"/>
    <col min="1030" max="1030" width="15.44140625" style="43" customWidth="1"/>
    <col min="1031" max="1280" width="9.109375" style="43"/>
    <col min="1281" max="1281" width="3.88671875" style="43" customWidth="1"/>
    <col min="1282" max="1282" width="38.109375" style="43" customWidth="1"/>
    <col min="1283" max="1283" width="10.44140625" style="43" customWidth="1"/>
    <col min="1284" max="1284" width="16.109375" style="43" customWidth="1"/>
    <col min="1285" max="1285" width="16.44140625" style="43" customWidth="1"/>
    <col min="1286" max="1286" width="15.44140625" style="43" customWidth="1"/>
    <col min="1287" max="1536" width="9.109375" style="43"/>
    <col min="1537" max="1537" width="3.88671875" style="43" customWidth="1"/>
    <col min="1538" max="1538" width="38.109375" style="43" customWidth="1"/>
    <col min="1539" max="1539" width="10.44140625" style="43" customWidth="1"/>
    <col min="1540" max="1540" width="16.109375" style="43" customWidth="1"/>
    <col min="1541" max="1541" width="16.44140625" style="43" customWidth="1"/>
    <col min="1542" max="1542" width="15.44140625" style="43" customWidth="1"/>
    <col min="1543" max="1792" width="9.109375" style="43"/>
    <col min="1793" max="1793" width="3.88671875" style="43" customWidth="1"/>
    <col min="1794" max="1794" width="38.109375" style="43" customWidth="1"/>
    <col min="1795" max="1795" width="10.44140625" style="43" customWidth="1"/>
    <col min="1796" max="1796" width="16.109375" style="43" customWidth="1"/>
    <col min="1797" max="1797" width="16.44140625" style="43" customWidth="1"/>
    <col min="1798" max="1798" width="15.44140625" style="43" customWidth="1"/>
    <col min="1799" max="2048" width="9.109375" style="43"/>
    <col min="2049" max="2049" width="3.88671875" style="43" customWidth="1"/>
    <col min="2050" max="2050" width="38.109375" style="43" customWidth="1"/>
    <col min="2051" max="2051" width="10.44140625" style="43" customWidth="1"/>
    <col min="2052" max="2052" width="16.109375" style="43" customWidth="1"/>
    <col min="2053" max="2053" width="16.44140625" style="43" customWidth="1"/>
    <col min="2054" max="2054" width="15.44140625" style="43" customWidth="1"/>
    <col min="2055" max="2304" width="9.109375" style="43"/>
    <col min="2305" max="2305" width="3.88671875" style="43" customWidth="1"/>
    <col min="2306" max="2306" width="38.109375" style="43" customWidth="1"/>
    <col min="2307" max="2307" width="10.44140625" style="43" customWidth="1"/>
    <col min="2308" max="2308" width="16.109375" style="43" customWidth="1"/>
    <col min="2309" max="2309" width="16.44140625" style="43" customWidth="1"/>
    <col min="2310" max="2310" width="15.44140625" style="43" customWidth="1"/>
    <col min="2311" max="2560" width="9.109375" style="43"/>
    <col min="2561" max="2561" width="3.88671875" style="43" customWidth="1"/>
    <col min="2562" max="2562" width="38.109375" style="43" customWidth="1"/>
    <col min="2563" max="2563" width="10.44140625" style="43" customWidth="1"/>
    <col min="2564" max="2564" width="16.109375" style="43" customWidth="1"/>
    <col min="2565" max="2565" width="16.44140625" style="43" customWidth="1"/>
    <col min="2566" max="2566" width="15.44140625" style="43" customWidth="1"/>
    <col min="2567" max="2816" width="9.109375" style="43"/>
    <col min="2817" max="2817" width="3.88671875" style="43" customWidth="1"/>
    <col min="2818" max="2818" width="38.109375" style="43" customWidth="1"/>
    <col min="2819" max="2819" width="10.44140625" style="43" customWidth="1"/>
    <col min="2820" max="2820" width="16.109375" style="43" customWidth="1"/>
    <col min="2821" max="2821" width="16.44140625" style="43" customWidth="1"/>
    <col min="2822" max="2822" width="15.44140625" style="43" customWidth="1"/>
    <col min="2823" max="3072" width="9.109375" style="43"/>
    <col min="3073" max="3073" width="3.88671875" style="43" customWidth="1"/>
    <col min="3074" max="3074" width="38.109375" style="43" customWidth="1"/>
    <col min="3075" max="3075" width="10.44140625" style="43" customWidth="1"/>
    <col min="3076" max="3076" width="16.109375" style="43" customWidth="1"/>
    <col min="3077" max="3077" width="16.44140625" style="43" customWidth="1"/>
    <col min="3078" max="3078" width="15.44140625" style="43" customWidth="1"/>
    <col min="3079" max="3328" width="9.109375" style="43"/>
    <col min="3329" max="3329" width="3.88671875" style="43" customWidth="1"/>
    <col min="3330" max="3330" width="38.109375" style="43" customWidth="1"/>
    <col min="3331" max="3331" width="10.44140625" style="43" customWidth="1"/>
    <col min="3332" max="3332" width="16.109375" style="43" customWidth="1"/>
    <col min="3333" max="3333" width="16.44140625" style="43" customWidth="1"/>
    <col min="3334" max="3334" width="15.44140625" style="43" customWidth="1"/>
    <col min="3335" max="3584" width="9.109375" style="43"/>
    <col min="3585" max="3585" width="3.88671875" style="43" customWidth="1"/>
    <col min="3586" max="3586" width="38.109375" style="43" customWidth="1"/>
    <col min="3587" max="3587" width="10.44140625" style="43" customWidth="1"/>
    <col min="3588" max="3588" width="16.109375" style="43" customWidth="1"/>
    <col min="3589" max="3589" width="16.44140625" style="43" customWidth="1"/>
    <col min="3590" max="3590" width="15.44140625" style="43" customWidth="1"/>
    <col min="3591" max="3840" width="9.109375" style="43"/>
    <col min="3841" max="3841" width="3.88671875" style="43" customWidth="1"/>
    <col min="3842" max="3842" width="38.109375" style="43" customWidth="1"/>
    <col min="3843" max="3843" width="10.44140625" style="43" customWidth="1"/>
    <col min="3844" max="3844" width="16.109375" style="43" customWidth="1"/>
    <col min="3845" max="3845" width="16.44140625" style="43" customWidth="1"/>
    <col min="3846" max="3846" width="15.44140625" style="43" customWidth="1"/>
    <col min="3847" max="4096" width="9.109375" style="43"/>
    <col min="4097" max="4097" width="3.88671875" style="43" customWidth="1"/>
    <col min="4098" max="4098" width="38.109375" style="43" customWidth="1"/>
    <col min="4099" max="4099" width="10.44140625" style="43" customWidth="1"/>
    <col min="4100" max="4100" width="16.109375" style="43" customWidth="1"/>
    <col min="4101" max="4101" width="16.44140625" style="43" customWidth="1"/>
    <col min="4102" max="4102" width="15.44140625" style="43" customWidth="1"/>
    <col min="4103" max="4352" width="9.109375" style="43"/>
    <col min="4353" max="4353" width="3.88671875" style="43" customWidth="1"/>
    <col min="4354" max="4354" width="38.109375" style="43" customWidth="1"/>
    <col min="4355" max="4355" width="10.44140625" style="43" customWidth="1"/>
    <col min="4356" max="4356" width="16.109375" style="43" customWidth="1"/>
    <col min="4357" max="4357" width="16.44140625" style="43" customWidth="1"/>
    <col min="4358" max="4358" width="15.44140625" style="43" customWidth="1"/>
    <col min="4359" max="4608" width="9.109375" style="43"/>
    <col min="4609" max="4609" width="3.88671875" style="43" customWidth="1"/>
    <col min="4610" max="4610" width="38.109375" style="43" customWidth="1"/>
    <col min="4611" max="4611" width="10.44140625" style="43" customWidth="1"/>
    <col min="4612" max="4612" width="16.109375" style="43" customWidth="1"/>
    <col min="4613" max="4613" width="16.44140625" style="43" customWidth="1"/>
    <col min="4614" max="4614" width="15.44140625" style="43" customWidth="1"/>
    <col min="4615" max="4864" width="9.109375" style="43"/>
    <col min="4865" max="4865" width="3.88671875" style="43" customWidth="1"/>
    <col min="4866" max="4866" width="38.109375" style="43" customWidth="1"/>
    <col min="4867" max="4867" width="10.44140625" style="43" customWidth="1"/>
    <col min="4868" max="4868" width="16.109375" style="43" customWidth="1"/>
    <col min="4869" max="4869" width="16.44140625" style="43" customWidth="1"/>
    <col min="4870" max="4870" width="15.44140625" style="43" customWidth="1"/>
    <col min="4871" max="5120" width="9.109375" style="43"/>
    <col min="5121" max="5121" width="3.88671875" style="43" customWidth="1"/>
    <col min="5122" max="5122" width="38.109375" style="43" customWidth="1"/>
    <col min="5123" max="5123" width="10.44140625" style="43" customWidth="1"/>
    <col min="5124" max="5124" width="16.109375" style="43" customWidth="1"/>
    <col min="5125" max="5125" width="16.44140625" style="43" customWidth="1"/>
    <col min="5126" max="5126" width="15.44140625" style="43" customWidth="1"/>
    <col min="5127" max="5376" width="9.109375" style="43"/>
    <col min="5377" max="5377" width="3.88671875" style="43" customWidth="1"/>
    <col min="5378" max="5378" width="38.109375" style="43" customWidth="1"/>
    <col min="5379" max="5379" width="10.44140625" style="43" customWidth="1"/>
    <col min="5380" max="5380" width="16.109375" style="43" customWidth="1"/>
    <col min="5381" max="5381" width="16.44140625" style="43" customWidth="1"/>
    <col min="5382" max="5382" width="15.44140625" style="43" customWidth="1"/>
    <col min="5383" max="5632" width="9.109375" style="43"/>
    <col min="5633" max="5633" width="3.88671875" style="43" customWidth="1"/>
    <col min="5634" max="5634" width="38.109375" style="43" customWidth="1"/>
    <col min="5635" max="5635" width="10.44140625" style="43" customWidth="1"/>
    <col min="5636" max="5636" width="16.109375" style="43" customWidth="1"/>
    <col min="5637" max="5637" width="16.44140625" style="43" customWidth="1"/>
    <col min="5638" max="5638" width="15.44140625" style="43" customWidth="1"/>
    <col min="5639" max="5888" width="9.109375" style="43"/>
    <col min="5889" max="5889" width="3.88671875" style="43" customWidth="1"/>
    <col min="5890" max="5890" width="38.109375" style="43" customWidth="1"/>
    <col min="5891" max="5891" width="10.44140625" style="43" customWidth="1"/>
    <col min="5892" max="5892" width="16.109375" style="43" customWidth="1"/>
    <col min="5893" max="5893" width="16.44140625" style="43" customWidth="1"/>
    <col min="5894" max="5894" width="15.44140625" style="43" customWidth="1"/>
    <col min="5895" max="6144" width="9.109375" style="43"/>
    <col min="6145" max="6145" width="3.88671875" style="43" customWidth="1"/>
    <col min="6146" max="6146" width="38.109375" style="43" customWidth="1"/>
    <col min="6147" max="6147" width="10.44140625" style="43" customWidth="1"/>
    <col min="6148" max="6148" width="16.109375" style="43" customWidth="1"/>
    <col min="6149" max="6149" width="16.44140625" style="43" customWidth="1"/>
    <col min="6150" max="6150" width="15.44140625" style="43" customWidth="1"/>
    <col min="6151" max="6400" width="9.109375" style="43"/>
    <col min="6401" max="6401" width="3.88671875" style="43" customWidth="1"/>
    <col min="6402" max="6402" width="38.109375" style="43" customWidth="1"/>
    <col min="6403" max="6403" width="10.44140625" style="43" customWidth="1"/>
    <col min="6404" max="6404" width="16.109375" style="43" customWidth="1"/>
    <col min="6405" max="6405" width="16.44140625" style="43" customWidth="1"/>
    <col min="6406" max="6406" width="15.44140625" style="43" customWidth="1"/>
    <col min="6407" max="6656" width="9.109375" style="43"/>
    <col min="6657" max="6657" width="3.88671875" style="43" customWidth="1"/>
    <col min="6658" max="6658" width="38.109375" style="43" customWidth="1"/>
    <col min="6659" max="6659" width="10.44140625" style="43" customWidth="1"/>
    <col min="6660" max="6660" width="16.109375" style="43" customWidth="1"/>
    <col min="6661" max="6661" width="16.44140625" style="43" customWidth="1"/>
    <col min="6662" max="6662" width="15.44140625" style="43" customWidth="1"/>
    <col min="6663" max="6912" width="9.109375" style="43"/>
    <col min="6913" max="6913" width="3.88671875" style="43" customWidth="1"/>
    <col min="6914" max="6914" width="38.109375" style="43" customWidth="1"/>
    <col min="6915" max="6915" width="10.44140625" style="43" customWidth="1"/>
    <col min="6916" max="6916" width="16.109375" style="43" customWidth="1"/>
    <col min="6917" max="6917" width="16.44140625" style="43" customWidth="1"/>
    <col min="6918" max="6918" width="15.44140625" style="43" customWidth="1"/>
    <col min="6919" max="7168" width="9.109375" style="43"/>
    <col min="7169" max="7169" width="3.88671875" style="43" customWidth="1"/>
    <col min="7170" max="7170" width="38.109375" style="43" customWidth="1"/>
    <col min="7171" max="7171" width="10.44140625" style="43" customWidth="1"/>
    <col min="7172" max="7172" width="16.109375" style="43" customWidth="1"/>
    <col min="7173" max="7173" width="16.44140625" style="43" customWidth="1"/>
    <col min="7174" max="7174" width="15.44140625" style="43" customWidth="1"/>
    <col min="7175" max="7424" width="9.109375" style="43"/>
    <col min="7425" max="7425" width="3.88671875" style="43" customWidth="1"/>
    <col min="7426" max="7426" width="38.109375" style="43" customWidth="1"/>
    <col min="7427" max="7427" width="10.44140625" style="43" customWidth="1"/>
    <col min="7428" max="7428" width="16.109375" style="43" customWidth="1"/>
    <col min="7429" max="7429" width="16.44140625" style="43" customWidth="1"/>
    <col min="7430" max="7430" width="15.44140625" style="43" customWidth="1"/>
    <col min="7431" max="7680" width="9.109375" style="43"/>
    <col min="7681" max="7681" width="3.88671875" style="43" customWidth="1"/>
    <col min="7682" max="7682" width="38.109375" style="43" customWidth="1"/>
    <col min="7683" max="7683" width="10.44140625" style="43" customWidth="1"/>
    <col min="7684" max="7684" width="16.109375" style="43" customWidth="1"/>
    <col min="7685" max="7685" width="16.44140625" style="43" customWidth="1"/>
    <col min="7686" max="7686" width="15.44140625" style="43" customWidth="1"/>
    <col min="7687" max="7936" width="9.109375" style="43"/>
    <col min="7937" max="7937" width="3.88671875" style="43" customWidth="1"/>
    <col min="7938" max="7938" width="38.109375" style="43" customWidth="1"/>
    <col min="7939" max="7939" width="10.44140625" style="43" customWidth="1"/>
    <col min="7940" max="7940" width="16.109375" style="43" customWidth="1"/>
    <col min="7941" max="7941" width="16.44140625" style="43" customWidth="1"/>
    <col min="7942" max="7942" width="15.44140625" style="43" customWidth="1"/>
    <col min="7943" max="8192" width="9.109375" style="43"/>
    <col min="8193" max="8193" width="3.88671875" style="43" customWidth="1"/>
    <col min="8194" max="8194" width="38.109375" style="43" customWidth="1"/>
    <col min="8195" max="8195" width="10.44140625" style="43" customWidth="1"/>
    <col min="8196" max="8196" width="16.109375" style="43" customWidth="1"/>
    <col min="8197" max="8197" width="16.44140625" style="43" customWidth="1"/>
    <col min="8198" max="8198" width="15.44140625" style="43" customWidth="1"/>
    <col min="8199" max="8448" width="9.109375" style="43"/>
    <col min="8449" max="8449" width="3.88671875" style="43" customWidth="1"/>
    <col min="8450" max="8450" width="38.109375" style="43" customWidth="1"/>
    <col min="8451" max="8451" width="10.44140625" style="43" customWidth="1"/>
    <col min="8452" max="8452" width="16.109375" style="43" customWidth="1"/>
    <col min="8453" max="8453" width="16.44140625" style="43" customWidth="1"/>
    <col min="8454" max="8454" width="15.44140625" style="43" customWidth="1"/>
    <col min="8455" max="8704" width="9.109375" style="43"/>
    <col min="8705" max="8705" width="3.88671875" style="43" customWidth="1"/>
    <col min="8706" max="8706" width="38.109375" style="43" customWidth="1"/>
    <col min="8707" max="8707" width="10.44140625" style="43" customWidth="1"/>
    <col min="8708" max="8708" width="16.109375" style="43" customWidth="1"/>
    <col min="8709" max="8709" width="16.44140625" style="43" customWidth="1"/>
    <col min="8710" max="8710" width="15.44140625" style="43" customWidth="1"/>
    <col min="8711" max="8960" width="9.109375" style="43"/>
    <col min="8961" max="8961" width="3.88671875" style="43" customWidth="1"/>
    <col min="8962" max="8962" width="38.109375" style="43" customWidth="1"/>
    <col min="8963" max="8963" width="10.44140625" style="43" customWidth="1"/>
    <col min="8964" max="8964" width="16.109375" style="43" customWidth="1"/>
    <col min="8965" max="8965" width="16.44140625" style="43" customWidth="1"/>
    <col min="8966" max="8966" width="15.44140625" style="43" customWidth="1"/>
    <col min="8967" max="9216" width="9.109375" style="43"/>
    <col min="9217" max="9217" width="3.88671875" style="43" customWidth="1"/>
    <col min="9218" max="9218" width="38.109375" style="43" customWidth="1"/>
    <col min="9219" max="9219" width="10.44140625" style="43" customWidth="1"/>
    <col min="9220" max="9220" width="16.109375" style="43" customWidth="1"/>
    <col min="9221" max="9221" width="16.44140625" style="43" customWidth="1"/>
    <col min="9222" max="9222" width="15.44140625" style="43" customWidth="1"/>
    <col min="9223" max="9472" width="9.109375" style="43"/>
    <col min="9473" max="9473" width="3.88671875" style="43" customWidth="1"/>
    <col min="9474" max="9474" width="38.109375" style="43" customWidth="1"/>
    <col min="9475" max="9475" width="10.44140625" style="43" customWidth="1"/>
    <col min="9476" max="9476" width="16.109375" style="43" customWidth="1"/>
    <col min="9477" max="9477" width="16.44140625" style="43" customWidth="1"/>
    <col min="9478" max="9478" width="15.44140625" style="43" customWidth="1"/>
    <col min="9479" max="9728" width="9.109375" style="43"/>
    <col min="9729" max="9729" width="3.88671875" style="43" customWidth="1"/>
    <col min="9730" max="9730" width="38.109375" style="43" customWidth="1"/>
    <col min="9731" max="9731" width="10.44140625" style="43" customWidth="1"/>
    <col min="9732" max="9732" width="16.109375" style="43" customWidth="1"/>
    <col min="9733" max="9733" width="16.44140625" style="43" customWidth="1"/>
    <col min="9734" max="9734" width="15.44140625" style="43" customWidth="1"/>
    <col min="9735" max="9984" width="9.109375" style="43"/>
    <col min="9985" max="9985" width="3.88671875" style="43" customWidth="1"/>
    <col min="9986" max="9986" width="38.109375" style="43" customWidth="1"/>
    <col min="9987" max="9987" width="10.44140625" style="43" customWidth="1"/>
    <col min="9988" max="9988" width="16.109375" style="43" customWidth="1"/>
    <col min="9989" max="9989" width="16.44140625" style="43" customWidth="1"/>
    <col min="9990" max="9990" width="15.44140625" style="43" customWidth="1"/>
    <col min="9991" max="10240" width="9.109375" style="43"/>
    <col min="10241" max="10241" width="3.88671875" style="43" customWidth="1"/>
    <col min="10242" max="10242" width="38.109375" style="43" customWidth="1"/>
    <col min="10243" max="10243" width="10.44140625" style="43" customWidth="1"/>
    <col min="10244" max="10244" width="16.109375" style="43" customWidth="1"/>
    <col min="10245" max="10245" width="16.44140625" style="43" customWidth="1"/>
    <col min="10246" max="10246" width="15.44140625" style="43" customWidth="1"/>
    <col min="10247" max="10496" width="9.109375" style="43"/>
    <col min="10497" max="10497" width="3.88671875" style="43" customWidth="1"/>
    <col min="10498" max="10498" width="38.109375" style="43" customWidth="1"/>
    <col min="10499" max="10499" width="10.44140625" style="43" customWidth="1"/>
    <col min="10500" max="10500" width="16.109375" style="43" customWidth="1"/>
    <col min="10501" max="10501" width="16.44140625" style="43" customWidth="1"/>
    <col min="10502" max="10502" width="15.44140625" style="43" customWidth="1"/>
    <col min="10503" max="10752" width="9.109375" style="43"/>
    <col min="10753" max="10753" width="3.88671875" style="43" customWidth="1"/>
    <col min="10754" max="10754" width="38.109375" style="43" customWidth="1"/>
    <col min="10755" max="10755" width="10.44140625" style="43" customWidth="1"/>
    <col min="10756" max="10756" width="16.109375" style="43" customWidth="1"/>
    <col min="10757" max="10757" width="16.44140625" style="43" customWidth="1"/>
    <col min="10758" max="10758" width="15.44140625" style="43" customWidth="1"/>
    <col min="10759" max="11008" width="9.109375" style="43"/>
    <col min="11009" max="11009" width="3.88671875" style="43" customWidth="1"/>
    <col min="11010" max="11010" width="38.109375" style="43" customWidth="1"/>
    <col min="11011" max="11011" width="10.44140625" style="43" customWidth="1"/>
    <col min="11012" max="11012" width="16.109375" style="43" customWidth="1"/>
    <col min="11013" max="11013" width="16.44140625" style="43" customWidth="1"/>
    <col min="11014" max="11014" width="15.44140625" style="43" customWidth="1"/>
    <col min="11015" max="11264" width="9.109375" style="43"/>
    <col min="11265" max="11265" width="3.88671875" style="43" customWidth="1"/>
    <col min="11266" max="11266" width="38.109375" style="43" customWidth="1"/>
    <col min="11267" max="11267" width="10.44140625" style="43" customWidth="1"/>
    <col min="11268" max="11268" width="16.109375" style="43" customWidth="1"/>
    <col min="11269" max="11269" width="16.44140625" style="43" customWidth="1"/>
    <col min="11270" max="11270" width="15.44140625" style="43" customWidth="1"/>
    <col min="11271" max="11520" width="9.109375" style="43"/>
    <col min="11521" max="11521" width="3.88671875" style="43" customWidth="1"/>
    <col min="11522" max="11522" width="38.109375" style="43" customWidth="1"/>
    <col min="11523" max="11523" width="10.44140625" style="43" customWidth="1"/>
    <col min="11524" max="11524" width="16.109375" style="43" customWidth="1"/>
    <col min="11525" max="11525" width="16.44140625" style="43" customWidth="1"/>
    <col min="11526" max="11526" width="15.44140625" style="43" customWidth="1"/>
    <col min="11527" max="11776" width="9.109375" style="43"/>
    <col min="11777" max="11777" width="3.88671875" style="43" customWidth="1"/>
    <col min="11778" max="11778" width="38.109375" style="43" customWidth="1"/>
    <col min="11779" max="11779" width="10.44140625" style="43" customWidth="1"/>
    <col min="11780" max="11780" width="16.109375" style="43" customWidth="1"/>
    <col min="11781" max="11781" width="16.44140625" style="43" customWidth="1"/>
    <col min="11782" max="11782" width="15.44140625" style="43" customWidth="1"/>
    <col min="11783" max="12032" width="9.109375" style="43"/>
    <col min="12033" max="12033" width="3.88671875" style="43" customWidth="1"/>
    <col min="12034" max="12034" width="38.109375" style="43" customWidth="1"/>
    <col min="12035" max="12035" width="10.44140625" style="43" customWidth="1"/>
    <col min="12036" max="12036" width="16.109375" style="43" customWidth="1"/>
    <col min="12037" max="12037" width="16.44140625" style="43" customWidth="1"/>
    <col min="12038" max="12038" width="15.44140625" style="43" customWidth="1"/>
    <col min="12039" max="12288" width="9.109375" style="43"/>
    <col min="12289" max="12289" width="3.88671875" style="43" customWidth="1"/>
    <col min="12290" max="12290" width="38.109375" style="43" customWidth="1"/>
    <col min="12291" max="12291" width="10.44140625" style="43" customWidth="1"/>
    <col min="12292" max="12292" width="16.109375" style="43" customWidth="1"/>
    <col min="12293" max="12293" width="16.44140625" style="43" customWidth="1"/>
    <col min="12294" max="12294" width="15.44140625" style="43" customWidth="1"/>
    <col min="12295" max="12544" width="9.109375" style="43"/>
    <col min="12545" max="12545" width="3.88671875" style="43" customWidth="1"/>
    <col min="12546" max="12546" width="38.109375" style="43" customWidth="1"/>
    <col min="12547" max="12547" width="10.44140625" style="43" customWidth="1"/>
    <col min="12548" max="12548" width="16.109375" style="43" customWidth="1"/>
    <col min="12549" max="12549" width="16.44140625" style="43" customWidth="1"/>
    <col min="12550" max="12550" width="15.44140625" style="43" customWidth="1"/>
    <col min="12551" max="12800" width="9.109375" style="43"/>
    <col min="12801" max="12801" width="3.88671875" style="43" customWidth="1"/>
    <col min="12802" max="12802" width="38.109375" style="43" customWidth="1"/>
    <col min="12803" max="12803" width="10.44140625" style="43" customWidth="1"/>
    <col min="12804" max="12804" width="16.109375" style="43" customWidth="1"/>
    <col min="12805" max="12805" width="16.44140625" style="43" customWidth="1"/>
    <col min="12806" max="12806" width="15.44140625" style="43" customWidth="1"/>
    <col min="12807" max="13056" width="9.109375" style="43"/>
    <col min="13057" max="13057" width="3.88671875" style="43" customWidth="1"/>
    <col min="13058" max="13058" width="38.109375" style="43" customWidth="1"/>
    <col min="13059" max="13059" width="10.44140625" style="43" customWidth="1"/>
    <col min="13060" max="13060" width="16.109375" style="43" customWidth="1"/>
    <col min="13061" max="13061" width="16.44140625" style="43" customWidth="1"/>
    <col min="13062" max="13062" width="15.44140625" style="43" customWidth="1"/>
    <col min="13063" max="13312" width="9.109375" style="43"/>
    <col min="13313" max="13313" width="3.88671875" style="43" customWidth="1"/>
    <col min="13314" max="13314" width="38.109375" style="43" customWidth="1"/>
    <col min="13315" max="13315" width="10.44140625" style="43" customWidth="1"/>
    <col min="13316" max="13316" width="16.109375" style="43" customWidth="1"/>
    <col min="13317" max="13317" width="16.44140625" style="43" customWidth="1"/>
    <col min="13318" max="13318" width="15.44140625" style="43" customWidth="1"/>
    <col min="13319" max="13568" width="9.109375" style="43"/>
    <col min="13569" max="13569" width="3.88671875" style="43" customWidth="1"/>
    <col min="13570" max="13570" width="38.109375" style="43" customWidth="1"/>
    <col min="13571" max="13571" width="10.44140625" style="43" customWidth="1"/>
    <col min="13572" max="13572" width="16.109375" style="43" customWidth="1"/>
    <col min="13573" max="13573" width="16.44140625" style="43" customWidth="1"/>
    <col min="13574" max="13574" width="15.44140625" style="43" customWidth="1"/>
    <col min="13575" max="13824" width="9.109375" style="43"/>
    <col min="13825" max="13825" width="3.88671875" style="43" customWidth="1"/>
    <col min="13826" max="13826" width="38.109375" style="43" customWidth="1"/>
    <col min="13827" max="13827" width="10.44140625" style="43" customWidth="1"/>
    <col min="13828" max="13828" width="16.109375" style="43" customWidth="1"/>
    <col min="13829" max="13829" width="16.44140625" style="43" customWidth="1"/>
    <col min="13830" max="13830" width="15.44140625" style="43" customWidth="1"/>
    <col min="13831" max="14080" width="9.109375" style="43"/>
    <col min="14081" max="14081" width="3.88671875" style="43" customWidth="1"/>
    <col min="14082" max="14082" width="38.109375" style="43" customWidth="1"/>
    <col min="14083" max="14083" width="10.44140625" style="43" customWidth="1"/>
    <col min="14084" max="14084" width="16.109375" style="43" customWidth="1"/>
    <col min="14085" max="14085" width="16.44140625" style="43" customWidth="1"/>
    <col min="14086" max="14086" width="15.44140625" style="43" customWidth="1"/>
    <col min="14087" max="14336" width="9.109375" style="43"/>
    <col min="14337" max="14337" width="3.88671875" style="43" customWidth="1"/>
    <col min="14338" max="14338" width="38.109375" style="43" customWidth="1"/>
    <col min="14339" max="14339" width="10.44140625" style="43" customWidth="1"/>
    <col min="14340" max="14340" width="16.109375" style="43" customWidth="1"/>
    <col min="14341" max="14341" width="16.44140625" style="43" customWidth="1"/>
    <col min="14342" max="14342" width="15.44140625" style="43" customWidth="1"/>
    <col min="14343" max="14592" width="9.109375" style="43"/>
    <col min="14593" max="14593" width="3.88671875" style="43" customWidth="1"/>
    <col min="14594" max="14594" width="38.109375" style="43" customWidth="1"/>
    <col min="14595" max="14595" width="10.44140625" style="43" customWidth="1"/>
    <col min="14596" max="14596" width="16.109375" style="43" customWidth="1"/>
    <col min="14597" max="14597" width="16.44140625" style="43" customWidth="1"/>
    <col min="14598" max="14598" width="15.44140625" style="43" customWidth="1"/>
    <col min="14599" max="14848" width="9.109375" style="43"/>
    <col min="14849" max="14849" width="3.88671875" style="43" customWidth="1"/>
    <col min="14850" max="14850" width="38.109375" style="43" customWidth="1"/>
    <col min="14851" max="14851" width="10.44140625" style="43" customWidth="1"/>
    <col min="14852" max="14852" width="16.109375" style="43" customWidth="1"/>
    <col min="14853" max="14853" width="16.44140625" style="43" customWidth="1"/>
    <col min="14854" max="14854" width="15.44140625" style="43" customWidth="1"/>
    <col min="14855" max="15104" width="9.109375" style="43"/>
    <col min="15105" max="15105" width="3.88671875" style="43" customWidth="1"/>
    <col min="15106" max="15106" width="38.109375" style="43" customWidth="1"/>
    <col min="15107" max="15107" width="10.44140625" style="43" customWidth="1"/>
    <col min="15108" max="15108" width="16.109375" style="43" customWidth="1"/>
    <col min="15109" max="15109" width="16.44140625" style="43" customWidth="1"/>
    <col min="15110" max="15110" width="15.44140625" style="43" customWidth="1"/>
    <col min="15111" max="15360" width="9.109375" style="43"/>
    <col min="15361" max="15361" width="3.88671875" style="43" customWidth="1"/>
    <col min="15362" max="15362" width="38.109375" style="43" customWidth="1"/>
    <col min="15363" max="15363" width="10.44140625" style="43" customWidth="1"/>
    <col min="15364" max="15364" width="16.109375" style="43" customWidth="1"/>
    <col min="15365" max="15365" width="16.44140625" style="43" customWidth="1"/>
    <col min="15366" max="15366" width="15.44140625" style="43" customWidth="1"/>
    <col min="15367" max="15616" width="9.109375" style="43"/>
    <col min="15617" max="15617" width="3.88671875" style="43" customWidth="1"/>
    <col min="15618" max="15618" width="38.109375" style="43" customWidth="1"/>
    <col min="15619" max="15619" width="10.44140625" style="43" customWidth="1"/>
    <col min="15620" max="15620" width="16.109375" style="43" customWidth="1"/>
    <col min="15621" max="15621" width="16.44140625" style="43" customWidth="1"/>
    <col min="15622" max="15622" width="15.44140625" style="43" customWidth="1"/>
    <col min="15623" max="15872" width="9.109375" style="43"/>
    <col min="15873" max="15873" width="3.88671875" style="43" customWidth="1"/>
    <col min="15874" max="15874" width="38.109375" style="43" customWidth="1"/>
    <col min="15875" max="15875" width="10.44140625" style="43" customWidth="1"/>
    <col min="15876" max="15876" width="16.109375" style="43" customWidth="1"/>
    <col min="15877" max="15877" width="16.44140625" style="43" customWidth="1"/>
    <col min="15878" max="15878" width="15.44140625" style="43" customWidth="1"/>
    <col min="15879" max="16128" width="9.109375" style="43"/>
    <col min="16129" max="16129" width="3.88671875" style="43" customWidth="1"/>
    <col min="16130" max="16130" width="38.109375" style="43" customWidth="1"/>
    <col min="16131" max="16131" width="10.44140625" style="43" customWidth="1"/>
    <col min="16132" max="16132" width="16.109375" style="43" customWidth="1"/>
    <col min="16133" max="16133" width="16.44140625" style="43" customWidth="1"/>
    <col min="16134" max="16134" width="15.44140625" style="43" customWidth="1"/>
    <col min="16135" max="16384" width="9.109375" style="43"/>
  </cols>
  <sheetData>
    <row r="1" spans="1:8">
      <c r="A1" s="44"/>
      <c r="B1" s="44"/>
      <c r="C1" s="44"/>
      <c r="F1" s="44"/>
      <c r="G1" s="346"/>
      <c r="H1" s="42"/>
    </row>
    <row r="2" spans="1:8">
      <c r="A2" s="44"/>
      <c r="B2" s="44"/>
      <c r="C2" s="44"/>
      <c r="F2" s="44"/>
      <c r="G2" s="346"/>
      <c r="H2" s="42"/>
    </row>
    <row r="3" spans="1:8" ht="14.25" customHeight="1">
      <c r="A3" s="44"/>
      <c r="B3" s="44"/>
      <c r="C3" s="44"/>
      <c r="D3" s="44"/>
      <c r="E3" s="44"/>
      <c r="F3" s="44"/>
      <c r="G3" s="346"/>
      <c r="H3" s="42"/>
    </row>
    <row r="4" spans="1:8">
      <c r="A4" s="44"/>
      <c r="B4" s="45" t="s">
        <v>1</v>
      </c>
      <c r="C4" s="46"/>
      <c r="D4" s="46"/>
      <c r="E4" s="46"/>
      <c r="F4" s="46"/>
      <c r="G4" s="346"/>
      <c r="H4" s="42"/>
    </row>
    <row r="5" spans="1:8" ht="10.5" customHeight="1">
      <c r="A5" s="44"/>
      <c r="B5" s="44"/>
      <c r="C5" s="44"/>
      <c r="D5" s="44"/>
      <c r="E5" s="44"/>
      <c r="F5" s="44"/>
      <c r="G5" s="346"/>
      <c r="H5" s="42"/>
    </row>
    <row r="6" spans="1:8">
      <c r="A6" s="44" t="s">
        <v>2</v>
      </c>
      <c r="B6" s="47"/>
      <c r="C6" s="47" t="s">
        <v>4731</v>
      </c>
      <c r="D6" s="47"/>
      <c r="E6" s="47"/>
      <c r="F6" s="47"/>
      <c r="G6" s="346"/>
      <c r="H6" s="42"/>
    </row>
    <row r="7" spans="1:8">
      <c r="A7" s="44" t="s">
        <v>4</v>
      </c>
      <c r="B7" s="44"/>
      <c r="C7" s="44" t="s">
        <v>189</v>
      </c>
      <c r="D7" s="44"/>
      <c r="E7" s="44"/>
      <c r="F7" s="44"/>
      <c r="G7" s="346"/>
      <c r="H7" s="42"/>
    </row>
    <row r="8" spans="1:8">
      <c r="A8" s="44" t="s">
        <v>6</v>
      </c>
      <c r="B8" s="44"/>
      <c r="C8" s="44"/>
      <c r="D8" s="44"/>
      <c r="E8" s="44"/>
      <c r="F8" s="44"/>
      <c r="G8" s="346"/>
      <c r="H8" s="42"/>
    </row>
    <row r="9" spans="1:8" ht="14.4" thickBot="1">
      <c r="A9" s="48" t="s">
        <v>7</v>
      </c>
      <c r="B9" s="48"/>
      <c r="C9" s="48" t="s">
        <v>8</v>
      </c>
      <c r="D9" s="48"/>
      <c r="E9" s="48"/>
      <c r="F9" s="48"/>
      <c r="G9" s="346"/>
      <c r="H9" s="42"/>
    </row>
    <row r="10" spans="1:8">
      <c r="A10" s="58"/>
      <c r="B10" s="49"/>
      <c r="C10" s="50" t="s">
        <v>9</v>
      </c>
      <c r="D10" s="51" t="s">
        <v>10</v>
      </c>
      <c r="E10" s="51" t="s">
        <v>11</v>
      </c>
      <c r="F10" s="51" t="s">
        <v>12</v>
      </c>
      <c r="G10" s="346"/>
      <c r="H10" s="42"/>
    </row>
    <row r="11" spans="1:8" ht="10.5" customHeight="1">
      <c r="A11" s="58"/>
      <c r="B11" s="49" t="s">
        <v>13</v>
      </c>
      <c r="C11" s="50" t="s">
        <v>93</v>
      </c>
      <c r="D11" s="51" t="s">
        <v>15</v>
      </c>
      <c r="E11" s="51" t="s">
        <v>16</v>
      </c>
      <c r="F11" s="51" t="s">
        <v>16</v>
      </c>
      <c r="G11" s="346"/>
      <c r="H11" s="42"/>
    </row>
    <row r="12" spans="1:8" ht="14.4" thickBot="1">
      <c r="A12" s="68"/>
      <c r="B12" s="52"/>
      <c r="C12" s="53" t="s">
        <v>94</v>
      </c>
      <c r="D12" s="54">
        <v>2011</v>
      </c>
      <c r="E12" s="54">
        <v>2012</v>
      </c>
      <c r="F12" s="54">
        <v>2013</v>
      </c>
      <c r="G12" s="346"/>
      <c r="H12" s="42"/>
    </row>
    <row r="13" spans="1:8" s="1010" customFormat="1" ht="16.5" customHeight="1">
      <c r="A13" s="1272"/>
      <c r="B13" s="57" t="s">
        <v>38</v>
      </c>
      <c r="C13" s="1273"/>
      <c r="D13" s="73"/>
      <c r="E13" s="73"/>
      <c r="F13" s="73"/>
      <c r="G13" s="370"/>
      <c r="H13" s="1009"/>
    </row>
    <row r="14" spans="1:8">
      <c r="A14" s="58"/>
      <c r="B14" s="55" t="s">
        <v>39</v>
      </c>
      <c r="C14" s="56">
        <v>751</v>
      </c>
      <c r="D14" s="69"/>
      <c r="E14" s="69">
        <f>4187.38+10812.62</f>
        <v>15000</v>
      </c>
      <c r="F14" s="69"/>
      <c r="G14" s="346"/>
      <c r="H14" s="42"/>
    </row>
    <row r="15" spans="1:8">
      <c r="A15" s="58"/>
      <c r="B15" s="55" t="s">
        <v>41</v>
      </c>
      <c r="C15" s="56">
        <v>753</v>
      </c>
      <c r="D15" s="69"/>
      <c r="E15" s="69">
        <v>0</v>
      </c>
      <c r="F15" s="69"/>
      <c r="G15" s="346"/>
      <c r="H15" s="42"/>
    </row>
    <row r="16" spans="1:8">
      <c r="A16" s="58"/>
      <c r="B16" s="55" t="s">
        <v>42</v>
      </c>
      <c r="C16" s="56">
        <v>755</v>
      </c>
      <c r="D16" s="69"/>
      <c r="E16" s="69">
        <v>8000</v>
      </c>
      <c r="F16" s="69"/>
      <c r="G16" s="346"/>
      <c r="H16" s="42"/>
    </row>
    <row r="17" spans="1:8">
      <c r="A17" s="58"/>
      <c r="B17" s="55" t="s">
        <v>107</v>
      </c>
      <c r="C17" s="56">
        <v>772</v>
      </c>
      <c r="D17" s="69"/>
      <c r="E17" s="69">
        <f>2269.22+3730.78</f>
        <v>6000</v>
      </c>
      <c r="F17" s="69"/>
      <c r="G17" s="346"/>
      <c r="H17" s="42"/>
    </row>
    <row r="18" spans="1:8">
      <c r="A18" s="58"/>
      <c r="B18" s="55" t="s">
        <v>194</v>
      </c>
      <c r="C18" s="56">
        <v>969</v>
      </c>
      <c r="D18" s="69"/>
      <c r="E18" s="69">
        <v>1000</v>
      </c>
      <c r="F18" s="69"/>
      <c r="G18" s="346"/>
      <c r="H18" s="42"/>
    </row>
    <row r="19" spans="1:8">
      <c r="A19" s="58"/>
      <c r="B19" s="57" t="s">
        <v>37</v>
      </c>
      <c r="C19" s="56"/>
      <c r="D19" s="64">
        <f>SUM(D14:D18)</f>
        <v>0</v>
      </c>
      <c r="E19" s="72">
        <f>SUM(E14:E18)</f>
        <v>30000</v>
      </c>
      <c r="F19" s="72">
        <f>SUM(F14:F18)</f>
        <v>0</v>
      </c>
      <c r="G19" s="346"/>
      <c r="H19" s="42"/>
    </row>
    <row r="20" spans="1:8" ht="20.25" customHeight="1">
      <c r="A20" s="59" t="s">
        <v>51</v>
      </c>
      <c r="B20" s="57" t="s">
        <v>112</v>
      </c>
      <c r="C20" s="56"/>
      <c r="D20" s="70"/>
      <c r="E20" s="69"/>
      <c r="F20" s="69"/>
      <c r="G20" s="346"/>
      <c r="H20" s="42"/>
    </row>
    <row r="21" spans="1:8" ht="14.25" customHeight="1">
      <c r="A21" s="59"/>
      <c r="B21" s="55" t="s">
        <v>4732</v>
      </c>
      <c r="C21" s="56">
        <v>211</v>
      </c>
      <c r="D21" s="873"/>
      <c r="E21" s="69"/>
      <c r="F21" s="69"/>
      <c r="G21" s="346"/>
      <c r="H21" s="42"/>
    </row>
    <row r="22" spans="1:8">
      <c r="A22" s="59"/>
      <c r="B22" s="55" t="s">
        <v>4733</v>
      </c>
      <c r="C22" s="56">
        <v>221</v>
      </c>
      <c r="D22" s="69"/>
      <c r="E22" s="1270"/>
      <c r="F22" s="69"/>
      <c r="G22" s="346"/>
      <c r="H22" s="42"/>
    </row>
    <row r="23" spans="1:8">
      <c r="A23" s="59"/>
      <c r="B23" s="55" t="s">
        <v>3344</v>
      </c>
      <c r="C23" s="56"/>
      <c r="D23" s="71"/>
      <c r="E23" s="69">
        <v>27000</v>
      </c>
      <c r="F23" s="71"/>
      <c r="G23" s="346"/>
      <c r="H23" s="42"/>
    </row>
    <row r="24" spans="1:8" ht="13.5" customHeight="1">
      <c r="A24" s="59"/>
      <c r="B24" s="57" t="s">
        <v>195</v>
      </c>
      <c r="C24" s="56"/>
      <c r="D24" s="72">
        <f>SUM(D21:D23)</f>
        <v>0</v>
      </c>
      <c r="E24" s="72">
        <f>SUM(E21:E23)</f>
        <v>27000</v>
      </c>
      <c r="F24" s="72">
        <f>SUM(F21:F23)</f>
        <v>0</v>
      </c>
      <c r="G24" s="346"/>
      <c r="H24" s="42"/>
    </row>
    <row r="25" spans="1:8" s="745" customFormat="1" ht="21.75" customHeight="1">
      <c r="A25" s="1274" t="s">
        <v>53</v>
      </c>
      <c r="B25" s="1275" t="s">
        <v>54</v>
      </c>
      <c r="C25" s="1276"/>
      <c r="D25" s="1277">
        <v>0</v>
      </c>
      <c r="E25" s="1277">
        <v>0</v>
      </c>
      <c r="F25" s="1277">
        <v>0</v>
      </c>
      <c r="G25" s="1278"/>
      <c r="H25" s="744"/>
    </row>
    <row r="26" spans="1:8">
      <c r="A26" s="746"/>
      <c r="B26" s="747" t="s">
        <v>55</v>
      </c>
      <c r="C26" s="748"/>
      <c r="D26" s="743">
        <f>(D19+D24)</f>
        <v>0</v>
      </c>
      <c r="E26" s="743">
        <f>(E19+E24)</f>
        <v>57000</v>
      </c>
      <c r="F26" s="743">
        <f>(F19+F24)</f>
        <v>0</v>
      </c>
      <c r="G26" s="1271">
        <v>63000</v>
      </c>
      <c r="H26" s="42"/>
    </row>
    <row r="27" spans="1:8">
      <c r="A27" s="44"/>
      <c r="B27" s="44"/>
      <c r="C27" s="44"/>
      <c r="D27" s="44"/>
      <c r="E27" s="44"/>
      <c r="F27" s="42"/>
      <c r="G27" s="346"/>
      <c r="H27" s="42"/>
    </row>
    <row r="28" spans="1:8" ht="12" customHeight="1">
      <c r="A28" s="44"/>
      <c r="B28" s="44"/>
      <c r="C28" s="44"/>
      <c r="D28" s="44"/>
      <c r="E28" s="44"/>
      <c r="F28" s="42"/>
      <c r="G28" s="346"/>
      <c r="H28" s="42"/>
    </row>
    <row r="29" spans="1:8" ht="12.75" customHeight="1">
      <c r="A29" s="44"/>
      <c r="B29" s="44"/>
      <c r="C29" s="44"/>
      <c r="D29" s="44"/>
      <c r="E29" s="44"/>
      <c r="F29" s="42"/>
      <c r="G29" s="346"/>
      <c r="H29" s="42"/>
    </row>
    <row r="30" spans="1:8">
      <c r="A30" s="44"/>
      <c r="B30" s="47"/>
      <c r="C30" s="47"/>
      <c r="D30" s="47"/>
      <c r="E30" s="47"/>
      <c r="F30" s="42"/>
      <c r="G30" s="346"/>
      <c r="H30" s="42"/>
    </row>
    <row r="31" spans="1:8">
      <c r="A31" s="44"/>
      <c r="B31" s="44"/>
      <c r="C31" s="60"/>
      <c r="D31" s="60"/>
      <c r="E31" s="44"/>
      <c r="F31" s="42"/>
      <c r="G31" s="346"/>
      <c r="H31" s="42"/>
    </row>
    <row r="32" spans="1:8">
      <c r="A32" s="44"/>
      <c r="B32" s="44"/>
      <c r="C32" s="44"/>
      <c r="D32" s="44"/>
      <c r="E32" s="44"/>
      <c r="F32" s="42"/>
      <c r="G32" s="346"/>
      <c r="H32" s="42"/>
    </row>
    <row r="33" spans="1:6">
      <c r="A33" s="61"/>
      <c r="B33" s="61"/>
      <c r="C33" s="61"/>
      <c r="D33" s="61"/>
      <c r="E33" s="61"/>
      <c r="F33" s="969"/>
    </row>
    <row r="34" spans="1:6">
      <c r="A34" s="61"/>
      <c r="B34" s="61"/>
      <c r="C34" s="61"/>
      <c r="D34" s="61"/>
      <c r="E34" s="61"/>
      <c r="F34" s="969"/>
    </row>
    <row r="35" spans="1:6">
      <c r="A35" s="61"/>
      <c r="B35" s="61"/>
      <c r="C35" s="61"/>
      <c r="D35" s="61"/>
      <c r="E35" s="61"/>
      <c r="F35" s="969"/>
    </row>
    <row r="36" spans="1:6">
      <c r="A36" s="61"/>
      <c r="B36" s="61"/>
      <c r="C36" s="61"/>
      <c r="D36" s="61"/>
      <c r="E36" s="61"/>
      <c r="F36" s="969"/>
    </row>
    <row r="37" spans="1:6">
      <c r="A37" s="61"/>
      <c r="B37" s="61"/>
      <c r="C37" s="61"/>
      <c r="D37" s="61"/>
      <c r="E37" s="61"/>
      <c r="F37" s="969"/>
    </row>
  </sheetData>
  <printOptions gridLinesSet="0"/>
  <pageMargins left="0.5" right="0.25" top="0.5" bottom="1.25" header="0.5" footer="0.25"/>
  <pageSetup paperSize="5" firstPageNumber="171" orientation="portrait" useFirstPageNumber="1" verticalDpi="300" r:id="rId1"/>
  <headerFooter alignWithMargins="0"/>
</worksheet>
</file>

<file path=xl/worksheets/sheet60.xml><?xml version="1.0" encoding="utf-8"?>
<worksheet xmlns="http://schemas.openxmlformats.org/spreadsheetml/2006/main" xmlns:r="http://schemas.openxmlformats.org/officeDocument/2006/relationships">
  <sheetPr codeName="Sheet38">
    <tabColor rgb="FFFFFF00"/>
  </sheetPr>
  <dimension ref="A1:G78"/>
  <sheetViews>
    <sheetView showGridLines="0" topLeftCell="A31" workbookViewId="0">
      <selection activeCell="A9" sqref="A9:G9"/>
    </sheetView>
  </sheetViews>
  <sheetFormatPr defaultRowHeight="13.2"/>
  <cols>
    <col min="1" max="1" width="6.109375" style="387" customWidth="1"/>
    <col min="2" max="2" width="24.88671875" style="399" customWidth="1"/>
    <col min="3" max="3" width="16.88671875" style="400" customWidth="1"/>
    <col min="4" max="4" width="18.88671875" style="401" customWidth="1"/>
    <col min="5" max="5" width="16.109375" style="387" customWidth="1"/>
    <col min="6" max="6" width="7.109375" style="387" customWidth="1"/>
    <col min="7" max="7" width="6.44140625" style="387" customWidth="1"/>
    <col min="8" max="240" width="9.109375" style="387"/>
    <col min="241" max="241" width="7.109375" style="387" customWidth="1"/>
    <col min="242" max="242" width="28" style="387" customWidth="1"/>
    <col min="243" max="243" width="14.44140625" style="387" customWidth="1"/>
    <col min="244" max="244" width="16.44140625" style="387" customWidth="1"/>
    <col min="245" max="245" width="12.109375" style="387" customWidth="1"/>
    <col min="246" max="248" width="9.109375" style="387"/>
    <col min="249" max="249" width="11.88671875" style="387" bestFit="1" customWidth="1"/>
    <col min="250" max="496" width="9.109375" style="387"/>
    <col min="497" max="497" width="7.109375" style="387" customWidth="1"/>
    <col min="498" max="498" width="28" style="387" customWidth="1"/>
    <col min="499" max="499" width="14.44140625" style="387" customWidth="1"/>
    <col min="500" max="500" width="16.44140625" style="387" customWidth="1"/>
    <col min="501" max="501" width="12.109375" style="387" customWidth="1"/>
    <col min="502" max="504" width="9.109375" style="387"/>
    <col min="505" max="505" width="11.88671875" style="387" bestFit="1" customWidth="1"/>
    <col min="506" max="752" width="9.109375" style="387"/>
    <col min="753" max="753" width="7.109375" style="387" customWidth="1"/>
    <col min="754" max="754" width="28" style="387" customWidth="1"/>
    <col min="755" max="755" width="14.44140625" style="387" customWidth="1"/>
    <col min="756" max="756" width="16.44140625" style="387" customWidth="1"/>
    <col min="757" max="757" width="12.109375" style="387" customWidth="1"/>
    <col min="758" max="760" width="9.109375" style="387"/>
    <col min="761" max="761" width="11.88671875" style="387" bestFit="1" customWidth="1"/>
    <col min="762" max="1008" width="9.109375" style="387"/>
    <col min="1009" max="1009" width="7.109375" style="387" customWidth="1"/>
    <col min="1010" max="1010" width="28" style="387" customWidth="1"/>
    <col min="1011" max="1011" width="14.44140625" style="387" customWidth="1"/>
    <col min="1012" max="1012" width="16.44140625" style="387" customWidth="1"/>
    <col min="1013" max="1013" width="12.109375" style="387" customWidth="1"/>
    <col min="1014" max="1016" width="9.109375" style="387"/>
    <col min="1017" max="1017" width="11.88671875" style="387" bestFit="1" customWidth="1"/>
    <col min="1018" max="1264" width="9.109375" style="387"/>
    <col min="1265" max="1265" width="7.109375" style="387" customWidth="1"/>
    <col min="1266" max="1266" width="28" style="387" customWidth="1"/>
    <col min="1267" max="1267" width="14.44140625" style="387" customWidth="1"/>
    <col min="1268" max="1268" width="16.44140625" style="387" customWidth="1"/>
    <col min="1269" max="1269" width="12.109375" style="387" customWidth="1"/>
    <col min="1270" max="1272" width="9.109375" style="387"/>
    <col min="1273" max="1273" width="11.88671875" style="387" bestFit="1" customWidth="1"/>
    <col min="1274" max="1520" width="9.109375" style="387"/>
    <col min="1521" max="1521" width="7.109375" style="387" customWidth="1"/>
    <col min="1522" max="1522" width="28" style="387" customWidth="1"/>
    <col min="1523" max="1523" width="14.44140625" style="387" customWidth="1"/>
    <col min="1524" max="1524" width="16.44140625" style="387" customWidth="1"/>
    <col min="1525" max="1525" width="12.109375" style="387" customWidth="1"/>
    <col min="1526" max="1528" width="9.109375" style="387"/>
    <col min="1529" max="1529" width="11.88671875" style="387" bestFit="1" customWidth="1"/>
    <col min="1530" max="1776" width="9.109375" style="387"/>
    <col min="1777" max="1777" width="7.109375" style="387" customWidth="1"/>
    <col min="1778" max="1778" width="28" style="387" customWidth="1"/>
    <col min="1779" max="1779" width="14.44140625" style="387" customWidth="1"/>
    <col min="1780" max="1780" width="16.44140625" style="387" customWidth="1"/>
    <col min="1781" max="1781" width="12.109375" style="387" customWidth="1"/>
    <col min="1782" max="1784" width="9.109375" style="387"/>
    <col min="1785" max="1785" width="11.88671875" style="387" bestFit="1" customWidth="1"/>
    <col min="1786" max="2032" width="9.109375" style="387"/>
    <col min="2033" max="2033" width="7.109375" style="387" customWidth="1"/>
    <col min="2034" max="2034" width="28" style="387" customWidth="1"/>
    <col min="2035" max="2035" width="14.44140625" style="387" customWidth="1"/>
    <col min="2036" max="2036" width="16.44140625" style="387" customWidth="1"/>
    <col min="2037" max="2037" width="12.109375" style="387" customWidth="1"/>
    <col min="2038" max="2040" width="9.109375" style="387"/>
    <col min="2041" max="2041" width="11.88671875" style="387" bestFit="1" customWidth="1"/>
    <col min="2042" max="2288" width="9.109375" style="387"/>
    <col min="2289" max="2289" width="7.109375" style="387" customWidth="1"/>
    <col min="2290" max="2290" width="28" style="387" customWidth="1"/>
    <col min="2291" max="2291" width="14.44140625" style="387" customWidth="1"/>
    <col min="2292" max="2292" width="16.44140625" style="387" customWidth="1"/>
    <col min="2293" max="2293" width="12.109375" style="387" customWidth="1"/>
    <col min="2294" max="2296" width="9.109375" style="387"/>
    <col min="2297" max="2297" width="11.88671875" style="387" bestFit="1" customWidth="1"/>
    <col min="2298" max="2544" width="9.109375" style="387"/>
    <col min="2545" max="2545" width="7.109375" style="387" customWidth="1"/>
    <col min="2546" max="2546" width="28" style="387" customWidth="1"/>
    <col min="2547" max="2547" width="14.44140625" style="387" customWidth="1"/>
    <col min="2548" max="2548" width="16.44140625" style="387" customWidth="1"/>
    <col min="2549" max="2549" width="12.109375" style="387" customWidth="1"/>
    <col min="2550" max="2552" width="9.109375" style="387"/>
    <col min="2553" max="2553" width="11.88671875" style="387" bestFit="1" customWidth="1"/>
    <col min="2554" max="2800" width="9.109375" style="387"/>
    <col min="2801" max="2801" width="7.109375" style="387" customWidth="1"/>
    <col min="2802" max="2802" width="28" style="387" customWidth="1"/>
    <col min="2803" max="2803" width="14.44140625" style="387" customWidth="1"/>
    <col min="2804" max="2804" width="16.44140625" style="387" customWidth="1"/>
    <col min="2805" max="2805" width="12.109375" style="387" customWidth="1"/>
    <col min="2806" max="2808" width="9.109375" style="387"/>
    <col min="2809" max="2809" width="11.88671875" style="387" bestFit="1" customWidth="1"/>
    <col min="2810" max="3056" width="9.109375" style="387"/>
    <col min="3057" max="3057" width="7.109375" style="387" customWidth="1"/>
    <col min="3058" max="3058" width="28" style="387" customWidth="1"/>
    <col min="3059" max="3059" width="14.44140625" style="387" customWidth="1"/>
    <col min="3060" max="3060" width="16.44140625" style="387" customWidth="1"/>
    <col min="3061" max="3061" width="12.109375" style="387" customWidth="1"/>
    <col min="3062" max="3064" width="9.109375" style="387"/>
    <col min="3065" max="3065" width="11.88671875" style="387" bestFit="1" customWidth="1"/>
    <col min="3066" max="3312" width="9.109375" style="387"/>
    <col min="3313" max="3313" width="7.109375" style="387" customWidth="1"/>
    <col min="3314" max="3314" width="28" style="387" customWidth="1"/>
    <col min="3315" max="3315" width="14.44140625" style="387" customWidth="1"/>
    <col min="3316" max="3316" width="16.44140625" style="387" customWidth="1"/>
    <col min="3317" max="3317" width="12.109375" style="387" customWidth="1"/>
    <col min="3318" max="3320" width="9.109375" style="387"/>
    <col min="3321" max="3321" width="11.88671875" style="387" bestFit="1" customWidth="1"/>
    <col min="3322" max="3568" width="9.109375" style="387"/>
    <col min="3569" max="3569" width="7.109375" style="387" customWidth="1"/>
    <col min="3570" max="3570" width="28" style="387" customWidth="1"/>
    <col min="3571" max="3571" width="14.44140625" style="387" customWidth="1"/>
    <col min="3572" max="3572" width="16.44140625" style="387" customWidth="1"/>
    <col min="3573" max="3573" width="12.109375" style="387" customWidth="1"/>
    <col min="3574" max="3576" width="9.109375" style="387"/>
    <col min="3577" max="3577" width="11.88671875" style="387" bestFit="1" customWidth="1"/>
    <col min="3578" max="3824" width="9.109375" style="387"/>
    <col min="3825" max="3825" width="7.109375" style="387" customWidth="1"/>
    <col min="3826" max="3826" width="28" style="387" customWidth="1"/>
    <col min="3827" max="3827" width="14.44140625" style="387" customWidth="1"/>
    <col min="3828" max="3828" width="16.44140625" style="387" customWidth="1"/>
    <col min="3829" max="3829" width="12.109375" style="387" customWidth="1"/>
    <col min="3830" max="3832" width="9.109375" style="387"/>
    <col min="3833" max="3833" width="11.88671875" style="387" bestFit="1" customWidth="1"/>
    <col min="3834" max="4080" width="9.109375" style="387"/>
    <col min="4081" max="4081" width="7.109375" style="387" customWidth="1"/>
    <col min="4082" max="4082" width="28" style="387" customWidth="1"/>
    <col min="4083" max="4083" width="14.44140625" style="387" customWidth="1"/>
    <col min="4084" max="4084" width="16.44140625" style="387" customWidth="1"/>
    <col min="4085" max="4085" width="12.109375" style="387" customWidth="1"/>
    <col min="4086" max="4088" width="9.109375" style="387"/>
    <col min="4089" max="4089" width="11.88671875" style="387" bestFit="1" customWidth="1"/>
    <col min="4090" max="4336" width="9.109375" style="387"/>
    <col min="4337" max="4337" width="7.109375" style="387" customWidth="1"/>
    <col min="4338" max="4338" width="28" style="387" customWidth="1"/>
    <col min="4339" max="4339" width="14.44140625" style="387" customWidth="1"/>
    <col min="4340" max="4340" width="16.44140625" style="387" customWidth="1"/>
    <col min="4341" max="4341" width="12.109375" style="387" customWidth="1"/>
    <col min="4342" max="4344" width="9.109375" style="387"/>
    <col min="4345" max="4345" width="11.88671875" style="387" bestFit="1" customWidth="1"/>
    <col min="4346" max="4592" width="9.109375" style="387"/>
    <col min="4593" max="4593" width="7.109375" style="387" customWidth="1"/>
    <col min="4594" max="4594" width="28" style="387" customWidth="1"/>
    <col min="4595" max="4595" width="14.44140625" style="387" customWidth="1"/>
    <col min="4596" max="4596" width="16.44140625" style="387" customWidth="1"/>
    <col min="4597" max="4597" width="12.109375" style="387" customWidth="1"/>
    <col min="4598" max="4600" width="9.109375" style="387"/>
    <col min="4601" max="4601" width="11.88671875" style="387" bestFit="1" customWidth="1"/>
    <col min="4602" max="4848" width="9.109375" style="387"/>
    <col min="4849" max="4849" width="7.109375" style="387" customWidth="1"/>
    <col min="4850" max="4850" width="28" style="387" customWidth="1"/>
    <col min="4851" max="4851" width="14.44140625" style="387" customWidth="1"/>
    <col min="4852" max="4852" width="16.44140625" style="387" customWidth="1"/>
    <col min="4853" max="4853" width="12.109375" style="387" customWidth="1"/>
    <col min="4854" max="4856" width="9.109375" style="387"/>
    <col min="4857" max="4857" width="11.88671875" style="387" bestFit="1" customWidth="1"/>
    <col min="4858" max="5104" width="9.109375" style="387"/>
    <col min="5105" max="5105" width="7.109375" style="387" customWidth="1"/>
    <col min="5106" max="5106" width="28" style="387" customWidth="1"/>
    <col min="5107" max="5107" width="14.44140625" style="387" customWidth="1"/>
    <col min="5108" max="5108" width="16.44140625" style="387" customWidth="1"/>
    <col min="5109" max="5109" width="12.109375" style="387" customWidth="1"/>
    <col min="5110" max="5112" width="9.109375" style="387"/>
    <col min="5113" max="5113" width="11.88671875" style="387" bestFit="1" customWidth="1"/>
    <col min="5114" max="5360" width="9.109375" style="387"/>
    <col min="5361" max="5361" width="7.109375" style="387" customWidth="1"/>
    <col min="5362" max="5362" width="28" style="387" customWidth="1"/>
    <col min="5363" max="5363" width="14.44140625" style="387" customWidth="1"/>
    <col min="5364" max="5364" width="16.44140625" style="387" customWidth="1"/>
    <col min="5365" max="5365" width="12.109375" style="387" customWidth="1"/>
    <col min="5366" max="5368" width="9.109375" style="387"/>
    <col min="5369" max="5369" width="11.88671875" style="387" bestFit="1" customWidth="1"/>
    <col min="5370" max="5616" width="9.109375" style="387"/>
    <col min="5617" max="5617" width="7.109375" style="387" customWidth="1"/>
    <col min="5618" max="5618" width="28" style="387" customWidth="1"/>
    <col min="5619" max="5619" width="14.44140625" style="387" customWidth="1"/>
    <col min="5620" max="5620" width="16.44140625" style="387" customWidth="1"/>
    <col min="5621" max="5621" width="12.109375" style="387" customWidth="1"/>
    <col min="5622" max="5624" width="9.109375" style="387"/>
    <col min="5625" max="5625" width="11.88671875" style="387" bestFit="1" customWidth="1"/>
    <col min="5626" max="5872" width="9.109375" style="387"/>
    <col min="5873" max="5873" width="7.109375" style="387" customWidth="1"/>
    <col min="5874" max="5874" width="28" style="387" customWidth="1"/>
    <col min="5875" max="5875" width="14.44140625" style="387" customWidth="1"/>
    <col min="5876" max="5876" width="16.44140625" style="387" customWidth="1"/>
    <col min="5877" max="5877" width="12.109375" style="387" customWidth="1"/>
    <col min="5878" max="5880" width="9.109375" style="387"/>
    <col min="5881" max="5881" width="11.88671875" style="387" bestFit="1" customWidth="1"/>
    <col min="5882" max="6128" width="9.109375" style="387"/>
    <col min="6129" max="6129" width="7.109375" style="387" customWidth="1"/>
    <col min="6130" max="6130" width="28" style="387" customWidth="1"/>
    <col min="6131" max="6131" width="14.44140625" style="387" customWidth="1"/>
    <col min="6132" max="6132" width="16.44140625" style="387" customWidth="1"/>
    <col min="6133" max="6133" width="12.109375" style="387" customWidth="1"/>
    <col min="6134" max="6136" width="9.109375" style="387"/>
    <col min="6137" max="6137" width="11.88671875" style="387" bestFit="1" customWidth="1"/>
    <col min="6138" max="6384" width="9.109375" style="387"/>
    <col min="6385" max="6385" width="7.109375" style="387" customWidth="1"/>
    <col min="6386" max="6386" width="28" style="387" customWidth="1"/>
    <col min="6387" max="6387" width="14.44140625" style="387" customWidth="1"/>
    <col min="6388" max="6388" width="16.44140625" style="387" customWidth="1"/>
    <col min="6389" max="6389" width="12.109375" style="387" customWidth="1"/>
    <col min="6390" max="6392" width="9.109375" style="387"/>
    <col min="6393" max="6393" width="11.88671875" style="387" bestFit="1" customWidth="1"/>
    <col min="6394" max="6640" width="9.109375" style="387"/>
    <col min="6641" max="6641" width="7.109375" style="387" customWidth="1"/>
    <col min="6642" max="6642" width="28" style="387" customWidth="1"/>
    <col min="6643" max="6643" width="14.44140625" style="387" customWidth="1"/>
    <col min="6644" max="6644" width="16.44140625" style="387" customWidth="1"/>
    <col min="6645" max="6645" width="12.109375" style="387" customWidth="1"/>
    <col min="6646" max="6648" width="9.109375" style="387"/>
    <col min="6649" max="6649" width="11.88671875" style="387" bestFit="1" customWidth="1"/>
    <col min="6650" max="6896" width="9.109375" style="387"/>
    <col min="6897" max="6897" width="7.109375" style="387" customWidth="1"/>
    <col min="6898" max="6898" width="28" style="387" customWidth="1"/>
    <col min="6899" max="6899" width="14.44140625" style="387" customWidth="1"/>
    <col min="6900" max="6900" width="16.44140625" style="387" customWidth="1"/>
    <col min="6901" max="6901" width="12.109375" style="387" customWidth="1"/>
    <col min="6902" max="6904" width="9.109375" style="387"/>
    <col min="6905" max="6905" width="11.88671875" style="387" bestFit="1" customWidth="1"/>
    <col min="6906" max="7152" width="9.109375" style="387"/>
    <col min="7153" max="7153" width="7.109375" style="387" customWidth="1"/>
    <col min="7154" max="7154" width="28" style="387" customWidth="1"/>
    <col min="7155" max="7155" width="14.44140625" style="387" customWidth="1"/>
    <col min="7156" max="7156" width="16.44140625" style="387" customWidth="1"/>
    <col min="7157" max="7157" width="12.109375" style="387" customWidth="1"/>
    <col min="7158" max="7160" width="9.109375" style="387"/>
    <col min="7161" max="7161" width="11.88671875" style="387" bestFit="1" customWidth="1"/>
    <col min="7162" max="7408" width="9.109375" style="387"/>
    <col min="7409" max="7409" width="7.109375" style="387" customWidth="1"/>
    <col min="7410" max="7410" width="28" style="387" customWidth="1"/>
    <col min="7411" max="7411" width="14.44140625" style="387" customWidth="1"/>
    <col min="7412" max="7412" width="16.44140625" style="387" customWidth="1"/>
    <col min="7413" max="7413" width="12.109375" style="387" customWidth="1"/>
    <col min="7414" max="7416" width="9.109375" style="387"/>
    <col min="7417" max="7417" width="11.88671875" style="387" bestFit="1" customWidth="1"/>
    <col min="7418" max="7664" width="9.109375" style="387"/>
    <col min="7665" max="7665" width="7.109375" style="387" customWidth="1"/>
    <col min="7666" max="7666" width="28" style="387" customWidth="1"/>
    <col min="7667" max="7667" width="14.44140625" style="387" customWidth="1"/>
    <col min="7668" max="7668" width="16.44140625" style="387" customWidth="1"/>
    <col min="7669" max="7669" width="12.109375" style="387" customWidth="1"/>
    <col min="7670" max="7672" width="9.109375" style="387"/>
    <col min="7673" max="7673" width="11.88671875" style="387" bestFit="1" customWidth="1"/>
    <col min="7674" max="7920" width="9.109375" style="387"/>
    <col min="7921" max="7921" width="7.109375" style="387" customWidth="1"/>
    <col min="7922" max="7922" width="28" style="387" customWidth="1"/>
    <col min="7923" max="7923" width="14.44140625" style="387" customWidth="1"/>
    <col min="7924" max="7924" width="16.44140625" style="387" customWidth="1"/>
    <col min="7925" max="7925" width="12.109375" style="387" customWidth="1"/>
    <col min="7926" max="7928" width="9.109375" style="387"/>
    <col min="7929" max="7929" width="11.88671875" style="387" bestFit="1" customWidth="1"/>
    <col min="7930" max="8176" width="9.109375" style="387"/>
    <col min="8177" max="8177" width="7.109375" style="387" customWidth="1"/>
    <col min="8178" max="8178" width="28" style="387" customWidth="1"/>
    <col min="8179" max="8179" width="14.44140625" style="387" customWidth="1"/>
    <col min="8180" max="8180" width="16.44140625" style="387" customWidth="1"/>
    <col min="8181" max="8181" width="12.109375" style="387" customWidth="1"/>
    <col min="8182" max="8184" width="9.109375" style="387"/>
    <col min="8185" max="8185" width="11.88671875" style="387" bestFit="1" customWidth="1"/>
    <col min="8186" max="8432" width="9.109375" style="387"/>
    <col min="8433" max="8433" width="7.109375" style="387" customWidth="1"/>
    <col min="8434" max="8434" width="28" style="387" customWidth="1"/>
    <col min="8435" max="8435" width="14.44140625" style="387" customWidth="1"/>
    <col min="8436" max="8436" width="16.44140625" style="387" customWidth="1"/>
    <col min="8437" max="8437" width="12.109375" style="387" customWidth="1"/>
    <col min="8438" max="8440" width="9.109375" style="387"/>
    <col min="8441" max="8441" width="11.88671875" style="387" bestFit="1" customWidth="1"/>
    <col min="8442" max="8688" width="9.109375" style="387"/>
    <col min="8689" max="8689" width="7.109375" style="387" customWidth="1"/>
    <col min="8690" max="8690" width="28" style="387" customWidth="1"/>
    <col min="8691" max="8691" width="14.44140625" style="387" customWidth="1"/>
    <col min="8692" max="8692" width="16.44140625" style="387" customWidth="1"/>
    <col min="8693" max="8693" width="12.109375" style="387" customWidth="1"/>
    <col min="8694" max="8696" width="9.109375" style="387"/>
    <col min="8697" max="8697" width="11.88671875" style="387" bestFit="1" customWidth="1"/>
    <col min="8698" max="8944" width="9.109375" style="387"/>
    <col min="8945" max="8945" width="7.109375" style="387" customWidth="1"/>
    <col min="8946" max="8946" width="28" style="387" customWidth="1"/>
    <col min="8947" max="8947" width="14.44140625" style="387" customWidth="1"/>
    <col min="8948" max="8948" width="16.44140625" style="387" customWidth="1"/>
    <col min="8949" max="8949" width="12.109375" style="387" customWidth="1"/>
    <col min="8950" max="8952" width="9.109375" style="387"/>
    <col min="8953" max="8953" width="11.88671875" style="387" bestFit="1" customWidth="1"/>
    <col min="8954" max="9200" width="9.109375" style="387"/>
    <col min="9201" max="9201" width="7.109375" style="387" customWidth="1"/>
    <col min="9202" max="9202" width="28" style="387" customWidth="1"/>
    <col min="9203" max="9203" width="14.44140625" style="387" customWidth="1"/>
    <col min="9204" max="9204" width="16.44140625" style="387" customWidth="1"/>
    <col min="9205" max="9205" width="12.109375" style="387" customWidth="1"/>
    <col min="9206" max="9208" width="9.109375" style="387"/>
    <col min="9209" max="9209" width="11.88671875" style="387" bestFit="1" customWidth="1"/>
    <col min="9210" max="9456" width="9.109375" style="387"/>
    <col min="9457" max="9457" width="7.109375" style="387" customWidth="1"/>
    <col min="9458" max="9458" width="28" style="387" customWidth="1"/>
    <col min="9459" max="9459" width="14.44140625" style="387" customWidth="1"/>
    <col min="9460" max="9460" width="16.44140625" style="387" customWidth="1"/>
    <col min="9461" max="9461" width="12.109375" style="387" customWidth="1"/>
    <col min="9462" max="9464" width="9.109375" style="387"/>
    <col min="9465" max="9465" width="11.88671875" style="387" bestFit="1" customWidth="1"/>
    <col min="9466" max="9712" width="9.109375" style="387"/>
    <col min="9713" max="9713" width="7.109375" style="387" customWidth="1"/>
    <col min="9714" max="9714" width="28" style="387" customWidth="1"/>
    <col min="9715" max="9715" width="14.44140625" style="387" customWidth="1"/>
    <col min="9716" max="9716" width="16.44140625" style="387" customWidth="1"/>
    <col min="9717" max="9717" width="12.109375" style="387" customWidth="1"/>
    <col min="9718" max="9720" width="9.109375" style="387"/>
    <col min="9721" max="9721" width="11.88671875" style="387" bestFit="1" customWidth="1"/>
    <col min="9722" max="9968" width="9.109375" style="387"/>
    <col min="9969" max="9969" width="7.109375" style="387" customWidth="1"/>
    <col min="9970" max="9970" width="28" style="387" customWidth="1"/>
    <col min="9971" max="9971" width="14.44140625" style="387" customWidth="1"/>
    <col min="9972" max="9972" width="16.44140625" style="387" customWidth="1"/>
    <col min="9973" max="9973" width="12.109375" style="387" customWidth="1"/>
    <col min="9974" max="9976" width="9.109375" style="387"/>
    <col min="9977" max="9977" width="11.88671875" style="387" bestFit="1" customWidth="1"/>
    <col min="9978" max="10224" width="9.109375" style="387"/>
    <col min="10225" max="10225" width="7.109375" style="387" customWidth="1"/>
    <col min="10226" max="10226" width="28" style="387" customWidth="1"/>
    <col min="10227" max="10227" width="14.44140625" style="387" customWidth="1"/>
    <col min="10228" max="10228" width="16.44140625" style="387" customWidth="1"/>
    <col min="10229" max="10229" width="12.109375" style="387" customWidth="1"/>
    <col min="10230" max="10232" width="9.109375" style="387"/>
    <col min="10233" max="10233" width="11.88671875" style="387" bestFit="1" customWidth="1"/>
    <col min="10234" max="10480" width="9.109375" style="387"/>
    <col min="10481" max="10481" width="7.109375" style="387" customWidth="1"/>
    <col min="10482" max="10482" width="28" style="387" customWidth="1"/>
    <col min="10483" max="10483" width="14.44140625" style="387" customWidth="1"/>
    <col min="10484" max="10484" width="16.44140625" style="387" customWidth="1"/>
    <col min="10485" max="10485" width="12.109375" style="387" customWidth="1"/>
    <col min="10486" max="10488" width="9.109375" style="387"/>
    <col min="10489" max="10489" width="11.88671875" style="387" bestFit="1" customWidth="1"/>
    <col min="10490" max="10736" width="9.109375" style="387"/>
    <col min="10737" max="10737" width="7.109375" style="387" customWidth="1"/>
    <col min="10738" max="10738" width="28" style="387" customWidth="1"/>
    <col min="10739" max="10739" width="14.44140625" style="387" customWidth="1"/>
    <col min="10740" max="10740" width="16.44140625" style="387" customWidth="1"/>
    <col min="10741" max="10741" width="12.109375" style="387" customWidth="1"/>
    <col min="10742" max="10744" width="9.109375" style="387"/>
    <col min="10745" max="10745" width="11.88671875" style="387" bestFit="1" customWidth="1"/>
    <col min="10746" max="10992" width="9.109375" style="387"/>
    <col min="10993" max="10993" width="7.109375" style="387" customWidth="1"/>
    <col min="10994" max="10994" width="28" style="387" customWidth="1"/>
    <col min="10995" max="10995" width="14.44140625" style="387" customWidth="1"/>
    <col min="10996" max="10996" width="16.44140625" style="387" customWidth="1"/>
    <col min="10997" max="10997" width="12.109375" style="387" customWidth="1"/>
    <col min="10998" max="11000" width="9.109375" style="387"/>
    <col min="11001" max="11001" width="11.88671875" style="387" bestFit="1" customWidth="1"/>
    <col min="11002" max="11248" width="9.109375" style="387"/>
    <col min="11249" max="11249" width="7.109375" style="387" customWidth="1"/>
    <col min="11250" max="11250" width="28" style="387" customWidth="1"/>
    <col min="11251" max="11251" width="14.44140625" style="387" customWidth="1"/>
    <col min="11252" max="11252" width="16.44140625" style="387" customWidth="1"/>
    <col min="11253" max="11253" width="12.109375" style="387" customWidth="1"/>
    <col min="11254" max="11256" width="9.109375" style="387"/>
    <col min="11257" max="11257" width="11.88671875" style="387" bestFit="1" customWidth="1"/>
    <col min="11258" max="11504" width="9.109375" style="387"/>
    <col min="11505" max="11505" width="7.109375" style="387" customWidth="1"/>
    <col min="11506" max="11506" width="28" style="387" customWidth="1"/>
    <col min="11507" max="11507" width="14.44140625" style="387" customWidth="1"/>
    <col min="11508" max="11508" width="16.44140625" style="387" customWidth="1"/>
    <col min="11509" max="11509" width="12.109375" style="387" customWidth="1"/>
    <col min="11510" max="11512" width="9.109375" style="387"/>
    <col min="11513" max="11513" width="11.88671875" style="387" bestFit="1" customWidth="1"/>
    <col min="11514" max="11760" width="9.109375" style="387"/>
    <col min="11761" max="11761" width="7.109375" style="387" customWidth="1"/>
    <col min="11762" max="11762" width="28" style="387" customWidth="1"/>
    <col min="11763" max="11763" width="14.44140625" style="387" customWidth="1"/>
    <col min="11764" max="11764" width="16.44140625" style="387" customWidth="1"/>
    <col min="11765" max="11765" width="12.109375" style="387" customWidth="1"/>
    <col min="11766" max="11768" width="9.109375" style="387"/>
    <col min="11769" max="11769" width="11.88671875" style="387" bestFit="1" customWidth="1"/>
    <col min="11770" max="12016" width="9.109375" style="387"/>
    <col min="12017" max="12017" width="7.109375" style="387" customWidth="1"/>
    <col min="12018" max="12018" width="28" style="387" customWidth="1"/>
    <col min="12019" max="12019" width="14.44140625" style="387" customWidth="1"/>
    <col min="12020" max="12020" width="16.44140625" style="387" customWidth="1"/>
    <col min="12021" max="12021" width="12.109375" style="387" customWidth="1"/>
    <col min="12022" max="12024" width="9.109375" style="387"/>
    <col min="12025" max="12025" width="11.88671875" style="387" bestFit="1" customWidth="1"/>
    <col min="12026" max="12272" width="9.109375" style="387"/>
    <col min="12273" max="12273" width="7.109375" style="387" customWidth="1"/>
    <col min="12274" max="12274" width="28" style="387" customWidth="1"/>
    <col min="12275" max="12275" width="14.44140625" style="387" customWidth="1"/>
    <col min="12276" max="12276" width="16.44140625" style="387" customWidth="1"/>
    <col min="12277" max="12277" width="12.109375" style="387" customWidth="1"/>
    <col min="12278" max="12280" width="9.109375" style="387"/>
    <col min="12281" max="12281" width="11.88671875" style="387" bestFit="1" customWidth="1"/>
    <col min="12282" max="12528" width="9.109375" style="387"/>
    <col min="12529" max="12529" width="7.109375" style="387" customWidth="1"/>
    <col min="12530" max="12530" width="28" style="387" customWidth="1"/>
    <col min="12531" max="12531" width="14.44140625" style="387" customWidth="1"/>
    <col min="12532" max="12532" width="16.44140625" style="387" customWidth="1"/>
    <col min="12533" max="12533" width="12.109375" style="387" customWidth="1"/>
    <col min="12534" max="12536" width="9.109375" style="387"/>
    <col min="12537" max="12537" width="11.88671875" style="387" bestFit="1" customWidth="1"/>
    <col min="12538" max="12784" width="9.109375" style="387"/>
    <col min="12785" max="12785" width="7.109375" style="387" customWidth="1"/>
    <col min="12786" max="12786" width="28" style="387" customWidth="1"/>
    <col min="12787" max="12787" width="14.44140625" style="387" customWidth="1"/>
    <col min="12788" max="12788" width="16.44140625" style="387" customWidth="1"/>
    <col min="12789" max="12789" width="12.109375" style="387" customWidth="1"/>
    <col min="12790" max="12792" width="9.109375" style="387"/>
    <col min="12793" max="12793" width="11.88671875" style="387" bestFit="1" customWidth="1"/>
    <col min="12794" max="13040" width="9.109375" style="387"/>
    <col min="13041" max="13041" width="7.109375" style="387" customWidth="1"/>
    <col min="13042" max="13042" width="28" style="387" customWidth="1"/>
    <col min="13043" max="13043" width="14.44140625" style="387" customWidth="1"/>
    <col min="13044" max="13044" width="16.44140625" style="387" customWidth="1"/>
    <col min="13045" max="13045" width="12.109375" style="387" customWidth="1"/>
    <col min="13046" max="13048" width="9.109375" style="387"/>
    <col min="13049" max="13049" width="11.88671875" style="387" bestFit="1" customWidth="1"/>
    <col min="13050" max="13296" width="9.109375" style="387"/>
    <col min="13297" max="13297" width="7.109375" style="387" customWidth="1"/>
    <col min="13298" max="13298" width="28" style="387" customWidth="1"/>
    <col min="13299" max="13299" width="14.44140625" style="387" customWidth="1"/>
    <col min="13300" max="13300" width="16.44140625" style="387" customWidth="1"/>
    <col min="13301" max="13301" width="12.109375" style="387" customWidth="1"/>
    <col min="13302" max="13304" width="9.109375" style="387"/>
    <col min="13305" max="13305" width="11.88671875" style="387" bestFit="1" customWidth="1"/>
    <col min="13306" max="13552" width="9.109375" style="387"/>
    <col min="13553" max="13553" width="7.109375" style="387" customWidth="1"/>
    <col min="13554" max="13554" width="28" style="387" customWidth="1"/>
    <col min="13555" max="13555" width="14.44140625" style="387" customWidth="1"/>
    <col min="13556" max="13556" width="16.44140625" style="387" customWidth="1"/>
    <col min="13557" max="13557" width="12.109375" style="387" customWidth="1"/>
    <col min="13558" max="13560" width="9.109375" style="387"/>
    <col min="13561" max="13561" width="11.88671875" style="387" bestFit="1" customWidth="1"/>
    <col min="13562" max="13808" width="9.109375" style="387"/>
    <col min="13809" max="13809" width="7.109375" style="387" customWidth="1"/>
    <col min="13810" max="13810" width="28" style="387" customWidth="1"/>
    <col min="13811" max="13811" width="14.44140625" style="387" customWidth="1"/>
    <col min="13812" max="13812" width="16.44140625" style="387" customWidth="1"/>
    <col min="13813" max="13813" width="12.109375" style="387" customWidth="1"/>
    <col min="13814" max="13816" width="9.109375" style="387"/>
    <col min="13817" max="13817" width="11.88671875" style="387" bestFit="1" customWidth="1"/>
    <col min="13818" max="14064" width="9.109375" style="387"/>
    <col min="14065" max="14065" width="7.109375" style="387" customWidth="1"/>
    <col min="14066" max="14066" width="28" style="387" customWidth="1"/>
    <col min="14067" max="14067" width="14.44140625" style="387" customWidth="1"/>
    <col min="14068" max="14068" width="16.44140625" style="387" customWidth="1"/>
    <col min="14069" max="14069" width="12.109375" style="387" customWidth="1"/>
    <col min="14070" max="14072" width="9.109375" style="387"/>
    <col min="14073" max="14073" width="11.88671875" style="387" bestFit="1" customWidth="1"/>
    <col min="14074" max="14320" width="9.109375" style="387"/>
    <col min="14321" max="14321" width="7.109375" style="387" customWidth="1"/>
    <col min="14322" max="14322" width="28" style="387" customWidth="1"/>
    <col min="14323" max="14323" width="14.44140625" style="387" customWidth="1"/>
    <col min="14324" max="14324" width="16.44140625" style="387" customWidth="1"/>
    <col min="14325" max="14325" width="12.109375" style="387" customWidth="1"/>
    <col min="14326" max="14328" width="9.109375" style="387"/>
    <col min="14329" max="14329" width="11.88671875" style="387" bestFit="1" customWidth="1"/>
    <col min="14330" max="14576" width="9.109375" style="387"/>
    <col min="14577" max="14577" width="7.109375" style="387" customWidth="1"/>
    <col min="14578" max="14578" width="28" style="387" customWidth="1"/>
    <col min="14579" max="14579" width="14.44140625" style="387" customWidth="1"/>
    <col min="14580" max="14580" width="16.44140625" style="387" customWidth="1"/>
    <col min="14581" max="14581" width="12.109375" style="387" customWidth="1"/>
    <col min="14582" max="14584" width="9.109375" style="387"/>
    <col min="14585" max="14585" width="11.88671875" style="387" bestFit="1" customWidth="1"/>
    <col min="14586" max="14832" width="9.109375" style="387"/>
    <col min="14833" max="14833" width="7.109375" style="387" customWidth="1"/>
    <col min="14834" max="14834" width="28" style="387" customWidth="1"/>
    <col min="14835" max="14835" width="14.44140625" style="387" customWidth="1"/>
    <col min="14836" max="14836" width="16.44140625" style="387" customWidth="1"/>
    <col min="14837" max="14837" width="12.109375" style="387" customWidth="1"/>
    <col min="14838" max="14840" width="9.109375" style="387"/>
    <col min="14841" max="14841" width="11.88671875" style="387" bestFit="1" customWidth="1"/>
    <col min="14842" max="15088" width="9.109375" style="387"/>
    <col min="15089" max="15089" width="7.109375" style="387" customWidth="1"/>
    <col min="15090" max="15090" width="28" style="387" customWidth="1"/>
    <col min="15091" max="15091" width="14.44140625" style="387" customWidth="1"/>
    <col min="15092" max="15092" width="16.44140625" style="387" customWidth="1"/>
    <col min="15093" max="15093" width="12.109375" style="387" customWidth="1"/>
    <col min="15094" max="15096" width="9.109375" style="387"/>
    <col min="15097" max="15097" width="11.88671875" style="387" bestFit="1" customWidth="1"/>
    <col min="15098" max="15344" width="9.109375" style="387"/>
    <col min="15345" max="15345" width="7.109375" style="387" customWidth="1"/>
    <col min="15346" max="15346" width="28" style="387" customWidth="1"/>
    <col min="15347" max="15347" width="14.44140625" style="387" customWidth="1"/>
    <col min="15348" max="15348" width="16.44140625" style="387" customWidth="1"/>
    <col min="15349" max="15349" width="12.109375" style="387" customWidth="1"/>
    <col min="15350" max="15352" width="9.109375" style="387"/>
    <col min="15353" max="15353" width="11.88671875" style="387" bestFit="1" customWidth="1"/>
    <col min="15354" max="15600" width="9.109375" style="387"/>
    <col min="15601" max="15601" width="7.109375" style="387" customWidth="1"/>
    <col min="15602" max="15602" width="28" style="387" customWidth="1"/>
    <col min="15603" max="15603" width="14.44140625" style="387" customWidth="1"/>
    <col min="15604" max="15604" width="16.44140625" style="387" customWidth="1"/>
    <col min="15605" max="15605" width="12.109375" style="387" customWidth="1"/>
    <col min="15606" max="15608" width="9.109375" style="387"/>
    <col min="15609" max="15609" width="11.88671875" style="387" bestFit="1" customWidth="1"/>
    <col min="15610" max="15856" width="9.109375" style="387"/>
    <col min="15857" max="15857" width="7.109375" style="387" customWidth="1"/>
    <col min="15858" max="15858" width="28" style="387" customWidth="1"/>
    <col min="15859" max="15859" width="14.44140625" style="387" customWidth="1"/>
    <col min="15860" max="15860" width="16.44140625" style="387" customWidth="1"/>
    <col min="15861" max="15861" width="12.109375" style="387" customWidth="1"/>
    <col min="15862" max="15864" width="9.109375" style="387"/>
    <col min="15865" max="15865" width="11.88671875" style="387" bestFit="1" customWidth="1"/>
    <col min="15866" max="16112" width="9.109375" style="387"/>
    <col min="16113" max="16113" width="7.109375" style="387" customWidth="1"/>
    <col min="16114" max="16114" width="28" style="387" customWidth="1"/>
    <col min="16115" max="16115" width="14.44140625" style="387" customWidth="1"/>
    <col min="16116" max="16116" width="16.44140625" style="387" customWidth="1"/>
    <col min="16117" max="16117" width="12.109375" style="387" customWidth="1"/>
    <col min="16118" max="16120" width="9.109375" style="387"/>
    <col min="16121" max="16121" width="11.88671875" style="387" bestFit="1" customWidth="1"/>
    <col min="16122" max="16384" width="9.109375" style="387"/>
  </cols>
  <sheetData>
    <row r="1" spans="1:7" ht="13.8">
      <c r="A1" s="14597" t="s">
        <v>1749</v>
      </c>
      <c r="B1" s="14597"/>
      <c r="C1" s="14597"/>
      <c r="D1" s="14597"/>
      <c r="E1" s="14597"/>
      <c r="F1" s="14597"/>
      <c r="G1" s="14597"/>
    </row>
    <row r="3" spans="1:7" ht="13.8">
      <c r="A3" s="387" t="s">
        <v>9412</v>
      </c>
    </row>
    <row r="4" spans="1:7">
      <c r="A4" s="387" t="s">
        <v>1750</v>
      </c>
    </row>
    <row r="5" spans="1:7">
      <c r="A5" s="387" t="s">
        <v>6984</v>
      </c>
    </row>
    <row r="7" spans="1:7" s="412" customFormat="1" ht="15.6">
      <c r="A7" s="412" t="s">
        <v>1751</v>
      </c>
      <c r="C7" s="413"/>
      <c r="D7" s="976"/>
      <c r="E7" s="399"/>
    </row>
    <row r="8" spans="1:7">
      <c r="A8" s="398"/>
    </row>
    <row r="9" spans="1:7" s="398" customFormat="1" ht="105" customHeight="1">
      <c r="A9" s="14598" t="s">
        <v>6985</v>
      </c>
      <c r="B9" s="14598"/>
      <c r="C9" s="14598"/>
      <c r="D9" s="14598"/>
      <c r="E9" s="14598"/>
      <c r="F9" s="14598"/>
      <c r="G9" s="14598"/>
    </row>
    <row r="10" spans="1:7">
      <c r="A10" s="398"/>
    </row>
    <row r="11" spans="1:7" ht="12.75" customHeight="1">
      <c r="A11" s="14596" t="s">
        <v>1752</v>
      </c>
      <c r="B11" s="14596"/>
      <c r="C11" s="14596"/>
      <c r="D11" s="14596"/>
      <c r="E11" s="14596"/>
      <c r="F11" s="14596"/>
      <c r="G11" s="14596"/>
    </row>
    <row r="12" spans="1:7" ht="12.75" customHeight="1">
      <c r="A12" s="14596" t="s">
        <v>1791</v>
      </c>
      <c r="B12" s="14596"/>
      <c r="C12" s="14596"/>
      <c r="D12" s="14596"/>
      <c r="E12" s="14596"/>
      <c r="F12" s="14596"/>
      <c r="G12" s="14596"/>
    </row>
    <row r="13" spans="1:7" ht="12.75" customHeight="1">
      <c r="A13" s="14596" t="s">
        <v>1792</v>
      </c>
      <c r="B13" s="14596"/>
      <c r="C13" s="14596"/>
      <c r="D13" s="14596"/>
      <c r="E13" s="14596"/>
      <c r="F13" s="14596"/>
      <c r="G13" s="14596"/>
    </row>
    <row r="14" spans="1:7" ht="12.75" customHeight="1">
      <c r="A14" s="14596" t="s">
        <v>1793</v>
      </c>
      <c r="B14" s="14596"/>
      <c r="C14" s="14596"/>
      <c r="D14" s="14596"/>
      <c r="E14" s="14596"/>
      <c r="F14" s="14596"/>
      <c r="G14" s="14596"/>
    </row>
    <row r="15" spans="1:7" ht="12.75" customHeight="1">
      <c r="A15" s="14596" t="s">
        <v>1794</v>
      </c>
      <c r="B15" s="14596"/>
      <c r="C15" s="14596"/>
      <c r="D15" s="14596"/>
      <c r="E15" s="14596"/>
      <c r="F15" s="14596"/>
      <c r="G15" s="14596"/>
    </row>
    <row r="16" spans="1:7" ht="12.75" customHeight="1">
      <c r="A16" s="14596" t="s">
        <v>1795</v>
      </c>
      <c r="B16" s="14596"/>
      <c r="C16" s="14596"/>
      <c r="D16" s="14596"/>
      <c r="E16" s="14596"/>
      <c r="F16" s="14596"/>
      <c r="G16" s="14596"/>
    </row>
    <row r="17" spans="1:7">
      <c r="A17" s="398"/>
    </row>
    <row r="18" spans="1:7" s="399" customFormat="1" ht="15.6">
      <c r="A18" s="14607" t="s">
        <v>1753</v>
      </c>
      <c r="B18" s="14607"/>
      <c r="C18" s="14607"/>
      <c r="D18" s="14607"/>
      <c r="E18" s="14607"/>
      <c r="F18" s="14607"/>
      <c r="G18" s="14607"/>
    </row>
    <row r="19" spans="1:7" ht="5.25" customHeight="1">
      <c r="A19" s="402"/>
    </row>
    <row r="20" spans="1:7" ht="18" customHeight="1">
      <c r="A20" s="14596" t="s">
        <v>1754</v>
      </c>
      <c r="B20" s="14596"/>
      <c r="C20" s="14596"/>
      <c r="D20" s="14596"/>
      <c r="E20" s="14596"/>
      <c r="F20" s="14596"/>
      <c r="G20" s="14596"/>
    </row>
    <row r="21" spans="1:7" ht="31.5" customHeight="1">
      <c r="A21" s="14596" t="s">
        <v>1755</v>
      </c>
      <c r="B21" s="14596"/>
      <c r="C21" s="14596"/>
      <c r="D21" s="14596"/>
      <c r="E21" s="14596"/>
      <c r="F21" s="14596"/>
      <c r="G21" s="14596"/>
    </row>
    <row r="22" spans="1:7">
      <c r="A22" s="387" t="s">
        <v>1756</v>
      </c>
    </row>
    <row r="24" spans="1:7" ht="15.6">
      <c r="A24" s="412" t="s">
        <v>1757</v>
      </c>
    </row>
    <row r="25" spans="1:7" ht="13.8" thickBot="1">
      <c r="A25" s="399"/>
    </row>
    <row r="26" spans="1:7" s="399" customFormat="1" ht="30" customHeight="1">
      <c r="A26" s="378" t="s">
        <v>1758</v>
      </c>
      <c r="B26" s="379" t="s">
        <v>1759</v>
      </c>
      <c r="C26" s="982"/>
      <c r="D26" s="379" t="s">
        <v>1760</v>
      </c>
      <c r="E26" s="379"/>
      <c r="F26" s="14608" t="s">
        <v>1761</v>
      </c>
      <c r="G26" s="14609"/>
    </row>
    <row r="27" spans="1:7" s="399" customFormat="1" ht="15" customHeight="1">
      <c r="A27" s="380">
        <v>1</v>
      </c>
      <c r="B27" s="381" t="s">
        <v>1762</v>
      </c>
      <c r="C27" s="983" t="s">
        <v>1763</v>
      </c>
      <c r="D27" s="381">
        <v>4</v>
      </c>
      <c r="E27" s="381" t="s">
        <v>1764</v>
      </c>
      <c r="F27" s="14599" t="s">
        <v>1765</v>
      </c>
      <c r="G27" s="14600"/>
    </row>
    <row r="28" spans="1:7" s="399" customFormat="1" ht="13.8" thickBot="1">
      <c r="A28" s="414"/>
      <c r="B28" s="382">
        <v>2</v>
      </c>
      <c r="C28" s="984">
        <v>3</v>
      </c>
      <c r="D28" s="383"/>
      <c r="E28" s="382">
        <v>5</v>
      </c>
      <c r="F28" s="14601"/>
      <c r="G28" s="14602"/>
    </row>
    <row r="29" spans="1:7" ht="45" customHeight="1" thickBot="1">
      <c r="A29" s="391"/>
      <c r="B29" s="14585" t="s">
        <v>1796</v>
      </c>
      <c r="C29" s="989">
        <f>'lbpf 3-BDJ'!J30</f>
        <v>9329616.3450000007</v>
      </c>
      <c r="D29" s="2369" t="s">
        <v>6986</v>
      </c>
      <c r="E29" s="2370" t="s">
        <v>6988</v>
      </c>
      <c r="F29" s="388" t="s">
        <v>1766</v>
      </c>
      <c r="G29" s="388" t="s">
        <v>1767</v>
      </c>
    </row>
    <row r="30" spans="1:7" ht="66.75" customHeight="1">
      <c r="A30" s="386"/>
      <c r="B30" s="14586"/>
      <c r="C30" s="991">
        <v>500000</v>
      </c>
      <c r="D30" s="385" t="s">
        <v>6987</v>
      </c>
      <c r="E30" s="2370" t="s">
        <v>6988</v>
      </c>
      <c r="F30" s="980"/>
      <c r="G30" s="980"/>
    </row>
    <row r="31" spans="1:7" ht="41.25" customHeight="1">
      <c r="A31" s="386"/>
      <c r="B31" s="392"/>
      <c r="C31" s="990"/>
      <c r="D31" s="385" t="s">
        <v>3541</v>
      </c>
      <c r="E31" s="389" t="s">
        <v>3540</v>
      </c>
      <c r="F31" s="980"/>
      <c r="G31" s="980"/>
    </row>
    <row r="32" spans="1:7" ht="39.6">
      <c r="A32" s="386"/>
      <c r="B32" s="392" t="s">
        <v>1768</v>
      </c>
      <c r="C32" s="990"/>
      <c r="D32" s="385"/>
      <c r="E32" s="389"/>
      <c r="F32" s="389"/>
      <c r="G32" s="389"/>
    </row>
    <row r="33" spans="1:7" ht="78.75" customHeight="1">
      <c r="A33" s="386"/>
      <c r="B33" s="386" t="s">
        <v>1769</v>
      </c>
      <c r="C33" s="991">
        <f>SUM('lbpf 3-BDJ'!J47,'lbpf 3-BDJ'!J50:J63)</f>
        <v>9817000</v>
      </c>
      <c r="D33" s="385" t="s">
        <v>1770</v>
      </c>
      <c r="E33" s="389" t="s">
        <v>1771</v>
      </c>
      <c r="F33" s="393" t="s">
        <v>1766</v>
      </c>
      <c r="G33" s="389" t="s">
        <v>1767</v>
      </c>
    </row>
    <row r="34" spans="1:7" ht="7.5" customHeight="1">
      <c r="A34" s="386"/>
      <c r="B34" s="403"/>
      <c r="C34" s="990"/>
      <c r="D34" s="385"/>
      <c r="E34" s="389"/>
      <c r="F34" s="389"/>
      <c r="G34" s="389"/>
    </row>
    <row r="35" spans="1:7" ht="29.25" customHeight="1" thickBot="1">
      <c r="A35" s="386"/>
      <c r="B35" s="385" t="s">
        <v>1797</v>
      </c>
      <c r="C35" s="991"/>
      <c r="D35" s="385" t="s">
        <v>1772</v>
      </c>
      <c r="E35" s="389" t="s">
        <v>1773</v>
      </c>
      <c r="F35" s="393" t="s">
        <v>1766</v>
      </c>
      <c r="G35" s="389" t="s">
        <v>1767</v>
      </c>
    </row>
    <row r="36" spans="1:7" ht="7.5" customHeight="1">
      <c r="A36" s="427"/>
      <c r="B36" s="427"/>
      <c r="C36" s="992"/>
      <c r="D36" s="429"/>
      <c r="E36" s="428"/>
      <c r="F36" s="428"/>
      <c r="G36" s="428"/>
    </row>
    <row r="37" spans="1:7" ht="72" customHeight="1">
      <c r="A37" s="386"/>
      <c r="B37" s="385" t="s">
        <v>1798</v>
      </c>
      <c r="C37" s="991"/>
      <c r="D37" s="385" t="s">
        <v>1774</v>
      </c>
      <c r="E37" s="389" t="s">
        <v>1775</v>
      </c>
      <c r="F37" s="389" t="s">
        <v>1766</v>
      </c>
      <c r="G37" s="389" t="s">
        <v>1767</v>
      </c>
    </row>
    <row r="38" spans="1:7" ht="69" customHeight="1">
      <c r="A38" s="386"/>
      <c r="B38" s="385" t="s">
        <v>1799</v>
      </c>
      <c r="C38" s="991"/>
      <c r="D38" s="385" t="s">
        <v>3542</v>
      </c>
      <c r="E38" s="389" t="s">
        <v>3543</v>
      </c>
      <c r="F38" s="389" t="s">
        <v>1766</v>
      </c>
      <c r="G38" s="389" t="s">
        <v>1767</v>
      </c>
    </row>
    <row r="39" spans="1:7" ht="41.25" customHeight="1">
      <c r="A39" s="386"/>
      <c r="B39" s="385"/>
      <c r="C39" s="990"/>
      <c r="D39" s="385" t="s">
        <v>1776</v>
      </c>
      <c r="E39" s="389" t="s">
        <v>1777</v>
      </c>
      <c r="F39" s="389" t="s">
        <v>1766</v>
      </c>
      <c r="G39" s="389" t="s">
        <v>1767</v>
      </c>
    </row>
    <row r="40" spans="1:7">
      <c r="A40" s="386"/>
      <c r="B40" s="392" t="s">
        <v>1778</v>
      </c>
      <c r="C40" s="990"/>
      <c r="D40" s="385"/>
      <c r="E40" s="404"/>
      <c r="F40" s="389"/>
      <c r="G40" s="389"/>
    </row>
    <row r="41" spans="1:7" ht="26.4">
      <c r="A41" s="386"/>
      <c r="B41" s="392" t="s">
        <v>1800</v>
      </c>
      <c r="C41" s="991">
        <v>880000</v>
      </c>
      <c r="D41" s="385" t="s">
        <v>1779</v>
      </c>
      <c r="E41" s="389" t="s">
        <v>3544</v>
      </c>
      <c r="F41" s="389" t="s">
        <v>1766</v>
      </c>
      <c r="G41" s="389" t="s">
        <v>1767</v>
      </c>
    </row>
    <row r="42" spans="1:7" ht="67.5" customHeight="1">
      <c r="A42" s="386"/>
      <c r="B42" s="386"/>
      <c r="C42" s="990"/>
      <c r="D42" s="385" t="s">
        <v>1780</v>
      </c>
      <c r="E42" s="389" t="s">
        <v>1781</v>
      </c>
      <c r="F42" s="389" t="s">
        <v>1766</v>
      </c>
      <c r="G42" s="389" t="s">
        <v>1767</v>
      </c>
    </row>
    <row r="43" spans="1:7" ht="12.75" customHeight="1">
      <c r="A43" s="386"/>
      <c r="B43" s="392" t="s">
        <v>1782</v>
      </c>
      <c r="C43" s="990"/>
      <c r="D43" s="385"/>
      <c r="E43" s="386"/>
      <c r="F43" s="404"/>
      <c r="G43" s="389"/>
    </row>
    <row r="44" spans="1:7" ht="26.4">
      <c r="A44" s="386"/>
      <c r="B44" s="386" t="s">
        <v>1783</v>
      </c>
      <c r="C44" s="991">
        <v>7300000</v>
      </c>
      <c r="D44" s="385" t="s">
        <v>1784</v>
      </c>
      <c r="E44" s="389" t="s">
        <v>3545</v>
      </c>
      <c r="F44" s="393" t="s">
        <v>1766</v>
      </c>
      <c r="G44" s="389" t="s">
        <v>1767</v>
      </c>
    </row>
    <row r="45" spans="1:7" ht="13.8" thickBot="1">
      <c r="A45" s="384"/>
      <c r="B45" s="384" t="s">
        <v>1785</v>
      </c>
      <c r="C45" s="993">
        <v>150000</v>
      </c>
      <c r="D45" s="394" t="s">
        <v>1786</v>
      </c>
      <c r="E45" s="395" t="s">
        <v>3545</v>
      </c>
      <c r="F45" s="396" t="s">
        <v>1766</v>
      </c>
      <c r="G45" s="395" t="s">
        <v>1767</v>
      </c>
    </row>
    <row r="46" spans="1:7" s="426" customFormat="1" ht="16.2" thickBot="1">
      <c r="A46" s="422"/>
      <c r="B46" s="423" t="s">
        <v>220</v>
      </c>
      <c r="C46" s="846">
        <f>SUM(C29:C45)</f>
        <v>27976616.344999999</v>
      </c>
      <c r="D46" s="424"/>
      <c r="E46" s="981"/>
      <c r="F46" s="425"/>
      <c r="G46" s="425"/>
    </row>
    <row r="47" spans="1:7" ht="21.75" customHeight="1" thickBot="1">
      <c r="A47" s="408"/>
      <c r="B47" s="387"/>
      <c r="C47" s="409">
        <f>C46-24815112</f>
        <v>3161504.3449999988</v>
      </c>
      <c r="E47" s="410"/>
    </row>
    <row r="48" spans="1:7" s="408" customFormat="1" ht="12.75" customHeight="1">
      <c r="A48" s="415"/>
      <c r="B48" s="974"/>
      <c r="C48" s="985"/>
      <c r="D48" s="416"/>
      <c r="E48" s="974"/>
      <c r="F48" s="14603" t="s">
        <v>1739</v>
      </c>
      <c r="G48" s="14604"/>
    </row>
    <row r="49" spans="1:7" s="408" customFormat="1" ht="13.8" thickBot="1">
      <c r="A49" s="417" t="s">
        <v>94</v>
      </c>
      <c r="B49" s="418" t="s">
        <v>1759</v>
      </c>
      <c r="C49" s="986" t="s">
        <v>1736</v>
      </c>
      <c r="D49" s="418" t="s">
        <v>1787</v>
      </c>
      <c r="E49" s="418" t="s">
        <v>1764</v>
      </c>
      <c r="F49" s="14605"/>
      <c r="G49" s="14606"/>
    </row>
    <row r="50" spans="1:7" s="408" customFormat="1" ht="27.75" customHeight="1" thickBot="1">
      <c r="A50" s="419" t="s">
        <v>1788</v>
      </c>
      <c r="B50" s="975" t="s">
        <v>1762</v>
      </c>
      <c r="C50" s="987"/>
      <c r="D50" s="420"/>
      <c r="E50" s="421"/>
      <c r="F50" s="975" t="s">
        <v>1789</v>
      </c>
      <c r="G50" s="975" t="s">
        <v>1790</v>
      </c>
    </row>
    <row r="51" spans="1:7" ht="15.75" customHeight="1">
      <c r="A51" s="391"/>
      <c r="B51" s="14593" t="s">
        <v>6989</v>
      </c>
      <c r="C51" s="995"/>
      <c r="D51" s="14594" t="s">
        <v>6990</v>
      </c>
      <c r="E51" s="14595" t="s">
        <v>6991</v>
      </c>
      <c r="F51" s="390" t="s">
        <v>1766</v>
      </c>
      <c r="G51" s="390" t="s">
        <v>1767</v>
      </c>
    </row>
    <row r="52" spans="1:7" ht="54" customHeight="1">
      <c r="A52" s="994"/>
      <c r="B52" s="14589"/>
      <c r="C52" s="988" t="s">
        <v>3546</v>
      </c>
      <c r="D52" s="14587"/>
      <c r="E52" s="14588"/>
      <c r="F52" s="390"/>
      <c r="G52" s="390"/>
    </row>
    <row r="53" spans="1:7" ht="12.75" customHeight="1">
      <c r="A53" s="386"/>
      <c r="B53" s="14589" t="s">
        <v>6992</v>
      </c>
      <c r="C53" s="988"/>
      <c r="D53" s="14587" t="s">
        <v>6993</v>
      </c>
      <c r="E53" s="14588" t="s">
        <v>6994</v>
      </c>
      <c r="F53" s="390" t="s">
        <v>1766</v>
      </c>
      <c r="G53" s="390" t="s">
        <v>1767</v>
      </c>
    </row>
    <row r="54" spans="1:7" ht="46.5" customHeight="1">
      <c r="A54" s="994"/>
      <c r="B54" s="14589"/>
      <c r="C54" s="988" t="s">
        <v>3546</v>
      </c>
      <c r="D54" s="14587"/>
      <c r="E54" s="14588"/>
      <c r="F54" s="390"/>
      <c r="G54" s="390"/>
    </row>
    <row r="55" spans="1:7" ht="15.75" customHeight="1">
      <c r="A55" s="386"/>
      <c r="B55" s="14589" t="s">
        <v>6995</v>
      </c>
      <c r="C55" s="988"/>
      <c r="D55" s="14587" t="s">
        <v>6996</v>
      </c>
      <c r="E55" s="390" t="s">
        <v>6997</v>
      </c>
      <c r="F55" s="390" t="s">
        <v>1766</v>
      </c>
      <c r="G55" s="390" t="s">
        <v>1767</v>
      </c>
    </row>
    <row r="56" spans="1:7" ht="31.5" customHeight="1">
      <c r="A56" s="994"/>
      <c r="B56" s="14589"/>
      <c r="C56" s="988" t="s">
        <v>3546</v>
      </c>
      <c r="D56" s="14587"/>
      <c r="E56" s="390"/>
      <c r="F56" s="390"/>
      <c r="G56" s="390"/>
    </row>
    <row r="57" spans="1:7" ht="14.25" customHeight="1">
      <c r="A57" s="386"/>
      <c r="B57" s="14589" t="s">
        <v>6998</v>
      </c>
      <c r="C57" s="988"/>
      <c r="D57" s="14587" t="s">
        <v>6999</v>
      </c>
      <c r="E57" s="14588" t="s">
        <v>7000</v>
      </c>
      <c r="F57" s="390" t="s">
        <v>1766</v>
      </c>
      <c r="G57" s="390" t="s">
        <v>1767</v>
      </c>
    </row>
    <row r="58" spans="1:7" ht="42" customHeight="1">
      <c r="A58" s="994"/>
      <c r="B58" s="14589"/>
      <c r="C58" s="988" t="s">
        <v>3546</v>
      </c>
      <c r="D58" s="14587"/>
      <c r="E58" s="14588"/>
      <c r="F58" s="390"/>
      <c r="G58" s="390"/>
    </row>
    <row r="59" spans="1:7" ht="16.5" customHeight="1">
      <c r="A59" s="386"/>
      <c r="B59" s="14589" t="s">
        <v>7001</v>
      </c>
      <c r="C59" s="988"/>
      <c r="D59" s="14587" t="s">
        <v>7002</v>
      </c>
      <c r="E59" s="14588" t="s">
        <v>7003</v>
      </c>
      <c r="F59" s="390" t="s">
        <v>1766</v>
      </c>
      <c r="G59" s="390" t="s">
        <v>1767</v>
      </c>
    </row>
    <row r="60" spans="1:7" ht="29.25" customHeight="1" thickBot="1">
      <c r="A60" s="994"/>
      <c r="B60" s="14589"/>
      <c r="C60" s="988" t="s">
        <v>3546</v>
      </c>
      <c r="D60" s="14587"/>
      <c r="E60" s="14588"/>
      <c r="F60" s="390"/>
      <c r="G60" s="390"/>
    </row>
    <row r="61" spans="1:7" ht="6.75" customHeight="1">
      <c r="A61" s="3630"/>
      <c r="B61" s="3631"/>
      <c r="C61" s="3632"/>
      <c r="D61" s="3633"/>
      <c r="E61" s="3634"/>
      <c r="F61" s="3634"/>
      <c r="G61" s="3634"/>
    </row>
    <row r="62" spans="1:7" ht="19.5" customHeight="1">
      <c r="A62" s="533"/>
      <c r="B62" s="3635"/>
      <c r="C62" s="3636"/>
      <c r="D62" s="3637"/>
      <c r="E62" s="1801"/>
      <c r="F62" s="1801"/>
      <c r="G62" s="1801"/>
    </row>
    <row r="63" spans="1:7" ht="19.5" customHeight="1">
      <c r="A63" s="533"/>
      <c r="B63" s="3635"/>
      <c r="C63" s="3636"/>
      <c r="D63" s="3637"/>
      <c r="E63" s="1801"/>
      <c r="F63" s="1801"/>
      <c r="G63" s="1801"/>
    </row>
    <row r="64" spans="1:7" ht="19.5" customHeight="1">
      <c r="A64" s="533"/>
      <c r="B64" s="3635"/>
      <c r="C64" s="3636"/>
      <c r="D64" s="3637"/>
      <c r="E64" s="1801"/>
      <c r="F64" s="1801"/>
      <c r="G64" s="1801"/>
    </row>
    <row r="65" spans="1:7" ht="19.5" customHeight="1">
      <c r="A65" s="533"/>
      <c r="B65" s="3635"/>
      <c r="C65" s="3636"/>
      <c r="D65" s="3637"/>
      <c r="E65" s="1801"/>
      <c r="F65" s="1801"/>
      <c r="G65" s="1801"/>
    </row>
    <row r="66" spans="1:7" ht="14.25" customHeight="1">
      <c r="A66" s="994"/>
      <c r="B66" s="14589" t="s">
        <v>7004</v>
      </c>
      <c r="C66" s="988"/>
      <c r="D66" s="14587" t="s">
        <v>7005</v>
      </c>
      <c r="E66" s="2371" t="s">
        <v>7006</v>
      </c>
      <c r="F66" s="390" t="s">
        <v>1766</v>
      </c>
      <c r="G66" s="390" t="s">
        <v>1767</v>
      </c>
    </row>
    <row r="67" spans="1:7" ht="32.25" customHeight="1">
      <c r="A67" s="994"/>
      <c r="B67" s="14589"/>
      <c r="C67" s="988" t="s">
        <v>3546</v>
      </c>
      <c r="D67" s="14587"/>
      <c r="E67" s="2371"/>
      <c r="F67" s="390"/>
      <c r="G67" s="390"/>
    </row>
    <row r="68" spans="1:7" ht="14.25" customHeight="1">
      <c r="A68" s="994"/>
      <c r="B68" s="14589" t="s">
        <v>7007</v>
      </c>
      <c r="C68" s="988"/>
      <c r="D68" s="14587" t="s">
        <v>7008</v>
      </c>
      <c r="E68" s="2371" t="s">
        <v>7009</v>
      </c>
      <c r="F68" s="390" t="s">
        <v>1766</v>
      </c>
      <c r="G68" s="390" t="s">
        <v>1767</v>
      </c>
    </row>
    <row r="69" spans="1:7" ht="22.5" customHeight="1">
      <c r="A69" s="994"/>
      <c r="B69" s="14589"/>
      <c r="C69" s="988" t="s">
        <v>3546</v>
      </c>
      <c r="D69" s="14587"/>
      <c r="E69" s="2371"/>
      <c r="F69" s="390"/>
      <c r="G69" s="390"/>
    </row>
    <row r="70" spans="1:7" ht="14.25" customHeight="1">
      <c r="A70" s="994"/>
      <c r="B70" s="14589" t="s">
        <v>7010</v>
      </c>
      <c r="C70" s="988"/>
      <c r="D70" s="14587" t="s">
        <v>7011</v>
      </c>
      <c r="E70" s="2371" t="s">
        <v>7012</v>
      </c>
      <c r="F70" s="390" t="s">
        <v>1766</v>
      </c>
      <c r="G70" s="390" t="s">
        <v>1767</v>
      </c>
    </row>
    <row r="71" spans="1:7" ht="44.25" customHeight="1">
      <c r="A71" s="994"/>
      <c r="B71" s="14589"/>
      <c r="C71" s="988" t="s">
        <v>3547</v>
      </c>
      <c r="D71" s="14587"/>
      <c r="E71" s="2371"/>
      <c r="F71" s="390"/>
      <c r="G71" s="390"/>
    </row>
    <row r="72" spans="1:7" ht="14.25" customHeight="1">
      <c r="A72" s="994"/>
      <c r="B72" s="14589" t="s">
        <v>7013</v>
      </c>
      <c r="C72" s="988"/>
      <c r="D72" s="14587" t="s">
        <v>7014</v>
      </c>
      <c r="E72" s="2371" t="s">
        <v>7015</v>
      </c>
      <c r="F72" s="390" t="s">
        <v>1766</v>
      </c>
      <c r="G72" s="390" t="s">
        <v>1767</v>
      </c>
    </row>
    <row r="73" spans="1:7" ht="21.75" customHeight="1">
      <c r="A73" s="994"/>
      <c r="B73" s="14589"/>
      <c r="C73" s="988" t="s">
        <v>3547</v>
      </c>
      <c r="D73" s="14587"/>
      <c r="E73" s="2371"/>
      <c r="F73" s="390"/>
      <c r="G73" s="390"/>
    </row>
    <row r="74" spans="1:7" ht="14.25" customHeight="1">
      <c r="A74" s="994"/>
      <c r="B74" s="14589" t="s">
        <v>7016</v>
      </c>
      <c r="C74" s="988"/>
      <c r="D74" s="14587" t="s">
        <v>7017</v>
      </c>
      <c r="E74" s="14587" t="s">
        <v>7018</v>
      </c>
      <c r="F74" s="390" t="s">
        <v>1766</v>
      </c>
      <c r="G74" s="390" t="s">
        <v>1767</v>
      </c>
    </row>
    <row r="75" spans="1:7" ht="26.25" customHeight="1">
      <c r="A75" s="994"/>
      <c r="B75" s="14589"/>
      <c r="C75" s="988" t="s">
        <v>3547</v>
      </c>
      <c r="D75" s="14587"/>
      <c r="E75" s="14587"/>
      <c r="F75" s="390"/>
      <c r="G75" s="390"/>
    </row>
    <row r="76" spans="1:7" ht="14.25" customHeight="1">
      <c r="A76" s="386"/>
      <c r="B76" s="14589" t="s">
        <v>7019</v>
      </c>
      <c r="C76" s="988"/>
      <c r="D76" s="14587" t="s">
        <v>7020</v>
      </c>
      <c r="E76" s="14588" t="s">
        <v>7021</v>
      </c>
      <c r="F76" s="390" t="s">
        <v>1766</v>
      </c>
      <c r="G76" s="390" t="s">
        <v>1767</v>
      </c>
    </row>
    <row r="77" spans="1:7" ht="42.75" customHeight="1" thickBot="1">
      <c r="A77" s="994"/>
      <c r="B77" s="14590"/>
      <c r="C77" s="988" t="s">
        <v>3547</v>
      </c>
      <c r="D77" s="14591"/>
      <c r="E77" s="14592"/>
      <c r="F77" s="390"/>
      <c r="G77" s="390"/>
    </row>
    <row r="78" spans="1:7" s="399" customFormat="1" ht="5.25" customHeight="1" thickBot="1">
      <c r="A78" s="405"/>
      <c r="B78" s="406"/>
      <c r="C78" s="407">
        <f>SUM(C51:C76)</f>
        <v>0</v>
      </c>
      <c r="D78" s="411"/>
      <c r="E78" s="405"/>
      <c r="F78" s="405"/>
      <c r="G78" s="405"/>
    </row>
  </sheetData>
  <mergeCells count="44">
    <mergeCell ref="E74:E75"/>
    <mergeCell ref="A14:G14"/>
    <mergeCell ref="A1:G1"/>
    <mergeCell ref="A9:G9"/>
    <mergeCell ref="A11:G11"/>
    <mergeCell ref="A12:G12"/>
    <mergeCell ref="A13:G13"/>
    <mergeCell ref="F27:G27"/>
    <mergeCell ref="F28:G28"/>
    <mergeCell ref="F48:G49"/>
    <mergeCell ref="A15:G15"/>
    <mergeCell ref="A16:G16"/>
    <mergeCell ref="A18:G18"/>
    <mergeCell ref="A20:G20"/>
    <mergeCell ref="A21:G21"/>
    <mergeCell ref="F26:G26"/>
    <mergeCell ref="E57:E58"/>
    <mergeCell ref="B51:B52"/>
    <mergeCell ref="D51:D52"/>
    <mergeCell ref="E51:E52"/>
    <mergeCell ref="E53:E54"/>
    <mergeCell ref="D53:D54"/>
    <mergeCell ref="B53:B54"/>
    <mergeCell ref="D74:D75"/>
    <mergeCell ref="B55:B56"/>
    <mergeCell ref="D55:D56"/>
    <mergeCell ref="B57:B58"/>
    <mergeCell ref="D57:D58"/>
    <mergeCell ref="B29:B30"/>
    <mergeCell ref="D59:D60"/>
    <mergeCell ref="E59:E60"/>
    <mergeCell ref="B76:B77"/>
    <mergeCell ref="D76:D77"/>
    <mergeCell ref="E76:E77"/>
    <mergeCell ref="B59:B60"/>
    <mergeCell ref="B66:B67"/>
    <mergeCell ref="D66:D67"/>
    <mergeCell ref="B68:B69"/>
    <mergeCell ref="D68:D69"/>
    <mergeCell ref="D70:D71"/>
    <mergeCell ref="B70:B71"/>
    <mergeCell ref="B72:B73"/>
    <mergeCell ref="D72:D73"/>
    <mergeCell ref="B74:B75"/>
  </mergeCells>
  <pageMargins left="0.5" right="0.25" top="0.75" bottom="0.5" header="0.5" footer="0.25"/>
  <pageSetup paperSize="119" firstPageNumber="88" orientation="portrait" useFirstPageNumber="1" verticalDpi="300" r:id="rId1"/>
  <headerFooter alignWithMargins="0"/>
</worksheet>
</file>

<file path=xl/worksheets/sheet61.xml><?xml version="1.0" encoding="utf-8"?>
<worksheet xmlns="http://schemas.openxmlformats.org/spreadsheetml/2006/main" xmlns:r="http://schemas.openxmlformats.org/officeDocument/2006/relationships">
  <sheetPr codeName="Sheet217">
    <tabColor theme="8" tint="-0.249977111117893"/>
  </sheetPr>
  <dimension ref="A1:N156"/>
  <sheetViews>
    <sheetView showGridLines="0" topLeftCell="B103" workbookViewId="0">
      <selection activeCell="K103" sqref="K1:T1048576"/>
    </sheetView>
  </sheetViews>
  <sheetFormatPr defaultColWidth="9.109375" defaultRowHeight="15" customHeight="1"/>
  <cols>
    <col min="1" max="1" width="3.88671875" style="7799" customWidth="1"/>
    <col min="2" max="2" width="55.5546875" style="7799" customWidth="1"/>
    <col min="3" max="3" width="13.44140625" style="7799" hidden="1" customWidth="1"/>
    <col min="4" max="4" width="12.5546875" style="10883" customWidth="1"/>
    <col min="5" max="8" width="15.5546875" style="7799" customWidth="1"/>
    <col min="9" max="9" width="13.6640625" style="7799" hidden="1" customWidth="1"/>
    <col min="10" max="10" width="7.44140625" style="7348" hidden="1" customWidth="1"/>
    <col min="11" max="11" width="16.33203125" style="7799" customWidth="1"/>
    <col min="12" max="12" width="16.44140625" style="7799" customWidth="1"/>
    <col min="13" max="13" width="5" style="10883" customWidth="1"/>
    <col min="14" max="19" width="9.109375" style="7799" customWidth="1"/>
    <col min="20" max="16384" width="9.109375" style="7799"/>
  </cols>
  <sheetData>
    <row r="1" spans="1:13" ht="15" customHeight="1">
      <c r="A1" s="14583" t="s">
        <v>1</v>
      </c>
      <c r="B1" s="14583"/>
      <c r="C1" s="14583"/>
      <c r="D1" s="14583"/>
      <c r="E1" s="14583"/>
      <c r="F1" s="14583"/>
      <c r="G1" s="14583"/>
      <c r="H1" s="14583"/>
      <c r="I1" s="14583"/>
      <c r="J1" s="14583"/>
      <c r="K1" s="14583"/>
    </row>
    <row r="2" spans="1:13" ht="15" customHeight="1">
      <c r="A2" s="7767"/>
      <c r="B2" s="7767"/>
      <c r="C2" s="7767"/>
      <c r="D2" s="10878"/>
      <c r="E2" s="7767"/>
      <c r="F2" s="7767"/>
      <c r="G2" s="7767"/>
      <c r="H2" s="7767"/>
      <c r="I2" s="7767"/>
      <c r="J2" s="7286"/>
      <c r="K2" s="7767"/>
    </row>
    <row r="3" spans="1:13" ht="15" customHeight="1">
      <c r="A3" s="7767" t="s">
        <v>10789</v>
      </c>
      <c r="B3" s="7801"/>
      <c r="C3" s="7801"/>
      <c r="D3" s="10568" t="s">
        <v>11243</v>
      </c>
      <c r="E3" s="7801"/>
      <c r="F3" s="7801"/>
      <c r="G3" s="7801"/>
      <c r="H3" s="7801"/>
      <c r="I3" s="7801"/>
      <c r="J3" s="7284"/>
      <c r="K3" s="14584"/>
    </row>
    <row r="4" spans="1:13" ht="15" customHeight="1">
      <c r="A4" s="7803" t="s">
        <v>403</v>
      </c>
      <c r="B4" s="7803"/>
      <c r="C4" s="7803"/>
      <c r="D4" s="7808" t="s">
        <v>8</v>
      </c>
      <c r="E4" s="7803"/>
      <c r="F4" s="7803"/>
      <c r="G4" s="7803"/>
      <c r="H4" s="7809"/>
      <c r="I4" s="7809"/>
      <c r="J4" s="7350"/>
      <c r="K4" s="14584"/>
    </row>
    <row r="5" spans="1:13" ht="15" customHeight="1" thickBot="1">
      <c r="A5" s="7805"/>
      <c r="B5" s="7805"/>
      <c r="C5" s="7805"/>
      <c r="D5" s="7806"/>
      <c r="E5" s="7805"/>
      <c r="F5" s="7805"/>
      <c r="G5" s="7805"/>
      <c r="H5" s="7825"/>
      <c r="I5" s="7825"/>
      <c r="J5" s="7394"/>
      <c r="K5" s="7825"/>
    </row>
    <row r="6" spans="1:13" ht="15" customHeight="1">
      <c r="A6" s="11566"/>
      <c r="B6" s="10530"/>
      <c r="C6" s="10530"/>
      <c r="D6" s="11567" t="s">
        <v>9</v>
      </c>
      <c r="E6" s="11568" t="s">
        <v>78</v>
      </c>
      <c r="F6" s="14188" t="s">
        <v>10711</v>
      </c>
      <c r="G6" s="14189"/>
      <c r="H6" s="14190"/>
      <c r="I6" s="11080" t="s">
        <v>9985</v>
      </c>
      <c r="J6" s="9462"/>
      <c r="K6" s="11569" t="s">
        <v>12</v>
      </c>
    </row>
    <row r="7" spans="1:13" ht="15" customHeight="1">
      <c r="A7" s="11570"/>
      <c r="B7" s="7808" t="s">
        <v>13</v>
      </c>
      <c r="C7" s="7808"/>
      <c r="D7" s="14581" t="s">
        <v>14</v>
      </c>
      <c r="E7" s="11571" t="s">
        <v>15</v>
      </c>
      <c r="F7" s="9502" t="s">
        <v>10709</v>
      </c>
      <c r="G7" s="11083" t="s">
        <v>10710</v>
      </c>
      <c r="H7" s="14191" t="s">
        <v>458</v>
      </c>
      <c r="I7" s="11084" t="s">
        <v>11839</v>
      </c>
      <c r="J7" s="11108"/>
      <c r="K7" s="11572" t="s">
        <v>16</v>
      </c>
    </row>
    <row r="8" spans="1:13" ht="15" customHeight="1" thickBot="1">
      <c r="A8" s="11573"/>
      <c r="B8" s="7827"/>
      <c r="C8" s="7827"/>
      <c r="D8" s="14582"/>
      <c r="E8" s="11574">
        <v>2017</v>
      </c>
      <c r="F8" s="9467" t="s">
        <v>457</v>
      </c>
      <c r="G8" s="11076" t="s">
        <v>456</v>
      </c>
      <c r="H8" s="14192"/>
      <c r="I8" s="7302">
        <v>2018</v>
      </c>
      <c r="J8" s="7322"/>
      <c r="K8" s="11575">
        <v>2019</v>
      </c>
    </row>
    <row r="9" spans="1:13" ht="15" customHeight="1">
      <c r="A9" s="11570"/>
      <c r="B9" s="7808"/>
      <c r="C9" s="7808"/>
      <c r="D9" s="11576"/>
      <c r="E9" s="11571"/>
      <c r="F9" s="11123"/>
      <c r="G9" s="11073"/>
      <c r="H9" s="11123"/>
      <c r="I9" s="11571"/>
      <c r="J9" s="11108"/>
      <c r="K9" s="11572"/>
    </row>
    <row r="10" spans="1:13" ht="15" customHeight="1">
      <c r="A10" s="11577" t="s">
        <v>17</v>
      </c>
      <c r="B10" s="7803" t="s">
        <v>18</v>
      </c>
      <c r="C10" s="7803"/>
      <c r="D10" s="10141"/>
      <c r="E10" s="11518"/>
      <c r="F10" s="11518"/>
      <c r="G10" s="11518"/>
      <c r="H10" s="11518"/>
      <c r="I10" s="11518"/>
      <c r="J10" s="11163"/>
      <c r="K10" s="11579"/>
    </row>
    <row r="11" spans="1:13" ht="15" customHeight="1">
      <c r="A11" s="11570"/>
      <c r="B11" s="7803" t="s">
        <v>19</v>
      </c>
      <c r="C11" s="7803"/>
      <c r="D11" s="10141"/>
      <c r="E11" s="11518"/>
      <c r="F11" s="11518"/>
      <c r="G11" s="11518"/>
      <c r="H11" s="11518"/>
      <c r="I11" s="11518"/>
      <c r="J11" s="11163"/>
      <c r="K11" s="11579"/>
    </row>
    <row r="12" spans="1:13" ht="15" customHeight="1">
      <c r="A12" s="11570"/>
      <c r="B12" s="7803" t="s">
        <v>56</v>
      </c>
      <c r="C12" s="7803"/>
      <c r="D12" s="10141">
        <v>50101010</v>
      </c>
      <c r="E12" s="11580">
        <f>'WS-PS 2017'!B46</f>
        <v>760056</v>
      </c>
      <c r="F12" s="11580">
        <f>'WS-PS ACTUAL JUNE 2018'!B43</f>
        <v>406410</v>
      </c>
      <c r="G12" s="11580">
        <f>H12-F12</f>
        <v>406410</v>
      </c>
      <c r="H12" s="11580">
        <v>812820</v>
      </c>
      <c r="I12" s="11580"/>
      <c r="J12" s="11165"/>
      <c r="K12" s="11974">
        <f>L12</f>
        <v>3094764</v>
      </c>
      <c r="L12" s="11555">
        <f>'staffing-PEEMU'!G37</f>
        <v>3094764</v>
      </c>
      <c r="M12" s="10883">
        <f>'staffing-PEEMU'!B37</f>
        <v>11</v>
      </c>
    </row>
    <row r="13" spans="1:13" ht="15" customHeight="1">
      <c r="A13" s="11570"/>
      <c r="B13" s="7803" t="s">
        <v>58</v>
      </c>
      <c r="C13" s="7803"/>
      <c r="D13" s="10141">
        <v>50102010</v>
      </c>
      <c r="E13" s="11583">
        <f>'WS-PS 2017'!F46</f>
        <v>48000</v>
      </c>
      <c r="F13" s="11583">
        <f>'WS-PS ACTUAL JUNE 2018'!D43</f>
        <v>24000</v>
      </c>
      <c r="G13" s="11580">
        <f t="shared" ref="G13:G27" si="0">H13-F13</f>
        <v>24000</v>
      </c>
      <c r="H13" s="11583">
        <v>48000</v>
      </c>
      <c r="I13" s="11583"/>
      <c r="J13" s="11163"/>
      <c r="K13" s="11974">
        <f t="shared" ref="K13:K27" si="1">L13</f>
        <v>264000</v>
      </c>
      <c r="L13" s="7310">
        <f>24000*M12</f>
        <v>264000</v>
      </c>
    </row>
    <row r="14" spans="1:13" ht="15" hidden="1" customHeight="1">
      <c r="A14" s="11570"/>
      <c r="B14" s="7951" t="s">
        <v>104</v>
      </c>
      <c r="C14" s="7951"/>
      <c r="D14" s="11975">
        <v>713</v>
      </c>
      <c r="E14" s="11583"/>
      <c r="F14" s="11583"/>
      <c r="G14" s="11580">
        <f t="shared" si="0"/>
        <v>0</v>
      </c>
      <c r="H14" s="11583">
        <v>0</v>
      </c>
      <c r="I14" s="11583"/>
      <c r="J14" s="11163"/>
      <c r="K14" s="11974">
        <f t="shared" si="1"/>
        <v>0</v>
      </c>
    </row>
    <row r="15" spans="1:13" ht="15" hidden="1" customHeight="1">
      <c r="A15" s="11570"/>
      <c r="B15" s="7951" t="s">
        <v>105</v>
      </c>
      <c r="C15" s="7951"/>
      <c r="D15" s="11975">
        <v>714</v>
      </c>
      <c r="E15" s="11583"/>
      <c r="F15" s="11583"/>
      <c r="G15" s="11580">
        <f t="shared" si="0"/>
        <v>0</v>
      </c>
      <c r="H15" s="11583">
        <v>0</v>
      </c>
      <c r="I15" s="11583"/>
      <c r="J15" s="11163"/>
      <c r="K15" s="11974">
        <f t="shared" si="1"/>
        <v>0</v>
      </c>
    </row>
    <row r="16" spans="1:13" ht="15" customHeight="1">
      <c r="A16" s="11570"/>
      <c r="B16" s="7803" t="s">
        <v>79</v>
      </c>
      <c r="C16" s="7803"/>
      <c r="D16" s="10141">
        <v>50102040</v>
      </c>
      <c r="E16" s="11583">
        <f>'WS-PS 2017'!I46</f>
        <v>0</v>
      </c>
      <c r="F16" s="11583">
        <f>'WS-PS ACTUAL JUNE 2018'!G43</f>
        <v>10000</v>
      </c>
      <c r="G16" s="11580">
        <f t="shared" si="0"/>
        <v>0</v>
      </c>
      <c r="H16" s="11583">
        <v>10000</v>
      </c>
      <c r="I16" s="11583"/>
      <c r="J16" s="11163"/>
      <c r="K16" s="11974">
        <f t="shared" si="1"/>
        <v>66000</v>
      </c>
      <c r="L16" s="7310">
        <f>6000*M12</f>
        <v>66000</v>
      </c>
    </row>
    <row r="17" spans="1:12" ht="15" customHeight="1">
      <c r="A17" s="11570"/>
      <c r="B17" s="7488" t="s">
        <v>10932</v>
      </c>
      <c r="C17" s="7488"/>
      <c r="D17" s="10368">
        <v>50102080</v>
      </c>
      <c r="E17" s="11583">
        <f>'WS-PS 2017'!L46</f>
        <v>10000</v>
      </c>
      <c r="F17" s="11583">
        <f>'WS-PS ACTUAL JUNE 2018'!J43</f>
        <v>0</v>
      </c>
      <c r="G17" s="11580">
        <f t="shared" si="0"/>
        <v>10000</v>
      </c>
      <c r="H17" s="11583">
        <v>10000</v>
      </c>
      <c r="I17" s="11583"/>
      <c r="J17" s="11163"/>
      <c r="K17" s="11974">
        <f t="shared" si="1"/>
        <v>55000</v>
      </c>
      <c r="L17" s="7310">
        <f>5000*M12</f>
        <v>55000</v>
      </c>
    </row>
    <row r="18" spans="1:12" ht="15" customHeight="1">
      <c r="A18" s="11570"/>
      <c r="B18" s="7488" t="s">
        <v>10934</v>
      </c>
      <c r="C18" s="7488"/>
      <c r="D18" s="8872">
        <v>50102120</v>
      </c>
      <c r="E18" s="11583">
        <f>'WS-PS 2017'!O46</f>
        <v>0</v>
      </c>
      <c r="F18" s="11583">
        <f>'WS-PS ACTUAL JUNE 2018'!M43</f>
        <v>0</v>
      </c>
      <c r="G18" s="11580">
        <f>H18-F18</f>
        <v>5000</v>
      </c>
      <c r="H18" s="11583">
        <v>5000</v>
      </c>
      <c r="I18" s="11583"/>
      <c r="J18" s="11163"/>
      <c r="K18" s="11974">
        <f t="shared" si="1"/>
        <v>0</v>
      </c>
    </row>
    <row r="19" spans="1:12" ht="15" customHeight="1">
      <c r="A19" s="11570"/>
      <c r="B19" s="8021" t="s">
        <v>141</v>
      </c>
      <c r="C19" s="8021"/>
      <c r="D19" s="9287">
        <v>50102130</v>
      </c>
      <c r="E19" s="9287"/>
      <c r="F19" s="11583"/>
      <c r="G19" s="11580"/>
      <c r="H19" s="11583"/>
      <c r="I19" s="11583"/>
      <c r="J19" s="11163"/>
      <c r="K19" s="11974">
        <f>L19</f>
        <v>80000</v>
      </c>
      <c r="L19" s="7310">
        <v>80000</v>
      </c>
    </row>
    <row r="20" spans="1:12" ht="15" customHeight="1">
      <c r="A20" s="11570"/>
      <c r="B20" s="7488" t="s">
        <v>10933</v>
      </c>
      <c r="C20" s="7488"/>
      <c r="D20" s="8872">
        <v>50102140</v>
      </c>
      <c r="E20" s="11580">
        <f>'WS-PS 2017'!S46</f>
        <v>126676</v>
      </c>
      <c r="F20" s="11580">
        <f>'WS-PS ACTUAL JUNE 2018'!O43</f>
        <v>67735</v>
      </c>
      <c r="G20" s="11580">
        <f>H20-F20</f>
        <v>67735</v>
      </c>
      <c r="H20" s="11580">
        <v>135470</v>
      </c>
      <c r="I20" s="11580"/>
      <c r="J20" s="11165"/>
      <c r="K20" s="11974">
        <f t="shared" si="1"/>
        <v>515794</v>
      </c>
      <c r="L20" s="7310">
        <f>L12/12*2</f>
        <v>515794</v>
      </c>
    </row>
    <row r="21" spans="1:12" ht="15" customHeight="1">
      <c r="A21" s="11570"/>
      <c r="B21" s="7803" t="s">
        <v>26</v>
      </c>
      <c r="C21" s="7803"/>
      <c r="D21" s="10141">
        <v>50102150</v>
      </c>
      <c r="E21" s="11583">
        <f>'WS-PS 2017'!T46</f>
        <v>10000</v>
      </c>
      <c r="F21" s="11583">
        <f>'WS-PS ACTUAL JUNE 2018'!Q43</f>
        <v>0</v>
      </c>
      <c r="G21" s="11580">
        <f t="shared" si="0"/>
        <v>10000</v>
      </c>
      <c r="H21" s="11583">
        <v>10000</v>
      </c>
      <c r="I21" s="11583"/>
      <c r="J21" s="11163"/>
      <c r="K21" s="11974">
        <f t="shared" si="1"/>
        <v>55000</v>
      </c>
      <c r="L21" s="7371">
        <f>L17</f>
        <v>55000</v>
      </c>
    </row>
    <row r="22" spans="1:12" ht="15" customHeight="1">
      <c r="A22" s="11570"/>
      <c r="B22" s="7488" t="s">
        <v>11497</v>
      </c>
      <c r="C22" s="7488"/>
      <c r="D22" s="11257">
        <v>50102990</v>
      </c>
      <c r="E22" s="11583">
        <f>'WS-PS 2017'!U46</f>
        <v>0</v>
      </c>
      <c r="F22" s="11583">
        <f>'WS-PS ACTUAL JUNE 2018'!R43</f>
        <v>0</v>
      </c>
      <c r="G22" s="11580">
        <f>H22-F22</f>
        <v>38948</v>
      </c>
      <c r="H22" s="11583">
        <v>38948</v>
      </c>
      <c r="I22" s="11583"/>
      <c r="J22" s="11163"/>
      <c r="K22" s="11974"/>
      <c r="L22" s="7310">
        <f>0.575*(L12/12)</f>
        <v>148290.77499999999</v>
      </c>
    </row>
    <row r="23" spans="1:12" ht="15" customHeight="1">
      <c r="A23" s="11570"/>
      <c r="B23" s="7803" t="s">
        <v>11499</v>
      </c>
      <c r="C23" s="7803"/>
      <c r="D23" s="11059" t="s">
        <v>11495</v>
      </c>
      <c r="E23" s="11583"/>
      <c r="F23" s="11583">
        <f>'WS-PS ACTUAL JUNE 2018'!S43</f>
        <v>0</v>
      </c>
      <c r="G23" s="11580"/>
      <c r="H23" s="11583"/>
      <c r="I23" s="11583"/>
      <c r="J23" s="11163"/>
      <c r="K23" s="11974">
        <f t="shared" si="1"/>
        <v>33000</v>
      </c>
      <c r="L23" s="7310">
        <f>3000*M12</f>
        <v>33000</v>
      </c>
    </row>
    <row r="24" spans="1:12" ht="15" customHeight="1">
      <c r="A24" s="11570"/>
      <c r="B24" s="7803" t="s">
        <v>59</v>
      </c>
      <c r="C24" s="7803"/>
      <c r="D24" s="10141">
        <v>50103010</v>
      </c>
      <c r="E24" s="11583">
        <f>'WS-PS 2017'!V46</f>
        <v>91206.720000000001</v>
      </c>
      <c r="F24" s="11583">
        <f>'WS-PS ACTUAL JUNE 2018'!T43</f>
        <v>48769.2</v>
      </c>
      <c r="G24" s="11580">
        <f t="shared" si="0"/>
        <v>48769.8</v>
      </c>
      <c r="H24" s="11583">
        <v>97539</v>
      </c>
      <c r="I24" s="11583"/>
      <c r="J24" s="11163"/>
      <c r="K24" s="11974">
        <f t="shared" si="1"/>
        <v>371371.68</v>
      </c>
      <c r="L24" s="7310">
        <f>L12*12%</f>
        <v>371371.68</v>
      </c>
    </row>
    <row r="25" spans="1:12" ht="15" customHeight="1">
      <c r="A25" s="11570"/>
      <c r="B25" s="7803" t="s">
        <v>28</v>
      </c>
      <c r="C25" s="7803"/>
      <c r="D25" s="10141">
        <v>50103020</v>
      </c>
      <c r="E25" s="11583">
        <f>'WS-PS 2017'!W46</f>
        <v>2400</v>
      </c>
      <c r="F25" s="11583">
        <f>'WS-PS ACTUAL JUNE 2018'!U43</f>
        <v>1200</v>
      </c>
      <c r="G25" s="11580">
        <f t="shared" si="0"/>
        <v>1200</v>
      </c>
      <c r="H25" s="11583">
        <v>2400</v>
      </c>
      <c r="I25" s="11583"/>
      <c r="J25" s="11163"/>
      <c r="K25" s="11974">
        <f t="shared" si="1"/>
        <v>13200</v>
      </c>
      <c r="L25" s="7310">
        <f>1200*M12</f>
        <v>13200</v>
      </c>
    </row>
    <row r="26" spans="1:12" ht="15" customHeight="1">
      <c r="A26" s="11570"/>
      <c r="B26" s="7803" t="s">
        <v>29</v>
      </c>
      <c r="C26" s="7803"/>
      <c r="D26" s="10141">
        <v>50103030</v>
      </c>
      <c r="E26" s="11583">
        <f>'WS-PS 2017'!X46</f>
        <v>7562.5</v>
      </c>
      <c r="F26" s="11583">
        <f>'WS-PS ACTUAL JUNE 2018'!V43</f>
        <v>5007.6000000000004</v>
      </c>
      <c r="G26" s="11580">
        <f t="shared" si="0"/>
        <v>2622.3999999999996</v>
      </c>
      <c r="H26" s="11583">
        <v>7630</v>
      </c>
      <c r="I26" s="11583"/>
      <c r="J26" s="11163"/>
      <c r="K26" s="11974">
        <v>36534.794999999998</v>
      </c>
      <c r="L26" s="7310">
        <f>3600*M12</f>
        <v>39600</v>
      </c>
    </row>
    <row r="27" spans="1:12" ht="15" customHeight="1">
      <c r="A27" s="11570"/>
      <c r="B27" s="7803" t="s">
        <v>30</v>
      </c>
      <c r="C27" s="7803"/>
      <c r="D27" s="10141">
        <v>50103040</v>
      </c>
      <c r="E27" s="11583">
        <f>'WS-PS 2017'!Y46</f>
        <v>2400</v>
      </c>
      <c r="F27" s="11583">
        <f>'WS-PS ACTUAL JUNE 2018'!W43</f>
        <v>1200</v>
      </c>
      <c r="G27" s="11580">
        <f t="shared" si="0"/>
        <v>1200</v>
      </c>
      <c r="H27" s="11583">
        <v>2400</v>
      </c>
      <c r="I27" s="11583"/>
      <c r="J27" s="11163"/>
      <c r="K27" s="11974">
        <f t="shared" si="1"/>
        <v>13200</v>
      </c>
      <c r="L27" s="7310">
        <f>L25</f>
        <v>13200</v>
      </c>
    </row>
    <row r="28" spans="1:12" ht="15" customHeight="1">
      <c r="A28" s="11570"/>
      <c r="B28" s="7488" t="s">
        <v>5025</v>
      </c>
      <c r="C28" s="7488"/>
      <c r="D28" s="11258">
        <v>50104990</v>
      </c>
      <c r="E28" s="10235">
        <f>'WS-PS 2017'!Z46</f>
        <v>50000</v>
      </c>
      <c r="F28" s="10234"/>
      <c r="G28" s="10236"/>
      <c r="H28" s="10234"/>
      <c r="I28" s="10234"/>
      <c r="J28" s="7313"/>
      <c r="K28" s="11976"/>
      <c r="L28" s="11973"/>
    </row>
    <row r="29" spans="1:12" ht="15" customHeight="1">
      <c r="A29" s="11570"/>
      <c r="B29" s="7809" t="s">
        <v>37</v>
      </c>
      <c r="C29" s="7809"/>
      <c r="D29" s="10141"/>
      <c r="E29" s="9540">
        <f t="shared" ref="E29:K29" si="2">SUM(E11:E28)</f>
        <v>1108301.22</v>
      </c>
      <c r="F29" s="9540">
        <f t="shared" si="2"/>
        <v>564321.79999999993</v>
      </c>
      <c r="G29" s="9540">
        <f t="shared" si="2"/>
        <v>615885.20000000007</v>
      </c>
      <c r="H29" s="9540">
        <f t="shared" si="2"/>
        <v>1180207</v>
      </c>
      <c r="I29" s="9540">
        <f t="shared" si="2"/>
        <v>0</v>
      </c>
      <c r="J29" s="9540">
        <f t="shared" si="2"/>
        <v>0</v>
      </c>
      <c r="K29" s="11644">
        <f t="shared" si="2"/>
        <v>4597864.4749999996</v>
      </c>
      <c r="L29" s="11556">
        <f>SUM(L12:L28)</f>
        <v>4749220.4550000001</v>
      </c>
    </row>
    <row r="30" spans="1:12" ht="15" customHeight="1" thickBot="1">
      <c r="A30" s="11573"/>
      <c r="B30" s="7825"/>
      <c r="C30" s="7825"/>
      <c r="D30" s="11584"/>
      <c r="E30" s="11977"/>
      <c r="F30" s="11977"/>
      <c r="G30" s="11977"/>
      <c r="H30" s="11586"/>
      <c r="I30" s="11586"/>
      <c r="J30" s="7327"/>
      <c r="K30" s="11587"/>
    </row>
    <row r="31" spans="1:12" ht="15" customHeight="1">
      <c r="A31" s="8077"/>
      <c r="B31" s="8078"/>
      <c r="C31" s="10529"/>
      <c r="D31" s="8079"/>
      <c r="E31" s="8080"/>
      <c r="F31" s="8080"/>
      <c r="G31" s="8080"/>
      <c r="H31" s="8080"/>
      <c r="I31" s="8080"/>
      <c r="J31" s="7962"/>
      <c r="K31" s="8080"/>
    </row>
    <row r="32" spans="1:12" ht="15" customHeight="1">
      <c r="A32" s="7803"/>
      <c r="B32" s="7809"/>
      <c r="C32" s="7809"/>
      <c r="D32" s="7804"/>
      <c r="E32" s="7824"/>
      <c r="F32" s="7824"/>
      <c r="G32" s="7824"/>
      <c r="H32" s="7824"/>
      <c r="I32" s="7824"/>
      <c r="J32" s="7350"/>
      <c r="K32" s="7824"/>
    </row>
    <row r="33" spans="1:13" ht="15" customHeight="1">
      <c r="A33" s="7803"/>
      <c r="B33" s="7809"/>
      <c r="C33" s="7809"/>
      <c r="D33" s="7804"/>
      <c r="E33" s="7824"/>
      <c r="F33" s="7824"/>
      <c r="G33" s="7824"/>
      <c r="H33" s="7824"/>
      <c r="I33" s="7824"/>
      <c r="J33" s="7350"/>
      <c r="K33" s="7824"/>
    </row>
    <row r="34" spans="1:13" ht="15" customHeight="1">
      <c r="A34" s="7803"/>
      <c r="B34" s="7809"/>
      <c r="C34" s="7809"/>
      <c r="D34" s="7804"/>
      <c r="E34" s="7824"/>
      <c r="F34" s="7824"/>
      <c r="G34" s="7824"/>
      <c r="H34" s="7824"/>
      <c r="I34" s="7824"/>
      <c r="J34" s="7350"/>
      <c r="K34" s="7824"/>
    </row>
    <row r="35" spans="1:13" ht="15" customHeight="1">
      <c r="A35" s="7803"/>
      <c r="B35" s="7809"/>
      <c r="C35" s="7809"/>
      <c r="D35" s="7804"/>
      <c r="E35" s="7824"/>
      <c r="F35" s="7824"/>
      <c r="G35" s="7824"/>
      <c r="H35" s="7824"/>
      <c r="I35" s="7824"/>
      <c r="J35" s="7350"/>
      <c r="K35" s="7824"/>
    </row>
    <row r="36" spans="1:13" ht="15" customHeight="1">
      <c r="A36" s="7803"/>
      <c r="B36" s="7809"/>
      <c r="C36" s="7809"/>
      <c r="D36" s="7804"/>
      <c r="E36" s="7824"/>
      <c r="F36" s="7824"/>
      <c r="G36" s="7824"/>
      <c r="H36" s="7824"/>
      <c r="I36" s="7824"/>
      <c r="J36" s="7350"/>
      <c r="K36" s="7824"/>
    </row>
    <row r="37" spans="1:13" ht="15" customHeight="1">
      <c r="A37" s="7803"/>
      <c r="B37" s="7809"/>
      <c r="C37" s="7809"/>
      <c r="D37" s="7804"/>
      <c r="E37" s="7824"/>
      <c r="F37" s="7824"/>
      <c r="G37" s="7824"/>
      <c r="H37" s="7824"/>
      <c r="I37" s="7824"/>
      <c r="J37" s="7350"/>
      <c r="K37" s="7824"/>
    </row>
    <row r="38" spans="1:13" s="7811" customFormat="1" ht="15" customHeight="1" thickBot="1">
      <c r="A38" s="8081" t="s">
        <v>10693</v>
      </c>
      <c r="B38" s="7825"/>
      <c r="C38" s="7825"/>
      <c r="D38" s="7827"/>
      <c r="E38" s="8082"/>
      <c r="F38" s="8082"/>
      <c r="G38" s="8082"/>
      <c r="H38" s="7826"/>
      <c r="I38" s="7826"/>
      <c r="J38" s="7394"/>
      <c r="K38" s="7826"/>
      <c r="M38" s="10242"/>
    </row>
    <row r="39" spans="1:13" ht="15" customHeight="1">
      <c r="A39" s="11566"/>
      <c r="B39" s="10530"/>
      <c r="C39" s="10530"/>
      <c r="D39" s="11567" t="s">
        <v>9</v>
      </c>
      <c r="E39" s="11568" t="s">
        <v>78</v>
      </c>
      <c r="F39" s="14188" t="s">
        <v>10711</v>
      </c>
      <c r="G39" s="14189"/>
      <c r="H39" s="14190"/>
      <c r="I39" s="11568"/>
      <c r="J39" s="9462"/>
      <c r="K39" s="11569" t="s">
        <v>12</v>
      </c>
    </row>
    <row r="40" spans="1:13" ht="15" customHeight="1">
      <c r="A40" s="11570"/>
      <c r="B40" s="7808" t="s">
        <v>13</v>
      </c>
      <c r="C40" s="7808"/>
      <c r="D40" s="14581" t="s">
        <v>14</v>
      </c>
      <c r="E40" s="11571" t="s">
        <v>15</v>
      </c>
      <c r="F40" s="9502" t="s">
        <v>10709</v>
      </c>
      <c r="G40" s="11083" t="s">
        <v>10710</v>
      </c>
      <c r="H40" s="14191" t="s">
        <v>458</v>
      </c>
      <c r="I40" s="11571" t="s">
        <v>9985</v>
      </c>
      <c r="J40" s="11108"/>
      <c r="K40" s="11572" t="s">
        <v>16</v>
      </c>
    </row>
    <row r="41" spans="1:13" ht="15" customHeight="1" thickBot="1">
      <c r="A41" s="11573"/>
      <c r="B41" s="7827"/>
      <c r="C41" s="7827"/>
      <c r="D41" s="14582"/>
      <c r="E41" s="11574">
        <v>2017</v>
      </c>
      <c r="F41" s="9467" t="s">
        <v>457</v>
      </c>
      <c r="G41" s="11076" t="s">
        <v>456</v>
      </c>
      <c r="H41" s="14192"/>
      <c r="I41" s="11574"/>
      <c r="J41" s="7322"/>
      <c r="K41" s="11575">
        <v>2019</v>
      </c>
    </row>
    <row r="42" spans="1:13" ht="15" customHeight="1">
      <c r="A42" s="11577"/>
      <c r="B42" s="7803" t="s">
        <v>38</v>
      </c>
      <c r="C42" s="7803"/>
      <c r="D42" s="10141"/>
      <c r="E42" s="11589"/>
      <c r="F42" s="11589"/>
      <c r="G42" s="11589"/>
      <c r="H42" s="11978"/>
      <c r="I42" s="11978"/>
      <c r="J42" s="11979"/>
      <c r="K42" s="11980"/>
    </row>
    <row r="43" spans="1:13" ht="15" customHeight="1">
      <c r="A43" s="11577"/>
      <c r="B43" s="7803" t="s">
        <v>391</v>
      </c>
      <c r="C43" s="7803"/>
      <c r="D43" s="10565">
        <v>50201010</v>
      </c>
      <c r="E43" s="11583">
        <f>'WS-MOOE 2017'!B46</f>
        <v>13721.43</v>
      </c>
      <c r="F43" s="10278">
        <f>'WS-MOOE ACTUAL JUNE 2018'!B44</f>
        <v>39616.18</v>
      </c>
      <c r="G43" s="11583">
        <f>H43-F43</f>
        <v>60383.82</v>
      </c>
      <c r="H43" s="10108">
        <v>100000</v>
      </c>
      <c r="I43" s="11583">
        <v>39712.18</v>
      </c>
      <c r="J43" s="10110">
        <f>I43/H43</f>
        <v>0.39712180000000002</v>
      </c>
      <c r="K43" s="11937">
        <v>150000</v>
      </c>
    </row>
    <row r="44" spans="1:13" ht="15" customHeight="1">
      <c r="A44" s="11577"/>
      <c r="B44" s="7803" t="s">
        <v>10324</v>
      </c>
      <c r="C44" s="7803"/>
      <c r="D44" s="10565">
        <v>50202010</v>
      </c>
      <c r="E44" s="11583">
        <f>'WS-MOOE 2017'!H46</f>
        <v>26276.01</v>
      </c>
      <c r="F44" s="10278">
        <f>'WS-MOOE ACTUAL JUNE 2018'!G44</f>
        <v>0</v>
      </c>
      <c r="G44" s="11583">
        <f t="shared" ref="G44:G65" si="3">H44-F44</f>
        <v>100000</v>
      </c>
      <c r="H44" s="10396">
        <v>100000</v>
      </c>
      <c r="I44" s="11583">
        <v>17500</v>
      </c>
      <c r="J44" s="10110">
        <f t="shared" ref="J44:J64" si="4">I44/H44</f>
        <v>0.17499999999999999</v>
      </c>
      <c r="K44" s="11594">
        <v>250000</v>
      </c>
    </row>
    <row r="45" spans="1:13" ht="15" customHeight="1">
      <c r="A45" s="11577"/>
      <c r="B45" s="7803" t="s">
        <v>392</v>
      </c>
      <c r="C45" s="7803"/>
      <c r="D45" s="10565">
        <v>50203010</v>
      </c>
      <c r="E45" s="11583">
        <f>'WS-MOOE 2017'!J46</f>
        <v>103643.3</v>
      </c>
      <c r="F45" s="10278">
        <f>'WS-MOOE ACTUAL JUNE 2018'!H44</f>
        <v>8851.25</v>
      </c>
      <c r="G45" s="11583">
        <f t="shared" si="3"/>
        <v>71148.75</v>
      </c>
      <c r="H45" s="10108">
        <v>80000</v>
      </c>
      <c r="I45" s="11583">
        <v>11002.25</v>
      </c>
      <c r="J45" s="10110">
        <f t="shared" si="4"/>
        <v>0.137528125</v>
      </c>
      <c r="K45" s="11937">
        <v>150000</v>
      </c>
    </row>
    <row r="46" spans="1:13" ht="15" customHeight="1">
      <c r="A46" s="11577"/>
      <c r="B46" s="7803" t="s">
        <v>10336</v>
      </c>
      <c r="C46" s="7803"/>
      <c r="D46" s="10565">
        <v>50203090</v>
      </c>
      <c r="E46" s="11583">
        <f>'WS-MOOE 2017'!R46</f>
        <v>0</v>
      </c>
      <c r="F46" s="10278">
        <f>'WS-MOOE ACTUAL JUNE 2018'!O44</f>
        <v>0</v>
      </c>
      <c r="G46" s="11583">
        <f t="shared" si="3"/>
        <v>50000</v>
      </c>
      <c r="H46" s="10396">
        <v>50000</v>
      </c>
      <c r="I46" s="11583">
        <v>4044</v>
      </c>
      <c r="J46" s="10110">
        <f t="shared" si="4"/>
        <v>8.0879999999999994E-2</v>
      </c>
      <c r="K46" s="11594">
        <v>50000</v>
      </c>
    </row>
    <row r="47" spans="1:13" ht="15" customHeight="1">
      <c r="A47" s="11577"/>
      <c r="B47" s="7803" t="s">
        <v>394</v>
      </c>
      <c r="C47" s="7803"/>
      <c r="D47" s="10565">
        <v>50204010</v>
      </c>
      <c r="E47" s="11583">
        <f>'WS-MOOE 2017'!W46</f>
        <v>0</v>
      </c>
      <c r="F47" s="10278">
        <f>'WS-MOOE ACTUAL JUNE 2018'!R44</f>
        <v>0</v>
      </c>
      <c r="G47" s="11583">
        <f t="shared" si="3"/>
        <v>80000</v>
      </c>
      <c r="H47" s="10396">
        <v>80000</v>
      </c>
      <c r="I47" s="11583">
        <v>0</v>
      </c>
      <c r="J47" s="10110">
        <f t="shared" si="4"/>
        <v>0</v>
      </c>
      <c r="K47" s="11998">
        <v>0</v>
      </c>
      <c r="L47" s="11588">
        <v>120000</v>
      </c>
    </row>
    <row r="48" spans="1:13" ht="15" customHeight="1">
      <c r="A48" s="11577"/>
      <c r="B48" s="7803" t="s">
        <v>395</v>
      </c>
      <c r="C48" s="7803"/>
      <c r="D48" s="10565">
        <v>50204020</v>
      </c>
      <c r="E48" s="11583">
        <f>'WS-MOOE 2017'!X46</f>
        <v>40000</v>
      </c>
      <c r="F48" s="10278">
        <f>'WS-MOOE ACTUAL JUNE 2018'!S44</f>
        <v>36444.720000000001</v>
      </c>
      <c r="G48" s="11583">
        <f t="shared" si="3"/>
        <v>83555.28</v>
      </c>
      <c r="H48" s="10396">
        <v>120000</v>
      </c>
      <c r="I48" s="11583">
        <v>61974.19</v>
      </c>
      <c r="J48" s="10110">
        <f t="shared" si="4"/>
        <v>0.5164515833333333</v>
      </c>
      <c r="K48" s="11998">
        <v>0</v>
      </c>
      <c r="L48" s="11588">
        <v>150000</v>
      </c>
    </row>
    <row r="49" spans="1:12" ht="15" customHeight="1">
      <c r="A49" s="11577"/>
      <c r="B49" s="7803" t="s">
        <v>396</v>
      </c>
      <c r="C49" s="7803"/>
      <c r="D49" s="10565">
        <v>50205010</v>
      </c>
      <c r="E49" s="11583">
        <f>'WS-MOOE 2017'!Z46</f>
        <v>0</v>
      </c>
      <c r="F49" s="10278">
        <f>'WS-MOOE ACTUAL JUNE 2018'!U44</f>
        <v>0</v>
      </c>
      <c r="G49" s="11583">
        <f t="shared" si="3"/>
        <v>10000</v>
      </c>
      <c r="H49" s="10396">
        <v>10000</v>
      </c>
      <c r="I49" s="11583">
        <v>0</v>
      </c>
      <c r="J49" s="10110">
        <f t="shared" si="4"/>
        <v>0</v>
      </c>
      <c r="K49" s="11594">
        <v>5000</v>
      </c>
    </row>
    <row r="50" spans="1:12" ht="15" customHeight="1">
      <c r="A50" s="11577"/>
      <c r="B50" s="7803" t="s">
        <v>10950</v>
      </c>
      <c r="C50" s="7803"/>
      <c r="D50" s="10565">
        <v>50205020</v>
      </c>
      <c r="E50" s="11583">
        <f>'WS-MOOE 2017'!AA46</f>
        <v>47803.78</v>
      </c>
      <c r="F50" s="10278">
        <f>'WS-MOOE ACTUAL JUNE 2018'!V44</f>
        <v>39597.449999999997</v>
      </c>
      <c r="G50" s="11583">
        <f t="shared" si="3"/>
        <v>56402.55</v>
      </c>
      <c r="H50" s="10108">
        <v>96000</v>
      </c>
      <c r="I50" s="11583">
        <v>51087.26</v>
      </c>
      <c r="J50" s="10110">
        <f t="shared" si="4"/>
        <v>0.53215895833333338</v>
      </c>
      <c r="K50" s="11937">
        <f>75000+30000</f>
        <v>105000</v>
      </c>
    </row>
    <row r="51" spans="1:12" ht="15" hidden="1" customHeight="1">
      <c r="A51" s="11577"/>
      <c r="B51" s="7803" t="s">
        <v>10338</v>
      </c>
      <c r="C51" s="7803"/>
      <c r="D51" s="10565"/>
      <c r="E51" s="11583"/>
      <c r="F51" s="10278"/>
      <c r="G51" s="11583">
        <f t="shared" si="3"/>
        <v>0</v>
      </c>
      <c r="H51" s="10396"/>
      <c r="I51" s="11583"/>
      <c r="J51" s="10110" t="e">
        <f t="shared" si="4"/>
        <v>#DIV/0!</v>
      </c>
      <c r="K51" s="11594"/>
    </row>
    <row r="52" spans="1:12" ht="15" customHeight="1">
      <c r="A52" s="11577"/>
      <c r="B52" s="7803" t="s">
        <v>10951</v>
      </c>
      <c r="C52" s="7803"/>
      <c r="D52" s="10565">
        <v>50205030</v>
      </c>
      <c r="E52" s="11583">
        <f>'WS-MOOE 2017'!AE46</f>
        <v>0</v>
      </c>
      <c r="F52" s="10278">
        <f>'WS-MOOE ACTUAL JUNE 2018'!Z44</f>
        <v>0</v>
      </c>
      <c r="G52" s="11583">
        <f t="shared" si="3"/>
        <v>75000</v>
      </c>
      <c r="H52" s="10396">
        <v>75000</v>
      </c>
      <c r="I52" s="11583">
        <v>0</v>
      </c>
      <c r="J52" s="10110">
        <f t="shared" si="4"/>
        <v>0</v>
      </c>
      <c r="K52" s="11594">
        <v>40000</v>
      </c>
    </row>
    <row r="53" spans="1:12" ht="15" customHeight="1">
      <c r="A53" s="11570"/>
      <c r="B53" s="8021" t="s">
        <v>10995</v>
      </c>
      <c r="C53" s="8021"/>
      <c r="D53" s="9287">
        <v>50207020</v>
      </c>
      <c r="E53" s="11583"/>
      <c r="F53" s="10278">
        <f>'WS-MOOE ACTUAL JUNE 2018'!AC44</f>
        <v>0</v>
      </c>
      <c r="G53" s="11583">
        <f>H53-F53</f>
        <v>50000</v>
      </c>
      <c r="H53" s="10396">
        <v>50000</v>
      </c>
      <c r="I53" s="11583">
        <v>0</v>
      </c>
      <c r="J53" s="10397">
        <f t="shared" si="4"/>
        <v>0</v>
      </c>
      <c r="K53" s="11594">
        <v>100000</v>
      </c>
    </row>
    <row r="54" spans="1:12" ht="15" customHeight="1">
      <c r="A54" s="11577"/>
      <c r="B54" s="7488" t="s">
        <v>10955</v>
      </c>
      <c r="C54" s="7488"/>
      <c r="D54" s="10566">
        <v>50211990</v>
      </c>
      <c r="E54" s="11583">
        <f>'WS-MOOE 2017'!AL46</f>
        <v>223689.98</v>
      </c>
      <c r="F54" s="10278">
        <f>'WS-MOOE ACTUAL JUNE 2018'!AF44</f>
        <v>189319.15</v>
      </c>
      <c r="G54" s="11583">
        <f>H54-F54</f>
        <v>650680.85</v>
      </c>
      <c r="H54" s="10396">
        <v>840000</v>
      </c>
      <c r="I54" s="11583">
        <v>450319.15</v>
      </c>
      <c r="J54" s="10110">
        <f>I54/H54</f>
        <v>0.5360942261904762</v>
      </c>
      <c r="K54" s="11594">
        <v>432000</v>
      </c>
    </row>
    <row r="55" spans="1:12" ht="15" customHeight="1">
      <c r="A55" s="11577"/>
      <c r="B55" s="7352" t="s">
        <v>10956</v>
      </c>
      <c r="C55" s="7352"/>
      <c r="D55" s="10567">
        <v>50212990</v>
      </c>
      <c r="E55" s="11583">
        <f>'WS-MOOE 2017'!AO46</f>
        <v>262260.77</v>
      </c>
      <c r="F55" s="10278">
        <f>'WS-MOOE ACTUAL JUNE 2018'!AJ44</f>
        <v>476951.88</v>
      </c>
      <c r="G55" s="11583">
        <f t="shared" si="3"/>
        <v>843048.12</v>
      </c>
      <c r="H55" s="10396">
        <v>1320000</v>
      </c>
      <c r="I55" s="11583">
        <v>796445</v>
      </c>
      <c r="J55" s="10110">
        <f t="shared" si="4"/>
        <v>0.60336742424242429</v>
      </c>
      <c r="K55" s="11594">
        <v>1400000</v>
      </c>
    </row>
    <row r="56" spans="1:12" ht="15" hidden="1" customHeight="1">
      <c r="A56" s="11577"/>
      <c r="B56" s="7803" t="s">
        <v>10675</v>
      </c>
      <c r="C56" s="7803"/>
      <c r="D56" s="10565"/>
      <c r="E56" s="11583"/>
      <c r="F56" s="10278"/>
      <c r="G56" s="11583">
        <f t="shared" si="3"/>
        <v>0</v>
      </c>
      <c r="H56" s="10396"/>
      <c r="I56" s="11583"/>
      <c r="J56" s="10110" t="e">
        <f t="shared" si="4"/>
        <v>#DIV/0!</v>
      </c>
      <c r="K56" s="11595"/>
      <c r="L56" s="11588">
        <v>840000</v>
      </c>
    </row>
    <row r="57" spans="1:12" ht="15" hidden="1" customHeight="1">
      <c r="A57" s="11577"/>
      <c r="B57" s="7488" t="s">
        <v>10959</v>
      </c>
      <c r="C57" s="7488"/>
      <c r="D57" s="10565">
        <v>50213040</v>
      </c>
      <c r="E57" s="11583">
        <f>'WS-MOOE 2017'!AS46</f>
        <v>6797.5</v>
      </c>
      <c r="F57" s="10278">
        <f>'WS-MOOE ACTUAL JUNE 2018'!AN44</f>
        <v>0</v>
      </c>
      <c r="G57" s="11583">
        <f t="shared" si="3"/>
        <v>0</v>
      </c>
      <c r="H57" s="10396">
        <v>0</v>
      </c>
      <c r="I57" s="11583"/>
      <c r="J57" s="10110"/>
      <c r="K57" s="11594">
        <v>0</v>
      </c>
    </row>
    <row r="58" spans="1:12" ht="15" hidden="1" customHeight="1">
      <c r="A58" s="11577"/>
      <c r="B58" s="7803" t="s">
        <v>401</v>
      </c>
      <c r="C58" s="7803"/>
      <c r="D58" s="10565"/>
      <c r="E58" s="11583"/>
      <c r="F58" s="10278"/>
      <c r="G58" s="11583">
        <f t="shared" si="3"/>
        <v>0</v>
      </c>
      <c r="H58" s="10396"/>
      <c r="I58" s="11583"/>
      <c r="J58" s="10110" t="e">
        <f t="shared" si="4"/>
        <v>#DIV/0!</v>
      </c>
      <c r="K58" s="11594"/>
    </row>
    <row r="59" spans="1:12" ht="15" customHeight="1">
      <c r="A59" s="11577"/>
      <c r="B59" s="7488" t="s">
        <v>10957</v>
      </c>
      <c r="C59" s="7488"/>
      <c r="D59" s="10567">
        <v>50213050</v>
      </c>
      <c r="E59" s="11583">
        <f>'WS-MOOE 2017'!AW46</f>
        <v>26294</v>
      </c>
      <c r="F59" s="10278">
        <f>'WS-MOOE ACTUAL JUNE 2018'!AS44</f>
        <v>0</v>
      </c>
      <c r="G59" s="11583">
        <f t="shared" si="3"/>
        <v>45000</v>
      </c>
      <c r="H59" s="10396">
        <v>45000</v>
      </c>
      <c r="I59" s="11583">
        <v>0</v>
      </c>
      <c r="J59" s="10110">
        <f t="shared" si="4"/>
        <v>0</v>
      </c>
      <c r="K59" s="11594">
        <v>40000</v>
      </c>
    </row>
    <row r="60" spans="1:12" ht="15" customHeight="1">
      <c r="A60" s="11577"/>
      <c r="B60" s="7488" t="s">
        <v>10958</v>
      </c>
      <c r="C60" s="7488"/>
      <c r="D60" s="10566">
        <v>50213060</v>
      </c>
      <c r="E60" s="11583">
        <f>'WS-MOOE 2017'!BB46</f>
        <v>0</v>
      </c>
      <c r="F60" s="10278">
        <f>'WS-MOOE ACTUAL JUNE 2018'!AT44</f>
        <v>0</v>
      </c>
      <c r="G60" s="11583">
        <f t="shared" si="3"/>
        <v>2500</v>
      </c>
      <c r="H60" s="10396">
        <v>2500</v>
      </c>
      <c r="I60" s="11583">
        <v>0</v>
      </c>
      <c r="J60" s="10110">
        <f t="shared" si="4"/>
        <v>0</v>
      </c>
      <c r="K60" s="11594">
        <v>50000</v>
      </c>
    </row>
    <row r="61" spans="1:12" ht="15" customHeight="1">
      <c r="A61" s="11577"/>
      <c r="B61" s="7803" t="s">
        <v>402</v>
      </c>
      <c r="C61" s="7803"/>
      <c r="D61" s="10565">
        <v>50215020</v>
      </c>
      <c r="E61" s="11583">
        <f>'WS-MOOE 2017'!BH46</f>
        <v>4500</v>
      </c>
      <c r="F61" s="10278">
        <f>'WS-MOOE ACTUAL JUNE 2018'!AZ44</f>
        <v>3750</v>
      </c>
      <c r="G61" s="11583">
        <f t="shared" si="3"/>
        <v>46250</v>
      </c>
      <c r="H61" s="10396">
        <v>50000</v>
      </c>
      <c r="I61" s="11583">
        <v>3750</v>
      </c>
      <c r="J61" s="10110">
        <f t="shared" si="4"/>
        <v>7.4999999999999997E-2</v>
      </c>
      <c r="K61" s="11594">
        <v>20000</v>
      </c>
    </row>
    <row r="62" spans="1:12" ht="15" customHeight="1">
      <c r="A62" s="11577"/>
      <c r="B62" s="7803" t="s">
        <v>10672</v>
      </c>
      <c r="C62" s="7803"/>
      <c r="D62" s="10565">
        <v>50299030</v>
      </c>
      <c r="E62" s="11583">
        <f>'WS-MOOE 2017'!BK46</f>
        <v>26712.85</v>
      </c>
      <c r="F62" s="10278">
        <f>'WS-MOOE ACTUAL JUNE 2018'!BE44</f>
        <v>2000</v>
      </c>
      <c r="G62" s="11583">
        <f>H62-F62</f>
        <v>58000</v>
      </c>
      <c r="H62" s="10396">
        <v>60000</v>
      </c>
      <c r="I62" s="11583">
        <v>2000</v>
      </c>
      <c r="J62" s="10110">
        <f>I62/H62</f>
        <v>3.3333333333333333E-2</v>
      </c>
      <c r="K62" s="11594">
        <v>50000</v>
      </c>
    </row>
    <row r="63" spans="1:12" ht="15" customHeight="1">
      <c r="A63" s="11577"/>
      <c r="B63" s="7803" t="s">
        <v>10673</v>
      </c>
      <c r="C63" s="7803"/>
      <c r="D63" s="10565">
        <v>50299070</v>
      </c>
      <c r="E63" s="11583">
        <f>'WS-MOOE 2017'!BL46</f>
        <v>0</v>
      </c>
      <c r="F63" s="10278">
        <f>'WS-MOOE ACTUAL JUNE 2018'!BF44</f>
        <v>0</v>
      </c>
      <c r="G63" s="11583">
        <f>H63-F63</f>
        <v>20000</v>
      </c>
      <c r="H63" s="10396">
        <v>20000</v>
      </c>
      <c r="I63" s="11583">
        <v>0</v>
      </c>
      <c r="J63" s="10110">
        <f>I63/H63</f>
        <v>0</v>
      </c>
      <c r="K63" s="11594">
        <v>25000</v>
      </c>
    </row>
    <row r="64" spans="1:12" ht="15" customHeight="1">
      <c r="A64" s="11570"/>
      <c r="B64" s="7803" t="s">
        <v>10949</v>
      </c>
      <c r="C64" s="7803"/>
      <c r="D64" s="10565">
        <v>50299990</v>
      </c>
      <c r="E64" s="11583">
        <f>'WS-MOOE 2017'!BO46</f>
        <v>155632.66</v>
      </c>
      <c r="F64" s="10278">
        <f>'WS-MOOE ACTUAL JUNE 2018'!BI44</f>
        <v>12595</v>
      </c>
      <c r="G64" s="11583">
        <f t="shared" si="3"/>
        <v>72405</v>
      </c>
      <c r="H64" s="10396">
        <v>85000</v>
      </c>
      <c r="I64" s="11583">
        <v>51293.75</v>
      </c>
      <c r="J64" s="10110">
        <f t="shared" si="4"/>
        <v>0.60345588235294123</v>
      </c>
      <c r="K64" s="11594">
        <v>100000</v>
      </c>
    </row>
    <row r="65" spans="1:13" ht="15" customHeight="1">
      <c r="A65" s="11570"/>
      <c r="B65" s="7803" t="s">
        <v>10674</v>
      </c>
      <c r="C65" s="7803"/>
      <c r="D65" s="11981"/>
      <c r="E65" s="11583"/>
      <c r="F65" s="11583"/>
      <c r="G65" s="11583">
        <f t="shared" si="3"/>
        <v>100000</v>
      </c>
      <c r="H65" s="10396">
        <v>100000</v>
      </c>
      <c r="I65" s="11583"/>
      <c r="J65" s="10397"/>
      <c r="K65" s="11594">
        <v>0</v>
      </c>
    </row>
    <row r="66" spans="1:13" ht="15" customHeight="1">
      <c r="A66" s="11570"/>
      <c r="B66" s="7809" t="s">
        <v>37</v>
      </c>
      <c r="C66" s="7809"/>
      <c r="D66" s="10565"/>
      <c r="E66" s="9540">
        <f>SUM(E43:E65)</f>
        <v>937332.28</v>
      </c>
      <c r="F66" s="11601">
        <f>SUM(F43:F65)</f>
        <v>809125.63</v>
      </c>
      <c r="G66" s="11601">
        <f>SUM(G43:G65)</f>
        <v>2474374.37</v>
      </c>
      <c r="H66" s="11601">
        <f>SUM(H43:H65)</f>
        <v>3283500</v>
      </c>
      <c r="I66" s="11601">
        <f>SUM(I43:I65)</f>
        <v>1489127.78</v>
      </c>
      <c r="J66" s="11206"/>
      <c r="K66" s="11619">
        <f>SUM(K43:K65)</f>
        <v>2967000</v>
      </c>
      <c r="L66" s="10372">
        <f>(K66-H66)/H66</f>
        <v>-9.6391046139789854E-2</v>
      </c>
    </row>
    <row r="67" spans="1:13" ht="15" customHeight="1">
      <c r="A67" s="11570"/>
      <c r="B67" s="7803"/>
      <c r="C67" s="7803"/>
      <c r="D67" s="10565"/>
      <c r="E67" s="11605"/>
      <c r="F67" s="11606"/>
      <c r="G67" s="11606"/>
      <c r="H67" s="11608"/>
      <c r="I67" s="11608"/>
      <c r="J67" s="11503"/>
      <c r="K67" s="11609"/>
    </row>
    <row r="68" spans="1:13" ht="15" customHeight="1">
      <c r="A68" s="11577" t="s">
        <v>51</v>
      </c>
      <c r="B68" s="7803" t="s">
        <v>52</v>
      </c>
      <c r="C68" s="7803"/>
      <c r="D68" s="10565"/>
      <c r="E68" s="11610"/>
      <c r="F68" s="11610"/>
      <c r="G68" s="11610"/>
      <c r="H68" s="11583"/>
      <c r="I68" s="11583"/>
      <c r="J68" s="11163"/>
      <c r="K68" s="11612"/>
    </row>
    <row r="69" spans="1:13" ht="15" customHeight="1">
      <c r="A69" s="11577"/>
      <c r="B69" s="7810" t="s">
        <v>122</v>
      </c>
      <c r="C69" s="7810"/>
      <c r="D69" s="10565">
        <v>50705020</v>
      </c>
      <c r="E69" s="11597">
        <f>'WS-CO 2017'!F45</f>
        <v>50255</v>
      </c>
      <c r="F69" s="11614">
        <v>0</v>
      </c>
      <c r="G69" s="11583">
        <f>H69-F69</f>
        <v>100000</v>
      </c>
      <c r="H69" s="11583">
        <v>100000</v>
      </c>
      <c r="I69" s="11982">
        <v>97999.99</v>
      </c>
      <c r="J69" s="11163">
        <f>I69/H69</f>
        <v>0.97999990000000003</v>
      </c>
      <c r="K69" s="11612">
        <v>150000</v>
      </c>
    </row>
    <row r="70" spans="1:13" ht="15" customHeight="1">
      <c r="A70" s="11577"/>
      <c r="B70" s="7810" t="s">
        <v>12238</v>
      </c>
      <c r="C70" s="7810"/>
      <c r="D70" s="10565">
        <v>50707010</v>
      </c>
      <c r="E70" s="11944">
        <f>'WS-CO 2017'!K45</f>
        <v>58140</v>
      </c>
      <c r="F70" s="11983">
        <v>0</v>
      </c>
      <c r="G70" s="11583">
        <f>H70-F70</f>
        <v>80000</v>
      </c>
      <c r="H70" s="10278">
        <v>80000</v>
      </c>
      <c r="I70" s="11213">
        <v>42000</v>
      </c>
      <c r="J70" s="11163">
        <f>I70/H70</f>
        <v>0.52500000000000002</v>
      </c>
      <c r="K70" s="11945">
        <v>80000</v>
      </c>
    </row>
    <row r="71" spans="1:13" ht="15" customHeight="1">
      <c r="A71" s="11577"/>
      <c r="B71" s="11984" t="s">
        <v>10946</v>
      </c>
      <c r="C71" s="11984"/>
      <c r="D71" s="11985">
        <v>50705030</v>
      </c>
      <c r="E71" s="11944">
        <f>'WS-CO 2017'!H45</f>
        <v>70750</v>
      </c>
      <c r="F71" s="11614">
        <v>0</v>
      </c>
      <c r="G71" s="11583">
        <f>H71-F71</f>
        <v>1580000</v>
      </c>
      <c r="H71" s="10278">
        <v>1580000</v>
      </c>
      <c r="I71" s="11982">
        <v>1535000</v>
      </c>
      <c r="J71" s="11163">
        <f>I71/H71</f>
        <v>0.97151898734177211</v>
      </c>
      <c r="K71" s="11945">
        <v>200000</v>
      </c>
    </row>
    <row r="72" spans="1:13" ht="15" hidden="1" customHeight="1">
      <c r="A72" s="11577"/>
      <c r="B72" s="7784" t="s">
        <v>11620</v>
      </c>
      <c r="C72" s="7784"/>
      <c r="D72" s="8802">
        <v>50705990</v>
      </c>
      <c r="E72" s="11614"/>
      <c r="F72" s="11614"/>
      <c r="G72" s="11614"/>
      <c r="H72" s="10278"/>
      <c r="I72" s="10278"/>
      <c r="J72" s="8799"/>
      <c r="K72" s="11945"/>
    </row>
    <row r="73" spans="1:13" s="7811" customFormat="1" ht="15" customHeight="1" thickBot="1">
      <c r="A73" s="11986"/>
      <c r="B73" s="7825" t="s">
        <v>37</v>
      </c>
      <c r="C73" s="7825"/>
      <c r="D73" s="11987"/>
      <c r="E73" s="11988">
        <f>SUM(E69:E72)</f>
        <v>179145</v>
      </c>
      <c r="F73" s="11585">
        <f>SUM(F69:F72)</f>
        <v>0</v>
      </c>
      <c r="G73" s="11585">
        <f>SUM(G69:G72)</f>
        <v>1760000</v>
      </c>
      <c r="H73" s="11585">
        <f>SUM(H69:H72)</f>
        <v>1760000</v>
      </c>
      <c r="I73" s="11585">
        <f>SUM(I69:I72)</f>
        <v>1674999.99</v>
      </c>
      <c r="J73" s="11449"/>
      <c r="K73" s="11959">
        <f>SUM(K68:K72)</f>
        <v>430000</v>
      </c>
      <c r="L73" s="10372">
        <f>(K73-H73)/H73</f>
        <v>-0.75568181818181823</v>
      </c>
      <c r="M73" s="10242"/>
    </row>
    <row r="74" spans="1:13" s="7811" customFormat="1" ht="15" customHeight="1">
      <c r="A74" s="8075"/>
      <c r="B74" s="7809"/>
      <c r="C74" s="7809"/>
      <c r="D74" s="7808"/>
      <c r="E74" s="8076"/>
      <c r="F74" s="8076"/>
      <c r="G74" s="8076"/>
      <c r="H74" s="7824"/>
      <c r="I74" s="7824"/>
      <c r="J74" s="7350"/>
      <c r="K74" s="7824"/>
      <c r="M74" s="10242"/>
    </row>
    <row r="75" spans="1:13" s="7811" customFormat="1" ht="15" customHeight="1">
      <c r="A75" s="8075"/>
      <c r="B75" s="7809"/>
      <c r="C75" s="7809"/>
      <c r="D75" s="7808"/>
      <c r="E75" s="8076"/>
      <c r="F75" s="8076"/>
      <c r="G75" s="8076"/>
      <c r="H75" s="7824"/>
      <c r="I75" s="7824"/>
      <c r="J75" s="7350"/>
      <c r="K75" s="7824"/>
      <c r="M75" s="10242"/>
    </row>
    <row r="76" spans="1:13" s="7811" customFormat="1" ht="15" customHeight="1">
      <c r="A76" s="8075"/>
      <c r="B76" s="7809"/>
      <c r="C76" s="7809"/>
      <c r="D76" s="7808"/>
      <c r="E76" s="8076"/>
      <c r="F76" s="8076"/>
      <c r="G76" s="8076"/>
      <c r="H76" s="7824"/>
      <c r="I76" s="7824"/>
      <c r="J76" s="7350"/>
      <c r="K76" s="7824"/>
      <c r="M76" s="10242"/>
    </row>
    <row r="77" spans="1:13" s="7811" customFormat="1" ht="15" customHeight="1">
      <c r="A77" s="8075"/>
      <c r="B77" s="7809"/>
      <c r="C77" s="7809"/>
      <c r="D77" s="7808"/>
      <c r="E77" s="8076"/>
      <c r="F77" s="8076"/>
      <c r="G77" s="8076"/>
      <c r="H77" s="7824"/>
      <c r="I77" s="7824"/>
      <c r="J77" s="7350"/>
      <c r="K77" s="7824"/>
      <c r="M77" s="10242"/>
    </row>
    <row r="78" spans="1:13" s="7811" customFormat="1" ht="15" customHeight="1">
      <c r="A78" s="8075"/>
      <c r="B78" s="7809"/>
      <c r="C78" s="7809"/>
      <c r="D78" s="7808"/>
      <c r="E78" s="8076"/>
      <c r="F78" s="8076"/>
      <c r="G78" s="8076"/>
      <c r="H78" s="7824"/>
      <c r="I78" s="7824"/>
      <c r="J78" s="7350"/>
      <c r="K78" s="7824"/>
      <c r="M78" s="10242"/>
    </row>
    <row r="79" spans="1:13" s="7811" customFormat="1" ht="15" customHeight="1" thickBot="1">
      <c r="A79" s="8075" t="s">
        <v>10810</v>
      </c>
      <c r="B79" s="7809"/>
      <c r="C79" s="7809"/>
      <c r="D79" s="7808"/>
      <c r="E79" s="8076"/>
      <c r="F79" s="8076"/>
      <c r="G79" s="8076"/>
      <c r="H79" s="7824"/>
      <c r="I79" s="7824"/>
      <c r="J79" s="7350"/>
      <c r="K79" s="7824"/>
      <c r="M79" s="10242"/>
    </row>
    <row r="80" spans="1:13" ht="15" customHeight="1">
      <c r="A80" s="11566"/>
      <c r="B80" s="10530"/>
      <c r="C80" s="10530"/>
      <c r="D80" s="11567" t="s">
        <v>9</v>
      </c>
      <c r="E80" s="11568" t="s">
        <v>78</v>
      </c>
      <c r="F80" s="14188" t="s">
        <v>10711</v>
      </c>
      <c r="G80" s="14189"/>
      <c r="H80" s="14190"/>
      <c r="I80" s="11568"/>
      <c r="J80" s="9462"/>
      <c r="K80" s="11569" t="s">
        <v>12</v>
      </c>
    </row>
    <row r="81" spans="1:14" ht="15" customHeight="1">
      <c r="A81" s="11570"/>
      <c r="B81" s="7808" t="s">
        <v>13</v>
      </c>
      <c r="C81" s="7808"/>
      <c r="D81" s="14581" t="s">
        <v>14</v>
      </c>
      <c r="E81" s="11616" t="s">
        <v>15</v>
      </c>
      <c r="F81" s="9502" t="s">
        <v>10709</v>
      </c>
      <c r="G81" s="12001" t="s">
        <v>10710</v>
      </c>
      <c r="H81" s="14610" t="s">
        <v>458</v>
      </c>
      <c r="I81" s="11571" t="s">
        <v>9985</v>
      </c>
      <c r="J81" s="11108"/>
      <c r="K81" s="11572" t="s">
        <v>16</v>
      </c>
    </row>
    <row r="82" spans="1:14" ht="15" customHeight="1" thickBot="1">
      <c r="A82" s="11573"/>
      <c r="B82" s="7827"/>
      <c r="C82" s="7827"/>
      <c r="D82" s="14582"/>
      <c r="E82" s="11987">
        <v>2017</v>
      </c>
      <c r="F82" s="9467" t="s">
        <v>457</v>
      </c>
      <c r="G82" s="12002" t="s">
        <v>456</v>
      </c>
      <c r="H82" s="14611"/>
      <c r="I82" s="11574"/>
      <c r="J82" s="7322"/>
      <c r="K82" s="11575">
        <v>2019</v>
      </c>
    </row>
    <row r="83" spans="1:14" ht="15" customHeight="1">
      <c r="A83" s="11570"/>
      <c r="B83" s="7808"/>
      <c r="C83" s="7808"/>
      <c r="D83" s="11576"/>
      <c r="E83" s="11616"/>
      <c r="F83" s="10030"/>
      <c r="G83" s="12003"/>
      <c r="H83" s="11123"/>
      <c r="I83" s="11571"/>
      <c r="J83" s="11108"/>
      <c r="K83" s="11572"/>
    </row>
    <row r="84" spans="1:14" ht="15" customHeight="1">
      <c r="A84" s="11577" t="s">
        <v>53</v>
      </c>
      <c r="B84" s="7803" t="s">
        <v>54</v>
      </c>
      <c r="C84" s="7803"/>
      <c r="D84" s="10141"/>
      <c r="E84" s="11625"/>
      <c r="F84" s="11932"/>
      <c r="G84" s="11932"/>
      <c r="H84" s="11199"/>
      <c r="I84" s="10393"/>
      <c r="J84" s="9413"/>
      <c r="K84" s="11821"/>
    </row>
    <row r="85" spans="1:14" ht="15" customHeight="1">
      <c r="A85" s="11577"/>
      <c r="B85" s="7352"/>
      <c r="C85" s="7352"/>
      <c r="D85" s="10141"/>
      <c r="E85" s="11932"/>
      <c r="F85" s="11932">
        <v>0</v>
      </c>
      <c r="G85" s="11932"/>
      <c r="H85" s="11199"/>
      <c r="I85" s="10393"/>
      <c r="J85" s="9413"/>
      <c r="K85" s="11821"/>
    </row>
    <row r="86" spans="1:14" ht="15" customHeight="1">
      <c r="A86" s="11577"/>
      <c r="B86" s="11989" t="s">
        <v>11095</v>
      </c>
      <c r="C86" s="11989"/>
      <c r="D86" s="10141">
        <v>89921</v>
      </c>
      <c r="E86" s="11932">
        <v>279815.98</v>
      </c>
      <c r="F86" s="11932">
        <v>428268.24</v>
      </c>
      <c r="G86" s="11932">
        <f>H86-F86</f>
        <v>1621731.76</v>
      </c>
      <c r="H86" s="11199">
        <f>1750000+300000</f>
        <v>2050000</v>
      </c>
      <c r="I86" s="10393">
        <v>1269031.4099999999</v>
      </c>
      <c r="J86" s="11163">
        <f>I86/H86</f>
        <v>0.61903971219512188</v>
      </c>
      <c r="K86" s="11821">
        <v>4710000</v>
      </c>
      <c r="L86" s="7823"/>
      <c r="M86" s="10243"/>
      <c r="N86" s="8083"/>
    </row>
    <row r="87" spans="1:14" ht="15" hidden="1" customHeight="1">
      <c r="A87" s="11577"/>
      <c r="B87" s="11990" t="s">
        <v>11858</v>
      </c>
      <c r="C87" s="11960">
        <v>500000</v>
      </c>
      <c r="D87" s="10141"/>
      <c r="E87" s="11932"/>
      <c r="F87" s="11932"/>
      <c r="G87" s="11932"/>
      <c r="H87" s="11199"/>
      <c r="I87" s="10393"/>
      <c r="J87" s="11163"/>
      <c r="K87" s="11821"/>
      <c r="L87" s="7823">
        <f>SUM(C87:C95)</f>
        <v>4710000</v>
      </c>
      <c r="M87" s="10243"/>
      <c r="N87" s="8083"/>
    </row>
    <row r="88" spans="1:14" ht="15" hidden="1" customHeight="1">
      <c r="A88" s="11577"/>
      <c r="B88" s="11991" t="s">
        <v>11859</v>
      </c>
      <c r="C88" s="11992">
        <v>30000</v>
      </c>
      <c r="D88" s="10141"/>
      <c r="E88" s="11932"/>
      <c r="F88" s="11932"/>
      <c r="G88" s="11932"/>
      <c r="H88" s="11199"/>
      <c r="I88" s="10393"/>
      <c r="J88" s="11163"/>
      <c r="K88" s="11821"/>
      <c r="L88" s="7823"/>
      <c r="M88" s="10243"/>
      <c r="N88" s="8083"/>
    </row>
    <row r="89" spans="1:14" ht="15" hidden="1" customHeight="1">
      <c r="A89" s="11577"/>
      <c r="B89" s="11961" t="s">
        <v>11860</v>
      </c>
      <c r="C89" s="11960">
        <v>80000</v>
      </c>
      <c r="D89" s="10141"/>
      <c r="E89" s="11932"/>
      <c r="F89" s="11932"/>
      <c r="G89" s="11932"/>
      <c r="H89" s="11199"/>
      <c r="I89" s="10393"/>
      <c r="J89" s="11163"/>
      <c r="K89" s="11821"/>
      <c r="L89" s="7823"/>
      <c r="M89" s="10243"/>
      <c r="N89" s="8083"/>
    </row>
    <row r="90" spans="1:14" ht="15" hidden="1" customHeight="1">
      <c r="A90" s="11577"/>
      <c r="B90" s="11962" t="s">
        <v>11861</v>
      </c>
      <c r="C90" s="11963">
        <v>3500000</v>
      </c>
      <c r="D90" s="10141"/>
      <c r="E90" s="11932"/>
      <c r="F90" s="11932"/>
      <c r="G90" s="11932"/>
      <c r="H90" s="11199"/>
      <c r="I90" s="10393"/>
      <c r="J90" s="11163"/>
      <c r="K90" s="11821"/>
      <c r="L90" s="7823"/>
      <c r="M90" s="10243"/>
      <c r="N90" s="8083"/>
    </row>
    <row r="91" spans="1:14" ht="15" hidden="1" customHeight="1">
      <c r="A91" s="11577"/>
      <c r="B91" s="11962" t="s">
        <v>11777</v>
      </c>
      <c r="C91" s="11963">
        <v>150000</v>
      </c>
      <c r="D91" s="10141"/>
      <c r="E91" s="11932"/>
      <c r="F91" s="11932"/>
      <c r="G91" s="11932"/>
      <c r="H91" s="11199"/>
      <c r="I91" s="10393"/>
      <c r="J91" s="11163"/>
      <c r="K91" s="11821"/>
      <c r="L91" s="7823"/>
      <c r="M91" s="10243"/>
      <c r="N91" s="8083"/>
    </row>
    <row r="92" spans="1:14" ht="15" hidden="1" customHeight="1">
      <c r="A92" s="11577"/>
      <c r="B92" s="11962" t="s">
        <v>11862</v>
      </c>
      <c r="C92" s="11964">
        <v>150000</v>
      </c>
      <c r="D92" s="10141"/>
      <c r="E92" s="11932"/>
      <c r="F92" s="11932"/>
      <c r="G92" s="11932"/>
      <c r="H92" s="11199"/>
      <c r="I92" s="10393"/>
      <c r="J92" s="11163"/>
      <c r="K92" s="11821"/>
      <c r="L92" s="7823"/>
      <c r="M92" s="10243"/>
      <c r="N92" s="8083"/>
    </row>
    <row r="93" spans="1:14" ht="15" hidden="1" customHeight="1">
      <c r="A93" s="11577"/>
      <c r="B93" s="11962" t="s">
        <v>10681</v>
      </c>
      <c r="C93" s="11964">
        <v>100000</v>
      </c>
      <c r="D93" s="10141"/>
      <c r="E93" s="11932"/>
      <c r="F93" s="11932"/>
      <c r="G93" s="11932"/>
      <c r="H93" s="11199"/>
      <c r="I93" s="10393"/>
      <c r="J93" s="11163"/>
      <c r="K93" s="11821"/>
      <c r="L93" s="7823"/>
      <c r="M93" s="10243"/>
      <c r="N93" s="8083"/>
    </row>
    <row r="94" spans="1:14" ht="15" hidden="1" customHeight="1">
      <c r="A94" s="11577"/>
      <c r="B94" s="11962" t="s">
        <v>10682</v>
      </c>
      <c r="C94" s="11964">
        <v>100000</v>
      </c>
      <c r="D94" s="10141"/>
      <c r="E94" s="11932"/>
      <c r="F94" s="11932"/>
      <c r="G94" s="11932"/>
      <c r="H94" s="11199"/>
      <c r="I94" s="10393"/>
      <c r="J94" s="11163"/>
      <c r="K94" s="11821"/>
      <c r="L94" s="7823"/>
      <c r="M94" s="10243"/>
      <c r="N94" s="8083"/>
    </row>
    <row r="95" spans="1:14" ht="15" hidden="1" customHeight="1">
      <c r="A95" s="11577"/>
      <c r="B95" s="11965" t="s">
        <v>11863</v>
      </c>
      <c r="C95" s="11964">
        <v>100000</v>
      </c>
      <c r="D95" s="10141"/>
      <c r="E95" s="11932"/>
      <c r="F95" s="11932"/>
      <c r="G95" s="11932"/>
      <c r="H95" s="11199"/>
      <c r="I95" s="10393"/>
      <c r="J95" s="11163"/>
      <c r="K95" s="11821"/>
      <c r="L95" s="7823"/>
      <c r="M95" s="10243"/>
      <c r="N95" s="8083"/>
    </row>
    <row r="96" spans="1:14" ht="15" hidden="1" customHeight="1">
      <c r="A96" s="11577"/>
      <c r="B96" s="11989"/>
      <c r="C96" s="11989"/>
      <c r="D96" s="10141"/>
      <c r="E96" s="11932"/>
      <c r="F96" s="11932"/>
      <c r="G96" s="11932"/>
      <c r="H96" s="11199"/>
      <c r="I96" s="10393"/>
      <c r="J96" s="11163"/>
      <c r="K96" s="11821"/>
      <c r="L96" s="7823"/>
      <c r="M96" s="10243"/>
      <c r="N96" s="8083"/>
    </row>
    <row r="97" spans="1:14" ht="15" hidden="1" customHeight="1">
      <c r="A97" s="11577"/>
      <c r="B97" s="11993" t="s">
        <v>11096</v>
      </c>
      <c r="C97" s="11993"/>
      <c r="D97" s="10141"/>
      <c r="E97" s="11932"/>
      <c r="F97" s="11932"/>
      <c r="G97" s="11932"/>
      <c r="H97" s="11199"/>
      <c r="I97" s="10393"/>
      <c r="J97" s="9413"/>
      <c r="K97" s="11821"/>
      <c r="L97" s="7823"/>
      <c r="M97" s="10243"/>
      <c r="N97" s="8083"/>
    </row>
    <row r="98" spans="1:14" ht="15" hidden="1" customHeight="1">
      <c r="A98" s="11577"/>
      <c r="B98" s="11993" t="s">
        <v>11097</v>
      </c>
      <c r="C98" s="11993"/>
      <c r="D98" s="10141"/>
      <c r="E98" s="11932"/>
      <c r="F98" s="11932">
        <v>0</v>
      </c>
      <c r="G98" s="11932">
        <f>H98-F98</f>
        <v>0</v>
      </c>
      <c r="H98" s="11199"/>
      <c r="I98" s="10393"/>
      <c r="J98" s="9413"/>
      <c r="K98" s="11821"/>
      <c r="L98" s="7823"/>
      <c r="M98" s="10243"/>
      <c r="N98" s="8083"/>
    </row>
    <row r="99" spans="1:14" ht="15" hidden="1" customHeight="1">
      <c r="A99" s="11577"/>
      <c r="B99" s="11994" t="s">
        <v>10676</v>
      </c>
      <c r="C99" s="11994"/>
      <c r="D99" s="10141"/>
      <c r="E99" s="11932"/>
      <c r="F99" s="11932">
        <v>0</v>
      </c>
      <c r="G99" s="11932">
        <f>H99-F99</f>
        <v>0</v>
      </c>
      <c r="H99" s="11199"/>
      <c r="I99" s="10393"/>
      <c r="J99" s="9413"/>
      <c r="K99" s="11821"/>
      <c r="L99" s="7823"/>
      <c r="M99" s="10243"/>
      <c r="N99" s="8083"/>
    </row>
    <row r="100" spans="1:14" ht="15" hidden="1" customHeight="1">
      <c r="A100" s="11577"/>
      <c r="B100" s="11994" t="s">
        <v>10677</v>
      </c>
      <c r="C100" s="11994"/>
      <c r="D100" s="10141"/>
      <c r="E100" s="11932"/>
      <c r="F100" s="11932">
        <v>0</v>
      </c>
      <c r="G100" s="11932">
        <f>H100-F100</f>
        <v>0</v>
      </c>
      <c r="H100" s="11199"/>
      <c r="I100" s="10393"/>
      <c r="J100" s="9413"/>
      <c r="K100" s="11821"/>
      <c r="L100" s="7823"/>
      <c r="M100" s="10243"/>
      <c r="N100" s="8083"/>
    </row>
    <row r="101" spans="1:14" ht="15" hidden="1" customHeight="1">
      <c r="A101" s="11577"/>
      <c r="B101" s="11994" t="s">
        <v>11098</v>
      </c>
      <c r="C101" s="11994"/>
      <c r="D101" s="10141"/>
      <c r="E101" s="11932"/>
      <c r="F101" s="11932"/>
      <c r="G101" s="11932"/>
      <c r="H101" s="11199"/>
      <c r="I101" s="10393"/>
      <c r="J101" s="9413"/>
      <c r="K101" s="11821"/>
      <c r="L101" s="7823"/>
      <c r="M101" s="10243"/>
      <c r="N101" s="8083"/>
    </row>
    <row r="102" spans="1:14" ht="15" hidden="1" customHeight="1">
      <c r="A102" s="11577"/>
      <c r="B102" s="11994"/>
      <c r="C102" s="11994"/>
      <c r="D102" s="10141"/>
      <c r="E102" s="11932"/>
      <c r="F102" s="11932"/>
      <c r="G102" s="11932"/>
      <c r="H102" s="11199"/>
      <c r="I102" s="10393"/>
      <c r="J102" s="9413"/>
      <c r="K102" s="11821"/>
      <c r="L102" s="7823"/>
      <c r="M102" s="10243"/>
      <c r="N102" s="8083"/>
    </row>
    <row r="103" spans="1:14" ht="15" customHeight="1">
      <c r="A103" s="11577"/>
      <c r="B103" s="11989" t="s">
        <v>10678</v>
      </c>
      <c r="C103" s="11989"/>
      <c r="D103" s="10141">
        <v>89922</v>
      </c>
      <c r="E103" s="11932">
        <v>192509.33</v>
      </c>
      <c r="F103" s="11932"/>
      <c r="G103" s="11932"/>
      <c r="H103" s="11199"/>
      <c r="I103" s="10393"/>
      <c r="J103" s="9413"/>
      <c r="K103" s="11821"/>
      <c r="L103" s="7823"/>
      <c r="M103" s="10243"/>
      <c r="N103" s="8083"/>
    </row>
    <row r="104" spans="1:14" ht="15" hidden="1" customHeight="1">
      <c r="A104" s="11577"/>
      <c r="B104" s="11994" t="s">
        <v>10679</v>
      </c>
      <c r="C104" s="11994"/>
      <c r="D104" s="10141"/>
      <c r="E104" s="11932"/>
      <c r="F104" s="11932">
        <v>0</v>
      </c>
      <c r="G104" s="11932">
        <f t="shared" ref="G104:G110" si="5">H104-F104</f>
        <v>0</v>
      </c>
      <c r="H104" s="11199"/>
      <c r="I104" s="10393"/>
      <c r="J104" s="9413"/>
      <c r="K104" s="11821"/>
      <c r="L104" s="7823"/>
      <c r="M104" s="10243"/>
      <c r="N104" s="8083"/>
    </row>
    <row r="105" spans="1:14" ht="15" hidden="1" customHeight="1">
      <c r="A105" s="11577"/>
      <c r="B105" s="11995" t="s">
        <v>10680</v>
      </c>
      <c r="C105" s="11995"/>
      <c r="D105" s="10141"/>
      <c r="E105" s="11932"/>
      <c r="F105" s="11932">
        <v>0</v>
      </c>
      <c r="G105" s="11932">
        <f t="shared" si="5"/>
        <v>0</v>
      </c>
      <c r="H105" s="11199"/>
      <c r="I105" s="10393"/>
      <c r="J105" s="9413"/>
      <c r="K105" s="11821"/>
      <c r="L105" s="7823"/>
      <c r="M105" s="10243"/>
      <c r="N105" s="8083"/>
    </row>
    <row r="106" spans="1:14" ht="15" hidden="1" customHeight="1">
      <c r="A106" s="11577"/>
      <c r="B106" s="11996" t="s">
        <v>10681</v>
      </c>
      <c r="C106" s="11996"/>
      <c r="D106" s="10141"/>
      <c r="E106" s="11932"/>
      <c r="F106" s="11932">
        <v>0</v>
      </c>
      <c r="G106" s="11932">
        <f t="shared" si="5"/>
        <v>0</v>
      </c>
      <c r="H106" s="11199"/>
      <c r="I106" s="10393"/>
      <c r="J106" s="9413"/>
      <c r="K106" s="11821"/>
      <c r="L106" s="7823"/>
      <c r="M106" s="10243"/>
      <c r="N106" s="8083"/>
    </row>
    <row r="107" spans="1:14" ht="15" hidden="1" customHeight="1">
      <c r="A107" s="11577"/>
      <c r="B107" s="11994" t="s">
        <v>10682</v>
      </c>
      <c r="C107" s="11994"/>
      <c r="D107" s="10141"/>
      <c r="E107" s="11932"/>
      <c r="F107" s="11932">
        <v>0</v>
      </c>
      <c r="G107" s="11932">
        <f t="shared" si="5"/>
        <v>0</v>
      </c>
      <c r="H107" s="11199"/>
      <c r="I107" s="10393"/>
      <c r="J107" s="9413"/>
      <c r="K107" s="11821"/>
      <c r="L107" s="7823"/>
      <c r="M107" s="10243"/>
      <c r="N107" s="8083"/>
    </row>
    <row r="108" spans="1:14" ht="15" hidden="1" customHeight="1">
      <c r="A108" s="11577"/>
      <c r="B108" s="11994" t="s">
        <v>10683</v>
      </c>
      <c r="C108" s="11994"/>
      <c r="D108" s="10141"/>
      <c r="E108" s="11932"/>
      <c r="F108" s="11932">
        <v>0</v>
      </c>
      <c r="G108" s="11932">
        <f t="shared" si="5"/>
        <v>0</v>
      </c>
      <c r="H108" s="11199"/>
      <c r="I108" s="10393"/>
      <c r="J108" s="9413"/>
      <c r="K108" s="11821"/>
      <c r="L108" s="7823"/>
      <c r="M108" s="10243"/>
      <c r="N108" s="8083"/>
    </row>
    <row r="109" spans="1:14" ht="15" hidden="1" customHeight="1">
      <c r="A109" s="11577"/>
      <c r="B109" s="11994" t="s">
        <v>10684</v>
      </c>
      <c r="C109" s="11994"/>
      <c r="D109" s="10141"/>
      <c r="E109" s="11932"/>
      <c r="F109" s="11932">
        <v>0</v>
      </c>
      <c r="G109" s="11932">
        <f t="shared" si="5"/>
        <v>0</v>
      </c>
      <c r="H109" s="11199"/>
      <c r="I109" s="10393"/>
      <c r="J109" s="9413"/>
      <c r="K109" s="11821"/>
      <c r="L109" s="7823"/>
      <c r="M109" s="10243"/>
      <c r="N109" s="8083"/>
    </row>
    <row r="110" spans="1:14" ht="15" hidden="1" customHeight="1">
      <c r="A110" s="11577"/>
      <c r="B110" s="11994" t="s">
        <v>10685</v>
      </c>
      <c r="C110" s="11994"/>
      <c r="D110" s="10141"/>
      <c r="E110" s="11932"/>
      <c r="F110" s="11932">
        <v>0</v>
      </c>
      <c r="G110" s="11932">
        <f t="shared" si="5"/>
        <v>0</v>
      </c>
      <c r="H110" s="11199"/>
      <c r="I110" s="10393"/>
      <c r="J110" s="9413"/>
      <c r="K110" s="11821"/>
      <c r="L110" s="7823"/>
      <c r="M110" s="10243"/>
      <c r="N110" s="8083"/>
    </row>
    <row r="111" spans="1:14" ht="15" hidden="1" customHeight="1">
      <c r="A111" s="11577"/>
      <c r="B111" s="11994" t="s">
        <v>11099</v>
      </c>
      <c r="C111" s="11994"/>
      <c r="D111" s="10141"/>
      <c r="E111" s="11932"/>
      <c r="F111" s="11932"/>
      <c r="G111" s="11932"/>
      <c r="H111" s="11199"/>
      <c r="I111" s="10393"/>
      <c r="J111" s="9413"/>
      <c r="K111" s="11821"/>
      <c r="L111" s="7823"/>
      <c r="M111" s="10243"/>
      <c r="N111" s="8083"/>
    </row>
    <row r="112" spans="1:14" ht="15" customHeight="1">
      <c r="A112" s="11577"/>
      <c r="B112" s="11989" t="s">
        <v>10686</v>
      </c>
      <c r="C112" s="11989"/>
      <c r="D112" s="10141">
        <v>89923</v>
      </c>
      <c r="E112" s="11932">
        <v>0</v>
      </c>
      <c r="F112" s="11932">
        <v>0</v>
      </c>
      <c r="G112" s="11932">
        <f>H112-F112</f>
        <v>1438800</v>
      </c>
      <c r="H112" s="11199">
        <f>1888800+50000-500000</f>
        <v>1438800</v>
      </c>
      <c r="I112" s="10393">
        <v>198875</v>
      </c>
      <c r="J112" s="11163">
        <f>I112/H112</f>
        <v>0.13822282457603557</v>
      </c>
      <c r="K112" s="11821">
        <v>2265000</v>
      </c>
      <c r="L112" s="7823"/>
      <c r="M112" s="10243"/>
      <c r="N112" s="8083"/>
    </row>
    <row r="113" spans="1:14" ht="15" hidden="1" customHeight="1">
      <c r="A113" s="11577"/>
      <c r="B113" s="11961" t="s">
        <v>10687</v>
      </c>
      <c r="C113" s="11960">
        <v>300000</v>
      </c>
      <c r="D113" s="10141"/>
      <c r="E113" s="11932"/>
      <c r="F113" s="11932"/>
      <c r="G113" s="11932"/>
      <c r="H113" s="11199"/>
      <c r="I113" s="10393"/>
      <c r="J113" s="11163"/>
      <c r="K113" s="11821"/>
      <c r="L113" s="7823">
        <f>SUM(C113:C125)</f>
        <v>2265000</v>
      </c>
      <c r="M113" s="10243"/>
      <c r="N113" s="8083"/>
    </row>
    <row r="114" spans="1:14" ht="15" hidden="1" customHeight="1">
      <c r="A114" s="11577"/>
      <c r="B114" s="11997" t="s">
        <v>11864</v>
      </c>
      <c r="C114" s="11992"/>
      <c r="D114" s="10141"/>
      <c r="E114" s="11932"/>
      <c r="F114" s="11932"/>
      <c r="G114" s="11932"/>
      <c r="H114" s="11199"/>
      <c r="I114" s="10393"/>
      <c r="J114" s="11163"/>
      <c r="K114" s="11821"/>
      <c r="L114" s="7823"/>
      <c r="M114" s="10243"/>
      <c r="N114" s="8083"/>
    </row>
    <row r="115" spans="1:14" ht="15" hidden="1" customHeight="1">
      <c r="A115" s="11577"/>
      <c r="B115" s="11961" t="s">
        <v>11859</v>
      </c>
      <c r="C115" s="11960">
        <v>20000</v>
      </c>
      <c r="D115" s="10141"/>
      <c r="E115" s="11932"/>
      <c r="F115" s="11932"/>
      <c r="G115" s="11932"/>
      <c r="H115" s="11199"/>
      <c r="I115" s="10393"/>
      <c r="J115" s="11163"/>
      <c r="K115" s="11821"/>
      <c r="L115" s="7823"/>
      <c r="M115" s="10243"/>
      <c r="N115" s="8083"/>
    </row>
    <row r="116" spans="1:14" ht="15" hidden="1" customHeight="1">
      <c r="A116" s="11577"/>
      <c r="B116" s="11962" t="s">
        <v>11865</v>
      </c>
      <c r="C116" s="11966">
        <v>500000</v>
      </c>
      <c r="D116" s="10141"/>
      <c r="E116" s="11932"/>
      <c r="F116" s="11932"/>
      <c r="G116" s="11932"/>
      <c r="H116" s="11199"/>
      <c r="I116" s="10393"/>
      <c r="J116" s="11163"/>
      <c r="K116" s="11821"/>
      <c r="L116" s="7823"/>
      <c r="M116" s="10243"/>
      <c r="N116" s="8083"/>
    </row>
    <row r="117" spans="1:14" ht="15" hidden="1" customHeight="1">
      <c r="A117" s="11577"/>
      <c r="B117" s="11997" t="s">
        <v>11866</v>
      </c>
      <c r="C117" s="11992">
        <v>300000</v>
      </c>
      <c r="D117" s="10141"/>
      <c r="E117" s="11932"/>
      <c r="F117" s="11932"/>
      <c r="G117" s="11932"/>
      <c r="H117" s="11199"/>
      <c r="I117" s="10393"/>
      <c r="J117" s="11163"/>
      <c r="K117" s="11821"/>
      <c r="L117" s="7823"/>
      <c r="M117" s="10243"/>
      <c r="N117" s="8083"/>
    </row>
    <row r="118" spans="1:14" ht="15" hidden="1" customHeight="1">
      <c r="A118" s="11577"/>
      <c r="B118" s="11997" t="s">
        <v>9958</v>
      </c>
      <c r="C118" s="11992">
        <v>100000</v>
      </c>
      <c r="D118" s="10141"/>
      <c r="E118" s="11932"/>
      <c r="F118" s="11932"/>
      <c r="G118" s="11932"/>
      <c r="H118" s="11199"/>
      <c r="I118" s="10393"/>
      <c r="J118" s="11163"/>
      <c r="K118" s="11821"/>
      <c r="L118" s="7823"/>
      <c r="M118" s="10243"/>
      <c r="N118" s="8083"/>
    </row>
    <row r="119" spans="1:14" ht="15" hidden="1" customHeight="1">
      <c r="A119" s="11577"/>
      <c r="B119" s="11961" t="s">
        <v>554</v>
      </c>
      <c r="C119" s="11960">
        <v>90000</v>
      </c>
      <c r="D119" s="10141"/>
      <c r="E119" s="11932"/>
      <c r="F119" s="11932"/>
      <c r="G119" s="11932"/>
      <c r="H119" s="11199"/>
      <c r="I119" s="10393"/>
      <c r="J119" s="11163"/>
      <c r="K119" s="11821"/>
      <c r="L119" s="7823"/>
      <c r="M119" s="10243"/>
      <c r="N119" s="8083"/>
    </row>
    <row r="120" spans="1:14" ht="15" hidden="1" customHeight="1">
      <c r="A120" s="11577"/>
      <c r="B120" s="11962" t="s">
        <v>11867</v>
      </c>
      <c r="C120" s="11967">
        <v>175000</v>
      </c>
      <c r="D120" s="10141"/>
      <c r="E120" s="11932"/>
      <c r="F120" s="11932"/>
      <c r="G120" s="11932"/>
      <c r="H120" s="11199"/>
      <c r="I120" s="10393"/>
      <c r="J120" s="11163"/>
      <c r="K120" s="11821"/>
      <c r="L120" s="7823"/>
      <c r="M120" s="10243"/>
      <c r="N120" s="8083"/>
    </row>
    <row r="121" spans="1:14" ht="15" hidden="1" customHeight="1">
      <c r="A121" s="11577"/>
      <c r="B121" s="11968" t="s">
        <v>11777</v>
      </c>
      <c r="C121" s="11967">
        <v>30000</v>
      </c>
      <c r="D121" s="10141"/>
      <c r="E121" s="11932"/>
      <c r="F121" s="11932"/>
      <c r="G121" s="11932"/>
      <c r="H121" s="11199"/>
      <c r="I121" s="10393"/>
      <c r="J121" s="11163"/>
      <c r="K121" s="11821"/>
      <c r="L121" s="7823"/>
      <c r="M121" s="10243"/>
      <c r="N121" s="8083"/>
    </row>
    <row r="122" spans="1:14" ht="15" hidden="1" customHeight="1">
      <c r="A122" s="11577"/>
      <c r="B122" s="11968" t="s">
        <v>11863</v>
      </c>
      <c r="C122" s="11967">
        <v>50000</v>
      </c>
      <c r="D122" s="10141"/>
      <c r="E122" s="11932"/>
      <c r="F122" s="11932"/>
      <c r="G122" s="11932"/>
      <c r="H122" s="11199"/>
      <c r="I122" s="10393"/>
      <c r="J122" s="11163"/>
      <c r="K122" s="11821"/>
      <c r="L122" s="7823"/>
      <c r="M122" s="10243"/>
      <c r="N122" s="8083"/>
    </row>
    <row r="123" spans="1:14" ht="15" hidden="1" customHeight="1">
      <c r="A123" s="11577"/>
      <c r="B123" s="11962" t="s">
        <v>11868</v>
      </c>
      <c r="C123" s="11969">
        <v>400000</v>
      </c>
      <c r="D123" s="10141"/>
      <c r="E123" s="11932"/>
      <c r="F123" s="11932"/>
      <c r="G123" s="11932"/>
      <c r="H123" s="11199"/>
      <c r="I123" s="10393"/>
      <c r="J123" s="11163"/>
      <c r="K123" s="11821"/>
      <c r="L123" s="7823"/>
      <c r="M123" s="10243"/>
      <c r="N123" s="8083"/>
    </row>
    <row r="124" spans="1:14" ht="15" hidden="1" customHeight="1">
      <c r="A124" s="11577"/>
      <c r="B124" s="11962" t="s">
        <v>11869</v>
      </c>
      <c r="C124" s="11967"/>
      <c r="D124" s="10141"/>
      <c r="E124" s="11932"/>
      <c r="F124" s="11932"/>
      <c r="G124" s="11932"/>
      <c r="H124" s="11199"/>
      <c r="I124" s="10393"/>
      <c r="J124" s="11163"/>
      <c r="K124" s="11821"/>
      <c r="L124" s="7823"/>
      <c r="M124" s="10243"/>
      <c r="N124" s="8083"/>
    </row>
    <row r="125" spans="1:14" ht="15" hidden="1" customHeight="1">
      <c r="A125" s="11577"/>
      <c r="B125" s="11970" t="s">
        <v>11870</v>
      </c>
      <c r="C125" s="11971">
        <v>300000</v>
      </c>
      <c r="D125" s="10141"/>
      <c r="E125" s="11932"/>
      <c r="F125" s="11932">
        <v>0</v>
      </c>
      <c r="G125" s="11932">
        <f>H125-F125</f>
        <v>0</v>
      </c>
      <c r="H125" s="11199"/>
      <c r="I125" s="10393"/>
      <c r="J125" s="9413"/>
      <c r="K125" s="11821"/>
      <c r="L125" s="7823"/>
      <c r="M125" s="10243"/>
      <c r="N125" s="8083"/>
    </row>
    <row r="126" spans="1:14" ht="15" hidden="1" customHeight="1">
      <c r="A126" s="11577"/>
      <c r="B126" s="11994"/>
      <c r="C126" s="11994"/>
      <c r="D126" s="10141"/>
      <c r="E126" s="11932"/>
      <c r="F126" s="11932"/>
      <c r="G126" s="11932"/>
      <c r="H126" s="11199"/>
      <c r="I126" s="10393"/>
      <c r="J126" s="9413"/>
      <c r="K126" s="11821"/>
      <c r="L126" s="7823"/>
      <c r="M126" s="10243"/>
      <c r="N126" s="8083"/>
    </row>
    <row r="127" spans="1:14" ht="15" hidden="1" customHeight="1">
      <c r="A127" s="11577"/>
      <c r="B127" s="11994"/>
      <c r="C127" s="11994"/>
      <c r="D127" s="10141"/>
      <c r="E127" s="11932"/>
      <c r="F127" s="11932"/>
      <c r="G127" s="11932"/>
      <c r="H127" s="11199"/>
      <c r="I127" s="10393"/>
      <c r="J127" s="9413"/>
      <c r="K127" s="11821"/>
      <c r="L127" s="7823"/>
      <c r="M127" s="10243"/>
      <c r="N127" s="8083"/>
    </row>
    <row r="128" spans="1:14" ht="15" hidden="1" customHeight="1">
      <c r="A128" s="11577"/>
      <c r="B128" s="11994"/>
      <c r="C128" s="11994"/>
      <c r="D128" s="10141"/>
      <c r="E128" s="11932"/>
      <c r="F128" s="11932"/>
      <c r="G128" s="11932"/>
      <c r="H128" s="11199"/>
      <c r="I128" s="10393"/>
      <c r="J128" s="9413"/>
      <c r="K128" s="11821"/>
      <c r="L128" s="7823"/>
      <c r="M128" s="10243"/>
      <c r="N128" s="8083"/>
    </row>
    <row r="129" spans="1:14" ht="15" hidden="1" customHeight="1">
      <c r="A129" s="11577"/>
      <c r="B129" s="11994"/>
      <c r="C129" s="11994"/>
      <c r="D129" s="10141"/>
      <c r="E129" s="11932"/>
      <c r="F129" s="11932"/>
      <c r="G129" s="11932"/>
      <c r="H129" s="11199"/>
      <c r="I129" s="10393"/>
      <c r="J129" s="9413"/>
      <c r="K129" s="11821"/>
      <c r="L129" s="7823"/>
      <c r="M129" s="10243"/>
      <c r="N129" s="8083"/>
    </row>
    <row r="130" spans="1:14" ht="15" hidden="1" customHeight="1">
      <c r="A130" s="11577"/>
      <c r="B130" s="11994" t="s">
        <v>11244</v>
      </c>
      <c r="C130" s="11994"/>
      <c r="D130" s="10141"/>
      <c r="E130" s="11932"/>
      <c r="F130" s="11932">
        <v>0</v>
      </c>
      <c r="G130" s="11932">
        <f>H130-F130</f>
        <v>0</v>
      </c>
      <c r="H130" s="11199"/>
      <c r="I130" s="10393"/>
      <c r="J130" s="9413"/>
      <c r="K130" s="11821"/>
      <c r="L130" s="7823"/>
      <c r="M130" s="10243"/>
      <c r="N130" s="8083"/>
    </row>
    <row r="131" spans="1:14" ht="15" hidden="1" customHeight="1">
      <c r="A131" s="11577"/>
      <c r="B131" s="11994" t="s">
        <v>11100</v>
      </c>
      <c r="C131" s="11994"/>
      <c r="D131" s="10141"/>
      <c r="E131" s="11932"/>
      <c r="F131" s="11932"/>
      <c r="G131" s="11932"/>
      <c r="H131" s="11199"/>
      <c r="I131" s="10393"/>
      <c r="J131" s="9413"/>
      <c r="K131" s="11821"/>
      <c r="L131" s="7823"/>
      <c r="M131" s="10243"/>
      <c r="N131" s="8083"/>
    </row>
    <row r="132" spans="1:14" ht="15" hidden="1" customHeight="1">
      <c r="A132" s="11577"/>
      <c r="B132" s="11994" t="s">
        <v>11101</v>
      </c>
      <c r="C132" s="11994"/>
      <c r="D132" s="10141"/>
      <c r="E132" s="11932"/>
      <c r="F132" s="11932"/>
      <c r="G132" s="11932"/>
      <c r="H132" s="11199"/>
      <c r="I132" s="10393"/>
      <c r="J132" s="9413"/>
      <c r="K132" s="11821"/>
      <c r="L132" s="7823"/>
      <c r="M132" s="10243"/>
      <c r="N132" s="8083"/>
    </row>
    <row r="133" spans="1:14" ht="15" hidden="1" customHeight="1">
      <c r="A133" s="11577"/>
      <c r="B133" s="11994" t="s">
        <v>11102</v>
      </c>
      <c r="C133" s="11994"/>
      <c r="D133" s="10141"/>
      <c r="E133" s="11932"/>
      <c r="F133" s="11932"/>
      <c r="G133" s="11932"/>
      <c r="H133" s="11199"/>
      <c r="I133" s="10393"/>
      <c r="J133" s="9413"/>
      <c r="K133" s="11821"/>
      <c r="L133" s="7823"/>
      <c r="M133" s="10243"/>
      <c r="N133" s="8083"/>
    </row>
    <row r="134" spans="1:14" ht="15" hidden="1" customHeight="1">
      <c r="A134" s="11577"/>
      <c r="B134" s="11994" t="s">
        <v>11103</v>
      </c>
      <c r="C134" s="11994"/>
      <c r="D134" s="10141"/>
      <c r="E134" s="11932"/>
      <c r="F134" s="11932"/>
      <c r="G134" s="11932"/>
      <c r="H134" s="11199"/>
      <c r="I134" s="10393"/>
      <c r="J134" s="9413"/>
      <c r="K134" s="11821"/>
      <c r="L134" s="7823"/>
      <c r="M134" s="10243"/>
      <c r="N134" s="8083"/>
    </row>
    <row r="135" spans="1:14" ht="15" hidden="1" customHeight="1">
      <c r="A135" s="11577"/>
      <c r="B135" s="11994" t="s">
        <v>11104</v>
      </c>
      <c r="C135" s="11994"/>
      <c r="D135" s="10141"/>
      <c r="E135" s="11932"/>
      <c r="F135" s="11932"/>
      <c r="G135" s="11932"/>
      <c r="H135" s="11199"/>
      <c r="I135" s="10393"/>
      <c r="J135" s="9413"/>
      <c r="K135" s="11821"/>
      <c r="L135" s="7823"/>
      <c r="M135" s="10243"/>
      <c r="N135" s="8083"/>
    </row>
    <row r="136" spans="1:14" ht="15" hidden="1" customHeight="1">
      <c r="A136" s="11577"/>
      <c r="B136" s="11993" t="s">
        <v>10688</v>
      </c>
      <c r="C136" s="11993"/>
      <c r="D136" s="10141"/>
      <c r="E136" s="11932"/>
      <c r="F136" s="11932">
        <v>0</v>
      </c>
      <c r="G136" s="11932">
        <f>H136-F136</f>
        <v>0</v>
      </c>
      <c r="H136" s="11199"/>
      <c r="I136" s="10393"/>
      <c r="J136" s="9413"/>
      <c r="K136" s="11821"/>
      <c r="L136" s="7823"/>
      <c r="M136" s="10243"/>
      <c r="N136" s="8083"/>
    </row>
    <row r="137" spans="1:14" ht="15" customHeight="1">
      <c r="A137" s="11577"/>
      <c r="B137" s="11989" t="s">
        <v>11857</v>
      </c>
      <c r="C137" s="11993"/>
      <c r="D137" s="10141"/>
      <c r="E137" s="11932"/>
      <c r="F137" s="11932"/>
      <c r="G137" s="11932"/>
      <c r="H137" s="11199"/>
      <c r="I137" s="10393"/>
      <c r="J137" s="9413"/>
      <c r="K137" s="11821">
        <v>900000</v>
      </c>
      <c r="L137" s="7823"/>
      <c r="M137" s="10243"/>
      <c r="N137" s="8083"/>
    </row>
    <row r="138" spans="1:14" ht="15" hidden="1" customHeight="1">
      <c r="A138" s="11577"/>
      <c r="B138" s="11962" t="s">
        <v>9958</v>
      </c>
      <c r="C138" s="11972">
        <v>200000</v>
      </c>
      <c r="D138" s="10141"/>
      <c r="E138" s="11932"/>
      <c r="F138" s="11932"/>
      <c r="G138" s="11932"/>
      <c r="H138" s="11199"/>
      <c r="I138" s="10393"/>
      <c r="J138" s="9413"/>
      <c r="K138" s="11821"/>
      <c r="L138" s="7823"/>
      <c r="M138" s="10243"/>
      <c r="N138" s="8083"/>
    </row>
    <row r="139" spans="1:14" ht="15" hidden="1" customHeight="1">
      <c r="A139" s="11577"/>
      <c r="B139" s="11962" t="s">
        <v>11867</v>
      </c>
      <c r="C139" s="11972">
        <v>400000</v>
      </c>
      <c r="D139" s="10141"/>
      <c r="E139" s="11932"/>
      <c r="F139" s="11932"/>
      <c r="G139" s="11932"/>
      <c r="H139" s="11199"/>
      <c r="I139" s="10393"/>
      <c r="J139" s="9413"/>
      <c r="K139" s="11821"/>
      <c r="L139" s="7823"/>
      <c r="M139" s="10243"/>
      <c r="N139" s="8083"/>
    </row>
    <row r="140" spans="1:14" ht="15" hidden="1" customHeight="1">
      <c r="A140" s="11577"/>
      <c r="B140" s="11962" t="s">
        <v>3349</v>
      </c>
      <c r="C140" s="11972">
        <v>300000</v>
      </c>
      <c r="D140" s="10141"/>
      <c r="E140" s="11932"/>
      <c r="F140" s="11932"/>
      <c r="G140" s="11932"/>
      <c r="H140" s="11199"/>
      <c r="I140" s="10393"/>
      <c r="J140" s="9413"/>
      <c r="K140" s="11821"/>
      <c r="L140" s="7823"/>
      <c r="M140" s="10243"/>
      <c r="N140" s="8083"/>
    </row>
    <row r="141" spans="1:14" ht="15" customHeight="1">
      <c r="A141" s="11577"/>
      <c r="B141" s="11999"/>
      <c r="C141" s="12000"/>
      <c r="D141" s="10141"/>
      <c r="E141" s="11932"/>
      <c r="F141" s="11932"/>
      <c r="G141" s="11932"/>
      <c r="H141" s="7483"/>
      <c r="I141" s="10393"/>
      <c r="J141" s="9413"/>
      <c r="K141" s="11821"/>
      <c r="L141" s="7823"/>
      <c r="M141" s="10243"/>
      <c r="N141" s="8083"/>
    </row>
    <row r="142" spans="1:14" ht="15" customHeight="1">
      <c r="A142" s="11577"/>
      <c r="B142" s="11999"/>
      <c r="C142" s="12000"/>
      <c r="D142" s="10141"/>
      <c r="E142" s="11932"/>
      <c r="F142" s="11932"/>
      <c r="G142" s="11932"/>
      <c r="H142" s="7483"/>
      <c r="I142" s="10393"/>
      <c r="J142" s="9413"/>
      <c r="K142" s="11821"/>
      <c r="L142" s="7823"/>
      <c r="M142" s="10243"/>
      <c r="N142" s="8083"/>
    </row>
    <row r="143" spans="1:14" ht="15" customHeight="1">
      <c r="A143" s="11577"/>
      <c r="B143" s="11999"/>
      <c r="C143" s="12000"/>
      <c r="D143" s="10141"/>
      <c r="E143" s="11932"/>
      <c r="F143" s="11932"/>
      <c r="G143" s="11932"/>
      <c r="H143" s="7483"/>
      <c r="I143" s="10393"/>
      <c r="J143" s="9413"/>
      <c r="K143" s="11821"/>
      <c r="L143" s="7823"/>
      <c r="M143" s="10243"/>
      <c r="N143" s="8083"/>
    </row>
    <row r="144" spans="1:14" s="7811" customFormat="1" ht="15" customHeight="1">
      <c r="A144" s="11642"/>
      <c r="B144" s="11643" t="s">
        <v>4680</v>
      </c>
      <c r="C144" s="11643"/>
      <c r="D144" s="11616"/>
      <c r="E144" s="9540">
        <f t="shared" ref="E144:H144" si="6">SUM(E83:E137)</f>
        <v>472325.30999999994</v>
      </c>
      <c r="F144" s="9540">
        <f t="shared" si="6"/>
        <v>428268.24</v>
      </c>
      <c r="G144" s="9540">
        <f t="shared" si="6"/>
        <v>3060531.76</v>
      </c>
      <c r="H144" s="11619">
        <f t="shared" si="6"/>
        <v>3488800</v>
      </c>
      <c r="I144" s="9540"/>
      <c r="J144" s="9466"/>
      <c r="K144" s="11644">
        <f>SUM(K83:K137)</f>
        <v>7875000</v>
      </c>
      <c r="L144" s="10372">
        <f>(K144-H144)/H144</f>
        <v>1.257223113964687</v>
      </c>
      <c r="M144" s="10242"/>
    </row>
    <row r="145" spans="1:13" s="7811" customFormat="1" ht="15" customHeight="1">
      <c r="A145" s="11645"/>
      <c r="B145" s="11646"/>
      <c r="C145" s="11646"/>
      <c r="D145" s="11648"/>
      <c r="E145" s="11950"/>
      <c r="F145" s="11950"/>
      <c r="G145" s="11950"/>
      <c r="H145" s="11956"/>
      <c r="I145" s="11950"/>
      <c r="J145" s="11951"/>
      <c r="K145" s="11952"/>
      <c r="M145" s="10242"/>
    </row>
    <row r="146" spans="1:13" ht="15" customHeight="1" thickBot="1">
      <c r="A146" s="11649"/>
      <c r="B146" s="11650" t="s">
        <v>55</v>
      </c>
      <c r="C146" s="11650"/>
      <c r="D146" s="11652"/>
      <c r="E146" s="11585">
        <f>(E29+E66+E144+E73)</f>
        <v>2697103.81</v>
      </c>
      <c r="F146" s="11585">
        <f>SUM(F66+F73+F144+F29)</f>
        <v>1801715.67</v>
      </c>
      <c r="G146" s="11585">
        <f>SUM(G66+G73+G144+G29)</f>
        <v>7910791.3300000001</v>
      </c>
      <c r="H146" s="11586">
        <f>SUM(H66+H73+H144+H29)</f>
        <v>9712507</v>
      </c>
      <c r="I146" s="11585"/>
      <c r="J146" s="11449"/>
      <c r="K146" s="11959">
        <f>SUM(K66+K73+K144+K29)</f>
        <v>15869864.475</v>
      </c>
      <c r="L146" s="10372">
        <f>(K146-H146)/H146</f>
        <v>0.63396170267882423</v>
      </c>
    </row>
    <row r="147" spans="1:13" s="7333" customFormat="1" ht="15" customHeight="1">
      <c r="A147" s="7812" t="s">
        <v>4763</v>
      </c>
      <c r="B147" s="7812"/>
      <c r="C147" s="7812"/>
      <c r="D147" s="7813"/>
      <c r="E147" s="7812"/>
      <c r="F147" s="7812"/>
      <c r="G147" s="7812"/>
      <c r="J147" s="7816"/>
      <c r="M147" s="7842"/>
    </row>
    <row r="148" spans="1:13" s="7333" customFormat="1" ht="15" customHeight="1">
      <c r="A148" s="7812"/>
      <c r="B148" s="7812"/>
      <c r="C148" s="7812"/>
      <c r="D148" s="7813"/>
      <c r="E148" s="7812"/>
      <c r="F148" s="7812"/>
      <c r="G148" s="7812"/>
      <c r="J148" s="7816"/>
      <c r="M148" s="7842"/>
    </row>
    <row r="149" spans="1:13" ht="15" hidden="1" customHeight="1">
      <c r="A149" s="7761" t="s">
        <v>3483</v>
      </c>
      <c r="B149" s="7761"/>
      <c r="C149" s="7761"/>
      <c r="D149" s="10870" t="s">
        <v>3484</v>
      </c>
      <c r="F149" s="7761"/>
      <c r="G149" s="7337" t="s">
        <v>10666</v>
      </c>
      <c r="I149" s="7337" t="s">
        <v>10666</v>
      </c>
      <c r="J149" s="7337"/>
      <c r="K149" s="7337"/>
    </row>
    <row r="150" spans="1:13" s="7811" customFormat="1" ht="15" hidden="1" customHeight="1">
      <c r="A150" s="7761"/>
      <c r="B150" s="7761"/>
      <c r="C150" s="7761"/>
      <c r="D150" s="10242"/>
      <c r="E150" s="10870"/>
      <c r="F150" s="7761"/>
      <c r="G150" s="7761"/>
      <c r="H150" s="7339"/>
      <c r="I150" s="7339"/>
      <c r="J150" s="7339"/>
      <c r="K150" s="7339"/>
      <c r="M150" s="10242"/>
    </row>
    <row r="151" spans="1:13" s="7811" customFormat="1" ht="15" hidden="1" customHeight="1">
      <c r="A151" s="7761"/>
      <c r="B151" s="7761"/>
      <c r="C151" s="7761"/>
      <c r="D151" s="10242"/>
      <c r="E151" s="10870"/>
      <c r="F151" s="7761"/>
      <c r="G151" s="7761"/>
      <c r="H151" s="7339"/>
      <c r="I151" s="7339"/>
      <c r="J151" s="7339"/>
      <c r="K151" s="7339"/>
      <c r="M151" s="10242"/>
    </row>
    <row r="152" spans="1:13" ht="15" hidden="1" customHeight="1">
      <c r="A152" s="7761"/>
      <c r="B152" s="7761"/>
      <c r="C152" s="7761"/>
      <c r="E152" s="10870"/>
      <c r="F152" s="7761"/>
      <c r="G152" s="7761"/>
      <c r="H152" s="7339"/>
      <c r="I152" s="7339"/>
      <c r="J152" s="7339"/>
      <c r="K152" s="7339"/>
    </row>
    <row r="153" spans="1:13" ht="15" hidden="1" customHeight="1">
      <c r="B153" s="9496" t="s">
        <v>11281</v>
      </c>
      <c r="C153" s="9496"/>
      <c r="E153" s="9604" t="s">
        <v>12059</v>
      </c>
      <c r="F153" s="7765"/>
      <c r="G153" s="7765"/>
      <c r="H153" s="7342" t="s">
        <v>10667</v>
      </c>
      <c r="I153" s="7342" t="s">
        <v>9154</v>
      </c>
      <c r="J153" s="7342"/>
      <c r="K153" s="7342"/>
    </row>
    <row r="154" spans="1:13" ht="15" hidden="1" customHeight="1">
      <c r="B154" s="10878" t="s">
        <v>10790</v>
      </c>
      <c r="C154" s="10878"/>
      <c r="E154" s="7821" t="s">
        <v>10347</v>
      </c>
      <c r="F154" s="7821"/>
      <c r="G154" s="7821"/>
      <c r="H154" s="7344" t="s">
        <v>10668</v>
      </c>
      <c r="I154" s="7344" t="s">
        <v>10665</v>
      </c>
      <c r="J154" s="7344"/>
      <c r="K154" s="7344"/>
    </row>
    <row r="156" spans="1:13" ht="15" customHeight="1">
      <c r="I156" s="7823">
        <f>K146-H146</f>
        <v>6157357.4749999996</v>
      </c>
      <c r="J156" s="7348">
        <f>I156/H146</f>
        <v>0.63396170267882423</v>
      </c>
    </row>
  </sheetData>
  <mergeCells count="11">
    <mergeCell ref="A1:K1"/>
    <mergeCell ref="D7:D8"/>
    <mergeCell ref="D81:D82"/>
    <mergeCell ref="F6:H6"/>
    <mergeCell ref="H7:H8"/>
    <mergeCell ref="F80:H80"/>
    <mergeCell ref="H81:H82"/>
    <mergeCell ref="F39:H39"/>
    <mergeCell ref="D40:D41"/>
    <mergeCell ref="H40:H41"/>
    <mergeCell ref="K3:K4"/>
  </mergeCells>
  <printOptions horizontalCentered="1" gridLinesSet="0"/>
  <pageMargins left="0.25" right="0.25" top="0.5" bottom="0.25" header="0.25" footer="0.25"/>
  <pageSetup paperSize="119" firstPageNumber="36" orientation="landscape" useFirstPageNumber="1" verticalDpi="300" r:id="rId1"/>
  <headerFooter alignWithMargins="0"/>
</worksheet>
</file>

<file path=xl/worksheets/sheet62.xml><?xml version="1.0" encoding="utf-8"?>
<worksheet xmlns="http://schemas.openxmlformats.org/spreadsheetml/2006/main" xmlns:r="http://schemas.openxmlformats.org/officeDocument/2006/relationships">
  <sheetPr codeName="Sheet218">
    <tabColor rgb="FFFFFF00"/>
  </sheetPr>
  <dimension ref="A1:J60"/>
  <sheetViews>
    <sheetView workbookViewId="0">
      <selection activeCell="G2" sqref="G1:P1048576"/>
    </sheetView>
  </sheetViews>
  <sheetFormatPr defaultRowHeight="12.9" customHeight="1"/>
  <cols>
    <col min="1" max="1" width="40.5546875" style="7001" customWidth="1"/>
    <col min="2" max="3" width="8.5546875" style="7001" customWidth="1"/>
    <col min="4" max="4" width="27.109375" style="7001" hidden="1" customWidth="1"/>
    <col min="5" max="7" width="14.5546875" style="7001" customWidth="1"/>
    <col min="8" max="9" width="8.88671875" style="7001" customWidth="1"/>
    <col min="10" max="10" width="12.44140625" style="7001" customWidth="1"/>
    <col min="11" max="15" width="8.88671875" style="7001" customWidth="1"/>
    <col min="16" max="256" width="9.109375" style="7001"/>
    <col min="257" max="257" width="33.44140625" style="7001" customWidth="1"/>
    <col min="258" max="258" width="7.44140625" style="7001" customWidth="1"/>
    <col min="259" max="259" width="7" style="7001" customWidth="1"/>
    <col min="260" max="260" width="0" style="7001" hidden="1" customWidth="1"/>
    <col min="261" max="261" width="10.109375" style="7001" customWidth="1"/>
    <col min="262" max="262" width="14.44140625" style="7001" customWidth="1"/>
    <col min="263" max="263" width="17.109375" style="7001" customWidth="1"/>
    <col min="264" max="512" width="9.109375" style="7001"/>
    <col min="513" max="513" width="33.44140625" style="7001" customWidth="1"/>
    <col min="514" max="514" width="7.44140625" style="7001" customWidth="1"/>
    <col min="515" max="515" width="7" style="7001" customWidth="1"/>
    <col min="516" max="516" width="0" style="7001" hidden="1" customWidth="1"/>
    <col min="517" max="517" width="10.109375" style="7001" customWidth="1"/>
    <col min="518" max="518" width="14.44140625" style="7001" customWidth="1"/>
    <col min="519" max="519" width="17.109375" style="7001" customWidth="1"/>
    <col min="520" max="768" width="9.109375" style="7001"/>
    <col min="769" max="769" width="33.44140625" style="7001" customWidth="1"/>
    <col min="770" max="770" width="7.44140625" style="7001" customWidth="1"/>
    <col min="771" max="771" width="7" style="7001" customWidth="1"/>
    <col min="772" max="772" width="0" style="7001" hidden="1" customWidth="1"/>
    <col min="773" max="773" width="10.109375" style="7001" customWidth="1"/>
    <col min="774" max="774" width="14.44140625" style="7001" customWidth="1"/>
    <col min="775" max="775" width="17.109375" style="7001" customWidth="1"/>
    <col min="776" max="1024" width="9.109375" style="7001"/>
    <col min="1025" max="1025" width="33.44140625" style="7001" customWidth="1"/>
    <col min="1026" max="1026" width="7.44140625" style="7001" customWidth="1"/>
    <col min="1027" max="1027" width="7" style="7001" customWidth="1"/>
    <col min="1028" max="1028" width="0" style="7001" hidden="1" customWidth="1"/>
    <col min="1029" max="1029" width="10.109375" style="7001" customWidth="1"/>
    <col min="1030" max="1030" width="14.44140625" style="7001" customWidth="1"/>
    <col min="1031" max="1031" width="17.109375" style="7001" customWidth="1"/>
    <col min="1032" max="1280" width="9.109375" style="7001"/>
    <col min="1281" max="1281" width="33.44140625" style="7001" customWidth="1"/>
    <col min="1282" max="1282" width="7.44140625" style="7001" customWidth="1"/>
    <col min="1283" max="1283" width="7" style="7001" customWidth="1"/>
    <col min="1284" max="1284" width="0" style="7001" hidden="1" customWidth="1"/>
    <col min="1285" max="1285" width="10.109375" style="7001" customWidth="1"/>
    <col min="1286" max="1286" width="14.44140625" style="7001" customWidth="1"/>
    <col min="1287" max="1287" width="17.109375" style="7001" customWidth="1"/>
    <col min="1288" max="1536" width="9.109375" style="7001"/>
    <col min="1537" max="1537" width="33.44140625" style="7001" customWidth="1"/>
    <col min="1538" max="1538" width="7.44140625" style="7001" customWidth="1"/>
    <col min="1539" max="1539" width="7" style="7001" customWidth="1"/>
    <col min="1540" max="1540" width="0" style="7001" hidden="1" customWidth="1"/>
    <col min="1541" max="1541" width="10.109375" style="7001" customWidth="1"/>
    <col min="1542" max="1542" width="14.44140625" style="7001" customWidth="1"/>
    <col min="1543" max="1543" width="17.109375" style="7001" customWidth="1"/>
    <col min="1544" max="1792" width="9.109375" style="7001"/>
    <col min="1793" max="1793" width="33.44140625" style="7001" customWidth="1"/>
    <col min="1794" max="1794" width="7.44140625" style="7001" customWidth="1"/>
    <col min="1795" max="1795" width="7" style="7001" customWidth="1"/>
    <col min="1796" max="1796" width="0" style="7001" hidden="1" customWidth="1"/>
    <col min="1797" max="1797" width="10.109375" style="7001" customWidth="1"/>
    <col min="1798" max="1798" width="14.44140625" style="7001" customWidth="1"/>
    <col min="1799" max="1799" width="17.109375" style="7001" customWidth="1"/>
    <col min="1800" max="2048" width="9.109375" style="7001"/>
    <col min="2049" max="2049" width="33.44140625" style="7001" customWidth="1"/>
    <col min="2050" max="2050" width="7.44140625" style="7001" customWidth="1"/>
    <col min="2051" max="2051" width="7" style="7001" customWidth="1"/>
    <col min="2052" max="2052" width="0" style="7001" hidden="1" customWidth="1"/>
    <col min="2053" max="2053" width="10.109375" style="7001" customWidth="1"/>
    <col min="2054" max="2054" width="14.44140625" style="7001" customWidth="1"/>
    <col min="2055" max="2055" width="17.109375" style="7001" customWidth="1"/>
    <col min="2056" max="2304" width="9.109375" style="7001"/>
    <col min="2305" max="2305" width="33.44140625" style="7001" customWidth="1"/>
    <col min="2306" max="2306" width="7.44140625" style="7001" customWidth="1"/>
    <col min="2307" max="2307" width="7" style="7001" customWidth="1"/>
    <col min="2308" max="2308" width="0" style="7001" hidden="1" customWidth="1"/>
    <col min="2309" max="2309" width="10.109375" style="7001" customWidth="1"/>
    <col min="2310" max="2310" width="14.44140625" style="7001" customWidth="1"/>
    <col min="2311" max="2311" width="17.109375" style="7001" customWidth="1"/>
    <col min="2312" max="2560" width="9.109375" style="7001"/>
    <col min="2561" max="2561" width="33.44140625" style="7001" customWidth="1"/>
    <col min="2562" max="2562" width="7.44140625" style="7001" customWidth="1"/>
    <col min="2563" max="2563" width="7" style="7001" customWidth="1"/>
    <col min="2564" max="2564" width="0" style="7001" hidden="1" customWidth="1"/>
    <col min="2565" max="2565" width="10.109375" style="7001" customWidth="1"/>
    <col min="2566" max="2566" width="14.44140625" style="7001" customWidth="1"/>
    <col min="2567" max="2567" width="17.109375" style="7001" customWidth="1"/>
    <col min="2568" max="2816" width="9.109375" style="7001"/>
    <col min="2817" max="2817" width="33.44140625" style="7001" customWidth="1"/>
    <col min="2818" max="2818" width="7.44140625" style="7001" customWidth="1"/>
    <col min="2819" max="2819" width="7" style="7001" customWidth="1"/>
    <col min="2820" max="2820" width="0" style="7001" hidden="1" customWidth="1"/>
    <col min="2821" max="2821" width="10.109375" style="7001" customWidth="1"/>
    <col min="2822" max="2822" width="14.44140625" style="7001" customWidth="1"/>
    <col min="2823" max="2823" width="17.109375" style="7001" customWidth="1"/>
    <col min="2824" max="3072" width="9.109375" style="7001"/>
    <col min="3073" max="3073" width="33.44140625" style="7001" customWidth="1"/>
    <col min="3074" max="3074" width="7.44140625" style="7001" customWidth="1"/>
    <col min="3075" max="3075" width="7" style="7001" customWidth="1"/>
    <col min="3076" max="3076" width="0" style="7001" hidden="1" customWidth="1"/>
    <col min="3077" max="3077" width="10.109375" style="7001" customWidth="1"/>
    <col min="3078" max="3078" width="14.44140625" style="7001" customWidth="1"/>
    <col min="3079" max="3079" width="17.109375" style="7001" customWidth="1"/>
    <col min="3080" max="3328" width="9.109375" style="7001"/>
    <col min="3329" max="3329" width="33.44140625" style="7001" customWidth="1"/>
    <col min="3330" max="3330" width="7.44140625" style="7001" customWidth="1"/>
    <col min="3331" max="3331" width="7" style="7001" customWidth="1"/>
    <col min="3332" max="3332" width="0" style="7001" hidden="1" customWidth="1"/>
    <col min="3333" max="3333" width="10.109375" style="7001" customWidth="1"/>
    <col min="3334" max="3334" width="14.44140625" style="7001" customWidth="1"/>
    <col min="3335" max="3335" width="17.109375" style="7001" customWidth="1"/>
    <col min="3336" max="3584" width="9.109375" style="7001"/>
    <col min="3585" max="3585" width="33.44140625" style="7001" customWidth="1"/>
    <col min="3586" max="3586" width="7.44140625" style="7001" customWidth="1"/>
    <col min="3587" max="3587" width="7" style="7001" customWidth="1"/>
    <col min="3588" max="3588" width="0" style="7001" hidden="1" customWidth="1"/>
    <col min="3589" max="3589" width="10.109375" style="7001" customWidth="1"/>
    <col min="3590" max="3590" width="14.44140625" style="7001" customWidth="1"/>
    <col min="3591" max="3591" width="17.109375" style="7001" customWidth="1"/>
    <col min="3592" max="3840" width="9.109375" style="7001"/>
    <col min="3841" max="3841" width="33.44140625" style="7001" customWidth="1"/>
    <col min="3842" max="3842" width="7.44140625" style="7001" customWidth="1"/>
    <col min="3843" max="3843" width="7" style="7001" customWidth="1"/>
    <col min="3844" max="3844" width="0" style="7001" hidden="1" customWidth="1"/>
    <col min="3845" max="3845" width="10.109375" style="7001" customWidth="1"/>
    <col min="3846" max="3846" width="14.44140625" style="7001" customWidth="1"/>
    <col min="3847" max="3847" width="17.109375" style="7001" customWidth="1"/>
    <col min="3848" max="4096" width="9.109375" style="7001"/>
    <col min="4097" max="4097" width="33.44140625" style="7001" customWidth="1"/>
    <col min="4098" max="4098" width="7.44140625" style="7001" customWidth="1"/>
    <col min="4099" max="4099" width="7" style="7001" customWidth="1"/>
    <col min="4100" max="4100" width="0" style="7001" hidden="1" customWidth="1"/>
    <col min="4101" max="4101" width="10.109375" style="7001" customWidth="1"/>
    <col min="4102" max="4102" width="14.44140625" style="7001" customWidth="1"/>
    <col min="4103" max="4103" width="17.109375" style="7001" customWidth="1"/>
    <col min="4104" max="4352" width="9.109375" style="7001"/>
    <col min="4353" max="4353" width="33.44140625" style="7001" customWidth="1"/>
    <col min="4354" max="4354" width="7.44140625" style="7001" customWidth="1"/>
    <col min="4355" max="4355" width="7" style="7001" customWidth="1"/>
    <col min="4356" max="4356" width="0" style="7001" hidden="1" customWidth="1"/>
    <col min="4357" max="4357" width="10.109375" style="7001" customWidth="1"/>
    <col min="4358" max="4358" width="14.44140625" style="7001" customWidth="1"/>
    <col min="4359" max="4359" width="17.109375" style="7001" customWidth="1"/>
    <col min="4360" max="4608" width="9.109375" style="7001"/>
    <col min="4609" max="4609" width="33.44140625" style="7001" customWidth="1"/>
    <col min="4610" max="4610" width="7.44140625" style="7001" customWidth="1"/>
    <col min="4611" max="4611" width="7" style="7001" customWidth="1"/>
    <col min="4612" max="4612" width="0" style="7001" hidden="1" customWidth="1"/>
    <col min="4613" max="4613" width="10.109375" style="7001" customWidth="1"/>
    <col min="4614" max="4614" width="14.44140625" style="7001" customWidth="1"/>
    <col min="4615" max="4615" width="17.109375" style="7001" customWidth="1"/>
    <col min="4616" max="4864" width="9.109375" style="7001"/>
    <col min="4865" max="4865" width="33.44140625" style="7001" customWidth="1"/>
    <col min="4866" max="4866" width="7.44140625" style="7001" customWidth="1"/>
    <col min="4867" max="4867" width="7" style="7001" customWidth="1"/>
    <col min="4868" max="4868" width="0" style="7001" hidden="1" customWidth="1"/>
    <col min="4869" max="4869" width="10.109375" style="7001" customWidth="1"/>
    <col min="4870" max="4870" width="14.44140625" style="7001" customWidth="1"/>
    <col min="4871" max="4871" width="17.109375" style="7001" customWidth="1"/>
    <col min="4872" max="5120" width="9.109375" style="7001"/>
    <col min="5121" max="5121" width="33.44140625" style="7001" customWidth="1"/>
    <col min="5122" max="5122" width="7.44140625" style="7001" customWidth="1"/>
    <col min="5123" max="5123" width="7" style="7001" customWidth="1"/>
    <col min="5124" max="5124" width="0" style="7001" hidden="1" customWidth="1"/>
    <col min="5125" max="5125" width="10.109375" style="7001" customWidth="1"/>
    <col min="5126" max="5126" width="14.44140625" style="7001" customWidth="1"/>
    <col min="5127" max="5127" width="17.109375" style="7001" customWidth="1"/>
    <col min="5128" max="5376" width="9.109375" style="7001"/>
    <col min="5377" max="5377" width="33.44140625" style="7001" customWidth="1"/>
    <col min="5378" max="5378" width="7.44140625" style="7001" customWidth="1"/>
    <col min="5379" max="5379" width="7" style="7001" customWidth="1"/>
    <col min="5380" max="5380" width="0" style="7001" hidden="1" customWidth="1"/>
    <col min="5381" max="5381" width="10.109375" style="7001" customWidth="1"/>
    <col min="5382" max="5382" width="14.44140625" style="7001" customWidth="1"/>
    <col min="5383" max="5383" width="17.109375" style="7001" customWidth="1"/>
    <col min="5384" max="5632" width="9.109375" style="7001"/>
    <col min="5633" max="5633" width="33.44140625" style="7001" customWidth="1"/>
    <col min="5634" max="5634" width="7.44140625" style="7001" customWidth="1"/>
    <col min="5635" max="5635" width="7" style="7001" customWidth="1"/>
    <col min="5636" max="5636" width="0" style="7001" hidden="1" customWidth="1"/>
    <col min="5637" max="5637" width="10.109375" style="7001" customWidth="1"/>
    <col min="5638" max="5638" width="14.44140625" style="7001" customWidth="1"/>
    <col min="5639" max="5639" width="17.109375" style="7001" customWidth="1"/>
    <col min="5640" max="5888" width="9.109375" style="7001"/>
    <col min="5889" max="5889" width="33.44140625" style="7001" customWidth="1"/>
    <col min="5890" max="5890" width="7.44140625" style="7001" customWidth="1"/>
    <col min="5891" max="5891" width="7" style="7001" customWidth="1"/>
    <col min="5892" max="5892" width="0" style="7001" hidden="1" customWidth="1"/>
    <col min="5893" max="5893" width="10.109375" style="7001" customWidth="1"/>
    <col min="5894" max="5894" width="14.44140625" style="7001" customWidth="1"/>
    <col min="5895" max="5895" width="17.109375" style="7001" customWidth="1"/>
    <col min="5896" max="6144" width="9.109375" style="7001"/>
    <col min="6145" max="6145" width="33.44140625" style="7001" customWidth="1"/>
    <col min="6146" max="6146" width="7.44140625" style="7001" customWidth="1"/>
    <col min="6147" max="6147" width="7" style="7001" customWidth="1"/>
    <col min="6148" max="6148" width="0" style="7001" hidden="1" customWidth="1"/>
    <col min="6149" max="6149" width="10.109375" style="7001" customWidth="1"/>
    <col min="6150" max="6150" width="14.44140625" style="7001" customWidth="1"/>
    <col min="6151" max="6151" width="17.109375" style="7001" customWidth="1"/>
    <col min="6152" max="6400" width="9.109375" style="7001"/>
    <col min="6401" max="6401" width="33.44140625" style="7001" customWidth="1"/>
    <col min="6402" max="6402" width="7.44140625" style="7001" customWidth="1"/>
    <col min="6403" max="6403" width="7" style="7001" customWidth="1"/>
    <col min="6404" max="6404" width="0" style="7001" hidden="1" customWidth="1"/>
    <col min="6405" max="6405" width="10.109375" style="7001" customWidth="1"/>
    <col min="6406" max="6406" width="14.44140625" style="7001" customWidth="1"/>
    <col min="6407" max="6407" width="17.109375" style="7001" customWidth="1"/>
    <col min="6408" max="6656" width="9.109375" style="7001"/>
    <col min="6657" max="6657" width="33.44140625" style="7001" customWidth="1"/>
    <col min="6658" max="6658" width="7.44140625" style="7001" customWidth="1"/>
    <col min="6659" max="6659" width="7" style="7001" customWidth="1"/>
    <col min="6660" max="6660" width="0" style="7001" hidden="1" customWidth="1"/>
    <col min="6661" max="6661" width="10.109375" style="7001" customWidth="1"/>
    <col min="6662" max="6662" width="14.44140625" style="7001" customWidth="1"/>
    <col min="6663" max="6663" width="17.109375" style="7001" customWidth="1"/>
    <col min="6664" max="6912" width="9.109375" style="7001"/>
    <col min="6913" max="6913" width="33.44140625" style="7001" customWidth="1"/>
    <col min="6914" max="6914" width="7.44140625" style="7001" customWidth="1"/>
    <col min="6915" max="6915" width="7" style="7001" customWidth="1"/>
    <col min="6916" max="6916" width="0" style="7001" hidden="1" customWidth="1"/>
    <col min="6917" max="6917" width="10.109375" style="7001" customWidth="1"/>
    <col min="6918" max="6918" width="14.44140625" style="7001" customWidth="1"/>
    <col min="6919" max="6919" width="17.109375" style="7001" customWidth="1"/>
    <col min="6920" max="7168" width="9.109375" style="7001"/>
    <col min="7169" max="7169" width="33.44140625" style="7001" customWidth="1"/>
    <col min="7170" max="7170" width="7.44140625" style="7001" customWidth="1"/>
    <col min="7171" max="7171" width="7" style="7001" customWidth="1"/>
    <col min="7172" max="7172" width="0" style="7001" hidden="1" customWidth="1"/>
    <col min="7173" max="7173" width="10.109375" style="7001" customWidth="1"/>
    <col min="7174" max="7174" width="14.44140625" style="7001" customWidth="1"/>
    <col min="7175" max="7175" width="17.109375" style="7001" customWidth="1"/>
    <col min="7176" max="7424" width="9.109375" style="7001"/>
    <col min="7425" max="7425" width="33.44140625" style="7001" customWidth="1"/>
    <col min="7426" max="7426" width="7.44140625" style="7001" customWidth="1"/>
    <col min="7427" max="7427" width="7" style="7001" customWidth="1"/>
    <col min="7428" max="7428" width="0" style="7001" hidden="1" customWidth="1"/>
    <col min="7429" max="7429" width="10.109375" style="7001" customWidth="1"/>
    <col min="7430" max="7430" width="14.44140625" style="7001" customWidth="1"/>
    <col min="7431" max="7431" width="17.109375" style="7001" customWidth="1"/>
    <col min="7432" max="7680" width="9.109375" style="7001"/>
    <col min="7681" max="7681" width="33.44140625" style="7001" customWidth="1"/>
    <col min="7682" max="7682" width="7.44140625" style="7001" customWidth="1"/>
    <col min="7683" max="7683" width="7" style="7001" customWidth="1"/>
    <col min="7684" max="7684" width="0" style="7001" hidden="1" customWidth="1"/>
    <col min="7685" max="7685" width="10.109375" style="7001" customWidth="1"/>
    <col min="7686" max="7686" width="14.44140625" style="7001" customWidth="1"/>
    <col min="7687" max="7687" width="17.109375" style="7001" customWidth="1"/>
    <col min="7688" max="7936" width="9.109375" style="7001"/>
    <col min="7937" max="7937" width="33.44140625" style="7001" customWidth="1"/>
    <col min="7938" max="7938" width="7.44140625" style="7001" customWidth="1"/>
    <col min="7939" max="7939" width="7" style="7001" customWidth="1"/>
    <col min="7940" max="7940" width="0" style="7001" hidden="1" customWidth="1"/>
    <col min="7941" max="7941" width="10.109375" style="7001" customWidth="1"/>
    <col min="7942" max="7942" width="14.44140625" style="7001" customWidth="1"/>
    <col min="7943" max="7943" width="17.109375" style="7001" customWidth="1"/>
    <col min="7944" max="8192" width="9.109375" style="7001"/>
    <col min="8193" max="8193" width="33.44140625" style="7001" customWidth="1"/>
    <col min="8194" max="8194" width="7.44140625" style="7001" customWidth="1"/>
    <col min="8195" max="8195" width="7" style="7001" customWidth="1"/>
    <col min="8196" max="8196" width="0" style="7001" hidden="1" customWidth="1"/>
    <col min="8197" max="8197" width="10.109375" style="7001" customWidth="1"/>
    <col min="8198" max="8198" width="14.44140625" style="7001" customWidth="1"/>
    <col min="8199" max="8199" width="17.109375" style="7001" customWidth="1"/>
    <col min="8200" max="8448" width="9.109375" style="7001"/>
    <col min="8449" max="8449" width="33.44140625" style="7001" customWidth="1"/>
    <col min="8450" max="8450" width="7.44140625" style="7001" customWidth="1"/>
    <col min="8451" max="8451" width="7" style="7001" customWidth="1"/>
    <col min="8452" max="8452" width="0" style="7001" hidden="1" customWidth="1"/>
    <col min="8453" max="8453" width="10.109375" style="7001" customWidth="1"/>
    <col min="8454" max="8454" width="14.44140625" style="7001" customWidth="1"/>
    <col min="8455" max="8455" width="17.109375" style="7001" customWidth="1"/>
    <col min="8456" max="8704" width="9.109375" style="7001"/>
    <col min="8705" max="8705" width="33.44140625" style="7001" customWidth="1"/>
    <col min="8706" max="8706" width="7.44140625" style="7001" customWidth="1"/>
    <col min="8707" max="8707" width="7" style="7001" customWidth="1"/>
    <col min="8708" max="8708" width="0" style="7001" hidden="1" customWidth="1"/>
    <col min="8709" max="8709" width="10.109375" style="7001" customWidth="1"/>
    <col min="8710" max="8710" width="14.44140625" style="7001" customWidth="1"/>
    <col min="8711" max="8711" width="17.109375" style="7001" customWidth="1"/>
    <col min="8712" max="8960" width="9.109375" style="7001"/>
    <col min="8961" max="8961" width="33.44140625" style="7001" customWidth="1"/>
    <col min="8962" max="8962" width="7.44140625" style="7001" customWidth="1"/>
    <col min="8963" max="8963" width="7" style="7001" customWidth="1"/>
    <col min="8964" max="8964" width="0" style="7001" hidden="1" customWidth="1"/>
    <col min="8965" max="8965" width="10.109375" style="7001" customWidth="1"/>
    <col min="8966" max="8966" width="14.44140625" style="7001" customWidth="1"/>
    <col min="8967" max="8967" width="17.109375" style="7001" customWidth="1"/>
    <col min="8968" max="9216" width="9.109375" style="7001"/>
    <col min="9217" max="9217" width="33.44140625" style="7001" customWidth="1"/>
    <col min="9218" max="9218" width="7.44140625" style="7001" customWidth="1"/>
    <col min="9219" max="9219" width="7" style="7001" customWidth="1"/>
    <col min="9220" max="9220" width="0" style="7001" hidden="1" customWidth="1"/>
    <col min="9221" max="9221" width="10.109375" style="7001" customWidth="1"/>
    <col min="9222" max="9222" width="14.44140625" style="7001" customWidth="1"/>
    <col min="9223" max="9223" width="17.109375" style="7001" customWidth="1"/>
    <col min="9224" max="9472" width="9.109375" style="7001"/>
    <col min="9473" max="9473" width="33.44140625" style="7001" customWidth="1"/>
    <col min="9474" max="9474" width="7.44140625" style="7001" customWidth="1"/>
    <col min="9475" max="9475" width="7" style="7001" customWidth="1"/>
    <col min="9476" max="9476" width="0" style="7001" hidden="1" customWidth="1"/>
    <col min="9477" max="9477" width="10.109375" style="7001" customWidth="1"/>
    <col min="9478" max="9478" width="14.44140625" style="7001" customWidth="1"/>
    <col min="9479" max="9479" width="17.109375" style="7001" customWidth="1"/>
    <col min="9480" max="9728" width="9.109375" style="7001"/>
    <col min="9729" max="9729" width="33.44140625" style="7001" customWidth="1"/>
    <col min="9730" max="9730" width="7.44140625" style="7001" customWidth="1"/>
    <col min="9731" max="9731" width="7" style="7001" customWidth="1"/>
    <col min="9732" max="9732" width="0" style="7001" hidden="1" customWidth="1"/>
    <col min="9733" max="9733" width="10.109375" style="7001" customWidth="1"/>
    <col min="9734" max="9734" width="14.44140625" style="7001" customWidth="1"/>
    <col min="9735" max="9735" width="17.109375" style="7001" customWidth="1"/>
    <col min="9736" max="9984" width="9.109375" style="7001"/>
    <col min="9985" max="9985" width="33.44140625" style="7001" customWidth="1"/>
    <col min="9986" max="9986" width="7.44140625" style="7001" customWidth="1"/>
    <col min="9987" max="9987" width="7" style="7001" customWidth="1"/>
    <col min="9988" max="9988" width="0" style="7001" hidden="1" customWidth="1"/>
    <col min="9989" max="9989" width="10.109375" style="7001" customWidth="1"/>
    <col min="9990" max="9990" width="14.44140625" style="7001" customWidth="1"/>
    <col min="9991" max="9991" width="17.109375" style="7001" customWidth="1"/>
    <col min="9992" max="10240" width="9.109375" style="7001"/>
    <col min="10241" max="10241" width="33.44140625" style="7001" customWidth="1"/>
    <col min="10242" max="10242" width="7.44140625" style="7001" customWidth="1"/>
    <col min="10243" max="10243" width="7" style="7001" customWidth="1"/>
    <col min="10244" max="10244" width="0" style="7001" hidden="1" customWidth="1"/>
    <col min="10245" max="10245" width="10.109375" style="7001" customWidth="1"/>
    <col min="10246" max="10246" width="14.44140625" style="7001" customWidth="1"/>
    <col min="10247" max="10247" width="17.109375" style="7001" customWidth="1"/>
    <col min="10248" max="10496" width="9.109375" style="7001"/>
    <col min="10497" max="10497" width="33.44140625" style="7001" customWidth="1"/>
    <col min="10498" max="10498" width="7.44140625" style="7001" customWidth="1"/>
    <col min="10499" max="10499" width="7" style="7001" customWidth="1"/>
    <col min="10500" max="10500" width="0" style="7001" hidden="1" customWidth="1"/>
    <col min="10501" max="10501" width="10.109375" style="7001" customWidth="1"/>
    <col min="10502" max="10502" width="14.44140625" style="7001" customWidth="1"/>
    <col min="10503" max="10503" width="17.109375" style="7001" customWidth="1"/>
    <col min="10504" max="10752" width="9.109375" style="7001"/>
    <col min="10753" max="10753" width="33.44140625" style="7001" customWidth="1"/>
    <col min="10754" max="10754" width="7.44140625" style="7001" customWidth="1"/>
    <col min="10755" max="10755" width="7" style="7001" customWidth="1"/>
    <col min="10756" max="10756" width="0" style="7001" hidden="1" customWidth="1"/>
    <col min="10757" max="10757" width="10.109375" style="7001" customWidth="1"/>
    <col min="10758" max="10758" width="14.44140625" style="7001" customWidth="1"/>
    <col min="10759" max="10759" width="17.109375" style="7001" customWidth="1"/>
    <col min="10760" max="11008" width="9.109375" style="7001"/>
    <col min="11009" max="11009" width="33.44140625" style="7001" customWidth="1"/>
    <col min="11010" max="11010" width="7.44140625" style="7001" customWidth="1"/>
    <col min="11011" max="11011" width="7" style="7001" customWidth="1"/>
    <col min="11012" max="11012" width="0" style="7001" hidden="1" customWidth="1"/>
    <col min="11013" max="11013" width="10.109375" style="7001" customWidth="1"/>
    <col min="11014" max="11014" width="14.44140625" style="7001" customWidth="1"/>
    <col min="11015" max="11015" width="17.109375" style="7001" customWidth="1"/>
    <col min="11016" max="11264" width="9.109375" style="7001"/>
    <col min="11265" max="11265" width="33.44140625" style="7001" customWidth="1"/>
    <col min="11266" max="11266" width="7.44140625" style="7001" customWidth="1"/>
    <col min="11267" max="11267" width="7" style="7001" customWidth="1"/>
    <col min="11268" max="11268" width="0" style="7001" hidden="1" customWidth="1"/>
    <col min="11269" max="11269" width="10.109375" style="7001" customWidth="1"/>
    <col min="11270" max="11270" width="14.44140625" style="7001" customWidth="1"/>
    <col min="11271" max="11271" width="17.109375" style="7001" customWidth="1"/>
    <col min="11272" max="11520" width="9.109375" style="7001"/>
    <col min="11521" max="11521" width="33.44140625" style="7001" customWidth="1"/>
    <col min="11522" max="11522" width="7.44140625" style="7001" customWidth="1"/>
    <col min="11523" max="11523" width="7" style="7001" customWidth="1"/>
    <col min="11524" max="11524" width="0" style="7001" hidden="1" customWidth="1"/>
    <col min="11525" max="11525" width="10.109375" style="7001" customWidth="1"/>
    <col min="11526" max="11526" width="14.44140625" style="7001" customWidth="1"/>
    <col min="11527" max="11527" width="17.109375" style="7001" customWidth="1"/>
    <col min="11528" max="11776" width="9.109375" style="7001"/>
    <col min="11777" max="11777" width="33.44140625" style="7001" customWidth="1"/>
    <col min="11778" max="11778" width="7.44140625" style="7001" customWidth="1"/>
    <col min="11779" max="11779" width="7" style="7001" customWidth="1"/>
    <col min="11780" max="11780" width="0" style="7001" hidden="1" customWidth="1"/>
    <col min="11781" max="11781" width="10.109375" style="7001" customWidth="1"/>
    <col min="11782" max="11782" width="14.44140625" style="7001" customWidth="1"/>
    <col min="11783" max="11783" width="17.109375" style="7001" customWidth="1"/>
    <col min="11784" max="12032" width="9.109375" style="7001"/>
    <col min="12033" max="12033" width="33.44140625" style="7001" customWidth="1"/>
    <col min="12034" max="12034" width="7.44140625" style="7001" customWidth="1"/>
    <col min="12035" max="12035" width="7" style="7001" customWidth="1"/>
    <col min="12036" max="12036" width="0" style="7001" hidden="1" customWidth="1"/>
    <col min="12037" max="12037" width="10.109375" style="7001" customWidth="1"/>
    <col min="12038" max="12038" width="14.44140625" style="7001" customWidth="1"/>
    <col min="12039" max="12039" width="17.109375" style="7001" customWidth="1"/>
    <col min="12040" max="12288" width="9.109375" style="7001"/>
    <col min="12289" max="12289" width="33.44140625" style="7001" customWidth="1"/>
    <col min="12290" max="12290" width="7.44140625" style="7001" customWidth="1"/>
    <col min="12291" max="12291" width="7" style="7001" customWidth="1"/>
    <col min="12292" max="12292" width="0" style="7001" hidden="1" customWidth="1"/>
    <col min="12293" max="12293" width="10.109375" style="7001" customWidth="1"/>
    <col min="12294" max="12294" width="14.44140625" style="7001" customWidth="1"/>
    <col min="12295" max="12295" width="17.109375" style="7001" customWidth="1"/>
    <col min="12296" max="12544" width="9.109375" style="7001"/>
    <col min="12545" max="12545" width="33.44140625" style="7001" customWidth="1"/>
    <col min="12546" max="12546" width="7.44140625" style="7001" customWidth="1"/>
    <col min="12547" max="12547" width="7" style="7001" customWidth="1"/>
    <col min="12548" max="12548" width="0" style="7001" hidden="1" customWidth="1"/>
    <col min="12549" max="12549" width="10.109375" style="7001" customWidth="1"/>
    <col min="12550" max="12550" width="14.44140625" style="7001" customWidth="1"/>
    <col min="12551" max="12551" width="17.109375" style="7001" customWidth="1"/>
    <col min="12552" max="12800" width="9.109375" style="7001"/>
    <col min="12801" max="12801" width="33.44140625" style="7001" customWidth="1"/>
    <col min="12802" max="12802" width="7.44140625" style="7001" customWidth="1"/>
    <col min="12803" max="12803" width="7" style="7001" customWidth="1"/>
    <col min="12804" max="12804" width="0" style="7001" hidden="1" customWidth="1"/>
    <col min="12805" max="12805" width="10.109375" style="7001" customWidth="1"/>
    <col min="12806" max="12806" width="14.44140625" style="7001" customWidth="1"/>
    <col min="12807" max="12807" width="17.109375" style="7001" customWidth="1"/>
    <col min="12808" max="13056" width="9.109375" style="7001"/>
    <col min="13057" max="13057" width="33.44140625" style="7001" customWidth="1"/>
    <col min="13058" max="13058" width="7.44140625" style="7001" customWidth="1"/>
    <col min="13059" max="13059" width="7" style="7001" customWidth="1"/>
    <col min="13060" max="13060" width="0" style="7001" hidden="1" customWidth="1"/>
    <col min="13061" max="13061" width="10.109375" style="7001" customWidth="1"/>
    <col min="13062" max="13062" width="14.44140625" style="7001" customWidth="1"/>
    <col min="13063" max="13063" width="17.109375" style="7001" customWidth="1"/>
    <col min="13064" max="13312" width="9.109375" style="7001"/>
    <col min="13313" max="13313" width="33.44140625" style="7001" customWidth="1"/>
    <col min="13314" max="13314" width="7.44140625" style="7001" customWidth="1"/>
    <col min="13315" max="13315" width="7" style="7001" customWidth="1"/>
    <col min="13316" max="13316" width="0" style="7001" hidden="1" customWidth="1"/>
    <col min="13317" max="13317" width="10.109375" style="7001" customWidth="1"/>
    <col min="13318" max="13318" width="14.44140625" style="7001" customWidth="1"/>
    <col min="13319" max="13319" width="17.109375" style="7001" customWidth="1"/>
    <col min="13320" max="13568" width="9.109375" style="7001"/>
    <col min="13569" max="13569" width="33.44140625" style="7001" customWidth="1"/>
    <col min="13570" max="13570" width="7.44140625" style="7001" customWidth="1"/>
    <col min="13571" max="13571" width="7" style="7001" customWidth="1"/>
    <col min="13572" max="13572" width="0" style="7001" hidden="1" customWidth="1"/>
    <col min="13573" max="13573" width="10.109375" style="7001" customWidth="1"/>
    <col min="13574" max="13574" width="14.44140625" style="7001" customWidth="1"/>
    <col min="13575" max="13575" width="17.109375" style="7001" customWidth="1"/>
    <col min="13576" max="13824" width="9.109375" style="7001"/>
    <col min="13825" max="13825" width="33.44140625" style="7001" customWidth="1"/>
    <col min="13826" max="13826" width="7.44140625" style="7001" customWidth="1"/>
    <col min="13827" max="13827" width="7" style="7001" customWidth="1"/>
    <col min="13828" max="13828" width="0" style="7001" hidden="1" customWidth="1"/>
    <col min="13829" max="13829" width="10.109375" style="7001" customWidth="1"/>
    <col min="13830" max="13830" width="14.44140625" style="7001" customWidth="1"/>
    <col min="13831" max="13831" width="17.109375" style="7001" customWidth="1"/>
    <col min="13832" max="14080" width="9.109375" style="7001"/>
    <col min="14081" max="14081" width="33.44140625" style="7001" customWidth="1"/>
    <col min="14082" max="14082" width="7.44140625" style="7001" customWidth="1"/>
    <col min="14083" max="14083" width="7" style="7001" customWidth="1"/>
    <col min="14084" max="14084" width="0" style="7001" hidden="1" customWidth="1"/>
    <col min="14085" max="14085" width="10.109375" style="7001" customWidth="1"/>
    <col min="14086" max="14086" width="14.44140625" style="7001" customWidth="1"/>
    <col min="14087" max="14087" width="17.109375" style="7001" customWidth="1"/>
    <col min="14088" max="14336" width="9.109375" style="7001"/>
    <col min="14337" max="14337" width="33.44140625" style="7001" customWidth="1"/>
    <col min="14338" max="14338" width="7.44140625" style="7001" customWidth="1"/>
    <col min="14339" max="14339" width="7" style="7001" customWidth="1"/>
    <col min="14340" max="14340" width="0" style="7001" hidden="1" customWidth="1"/>
    <col min="14341" max="14341" width="10.109375" style="7001" customWidth="1"/>
    <col min="14342" max="14342" width="14.44140625" style="7001" customWidth="1"/>
    <col min="14343" max="14343" width="17.109375" style="7001" customWidth="1"/>
    <col min="14344" max="14592" width="9.109375" style="7001"/>
    <col min="14593" max="14593" width="33.44140625" style="7001" customWidth="1"/>
    <col min="14594" max="14594" width="7.44140625" style="7001" customWidth="1"/>
    <col min="14595" max="14595" width="7" style="7001" customWidth="1"/>
    <col min="14596" max="14596" width="0" style="7001" hidden="1" customWidth="1"/>
    <col min="14597" max="14597" width="10.109375" style="7001" customWidth="1"/>
    <col min="14598" max="14598" width="14.44140625" style="7001" customWidth="1"/>
    <col min="14599" max="14599" width="17.109375" style="7001" customWidth="1"/>
    <col min="14600" max="14848" width="9.109375" style="7001"/>
    <col min="14849" max="14849" width="33.44140625" style="7001" customWidth="1"/>
    <col min="14850" max="14850" width="7.44140625" style="7001" customWidth="1"/>
    <col min="14851" max="14851" width="7" style="7001" customWidth="1"/>
    <col min="14852" max="14852" width="0" style="7001" hidden="1" customWidth="1"/>
    <col min="14853" max="14853" width="10.109375" style="7001" customWidth="1"/>
    <col min="14854" max="14854" width="14.44140625" style="7001" customWidth="1"/>
    <col min="14855" max="14855" width="17.109375" style="7001" customWidth="1"/>
    <col min="14856" max="15104" width="9.109375" style="7001"/>
    <col min="15105" max="15105" width="33.44140625" style="7001" customWidth="1"/>
    <col min="15106" max="15106" width="7.44140625" style="7001" customWidth="1"/>
    <col min="15107" max="15107" width="7" style="7001" customWidth="1"/>
    <col min="15108" max="15108" width="0" style="7001" hidden="1" customWidth="1"/>
    <col min="15109" max="15109" width="10.109375" style="7001" customWidth="1"/>
    <col min="15110" max="15110" width="14.44140625" style="7001" customWidth="1"/>
    <col min="15111" max="15111" width="17.109375" style="7001" customWidth="1"/>
    <col min="15112" max="15360" width="9.109375" style="7001"/>
    <col min="15361" max="15361" width="33.44140625" style="7001" customWidth="1"/>
    <col min="15362" max="15362" width="7.44140625" style="7001" customWidth="1"/>
    <col min="15363" max="15363" width="7" style="7001" customWidth="1"/>
    <col min="15364" max="15364" width="0" style="7001" hidden="1" customWidth="1"/>
    <col min="15365" max="15365" width="10.109375" style="7001" customWidth="1"/>
    <col min="15366" max="15366" width="14.44140625" style="7001" customWidth="1"/>
    <col min="15367" max="15367" width="17.109375" style="7001" customWidth="1"/>
    <col min="15368" max="15616" width="9.109375" style="7001"/>
    <col min="15617" max="15617" width="33.44140625" style="7001" customWidth="1"/>
    <col min="15618" max="15618" width="7.44140625" style="7001" customWidth="1"/>
    <col min="15619" max="15619" width="7" style="7001" customWidth="1"/>
    <col min="15620" max="15620" width="0" style="7001" hidden="1" customWidth="1"/>
    <col min="15621" max="15621" width="10.109375" style="7001" customWidth="1"/>
    <col min="15622" max="15622" width="14.44140625" style="7001" customWidth="1"/>
    <col min="15623" max="15623" width="17.109375" style="7001" customWidth="1"/>
    <col min="15624" max="15872" width="9.109375" style="7001"/>
    <col min="15873" max="15873" width="33.44140625" style="7001" customWidth="1"/>
    <col min="15874" max="15874" width="7.44140625" style="7001" customWidth="1"/>
    <col min="15875" max="15875" width="7" style="7001" customWidth="1"/>
    <col min="15876" max="15876" width="0" style="7001" hidden="1" customWidth="1"/>
    <col min="15877" max="15877" width="10.109375" style="7001" customWidth="1"/>
    <col min="15878" max="15878" width="14.44140625" style="7001" customWidth="1"/>
    <col min="15879" max="15879" width="17.109375" style="7001" customWidth="1"/>
    <col min="15880" max="16128" width="9.109375" style="7001"/>
    <col min="16129" max="16129" width="33.44140625" style="7001" customWidth="1"/>
    <col min="16130" max="16130" width="7.44140625" style="7001" customWidth="1"/>
    <col min="16131" max="16131" width="7" style="7001" customWidth="1"/>
    <col min="16132" max="16132" width="0" style="7001" hidden="1" customWidth="1"/>
    <col min="16133" max="16133" width="10.109375" style="7001" customWidth="1"/>
    <col min="16134" max="16134" width="14.44140625" style="7001" customWidth="1"/>
    <col min="16135" max="16135" width="17.109375" style="7001" customWidth="1"/>
    <col min="16136" max="16384" width="9.109375" style="7001"/>
  </cols>
  <sheetData>
    <row r="1" spans="1:8" ht="12.9" customHeight="1">
      <c r="A1" s="14395" t="s">
        <v>1087</v>
      </c>
      <c r="B1" s="14395"/>
      <c r="C1" s="14395"/>
      <c r="D1" s="14395"/>
      <c r="E1" s="14395"/>
      <c r="F1" s="14395"/>
      <c r="G1" s="14395"/>
    </row>
    <row r="3" spans="1:8" ht="12.9" customHeight="1">
      <c r="A3" s="14580" t="s">
        <v>10691</v>
      </c>
      <c r="B3" s="14580"/>
      <c r="C3" s="14580"/>
      <c r="D3" s="14580"/>
      <c r="E3" s="14580"/>
      <c r="F3" s="14580"/>
      <c r="G3" s="14580"/>
    </row>
    <row r="4" spans="1:8" ht="12.9" customHeight="1" thickBot="1"/>
    <row r="5" spans="1:8" ht="12.9" customHeight="1">
      <c r="A5" s="9675" t="s">
        <v>842</v>
      </c>
      <c r="B5" s="10713" t="s">
        <v>1035</v>
      </c>
      <c r="C5" s="10713" t="s">
        <v>1036</v>
      </c>
      <c r="D5" s="14393" t="s">
        <v>1037</v>
      </c>
      <c r="E5" s="14393"/>
      <c r="F5" s="14393"/>
      <c r="G5" s="14394"/>
      <c r="H5" s="7162"/>
    </row>
    <row r="6" spans="1:8" ht="12.9" customHeight="1" thickBot="1">
      <c r="A6" s="7230" t="s">
        <v>1088</v>
      </c>
      <c r="B6" s="10780" t="s">
        <v>9</v>
      </c>
      <c r="C6" s="10780" t="s">
        <v>1039</v>
      </c>
      <c r="D6" s="10780" t="s">
        <v>1040</v>
      </c>
      <c r="E6" s="10780" t="s">
        <v>1040</v>
      </c>
      <c r="F6" s="10780" t="s">
        <v>11</v>
      </c>
      <c r="G6" s="10721" t="s">
        <v>11621</v>
      </c>
      <c r="H6" s="7162"/>
    </row>
    <row r="7" spans="1:8" ht="12.9" customHeight="1">
      <c r="A7" s="7248"/>
      <c r="B7" s="9665"/>
      <c r="C7" s="9666"/>
      <c r="D7" s="9666"/>
      <c r="E7" s="9666"/>
      <c r="F7" s="9666"/>
      <c r="G7" s="7240"/>
    </row>
    <row r="8" spans="1:8" ht="12.9" customHeight="1">
      <c r="A8" s="6230" t="s">
        <v>806</v>
      </c>
      <c r="B8" s="10751"/>
      <c r="C8" s="8414"/>
      <c r="D8" s="8414"/>
      <c r="E8" s="8414"/>
      <c r="F8" s="8414"/>
      <c r="G8" s="7241"/>
    </row>
    <row r="9" spans="1:8" ht="12.9" customHeight="1">
      <c r="A9" s="6230" t="s">
        <v>1107</v>
      </c>
      <c r="B9" s="10751"/>
      <c r="C9" s="8414"/>
      <c r="D9" s="8414"/>
      <c r="E9" s="8414"/>
      <c r="F9" s="8414"/>
      <c r="G9" s="7241"/>
    </row>
    <row r="10" spans="1:8" ht="12.9" customHeight="1">
      <c r="A10" s="7231"/>
      <c r="B10" s="10751"/>
      <c r="C10" s="8414"/>
      <c r="D10" s="8414"/>
      <c r="E10" s="8414"/>
      <c r="F10" s="8414"/>
      <c r="G10" s="7241"/>
    </row>
    <row r="11" spans="1:8" ht="12.9" customHeight="1">
      <c r="A11" s="7231"/>
      <c r="B11" s="10751"/>
      <c r="C11" s="10751"/>
      <c r="D11" s="10751"/>
      <c r="E11" s="10751"/>
      <c r="F11" s="10751"/>
      <c r="G11" s="7242"/>
    </row>
    <row r="12" spans="1:8" ht="12.9" customHeight="1">
      <c r="A12" s="6230" t="s">
        <v>1091</v>
      </c>
      <c r="B12" s="10751"/>
      <c r="C12" s="10751"/>
      <c r="D12" s="10751"/>
      <c r="E12" s="10751"/>
      <c r="F12" s="10751"/>
      <c r="G12" s="7175"/>
    </row>
    <row r="13" spans="1:8" ht="12.9" customHeight="1">
      <c r="A13" s="6230" t="s">
        <v>1109</v>
      </c>
      <c r="B13" s="10751"/>
      <c r="C13" s="10751"/>
      <c r="D13" s="10751"/>
      <c r="E13" s="10751"/>
      <c r="F13" s="10751"/>
      <c r="G13" s="7175"/>
    </row>
    <row r="14" spans="1:8" ht="12.9" customHeight="1">
      <c r="A14" s="7231" t="s">
        <v>10692</v>
      </c>
      <c r="B14" s="8414">
        <v>1</v>
      </c>
      <c r="C14" s="8414">
        <v>20</v>
      </c>
      <c r="D14" s="8414"/>
      <c r="E14" s="8414">
        <v>519000</v>
      </c>
      <c r="F14" s="10782">
        <v>564444</v>
      </c>
      <c r="G14" s="7173">
        <v>613860</v>
      </c>
    </row>
    <row r="15" spans="1:8" ht="12.9" customHeight="1">
      <c r="A15" s="7231"/>
      <c r="B15" s="8414"/>
      <c r="C15" s="8414"/>
      <c r="D15" s="8414"/>
      <c r="E15" s="10782"/>
      <c r="F15" s="10782"/>
      <c r="G15" s="7173"/>
    </row>
    <row r="16" spans="1:8" ht="12.9" customHeight="1">
      <c r="A16" s="6230" t="s">
        <v>1111</v>
      </c>
      <c r="B16" s="8414"/>
      <c r="C16" s="8414"/>
      <c r="D16" s="8414"/>
      <c r="E16" s="10782"/>
      <c r="F16" s="10782"/>
      <c r="G16" s="7173"/>
    </row>
    <row r="17" spans="1:8" ht="12.9" customHeight="1">
      <c r="A17" s="7231" t="s">
        <v>10422</v>
      </c>
      <c r="B17" s="8414">
        <v>1</v>
      </c>
      <c r="C17" s="8414">
        <v>11</v>
      </c>
      <c r="D17" s="8414"/>
      <c r="E17" s="10782">
        <v>241056</v>
      </c>
      <c r="F17" s="10782">
        <v>248376</v>
      </c>
      <c r="G17" s="7173">
        <v>259428</v>
      </c>
    </row>
    <row r="18" spans="1:8" ht="12.9" customHeight="1">
      <c r="A18" s="7231"/>
      <c r="B18" s="8414"/>
      <c r="C18" s="8414"/>
      <c r="D18" s="8414"/>
      <c r="E18" s="10782"/>
      <c r="F18" s="10782"/>
      <c r="G18" s="7173"/>
    </row>
    <row r="19" spans="1:8" ht="12.9" customHeight="1">
      <c r="A19" s="6230" t="s">
        <v>1054</v>
      </c>
      <c r="B19" s="10751"/>
      <c r="C19" s="10751"/>
      <c r="D19" s="10751"/>
      <c r="E19" s="10781"/>
      <c r="F19" s="10751"/>
      <c r="G19" s="7242"/>
    </row>
    <row r="20" spans="1:8" ht="12.9" customHeight="1">
      <c r="A20" s="7231" t="s">
        <v>80</v>
      </c>
      <c r="B20" s="8414"/>
      <c r="C20" s="8414"/>
      <c r="D20" s="8414"/>
      <c r="E20" s="10782"/>
      <c r="F20" s="10782"/>
      <c r="G20" s="7173"/>
    </row>
    <row r="21" spans="1:8" ht="12.9" customHeight="1">
      <c r="A21" s="7231"/>
      <c r="B21" s="10402"/>
      <c r="C21" s="10402"/>
      <c r="D21" s="10403"/>
      <c r="E21" s="10403"/>
      <c r="F21" s="10410" t="s">
        <v>9</v>
      </c>
      <c r="G21" s="9746" t="s">
        <v>9</v>
      </c>
    </row>
    <row r="22" spans="1:8" ht="12.9" customHeight="1">
      <c r="A22" s="6230" t="s">
        <v>1098</v>
      </c>
      <c r="B22" s="9652">
        <f>SUM(B14:B20)</f>
        <v>2</v>
      </c>
      <c r="C22" s="9652"/>
      <c r="D22" s="9643"/>
      <c r="E22" s="9642">
        <f>SUM(E14:E20)</f>
        <v>760056</v>
      </c>
      <c r="F22" s="9642">
        <f>SUM(F14:F20)</f>
        <v>812820</v>
      </c>
      <c r="G22" s="9667">
        <f>SUM(G14:G20)</f>
        <v>873288</v>
      </c>
    </row>
    <row r="23" spans="1:8" ht="12.9" customHeight="1">
      <c r="A23" s="6230" t="s">
        <v>9</v>
      </c>
      <c r="B23" s="7169" t="s">
        <v>9</v>
      </c>
      <c r="C23" s="7169"/>
      <c r="D23" s="7249"/>
      <c r="E23" s="7249" t="s">
        <v>9</v>
      </c>
      <c r="F23" s="7250" t="s">
        <v>9</v>
      </c>
      <c r="G23" s="10792" t="s">
        <v>9</v>
      </c>
    </row>
    <row r="24" spans="1:8" ht="12.9" customHeight="1">
      <c r="A24" s="7231"/>
      <c r="B24" s="8414"/>
      <c r="C24" s="8414"/>
      <c r="D24" s="8415"/>
      <c r="E24" s="8415"/>
      <c r="F24" s="10781"/>
      <c r="G24" s="7245"/>
    </row>
    <row r="25" spans="1:8" ht="12.9" customHeight="1">
      <c r="A25" s="7231" t="s">
        <v>1113</v>
      </c>
      <c r="B25" s="8414"/>
      <c r="C25" s="8414"/>
      <c r="D25" s="8415"/>
      <c r="E25" s="8415"/>
      <c r="F25" s="10781"/>
      <c r="G25" s="7245"/>
    </row>
    <row r="26" spans="1:8" ht="12.9" customHeight="1">
      <c r="A26" s="7231"/>
      <c r="B26" s="8414"/>
      <c r="C26" s="8414"/>
      <c r="D26" s="8415"/>
      <c r="E26" s="8415"/>
      <c r="F26" s="10781"/>
      <c r="G26" s="7245"/>
    </row>
    <row r="27" spans="1:8" ht="12.9" customHeight="1">
      <c r="A27" s="7231" t="s">
        <v>11659</v>
      </c>
      <c r="B27" s="8414">
        <v>1</v>
      </c>
      <c r="C27" s="8414">
        <v>22</v>
      </c>
      <c r="D27" s="10756"/>
      <c r="E27" s="8415">
        <v>0</v>
      </c>
      <c r="F27" s="8415">
        <v>0</v>
      </c>
      <c r="G27" s="7245">
        <v>783828</v>
      </c>
    </row>
    <row r="28" spans="1:8" ht="12.9" hidden="1" customHeight="1">
      <c r="A28" s="7231" t="s">
        <v>11656</v>
      </c>
      <c r="B28" s="8414">
        <v>0</v>
      </c>
      <c r="C28" s="8414">
        <v>18</v>
      </c>
      <c r="D28" s="10756"/>
      <c r="E28" s="8415">
        <v>0</v>
      </c>
      <c r="F28" s="8415">
        <v>0</v>
      </c>
      <c r="G28" s="7245">
        <v>0</v>
      </c>
      <c r="H28" s="7001" t="s">
        <v>11894</v>
      </c>
    </row>
    <row r="29" spans="1:8" s="7162" customFormat="1" ht="12.9" customHeight="1">
      <c r="A29" s="7231" t="s">
        <v>1317</v>
      </c>
      <c r="B29" s="8414">
        <v>1</v>
      </c>
      <c r="C29" s="8414">
        <v>15</v>
      </c>
      <c r="D29" s="10756"/>
      <c r="E29" s="8415">
        <v>0</v>
      </c>
      <c r="F29" s="8415">
        <v>0</v>
      </c>
      <c r="G29" s="7245">
        <v>366372</v>
      </c>
    </row>
    <row r="30" spans="1:8" s="7162" customFormat="1" ht="12.9" customHeight="1">
      <c r="A30" s="7231" t="s">
        <v>11657</v>
      </c>
      <c r="B30" s="8414">
        <v>1</v>
      </c>
      <c r="C30" s="8414">
        <v>10</v>
      </c>
      <c r="D30" s="10756"/>
      <c r="E30" s="8415">
        <v>0</v>
      </c>
      <c r="F30" s="8415">
        <v>0</v>
      </c>
      <c r="G30" s="7245">
        <v>230796</v>
      </c>
    </row>
    <row r="31" spans="1:8" s="7162" customFormat="1" ht="12.9" customHeight="1">
      <c r="A31" s="7231" t="s">
        <v>11658</v>
      </c>
      <c r="B31" s="8414">
        <v>1</v>
      </c>
      <c r="C31" s="8414">
        <v>5</v>
      </c>
      <c r="D31" s="10756"/>
      <c r="E31" s="8415">
        <v>0</v>
      </c>
      <c r="F31" s="8415">
        <v>0</v>
      </c>
      <c r="G31" s="7245">
        <v>168084</v>
      </c>
    </row>
    <row r="32" spans="1:8" s="7162" customFormat="1" ht="12.9" customHeight="1">
      <c r="A32" s="7231" t="s">
        <v>11272</v>
      </c>
      <c r="B32" s="8414">
        <v>1</v>
      </c>
      <c r="C32" s="8414">
        <v>2</v>
      </c>
      <c r="D32" s="8415"/>
      <c r="E32" s="8415">
        <v>0</v>
      </c>
      <c r="F32" s="8415">
        <v>0</v>
      </c>
      <c r="G32" s="7245">
        <v>141132</v>
      </c>
    </row>
    <row r="33" spans="1:7" s="7162" customFormat="1" ht="12.9" customHeight="1">
      <c r="A33" s="7231" t="s">
        <v>12017</v>
      </c>
      <c r="B33" s="8414">
        <v>4</v>
      </c>
      <c r="C33" s="8414">
        <v>1</v>
      </c>
      <c r="D33" s="8415"/>
      <c r="E33" s="8415"/>
      <c r="F33" s="8415"/>
      <c r="G33" s="7245">
        <f>132816*B33</f>
        <v>531264</v>
      </c>
    </row>
    <row r="34" spans="1:7" s="7162" customFormat="1" ht="12.9" customHeight="1">
      <c r="A34" s="7231"/>
      <c r="B34" s="8414"/>
      <c r="C34" s="8414"/>
      <c r="D34" s="8415"/>
      <c r="E34" s="8415"/>
      <c r="F34" s="8415"/>
      <c r="G34" s="7245"/>
    </row>
    <row r="35" spans="1:7" ht="12.9" customHeight="1">
      <c r="A35" s="6230" t="s">
        <v>1098</v>
      </c>
      <c r="B35" s="9652">
        <f>SUM(B25:B34)</f>
        <v>9</v>
      </c>
      <c r="C35" s="9652"/>
      <c r="D35" s="9643"/>
      <c r="E35" s="9642">
        <f t="shared" ref="E35:F35" si="0">SUM(E25:E34)</f>
        <v>0</v>
      </c>
      <c r="F35" s="9642">
        <f t="shared" si="0"/>
        <v>0</v>
      </c>
      <c r="G35" s="9667">
        <f>SUM(G25:G34)</f>
        <v>2221476</v>
      </c>
    </row>
    <row r="36" spans="1:7" s="7162" customFormat="1" ht="12.9" customHeight="1" thickBot="1">
      <c r="A36" s="7231"/>
      <c r="B36" s="8414"/>
      <c r="C36" s="8414"/>
      <c r="D36" s="8415"/>
      <c r="E36" s="8415"/>
      <c r="F36" s="10781"/>
      <c r="G36" s="7245"/>
    </row>
    <row r="37" spans="1:7" ht="12.9" customHeight="1" thickBot="1">
      <c r="A37" s="9838" t="s">
        <v>1114</v>
      </c>
      <c r="B37" s="10784">
        <f>SUM(B22+B35)</f>
        <v>11</v>
      </c>
      <c r="C37" s="10421"/>
      <c r="D37" s="10785">
        <f>SUM(D17:D32)</f>
        <v>0</v>
      </c>
      <c r="E37" s="9840">
        <f>SUM(E22:E26)</f>
        <v>760056</v>
      </c>
      <c r="F37" s="9840">
        <f>SUM(F22:F26)</f>
        <v>812820</v>
      </c>
      <c r="G37" s="10786">
        <f>G22+G35</f>
        <v>3094764</v>
      </c>
    </row>
    <row r="38" spans="1:7" ht="12.9" customHeight="1">
      <c r="A38" s="6230"/>
      <c r="B38" s="10750"/>
      <c r="C38" s="10751"/>
      <c r="D38" s="10779"/>
      <c r="E38" s="10755"/>
      <c r="F38" s="10783"/>
      <c r="G38" s="7243"/>
    </row>
    <row r="39" spans="1:7" ht="12.9" customHeight="1">
      <c r="A39" s="6230" t="s">
        <v>1075</v>
      </c>
      <c r="B39" s="8414"/>
      <c r="C39" s="10751"/>
      <c r="D39" s="10779"/>
      <c r="E39" s="10779"/>
      <c r="F39" s="10781"/>
      <c r="G39" s="7244"/>
    </row>
    <row r="40" spans="1:7" ht="12.9" customHeight="1">
      <c r="A40" s="6230" t="s">
        <v>1115</v>
      </c>
      <c r="B40" s="8414"/>
      <c r="C40" s="10751"/>
      <c r="D40" s="10779"/>
      <c r="E40" s="10779"/>
      <c r="F40" s="10779"/>
      <c r="G40" s="7244"/>
    </row>
    <row r="41" spans="1:7" ht="12.9" customHeight="1">
      <c r="A41" s="7231" t="s">
        <v>1116</v>
      </c>
      <c r="B41" s="8414">
        <v>4</v>
      </c>
      <c r="C41" s="10751"/>
      <c r="D41" s="10779"/>
      <c r="E41" s="10779"/>
      <c r="F41" s="10779"/>
      <c r="G41" s="7244"/>
    </row>
    <row r="42" spans="1:7" ht="12.9" customHeight="1">
      <c r="A42" s="7231" t="s">
        <v>1117</v>
      </c>
      <c r="B42" s="8414"/>
      <c r="C42" s="10751"/>
      <c r="D42" s="10779"/>
      <c r="E42" s="10779"/>
      <c r="F42" s="10779"/>
      <c r="G42" s="7244"/>
    </row>
    <row r="43" spans="1:7" ht="12.9" customHeight="1">
      <c r="A43" s="7231" t="s">
        <v>1118</v>
      </c>
      <c r="B43" s="8414"/>
      <c r="C43" s="10751"/>
      <c r="D43" s="10779"/>
      <c r="E43" s="10779"/>
      <c r="F43" s="10779"/>
      <c r="G43" s="7244"/>
    </row>
    <row r="44" spans="1:7" ht="12.9" customHeight="1">
      <c r="A44" s="7231" t="s">
        <v>10698</v>
      </c>
      <c r="B44" s="8414"/>
      <c r="C44" s="10751"/>
      <c r="D44" s="10779"/>
      <c r="E44" s="10779"/>
      <c r="F44" s="10779"/>
      <c r="G44" s="7244"/>
    </row>
    <row r="45" spans="1:7" ht="12.9" customHeight="1">
      <c r="A45" s="7231" t="s">
        <v>1080</v>
      </c>
      <c r="B45" s="8414"/>
      <c r="C45" s="10751"/>
      <c r="D45" s="10779"/>
      <c r="E45" s="10779"/>
      <c r="F45" s="10779"/>
      <c r="G45" s="7244"/>
    </row>
    <row r="46" spans="1:7" ht="12.9" customHeight="1">
      <c r="A46" s="7231" t="s">
        <v>1119</v>
      </c>
      <c r="B46" s="8414"/>
      <c r="C46" s="10751"/>
      <c r="D46" s="10779"/>
      <c r="E46" s="10779"/>
      <c r="F46" s="10779"/>
      <c r="G46" s="7244"/>
    </row>
    <row r="47" spans="1:7" ht="12.9" customHeight="1">
      <c r="A47" s="7231" t="s">
        <v>1082</v>
      </c>
      <c r="B47" s="8414"/>
      <c r="C47" s="10751"/>
      <c r="D47" s="10779"/>
      <c r="E47" s="10779"/>
      <c r="F47" s="10779"/>
      <c r="G47" s="7244"/>
    </row>
    <row r="48" spans="1:7" ht="12.9" customHeight="1">
      <c r="A48" s="7231"/>
      <c r="B48" s="8414"/>
      <c r="C48" s="10751"/>
      <c r="D48" s="10779"/>
      <c r="E48" s="10779"/>
      <c r="F48" s="10779"/>
      <c r="G48" s="7244"/>
    </row>
    <row r="49" spans="1:7" ht="12.9" customHeight="1">
      <c r="A49" s="6230" t="s">
        <v>1083</v>
      </c>
      <c r="B49" s="9653"/>
      <c r="C49" s="9676"/>
      <c r="D49" s="7190"/>
      <c r="E49" s="7190"/>
      <c r="F49" s="7190"/>
      <c r="G49" s="9677"/>
    </row>
    <row r="50" spans="1:7" ht="12.9" customHeight="1">
      <c r="A50" s="6230"/>
      <c r="B50" s="8414"/>
      <c r="C50" s="10751"/>
      <c r="D50" s="10779"/>
      <c r="E50" s="10779"/>
      <c r="F50" s="10779"/>
      <c r="G50" s="7244"/>
    </row>
    <row r="51" spans="1:7" ht="12.9" customHeight="1">
      <c r="A51" s="7231" t="s">
        <v>1106</v>
      </c>
      <c r="B51" s="8414"/>
      <c r="C51" s="10751"/>
      <c r="D51" s="10779"/>
      <c r="E51" s="10779"/>
      <c r="F51" s="10779"/>
      <c r="G51" s="7244"/>
    </row>
    <row r="52" spans="1:7" ht="12.9" customHeight="1" thickBot="1">
      <c r="A52" s="7235"/>
      <c r="B52" s="9645"/>
      <c r="C52" s="9758"/>
      <c r="D52" s="9766"/>
      <c r="E52" s="9766"/>
      <c r="F52" s="9766"/>
      <c r="G52" s="10787"/>
    </row>
    <row r="53" spans="1:7" ht="12.9" customHeight="1">
      <c r="A53" s="7231"/>
      <c r="B53" s="8414"/>
      <c r="C53" s="10751"/>
      <c r="D53" s="10779"/>
      <c r="E53" s="10779"/>
      <c r="F53" s="10779"/>
      <c r="G53" s="7244"/>
    </row>
    <row r="54" spans="1:7" ht="12.9" customHeight="1">
      <c r="A54" s="6230" t="s">
        <v>1086</v>
      </c>
      <c r="B54" s="8414"/>
      <c r="C54" s="10751"/>
      <c r="D54" s="10779"/>
      <c r="E54" s="10779"/>
      <c r="F54" s="10779"/>
      <c r="G54" s="7244"/>
    </row>
    <row r="55" spans="1:7" ht="12.9" customHeight="1" thickBot="1">
      <c r="A55" s="7235"/>
      <c r="B55" s="9758"/>
      <c r="C55" s="9758"/>
      <c r="D55" s="9758"/>
      <c r="E55" s="9758"/>
      <c r="F55" s="9758"/>
      <c r="G55" s="9759"/>
    </row>
    <row r="60" spans="1:7" ht="12.9" customHeight="1">
      <c r="A60" s="7162"/>
      <c r="F60" s="7162"/>
    </row>
  </sheetData>
  <mergeCells count="3">
    <mergeCell ref="A3:G3"/>
    <mergeCell ref="D5:G5"/>
    <mergeCell ref="A1:G1"/>
  </mergeCells>
  <printOptions horizontalCentered="1"/>
  <pageMargins left="0.25" right="0.25" top="0.5" bottom="0.5" header="0.3" footer="0.3"/>
  <pageSetup paperSize="119" firstPageNumber="83" orientation="portrait" useFirstPageNumber="1" r:id="rId1"/>
</worksheet>
</file>

<file path=xl/worksheets/sheet63.xml><?xml version="1.0" encoding="utf-8"?>
<worksheet xmlns="http://schemas.openxmlformats.org/spreadsheetml/2006/main" xmlns:r="http://schemas.openxmlformats.org/officeDocument/2006/relationships">
  <sheetPr codeName="Sheet219">
    <tabColor theme="8" tint="-0.249977111117893"/>
  </sheetPr>
  <dimension ref="A1:N92"/>
  <sheetViews>
    <sheetView showGridLines="0" topLeftCell="B37" workbookViewId="0">
      <selection activeCell="K37" sqref="K1:T1048576"/>
    </sheetView>
  </sheetViews>
  <sheetFormatPr defaultColWidth="9.109375" defaultRowHeight="15" customHeight="1"/>
  <cols>
    <col min="1" max="1" width="3.88671875" style="7799" customWidth="1"/>
    <col min="2" max="2" width="55.5546875" style="7799" customWidth="1"/>
    <col min="3" max="3" width="12.109375" style="7799" hidden="1" customWidth="1"/>
    <col min="4" max="4" width="12.5546875" style="10883" customWidth="1"/>
    <col min="5" max="7" width="15.5546875" style="7799" customWidth="1"/>
    <col min="8" max="8" width="16.44140625" style="7799" customWidth="1"/>
    <col min="9" max="9" width="15" style="7799" hidden="1" customWidth="1"/>
    <col min="10" max="10" width="7.6640625" style="7348" hidden="1" customWidth="1"/>
    <col min="11" max="11" width="15.5546875" style="7339" customWidth="1"/>
    <col min="12" max="12" width="14.5546875" style="7799" customWidth="1"/>
    <col min="13" max="13" width="4" style="10883" customWidth="1"/>
    <col min="14" max="19" width="9.109375" style="7799" customWidth="1"/>
    <col min="20" max="16384" width="9.109375" style="7799"/>
  </cols>
  <sheetData>
    <row r="1" spans="1:13" ht="15" customHeight="1">
      <c r="A1" s="14583" t="s">
        <v>1</v>
      </c>
      <c r="B1" s="14583"/>
      <c r="C1" s="14583"/>
      <c r="D1" s="14583"/>
      <c r="E1" s="14583"/>
      <c r="F1" s="14583"/>
      <c r="G1" s="14583"/>
      <c r="H1" s="14583"/>
      <c r="I1" s="14583"/>
      <c r="J1" s="14583"/>
      <c r="K1" s="14583"/>
    </row>
    <row r="2" spans="1:13" ht="15" customHeight="1">
      <c r="A2" s="7767"/>
      <c r="B2" s="7767"/>
      <c r="C2" s="7767"/>
      <c r="D2" s="10878"/>
      <c r="E2" s="7767"/>
      <c r="F2" s="7767"/>
      <c r="G2" s="7767"/>
      <c r="H2" s="7767"/>
      <c r="I2" s="7767"/>
      <c r="J2" s="7286"/>
      <c r="K2" s="7684"/>
    </row>
    <row r="3" spans="1:13" ht="15" customHeight="1">
      <c r="A3" s="7767" t="s">
        <v>10789</v>
      </c>
      <c r="B3" s="7801"/>
      <c r="C3" s="7801"/>
      <c r="D3" s="9541" t="s">
        <v>11242</v>
      </c>
      <c r="E3" s="7801"/>
      <c r="F3" s="7801"/>
      <c r="G3" s="7801"/>
      <c r="H3" s="7801"/>
      <c r="I3" s="7801"/>
      <c r="J3" s="7284"/>
      <c r="K3" s="14465"/>
    </row>
    <row r="4" spans="1:13" ht="15" customHeight="1">
      <c r="A4" s="7803" t="s">
        <v>403</v>
      </c>
      <c r="B4" s="7803"/>
      <c r="C4" s="7803"/>
      <c r="D4" s="9542" t="s">
        <v>8</v>
      </c>
      <c r="E4" s="7803"/>
      <c r="F4" s="7803"/>
      <c r="G4" s="7803"/>
      <c r="H4" s="7809"/>
      <c r="I4" s="7809"/>
      <c r="J4" s="7350"/>
      <c r="K4" s="14465"/>
    </row>
    <row r="5" spans="1:13" ht="15" customHeight="1" thickBot="1">
      <c r="A5" s="7805"/>
      <c r="B5" s="7805"/>
      <c r="C5" s="7805"/>
      <c r="D5" s="7806"/>
      <c r="E5" s="7805"/>
      <c r="F5" s="7805"/>
      <c r="G5" s="7805"/>
      <c r="H5" s="7825"/>
      <c r="I5" s="7825"/>
      <c r="J5" s="7394"/>
      <c r="K5" s="9509"/>
    </row>
    <row r="6" spans="1:13" ht="15" customHeight="1">
      <c r="A6" s="11566"/>
      <c r="B6" s="10530"/>
      <c r="C6" s="10530"/>
      <c r="D6" s="11567" t="s">
        <v>9</v>
      </c>
      <c r="E6" s="11568" t="s">
        <v>78</v>
      </c>
      <c r="F6" s="14188" t="s">
        <v>10711</v>
      </c>
      <c r="G6" s="14189"/>
      <c r="H6" s="14190"/>
      <c r="I6" s="11080" t="s">
        <v>9985</v>
      </c>
      <c r="J6" s="9462"/>
      <c r="K6" s="11151" t="s">
        <v>12</v>
      </c>
    </row>
    <row r="7" spans="1:13" ht="15" customHeight="1">
      <c r="A7" s="11570"/>
      <c r="B7" s="7808" t="s">
        <v>13</v>
      </c>
      <c r="C7" s="7808"/>
      <c r="D7" s="14581" t="s">
        <v>14</v>
      </c>
      <c r="E7" s="11571" t="s">
        <v>15</v>
      </c>
      <c r="F7" s="9502" t="s">
        <v>10709</v>
      </c>
      <c r="G7" s="11083" t="s">
        <v>10710</v>
      </c>
      <c r="H7" s="14191" t="s">
        <v>458</v>
      </c>
      <c r="I7" s="11084" t="s">
        <v>11839</v>
      </c>
      <c r="J7" s="11108"/>
      <c r="K7" s="11154" t="s">
        <v>16</v>
      </c>
    </row>
    <row r="8" spans="1:13" ht="15" customHeight="1" thickBot="1">
      <c r="A8" s="11573"/>
      <c r="B8" s="7827"/>
      <c r="C8" s="7827"/>
      <c r="D8" s="14582"/>
      <c r="E8" s="11574">
        <v>2017</v>
      </c>
      <c r="F8" s="9467" t="s">
        <v>457</v>
      </c>
      <c r="G8" s="11076" t="s">
        <v>456</v>
      </c>
      <c r="H8" s="14192"/>
      <c r="I8" s="7302">
        <v>2018</v>
      </c>
      <c r="J8" s="7322"/>
      <c r="K8" s="11157">
        <v>2019</v>
      </c>
    </row>
    <row r="9" spans="1:13" ht="15" customHeight="1">
      <c r="A9" s="11570"/>
      <c r="B9" s="7808"/>
      <c r="C9" s="7808"/>
      <c r="D9" s="11576"/>
      <c r="E9" s="11571"/>
      <c r="F9" s="11123"/>
      <c r="G9" s="11073"/>
      <c r="H9" s="11123"/>
      <c r="I9" s="11571"/>
      <c r="J9" s="11108"/>
      <c r="K9" s="11154"/>
    </row>
    <row r="10" spans="1:13" ht="15" customHeight="1">
      <c r="A10" s="11577" t="s">
        <v>17</v>
      </c>
      <c r="B10" s="7803" t="s">
        <v>18</v>
      </c>
      <c r="C10" s="7803"/>
      <c r="D10" s="10141"/>
      <c r="E10" s="11518"/>
      <c r="F10" s="11518"/>
      <c r="G10" s="11518"/>
      <c r="H10" s="11518"/>
      <c r="I10" s="11518"/>
      <c r="J10" s="11163"/>
      <c r="K10" s="11162"/>
    </row>
    <row r="11" spans="1:13" ht="15" customHeight="1">
      <c r="A11" s="11570"/>
      <c r="B11" s="7803" t="s">
        <v>19</v>
      </c>
      <c r="C11" s="7803"/>
      <c r="D11" s="10141"/>
      <c r="E11" s="11518"/>
      <c r="F11" s="11518"/>
      <c r="G11" s="11518"/>
      <c r="H11" s="11518"/>
      <c r="I11" s="11518"/>
      <c r="J11" s="11163"/>
      <c r="K11" s="11162"/>
    </row>
    <row r="12" spans="1:13" ht="15" customHeight="1">
      <c r="A12" s="11570"/>
      <c r="B12" s="7803" t="s">
        <v>56</v>
      </c>
      <c r="C12" s="7803"/>
      <c r="D12" s="10141">
        <v>50101010</v>
      </c>
      <c r="E12" s="11580"/>
      <c r="F12" s="11580">
        <f>'WS-PS ACTUAL JUNE 2018'!B9</f>
        <v>276308</v>
      </c>
      <c r="G12" s="11580">
        <f>H12-F12</f>
        <v>532828</v>
      </c>
      <c r="H12" s="11580">
        <v>809136</v>
      </c>
      <c r="I12" s="11580"/>
      <c r="J12" s="11165"/>
      <c r="K12" s="11166">
        <f>L12</f>
        <v>822648</v>
      </c>
      <c r="L12" s="11555">
        <f>'staffing-PYDO'!G35</f>
        <v>822648</v>
      </c>
      <c r="M12" s="10883">
        <f>'staffing-PYDO'!B35</f>
        <v>4</v>
      </c>
    </row>
    <row r="13" spans="1:13" ht="15" customHeight="1">
      <c r="A13" s="11570"/>
      <c r="B13" s="7803" t="s">
        <v>58</v>
      </c>
      <c r="C13" s="7803"/>
      <c r="D13" s="10141">
        <v>50102010</v>
      </c>
      <c r="E13" s="11583"/>
      <c r="F13" s="11583">
        <f>'WS-PS ACTUAL JUNE 2018'!D9</f>
        <v>34000</v>
      </c>
      <c r="G13" s="11580">
        <f t="shared" ref="G13:G26" si="0">H13-F13</f>
        <v>62000</v>
      </c>
      <c r="H13" s="11583">
        <v>96000</v>
      </c>
      <c r="I13" s="11583"/>
      <c r="J13" s="11163"/>
      <c r="K13" s="11166">
        <f t="shared" ref="K13:K26" si="1">L13</f>
        <v>96000</v>
      </c>
      <c r="L13" s="7310">
        <f>24000*M12</f>
        <v>96000</v>
      </c>
    </row>
    <row r="14" spans="1:13" ht="15" hidden="1" customHeight="1">
      <c r="A14" s="11570"/>
      <c r="B14" s="7951" t="s">
        <v>104</v>
      </c>
      <c r="C14" s="7951"/>
      <c r="D14" s="11975">
        <v>713</v>
      </c>
      <c r="E14" s="11583"/>
      <c r="F14" s="11583"/>
      <c r="G14" s="11580">
        <f t="shared" si="0"/>
        <v>0</v>
      </c>
      <c r="H14" s="11583"/>
      <c r="I14" s="11583"/>
      <c r="J14" s="11163"/>
      <c r="K14" s="11166">
        <f t="shared" si="1"/>
        <v>0</v>
      </c>
    </row>
    <row r="15" spans="1:13" ht="15" hidden="1" customHeight="1">
      <c r="A15" s="11570"/>
      <c r="B15" s="7951" t="s">
        <v>105</v>
      </c>
      <c r="C15" s="7951"/>
      <c r="D15" s="11975">
        <v>714</v>
      </c>
      <c r="E15" s="11583"/>
      <c r="F15" s="11583"/>
      <c r="G15" s="11580">
        <f t="shared" si="0"/>
        <v>0</v>
      </c>
      <c r="H15" s="11583"/>
      <c r="I15" s="11583"/>
      <c r="J15" s="11163"/>
      <c r="K15" s="11166">
        <f t="shared" si="1"/>
        <v>0</v>
      </c>
    </row>
    <row r="16" spans="1:13" ht="15" customHeight="1">
      <c r="A16" s="11570"/>
      <c r="B16" s="7803" t="s">
        <v>79</v>
      </c>
      <c r="C16" s="7803"/>
      <c r="D16" s="10141">
        <v>50102040</v>
      </c>
      <c r="E16" s="11583"/>
      <c r="F16" s="11583">
        <f>'WS-PS ACTUAL JUNE 2018'!G9</f>
        <v>0</v>
      </c>
      <c r="G16" s="11580">
        <f t="shared" si="0"/>
        <v>20000</v>
      </c>
      <c r="H16" s="11583">
        <v>20000</v>
      </c>
      <c r="I16" s="11583"/>
      <c r="J16" s="11163"/>
      <c r="K16" s="11166">
        <f t="shared" si="1"/>
        <v>24000</v>
      </c>
      <c r="L16" s="7310">
        <f>6000*M12</f>
        <v>24000</v>
      </c>
    </row>
    <row r="17" spans="1:13" ht="15" customHeight="1">
      <c r="A17" s="11570"/>
      <c r="B17" s="7488" t="s">
        <v>10932</v>
      </c>
      <c r="C17" s="7488"/>
      <c r="D17" s="10368">
        <v>50102080</v>
      </c>
      <c r="E17" s="11583"/>
      <c r="F17" s="11583">
        <f>'WS-PS ACTUAL JUNE 2018'!J9</f>
        <v>0</v>
      </c>
      <c r="G17" s="11580">
        <f t="shared" si="0"/>
        <v>20000</v>
      </c>
      <c r="H17" s="11583">
        <v>20000</v>
      </c>
      <c r="I17" s="11583"/>
      <c r="J17" s="11163"/>
      <c r="K17" s="11166">
        <f t="shared" si="1"/>
        <v>20000</v>
      </c>
      <c r="L17" s="7310">
        <f>5000*M12</f>
        <v>20000</v>
      </c>
    </row>
    <row r="18" spans="1:13" s="7810" customFormat="1" ht="15" hidden="1" customHeight="1">
      <c r="A18" s="11570"/>
      <c r="B18" s="7488" t="s">
        <v>10934</v>
      </c>
      <c r="C18" s="7488"/>
      <c r="D18" s="8872">
        <v>50102120</v>
      </c>
      <c r="E18" s="11583"/>
      <c r="F18" s="11583">
        <f>'WS-PS ACTUAL JUNE 2018'!M9</f>
        <v>0</v>
      </c>
      <c r="G18" s="11580">
        <f t="shared" si="0"/>
        <v>0</v>
      </c>
      <c r="H18" s="11583">
        <v>0</v>
      </c>
      <c r="I18" s="11583"/>
      <c r="J18" s="11163"/>
      <c r="K18" s="11166">
        <f t="shared" si="1"/>
        <v>0</v>
      </c>
      <c r="M18" s="10259"/>
    </row>
    <row r="19" spans="1:13" ht="15" customHeight="1">
      <c r="A19" s="11570"/>
      <c r="B19" s="7488" t="s">
        <v>10933</v>
      </c>
      <c r="C19" s="7488"/>
      <c r="D19" s="8872">
        <v>50102140</v>
      </c>
      <c r="E19" s="11580"/>
      <c r="F19" s="11580">
        <f>'WS-PS ACTUAL JUNE 2018'!O9</f>
        <v>52629</v>
      </c>
      <c r="G19" s="11580">
        <f t="shared" si="0"/>
        <v>82227</v>
      </c>
      <c r="H19" s="11580">
        <v>134856</v>
      </c>
      <c r="I19" s="11580"/>
      <c r="J19" s="11165"/>
      <c r="K19" s="11166">
        <f t="shared" si="1"/>
        <v>137108</v>
      </c>
      <c r="L19" s="7310">
        <f>L12/12*2</f>
        <v>137108</v>
      </c>
    </row>
    <row r="20" spans="1:13" ht="15" customHeight="1">
      <c r="A20" s="11570"/>
      <c r="B20" s="7803" t="s">
        <v>26</v>
      </c>
      <c r="C20" s="7803"/>
      <c r="D20" s="10141">
        <v>50102150</v>
      </c>
      <c r="E20" s="11583"/>
      <c r="F20" s="11583">
        <f>'WS-PS ACTUAL JUNE 2018'!Q9</f>
        <v>0</v>
      </c>
      <c r="G20" s="11580">
        <f t="shared" si="0"/>
        <v>20000</v>
      </c>
      <c r="H20" s="11583">
        <v>20000</v>
      </c>
      <c r="I20" s="11583"/>
      <c r="J20" s="11163"/>
      <c r="K20" s="11166">
        <f t="shared" si="1"/>
        <v>20000</v>
      </c>
      <c r="L20" s="7371">
        <f>L17</f>
        <v>20000</v>
      </c>
    </row>
    <row r="21" spans="1:13" ht="15" customHeight="1">
      <c r="A21" s="11570"/>
      <c r="B21" s="7488" t="s">
        <v>11497</v>
      </c>
      <c r="C21" s="7488"/>
      <c r="D21" s="11257">
        <v>50102990</v>
      </c>
      <c r="E21" s="11583"/>
      <c r="F21" s="11583">
        <f>'WS-PS ACTUAL JUNE 2018'!R9</f>
        <v>0</v>
      </c>
      <c r="G21" s="11580">
        <f t="shared" si="0"/>
        <v>38772</v>
      </c>
      <c r="H21" s="11583">
        <v>38772</v>
      </c>
      <c r="I21" s="11583"/>
      <c r="J21" s="11163"/>
      <c r="K21" s="11166">
        <v>0</v>
      </c>
      <c r="L21" s="7310">
        <f>0.575*(L12/12)</f>
        <v>39418.549999999996</v>
      </c>
    </row>
    <row r="22" spans="1:13" ht="15" customHeight="1">
      <c r="A22" s="11570"/>
      <c r="B22" s="7803" t="s">
        <v>11499</v>
      </c>
      <c r="C22" s="7803"/>
      <c r="D22" s="11059" t="s">
        <v>11495</v>
      </c>
      <c r="E22" s="11583"/>
      <c r="F22" s="11583">
        <f>'WS-PS ACTUAL JUNE 2018'!S9</f>
        <v>0</v>
      </c>
      <c r="G22" s="11580">
        <f t="shared" si="0"/>
        <v>0</v>
      </c>
      <c r="H22" s="11583">
        <v>0</v>
      </c>
      <c r="I22" s="11583"/>
      <c r="J22" s="11163"/>
      <c r="K22" s="11166">
        <f t="shared" si="1"/>
        <v>12000</v>
      </c>
      <c r="L22" s="7310">
        <f>3000*M12</f>
        <v>12000</v>
      </c>
    </row>
    <row r="23" spans="1:13" ht="15" customHeight="1">
      <c r="A23" s="11570"/>
      <c r="B23" s="7803" t="s">
        <v>59</v>
      </c>
      <c r="C23" s="7803"/>
      <c r="D23" s="10141">
        <v>50103010</v>
      </c>
      <c r="E23" s="11583"/>
      <c r="F23" s="11583">
        <f>'WS-PS ACTUAL JUNE 2018'!T9</f>
        <v>33156.959999999999</v>
      </c>
      <c r="G23" s="11580">
        <f t="shared" si="0"/>
        <v>63940.04</v>
      </c>
      <c r="H23" s="11583">
        <v>97097</v>
      </c>
      <c r="I23" s="11583"/>
      <c r="J23" s="11163"/>
      <c r="K23" s="11166">
        <f t="shared" si="1"/>
        <v>98717.759999999995</v>
      </c>
      <c r="L23" s="7310">
        <f>L12*12%</f>
        <v>98717.759999999995</v>
      </c>
    </row>
    <row r="24" spans="1:13" ht="15" customHeight="1">
      <c r="A24" s="11570"/>
      <c r="B24" s="7803" t="s">
        <v>28</v>
      </c>
      <c r="C24" s="7803"/>
      <c r="D24" s="10141">
        <v>50103020</v>
      </c>
      <c r="E24" s="11583"/>
      <c r="F24" s="11583">
        <f>'WS-PS ACTUAL JUNE 2018'!U9</f>
        <v>1700</v>
      </c>
      <c r="G24" s="11580">
        <f t="shared" si="0"/>
        <v>3100</v>
      </c>
      <c r="H24" s="11583">
        <v>4800</v>
      </c>
      <c r="I24" s="11583"/>
      <c r="J24" s="11163"/>
      <c r="K24" s="11166">
        <f t="shared" si="1"/>
        <v>4800</v>
      </c>
      <c r="L24" s="7310">
        <f>1200*M12</f>
        <v>4800</v>
      </c>
    </row>
    <row r="25" spans="1:13" ht="15" customHeight="1">
      <c r="A25" s="11570"/>
      <c r="B25" s="7803" t="s">
        <v>29</v>
      </c>
      <c r="C25" s="7803"/>
      <c r="D25" s="10141">
        <v>50103030</v>
      </c>
      <c r="E25" s="11583"/>
      <c r="F25" s="11583">
        <f>'WS-PS ACTUAL JUNE 2018'!V9</f>
        <v>3799.25</v>
      </c>
      <c r="G25" s="11580">
        <f t="shared" si="0"/>
        <v>10600.75</v>
      </c>
      <c r="H25" s="11583">
        <v>14400</v>
      </c>
      <c r="I25" s="11583"/>
      <c r="J25" s="11163"/>
      <c r="K25" s="11166">
        <v>11311.41</v>
      </c>
      <c r="L25" s="7310">
        <f>3600*M12</f>
        <v>14400</v>
      </c>
    </row>
    <row r="26" spans="1:13" ht="15" customHeight="1">
      <c r="A26" s="11570"/>
      <c r="B26" s="7803" t="s">
        <v>30</v>
      </c>
      <c r="C26" s="7803"/>
      <c r="D26" s="10141">
        <v>50103040</v>
      </c>
      <c r="E26" s="11583"/>
      <c r="F26" s="11583">
        <f>'WS-PS ACTUAL JUNE 2018'!W9</f>
        <v>1700</v>
      </c>
      <c r="G26" s="11580">
        <f t="shared" si="0"/>
        <v>95397</v>
      </c>
      <c r="H26" s="11583">
        <v>97097</v>
      </c>
      <c r="I26" s="11583"/>
      <c r="J26" s="11163"/>
      <c r="K26" s="11166">
        <f t="shared" si="1"/>
        <v>4800</v>
      </c>
      <c r="L26" s="7310">
        <f>L24</f>
        <v>4800</v>
      </c>
    </row>
    <row r="27" spans="1:13" ht="15" customHeight="1">
      <c r="A27" s="11570"/>
      <c r="B27" s="7809" t="s">
        <v>37</v>
      </c>
      <c r="C27" s="7809"/>
      <c r="D27" s="10141"/>
      <c r="E27" s="9540">
        <f>SUM(E11:E26)</f>
        <v>0</v>
      </c>
      <c r="F27" s="11601">
        <f>SUM(F11:F26)</f>
        <v>403293.21</v>
      </c>
      <c r="G27" s="11601">
        <f>SUM(G11:G26)</f>
        <v>948864.79</v>
      </c>
      <c r="H27" s="11601">
        <f>SUM(H11:H26)</f>
        <v>1352158</v>
      </c>
      <c r="I27" s="11601"/>
      <c r="J27" s="11206"/>
      <c r="K27" s="11207">
        <f>SUM(K11:K26)</f>
        <v>1251385.17</v>
      </c>
      <c r="L27" s="12004">
        <f>SUM(L12:L26)</f>
        <v>1293892.31</v>
      </c>
    </row>
    <row r="28" spans="1:13" ht="15" customHeight="1" thickBot="1">
      <c r="A28" s="11573"/>
      <c r="B28" s="7825"/>
      <c r="C28" s="7825"/>
      <c r="D28" s="11584"/>
      <c r="E28" s="11977"/>
      <c r="F28" s="11977"/>
      <c r="G28" s="11977"/>
      <c r="H28" s="11586"/>
      <c r="I28" s="11586"/>
      <c r="J28" s="7327"/>
      <c r="K28" s="11189"/>
    </row>
    <row r="29" spans="1:13" ht="15" customHeight="1">
      <c r="A29" s="8077"/>
      <c r="B29" s="8078"/>
      <c r="C29" s="10529"/>
      <c r="D29" s="8079"/>
      <c r="E29" s="8080"/>
      <c r="F29" s="8080"/>
      <c r="G29" s="8080"/>
      <c r="H29" s="8080"/>
      <c r="I29" s="8080"/>
      <c r="J29" s="7962"/>
      <c r="K29" s="8017"/>
    </row>
    <row r="30" spans="1:13" ht="15" customHeight="1">
      <c r="A30" s="7803"/>
      <c r="B30" s="7809"/>
      <c r="C30" s="7809"/>
      <c r="D30" s="7804"/>
      <c r="E30" s="7824"/>
      <c r="F30" s="7824"/>
      <c r="G30" s="7824"/>
      <c r="H30" s="7824"/>
      <c r="I30" s="7824"/>
      <c r="J30" s="7350"/>
      <c r="K30" s="8018"/>
    </row>
    <row r="31" spans="1:13" ht="15" customHeight="1">
      <c r="A31" s="7803"/>
      <c r="B31" s="7809"/>
      <c r="C31" s="7809"/>
      <c r="D31" s="7804"/>
      <c r="E31" s="7824"/>
      <c r="F31" s="7824"/>
      <c r="G31" s="7824"/>
      <c r="H31" s="7824"/>
      <c r="I31" s="7824"/>
      <c r="J31" s="7350"/>
      <c r="K31" s="8018"/>
    </row>
    <row r="32" spans="1:13" ht="15" customHeight="1">
      <c r="A32" s="7803"/>
      <c r="B32" s="7809"/>
      <c r="C32" s="7809"/>
      <c r="D32" s="7804"/>
      <c r="E32" s="7824"/>
      <c r="F32" s="7824"/>
      <c r="G32" s="7824"/>
      <c r="H32" s="7824"/>
      <c r="I32" s="7824"/>
      <c r="J32" s="7350"/>
      <c r="K32" s="8018"/>
    </row>
    <row r="33" spans="1:13" ht="15" customHeight="1">
      <c r="A33" s="7803"/>
      <c r="B33" s="7809"/>
      <c r="C33" s="7809"/>
      <c r="D33" s="7804"/>
      <c r="E33" s="7824"/>
      <c r="F33" s="7824"/>
      <c r="G33" s="7824"/>
      <c r="H33" s="7824"/>
      <c r="I33" s="7824"/>
      <c r="J33" s="7350"/>
      <c r="K33" s="8018"/>
    </row>
    <row r="34" spans="1:13" ht="15" customHeight="1">
      <c r="A34" s="7803"/>
      <c r="B34" s="7809"/>
      <c r="C34" s="7809"/>
      <c r="D34" s="7804"/>
      <c r="E34" s="7824"/>
      <c r="F34" s="7824"/>
      <c r="G34" s="7824"/>
      <c r="H34" s="7824"/>
      <c r="I34" s="7824"/>
      <c r="J34" s="7350"/>
      <c r="K34" s="8018"/>
    </row>
    <row r="35" spans="1:13" ht="15" customHeight="1">
      <c r="A35" s="7803"/>
      <c r="B35" s="7809"/>
      <c r="C35" s="7809"/>
      <c r="D35" s="7804"/>
      <c r="E35" s="7824"/>
      <c r="F35" s="7824"/>
      <c r="G35" s="7824"/>
      <c r="H35" s="7824"/>
      <c r="I35" s="7824"/>
      <c r="J35" s="7350"/>
      <c r="K35" s="8018"/>
    </row>
    <row r="36" spans="1:13" ht="15" customHeight="1">
      <c r="A36" s="7803"/>
      <c r="B36" s="7809"/>
      <c r="C36" s="7809"/>
      <c r="D36" s="7804"/>
      <c r="E36" s="7824"/>
      <c r="F36" s="7824"/>
      <c r="G36" s="7824"/>
      <c r="H36" s="7824"/>
      <c r="I36" s="7824"/>
      <c r="J36" s="7350"/>
      <c r="K36" s="8018"/>
    </row>
    <row r="37" spans="1:13" ht="15" customHeight="1">
      <c r="A37" s="7803"/>
      <c r="B37" s="7809"/>
      <c r="C37" s="7809"/>
      <c r="D37" s="7804"/>
      <c r="E37" s="7824"/>
      <c r="F37" s="7824"/>
      <c r="G37" s="7824"/>
      <c r="H37" s="7824"/>
      <c r="I37" s="7824"/>
      <c r="J37" s="7350"/>
      <c r="K37" s="8018"/>
    </row>
    <row r="38" spans="1:13" ht="15" customHeight="1">
      <c r="A38" s="7803"/>
      <c r="B38" s="7809"/>
      <c r="C38" s="7809"/>
      <c r="D38" s="7804"/>
      <c r="E38" s="7824"/>
      <c r="F38" s="7824"/>
      <c r="G38" s="7824"/>
      <c r="H38" s="7824"/>
      <c r="I38" s="7824"/>
      <c r="J38" s="7350"/>
      <c r="K38" s="8018"/>
    </row>
    <row r="39" spans="1:13" ht="15" customHeight="1">
      <c r="A39" s="7803"/>
      <c r="B39" s="7809"/>
      <c r="C39" s="7809"/>
      <c r="D39" s="7804"/>
      <c r="E39" s="7824"/>
      <c r="F39" s="7824"/>
      <c r="G39" s="7824"/>
      <c r="H39" s="7824"/>
      <c r="I39" s="7824"/>
      <c r="J39" s="7350"/>
      <c r="K39" s="8018"/>
    </row>
    <row r="40" spans="1:13" ht="15" customHeight="1">
      <c r="A40" s="7803"/>
      <c r="B40" s="7809"/>
      <c r="C40" s="7809"/>
      <c r="D40" s="7804"/>
      <c r="E40" s="7824"/>
      <c r="F40" s="7824"/>
      <c r="G40" s="7824"/>
      <c r="H40" s="7824"/>
      <c r="I40" s="7824"/>
      <c r="J40" s="7350"/>
      <c r="K40" s="8018"/>
    </row>
    <row r="41" spans="1:13" s="7811" customFormat="1" ht="15" customHeight="1" thickBot="1">
      <c r="A41" s="8081" t="s">
        <v>11241</v>
      </c>
      <c r="B41" s="7825"/>
      <c r="C41" s="7825"/>
      <c r="D41" s="7827"/>
      <c r="E41" s="8082"/>
      <c r="F41" s="8082"/>
      <c r="G41" s="8082"/>
      <c r="H41" s="7826"/>
      <c r="I41" s="7826"/>
      <c r="J41" s="7394"/>
      <c r="K41" s="9509"/>
      <c r="M41" s="10242"/>
    </row>
    <row r="42" spans="1:13" ht="15" customHeight="1">
      <c r="A42" s="11566"/>
      <c r="B42" s="10530"/>
      <c r="C42" s="10530"/>
      <c r="D42" s="11567" t="s">
        <v>9</v>
      </c>
      <c r="E42" s="11568" t="s">
        <v>78</v>
      </c>
      <c r="F42" s="14188" t="s">
        <v>10711</v>
      </c>
      <c r="G42" s="14189"/>
      <c r="H42" s="14190"/>
      <c r="I42" s="11568"/>
      <c r="J42" s="9462"/>
      <c r="K42" s="11151" t="s">
        <v>12</v>
      </c>
    </row>
    <row r="43" spans="1:13" ht="15" customHeight="1">
      <c r="A43" s="11570"/>
      <c r="B43" s="7808" t="s">
        <v>13</v>
      </c>
      <c r="C43" s="7808"/>
      <c r="D43" s="14581" t="s">
        <v>14</v>
      </c>
      <c r="E43" s="11571" t="s">
        <v>15</v>
      </c>
      <c r="F43" s="9502" t="s">
        <v>10709</v>
      </c>
      <c r="G43" s="11083" t="s">
        <v>10710</v>
      </c>
      <c r="H43" s="14191" t="s">
        <v>458</v>
      </c>
      <c r="I43" s="11571" t="s">
        <v>9985</v>
      </c>
      <c r="J43" s="11108"/>
      <c r="K43" s="11154" t="s">
        <v>16</v>
      </c>
    </row>
    <row r="44" spans="1:13" ht="15" customHeight="1" thickBot="1">
      <c r="A44" s="11573"/>
      <c r="B44" s="7827"/>
      <c r="C44" s="7827"/>
      <c r="D44" s="14582"/>
      <c r="E44" s="11574">
        <v>2017</v>
      </c>
      <c r="F44" s="9467" t="s">
        <v>457</v>
      </c>
      <c r="G44" s="11076" t="s">
        <v>456</v>
      </c>
      <c r="H44" s="14192"/>
      <c r="I44" s="11574"/>
      <c r="J44" s="7322"/>
      <c r="K44" s="11157">
        <v>2019</v>
      </c>
    </row>
    <row r="45" spans="1:13" ht="15" customHeight="1">
      <c r="A45" s="11577"/>
      <c r="B45" s="7803" t="s">
        <v>38</v>
      </c>
      <c r="C45" s="7803"/>
      <c r="D45" s="10141"/>
      <c r="E45" s="11589"/>
      <c r="F45" s="11589"/>
      <c r="G45" s="11589"/>
      <c r="H45" s="11978"/>
      <c r="I45" s="11978"/>
      <c r="J45" s="11979"/>
      <c r="K45" s="12009"/>
    </row>
    <row r="46" spans="1:13" ht="15" customHeight="1">
      <c r="A46" s="11577"/>
      <c r="B46" s="7803" t="s">
        <v>391</v>
      </c>
      <c r="C46" s="7803"/>
      <c r="D46" s="10565">
        <v>50201010</v>
      </c>
      <c r="E46" s="11583"/>
      <c r="F46" s="11583">
        <f>'WS-MOOE ACTUAL JUNE 2018'!B10</f>
        <v>13443</v>
      </c>
      <c r="G46" s="11583">
        <f>H46-F46</f>
        <v>36557</v>
      </c>
      <c r="H46" s="10108">
        <v>50000</v>
      </c>
      <c r="I46" s="11583">
        <v>10855</v>
      </c>
      <c r="J46" s="10110">
        <f>I46/H46</f>
        <v>0.21709999999999999</v>
      </c>
      <c r="K46" s="11097">
        <v>80000</v>
      </c>
    </row>
    <row r="47" spans="1:13" ht="15" customHeight="1">
      <c r="A47" s="11577"/>
      <c r="B47" s="7803" t="s">
        <v>10324</v>
      </c>
      <c r="C47" s="7803"/>
      <c r="D47" s="10565">
        <v>50202010</v>
      </c>
      <c r="E47" s="11583"/>
      <c r="F47" s="11583">
        <f>'WS-MOOE ACTUAL JUNE 2018'!G10</f>
        <v>0</v>
      </c>
      <c r="G47" s="11583">
        <f t="shared" ref="G47:G67" si="2">H47-F47</f>
        <v>30000</v>
      </c>
      <c r="H47" s="10396">
        <v>30000</v>
      </c>
      <c r="I47" s="11583">
        <v>0</v>
      </c>
      <c r="J47" s="10110">
        <f t="shared" ref="J47:J67" si="3">I47/H47</f>
        <v>0</v>
      </c>
      <c r="K47" s="12010">
        <v>50000</v>
      </c>
    </row>
    <row r="48" spans="1:13" ht="15" customHeight="1">
      <c r="A48" s="11577"/>
      <c r="B48" s="7803" t="s">
        <v>392</v>
      </c>
      <c r="C48" s="7803"/>
      <c r="D48" s="10565">
        <v>50203010</v>
      </c>
      <c r="E48" s="11583"/>
      <c r="F48" s="11583">
        <f>'WS-MOOE ACTUAL JUNE 2018'!H10</f>
        <v>0</v>
      </c>
      <c r="G48" s="11583">
        <f t="shared" si="2"/>
        <v>70000</v>
      </c>
      <c r="H48" s="10108">
        <v>70000</v>
      </c>
      <c r="I48" s="11583">
        <v>62300</v>
      </c>
      <c r="J48" s="10110">
        <f t="shared" si="3"/>
        <v>0.89</v>
      </c>
      <c r="K48" s="11097">
        <v>110000</v>
      </c>
    </row>
    <row r="49" spans="1:12" ht="15" hidden="1" customHeight="1">
      <c r="A49" s="11577"/>
      <c r="B49" s="7803" t="s">
        <v>10336</v>
      </c>
      <c r="C49" s="7803"/>
      <c r="D49" s="10565">
        <v>50203090</v>
      </c>
      <c r="E49" s="11583"/>
      <c r="F49" s="11583"/>
      <c r="G49" s="11583">
        <f t="shared" si="2"/>
        <v>0</v>
      </c>
      <c r="H49" s="10396"/>
      <c r="I49" s="11583"/>
      <c r="J49" s="10110" t="e">
        <f t="shared" si="3"/>
        <v>#DIV/0!</v>
      </c>
      <c r="K49" s="12010"/>
    </row>
    <row r="50" spans="1:12" ht="15" hidden="1" customHeight="1">
      <c r="A50" s="11577"/>
      <c r="B50" s="7803" t="s">
        <v>394</v>
      </c>
      <c r="C50" s="7803"/>
      <c r="D50" s="10565">
        <v>50204010</v>
      </c>
      <c r="E50" s="11583"/>
      <c r="F50" s="11583"/>
      <c r="G50" s="11583">
        <f t="shared" si="2"/>
        <v>0</v>
      </c>
      <c r="H50" s="10396"/>
      <c r="I50" s="11583"/>
      <c r="J50" s="10110" t="e">
        <f t="shared" si="3"/>
        <v>#DIV/0!</v>
      </c>
      <c r="K50" s="12010"/>
    </row>
    <row r="51" spans="1:12" ht="15" hidden="1" customHeight="1">
      <c r="A51" s="11577"/>
      <c r="B51" s="7803" t="s">
        <v>395</v>
      </c>
      <c r="C51" s="7803"/>
      <c r="D51" s="10565">
        <v>50204020</v>
      </c>
      <c r="E51" s="11583"/>
      <c r="F51" s="11583"/>
      <c r="G51" s="11583">
        <f t="shared" si="2"/>
        <v>0</v>
      </c>
      <c r="H51" s="10396"/>
      <c r="I51" s="11583"/>
      <c r="J51" s="10110" t="e">
        <f t="shared" si="3"/>
        <v>#DIV/0!</v>
      </c>
      <c r="K51" s="12010"/>
    </row>
    <row r="52" spans="1:12" ht="15" hidden="1" customHeight="1">
      <c r="A52" s="11577"/>
      <c r="B52" s="7803" t="s">
        <v>396</v>
      </c>
      <c r="C52" s="7803"/>
      <c r="D52" s="10565">
        <v>50205010</v>
      </c>
      <c r="E52" s="11583"/>
      <c r="F52" s="11583"/>
      <c r="G52" s="11583">
        <f t="shared" si="2"/>
        <v>0</v>
      </c>
      <c r="H52" s="10396"/>
      <c r="I52" s="11583"/>
      <c r="J52" s="10110" t="e">
        <f t="shared" si="3"/>
        <v>#DIV/0!</v>
      </c>
      <c r="K52" s="12010"/>
    </row>
    <row r="53" spans="1:12" ht="15" customHeight="1">
      <c r="A53" s="11577"/>
      <c r="B53" s="7803" t="s">
        <v>11847</v>
      </c>
      <c r="C53" s="7803"/>
      <c r="D53" s="10565">
        <v>50205020</v>
      </c>
      <c r="E53" s="11583"/>
      <c r="F53" s="11583">
        <f>'WS-MOOE ACTUAL JUNE 2018'!V10</f>
        <v>0</v>
      </c>
      <c r="G53" s="11583">
        <f t="shared" si="2"/>
        <v>50000</v>
      </c>
      <c r="H53" s="10108">
        <v>50000</v>
      </c>
      <c r="I53" s="11583">
        <v>0</v>
      </c>
      <c r="J53" s="10110">
        <f t="shared" si="3"/>
        <v>0</v>
      </c>
      <c r="K53" s="11097">
        <v>50000</v>
      </c>
      <c r="L53" s="7799" t="s">
        <v>11855</v>
      </c>
    </row>
    <row r="54" spans="1:12" ht="15" hidden="1" customHeight="1">
      <c r="A54" s="11577"/>
      <c r="B54" s="7803" t="s">
        <v>10338</v>
      </c>
      <c r="C54" s="7803"/>
      <c r="D54" s="10565"/>
      <c r="E54" s="11583"/>
      <c r="F54" s="11583"/>
      <c r="G54" s="11583">
        <f t="shared" si="2"/>
        <v>0</v>
      </c>
      <c r="H54" s="10396"/>
      <c r="I54" s="11583"/>
      <c r="J54" s="10110" t="e">
        <f t="shared" si="3"/>
        <v>#DIV/0!</v>
      </c>
      <c r="K54" s="12010"/>
    </row>
    <row r="55" spans="1:12" ht="15" hidden="1" customHeight="1">
      <c r="A55" s="11577"/>
      <c r="B55" s="7803" t="s">
        <v>10951</v>
      </c>
      <c r="C55" s="7803"/>
      <c r="D55" s="10565">
        <v>50205030</v>
      </c>
      <c r="E55" s="11583"/>
      <c r="F55" s="11583"/>
      <c r="G55" s="11583">
        <f t="shared" si="2"/>
        <v>0</v>
      </c>
      <c r="H55" s="10396"/>
      <c r="I55" s="11583"/>
      <c r="J55" s="10110" t="e">
        <f t="shared" si="3"/>
        <v>#DIV/0!</v>
      </c>
      <c r="K55" s="12010"/>
    </row>
    <row r="56" spans="1:12" ht="15" hidden="1" customHeight="1">
      <c r="A56" s="11577"/>
      <c r="B56" s="7803" t="s">
        <v>10672</v>
      </c>
      <c r="C56" s="7803"/>
      <c r="D56" s="10565">
        <v>50299030</v>
      </c>
      <c r="E56" s="11583"/>
      <c r="F56" s="11583"/>
      <c r="G56" s="11583">
        <f t="shared" si="2"/>
        <v>0</v>
      </c>
      <c r="H56" s="10396"/>
      <c r="I56" s="11583"/>
      <c r="J56" s="10110" t="e">
        <f t="shared" si="3"/>
        <v>#DIV/0!</v>
      </c>
      <c r="K56" s="12010"/>
    </row>
    <row r="57" spans="1:12" ht="15" hidden="1" customHeight="1">
      <c r="A57" s="11577"/>
      <c r="B57" s="7803" t="s">
        <v>10673</v>
      </c>
      <c r="C57" s="7803"/>
      <c r="D57" s="10565">
        <v>50299070</v>
      </c>
      <c r="E57" s="11583"/>
      <c r="F57" s="11583"/>
      <c r="G57" s="11583">
        <f t="shared" si="2"/>
        <v>0</v>
      </c>
      <c r="H57" s="10396"/>
      <c r="I57" s="11583"/>
      <c r="J57" s="10110" t="e">
        <f t="shared" si="3"/>
        <v>#DIV/0!</v>
      </c>
      <c r="K57" s="12010"/>
    </row>
    <row r="58" spans="1:12" ht="15" customHeight="1">
      <c r="A58" s="11577"/>
      <c r="B58" s="7951" t="s">
        <v>10960</v>
      </c>
      <c r="C58" s="7803"/>
      <c r="D58" s="10565"/>
      <c r="E58" s="11583"/>
      <c r="F58" s="11583"/>
      <c r="G58" s="11583"/>
      <c r="H58" s="10396"/>
      <c r="I58" s="11583"/>
      <c r="J58" s="10110"/>
      <c r="K58" s="12010">
        <v>300000</v>
      </c>
    </row>
    <row r="59" spans="1:12" ht="15" customHeight="1">
      <c r="A59" s="11577"/>
      <c r="B59" s="7352" t="s">
        <v>10956</v>
      </c>
      <c r="C59" s="7352"/>
      <c r="D59" s="10567">
        <v>50212990</v>
      </c>
      <c r="E59" s="11583"/>
      <c r="F59" s="11583"/>
      <c r="G59" s="11583">
        <f t="shared" si="2"/>
        <v>0</v>
      </c>
      <c r="H59" s="10396"/>
      <c r="I59" s="11583"/>
      <c r="J59" s="10110"/>
      <c r="K59" s="12010">
        <v>300000</v>
      </c>
    </row>
    <row r="60" spans="1:12" ht="15" hidden="1" customHeight="1">
      <c r="A60" s="11577"/>
      <c r="B60" s="7488" t="s">
        <v>10955</v>
      </c>
      <c r="C60" s="7488"/>
      <c r="D60" s="10566">
        <v>50211990</v>
      </c>
      <c r="E60" s="11583"/>
      <c r="F60" s="11583"/>
      <c r="G60" s="11583">
        <f t="shared" si="2"/>
        <v>0</v>
      </c>
      <c r="H60" s="10396"/>
      <c r="I60" s="11583"/>
      <c r="J60" s="10110"/>
      <c r="K60" s="12010"/>
      <c r="L60" s="7799" t="s">
        <v>11856</v>
      </c>
    </row>
    <row r="61" spans="1:12" ht="15" hidden="1" customHeight="1">
      <c r="A61" s="11577"/>
      <c r="B61" s="7803" t="s">
        <v>10675</v>
      </c>
      <c r="C61" s="7803"/>
      <c r="D61" s="10565"/>
      <c r="E61" s="11583"/>
      <c r="F61" s="11583"/>
      <c r="G61" s="11583">
        <f t="shared" si="2"/>
        <v>0</v>
      </c>
      <c r="H61" s="10396"/>
      <c r="I61" s="11583"/>
      <c r="J61" s="10110"/>
      <c r="K61" s="12010"/>
    </row>
    <row r="62" spans="1:12" ht="15" hidden="1" customHeight="1">
      <c r="A62" s="11577"/>
      <c r="B62" s="7488" t="s">
        <v>10959</v>
      </c>
      <c r="C62" s="7488"/>
      <c r="D62" s="10565">
        <v>50213040</v>
      </c>
      <c r="E62" s="11583"/>
      <c r="F62" s="11583"/>
      <c r="G62" s="11583">
        <f t="shared" si="2"/>
        <v>0</v>
      </c>
      <c r="H62" s="10396"/>
      <c r="I62" s="11583"/>
      <c r="J62" s="10110"/>
      <c r="K62" s="12010"/>
    </row>
    <row r="63" spans="1:12" ht="15" hidden="1" customHeight="1">
      <c r="A63" s="11577"/>
      <c r="B63" s="7803" t="s">
        <v>401</v>
      </c>
      <c r="C63" s="7803"/>
      <c r="D63" s="10565"/>
      <c r="E63" s="11583"/>
      <c r="F63" s="11583"/>
      <c r="G63" s="11583">
        <f t="shared" si="2"/>
        <v>0</v>
      </c>
      <c r="H63" s="10396"/>
      <c r="I63" s="11583"/>
      <c r="J63" s="10110"/>
      <c r="K63" s="12010"/>
    </row>
    <row r="64" spans="1:12" ht="15" customHeight="1">
      <c r="A64" s="11577"/>
      <c r="B64" s="7488" t="s">
        <v>10957</v>
      </c>
      <c r="C64" s="7488"/>
      <c r="D64" s="10567">
        <v>50213050</v>
      </c>
      <c r="E64" s="11583"/>
      <c r="F64" s="11583"/>
      <c r="G64" s="11583">
        <f t="shared" si="2"/>
        <v>0</v>
      </c>
      <c r="H64" s="10396"/>
      <c r="I64" s="11583"/>
      <c r="J64" s="10110"/>
      <c r="K64" s="12010">
        <f>200000-50000</f>
        <v>150000</v>
      </c>
      <c r="L64" s="7799" t="s">
        <v>12199</v>
      </c>
    </row>
    <row r="65" spans="1:14" ht="15" hidden="1" customHeight="1">
      <c r="A65" s="11577"/>
      <c r="B65" s="7488" t="s">
        <v>10958</v>
      </c>
      <c r="C65" s="7488"/>
      <c r="D65" s="10566">
        <v>50213060</v>
      </c>
      <c r="E65" s="11583"/>
      <c r="F65" s="11583"/>
      <c r="G65" s="11583">
        <f t="shared" si="2"/>
        <v>0</v>
      </c>
      <c r="H65" s="10396"/>
      <c r="I65" s="11583"/>
      <c r="J65" s="10110" t="e">
        <f t="shared" si="3"/>
        <v>#DIV/0!</v>
      </c>
      <c r="K65" s="12010"/>
    </row>
    <row r="66" spans="1:14" ht="15" hidden="1" customHeight="1">
      <c r="A66" s="11577"/>
      <c r="B66" s="7803" t="s">
        <v>402</v>
      </c>
      <c r="C66" s="7803"/>
      <c r="D66" s="10565">
        <v>50215020</v>
      </c>
      <c r="E66" s="11583"/>
      <c r="F66" s="11583"/>
      <c r="G66" s="11583">
        <f t="shared" si="2"/>
        <v>0</v>
      </c>
      <c r="H66" s="10396"/>
      <c r="I66" s="11583"/>
      <c r="J66" s="10110" t="e">
        <f t="shared" si="3"/>
        <v>#DIV/0!</v>
      </c>
      <c r="K66" s="12010"/>
    </row>
    <row r="67" spans="1:14" ht="15" customHeight="1">
      <c r="A67" s="11570"/>
      <c r="B67" s="7803" t="s">
        <v>10949</v>
      </c>
      <c r="C67" s="7803"/>
      <c r="D67" s="10565">
        <v>50299990</v>
      </c>
      <c r="E67" s="11583"/>
      <c r="F67" s="11583">
        <f>'WS-MOOE ACTUAL JUNE 2018'!BI10</f>
        <v>0</v>
      </c>
      <c r="G67" s="11583">
        <f t="shared" si="2"/>
        <v>100000</v>
      </c>
      <c r="H67" s="10396">
        <v>100000</v>
      </c>
      <c r="I67" s="11583">
        <v>53334</v>
      </c>
      <c r="J67" s="10110">
        <f t="shared" si="3"/>
        <v>0.53334000000000004</v>
      </c>
      <c r="K67" s="12010">
        <v>100000</v>
      </c>
    </row>
    <row r="68" spans="1:14" ht="15" customHeight="1">
      <c r="A68" s="11570"/>
      <c r="B68" s="7803"/>
      <c r="C68" s="7803"/>
      <c r="D68" s="12005"/>
      <c r="E68" s="11583"/>
      <c r="F68" s="11583"/>
      <c r="G68" s="11583"/>
      <c r="H68" s="10396"/>
      <c r="I68" s="11583"/>
      <c r="J68" s="10397"/>
      <c r="K68" s="12010"/>
    </row>
    <row r="69" spans="1:14" ht="15" customHeight="1">
      <c r="A69" s="11570"/>
      <c r="B69" s="7809" t="s">
        <v>37</v>
      </c>
      <c r="C69" s="7809"/>
      <c r="D69" s="10565"/>
      <c r="E69" s="9540">
        <f>SUM(E46:E68)</f>
        <v>0</v>
      </c>
      <c r="F69" s="11601">
        <f>SUM(F46:F68)</f>
        <v>13443</v>
      </c>
      <c r="G69" s="11601">
        <f>SUM(G46:G68)</f>
        <v>286557</v>
      </c>
      <c r="H69" s="11601">
        <f>SUM(H46:H68)</f>
        <v>300000</v>
      </c>
      <c r="I69" s="11601">
        <f>SUM(I46:I68)</f>
        <v>126489</v>
      </c>
      <c r="J69" s="11206"/>
      <c r="K69" s="11207">
        <f>SUM(K46:K68)</f>
        <v>1140000</v>
      </c>
      <c r="L69" s="10581">
        <f>(K69-H69)/H69</f>
        <v>2.8</v>
      </c>
    </row>
    <row r="70" spans="1:14" ht="15" customHeight="1">
      <c r="A70" s="11570"/>
      <c r="B70" s="7803"/>
      <c r="C70" s="7803"/>
      <c r="D70" s="10565"/>
      <c r="E70" s="11605"/>
      <c r="F70" s="11606"/>
      <c r="G70" s="11606"/>
      <c r="H70" s="11608"/>
      <c r="I70" s="11608"/>
      <c r="J70" s="11503"/>
      <c r="K70" s="11504"/>
    </row>
    <row r="71" spans="1:14" ht="15" customHeight="1">
      <c r="A71" s="11577" t="s">
        <v>51</v>
      </c>
      <c r="B71" s="7803" t="s">
        <v>52</v>
      </c>
      <c r="C71" s="7803"/>
      <c r="D71" s="10565"/>
      <c r="E71" s="11610"/>
      <c r="F71" s="11610"/>
      <c r="G71" s="11610"/>
      <c r="H71" s="11583"/>
      <c r="I71" s="11583"/>
      <c r="J71" s="11163"/>
      <c r="K71" s="11162"/>
    </row>
    <row r="72" spans="1:14" ht="15" customHeight="1">
      <c r="A72" s="11577"/>
      <c r="B72" s="12006"/>
      <c r="C72" s="12006"/>
      <c r="D72" s="10141"/>
      <c r="E72" s="11614"/>
      <c r="F72" s="11614"/>
      <c r="G72" s="11614"/>
      <c r="H72" s="10278"/>
      <c r="I72" s="10278"/>
      <c r="J72" s="8799"/>
      <c r="K72" s="11133"/>
    </row>
    <row r="73" spans="1:14" s="7811" customFormat="1" ht="15" customHeight="1">
      <c r="A73" s="11615"/>
      <c r="B73" s="7809" t="s">
        <v>37</v>
      </c>
      <c r="C73" s="7809"/>
      <c r="D73" s="11616"/>
      <c r="E73" s="9539">
        <f>SUM(E72:E72)</f>
        <v>0</v>
      </c>
      <c r="F73" s="9540">
        <f>SUM(F72:F72)</f>
        <v>0</v>
      </c>
      <c r="G73" s="9540">
        <f>SUM(G72)</f>
        <v>0</v>
      </c>
      <c r="H73" s="9540">
        <f>SUM(H71:H71)</f>
        <v>0</v>
      </c>
      <c r="I73" s="9540">
        <f>SUM(I72:I72)</f>
        <v>0</v>
      </c>
      <c r="J73" s="9466"/>
      <c r="K73" s="11137">
        <f>SUM(K71:K72)</f>
        <v>0</v>
      </c>
      <c r="M73" s="10242"/>
    </row>
    <row r="74" spans="1:14" s="7811" customFormat="1" ht="15" customHeight="1">
      <c r="A74" s="11615"/>
      <c r="B74" s="7809"/>
      <c r="C74" s="7809"/>
      <c r="D74" s="11616"/>
      <c r="E74" s="11948"/>
      <c r="F74" s="12007"/>
      <c r="G74" s="12007"/>
      <c r="H74" s="12008"/>
      <c r="I74" s="12008"/>
      <c r="J74" s="8874"/>
      <c r="K74" s="12011"/>
      <c r="M74" s="10242"/>
    </row>
    <row r="75" spans="1:14" ht="15" customHeight="1">
      <c r="A75" s="11577" t="s">
        <v>53</v>
      </c>
      <c r="B75" s="7803" t="s">
        <v>54</v>
      </c>
      <c r="C75" s="7803"/>
      <c r="D75" s="10141"/>
      <c r="E75" s="11614"/>
      <c r="F75" s="11944"/>
      <c r="G75" s="11944"/>
      <c r="H75" s="10393"/>
      <c r="I75" s="10393"/>
      <c r="J75" s="9413"/>
      <c r="K75" s="11251"/>
    </row>
    <row r="76" spans="1:14" ht="15" customHeight="1">
      <c r="A76" s="11577"/>
      <c r="B76" s="7352"/>
      <c r="C76" s="7352"/>
      <c r="D76" s="10141"/>
      <c r="E76" s="11932"/>
      <c r="F76" s="11944">
        <v>0</v>
      </c>
      <c r="G76" s="11944"/>
      <c r="H76" s="10393"/>
      <c r="I76" s="10393"/>
      <c r="J76" s="9413"/>
      <c r="K76" s="11251"/>
    </row>
    <row r="77" spans="1:14" ht="15" customHeight="1">
      <c r="A77" s="11577"/>
      <c r="B77" s="11628" t="s">
        <v>12201</v>
      </c>
      <c r="C77" s="11628"/>
      <c r="D77" s="10141"/>
      <c r="E77" s="11932"/>
      <c r="F77" s="11944">
        <v>162780</v>
      </c>
      <c r="G77" s="11583">
        <f>H77-F77</f>
        <v>1537220</v>
      </c>
      <c r="H77" s="10393">
        <v>1700000</v>
      </c>
      <c r="I77" s="10393">
        <v>1028230</v>
      </c>
      <c r="J77" s="10110">
        <f>I77/H77</f>
        <v>0.60484117647058822</v>
      </c>
      <c r="K77" s="11097">
        <v>2400000</v>
      </c>
      <c r="L77" s="7823" t="s">
        <v>12010</v>
      </c>
      <c r="M77" s="10243"/>
      <c r="N77" s="8083"/>
    </row>
    <row r="78" spans="1:14" ht="15" customHeight="1">
      <c r="A78" s="11577"/>
      <c r="B78" s="11628" t="s">
        <v>12202</v>
      </c>
      <c r="C78" s="11628"/>
      <c r="D78" s="10141"/>
      <c r="E78" s="11932"/>
      <c r="F78" s="11944">
        <v>17380</v>
      </c>
      <c r="G78" s="11583">
        <f>H78-F78</f>
        <v>1982620</v>
      </c>
      <c r="H78" s="10393">
        <v>2000000</v>
      </c>
      <c r="I78" s="10393">
        <v>1974080</v>
      </c>
      <c r="J78" s="10110">
        <f>I78/H78</f>
        <v>0.98704000000000003</v>
      </c>
      <c r="K78" s="11097">
        <v>2000000</v>
      </c>
      <c r="L78" s="7823"/>
      <c r="M78" s="10243"/>
      <c r="N78" s="8083"/>
    </row>
    <row r="79" spans="1:14" ht="15" customHeight="1">
      <c r="A79" s="11577"/>
      <c r="B79" s="11628" t="s">
        <v>12203</v>
      </c>
      <c r="C79" s="11628"/>
      <c r="D79" s="10141"/>
      <c r="E79" s="11932"/>
      <c r="F79" s="11944">
        <v>1097465.6000000001</v>
      </c>
      <c r="G79" s="11583">
        <f>H79-F79</f>
        <v>1302534.3999999999</v>
      </c>
      <c r="H79" s="10393">
        <v>2400000</v>
      </c>
      <c r="I79" s="10393">
        <v>2090500.6</v>
      </c>
      <c r="J79" s="10110">
        <f>I79/H79</f>
        <v>0.87104191666666675</v>
      </c>
      <c r="K79" s="11097">
        <v>2400000</v>
      </c>
      <c r="L79" s="7823"/>
      <c r="M79" s="10243"/>
      <c r="N79" s="8083"/>
    </row>
    <row r="80" spans="1:14" ht="15" customHeight="1">
      <c r="A80" s="11577"/>
      <c r="B80" s="11628" t="s">
        <v>12204</v>
      </c>
      <c r="C80" s="11628"/>
      <c r="D80" s="10141"/>
      <c r="E80" s="11932"/>
      <c r="F80" s="11944">
        <v>0</v>
      </c>
      <c r="G80" s="11583">
        <f>H80-F80</f>
        <v>5000000</v>
      </c>
      <c r="H80" s="10393">
        <v>5000000</v>
      </c>
      <c r="I80" s="10393">
        <v>3557100</v>
      </c>
      <c r="J80" s="10110">
        <f>I80/H80</f>
        <v>0.71142000000000005</v>
      </c>
      <c r="K80" s="11096">
        <v>0</v>
      </c>
      <c r="L80" s="7823"/>
      <c r="M80" s="10243"/>
      <c r="N80" s="8083"/>
    </row>
    <row r="81" spans="1:14" ht="15" customHeight="1">
      <c r="A81" s="11577"/>
      <c r="B81" s="11993"/>
      <c r="C81" s="11993"/>
      <c r="D81" s="10141"/>
      <c r="E81" s="11932"/>
      <c r="F81" s="11944"/>
      <c r="G81" s="11944"/>
      <c r="H81" s="10393"/>
      <c r="I81" s="10393"/>
      <c r="J81" s="9413"/>
      <c r="K81" s="11251"/>
      <c r="L81" s="7823"/>
      <c r="M81" s="10243"/>
      <c r="N81" s="8083"/>
    </row>
    <row r="82" spans="1:14" s="7811" customFormat="1" ht="15" customHeight="1">
      <c r="A82" s="11645"/>
      <c r="B82" s="10531" t="s">
        <v>4680</v>
      </c>
      <c r="C82" s="10531"/>
      <c r="D82" s="11648"/>
      <c r="E82" s="9540">
        <f>SUM(E76:E81)</f>
        <v>0</v>
      </c>
      <c r="F82" s="9540">
        <f>SUM(F76:F81)</f>
        <v>1277625.6000000001</v>
      </c>
      <c r="G82" s="9540">
        <f>SUM(G76:G81)</f>
        <v>9822374.4000000004</v>
      </c>
      <c r="H82" s="9540">
        <f>SUM(H76:H81)</f>
        <v>11100000</v>
      </c>
      <c r="I82" s="9540">
        <f>SUM(I76:I81)</f>
        <v>8649910.5999999996</v>
      </c>
      <c r="J82" s="9466"/>
      <c r="K82" s="11137">
        <f>SUM(K77:K81)</f>
        <v>6800000</v>
      </c>
      <c r="L82" s="10581">
        <f>(K82-H82)/H82</f>
        <v>-0.38738738738738737</v>
      </c>
      <c r="M82" s="10242"/>
    </row>
    <row r="83" spans="1:14" ht="15" customHeight="1" thickBot="1">
      <c r="A83" s="11649"/>
      <c r="B83" s="11650" t="s">
        <v>55</v>
      </c>
      <c r="C83" s="11650"/>
      <c r="D83" s="11652"/>
      <c r="E83" s="11586">
        <f>(E27+E69+E82+E73)</f>
        <v>0</v>
      </c>
      <c r="F83" s="11585">
        <f>SUM(F69+F73+F82+F27)</f>
        <v>1694361.81</v>
      </c>
      <c r="G83" s="11585">
        <f>SUM(G69+G73+G82+G27)</f>
        <v>11057796.190000001</v>
      </c>
      <c r="H83" s="11585">
        <f>SUM(H69+H73+H82+H27)</f>
        <v>12752158</v>
      </c>
      <c r="I83" s="11585"/>
      <c r="J83" s="11449"/>
      <c r="K83" s="11496">
        <f>SUM(K69+K73+K82+K27)</f>
        <v>9191385.1699999999</v>
      </c>
      <c r="L83" s="10581">
        <f>(K83-H83)/H83</f>
        <v>-0.27922903950845024</v>
      </c>
    </row>
    <row r="84" spans="1:14" s="7333" customFormat="1" ht="15" customHeight="1">
      <c r="A84" s="7812" t="s">
        <v>4763</v>
      </c>
      <c r="B84" s="7812"/>
      <c r="C84" s="7812"/>
      <c r="D84" s="7813"/>
      <c r="E84" s="7812"/>
      <c r="F84" s="7812"/>
      <c r="G84" s="7812"/>
      <c r="J84" s="7816"/>
      <c r="K84" s="8157"/>
      <c r="M84" s="7842"/>
    </row>
    <row r="85" spans="1:14" s="7333" customFormat="1" ht="15" customHeight="1">
      <c r="A85" s="7812"/>
      <c r="B85" s="7812"/>
      <c r="C85" s="7812"/>
      <c r="D85" s="7813"/>
      <c r="E85" s="7812"/>
      <c r="F85" s="7812"/>
      <c r="G85" s="7812"/>
      <c r="J85" s="7816"/>
      <c r="K85" s="8157"/>
      <c r="M85" s="7842"/>
    </row>
    <row r="86" spans="1:14" ht="15" hidden="1" customHeight="1">
      <c r="B86" s="7761" t="s">
        <v>3483</v>
      </c>
      <c r="C86" s="7761"/>
      <c r="D86" s="7799"/>
      <c r="E86" s="10870" t="s">
        <v>3484</v>
      </c>
      <c r="F86" s="7761"/>
      <c r="G86" s="7761"/>
      <c r="H86" s="7337" t="s">
        <v>10666</v>
      </c>
      <c r="I86" s="7337" t="s">
        <v>10666</v>
      </c>
      <c r="J86" s="7337"/>
      <c r="K86" s="7337"/>
    </row>
    <row r="87" spans="1:14" s="7811" customFormat="1" ht="15" hidden="1" customHeight="1">
      <c r="A87" s="7761"/>
      <c r="B87" s="7761"/>
      <c r="C87" s="7761"/>
      <c r="E87" s="10870"/>
      <c r="F87" s="7761"/>
      <c r="G87" s="7761"/>
      <c r="H87" s="7339"/>
      <c r="I87" s="7339"/>
      <c r="J87" s="7339"/>
      <c r="K87" s="7339"/>
      <c r="M87" s="10242"/>
    </row>
    <row r="88" spans="1:14" ht="15" hidden="1" customHeight="1">
      <c r="A88" s="7761"/>
      <c r="B88" s="7761"/>
      <c r="C88" s="7761"/>
      <c r="D88" s="7799"/>
      <c r="E88" s="10870"/>
      <c r="F88" s="7761"/>
      <c r="G88" s="7761"/>
      <c r="H88" s="7339"/>
      <c r="I88" s="7339"/>
      <c r="J88" s="7339"/>
    </row>
    <row r="89" spans="1:14" ht="15" hidden="1" customHeight="1">
      <c r="B89" s="9496" t="s">
        <v>11177</v>
      </c>
      <c r="C89" s="9496"/>
      <c r="D89" s="7799"/>
      <c r="E89" s="9604" t="s">
        <v>12067</v>
      </c>
      <c r="F89" s="7765"/>
      <c r="G89" s="7765"/>
      <c r="H89" s="7342" t="s">
        <v>10667</v>
      </c>
      <c r="I89" s="7342" t="s">
        <v>9154</v>
      </c>
      <c r="J89" s="7342"/>
      <c r="K89" s="7342"/>
    </row>
    <row r="90" spans="1:14" ht="15" hidden="1" customHeight="1">
      <c r="B90" s="10878" t="s">
        <v>11178</v>
      </c>
      <c r="C90" s="10878"/>
      <c r="D90" s="7799"/>
      <c r="E90" s="7821" t="s">
        <v>10347</v>
      </c>
      <c r="F90" s="7821"/>
      <c r="G90" s="7821"/>
      <c r="H90" s="7344" t="s">
        <v>10668</v>
      </c>
      <c r="I90" s="7344" t="s">
        <v>10665</v>
      </c>
      <c r="J90" s="7344"/>
      <c r="K90" s="12012"/>
    </row>
    <row r="92" spans="1:14" ht="15" customHeight="1">
      <c r="I92" s="7823">
        <f>K83-H83</f>
        <v>-3560772.83</v>
      </c>
      <c r="J92" s="7348">
        <f>I92/H83</f>
        <v>-0.27922903950845024</v>
      </c>
    </row>
  </sheetData>
  <mergeCells count="8">
    <mergeCell ref="D43:D44"/>
    <mergeCell ref="H43:H44"/>
    <mergeCell ref="A1:K1"/>
    <mergeCell ref="F6:H6"/>
    <mergeCell ref="D7:D8"/>
    <mergeCell ref="H7:H8"/>
    <mergeCell ref="F42:H42"/>
    <mergeCell ref="K3:K4"/>
  </mergeCells>
  <printOptions horizontalCentered="1" gridLinesSet="0"/>
  <pageMargins left="0.25" right="0.25" top="0.5" bottom="0.25" header="0.25" footer="0.25"/>
  <pageSetup paperSize="119" firstPageNumber="36" orientation="landscape" useFirstPageNumber="1" r:id="rId1"/>
  <headerFooter alignWithMargins="0"/>
</worksheet>
</file>

<file path=xl/worksheets/sheet64.xml><?xml version="1.0" encoding="utf-8"?>
<worksheet xmlns="http://schemas.openxmlformats.org/spreadsheetml/2006/main" xmlns:r="http://schemas.openxmlformats.org/officeDocument/2006/relationships">
  <sheetPr codeName="Sheet220">
    <tabColor rgb="FFFFFF00"/>
  </sheetPr>
  <dimension ref="A1:J58"/>
  <sheetViews>
    <sheetView workbookViewId="0">
      <selection activeCell="G2" sqref="G1:O1048576"/>
    </sheetView>
  </sheetViews>
  <sheetFormatPr defaultRowHeight="12.9" customHeight="1"/>
  <cols>
    <col min="1" max="1" width="40.5546875" style="7001" customWidth="1"/>
    <col min="2" max="3" width="8.5546875" style="7001" customWidth="1"/>
    <col min="4" max="4" width="27.109375" style="7001" hidden="1" customWidth="1"/>
    <col min="5" max="7" width="14.5546875" style="7001" customWidth="1"/>
    <col min="8" max="9" width="8.88671875" style="7001" customWidth="1"/>
    <col min="10" max="10" width="12.6640625" style="7001" customWidth="1"/>
    <col min="11" max="14" width="8.88671875" style="7001" customWidth="1"/>
    <col min="15" max="256" width="9.109375" style="7001"/>
    <col min="257" max="257" width="33.44140625" style="7001" customWidth="1"/>
    <col min="258" max="258" width="7.44140625" style="7001" customWidth="1"/>
    <col min="259" max="259" width="7" style="7001" customWidth="1"/>
    <col min="260" max="260" width="0" style="7001" hidden="1" customWidth="1"/>
    <col min="261" max="261" width="10.109375" style="7001" customWidth="1"/>
    <col min="262" max="262" width="14.44140625" style="7001" customWidth="1"/>
    <col min="263" max="263" width="17.109375" style="7001" customWidth="1"/>
    <col min="264" max="512" width="9.109375" style="7001"/>
    <col min="513" max="513" width="33.44140625" style="7001" customWidth="1"/>
    <col min="514" max="514" width="7.44140625" style="7001" customWidth="1"/>
    <col min="515" max="515" width="7" style="7001" customWidth="1"/>
    <col min="516" max="516" width="0" style="7001" hidden="1" customWidth="1"/>
    <col min="517" max="517" width="10.109375" style="7001" customWidth="1"/>
    <col min="518" max="518" width="14.44140625" style="7001" customWidth="1"/>
    <col min="519" max="519" width="17.109375" style="7001" customWidth="1"/>
    <col min="520" max="768" width="9.109375" style="7001"/>
    <col min="769" max="769" width="33.44140625" style="7001" customWidth="1"/>
    <col min="770" max="770" width="7.44140625" style="7001" customWidth="1"/>
    <col min="771" max="771" width="7" style="7001" customWidth="1"/>
    <col min="772" max="772" width="0" style="7001" hidden="1" customWidth="1"/>
    <col min="773" max="773" width="10.109375" style="7001" customWidth="1"/>
    <col min="774" max="774" width="14.44140625" style="7001" customWidth="1"/>
    <col min="775" max="775" width="17.109375" style="7001" customWidth="1"/>
    <col min="776" max="1024" width="9.109375" style="7001"/>
    <col min="1025" max="1025" width="33.44140625" style="7001" customWidth="1"/>
    <col min="1026" max="1026" width="7.44140625" style="7001" customWidth="1"/>
    <col min="1027" max="1027" width="7" style="7001" customWidth="1"/>
    <col min="1028" max="1028" width="0" style="7001" hidden="1" customWidth="1"/>
    <col min="1029" max="1029" width="10.109375" style="7001" customWidth="1"/>
    <col min="1030" max="1030" width="14.44140625" style="7001" customWidth="1"/>
    <col min="1031" max="1031" width="17.109375" style="7001" customWidth="1"/>
    <col min="1032" max="1280" width="9.109375" style="7001"/>
    <col min="1281" max="1281" width="33.44140625" style="7001" customWidth="1"/>
    <col min="1282" max="1282" width="7.44140625" style="7001" customWidth="1"/>
    <col min="1283" max="1283" width="7" style="7001" customWidth="1"/>
    <col min="1284" max="1284" width="0" style="7001" hidden="1" customWidth="1"/>
    <col min="1285" max="1285" width="10.109375" style="7001" customWidth="1"/>
    <col min="1286" max="1286" width="14.44140625" style="7001" customWidth="1"/>
    <col min="1287" max="1287" width="17.109375" style="7001" customWidth="1"/>
    <col min="1288" max="1536" width="9.109375" style="7001"/>
    <col min="1537" max="1537" width="33.44140625" style="7001" customWidth="1"/>
    <col min="1538" max="1538" width="7.44140625" style="7001" customWidth="1"/>
    <col min="1539" max="1539" width="7" style="7001" customWidth="1"/>
    <col min="1540" max="1540" width="0" style="7001" hidden="1" customWidth="1"/>
    <col min="1541" max="1541" width="10.109375" style="7001" customWidth="1"/>
    <col min="1542" max="1542" width="14.44140625" style="7001" customWidth="1"/>
    <col min="1543" max="1543" width="17.109375" style="7001" customWidth="1"/>
    <col min="1544" max="1792" width="9.109375" style="7001"/>
    <col min="1793" max="1793" width="33.44140625" style="7001" customWidth="1"/>
    <col min="1794" max="1794" width="7.44140625" style="7001" customWidth="1"/>
    <col min="1795" max="1795" width="7" style="7001" customWidth="1"/>
    <col min="1796" max="1796" width="0" style="7001" hidden="1" customWidth="1"/>
    <col min="1797" max="1797" width="10.109375" style="7001" customWidth="1"/>
    <col min="1798" max="1798" width="14.44140625" style="7001" customWidth="1"/>
    <col min="1799" max="1799" width="17.109375" style="7001" customWidth="1"/>
    <col min="1800" max="2048" width="9.109375" style="7001"/>
    <col min="2049" max="2049" width="33.44140625" style="7001" customWidth="1"/>
    <col min="2050" max="2050" width="7.44140625" style="7001" customWidth="1"/>
    <col min="2051" max="2051" width="7" style="7001" customWidth="1"/>
    <col min="2052" max="2052" width="0" style="7001" hidden="1" customWidth="1"/>
    <col min="2053" max="2053" width="10.109375" style="7001" customWidth="1"/>
    <col min="2054" max="2054" width="14.44140625" style="7001" customWidth="1"/>
    <col min="2055" max="2055" width="17.109375" style="7001" customWidth="1"/>
    <col min="2056" max="2304" width="9.109375" style="7001"/>
    <col min="2305" max="2305" width="33.44140625" style="7001" customWidth="1"/>
    <col min="2306" max="2306" width="7.44140625" style="7001" customWidth="1"/>
    <col min="2307" max="2307" width="7" style="7001" customWidth="1"/>
    <col min="2308" max="2308" width="0" style="7001" hidden="1" customWidth="1"/>
    <col min="2309" max="2309" width="10.109375" style="7001" customWidth="1"/>
    <col min="2310" max="2310" width="14.44140625" style="7001" customWidth="1"/>
    <col min="2311" max="2311" width="17.109375" style="7001" customWidth="1"/>
    <col min="2312" max="2560" width="9.109375" style="7001"/>
    <col min="2561" max="2561" width="33.44140625" style="7001" customWidth="1"/>
    <col min="2562" max="2562" width="7.44140625" style="7001" customWidth="1"/>
    <col min="2563" max="2563" width="7" style="7001" customWidth="1"/>
    <col min="2564" max="2564" width="0" style="7001" hidden="1" customWidth="1"/>
    <col min="2565" max="2565" width="10.109375" style="7001" customWidth="1"/>
    <col min="2566" max="2566" width="14.44140625" style="7001" customWidth="1"/>
    <col min="2567" max="2567" width="17.109375" style="7001" customWidth="1"/>
    <col min="2568" max="2816" width="9.109375" style="7001"/>
    <col min="2817" max="2817" width="33.44140625" style="7001" customWidth="1"/>
    <col min="2818" max="2818" width="7.44140625" style="7001" customWidth="1"/>
    <col min="2819" max="2819" width="7" style="7001" customWidth="1"/>
    <col min="2820" max="2820" width="0" style="7001" hidden="1" customWidth="1"/>
    <col min="2821" max="2821" width="10.109375" style="7001" customWidth="1"/>
    <col min="2822" max="2822" width="14.44140625" style="7001" customWidth="1"/>
    <col min="2823" max="2823" width="17.109375" style="7001" customWidth="1"/>
    <col min="2824" max="3072" width="9.109375" style="7001"/>
    <col min="3073" max="3073" width="33.44140625" style="7001" customWidth="1"/>
    <col min="3074" max="3074" width="7.44140625" style="7001" customWidth="1"/>
    <col min="3075" max="3075" width="7" style="7001" customWidth="1"/>
    <col min="3076" max="3076" width="0" style="7001" hidden="1" customWidth="1"/>
    <col min="3077" max="3077" width="10.109375" style="7001" customWidth="1"/>
    <col min="3078" max="3078" width="14.44140625" style="7001" customWidth="1"/>
    <col min="3079" max="3079" width="17.109375" style="7001" customWidth="1"/>
    <col min="3080" max="3328" width="9.109375" style="7001"/>
    <col min="3329" max="3329" width="33.44140625" style="7001" customWidth="1"/>
    <col min="3330" max="3330" width="7.44140625" style="7001" customWidth="1"/>
    <col min="3331" max="3331" width="7" style="7001" customWidth="1"/>
    <col min="3332" max="3332" width="0" style="7001" hidden="1" customWidth="1"/>
    <col min="3333" max="3333" width="10.109375" style="7001" customWidth="1"/>
    <col min="3334" max="3334" width="14.44140625" style="7001" customWidth="1"/>
    <col min="3335" max="3335" width="17.109375" style="7001" customWidth="1"/>
    <col min="3336" max="3584" width="9.109375" style="7001"/>
    <col min="3585" max="3585" width="33.44140625" style="7001" customWidth="1"/>
    <col min="3586" max="3586" width="7.44140625" style="7001" customWidth="1"/>
    <col min="3587" max="3587" width="7" style="7001" customWidth="1"/>
    <col min="3588" max="3588" width="0" style="7001" hidden="1" customWidth="1"/>
    <col min="3589" max="3589" width="10.109375" style="7001" customWidth="1"/>
    <col min="3590" max="3590" width="14.44140625" style="7001" customWidth="1"/>
    <col min="3591" max="3591" width="17.109375" style="7001" customWidth="1"/>
    <col min="3592" max="3840" width="9.109375" style="7001"/>
    <col min="3841" max="3841" width="33.44140625" style="7001" customWidth="1"/>
    <col min="3842" max="3842" width="7.44140625" style="7001" customWidth="1"/>
    <col min="3843" max="3843" width="7" style="7001" customWidth="1"/>
    <col min="3844" max="3844" width="0" style="7001" hidden="1" customWidth="1"/>
    <col min="3845" max="3845" width="10.109375" style="7001" customWidth="1"/>
    <col min="3846" max="3846" width="14.44140625" style="7001" customWidth="1"/>
    <col min="3847" max="3847" width="17.109375" style="7001" customWidth="1"/>
    <col min="3848" max="4096" width="9.109375" style="7001"/>
    <col min="4097" max="4097" width="33.44140625" style="7001" customWidth="1"/>
    <col min="4098" max="4098" width="7.44140625" style="7001" customWidth="1"/>
    <col min="4099" max="4099" width="7" style="7001" customWidth="1"/>
    <col min="4100" max="4100" width="0" style="7001" hidden="1" customWidth="1"/>
    <col min="4101" max="4101" width="10.109375" style="7001" customWidth="1"/>
    <col min="4102" max="4102" width="14.44140625" style="7001" customWidth="1"/>
    <col min="4103" max="4103" width="17.109375" style="7001" customWidth="1"/>
    <col min="4104" max="4352" width="9.109375" style="7001"/>
    <col min="4353" max="4353" width="33.44140625" style="7001" customWidth="1"/>
    <col min="4354" max="4354" width="7.44140625" style="7001" customWidth="1"/>
    <col min="4355" max="4355" width="7" style="7001" customWidth="1"/>
    <col min="4356" max="4356" width="0" style="7001" hidden="1" customWidth="1"/>
    <col min="4357" max="4357" width="10.109375" style="7001" customWidth="1"/>
    <col min="4358" max="4358" width="14.44140625" style="7001" customWidth="1"/>
    <col min="4359" max="4359" width="17.109375" style="7001" customWidth="1"/>
    <col min="4360" max="4608" width="9.109375" style="7001"/>
    <col min="4609" max="4609" width="33.44140625" style="7001" customWidth="1"/>
    <col min="4610" max="4610" width="7.44140625" style="7001" customWidth="1"/>
    <col min="4611" max="4611" width="7" style="7001" customWidth="1"/>
    <col min="4612" max="4612" width="0" style="7001" hidden="1" customWidth="1"/>
    <col min="4613" max="4613" width="10.109375" style="7001" customWidth="1"/>
    <col min="4614" max="4614" width="14.44140625" style="7001" customWidth="1"/>
    <col min="4615" max="4615" width="17.109375" style="7001" customWidth="1"/>
    <col min="4616" max="4864" width="9.109375" style="7001"/>
    <col min="4865" max="4865" width="33.44140625" style="7001" customWidth="1"/>
    <col min="4866" max="4866" width="7.44140625" style="7001" customWidth="1"/>
    <col min="4867" max="4867" width="7" style="7001" customWidth="1"/>
    <col min="4868" max="4868" width="0" style="7001" hidden="1" customWidth="1"/>
    <col min="4869" max="4869" width="10.109375" style="7001" customWidth="1"/>
    <col min="4870" max="4870" width="14.44140625" style="7001" customWidth="1"/>
    <col min="4871" max="4871" width="17.109375" style="7001" customWidth="1"/>
    <col min="4872" max="5120" width="9.109375" style="7001"/>
    <col min="5121" max="5121" width="33.44140625" style="7001" customWidth="1"/>
    <col min="5122" max="5122" width="7.44140625" style="7001" customWidth="1"/>
    <col min="5123" max="5123" width="7" style="7001" customWidth="1"/>
    <col min="5124" max="5124" width="0" style="7001" hidden="1" customWidth="1"/>
    <col min="5125" max="5125" width="10.109375" style="7001" customWidth="1"/>
    <col min="5126" max="5126" width="14.44140625" style="7001" customWidth="1"/>
    <col min="5127" max="5127" width="17.109375" style="7001" customWidth="1"/>
    <col min="5128" max="5376" width="9.109375" style="7001"/>
    <col min="5377" max="5377" width="33.44140625" style="7001" customWidth="1"/>
    <col min="5378" max="5378" width="7.44140625" style="7001" customWidth="1"/>
    <col min="5379" max="5379" width="7" style="7001" customWidth="1"/>
    <col min="5380" max="5380" width="0" style="7001" hidden="1" customWidth="1"/>
    <col min="5381" max="5381" width="10.109375" style="7001" customWidth="1"/>
    <col min="5382" max="5382" width="14.44140625" style="7001" customWidth="1"/>
    <col min="5383" max="5383" width="17.109375" style="7001" customWidth="1"/>
    <col min="5384" max="5632" width="9.109375" style="7001"/>
    <col min="5633" max="5633" width="33.44140625" style="7001" customWidth="1"/>
    <col min="5634" max="5634" width="7.44140625" style="7001" customWidth="1"/>
    <col min="5635" max="5635" width="7" style="7001" customWidth="1"/>
    <col min="5636" max="5636" width="0" style="7001" hidden="1" customWidth="1"/>
    <col min="5637" max="5637" width="10.109375" style="7001" customWidth="1"/>
    <col min="5638" max="5638" width="14.44140625" style="7001" customWidth="1"/>
    <col min="5639" max="5639" width="17.109375" style="7001" customWidth="1"/>
    <col min="5640" max="5888" width="9.109375" style="7001"/>
    <col min="5889" max="5889" width="33.44140625" style="7001" customWidth="1"/>
    <col min="5890" max="5890" width="7.44140625" style="7001" customWidth="1"/>
    <col min="5891" max="5891" width="7" style="7001" customWidth="1"/>
    <col min="5892" max="5892" width="0" style="7001" hidden="1" customWidth="1"/>
    <col min="5893" max="5893" width="10.109375" style="7001" customWidth="1"/>
    <col min="5894" max="5894" width="14.44140625" style="7001" customWidth="1"/>
    <col min="5895" max="5895" width="17.109375" style="7001" customWidth="1"/>
    <col min="5896" max="6144" width="9.109375" style="7001"/>
    <col min="6145" max="6145" width="33.44140625" style="7001" customWidth="1"/>
    <col min="6146" max="6146" width="7.44140625" style="7001" customWidth="1"/>
    <col min="6147" max="6147" width="7" style="7001" customWidth="1"/>
    <col min="6148" max="6148" width="0" style="7001" hidden="1" customWidth="1"/>
    <col min="6149" max="6149" width="10.109375" style="7001" customWidth="1"/>
    <col min="6150" max="6150" width="14.44140625" style="7001" customWidth="1"/>
    <col min="6151" max="6151" width="17.109375" style="7001" customWidth="1"/>
    <col min="6152" max="6400" width="9.109375" style="7001"/>
    <col min="6401" max="6401" width="33.44140625" style="7001" customWidth="1"/>
    <col min="6402" max="6402" width="7.44140625" style="7001" customWidth="1"/>
    <col min="6403" max="6403" width="7" style="7001" customWidth="1"/>
    <col min="6404" max="6404" width="0" style="7001" hidden="1" customWidth="1"/>
    <col min="6405" max="6405" width="10.109375" style="7001" customWidth="1"/>
    <col min="6406" max="6406" width="14.44140625" style="7001" customWidth="1"/>
    <col min="6407" max="6407" width="17.109375" style="7001" customWidth="1"/>
    <col min="6408" max="6656" width="9.109375" style="7001"/>
    <col min="6657" max="6657" width="33.44140625" style="7001" customWidth="1"/>
    <col min="6658" max="6658" width="7.44140625" style="7001" customWidth="1"/>
    <col min="6659" max="6659" width="7" style="7001" customWidth="1"/>
    <col min="6660" max="6660" width="0" style="7001" hidden="1" customWidth="1"/>
    <col min="6661" max="6661" width="10.109375" style="7001" customWidth="1"/>
    <col min="6662" max="6662" width="14.44140625" style="7001" customWidth="1"/>
    <col min="6663" max="6663" width="17.109375" style="7001" customWidth="1"/>
    <col min="6664" max="6912" width="9.109375" style="7001"/>
    <col min="6913" max="6913" width="33.44140625" style="7001" customWidth="1"/>
    <col min="6914" max="6914" width="7.44140625" style="7001" customWidth="1"/>
    <col min="6915" max="6915" width="7" style="7001" customWidth="1"/>
    <col min="6916" max="6916" width="0" style="7001" hidden="1" customWidth="1"/>
    <col min="6917" max="6917" width="10.109375" style="7001" customWidth="1"/>
    <col min="6918" max="6918" width="14.44140625" style="7001" customWidth="1"/>
    <col min="6919" max="6919" width="17.109375" style="7001" customWidth="1"/>
    <col min="6920" max="7168" width="9.109375" style="7001"/>
    <col min="7169" max="7169" width="33.44140625" style="7001" customWidth="1"/>
    <col min="7170" max="7170" width="7.44140625" style="7001" customWidth="1"/>
    <col min="7171" max="7171" width="7" style="7001" customWidth="1"/>
    <col min="7172" max="7172" width="0" style="7001" hidden="1" customWidth="1"/>
    <col min="7173" max="7173" width="10.109375" style="7001" customWidth="1"/>
    <col min="7174" max="7174" width="14.44140625" style="7001" customWidth="1"/>
    <col min="7175" max="7175" width="17.109375" style="7001" customWidth="1"/>
    <col min="7176" max="7424" width="9.109375" style="7001"/>
    <col min="7425" max="7425" width="33.44140625" style="7001" customWidth="1"/>
    <col min="7426" max="7426" width="7.44140625" style="7001" customWidth="1"/>
    <col min="7427" max="7427" width="7" style="7001" customWidth="1"/>
    <col min="7428" max="7428" width="0" style="7001" hidden="1" customWidth="1"/>
    <col min="7429" max="7429" width="10.109375" style="7001" customWidth="1"/>
    <col min="7430" max="7430" width="14.44140625" style="7001" customWidth="1"/>
    <col min="7431" max="7431" width="17.109375" style="7001" customWidth="1"/>
    <col min="7432" max="7680" width="9.109375" style="7001"/>
    <col min="7681" max="7681" width="33.44140625" style="7001" customWidth="1"/>
    <col min="7682" max="7682" width="7.44140625" style="7001" customWidth="1"/>
    <col min="7683" max="7683" width="7" style="7001" customWidth="1"/>
    <col min="7684" max="7684" width="0" style="7001" hidden="1" customWidth="1"/>
    <col min="7685" max="7685" width="10.109375" style="7001" customWidth="1"/>
    <col min="7686" max="7686" width="14.44140625" style="7001" customWidth="1"/>
    <col min="7687" max="7687" width="17.109375" style="7001" customWidth="1"/>
    <col min="7688" max="7936" width="9.109375" style="7001"/>
    <col min="7937" max="7937" width="33.44140625" style="7001" customWidth="1"/>
    <col min="7938" max="7938" width="7.44140625" style="7001" customWidth="1"/>
    <col min="7939" max="7939" width="7" style="7001" customWidth="1"/>
    <col min="7940" max="7940" width="0" style="7001" hidden="1" customWidth="1"/>
    <col min="7941" max="7941" width="10.109375" style="7001" customWidth="1"/>
    <col min="7942" max="7942" width="14.44140625" style="7001" customWidth="1"/>
    <col min="7943" max="7943" width="17.109375" style="7001" customWidth="1"/>
    <col min="7944" max="8192" width="9.109375" style="7001"/>
    <col min="8193" max="8193" width="33.44140625" style="7001" customWidth="1"/>
    <col min="8194" max="8194" width="7.44140625" style="7001" customWidth="1"/>
    <col min="8195" max="8195" width="7" style="7001" customWidth="1"/>
    <col min="8196" max="8196" width="0" style="7001" hidden="1" customWidth="1"/>
    <col min="8197" max="8197" width="10.109375" style="7001" customWidth="1"/>
    <col min="8198" max="8198" width="14.44140625" style="7001" customWidth="1"/>
    <col min="8199" max="8199" width="17.109375" style="7001" customWidth="1"/>
    <col min="8200" max="8448" width="9.109375" style="7001"/>
    <col min="8449" max="8449" width="33.44140625" style="7001" customWidth="1"/>
    <col min="8450" max="8450" width="7.44140625" style="7001" customWidth="1"/>
    <col min="8451" max="8451" width="7" style="7001" customWidth="1"/>
    <col min="8452" max="8452" width="0" style="7001" hidden="1" customWidth="1"/>
    <col min="8453" max="8453" width="10.109375" style="7001" customWidth="1"/>
    <col min="8454" max="8454" width="14.44140625" style="7001" customWidth="1"/>
    <col min="8455" max="8455" width="17.109375" style="7001" customWidth="1"/>
    <col min="8456" max="8704" width="9.109375" style="7001"/>
    <col min="8705" max="8705" width="33.44140625" style="7001" customWidth="1"/>
    <col min="8706" max="8706" width="7.44140625" style="7001" customWidth="1"/>
    <col min="8707" max="8707" width="7" style="7001" customWidth="1"/>
    <col min="8708" max="8708" width="0" style="7001" hidden="1" customWidth="1"/>
    <col min="8709" max="8709" width="10.109375" style="7001" customWidth="1"/>
    <col min="8710" max="8710" width="14.44140625" style="7001" customWidth="1"/>
    <col min="8711" max="8711" width="17.109375" style="7001" customWidth="1"/>
    <col min="8712" max="8960" width="9.109375" style="7001"/>
    <col min="8961" max="8961" width="33.44140625" style="7001" customWidth="1"/>
    <col min="8962" max="8962" width="7.44140625" style="7001" customWidth="1"/>
    <col min="8963" max="8963" width="7" style="7001" customWidth="1"/>
    <col min="8964" max="8964" width="0" style="7001" hidden="1" customWidth="1"/>
    <col min="8965" max="8965" width="10.109375" style="7001" customWidth="1"/>
    <col min="8966" max="8966" width="14.44140625" style="7001" customWidth="1"/>
    <col min="8967" max="8967" width="17.109375" style="7001" customWidth="1"/>
    <col min="8968" max="9216" width="9.109375" style="7001"/>
    <col min="9217" max="9217" width="33.44140625" style="7001" customWidth="1"/>
    <col min="9218" max="9218" width="7.44140625" style="7001" customWidth="1"/>
    <col min="9219" max="9219" width="7" style="7001" customWidth="1"/>
    <col min="9220" max="9220" width="0" style="7001" hidden="1" customWidth="1"/>
    <col min="9221" max="9221" width="10.109375" style="7001" customWidth="1"/>
    <col min="9222" max="9222" width="14.44140625" style="7001" customWidth="1"/>
    <col min="9223" max="9223" width="17.109375" style="7001" customWidth="1"/>
    <col min="9224" max="9472" width="9.109375" style="7001"/>
    <col min="9473" max="9473" width="33.44140625" style="7001" customWidth="1"/>
    <col min="9474" max="9474" width="7.44140625" style="7001" customWidth="1"/>
    <col min="9475" max="9475" width="7" style="7001" customWidth="1"/>
    <col min="9476" max="9476" width="0" style="7001" hidden="1" customWidth="1"/>
    <col min="9477" max="9477" width="10.109375" style="7001" customWidth="1"/>
    <col min="9478" max="9478" width="14.44140625" style="7001" customWidth="1"/>
    <col min="9479" max="9479" width="17.109375" style="7001" customWidth="1"/>
    <col min="9480" max="9728" width="9.109375" style="7001"/>
    <col min="9729" max="9729" width="33.44140625" style="7001" customWidth="1"/>
    <col min="9730" max="9730" width="7.44140625" style="7001" customWidth="1"/>
    <col min="9731" max="9731" width="7" style="7001" customWidth="1"/>
    <col min="9732" max="9732" width="0" style="7001" hidden="1" customWidth="1"/>
    <col min="9733" max="9733" width="10.109375" style="7001" customWidth="1"/>
    <col min="9734" max="9734" width="14.44140625" style="7001" customWidth="1"/>
    <col min="9735" max="9735" width="17.109375" style="7001" customWidth="1"/>
    <col min="9736" max="9984" width="9.109375" style="7001"/>
    <col min="9985" max="9985" width="33.44140625" style="7001" customWidth="1"/>
    <col min="9986" max="9986" width="7.44140625" style="7001" customWidth="1"/>
    <col min="9987" max="9987" width="7" style="7001" customWidth="1"/>
    <col min="9988" max="9988" width="0" style="7001" hidden="1" customWidth="1"/>
    <col min="9989" max="9989" width="10.109375" style="7001" customWidth="1"/>
    <col min="9990" max="9990" width="14.44140625" style="7001" customWidth="1"/>
    <col min="9991" max="9991" width="17.109375" style="7001" customWidth="1"/>
    <col min="9992" max="10240" width="9.109375" style="7001"/>
    <col min="10241" max="10241" width="33.44140625" style="7001" customWidth="1"/>
    <col min="10242" max="10242" width="7.44140625" style="7001" customWidth="1"/>
    <col min="10243" max="10243" width="7" style="7001" customWidth="1"/>
    <col min="10244" max="10244" width="0" style="7001" hidden="1" customWidth="1"/>
    <col min="10245" max="10245" width="10.109375" style="7001" customWidth="1"/>
    <col min="10246" max="10246" width="14.44140625" style="7001" customWidth="1"/>
    <col min="10247" max="10247" width="17.109375" style="7001" customWidth="1"/>
    <col min="10248" max="10496" width="9.109375" style="7001"/>
    <col min="10497" max="10497" width="33.44140625" style="7001" customWidth="1"/>
    <col min="10498" max="10498" width="7.44140625" style="7001" customWidth="1"/>
    <col min="10499" max="10499" width="7" style="7001" customWidth="1"/>
    <col min="10500" max="10500" width="0" style="7001" hidden="1" customWidth="1"/>
    <col min="10501" max="10501" width="10.109375" style="7001" customWidth="1"/>
    <col min="10502" max="10502" width="14.44140625" style="7001" customWidth="1"/>
    <col min="10503" max="10503" width="17.109375" style="7001" customWidth="1"/>
    <col min="10504" max="10752" width="9.109375" style="7001"/>
    <col min="10753" max="10753" width="33.44140625" style="7001" customWidth="1"/>
    <col min="10754" max="10754" width="7.44140625" style="7001" customWidth="1"/>
    <col min="10755" max="10755" width="7" style="7001" customWidth="1"/>
    <col min="10756" max="10756" width="0" style="7001" hidden="1" customWidth="1"/>
    <col min="10757" max="10757" width="10.109375" style="7001" customWidth="1"/>
    <col min="10758" max="10758" width="14.44140625" style="7001" customWidth="1"/>
    <col min="10759" max="10759" width="17.109375" style="7001" customWidth="1"/>
    <col min="10760" max="11008" width="9.109375" style="7001"/>
    <col min="11009" max="11009" width="33.44140625" style="7001" customWidth="1"/>
    <col min="11010" max="11010" width="7.44140625" style="7001" customWidth="1"/>
    <col min="11011" max="11011" width="7" style="7001" customWidth="1"/>
    <col min="11012" max="11012" width="0" style="7001" hidden="1" customWidth="1"/>
    <col min="11013" max="11013" width="10.109375" style="7001" customWidth="1"/>
    <col min="11014" max="11014" width="14.44140625" style="7001" customWidth="1"/>
    <col min="11015" max="11015" width="17.109375" style="7001" customWidth="1"/>
    <col min="11016" max="11264" width="9.109375" style="7001"/>
    <col min="11265" max="11265" width="33.44140625" style="7001" customWidth="1"/>
    <col min="11266" max="11266" width="7.44140625" style="7001" customWidth="1"/>
    <col min="11267" max="11267" width="7" style="7001" customWidth="1"/>
    <col min="11268" max="11268" width="0" style="7001" hidden="1" customWidth="1"/>
    <col min="11269" max="11269" width="10.109375" style="7001" customWidth="1"/>
    <col min="11270" max="11270" width="14.44140625" style="7001" customWidth="1"/>
    <col min="11271" max="11271" width="17.109375" style="7001" customWidth="1"/>
    <col min="11272" max="11520" width="9.109375" style="7001"/>
    <col min="11521" max="11521" width="33.44140625" style="7001" customWidth="1"/>
    <col min="11522" max="11522" width="7.44140625" style="7001" customWidth="1"/>
    <col min="11523" max="11523" width="7" style="7001" customWidth="1"/>
    <col min="11524" max="11524" width="0" style="7001" hidden="1" customWidth="1"/>
    <col min="11525" max="11525" width="10.109375" style="7001" customWidth="1"/>
    <col min="11526" max="11526" width="14.44140625" style="7001" customWidth="1"/>
    <col min="11527" max="11527" width="17.109375" style="7001" customWidth="1"/>
    <col min="11528" max="11776" width="9.109375" style="7001"/>
    <col min="11777" max="11777" width="33.44140625" style="7001" customWidth="1"/>
    <col min="11778" max="11778" width="7.44140625" style="7001" customWidth="1"/>
    <col min="11779" max="11779" width="7" style="7001" customWidth="1"/>
    <col min="11780" max="11780" width="0" style="7001" hidden="1" customWidth="1"/>
    <col min="11781" max="11781" width="10.109375" style="7001" customWidth="1"/>
    <col min="11782" max="11782" width="14.44140625" style="7001" customWidth="1"/>
    <col min="11783" max="11783" width="17.109375" style="7001" customWidth="1"/>
    <col min="11784" max="12032" width="9.109375" style="7001"/>
    <col min="12033" max="12033" width="33.44140625" style="7001" customWidth="1"/>
    <col min="12034" max="12034" width="7.44140625" style="7001" customWidth="1"/>
    <col min="12035" max="12035" width="7" style="7001" customWidth="1"/>
    <col min="12036" max="12036" width="0" style="7001" hidden="1" customWidth="1"/>
    <col min="12037" max="12037" width="10.109375" style="7001" customWidth="1"/>
    <col min="12038" max="12038" width="14.44140625" style="7001" customWidth="1"/>
    <col min="12039" max="12039" width="17.109375" style="7001" customWidth="1"/>
    <col min="12040" max="12288" width="9.109375" style="7001"/>
    <col min="12289" max="12289" width="33.44140625" style="7001" customWidth="1"/>
    <col min="12290" max="12290" width="7.44140625" style="7001" customWidth="1"/>
    <col min="12291" max="12291" width="7" style="7001" customWidth="1"/>
    <col min="12292" max="12292" width="0" style="7001" hidden="1" customWidth="1"/>
    <col min="12293" max="12293" width="10.109375" style="7001" customWidth="1"/>
    <col min="12294" max="12294" width="14.44140625" style="7001" customWidth="1"/>
    <col min="12295" max="12295" width="17.109375" style="7001" customWidth="1"/>
    <col min="12296" max="12544" width="9.109375" style="7001"/>
    <col min="12545" max="12545" width="33.44140625" style="7001" customWidth="1"/>
    <col min="12546" max="12546" width="7.44140625" style="7001" customWidth="1"/>
    <col min="12547" max="12547" width="7" style="7001" customWidth="1"/>
    <col min="12548" max="12548" width="0" style="7001" hidden="1" customWidth="1"/>
    <col min="12549" max="12549" width="10.109375" style="7001" customWidth="1"/>
    <col min="12550" max="12550" width="14.44140625" style="7001" customWidth="1"/>
    <col min="12551" max="12551" width="17.109375" style="7001" customWidth="1"/>
    <col min="12552" max="12800" width="9.109375" style="7001"/>
    <col min="12801" max="12801" width="33.44140625" style="7001" customWidth="1"/>
    <col min="12802" max="12802" width="7.44140625" style="7001" customWidth="1"/>
    <col min="12803" max="12803" width="7" style="7001" customWidth="1"/>
    <col min="12804" max="12804" width="0" style="7001" hidden="1" customWidth="1"/>
    <col min="12805" max="12805" width="10.109375" style="7001" customWidth="1"/>
    <col min="12806" max="12806" width="14.44140625" style="7001" customWidth="1"/>
    <col min="12807" max="12807" width="17.109375" style="7001" customWidth="1"/>
    <col min="12808" max="13056" width="9.109375" style="7001"/>
    <col min="13057" max="13057" width="33.44140625" style="7001" customWidth="1"/>
    <col min="13058" max="13058" width="7.44140625" style="7001" customWidth="1"/>
    <col min="13059" max="13059" width="7" style="7001" customWidth="1"/>
    <col min="13060" max="13060" width="0" style="7001" hidden="1" customWidth="1"/>
    <col min="13061" max="13061" width="10.109375" style="7001" customWidth="1"/>
    <col min="13062" max="13062" width="14.44140625" style="7001" customWidth="1"/>
    <col min="13063" max="13063" width="17.109375" style="7001" customWidth="1"/>
    <col min="13064" max="13312" width="9.109375" style="7001"/>
    <col min="13313" max="13313" width="33.44140625" style="7001" customWidth="1"/>
    <col min="13314" max="13314" width="7.44140625" style="7001" customWidth="1"/>
    <col min="13315" max="13315" width="7" style="7001" customWidth="1"/>
    <col min="13316" max="13316" width="0" style="7001" hidden="1" customWidth="1"/>
    <col min="13317" max="13317" width="10.109375" style="7001" customWidth="1"/>
    <col min="13318" max="13318" width="14.44140625" style="7001" customWidth="1"/>
    <col min="13319" max="13319" width="17.109375" style="7001" customWidth="1"/>
    <col min="13320" max="13568" width="9.109375" style="7001"/>
    <col min="13569" max="13569" width="33.44140625" style="7001" customWidth="1"/>
    <col min="13570" max="13570" width="7.44140625" style="7001" customWidth="1"/>
    <col min="13571" max="13571" width="7" style="7001" customWidth="1"/>
    <col min="13572" max="13572" width="0" style="7001" hidden="1" customWidth="1"/>
    <col min="13573" max="13573" width="10.109375" style="7001" customWidth="1"/>
    <col min="13574" max="13574" width="14.44140625" style="7001" customWidth="1"/>
    <col min="13575" max="13575" width="17.109375" style="7001" customWidth="1"/>
    <col min="13576" max="13824" width="9.109375" style="7001"/>
    <col min="13825" max="13825" width="33.44140625" style="7001" customWidth="1"/>
    <col min="13826" max="13826" width="7.44140625" style="7001" customWidth="1"/>
    <col min="13827" max="13827" width="7" style="7001" customWidth="1"/>
    <col min="13828" max="13828" width="0" style="7001" hidden="1" customWidth="1"/>
    <col min="13829" max="13829" width="10.109375" style="7001" customWidth="1"/>
    <col min="13830" max="13830" width="14.44140625" style="7001" customWidth="1"/>
    <col min="13831" max="13831" width="17.109375" style="7001" customWidth="1"/>
    <col min="13832" max="14080" width="9.109375" style="7001"/>
    <col min="14081" max="14081" width="33.44140625" style="7001" customWidth="1"/>
    <col min="14082" max="14082" width="7.44140625" style="7001" customWidth="1"/>
    <col min="14083" max="14083" width="7" style="7001" customWidth="1"/>
    <col min="14084" max="14084" width="0" style="7001" hidden="1" customWidth="1"/>
    <col min="14085" max="14085" width="10.109375" style="7001" customWidth="1"/>
    <col min="14086" max="14086" width="14.44140625" style="7001" customWidth="1"/>
    <col min="14087" max="14087" width="17.109375" style="7001" customWidth="1"/>
    <col min="14088" max="14336" width="9.109375" style="7001"/>
    <col min="14337" max="14337" width="33.44140625" style="7001" customWidth="1"/>
    <col min="14338" max="14338" width="7.44140625" style="7001" customWidth="1"/>
    <col min="14339" max="14339" width="7" style="7001" customWidth="1"/>
    <col min="14340" max="14340" width="0" style="7001" hidden="1" customWidth="1"/>
    <col min="14341" max="14341" width="10.109375" style="7001" customWidth="1"/>
    <col min="14342" max="14342" width="14.44140625" style="7001" customWidth="1"/>
    <col min="14343" max="14343" width="17.109375" style="7001" customWidth="1"/>
    <col min="14344" max="14592" width="9.109375" style="7001"/>
    <col min="14593" max="14593" width="33.44140625" style="7001" customWidth="1"/>
    <col min="14594" max="14594" width="7.44140625" style="7001" customWidth="1"/>
    <col min="14595" max="14595" width="7" style="7001" customWidth="1"/>
    <col min="14596" max="14596" width="0" style="7001" hidden="1" customWidth="1"/>
    <col min="14597" max="14597" width="10.109375" style="7001" customWidth="1"/>
    <col min="14598" max="14598" width="14.44140625" style="7001" customWidth="1"/>
    <col min="14599" max="14599" width="17.109375" style="7001" customWidth="1"/>
    <col min="14600" max="14848" width="9.109375" style="7001"/>
    <col min="14849" max="14849" width="33.44140625" style="7001" customWidth="1"/>
    <col min="14850" max="14850" width="7.44140625" style="7001" customWidth="1"/>
    <col min="14851" max="14851" width="7" style="7001" customWidth="1"/>
    <col min="14852" max="14852" width="0" style="7001" hidden="1" customWidth="1"/>
    <col min="14853" max="14853" width="10.109375" style="7001" customWidth="1"/>
    <col min="14854" max="14854" width="14.44140625" style="7001" customWidth="1"/>
    <col min="14855" max="14855" width="17.109375" style="7001" customWidth="1"/>
    <col min="14856" max="15104" width="9.109375" style="7001"/>
    <col min="15105" max="15105" width="33.44140625" style="7001" customWidth="1"/>
    <col min="15106" max="15106" width="7.44140625" style="7001" customWidth="1"/>
    <col min="15107" max="15107" width="7" style="7001" customWidth="1"/>
    <col min="15108" max="15108" width="0" style="7001" hidden="1" customWidth="1"/>
    <col min="15109" max="15109" width="10.109375" style="7001" customWidth="1"/>
    <col min="15110" max="15110" width="14.44140625" style="7001" customWidth="1"/>
    <col min="15111" max="15111" width="17.109375" style="7001" customWidth="1"/>
    <col min="15112" max="15360" width="9.109375" style="7001"/>
    <col min="15361" max="15361" width="33.44140625" style="7001" customWidth="1"/>
    <col min="15362" max="15362" width="7.44140625" style="7001" customWidth="1"/>
    <col min="15363" max="15363" width="7" style="7001" customWidth="1"/>
    <col min="15364" max="15364" width="0" style="7001" hidden="1" customWidth="1"/>
    <col min="15365" max="15365" width="10.109375" style="7001" customWidth="1"/>
    <col min="15366" max="15366" width="14.44140625" style="7001" customWidth="1"/>
    <col min="15367" max="15367" width="17.109375" style="7001" customWidth="1"/>
    <col min="15368" max="15616" width="9.109375" style="7001"/>
    <col min="15617" max="15617" width="33.44140625" style="7001" customWidth="1"/>
    <col min="15618" max="15618" width="7.44140625" style="7001" customWidth="1"/>
    <col min="15619" max="15619" width="7" style="7001" customWidth="1"/>
    <col min="15620" max="15620" width="0" style="7001" hidden="1" customWidth="1"/>
    <col min="15621" max="15621" width="10.109375" style="7001" customWidth="1"/>
    <col min="15622" max="15622" width="14.44140625" style="7001" customWidth="1"/>
    <col min="15623" max="15623" width="17.109375" style="7001" customWidth="1"/>
    <col min="15624" max="15872" width="9.109375" style="7001"/>
    <col min="15873" max="15873" width="33.44140625" style="7001" customWidth="1"/>
    <col min="15874" max="15874" width="7.44140625" style="7001" customWidth="1"/>
    <col min="15875" max="15875" width="7" style="7001" customWidth="1"/>
    <col min="15876" max="15876" width="0" style="7001" hidden="1" customWidth="1"/>
    <col min="15877" max="15877" width="10.109375" style="7001" customWidth="1"/>
    <col min="15878" max="15878" width="14.44140625" style="7001" customWidth="1"/>
    <col min="15879" max="15879" width="17.109375" style="7001" customWidth="1"/>
    <col min="15880" max="16128" width="9.109375" style="7001"/>
    <col min="16129" max="16129" width="33.44140625" style="7001" customWidth="1"/>
    <col min="16130" max="16130" width="7.44140625" style="7001" customWidth="1"/>
    <col min="16131" max="16131" width="7" style="7001" customWidth="1"/>
    <col min="16132" max="16132" width="0" style="7001" hidden="1" customWidth="1"/>
    <col min="16133" max="16133" width="10.109375" style="7001" customWidth="1"/>
    <col min="16134" max="16134" width="14.44140625" style="7001" customWidth="1"/>
    <col min="16135" max="16135" width="17.109375" style="7001" customWidth="1"/>
    <col min="16136" max="16384" width="9.109375" style="7001"/>
  </cols>
  <sheetData>
    <row r="1" spans="1:8" ht="12.9" customHeight="1">
      <c r="A1" s="14395" t="s">
        <v>1087</v>
      </c>
      <c r="B1" s="14395"/>
      <c r="C1" s="14395"/>
      <c r="D1" s="14395"/>
      <c r="E1" s="14395"/>
      <c r="F1" s="14395"/>
      <c r="G1" s="14395"/>
    </row>
    <row r="3" spans="1:8" ht="12.9" customHeight="1">
      <c r="A3" s="14580" t="s">
        <v>11220</v>
      </c>
      <c r="B3" s="14580"/>
      <c r="C3" s="14580"/>
      <c r="D3" s="14580"/>
      <c r="E3" s="14580"/>
      <c r="F3" s="14580"/>
      <c r="G3" s="14580"/>
    </row>
    <row r="4" spans="1:8" ht="12.9" customHeight="1" thickBot="1"/>
    <row r="5" spans="1:8" ht="12.9" customHeight="1">
      <c r="A5" s="9675" t="s">
        <v>842</v>
      </c>
      <c r="B5" s="10713" t="s">
        <v>1035</v>
      </c>
      <c r="C5" s="10713" t="s">
        <v>1036</v>
      </c>
      <c r="D5" s="14393" t="s">
        <v>1037</v>
      </c>
      <c r="E5" s="14393"/>
      <c r="F5" s="14393"/>
      <c r="G5" s="14394"/>
      <c r="H5" s="7162"/>
    </row>
    <row r="6" spans="1:8" ht="12.9" customHeight="1" thickBot="1">
      <c r="A6" s="7230" t="s">
        <v>1088</v>
      </c>
      <c r="B6" s="10780" t="s">
        <v>9</v>
      </c>
      <c r="C6" s="10780" t="s">
        <v>1039</v>
      </c>
      <c r="D6" s="10780" t="s">
        <v>1040</v>
      </c>
      <c r="E6" s="10780" t="s">
        <v>1040</v>
      </c>
      <c r="F6" s="10780" t="s">
        <v>11</v>
      </c>
      <c r="G6" s="10721" t="s">
        <v>11621</v>
      </c>
      <c r="H6" s="7162"/>
    </row>
    <row r="7" spans="1:8" ht="12.9" customHeight="1">
      <c r="A7" s="7248"/>
      <c r="B7" s="9665"/>
      <c r="C7" s="9666"/>
      <c r="D7" s="9666"/>
      <c r="E7" s="9666"/>
      <c r="F7" s="9666"/>
      <c r="G7" s="7240"/>
    </row>
    <row r="8" spans="1:8" ht="12.9" customHeight="1">
      <c r="A8" s="6230" t="s">
        <v>806</v>
      </c>
      <c r="B8" s="10751"/>
      <c r="C8" s="8414"/>
      <c r="D8" s="8414"/>
      <c r="E8" s="8414"/>
      <c r="F8" s="8414"/>
      <c r="G8" s="7241"/>
    </row>
    <row r="9" spans="1:8" ht="12.9" customHeight="1">
      <c r="A9" s="6230" t="s">
        <v>1107</v>
      </c>
      <c r="B9" s="10751"/>
      <c r="C9" s="8414"/>
      <c r="D9" s="8414"/>
      <c r="E9" s="8414"/>
      <c r="F9" s="8414"/>
      <c r="G9" s="7241"/>
    </row>
    <row r="10" spans="1:8" ht="12.9" customHeight="1">
      <c r="A10" s="7231"/>
      <c r="B10" s="10751"/>
      <c r="C10" s="8414"/>
      <c r="D10" s="8414"/>
      <c r="E10" s="8414"/>
      <c r="F10" s="8414"/>
      <c r="G10" s="7241"/>
    </row>
    <row r="11" spans="1:8" ht="12.9" customHeight="1">
      <c r="A11" s="7231"/>
      <c r="B11" s="10751"/>
      <c r="C11" s="10751"/>
      <c r="D11" s="10751"/>
      <c r="E11" s="10751"/>
      <c r="F11" s="10751"/>
      <c r="G11" s="7232"/>
    </row>
    <row r="12" spans="1:8" ht="12.9" customHeight="1">
      <c r="A12" s="6230" t="s">
        <v>1091</v>
      </c>
      <c r="B12" s="10751"/>
      <c r="C12" s="10751"/>
      <c r="D12" s="10751"/>
      <c r="E12" s="10751"/>
      <c r="F12" s="10751"/>
      <c r="G12" s="7233"/>
    </row>
    <row r="13" spans="1:8" ht="12.9" customHeight="1">
      <c r="A13" s="6230" t="s">
        <v>1109</v>
      </c>
      <c r="B13" s="10751"/>
      <c r="C13" s="10751"/>
      <c r="D13" s="10751"/>
      <c r="E13" s="10751"/>
      <c r="F13" s="10751"/>
      <c r="G13" s="7233"/>
    </row>
    <row r="14" spans="1:8" ht="12.9" customHeight="1">
      <c r="A14" s="7231" t="s">
        <v>10129</v>
      </c>
      <c r="B14" s="10802">
        <v>2</v>
      </c>
      <c r="C14" s="8414">
        <v>11</v>
      </c>
      <c r="D14" s="8414"/>
      <c r="E14" s="10803">
        <f>SUM(E2:E12)</f>
        <v>0</v>
      </c>
      <c r="F14" s="10782">
        <v>245244</v>
      </c>
      <c r="G14" s="7234">
        <v>504972</v>
      </c>
    </row>
    <row r="15" spans="1:8" ht="12.9" customHeight="1">
      <c r="A15" s="7231" t="s">
        <v>11271</v>
      </c>
      <c r="B15" s="10802">
        <v>1</v>
      </c>
      <c r="C15" s="8414">
        <v>5</v>
      </c>
      <c r="D15" s="8414"/>
      <c r="E15" s="10803">
        <f>SUM(E3:E13)</f>
        <v>0</v>
      </c>
      <c r="F15" s="10782">
        <v>171360</v>
      </c>
      <c r="G15" s="7234">
        <v>168084</v>
      </c>
    </row>
    <row r="16" spans="1:8" ht="12.9" customHeight="1">
      <c r="A16" s="7231"/>
      <c r="B16" s="10802"/>
      <c r="C16" s="8414"/>
      <c r="D16" s="8414"/>
      <c r="E16" s="10782"/>
      <c r="F16" s="10782"/>
      <c r="G16" s="7234"/>
    </row>
    <row r="17" spans="1:10" ht="12.9" customHeight="1">
      <c r="A17" s="6230" t="s">
        <v>11273</v>
      </c>
      <c r="B17" s="10802"/>
      <c r="C17" s="8414"/>
      <c r="D17" s="8414"/>
      <c r="E17" s="10782"/>
      <c r="F17" s="10782"/>
      <c r="G17" s="7234"/>
      <c r="I17" s="7001">
        <f>SUM(B14:B15)</f>
        <v>3</v>
      </c>
      <c r="J17" s="7164">
        <f>SUM(G14:G15)</f>
        <v>673056</v>
      </c>
    </row>
    <row r="18" spans="1:10" ht="12.9" customHeight="1">
      <c r="A18" s="7231"/>
      <c r="B18" s="10802"/>
      <c r="C18" s="8414"/>
      <c r="D18" s="8414"/>
      <c r="E18" s="10782"/>
      <c r="F18" s="10782"/>
      <c r="G18" s="7234"/>
    </row>
    <row r="19" spans="1:10" ht="12.9" customHeight="1">
      <c r="A19" s="7231"/>
      <c r="B19" s="10802"/>
      <c r="C19" s="8414"/>
      <c r="D19" s="8414"/>
      <c r="E19" s="10782"/>
      <c r="F19" s="10782"/>
      <c r="G19" s="7234"/>
    </row>
    <row r="20" spans="1:10" ht="12.9" customHeight="1">
      <c r="A20" s="7231"/>
      <c r="B20" s="10802"/>
      <c r="C20" s="8414"/>
      <c r="D20" s="8414"/>
      <c r="E20" s="10782"/>
      <c r="F20" s="10782"/>
      <c r="G20" s="7234"/>
    </row>
    <row r="21" spans="1:10" ht="12.9" customHeight="1">
      <c r="A21" s="6230" t="s">
        <v>1286</v>
      </c>
      <c r="B21" s="10804"/>
      <c r="C21" s="10751"/>
      <c r="D21" s="10751"/>
      <c r="E21" s="10781"/>
      <c r="F21" s="10751"/>
      <c r="G21" s="7232"/>
    </row>
    <row r="22" spans="1:10" ht="12.9" customHeight="1">
      <c r="A22" s="7231" t="s">
        <v>80</v>
      </c>
      <c r="B22" s="10802"/>
      <c r="C22" s="8414"/>
      <c r="D22" s="8414"/>
      <c r="E22" s="10782"/>
      <c r="F22" s="10782"/>
      <c r="G22" s="7234"/>
    </row>
    <row r="23" spans="1:10" ht="12.9" customHeight="1">
      <c r="A23" s="7231" t="s">
        <v>11272</v>
      </c>
      <c r="B23" s="8414">
        <v>0</v>
      </c>
      <c r="C23" s="8414">
        <v>3</v>
      </c>
      <c r="D23" s="8415"/>
      <c r="E23" s="10803">
        <f>SUM(E10:E21)</f>
        <v>0</v>
      </c>
      <c r="F23" s="10801">
        <v>144156</v>
      </c>
      <c r="G23" s="7245">
        <v>0</v>
      </c>
      <c r="J23" s="7164"/>
    </row>
    <row r="24" spans="1:10" ht="12.9" customHeight="1">
      <c r="A24" s="7231"/>
      <c r="B24" s="8414"/>
      <c r="C24" s="8414"/>
      <c r="D24" s="8415"/>
      <c r="E24" s="8415"/>
      <c r="F24" s="10781"/>
      <c r="G24" s="7245"/>
      <c r="I24" s="7001">
        <f>SUM(B23:B23)</f>
        <v>0</v>
      </c>
      <c r="J24" s="7164">
        <f>SUM(G23:G23)</f>
        <v>0</v>
      </c>
    </row>
    <row r="25" spans="1:10" ht="12.9" customHeight="1">
      <c r="A25" s="7231"/>
      <c r="B25" s="10402"/>
      <c r="C25" s="10402"/>
      <c r="D25" s="10403"/>
      <c r="E25" s="10403"/>
      <c r="F25" s="10410" t="s">
        <v>9</v>
      </c>
      <c r="G25" s="9746" t="s">
        <v>9</v>
      </c>
    </row>
    <row r="26" spans="1:10" ht="12.9" customHeight="1">
      <c r="A26" s="6230" t="s">
        <v>1098</v>
      </c>
      <c r="B26" s="9652">
        <f>SUM(B14:B24)</f>
        <v>3</v>
      </c>
      <c r="C26" s="9652"/>
      <c r="D26" s="9643"/>
      <c r="E26" s="9642">
        <f>SUM(E14:E24)</f>
        <v>0</v>
      </c>
      <c r="F26" s="9642">
        <f>SUM(F14:F24)</f>
        <v>560760</v>
      </c>
      <c r="G26" s="9667">
        <f>SUM(G14:G24)</f>
        <v>673056</v>
      </c>
    </row>
    <row r="27" spans="1:10" ht="12.9" customHeight="1">
      <c r="A27" s="6230" t="s">
        <v>9</v>
      </c>
      <c r="B27" s="7169" t="s">
        <v>9</v>
      </c>
      <c r="C27" s="7169"/>
      <c r="D27" s="7249"/>
      <c r="E27" s="7249" t="s">
        <v>9</v>
      </c>
      <c r="F27" s="7250" t="s">
        <v>9</v>
      </c>
      <c r="G27" s="10792" t="s">
        <v>9</v>
      </c>
    </row>
    <row r="28" spans="1:10" ht="12.9" customHeight="1">
      <c r="A28" s="7231" t="s">
        <v>1113</v>
      </c>
      <c r="B28" s="8414"/>
      <c r="C28" s="8414"/>
      <c r="D28" s="8415"/>
      <c r="E28" s="8415"/>
      <c r="F28" s="10781"/>
      <c r="G28" s="7245"/>
    </row>
    <row r="29" spans="1:10" ht="12.9" customHeight="1">
      <c r="A29" s="7231"/>
      <c r="B29" s="8414"/>
      <c r="C29" s="8414"/>
      <c r="D29" s="8415"/>
      <c r="E29" s="8415"/>
      <c r="F29" s="10781"/>
      <c r="G29" s="7245"/>
    </row>
    <row r="30" spans="1:10" ht="12.9" customHeight="1">
      <c r="A30" s="7231" t="s">
        <v>10129</v>
      </c>
      <c r="B30" s="10802">
        <v>0</v>
      </c>
      <c r="C30" s="8414">
        <v>11</v>
      </c>
      <c r="D30" s="8415"/>
      <c r="E30" s="10803">
        <f>SUM(E19:E28)</f>
        <v>0</v>
      </c>
      <c r="F30" s="10801">
        <v>248376</v>
      </c>
      <c r="G30" s="9649">
        <f>SUM(G28:G29)</f>
        <v>0</v>
      </c>
    </row>
    <row r="31" spans="1:10" ht="12.9" customHeight="1">
      <c r="A31" s="7231" t="s">
        <v>11272</v>
      </c>
      <c r="B31" s="8414">
        <v>1</v>
      </c>
      <c r="C31" s="8414">
        <v>3</v>
      </c>
      <c r="D31" s="8415"/>
      <c r="E31" s="10803"/>
      <c r="F31" s="10801"/>
      <c r="G31" s="7245">
        <v>149592</v>
      </c>
    </row>
    <row r="32" spans="1:10" ht="12.9" customHeight="1">
      <c r="A32" s="7231"/>
      <c r="B32" s="8414"/>
      <c r="C32" s="10402"/>
      <c r="D32" s="10403"/>
      <c r="E32" s="10410"/>
      <c r="F32" s="10403"/>
      <c r="G32" s="9746"/>
    </row>
    <row r="33" spans="1:7" s="7162" customFormat="1" ht="12.9" customHeight="1">
      <c r="A33" s="6230" t="s">
        <v>1098</v>
      </c>
      <c r="B33" s="9652">
        <f>SUM(B29:B32)</f>
        <v>1</v>
      </c>
      <c r="C33" s="9652"/>
      <c r="D33" s="9643"/>
      <c r="E33" s="10805"/>
      <c r="F33" s="9643">
        <f>SUM(F30:F32)</f>
        <v>248376</v>
      </c>
      <c r="G33" s="9656">
        <f>SUM(G30:G32)</f>
        <v>149592</v>
      </c>
    </row>
    <row r="34" spans="1:7" ht="12.9" customHeight="1" thickBot="1">
      <c r="A34" s="7231"/>
      <c r="B34" s="8414"/>
      <c r="C34" s="8414"/>
      <c r="D34" s="8415"/>
      <c r="E34" s="8415"/>
      <c r="F34" s="10781"/>
      <c r="G34" s="7245"/>
    </row>
    <row r="35" spans="1:7" ht="12.9" customHeight="1" thickBot="1">
      <c r="A35" s="9838" t="s">
        <v>1114</v>
      </c>
      <c r="B35" s="10784">
        <f>B33+B26</f>
        <v>4</v>
      </c>
      <c r="C35" s="10421"/>
      <c r="D35" s="10785">
        <f>SUM(D18:D34)</f>
        <v>0</v>
      </c>
      <c r="E35" s="9840">
        <f>SUM(E26:E33)</f>
        <v>0</v>
      </c>
      <c r="F35" s="10786">
        <f>F26+F33</f>
        <v>809136</v>
      </c>
      <c r="G35" s="10786">
        <f>G26+G33</f>
        <v>822648</v>
      </c>
    </row>
    <row r="36" spans="1:7" ht="12.9" customHeight="1">
      <c r="A36" s="6230"/>
      <c r="B36" s="10750"/>
      <c r="C36" s="10751"/>
      <c r="D36" s="10779"/>
      <c r="E36" s="10755"/>
      <c r="F36" s="10783"/>
      <c r="G36" s="7243"/>
    </row>
    <row r="37" spans="1:7" ht="12.9" customHeight="1">
      <c r="A37" s="6230" t="s">
        <v>1075</v>
      </c>
      <c r="B37" s="8414"/>
      <c r="C37" s="10751"/>
      <c r="D37" s="10779"/>
      <c r="E37" s="10779"/>
      <c r="F37" s="10781"/>
      <c r="G37" s="7244"/>
    </row>
    <row r="38" spans="1:7" ht="12.9" customHeight="1">
      <c r="A38" s="6230" t="s">
        <v>1115</v>
      </c>
      <c r="B38" s="8414"/>
      <c r="C38" s="10751"/>
      <c r="D38" s="10779"/>
      <c r="E38" s="10779"/>
      <c r="F38" s="10779"/>
      <c r="G38" s="7244"/>
    </row>
    <row r="39" spans="1:7" ht="12.9" customHeight="1">
      <c r="A39" s="7231" t="s">
        <v>1116</v>
      </c>
      <c r="B39" s="8414"/>
      <c r="C39" s="10751"/>
      <c r="D39" s="10779"/>
      <c r="E39" s="10779"/>
      <c r="F39" s="10779"/>
      <c r="G39" s="7244"/>
    </row>
    <row r="40" spans="1:7" ht="12.9" customHeight="1">
      <c r="A40" s="7231" t="s">
        <v>1117</v>
      </c>
      <c r="B40" s="8414"/>
      <c r="C40" s="10751"/>
      <c r="D40" s="10779"/>
      <c r="E40" s="10779"/>
      <c r="F40" s="10779"/>
      <c r="G40" s="7244"/>
    </row>
    <row r="41" spans="1:7" ht="12.9" customHeight="1">
      <c r="A41" s="7231" t="s">
        <v>1118</v>
      </c>
      <c r="B41" s="8414"/>
      <c r="C41" s="10751"/>
      <c r="D41" s="10779"/>
      <c r="E41" s="10779"/>
      <c r="F41" s="10779"/>
      <c r="G41" s="7244"/>
    </row>
    <row r="42" spans="1:7" ht="12.9" customHeight="1">
      <c r="A42" s="7231" t="s">
        <v>10698</v>
      </c>
      <c r="B42" s="8414"/>
      <c r="C42" s="10751"/>
      <c r="D42" s="10779"/>
      <c r="E42" s="10779"/>
      <c r="F42" s="10779"/>
      <c r="G42" s="7244"/>
    </row>
    <row r="43" spans="1:7" ht="12.9" customHeight="1">
      <c r="A43" s="7231" t="s">
        <v>1080</v>
      </c>
      <c r="B43" s="8414"/>
      <c r="C43" s="10751"/>
      <c r="D43" s="10779"/>
      <c r="E43" s="10779"/>
      <c r="F43" s="10779"/>
      <c r="G43" s="7244"/>
    </row>
    <row r="44" spans="1:7" ht="12.9" customHeight="1">
      <c r="A44" s="7231" t="s">
        <v>1119</v>
      </c>
      <c r="B44" s="8414"/>
      <c r="C44" s="10751"/>
      <c r="D44" s="10779"/>
      <c r="E44" s="10779"/>
      <c r="F44" s="10779"/>
      <c r="G44" s="7244"/>
    </row>
    <row r="45" spans="1:7" ht="12.9" customHeight="1">
      <c r="A45" s="7231" t="s">
        <v>1082</v>
      </c>
      <c r="B45" s="8414"/>
      <c r="C45" s="10751"/>
      <c r="D45" s="10779"/>
      <c r="E45" s="10779"/>
      <c r="F45" s="10779"/>
      <c r="G45" s="7244"/>
    </row>
    <row r="46" spans="1:7" ht="12.9" customHeight="1">
      <c r="A46" s="7231"/>
      <c r="B46" s="8414"/>
      <c r="C46" s="10751"/>
      <c r="D46" s="10779"/>
      <c r="E46" s="10779"/>
      <c r="F46" s="10779"/>
      <c r="G46" s="7244"/>
    </row>
    <row r="47" spans="1:7" ht="12.9" customHeight="1">
      <c r="A47" s="6230" t="s">
        <v>1083</v>
      </c>
      <c r="B47" s="9653"/>
      <c r="C47" s="9676"/>
      <c r="D47" s="7190"/>
      <c r="E47" s="7190"/>
      <c r="F47" s="7190"/>
      <c r="G47" s="9677"/>
    </row>
    <row r="48" spans="1:7" ht="12.9" customHeight="1">
      <c r="A48" s="6230"/>
      <c r="B48" s="8414"/>
      <c r="C48" s="10751"/>
      <c r="D48" s="10779"/>
      <c r="E48" s="10779"/>
      <c r="F48" s="10779"/>
      <c r="G48" s="7244"/>
    </row>
    <row r="49" spans="1:7" ht="12.9" customHeight="1">
      <c r="A49" s="7231" t="s">
        <v>1106</v>
      </c>
      <c r="B49" s="8414"/>
      <c r="C49" s="10751"/>
      <c r="D49" s="10779"/>
      <c r="E49" s="10779"/>
      <c r="F49" s="10779"/>
      <c r="G49" s="7244"/>
    </row>
    <row r="50" spans="1:7" ht="12.9" customHeight="1" thickBot="1">
      <c r="A50" s="7235"/>
      <c r="B50" s="9645"/>
      <c r="C50" s="9758"/>
      <c r="D50" s="9766"/>
      <c r="E50" s="9766"/>
      <c r="F50" s="9766"/>
      <c r="G50" s="10787"/>
    </row>
    <row r="51" spans="1:7" ht="12.9" customHeight="1">
      <c r="A51" s="7231"/>
      <c r="B51" s="8414"/>
      <c r="C51" s="10751"/>
      <c r="D51" s="10779"/>
      <c r="E51" s="10779"/>
      <c r="F51" s="10779"/>
      <c r="G51" s="7244"/>
    </row>
    <row r="52" spans="1:7" ht="12.9" customHeight="1">
      <c r="A52" s="6230" t="s">
        <v>1086</v>
      </c>
      <c r="B52" s="8414"/>
      <c r="C52" s="10751"/>
      <c r="D52" s="10779"/>
      <c r="E52" s="10779"/>
      <c r="F52" s="10779"/>
      <c r="G52" s="7244"/>
    </row>
    <row r="53" spans="1:7" ht="12.9" customHeight="1" thickBot="1">
      <c r="A53" s="7235"/>
      <c r="B53" s="9758"/>
      <c r="C53" s="9758"/>
      <c r="D53" s="9758"/>
      <c r="E53" s="9758"/>
      <c r="F53" s="9758"/>
      <c r="G53" s="9759"/>
    </row>
    <row r="58" spans="1:7" ht="12.9" customHeight="1">
      <c r="A58" s="7162"/>
      <c r="F58" s="7162"/>
    </row>
  </sheetData>
  <mergeCells count="3">
    <mergeCell ref="A3:G3"/>
    <mergeCell ref="D5:G5"/>
    <mergeCell ref="A1:G1"/>
  </mergeCells>
  <printOptions horizontalCentered="1"/>
  <pageMargins left="0.25" right="0.25" top="0.5" bottom="0.5" header="0.3" footer="0.3"/>
  <pageSetup paperSize="119" firstPageNumber="83" orientation="portrait" useFirstPageNumber="1" r:id="rId1"/>
</worksheet>
</file>

<file path=xl/worksheets/sheet65.xml><?xml version="1.0" encoding="utf-8"?>
<worksheet xmlns="http://schemas.openxmlformats.org/spreadsheetml/2006/main" xmlns:r="http://schemas.openxmlformats.org/officeDocument/2006/relationships">
  <sheetPr codeName="Sheet39">
    <tabColor theme="8" tint="-0.249977111117893"/>
  </sheetPr>
  <dimension ref="A1:M170"/>
  <sheetViews>
    <sheetView showGridLines="0" workbookViewId="0">
      <selection activeCell="J2" sqref="J1:R1048576"/>
    </sheetView>
  </sheetViews>
  <sheetFormatPr defaultRowHeight="15" customHeight="1"/>
  <cols>
    <col min="1" max="1" width="4.109375" style="7355" customWidth="1"/>
    <col min="2" max="2" width="55.6640625" style="7351" customWidth="1"/>
    <col min="3" max="3" width="12.6640625" style="8795" customWidth="1"/>
    <col min="4" max="5" width="15.5546875" style="7338" customWidth="1"/>
    <col min="6" max="6" width="15.5546875" style="9534" customWidth="1"/>
    <col min="7" max="7" width="15.5546875" style="7338" customWidth="1"/>
    <col min="8" max="8" width="13.44140625" style="7338" hidden="1" customWidth="1"/>
    <col min="9" max="9" width="8.88671875" style="7348" hidden="1" customWidth="1"/>
    <col min="10" max="10" width="15.5546875" style="7338" customWidth="1"/>
    <col min="11" max="11" width="16.5546875" style="7338" customWidth="1"/>
    <col min="12" max="12" width="6" style="7383" customWidth="1"/>
    <col min="13" max="13" width="12.88671875" style="7351" customWidth="1"/>
    <col min="14" max="17" width="8.88671875" style="7351" customWidth="1"/>
    <col min="18" max="255" width="9.109375" style="7351"/>
    <col min="256" max="256" width="3.88671875" style="7351" customWidth="1"/>
    <col min="257" max="257" width="36.88671875" style="7351" customWidth="1"/>
    <col min="258" max="258" width="11.88671875" style="7351" customWidth="1"/>
    <col min="259" max="259" width="13.88671875" style="7351" customWidth="1"/>
    <col min="260" max="260" width="14.44140625" style="7351" customWidth="1"/>
    <col min="261" max="261" width="14" style="7351" customWidth="1"/>
    <col min="262" max="511" width="9.109375" style="7351"/>
    <col min="512" max="512" width="3.88671875" style="7351" customWidth="1"/>
    <col min="513" max="513" width="36.88671875" style="7351" customWidth="1"/>
    <col min="514" max="514" width="11.88671875" style="7351" customWidth="1"/>
    <col min="515" max="515" width="13.88671875" style="7351" customWidth="1"/>
    <col min="516" max="516" width="14.44140625" style="7351" customWidth="1"/>
    <col min="517" max="517" width="14" style="7351" customWidth="1"/>
    <col min="518" max="767" width="9.109375" style="7351"/>
    <col min="768" max="768" width="3.88671875" style="7351" customWidth="1"/>
    <col min="769" max="769" width="36.88671875" style="7351" customWidth="1"/>
    <col min="770" max="770" width="11.88671875" style="7351" customWidth="1"/>
    <col min="771" max="771" width="13.88671875" style="7351" customWidth="1"/>
    <col min="772" max="772" width="14.44140625" style="7351" customWidth="1"/>
    <col min="773" max="773" width="14" style="7351" customWidth="1"/>
    <col min="774" max="1023" width="9.109375" style="7351"/>
    <col min="1024" max="1024" width="3.88671875" style="7351" customWidth="1"/>
    <col min="1025" max="1025" width="36.88671875" style="7351" customWidth="1"/>
    <col min="1026" max="1026" width="11.88671875" style="7351" customWidth="1"/>
    <col min="1027" max="1027" width="13.88671875" style="7351" customWidth="1"/>
    <col min="1028" max="1028" width="14.44140625" style="7351" customWidth="1"/>
    <col min="1029" max="1029" width="14" style="7351" customWidth="1"/>
    <col min="1030" max="1279" width="9.109375" style="7351"/>
    <col min="1280" max="1280" width="3.88671875" style="7351" customWidth="1"/>
    <col min="1281" max="1281" width="36.88671875" style="7351" customWidth="1"/>
    <col min="1282" max="1282" width="11.88671875" style="7351" customWidth="1"/>
    <col min="1283" max="1283" width="13.88671875" style="7351" customWidth="1"/>
    <col min="1284" max="1284" width="14.44140625" style="7351" customWidth="1"/>
    <col min="1285" max="1285" width="14" style="7351" customWidth="1"/>
    <col min="1286" max="1535" width="9.109375" style="7351"/>
    <col min="1536" max="1536" width="3.88671875" style="7351" customWidth="1"/>
    <col min="1537" max="1537" width="36.88671875" style="7351" customWidth="1"/>
    <col min="1538" max="1538" width="11.88671875" style="7351" customWidth="1"/>
    <col min="1539" max="1539" width="13.88671875" style="7351" customWidth="1"/>
    <col min="1540" max="1540" width="14.44140625" style="7351" customWidth="1"/>
    <col min="1541" max="1541" width="14" style="7351" customWidth="1"/>
    <col min="1542" max="1791" width="9.109375" style="7351"/>
    <col min="1792" max="1792" width="3.88671875" style="7351" customWidth="1"/>
    <col min="1793" max="1793" width="36.88671875" style="7351" customWidth="1"/>
    <col min="1794" max="1794" width="11.88671875" style="7351" customWidth="1"/>
    <col min="1795" max="1795" width="13.88671875" style="7351" customWidth="1"/>
    <col min="1796" max="1796" width="14.44140625" style="7351" customWidth="1"/>
    <col min="1797" max="1797" width="14" style="7351" customWidth="1"/>
    <col min="1798" max="2047" width="9.109375" style="7351"/>
    <col min="2048" max="2048" width="3.88671875" style="7351" customWidth="1"/>
    <col min="2049" max="2049" width="36.88671875" style="7351" customWidth="1"/>
    <col min="2050" max="2050" width="11.88671875" style="7351" customWidth="1"/>
    <col min="2051" max="2051" width="13.88671875" style="7351" customWidth="1"/>
    <col min="2052" max="2052" width="14.44140625" style="7351" customWidth="1"/>
    <col min="2053" max="2053" width="14" style="7351" customWidth="1"/>
    <col min="2054" max="2303" width="9.109375" style="7351"/>
    <col min="2304" max="2304" width="3.88671875" style="7351" customWidth="1"/>
    <col min="2305" max="2305" width="36.88671875" style="7351" customWidth="1"/>
    <col min="2306" max="2306" width="11.88671875" style="7351" customWidth="1"/>
    <col min="2307" max="2307" width="13.88671875" style="7351" customWidth="1"/>
    <col min="2308" max="2308" width="14.44140625" style="7351" customWidth="1"/>
    <col min="2309" max="2309" width="14" style="7351" customWidth="1"/>
    <col min="2310" max="2559" width="9.109375" style="7351"/>
    <col min="2560" max="2560" width="3.88671875" style="7351" customWidth="1"/>
    <col min="2561" max="2561" width="36.88671875" style="7351" customWidth="1"/>
    <col min="2562" max="2562" width="11.88671875" style="7351" customWidth="1"/>
    <col min="2563" max="2563" width="13.88671875" style="7351" customWidth="1"/>
    <col min="2564" max="2564" width="14.44140625" style="7351" customWidth="1"/>
    <col min="2565" max="2565" width="14" style="7351" customWidth="1"/>
    <col min="2566" max="2815" width="9.109375" style="7351"/>
    <col min="2816" max="2816" width="3.88671875" style="7351" customWidth="1"/>
    <col min="2817" max="2817" width="36.88671875" style="7351" customWidth="1"/>
    <col min="2818" max="2818" width="11.88671875" style="7351" customWidth="1"/>
    <col min="2819" max="2819" width="13.88671875" style="7351" customWidth="1"/>
    <col min="2820" max="2820" width="14.44140625" style="7351" customWidth="1"/>
    <col min="2821" max="2821" width="14" style="7351" customWidth="1"/>
    <col min="2822" max="3071" width="9.109375" style="7351"/>
    <col min="3072" max="3072" width="3.88671875" style="7351" customWidth="1"/>
    <col min="3073" max="3073" width="36.88671875" style="7351" customWidth="1"/>
    <col min="3074" max="3074" width="11.88671875" style="7351" customWidth="1"/>
    <col min="3075" max="3075" width="13.88671875" style="7351" customWidth="1"/>
    <col min="3076" max="3076" width="14.44140625" style="7351" customWidth="1"/>
    <col min="3077" max="3077" width="14" style="7351" customWidth="1"/>
    <col min="3078" max="3327" width="9.109375" style="7351"/>
    <col min="3328" max="3328" width="3.88671875" style="7351" customWidth="1"/>
    <col min="3329" max="3329" width="36.88671875" style="7351" customWidth="1"/>
    <col min="3330" max="3330" width="11.88671875" style="7351" customWidth="1"/>
    <col min="3331" max="3331" width="13.88671875" style="7351" customWidth="1"/>
    <col min="3332" max="3332" width="14.44140625" style="7351" customWidth="1"/>
    <col min="3333" max="3333" width="14" style="7351" customWidth="1"/>
    <col min="3334" max="3583" width="9.109375" style="7351"/>
    <col min="3584" max="3584" width="3.88671875" style="7351" customWidth="1"/>
    <col min="3585" max="3585" width="36.88671875" style="7351" customWidth="1"/>
    <col min="3586" max="3586" width="11.88671875" style="7351" customWidth="1"/>
    <col min="3587" max="3587" width="13.88671875" style="7351" customWidth="1"/>
    <col min="3588" max="3588" width="14.44140625" style="7351" customWidth="1"/>
    <col min="3589" max="3589" width="14" style="7351" customWidth="1"/>
    <col min="3590" max="3839" width="9.109375" style="7351"/>
    <col min="3840" max="3840" width="3.88671875" style="7351" customWidth="1"/>
    <col min="3841" max="3841" width="36.88671875" style="7351" customWidth="1"/>
    <col min="3842" max="3842" width="11.88671875" style="7351" customWidth="1"/>
    <col min="3843" max="3843" width="13.88671875" style="7351" customWidth="1"/>
    <col min="3844" max="3844" width="14.44140625" style="7351" customWidth="1"/>
    <col min="3845" max="3845" width="14" style="7351" customWidth="1"/>
    <col min="3846" max="4095" width="9.109375" style="7351"/>
    <col min="4096" max="4096" width="3.88671875" style="7351" customWidth="1"/>
    <col min="4097" max="4097" width="36.88671875" style="7351" customWidth="1"/>
    <col min="4098" max="4098" width="11.88671875" style="7351" customWidth="1"/>
    <col min="4099" max="4099" width="13.88671875" style="7351" customWidth="1"/>
    <col min="4100" max="4100" width="14.44140625" style="7351" customWidth="1"/>
    <col min="4101" max="4101" width="14" style="7351" customWidth="1"/>
    <col min="4102" max="4351" width="9.109375" style="7351"/>
    <col min="4352" max="4352" width="3.88671875" style="7351" customWidth="1"/>
    <col min="4353" max="4353" width="36.88671875" style="7351" customWidth="1"/>
    <col min="4354" max="4354" width="11.88671875" style="7351" customWidth="1"/>
    <col min="4355" max="4355" width="13.88671875" style="7351" customWidth="1"/>
    <col min="4356" max="4356" width="14.44140625" style="7351" customWidth="1"/>
    <col min="4357" max="4357" width="14" style="7351" customWidth="1"/>
    <col min="4358" max="4607" width="9.109375" style="7351"/>
    <col min="4608" max="4608" width="3.88671875" style="7351" customWidth="1"/>
    <col min="4609" max="4609" width="36.88671875" style="7351" customWidth="1"/>
    <col min="4610" max="4610" width="11.88671875" style="7351" customWidth="1"/>
    <col min="4611" max="4611" width="13.88671875" style="7351" customWidth="1"/>
    <col min="4612" max="4612" width="14.44140625" style="7351" customWidth="1"/>
    <col min="4613" max="4613" width="14" style="7351" customWidth="1"/>
    <col min="4614" max="4863" width="9.109375" style="7351"/>
    <col min="4864" max="4864" width="3.88671875" style="7351" customWidth="1"/>
    <col min="4865" max="4865" width="36.88671875" style="7351" customWidth="1"/>
    <col min="4866" max="4866" width="11.88671875" style="7351" customWidth="1"/>
    <col min="4867" max="4867" width="13.88671875" style="7351" customWidth="1"/>
    <col min="4868" max="4868" width="14.44140625" style="7351" customWidth="1"/>
    <col min="4869" max="4869" width="14" style="7351" customWidth="1"/>
    <col min="4870" max="5119" width="9.109375" style="7351"/>
    <col min="5120" max="5120" width="3.88671875" style="7351" customWidth="1"/>
    <col min="5121" max="5121" width="36.88671875" style="7351" customWidth="1"/>
    <col min="5122" max="5122" width="11.88671875" style="7351" customWidth="1"/>
    <col min="5123" max="5123" width="13.88671875" style="7351" customWidth="1"/>
    <col min="5124" max="5124" width="14.44140625" style="7351" customWidth="1"/>
    <col min="5125" max="5125" width="14" style="7351" customWidth="1"/>
    <col min="5126" max="5375" width="9.109375" style="7351"/>
    <col min="5376" max="5376" width="3.88671875" style="7351" customWidth="1"/>
    <col min="5377" max="5377" width="36.88671875" style="7351" customWidth="1"/>
    <col min="5378" max="5378" width="11.88671875" style="7351" customWidth="1"/>
    <col min="5379" max="5379" width="13.88671875" style="7351" customWidth="1"/>
    <col min="5380" max="5380" width="14.44140625" style="7351" customWidth="1"/>
    <col min="5381" max="5381" width="14" style="7351" customWidth="1"/>
    <col min="5382" max="5631" width="9.109375" style="7351"/>
    <col min="5632" max="5632" width="3.88671875" style="7351" customWidth="1"/>
    <col min="5633" max="5633" width="36.88671875" style="7351" customWidth="1"/>
    <col min="5634" max="5634" width="11.88671875" style="7351" customWidth="1"/>
    <col min="5635" max="5635" width="13.88671875" style="7351" customWidth="1"/>
    <col min="5636" max="5636" width="14.44140625" style="7351" customWidth="1"/>
    <col min="5637" max="5637" width="14" style="7351" customWidth="1"/>
    <col min="5638" max="5887" width="9.109375" style="7351"/>
    <col min="5888" max="5888" width="3.88671875" style="7351" customWidth="1"/>
    <col min="5889" max="5889" width="36.88671875" style="7351" customWidth="1"/>
    <col min="5890" max="5890" width="11.88671875" style="7351" customWidth="1"/>
    <col min="5891" max="5891" width="13.88671875" style="7351" customWidth="1"/>
    <col min="5892" max="5892" width="14.44140625" style="7351" customWidth="1"/>
    <col min="5893" max="5893" width="14" style="7351" customWidth="1"/>
    <col min="5894" max="6143" width="9.109375" style="7351"/>
    <col min="6144" max="6144" width="3.88671875" style="7351" customWidth="1"/>
    <col min="6145" max="6145" width="36.88671875" style="7351" customWidth="1"/>
    <col min="6146" max="6146" width="11.88671875" style="7351" customWidth="1"/>
    <col min="6147" max="6147" width="13.88671875" style="7351" customWidth="1"/>
    <col min="6148" max="6148" width="14.44140625" style="7351" customWidth="1"/>
    <col min="6149" max="6149" width="14" style="7351" customWidth="1"/>
    <col min="6150" max="6399" width="9.109375" style="7351"/>
    <col min="6400" max="6400" width="3.88671875" style="7351" customWidth="1"/>
    <col min="6401" max="6401" width="36.88671875" style="7351" customWidth="1"/>
    <col min="6402" max="6402" width="11.88671875" style="7351" customWidth="1"/>
    <col min="6403" max="6403" width="13.88671875" style="7351" customWidth="1"/>
    <col min="6404" max="6404" width="14.44140625" style="7351" customWidth="1"/>
    <col min="6405" max="6405" width="14" style="7351" customWidth="1"/>
    <col min="6406" max="6655" width="9.109375" style="7351"/>
    <col min="6656" max="6656" width="3.88671875" style="7351" customWidth="1"/>
    <col min="6657" max="6657" width="36.88671875" style="7351" customWidth="1"/>
    <col min="6658" max="6658" width="11.88671875" style="7351" customWidth="1"/>
    <col min="6659" max="6659" width="13.88671875" style="7351" customWidth="1"/>
    <col min="6660" max="6660" width="14.44140625" style="7351" customWidth="1"/>
    <col min="6661" max="6661" width="14" style="7351" customWidth="1"/>
    <col min="6662" max="6911" width="9.109375" style="7351"/>
    <col min="6912" max="6912" width="3.88671875" style="7351" customWidth="1"/>
    <col min="6913" max="6913" width="36.88671875" style="7351" customWidth="1"/>
    <col min="6914" max="6914" width="11.88671875" style="7351" customWidth="1"/>
    <col min="6915" max="6915" width="13.88671875" style="7351" customWidth="1"/>
    <col min="6916" max="6916" width="14.44140625" style="7351" customWidth="1"/>
    <col min="6917" max="6917" width="14" style="7351" customWidth="1"/>
    <col min="6918" max="7167" width="9.109375" style="7351"/>
    <col min="7168" max="7168" width="3.88671875" style="7351" customWidth="1"/>
    <col min="7169" max="7169" width="36.88671875" style="7351" customWidth="1"/>
    <col min="7170" max="7170" width="11.88671875" style="7351" customWidth="1"/>
    <col min="7171" max="7171" width="13.88671875" style="7351" customWidth="1"/>
    <col min="7172" max="7172" width="14.44140625" style="7351" customWidth="1"/>
    <col min="7173" max="7173" width="14" style="7351" customWidth="1"/>
    <col min="7174" max="7423" width="9.109375" style="7351"/>
    <col min="7424" max="7424" width="3.88671875" style="7351" customWidth="1"/>
    <col min="7425" max="7425" width="36.88671875" style="7351" customWidth="1"/>
    <col min="7426" max="7426" width="11.88671875" style="7351" customWidth="1"/>
    <col min="7427" max="7427" width="13.88671875" style="7351" customWidth="1"/>
    <col min="7428" max="7428" width="14.44140625" style="7351" customWidth="1"/>
    <col min="7429" max="7429" width="14" style="7351" customWidth="1"/>
    <col min="7430" max="7679" width="9.109375" style="7351"/>
    <col min="7680" max="7680" width="3.88671875" style="7351" customWidth="1"/>
    <col min="7681" max="7681" width="36.88671875" style="7351" customWidth="1"/>
    <col min="7682" max="7682" width="11.88671875" style="7351" customWidth="1"/>
    <col min="7683" max="7683" width="13.88671875" style="7351" customWidth="1"/>
    <col min="7684" max="7684" width="14.44140625" style="7351" customWidth="1"/>
    <col min="7685" max="7685" width="14" style="7351" customWidth="1"/>
    <col min="7686" max="7935" width="9.109375" style="7351"/>
    <col min="7936" max="7936" width="3.88671875" style="7351" customWidth="1"/>
    <col min="7937" max="7937" width="36.88671875" style="7351" customWidth="1"/>
    <col min="7938" max="7938" width="11.88671875" style="7351" customWidth="1"/>
    <col min="7939" max="7939" width="13.88671875" style="7351" customWidth="1"/>
    <col min="7940" max="7940" width="14.44140625" style="7351" customWidth="1"/>
    <col min="7941" max="7941" width="14" style="7351" customWidth="1"/>
    <col min="7942" max="8191" width="9.109375" style="7351"/>
    <col min="8192" max="8192" width="3.88671875" style="7351" customWidth="1"/>
    <col min="8193" max="8193" width="36.88671875" style="7351" customWidth="1"/>
    <col min="8194" max="8194" width="11.88671875" style="7351" customWidth="1"/>
    <col min="8195" max="8195" width="13.88671875" style="7351" customWidth="1"/>
    <col min="8196" max="8196" width="14.44140625" style="7351" customWidth="1"/>
    <col min="8197" max="8197" width="14" style="7351" customWidth="1"/>
    <col min="8198" max="8447" width="9.109375" style="7351"/>
    <col min="8448" max="8448" width="3.88671875" style="7351" customWidth="1"/>
    <col min="8449" max="8449" width="36.88671875" style="7351" customWidth="1"/>
    <col min="8450" max="8450" width="11.88671875" style="7351" customWidth="1"/>
    <col min="8451" max="8451" width="13.88671875" style="7351" customWidth="1"/>
    <col min="8452" max="8452" width="14.44140625" style="7351" customWidth="1"/>
    <col min="8453" max="8453" width="14" style="7351" customWidth="1"/>
    <col min="8454" max="8703" width="9.109375" style="7351"/>
    <col min="8704" max="8704" width="3.88671875" style="7351" customWidth="1"/>
    <col min="8705" max="8705" width="36.88671875" style="7351" customWidth="1"/>
    <col min="8706" max="8706" width="11.88671875" style="7351" customWidth="1"/>
    <col min="8707" max="8707" width="13.88671875" style="7351" customWidth="1"/>
    <col min="8708" max="8708" width="14.44140625" style="7351" customWidth="1"/>
    <col min="8709" max="8709" width="14" style="7351" customWidth="1"/>
    <col min="8710" max="8959" width="9.109375" style="7351"/>
    <col min="8960" max="8960" width="3.88671875" style="7351" customWidth="1"/>
    <col min="8961" max="8961" width="36.88671875" style="7351" customWidth="1"/>
    <col min="8962" max="8962" width="11.88671875" style="7351" customWidth="1"/>
    <col min="8963" max="8963" width="13.88671875" style="7351" customWidth="1"/>
    <col min="8964" max="8964" width="14.44140625" style="7351" customWidth="1"/>
    <col min="8965" max="8965" width="14" style="7351" customWidth="1"/>
    <col min="8966" max="9215" width="9.109375" style="7351"/>
    <col min="9216" max="9216" width="3.88671875" style="7351" customWidth="1"/>
    <col min="9217" max="9217" width="36.88671875" style="7351" customWidth="1"/>
    <col min="9218" max="9218" width="11.88671875" style="7351" customWidth="1"/>
    <col min="9219" max="9219" width="13.88671875" style="7351" customWidth="1"/>
    <col min="9220" max="9220" width="14.44140625" style="7351" customWidth="1"/>
    <col min="9221" max="9221" width="14" style="7351" customWidth="1"/>
    <col min="9222" max="9471" width="9.109375" style="7351"/>
    <col min="9472" max="9472" width="3.88671875" style="7351" customWidth="1"/>
    <col min="9473" max="9473" width="36.88671875" style="7351" customWidth="1"/>
    <col min="9474" max="9474" width="11.88671875" style="7351" customWidth="1"/>
    <col min="9475" max="9475" width="13.88671875" style="7351" customWidth="1"/>
    <col min="9476" max="9476" width="14.44140625" style="7351" customWidth="1"/>
    <col min="9477" max="9477" width="14" style="7351" customWidth="1"/>
    <col min="9478" max="9727" width="9.109375" style="7351"/>
    <col min="9728" max="9728" width="3.88671875" style="7351" customWidth="1"/>
    <col min="9729" max="9729" width="36.88671875" style="7351" customWidth="1"/>
    <col min="9730" max="9730" width="11.88671875" style="7351" customWidth="1"/>
    <col min="9731" max="9731" width="13.88671875" style="7351" customWidth="1"/>
    <col min="9732" max="9732" width="14.44140625" style="7351" customWidth="1"/>
    <col min="9733" max="9733" width="14" style="7351" customWidth="1"/>
    <col min="9734" max="9983" width="9.109375" style="7351"/>
    <col min="9984" max="9984" width="3.88671875" style="7351" customWidth="1"/>
    <col min="9985" max="9985" width="36.88671875" style="7351" customWidth="1"/>
    <col min="9986" max="9986" width="11.88671875" style="7351" customWidth="1"/>
    <col min="9987" max="9987" width="13.88671875" style="7351" customWidth="1"/>
    <col min="9988" max="9988" width="14.44140625" style="7351" customWidth="1"/>
    <col min="9989" max="9989" width="14" style="7351" customWidth="1"/>
    <col min="9990" max="10239" width="9.109375" style="7351"/>
    <col min="10240" max="10240" width="3.88671875" style="7351" customWidth="1"/>
    <col min="10241" max="10241" width="36.88671875" style="7351" customWidth="1"/>
    <col min="10242" max="10242" width="11.88671875" style="7351" customWidth="1"/>
    <col min="10243" max="10243" width="13.88671875" style="7351" customWidth="1"/>
    <col min="10244" max="10244" width="14.44140625" style="7351" customWidth="1"/>
    <col min="10245" max="10245" width="14" style="7351" customWidth="1"/>
    <col min="10246" max="10495" width="9.109375" style="7351"/>
    <col min="10496" max="10496" width="3.88671875" style="7351" customWidth="1"/>
    <col min="10497" max="10497" width="36.88671875" style="7351" customWidth="1"/>
    <col min="10498" max="10498" width="11.88671875" style="7351" customWidth="1"/>
    <col min="10499" max="10499" width="13.88671875" style="7351" customWidth="1"/>
    <col min="10500" max="10500" width="14.44140625" style="7351" customWidth="1"/>
    <col min="10501" max="10501" width="14" style="7351" customWidth="1"/>
    <col min="10502" max="10751" width="9.109375" style="7351"/>
    <col min="10752" max="10752" width="3.88671875" style="7351" customWidth="1"/>
    <col min="10753" max="10753" width="36.88671875" style="7351" customWidth="1"/>
    <col min="10754" max="10754" width="11.88671875" style="7351" customWidth="1"/>
    <col min="10755" max="10755" width="13.88671875" style="7351" customWidth="1"/>
    <col min="10756" max="10756" width="14.44140625" style="7351" customWidth="1"/>
    <col min="10757" max="10757" width="14" style="7351" customWidth="1"/>
    <col min="10758" max="11007" width="9.109375" style="7351"/>
    <col min="11008" max="11008" width="3.88671875" style="7351" customWidth="1"/>
    <col min="11009" max="11009" width="36.88671875" style="7351" customWidth="1"/>
    <col min="11010" max="11010" width="11.88671875" style="7351" customWidth="1"/>
    <col min="11011" max="11011" width="13.88671875" style="7351" customWidth="1"/>
    <col min="11012" max="11012" width="14.44140625" style="7351" customWidth="1"/>
    <col min="11013" max="11013" width="14" style="7351" customWidth="1"/>
    <col min="11014" max="11263" width="9.109375" style="7351"/>
    <col min="11264" max="11264" width="3.88671875" style="7351" customWidth="1"/>
    <col min="11265" max="11265" width="36.88671875" style="7351" customWidth="1"/>
    <col min="11266" max="11266" width="11.88671875" style="7351" customWidth="1"/>
    <col min="11267" max="11267" width="13.88671875" style="7351" customWidth="1"/>
    <col min="11268" max="11268" width="14.44140625" style="7351" customWidth="1"/>
    <col min="11269" max="11269" width="14" style="7351" customWidth="1"/>
    <col min="11270" max="11519" width="9.109375" style="7351"/>
    <col min="11520" max="11520" width="3.88671875" style="7351" customWidth="1"/>
    <col min="11521" max="11521" width="36.88671875" style="7351" customWidth="1"/>
    <col min="11522" max="11522" width="11.88671875" style="7351" customWidth="1"/>
    <col min="11523" max="11523" width="13.88671875" style="7351" customWidth="1"/>
    <col min="11524" max="11524" width="14.44140625" style="7351" customWidth="1"/>
    <col min="11525" max="11525" width="14" style="7351" customWidth="1"/>
    <col min="11526" max="11775" width="9.109375" style="7351"/>
    <col min="11776" max="11776" width="3.88671875" style="7351" customWidth="1"/>
    <col min="11777" max="11777" width="36.88671875" style="7351" customWidth="1"/>
    <col min="11778" max="11778" width="11.88671875" style="7351" customWidth="1"/>
    <col min="11779" max="11779" width="13.88671875" style="7351" customWidth="1"/>
    <col min="11780" max="11780" width="14.44140625" style="7351" customWidth="1"/>
    <col min="11781" max="11781" width="14" style="7351" customWidth="1"/>
    <col min="11782" max="12031" width="9.109375" style="7351"/>
    <col min="12032" max="12032" width="3.88671875" style="7351" customWidth="1"/>
    <col min="12033" max="12033" width="36.88671875" style="7351" customWidth="1"/>
    <col min="12034" max="12034" width="11.88671875" style="7351" customWidth="1"/>
    <col min="12035" max="12035" width="13.88671875" style="7351" customWidth="1"/>
    <col min="12036" max="12036" width="14.44140625" style="7351" customWidth="1"/>
    <col min="12037" max="12037" width="14" style="7351" customWidth="1"/>
    <col min="12038" max="12287" width="9.109375" style="7351"/>
    <col min="12288" max="12288" width="3.88671875" style="7351" customWidth="1"/>
    <col min="12289" max="12289" width="36.88671875" style="7351" customWidth="1"/>
    <col min="12290" max="12290" width="11.88671875" style="7351" customWidth="1"/>
    <col min="12291" max="12291" width="13.88671875" style="7351" customWidth="1"/>
    <col min="12292" max="12292" width="14.44140625" style="7351" customWidth="1"/>
    <col min="12293" max="12293" width="14" style="7351" customWidth="1"/>
    <col min="12294" max="12543" width="9.109375" style="7351"/>
    <col min="12544" max="12544" width="3.88671875" style="7351" customWidth="1"/>
    <col min="12545" max="12545" width="36.88671875" style="7351" customWidth="1"/>
    <col min="12546" max="12546" width="11.88671875" style="7351" customWidth="1"/>
    <col min="12547" max="12547" width="13.88671875" style="7351" customWidth="1"/>
    <col min="12548" max="12548" width="14.44140625" style="7351" customWidth="1"/>
    <col min="12549" max="12549" width="14" style="7351" customWidth="1"/>
    <col min="12550" max="12799" width="9.109375" style="7351"/>
    <col min="12800" max="12800" width="3.88671875" style="7351" customWidth="1"/>
    <col min="12801" max="12801" width="36.88671875" style="7351" customWidth="1"/>
    <col min="12802" max="12802" width="11.88671875" style="7351" customWidth="1"/>
    <col min="12803" max="12803" width="13.88671875" style="7351" customWidth="1"/>
    <col min="12804" max="12804" width="14.44140625" style="7351" customWidth="1"/>
    <col min="12805" max="12805" width="14" style="7351" customWidth="1"/>
    <col min="12806" max="13055" width="9.109375" style="7351"/>
    <col min="13056" max="13056" width="3.88671875" style="7351" customWidth="1"/>
    <col min="13057" max="13057" width="36.88671875" style="7351" customWidth="1"/>
    <col min="13058" max="13058" width="11.88671875" style="7351" customWidth="1"/>
    <col min="13059" max="13059" width="13.88671875" style="7351" customWidth="1"/>
    <col min="13060" max="13060" width="14.44140625" style="7351" customWidth="1"/>
    <col min="13061" max="13061" width="14" style="7351" customWidth="1"/>
    <col min="13062" max="13311" width="9.109375" style="7351"/>
    <col min="13312" max="13312" width="3.88671875" style="7351" customWidth="1"/>
    <col min="13313" max="13313" width="36.88671875" style="7351" customWidth="1"/>
    <col min="13314" max="13314" width="11.88671875" style="7351" customWidth="1"/>
    <col min="13315" max="13315" width="13.88671875" style="7351" customWidth="1"/>
    <col min="13316" max="13316" width="14.44140625" style="7351" customWidth="1"/>
    <col min="13317" max="13317" width="14" style="7351" customWidth="1"/>
    <col min="13318" max="13567" width="9.109375" style="7351"/>
    <col min="13568" max="13568" width="3.88671875" style="7351" customWidth="1"/>
    <col min="13569" max="13569" width="36.88671875" style="7351" customWidth="1"/>
    <col min="13570" max="13570" width="11.88671875" style="7351" customWidth="1"/>
    <col min="13571" max="13571" width="13.88671875" style="7351" customWidth="1"/>
    <col min="13572" max="13572" width="14.44140625" style="7351" customWidth="1"/>
    <col min="13573" max="13573" width="14" style="7351" customWidth="1"/>
    <col min="13574" max="13823" width="9.109375" style="7351"/>
    <col min="13824" max="13824" width="3.88671875" style="7351" customWidth="1"/>
    <col min="13825" max="13825" width="36.88671875" style="7351" customWidth="1"/>
    <col min="13826" max="13826" width="11.88671875" style="7351" customWidth="1"/>
    <col min="13827" max="13827" width="13.88671875" style="7351" customWidth="1"/>
    <col min="13828" max="13828" width="14.44140625" style="7351" customWidth="1"/>
    <col min="13829" max="13829" width="14" style="7351" customWidth="1"/>
    <col min="13830" max="14079" width="9.109375" style="7351"/>
    <col min="14080" max="14080" width="3.88671875" style="7351" customWidth="1"/>
    <col min="14081" max="14081" width="36.88671875" style="7351" customWidth="1"/>
    <col min="14082" max="14082" width="11.88671875" style="7351" customWidth="1"/>
    <col min="14083" max="14083" width="13.88671875" style="7351" customWidth="1"/>
    <col min="14084" max="14084" width="14.44140625" style="7351" customWidth="1"/>
    <col min="14085" max="14085" width="14" style="7351" customWidth="1"/>
    <col min="14086" max="14335" width="9.109375" style="7351"/>
    <col min="14336" max="14336" width="3.88671875" style="7351" customWidth="1"/>
    <col min="14337" max="14337" width="36.88671875" style="7351" customWidth="1"/>
    <col min="14338" max="14338" width="11.88671875" style="7351" customWidth="1"/>
    <col min="14339" max="14339" width="13.88671875" style="7351" customWidth="1"/>
    <col min="14340" max="14340" width="14.44140625" style="7351" customWidth="1"/>
    <col min="14341" max="14341" width="14" style="7351" customWidth="1"/>
    <col min="14342" max="14591" width="9.109375" style="7351"/>
    <col min="14592" max="14592" width="3.88671875" style="7351" customWidth="1"/>
    <col min="14593" max="14593" width="36.88671875" style="7351" customWidth="1"/>
    <col min="14594" max="14594" width="11.88671875" style="7351" customWidth="1"/>
    <col min="14595" max="14595" width="13.88671875" style="7351" customWidth="1"/>
    <col min="14596" max="14596" width="14.44140625" style="7351" customWidth="1"/>
    <col min="14597" max="14597" width="14" style="7351" customWidth="1"/>
    <col min="14598" max="14847" width="9.109375" style="7351"/>
    <col min="14848" max="14848" width="3.88671875" style="7351" customWidth="1"/>
    <col min="14849" max="14849" width="36.88671875" style="7351" customWidth="1"/>
    <col min="14850" max="14850" width="11.88671875" style="7351" customWidth="1"/>
    <col min="14851" max="14851" width="13.88671875" style="7351" customWidth="1"/>
    <col min="14852" max="14852" width="14.44140625" style="7351" customWidth="1"/>
    <col min="14853" max="14853" width="14" style="7351" customWidth="1"/>
    <col min="14854" max="15103" width="9.109375" style="7351"/>
    <col min="15104" max="15104" width="3.88671875" style="7351" customWidth="1"/>
    <col min="15105" max="15105" width="36.88671875" style="7351" customWidth="1"/>
    <col min="15106" max="15106" width="11.88671875" style="7351" customWidth="1"/>
    <col min="15107" max="15107" width="13.88671875" style="7351" customWidth="1"/>
    <col min="15108" max="15108" width="14.44140625" style="7351" customWidth="1"/>
    <col min="15109" max="15109" width="14" style="7351" customWidth="1"/>
    <col min="15110" max="15359" width="9.109375" style="7351"/>
    <col min="15360" max="15360" width="3.88671875" style="7351" customWidth="1"/>
    <col min="15361" max="15361" width="36.88671875" style="7351" customWidth="1"/>
    <col min="15362" max="15362" width="11.88671875" style="7351" customWidth="1"/>
    <col min="15363" max="15363" width="13.88671875" style="7351" customWidth="1"/>
    <col min="15364" max="15364" width="14.44140625" style="7351" customWidth="1"/>
    <col min="15365" max="15365" width="14" style="7351" customWidth="1"/>
    <col min="15366" max="15615" width="9.109375" style="7351"/>
    <col min="15616" max="15616" width="3.88671875" style="7351" customWidth="1"/>
    <col min="15617" max="15617" width="36.88671875" style="7351" customWidth="1"/>
    <col min="15618" max="15618" width="11.88671875" style="7351" customWidth="1"/>
    <col min="15619" max="15619" width="13.88671875" style="7351" customWidth="1"/>
    <col min="15620" max="15620" width="14.44140625" style="7351" customWidth="1"/>
    <col min="15621" max="15621" width="14" style="7351" customWidth="1"/>
    <col min="15622" max="15871" width="9.109375" style="7351"/>
    <col min="15872" max="15872" width="3.88671875" style="7351" customWidth="1"/>
    <col min="15873" max="15873" width="36.88671875" style="7351" customWidth="1"/>
    <col min="15874" max="15874" width="11.88671875" style="7351" customWidth="1"/>
    <col min="15875" max="15875" width="13.88671875" style="7351" customWidth="1"/>
    <col min="15876" max="15876" width="14.44140625" style="7351" customWidth="1"/>
    <col min="15877" max="15877" width="14" style="7351" customWidth="1"/>
    <col min="15878" max="16127" width="9.109375" style="7351"/>
    <col min="16128" max="16128" width="3.88671875" style="7351" customWidth="1"/>
    <col min="16129" max="16129" width="36.88671875" style="7351" customWidth="1"/>
    <col min="16130" max="16130" width="11.88671875" style="7351" customWidth="1"/>
    <col min="16131" max="16131" width="13.88671875" style="7351" customWidth="1"/>
    <col min="16132" max="16132" width="14.44140625" style="7351" customWidth="1"/>
    <col min="16133" max="16133" width="14" style="7351" customWidth="1"/>
    <col min="16134" max="16384" width="9.109375" style="7351"/>
  </cols>
  <sheetData>
    <row r="1" spans="1:12" ht="15" customHeight="1">
      <c r="A1" s="14432" t="s">
        <v>1</v>
      </c>
      <c r="B1" s="14432"/>
      <c r="C1" s="14432"/>
      <c r="D1" s="14432"/>
      <c r="E1" s="14432"/>
      <c r="F1" s="14432"/>
      <c r="G1" s="14432"/>
      <c r="H1" s="14432"/>
      <c r="I1" s="14432"/>
      <c r="J1" s="14432"/>
      <c r="K1" s="10873"/>
    </row>
    <row r="2" spans="1:12" ht="15" customHeight="1">
      <c r="A2" s="7352"/>
      <c r="B2" s="7719"/>
      <c r="C2" s="8785"/>
      <c r="D2" s="7720"/>
      <c r="E2" s="7720"/>
      <c r="F2" s="9522"/>
      <c r="G2" s="7720"/>
      <c r="H2" s="7720"/>
      <c r="I2" s="7280"/>
      <c r="J2" s="7720"/>
      <c r="K2" s="7720"/>
    </row>
    <row r="3" spans="1:12" ht="15" customHeight="1">
      <c r="A3" s="7352" t="s">
        <v>2</v>
      </c>
      <c r="B3" s="7341"/>
      <c r="C3" s="8786" t="s">
        <v>3</v>
      </c>
      <c r="D3" s="9431"/>
      <c r="E3" s="9431"/>
      <c r="F3" s="9523"/>
      <c r="G3" s="9431"/>
      <c r="H3" s="9431"/>
      <c r="I3" s="7284"/>
      <c r="J3" s="9431"/>
      <c r="K3" s="9431"/>
    </row>
    <row r="4" spans="1:12" ht="15" customHeight="1">
      <c r="A4" s="7352" t="s">
        <v>321</v>
      </c>
      <c r="B4" s="7335"/>
      <c r="C4" s="8785" t="s">
        <v>5</v>
      </c>
      <c r="D4" s="7336"/>
      <c r="E4" s="7336"/>
      <c r="F4" s="9524"/>
      <c r="G4" s="7336"/>
      <c r="H4" s="7336"/>
      <c r="I4" s="7286"/>
      <c r="J4" s="14615"/>
      <c r="K4" s="10888"/>
    </row>
    <row r="5" spans="1:12" ht="15" customHeight="1">
      <c r="A5" s="7352" t="s">
        <v>7</v>
      </c>
      <c r="B5" s="7352"/>
      <c r="C5" s="8789" t="s">
        <v>8</v>
      </c>
      <c r="D5" s="7354"/>
      <c r="E5" s="7354"/>
      <c r="F5" s="9525"/>
      <c r="G5" s="7364"/>
      <c r="H5" s="7354"/>
      <c r="I5" s="7290"/>
      <c r="J5" s="14615"/>
      <c r="K5" s="7364"/>
    </row>
    <row r="6" spans="1:12" ht="15" customHeight="1" thickBot="1">
      <c r="A6" s="7390"/>
      <c r="B6" s="7390"/>
      <c r="C6" s="8796"/>
      <c r="D6" s="7724"/>
      <c r="E6" s="7724"/>
      <c r="F6" s="9526"/>
      <c r="G6" s="7724"/>
      <c r="H6" s="7724"/>
      <c r="I6" s="7294"/>
      <c r="J6" s="7724"/>
      <c r="K6" s="7354"/>
    </row>
    <row r="7" spans="1:12" ht="15" customHeight="1">
      <c r="A7" s="11433"/>
      <c r="B7" s="11434"/>
      <c r="C7" s="11750" t="s">
        <v>9</v>
      </c>
      <c r="D7" s="9461" t="s">
        <v>10</v>
      </c>
      <c r="E7" s="14188" t="s">
        <v>10711</v>
      </c>
      <c r="F7" s="14189"/>
      <c r="G7" s="14190"/>
      <c r="H7" s="11080" t="s">
        <v>9985</v>
      </c>
      <c r="I7" s="8206"/>
      <c r="J7" s="11437" t="s">
        <v>12</v>
      </c>
      <c r="K7" s="9350"/>
    </row>
    <row r="8" spans="1:12" ht="15" customHeight="1">
      <c r="A8" s="11237"/>
      <c r="B8" s="7356" t="s">
        <v>13</v>
      </c>
      <c r="C8" s="14613" t="s">
        <v>14</v>
      </c>
      <c r="D8" s="11438" t="s">
        <v>15</v>
      </c>
      <c r="E8" s="9502" t="s">
        <v>10709</v>
      </c>
      <c r="F8" s="11083" t="s">
        <v>10710</v>
      </c>
      <c r="G8" s="14191" t="s">
        <v>458</v>
      </c>
      <c r="H8" s="11084" t="s">
        <v>11881</v>
      </c>
      <c r="I8" s="11085"/>
      <c r="J8" s="11439" t="s">
        <v>16</v>
      </c>
      <c r="K8" s="9350"/>
    </row>
    <row r="9" spans="1:12" s="7833" customFormat="1" ht="15" customHeight="1" thickBot="1">
      <c r="A9" s="11440"/>
      <c r="B9" s="11441"/>
      <c r="C9" s="14614"/>
      <c r="D9" s="7302">
        <v>2017</v>
      </c>
      <c r="E9" s="9467" t="s">
        <v>457</v>
      </c>
      <c r="F9" s="11076" t="s">
        <v>456</v>
      </c>
      <c r="G9" s="14192"/>
      <c r="H9" s="7302">
        <v>2018</v>
      </c>
      <c r="I9" s="7322"/>
      <c r="J9" s="11442">
        <v>2019</v>
      </c>
      <c r="K9" s="8074"/>
      <c r="L9" s="7834"/>
    </row>
    <row r="10" spans="1:12" s="7833" customFormat="1" ht="15" customHeight="1">
      <c r="A10" s="11451"/>
      <c r="B10" s="8074"/>
      <c r="C10" s="12015"/>
      <c r="D10" s="11181"/>
      <c r="E10" s="11181"/>
      <c r="F10" s="11271"/>
      <c r="G10" s="11181"/>
      <c r="H10" s="11181"/>
      <c r="I10" s="11108"/>
      <c r="J10" s="11453"/>
      <c r="K10" s="8074"/>
      <c r="L10" s="7834"/>
    </row>
    <row r="11" spans="1:12" ht="15" customHeight="1">
      <c r="A11" s="11241" t="s">
        <v>17</v>
      </c>
      <c r="B11" s="7352" t="s">
        <v>18</v>
      </c>
      <c r="C11" s="8872"/>
      <c r="D11" s="11252"/>
      <c r="E11" s="11252"/>
      <c r="F11" s="11243"/>
      <c r="G11" s="11252"/>
      <c r="H11" s="11252"/>
      <c r="I11" s="11163"/>
      <c r="J11" s="11269"/>
      <c r="K11" s="7354"/>
    </row>
    <row r="12" spans="1:12" ht="15" customHeight="1">
      <c r="A12" s="11237"/>
      <c r="B12" s="7352" t="s">
        <v>19</v>
      </c>
      <c r="C12" s="8872"/>
      <c r="D12" s="11252"/>
      <c r="E12" s="11252"/>
      <c r="F12" s="11243"/>
      <c r="G12" s="11252"/>
      <c r="H12" s="11252"/>
      <c r="I12" s="11163"/>
      <c r="J12" s="11269"/>
      <c r="K12" s="7354"/>
    </row>
    <row r="13" spans="1:12" ht="15" customHeight="1">
      <c r="A13" s="11237"/>
      <c r="B13" s="7352" t="s">
        <v>20</v>
      </c>
      <c r="C13" s="8872">
        <v>50101010</v>
      </c>
      <c r="D13" s="11443">
        <f>'WS-PS 2017'!B25</f>
        <v>4516462.96</v>
      </c>
      <c r="E13" s="11443">
        <f>'WS-PS ACTUAL JUNE 2018'!B25</f>
        <v>2190797.48</v>
      </c>
      <c r="F13" s="11444">
        <f>G13-E13</f>
        <v>3694602.52</v>
      </c>
      <c r="G13" s="11443">
        <v>5885400</v>
      </c>
      <c r="H13" s="11443"/>
      <c r="I13" s="11165"/>
      <c r="J13" s="11752">
        <f>K13</f>
        <v>5680320</v>
      </c>
      <c r="K13" s="12013">
        <f>'staffing-bdj'!F37</f>
        <v>5680320</v>
      </c>
      <c r="L13" s="7383">
        <f>'staffing-bdj'!B37</f>
        <v>29</v>
      </c>
    </row>
    <row r="14" spans="1:12" ht="15" customHeight="1">
      <c r="A14" s="11237"/>
      <c r="B14" s="7352" t="s">
        <v>21</v>
      </c>
      <c r="C14" s="8872">
        <v>50102010</v>
      </c>
      <c r="D14" s="11252">
        <f>'WS-PS 2017'!F25</f>
        <v>615486.64</v>
      </c>
      <c r="E14" s="11252">
        <f>'WS-PS ACTUAL JUNE 2018'!D25</f>
        <v>279826.27</v>
      </c>
      <c r="F14" s="11444">
        <f t="shared" ref="F14:F28" si="0">G14-E14</f>
        <v>440173.73</v>
      </c>
      <c r="G14" s="11252">
        <v>720000</v>
      </c>
      <c r="H14" s="11252"/>
      <c r="I14" s="11163"/>
      <c r="J14" s="11752">
        <f t="shared" ref="J14:J28" si="1">K14</f>
        <v>696000</v>
      </c>
      <c r="K14" s="7310">
        <f>24000*L13</f>
        <v>696000</v>
      </c>
    </row>
    <row r="15" spans="1:12" ht="15" customHeight="1">
      <c r="A15" s="11237"/>
      <c r="B15" s="7352" t="s">
        <v>22</v>
      </c>
      <c r="C15" s="8872">
        <v>50102040</v>
      </c>
      <c r="D15" s="11252">
        <f>'WS-PS 2017'!I25</f>
        <v>115000</v>
      </c>
      <c r="E15" s="11252">
        <f>'WS-PS ACTUAL JUNE 2018'!G25</f>
        <v>138000</v>
      </c>
      <c r="F15" s="11444">
        <f t="shared" si="0"/>
        <v>12000</v>
      </c>
      <c r="G15" s="11252">
        <v>150000</v>
      </c>
      <c r="H15" s="11252"/>
      <c r="I15" s="11163"/>
      <c r="J15" s="11752">
        <f t="shared" si="1"/>
        <v>174000</v>
      </c>
      <c r="K15" s="7310">
        <f>6000*L13</f>
        <v>174000</v>
      </c>
    </row>
    <row r="16" spans="1:12" ht="15" customHeight="1">
      <c r="A16" s="11237"/>
      <c r="B16" s="7488" t="s">
        <v>10932</v>
      </c>
      <c r="C16" s="10368">
        <v>50102080</v>
      </c>
      <c r="D16" s="11252">
        <f>'WS-PS 2017'!L25</f>
        <v>130000</v>
      </c>
      <c r="E16" s="11252">
        <f>'WS-PS ACTUAL JUNE 2018'!J25</f>
        <v>0</v>
      </c>
      <c r="F16" s="11444">
        <f t="shared" si="0"/>
        <v>150000</v>
      </c>
      <c r="G16" s="11252">
        <v>150000</v>
      </c>
      <c r="H16" s="11252"/>
      <c r="I16" s="11163"/>
      <c r="J16" s="11752">
        <f t="shared" si="1"/>
        <v>145000</v>
      </c>
      <c r="K16" s="7310">
        <f>5000*L13</f>
        <v>145000</v>
      </c>
    </row>
    <row r="17" spans="1:12" ht="15" customHeight="1">
      <c r="A17" s="11237"/>
      <c r="B17" s="7488" t="s">
        <v>95</v>
      </c>
      <c r="C17" s="10368"/>
      <c r="D17" s="11252"/>
      <c r="E17" s="11252"/>
      <c r="F17" s="11444"/>
      <c r="G17" s="11252"/>
      <c r="H17" s="11252"/>
      <c r="I17" s="11163"/>
      <c r="J17" s="11752">
        <f>K17</f>
        <v>292320</v>
      </c>
      <c r="K17" s="7310">
        <f>840*L13*12</f>
        <v>292320</v>
      </c>
    </row>
    <row r="18" spans="1:12" ht="15" customHeight="1">
      <c r="A18" s="11237"/>
      <c r="B18" s="7488" t="s">
        <v>10934</v>
      </c>
      <c r="C18" s="8872">
        <v>50102120</v>
      </c>
      <c r="D18" s="11252">
        <f>'WS-PS 2017'!O25</f>
        <v>15000</v>
      </c>
      <c r="E18" s="11252">
        <f>'WS-PS ACTUAL JUNE 2018'!M25</f>
        <v>5000</v>
      </c>
      <c r="F18" s="11444">
        <f>G18-E18</f>
        <v>0</v>
      </c>
      <c r="G18" s="11252">
        <v>5000</v>
      </c>
      <c r="H18" s="11252"/>
      <c r="I18" s="11163"/>
      <c r="J18" s="11752">
        <f t="shared" si="1"/>
        <v>15000</v>
      </c>
      <c r="K18" s="7354">
        <v>15000</v>
      </c>
    </row>
    <row r="19" spans="1:12" ht="15" customHeight="1">
      <c r="A19" s="11237"/>
      <c r="B19" s="7352" t="s">
        <v>11158</v>
      </c>
      <c r="C19" s="10149">
        <v>50102130</v>
      </c>
      <c r="D19" s="11252"/>
      <c r="E19" s="11252">
        <f>'WS-PS ACTUAL JUNE 2018'!N25</f>
        <v>0</v>
      </c>
      <c r="F19" s="11444">
        <f>G19-E19</f>
        <v>324000</v>
      </c>
      <c r="G19" s="11252">
        <v>324000</v>
      </c>
      <c r="H19" s="11252"/>
      <c r="I19" s="11163"/>
      <c r="J19" s="11752">
        <v>324000</v>
      </c>
      <c r="K19" s="7338">
        <v>324000</v>
      </c>
    </row>
    <row r="20" spans="1:12" ht="15" customHeight="1">
      <c r="A20" s="11237"/>
      <c r="B20" s="7488" t="s">
        <v>10933</v>
      </c>
      <c r="C20" s="8872">
        <v>50102140</v>
      </c>
      <c r="D20" s="11443">
        <f>'WS-PS 2017'!U25+'WS-PS 2017'!S25</f>
        <v>697769</v>
      </c>
      <c r="E20" s="11443">
        <f>'WS-PS ACTUAL JUNE 2018'!O25</f>
        <v>299378</v>
      </c>
      <c r="F20" s="11444">
        <f>G20-E20</f>
        <v>681522</v>
      </c>
      <c r="G20" s="11443">
        <v>980900</v>
      </c>
      <c r="H20" s="11443"/>
      <c r="I20" s="11165"/>
      <c r="J20" s="11752">
        <f t="shared" si="1"/>
        <v>946720</v>
      </c>
      <c r="K20" s="7310">
        <f>K13/12*2</f>
        <v>946720</v>
      </c>
    </row>
    <row r="21" spans="1:12" ht="15" customHeight="1">
      <c r="A21" s="11237"/>
      <c r="B21" s="7352" t="s">
        <v>26</v>
      </c>
      <c r="C21" s="8872">
        <v>50102150</v>
      </c>
      <c r="D21" s="11252">
        <f>'WS-PS 2017'!T25</f>
        <v>130000</v>
      </c>
      <c r="E21" s="11252">
        <f>'WS-PS ACTUAL JUNE 2018'!Q25</f>
        <v>0</v>
      </c>
      <c r="F21" s="11444">
        <f t="shared" si="0"/>
        <v>150000</v>
      </c>
      <c r="G21" s="11252">
        <v>150000</v>
      </c>
      <c r="H21" s="11252"/>
      <c r="I21" s="11163"/>
      <c r="J21" s="11752">
        <f t="shared" si="1"/>
        <v>145000</v>
      </c>
      <c r="K21" s="7371">
        <f>K16</f>
        <v>145000</v>
      </c>
    </row>
    <row r="22" spans="1:12" ht="15" customHeight="1">
      <c r="A22" s="11237"/>
      <c r="B22" s="7488" t="s">
        <v>11497</v>
      </c>
      <c r="C22" s="11257">
        <v>50102990</v>
      </c>
      <c r="D22" s="11252">
        <v>0</v>
      </c>
      <c r="E22" s="11252">
        <f>'WS-PS ACTUAL JUNE 2018'!R25</f>
        <v>0</v>
      </c>
      <c r="F22" s="11444">
        <f>G22-E22</f>
        <v>270509</v>
      </c>
      <c r="G22" s="11252">
        <v>270509</v>
      </c>
      <c r="H22" s="11252"/>
      <c r="I22" s="11163"/>
      <c r="J22" s="11752">
        <v>0</v>
      </c>
      <c r="K22" s="7310">
        <f>0.575*(K13/12)</f>
        <v>272182</v>
      </c>
      <c r="L22" s="7749"/>
    </row>
    <row r="23" spans="1:12" ht="15" customHeight="1">
      <c r="A23" s="11237"/>
      <c r="B23" s="7803" t="s">
        <v>11499</v>
      </c>
      <c r="C23" s="11059" t="s">
        <v>11495</v>
      </c>
      <c r="D23" s="11252">
        <f>'WS-PS 2017'!Q25</f>
        <v>0</v>
      </c>
      <c r="E23" s="11252">
        <f>'WS-PS ACTUAL JUNE 2018'!S25</f>
        <v>0</v>
      </c>
      <c r="F23" s="11444">
        <f>G23-E23</f>
        <v>0</v>
      </c>
      <c r="G23" s="11252">
        <v>0</v>
      </c>
      <c r="H23" s="11252"/>
      <c r="I23" s="11163"/>
      <c r="J23" s="11752">
        <f t="shared" si="1"/>
        <v>87000</v>
      </c>
      <c r="K23" s="7310">
        <f>3000*L13</f>
        <v>87000</v>
      </c>
    </row>
    <row r="24" spans="1:12" ht="15" customHeight="1">
      <c r="A24" s="11237"/>
      <c r="B24" s="11518" t="s">
        <v>59</v>
      </c>
      <c r="C24" s="8872">
        <v>50103010</v>
      </c>
      <c r="D24" s="11252">
        <f>'WS-PS 2017'!V25</f>
        <v>541975.55000000005</v>
      </c>
      <c r="E24" s="11252">
        <f>'WS-PS ACTUAL JUNE 2018'!T25</f>
        <v>262895.7</v>
      </c>
      <c r="F24" s="11444">
        <f t="shared" si="0"/>
        <v>443352.3</v>
      </c>
      <c r="G24" s="11252">
        <v>706248</v>
      </c>
      <c r="H24" s="11252"/>
      <c r="I24" s="11163"/>
      <c r="J24" s="11752">
        <f t="shared" si="1"/>
        <v>681638.40000000002</v>
      </c>
      <c r="K24" s="7310">
        <f>K13*12%</f>
        <v>681638.40000000002</v>
      </c>
    </row>
    <row r="25" spans="1:12" ht="15" customHeight="1">
      <c r="A25" s="11237"/>
      <c r="B25" s="7803" t="s">
        <v>28</v>
      </c>
      <c r="C25" s="8872">
        <v>50103020</v>
      </c>
      <c r="D25" s="11252">
        <f>'WS-PS 2017'!W25</f>
        <v>30800</v>
      </c>
      <c r="E25" s="11252">
        <f>'WS-PS ACTUAL JUNE 2018'!U25</f>
        <v>14000</v>
      </c>
      <c r="F25" s="11444">
        <f t="shared" si="0"/>
        <v>22000</v>
      </c>
      <c r="G25" s="11252">
        <v>36000</v>
      </c>
      <c r="H25" s="11252"/>
      <c r="I25" s="11163"/>
      <c r="J25" s="11752">
        <f t="shared" si="1"/>
        <v>34800</v>
      </c>
      <c r="K25" s="7310">
        <f>1200*L13</f>
        <v>34800</v>
      </c>
    </row>
    <row r="26" spans="1:12" ht="15" customHeight="1">
      <c r="A26" s="11237"/>
      <c r="B26" s="7803" t="s">
        <v>29</v>
      </c>
      <c r="C26" s="8872">
        <v>50103030</v>
      </c>
      <c r="D26" s="11252">
        <f>'WS-PS 2017'!X25</f>
        <v>50337.5</v>
      </c>
      <c r="E26" s="11252">
        <f>'WS-PS ACTUAL JUNE 2018'!V25</f>
        <v>28353.42</v>
      </c>
      <c r="F26" s="11444">
        <f t="shared" si="0"/>
        <v>43646.58</v>
      </c>
      <c r="G26" s="11252">
        <v>72000</v>
      </c>
      <c r="H26" s="11252"/>
      <c r="I26" s="11163"/>
      <c r="J26" s="11752">
        <v>73017.944999999992</v>
      </c>
      <c r="K26" s="7310">
        <f>3600*L13</f>
        <v>104400</v>
      </c>
    </row>
    <row r="27" spans="1:12" ht="15" customHeight="1">
      <c r="A27" s="11237"/>
      <c r="B27" s="7803" t="s">
        <v>30</v>
      </c>
      <c r="C27" s="8872">
        <v>50103040</v>
      </c>
      <c r="D27" s="11252">
        <f>'WS-PS 2017'!Y25</f>
        <v>30800</v>
      </c>
      <c r="E27" s="11252">
        <f>'WS-PS ACTUAL JUNE 2018'!W25</f>
        <v>14004.8</v>
      </c>
      <c r="F27" s="11444">
        <f t="shared" si="0"/>
        <v>21995.200000000001</v>
      </c>
      <c r="G27" s="11252">
        <v>36000</v>
      </c>
      <c r="H27" s="11252"/>
      <c r="I27" s="11163"/>
      <c r="J27" s="11752">
        <f t="shared" si="1"/>
        <v>34800</v>
      </c>
      <c r="K27" s="7310">
        <f>K25</f>
        <v>34800</v>
      </c>
    </row>
    <row r="28" spans="1:12" ht="15" customHeight="1">
      <c r="A28" s="11237"/>
      <c r="B28" s="7488" t="s">
        <v>5025</v>
      </c>
      <c r="C28" s="11258">
        <v>50104990</v>
      </c>
      <c r="D28" s="11252">
        <f>'WS-PS 2017'!Z25</f>
        <v>650000</v>
      </c>
      <c r="E28" s="11252"/>
      <c r="F28" s="11444">
        <f t="shared" si="0"/>
        <v>0</v>
      </c>
      <c r="G28" s="11252">
        <v>0</v>
      </c>
      <c r="H28" s="11252"/>
      <c r="I28" s="11163"/>
      <c r="J28" s="11752">
        <f t="shared" si="1"/>
        <v>0</v>
      </c>
      <c r="K28" s="7354"/>
    </row>
    <row r="29" spans="1:12" ht="15" customHeight="1">
      <c r="A29" s="11237"/>
      <c r="B29" s="7352"/>
      <c r="C29" s="8872" t="s">
        <v>9</v>
      </c>
      <c r="D29" s="7725" t="s">
        <v>9</v>
      </c>
      <c r="E29" s="7725"/>
      <c r="F29" s="11259"/>
      <c r="G29" s="7725"/>
      <c r="H29" s="7725"/>
      <c r="I29" s="7313"/>
      <c r="J29" s="11287"/>
      <c r="K29" s="7354"/>
    </row>
    <row r="30" spans="1:12" ht="15" customHeight="1" thickBot="1">
      <c r="A30" s="11235"/>
      <c r="B30" s="7391" t="s">
        <v>37</v>
      </c>
      <c r="C30" s="11754"/>
      <c r="D30" s="9428">
        <f>SUM(D12:D29)</f>
        <v>7523631.6499999994</v>
      </c>
      <c r="E30" s="9428">
        <f>SUM(E12:E29)</f>
        <v>3232255.67</v>
      </c>
      <c r="F30" s="9428">
        <f>SUM(F12:F29)</f>
        <v>6253801.3300000001</v>
      </c>
      <c r="G30" s="11300">
        <f>SUM(G12:G29)</f>
        <v>9486057</v>
      </c>
      <c r="H30" s="11300"/>
      <c r="I30" s="7327"/>
      <c r="J30" s="11301">
        <f>SUM(J12:J29)</f>
        <v>9329616.3450000007</v>
      </c>
      <c r="K30" s="7363">
        <f>SUM(K13:K29)</f>
        <v>9633180.4000000004</v>
      </c>
    </row>
    <row r="31" spans="1:12" ht="15" customHeight="1">
      <c r="A31" s="10528"/>
      <c r="B31" s="12029"/>
      <c r="C31" s="9299"/>
      <c r="D31" s="7961"/>
      <c r="E31" s="7961"/>
      <c r="F31" s="9527"/>
      <c r="G31" s="7961"/>
      <c r="H31" s="7961"/>
      <c r="I31" s="7962"/>
      <c r="J31" s="7961"/>
      <c r="K31" s="7364"/>
    </row>
    <row r="32" spans="1:12" ht="15" customHeight="1">
      <c r="A32" s="7352"/>
      <c r="B32" s="7361"/>
      <c r="C32" s="8789"/>
      <c r="D32" s="7364"/>
      <c r="E32" s="7364"/>
      <c r="F32" s="9528"/>
      <c r="G32" s="7364"/>
      <c r="H32" s="7364"/>
      <c r="I32" s="7350"/>
      <c r="J32" s="7364"/>
      <c r="K32" s="7364"/>
    </row>
    <row r="33" spans="1:12" ht="15" customHeight="1">
      <c r="A33" s="7352"/>
      <c r="B33" s="7361"/>
      <c r="C33" s="8789"/>
      <c r="D33" s="7364"/>
      <c r="E33" s="7364"/>
      <c r="F33" s="9528"/>
      <c r="G33" s="7364"/>
      <c r="H33" s="7364"/>
      <c r="I33" s="7350"/>
      <c r="J33" s="7364"/>
      <c r="K33" s="7364"/>
    </row>
    <row r="34" spans="1:12" ht="15" customHeight="1">
      <c r="A34" s="7352"/>
      <c r="B34" s="7361"/>
      <c r="C34" s="8789"/>
      <c r="D34" s="7364"/>
      <c r="E34" s="7364"/>
      <c r="F34" s="9528"/>
      <c r="G34" s="7364"/>
      <c r="H34" s="7364"/>
      <c r="I34" s="7350"/>
      <c r="J34" s="7364"/>
      <c r="K34" s="7364"/>
    </row>
    <row r="35" spans="1:12" ht="15" customHeight="1">
      <c r="A35" s="7352"/>
      <c r="B35" s="7361"/>
      <c r="C35" s="8789"/>
      <c r="D35" s="7364"/>
      <c r="E35" s="7364"/>
      <c r="F35" s="9528"/>
      <c r="G35" s="7364"/>
      <c r="H35" s="7364"/>
      <c r="I35" s="7350"/>
      <c r="J35" s="7364"/>
      <c r="K35" s="7364"/>
    </row>
    <row r="36" spans="1:12" ht="15" customHeight="1">
      <c r="A36" s="7352"/>
      <c r="B36" s="7361"/>
      <c r="C36" s="8789"/>
      <c r="D36" s="7364"/>
      <c r="E36" s="7364"/>
      <c r="F36" s="9528"/>
      <c r="G36" s="7364"/>
      <c r="H36" s="7364"/>
      <c r="I36" s="7350"/>
      <c r="J36" s="7364"/>
      <c r="K36" s="7364"/>
    </row>
    <row r="37" spans="1:12" ht="15" customHeight="1">
      <c r="A37" s="7352"/>
      <c r="B37" s="7361"/>
      <c r="C37" s="8789"/>
      <c r="D37" s="7364"/>
      <c r="E37" s="7364"/>
      <c r="F37" s="9528"/>
      <c r="G37" s="7364"/>
      <c r="H37" s="7364"/>
      <c r="I37" s="7350"/>
      <c r="J37" s="7364"/>
      <c r="K37" s="7364"/>
    </row>
    <row r="38" spans="1:12" s="7355" customFormat="1" ht="15" customHeight="1" thickBot="1">
      <c r="A38" s="7390" t="s">
        <v>10200</v>
      </c>
      <c r="B38" s="7391"/>
      <c r="C38" s="8796"/>
      <c r="D38" s="7393"/>
      <c r="E38" s="7393"/>
      <c r="F38" s="9529"/>
      <c r="G38" s="7393"/>
      <c r="H38" s="7393"/>
      <c r="I38" s="7394"/>
      <c r="J38" s="7393"/>
      <c r="K38" s="7364"/>
      <c r="L38" s="8069"/>
    </row>
    <row r="39" spans="1:12" ht="15" customHeight="1">
      <c r="A39" s="11433"/>
      <c r="B39" s="11434"/>
      <c r="C39" s="11750" t="s">
        <v>9</v>
      </c>
      <c r="D39" s="9461" t="s">
        <v>10</v>
      </c>
      <c r="E39" s="14188" t="s">
        <v>10711</v>
      </c>
      <c r="F39" s="14189"/>
      <c r="G39" s="14190"/>
      <c r="H39" s="11080"/>
      <c r="I39" s="8206"/>
      <c r="J39" s="11437" t="s">
        <v>12</v>
      </c>
      <c r="K39" s="9350"/>
    </row>
    <row r="40" spans="1:12" ht="15" customHeight="1">
      <c r="A40" s="11237"/>
      <c r="B40" s="7356" t="s">
        <v>13</v>
      </c>
      <c r="C40" s="14613" t="s">
        <v>14</v>
      </c>
      <c r="D40" s="11438" t="s">
        <v>15</v>
      </c>
      <c r="E40" s="9502" t="s">
        <v>10709</v>
      </c>
      <c r="F40" s="11083" t="s">
        <v>10710</v>
      </c>
      <c r="G40" s="14191" t="s">
        <v>458</v>
      </c>
      <c r="H40" s="11084"/>
      <c r="I40" s="11085"/>
      <c r="J40" s="11439" t="s">
        <v>16</v>
      </c>
      <c r="K40" s="9350"/>
    </row>
    <row r="41" spans="1:12" ht="15" customHeight="1" thickBot="1">
      <c r="A41" s="11235"/>
      <c r="B41" s="7752"/>
      <c r="C41" s="14614"/>
      <c r="D41" s="7302">
        <v>2017</v>
      </c>
      <c r="E41" s="9467" t="s">
        <v>457</v>
      </c>
      <c r="F41" s="11076" t="s">
        <v>456</v>
      </c>
      <c r="G41" s="14192"/>
      <c r="H41" s="7302"/>
      <c r="I41" s="7322"/>
      <c r="J41" s="11442">
        <v>2019</v>
      </c>
      <c r="K41" s="8074"/>
    </row>
    <row r="42" spans="1:12" ht="15" customHeight="1">
      <c r="A42" s="11237"/>
      <c r="B42" s="7356"/>
      <c r="C42" s="12015"/>
      <c r="D42" s="11181"/>
      <c r="E42" s="11181"/>
      <c r="F42" s="11271"/>
      <c r="G42" s="11181"/>
      <c r="H42" s="11181"/>
      <c r="I42" s="11108"/>
      <c r="J42" s="11453"/>
      <c r="K42" s="8074"/>
    </row>
    <row r="43" spans="1:12" ht="15" customHeight="1">
      <c r="A43" s="11241"/>
      <c r="B43" s="7352" t="s">
        <v>38</v>
      </c>
      <c r="C43" s="8872"/>
      <c r="D43" s="11252"/>
      <c r="E43" s="11252"/>
      <c r="F43" s="11243"/>
      <c r="G43" s="11252"/>
      <c r="H43" s="11252"/>
      <c r="I43" s="11163"/>
      <c r="J43" s="11269"/>
      <c r="K43" s="7354"/>
    </row>
    <row r="44" spans="1:12" ht="15" customHeight="1">
      <c r="A44" s="11237"/>
      <c r="B44" s="11244"/>
      <c r="C44" s="10368"/>
      <c r="D44" s="8871"/>
      <c r="E44" s="8871"/>
      <c r="F44" s="11444"/>
      <c r="G44" s="11252"/>
      <c r="H44" s="11252"/>
      <c r="I44" s="11163"/>
      <c r="J44" s="11269"/>
      <c r="K44" s="7354"/>
    </row>
    <row r="45" spans="1:12" ht="15" customHeight="1">
      <c r="A45" s="11237"/>
      <c r="B45" s="7352" t="s">
        <v>39</v>
      </c>
      <c r="C45" s="8872">
        <v>50201010</v>
      </c>
      <c r="D45" s="11252">
        <f>'WS-MOOE 2017'!B25</f>
        <v>734095.18</v>
      </c>
      <c r="E45" s="11252">
        <f>'WS-MOOE ACTUAL JUNE 2018'!B26</f>
        <v>413672</v>
      </c>
      <c r="F45" s="11444">
        <f t="shared" ref="F45:F63" si="2">G45-E45</f>
        <v>736328</v>
      </c>
      <c r="G45" s="11252">
        <v>1150000</v>
      </c>
      <c r="H45" s="11252">
        <v>708307</v>
      </c>
      <c r="I45" s="11163">
        <f t="shared" ref="I45:I63" si="3">H45/G45</f>
        <v>0.61591913043478264</v>
      </c>
      <c r="J45" s="11269">
        <f>350000+900000</f>
        <v>1250000</v>
      </c>
      <c r="K45" s="7383"/>
    </row>
    <row r="46" spans="1:12" ht="15" customHeight="1">
      <c r="A46" s="11237"/>
      <c r="B46" s="7352" t="s">
        <v>41</v>
      </c>
      <c r="C46" s="8872">
        <v>50202010</v>
      </c>
      <c r="D46" s="11252">
        <f>'WS-MOOE 2017'!H25</f>
        <v>191500</v>
      </c>
      <c r="E46" s="11252">
        <f>'WS-MOOE ACTUAL JUNE 2018'!G26</f>
        <v>0</v>
      </c>
      <c r="F46" s="11444">
        <f t="shared" si="2"/>
        <v>250000</v>
      </c>
      <c r="G46" s="11252">
        <v>250000</v>
      </c>
      <c r="H46" s="11252">
        <v>114000</v>
      </c>
      <c r="I46" s="11163">
        <f t="shared" si="3"/>
        <v>0.45600000000000002</v>
      </c>
      <c r="J46" s="11269">
        <v>350000</v>
      </c>
      <c r="K46" s="7383"/>
    </row>
    <row r="47" spans="1:12" ht="15" customHeight="1">
      <c r="A47" s="11237"/>
      <c r="B47" s="7352" t="s">
        <v>42</v>
      </c>
      <c r="C47" s="8872">
        <v>50203010</v>
      </c>
      <c r="D47" s="11252">
        <f>'WS-MOOE 2017'!J25</f>
        <v>220054.75</v>
      </c>
      <c r="E47" s="11252">
        <f>'WS-MOOE ACTUAL JUNE 2018'!H26</f>
        <v>0</v>
      </c>
      <c r="F47" s="11444">
        <f t="shared" si="2"/>
        <v>300000</v>
      </c>
      <c r="G47" s="11252">
        <v>300000</v>
      </c>
      <c r="H47" s="11252">
        <v>194485</v>
      </c>
      <c r="I47" s="11163">
        <f t="shared" si="3"/>
        <v>0.64828333333333332</v>
      </c>
      <c r="J47" s="11269">
        <v>300000</v>
      </c>
      <c r="K47" s="7383"/>
    </row>
    <row r="48" spans="1:12" ht="15" customHeight="1">
      <c r="A48" s="11237"/>
      <c r="B48" s="7352" t="s">
        <v>10635</v>
      </c>
      <c r="C48" s="8872">
        <v>50203050</v>
      </c>
      <c r="D48" s="11252">
        <f>'WS-MOOE 2017'!O25</f>
        <v>10484988.65</v>
      </c>
      <c r="E48" s="11252">
        <f>'WS-MOOE ACTUAL JUNE 2018'!L26</f>
        <v>5347519.9000000004</v>
      </c>
      <c r="F48" s="11444">
        <f t="shared" si="2"/>
        <v>7152480.0999999996</v>
      </c>
      <c r="G48" s="11252">
        <v>12500000</v>
      </c>
      <c r="H48" s="11252">
        <v>8928659.9000000004</v>
      </c>
      <c r="I48" s="11163">
        <f t="shared" si="3"/>
        <v>0.71429279200000007</v>
      </c>
      <c r="J48" s="11269">
        <v>13140000</v>
      </c>
      <c r="K48" s="7383" t="s">
        <v>11596</v>
      </c>
    </row>
    <row r="49" spans="1:12" ht="15" customHeight="1">
      <c r="A49" s="11237"/>
      <c r="B49" s="7352" t="s">
        <v>43</v>
      </c>
      <c r="C49" s="8872">
        <v>50203070</v>
      </c>
      <c r="D49" s="11252">
        <f>'WS-MOOE 2017'!P25</f>
        <v>0</v>
      </c>
      <c r="E49" s="11252">
        <f>'WS-MOOE ACTUAL JUNE 2018'!M26</f>
        <v>0</v>
      </c>
      <c r="F49" s="11444">
        <f t="shared" si="2"/>
        <v>50000</v>
      </c>
      <c r="G49" s="11252">
        <v>50000</v>
      </c>
      <c r="H49" s="11252">
        <v>0</v>
      </c>
      <c r="I49" s="11163">
        <f t="shared" si="3"/>
        <v>0</v>
      </c>
      <c r="J49" s="11269">
        <v>50000</v>
      </c>
      <c r="K49" s="7383"/>
    </row>
    <row r="50" spans="1:12" ht="15" customHeight="1">
      <c r="A50" s="11237"/>
      <c r="B50" s="7352" t="s">
        <v>44</v>
      </c>
      <c r="C50" s="8872">
        <v>50203090</v>
      </c>
      <c r="D50" s="11252">
        <f>'WS-MOOE 2017'!R25</f>
        <v>238964.5</v>
      </c>
      <c r="E50" s="11252">
        <f>'WS-MOOE ACTUAL JUNE 2018'!O26</f>
        <v>0</v>
      </c>
      <c r="F50" s="11444">
        <f t="shared" si="2"/>
        <v>500000</v>
      </c>
      <c r="G50" s="11252">
        <v>500000</v>
      </c>
      <c r="H50" s="11252">
        <v>439976.99</v>
      </c>
      <c r="I50" s="11163">
        <f t="shared" si="3"/>
        <v>0.87995398000000002</v>
      </c>
      <c r="J50" s="11269">
        <v>600000</v>
      </c>
      <c r="K50" s="7383"/>
    </row>
    <row r="51" spans="1:12" ht="15" customHeight="1">
      <c r="A51" s="11237"/>
      <c r="B51" s="7352" t="s">
        <v>45</v>
      </c>
      <c r="C51" s="8872">
        <v>50204010</v>
      </c>
      <c r="D51" s="11252">
        <f>'WS-MOOE 2017'!W25</f>
        <v>468500</v>
      </c>
      <c r="E51" s="11252">
        <f>'WS-MOOE ACTUAL JUNE 2018'!R26</f>
        <v>438861.6</v>
      </c>
      <c r="F51" s="11444">
        <f t="shared" si="2"/>
        <v>61138.400000000023</v>
      </c>
      <c r="G51" s="11252">
        <v>500000</v>
      </c>
      <c r="H51" s="11252">
        <v>671176.8</v>
      </c>
      <c r="I51" s="11163">
        <f t="shared" si="3"/>
        <v>1.3423536</v>
      </c>
      <c r="J51" s="11268">
        <v>600000</v>
      </c>
      <c r="K51" s="7487">
        <v>600000</v>
      </c>
    </row>
    <row r="52" spans="1:12" ht="15" customHeight="1">
      <c r="A52" s="11237"/>
      <c r="B52" s="7352" t="s">
        <v>46</v>
      </c>
      <c r="C52" s="8872">
        <v>50204020</v>
      </c>
      <c r="D52" s="11252">
        <f>'WS-MOOE 2017'!X25</f>
        <v>924669.09</v>
      </c>
      <c r="E52" s="11252">
        <f>'WS-MOOE ACTUAL JUNE 2018'!S26</f>
        <v>552002.34</v>
      </c>
      <c r="F52" s="11444">
        <f t="shared" si="2"/>
        <v>197997.66000000003</v>
      </c>
      <c r="G52" s="11252">
        <v>750000</v>
      </c>
      <c r="H52" s="11252">
        <v>812723.19999999995</v>
      </c>
      <c r="I52" s="11163">
        <f>H52/G52</f>
        <v>1.0836309333333334</v>
      </c>
      <c r="J52" s="11268">
        <v>0</v>
      </c>
      <c r="K52" s="7487">
        <v>850000</v>
      </c>
    </row>
    <row r="53" spans="1:12" ht="15" customHeight="1">
      <c r="A53" s="11237"/>
      <c r="B53" s="7803" t="s">
        <v>11847</v>
      </c>
      <c r="C53" s="10377">
        <v>50205020</v>
      </c>
      <c r="D53" s="11252">
        <f>'WS-MOOE 2017'!AA25</f>
        <v>17500</v>
      </c>
      <c r="E53" s="11252">
        <f>'WS-MOOE ACTUAL JUNE 2018'!V26</f>
        <v>12500</v>
      </c>
      <c r="F53" s="11444">
        <f>G53-SUM(E53:E56)</f>
        <v>67500</v>
      </c>
      <c r="G53" s="11252">
        <v>80000</v>
      </c>
      <c r="H53" s="11252">
        <v>17500</v>
      </c>
      <c r="I53" s="11163">
        <f>SUM(H54:H56)/G53</f>
        <v>0</v>
      </c>
      <c r="J53" s="11269">
        <v>80000</v>
      </c>
      <c r="K53" s="7383"/>
    </row>
    <row r="54" spans="1:12" ht="15" hidden="1" customHeight="1">
      <c r="A54" s="11237"/>
      <c r="B54" s="7352" t="s">
        <v>10286</v>
      </c>
      <c r="C54" s="8872"/>
      <c r="D54" s="11252"/>
      <c r="E54" s="11252"/>
      <c r="F54" s="11444"/>
      <c r="G54" s="11252"/>
      <c r="H54" s="11252"/>
      <c r="I54" s="11163"/>
      <c r="J54" s="11269"/>
      <c r="K54" s="7383"/>
    </row>
    <row r="55" spans="1:12" ht="15" hidden="1" customHeight="1">
      <c r="A55" s="11237"/>
      <c r="B55" s="7352" t="s">
        <v>10287</v>
      </c>
      <c r="C55" s="8872"/>
      <c r="D55" s="11252">
        <f>'WS-MOOE 2017'!AC25</f>
        <v>0</v>
      </c>
      <c r="E55" s="11252"/>
      <c r="F55" s="11444"/>
      <c r="G55" s="11252"/>
      <c r="H55" s="11252"/>
      <c r="I55" s="11163"/>
      <c r="J55" s="11269"/>
      <c r="K55" s="7383"/>
    </row>
    <row r="56" spans="1:12" ht="15" hidden="1" customHeight="1">
      <c r="A56" s="11237"/>
      <c r="B56" s="7803" t="s">
        <v>10951</v>
      </c>
      <c r="C56" s="10377">
        <v>50205030</v>
      </c>
      <c r="D56" s="11252">
        <f>'WS-MOOE 2017'!AE25</f>
        <v>0</v>
      </c>
      <c r="E56" s="11252">
        <f>'WS-MOOE ACTUAL JUNE 2018'!Z26</f>
        <v>0</v>
      </c>
      <c r="F56" s="11444"/>
      <c r="G56" s="11252"/>
      <c r="H56" s="11252"/>
      <c r="I56" s="11163"/>
      <c r="J56" s="11269"/>
      <c r="K56" s="7383"/>
    </row>
    <row r="57" spans="1:12" ht="15" customHeight="1">
      <c r="A57" s="11237"/>
      <c r="B57" s="7352" t="s">
        <v>10234</v>
      </c>
      <c r="C57" s="8872">
        <v>50212030</v>
      </c>
      <c r="D57" s="11252">
        <f>'WS-MOOE 2017'!AN25</f>
        <v>4981411.51</v>
      </c>
      <c r="E57" s="11252">
        <f>'WS-MOOE ACTUAL JUNE 2018'!AH26</f>
        <v>2266156.91</v>
      </c>
      <c r="F57" s="11444">
        <f t="shared" si="2"/>
        <v>3233843.09</v>
      </c>
      <c r="G57" s="11252">
        <v>5500000</v>
      </c>
      <c r="H57" s="11252">
        <v>3800436.91</v>
      </c>
      <c r="I57" s="11163">
        <f t="shared" si="3"/>
        <v>0.69098852909090913</v>
      </c>
      <c r="J57" s="11269">
        <v>6775000</v>
      </c>
      <c r="K57" s="7383"/>
    </row>
    <row r="58" spans="1:12" ht="15" customHeight="1">
      <c r="A58" s="11237"/>
      <c r="B58" s="7488" t="s">
        <v>10959</v>
      </c>
      <c r="C58" s="10377">
        <v>50213040</v>
      </c>
      <c r="D58" s="11252">
        <f>'WS-MOOE 2017'!AS25</f>
        <v>0</v>
      </c>
      <c r="E58" s="11252">
        <f>'WS-MOOE ACTUAL JUNE 2018'!AN26</f>
        <v>0</v>
      </c>
      <c r="F58" s="11444">
        <f t="shared" si="2"/>
        <v>500000</v>
      </c>
      <c r="G58" s="11252">
        <v>500000</v>
      </c>
      <c r="H58" s="11252">
        <v>445000</v>
      </c>
      <c r="I58" s="11163">
        <f t="shared" si="3"/>
        <v>0.89</v>
      </c>
      <c r="J58" s="11269">
        <v>500000</v>
      </c>
      <c r="K58" s="7383"/>
    </row>
    <row r="59" spans="1:12" ht="15" hidden="1" customHeight="1">
      <c r="A59" s="11237"/>
      <c r="B59" s="7352" t="s">
        <v>48</v>
      </c>
      <c r="C59" s="8872"/>
      <c r="D59" s="11252">
        <f>'WS-MOOE 2017'!AW25</f>
        <v>0</v>
      </c>
      <c r="E59" s="11252"/>
      <c r="F59" s="11444">
        <f t="shared" si="2"/>
        <v>0</v>
      </c>
      <c r="G59" s="11252"/>
      <c r="H59" s="11252"/>
      <c r="I59" s="11163" t="e">
        <f t="shared" si="3"/>
        <v>#DIV/0!</v>
      </c>
      <c r="J59" s="11269"/>
      <c r="K59" s="7383"/>
    </row>
    <row r="60" spans="1:12" ht="15" customHeight="1">
      <c r="A60" s="11237"/>
      <c r="B60" s="7488" t="s">
        <v>10938</v>
      </c>
      <c r="C60" s="8872">
        <v>50213050</v>
      </c>
      <c r="D60" s="11252">
        <f>'WS-MOOE 2017'!AY25</f>
        <v>0</v>
      </c>
      <c r="E60" s="11252">
        <f>'WS-MOOE ACTUAL JUNE 2018'!AS26</f>
        <v>0</v>
      </c>
      <c r="F60" s="11444">
        <f t="shared" si="2"/>
        <v>150000</v>
      </c>
      <c r="G60" s="11252">
        <v>150000</v>
      </c>
      <c r="H60" s="11252">
        <v>0</v>
      </c>
      <c r="I60" s="11163">
        <f t="shared" si="3"/>
        <v>0</v>
      </c>
      <c r="J60" s="11269">
        <v>150000</v>
      </c>
      <c r="K60" s="7383"/>
    </row>
    <row r="61" spans="1:12" ht="15" customHeight="1">
      <c r="A61" s="11237"/>
      <c r="B61" s="7488" t="s">
        <v>10937</v>
      </c>
      <c r="C61" s="11258">
        <v>50213060</v>
      </c>
      <c r="D61" s="11252">
        <f>'WS-MOOE 2017'!BB25</f>
        <v>133804</v>
      </c>
      <c r="E61" s="11252">
        <f>'WS-MOOE ACTUAL JUNE 2018'!AT26</f>
        <v>225000</v>
      </c>
      <c r="F61" s="11444">
        <f t="shared" si="2"/>
        <v>275000</v>
      </c>
      <c r="G61" s="11252">
        <v>500000</v>
      </c>
      <c r="H61" s="11252">
        <v>933089</v>
      </c>
      <c r="I61" s="11163">
        <f t="shared" si="3"/>
        <v>1.8661779999999999</v>
      </c>
      <c r="J61" s="11269">
        <v>600000</v>
      </c>
      <c r="K61" s="7383"/>
    </row>
    <row r="62" spans="1:12" ht="15" customHeight="1">
      <c r="A62" s="11237"/>
      <c r="B62" s="7352" t="s">
        <v>49</v>
      </c>
      <c r="C62" s="8872">
        <v>50105020</v>
      </c>
      <c r="D62" s="11252">
        <f>'WS-MOOE 2017'!BH25</f>
        <v>10507.5</v>
      </c>
      <c r="E62" s="11252">
        <f>'WS-MOOE ACTUAL JUNE 2018'!AZ26</f>
        <v>0</v>
      </c>
      <c r="F62" s="11444">
        <f t="shared" si="2"/>
        <v>12000</v>
      </c>
      <c r="G62" s="11252">
        <v>12000</v>
      </c>
      <c r="H62" s="11252">
        <v>0</v>
      </c>
      <c r="I62" s="11163">
        <f t="shared" si="3"/>
        <v>0</v>
      </c>
      <c r="J62" s="11269">
        <v>12000</v>
      </c>
      <c r="K62" s="7354"/>
    </row>
    <row r="63" spans="1:12" ht="15" customHeight="1">
      <c r="A63" s="11237"/>
      <c r="B63" s="7352" t="s">
        <v>50</v>
      </c>
      <c r="C63" s="8872">
        <v>50299990</v>
      </c>
      <c r="D63" s="11252">
        <f>'WS-MOOE 2017'!BO25</f>
        <v>227210.05</v>
      </c>
      <c r="E63" s="11252">
        <f>'WS-MOOE ACTUAL JUNE 2018'!BI26</f>
        <v>90000</v>
      </c>
      <c r="F63" s="11444">
        <f t="shared" si="2"/>
        <v>110000</v>
      </c>
      <c r="G63" s="11252">
        <v>200000</v>
      </c>
      <c r="H63" s="11252">
        <v>97500</v>
      </c>
      <c r="I63" s="11163">
        <f t="shared" si="3"/>
        <v>0.48749999999999999</v>
      </c>
      <c r="J63" s="11269">
        <v>200000</v>
      </c>
      <c r="K63" s="7354"/>
    </row>
    <row r="64" spans="1:12" s="7355" customFormat="1" ht="15" customHeight="1">
      <c r="A64" s="11237"/>
      <c r="B64" s="7352"/>
      <c r="C64" s="8872"/>
      <c r="D64" s="7725"/>
      <c r="E64" s="7725"/>
      <c r="F64" s="11259"/>
      <c r="G64" s="7725"/>
      <c r="H64" s="7725"/>
      <c r="I64" s="11163"/>
      <c r="J64" s="11287"/>
      <c r="K64" s="7354"/>
      <c r="L64" s="8069"/>
    </row>
    <row r="65" spans="1:12" ht="15" customHeight="1">
      <c r="A65" s="11237"/>
      <c r="B65" s="7361" t="s">
        <v>37</v>
      </c>
      <c r="C65" s="8872"/>
      <c r="D65" s="9538">
        <f>SUM(D45:D63)</f>
        <v>18633205.23</v>
      </c>
      <c r="E65" s="9538">
        <f>SUM(E45:E63)</f>
        <v>9345712.75</v>
      </c>
      <c r="F65" s="9538">
        <f>SUM(F44:F63)</f>
        <v>13596287.25</v>
      </c>
      <c r="G65" s="11281">
        <f>SUM(G44:G63)</f>
        <v>22942000</v>
      </c>
      <c r="H65" s="11281">
        <f>SUM(H44:H63)</f>
        <v>17162854.800000001</v>
      </c>
      <c r="I65" s="11206"/>
      <c r="J65" s="11282">
        <f>SUM(J44:J63)</f>
        <v>24607000</v>
      </c>
      <c r="K65" s="10379">
        <f>(J65-G65)/G65</f>
        <v>7.257431784500043E-2</v>
      </c>
    </row>
    <row r="66" spans="1:12" ht="15" customHeight="1" thickBot="1">
      <c r="A66" s="11235"/>
      <c r="B66" s="7391"/>
      <c r="C66" s="11754"/>
      <c r="D66" s="11457"/>
      <c r="E66" s="11457"/>
      <c r="F66" s="12016"/>
      <c r="G66" s="11457"/>
      <c r="H66" s="11457"/>
      <c r="I66" s="11176"/>
      <c r="J66" s="11458"/>
      <c r="K66" s="7364"/>
    </row>
    <row r="67" spans="1:12" s="7355" customFormat="1" ht="15" customHeight="1">
      <c r="A67" s="7352"/>
      <c r="B67" s="7361"/>
      <c r="C67" s="8789"/>
      <c r="D67" s="7364"/>
      <c r="E67" s="7364"/>
      <c r="F67" s="9528"/>
      <c r="G67" s="7364"/>
      <c r="H67" s="7364"/>
      <c r="I67" s="7350"/>
      <c r="J67" s="7364"/>
      <c r="K67" s="7364"/>
      <c r="L67" s="8069"/>
    </row>
    <row r="68" spans="1:12" s="7355" customFormat="1" ht="15" customHeight="1">
      <c r="A68" s="7352"/>
      <c r="B68" s="7361"/>
      <c r="C68" s="8789"/>
      <c r="D68" s="7364"/>
      <c r="E68" s="7364"/>
      <c r="F68" s="9528"/>
      <c r="G68" s="7364"/>
      <c r="H68" s="7364"/>
      <c r="I68" s="7350"/>
      <c r="J68" s="7364"/>
      <c r="K68" s="7364"/>
      <c r="L68" s="8069"/>
    </row>
    <row r="69" spans="1:12" s="7355" customFormat="1" ht="15" customHeight="1">
      <c r="A69" s="7352"/>
      <c r="B69" s="7361"/>
      <c r="C69" s="8789"/>
      <c r="D69" s="7364"/>
      <c r="E69" s="7364"/>
      <c r="F69" s="9528"/>
      <c r="G69" s="7364"/>
      <c r="H69" s="7364"/>
      <c r="I69" s="7350"/>
      <c r="J69" s="7364"/>
      <c r="K69" s="7364"/>
      <c r="L69" s="8069"/>
    </row>
    <row r="70" spans="1:12" s="7355" customFormat="1" ht="15" customHeight="1">
      <c r="A70" s="7352"/>
      <c r="B70" s="7361"/>
      <c r="C70" s="8789"/>
      <c r="D70" s="7364"/>
      <c r="E70" s="7364"/>
      <c r="F70" s="9528"/>
      <c r="G70" s="7364"/>
      <c r="H70" s="7364"/>
      <c r="I70" s="7350"/>
      <c r="J70" s="7364"/>
      <c r="K70" s="7364"/>
      <c r="L70" s="8069"/>
    </row>
    <row r="71" spans="1:12" s="7355" customFormat="1" ht="15" customHeight="1">
      <c r="A71" s="7352"/>
      <c r="B71" s="7361"/>
      <c r="C71" s="8789"/>
      <c r="D71" s="7364"/>
      <c r="E71" s="7364"/>
      <c r="F71" s="9528"/>
      <c r="G71" s="7364"/>
      <c r="H71" s="7364"/>
      <c r="I71" s="7350"/>
      <c r="J71" s="7364"/>
      <c r="K71" s="7364"/>
      <c r="L71" s="8069"/>
    </row>
    <row r="72" spans="1:12" s="7355" customFormat="1" ht="15" customHeight="1">
      <c r="A72" s="7352"/>
      <c r="B72" s="7361"/>
      <c r="C72" s="8789"/>
      <c r="D72" s="7364"/>
      <c r="E72" s="7364"/>
      <c r="F72" s="9528"/>
      <c r="G72" s="7364"/>
      <c r="H72" s="7364"/>
      <c r="I72" s="7350"/>
      <c r="J72" s="7364"/>
      <c r="K72" s="7364"/>
      <c r="L72" s="8069"/>
    </row>
    <row r="73" spans="1:12" s="7355" customFormat="1" ht="15" customHeight="1">
      <c r="A73" s="7352"/>
      <c r="B73" s="7361"/>
      <c r="C73" s="8789"/>
      <c r="D73" s="7364"/>
      <c r="E73" s="7364"/>
      <c r="F73" s="9528"/>
      <c r="G73" s="7364"/>
      <c r="H73" s="7364"/>
      <c r="I73" s="7350"/>
      <c r="J73" s="7364"/>
      <c r="K73" s="7364"/>
      <c r="L73" s="8069"/>
    </row>
    <row r="74" spans="1:12" s="7355" customFormat="1" ht="15" customHeight="1">
      <c r="A74" s="7352"/>
      <c r="B74" s="7361"/>
      <c r="C74" s="8789"/>
      <c r="D74" s="7364"/>
      <c r="E74" s="7364"/>
      <c r="F74" s="9528"/>
      <c r="G74" s="7364"/>
      <c r="H74" s="7364"/>
      <c r="I74" s="7350"/>
      <c r="J74" s="7364"/>
      <c r="K74" s="7364"/>
      <c r="L74" s="8069"/>
    </row>
    <row r="75" spans="1:12" s="7355" customFormat="1" ht="15" customHeight="1">
      <c r="A75" s="7352"/>
      <c r="B75" s="7361"/>
      <c r="C75" s="8789"/>
      <c r="D75" s="7364"/>
      <c r="E75" s="7364"/>
      <c r="F75" s="9528"/>
      <c r="G75" s="7364"/>
      <c r="H75" s="7364"/>
      <c r="I75" s="7350"/>
      <c r="J75" s="7364"/>
      <c r="K75" s="7364"/>
      <c r="L75" s="8069"/>
    </row>
    <row r="76" spans="1:12" s="7355" customFormat="1" ht="15" customHeight="1">
      <c r="A76" s="7352"/>
      <c r="B76" s="7361"/>
      <c r="C76" s="8789"/>
      <c r="D76" s="7364"/>
      <c r="E76" s="7364"/>
      <c r="F76" s="9528"/>
      <c r="G76" s="7364"/>
      <c r="H76" s="7364"/>
      <c r="I76" s="7350"/>
      <c r="J76" s="7364"/>
      <c r="K76" s="7364"/>
      <c r="L76" s="8069"/>
    </row>
    <row r="77" spans="1:12" s="7355" customFormat="1" ht="15" customHeight="1">
      <c r="A77" s="7352"/>
      <c r="B77" s="7361"/>
      <c r="C77" s="8789"/>
      <c r="D77" s="7364"/>
      <c r="E77" s="7364"/>
      <c r="F77" s="9528"/>
      <c r="G77" s="7364"/>
      <c r="H77" s="7364"/>
      <c r="I77" s="7350"/>
      <c r="J77" s="7364"/>
      <c r="K77" s="7364"/>
      <c r="L77" s="8069"/>
    </row>
    <row r="78" spans="1:12" s="7355" customFormat="1" ht="15" customHeight="1">
      <c r="A78" s="7352"/>
      <c r="B78" s="7361"/>
      <c r="C78" s="8789"/>
      <c r="D78" s="7364"/>
      <c r="E78" s="7364"/>
      <c r="F78" s="9528"/>
      <c r="G78" s="7364"/>
      <c r="H78" s="7364"/>
      <c r="I78" s="7350"/>
      <c r="J78" s="7364"/>
      <c r="K78" s="7364"/>
      <c r="L78" s="8069"/>
    </row>
    <row r="79" spans="1:12" s="7355" customFormat="1" ht="15" customHeight="1" thickBot="1">
      <c r="A79" s="7352" t="s">
        <v>10788</v>
      </c>
      <c r="B79" s="7361"/>
      <c r="C79" s="8789"/>
      <c r="D79" s="7364"/>
      <c r="E79" s="7364"/>
      <c r="F79" s="9528"/>
      <c r="G79" s="7364"/>
      <c r="H79" s="7364"/>
      <c r="I79" s="7350"/>
      <c r="J79" s="7364"/>
      <c r="K79" s="7364"/>
      <c r="L79" s="8069"/>
    </row>
    <row r="80" spans="1:12" ht="15" customHeight="1">
      <c r="A80" s="11433"/>
      <c r="B80" s="11749"/>
      <c r="C80" s="11750" t="s">
        <v>9</v>
      </c>
      <c r="D80" s="11769" t="s">
        <v>10</v>
      </c>
      <c r="E80" s="14612" t="s">
        <v>10711</v>
      </c>
      <c r="F80" s="14612"/>
      <c r="G80" s="14612"/>
      <c r="H80" s="8205"/>
      <c r="I80" s="12017"/>
      <c r="J80" s="12018" t="s">
        <v>12</v>
      </c>
      <c r="K80" s="9350"/>
    </row>
    <row r="81" spans="1:13" ht="15" customHeight="1">
      <c r="A81" s="11237"/>
      <c r="B81" s="11239" t="s">
        <v>13</v>
      </c>
      <c r="C81" s="14613" t="s">
        <v>14</v>
      </c>
      <c r="D81" s="11770" t="s">
        <v>15</v>
      </c>
      <c r="E81" s="9502" t="s">
        <v>10709</v>
      </c>
      <c r="F81" s="12001" t="s">
        <v>10710</v>
      </c>
      <c r="G81" s="14191" t="s">
        <v>458</v>
      </c>
      <c r="H81" s="12019"/>
      <c r="I81" s="12020"/>
      <c r="J81" s="12021" t="s">
        <v>16</v>
      </c>
      <c r="K81" s="9350"/>
    </row>
    <row r="82" spans="1:13" ht="15" customHeight="1" thickBot="1">
      <c r="A82" s="11235"/>
      <c r="B82" s="7975"/>
      <c r="C82" s="14614"/>
      <c r="D82" s="7496">
        <v>2017</v>
      </c>
      <c r="E82" s="9467" t="s">
        <v>457</v>
      </c>
      <c r="F82" s="12002" t="s">
        <v>456</v>
      </c>
      <c r="G82" s="14192"/>
      <c r="H82" s="7496"/>
      <c r="I82" s="7497"/>
      <c r="J82" s="12022">
        <v>2019</v>
      </c>
      <c r="K82" s="8074"/>
    </row>
    <row r="83" spans="1:13" ht="15" customHeight="1">
      <c r="A83" s="11237"/>
      <c r="B83" s="11239"/>
      <c r="C83" s="12015"/>
      <c r="D83" s="12023"/>
      <c r="E83" s="10030"/>
      <c r="F83" s="12003"/>
      <c r="G83" s="10030"/>
      <c r="H83" s="12023"/>
      <c r="I83" s="12024"/>
      <c r="J83" s="12025"/>
      <c r="K83" s="8074"/>
    </row>
    <row r="84" spans="1:13" ht="15" customHeight="1">
      <c r="A84" s="11241" t="s">
        <v>51</v>
      </c>
      <c r="B84" s="11242" t="s">
        <v>52</v>
      </c>
      <c r="C84" s="8872"/>
      <c r="D84" s="8869" t="s">
        <v>9</v>
      </c>
      <c r="E84" s="8869"/>
      <c r="F84" s="9557"/>
      <c r="G84" s="8869" t="s">
        <v>9</v>
      </c>
      <c r="H84" s="8869"/>
      <c r="I84" s="8799"/>
      <c r="J84" s="11463" t="s">
        <v>9</v>
      </c>
      <c r="K84" s="7354"/>
    </row>
    <row r="85" spans="1:13" ht="15" customHeight="1">
      <c r="A85" s="11241"/>
      <c r="B85" s="11242" t="s">
        <v>11684</v>
      </c>
      <c r="C85" s="8872">
        <v>50703060</v>
      </c>
      <c r="D85" s="8869">
        <f>'WS-CO 2017'!L24</f>
        <v>98000</v>
      </c>
      <c r="E85" s="9283"/>
      <c r="F85" s="9557"/>
      <c r="G85" s="8869"/>
      <c r="H85" s="8869"/>
      <c r="I85" s="8799"/>
      <c r="J85" s="11463"/>
      <c r="K85" s="7354"/>
    </row>
    <row r="86" spans="1:13" s="7355" customFormat="1" ht="15" hidden="1" customHeight="1">
      <c r="A86" s="11241"/>
      <c r="B86" s="12030" t="s">
        <v>11686</v>
      </c>
      <c r="C86" s="8872"/>
      <c r="D86" s="8869">
        <v>0</v>
      </c>
      <c r="E86" s="8869"/>
      <c r="F86" s="12026"/>
      <c r="G86" s="8869" t="s">
        <v>9</v>
      </c>
      <c r="H86" s="12027"/>
      <c r="I86" s="8799"/>
      <c r="J86" s="11463" t="s">
        <v>9</v>
      </c>
      <c r="K86" s="7354"/>
      <c r="L86" s="8069"/>
    </row>
    <row r="87" spans="1:13" ht="15" hidden="1" customHeight="1">
      <c r="A87" s="11241"/>
      <c r="B87" s="11242" t="s">
        <v>122</v>
      </c>
      <c r="C87" s="8872">
        <v>50705020</v>
      </c>
      <c r="D87" s="8869"/>
      <c r="E87" s="8869"/>
      <c r="F87" s="9557"/>
      <c r="G87" s="8869"/>
      <c r="H87" s="8869"/>
      <c r="I87" s="8799"/>
      <c r="J87" s="11463"/>
      <c r="K87" s="7354"/>
    </row>
    <row r="88" spans="1:13" ht="15" customHeight="1">
      <c r="A88" s="11241"/>
      <c r="B88" s="11242" t="s">
        <v>11889</v>
      </c>
      <c r="C88" s="8872">
        <v>50705100</v>
      </c>
      <c r="D88" s="8869"/>
      <c r="E88" s="8869"/>
      <c r="F88" s="9557"/>
      <c r="G88" s="8869"/>
      <c r="H88" s="8869"/>
      <c r="I88" s="8799"/>
      <c r="J88" s="11463">
        <f>760000</f>
        <v>760000</v>
      </c>
      <c r="K88" s="7354" t="s">
        <v>11891</v>
      </c>
    </row>
    <row r="89" spans="1:13" ht="15" customHeight="1">
      <c r="A89" s="11241"/>
      <c r="B89" s="11242" t="s">
        <v>5023</v>
      </c>
      <c r="C89" s="8872">
        <v>50707010</v>
      </c>
      <c r="D89" s="8869"/>
      <c r="E89" s="8869"/>
      <c r="F89" s="12026">
        <f>G89-E89</f>
        <v>250000</v>
      </c>
      <c r="G89" s="8869">
        <v>250000</v>
      </c>
      <c r="H89" s="8869">
        <v>0</v>
      </c>
      <c r="I89" s="8799"/>
      <c r="J89" s="11463"/>
      <c r="K89" s="7354"/>
      <c r="L89" s="8901"/>
    </row>
    <row r="90" spans="1:13" ht="15" hidden="1" customHeight="1">
      <c r="A90" s="11241"/>
      <c r="B90" s="11242" t="s">
        <v>11110</v>
      </c>
      <c r="C90" s="8872"/>
      <c r="D90" s="8869"/>
      <c r="E90" s="8869"/>
      <c r="F90" s="12026"/>
      <c r="G90" s="8869"/>
      <c r="H90" s="8869"/>
      <c r="I90" s="8799"/>
      <c r="J90" s="11760"/>
      <c r="K90" s="11252">
        <v>60000</v>
      </c>
    </row>
    <row r="91" spans="1:13" ht="15" hidden="1" customHeight="1">
      <c r="A91" s="11241"/>
      <c r="B91" s="11242" t="s">
        <v>11111</v>
      </c>
      <c r="C91" s="8872"/>
      <c r="D91" s="8869"/>
      <c r="E91" s="8869"/>
      <c r="F91" s="12026"/>
      <c r="G91" s="8869"/>
      <c r="H91" s="8869"/>
      <c r="I91" s="8799"/>
      <c r="J91" s="11760"/>
      <c r="K91" s="11252">
        <v>70000</v>
      </c>
    </row>
    <row r="92" spans="1:13" ht="15" hidden="1" customHeight="1">
      <c r="A92" s="11241"/>
      <c r="B92" s="11242" t="s">
        <v>11107</v>
      </c>
      <c r="C92" s="8872"/>
      <c r="D92" s="8869"/>
      <c r="E92" s="8869"/>
      <c r="F92" s="12026"/>
      <c r="G92" s="8869"/>
      <c r="H92" s="8869"/>
      <c r="I92" s="8799"/>
      <c r="J92" s="11760"/>
      <c r="K92" s="11252">
        <v>100000</v>
      </c>
    </row>
    <row r="93" spans="1:13" ht="15" hidden="1" customHeight="1">
      <c r="A93" s="11241"/>
      <c r="B93" s="11242" t="s">
        <v>11114</v>
      </c>
      <c r="C93" s="8872"/>
      <c r="D93" s="8869"/>
      <c r="E93" s="8869"/>
      <c r="F93" s="12026"/>
      <c r="G93" s="8869"/>
      <c r="H93" s="8869"/>
      <c r="I93" s="8799"/>
      <c r="J93" s="11760"/>
      <c r="K93" s="11252">
        <v>20000</v>
      </c>
    </row>
    <row r="94" spans="1:13" ht="15" customHeight="1">
      <c r="A94" s="11237"/>
      <c r="B94" s="11111" t="s">
        <v>10946</v>
      </c>
      <c r="C94" s="10144">
        <v>50705030</v>
      </c>
      <c r="D94" s="8869">
        <f>'WS-CO 2017'!H24</f>
        <v>0</v>
      </c>
      <c r="E94" s="8869"/>
      <c r="F94" s="12026">
        <f>G94-E94</f>
        <v>283000</v>
      </c>
      <c r="G94" s="8869">
        <v>283000</v>
      </c>
      <c r="H94" s="8869">
        <v>0</v>
      </c>
      <c r="I94" s="8799"/>
      <c r="J94" s="11760">
        <v>120000</v>
      </c>
      <c r="K94" s="7354"/>
      <c r="L94" s="8069"/>
      <c r="M94" s="7355"/>
    </row>
    <row r="95" spans="1:13" ht="15" hidden="1" customHeight="1">
      <c r="A95" s="11237"/>
      <c r="B95" s="12031" t="s">
        <v>11106</v>
      </c>
      <c r="C95" s="8872"/>
      <c r="D95" s="8869"/>
      <c r="E95" s="8869"/>
      <c r="F95" s="9557"/>
      <c r="G95" s="8869"/>
      <c r="H95" s="8869"/>
      <c r="I95" s="8799"/>
      <c r="J95" s="11760"/>
      <c r="K95" s="7354"/>
      <c r="L95" s="8069"/>
      <c r="M95" s="7355"/>
    </row>
    <row r="96" spans="1:13" ht="15" hidden="1" customHeight="1">
      <c r="A96" s="11237"/>
      <c r="B96" s="12031" t="s">
        <v>11108</v>
      </c>
      <c r="C96" s="8872"/>
      <c r="D96" s="8869"/>
      <c r="E96" s="8869"/>
      <c r="F96" s="9557"/>
      <c r="G96" s="8869"/>
      <c r="H96" s="8869"/>
      <c r="I96" s="8799"/>
      <c r="J96" s="11760"/>
      <c r="K96" s="7354"/>
      <c r="L96" s="8069"/>
      <c r="M96" s="7355"/>
    </row>
    <row r="97" spans="1:13" ht="15" hidden="1" customHeight="1">
      <c r="A97" s="11237"/>
      <c r="B97" s="12031" t="s">
        <v>11109</v>
      </c>
      <c r="C97" s="8872"/>
      <c r="D97" s="8869"/>
      <c r="E97" s="8869"/>
      <c r="F97" s="9557"/>
      <c r="G97" s="8869"/>
      <c r="H97" s="8869"/>
      <c r="I97" s="8799"/>
      <c r="J97" s="11760"/>
      <c r="K97" s="7354"/>
      <c r="L97" s="8069"/>
      <c r="M97" s="7355"/>
    </row>
    <row r="98" spans="1:13" ht="15" hidden="1" customHeight="1">
      <c r="A98" s="11237"/>
      <c r="B98" s="12031" t="s">
        <v>11112</v>
      </c>
      <c r="C98" s="8872"/>
      <c r="D98" s="8869"/>
      <c r="E98" s="8869"/>
      <c r="F98" s="9557"/>
      <c r="G98" s="8869"/>
      <c r="H98" s="8869"/>
      <c r="I98" s="8799"/>
      <c r="J98" s="11760"/>
      <c r="K98" s="7354"/>
      <c r="L98" s="8069"/>
      <c r="M98" s="7355"/>
    </row>
    <row r="99" spans="1:13" ht="15" customHeight="1">
      <c r="A99" s="11237"/>
      <c r="B99" s="11280" t="s">
        <v>9128</v>
      </c>
      <c r="C99" s="8872">
        <v>50706010</v>
      </c>
      <c r="D99" s="8869">
        <f>'WS-CO 2017'!J24</f>
        <v>0</v>
      </c>
      <c r="E99" s="8869"/>
      <c r="F99" s="12026">
        <f>G99-E99</f>
        <v>0</v>
      </c>
      <c r="G99" s="8869">
        <v>0</v>
      </c>
      <c r="H99" s="12027"/>
      <c r="I99" s="8799"/>
      <c r="J99" s="11463"/>
      <c r="K99" s="7354" t="s">
        <v>11890</v>
      </c>
      <c r="L99" s="8069"/>
      <c r="M99" s="7355"/>
    </row>
    <row r="100" spans="1:13" ht="15" hidden="1" customHeight="1">
      <c r="A100" s="11237"/>
      <c r="B100" s="11280" t="s">
        <v>11113</v>
      </c>
      <c r="C100" s="8872"/>
      <c r="D100" s="8869"/>
      <c r="E100" s="8869"/>
      <c r="F100" s="12026">
        <f>G100-E100</f>
        <v>0</v>
      </c>
      <c r="G100" s="8869"/>
      <c r="H100" s="12027"/>
      <c r="I100" s="8799"/>
      <c r="J100" s="11760"/>
      <c r="K100" s="7354"/>
      <c r="L100" s="8069"/>
      <c r="M100" s="7355"/>
    </row>
    <row r="101" spans="1:13" s="7355" customFormat="1" ht="15" customHeight="1">
      <c r="A101" s="11241"/>
      <c r="B101" s="11242" t="s">
        <v>11687</v>
      </c>
      <c r="C101" s="8872"/>
      <c r="D101" s="8869"/>
      <c r="E101" s="8869"/>
      <c r="F101" s="12026">
        <f>G101-E101</f>
        <v>100000</v>
      </c>
      <c r="G101" s="8869">
        <v>100000</v>
      </c>
      <c r="H101" s="12027">
        <v>0</v>
      </c>
      <c r="I101" s="8799"/>
      <c r="J101" s="11463"/>
      <c r="K101" s="7354"/>
      <c r="L101" s="10244"/>
    </row>
    <row r="102" spans="1:13" s="7355" customFormat="1" ht="15" hidden="1" customHeight="1">
      <c r="A102" s="11241"/>
      <c r="B102" s="11280" t="s">
        <v>3348</v>
      </c>
      <c r="C102" s="8872">
        <v>240</v>
      </c>
      <c r="D102" s="8869">
        <f>'WS-CO 2017'!I24</f>
        <v>0</v>
      </c>
      <c r="E102" s="8869"/>
      <c r="F102" s="9557"/>
      <c r="G102" s="8869">
        <v>0</v>
      </c>
      <c r="H102" s="12027"/>
      <c r="I102" s="8799"/>
      <c r="J102" s="11463">
        <v>0</v>
      </c>
      <c r="K102" s="7354"/>
      <c r="L102" s="8069"/>
    </row>
    <row r="103" spans="1:13" s="7355" customFormat="1" ht="15" hidden="1" customHeight="1">
      <c r="A103" s="11241"/>
      <c r="B103" s="11242"/>
      <c r="C103" s="8872"/>
      <c r="D103" s="8869"/>
      <c r="E103" s="8869"/>
      <c r="F103" s="9557"/>
      <c r="G103" s="8869"/>
      <c r="H103" s="8869"/>
      <c r="I103" s="8799"/>
      <c r="J103" s="11463"/>
      <c r="K103" s="7354"/>
      <c r="L103" s="10244"/>
    </row>
    <row r="104" spans="1:13" s="7355" customFormat="1" ht="15" customHeight="1">
      <c r="A104" s="11241"/>
      <c r="B104" s="11242"/>
      <c r="C104" s="12028"/>
      <c r="D104" s="10486"/>
      <c r="E104" s="10486"/>
      <c r="F104" s="11447"/>
      <c r="G104" s="10486"/>
      <c r="H104" s="10486"/>
      <c r="I104" s="7373"/>
      <c r="J104" s="11448"/>
      <c r="K104" s="7354"/>
      <c r="L104" s="10244"/>
    </row>
    <row r="105" spans="1:13" ht="15" customHeight="1">
      <c r="A105" s="11237"/>
      <c r="B105" s="11758" t="s">
        <v>37</v>
      </c>
      <c r="C105" s="9537"/>
      <c r="D105" s="9538">
        <f>SUM(D84:D102)</f>
        <v>98000</v>
      </c>
      <c r="E105" s="9538">
        <f>SUM(E84:E102)</f>
        <v>0</v>
      </c>
      <c r="F105" s="9538">
        <f>SUM(F84:F102)</f>
        <v>633000</v>
      </c>
      <c r="G105" s="9538">
        <f>SUM(G84:G103)</f>
        <v>633000</v>
      </c>
      <c r="H105" s="9538"/>
      <c r="I105" s="9466"/>
      <c r="J105" s="11761">
        <f>SUM(J84:J103)</f>
        <v>880000</v>
      </c>
      <c r="K105" s="10379">
        <f>(J105-G105)/G105</f>
        <v>0.39020537124802529</v>
      </c>
      <c r="L105" s="8069"/>
      <c r="M105" s="7355"/>
    </row>
    <row r="106" spans="1:13" s="7355" customFormat="1" ht="15" customHeight="1">
      <c r="A106" s="11237"/>
      <c r="B106" s="11758"/>
      <c r="C106" s="8872"/>
      <c r="D106" s="8873"/>
      <c r="E106" s="8873"/>
      <c r="F106" s="8873"/>
      <c r="G106" s="8873"/>
      <c r="H106" s="8873"/>
      <c r="I106" s="8874"/>
      <c r="J106" s="11460"/>
      <c r="K106" s="7364"/>
      <c r="L106" s="8069"/>
    </row>
    <row r="107" spans="1:13" s="7355" customFormat="1" ht="15" customHeight="1">
      <c r="A107" s="11237"/>
      <c r="B107" s="11242"/>
      <c r="C107" s="8872"/>
      <c r="D107" s="8873"/>
      <c r="E107" s="8873"/>
      <c r="F107" s="8873"/>
      <c r="G107" s="8873"/>
      <c r="H107" s="8873"/>
      <c r="I107" s="8874"/>
      <c r="J107" s="11463"/>
      <c r="K107" s="7354"/>
      <c r="L107" s="8069"/>
    </row>
    <row r="108" spans="1:13" s="7355" customFormat="1" ht="15" customHeight="1">
      <c r="A108" s="12033">
        <v>3</v>
      </c>
      <c r="B108" s="11242" t="s">
        <v>3445</v>
      </c>
      <c r="C108" s="8872"/>
      <c r="D108" s="8873"/>
      <c r="E108" s="8873"/>
      <c r="F108" s="8873"/>
      <c r="G108" s="8873"/>
      <c r="H108" s="8873"/>
      <c r="I108" s="8874"/>
      <c r="J108" s="11463"/>
      <c r="K108" s="7354"/>
      <c r="L108" s="8069"/>
    </row>
    <row r="109" spans="1:13" s="7355" customFormat="1" ht="15" customHeight="1">
      <c r="A109" s="11237"/>
      <c r="B109" s="11242"/>
      <c r="C109" s="8872"/>
      <c r="D109" s="8873"/>
      <c r="E109" s="8873"/>
      <c r="F109" s="8873"/>
      <c r="G109" s="8873"/>
      <c r="H109" s="8873"/>
      <c r="I109" s="8874"/>
      <c r="J109" s="11463"/>
      <c r="K109" s="7354"/>
      <c r="L109" s="8069"/>
    </row>
    <row r="110" spans="1:13" s="7355" customFormat="1" ht="15" customHeight="1">
      <c r="A110" s="11237"/>
      <c r="B110" s="11758" t="s">
        <v>37</v>
      </c>
      <c r="C110" s="9537"/>
      <c r="D110" s="9538"/>
      <c r="E110" s="9538"/>
      <c r="F110" s="9538"/>
      <c r="G110" s="9538"/>
      <c r="H110" s="9538"/>
      <c r="I110" s="9466"/>
      <c r="J110" s="11761">
        <f>SUM(J107:J109)</f>
        <v>0</v>
      </c>
      <c r="K110" s="7364"/>
      <c r="L110" s="8069"/>
    </row>
    <row r="111" spans="1:13" s="7355" customFormat="1" ht="15" customHeight="1">
      <c r="A111" s="11237"/>
      <c r="B111" s="11758"/>
      <c r="C111" s="9537"/>
      <c r="D111" s="9538"/>
      <c r="E111" s="9538"/>
      <c r="F111" s="9538"/>
      <c r="G111" s="9538"/>
      <c r="H111" s="9538"/>
      <c r="I111" s="9466"/>
      <c r="J111" s="11761"/>
      <c r="K111" s="7364"/>
      <c r="L111" s="8069"/>
    </row>
    <row r="112" spans="1:13" ht="15" customHeight="1" thickBot="1">
      <c r="A112" s="11297"/>
      <c r="B112" s="12032" t="s">
        <v>55</v>
      </c>
      <c r="C112" s="11754"/>
      <c r="D112" s="7736">
        <f>(D30+D65+D105)</f>
        <v>26254836.879999999</v>
      </c>
      <c r="E112" s="7736">
        <f>(E30+E65+E105)</f>
        <v>12577968.42</v>
      </c>
      <c r="F112" s="7736">
        <f>(F30+F65+F105)</f>
        <v>20483088.579999998</v>
      </c>
      <c r="G112" s="7736">
        <f>(G30+G65+G105)</f>
        <v>33061057</v>
      </c>
      <c r="H112" s="7736"/>
      <c r="I112" s="7737"/>
      <c r="J112" s="11759">
        <f>(J30+J65+J105)</f>
        <v>34816616.344999999</v>
      </c>
      <c r="K112" s="10379">
        <f>(J112-G112)/G112</f>
        <v>5.3100520803070476E-2</v>
      </c>
    </row>
    <row r="113" spans="1:12" s="7333" customFormat="1" ht="15" customHeight="1">
      <c r="A113" s="7738" t="s">
        <v>4763</v>
      </c>
      <c r="B113" s="7738"/>
      <c r="C113" s="9346"/>
      <c r="D113" s="7740"/>
      <c r="E113" s="7740"/>
      <c r="F113" s="9530"/>
      <c r="G113" s="7741"/>
      <c r="H113" s="7740"/>
      <c r="I113" s="7742"/>
      <c r="J113" s="7741"/>
      <c r="K113" s="7741"/>
      <c r="L113" s="7842"/>
    </row>
    <row r="114" spans="1:12" s="7333" customFormat="1" ht="15" customHeight="1">
      <c r="A114" s="7738"/>
      <c r="B114" s="7738"/>
      <c r="C114" s="9346"/>
      <c r="D114" s="7740"/>
      <c r="E114" s="7740"/>
      <c r="F114" s="9530"/>
      <c r="G114" s="7741"/>
      <c r="H114" s="7740"/>
      <c r="I114" s="7742"/>
      <c r="J114" s="7741"/>
      <c r="K114" s="7741"/>
      <c r="L114" s="7842"/>
    </row>
    <row r="115" spans="1:12" ht="15" hidden="1" customHeight="1">
      <c r="A115" s="7835" t="s">
        <v>3483</v>
      </c>
      <c r="B115" s="7761"/>
      <c r="D115" s="10870" t="s">
        <v>3484</v>
      </c>
      <c r="E115" s="7763"/>
      <c r="G115" s="9459" t="s">
        <v>10666</v>
      </c>
      <c r="H115" s="7763"/>
      <c r="I115" s="7286"/>
      <c r="J115" s="7339"/>
      <c r="K115" s="7339"/>
    </row>
    <row r="116" spans="1:12" ht="15" hidden="1" customHeight="1">
      <c r="A116" s="7835"/>
      <c r="B116" s="7761"/>
      <c r="C116" s="8793"/>
      <c r="D116" s="10870"/>
      <c r="E116" s="7763"/>
      <c r="F116" s="9531"/>
      <c r="G116" s="7339"/>
      <c r="H116" s="7763"/>
      <c r="I116" s="7286"/>
      <c r="J116" s="7339"/>
      <c r="K116" s="7339"/>
    </row>
    <row r="117" spans="1:12" s="7839" customFormat="1" ht="15" hidden="1" customHeight="1">
      <c r="A117" s="7835"/>
      <c r="B117" s="7761"/>
      <c r="C117" s="9362"/>
      <c r="D117" s="10870"/>
      <c r="E117" s="7763"/>
      <c r="F117" s="9531"/>
      <c r="G117" s="7339"/>
      <c r="H117" s="7763"/>
      <c r="I117" s="7286"/>
      <c r="J117" s="7339"/>
      <c r="K117" s="7339"/>
    </row>
    <row r="118" spans="1:12" s="7383" customFormat="1" ht="15" hidden="1" customHeight="1">
      <c r="A118" s="14304" t="s">
        <v>12074</v>
      </c>
      <c r="B118" s="14304"/>
      <c r="C118" s="14304"/>
      <c r="E118" s="12632" t="s">
        <v>12067</v>
      </c>
      <c r="F118" s="9532"/>
      <c r="G118" s="7342" t="s">
        <v>10667</v>
      </c>
      <c r="H118" s="7766"/>
      <c r="I118" s="7284"/>
      <c r="J118" s="7822"/>
      <c r="K118" s="7822"/>
    </row>
    <row r="119" spans="1:12" ht="15" hidden="1" customHeight="1">
      <c r="A119" s="7803" t="s">
        <v>12075</v>
      </c>
      <c r="B119" s="7799"/>
      <c r="C119" s="8793"/>
      <c r="E119" s="12631" t="s">
        <v>10346</v>
      </c>
      <c r="F119" s="9533"/>
      <c r="G119" s="7344" t="s">
        <v>10668</v>
      </c>
      <c r="H119" s="7763"/>
      <c r="I119" s="7763"/>
      <c r="J119" s="7763"/>
      <c r="K119" s="7763"/>
    </row>
    <row r="120" spans="1:12" ht="15" customHeight="1">
      <c r="A120" s="7352" t="s">
        <v>10787</v>
      </c>
      <c r="B120" s="9416"/>
      <c r="C120" s="8785"/>
      <c r="D120" s="7336"/>
      <c r="E120" s="7336"/>
      <c r="F120" s="9524"/>
      <c r="G120" s="7336"/>
      <c r="H120" s="7336"/>
      <c r="I120" s="7286"/>
      <c r="J120" s="7336"/>
      <c r="K120" s="7336"/>
    </row>
    <row r="121" spans="1:12" ht="15" customHeight="1">
      <c r="A121" s="7352"/>
      <c r="B121" s="7335"/>
      <c r="C121" s="8785"/>
      <c r="D121" s="7336"/>
      <c r="E121" s="7336"/>
      <c r="F121" s="9524"/>
      <c r="G121" s="7336"/>
      <c r="H121" s="7336"/>
      <c r="I121" s="7286"/>
      <c r="J121" s="7336"/>
      <c r="K121" s="7336"/>
    </row>
    <row r="122" spans="1:12" ht="15" customHeight="1">
      <c r="A122" s="7352"/>
      <c r="B122" s="7335"/>
      <c r="C122" s="8785"/>
      <c r="D122" s="7336"/>
      <c r="E122" s="7336"/>
      <c r="F122" s="9524"/>
      <c r="G122" s="7336"/>
      <c r="H122" s="7336">
        <f>J112-G112</f>
        <v>1755559.3449999988</v>
      </c>
      <c r="I122" s="7286">
        <f>H122/G112</f>
        <v>5.3100520803070476E-2</v>
      </c>
      <c r="J122" s="7336"/>
      <c r="K122" s="7336"/>
    </row>
    <row r="123" spans="1:12" ht="15" customHeight="1">
      <c r="A123" s="7352"/>
      <c r="B123" s="7335"/>
      <c r="C123" s="8785"/>
      <c r="D123" s="7336"/>
      <c r="E123" s="7336"/>
      <c r="F123" s="9524"/>
      <c r="G123" s="7336"/>
      <c r="H123" s="7345"/>
      <c r="I123" s="7286"/>
      <c r="J123" s="7336"/>
      <c r="K123" s="7336"/>
    </row>
    <row r="124" spans="1:12" ht="15" customHeight="1">
      <c r="A124" s="7352"/>
      <c r="B124" s="7335"/>
      <c r="C124" s="8785"/>
      <c r="D124" s="7336"/>
      <c r="E124" s="7336"/>
      <c r="F124" s="9524"/>
      <c r="G124" s="7336"/>
      <c r="H124" s="7336"/>
      <c r="I124" s="7286"/>
      <c r="J124" s="7336"/>
      <c r="K124" s="7336"/>
    </row>
    <row r="125" spans="1:12" ht="15" customHeight="1">
      <c r="A125" s="7352"/>
      <c r="B125" s="7335"/>
      <c r="C125" s="8785"/>
      <c r="D125" s="7336"/>
      <c r="E125" s="7336"/>
      <c r="F125" s="9524"/>
      <c r="G125" s="7336"/>
      <c r="H125" s="7336"/>
      <c r="I125" s="7286"/>
      <c r="J125" s="7336"/>
      <c r="K125" s="7336"/>
    </row>
    <row r="126" spans="1:12" ht="15" customHeight="1">
      <c r="A126" s="7352"/>
      <c r="B126" s="7335"/>
      <c r="C126" s="8785"/>
      <c r="D126" s="7336"/>
      <c r="E126" s="7336"/>
      <c r="F126" s="9524"/>
      <c r="G126" s="7336"/>
      <c r="H126" s="7336"/>
      <c r="I126" s="7286"/>
      <c r="J126" s="7336"/>
      <c r="K126" s="7336"/>
    </row>
    <row r="127" spans="1:12" ht="15" customHeight="1">
      <c r="A127" s="7352"/>
      <c r="B127" s="7335"/>
      <c r="C127" s="8785"/>
      <c r="D127" s="7336"/>
      <c r="E127" s="7336"/>
      <c r="F127" s="9524"/>
      <c r="G127" s="7336"/>
      <c r="H127" s="7336"/>
      <c r="I127" s="7286"/>
      <c r="J127" s="7336"/>
      <c r="K127" s="7336"/>
    </row>
    <row r="128" spans="1:12" ht="15" customHeight="1">
      <c r="A128" s="7352"/>
      <c r="B128" s="7335"/>
      <c r="C128" s="8785"/>
      <c r="D128" s="7336"/>
      <c r="E128" s="7336"/>
      <c r="F128" s="9524"/>
      <c r="G128" s="7336"/>
      <c r="H128" s="7336"/>
      <c r="I128" s="7286"/>
      <c r="J128" s="7336"/>
      <c r="K128" s="7336"/>
    </row>
    <row r="129" spans="1:11" ht="15" customHeight="1">
      <c r="A129" s="7352"/>
      <c r="B129" s="7335"/>
      <c r="C129" s="8785"/>
      <c r="D129" s="7336"/>
      <c r="E129" s="7336"/>
      <c r="F129" s="9524"/>
      <c r="G129" s="7336"/>
      <c r="H129" s="7336"/>
      <c r="I129" s="7286"/>
      <c r="J129" s="7336"/>
      <c r="K129" s="7336"/>
    </row>
    <row r="130" spans="1:11" ht="15" customHeight="1">
      <c r="A130" s="7352"/>
      <c r="B130" s="7335"/>
      <c r="C130" s="8785"/>
      <c r="D130" s="7336"/>
      <c r="E130" s="7336"/>
      <c r="F130" s="9524"/>
      <c r="G130" s="7336"/>
      <c r="H130" s="7336"/>
      <c r="I130" s="7286"/>
      <c r="J130" s="7336"/>
      <c r="K130" s="7336"/>
    </row>
    <row r="131" spans="1:11" ht="15" customHeight="1">
      <c r="A131" s="7352"/>
      <c r="B131" s="7335"/>
      <c r="C131" s="8785"/>
      <c r="D131" s="7336"/>
      <c r="E131" s="7336"/>
      <c r="F131" s="9524"/>
      <c r="G131" s="7336"/>
      <c r="H131" s="7336"/>
      <c r="I131" s="7286"/>
      <c r="J131" s="7336"/>
      <c r="K131" s="7336"/>
    </row>
    <row r="132" spans="1:11" ht="15" customHeight="1">
      <c r="A132" s="7352"/>
      <c r="B132" s="7335"/>
      <c r="C132" s="8785"/>
      <c r="D132" s="7336"/>
      <c r="E132" s="7336"/>
      <c r="F132" s="9524"/>
      <c r="G132" s="7336"/>
      <c r="H132" s="7336"/>
      <c r="I132" s="7286"/>
      <c r="J132" s="7336"/>
      <c r="K132" s="7336"/>
    </row>
    <row r="133" spans="1:11" ht="15" customHeight="1">
      <c r="A133" s="7352"/>
      <c r="B133" s="7335"/>
      <c r="C133" s="8785"/>
      <c r="D133" s="7336"/>
      <c r="E133" s="7336"/>
      <c r="F133" s="9524"/>
      <c r="G133" s="7336"/>
      <c r="H133" s="7336"/>
      <c r="I133" s="7286"/>
      <c r="J133" s="7336"/>
      <c r="K133" s="7336"/>
    </row>
    <row r="134" spans="1:11" ht="15" customHeight="1">
      <c r="A134" s="7352"/>
      <c r="B134" s="7335"/>
      <c r="C134" s="8785"/>
      <c r="D134" s="7336"/>
      <c r="E134" s="7336"/>
      <c r="F134" s="9524"/>
      <c r="G134" s="7336"/>
      <c r="H134" s="7336"/>
      <c r="I134" s="7286"/>
      <c r="J134" s="7336"/>
      <c r="K134" s="7336"/>
    </row>
    <row r="135" spans="1:11" ht="15" customHeight="1">
      <c r="A135" s="7352"/>
      <c r="B135" s="7335"/>
      <c r="C135" s="8785"/>
      <c r="D135" s="7336"/>
      <c r="E135" s="7336"/>
      <c r="F135" s="9524"/>
      <c r="G135" s="7336"/>
      <c r="H135" s="7336"/>
      <c r="I135" s="7286"/>
      <c r="J135" s="7336"/>
      <c r="K135" s="7336"/>
    </row>
    <row r="136" spans="1:11" ht="15" customHeight="1">
      <c r="A136" s="7352"/>
      <c r="B136" s="7335"/>
      <c r="C136" s="8785"/>
      <c r="D136" s="7336"/>
      <c r="E136" s="7336"/>
      <c r="F136" s="9524"/>
      <c r="G136" s="7336"/>
      <c r="H136" s="7336"/>
      <c r="I136" s="7286"/>
      <c r="J136" s="7336"/>
      <c r="K136" s="7336"/>
    </row>
    <row r="137" spans="1:11" ht="15" customHeight="1">
      <c r="A137" s="7352"/>
      <c r="B137" s="7335"/>
      <c r="C137" s="8785"/>
      <c r="D137" s="7336"/>
      <c r="E137" s="7336"/>
      <c r="F137" s="9524"/>
      <c r="G137" s="7336"/>
      <c r="H137" s="7336"/>
      <c r="I137" s="7286"/>
      <c r="J137" s="7336"/>
      <c r="K137" s="7336"/>
    </row>
    <row r="138" spans="1:11" ht="15" customHeight="1">
      <c r="A138" s="7352"/>
      <c r="B138" s="7335"/>
      <c r="C138" s="8785"/>
      <c r="D138" s="7336"/>
      <c r="E138" s="7336"/>
      <c r="F138" s="9524"/>
      <c r="G138" s="7336"/>
      <c r="H138" s="7336"/>
      <c r="I138" s="7286"/>
      <c r="J138" s="7336"/>
      <c r="K138" s="7336"/>
    </row>
    <row r="139" spans="1:11" ht="15" customHeight="1">
      <c r="A139" s="7352"/>
      <c r="B139" s="7335"/>
      <c r="C139" s="8785"/>
      <c r="D139" s="7336"/>
      <c r="E139" s="7336"/>
      <c r="F139" s="9524"/>
      <c r="G139" s="7336"/>
      <c r="H139" s="7336"/>
      <c r="I139" s="7286"/>
      <c r="J139" s="7336"/>
      <c r="K139" s="7336"/>
    </row>
    <row r="140" spans="1:11" ht="15" customHeight="1">
      <c r="A140" s="7352"/>
      <c r="B140" s="7335"/>
      <c r="C140" s="8785"/>
      <c r="D140" s="7336"/>
      <c r="E140" s="7336"/>
      <c r="F140" s="9524"/>
      <c r="G140" s="7336"/>
      <c r="H140" s="7336"/>
      <c r="I140" s="7286"/>
      <c r="J140" s="7336"/>
      <c r="K140" s="7336"/>
    </row>
    <row r="141" spans="1:11" ht="15" customHeight="1">
      <c r="A141" s="7352"/>
      <c r="B141" s="7335"/>
      <c r="C141" s="8785"/>
      <c r="D141" s="7336"/>
      <c r="E141" s="7336"/>
      <c r="F141" s="9524"/>
      <c r="G141" s="7336"/>
      <c r="H141" s="7336"/>
      <c r="I141" s="7286"/>
      <c r="J141" s="7336"/>
      <c r="K141" s="7336"/>
    </row>
    <row r="142" spans="1:11" ht="15" customHeight="1">
      <c r="A142" s="7352"/>
      <c r="B142" s="7335"/>
      <c r="C142" s="8785"/>
      <c r="D142" s="7336"/>
      <c r="E142" s="7336"/>
      <c r="F142" s="9524"/>
      <c r="G142" s="7336"/>
      <c r="H142" s="7336"/>
      <c r="I142" s="7286"/>
      <c r="J142" s="7336"/>
      <c r="K142" s="7336"/>
    </row>
    <row r="143" spans="1:11" ht="15" customHeight="1">
      <c r="A143" s="7352"/>
      <c r="B143" s="7335"/>
      <c r="C143" s="8785"/>
      <c r="D143" s="7336"/>
      <c r="E143" s="7336"/>
      <c r="F143" s="9524"/>
      <c r="G143" s="7336"/>
      <c r="H143" s="7336"/>
      <c r="I143" s="7286"/>
      <c r="J143" s="7336"/>
      <c r="K143" s="7336"/>
    </row>
    <row r="144" spans="1:11" ht="15" customHeight="1">
      <c r="A144" s="7352"/>
      <c r="B144" s="7335"/>
      <c r="C144" s="8785"/>
      <c r="D144" s="7336"/>
      <c r="E144" s="7336"/>
      <c r="F144" s="9524"/>
      <c r="G144" s="7336"/>
      <c r="H144" s="7336"/>
      <c r="I144" s="7286"/>
      <c r="J144" s="7336"/>
      <c r="K144" s="7336"/>
    </row>
    <row r="145" spans="1:12" ht="15" customHeight="1">
      <c r="A145" s="7352"/>
      <c r="B145" s="7335"/>
      <c r="C145" s="8785"/>
      <c r="D145" s="7336"/>
      <c r="E145" s="7336"/>
      <c r="F145" s="9524"/>
      <c r="G145" s="7336"/>
      <c r="H145" s="7336"/>
      <c r="I145" s="7286"/>
      <c r="J145" s="7336"/>
      <c r="K145" s="7336"/>
    </row>
    <row r="146" spans="1:12" ht="15" customHeight="1">
      <c r="A146" s="7352"/>
      <c r="B146" s="7335"/>
      <c r="C146" s="8785"/>
      <c r="D146" s="7336"/>
      <c r="E146" s="7336"/>
      <c r="F146" s="9524"/>
      <c r="G146" s="7336"/>
      <c r="H146" s="7336"/>
      <c r="I146" s="7286"/>
      <c r="J146" s="7336"/>
      <c r="K146" s="7336"/>
    </row>
    <row r="147" spans="1:12" ht="15" customHeight="1">
      <c r="A147" s="7352"/>
      <c r="B147" s="7335"/>
      <c r="C147" s="8785"/>
      <c r="D147" s="7336"/>
      <c r="E147" s="7336"/>
      <c r="F147" s="9524"/>
      <c r="G147" s="7336"/>
      <c r="H147" s="7336"/>
      <c r="I147" s="7286"/>
      <c r="J147" s="7336"/>
      <c r="K147" s="7336"/>
    </row>
    <row r="148" spans="1:12" ht="15" customHeight="1">
      <c r="A148" s="7352"/>
      <c r="B148" s="7335"/>
      <c r="C148" s="8785"/>
      <c r="D148" s="7336"/>
      <c r="E148" s="7336"/>
      <c r="F148" s="9524"/>
      <c r="G148" s="7336"/>
      <c r="H148" s="7336"/>
      <c r="I148" s="7286"/>
      <c r="J148" s="7336"/>
      <c r="K148" s="7336"/>
    </row>
    <row r="149" spans="1:12" ht="15" customHeight="1">
      <c r="A149" s="7352"/>
      <c r="B149" s="7335"/>
      <c r="C149" s="8785"/>
      <c r="D149" s="7336"/>
      <c r="E149" s="7336"/>
      <c r="F149" s="9524"/>
      <c r="G149" s="7336"/>
      <c r="H149" s="7336"/>
      <c r="I149" s="7286"/>
      <c r="J149" s="7336"/>
      <c r="K149" s="7336"/>
    </row>
    <row r="150" spans="1:12" ht="15" customHeight="1">
      <c r="A150" s="7352"/>
      <c r="B150" s="7335"/>
      <c r="C150" s="8785"/>
      <c r="D150" s="7336"/>
      <c r="E150" s="7336"/>
      <c r="F150" s="9524"/>
      <c r="G150" s="7336"/>
      <c r="H150" s="7336"/>
      <c r="I150" s="7286"/>
      <c r="J150" s="7336"/>
      <c r="K150" s="7336"/>
    </row>
    <row r="151" spans="1:12" ht="15" customHeight="1">
      <c r="A151" s="7352"/>
      <c r="B151" s="7335"/>
      <c r="C151" s="8785"/>
      <c r="D151" s="7336"/>
      <c r="E151" s="7336"/>
      <c r="F151" s="9524"/>
      <c r="G151" s="7336"/>
      <c r="H151" s="7336"/>
      <c r="I151" s="7286"/>
      <c r="J151" s="7336"/>
      <c r="K151" s="7336"/>
    </row>
    <row r="152" spans="1:12" ht="15" customHeight="1">
      <c r="A152" s="7352"/>
      <c r="B152" s="7335"/>
      <c r="C152" s="8785"/>
      <c r="D152" s="7336"/>
      <c r="E152" s="7336"/>
      <c r="F152" s="9524"/>
      <c r="G152" s="7336"/>
      <c r="H152" s="7336"/>
      <c r="I152" s="7286"/>
      <c r="J152" s="7336"/>
      <c r="K152" s="7336"/>
    </row>
    <row r="153" spans="1:12" ht="15" customHeight="1">
      <c r="A153" s="7352"/>
      <c r="B153" s="7335"/>
      <c r="C153" s="8785"/>
      <c r="D153" s="7336"/>
      <c r="E153" s="7336"/>
      <c r="F153" s="9524"/>
      <c r="G153" s="7336"/>
      <c r="H153" s="7336"/>
      <c r="I153" s="7286"/>
      <c r="J153" s="7336"/>
      <c r="K153" s="7336"/>
    </row>
    <row r="154" spans="1:12" ht="15" customHeight="1">
      <c r="A154" s="7352"/>
      <c r="B154" s="7335"/>
      <c r="C154" s="8785"/>
      <c r="D154" s="7336"/>
      <c r="E154" s="7336"/>
      <c r="F154" s="9524"/>
      <c r="G154" s="7336"/>
      <c r="H154" s="7336"/>
      <c r="I154" s="7286"/>
      <c r="J154" s="7336"/>
      <c r="K154" s="7336"/>
    </row>
    <row r="155" spans="1:12" ht="15" customHeight="1">
      <c r="A155" s="7352"/>
      <c r="B155" s="7335"/>
      <c r="C155" s="8785"/>
      <c r="D155" s="7336"/>
      <c r="E155" s="7336"/>
      <c r="F155" s="9524"/>
      <c r="G155" s="7336"/>
      <c r="H155" s="7336"/>
      <c r="I155" s="7286"/>
      <c r="J155" s="7336"/>
      <c r="K155" s="7336"/>
    </row>
    <row r="156" spans="1:12" ht="15" customHeight="1">
      <c r="A156" s="7352"/>
      <c r="B156" s="7335"/>
      <c r="C156" s="8785"/>
      <c r="D156" s="7336"/>
      <c r="E156" s="7336"/>
      <c r="F156" s="9524"/>
      <c r="G156" s="7336"/>
      <c r="H156" s="7336"/>
      <c r="I156" s="7286"/>
      <c r="J156" s="7336"/>
      <c r="K156" s="7336"/>
    </row>
    <row r="157" spans="1:12" ht="15" customHeight="1">
      <c r="A157" s="7352"/>
      <c r="B157" s="7335"/>
      <c r="C157" s="8785"/>
      <c r="D157" s="7336"/>
      <c r="E157" s="7336"/>
      <c r="F157" s="9524"/>
      <c r="G157" s="7336"/>
      <c r="H157" s="7336"/>
      <c r="I157" s="7286"/>
      <c r="J157" s="7336"/>
      <c r="K157" s="7336"/>
    </row>
    <row r="158" spans="1:12" ht="15" customHeight="1">
      <c r="A158" s="7352"/>
      <c r="B158" s="7335"/>
      <c r="C158" s="8785"/>
      <c r="D158" s="7336"/>
      <c r="E158" s="7336"/>
      <c r="F158" s="9524"/>
      <c r="G158" s="7336"/>
      <c r="H158" s="7336"/>
      <c r="I158" s="7286"/>
      <c r="J158" s="7336"/>
      <c r="K158" s="7336"/>
    </row>
    <row r="159" spans="1:12" ht="15" customHeight="1">
      <c r="A159" s="7352"/>
      <c r="B159" s="7335"/>
      <c r="C159" s="8785"/>
      <c r="D159" s="7336"/>
      <c r="E159" s="7336"/>
      <c r="F159" s="9524"/>
      <c r="G159" s="7336"/>
      <c r="H159" s="7336"/>
      <c r="I159" s="7286"/>
      <c r="J159" s="7336"/>
      <c r="K159" s="7336"/>
    </row>
    <row r="160" spans="1:12" ht="15" customHeight="1">
      <c r="A160" s="7352"/>
      <c r="B160" s="7352"/>
      <c r="C160" s="8789"/>
      <c r="D160" s="7354"/>
      <c r="E160" s="7354"/>
      <c r="F160" s="9525"/>
      <c r="G160" s="7354"/>
      <c r="H160" s="7354"/>
      <c r="I160" s="7290"/>
      <c r="J160" s="7354"/>
      <c r="K160" s="7354"/>
      <c r="L160" s="8069"/>
    </row>
    <row r="161" spans="1:12" ht="15" customHeight="1">
      <c r="B161" s="8058" t="s">
        <v>3756</v>
      </c>
      <c r="C161" s="9363"/>
      <c r="G161" s="12014"/>
      <c r="H161" s="8059"/>
      <c r="I161" s="8060"/>
      <c r="J161" s="8061">
        <v>2015</v>
      </c>
      <c r="K161" s="8061"/>
      <c r="L161" s="8069"/>
    </row>
    <row r="162" spans="1:12" ht="15" customHeight="1">
      <c r="A162" s="7352"/>
      <c r="B162" s="8062" t="s">
        <v>10576</v>
      </c>
      <c r="C162" s="9364"/>
      <c r="G162" s="8063"/>
      <c r="H162" s="8063"/>
      <c r="I162" s="8064"/>
      <c r="J162" s="8063">
        <v>5000000</v>
      </c>
      <c r="K162" s="8063"/>
      <c r="L162" s="8069"/>
    </row>
    <row r="163" spans="1:12" ht="15" customHeight="1">
      <c r="A163" s="7352"/>
      <c r="B163" s="8065" t="s">
        <v>10577</v>
      </c>
      <c r="C163" s="9364"/>
      <c r="G163" s="8063"/>
      <c r="H163" s="8063"/>
      <c r="I163" s="8064"/>
      <c r="J163" s="8063">
        <v>500000</v>
      </c>
      <c r="K163" s="8063"/>
      <c r="L163" s="8069"/>
    </row>
    <row r="164" spans="1:12" ht="15" customHeight="1">
      <c r="A164" s="7352"/>
      <c r="B164" s="8062" t="s">
        <v>10578</v>
      </c>
      <c r="C164" s="9364"/>
      <c r="G164" s="8063"/>
      <c r="H164" s="8066"/>
      <c r="I164" s="8064"/>
      <c r="J164" s="8063">
        <v>1000000</v>
      </c>
      <c r="K164" s="8063"/>
      <c r="L164" s="8069"/>
    </row>
    <row r="165" spans="1:12" ht="15" customHeight="1">
      <c r="A165" s="7352"/>
      <c r="B165" s="8067" t="s">
        <v>10579</v>
      </c>
      <c r="C165" s="9364"/>
      <c r="G165" s="8063"/>
      <c r="H165" s="8063"/>
      <c r="I165" s="8064"/>
      <c r="J165" s="8063">
        <v>500000</v>
      </c>
      <c r="K165" s="8063"/>
      <c r="L165" s="8069"/>
    </row>
    <row r="166" spans="1:12" ht="15" customHeight="1">
      <c r="B166" s="8068" t="s">
        <v>9983</v>
      </c>
      <c r="C166" s="9365"/>
      <c r="G166" s="8063"/>
      <c r="H166" s="8056"/>
      <c r="I166" s="8064"/>
      <c r="J166" s="8070">
        <v>500000</v>
      </c>
      <c r="K166" s="8063"/>
      <c r="L166" s="8069"/>
    </row>
    <row r="167" spans="1:12" s="7374" customFormat="1" ht="15" customHeight="1">
      <c r="A167" s="7504"/>
      <c r="B167" s="7504" t="s">
        <v>220</v>
      </c>
      <c r="C167" s="9366"/>
      <c r="D167" s="7343"/>
      <c r="E167" s="7343"/>
      <c r="F167" s="9535"/>
      <c r="G167" s="8072"/>
      <c r="H167" s="8072"/>
      <c r="I167" s="8073"/>
      <c r="J167" s="8072">
        <f>SUM(J162:J166)</f>
        <v>7500000</v>
      </c>
      <c r="K167" s="8072"/>
      <c r="L167" s="8071"/>
    </row>
    <row r="168" spans="1:12" ht="15" customHeight="1">
      <c r="B168" s="7355"/>
      <c r="C168" s="9365"/>
      <c r="D168" s="8056"/>
      <c r="E168" s="8056"/>
      <c r="F168" s="9536"/>
      <c r="G168" s="8056"/>
      <c r="H168" s="8056"/>
      <c r="I168" s="8064"/>
      <c r="J168" s="8056"/>
      <c r="K168" s="8056"/>
      <c r="L168" s="8069"/>
    </row>
    <row r="169" spans="1:12" ht="15" customHeight="1">
      <c r="B169" s="7355"/>
      <c r="C169" s="9365"/>
      <c r="D169" s="8056"/>
      <c r="E169" s="8056"/>
      <c r="F169" s="9536"/>
      <c r="G169" s="8056"/>
      <c r="H169" s="8056"/>
      <c r="I169" s="8064"/>
      <c r="J169" s="8056"/>
      <c r="K169" s="8056"/>
      <c r="L169" s="8069"/>
    </row>
    <row r="170" spans="1:12" ht="15" customHeight="1">
      <c r="B170" s="7355"/>
      <c r="C170" s="9365"/>
      <c r="D170" s="8056"/>
      <c r="E170" s="8056"/>
      <c r="F170" s="9536"/>
      <c r="G170" s="8056"/>
      <c r="H170" s="8056"/>
      <c r="I170" s="8064"/>
      <c r="J170" s="8056"/>
      <c r="K170" s="8056"/>
      <c r="L170" s="8069"/>
    </row>
  </sheetData>
  <mergeCells count="12">
    <mergeCell ref="A118:C118"/>
    <mergeCell ref="E80:G80"/>
    <mergeCell ref="G81:G82"/>
    <mergeCell ref="A1:J1"/>
    <mergeCell ref="C8:C9"/>
    <mergeCell ref="C81:C82"/>
    <mergeCell ref="C40:C41"/>
    <mergeCell ref="E39:G39"/>
    <mergeCell ref="G40:G41"/>
    <mergeCell ref="E7:G7"/>
    <mergeCell ref="G8:G9"/>
    <mergeCell ref="J4:J5"/>
  </mergeCells>
  <printOptions horizontalCentered="1" gridLinesSet="0"/>
  <pageMargins left="0.25" right="0.25" top="0.5" bottom="0" header="0" footer="0"/>
  <pageSetup paperSize="119" firstPageNumber="90" orientation="landscape" useFirstPageNumber="1" r:id="rId1"/>
  <headerFooter alignWithMargins="0"/>
</worksheet>
</file>

<file path=xl/worksheets/sheet66.xml><?xml version="1.0" encoding="utf-8"?>
<worksheet xmlns="http://schemas.openxmlformats.org/spreadsheetml/2006/main" xmlns:r="http://schemas.openxmlformats.org/officeDocument/2006/relationships">
  <sheetPr codeName="Sheet100">
    <tabColor rgb="FFFFFF00"/>
  </sheetPr>
  <dimension ref="A1:E25"/>
  <sheetViews>
    <sheetView topLeftCell="A10" workbookViewId="0">
      <selection activeCell="A6" sqref="A6"/>
    </sheetView>
  </sheetViews>
  <sheetFormatPr defaultColWidth="9.109375" defaultRowHeight="14.4"/>
  <cols>
    <col min="1" max="1" width="35.88671875" style="818" customWidth="1"/>
    <col min="2" max="2" width="16.109375" style="889" customWidth="1"/>
    <col min="3" max="3" width="15.88671875" style="889" customWidth="1"/>
    <col min="4" max="4" width="14" style="889" customWidth="1"/>
    <col min="5" max="5" width="15.44140625" style="889" customWidth="1"/>
    <col min="6" max="16384" width="9.109375" style="818"/>
  </cols>
  <sheetData>
    <row r="1" spans="1:5" s="881" customFormat="1" ht="40.5" customHeight="1">
      <c r="A1" s="881" t="s">
        <v>3426</v>
      </c>
      <c r="B1" s="884"/>
      <c r="C1" s="884"/>
      <c r="D1" s="884"/>
      <c r="E1" s="884"/>
    </row>
    <row r="2" spans="1:5" s="881" customFormat="1" ht="18.75" customHeight="1">
      <c r="A2" s="881" t="s">
        <v>4771</v>
      </c>
      <c r="B2" s="884"/>
      <c r="C2" s="884"/>
      <c r="D2" s="884"/>
      <c r="E2" s="884"/>
    </row>
    <row r="3" spans="1:5" s="881" customFormat="1" ht="18.75" customHeight="1">
      <c r="B3" s="884"/>
      <c r="C3" s="884"/>
      <c r="D3" s="884"/>
      <c r="E3" s="884"/>
    </row>
    <row r="4" spans="1:5" s="881" customFormat="1">
      <c r="A4" s="14205" t="s">
        <v>3427</v>
      </c>
      <c r="B4" s="14616" t="s">
        <v>18</v>
      </c>
      <c r="C4" s="14617"/>
      <c r="D4" s="14618"/>
      <c r="E4" s="14208" t="s">
        <v>220</v>
      </c>
    </row>
    <row r="5" spans="1:5" s="882" customFormat="1">
      <c r="A5" s="14206"/>
      <c r="B5" s="1002" t="s">
        <v>2151</v>
      </c>
      <c r="C5" s="1002" t="s">
        <v>1973</v>
      </c>
      <c r="D5" s="1002" t="s">
        <v>52</v>
      </c>
      <c r="E5" s="14209"/>
    </row>
    <row r="6" spans="1:5" s="882" customFormat="1">
      <c r="A6" s="1552"/>
      <c r="B6" s="1562"/>
      <c r="C6" s="1562"/>
      <c r="D6" s="1562"/>
      <c r="E6" s="1553"/>
    </row>
    <row r="7" spans="1:5" s="881" customFormat="1">
      <c r="A7" s="883" t="s">
        <v>2048</v>
      </c>
      <c r="B7" s="1128">
        <f>'lbpf 3-BDJ'!J30</f>
        <v>9329616.3450000007</v>
      </c>
      <c r="C7" s="1128">
        <f>'lbpf 3-BDJ'!J65</f>
        <v>24607000</v>
      </c>
      <c r="D7" s="1128">
        <f>'lbpf 3-BDJ'!J105</f>
        <v>880000</v>
      </c>
      <c r="E7" s="953">
        <f>SUM(B7:D7)</f>
        <v>34816616.344999999</v>
      </c>
    </row>
    <row r="8" spans="1:5" s="951" customFormat="1" ht="34.5" customHeight="1">
      <c r="A8" s="997" t="s">
        <v>3549</v>
      </c>
      <c r="B8" s="1129"/>
      <c r="C8" s="1129"/>
      <c r="D8" s="1129"/>
      <c r="E8" s="1129"/>
    </row>
    <row r="9" spans="1:5" s="951" customFormat="1">
      <c r="A9" s="998" t="s">
        <v>3550</v>
      </c>
      <c r="B9" s="954"/>
      <c r="C9" s="954"/>
      <c r="D9" s="954"/>
      <c r="E9" s="954"/>
    </row>
    <row r="10" spans="1:5" s="951" customFormat="1">
      <c r="A10" s="1001" t="s">
        <v>3551</v>
      </c>
      <c r="B10" s="957"/>
      <c r="C10" s="957"/>
      <c r="D10" s="957"/>
      <c r="E10" s="954"/>
    </row>
    <row r="11" spans="1:5" s="951" customFormat="1">
      <c r="A11" s="1001" t="s">
        <v>3552</v>
      </c>
      <c r="B11" s="957"/>
      <c r="C11" s="957"/>
      <c r="D11" s="957"/>
      <c r="E11" s="954"/>
    </row>
    <row r="12" spans="1:5" s="951" customFormat="1">
      <c r="A12" s="1001" t="s">
        <v>3553</v>
      </c>
      <c r="B12" s="957"/>
      <c r="C12" s="957"/>
      <c r="D12" s="957"/>
      <c r="E12" s="954"/>
    </row>
    <row r="13" spans="1:5" s="951" customFormat="1">
      <c r="A13" s="1001"/>
      <c r="B13" s="957"/>
      <c r="C13" s="957"/>
      <c r="D13" s="957"/>
      <c r="E13" s="954"/>
    </row>
    <row r="14" spans="1:5" s="1005" customFormat="1" ht="28.8">
      <c r="A14" s="1003" t="s">
        <v>3554</v>
      </c>
      <c r="B14" s="1004"/>
      <c r="C14" s="1004"/>
      <c r="D14" s="1004"/>
      <c r="E14" s="954"/>
    </row>
    <row r="15" spans="1:5" s="1005" customFormat="1">
      <c r="A15" s="1571"/>
      <c r="B15" s="1572"/>
      <c r="C15" s="1572"/>
      <c r="D15" s="1572"/>
      <c r="E15" s="1573"/>
    </row>
    <row r="16" spans="1:5" s="951" customFormat="1">
      <c r="A16" s="999"/>
      <c r="B16" s="955"/>
      <c r="C16" s="955"/>
      <c r="D16" s="955"/>
      <c r="E16" s="1000"/>
    </row>
    <row r="17" spans="1:5">
      <c r="A17" s="883" t="s">
        <v>3429</v>
      </c>
      <c r="B17" s="887"/>
      <c r="C17" s="887"/>
      <c r="D17" s="887"/>
      <c r="E17" s="887"/>
    </row>
    <row r="18" spans="1:5">
      <c r="A18" s="3638"/>
      <c r="B18" s="2387"/>
      <c r="C18" s="2387"/>
      <c r="D18" s="2387"/>
      <c r="E18" s="2387"/>
    </row>
    <row r="19" spans="1:5">
      <c r="A19" s="3638"/>
      <c r="B19" s="2387"/>
      <c r="C19" s="2387"/>
      <c r="D19" s="2387"/>
      <c r="E19" s="2387"/>
    </row>
    <row r="20" spans="1:5">
      <c r="A20" s="3638"/>
      <c r="B20" s="2387"/>
      <c r="C20" s="2387"/>
      <c r="D20" s="2387"/>
      <c r="E20" s="2387"/>
    </row>
    <row r="21" spans="1:5">
      <c r="A21" s="3638"/>
      <c r="B21" s="2387"/>
      <c r="C21" s="2387"/>
      <c r="D21" s="2387"/>
      <c r="E21" s="2387"/>
    </row>
    <row r="22" spans="1:5">
      <c r="A22" s="3638"/>
      <c r="B22" s="2387"/>
      <c r="C22" s="2387"/>
      <c r="D22" s="2387"/>
      <c r="E22" s="2387"/>
    </row>
    <row r="23" spans="1:5">
      <c r="A23" s="3638"/>
      <c r="B23" s="2387"/>
      <c r="C23" s="2387"/>
      <c r="D23" s="2387"/>
      <c r="E23" s="2387"/>
    </row>
    <row r="24" spans="1:5">
      <c r="A24" s="879"/>
      <c r="B24" s="887"/>
      <c r="C24" s="887"/>
      <c r="D24" s="887"/>
      <c r="E24" s="1559"/>
    </row>
    <row r="25" spans="1:5" s="881" customFormat="1">
      <c r="A25" s="891" t="s">
        <v>2850</v>
      </c>
      <c r="B25" s="892">
        <f>SUM(B7:B24)</f>
        <v>9329616.3450000007</v>
      </c>
      <c r="C25" s="892">
        <f>SUM(C7:C24)</f>
        <v>24607000</v>
      </c>
      <c r="D25" s="892">
        <f>SUM(D7:D24)</f>
        <v>880000</v>
      </c>
      <c r="E25" s="892">
        <f>SUM(E7:E24)</f>
        <v>34816616.344999999</v>
      </c>
    </row>
  </sheetData>
  <mergeCells count="3">
    <mergeCell ref="A4:A5"/>
    <mergeCell ref="B4:D4"/>
    <mergeCell ref="E4:E5"/>
  </mergeCells>
  <pageMargins left="0.5" right="0.25" top="0.75" bottom="0.5" header="0.3" footer="0.25"/>
  <pageSetup paperSize="119" firstPageNumber="91" orientation="portrait" useFirstPageNumber="1" verticalDpi="300" r:id="rId1"/>
</worksheet>
</file>

<file path=xl/worksheets/sheet67.xml><?xml version="1.0" encoding="utf-8"?>
<worksheet xmlns="http://schemas.openxmlformats.org/spreadsheetml/2006/main" xmlns:r="http://schemas.openxmlformats.org/officeDocument/2006/relationships">
  <sheetPr codeName="Sheet40">
    <tabColor rgb="FFFFFF00"/>
  </sheetPr>
  <dimension ref="A1:I56"/>
  <sheetViews>
    <sheetView workbookViewId="0">
      <selection activeCell="F2" sqref="F1:P1048576"/>
    </sheetView>
  </sheetViews>
  <sheetFormatPr defaultRowHeight="12.9" customHeight="1"/>
  <cols>
    <col min="1" max="1" width="40.5546875" style="7001" customWidth="1"/>
    <col min="2" max="3" width="8.5546875" style="7001" customWidth="1"/>
    <col min="4" max="6" width="14.5546875" style="7001" customWidth="1"/>
    <col min="7" max="8" width="8.88671875" style="7001" customWidth="1"/>
    <col min="9" max="9" width="16.109375" style="7001" customWidth="1"/>
    <col min="10" max="15" width="8.88671875" style="7001" customWidth="1"/>
    <col min="16" max="226" width="9.109375" style="7001"/>
    <col min="227" max="227" width="34.44140625" style="7001" customWidth="1"/>
    <col min="228" max="229" width="9.109375" style="7001"/>
    <col min="230" max="230" width="15" style="7001" customWidth="1"/>
    <col min="231" max="231" width="14.44140625" style="7001" customWidth="1"/>
    <col min="232" max="232" width="14.88671875" style="7001" customWidth="1"/>
    <col min="233" max="482" width="9.109375" style="7001"/>
    <col min="483" max="483" width="34.44140625" style="7001" customWidth="1"/>
    <col min="484" max="485" width="9.109375" style="7001"/>
    <col min="486" max="486" width="15" style="7001" customWidth="1"/>
    <col min="487" max="487" width="14.44140625" style="7001" customWidth="1"/>
    <col min="488" max="488" width="14.88671875" style="7001" customWidth="1"/>
    <col min="489" max="738" width="9.109375" style="7001"/>
    <col min="739" max="739" width="34.44140625" style="7001" customWidth="1"/>
    <col min="740" max="741" width="9.109375" style="7001"/>
    <col min="742" max="742" width="15" style="7001" customWidth="1"/>
    <col min="743" max="743" width="14.44140625" style="7001" customWidth="1"/>
    <col min="744" max="744" width="14.88671875" style="7001" customWidth="1"/>
    <col min="745" max="994" width="9.109375" style="7001"/>
    <col min="995" max="995" width="34.44140625" style="7001" customWidth="1"/>
    <col min="996" max="997" width="9.109375" style="7001"/>
    <col min="998" max="998" width="15" style="7001" customWidth="1"/>
    <col min="999" max="999" width="14.44140625" style="7001" customWidth="1"/>
    <col min="1000" max="1000" width="14.88671875" style="7001" customWidth="1"/>
    <col min="1001" max="1250" width="9.109375" style="7001"/>
    <col min="1251" max="1251" width="34.44140625" style="7001" customWidth="1"/>
    <col min="1252" max="1253" width="9.109375" style="7001"/>
    <col min="1254" max="1254" width="15" style="7001" customWidth="1"/>
    <col min="1255" max="1255" width="14.44140625" style="7001" customWidth="1"/>
    <col min="1256" max="1256" width="14.88671875" style="7001" customWidth="1"/>
    <col min="1257" max="1506" width="9.109375" style="7001"/>
    <col min="1507" max="1507" width="34.44140625" style="7001" customWidth="1"/>
    <col min="1508" max="1509" width="9.109375" style="7001"/>
    <col min="1510" max="1510" width="15" style="7001" customWidth="1"/>
    <col min="1511" max="1511" width="14.44140625" style="7001" customWidth="1"/>
    <col min="1512" max="1512" width="14.88671875" style="7001" customWidth="1"/>
    <col min="1513" max="1762" width="9.109375" style="7001"/>
    <col min="1763" max="1763" width="34.44140625" style="7001" customWidth="1"/>
    <col min="1764" max="1765" width="9.109375" style="7001"/>
    <col min="1766" max="1766" width="15" style="7001" customWidth="1"/>
    <col min="1767" max="1767" width="14.44140625" style="7001" customWidth="1"/>
    <col min="1768" max="1768" width="14.88671875" style="7001" customWidth="1"/>
    <col min="1769" max="2018" width="9.109375" style="7001"/>
    <col min="2019" max="2019" width="34.44140625" style="7001" customWidth="1"/>
    <col min="2020" max="2021" width="9.109375" style="7001"/>
    <col min="2022" max="2022" width="15" style="7001" customWidth="1"/>
    <col min="2023" max="2023" width="14.44140625" style="7001" customWidth="1"/>
    <col min="2024" max="2024" width="14.88671875" style="7001" customWidth="1"/>
    <col min="2025" max="2274" width="9.109375" style="7001"/>
    <col min="2275" max="2275" width="34.44140625" style="7001" customWidth="1"/>
    <col min="2276" max="2277" width="9.109375" style="7001"/>
    <col min="2278" max="2278" width="15" style="7001" customWidth="1"/>
    <col min="2279" max="2279" width="14.44140625" style="7001" customWidth="1"/>
    <col min="2280" max="2280" width="14.88671875" style="7001" customWidth="1"/>
    <col min="2281" max="2530" width="9.109375" style="7001"/>
    <col min="2531" max="2531" width="34.44140625" style="7001" customWidth="1"/>
    <col min="2532" max="2533" width="9.109375" style="7001"/>
    <col min="2534" max="2534" width="15" style="7001" customWidth="1"/>
    <col min="2535" max="2535" width="14.44140625" style="7001" customWidth="1"/>
    <col min="2536" max="2536" width="14.88671875" style="7001" customWidth="1"/>
    <col min="2537" max="2786" width="9.109375" style="7001"/>
    <col min="2787" max="2787" width="34.44140625" style="7001" customWidth="1"/>
    <col min="2788" max="2789" width="9.109375" style="7001"/>
    <col min="2790" max="2790" width="15" style="7001" customWidth="1"/>
    <col min="2791" max="2791" width="14.44140625" style="7001" customWidth="1"/>
    <col min="2792" max="2792" width="14.88671875" style="7001" customWidth="1"/>
    <col min="2793" max="3042" width="9.109375" style="7001"/>
    <col min="3043" max="3043" width="34.44140625" style="7001" customWidth="1"/>
    <col min="3044" max="3045" width="9.109375" style="7001"/>
    <col min="3046" max="3046" width="15" style="7001" customWidth="1"/>
    <col min="3047" max="3047" width="14.44140625" style="7001" customWidth="1"/>
    <col min="3048" max="3048" width="14.88671875" style="7001" customWidth="1"/>
    <col min="3049" max="3298" width="9.109375" style="7001"/>
    <col min="3299" max="3299" width="34.44140625" style="7001" customWidth="1"/>
    <col min="3300" max="3301" width="9.109375" style="7001"/>
    <col min="3302" max="3302" width="15" style="7001" customWidth="1"/>
    <col min="3303" max="3303" width="14.44140625" style="7001" customWidth="1"/>
    <col min="3304" max="3304" width="14.88671875" style="7001" customWidth="1"/>
    <col min="3305" max="3554" width="9.109375" style="7001"/>
    <col min="3555" max="3555" width="34.44140625" style="7001" customWidth="1"/>
    <col min="3556" max="3557" width="9.109375" style="7001"/>
    <col min="3558" max="3558" width="15" style="7001" customWidth="1"/>
    <col min="3559" max="3559" width="14.44140625" style="7001" customWidth="1"/>
    <col min="3560" max="3560" width="14.88671875" style="7001" customWidth="1"/>
    <col min="3561" max="3810" width="9.109375" style="7001"/>
    <col min="3811" max="3811" width="34.44140625" style="7001" customWidth="1"/>
    <col min="3812" max="3813" width="9.109375" style="7001"/>
    <col min="3814" max="3814" width="15" style="7001" customWidth="1"/>
    <col min="3815" max="3815" width="14.44140625" style="7001" customWidth="1"/>
    <col min="3816" max="3816" width="14.88671875" style="7001" customWidth="1"/>
    <col min="3817" max="4066" width="9.109375" style="7001"/>
    <col min="4067" max="4067" width="34.44140625" style="7001" customWidth="1"/>
    <col min="4068" max="4069" width="9.109375" style="7001"/>
    <col min="4070" max="4070" width="15" style="7001" customWidth="1"/>
    <col min="4071" max="4071" width="14.44140625" style="7001" customWidth="1"/>
    <col min="4072" max="4072" width="14.88671875" style="7001" customWidth="1"/>
    <col min="4073" max="4322" width="9.109375" style="7001"/>
    <col min="4323" max="4323" width="34.44140625" style="7001" customWidth="1"/>
    <col min="4324" max="4325" width="9.109375" style="7001"/>
    <col min="4326" max="4326" width="15" style="7001" customWidth="1"/>
    <col min="4327" max="4327" width="14.44140625" style="7001" customWidth="1"/>
    <col min="4328" max="4328" width="14.88671875" style="7001" customWidth="1"/>
    <col min="4329" max="4578" width="9.109375" style="7001"/>
    <col min="4579" max="4579" width="34.44140625" style="7001" customWidth="1"/>
    <col min="4580" max="4581" width="9.109375" style="7001"/>
    <col min="4582" max="4582" width="15" style="7001" customWidth="1"/>
    <col min="4583" max="4583" width="14.44140625" style="7001" customWidth="1"/>
    <col min="4584" max="4584" width="14.88671875" style="7001" customWidth="1"/>
    <col min="4585" max="4834" width="9.109375" style="7001"/>
    <col min="4835" max="4835" width="34.44140625" style="7001" customWidth="1"/>
    <col min="4836" max="4837" width="9.109375" style="7001"/>
    <col min="4838" max="4838" width="15" style="7001" customWidth="1"/>
    <col min="4839" max="4839" width="14.44140625" style="7001" customWidth="1"/>
    <col min="4840" max="4840" width="14.88671875" style="7001" customWidth="1"/>
    <col min="4841" max="5090" width="9.109375" style="7001"/>
    <col min="5091" max="5091" width="34.44140625" style="7001" customWidth="1"/>
    <col min="5092" max="5093" width="9.109375" style="7001"/>
    <col min="5094" max="5094" width="15" style="7001" customWidth="1"/>
    <col min="5095" max="5095" width="14.44140625" style="7001" customWidth="1"/>
    <col min="5096" max="5096" width="14.88671875" style="7001" customWidth="1"/>
    <col min="5097" max="5346" width="9.109375" style="7001"/>
    <col min="5347" max="5347" width="34.44140625" style="7001" customWidth="1"/>
    <col min="5348" max="5349" width="9.109375" style="7001"/>
    <col min="5350" max="5350" width="15" style="7001" customWidth="1"/>
    <col min="5351" max="5351" width="14.44140625" style="7001" customWidth="1"/>
    <col min="5352" max="5352" width="14.88671875" style="7001" customWidth="1"/>
    <col min="5353" max="5602" width="9.109375" style="7001"/>
    <col min="5603" max="5603" width="34.44140625" style="7001" customWidth="1"/>
    <col min="5604" max="5605" width="9.109375" style="7001"/>
    <col min="5606" max="5606" width="15" style="7001" customWidth="1"/>
    <col min="5607" max="5607" width="14.44140625" style="7001" customWidth="1"/>
    <col min="5608" max="5608" width="14.88671875" style="7001" customWidth="1"/>
    <col min="5609" max="5858" width="9.109375" style="7001"/>
    <col min="5859" max="5859" width="34.44140625" style="7001" customWidth="1"/>
    <col min="5860" max="5861" width="9.109375" style="7001"/>
    <col min="5862" max="5862" width="15" style="7001" customWidth="1"/>
    <col min="5863" max="5863" width="14.44140625" style="7001" customWidth="1"/>
    <col min="5864" max="5864" width="14.88671875" style="7001" customWidth="1"/>
    <col min="5865" max="6114" width="9.109375" style="7001"/>
    <col min="6115" max="6115" width="34.44140625" style="7001" customWidth="1"/>
    <col min="6116" max="6117" width="9.109375" style="7001"/>
    <col min="6118" max="6118" width="15" style="7001" customWidth="1"/>
    <col min="6119" max="6119" width="14.44140625" style="7001" customWidth="1"/>
    <col min="6120" max="6120" width="14.88671875" style="7001" customWidth="1"/>
    <col min="6121" max="6370" width="9.109375" style="7001"/>
    <col min="6371" max="6371" width="34.44140625" style="7001" customWidth="1"/>
    <col min="6372" max="6373" width="9.109375" style="7001"/>
    <col min="6374" max="6374" width="15" style="7001" customWidth="1"/>
    <col min="6375" max="6375" width="14.44140625" style="7001" customWidth="1"/>
    <col min="6376" max="6376" width="14.88671875" style="7001" customWidth="1"/>
    <col min="6377" max="6626" width="9.109375" style="7001"/>
    <col min="6627" max="6627" width="34.44140625" style="7001" customWidth="1"/>
    <col min="6628" max="6629" width="9.109375" style="7001"/>
    <col min="6630" max="6630" width="15" style="7001" customWidth="1"/>
    <col min="6631" max="6631" width="14.44140625" style="7001" customWidth="1"/>
    <col min="6632" max="6632" width="14.88671875" style="7001" customWidth="1"/>
    <col min="6633" max="6882" width="9.109375" style="7001"/>
    <col min="6883" max="6883" width="34.44140625" style="7001" customWidth="1"/>
    <col min="6884" max="6885" width="9.109375" style="7001"/>
    <col min="6886" max="6886" width="15" style="7001" customWidth="1"/>
    <col min="6887" max="6887" width="14.44140625" style="7001" customWidth="1"/>
    <col min="6888" max="6888" width="14.88671875" style="7001" customWidth="1"/>
    <col min="6889" max="7138" width="9.109375" style="7001"/>
    <col min="7139" max="7139" width="34.44140625" style="7001" customWidth="1"/>
    <col min="7140" max="7141" width="9.109375" style="7001"/>
    <col min="7142" max="7142" width="15" style="7001" customWidth="1"/>
    <col min="7143" max="7143" width="14.44140625" style="7001" customWidth="1"/>
    <col min="7144" max="7144" width="14.88671875" style="7001" customWidth="1"/>
    <col min="7145" max="7394" width="9.109375" style="7001"/>
    <col min="7395" max="7395" width="34.44140625" style="7001" customWidth="1"/>
    <col min="7396" max="7397" width="9.109375" style="7001"/>
    <col min="7398" max="7398" width="15" style="7001" customWidth="1"/>
    <col min="7399" max="7399" width="14.44140625" style="7001" customWidth="1"/>
    <col min="7400" max="7400" width="14.88671875" style="7001" customWidth="1"/>
    <col min="7401" max="7650" width="9.109375" style="7001"/>
    <col min="7651" max="7651" width="34.44140625" style="7001" customWidth="1"/>
    <col min="7652" max="7653" width="9.109375" style="7001"/>
    <col min="7654" max="7654" width="15" style="7001" customWidth="1"/>
    <col min="7655" max="7655" width="14.44140625" style="7001" customWidth="1"/>
    <col min="7656" max="7656" width="14.88671875" style="7001" customWidth="1"/>
    <col min="7657" max="7906" width="9.109375" style="7001"/>
    <col min="7907" max="7907" width="34.44140625" style="7001" customWidth="1"/>
    <col min="7908" max="7909" width="9.109375" style="7001"/>
    <col min="7910" max="7910" width="15" style="7001" customWidth="1"/>
    <col min="7911" max="7911" width="14.44140625" style="7001" customWidth="1"/>
    <col min="7912" max="7912" width="14.88671875" style="7001" customWidth="1"/>
    <col min="7913" max="8162" width="9.109375" style="7001"/>
    <col min="8163" max="8163" width="34.44140625" style="7001" customWidth="1"/>
    <col min="8164" max="8165" width="9.109375" style="7001"/>
    <col min="8166" max="8166" width="15" style="7001" customWidth="1"/>
    <col min="8167" max="8167" width="14.44140625" style="7001" customWidth="1"/>
    <col min="8168" max="8168" width="14.88671875" style="7001" customWidth="1"/>
    <col min="8169" max="8418" width="9.109375" style="7001"/>
    <col min="8419" max="8419" width="34.44140625" style="7001" customWidth="1"/>
    <col min="8420" max="8421" width="9.109375" style="7001"/>
    <col min="8422" max="8422" width="15" style="7001" customWidth="1"/>
    <col min="8423" max="8423" width="14.44140625" style="7001" customWidth="1"/>
    <col min="8424" max="8424" width="14.88671875" style="7001" customWidth="1"/>
    <col min="8425" max="8674" width="9.109375" style="7001"/>
    <col min="8675" max="8675" width="34.44140625" style="7001" customWidth="1"/>
    <col min="8676" max="8677" width="9.109375" style="7001"/>
    <col min="8678" max="8678" width="15" style="7001" customWidth="1"/>
    <col min="8679" max="8679" width="14.44140625" style="7001" customWidth="1"/>
    <col min="8680" max="8680" width="14.88671875" style="7001" customWidth="1"/>
    <col min="8681" max="8930" width="9.109375" style="7001"/>
    <col min="8931" max="8931" width="34.44140625" style="7001" customWidth="1"/>
    <col min="8932" max="8933" width="9.109375" style="7001"/>
    <col min="8934" max="8934" width="15" style="7001" customWidth="1"/>
    <col min="8935" max="8935" width="14.44140625" style="7001" customWidth="1"/>
    <col min="8936" max="8936" width="14.88671875" style="7001" customWidth="1"/>
    <col min="8937" max="9186" width="9.109375" style="7001"/>
    <col min="9187" max="9187" width="34.44140625" style="7001" customWidth="1"/>
    <col min="9188" max="9189" width="9.109375" style="7001"/>
    <col min="9190" max="9190" width="15" style="7001" customWidth="1"/>
    <col min="9191" max="9191" width="14.44140625" style="7001" customWidth="1"/>
    <col min="9192" max="9192" width="14.88671875" style="7001" customWidth="1"/>
    <col min="9193" max="9442" width="9.109375" style="7001"/>
    <col min="9443" max="9443" width="34.44140625" style="7001" customWidth="1"/>
    <col min="9444" max="9445" width="9.109375" style="7001"/>
    <col min="9446" max="9446" width="15" style="7001" customWidth="1"/>
    <col min="9447" max="9447" width="14.44140625" style="7001" customWidth="1"/>
    <col min="9448" max="9448" width="14.88671875" style="7001" customWidth="1"/>
    <col min="9449" max="9698" width="9.109375" style="7001"/>
    <col min="9699" max="9699" width="34.44140625" style="7001" customWidth="1"/>
    <col min="9700" max="9701" width="9.109375" style="7001"/>
    <col min="9702" max="9702" width="15" style="7001" customWidth="1"/>
    <col min="9703" max="9703" width="14.44140625" style="7001" customWidth="1"/>
    <col min="9704" max="9704" width="14.88671875" style="7001" customWidth="1"/>
    <col min="9705" max="9954" width="9.109375" style="7001"/>
    <col min="9955" max="9955" width="34.44140625" style="7001" customWidth="1"/>
    <col min="9956" max="9957" width="9.109375" style="7001"/>
    <col min="9958" max="9958" width="15" style="7001" customWidth="1"/>
    <col min="9959" max="9959" width="14.44140625" style="7001" customWidth="1"/>
    <col min="9960" max="9960" width="14.88671875" style="7001" customWidth="1"/>
    <col min="9961" max="10210" width="9.109375" style="7001"/>
    <col min="10211" max="10211" width="34.44140625" style="7001" customWidth="1"/>
    <col min="10212" max="10213" width="9.109375" style="7001"/>
    <col min="10214" max="10214" width="15" style="7001" customWidth="1"/>
    <col min="10215" max="10215" width="14.44140625" style="7001" customWidth="1"/>
    <col min="10216" max="10216" width="14.88671875" style="7001" customWidth="1"/>
    <col min="10217" max="10466" width="9.109375" style="7001"/>
    <col min="10467" max="10467" width="34.44140625" style="7001" customWidth="1"/>
    <col min="10468" max="10469" width="9.109375" style="7001"/>
    <col min="10470" max="10470" width="15" style="7001" customWidth="1"/>
    <col min="10471" max="10471" width="14.44140625" style="7001" customWidth="1"/>
    <col min="10472" max="10472" width="14.88671875" style="7001" customWidth="1"/>
    <col min="10473" max="10722" width="9.109375" style="7001"/>
    <col min="10723" max="10723" width="34.44140625" style="7001" customWidth="1"/>
    <col min="10724" max="10725" width="9.109375" style="7001"/>
    <col min="10726" max="10726" width="15" style="7001" customWidth="1"/>
    <col min="10727" max="10727" width="14.44140625" style="7001" customWidth="1"/>
    <col min="10728" max="10728" width="14.88671875" style="7001" customWidth="1"/>
    <col min="10729" max="10978" width="9.109375" style="7001"/>
    <col min="10979" max="10979" width="34.44140625" style="7001" customWidth="1"/>
    <col min="10980" max="10981" width="9.109375" style="7001"/>
    <col min="10982" max="10982" width="15" style="7001" customWidth="1"/>
    <col min="10983" max="10983" width="14.44140625" style="7001" customWidth="1"/>
    <col min="10984" max="10984" width="14.88671875" style="7001" customWidth="1"/>
    <col min="10985" max="11234" width="9.109375" style="7001"/>
    <col min="11235" max="11235" width="34.44140625" style="7001" customWidth="1"/>
    <col min="11236" max="11237" width="9.109375" style="7001"/>
    <col min="11238" max="11238" width="15" style="7001" customWidth="1"/>
    <col min="11239" max="11239" width="14.44140625" style="7001" customWidth="1"/>
    <col min="11240" max="11240" width="14.88671875" style="7001" customWidth="1"/>
    <col min="11241" max="11490" width="9.109375" style="7001"/>
    <col min="11491" max="11491" width="34.44140625" style="7001" customWidth="1"/>
    <col min="11492" max="11493" width="9.109375" style="7001"/>
    <col min="11494" max="11494" width="15" style="7001" customWidth="1"/>
    <col min="11495" max="11495" width="14.44140625" style="7001" customWidth="1"/>
    <col min="11496" max="11496" width="14.88671875" style="7001" customWidth="1"/>
    <col min="11497" max="11746" width="9.109375" style="7001"/>
    <col min="11747" max="11747" width="34.44140625" style="7001" customWidth="1"/>
    <col min="11748" max="11749" width="9.109375" style="7001"/>
    <col min="11750" max="11750" width="15" style="7001" customWidth="1"/>
    <col min="11751" max="11751" width="14.44140625" style="7001" customWidth="1"/>
    <col min="11752" max="11752" width="14.88671875" style="7001" customWidth="1"/>
    <col min="11753" max="12002" width="9.109375" style="7001"/>
    <col min="12003" max="12003" width="34.44140625" style="7001" customWidth="1"/>
    <col min="12004" max="12005" width="9.109375" style="7001"/>
    <col min="12006" max="12006" width="15" style="7001" customWidth="1"/>
    <col min="12007" max="12007" width="14.44140625" style="7001" customWidth="1"/>
    <col min="12008" max="12008" width="14.88671875" style="7001" customWidth="1"/>
    <col min="12009" max="12258" width="9.109375" style="7001"/>
    <col min="12259" max="12259" width="34.44140625" style="7001" customWidth="1"/>
    <col min="12260" max="12261" width="9.109375" style="7001"/>
    <col min="12262" max="12262" width="15" style="7001" customWidth="1"/>
    <col min="12263" max="12263" width="14.44140625" style="7001" customWidth="1"/>
    <col min="12264" max="12264" width="14.88671875" style="7001" customWidth="1"/>
    <col min="12265" max="12514" width="9.109375" style="7001"/>
    <col min="12515" max="12515" width="34.44140625" style="7001" customWidth="1"/>
    <col min="12516" max="12517" width="9.109375" style="7001"/>
    <col min="12518" max="12518" width="15" style="7001" customWidth="1"/>
    <col min="12519" max="12519" width="14.44140625" style="7001" customWidth="1"/>
    <col min="12520" max="12520" width="14.88671875" style="7001" customWidth="1"/>
    <col min="12521" max="12770" width="9.109375" style="7001"/>
    <col min="12771" max="12771" width="34.44140625" style="7001" customWidth="1"/>
    <col min="12772" max="12773" width="9.109375" style="7001"/>
    <col min="12774" max="12774" width="15" style="7001" customWidth="1"/>
    <col min="12775" max="12775" width="14.44140625" style="7001" customWidth="1"/>
    <col min="12776" max="12776" width="14.88671875" style="7001" customWidth="1"/>
    <col min="12777" max="13026" width="9.109375" style="7001"/>
    <col min="13027" max="13027" width="34.44140625" style="7001" customWidth="1"/>
    <col min="13028" max="13029" width="9.109375" style="7001"/>
    <col min="13030" max="13030" width="15" style="7001" customWidth="1"/>
    <col min="13031" max="13031" width="14.44140625" style="7001" customWidth="1"/>
    <col min="13032" max="13032" width="14.88671875" style="7001" customWidth="1"/>
    <col min="13033" max="13282" width="9.109375" style="7001"/>
    <col min="13283" max="13283" width="34.44140625" style="7001" customWidth="1"/>
    <col min="13284" max="13285" width="9.109375" style="7001"/>
    <col min="13286" max="13286" width="15" style="7001" customWidth="1"/>
    <col min="13287" max="13287" width="14.44140625" style="7001" customWidth="1"/>
    <col min="13288" max="13288" width="14.88671875" style="7001" customWidth="1"/>
    <col min="13289" max="13538" width="9.109375" style="7001"/>
    <col min="13539" max="13539" width="34.44140625" style="7001" customWidth="1"/>
    <col min="13540" max="13541" width="9.109375" style="7001"/>
    <col min="13542" max="13542" width="15" style="7001" customWidth="1"/>
    <col min="13543" max="13543" width="14.44140625" style="7001" customWidth="1"/>
    <col min="13544" max="13544" width="14.88671875" style="7001" customWidth="1"/>
    <col min="13545" max="13794" width="9.109375" style="7001"/>
    <col min="13795" max="13795" width="34.44140625" style="7001" customWidth="1"/>
    <col min="13796" max="13797" width="9.109375" style="7001"/>
    <col min="13798" max="13798" width="15" style="7001" customWidth="1"/>
    <col min="13799" max="13799" width="14.44140625" style="7001" customWidth="1"/>
    <col min="13800" max="13800" width="14.88671875" style="7001" customWidth="1"/>
    <col min="13801" max="14050" width="9.109375" style="7001"/>
    <col min="14051" max="14051" width="34.44140625" style="7001" customWidth="1"/>
    <col min="14052" max="14053" width="9.109375" style="7001"/>
    <col min="14054" max="14054" width="15" style="7001" customWidth="1"/>
    <col min="14055" max="14055" width="14.44140625" style="7001" customWidth="1"/>
    <col min="14056" max="14056" width="14.88671875" style="7001" customWidth="1"/>
    <col min="14057" max="14306" width="9.109375" style="7001"/>
    <col min="14307" max="14307" width="34.44140625" style="7001" customWidth="1"/>
    <col min="14308" max="14309" width="9.109375" style="7001"/>
    <col min="14310" max="14310" width="15" style="7001" customWidth="1"/>
    <col min="14311" max="14311" width="14.44140625" style="7001" customWidth="1"/>
    <col min="14312" max="14312" width="14.88671875" style="7001" customWidth="1"/>
    <col min="14313" max="14562" width="9.109375" style="7001"/>
    <col min="14563" max="14563" width="34.44140625" style="7001" customWidth="1"/>
    <col min="14564" max="14565" width="9.109375" style="7001"/>
    <col min="14566" max="14566" width="15" style="7001" customWidth="1"/>
    <col min="14567" max="14567" width="14.44140625" style="7001" customWidth="1"/>
    <col min="14568" max="14568" width="14.88671875" style="7001" customWidth="1"/>
    <col min="14569" max="14818" width="9.109375" style="7001"/>
    <col min="14819" max="14819" width="34.44140625" style="7001" customWidth="1"/>
    <col min="14820" max="14821" width="9.109375" style="7001"/>
    <col min="14822" max="14822" width="15" style="7001" customWidth="1"/>
    <col min="14823" max="14823" width="14.44140625" style="7001" customWidth="1"/>
    <col min="14824" max="14824" width="14.88671875" style="7001" customWidth="1"/>
    <col min="14825" max="15074" width="9.109375" style="7001"/>
    <col min="15075" max="15075" width="34.44140625" style="7001" customWidth="1"/>
    <col min="15076" max="15077" width="9.109375" style="7001"/>
    <col min="15078" max="15078" width="15" style="7001" customWidth="1"/>
    <col min="15079" max="15079" width="14.44140625" style="7001" customWidth="1"/>
    <col min="15080" max="15080" width="14.88671875" style="7001" customWidth="1"/>
    <col min="15081" max="15330" width="9.109375" style="7001"/>
    <col min="15331" max="15331" width="34.44140625" style="7001" customWidth="1"/>
    <col min="15332" max="15333" width="9.109375" style="7001"/>
    <col min="15334" max="15334" width="15" style="7001" customWidth="1"/>
    <col min="15335" max="15335" width="14.44140625" style="7001" customWidth="1"/>
    <col min="15336" max="15336" width="14.88671875" style="7001" customWidth="1"/>
    <col min="15337" max="15586" width="9.109375" style="7001"/>
    <col min="15587" max="15587" width="34.44140625" style="7001" customWidth="1"/>
    <col min="15588" max="15589" width="9.109375" style="7001"/>
    <col min="15590" max="15590" width="15" style="7001" customWidth="1"/>
    <col min="15591" max="15591" width="14.44140625" style="7001" customWidth="1"/>
    <col min="15592" max="15592" width="14.88671875" style="7001" customWidth="1"/>
    <col min="15593" max="15842" width="9.109375" style="7001"/>
    <col min="15843" max="15843" width="34.44140625" style="7001" customWidth="1"/>
    <col min="15844" max="15845" width="9.109375" style="7001"/>
    <col min="15846" max="15846" width="15" style="7001" customWidth="1"/>
    <col min="15847" max="15847" width="14.44140625" style="7001" customWidth="1"/>
    <col min="15848" max="15848" width="14.88671875" style="7001" customWidth="1"/>
    <col min="15849" max="16098" width="9.109375" style="7001"/>
    <col min="16099" max="16099" width="34.44140625" style="7001" customWidth="1"/>
    <col min="16100" max="16101" width="9.109375" style="7001"/>
    <col min="16102" max="16102" width="15" style="7001" customWidth="1"/>
    <col min="16103" max="16103" width="14.44140625" style="7001" customWidth="1"/>
    <col min="16104" max="16104" width="14.88671875" style="7001" customWidth="1"/>
    <col min="16105" max="16384" width="9.109375" style="7001"/>
  </cols>
  <sheetData>
    <row r="1" spans="1:9" ht="12.9" customHeight="1">
      <c r="A1" s="14395" t="s">
        <v>1087</v>
      </c>
      <c r="B1" s="14395"/>
      <c r="C1" s="14395"/>
      <c r="D1" s="14395"/>
      <c r="E1" s="14395"/>
      <c r="F1" s="14395"/>
    </row>
    <row r="3" spans="1:9" ht="12.9" customHeight="1">
      <c r="A3" s="7162" t="s">
        <v>3131</v>
      </c>
    </row>
    <row r="4" spans="1:9" ht="12.9" customHeight="1" thickBot="1"/>
    <row r="5" spans="1:9" ht="12.9" customHeight="1">
      <c r="A5" s="9675" t="s">
        <v>842</v>
      </c>
      <c r="B5" s="10713" t="s">
        <v>1035</v>
      </c>
      <c r="C5" s="10713" t="s">
        <v>1036</v>
      </c>
      <c r="D5" s="14393" t="s">
        <v>1037</v>
      </c>
      <c r="E5" s="14393"/>
      <c r="F5" s="14394"/>
    </row>
    <row r="6" spans="1:9" ht="12.9" customHeight="1" thickBot="1">
      <c r="A6" s="9679" t="s">
        <v>1088</v>
      </c>
      <c r="B6" s="7182" t="s">
        <v>9</v>
      </c>
      <c r="C6" s="7182" t="s">
        <v>1039</v>
      </c>
      <c r="D6" s="9680" t="s">
        <v>10</v>
      </c>
      <c r="E6" s="7182" t="s">
        <v>11</v>
      </c>
      <c r="F6" s="9681" t="s">
        <v>11621</v>
      </c>
    </row>
    <row r="7" spans="1:9" ht="12.9" customHeight="1">
      <c r="A7" s="9682" t="s">
        <v>806</v>
      </c>
      <c r="B7" s="9666"/>
      <c r="C7" s="7172"/>
      <c r="D7" s="9666"/>
      <c r="E7" s="7172"/>
      <c r="F7" s="7241"/>
    </row>
    <row r="8" spans="1:9" ht="12.9" customHeight="1">
      <c r="A8" s="6230" t="s">
        <v>1089</v>
      </c>
      <c r="B8" s="7174"/>
      <c r="C8" s="7174"/>
      <c r="D8" s="7174"/>
      <c r="E8" s="7174"/>
      <c r="F8" s="7242"/>
    </row>
    <row r="9" spans="1:9" ht="12.9" customHeight="1">
      <c r="A9" s="7231" t="s">
        <v>1090</v>
      </c>
      <c r="B9" s="7174"/>
      <c r="C9" s="7174"/>
      <c r="D9" s="7174"/>
      <c r="E9" s="7174"/>
      <c r="F9" s="7242"/>
    </row>
    <row r="10" spans="1:9" ht="12.9" customHeight="1">
      <c r="A10" s="7231"/>
      <c r="B10" s="7174"/>
      <c r="C10" s="7174"/>
      <c r="D10" s="7174"/>
      <c r="E10" s="7174"/>
      <c r="F10" s="7242"/>
    </row>
    <row r="11" spans="1:9" ht="12.9" customHeight="1">
      <c r="A11" s="6230" t="s">
        <v>1091</v>
      </c>
      <c r="B11" s="7174"/>
      <c r="C11" s="7174"/>
      <c r="D11" s="7174"/>
      <c r="E11" s="7174"/>
      <c r="F11" s="7242"/>
    </row>
    <row r="12" spans="1:9" ht="12.9" customHeight="1">
      <c r="A12" s="6230" t="s">
        <v>1092</v>
      </c>
      <c r="B12" s="7174"/>
      <c r="C12" s="7174"/>
      <c r="D12" s="7174"/>
      <c r="E12" s="7174"/>
      <c r="F12" s="7242"/>
    </row>
    <row r="13" spans="1:9" ht="12.9" customHeight="1">
      <c r="A13" s="7231" t="s">
        <v>1141</v>
      </c>
      <c r="B13" s="7172">
        <v>1</v>
      </c>
      <c r="C13" s="7172">
        <v>22</v>
      </c>
      <c r="D13" s="7177">
        <v>668712</v>
      </c>
      <c r="E13" s="7177">
        <v>759024</v>
      </c>
      <c r="F13" s="7245">
        <v>849924</v>
      </c>
      <c r="H13" s="7001">
        <f>SUM(B13)</f>
        <v>1</v>
      </c>
      <c r="I13" s="7164">
        <f>SUM(F13)</f>
        <v>849924</v>
      </c>
    </row>
    <row r="14" spans="1:9" ht="12.9" customHeight="1">
      <c r="A14" s="7231"/>
      <c r="B14" s="7172" t="s">
        <v>9</v>
      </c>
      <c r="C14" s="7172" t="s">
        <v>9</v>
      </c>
      <c r="D14" s="7177"/>
      <c r="E14" s="7177"/>
      <c r="F14" s="7245"/>
    </row>
    <row r="15" spans="1:9" ht="12.9" customHeight="1">
      <c r="A15" s="6230" t="s">
        <v>1093</v>
      </c>
      <c r="B15" s="7172"/>
      <c r="C15" s="7172"/>
      <c r="D15" s="7177"/>
      <c r="E15" s="7177"/>
      <c r="F15" s="7245"/>
    </row>
    <row r="16" spans="1:9" ht="12.9" hidden="1" customHeight="1">
      <c r="A16" s="7231" t="s">
        <v>1142</v>
      </c>
      <c r="B16" s="7172">
        <v>0</v>
      </c>
      <c r="C16" s="7172">
        <v>10</v>
      </c>
      <c r="D16" s="7177"/>
      <c r="E16" s="7177"/>
      <c r="F16" s="7245"/>
    </row>
    <row r="17" spans="1:9" ht="12.9" hidden="1" customHeight="1">
      <c r="A17" s="7231" t="s">
        <v>1143</v>
      </c>
      <c r="B17" s="7172">
        <v>0</v>
      </c>
      <c r="C17" s="7172">
        <v>7</v>
      </c>
      <c r="D17" s="7178">
        <v>0</v>
      </c>
      <c r="E17" s="7178">
        <v>0</v>
      </c>
      <c r="F17" s="7246">
        <v>0</v>
      </c>
    </row>
    <row r="18" spans="1:9" ht="12.9" customHeight="1">
      <c r="A18" s="7231" t="s">
        <v>1144</v>
      </c>
      <c r="B18" s="7172">
        <v>19</v>
      </c>
      <c r="C18" s="7172">
        <v>5</v>
      </c>
      <c r="D18" s="7177">
        <v>2602272</v>
      </c>
      <c r="E18" s="7177">
        <v>3514980</v>
      </c>
      <c r="F18" s="7245">
        <v>3300180</v>
      </c>
      <c r="H18" s="7001">
        <f>SUM(B16:B18)</f>
        <v>19</v>
      </c>
      <c r="I18" s="7164">
        <f>SUM(F17:F19)</f>
        <v>3300180</v>
      </c>
    </row>
    <row r="19" spans="1:9" ht="12.9" customHeight="1">
      <c r="A19" s="7231"/>
      <c r="B19" s="7172"/>
      <c r="C19" s="7172"/>
      <c r="D19" s="7177"/>
      <c r="E19" s="7177"/>
      <c r="F19" s="7245"/>
    </row>
    <row r="20" spans="1:9" ht="12.9" customHeight="1">
      <c r="A20" s="6230" t="s">
        <v>1094</v>
      </c>
      <c r="B20" s="7174"/>
      <c r="C20" s="7174"/>
      <c r="D20" s="7174"/>
      <c r="E20" s="7174"/>
      <c r="F20" s="7242"/>
    </row>
    <row r="21" spans="1:9" ht="12.9" customHeight="1">
      <c r="A21" s="7231" t="s">
        <v>1145</v>
      </c>
      <c r="B21" s="7172">
        <v>1</v>
      </c>
      <c r="C21" s="7172">
        <v>4</v>
      </c>
      <c r="D21" s="7177">
        <v>148452</v>
      </c>
      <c r="E21" s="7177">
        <v>154608</v>
      </c>
      <c r="F21" s="7245">
        <v>162252</v>
      </c>
    </row>
    <row r="22" spans="1:9" ht="12.9" customHeight="1">
      <c r="A22" s="7231" t="s">
        <v>3403</v>
      </c>
      <c r="B22" s="7172">
        <v>1</v>
      </c>
      <c r="C22" s="7172">
        <v>3</v>
      </c>
      <c r="D22" s="7177">
        <v>141540</v>
      </c>
      <c r="E22" s="7177">
        <v>147756</v>
      </c>
      <c r="F22" s="7245">
        <v>155424</v>
      </c>
    </row>
    <row r="23" spans="1:9" ht="12.9" customHeight="1">
      <c r="A23" s="7231" t="s">
        <v>4973</v>
      </c>
      <c r="B23" s="7172">
        <v>2</v>
      </c>
      <c r="C23" s="7172">
        <v>1</v>
      </c>
      <c r="D23" s="7177">
        <v>248544</v>
      </c>
      <c r="E23" s="7177">
        <v>261300</v>
      </c>
      <c r="F23" s="7245">
        <f>135048+132816</f>
        <v>267864</v>
      </c>
    </row>
    <row r="24" spans="1:9" ht="12.9" customHeight="1">
      <c r="A24" s="7231"/>
      <c r="B24" s="9683"/>
      <c r="C24" s="9683"/>
      <c r="D24" s="9684"/>
      <c r="E24" s="9684"/>
      <c r="F24" s="9685"/>
      <c r="H24" s="7001">
        <f>SUM(B21:B24)</f>
        <v>4</v>
      </c>
      <c r="I24" s="7164">
        <f>SUM(F21:F24)</f>
        <v>585540</v>
      </c>
    </row>
    <row r="25" spans="1:9" ht="12.9" customHeight="1">
      <c r="A25" s="6230" t="s">
        <v>1098</v>
      </c>
      <c r="B25" s="9652">
        <f>SUM(B13:B23)</f>
        <v>24</v>
      </c>
      <c r="C25" s="9686"/>
      <c r="D25" s="9654">
        <f>SUM(D13:D24)</f>
        <v>3809520</v>
      </c>
      <c r="E25" s="9654">
        <f>SUM(E13:E24)</f>
        <v>4837668</v>
      </c>
      <c r="F25" s="9655">
        <f>SUM(F13:F24)</f>
        <v>4735644</v>
      </c>
    </row>
    <row r="26" spans="1:9" ht="12.9" customHeight="1">
      <c r="A26" s="7231"/>
      <c r="B26" s="9687"/>
      <c r="C26" s="9687"/>
      <c r="D26" s="9687"/>
      <c r="E26" s="9687"/>
      <c r="F26" s="9688"/>
    </row>
    <row r="27" spans="1:9" ht="12.9" customHeight="1">
      <c r="A27" s="7231" t="s">
        <v>1099</v>
      </c>
      <c r="B27" s="7172" t="s">
        <v>9</v>
      </c>
      <c r="C27" s="7174"/>
      <c r="D27" s="7174"/>
      <c r="E27" s="7174"/>
      <c r="F27" s="7242"/>
    </row>
    <row r="28" spans="1:9" ht="12.9" customHeight="1">
      <c r="A28" s="7231" t="s">
        <v>1146</v>
      </c>
      <c r="B28" s="7172"/>
      <c r="C28" s="7172">
        <v>18</v>
      </c>
      <c r="D28" s="7177">
        <v>428316</v>
      </c>
      <c r="E28" s="7177">
        <v>457020</v>
      </c>
      <c r="F28" s="7245" t="s">
        <v>12022</v>
      </c>
    </row>
    <row r="29" spans="1:9" ht="12.9" customHeight="1">
      <c r="A29" s="7231" t="s">
        <v>3398</v>
      </c>
      <c r="B29" s="7172">
        <v>1</v>
      </c>
      <c r="C29" s="7172">
        <v>10</v>
      </c>
      <c r="D29" s="7177">
        <v>218604</v>
      </c>
      <c r="E29" s="7177">
        <v>224616</v>
      </c>
      <c r="F29" s="7245">
        <v>230796</v>
      </c>
    </row>
    <row r="30" spans="1:9" ht="12.9" customHeight="1">
      <c r="A30" s="7231" t="s">
        <v>3158</v>
      </c>
      <c r="B30" s="7172">
        <v>2</v>
      </c>
      <c r="C30" s="7172">
        <v>7</v>
      </c>
      <c r="D30" s="7177">
        <v>354840</v>
      </c>
      <c r="E30" s="7177">
        <v>366096</v>
      </c>
      <c r="F30" s="7245">
        <v>377712</v>
      </c>
    </row>
    <row r="31" spans="1:9" ht="12.9" customHeight="1">
      <c r="A31" s="7231" t="s">
        <v>1147</v>
      </c>
      <c r="B31" s="7172">
        <v>2</v>
      </c>
      <c r="C31" s="7172">
        <v>5</v>
      </c>
      <c r="D31" s="7177">
        <v>778500</v>
      </c>
      <c r="E31" s="7177">
        <v>0</v>
      </c>
      <c r="F31" s="7245">
        <v>336168</v>
      </c>
    </row>
    <row r="32" spans="1:9" ht="12.9" hidden="1" customHeight="1">
      <c r="A32" s="7231" t="s">
        <v>4973</v>
      </c>
      <c r="B32" s="9403">
        <v>0</v>
      </c>
      <c r="C32" s="9403">
        <v>1</v>
      </c>
      <c r="D32" s="7177">
        <v>0</v>
      </c>
      <c r="E32" s="7177">
        <v>0</v>
      </c>
      <c r="F32" s="9948">
        <v>0</v>
      </c>
    </row>
    <row r="33" spans="1:6" ht="12.9" customHeight="1">
      <c r="A33" s="6230" t="s">
        <v>9</v>
      </c>
      <c r="B33" s="10720" t="s">
        <v>9</v>
      </c>
      <c r="C33" s="9689"/>
      <c r="D33" s="9684" t="s">
        <v>9</v>
      </c>
      <c r="E33" s="9684" t="s">
        <v>9</v>
      </c>
      <c r="F33" s="9685" t="s">
        <v>9</v>
      </c>
    </row>
    <row r="34" spans="1:6" ht="12.9" customHeight="1">
      <c r="A34" s="6230" t="s">
        <v>1148</v>
      </c>
      <c r="B34" s="9652">
        <f>SUM(B28:B32)</f>
        <v>5</v>
      </c>
      <c r="C34" s="9686"/>
      <c r="D34" s="9654">
        <f>SUM(D28:D32)</f>
        <v>1780260</v>
      </c>
      <c r="E34" s="9654">
        <f>SUM(E28:E32)</f>
        <v>1047732</v>
      </c>
      <c r="F34" s="9655">
        <f>SUM(F28:F32)</f>
        <v>944676</v>
      </c>
    </row>
    <row r="35" spans="1:6" ht="12.9" customHeight="1" thickBot="1">
      <c r="A35" s="9690"/>
      <c r="B35" s="9680"/>
      <c r="C35" s="9691"/>
      <c r="D35" s="9692"/>
      <c r="E35" s="9692"/>
      <c r="F35" s="9693"/>
    </row>
    <row r="36" spans="1:6" ht="12.9" customHeight="1">
      <c r="A36" s="7231"/>
      <c r="B36" s="7174"/>
      <c r="C36" s="7174"/>
      <c r="D36" s="7174"/>
      <c r="E36" s="7174"/>
      <c r="F36" s="7242"/>
    </row>
    <row r="37" spans="1:6" ht="12.9" customHeight="1">
      <c r="A37" s="6230" t="s">
        <v>1101</v>
      </c>
      <c r="B37" s="7168">
        <f>SUM(B25+B34)</f>
        <v>29</v>
      </c>
      <c r="C37" s="9694"/>
      <c r="D37" s="7187">
        <f>SUM(D25+D34)</f>
        <v>5589780</v>
      </c>
      <c r="E37" s="7187">
        <f>SUM(E25+E34)</f>
        <v>5885400</v>
      </c>
      <c r="F37" s="7243">
        <f>SUM(F25+F34)</f>
        <v>5680320</v>
      </c>
    </row>
    <row r="38" spans="1:6" ht="12.9" customHeight="1" thickBot="1">
      <c r="A38" s="7235"/>
      <c r="B38" s="7192"/>
      <c r="C38" s="7192"/>
      <c r="D38" s="7192"/>
      <c r="E38" s="7192"/>
      <c r="F38" s="9695"/>
    </row>
    <row r="39" spans="1:6" ht="12.9" customHeight="1">
      <c r="A39" s="7231"/>
      <c r="B39" s="7174"/>
      <c r="C39" s="7174"/>
      <c r="D39" s="7174"/>
      <c r="E39" s="7174"/>
      <c r="F39" s="7242"/>
    </row>
    <row r="40" spans="1:6" ht="12.9" customHeight="1">
      <c r="A40" s="6230" t="s">
        <v>1075</v>
      </c>
      <c r="B40" s="7174"/>
      <c r="C40" s="7174"/>
      <c r="D40" s="7174"/>
      <c r="E40" s="7174"/>
      <c r="F40" s="7242"/>
    </row>
    <row r="41" spans="1:6" ht="12.9" customHeight="1">
      <c r="A41" s="6230" t="s">
        <v>1102</v>
      </c>
      <c r="B41" s="7174"/>
      <c r="C41" s="7174"/>
      <c r="D41" s="9694"/>
      <c r="E41" s="7174"/>
      <c r="F41" s="7242"/>
    </row>
    <row r="42" spans="1:6" ht="12.9" customHeight="1">
      <c r="A42" s="7231" t="s">
        <v>1103</v>
      </c>
      <c r="B42" s="7174"/>
      <c r="C42" s="7174"/>
      <c r="D42" s="7174"/>
      <c r="E42" s="7174"/>
      <c r="F42" s="7242"/>
    </row>
    <row r="43" spans="1:6" ht="12.9" customHeight="1">
      <c r="A43" s="7231" t="s">
        <v>1078</v>
      </c>
      <c r="B43" s="7172">
        <v>1</v>
      </c>
      <c r="C43" s="7174"/>
      <c r="D43" s="7174"/>
      <c r="E43" s="7174"/>
      <c r="F43" s="7242"/>
    </row>
    <row r="44" spans="1:6" ht="12.9" customHeight="1">
      <c r="A44" s="7231" t="s">
        <v>1079</v>
      </c>
      <c r="B44" s="7174"/>
      <c r="C44" s="7174"/>
      <c r="D44" s="7174"/>
      <c r="E44" s="7174"/>
      <c r="F44" s="7242"/>
    </row>
    <row r="45" spans="1:6" ht="12.9" customHeight="1">
      <c r="A45" s="7231" t="s">
        <v>168</v>
      </c>
      <c r="B45" s="7174"/>
      <c r="C45" s="7174"/>
      <c r="D45" s="7174"/>
      <c r="E45" s="7174"/>
      <c r="F45" s="7242"/>
    </row>
    <row r="46" spans="1:6" ht="12.9" customHeight="1">
      <c r="A46" s="7231" t="s">
        <v>1080</v>
      </c>
      <c r="B46" s="7174"/>
      <c r="C46" s="7174"/>
      <c r="D46" s="7174"/>
      <c r="E46" s="7174"/>
      <c r="F46" s="7242"/>
    </row>
    <row r="47" spans="1:6" ht="12.9" customHeight="1">
      <c r="A47" s="7231" t="s">
        <v>1104</v>
      </c>
      <c r="B47" s="7174"/>
      <c r="C47" s="7174"/>
      <c r="D47" s="7174"/>
      <c r="E47" s="7174"/>
      <c r="F47" s="7242"/>
    </row>
    <row r="48" spans="1:6" ht="12.9" customHeight="1">
      <c r="A48" s="7231" t="s">
        <v>1105</v>
      </c>
      <c r="B48" s="7174"/>
      <c r="C48" s="7174"/>
      <c r="D48" s="7174"/>
      <c r="E48" s="7174"/>
      <c r="F48" s="7242"/>
    </row>
    <row r="49" spans="1:6" ht="12.9" customHeight="1" thickBot="1">
      <c r="A49" s="7231"/>
      <c r="B49" s="7192"/>
      <c r="C49" s="7192"/>
      <c r="D49" s="7192"/>
      <c r="E49" s="7192"/>
      <c r="F49" s="9695"/>
    </row>
    <row r="50" spans="1:6" ht="12.9" customHeight="1" thickBot="1">
      <c r="A50" s="6230" t="s">
        <v>1083</v>
      </c>
      <c r="B50" s="7185"/>
      <c r="C50" s="7185"/>
      <c r="D50" s="7185"/>
      <c r="E50" s="7185"/>
      <c r="F50" s="9696"/>
    </row>
    <row r="51" spans="1:6" ht="12.9" customHeight="1">
      <c r="A51" s="7231"/>
      <c r="B51" s="7174"/>
      <c r="C51" s="7174"/>
      <c r="D51" s="7174"/>
      <c r="E51" s="7174"/>
      <c r="F51" s="7242"/>
    </row>
    <row r="52" spans="1:6" ht="12.9" customHeight="1">
      <c r="A52" s="7231" t="s">
        <v>1106</v>
      </c>
      <c r="B52" s="7174"/>
      <c r="C52" s="7174"/>
      <c r="D52" s="7174"/>
      <c r="E52" s="7174"/>
      <c r="F52" s="7242"/>
    </row>
    <row r="53" spans="1:6" ht="12.9" customHeight="1" thickBot="1">
      <c r="A53" s="7235"/>
      <c r="B53" s="7192"/>
      <c r="C53" s="7192"/>
      <c r="D53" s="7192"/>
      <c r="E53" s="7192"/>
      <c r="F53" s="9695"/>
    </row>
    <row r="54" spans="1:6" ht="12.9" customHeight="1">
      <c r="A54" s="7231"/>
      <c r="B54" s="7174"/>
      <c r="C54" s="7174"/>
      <c r="D54" s="7174"/>
      <c r="E54" s="7174"/>
      <c r="F54" s="7242"/>
    </row>
    <row r="55" spans="1:6" ht="12.9" customHeight="1">
      <c r="A55" s="6230" t="s">
        <v>1086</v>
      </c>
      <c r="B55" s="7174"/>
      <c r="C55" s="7174"/>
      <c r="D55" s="7174"/>
      <c r="E55" s="7174"/>
      <c r="F55" s="7242"/>
    </row>
    <row r="56" spans="1:6" ht="12.9" customHeight="1" thickBot="1">
      <c r="A56" s="7235"/>
      <c r="B56" s="7192"/>
      <c r="C56" s="7192"/>
      <c r="D56" s="7192"/>
      <c r="E56" s="7192"/>
      <c r="F56" s="9695"/>
    </row>
  </sheetData>
  <mergeCells count="2">
    <mergeCell ref="D5:F5"/>
    <mergeCell ref="A1:F1"/>
  </mergeCells>
  <printOptions horizontalCentered="1"/>
  <pageMargins left="0.25" right="0.25" top="0.5" bottom="0.5" header="0.3" footer="0.3"/>
  <pageSetup paperSize="119" firstPageNumber="91" orientation="portrait" useFirstPageNumber="1" r:id="rId1"/>
  <headerFooter alignWithMargins="0"/>
</worksheet>
</file>

<file path=xl/worksheets/sheet68.xml><?xml version="1.0" encoding="utf-8"?>
<worksheet xmlns="http://schemas.openxmlformats.org/spreadsheetml/2006/main" xmlns:r="http://schemas.openxmlformats.org/officeDocument/2006/relationships">
  <sheetPr codeName="Sheet103">
    <tabColor rgb="FFFFFF00"/>
  </sheetPr>
  <dimension ref="A1:K71"/>
  <sheetViews>
    <sheetView topLeftCell="A13" workbookViewId="0">
      <selection activeCell="B10" sqref="B10:I10"/>
    </sheetView>
  </sheetViews>
  <sheetFormatPr defaultColWidth="9.109375" defaultRowHeight="13.8"/>
  <cols>
    <col min="1" max="1" width="4" style="3429" customWidth="1"/>
    <col min="2" max="2" width="31.88671875" style="3429" customWidth="1"/>
    <col min="3" max="7" width="9.109375" style="3429" customWidth="1"/>
    <col min="8" max="8" width="7.44140625" style="3429" customWidth="1"/>
    <col min="9" max="9" width="5.44140625" style="3429" customWidth="1"/>
    <col min="10" max="16384" width="9.109375" style="3429"/>
  </cols>
  <sheetData>
    <row r="1" spans="1:11" ht="15.6">
      <c r="A1" s="14620" t="s">
        <v>1801</v>
      </c>
      <c r="B1" s="14620"/>
      <c r="C1" s="14620"/>
      <c r="D1" s="14620"/>
      <c r="E1" s="14620"/>
      <c r="F1" s="14620"/>
      <c r="G1" s="14620"/>
      <c r="H1" s="14620"/>
      <c r="I1" s="14620"/>
      <c r="J1" s="3639"/>
    </row>
    <row r="4" spans="1:11">
      <c r="A4" s="14619" t="s">
        <v>9415</v>
      </c>
      <c r="B4" s="14619"/>
      <c r="C4" s="14619"/>
      <c r="D4" s="14619"/>
      <c r="E4" s="14619"/>
      <c r="F4" s="14619"/>
      <c r="G4" s="14619"/>
      <c r="H4" s="14619"/>
      <c r="I4" s="14619"/>
      <c r="J4" s="3639"/>
      <c r="K4" s="3639"/>
    </row>
    <row r="5" spans="1:11">
      <c r="A5" s="14619" t="s">
        <v>9413</v>
      </c>
      <c r="B5" s="14619"/>
      <c r="C5" s="14619"/>
      <c r="D5" s="14619"/>
      <c r="E5" s="14619"/>
      <c r="F5" s="14619"/>
      <c r="G5" s="14619"/>
      <c r="H5" s="14619"/>
      <c r="I5" s="14619"/>
    </row>
    <row r="7" spans="1:11">
      <c r="A7" s="14621" t="s">
        <v>2054</v>
      </c>
      <c r="B7" s="14621"/>
      <c r="C7" s="14621"/>
      <c r="D7" s="14621"/>
      <c r="E7" s="14621"/>
      <c r="F7" s="14621"/>
      <c r="G7" s="14621"/>
      <c r="H7" s="14621"/>
      <c r="I7" s="14621"/>
    </row>
    <row r="9" spans="1:11" ht="47.25" customHeight="1">
      <c r="A9" s="14622" t="s">
        <v>5751</v>
      </c>
      <c r="B9" s="14623"/>
      <c r="C9" s="14623"/>
      <c r="D9" s="14623"/>
      <c r="E9" s="14623"/>
      <c r="F9" s="14623"/>
      <c r="G9" s="14623"/>
      <c r="H9" s="14623"/>
      <c r="I9" s="14623"/>
    </row>
    <row r="10" spans="1:11" ht="35.25" customHeight="1">
      <c r="A10" s="3429" t="s">
        <v>2090</v>
      </c>
      <c r="B10" s="14622" t="s">
        <v>2559</v>
      </c>
      <c r="C10" s="14622"/>
      <c r="D10" s="14622"/>
      <c r="E10" s="14622"/>
      <c r="F10" s="14622"/>
      <c r="G10" s="14622"/>
      <c r="H10" s="14622"/>
      <c r="I10" s="14622"/>
    </row>
    <row r="11" spans="1:11" ht="49.5" customHeight="1">
      <c r="A11" s="3429" t="s">
        <v>2091</v>
      </c>
      <c r="B11" s="14622" t="s">
        <v>4534</v>
      </c>
      <c r="C11" s="14622"/>
      <c r="D11" s="14622"/>
      <c r="E11" s="14622"/>
      <c r="F11" s="14622"/>
      <c r="G11" s="14622"/>
      <c r="H11" s="14622"/>
      <c r="I11" s="14622"/>
    </row>
    <row r="12" spans="1:11" ht="49.5" customHeight="1">
      <c r="A12" s="3429" t="s">
        <v>2092</v>
      </c>
      <c r="B12" s="14622" t="s">
        <v>2560</v>
      </c>
      <c r="C12" s="14622"/>
      <c r="D12" s="14622"/>
      <c r="E12" s="14622"/>
      <c r="F12" s="14622"/>
      <c r="G12" s="14622"/>
      <c r="H12" s="14622"/>
      <c r="I12" s="14622"/>
    </row>
    <row r="13" spans="1:11" ht="34.5" customHeight="1">
      <c r="A13" s="3429" t="s">
        <v>2094</v>
      </c>
      <c r="B13" s="14622" t="s">
        <v>2561</v>
      </c>
      <c r="C13" s="14622"/>
      <c r="D13" s="14622"/>
      <c r="E13" s="14622"/>
      <c r="F13" s="14622"/>
      <c r="G13" s="14622"/>
      <c r="H13" s="14622"/>
      <c r="I13" s="14622"/>
    </row>
    <row r="14" spans="1:11" ht="31.5" customHeight="1">
      <c r="A14" s="3429" t="s">
        <v>2416</v>
      </c>
      <c r="B14" s="14622" t="s">
        <v>5752</v>
      </c>
      <c r="C14" s="14622"/>
      <c r="D14" s="14622"/>
      <c r="E14" s="14622"/>
      <c r="F14" s="14622"/>
      <c r="G14" s="14622"/>
      <c r="H14" s="14622"/>
      <c r="I14" s="14622"/>
    </row>
    <row r="16" spans="1:11">
      <c r="A16" s="14621" t="s">
        <v>1753</v>
      </c>
      <c r="B16" s="14621"/>
      <c r="C16" s="14621"/>
      <c r="D16" s="14621"/>
      <c r="E16" s="14621"/>
      <c r="F16" s="14621"/>
      <c r="G16" s="14621"/>
      <c r="H16" s="14621"/>
      <c r="I16" s="14621"/>
    </row>
    <row r="18" spans="1:9" ht="21" customHeight="1">
      <c r="A18" s="3429" t="s">
        <v>2090</v>
      </c>
      <c r="B18" s="14619" t="s">
        <v>2562</v>
      </c>
      <c r="C18" s="14619"/>
      <c r="D18" s="14619"/>
      <c r="E18" s="14619"/>
      <c r="F18" s="14619"/>
      <c r="G18" s="14619"/>
      <c r="H18" s="14619"/>
      <c r="I18" s="14619"/>
    </row>
    <row r="19" spans="1:9" ht="22.5" customHeight="1">
      <c r="A19" s="3429" t="s">
        <v>2091</v>
      </c>
      <c r="B19" s="14622" t="s">
        <v>2563</v>
      </c>
      <c r="C19" s="14622"/>
      <c r="D19" s="14622"/>
      <c r="E19" s="14622"/>
      <c r="F19" s="14622"/>
      <c r="G19" s="14622"/>
      <c r="H19" s="14622"/>
      <c r="I19" s="14622"/>
    </row>
    <row r="20" spans="1:9" ht="24" customHeight="1">
      <c r="A20" s="3429" t="s">
        <v>2092</v>
      </c>
      <c r="B20" s="14622" t="s">
        <v>4535</v>
      </c>
      <c r="C20" s="14622"/>
      <c r="D20" s="14622"/>
      <c r="E20" s="14622"/>
      <c r="F20" s="14622"/>
      <c r="G20" s="14622"/>
      <c r="H20" s="14622"/>
      <c r="I20" s="14622"/>
    </row>
    <row r="21" spans="1:9" ht="33" customHeight="1">
      <c r="A21" s="3429" t="s">
        <v>2094</v>
      </c>
      <c r="B21" s="14622" t="s">
        <v>2564</v>
      </c>
      <c r="C21" s="14622"/>
      <c r="D21" s="14622"/>
      <c r="E21" s="14622"/>
      <c r="F21" s="14622"/>
      <c r="G21" s="14622"/>
      <c r="H21" s="14622"/>
      <c r="I21" s="14622"/>
    </row>
    <row r="22" spans="1:9" ht="19.5" customHeight="1">
      <c r="A22" s="3429" t="s">
        <v>2416</v>
      </c>
      <c r="B22" s="14622" t="s">
        <v>2565</v>
      </c>
      <c r="C22" s="14622"/>
      <c r="D22" s="14622"/>
      <c r="E22" s="14622"/>
      <c r="F22" s="14622"/>
      <c r="G22" s="14622"/>
      <c r="H22" s="14622"/>
      <c r="I22" s="14622"/>
    </row>
    <row r="48" spans="1:9" ht="15.6">
      <c r="A48" s="14620" t="s">
        <v>1801</v>
      </c>
      <c r="B48" s="14620"/>
      <c r="C48" s="14620"/>
      <c r="D48" s="14620"/>
      <c r="E48" s="14620"/>
      <c r="F48" s="14620"/>
      <c r="G48" s="14620"/>
      <c r="H48" s="14620"/>
      <c r="I48" s="14620"/>
    </row>
    <row r="49" spans="1:10">
      <c r="A49" s="3639"/>
    </row>
    <row r="50" spans="1:10">
      <c r="A50" s="14619" t="s">
        <v>2682</v>
      </c>
      <c r="B50" s="14619"/>
      <c r="C50" s="14619"/>
      <c r="D50" s="14619"/>
      <c r="E50" s="14619"/>
      <c r="F50" s="14619"/>
      <c r="G50" s="14619"/>
      <c r="H50" s="14619"/>
      <c r="I50" s="14619"/>
      <c r="J50" s="3639"/>
    </row>
    <row r="51" spans="1:10">
      <c r="A51" s="14619" t="s">
        <v>9414</v>
      </c>
      <c r="B51" s="14619"/>
      <c r="C51" s="14619"/>
      <c r="D51" s="14619"/>
      <c r="E51" s="14619"/>
      <c r="F51" s="14619"/>
      <c r="G51" s="14619"/>
      <c r="H51" s="14619"/>
      <c r="I51" s="14619"/>
    </row>
    <row r="53" spans="1:10">
      <c r="A53" s="14621" t="s">
        <v>2681</v>
      </c>
      <c r="B53" s="14621"/>
      <c r="C53" s="14621"/>
      <c r="D53" s="14621"/>
      <c r="E53" s="14621"/>
      <c r="F53" s="14621"/>
      <c r="G53" s="14621"/>
      <c r="H53" s="14621"/>
      <c r="I53" s="14621"/>
    </row>
    <row r="55" spans="1:10" ht="18" customHeight="1">
      <c r="A55" s="14622" t="s">
        <v>4536</v>
      </c>
      <c r="B55" s="14622"/>
      <c r="C55" s="14622"/>
      <c r="D55" s="14622"/>
      <c r="E55" s="14622"/>
      <c r="F55" s="14622"/>
      <c r="G55" s="14622"/>
      <c r="H55" s="14622"/>
      <c r="I55" s="14622"/>
    </row>
    <row r="57" spans="1:10" ht="17.25" customHeight="1">
      <c r="A57" s="3429" t="s">
        <v>2090</v>
      </c>
      <c r="B57" s="14622" t="s">
        <v>5753</v>
      </c>
      <c r="C57" s="14622"/>
      <c r="D57" s="14622"/>
      <c r="E57" s="14622"/>
      <c r="F57" s="14622"/>
      <c r="G57" s="14622"/>
      <c r="H57" s="14622"/>
      <c r="I57" s="14622"/>
    </row>
    <row r="58" spans="1:10" ht="47.25" customHeight="1">
      <c r="A58" s="3429" t="s">
        <v>2091</v>
      </c>
      <c r="B58" s="14622" t="s">
        <v>2566</v>
      </c>
      <c r="C58" s="14622"/>
      <c r="D58" s="14622"/>
      <c r="E58" s="14622"/>
      <c r="F58" s="14622"/>
      <c r="G58" s="14622"/>
      <c r="H58" s="14622"/>
      <c r="I58" s="14622"/>
    </row>
    <row r="59" spans="1:10" ht="34.5" customHeight="1">
      <c r="A59" s="3429" t="s">
        <v>2092</v>
      </c>
      <c r="B59" s="14622" t="s">
        <v>2683</v>
      </c>
      <c r="C59" s="14622"/>
      <c r="D59" s="14622"/>
      <c r="E59" s="14622"/>
      <c r="F59" s="14622"/>
      <c r="G59" s="14622"/>
      <c r="H59" s="14622"/>
      <c r="I59" s="14622"/>
    </row>
    <row r="60" spans="1:10" ht="35.25" customHeight="1">
      <c r="A60" s="3429" t="s">
        <v>2094</v>
      </c>
      <c r="B60" s="14622" t="s">
        <v>2567</v>
      </c>
      <c r="C60" s="14622"/>
      <c r="D60" s="14622"/>
      <c r="E60" s="14622"/>
      <c r="F60" s="14622"/>
      <c r="G60" s="14622"/>
      <c r="H60" s="14622"/>
      <c r="I60" s="14622"/>
    </row>
    <row r="61" spans="1:10" ht="34.5" customHeight="1">
      <c r="A61" s="3429" t="s">
        <v>2416</v>
      </c>
      <c r="B61" s="14622" t="s">
        <v>2568</v>
      </c>
      <c r="C61" s="14622"/>
      <c r="D61" s="14622"/>
      <c r="E61" s="14622"/>
      <c r="F61" s="14622"/>
      <c r="G61" s="14622"/>
      <c r="H61" s="14622"/>
      <c r="I61" s="14622"/>
    </row>
    <row r="62" spans="1:10" ht="34.5" customHeight="1">
      <c r="A62" s="3429" t="s">
        <v>2569</v>
      </c>
      <c r="B62" s="14622" t="s">
        <v>2570</v>
      </c>
      <c r="C62" s="14622"/>
      <c r="D62" s="14622"/>
      <c r="E62" s="14622"/>
      <c r="F62" s="14622"/>
      <c r="G62" s="14622"/>
      <c r="H62" s="14622"/>
      <c r="I62" s="14622"/>
    </row>
    <row r="63" spans="1:10" ht="34.5" customHeight="1">
      <c r="A63" s="3429" t="s">
        <v>2571</v>
      </c>
      <c r="B63" s="14622" t="s">
        <v>2572</v>
      </c>
      <c r="C63" s="14622"/>
      <c r="D63" s="14622"/>
      <c r="E63" s="14622"/>
      <c r="F63" s="14622"/>
      <c r="G63" s="14622"/>
      <c r="H63" s="14622"/>
      <c r="I63" s="14622"/>
    </row>
    <row r="65" spans="1:9">
      <c r="A65" s="14621" t="s">
        <v>1753</v>
      </c>
      <c r="B65" s="14621"/>
      <c r="C65" s="14621"/>
      <c r="D65" s="14621"/>
      <c r="E65" s="14621"/>
      <c r="F65" s="14621"/>
      <c r="G65" s="14621"/>
      <c r="H65" s="14621"/>
      <c r="I65" s="14621"/>
    </row>
    <row r="67" spans="1:9" ht="34.5" customHeight="1">
      <c r="A67" s="3429" t="s">
        <v>2090</v>
      </c>
      <c r="B67" s="14622" t="s">
        <v>2573</v>
      </c>
      <c r="C67" s="14622"/>
      <c r="D67" s="14622"/>
      <c r="E67" s="14622"/>
      <c r="F67" s="14622"/>
      <c r="G67" s="14622"/>
      <c r="H67" s="14622"/>
      <c r="I67" s="14622"/>
    </row>
    <row r="68" spans="1:9" ht="21.75" customHeight="1">
      <c r="A68" s="3429" t="s">
        <v>2091</v>
      </c>
      <c r="B68" s="14622" t="s">
        <v>2574</v>
      </c>
      <c r="C68" s="14622"/>
      <c r="D68" s="14622"/>
      <c r="E68" s="14622"/>
      <c r="F68" s="14622"/>
      <c r="G68" s="14622"/>
      <c r="H68" s="14622"/>
      <c r="I68" s="14622"/>
    </row>
    <row r="69" spans="1:9" ht="21.75" customHeight="1">
      <c r="A69" s="3429" t="s">
        <v>2092</v>
      </c>
      <c r="B69" s="14622" t="s">
        <v>2575</v>
      </c>
      <c r="C69" s="14622"/>
      <c r="D69" s="14622"/>
      <c r="E69" s="14622"/>
      <c r="F69" s="14622"/>
      <c r="G69" s="14622"/>
      <c r="H69" s="14622"/>
      <c r="I69" s="14622"/>
    </row>
    <row r="70" spans="1:9" ht="18.75" customHeight="1">
      <c r="A70" s="3429" t="s">
        <v>2094</v>
      </c>
      <c r="B70" s="14622" t="s">
        <v>2576</v>
      </c>
      <c r="C70" s="14622"/>
      <c r="D70" s="14622"/>
      <c r="E70" s="14622"/>
      <c r="F70" s="14622"/>
      <c r="G70" s="14622"/>
      <c r="H70" s="14622"/>
      <c r="I70" s="14622"/>
    </row>
    <row r="71" spans="1:9" ht="36.75" customHeight="1">
      <c r="A71" s="3429" t="s">
        <v>2416</v>
      </c>
      <c r="B71" s="14622" t="s">
        <v>2577</v>
      </c>
      <c r="C71" s="14622"/>
      <c r="D71" s="14622"/>
      <c r="E71" s="14622"/>
      <c r="F71" s="14622"/>
      <c r="G71" s="14622"/>
      <c r="H71" s="14622"/>
      <c r="I71" s="14622"/>
    </row>
  </sheetData>
  <mergeCells count="34">
    <mergeCell ref="B68:I68"/>
    <mergeCell ref="B69:I69"/>
    <mergeCell ref="B70:I70"/>
    <mergeCell ref="B71:I71"/>
    <mergeCell ref="B60:I60"/>
    <mergeCell ref="B61:I61"/>
    <mergeCell ref="B62:I62"/>
    <mergeCell ref="B63:I63"/>
    <mergeCell ref="A65:I65"/>
    <mergeCell ref="B67:I67"/>
    <mergeCell ref="B59:I59"/>
    <mergeCell ref="B19:I19"/>
    <mergeCell ref="B20:I20"/>
    <mergeCell ref="B21:I21"/>
    <mergeCell ref="B22:I22"/>
    <mergeCell ref="A48:I48"/>
    <mergeCell ref="A50:I50"/>
    <mergeCell ref="A51:I51"/>
    <mergeCell ref="A53:I53"/>
    <mergeCell ref="A55:I55"/>
    <mergeCell ref="B57:I57"/>
    <mergeCell ref="B58:I58"/>
    <mergeCell ref="B18:I18"/>
    <mergeCell ref="A1:I1"/>
    <mergeCell ref="A4:I4"/>
    <mergeCell ref="A5:I5"/>
    <mergeCell ref="A7:I7"/>
    <mergeCell ref="A9:I9"/>
    <mergeCell ref="B10:I10"/>
    <mergeCell ref="B11:I11"/>
    <mergeCell ref="B12:I12"/>
    <mergeCell ref="B13:I13"/>
    <mergeCell ref="B14:I14"/>
    <mergeCell ref="A16:I16"/>
  </mergeCells>
  <pageMargins left="0.5" right="0.25" top="0.75" bottom="0.5" header="0.5" footer="0.25"/>
  <pageSetup paperSize="119" firstPageNumber="76" orientation="portrait" useFirstPageNumber="1" horizontalDpi="300" verticalDpi="300" r:id="rId1"/>
  <headerFooter alignWithMargins="0"/>
</worksheet>
</file>

<file path=xl/worksheets/sheet69.xml><?xml version="1.0" encoding="utf-8"?>
<worksheet xmlns="http://schemas.openxmlformats.org/spreadsheetml/2006/main" xmlns:r="http://schemas.openxmlformats.org/officeDocument/2006/relationships">
  <sheetPr codeName="Sheet104">
    <tabColor rgb="FFFFFF00"/>
  </sheetPr>
  <dimension ref="A1:K243"/>
  <sheetViews>
    <sheetView workbookViewId="0">
      <selection activeCell="A244" sqref="A244:XFD1021"/>
    </sheetView>
  </sheetViews>
  <sheetFormatPr defaultColWidth="9.109375" defaultRowHeight="13.8"/>
  <cols>
    <col min="1" max="1" width="9.44140625" style="672" customWidth="1"/>
    <col min="2" max="3" width="8.88671875" style="672" customWidth="1"/>
    <col min="4" max="4" width="11" style="672" customWidth="1"/>
    <col min="5" max="5" width="7.44140625" style="672" customWidth="1"/>
    <col min="6" max="6" width="6" style="672" customWidth="1"/>
    <col min="7" max="7" width="8.44140625" style="672" customWidth="1"/>
    <col min="8" max="8" width="8.109375" style="672" customWidth="1"/>
    <col min="9" max="9" width="12.44140625" style="673" customWidth="1"/>
    <col min="10" max="10" width="10.88671875" style="672" customWidth="1"/>
    <col min="11" max="11" width="10.109375" style="672" customWidth="1"/>
    <col min="12" max="16384" width="9.109375" style="672"/>
  </cols>
  <sheetData>
    <row r="1" spans="1:11" ht="15.6">
      <c r="A1" s="671" t="s">
        <v>2578</v>
      </c>
      <c r="B1"/>
      <c r="C1"/>
      <c r="D1"/>
      <c r="E1" s="2065"/>
      <c r="F1" s="2065"/>
      <c r="G1"/>
      <c r="H1"/>
      <c r="I1"/>
      <c r="J1"/>
      <c r="K1"/>
    </row>
    <row r="2" spans="1:11" ht="6.75" customHeight="1" thickBot="1">
      <c r="A2"/>
      <c r="B2"/>
      <c r="C2"/>
      <c r="D2"/>
      <c r="E2"/>
      <c r="F2"/>
      <c r="G2"/>
      <c r="H2"/>
      <c r="I2"/>
      <c r="J2"/>
      <c r="K2"/>
    </row>
    <row r="3" spans="1:11">
      <c r="A3" s="2066" t="s">
        <v>94</v>
      </c>
      <c r="B3" s="14624" t="s">
        <v>1980</v>
      </c>
      <c r="C3" s="14646"/>
      <c r="D3" s="14647"/>
      <c r="E3" s="14624" t="s">
        <v>1736</v>
      </c>
      <c r="F3" s="14647"/>
      <c r="G3" s="14624" t="s">
        <v>1787</v>
      </c>
      <c r="H3" s="14647"/>
      <c r="I3" s="2067" t="s">
        <v>1764</v>
      </c>
      <c r="J3" s="14624" t="s">
        <v>1978</v>
      </c>
      <c r="K3" s="14625"/>
    </row>
    <row r="4" spans="1:11" ht="14.4" thickBot="1">
      <c r="A4" s="1134" t="s">
        <v>1788</v>
      </c>
      <c r="B4" s="14626" t="s">
        <v>1762</v>
      </c>
      <c r="C4" s="14627"/>
      <c r="D4" s="14628"/>
      <c r="E4" s="14626"/>
      <c r="F4" s="14628"/>
      <c r="G4" s="14626" t="s">
        <v>1804</v>
      </c>
      <c r="H4" s="14628"/>
      <c r="I4" s="1965"/>
      <c r="J4" s="14629" t="s">
        <v>1841</v>
      </c>
      <c r="K4" s="14630"/>
    </row>
    <row r="5" spans="1:11" ht="14.4" thickBot="1">
      <c r="A5" s="2068" t="s">
        <v>472</v>
      </c>
      <c r="B5" s="14636" t="s">
        <v>473</v>
      </c>
      <c r="C5" s="14637"/>
      <c r="D5" s="14638"/>
      <c r="E5" s="14636" t="s">
        <v>474</v>
      </c>
      <c r="F5" s="14638"/>
      <c r="G5" s="14636" t="s">
        <v>475</v>
      </c>
      <c r="H5" s="14638"/>
      <c r="I5" s="2069" t="s">
        <v>476</v>
      </c>
      <c r="J5" s="2070" t="s">
        <v>1789</v>
      </c>
      <c r="K5" s="2071" t="s">
        <v>1790</v>
      </c>
    </row>
    <row r="6" spans="1:11">
      <c r="A6" s="2072"/>
      <c r="B6" s="14639" t="s">
        <v>2579</v>
      </c>
      <c r="C6" s="14640"/>
      <c r="D6" s="14641"/>
      <c r="E6" s="14642">
        <v>39050000</v>
      </c>
      <c r="F6" s="14643"/>
      <c r="G6" s="14644"/>
      <c r="H6" s="14645"/>
      <c r="I6" s="2073"/>
      <c r="J6" s="2074"/>
      <c r="K6" s="2075"/>
    </row>
    <row r="7" spans="1:11">
      <c r="A7" s="847"/>
      <c r="B7" s="14631" t="s">
        <v>2580</v>
      </c>
      <c r="C7" s="14632"/>
      <c r="D7" s="14633"/>
      <c r="E7" s="14634"/>
      <c r="F7" s="14635"/>
      <c r="G7" s="14634"/>
      <c r="H7" s="14635"/>
      <c r="I7" s="1968"/>
      <c r="J7" s="2076"/>
      <c r="K7" s="674"/>
    </row>
    <row r="8" spans="1:11">
      <c r="A8" s="847"/>
      <c r="B8" s="2077"/>
      <c r="C8" s="1967"/>
      <c r="D8" s="2078"/>
      <c r="E8" s="1807"/>
      <c r="F8" s="2079"/>
      <c r="G8" s="1807"/>
      <c r="H8" s="2079"/>
      <c r="I8" s="1968"/>
      <c r="J8" s="2076"/>
      <c r="K8" s="674"/>
    </row>
    <row r="9" spans="1:11">
      <c r="A9" s="847"/>
      <c r="B9" s="14648" t="s">
        <v>5754</v>
      </c>
      <c r="C9" s="14651"/>
      <c r="D9" s="14652"/>
      <c r="E9" s="14634"/>
      <c r="F9" s="14635"/>
      <c r="G9" s="14634" t="s">
        <v>2581</v>
      </c>
      <c r="H9" s="14635"/>
      <c r="I9" s="1968" t="s">
        <v>2582</v>
      </c>
      <c r="J9" s="1808" t="s">
        <v>5125</v>
      </c>
      <c r="K9" s="675" t="s">
        <v>5113</v>
      </c>
    </row>
    <row r="10" spans="1:11">
      <c r="A10" s="847"/>
      <c r="B10" s="14648" t="s">
        <v>5755</v>
      </c>
      <c r="C10" s="14649"/>
      <c r="D10" s="14650"/>
      <c r="E10" s="14634"/>
      <c r="F10" s="14635"/>
      <c r="G10" s="1807"/>
      <c r="H10" s="2079"/>
      <c r="I10" s="1968"/>
      <c r="J10" s="1808"/>
      <c r="K10" s="675"/>
    </row>
    <row r="11" spans="1:11" ht="9.9" customHeight="1">
      <c r="A11" s="847"/>
      <c r="B11" s="14648"/>
      <c r="C11" s="14651"/>
      <c r="D11" s="14652"/>
      <c r="E11" s="14634"/>
      <c r="F11" s="14635"/>
      <c r="G11" s="14648"/>
      <c r="H11" s="14650"/>
      <c r="I11" s="1968"/>
      <c r="J11" s="1808"/>
      <c r="K11" s="675"/>
    </row>
    <row r="12" spans="1:11" ht="13.5" customHeight="1">
      <c r="A12" s="847"/>
      <c r="B12" s="14648" t="s">
        <v>5756</v>
      </c>
      <c r="C12" s="14649"/>
      <c r="D12" s="14650"/>
      <c r="E12" s="14634"/>
      <c r="F12" s="14635"/>
      <c r="G12" s="14634" t="s">
        <v>2583</v>
      </c>
      <c r="H12" s="14635"/>
      <c r="I12" s="1968" t="s">
        <v>5757</v>
      </c>
      <c r="J12" s="1808" t="s">
        <v>5125</v>
      </c>
      <c r="K12" s="675" t="s">
        <v>5113</v>
      </c>
    </row>
    <row r="13" spans="1:11">
      <c r="A13" s="847"/>
      <c r="B13" s="2080" t="s">
        <v>5758</v>
      </c>
      <c r="C13" s="1970"/>
      <c r="D13" s="2081"/>
      <c r="E13" s="1807"/>
      <c r="F13" s="2079"/>
      <c r="G13" s="14634" t="s">
        <v>2584</v>
      </c>
      <c r="H13" s="14635"/>
      <c r="I13" s="1968" t="s">
        <v>2585</v>
      </c>
      <c r="J13" s="1808"/>
      <c r="K13" s="675"/>
    </row>
    <row r="14" spans="1:11" ht="9.9" customHeight="1">
      <c r="A14" s="847"/>
      <c r="B14" s="14654"/>
      <c r="C14" s="14655"/>
      <c r="D14" s="14656"/>
      <c r="E14" s="14634"/>
      <c r="F14" s="14635"/>
      <c r="G14" s="14654"/>
      <c r="H14" s="14656"/>
      <c r="I14" s="1968"/>
      <c r="J14" s="1808"/>
      <c r="K14" s="675"/>
    </row>
    <row r="15" spans="1:11">
      <c r="A15" s="847"/>
      <c r="B15" s="14648" t="s">
        <v>5759</v>
      </c>
      <c r="C15" s="14649"/>
      <c r="D15" s="14650"/>
      <c r="E15" s="14634"/>
      <c r="F15" s="14635"/>
      <c r="G15" s="14634" t="s">
        <v>2586</v>
      </c>
      <c r="H15" s="14635"/>
      <c r="I15" s="1968" t="s">
        <v>5760</v>
      </c>
      <c r="J15" s="1808" t="s">
        <v>5125</v>
      </c>
      <c r="K15" s="675" t="s">
        <v>5113</v>
      </c>
    </row>
    <row r="16" spans="1:11">
      <c r="A16" s="847"/>
      <c r="B16" s="14648" t="s">
        <v>5761</v>
      </c>
      <c r="C16" s="14649"/>
      <c r="D16" s="14650"/>
      <c r="E16" s="14634"/>
      <c r="F16" s="14635"/>
      <c r="G16" s="14634" t="s">
        <v>2587</v>
      </c>
      <c r="H16" s="14635"/>
      <c r="I16" s="1968"/>
      <c r="J16" s="1808"/>
      <c r="K16" s="675"/>
    </row>
    <row r="17" spans="1:11" ht="9.9" customHeight="1">
      <c r="A17" s="847"/>
      <c r="B17" s="14634"/>
      <c r="C17" s="14653"/>
      <c r="D17" s="14635"/>
      <c r="E17" s="14634"/>
      <c r="F17" s="14635"/>
      <c r="G17" s="14634"/>
      <c r="H17" s="14635"/>
      <c r="I17" s="1968"/>
      <c r="J17" s="1808"/>
      <c r="K17" s="675"/>
    </row>
    <row r="18" spans="1:11">
      <c r="A18" s="847"/>
      <c r="B18" s="14648" t="s">
        <v>5762</v>
      </c>
      <c r="C18" s="14649"/>
      <c r="D18" s="14650"/>
      <c r="E18" s="14634"/>
      <c r="F18" s="14635"/>
      <c r="G18" s="14634" t="s">
        <v>2589</v>
      </c>
      <c r="H18" s="14635"/>
      <c r="I18" s="1968" t="s">
        <v>5763</v>
      </c>
      <c r="J18" s="1808" t="s">
        <v>5125</v>
      </c>
      <c r="K18" s="675" t="s">
        <v>5113</v>
      </c>
    </row>
    <row r="19" spans="1:11">
      <c r="A19" s="847"/>
      <c r="B19" s="14648" t="s">
        <v>5764</v>
      </c>
      <c r="C19" s="14649"/>
      <c r="D19" s="14650"/>
      <c r="E19" s="14634"/>
      <c r="F19" s="14635"/>
      <c r="G19" s="14634" t="s">
        <v>2590</v>
      </c>
      <c r="H19" s="14635"/>
      <c r="I19" s="1968"/>
      <c r="J19" s="1808"/>
      <c r="K19" s="675"/>
    </row>
    <row r="20" spans="1:11" ht="9.9" customHeight="1">
      <c r="A20" s="847"/>
      <c r="B20" s="14634"/>
      <c r="C20" s="14653"/>
      <c r="D20" s="14635"/>
      <c r="E20" s="14634"/>
      <c r="F20" s="14635"/>
      <c r="G20" s="14634"/>
      <c r="H20" s="14635"/>
      <c r="I20" s="1968"/>
      <c r="J20" s="1808"/>
      <c r="K20" s="675"/>
    </row>
    <row r="21" spans="1:11">
      <c r="A21" s="847"/>
      <c r="B21" s="14648" t="s">
        <v>5765</v>
      </c>
      <c r="C21" s="14649"/>
      <c r="D21" s="14650"/>
      <c r="E21" s="14634"/>
      <c r="F21" s="14635"/>
      <c r="G21" s="14634" t="s">
        <v>2591</v>
      </c>
      <c r="H21" s="14635"/>
      <c r="I21" s="1968" t="s">
        <v>2592</v>
      </c>
      <c r="J21" s="1808" t="s">
        <v>5125</v>
      </c>
      <c r="K21" s="675" t="s">
        <v>5113</v>
      </c>
    </row>
    <row r="22" spans="1:11">
      <c r="A22" s="847"/>
      <c r="B22" s="14634"/>
      <c r="C22" s="14653"/>
      <c r="D22" s="14635"/>
      <c r="E22" s="14634"/>
      <c r="F22" s="14635"/>
      <c r="G22" s="14634" t="s">
        <v>2590</v>
      </c>
      <c r="H22" s="14635"/>
      <c r="I22" s="1968"/>
      <c r="J22" s="1808"/>
      <c r="K22" s="675"/>
    </row>
    <row r="23" spans="1:11" ht="9.9" customHeight="1">
      <c r="A23" s="847"/>
      <c r="B23" s="14634"/>
      <c r="C23" s="14653"/>
      <c r="D23" s="14635"/>
      <c r="E23" s="14634"/>
      <c r="F23" s="14635"/>
      <c r="G23" s="14634"/>
      <c r="H23" s="14635"/>
      <c r="I23" s="1968"/>
      <c r="J23" s="1808"/>
      <c r="K23" s="675"/>
    </row>
    <row r="24" spans="1:11">
      <c r="A24" s="847"/>
      <c r="B24" s="14648" t="s">
        <v>5766</v>
      </c>
      <c r="C24" s="14649"/>
      <c r="D24" s="14650"/>
      <c r="E24" s="14634"/>
      <c r="F24" s="14635"/>
      <c r="G24" s="14634" t="s">
        <v>2593</v>
      </c>
      <c r="H24" s="14635"/>
      <c r="I24" s="1968" t="s">
        <v>888</v>
      </c>
      <c r="J24" s="1808" t="s">
        <v>5125</v>
      </c>
      <c r="K24" s="675" t="s">
        <v>5113</v>
      </c>
    </row>
    <row r="25" spans="1:11">
      <c r="A25" s="847"/>
      <c r="B25" s="14648" t="s">
        <v>5767</v>
      </c>
      <c r="C25" s="14649"/>
      <c r="D25" s="14650"/>
      <c r="E25" s="14634"/>
      <c r="F25" s="14635"/>
      <c r="G25" s="14634" t="s">
        <v>2594</v>
      </c>
      <c r="H25" s="14635"/>
      <c r="I25" s="1968"/>
      <c r="J25" s="1808"/>
      <c r="K25" s="675"/>
    </row>
    <row r="26" spans="1:11" ht="9.9" customHeight="1">
      <c r="A26" s="847"/>
      <c r="B26" s="14634"/>
      <c r="C26" s="14653"/>
      <c r="D26" s="14635"/>
      <c r="E26" s="14634"/>
      <c r="F26" s="14635"/>
      <c r="G26" s="14648"/>
      <c r="H26" s="14650"/>
      <c r="I26" s="1968"/>
      <c r="J26" s="1808"/>
      <c r="K26" s="675"/>
    </row>
    <row r="27" spans="1:11">
      <c r="A27" s="847"/>
      <c r="B27" s="14648" t="s">
        <v>5768</v>
      </c>
      <c r="C27" s="14649"/>
      <c r="D27" s="14650"/>
      <c r="E27" s="14634"/>
      <c r="F27" s="14635"/>
      <c r="G27" s="14648" t="s">
        <v>2595</v>
      </c>
      <c r="H27" s="14650"/>
      <c r="I27" s="1968" t="s">
        <v>4537</v>
      </c>
      <c r="J27" s="1808" t="s">
        <v>5125</v>
      </c>
      <c r="K27" s="675" t="s">
        <v>5113</v>
      </c>
    </row>
    <row r="28" spans="1:11">
      <c r="A28" s="847"/>
      <c r="B28" s="14648" t="s">
        <v>5769</v>
      </c>
      <c r="C28" s="14649"/>
      <c r="D28" s="14650"/>
      <c r="E28" s="14634"/>
      <c r="F28" s="14635"/>
      <c r="G28" s="14648"/>
      <c r="H28" s="14650"/>
      <c r="I28" s="1968" t="s">
        <v>2596</v>
      </c>
      <c r="J28" s="1808"/>
      <c r="K28" s="675"/>
    </row>
    <row r="29" spans="1:11">
      <c r="A29" s="847"/>
      <c r="B29" s="14648" t="s">
        <v>5770</v>
      </c>
      <c r="C29" s="14649"/>
      <c r="D29" s="14650"/>
      <c r="E29" s="14634"/>
      <c r="F29" s="14635"/>
      <c r="G29" s="14648"/>
      <c r="H29" s="14650"/>
      <c r="I29" s="1968"/>
      <c r="J29" s="1808"/>
      <c r="K29" s="675"/>
    </row>
    <row r="30" spans="1:11">
      <c r="A30" s="847"/>
      <c r="B30" s="14648" t="s">
        <v>5771</v>
      </c>
      <c r="C30" s="14649"/>
      <c r="D30" s="14650"/>
      <c r="E30" s="14634"/>
      <c r="F30" s="14635"/>
      <c r="G30" s="14648"/>
      <c r="H30" s="14650"/>
      <c r="I30" s="1968"/>
      <c r="J30" s="1808"/>
      <c r="K30" s="675"/>
    </row>
    <row r="31" spans="1:11" ht="9.9" customHeight="1">
      <c r="A31" s="847"/>
      <c r="B31" s="14634"/>
      <c r="C31" s="14653"/>
      <c r="D31" s="14635"/>
      <c r="E31" s="14634"/>
      <c r="F31" s="14635"/>
      <c r="G31" s="14648"/>
      <c r="H31" s="14650"/>
      <c r="I31" s="1968"/>
      <c r="J31" s="1808"/>
      <c r="K31" s="675"/>
    </row>
    <row r="32" spans="1:11">
      <c r="A32" s="847"/>
      <c r="B32" s="14648" t="s">
        <v>5772</v>
      </c>
      <c r="C32" s="14649"/>
      <c r="D32" s="14650"/>
      <c r="E32" s="14634"/>
      <c r="F32" s="14635"/>
      <c r="G32" s="14648" t="s">
        <v>4538</v>
      </c>
      <c r="H32" s="14650"/>
      <c r="I32" s="1968" t="s">
        <v>2062</v>
      </c>
      <c r="J32" s="1808" t="s">
        <v>5125</v>
      </c>
      <c r="K32" s="675" t="s">
        <v>5113</v>
      </c>
    </row>
    <row r="33" spans="1:11">
      <c r="A33" s="847"/>
      <c r="B33" s="14648" t="s">
        <v>5773</v>
      </c>
      <c r="C33" s="14649"/>
      <c r="D33" s="14650"/>
      <c r="E33" s="14634"/>
      <c r="F33" s="14635"/>
      <c r="G33" s="14648"/>
      <c r="H33" s="14650"/>
      <c r="I33" s="1968"/>
      <c r="J33" s="1808"/>
      <c r="K33" s="675"/>
    </row>
    <row r="34" spans="1:11" ht="9.9" customHeight="1">
      <c r="A34" s="847"/>
      <c r="B34" s="14634"/>
      <c r="C34" s="14653"/>
      <c r="D34" s="14635"/>
      <c r="E34" s="14634"/>
      <c r="F34" s="14635"/>
      <c r="G34" s="14648"/>
      <c r="H34" s="14650"/>
      <c r="I34" s="1968"/>
      <c r="J34" s="1808"/>
      <c r="K34" s="675"/>
    </row>
    <row r="35" spans="1:11">
      <c r="A35" s="847"/>
      <c r="B35" s="14648" t="s">
        <v>5774</v>
      </c>
      <c r="C35" s="14649"/>
      <c r="D35" s="14650"/>
      <c r="E35" s="14634"/>
      <c r="F35" s="14635"/>
      <c r="G35" s="14648" t="s">
        <v>2597</v>
      </c>
      <c r="H35" s="14650"/>
      <c r="I35" s="1968" t="s">
        <v>5775</v>
      </c>
      <c r="J35" s="1808" t="s">
        <v>5125</v>
      </c>
      <c r="K35" s="675" t="s">
        <v>5113</v>
      </c>
    </row>
    <row r="36" spans="1:11">
      <c r="A36" s="847"/>
      <c r="B36" s="14648" t="s">
        <v>5776</v>
      </c>
      <c r="C36" s="14649"/>
      <c r="D36" s="14650"/>
      <c r="E36" s="14634"/>
      <c r="F36" s="14635"/>
      <c r="G36" s="14648" t="s">
        <v>2598</v>
      </c>
      <c r="H36" s="14650"/>
      <c r="I36" s="1968" t="s">
        <v>5777</v>
      </c>
      <c r="J36" s="1808"/>
      <c r="K36" s="675"/>
    </row>
    <row r="37" spans="1:11">
      <c r="A37" s="847"/>
      <c r="B37" s="1806"/>
      <c r="C37" s="1966"/>
      <c r="D37" s="2082"/>
      <c r="E37" s="1807"/>
      <c r="F37" s="2079"/>
      <c r="G37" s="1806"/>
      <c r="H37" s="2082"/>
      <c r="I37" s="1968"/>
      <c r="J37" s="1808"/>
      <c r="K37" s="675"/>
    </row>
    <row r="38" spans="1:11">
      <c r="A38" s="847"/>
      <c r="B38" s="2083" t="s">
        <v>2599</v>
      </c>
      <c r="C38" s="1966"/>
      <c r="D38" s="2082"/>
      <c r="E38" s="14657">
        <v>30555000</v>
      </c>
      <c r="F38" s="14658"/>
      <c r="G38" s="14648" t="s">
        <v>2600</v>
      </c>
      <c r="H38" s="14650"/>
      <c r="I38" s="1968" t="s">
        <v>2601</v>
      </c>
      <c r="J38" s="1808" t="s">
        <v>5125</v>
      </c>
      <c r="K38" s="675" t="s">
        <v>5113</v>
      </c>
    </row>
    <row r="39" spans="1:11">
      <c r="A39" s="847"/>
      <c r="B39" s="14659" t="s">
        <v>2602</v>
      </c>
      <c r="C39" s="14660"/>
      <c r="D39" s="14661"/>
      <c r="E39" s="14634"/>
      <c r="F39" s="14635"/>
      <c r="G39" s="14648" t="s">
        <v>2603</v>
      </c>
      <c r="H39" s="14650"/>
      <c r="I39" s="1968" t="s">
        <v>2604</v>
      </c>
      <c r="J39" s="1808"/>
      <c r="K39" s="675"/>
    </row>
    <row r="40" spans="1:11">
      <c r="A40" s="847"/>
      <c r="B40" s="1806"/>
      <c r="C40" s="1966"/>
      <c r="D40" s="2082"/>
      <c r="E40" s="1807"/>
      <c r="F40" s="2079"/>
      <c r="G40" s="1806"/>
      <c r="H40" s="2082"/>
      <c r="I40" s="1968"/>
      <c r="J40" s="1808"/>
      <c r="K40" s="675"/>
    </row>
    <row r="41" spans="1:11">
      <c r="A41" s="847"/>
      <c r="B41" s="14662" t="s">
        <v>5778</v>
      </c>
      <c r="C41" s="14663"/>
      <c r="D41" s="14664"/>
      <c r="E41" s="14634"/>
      <c r="F41" s="14635"/>
      <c r="G41" s="14662" t="s">
        <v>2611</v>
      </c>
      <c r="H41" s="14664"/>
      <c r="I41" s="1968" t="s">
        <v>2612</v>
      </c>
      <c r="J41" s="1808" t="s">
        <v>5125</v>
      </c>
      <c r="K41" s="675" t="s">
        <v>5113</v>
      </c>
    </row>
    <row r="42" spans="1:11">
      <c r="A42" s="847"/>
      <c r="B42" s="14662" t="s">
        <v>5779</v>
      </c>
      <c r="C42" s="14663"/>
      <c r="D42" s="14664"/>
      <c r="E42" s="14634"/>
      <c r="F42" s="14635"/>
      <c r="G42" s="14662" t="s">
        <v>5780</v>
      </c>
      <c r="H42" s="14664"/>
      <c r="I42" s="1968"/>
      <c r="J42" s="1808"/>
      <c r="K42" s="675"/>
    </row>
    <row r="43" spans="1:11">
      <c r="A43" s="847"/>
      <c r="B43" s="14662" t="s">
        <v>5781</v>
      </c>
      <c r="C43" s="14663"/>
      <c r="D43" s="14664"/>
      <c r="E43" s="14634"/>
      <c r="F43" s="14635"/>
      <c r="G43" s="14662"/>
      <c r="H43" s="14664"/>
      <c r="I43" s="1968"/>
      <c r="J43" s="1808"/>
      <c r="K43" s="675"/>
    </row>
    <row r="44" spans="1:11">
      <c r="A44" s="847"/>
      <c r="B44" s="1806"/>
      <c r="C44" s="1966"/>
      <c r="D44" s="2082"/>
      <c r="E44" s="1807"/>
      <c r="F44" s="2079"/>
      <c r="G44" s="1806"/>
      <c r="H44" s="2082"/>
      <c r="I44" s="1968"/>
      <c r="J44" s="1808"/>
      <c r="K44" s="675"/>
    </row>
    <row r="45" spans="1:11">
      <c r="A45" s="847"/>
      <c r="B45" s="14659" t="s">
        <v>2605</v>
      </c>
      <c r="C45" s="14660"/>
      <c r="D45" s="14661"/>
      <c r="E45" s="14657">
        <v>27428000</v>
      </c>
      <c r="F45" s="14658"/>
      <c r="G45" s="14648" t="s">
        <v>4539</v>
      </c>
      <c r="H45" s="14650"/>
      <c r="I45" s="1968" t="s">
        <v>4540</v>
      </c>
      <c r="J45" s="1808" t="s">
        <v>5125</v>
      </c>
      <c r="K45" s="675" t="s">
        <v>5113</v>
      </c>
    </row>
    <row r="46" spans="1:11">
      <c r="A46" s="847"/>
      <c r="B46" s="14631" t="s">
        <v>2606</v>
      </c>
      <c r="C46" s="14632"/>
      <c r="D46" s="14633"/>
      <c r="E46" s="14634"/>
      <c r="F46" s="14635"/>
      <c r="G46" s="14648"/>
      <c r="H46" s="14650"/>
      <c r="I46" s="1968"/>
      <c r="J46" s="1808"/>
      <c r="K46" s="675"/>
    </row>
    <row r="47" spans="1:11" ht="9.9" customHeight="1">
      <c r="A47" s="847"/>
      <c r="B47" s="14634"/>
      <c r="C47" s="14653"/>
      <c r="D47" s="14635"/>
      <c r="E47" s="14634"/>
      <c r="F47" s="14635"/>
      <c r="G47" s="14648"/>
      <c r="H47" s="14650"/>
      <c r="I47" s="1968"/>
      <c r="J47" s="1808"/>
      <c r="K47" s="675"/>
    </row>
    <row r="48" spans="1:11">
      <c r="A48" s="847"/>
      <c r="B48" s="14662" t="s">
        <v>5782</v>
      </c>
      <c r="C48" s="14663"/>
      <c r="D48" s="14664"/>
      <c r="E48" s="14634"/>
      <c r="F48" s="14635"/>
      <c r="G48" s="14648" t="s">
        <v>2629</v>
      </c>
      <c r="H48" s="14650"/>
      <c r="I48" s="1968" t="s">
        <v>1823</v>
      </c>
      <c r="J48" s="1808" t="s">
        <v>5125</v>
      </c>
      <c r="K48" s="675" t="s">
        <v>5113</v>
      </c>
    </row>
    <row r="49" spans="1:11">
      <c r="A49" s="847"/>
      <c r="B49" s="14662" t="s">
        <v>5783</v>
      </c>
      <c r="C49" s="14663"/>
      <c r="D49" s="14664"/>
      <c r="E49" s="14634"/>
      <c r="F49" s="14635"/>
      <c r="G49" s="14648" t="s">
        <v>5784</v>
      </c>
      <c r="H49" s="14650"/>
      <c r="I49" s="1968"/>
      <c r="J49" s="1808"/>
      <c r="K49" s="675"/>
    </row>
    <row r="50" spans="1:11" ht="9.9" customHeight="1">
      <c r="A50" s="847"/>
      <c r="B50" s="1807"/>
      <c r="C50" s="1968"/>
      <c r="D50" s="2079"/>
      <c r="E50" s="1807"/>
      <c r="F50" s="2079"/>
      <c r="G50" s="1806"/>
      <c r="H50" s="2082"/>
      <c r="I50" s="1968"/>
      <c r="J50" s="1808"/>
      <c r="K50" s="675"/>
    </row>
    <row r="51" spans="1:11">
      <c r="A51" s="847"/>
      <c r="B51" s="14662" t="s">
        <v>5785</v>
      </c>
      <c r="C51" s="14663"/>
      <c r="D51" s="14664"/>
      <c r="E51" s="14634"/>
      <c r="F51" s="14635"/>
      <c r="G51" s="14648" t="s">
        <v>2607</v>
      </c>
      <c r="H51" s="14650"/>
      <c r="I51" s="1968" t="s">
        <v>2608</v>
      </c>
      <c r="J51" s="1808" t="s">
        <v>5125</v>
      </c>
      <c r="K51" s="675" t="s">
        <v>5113</v>
      </c>
    </row>
    <row r="52" spans="1:11">
      <c r="A52" s="847"/>
      <c r="B52" s="14662" t="s">
        <v>5786</v>
      </c>
      <c r="C52" s="14663"/>
      <c r="D52" s="14664"/>
      <c r="E52" s="14634"/>
      <c r="F52" s="14635"/>
      <c r="G52" s="14648" t="s">
        <v>2609</v>
      </c>
      <c r="H52" s="14650"/>
      <c r="I52" s="1968"/>
      <c r="J52" s="1808"/>
      <c r="K52" s="675"/>
    </row>
    <row r="53" spans="1:11">
      <c r="A53" s="847"/>
      <c r="B53" s="14662" t="s">
        <v>5787</v>
      </c>
      <c r="C53" s="14663"/>
      <c r="D53" s="14664"/>
      <c r="E53" s="14634"/>
      <c r="F53" s="14635"/>
      <c r="G53" s="14648" t="s">
        <v>2610</v>
      </c>
      <c r="H53" s="14650"/>
      <c r="I53" s="1968"/>
      <c r="J53" s="1808"/>
      <c r="K53" s="675"/>
    </row>
    <row r="54" spans="1:11">
      <c r="A54" s="847"/>
      <c r="B54" s="14662" t="s">
        <v>5788</v>
      </c>
      <c r="C54" s="14663"/>
      <c r="D54" s="14664"/>
      <c r="E54" s="14634"/>
      <c r="F54" s="14635"/>
      <c r="G54" s="14648"/>
      <c r="H54" s="14650"/>
      <c r="I54" s="1968"/>
      <c r="J54" s="1808"/>
      <c r="K54" s="675"/>
    </row>
    <row r="55" spans="1:11" ht="9.9" customHeight="1">
      <c r="A55" s="847"/>
      <c r="B55" s="14662"/>
      <c r="C55" s="14663"/>
      <c r="D55" s="14664"/>
      <c r="E55" s="14634"/>
      <c r="F55" s="14635"/>
      <c r="G55" s="14648"/>
      <c r="H55" s="14650"/>
      <c r="I55" s="1968"/>
      <c r="J55" s="1808"/>
      <c r="K55" s="675"/>
    </row>
    <row r="56" spans="1:11">
      <c r="A56" s="847"/>
      <c r="B56" s="14662" t="s">
        <v>5778</v>
      </c>
      <c r="C56" s="14663"/>
      <c r="D56" s="14664"/>
      <c r="E56" s="14634"/>
      <c r="F56" s="14635"/>
      <c r="G56" s="14662" t="s">
        <v>2611</v>
      </c>
      <c r="H56" s="14664"/>
      <c r="I56" s="1968" t="s">
        <v>2612</v>
      </c>
      <c r="J56" s="1808" t="s">
        <v>5125</v>
      </c>
      <c r="K56" s="675" t="s">
        <v>5113</v>
      </c>
    </row>
    <row r="57" spans="1:11">
      <c r="A57" s="847"/>
      <c r="B57" s="14662" t="s">
        <v>5779</v>
      </c>
      <c r="C57" s="14663"/>
      <c r="D57" s="14664"/>
      <c r="E57" s="14634"/>
      <c r="F57" s="14635"/>
      <c r="G57" s="14662" t="s">
        <v>2613</v>
      </c>
      <c r="H57" s="14664"/>
      <c r="I57" s="1968"/>
      <c r="J57" s="1808"/>
      <c r="K57" s="675"/>
    </row>
    <row r="58" spans="1:11">
      <c r="A58" s="847"/>
      <c r="B58" s="14662" t="s">
        <v>5781</v>
      </c>
      <c r="C58" s="14663"/>
      <c r="D58" s="14664"/>
      <c r="E58" s="14634"/>
      <c r="F58" s="14635"/>
      <c r="G58" s="14662" t="s">
        <v>2614</v>
      </c>
      <c r="H58" s="14664"/>
      <c r="I58" s="1968"/>
      <c r="J58" s="1808"/>
      <c r="K58" s="675"/>
    </row>
    <row r="59" spans="1:11" ht="9.9" customHeight="1">
      <c r="A59" s="847"/>
      <c r="B59" s="14662"/>
      <c r="C59" s="14663"/>
      <c r="D59" s="14664"/>
      <c r="E59" s="14634"/>
      <c r="F59" s="14635"/>
      <c r="G59" s="14648"/>
      <c r="H59" s="14650"/>
      <c r="I59" s="1968"/>
      <c r="J59" s="1808"/>
      <c r="K59" s="675"/>
    </row>
    <row r="60" spans="1:11">
      <c r="A60" s="847"/>
      <c r="B60" s="14662" t="s">
        <v>5789</v>
      </c>
      <c r="C60" s="14663"/>
      <c r="D60" s="14664"/>
      <c r="E60" s="14634"/>
      <c r="F60" s="14635"/>
      <c r="G60" s="14634" t="s">
        <v>2615</v>
      </c>
      <c r="H60" s="14635"/>
      <c r="I60" s="2079" t="s">
        <v>920</v>
      </c>
      <c r="J60" s="1808" t="s">
        <v>5125</v>
      </c>
      <c r="K60" s="675" t="s">
        <v>5113</v>
      </c>
    </row>
    <row r="61" spans="1:11">
      <c r="A61" s="847"/>
      <c r="B61" s="14662" t="s">
        <v>5790</v>
      </c>
      <c r="C61" s="14663"/>
      <c r="D61" s="14664"/>
      <c r="E61" s="14634"/>
      <c r="F61" s="14635"/>
      <c r="G61" s="14634" t="s">
        <v>2616</v>
      </c>
      <c r="H61" s="14635"/>
      <c r="I61" s="2079"/>
      <c r="J61" s="1808"/>
      <c r="K61" s="675"/>
    </row>
    <row r="62" spans="1:11">
      <c r="A62" s="847"/>
      <c r="B62" s="14662" t="s">
        <v>5791</v>
      </c>
      <c r="C62" s="14663"/>
      <c r="D62" s="14664"/>
      <c r="E62" s="1807"/>
      <c r="F62" s="2079"/>
      <c r="G62" s="14634" t="s">
        <v>5792</v>
      </c>
      <c r="H62" s="14635"/>
      <c r="I62" s="2079"/>
      <c r="J62" s="1808"/>
      <c r="K62" s="675"/>
    </row>
    <row r="63" spans="1:11" ht="9.9" customHeight="1">
      <c r="A63" s="847"/>
      <c r="B63" s="1807"/>
      <c r="C63" s="1968"/>
      <c r="D63" s="2079"/>
      <c r="E63" s="1807"/>
      <c r="F63" s="2079"/>
      <c r="G63" s="1807"/>
      <c r="H63" s="2079"/>
      <c r="I63" s="1968"/>
      <c r="J63" s="2076"/>
      <c r="K63" s="674"/>
    </row>
    <row r="64" spans="1:11">
      <c r="A64" s="847"/>
      <c r="B64" s="14648" t="s">
        <v>5793</v>
      </c>
      <c r="C64" s="14649"/>
      <c r="D64" s="14650"/>
      <c r="E64" s="14648"/>
      <c r="F64" s="14650"/>
      <c r="G64" s="14634" t="s">
        <v>2617</v>
      </c>
      <c r="H64" s="14635"/>
      <c r="I64" s="1968" t="s">
        <v>5794</v>
      </c>
      <c r="J64" s="1808" t="s">
        <v>5125</v>
      </c>
      <c r="K64" s="675" t="s">
        <v>5113</v>
      </c>
    </row>
    <row r="65" spans="1:11">
      <c r="A65" s="847"/>
      <c r="B65" s="14648" t="s">
        <v>5795</v>
      </c>
      <c r="C65" s="14649"/>
      <c r="D65" s="14650"/>
      <c r="E65" s="14648"/>
      <c r="F65" s="14650"/>
      <c r="G65" s="14634" t="s">
        <v>5796</v>
      </c>
      <c r="H65" s="14635"/>
      <c r="I65" s="1968"/>
      <c r="J65" s="1808"/>
      <c r="K65" s="675"/>
    </row>
    <row r="66" spans="1:11" ht="9.9" customHeight="1">
      <c r="A66" s="847"/>
      <c r="B66" s="14648"/>
      <c r="C66" s="14649"/>
      <c r="D66" s="14650"/>
      <c r="E66" s="14648"/>
      <c r="F66" s="14650"/>
      <c r="G66" s="14634"/>
      <c r="H66" s="14635"/>
      <c r="I66" s="1968"/>
      <c r="J66" s="1808"/>
      <c r="K66" s="675"/>
    </row>
    <row r="67" spans="1:11">
      <c r="A67" s="847"/>
      <c r="B67" s="14648" t="s">
        <v>5797</v>
      </c>
      <c r="C67" s="14649"/>
      <c r="D67" s="14650"/>
      <c r="E67" s="14648"/>
      <c r="F67" s="14650"/>
      <c r="G67" s="14634" t="s">
        <v>2618</v>
      </c>
      <c r="H67" s="14635"/>
      <c r="I67" s="1968" t="s">
        <v>1901</v>
      </c>
      <c r="J67" s="1808" t="s">
        <v>5125</v>
      </c>
      <c r="K67" s="675" t="s">
        <v>5113</v>
      </c>
    </row>
    <row r="68" spans="1:11">
      <c r="A68" s="847"/>
      <c r="B68" s="14648" t="s">
        <v>5798</v>
      </c>
      <c r="C68" s="14649"/>
      <c r="D68" s="14650"/>
      <c r="E68" s="14648"/>
      <c r="F68" s="14650"/>
      <c r="G68" s="14648"/>
      <c r="H68" s="14650"/>
      <c r="I68" s="1968"/>
      <c r="J68" s="1808"/>
      <c r="K68" s="675"/>
    </row>
    <row r="69" spans="1:11">
      <c r="A69" s="847"/>
      <c r="B69" s="14648" t="s">
        <v>5799</v>
      </c>
      <c r="C69" s="14649"/>
      <c r="D69" s="14650"/>
      <c r="E69" s="14648"/>
      <c r="F69" s="14650"/>
      <c r="G69" s="14648"/>
      <c r="H69" s="14650"/>
      <c r="I69" s="1968"/>
      <c r="J69" s="1808"/>
      <c r="K69" s="675"/>
    </row>
    <row r="70" spans="1:11" ht="9.9" customHeight="1" thickBot="1">
      <c r="A70" s="2084"/>
      <c r="B70" s="2085"/>
      <c r="C70" s="2086"/>
      <c r="D70" s="2087"/>
      <c r="E70" s="2085"/>
      <c r="F70" s="2087"/>
      <c r="G70" s="2085"/>
      <c r="H70" s="2087"/>
      <c r="I70" s="2088"/>
      <c r="J70" s="2089"/>
      <c r="K70" s="2090"/>
    </row>
    <row r="71" spans="1:11">
      <c r="A71" s="2091"/>
      <c r="B71" s="2092"/>
      <c r="C71" s="2092"/>
      <c r="D71" s="2092"/>
      <c r="E71" s="2092"/>
      <c r="F71" s="2092"/>
      <c r="G71" s="2092"/>
      <c r="H71" s="2092"/>
      <c r="I71" s="2073"/>
      <c r="J71" s="2073"/>
      <c r="K71" s="2073"/>
    </row>
    <row r="72" spans="1:11">
      <c r="A72" s="1970"/>
      <c r="B72" s="1966"/>
      <c r="C72" s="1966"/>
      <c r="D72" s="1966"/>
      <c r="E72" s="1966"/>
      <c r="F72" s="1966"/>
      <c r="G72" s="1966"/>
      <c r="H72" s="1966"/>
      <c r="I72" s="1968"/>
      <c r="J72" s="1968"/>
      <c r="K72" s="1968"/>
    </row>
    <row r="73" spans="1:11">
      <c r="A73" s="3421"/>
      <c r="B73" s="3419"/>
      <c r="C73" s="3419"/>
      <c r="D73" s="3419"/>
      <c r="E73" s="3419"/>
      <c r="F73" s="3419"/>
      <c r="G73" s="3419"/>
      <c r="H73" s="3419"/>
      <c r="I73" s="3420"/>
      <c r="J73" s="3420"/>
      <c r="K73" s="3420"/>
    </row>
    <row r="74" spans="1:11">
      <c r="A74" s="3421"/>
      <c r="B74" s="3419"/>
      <c r="C74" s="3419"/>
      <c r="D74" s="3419"/>
      <c r="E74" s="3419"/>
      <c r="F74" s="3419"/>
      <c r="G74" s="3419"/>
      <c r="H74" s="3419"/>
      <c r="I74" s="3420"/>
      <c r="J74" s="3420"/>
      <c r="K74" s="3420"/>
    </row>
    <row r="75" spans="1:11" ht="14.4" thickBot="1">
      <c r="A75" s="3421"/>
      <c r="B75" s="3419"/>
      <c r="C75" s="3419"/>
      <c r="D75" s="3419"/>
      <c r="E75" s="3419"/>
      <c r="F75" s="3419"/>
      <c r="G75" s="3419"/>
      <c r="H75" s="3419"/>
      <c r="I75" s="3420"/>
      <c r="J75" s="3420"/>
      <c r="K75" s="3420"/>
    </row>
    <row r="76" spans="1:11" ht="12.75" customHeight="1">
      <c r="A76" s="2072"/>
      <c r="B76" s="14644"/>
      <c r="C76" s="14665"/>
      <c r="D76" s="14645"/>
      <c r="E76" s="14666"/>
      <c r="F76" s="14667"/>
      <c r="G76" s="14666"/>
      <c r="H76" s="14667"/>
      <c r="I76" s="2073"/>
      <c r="J76" s="2094"/>
      <c r="K76" s="2095"/>
    </row>
    <row r="77" spans="1:11">
      <c r="A77" s="847"/>
      <c r="B77" s="14648" t="s">
        <v>5800</v>
      </c>
      <c r="C77" s="14649"/>
      <c r="D77" s="14650"/>
      <c r="E77" s="14648"/>
      <c r="F77" s="14650"/>
      <c r="G77" s="14634" t="s">
        <v>5801</v>
      </c>
      <c r="H77" s="14635"/>
      <c r="I77" s="1968" t="s">
        <v>1893</v>
      </c>
      <c r="J77" s="1808" t="s">
        <v>5125</v>
      </c>
      <c r="K77" s="675" t="s">
        <v>5113</v>
      </c>
    </row>
    <row r="78" spans="1:11">
      <c r="A78" s="847"/>
      <c r="B78" s="14648" t="s">
        <v>5802</v>
      </c>
      <c r="C78" s="14649"/>
      <c r="D78" s="14650"/>
      <c r="E78" s="14648"/>
      <c r="F78" s="14650"/>
      <c r="G78" s="14634" t="s">
        <v>2619</v>
      </c>
      <c r="H78" s="14635"/>
      <c r="I78" s="1968"/>
      <c r="J78" s="1808"/>
      <c r="K78" s="675"/>
    </row>
    <row r="79" spans="1:11">
      <c r="A79" s="847"/>
      <c r="B79" s="14648" t="s">
        <v>5803</v>
      </c>
      <c r="C79" s="14649"/>
      <c r="D79" s="14650"/>
      <c r="E79" s="14634"/>
      <c r="F79" s="14635"/>
      <c r="G79" s="14634" t="s">
        <v>2620</v>
      </c>
      <c r="H79" s="14635"/>
      <c r="I79" s="1968"/>
      <c r="J79" s="1808"/>
      <c r="K79" s="675"/>
    </row>
    <row r="80" spans="1:11">
      <c r="A80" s="847"/>
      <c r="B80" s="14648" t="s">
        <v>5804</v>
      </c>
      <c r="C80" s="14649"/>
      <c r="D80" s="14650"/>
      <c r="E80" s="1807"/>
      <c r="F80" s="2079"/>
      <c r="G80" s="1807"/>
      <c r="H80" s="2079"/>
      <c r="I80" s="1968"/>
      <c r="J80" s="1808"/>
      <c r="K80" s="675"/>
    </row>
    <row r="81" spans="1:11" ht="9.9" customHeight="1">
      <c r="A81" s="847"/>
      <c r="B81" s="14654"/>
      <c r="C81" s="14655"/>
      <c r="D81" s="14656"/>
      <c r="E81" s="14634"/>
      <c r="F81" s="14635"/>
      <c r="G81" s="14634"/>
      <c r="H81" s="14635"/>
      <c r="I81" s="1968"/>
      <c r="J81" s="1808"/>
      <c r="K81" s="675"/>
    </row>
    <row r="82" spans="1:11">
      <c r="A82" s="847"/>
      <c r="B82" s="14648" t="s">
        <v>5805</v>
      </c>
      <c r="C82" s="14649"/>
      <c r="D82" s="14650"/>
      <c r="E82" s="14634"/>
      <c r="F82" s="14635"/>
      <c r="G82" s="14634" t="s">
        <v>2621</v>
      </c>
      <c r="H82" s="14635"/>
      <c r="I82" s="1968" t="s">
        <v>920</v>
      </c>
      <c r="J82" s="1808" t="s">
        <v>5125</v>
      </c>
      <c r="K82" s="675" t="s">
        <v>5113</v>
      </c>
    </row>
    <row r="83" spans="1:11">
      <c r="A83" s="847"/>
      <c r="B83" s="14648" t="s">
        <v>5806</v>
      </c>
      <c r="C83" s="14649"/>
      <c r="D83" s="14650"/>
      <c r="E83" s="14634"/>
      <c r="F83" s="14635"/>
      <c r="G83" s="14634" t="s">
        <v>2639</v>
      </c>
      <c r="H83" s="14635"/>
      <c r="I83" s="1968"/>
      <c r="J83" s="1808"/>
      <c r="K83" s="675"/>
    </row>
    <row r="84" spans="1:11" ht="9.9" customHeight="1">
      <c r="A84" s="847"/>
      <c r="B84" s="1806"/>
      <c r="C84" s="1966"/>
      <c r="D84" s="2082"/>
      <c r="E84" s="1807"/>
      <c r="F84" s="2079"/>
      <c r="G84" s="1807"/>
      <c r="H84" s="2079"/>
      <c r="I84" s="1968"/>
      <c r="J84" s="1808"/>
      <c r="K84" s="675"/>
    </row>
    <row r="85" spans="1:11" ht="14.25" customHeight="1">
      <c r="A85" s="847"/>
      <c r="B85" s="14648" t="s">
        <v>5807</v>
      </c>
      <c r="C85" s="14649"/>
      <c r="D85" s="14650"/>
      <c r="E85" s="14634"/>
      <c r="F85" s="14635"/>
      <c r="G85" s="14634" t="s">
        <v>2622</v>
      </c>
      <c r="H85" s="14635"/>
      <c r="I85" s="1968" t="s">
        <v>2636</v>
      </c>
      <c r="J85" s="1808" t="s">
        <v>5125</v>
      </c>
      <c r="K85" s="675" t="s">
        <v>5113</v>
      </c>
    </row>
    <row r="86" spans="1:11" ht="9.9" customHeight="1">
      <c r="A86" s="847"/>
      <c r="B86" s="1806"/>
      <c r="C86" s="1966"/>
      <c r="D86" s="2082"/>
      <c r="E86" s="1807"/>
      <c r="F86" s="2079"/>
      <c r="G86" s="14634" t="s">
        <v>1922</v>
      </c>
      <c r="H86" s="14635"/>
      <c r="I86" s="1968"/>
      <c r="J86" s="1808"/>
      <c r="K86" s="675"/>
    </row>
    <row r="87" spans="1:11">
      <c r="A87" s="847"/>
      <c r="B87" s="14648" t="s">
        <v>5808</v>
      </c>
      <c r="C87" s="14649"/>
      <c r="D87" s="14650"/>
      <c r="E87" s="14634"/>
      <c r="F87" s="14635"/>
      <c r="G87" s="14634"/>
      <c r="H87" s="14635"/>
      <c r="I87" s="1968"/>
      <c r="J87" s="1808"/>
      <c r="K87" s="675"/>
    </row>
    <row r="88" spans="1:11">
      <c r="A88" s="847"/>
      <c r="B88" s="1806" t="s">
        <v>5809</v>
      </c>
      <c r="C88" s="1966"/>
      <c r="D88" s="2082"/>
      <c r="E88" s="1807"/>
      <c r="F88" s="2079"/>
      <c r="G88" s="14634" t="s">
        <v>2623</v>
      </c>
      <c r="H88" s="14635"/>
      <c r="I88" s="1968" t="s">
        <v>884</v>
      </c>
      <c r="J88" s="1808" t="s">
        <v>5125</v>
      </c>
      <c r="K88" s="675" t="s">
        <v>5113</v>
      </c>
    </row>
    <row r="89" spans="1:11" ht="9.9" customHeight="1">
      <c r="A89" s="847"/>
      <c r="B89" s="1806"/>
      <c r="C89" s="1966"/>
      <c r="D89" s="2082"/>
      <c r="E89" s="1807"/>
      <c r="F89" s="2079"/>
      <c r="G89" s="1807"/>
      <c r="H89" s="2079"/>
      <c r="I89" s="1968"/>
      <c r="J89" s="1808"/>
      <c r="K89" s="675"/>
    </row>
    <row r="90" spans="1:11">
      <c r="A90" s="847"/>
      <c r="B90" s="1806" t="s">
        <v>5810</v>
      </c>
      <c r="C90" s="1966"/>
      <c r="D90" s="2082"/>
      <c r="E90" s="1807"/>
      <c r="F90" s="2079"/>
      <c r="G90" s="14634" t="s">
        <v>2624</v>
      </c>
      <c r="H90" s="14635"/>
      <c r="I90" s="1968" t="s">
        <v>1897</v>
      </c>
      <c r="J90" s="1808" t="s">
        <v>5125</v>
      </c>
      <c r="K90" s="675" t="s">
        <v>5113</v>
      </c>
    </row>
    <row r="91" spans="1:11" ht="9.9" customHeight="1">
      <c r="A91" s="847"/>
      <c r="B91" s="1806"/>
      <c r="C91" s="1966"/>
      <c r="D91" s="2082"/>
      <c r="E91" s="1807"/>
      <c r="F91" s="2079"/>
      <c r="G91" s="14634" t="s">
        <v>2625</v>
      </c>
      <c r="H91" s="14635"/>
      <c r="I91" s="1968"/>
      <c r="J91" s="1808"/>
      <c r="K91" s="675"/>
    </row>
    <row r="92" spans="1:11">
      <c r="A92" s="847"/>
      <c r="B92" s="1806" t="s">
        <v>2626</v>
      </c>
      <c r="C92" s="1966"/>
      <c r="D92" s="2082"/>
      <c r="E92" s="1807"/>
      <c r="F92" s="2079"/>
      <c r="G92" s="1807"/>
      <c r="H92" s="2079"/>
      <c r="I92" s="1968"/>
      <c r="J92" s="1808"/>
      <c r="K92" s="675"/>
    </row>
    <row r="93" spans="1:11">
      <c r="A93" s="847"/>
      <c r="B93" s="1806" t="s">
        <v>5811</v>
      </c>
      <c r="C93" s="1966"/>
      <c r="D93" s="2082"/>
      <c r="E93" s="1807"/>
      <c r="F93" s="2079"/>
      <c r="G93" s="14634" t="s">
        <v>4541</v>
      </c>
      <c r="H93" s="14635"/>
      <c r="I93" s="1968" t="s">
        <v>2545</v>
      </c>
      <c r="J93" s="1808" t="s">
        <v>5125</v>
      </c>
      <c r="K93" s="675" t="s">
        <v>5113</v>
      </c>
    </row>
    <row r="94" spans="1:11">
      <c r="A94" s="847"/>
      <c r="B94" s="1806"/>
      <c r="C94" s="1966"/>
      <c r="D94" s="2082"/>
      <c r="E94" s="1807"/>
      <c r="F94" s="2079"/>
      <c r="G94" s="14634" t="s">
        <v>4542</v>
      </c>
      <c r="H94" s="14635"/>
      <c r="I94" s="1968"/>
      <c r="J94" s="1808"/>
      <c r="K94" s="675"/>
    </row>
    <row r="95" spans="1:11">
      <c r="A95" s="1135"/>
      <c r="B95" s="2096"/>
      <c r="C95" s="1965"/>
      <c r="D95" s="2097"/>
      <c r="E95" s="2096"/>
      <c r="F95" s="2097"/>
      <c r="G95" s="2096"/>
      <c r="H95" s="2097"/>
      <c r="I95" s="1965"/>
      <c r="J95" s="2098"/>
      <c r="K95" s="676"/>
    </row>
    <row r="96" spans="1:11">
      <c r="A96" s="847"/>
      <c r="B96" s="14659" t="s">
        <v>5812</v>
      </c>
      <c r="C96" s="14660"/>
      <c r="D96" s="14661"/>
      <c r="E96" s="14657">
        <v>3221200</v>
      </c>
      <c r="F96" s="14658"/>
      <c r="G96" s="14634"/>
      <c r="H96" s="14635"/>
      <c r="I96" s="1968"/>
      <c r="J96" s="1808"/>
      <c r="K96" s="675"/>
    </row>
    <row r="97" spans="1:11">
      <c r="A97" s="847"/>
      <c r="B97" s="14631" t="s">
        <v>2628</v>
      </c>
      <c r="C97" s="14632"/>
      <c r="D97" s="14633"/>
      <c r="E97" s="14634"/>
      <c r="F97" s="14635"/>
      <c r="G97" s="14634"/>
      <c r="H97" s="14635"/>
      <c r="I97" s="1968"/>
      <c r="J97" s="1808"/>
      <c r="K97" s="675"/>
    </row>
    <row r="98" spans="1:11" ht="9.9" customHeight="1">
      <c r="A98" s="847"/>
      <c r="B98" s="14648"/>
      <c r="C98" s="14649"/>
      <c r="D98" s="14650"/>
      <c r="E98" s="14634"/>
      <c r="F98" s="14635"/>
      <c r="G98" s="14634"/>
      <c r="H98" s="14635"/>
      <c r="I98" s="1968"/>
      <c r="J98" s="1808"/>
      <c r="K98" s="675"/>
    </row>
    <row r="99" spans="1:11">
      <c r="A99" s="847"/>
      <c r="B99" s="14648" t="s">
        <v>5813</v>
      </c>
      <c r="C99" s="14649"/>
      <c r="D99" s="14650"/>
      <c r="E99" s="14634"/>
      <c r="F99" s="14635"/>
      <c r="G99" s="14634" t="s">
        <v>5814</v>
      </c>
      <c r="H99" s="14635"/>
      <c r="I99" s="1968" t="s">
        <v>5794</v>
      </c>
      <c r="J99" s="1808" t="s">
        <v>5125</v>
      </c>
      <c r="K99" s="675" t="s">
        <v>5113</v>
      </c>
    </row>
    <row r="100" spans="1:11">
      <c r="A100" s="847"/>
      <c r="B100" s="14648" t="s">
        <v>5815</v>
      </c>
      <c r="C100" s="14649"/>
      <c r="D100" s="14650"/>
      <c r="E100" s="14634"/>
      <c r="F100" s="14635"/>
      <c r="G100" s="14634" t="s">
        <v>5816</v>
      </c>
      <c r="H100" s="14635"/>
      <c r="I100" s="1968"/>
      <c r="J100" s="1808"/>
      <c r="K100" s="675"/>
    </row>
    <row r="101" spans="1:11" ht="9.9" customHeight="1">
      <c r="A101" s="847"/>
      <c r="B101" s="14648"/>
      <c r="C101" s="14649"/>
      <c r="D101" s="14650"/>
      <c r="E101" s="14634"/>
      <c r="F101" s="14635"/>
      <c r="G101" s="14634"/>
      <c r="H101" s="14635"/>
      <c r="I101" s="1968"/>
      <c r="J101" s="1808"/>
      <c r="K101" s="675"/>
    </row>
    <row r="102" spans="1:11">
      <c r="A102" s="847"/>
      <c r="B102" s="14648" t="s">
        <v>5817</v>
      </c>
      <c r="C102" s="14649"/>
      <c r="D102" s="14650"/>
      <c r="E102" s="14634"/>
      <c r="F102" s="14635"/>
      <c r="G102" s="14634" t="s">
        <v>2629</v>
      </c>
      <c r="H102" s="14635"/>
      <c r="I102" s="1968" t="s">
        <v>5818</v>
      </c>
      <c r="J102" s="1808" t="s">
        <v>5125</v>
      </c>
      <c r="K102" s="675" t="s">
        <v>5113</v>
      </c>
    </row>
    <row r="103" spans="1:11" ht="9.9" customHeight="1">
      <c r="A103" s="847"/>
      <c r="B103" s="14648"/>
      <c r="C103" s="14649"/>
      <c r="D103" s="14650"/>
      <c r="E103" s="14634"/>
      <c r="F103" s="14635"/>
      <c r="G103" s="14634"/>
      <c r="H103" s="14635"/>
      <c r="I103" s="1968"/>
      <c r="J103" s="1808"/>
      <c r="K103" s="675"/>
    </row>
    <row r="104" spans="1:11">
      <c r="A104" s="847"/>
      <c r="B104" s="14648" t="s">
        <v>5819</v>
      </c>
      <c r="C104" s="14649"/>
      <c r="D104" s="14650"/>
      <c r="E104" s="14634"/>
      <c r="F104" s="14635"/>
      <c r="G104" s="14634" t="s">
        <v>2630</v>
      </c>
      <c r="H104" s="14635"/>
      <c r="I104" s="1968" t="s">
        <v>2631</v>
      </c>
      <c r="J104" s="1808" t="s">
        <v>5125</v>
      </c>
      <c r="K104" s="675" t="s">
        <v>5113</v>
      </c>
    </row>
    <row r="105" spans="1:11">
      <c r="A105" s="847"/>
      <c r="B105" s="14648" t="s">
        <v>5820</v>
      </c>
      <c r="C105" s="14649"/>
      <c r="D105" s="14650"/>
      <c r="E105" s="14634"/>
      <c r="F105" s="14635"/>
      <c r="G105" s="14634" t="s">
        <v>2632</v>
      </c>
      <c r="H105" s="14635"/>
      <c r="I105" s="1968"/>
      <c r="J105" s="1808"/>
      <c r="K105" s="675"/>
    </row>
    <row r="106" spans="1:11" ht="9.9" customHeight="1">
      <c r="A106" s="847"/>
      <c r="B106" s="14648"/>
      <c r="C106" s="14649"/>
      <c r="D106" s="14650"/>
      <c r="E106" s="14634"/>
      <c r="F106" s="14635"/>
      <c r="G106" s="14634"/>
      <c r="H106" s="14635"/>
      <c r="I106" s="1968"/>
      <c r="J106" s="1808"/>
      <c r="K106" s="675"/>
    </row>
    <row r="107" spans="1:11">
      <c r="A107" s="847"/>
      <c r="B107" s="14648" t="s">
        <v>5821</v>
      </c>
      <c r="C107" s="14649"/>
      <c r="D107" s="14650"/>
      <c r="E107" s="14634"/>
      <c r="F107" s="14635"/>
      <c r="G107" s="14634" t="s">
        <v>2633</v>
      </c>
      <c r="H107" s="14635"/>
      <c r="I107" s="1968" t="s">
        <v>5822</v>
      </c>
      <c r="J107" s="1808" t="s">
        <v>5125</v>
      </c>
      <c r="K107" s="675" t="s">
        <v>5113</v>
      </c>
    </row>
    <row r="108" spans="1:11" ht="9.9" customHeight="1">
      <c r="A108" s="847"/>
      <c r="B108" s="14634"/>
      <c r="C108" s="14653"/>
      <c r="D108" s="14635"/>
      <c r="E108" s="14634"/>
      <c r="F108" s="14635"/>
      <c r="G108" s="14634"/>
      <c r="H108" s="14635"/>
      <c r="I108" s="1968"/>
      <c r="J108" s="1808"/>
      <c r="K108" s="675"/>
    </row>
    <row r="109" spans="1:11">
      <c r="A109" s="847"/>
      <c r="B109" s="14648" t="s">
        <v>5823</v>
      </c>
      <c r="C109" s="14649"/>
      <c r="D109" s="14650"/>
      <c r="E109" s="1807"/>
      <c r="F109" s="2079"/>
      <c r="G109" s="14634" t="s">
        <v>5824</v>
      </c>
      <c r="H109" s="14635"/>
      <c r="I109" s="1968" t="s">
        <v>2634</v>
      </c>
      <c r="J109" s="1808" t="s">
        <v>5125</v>
      </c>
      <c r="K109" s="675" t="s">
        <v>5113</v>
      </c>
    </row>
    <row r="110" spans="1:11">
      <c r="A110" s="847"/>
      <c r="B110" s="1806" t="s">
        <v>5825</v>
      </c>
      <c r="C110" s="1966"/>
      <c r="D110" s="2082"/>
      <c r="E110" s="1807"/>
      <c r="F110" s="2079"/>
      <c r="G110" s="14634" t="s">
        <v>5826</v>
      </c>
      <c r="H110" s="14635"/>
      <c r="I110" s="2079"/>
      <c r="J110" s="1808"/>
      <c r="K110" s="675"/>
    </row>
    <row r="111" spans="1:11" ht="9.9" customHeight="1">
      <c r="A111" s="847"/>
      <c r="B111" s="1966"/>
      <c r="C111" s="1966"/>
      <c r="D111" s="2082"/>
      <c r="E111" s="1807"/>
      <c r="F111" s="2079"/>
      <c r="G111" s="1807"/>
      <c r="H111" s="2079"/>
      <c r="I111" s="1968"/>
      <c r="J111" s="1808"/>
      <c r="K111" s="675"/>
    </row>
    <row r="112" spans="1:11">
      <c r="A112" s="847"/>
      <c r="B112" s="14648" t="s">
        <v>5827</v>
      </c>
      <c r="C112" s="14649"/>
      <c r="D112" s="14650"/>
      <c r="E112" s="14648"/>
      <c r="F112" s="14650"/>
      <c r="G112" s="14634" t="s">
        <v>5828</v>
      </c>
      <c r="H112" s="14635"/>
      <c r="I112" s="1968" t="s">
        <v>932</v>
      </c>
      <c r="J112" s="1808" t="s">
        <v>5125</v>
      </c>
      <c r="K112" s="675" t="s">
        <v>5113</v>
      </c>
    </row>
    <row r="113" spans="1:11">
      <c r="A113" s="847"/>
      <c r="B113" s="14648"/>
      <c r="C113" s="14649"/>
      <c r="D113" s="14650"/>
      <c r="E113" s="14648"/>
      <c r="F113" s="14650"/>
      <c r="G113" s="14634" t="s">
        <v>1963</v>
      </c>
      <c r="H113" s="14635"/>
      <c r="I113" s="1968"/>
      <c r="J113" s="1808"/>
      <c r="K113" s="675"/>
    </row>
    <row r="114" spans="1:11" ht="9.9" customHeight="1">
      <c r="A114" s="847"/>
      <c r="B114" s="1806"/>
      <c r="C114" s="1966"/>
      <c r="D114" s="2082"/>
      <c r="E114" s="1806"/>
      <c r="F114" s="2082"/>
      <c r="G114" s="1807"/>
      <c r="H114" s="2079"/>
      <c r="I114" s="1968"/>
      <c r="J114" s="1808"/>
      <c r="K114" s="675"/>
    </row>
    <row r="115" spans="1:11">
      <c r="A115" s="847"/>
      <c r="B115" s="14648" t="s">
        <v>5829</v>
      </c>
      <c r="C115" s="14649"/>
      <c r="D115" s="14650"/>
      <c r="E115" s="1806"/>
      <c r="F115" s="2082"/>
      <c r="G115" s="14634" t="s">
        <v>2635</v>
      </c>
      <c r="H115" s="14635"/>
      <c r="I115" s="1968" t="s">
        <v>2636</v>
      </c>
      <c r="J115" s="1808" t="s">
        <v>5125</v>
      </c>
      <c r="K115" s="675" t="s">
        <v>5113</v>
      </c>
    </row>
    <row r="116" spans="1:11">
      <c r="A116" s="847"/>
      <c r="B116" s="1806"/>
      <c r="C116" s="1966"/>
      <c r="D116" s="2082"/>
      <c r="E116" s="1806"/>
      <c r="F116" s="2082"/>
      <c r="G116" s="14634" t="s">
        <v>2637</v>
      </c>
      <c r="H116" s="14635"/>
      <c r="I116" s="1968"/>
      <c r="J116" s="1808"/>
      <c r="K116" s="675"/>
    </row>
    <row r="117" spans="1:11" ht="9.9" customHeight="1">
      <c r="A117" s="847"/>
      <c r="B117" s="1806"/>
      <c r="C117" s="1966"/>
      <c r="D117" s="2082"/>
      <c r="E117" s="1806"/>
      <c r="F117" s="2082"/>
      <c r="G117" s="1807"/>
      <c r="H117" s="2079"/>
      <c r="I117" s="1968"/>
      <c r="J117" s="1808"/>
      <c r="K117" s="675"/>
    </row>
    <row r="118" spans="1:11">
      <c r="A118" s="847"/>
      <c r="B118" s="1806" t="s">
        <v>5830</v>
      </c>
      <c r="C118" s="1966"/>
      <c r="D118" s="2082"/>
      <c r="E118" s="1806"/>
      <c r="F118" s="2082"/>
      <c r="G118" s="14634" t="s">
        <v>2638</v>
      </c>
      <c r="H118" s="14635"/>
      <c r="I118" s="1968" t="s">
        <v>2636</v>
      </c>
      <c r="J118" s="1808" t="s">
        <v>5125</v>
      </c>
      <c r="K118" s="675" t="s">
        <v>5113</v>
      </c>
    </row>
    <row r="119" spans="1:11">
      <c r="A119" s="847"/>
      <c r="B119" s="1806"/>
      <c r="C119" s="1966"/>
      <c r="D119" s="2082"/>
      <c r="E119" s="1806"/>
      <c r="F119" s="2082"/>
      <c r="G119" s="14634" t="s">
        <v>2639</v>
      </c>
      <c r="H119" s="14635"/>
      <c r="I119" s="1968"/>
      <c r="J119" s="1808"/>
      <c r="K119" s="675"/>
    </row>
    <row r="120" spans="1:11" ht="9.9" customHeight="1">
      <c r="A120" s="847"/>
      <c r="B120" s="1806"/>
      <c r="C120" s="1966"/>
      <c r="D120" s="2082"/>
      <c r="E120" s="1806"/>
      <c r="F120" s="2082"/>
      <c r="G120" s="1807"/>
      <c r="H120" s="2079"/>
      <c r="I120" s="1968"/>
      <c r="J120" s="1808"/>
      <c r="K120" s="675"/>
    </row>
    <row r="121" spans="1:11">
      <c r="A121" s="847"/>
      <c r="B121" s="1806" t="s">
        <v>5831</v>
      </c>
      <c r="C121" s="1966"/>
      <c r="D121" s="2082"/>
      <c r="E121" s="1806"/>
      <c r="F121" s="2082"/>
      <c r="G121" s="14634" t="s">
        <v>2640</v>
      </c>
      <c r="H121" s="14635"/>
      <c r="I121" s="1968" t="s">
        <v>920</v>
      </c>
      <c r="J121" s="1808" t="s">
        <v>5125</v>
      </c>
      <c r="K121" s="675" t="s">
        <v>5113</v>
      </c>
    </row>
    <row r="122" spans="1:11">
      <c r="A122" s="847"/>
      <c r="B122" s="1806"/>
      <c r="C122" s="1966"/>
      <c r="D122" s="2082"/>
      <c r="E122" s="1806"/>
      <c r="F122" s="2082"/>
      <c r="G122" s="14634" t="s">
        <v>2590</v>
      </c>
      <c r="H122" s="14635"/>
      <c r="I122" s="1968"/>
      <c r="J122" s="1808"/>
      <c r="K122" s="675"/>
    </row>
    <row r="123" spans="1:11" ht="9.9" customHeight="1">
      <c r="A123" s="847"/>
      <c r="B123" s="1806"/>
      <c r="C123" s="1966"/>
      <c r="D123" s="2082"/>
      <c r="E123" s="1806"/>
      <c r="F123" s="2082"/>
      <c r="G123" s="1807"/>
      <c r="H123" s="2079"/>
      <c r="I123" s="1968"/>
      <c r="J123" s="1808"/>
      <c r="K123" s="675"/>
    </row>
    <row r="124" spans="1:11">
      <c r="A124" s="847"/>
      <c r="B124" s="14648" t="s">
        <v>5832</v>
      </c>
      <c r="C124" s="14649"/>
      <c r="D124" s="14650"/>
      <c r="E124" s="14648"/>
      <c r="F124" s="14650"/>
      <c r="G124" s="14634" t="s">
        <v>5833</v>
      </c>
      <c r="H124" s="14635"/>
      <c r="I124" s="1968" t="s">
        <v>920</v>
      </c>
      <c r="J124" s="1808" t="s">
        <v>5125</v>
      </c>
      <c r="K124" s="675" t="s">
        <v>5113</v>
      </c>
    </row>
    <row r="125" spans="1:11" ht="13.5" customHeight="1">
      <c r="A125" s="847"/>
      <c r="B125" s="14648" t="s">
        <v>5834</v>
      </c>
      <c r="C125" s="14649"/>
      <c r="D125" s="14650"/>
      <c r="E125" s="14648"/>
      <c r="F125" s="14650"/>
      <c r="G125" s="14634" t="s">
        <v>1963</v>
      </c>
      <c r="H125" s="14635"/>
      <c r="I125" s="1968"/>
      <c r="J125" s="1808"/>
      <c r="K125" s="675"/>
    </row>
    <row r="126" spans="1:11">
      <c r="A126" s="847"/>
      <c r="B126" s="14648" t="s">
        <v>5835</v>
      </c>
      <c r="C126" s="14649"/>
      <c r="D126" s="14650"/>
      <c r="E126" s="14648"/>
      <c r="F126" s="14650"/>
      <c r="G126" s="14634"/>
      <c r="H126" s="14635"/>
      <c r="I126" s="1968"/>
      <c r="J126" s="1808"/>
      <c r="K126" s="675"/>
    </row>
    <row r="127" spans="1:11">
      <c r="A127" s="847"/>
      <c r="B127" s="1806" t="s">
        <v>5836</v>
      </c>
      <c r="C127" s="1966"/>
      <c r="D127" s="2082"/>
      <c r="E127" s="1806"/>
      <c r="F127" s="2082"/>
      <c r="G127" s="1807"/>
      <c r="H127" s="2079"/>
      <c r="I127" s="1968"/>
      <c r="J127" s="1808"/>
      <c r="K127" s="675"/>
    </row>
    <row r="128" spans="1:11" ht="9.9" customHeight="1">
      <c r="A128" s="847"/>
      <c r="B128" s="1806"/>
      <c r="C128" s="1966"/>
      <c r="D128" s="2082"/>
      <c r="E128" s="1806"/>
      <c r="F128" s="2082"/>
      <c r="G128" s="1807"/>
      <c r="H128" s="2079"/>
      <c r="I128" s="1968"/>
      <c r="J128" s="1808"/>
      <c r="K128" s="675"/>
    </row>
    <row r="129" spans="1:11">
      <c r="A129" s="847"/>
      <c r="B129" s="14648" t="s">
        <v>5837</v>
      </c>
      <c r="C129" s="14649"/>
      <c r="D129" s="14650"/>
      <c r="E129" s="14648"/>
      <c r="F129" s="14650"/>
      <c r="G129" s="14634" t="s">
        <v>5838</v>
      </c>
      <c r="H129" s="14635"/>
      <c r="I129" s="1968" t="s">
        <v>2070</v>
      </c>
      <c r="J129" s="1808" t="s">
        <v>5125</v>
      </c>
      <c r="K129" s="675" t="s">
        <v>5113</v>
      </c>
    </row>
    <row r="130" spans="1:11">
      <c r="A130" s="847"/>
      <c r="B130" s="14648" t="s">
        <v>5839</v>
      </c>
      <c r="C130" s="14649"/>
      <c r="D130" s="14650"/>
      <c r="E130" s="14648"/>
      <c r="F130" s="14650"/>
      <c r="G130" s="14634" t="s">
        <v>5840</v>
      </c>
      <c r="H130" s="14635"/>
      <c r="I130" s="1968"/>
      <c r="J130" s="1808"/>
      <c r="K130" s="675"/>
    </row>
    <row r="131" spans="1:11" ht="9.9" customHeight="1">
      <c r="A131" s="847"/>
      <c r="B131" s="14648"/>
      <c r="C131" s="14649"/>
      <c r="D131" s="14650"/>
      <c r="E131" s="14648"/>
      <c r="F131" s="14650"/>
      <c r="G131" s="14634"/>
      <c r="H131" s="14635"/>
      <c r="I131" s="1968"/>
      <c r="J131" s="1808"/>
      <c r="K131" s="675"/>
    </row>
    <row r="132" spans="1:11">
      <c r="A132" s="847"/>
      <c r="B132" s="1806" t="s">
        <v>5841</v>
      </c>
      <c r="C132" s="1966"/>
      <c r="D132" s="2082"/>
      <c r="E132" s="1806"/>
      <c r="F132" s="2082"/>
      <c r="G132" s="14634" t="s">
        <v>2641</v>
      </c>
      <c r="H132" s="14635"/>
      <c r="I132" s="1968" t="s">
        <v>5842</v>
      </c>
      <c r="J132" s="1808" t="s">
        <v>5125</v>
      </c>
      <c r="K132" s="675" t="s">
        <v>5113</v>
      </c>
    </row>
    <row r="133" spans="1:11">
      <c r="A133" s="847"/>
      <c r="B133" s="1806" t="s">
        <v>1850</v>
      </c>
      <c r="C133" s="1966"/>
      <c r="D133" s="2082"/>
      <c r="E133" s="1806"/>
      <c r="F133" s="2082"/>
      <c r="G133" s="14634" t="s">
        <v>5843</v>
      </c>
      <c r="H133" s="14635"/>
      <c r="I133" s="1968"/>
      <c r="J133" s="1808"/>
      <c r="K133" s="675"/>
    </row>
    <row r="134" spans="1:11" ht="9.9" customHeight="1">
      <c r="A134" s="847"/>
      <c r="B134" s="1806"/>
      <c r="C134" s="1966"/>
      <c r="D134" s="2082"/>
      <c r="E134" s="1806"/>
      <c r="F134" s="2082"/>
      <c r="G134" s="1807"/>
      <c r="H134" s="2079"/>
      <c r="I134" s="1968"/>
      <c r="J134" s="1808"/>
      <c r="K134" s="675"/>
    </row>
    <row r="135" spans="1:11" ht="14.25" customHeight="1">
      <c r="A135" s="847"/>
      <c r="B135" s="1806" t="s">
        <v>5844</v>
      </c>
      <c r="C135" s="1966"/>
      <c r="D135" s="2082"/>
      <c r="E135" s="1806"/>
      <c r="F135" s="2082"/>
      <c r="G135" s="14634" t="s">
        <v>2642</v>
      </c>
      <c r="H135" s="14635"/>
      <c r="I135" s="1968" t="s">
        <v>5845</v>
      </c>
      <c r="J135" s="1808" t="s">
        <v>5125</v>
      </c>
      <c r="K135" s="675" t="s">
        <v>5113</v>
      </c>
    </row>
    <row r="136" spans="1:11">
      <c r="A136" s="847"/>
      <c r="B136" s="1806" t="s">
        <v>5846</v>
      </c>
      <c r="C136" s="1966"/>
      <c r="D136" s="2082"/>
      <c r="E136" s="1806"/>
      <c r="F136" s="2082"/>
      <c r="G136" s="14634" t="s">
        <v>2643</v>
      </c>
      <c r="H136" s="14635"/>
      <c r="I136" s="1968"/>
      <c r="J136" s="1808"/>
      <c r="K136" s="675"/>
    </row>
    <row r="137" spans="1:11">
      <c r="A137" s="847"/>
      <c r="B137" s="1806"/>
      <c r="C137" s="1966"/>
      <c r="D137" s="2082"/>
      <c r="E137" s="1806"/>
      <c r="F137" s="2082"/>
      <c r="G137" s="14634" t="s">
        <v>2644</v>
      </c>
      <c r="H137" s="14635"/>
      <c r="I137" s="1968"/>
      <c r="J137" s="1808"/>
      <c r="K137" s="675"/>
    </row>
    <row r="138" spans="1:11" ht="9.9" customHeight="1">
      <c r="A138" s="847"/>
      <c r="B138" s="14634"/>
      <c r="C138" s="14653"/>
      <c r="D138" s="14635"/>
      <c r="E138" s="14634"/>
      <c r="F138" s="14635"/>
      <c r="G138" s="14634"/>
      <c r="H138" s="14635"/>
      <c r="I138" s="1808"/>
      <c r="J138" s="1808"/>
      <c r="K138" s="1652"/>
    </row>
    <row r="139" spans="1:11" ht="13.5" customHeight="1">
      <c r="A139" s="847"/>
      <c r="B139" s="1806" t="s">
        <v>5847</v>
      </c>
      <c r="C139" s="1966"/>
      <c r="D139" s="2082"/>
      <c r="E139" s="1806"/>
      <c r="F139" s="2082"/>
      <c r="G139" s="14634" t="s">
        <v>5848</v>
      </c>
      <c r="H139" s="14635"/>
      <c r="I139" s="1968" t="s">
        <v>5849</v>
      </c>
      <c r="J139" s="1808" t="s">
        <v>5125</v>
      </c>
      <c r="K139" s="675" t="s">
        <v>5113</v>
      </c>
    </row>
    <row r="140" spans="1:11">
      <c r="A140" s="847"/>
      <c r="B140" s="1806" t="s">
        <v>5850</v>
      </c>
      <c r="C140" s="1966"/>
      <c r="D140" s="2082"/>
      <c r="E140" s="1806"/>
      <c r="F140" s="2082"/>
      <c r="G140" s="14634" t="s">
        <v>5851</v>
      </c>
      <c r="H140" s="14635"/>
      <c r="I140" s="1968"/>
      <c r="J140" s="1808"/>
      <c r="K140" s="675"/>
    </row>
    <row r="141" spans="1:11" ht="5.25" customHeight="1" thickBot="1">
      <c r="A141" s="2084"/>
      <c r="B141" s="2085"/>
      <c r="C141" s="2086"/>
      <c r="D141" s="2087"/>
      <c r="E141" s="2085"/>
      <c r="F141" s="2087"/>
      <c r="G141" s="2099"/>
      <c r="H141" s="2100"/>
      <c r="I141" s="2088"/>
      <c r="J141" s="2089"/>
      <c r="K141" s="2090"/>
    </row>
    <row r="142" spans="1:11">
      <c r="A142" s="2091"/>
      <c r="B142" s="2092"/>
      <c r="C142" s="2092"/>
      <c r="D142" s="2092"/>
      <c r="E142" s="2092"/>
      <c r="F142" s="2092"/>
      <c r="G142" s="2073"/>
      <c r="H142" s="2073"/>
      <c r="I142" s="2073"/>
      <c r="J142" s="2073"/>
      <c r="K142" s="2073"/>
    </row>
    <row r="143" spans="1:11">
      <c r="A143" s="1970"/>
      <c r="B143" s="1966"/>
      <c r="C143" s="1966"/>
      <c r="D143" s="1966"/>
      <c r="E143" s="1966"/>
      <c r="F143" s="1966"/>
      <c r="G143" s="1968"/>
      <c r="H143" s="1968"/>
      <c r="I143" s="1968"/>
      <c r="J143" s="1968"/>
      <c r="K143" s="1968"/>
    </row>
    <row r="144" spans="1:11" s="3640" customFormat="1" ht="15" customHeight="1">
      <c r="A144" s="3421"/>
      <c r="B144" s="3419"/>
      <c r="C144" s="3419"/>
      <c r="D144" s="3419"/>
      <c r="E144" s="3419"/>
      <c r="F144" s="3419"/>
      <c r="G144" s="3420"/>
      <c r="H144" s="3420"/>
      <c r="I144" s="3420"/>
      <c r="J144" s="3420"/>
      <c r="K144" s="3420"/>
    </row>
    <row r="145" spans="1:11" s="3640" customFormat="1" ht="15" customHeight="1">
      <c r="A145" s="3421"/>
      <c r="B145" s="3419"/>
      <c r="C145" s="3419"/>
      <c r="D145" s="3419"/>
      <c r="E145" s="3419"/>
      <c r="F145" s="3419"/>
      <c r="G145" s="3420"/>
      <c r="H145" s="3420"/>
      <c r="I145" s="3420"/>
      <c r="J145" s="3420"/>
      <c r="K145" s="3420"/>
    </row>
    <row r="146" spans="1:11" s="3640" customFormat="1" ht="15" customHeight="1">
      <c r="A146" s="3421"/>
      <c r="B146" s="3419"/>
      <c r="C146" s="3419"/>
      <c r="D146" s="3419"/>
      <c r="E146" s="3419"/>
      <c r="F146" s="3419"/>
      <c r="G146" s="3420"/>
      <c r="H146" s="3420"/>
      <c r="I146" s="3420"/>
      <c r="J146" s="3420"/>
      <c r="K146" s="3420"/>
    </row>
    <row r="147" spans="1:11" s="3640" customFormat="1" ht="15" customHeight="1">
      <c r="A147" s="3421"/>
      <c r="B147" s="3419"/>
      <c r="C147" s="3419"/>
      <c r="D147" s="3419"/>
      <c r="E147" s="3419"/>
      <c r="F147" s="3419"/>
      <c r="G147" s="3420"/>
      <c r="H147" s="3420"/>
      <c r="I147" s="3420"/>
      <c r="J147" s="3420"/>
      <c r="K147" s="3420"/>
    </row>
    <row r="148" spans="1:11">
      <c r="A148" s="847"/>
      <c r="B148" s="1806" t="s">
        <v>5852</v>
      </c>
      <c r="C148" s="1966"/>
      <c r="D148" s="2082"/>
      <c r="E148" s="1806"/>
      <c r="F148" s="2082"/>
      <c r="G148" s="14634" t="s">
        <v>2645</v>
      </c>
      <c r="H148" s="14635"/>
      <c r="I148" s="1968" t="s">
        <v>4543</v>
      </c>
      <c r="J148" s="1808" t="s">
        <v>5125</v>
      </c>
      <c r="K148" s="675" t="s">
        <v>5113</v>
      </c>
    </row>
    <row r="149" spans="1:11">
      <c r="A149" s="847"/>
      <c r="B149" s="1806" t="s">
        <v>1850</v>
      </c>
      <c r="C149" s="1966"/>
      <c r="D149" s="2082"/>
      <c r="E149" s="1806"/>
      <c r="F149" s="2082"/>
      <c r="G149" s="14634" t="s">
        <v>2646</v>
      </c>
      <c r="H149" s="14635"/>
      <c r="I149" s="1968"/>
      <c r="J149" s="1808"/>
      <c r="K149" s="675"/>
    </row>
    <row r="150" spans="1:11" ht="9.9" customHeight="1">
      <c r="A150" s="847"/>
      <c r="B150" s="1806"/>
      <c r="C150" s="1966"/>
      <c r="D150" s="2082"/>
      <c r="E150" s="1806"/>
      <c r="F150" s="2082"/>
      <c r="G150" s="1807"/>
      <c r="H150" s="2079"/>
      <c r="I150" s="1968"/>
      <c r="J150" s="1808"/>
      <c r="K150" s="675"/>
    </row>
    <row r="151" spans="1:11" ht="14.25" customHeight="1">
      <c r="A151" s="847"/>
      <c r="B151" s="1806" t="s">
        <v>5853</v>
      </c>
      <c r="C151" s="1966"/>
      <c r="D151" s="2082"/>
      <c r="E151" s="1806"/>
      <c r="F151" s="2082"/>
      <c r="G151" s="14634" t="s">
        <v>5854</v>
      </c>
      <c r="H151" s="14635"/>
      <c r="I151" s="1968" t="s">
        <v>4544</v>
      </c>
      <c r="J151" s="1808" t="s">
        <v>5125</v>
      </c>
      <c r="K151" s="675" t="s">
        <v>5113</v>
      </c>
    </row>
    <row r="152" spans="1:11" ht="14.25" customHeight="1">
      <c r="A152" s="847"/>
      <c r="B152" s="1806" t="s">
        <v>5855</v>
      </c>
      <c r="C152" s="1966"/>
      <c r="D152" s="2082"/>
      <c r="E152" s="1806"/>
      <c r="F152" s="2082"/>
      <c r="G152" s="14634" t="s">
        <v>4823</v>
      </c>
      <c r="H152" s="14635"/>
      <c r="I152" s="1968"/>
      <c r="J152" s="1808"/>
      <c r="K152" s="675"/>
    </row>
    <row r="153" spans="1:11" ht="9.9" customHeight="1">
      <c r="A153" s="847"/>
      <c r="B153" s="1806"/>
      <c r="C153" s="1966"/>
      <c r="D153" s="2082"/>
      <c r="E153" s="1806"/>
      <c r="F153" s="2082"/>
      <c r="G153" s="1807"/>
      <c r="H153" s="2079"/>
      <c r="I153" s="1968"/>
      <c r="J153" s="1808"/>
      <c r="K153" s="675"/>
    </row>
    <row r="154" spans="1:11">
      <c r="A154" s="847"/>
      <c r="B154" s="1806" t="s">
        <v>5856</v>
      </c>
      <c r="C154" s="1966"/>
      <c r="D154" s="2082"/>
      <c r="E154" s="1806"/>
      <c r="F154" s="2082"/>
      <c r="G154" s="14634" t="s">
        <v>2647</v>
      </c>
      <c r="H154" s="14635"/>
      <c r="I154" s="1968" t="s">
        <v>3424</v>
      </c>
      <c r="J154" s="1808" t="s">
        <v>5125</v>
      </c>
      <c r="K154" s="675" t="s">
        <v>5113</v>
      </c>
    </row>
    <row r="155" spans="1:11">
      <c r="A155" s="847"/>
      <c r="B155" s="1806"/>
      <c r="C155" s="1966"/>
      <c r="D155" s="2082"/>
      <c r="E155" s="1806"/>
      <c r="F155" s="2082"/>
      <c r="G155" s="14634" t="s">
        <v>2648</v>
      </c>
      <c r="H155" s="14635"/>
      <c r="I155" s="1968"/>
      <c r="J155" s="1808"/>
      <c r="K155" s="675"/>
    </row>
    <row r="156" spans="1:11" ht="9.9" customHeight="1">
      <c r="A156" s="847"/>
      <c r="B156" s="1806"/>
      <c r="C156" s="1966"/>
      <c r="D156" s="2082"/>
      <c r="E156" s="1806"/>
      <c r="F156" s="2082"/>
      <c r="G156" s="1807"/>
      <c r="H156" s="2079"/>
      <c r="I156" s="1968"/>
      <c r="J156" s="1808"/>
      <c r="K156" s="675"/>
    </row>
    <row r="157" spans="1:11">
      <c r="A157" s="847"/>
      <c r="B157" s="1806" t="s">
        <v>5857</v>
      </c>
      <c r="C157" s="1966"/>
      <c r="D157" s="2082"/>
      <c r="E157" s="1806"/>
      <c r="F157" s="2082"/>
      <c r="G157" s="14634" t="s">
        <v>5858</v>
      </c>
      <c r="H157" s="14635"/>
      <c r="I157" s="1968" t="s">
        <v>5859</v>
      </c>
      <c r="J157" s="1808" t="s">
        <v>5125</v>
      </c>
      <c r="K157" s="675" t="s">
        <v>5113</v>
      </c>
    </row>
    <row r="158" spans="1:11">
      <c r="A158" s="847"/>
      <c r="B158" s="1806"/>
      <c r="C158" s="1966"/>
      <c r="D158" s="2082"/>
      <c r="E158" s="1806"/>
      <c r="F158" s="2082"/>
      <c r="G158" s="14634" t="s">
        <v>2649</v>
      </c>
      <c r="H158" s="14635"/>
      <c r="I158" s="1968"/>
      <c r="J158" s="1808"/>
      <c r="K158" s="675"/>
    </row>
    <row r="159" spans="1:11" ht="9.9" customHeight="1">
      <c r="A159" s="847"/>
      <c r="B159" s="1806"/>
      <c r="C159" s="1966"/>
      <c r="D159" s="2082"/>
      <c r="E159" s="1806"/>
      <c r="F159" s="2082"/>
      <c r="G159" s="1807"/>
      <c r="H159" s="2079"/>
      <c r="I159" s="1968"/>
      <c r="J159" s="1808"/>
      <c r="K159" s="675"/>
    </row>
    <row r="160" spans="1:11">
      <c r="A160" s="847"/>
      <c r="B160" s="14648" t="s">
        <v>5860</v>
      </c>
      <c r="C160" s="14649"/>
      <c r="D160" s="14650"/>
      <c r="E160" s="14648"/>
      <c r="F160" s="14650"/>
      <c r="G160" s="14634" t="s">
        <v>2618</v>
      </c>
      <c r="H160" s="14635"/>
      <c r="I160" s="1968" t="s">
        <v>1901</v>
      </c>
      <c r="J160" s="1808" t="s">
        <v>5125</v>
      </c>
      <c r="K160" s="675" t="s">
        <v>5113</v>
      </c>
    </row>
    <row r="161" spans="1:11">
      <c r="A161" s="847"/>
      <c r="B161" s="14648"/>
      <c r="C161" s="14649"/>
      <c r="D161" s="14650"/>
      <c r="E161" s="14648"/>
      <c r="F161" s="14650"/>
      <c r="G161" s="14634"/>
      <c r="H161" s="14635"/>
      <c r="I161" s="1968"/>
      <c r="J161" s="1808"/>
      <c r="K161" s="675"/>
    </row>
    <row r="162" spans="1:11">
      <c r="A162" s="847"/>
      <c r="B162" s="14659" t="s">
        <v>5861</v>
      </c>
      <c r="C162" s="14660"/>
      <c r="D162" s="14661"/>
      <c r="E162" s="14657">
        <v>400000</v>
      </c>
      <c r="F162" s="14658"/>
      <c r="G162" s="14662"/>
      <c r="H162" s="14664"/>
      <c r="I162" s="1968"/>
      <c r="J162" s="1808"/>
      <c r="K162" s="675"/>
    </row>
    <row r="163" spans="1:11">
      <c r="A163" s="847"/>
      <c r="B163" s="14631" t="s">
        <v>2650</v>
      </c>
      <c r="C163" s="14632"/>
      <c r="D163" s="14633"/>
      <c r="E163" s="14634"/>
      <c r="F163" s="14635"/>
      <c r="G163" s="14662"/>
      <c r="H163" s="14664"/>
      <c r="I163" s="1968"/>
      <c r="J163" s="1808"/>
      <c r="K163" s="675"/>
    </row>
    <row r="164" spans="1:11" ht="9.9" customHeight="1">
      <c r="A164" s="847"/>
      <c r="B164" s="14648"/>
      <c r="C164" s="14649"/>
      <c r="D164" s="14650"/>
      <c r="E164" s="14634"/>
      <c r="F164" s="14635"/>
      <c r="G164" s="14662"/>
      <c r="H164" s="14664"/>
      <c r="I164" s="1968"/>
      <c r="J164" s="1808"/>
      <c r="K164" s="675"/>
    </row>
    <row r="165" spans="1:11">
      <c r="A165" s="847"/>
      <c r="B165" s="14648" t="s">
        <v>5862</v>
      </c>
      <c r="C165" s="14649"/>
      <c r="D165" s="14650"/>
      <c r="E165" s="1807"/>
      <c r="F165" s="2079"/>
      <c r="G165" s="14634" t="s">
        <v>2651</v>
      </c>
      <c r="H165" s="14635"/>
      <c r="I165" s="1968" t="s">
        <v>2652</v>
      </c>
      <c r="J165" s="1808" t="s">
        <v>5125</v>
      </c>
      <c r="K165" s="675" t="s">
        <v>5113</v>
      </c>
    </row>
    <row r="166" spans="1:11">
      <c r="A166" s="847"/>
      <c r="B166" s="14648" t="s">
        <v>5863</v>
      </c>
      <c r="C166" s="14649"/>
      <c r="D166" s="14650"/>
      <c r="E166" s="14634"/>
      <c r="F166" s="14635"/>
      <c r="G166" s="14634" t="s">
        <v>2653</v>
      </c>
      <c r="H166" s="14635"/>
      <c r="I166" s="1968" t="s">
        <v>5864</v>
      </c>
      <c r="J166" s="1808"/>
      <c r="K166" s="675"/>
    </row>
    <row r="167" spans="1:11">
      <c r="A167" s="847"/>
      <c r="B167" s="14648"/>
      <c r="C167" s="14649"/>
      <c r="D167" s="14650"/>
      <c r="E167" s="14634"/>
      <c r="F167" s="14635"/>
      <c r="G167" s="14634" t="s">
        <v>2654</v>
      </c>
      <c r="H167" s="14635"/>
      <c r="I167" s="1968"/>
      <c r="J167" s="1808"/>
      <c r="K167" s="675"/>
    </row>
    <row r="168" spans="1:11" ht="9.9" customHeight="1">
      <c r="A168" s="847"/>
      <c r="B168" s="1806"/>
      <c r="C168" s="1966"/>
      <c r="D168" s="2082"/>
      <c r="E168" s="1807"/>
      <c r="F168" s="2079"/>
      <c r="G168" s="1807"/>
      <c r="H168" s="2079"/>
      <c r="I168" s="1968"/>
      <c r="J168" s="1808"/>
      <c r="K168" s="675"/>
    </row>
    <row r="169" spans="1:11">
      <c r="A169" s="847"/>
      <c r="B169" s="1806" t="s">
        <v>5865</v>
      </c>
      <c r="C169" s="1966"/>
      <c r="D169" s="2082"/>
      <c r="E169" s="1807"/>
      <c r="F169" s="2079"/>
      <c r="G169" s="14634" t="s">
        <v>2655</v>
      </c>
      <c r="H169" s="14635"/>
      <c r="I169" s="1968" t="s">
        <v>5866</v>
      </c>
      <c r="J169" s="1808" t="s">
        <v>5125</v>
      </c>
      <c r="K169" s="675" t="s">
        <v>5113</v>
      </c>
    </row>
    <row r="170" spans="1:11">
      <c r="A170" s="847"/>
      <c r="B170" s="1806" t="s">
        <v>5867</v>
      </c>
      <c r="C170" s="1966"/>
      <c r="D170" s="2082"/>
      <c r="E170" s="1807"/>
      <c r="F170" s="2079"/>
      <c r="G170" s="14634" t="s">
        <v>1963</v>
      </c>
      <c r="H170" s="14635"/>
      <c r="I170" s="1968"/>
      <c r="J170" s="1808"/>
      <c r="K170" s="675"/>
    </row>
    <row r="171" spans="1:11" ht="9.9" customHeight="1">
      <c r="A171" s="847"/>
      <c r="B171" s="1806"/>
      <c r="C171" s="1966"/>
      <c r="D171" s="2082"/>
      <c r="E171" s="1807"/>
      <c r="F171" s="2079"/>
      <c r="G171" s="1807"/>
      <c r="H171" s="2079"/>
      <c r="I171" s="1968"/>
      <c r="J171" s="1808"/>
      <c r="K171" s="675"/>
    </row>
    <row r="172" spans="1:11">
      <c r="A172" s="847"/>
      <c r="B172" s="14648" t="s">
        <v>5868</v>
      </c>
      <c r="C172" s="14649"/>
      <c r="D172" s="14650"/>
      <c r="E172" s="14634"/>
      <c r="F172" s="14635"/>
      <c r="G172" s="14634" t="s">
        <v>2656</v>
      </c>
      <c r="H172" s="14635"/>
      <c r="I172" s="1968" t="s">
        <v>2631</v>
      </c>
      <c r="J172" s="1808" t="s">
        <v>5125</v>
      </c>
      <c r="K172" s="675" t="s">
        <v>5113</v>
      </c>
    </row>
    <row r="173" spans="1:11">
      <c r="A173" s="847"/>
      <c r="B173" s="1806" t="s">
        <v>5869</v>
      </c>
      <c r="C173" s="1966"/>
      <c r="D173" s="2082"/>
      <c r="E173" s="1807"/>
      <c r="F173" s="2079"/>
      <c r="G173" s="14634" t="s">
        <v>2657</v>
      </c>
      <c r="H173" s="14635"/>
      <c r="I173" s="1968"/>
      <c r="J173" s="1808"/>
      <c r="K173" s="675"/>
    </row>
    <row r="174" spans="1:11">
      <c r="A174" s="847"/>
      <c r="B174" s="14648" t="s">
        <v>5870</v>
      </c>
      <c r="C174" s="14649"/>
      <c r="D174" s="14650"/>
      <c r="E174" s="14634"/>
      <c r="F174" s="14635"/>
      <c r="G174" s="14634" t="s">
        <v>2658</v>
      </c>
      <c r="H174" s="14635"/>
      <c r="I174" s="1968"/>
      <c r="J174" s="1808"/>
      <c r="K174" s="675"/>
    </row>
    <row r="175" spans="1:11">
      <c r="A175" s="847"/>
      <c r="B175" s="1806"/>
      <c r="C175" s="1966"/>
      <c r="D175" s="2082"/>
      <c r="E175" s="1807"/>
      <c r="F175" s="2079"/>
      <c r="G175" s="14634" t="s">
        <v>2659</v>
      </c>
      <c r="H175" s="14635"/>
      <c r="I175" s="1968"/>
      <c r="J175" s="1808"/>
      <c r="K175" s="675"/>
    </row>
    <row r="176" spans="1:11">
      <c r="A176" s="847"/>
      <c r="B176" s="14648"/>
      <c r="C176" s="14649"/>
      <c r="D176" s="14650"/>
      <c r="E176" s="14634"/>
      <c r="F176" s="14635"/>
      <c r="G176" s="14634" t="s">
        <v>2660</v>
      </c>
      <c r="H176" s="14635"/>
      <c r="I176" s="1968"/>
      <c r="J176" s="1808"/>
      <c r="K176" s="675"/>
    </row>
    <row r="177" spans="1:11">
      <c r="A177" s="847"/>
      <c r="B177" s="1806"/>
      <c r="C177" s="1966"/>
      <c r="D177" s="2082"/>
      <c r="E177" s="1807"/>
      <c r="F177" s="2079"/>
      <c r="G177" s="14634" t="s">
        <v>2661</v>
      </c>
      <c r="H177" s="14635"/>
      <c r="I177" s="1968"/>
      <c r="J177" s="1808"/>
      <c r="K177" s="675"/>
    </row>
    <row r="178" spans="1:11" ht="9.9" customHeight="1">
      <c r="A178" s="847"/>
      <c r="B178" s="1806"/>
      <c r="C178" s="1966"/>
      <c r="D178" s="2082"/>
      <c r="E178" s="1807"/>
      <c r="F178" s="2079"/>
      <c r="G178" s="1807"/>
      <c r="H178" s="2079"/>
      <c r="I178" s="1968"/>
      <c r="J178" s="1808"/>
      <c r="K178" s="675"/>
    </row>
    <row r="179" spans="1:11">
      <c r="A179" s="847"/>
      <c r="B179" s="1806" t="s">
        <v>5871</v>
      </c>
      <c r="C179" s="1966"/>
      <c r="D179" s="2082"/>
      <c r="E179" s="1807"/>
      <c r="F179" s="2079"/>
      <c r="G179" s="14634" t="s">
        <v>2662</v>
      </c>
      <c r="H179" s="14635"/>
      <c r="I179" s="1968" t="s">
        <v>5872</v>
      </c>
      <c r="J179" s="1808" t="s">
        <v>5125</v>
      </c>
      <c r="K179" s="675" t="s">
        <v>5113</v>
      </c>
    </row>
    <row r="180" spans="1:11">
      <c r="A180" s="847"/>
      <c r="B180" s="1806" t="s">
        <v>2583</v>
      </c>
      <c r="C180" s="1966"/>
      <c r="D180" s="2082"/>
      <c r="E180" s="1807"/>
      <c r="F180" s="2079"/>
      <c r="G180" s="14634" t="s">
        <v>1963</v>
      </c>
      <c r="H180" s="14635"/>
      <c r="I180" s="1968" t="s">
        <v>5873</v>
      </c>
      <c r="J180" s="1808"/>
      <c r="K180" s="675"/>
    </row>
    <row r="181" spans="1:11" ht="9.9" customHeight="1">
      <c r="A181" s="847"/>
      <c r="B181" s="1806"/>
      <c r="C181" s="1966"/>
      <c r="D181" s="2082"/>
      <c r="E181" s="1807"/>
      <c r="F181" s="2079"/>
      <c r="G181" s="1807"/>
      <c r="H181" s="2079"/>
      <c r="I181" s="1968"/>
      <c r="J181" s="1808"/>
      <c r="K181" s="675"/>
    </row>
    <row r="182" spans="1:11">
      <c r="A182" s="847"/>
      <c r="B182" s="1806" t="s">
        <v>5874</v>
      </c>
      <c r="C182" s="1966"/>
      <c r="D182" s="2082"/>
      <c r="E182" s="1807"/>
      <c r="F182" s="2079"/>
      <c r="G182" s="14634" t="s">
        <v>2663</v>
      </c>
      <c r="H182" s="14635"/>
      <c r="I182" s="1968" t="s">
        <v>2608</v>
      </c>
      <c r="J182" s="1808" t="s">
        <v>5125</v>
      </c>
      <c r="K182" s="675" t="s">
        <v>5113</v>
      </c>
    </row>
    <row r="183" spans="1:11" s="679" customFormat="1">
      <c r="A183" s="847"/>
      <c r="B183" s="14648" t="s">
        <v>5875</v>
      </c>
      <c r="C183" s="14649"/>
      <c r="D183" s="14650"/>
      <c r="E183" s="14634"/>
      <c r="F183" s="14635"/>
      <c r="G183" s="14634" t="s">
        <v>2664</v>
      </c>
      <c r="H183" s="14635"/>
      <c r="I183" s="1968"/>
      <c r="J183" s="1808"/>
      <c r="K183" s="675"/>
    </row>
    <row r="184" spans="1:11" s="679" customFormat="1">
      <c r="A184" s="847"/>
      <c r="B184" s="1806"/>
      <c r="C184" s="1966"/>
      <c r="D184" s="2082"/>
      <c r="E184" s="1807"/>
      <c r="F184" s="2079"/>
      <c r="G184" s="14634" t="s">
        <v>2588</v>
      </c>
      <c r="H184" s="14635"/>
      <c r="I184" s="1968"/>
      <c r="J184" s="1808"/>
      <c r="K184" s="675"/>
    </row>
    <row r="185" spans="1:11" s="679" customFormat="1" ht="9.9" customHeight="1">
      <c r="A185" s="847"/>
      <c r="B185" s="1806"/>
      <c r="C185" s="1966"/>
      <c r="D185" s="2082"/>
      <c r="E185" s="1807"/>
      <c r="F185" s="2079"/>
      <c r="G185" s="1807"/>
      <c r="H185" s="2079"/>
      <c r="I185" s="1968"/>
      <c r="J185" s="1808"/>
      <c r="K185" s="675"/>
    </row>
    <row r="186" spans="1:11" s="679" customFormat="1">
      <c r="A186" s="847"/>
      <c r="B186" s="14648" t="s">
        <v>5876</v>
      </c>
      <c r="C186" s="14649"/>
      <c r="D186" s="14650"/>
      <c r="E186" s="14634"/>
      <c r="F186" s="14635"/>
      <c r="G186" s="14634" t="s">
        <v>2665</v>
      </c>
      <c r="H186" s="14635"/>
      <c r="I186" s="1968" t="s">
        <v>2608</v>
      </c>
      <c r="J186" s="1808" t="s">
        <v>5125</v>
      </c>
      <c r="K186" s="675" t="s">
        <v>5113</v>
      </c>
    </row>
    <row r="187" spans="1:11">
      <c r="A187" s="847"/>
      <c r="B187" s="14648" t="s">
        <v>5877</v>
      </c>
      <c r="C187" s="14649"/>
      <c r="D187" s="14650"/>
      <c r="E187" s="14634"/>
      <c r="F187" s="14635"/>
      <c r="G187" s="14634" t="s">
        <v>2666</v>
      </c>
      <c r="H187" s="14635"/>
      <c r="I187" s="1968"/>
      <c r="J187" s="1808"/>
      <c r="K187" s="675"/>
    </row>
    <row r="188" spans="1:11" ht="9.9" customHeight="1">
      <c r="A188" s="1135"/>
      <c r="B188" s="2096"/>
      <c r="C188" s="1965"/>
      <c r="D188" s="2097"/>
      <c r="E188" s="2096"/>
      <c r="F188" s="2097"/>
      <c r="G188" s="2096"/>
      <c r="H188" s="2097"/>
      <c r="I188" s="1965"/>
      <c r="J188" s="2098"/>
      <c r="K188" s="676"/>
    </row>
    <row r="189" spans="1:11">
      <c r="A189" s="1136"/>
      <c r="B189" s="2101" t="s">
        <v>5878</v>
      </c>
      <c r="C189" s="677"/>
      <c r="D189" s="2102"/>
      <c r="E189" s="2101"/>
      <c r="F189" s="2102"/>
      <c r="G189" s="14673" t="s">
        <v>2667</v>
      </c>
      <c r="H189" s="14674"/>
      <c r="I189" s="678">
        <v>150</v>
      </c>
      <c r="J189" s="1808" t="s">
        <v>5125</v>
      </c>
      <c r="K189" s="675" t="s">
        <v>5113</v>
      </c>
    </row>
    <row r="190" spans="1:11">
      <c r="A190" s="1136"/>
      <c r="B190" s="2101" t="s">
        <v>5879</v>
      </c>
      <c r="C190" s="677"/>
      <c r="D190" s="2102"/>
      <c r="E190" s="2101"/>
      <c r="F190" s="2102"/>
      <c r="G190" s="14673" t="s">
        <v>2668</v>
      </c>
      <c r="H190" s="14674"/>
      <c r="I190" s="678" t="s">
        <v>5880</v>
      </c>
      <c r="J190" s="1808"/>
      <c r="K190" s="675"/>
    </row>
    <row r="191" spans="1:11">
      <c r="A191" s="1136"/>
      <c r="B191" s="2101" t="s">
        <v>5881</v>
      </c>
      <c r="C191" s="677"/>
      <c r="D191" s="2102"/>
      <c r="E191" s="2101"/>
      <c r="F191" s="2102"/>
      <c r="G191" s="2101"/>
      <c r="H191" s="2102"/>
      <c r="I191" s="678"/>
      <c r="J191" s="2103"/>
      <c r="K191" s="680"/>
    </row>
    <row r="192" spans="1:11" ht="9.9" customHeight="1">
      <c r="A192" s="1136"/>
      <c r="B192" s="2101"/>
      <c r="C192" s="677"/>
      <c r="D192" s="2102"/>
      <c r="E192" s="2101"/>
      <c r="F192" s="2102"/>
      <c r="G192" s="2101"/>
      <c r="H192" s="2102"/>
      <c r="I192" s="678"/>
      <c r="J192" s="2103"/>
      <c r="K192" s="680"/>
    </row>
    <row r="193" spans="1:11" ht="12" customHeight="1">
      <c r="A193" s="847"/>
      <c r="B193" s="14668" t="s">
        <v>5882</v>
      </c>
      <c r="C193" s="14675"/>
      <c r="D193" s="14676"/>
      <c r="E193" s="14634"/>
      <c r="F193" s="14635"/>
      <c r="G193" s="14671" t="s">
        <v>5883</v>
      </c>
      <c r="H193" s="14672"/>
      <c r="I193" s="1968" t="s">
        <v>5884</v>
      </c>
      <c r="J193" s="1808" t="s">
        <v>5125</v>
      </c>
      <c r="K193" s="675" t="s">
        <v>5113</v>
      </c>
    </row>
    <row r="194" spans="1:11" ht="9.9" customHeight="1">
      <c r="A194" s="847"/>
      <c r="B194" s="14648"/>
      <c r="C194" s="14649"/>
      <c r="D194" s="14650"/>
      <c r="E194" s="14634"/>
      <c r="F194" s="14635"/>
      <c r="G194" s="14634"/>
      <c r="H194" s="14635"/>
      <c r="I194" s="1968"/>
      <c r="J194" s="1808"/>
      <c r="K194" s="675"/>
    </row>
    <row r="195" spans="1:11">
      <c r="A195" s="847"/>
      <c r="B195" s="14668" t="s">
        <v>5885</v>
      </c>
      <c r="C195" s="14669"/>
      <c r="D195" s="14670"/>
      <c r="E195" s="1807"/>
      <c r="F195" s="2079"/>
      <c r="G195" s="14671" t="s">
        <v>5886</v>
      </c>
      <c r="H195" s="14672"/>
      <c r="I195" s="1968" t="s">
        <v>5887</v>
      </c>
      <c r="J195" s="1808" t="s">
        <v>5125</v>
      </c>
      <c r="K195" s="675" t="s">
        <v>5113</v>
      </c>
    </row>
    <row r="196" spans="1:11" ht="9.9" customHeight="1">
      <c r="A196" s="1135"/>
      <c r="B196" s="2096"/>
      <c r="C196" s="1965"/>
      <c r="D196" s="2097"/>
      <c r="E196" s="2096"/>
      <c r="F196" s="2097"/>
      <c r="G196" s="2096"/>
      <c r="H196" s="2097"/>
      <c r="I196" s="1965"/>
      <c r="J196" s="2098"/>
      <c r="K196" s="676"/>
    </row>
    <row r="197" spans="1:11" ht="15" customHeight="1">
      <c r="A197" s="1135"/>
      <c r="B197" s="14668" t="s">
        <v>5888</v>
      </c>
      <c r="C197" s="14669"/>
      <c r="D197" s="14670"/>
      <c r="E197" s="14634"/>
      <c r="F197" s="14635"/>
      <c r="G197" s="14671" t="s">
        <v>5889</v>
      </c>
      <c r="H197" s="14672"/>
      <c r="I197" s="1968" t="s">
        <v>5890</v>
      </c>
      <c r="J197" s="1808" t="s">
        <v>5125</v>
      </c>
      <c r="K197" s="675" t="s">
        <v>5113</v>
      </c>
    </row>
    <row r="198" spans="1:11" ht="9.9" customHeight="1">
      <c r="A198" s="1135"/>
      <c r="B198" s="2096"/>
      <c r="C198" s="1965"/>
      <c r="D198" s="2097"/>
      <c r="E198" s="14626"/>
      <c r="F198" s="14628"/>
      <c r="G198" s="2096"/>
      <c r="H198" s="2097"/>
      <c r="I198" s="1965"/>
      <c r="J198" s="2098"/>
      <c r="K198" s="676"/>
    </row>
    <row r="199" spans="1:11">
      <c r="A199" s="847"/>
      <c r="B199" s="14668" t="s">
        <v>5891</v>
      </c>
      <c r="C199" s="14669"/>
      <c r="D199" s="14670"/>
      <c r="E199" s="14634"/>
      <c r="F199" s="14635"/>
      <c r="G199" s="14671" t="s">
        <v>5892</v>
      </c>
      <c r="H199" s="14672"/>
      <c r="I199" s="1968" t="s">
        <v>5893</v>
      </c>
      <c r="J199" s="1808" t="s">
        <v>5125</v>
      </c>
      <c r="K199" s="675" t="s">
        <v>5113</v>
      </c>
    </row>
    <row r="200" spans="1:11" ht="9.9" customHeight="1">
      <c r="A200" s="847"/>
      <c r="B200" s="14648"/>
      <c r="C200" s="14649"/>
      <c r="D200" s="14650"/>
      <c r="E200" s="14634"/>
      <c r="F200" s="14635"/>
      <c r="G200" s="14634"/>
      <c r="H200" s="14635"/>
      <c r="I200" s="1968"/>
      <c r="J200" s="1808"/>
      <c r="K200" s="675"/>
    </row>
    <row r="201" spans="1:11">
      <c r="A201" s="847"/>
      <c r="B201" s="14648" t="s">
        <v>5894</v>
      </c>
      <c r="C201" s="14649"/>
      <c r="D201" s="14650"/>
      <c r="E201" s="14634"/>
      <c r="F201" s="14635"/>
      <c r="G201" s="14634" t="s">
        <v>2670</v>
      </c>
      <c r="H201" s="14635"/>
      <c r="I201" s="1968" t="s">
        <v>932</v>
      </c>
      <c r="J201" s="1808" t="s">
        <v>5125</v>
      </c>
      <c r="K201" s="675" t="s">
        <v>5113</v>
      </c>
    </row>
    <row r="202" spans="1:11">
      <c r="A202" s="847"/>
      <c r="B202" s="14648" t="s">
        <v>2671</v>
      </c>
      <c r="C202" s="14649"/>
      <c r="D202" s="14650"/>
      <c r="E202" s="14634"/>
      <c r="F202" s="14635"/>
      <c r="G202" s="14634" t="s">
        <v>2672</v>
      </c>
      <c r="H202" s="14635"/>
      <c r="I202" s="1968"/>
      <c r="J202" s="2076"/>
      <c r="K202" s="674"/>
    </row>
    <row r="203" spans="1:11" ht="9.9" customHeight="1">
      <c r="A203" s="847"/>
      <c r="B203" s="14648"/>
      <c r="C203" s="14649"/>
      <c r="D203" s="14650"/>
      <c r="E203" s="14634"/>
      <c r="F203" s="14635"/>
      <c r="G203" s="14634"/>
      <c r="H203" s="14635"/>
      <c r="I203" s="1968"/>
      <c r="J203" s="2076"/>
      <c r="K203" s="674"/>
    </row>
    <row r="204" spans="1:11">
      <c r="A204" s="847"/>
      <c r="B204" s="14668" t="s">
        <v>5895</v>
      </c>
      <c r="C204" s="14669"/>
      <c r="D204" s="14670"/>
      <c r="E204" s="1807"/>
      <c r="F204" s="2079"/>
      <c r="G204" s="14671" t="s">
        <v>5896</v>
      </c>
      <c r="H204" s="14672"/>
      <c r="I204" s="1968" t="s">
        <v>5897</v>
      </c>
      <c r="J204" s="1808" t="s">
        <v>5125</v>
      </c>
      <c r="K204" s="675" t="s">
        <v>5113</v>
      </c>
    </row>
    <row r="205" spans="1:11" ht="9.9" customHeight="1">
      <c r="A205" s="847"/>
      <c r="B205" s="2104"/>
      <c r="C205" s="2105"/>
      <c r="D205" s="2106"/>
      <c r="E205" s="1807"/>
      <c r="F205" s="2079"/>
      <c r="G205" s="2107"/>
      <c r="H205" s="2108"/>
      <c r="I205" s="1968"/>
      <c r="J205" s="1808"/>
      <c r="K205" s="675"/>
    </row>
    <row r="206" spans="1:11">
      <c r="A206" s="847"/>
      <c r="B206" s="14668" t="s">
        <v>5898</v>
      </c>
      <c r="C206" s="14669"/>
      <c r="D206" s="14670"/>
      <c r="E206" s="1807"/>
      <c r="F206" s="2079"/>
      <c r="G206" s="14671" t="s">
        <v>5899</v>
      </c>
      <c r="H206" s="14672"/>
      <c r="I206" s="1968" t="s">
        <v>5900</v>
      </c>
      <c r="J206" s="1808" t="s">
        <v>5125</v>
      </c>
      <c r="K206" s="675" t="s">
        <v>5113</v>
      </c>
    </row>
    <row r="207" spans="1:11" ht="9.9" customHeight="1">
      <c r="A207" s="847"/>
      <c r="B207" s="1806"/>
      <c r="C207" s="1966"/>
      <c r="D207" s="2082"/>
      <c r="E207" s="1807"/>
      <c r="F207" s="2079"/>
      <c r="G207" s="1807"/>
      <c r="H207" s="2079"/>
      <c r="I207" s="1968"/>
      <c r="J207" s="2076"/>
      <c r="K207" s="674"/>
    </row>
    <row r="208" spans="1:11">
      <c r="A208" s="847"/>
      <c r="B208" s="14668" t="s">
        <v>5901</v>
      </c>
      <c r="C208" s="14669"/>
      <c r="D208" s="14670"/>
      <c r="E208" s="1807"/>
      <c r="F208" s="2079"/>
      <c r="G208" s="14671" t="s">
        <v>5902</v>
      </c>
      <c r="H208" s="14672"/>
      <c r="I208" s="1968" t="s">
        <v>5903</v>
      </c>
      <c r="J208" s="1808" t="s">
        <v>5125</v>
      </c>
      <c r="K208" s="675" t="s">
        <v>5113</v>
      </c>
    </row>
    <row r="209" spans="1:11" ht="9.9" customHeight="1">
      <c r="A209" s="847"/>
      <c r="B209" s="1806"/>
      <c r="C209" s="1966"/>
      <c r="D209" s="2082"/>
      <c r="E209" s="1807"/>
      <c r="F209" s="2079"/>
      <c r="G209" s="1807"/>
      <c r="H209" s="2079"/>
      <c r="I209" s="1968"/>
      <c r="J209" s="2076"/>
      <c r="K209" s="674"/>
    </row>
    <row r="210" spans="1:11">
      <c r="A210" s="847"/>
      <c r="B210" s="14668" t="s">
        <v>5904</v>
      </c>
      <c r="C210" s="14669"/>
      <c r="D210" s="14670"/>
      <c r="E210" s="1807"/>
      <c r="F210" s="2079"/>
      <c r="G210" s="14671" t="s">
        <v>5905</v>
      </c>
      <c r="H210" s="14672"/>
      <c r="I210" s="2109" t="s">
        <v>1820</v>
      </c>
      <c r="J210" s="1808" t="s">
        <v>5125</v>
      </c>
      <c r="K210" s="675" t="s">
        <v>5113</v>
      </c>
    </row>
    <row r="211" spans="1:11" ht="9.9" customHeight="1">
      <c r="A211" s="847"/>
      <c r="B211" s="1806"/>
      <c r="C211" s="1966"/>
      <c r="D211" s="2082"/>
      <c r="E211" s="1807"/>
      <c r="F211" s="2079"/>
      <c r="G211" s="1807"/>
      <c r="H211" s="2079"/>
      <c r="I211" s="1968"/>
      <c r="J211" s="2076"/>
      <c r="K211" s="674"/>
    </row>
    <row r="212" spans="1:11">
      <c r="A212" s="847"/>
      <c r="B212" s="1806" t="s">
        <v>5906</v>
      </c>
      <c r="C212" s="1966"/>
      <c r="D212" s="2082"/>
      <c r="E212" s="1807"/>
      <c r="F212" s="2079"/>
      <c r="G212" s="14634" t="s">
        <v>2674</v>
      </c>
      <c r="H212" s="14635"/>
      <c r="I212" s="1968" t="s">
        <v>5907</v>
      </c>
      <c r="J212" s="1808" t="s">
        <v>5125</v>
      </c>
      <c r="K212" s="675" t="s">
        <v>5113</v>
      </c>
    </row>
    <row r="213" spans="1:11">
      <c r="A213" s="847"/>
      <c r="B213" s="14648" t="s">
        <v>5908</v>
      </c>
      <c r="C213" s="14649"/>
      <c r="D213" s="14650"/>
      <c r="E213" s="1807"/>
      <c r="F213" s="2079"/>
      <c r="G213" s="14634" t="s">
        <v>5909</v>
      </c>
      <c r="H213" s="14635"/>
      <c r="I213" s="1968"/>
      <c r="J213" s="2076"/>
      <c r="K213" s="674"/>
    </row>
    <row r="214" spans="1:11" ht="9.9" customHeight="1">
      <c r="A214" s="847"/>
      <c r="B214" s="1806"/>
      <c r="C214" s="1966"/>
      <c r="D214" s="2082"/>
      <c r="E214" s="1807"/>
      <c r="F214" s="2079"/>
      <c r="G214" s="1807"/>
      <c r="H214" s="2079"/>
      <c r="I214" s="1968"/>
      <c r="J214" s="2076"/>
      <c r="K214" s="674"/>
    </row>
    <row r="215" spans="1:11">
      <c r="A215" s="847"/>
      <c r="B215" s="1806" t="s">
        <v>5910</v>
      </c>
      <c r="C215" s="1966"/>
      <c r="D215" s="2082"/>
      <c r="E215" s="1807"/>
      <c r="F215" s="2079"/>
      <c r="G215" s="14634" t="s">
        <v>2675</v>
      </c>
      <c r="H215" s="14635"/>
      <c r="I215" s="1968" t="s">
        <v>5911</v>
      </c>
      <c r="J215" s="1808" t="s">
        <v>5125</v>
      </c>
      <c r="K215" s="675" t="s">
        <v>5113</v>
      </c>
    </row>
    <row r="216" spans="1:11" ht="14.4" thickBot="1">
      <c r="A216" s="847"/>
      <c r="B216" s="1806" t="s">
        <v>2049</v>
      </c>
      <c r="C216" s="1966"/>
      <c r="D216" s="2082"/>
      <c r="E216" s="1807"/>
      <c r="F216" s="2079"/>
      <c r="G216" s="1807"/>
      <c r="H216" s="2079"/>
      <c r="I216" s="1968" t="s">
        <v>2049</v>
      </c>
      <c r="J216" s="2076"/>
      <c r="K216" s="674"/>
    </row>
    <row r="217" spans="1:11">
      <c r="A217" s="2091"/>
      <c r="B217" s="2092"/>
      <c r="C217" s="2092"/>
      <c r="D217" s="2092"/>
      <c r="E217" s="2073"/>
      <c r="F217" s="2073"/>
      <c r="G217" s="2073"/>
      <c r="H217" s="2073"/>
      <c r="I217" s="2073"/>
      <c r="J217" s="2091"/>
      <c r="K217" s="2091"/>
    </row>
    <row r="218" spans="1:11">
      <c r="A218" s="1970"/>
      <c r="B218" s="1966"/>
      <c r="C218" s="1966"/>
      <c r="D218" s="1966"/>
      <c r="E218" s="1968"/>
      <c r="F218" s="1968"/>
      <c r="G218" s="1968"/>
      <c r="H218" s="1968"/>
      <c r="I218" s="1968"/>
      <c r="J218" s="1970"/>
      <c r="K218" s="1970"/>
    </row>
    <row r="219" spans="1:11">
      <c r="A219" s="3421"/>
      <c r="B219" s="3419"/>
      <c r="C219" s="3419"/>
      <c r="D219" s="3419"/>
      <c r="E219" s="3420"/>
      <c r="F219" s="3420"/>
      <c r="G219" s="3420"/>
      <c r="H219" s="3420"/>
      <c r="I219" s="3420"/>
      <c r="J219" s="3421"/>
      <c r="K219" s="3421"/>
    </row>
    <row r="220" spans="1:11">
      <c r="A220" s="3421"/>
      <c r="B220" s="3419"/>
      <c r="C220" s="3419"/>
      <c r="D220" s="3419"/>
      <c r="E220" s="3420"/>
      <c r="F220" s="3420"/>
      <c r="G220" s="3420"/>
      <c r="H220" s="3420"/>
      <c r="I220" s="3420"/>
      <c r="J220" s="3421"/>
      <c r="K220" s="3421"/>
    </row>
    <row r="221" spans="1:11" ht="9.75" customHeight="1" thickBot="1">
      <c r="A221" s="2093"/>
      <c r="B221" s="2086"/>
      <c r="C221" s="2086"/>
      <c r="D221" s="2086"/>
      <c r="E221" s="2088"/>
      <c r="F221" s="2088"/>
      <c r="G221" s="2088"/>
      <c r="H221" s="2088"/>
      <c r="I221" s="2088"/>
      <c r="J221" s="2093"/>
      <c r="K221" s="2093"/>
    </row>
    <row r="222" spans="1:11">
      <c r="A222" s="847"/>
      <c r="B222" s="1806" t="s">
        <v>5912</v>
      </c>
      <c r="C222" s="1966"/>
      <c r="D222" s="2082"/>
      <c r="E222" s="1807"/>
      <c r="F222" s="2079"/>
      <c r="G222" s="14634" t="s">
        <v>2676</v>
      </c>
      <c r="H222" s="14635"/>
      <c r="I222" s="1968" t="s">
        <v>4545</v>
      </c>
      <c r="J222" s="1808" t="s">
        <v>5125</v>
      </c>
      <c r="K222" s="675" t="s">
        <v>5113</v>
      </c>
    </row>
    <row r="223" spans="1:11">
      <c r="A223" s="847"/>
      <c r="B223" s="1806"/>
      <c r="C223" s="1966"/>
      <c r="D223" s="2082"/>
      <c r="E223" s="1807"/>
      <c r="F223" s="2079"/>
      <c r="G223" s="14634" t="s">
        <v>2627</v>
      </c>
      <c r="H223" s="14635"/>
      <c r="I223" s="1968"/>
      <c r="J223" s="2076"/>
      <c r="K223" s="674"/>
    </row>
    <row r="224" spans="1:11" ht="14.4">
      <c r="A224" s="847"/>
      <c r="B224" s="14659" t="s">
        <v>5913</v>
      </c>
      <c r="C224" s="14678"/>
      <c r="D224" s="14679"/>
      <c r="E224" s="14657">
        <v>100000</v>
      </c>
      <c r="F224" s="14658"/>
      <c r="G224" s="14634"/>
      <c r="H224" s="14635"/>
      <c r="I224" s="1968"/>
      <c r="J224" s="2076"/>
      <c r="K224" s="674"/>
    </row>
    <row r="225" spans="1:11">
      <c r="A225" s="847"/>
      <c r="B225" s="14659" t="s">
        <v>5914</v>
      </c>
      <c r="C225" s="14660"/>
      <c r="D225" s="14661"/>
      <c r="E225" s="14677"/>
      <c r="F225" s="14635"/>
      <c r="G225" s="14634"/>
      <c r="H225" s="14635"/>
      <c r="I225" s="1968"/>
      <c r="J225" s="1808"/>
      <c r="K225" s="675"/>
    </row>
    <row r="226" spans="1:11">
      <c r="A226" s="847"/>
      <c r="B226" s="2083"/>
      <c r="C226" s="1969"/>
      <c r="D226" s="2110"/>
      <c r="E226" s="2111"/>
      <c r="F226" s="2079"/>
      <c r="G226" s="1807"/>
      <c r="H226" s="2079"/>
      <c r="I226" s="1968"/>
      <c r="J226" s="1808"/>
      <c r="K226" s="675"/>
    </row>
    <row r="227" spans="1:11">
      <c r="A227" s="847"/>
      <c r="B227" s="14648" t="s">
        <v>5915</v>
      </c>
      <c r="C227" s="14649"/>
      <c r="D227" s="14650"/>
      <c r="E227" s="14634"/>
      <c r="F227" s="14635"/>
      <c r="G227" s="14634" t="s">
        <v>2677</v>
      </c>
      <c r="H227" s="14635"/>
      <c r="I227" s="1968" t="s">
        <v>938</v>
      </c>
      <c r="J227" s="1808" t="s">
        <v>5125</v>
      </c>
      <c r="K227" s="675" t="s">
        <v>5113</v>
      </c>
    </row>
    <row r="228" spans="1:11">
      <c r="A228" s="847"/>
      <c r="B228" s="14648" t="s">
        <v>5916</v>
      </c>
      <c r="C228" s="14649"/>
      <c r="D228" s="14650"/>
      <c r="E228" s="14634"/>
      <c r="F228" s="14635"/>
      <c r="G228" s="14634" t="s">
        <v>2678</v>
      </c>
      <c r="H228" s="14635"/>
      <c r="I228" s="1968"/>
      <c r="J228" s="1808"/>
      <c r="K228" s="675"/>
    </row>
    <row r="229" spans="1:11">
      <c r="A229" s="847"/>
      <c r="B229" s="1806"/>
      <c r="C229" s="1966"/>
      <c r="D229" s="2082"/>
      <c r="E229" s="14680"/>
      <c r="F229" s="14681"/>
      <c r="G229" s="14634"/>
      <c r="H229" s="14635"/>
      <c r="I229" s="1968"/>
      <c r="J229" s="1808"/>
      <c r="K229" s="675"/>
    </row>
    <row r="230" spans="1:11">
      <c r="A230" s="847"/>
      <c r="B230" s="1806"/>
      <c r="C230" s="14682" t="s">
        <v>2679</v>
      </c>
      <c r="D230" s="14683"/>
      <c r="E230" s="14657">
        <f>SUM(E6:E229)</f>
        <v>100754200</v>
      </c>
      <c r="F230" s="14658"/>
      <c r="G230" s="1807"/>
      <c r="H230" s="2079"/>
      <c r="I230" s="1968"/>
      <c r="J230" s="1808"/>
      <c r="K230" s="675"/>
    </row>
    <row r="231" spans="1:11">
      <c r="A231" s="847"/>
      <c r="B231" s="1806"/>
      <c r="C231" s="1966"/>
      <c r="D231" s="2082"/>
      <c r="E231" s="14631" t="s">
        <v>2680</v>
      </c>
      <c r="F231" s="14633"/>
      <c r="G231" s="1807"/>
      <c r="H231" s="2079"/>
      <c r="I231" s="1968"/>
      <c r="J231" s="1808"/>
      <c r="K231" s="675"/>
    </row>
    <row r="232" spans="1:11">
      <c r="A232" s="847"/>
      <c r="B232" s="14648"/>
      <c r="C232" s="14649"/>
      <c r="D232" s="14650"/>
      <c r="E232" s="14634"/>
      <c r="F232" s="14635"/>
      <c r="G232" s="14662"/>
      <c r="H232" s="14664"/>
      <c r="I232" s="1968"/>
      <c r="J232" s="1808"/>
      <c r="K232" s="675"/>
    </row>
    <row r="233" spans="1:11">
      <c r="A233" s="847"/>
      <c r="B233" s="14648"/>
      <c r="C233" s="14649"/>
      <c r="D233" s="14650"/>
      <c r="E233" s="1807"/>
      <c r="F233" s="2079"/>
      <c r="G233" s="14662"/>
      <c r="H233" s="14664"/>
      <c r="I233" s="1968"/>
      <c r="J233" s="1808"/>
      <c r="K233" s="675"/>
    </row>
    <row r="234" spans="1:11">
      <c r="A234" s="847"/>
      <c r="B234" s="1806"/>
      <c r="C234" s="14682" t="s">
        <v>2679</v>
      </c>
      <c r="D234" s="14683"/>
      <c r="E234" s="14657">
        <f>E6+E37+E44+E99+E162+E229</f>
        <v>39450000</v>
      </c>
      <c r="F234" s="14658"/>
      <c r="G234" s="1807"/>
      <c r="H234" s="2079"/>
      <c r="I234" s="1968"/>
      <c r="J234" s="1808"/>
      <c r="K234" s="675"/>
    </row>
    <row r="235" spans="1:11">
      <c r="A235" s="847"/>
      <c r="B235" s="1806"/>
      <c r="C235" s="1966"/>
      <c r="D235" s="2082"/>
      <c r="E235" s="14631" t="s">
        <v>2680</v>
      </c>
      <c r="F235" s="14633"/>
      <c r="G235" s="1807"/>
      <c r="H235" s="2079"/>
      <c r="I235" s="1968"/>
      <c r="J235" s="1808"/>
      <c r="K235" s="675"/>
    </row>
    <row r="236" spans="1:11">
      <c r="A236" s="847"/>
      <c r="B236" s="14648"/>
      <c r="C236" s="14649"/>
      <c r="D236" s="14650"/>
      <c r="E236" s="14634"/>
      <c r="F236" s="14635"/>
      <c r="G236" s="14662"/>
      <c r="H236" s="14664"/>
      <c r="I236" s="1968"/>
      <c r="J236" s="1808"/>
      <c r="K236" s="675"/>
    </row>
    <row r="237" spans="1:11">
      <c r="A237" s="847"/>
      <c r="B237" s="14648"/>
      <c r="C237" s="14649"/>
      <c r="D237" s="14650"/>
      <c r="E237" s="1807"/>
      <c r="F237" s="2079"/>
      <c r="G237" s="14662"/>
      <c r="H237" s="14664"/>
      <c r="I237" s="1968"/>
      <c r="J237" s="1808"/>
      <c r="K237" s="675"/>
    </row>
    <row r="238" spans="1:11">
      <c r="A238" s="847"/>
      <c r="B238" s="14648"/>
      <c r="C238" s="14649"/>
      <c r="D238" s="14650"/>
      <c r="E238" s="14684"/>
      <c r="F238" s="14685"/>
      <c r="G238" s="14662"/>
      <c r="H238" s="14664"/>
      <c r="I238" s="1968"/>
      <c r="J238" s="1808"/>
      <c r="K238" s="675"/>
    </row>
    <row r="239" spans="1:11">
      <c r="A239" s="847"/>
      <c r="B239" s="1806"/>
      <c r="C239" s="1966"/>
      <c r="D239" s="2082"/>
      <c r="E239" s="14634"/>
      <c r="F239" s="14635"/>
      <c r="G239" s="2080"/>
      <c r="H239" s="2081"/>
      <c r="I239" s="1968"/>
      <c r="J239" s="1808"/>
      <c r="K239" s="675"/>
    </row>
    <row r="240" spans="1:11">
      <c r="A240" s="847"/>
      <c r="B240" s="1806"/>
      <c r="C240" s="1966"/>
      <c r="D240" s="2082"/>
      <c r="E240" s="1807"/>
      <c r="F240" s="2079"/>
      <c r="G240" s="2080"/>
      <c r="H240" s="2081"/>
      <c r="I240" s="1968"/>
      <c r="J240" s="1808"/>
      <c r="K240" s="675"/>
    </row>
    <row r="241" spans="1:11">
      <c r="A241" s="847"/>
      <c r="B241" s="14648"/>
      <c r="C241" s="14649"/>
      <c r="D241" s="14650"/>
      <c r="E241" s="14634"/>
      <c r="F241" s="14635"/>
      <c r="G241" s="14648"/>
      <c r="H241" s="14650"/>
      <c r="I241" s="1968"/>
      <c r="J241" s="1808"/>
      <c r="K241" s="675"/>
    </row>
    <row r="242" spans="1:11" ht="14.4" thickBot="1">
      <c r="A242" s="2084"/>
      <c r="B242" s="14686"/>
      <c r="C242" s="14687"/>
      <c r="D242" s="14688"/>
      <c r="E242" s="14689"/>
      <c r="F242" s="14690"/>
      <c r="G242" s="14686"/>
      <c r="H242" s="14688"/>
      <c r="I242" s="2088"/>
      <c r="J242" s="2089"/>
      <c r="K242" s="2090"/>
    </row>
    <row r="243" spans="1:11">
      <c r="A243" s="1970"/>
      <c r="B243" s="14649"/>
      <c r="C243" s="14649"/>
      <c r="D243" s="14649"/>
      <c r="E243" s="14653"/>
      <c r="F243" s="14653"/>
      <c r="G243" s="14649"/>
      <c r="H243" s="14649"/>
      <c r="I243" s="1968"/>
      <c r="J243" s="1968"/>
      <c r="K243" s="1968"/>
    </row>
  </sheetData>
  <mergeCells count="441">
    <mergeCell ref="B243:D243"/>
    <mergeCell ref="E243:F243"/>
    <mergeCell ref="G243:H243"/>
    <mergeCell ref="B241:D241"/>
    <mergeCell ref="E241:F241"/>
    <mergeCell ref="G241:H241"/>
    <mergeCell ref="B242:D242"/>
    <mergeCell ref="E242:F242"/>
    <mergeCell ref="G242:H242"/>
    <mergeCell ref="B237:D237"/>
    <mergeCell ref="G237:H237"/>
    <mergeCell ref="B238:D238"/>
    <mergeCell ref="E238:F238"/>
    <mergeCell ref="G238:H238"/>
    <mergeCell ref="E239:F239"/>
    <mergeCell ref="C234:D234"/>
    <mergeCell ref="E234:F234"/>
    <mergeCell ref="E235:F235"/>
    <mergeCell ref="B236:D236"/>
    <mergeCell ref="E236:F236"/>
    <mergeCell ref="G236:H236"/>
    <mergeCell ref="E231:F231"/>
    <mergeCell ref="B232:D232"/>
    <mergeCell ref="E232:F232"/>
    <mergeCell ref="G232:H232"/>
    <mergeCell ref="B233:D233"/>
    <mergeCell ref="G233:H233"/>
    <mergeCell ref="B228:D228"/>
    <mergeCell ref="E228:F228"/>
    <mergeCell ref="G228:H228"/>
    <mergeCell ref="E229:F229"/>
    <mergeCell ref="G229:H229"/>
    <mergeCell ref="C230:D230"/>
    <mergeCell ref="E230:F230"/>
    <mergeCell ref="B225:D225"/>
    <mergeCell ref="E225:F225"/>
    <mergeCell ref="G225:H225"/>
    <mergeCell ref="B227:D227"/>
    <mergeCell ref="E227:F227"/>
    <mergeCell ref="G227:H227"/>
    <mergeCell ref="G215:H215"/>
    <mergeCell ref="G222:H222"/>
    <mergeCell ref="G223:H223"/>
    <mergeCell ref="B224:D224"/>
    <mergeCell ref="E224:F224"/>
    <mergeCell ref="G224:H224"/>
    <mergeCell ref="B208:D208"/>
    <mergeCell ref="G208:H208"/>
    <mergeCell ref="B210:D210"/>
    <mergeCell ref="G210:H210"/>
    <mergeCell ref="G212:H212"/>
    <mergeCell ref="B213:D213"/>
    <mergeCell ref="G213:H213"/>
    <mergeCell ref="B203:D203"/>
    <mergeCell ref="E203:F203"/>
    <mergeCell ref="G203:H203"/>
    <mergeCell ref="B204:D204"/>
    <mergeCell ref="G204:H204"/>
    <mergeCell ref="B206:D206"/>
    <mergeCell ref="G206:H206"/>
    <mergeCell ref="B201:D201"/>
    <mergeCell ref="E201:F201"/>
    <mergeCell ref="G201:H201"/>
    <mergeCell ref="B202:D202"/>
    <mergeCell ref="E202:F202"/>
    <mergeCell ref="G202:H202"/>
    <mergeCell ref="B199:D199"/>
    <mergeCell ref="E199:F199"/>
    <mergeCell ref="G199:H199"/>
    <mergeCell ref="B200:D200"/>
    <mergeCell ref="E200:F200"/>
    <mergeCell ref="G200:H200"/>
    <mergeCell ref="B195:D195"/>
    <mergeCell ref="G195:H195"/>
    <mergeCell ref="B197:D197"/>
    <mergeCell ref="E197:F197"/>
    <mergeCell ref="G197:H197"/>
    <mergeCell ref="E198:F198"/>
    <mergeCell ref="G189:H189"/>
    <mergeCell ref="G190:H190"/>
    <mergeCell ref="B193:D193"/>
    <mergeCell ref="E193:F193"/>
    <mergeCell ref="G193:H193"/>
    <mergeCell ref="B194:D194"/>
    <mergeCell ref="E194:F194"/>
    <mergeCell ref="G194:H194"/>
    <mergeCell ref="G184:H184"/>
    <mergeCell ref="B186:D186"/>
    <mergeCell ref="E186:F186"/>
    <mergeCell ref="G186:H186"/>
    <mergeCell ref="B187:D187"/>
    <mergeCell ref="E187:F187"/>
    <mergeCell ref="G187:H187"/>
    <mergeCell ref="G177:H177"/>
    <mergeCell ref="G179:H179"/>
    <mergeCell ref="G180:H180"/>
    <mergeCell ref="G182:H182"/>
    <mergeCell ref="B183:D183"/>
    <mergeCell ref="E183:F183"/>
    <mergeCell ref="G183:H183"/>
    <mergeCell ref="B174:D174"/>
    <mergeCell ref="E174:F174"/>
    <mergeCell ref="G174:H174"/>
    <mergeCell ref="G175:H175"/>
    <mergeCell ref="B176:D176"/>
    <mergeCell ref="E176:F176"/>
    <mergeCell ref="G176:H176"/>
    <mergeCell ref="G169:H169"/>
    <mergeCell ref="G170:H170"/>
    <mergeCell ref="B172:D172"/>
    <mergeCell ref="E172:F172"/>
    <mergeCell ref="G172:H172"/>
    <mergeCell ref="G173:H173"/>
    <mergeCell ref="B165:D165"/>
    <mergeCell ref="G165:H165"/>
    <mergeCell ref="B166:D166"/>
    <mergeCell ref="E166:F166"/>
    <mergeCell ref="G166:H166"/>
    <mergeCell ref="B167:D167"/>
    <mergeCell ref="E167:F167"/>
    <mergeCell ref="G167:H167"/>
    <mergeCell ref="B163:D163"/>
    <mergeCell ref="E163:F163"/>
    <mergeCell ref="G163:H163"/>
    <mergeCell ref="B164:D164"/>
    <mergeCell ref="E164:F164"/>
    <mergeCell ref="G164:H164"/>
    <mergeCell ref="B161:D161"/>
    <mergeCell ref="E161:F161"/>
    <mergeCell ref="G161:H161"/>
    <mergeCell ref="B162:D162"/>
    <mergeCell ref="E162:F162"/>
    <mergeCell ref="G162:H162"/>
    <mergeCell ref="G155:H155"/>
    <mergeCell ref="G157:H157"/>
    <mergeCell ref="G158:H158"/>
    <mergeCell ref="B160:D160"/>
    <mergeCell ref="E160:F160"/>
    <mergeCell ref="G160:H160"/>
    <mergeCell ref="G140:H140"/>
    <mergeCell ref="G148:H148"/>
    <mergeCell ref="G149:H149"/>
    <mergeCell ref="G151:H151"/>
    <mergeCell ref="G152:H152"/>
    <mergeCell ref="G154:H154"/>
    <mergeCell ref="G136:H136"/>
    <mergeCell ref="G137:H137"/>
    <mergeCell ref="B138:D138"/>
    <mergeCell ref="E138:F138"/>
    <mergeCell ref="G138:H138"/>
    <mergeCell ref="G139:H139"/>
    <mergeCell ref="B131:D131"/>
    <mergeCell ref="E131:F131"/>
    <mergeCell ref="G131:H131"/>
    <mergeCell ref="G132:H132"/>
    <mergeCell ref="G133:H133"/>
    <mergeCell ref="G135:H135"/>
    <mergeCell ref="B129:D129"/>
    <mergeCell ref="E129:F129"/>
    <mergeCell ref="G129:H129"/>
    <mergeCell ref="B130:D130"/>
    <mergeCell ref="E130:F130"/>
    <mergeCell ref="G130:H130"/>
    <mergeCell ref="B125:D125"/>
    <mergeCell ref="E125:F125"/>
    <mergeCell ref="G125:H125"/>
    <mergeCell ref="B126:D126"/>
    <mergeCell ref="E126:F126"/>
    <mergeCell ref="G126:H126"/>
    <mergeCell ref="G118:H118"/>
    <mergeCell ref="G119:H119"/>
    <mergeCell ref="G121:H121"/>
    <mergeCell ref="G122:H122"/>
    <mergeCell ref="B124:D124"/>
    <mergeCell ref="E124:F124"/>
    <mergeCell ref="G124:H124"/>
    <mergeCell ref="B113:D113"/>
    <mergeCell ref="E113:F113"/>
    <mergeCell ref="G113:H113"/>
    <mergeCell ref="B115:D115"/>
    <mergeCell ref="G115:H115"/>
    <mergeCell ref="G116:H116"/>
    <mergeCell ref="B109:D109"/>
    <mergeCell ref="G109:H109"/>
    <mergeCell ref="G110:H110"/>
    <mergeCell ref="B112:D112"/>
    <mergeCell ref="E112:F112"/>
    <mergeCell ref="G112:H112"/>
    <mergeCell ref="B107:D107"/>
    <mergeCell ref="E107:F107"/>
    <mergeCell ref="G107:H107"/>
    <mergeCell ref="B108:D108"/>
    <mergeCell ref="E108:F108"/>
    <mergeCell ref="G108:H108"/>
    <mergeCell ref="B105:D105"/>
    <mergeCell ref="E105:F105"/>
    <mergeCell ref="G105:H105"/>
    <mergeCell ref="B106:D106"/>
    <mergeCell ref="E106:F106"/>
    <mergeCell ref="G106:H106"/>
    <mergeCell ref="B103:D103"/>
    <mergeCell ref="E103:F103"/>
    <mergeCell ref="G103:H103"/>
    <mergeCell ref="B104:D104"/>
    <mergeCell ref="E104:F104"/>
    <mergeCell ref="G104:H104"/>
    <mergeCell ref="B101:D101"/>
    <mergeCell ref="E101:F101"/>
    <mergeCell ref="G101:H101"/>
    <mergeCell ref="B102:D102"/>
    <mergeCell ref="E102:F102"/>
    <mergeCell ref="G102:H102"/>
    <mergeCell ref="B99:D99"/>
    <mergeCell ref="E99:F99"/>
    <mergeCell ref="G99:H99"/>
    <mergeCell ref="B100:D100"/>
    <mergeCell ref="E100:F100"/>
    <mergeCell ref="G100:H100"/>
    <mergeCell ref="B97:D97"/>
    <mergeCell ref="E97:F97"/>
    <mergeCell ref="G97:H97"/>
    <mergeCell ref="B98:D98"/>
    <mergeCell ref="E98:F98"/>
    <mergeCell ref="G98:H98"/>
    <mergeCell ref="G88:H88"/>
    <mergeCell ref="G90:H90"/>
    <mergeCell ref="G91:H91"/>
    <mergeCell ref="G93:H93"/>
    <mergeCell ref="G94:H94"/>
    <mergeCell ref="B96:D96"/>
    <mergeCell ref="E96:F96"/>
    <mergeCell ref="G96:H96"/>
    <mergeCell ref="B85:D85"/>
    <mergeCell ref="E85:F85"/>
    <mergeCell ref="G85:H85"/>
    <mergeCell ref="G86:H86"/>
    <mergeCell ref="B87:D87"/>
    <mergeCell ref="E87:F87"/>
    <mergeCell ref="G87:H87"/>
    <mergeCell ref="B82:D82"/>
    <mergeCell ref="E82:F82"/>
    <mergeCell ref="G82:H82"/>
    <mergeCell ref="B83:D83"/>
    <mergeCell ref="E83:F83"/>
    <mergeCell ref="G83:H83"/>
    <mergeCell ref="B79:D79"/>
    <mergeCell ref="E79:F79"/>
    <mergeCell ref="G79:H79"/>
    <mergeCell ref="B80:D80"/>
    <mergeCell ref="B81:D81"/>
    <mergeCell ref="E81:F81"/>
    <mergeCell ref="G81:H81"/>
    <mergeCell ref="B77:D77"/>
    <mergeCell ref="E77:F77"/>
    <mergeCell ref="G77:H77"/>
    <mergeCell ref="B78:D78"/>
    <mergeCell ref="E78:F78"/>
    <mergeCell ref="G78:H78"/>
    <mergeCell ref="B69:D69"/>
    <mergeCell ref="E69:F69"/>
    <mergeCell ref="G69:H69"/>
    <mergeCell ref="B76:D76"/>
    <mergeCell ref="E76:F76"/>
    <mergeCell ref="G76:H76"/>
    <mergeCell ref="B67:D67"/>
    <mergeCell ref="E67:F67"/>
    <mergeCell ref="G67:H67"/>
    <mergeCell ref="B68:D68"/>
    <mergeCell ref="E68:F68"/>
    <mergeCell ref="G68:H68"/>
    <mergeCell ref="B65:D65"/>
    <mergeCell ref="E65:F65"/>
    <mergeCell ref="G65:H65"/>
    <mergeCell ref="B66:D66"/>
    <mergeCell ref="E66:F66"/>
    <mergeCell ref="G66:H66"/>
    <mergeCell ref="B61:D61"/>
    <mergeCell ref="E61:F61"/>
    <mergeCell ref="G61:H61"/>
    <mergeCell ref="B62:D62"/>
    <mergeCell ref="G62:H62"/>
    <mergeCell ref="B64:D64"/>
    <mergeCell ref="E64:F64"/>
    <mergeCell ref="G64:H64"/>
    <mergeCell ref="B59:D59"/>
    <mergeCell ref="E59:F59"/>
    <mergeCell ref="G59:H59"/>
    <mergeCell ref="B60:D60"/>
    <mergeCell ref="E60:F60"/>
    <mergeCell ref="G60:H60"/>
    <mergeCell ref="B57:D57"/>
    <mergeCell ref="E57:F57"/>
    <mergeCell ref="G57:H57"/>
    <mergeCell ref="B58:D58"/>
    <mergeCell ref="E58:F58"/>
    <mergeCell ref="G58:H58"/>
    <mergeCell ref="B55:D55"/>
    <mergeCell ref="E55:F55"/>
    <mergeCell ref="G55:H55"/>
    <mergeCell ref="B56:D56"/>
    <mergeCell ref="E56:F56"/>
    <mergeCell ref="G56:H56"/>
    <mergeCell ref="B53:D53"/>
    <mergeCell ref="E53:F53"/>
    <mergeCell ref="G53:H53"/>
    <mergeCell ref="B54:D54"/>
    <mergeCell ref="E54:F54"/>
    <mergeCell ref="G54:H54"/>
    <mergeCell ref="B51:D51"/>
    <mergeCell ref="E51:F51"/>
    <mergeCell ref="G51:H51"/>
    <mergeCell ref="B52:D52"/>
    <mergeCell ref="E52:F52"/>
    <mergeCell ref="G52:H52"/>
    <mergeCell ref="B48:D48"/>
    <mergeCell ref="E48:F48"/>
    <mergeCell ref="G48:H48"/>
    <mergeCell ref="B49:D49"/>
    <mergeCell ref="E49:F49"/>
    <mergeCell ref="G49:H49"/>
    <mergeCell ref="B46:D46"/>
    <mergeCell ref="E46:F46"/>
    <mergeCell ref="G46:H46"/>
    <mergeCell ref="B47:D47"/>
    <mergeCell ref="E47:F47"/>
    <mergeCell ref="G47:H47"/>
    <mergeCell ref="B43:D43"/>
    <mergeCell ref="E43:F43"/>
    <mergeCell ref="G43:H43"/>
    <mergeCell ref="B45:D45"/>
    <mergeCell ref="E45:F45"/>
    <mergeCell ref="G45:H45"/>
    <mergeCell ref="B41:D41"/>
    <mergeCell ref="E41:F41"/>
    <mergeCell ref="G41:H41"/>
    <mergeCell ref="B42:D42"/>
    <mergeCell ref="E42:F42"/>
    <mergeCell ref="G42:H42"/>
    <mergeCell ref="B36:D36"/>
    <mergeCell ref="E36:F36"/>
    <mergeCell ref="G36:H36"/>
    <mergeCell ref="E38:F38"/>
    <mergeCell ref="G38:H38"/>
    <mergeCell ref="B39:D39"/>
    <mergeCell ref="E39:F39"/>
    <mergeCell ref="G39:H39"/>
    <mergeCell ref="B34:D34"/>
    <mergeCell ref="E34:F34"/>
    <mergeCell ref="G34:H34"/>
    <mergeCell ref="B35:D35"/>
    <mergeCell ref="E35:F35"/>
    <mergeCell ref="G35:H35"/>
    <mergeCell ref="B32:D32"/>
    <mergeCell ref="E32:F32"/>
    <mergeCell ref="G32:H32"/>
    <mergeCell ref="B33:D33"/>
    <mergeCell ref="E33:F33"/>
    <mergeCell ref="G33:H33"/>
    <mergeCell ref="B30:D30"/>
    <mergeCell ref="E30:F30"/>
    <mergeCell ref="G30:H30"/>
    <mergeCell ref="B31:D31"/>
    <mergeCell ref="E31:F31"/>
    <mergeCell ref="G31:H31"/>
    <mergeCell ref="B28:D28"/>
    <mergeCell ref="E28:F28"/>
    <mergeCell ref="G28:H28"/>
    <mergeCell ref="B29:D29"/>
    <mergeCell ref="E29:F29"/>
    <mergeCell ref="G29:H29"/>
    <mergeCell ref="B26:D26"/>
    <mergeCell ref="E26:F26"/>
    <mergeCell ref="G26:H26"/>
    <mergeCell ref="B27:D27"/>
    <mergeCell ref="E27:F27"/>
    <mergeCell ref="G27:H27"/>
    <mergeCell ref="B24:D24"/>
    <mergeCell ref="E24:F24"/>
    <mergeCell ref="G24:H24"/>
    <mergeCell ref="B25:D25"/>
    <mergeCell ref="E25:F25"/>
    <mergeCell ref="G25:H25"/>
    <mergeCell ref="B22:D22"/>
    <mergeCell ref="E22:F22"/>
    <mergeCell ref="G22:H22"/>
    <mergeCell ref="B23:D23"/>
    <mergeCell ref="E23:F23"/>
    <mergeCell ref="G23:H23"/>
    <mergeCell ref="B20:D20"/>
    <mergeCell ref="E20:F20"/>
    <mergeCell ref="G20:H20"/>
    <mergeCell ref="B21:D21"/>
    <mergeCell ref="E21:F21"/>
    <mergeCell ref="G21:H21"/>
    <mergeCell ref="B18:D18"/>
    <mergeCell ref="E18:F18"/>
    <mergeCell ref="G18:H18"/>
    <mergeCell ref="B19:D19"/>
    <mergeCell ref="E19:F19"/>
    <mergeCell ref="G19:H19"/>
    <mergeCell ref="B16:D16"/>
    <mergeCell ref="E16:F16"/>
    <mergeCell ref="G16:H16"/>
    <mergeCell ref="B17:D17"/>
    <mergeCell ref="E17:F17"/>
    <mergeCell ref="G17:H17"/>
    <mergeCell ref="G13:H13"/>
    <mergeCell ref="B14:D14"/>
    <mergeCell ref="E14:F14"/>
    <mergeCell ref="G14:H14"/>
    <mergeCell ref="B15:D15"/>
    <mergeCell ref="E15:F15"/>
    <mergeCell ref="G15:H15"/>
    <mergeCell ref="B10:D10"/>
    <mergeCell ref="E10:F10"/>
    <mergeCell ref="B11:D11"/>
    <mergeCell ref="E11:F11"/>
    <mergeCell ref="G11:H11"/>
    <mergeCell ref="B12:D12"/>
    <mergeCell ref="E12:F12"/>
    <mergeCell ref="G12:H12"/>
    <mergeCell ref="B9:D9"/>
    <mergeCell ref="E9:F9"/>
    <mergeCell ref="G9:H9"/>
    <mergeCell ref="J3:K3"/>
    <mergeCell ref="B4:D4"/>
    <mergeCell ref="E4:F4"/>
    <mergeCell ref="G4:H4"/>
    <mergeCell ref="J4:K4"/>
    <mergeCell ref="B7:D7"/>
    <mergeCell ref="E7:F7"/>
    <mergeCell ref="G7:H7"/>
    <mergeCell ref="B5:D5"/>
    <mergeCell ref="E5:F5"/>
    <mergeCell ref="G5:H5"/>
    <mergeCell ref="B6:D6"/>
    <mergeCell ref="E6:F6"/>
    <mergeCell ref="G6:H6"/>
    <mergeCell ref="B3:D3"/>
    <mergeCell ref="E3:F3"/>
    <mergeCell ref="G3:H3"/>
  </mergeCells>
  <pageMargins left="0.5" right="0.25" top="0.75" bottom="0.5" header="0.5" footer="0.25"/>
  <pageSetup paperSize="119" scale="95" firstPageNumber="78" orientation="portrait" useFirstPageNumber="1" horizontalDpi="300" verticalDpi="300" r:id="rId1"/>
  <headerFooter alignWithMargins="0"/>
</worksheet>
</file>

<file path=xl/worksheets/sheet7.xml><?xml version="1.0" encoding="utf-8"?>
<worksheet xmlns="http://schemas.openxmlformats.org/spreadsheetml/2006/main" xmlns:r="http://schemas.openxmlformats.org/officeDocument/2006/relationships">
  <sheetPr codeName="Sheet22">
    <tabColor rgb="FFFFFF00"/>
  </sheetPr>
  <dimension ref="A1:I693"/>
  <sheetViews>
    <sheetView showGridLines="0" topLeftCell="A2" workbookViewId="0">
      <pane xSplit="2" topLeftCell="C1" activePane="topRight" state="frozen"/>
      <selection activeCell="A38" sqref="A38:XFD43"/>
      <selection pane="topRight" activeCell="A38" sqref="A38:XFD39"/>
    </sheetView>
  </sheetViews>
  <sheetFormatPr defaultRowHeight="13.8"/>
  <cols>
    <col min="1" max="1" width="3.88671875" style="876" customWidth="1"/>
    <col min="2" max="2" width="38.109375" style="876" customWidth="1"/>
    <col min="3" max="3" width="10.44140625" style="876" customWidth="1"/>
    <col min="4" max="4" width="12.109375" style="876" customWidth="1"/>
    <col min="5" max="6" width="14.109375" style="876" customWidth="1"/>
    <col min="7" max="7" width="10.5546875" style="876" customWidth="1"/>
    <col min="8" max="8" width="15.44140625" style="2654" customWidth="1"/>
    <col min="9" max="241" width="9.109375" style="876"/>
    <col min="242" max="242" width="3.88671875" style="876" customWidth="1"/>
    <col min="243" max="243" width="38.109375" style="876" customWidth="1"/>
    <col min="244" max="244" width="10.44140625" style="876" customWidth="1"/>
    <col min="245" max="245" width="16.109375" style="876" customWidth="1"/>
    <col min="246" max="246" width="16.44140625" style="876" customWidth="1"/>
    <col min="247" max="247" width="15.44140625" style="876" customWidth="1"/>
    <col min="248" max="497" width="9.109375" style="876"/>
    <col min="498" max="498" width="3.88671875" style="876" customWidth="1"/>
    <col min="499" max="499" width="38.109375" style="876" customWidth="1"/>
    <col min="500" max="500" width="10.44140625" style="876" customWidth="1"/>
    <col min="501" max="501" width="16.109375" style="876" customWidth="1"/>
    <col min="502" max="502" width="16.44140625" style="876" customWidth="1"/>
    <col min="503" max="503" width="15.44140625" style="876" customWidth="1"/>
    <col min="504" max="753" width="9.109375" style="876"/>
    <col min="754" max="754" width="3.88671875" style="876" customWidth="1"/>
    <col min="755" max="755" width="38.109375" style="876" customWidth="1"/>
    <col min="756" max="756" width="10.44140625" style="876" customWidth="1"/>
    <col min="757" max="757" width="16.109375" style="876" customWidth="1"/>
    <col min="758" max="758" width="16.44140625" style="876" customWidth="1"/>
    <col min="759" max="759" width="15.44140625" style="876" customWidth="1"/>
    <col min="760" max="1009" width="9.109375" style="876"/>
    <col min="1010" max="1010" width="3.88671875" style="876" customWidth="1"/>
    <col min="1011" max="1011" width="38.109375" style="876" customWidth="1"/>
    <col min="1012" max="1012" width="10.44140625" style="876" customWidth="1"/>
    <col min="1013" max="1013" width="16.109375" style="876" customWidth="1"/>
    <col min="1014" max="1014" width="16.44140625" style="876" customWidth="1"/>
    <col min="1015" max="1015" width="15.44140625" style="876" customWidth="1"/>
    <col min="1016" max="1265" width="9.109375" style="876"/>
    <col min="1266" max="1266" width="3.88671875" style="876" customWidth="1"/>
    <col min="1267" max="1267" width="38.109375" style="876" customWidth="1"/>
    <col min="1268" max="1268" width="10.44140625" style="876" customWidth="1"/>
    <col min="1269" max="1269" width="16.109375" style="876" customWidth="1"/>
    <col min="1270" max="1270" width="16.44140625" style="876" customWidth="1"/>
    <col min="1271" max="1271" width="15.44140625" style="876" customWidth="1"/>
    <col min="1272" max="1521" width="9.109375" style="876"/>
    <col min="1522" max="1522" width="3.88671875" style="876" customWidth="1"/>
    <col min="1523" max="1523" width="38.109375" style="876" customWidth="1"/>
    <col min="1524" max="1524" width="10.44140625" style="876" customWidth="1"/>
    <col min="1525" max="1525" width="16.109375" style="876" customWidth="1"/>
    <col min="1526" max="1526" width="16.44140625" style="876" customWidth="1"/>
    <col min="1527" max="1527" width="15.44140625" style="876" customWidth="1"/>
    <col min="1528" max="1777" width="9.109375" style="876"/>
    <col min="1778" max="1778" width="3.88671875" style="876" customWidth="1"/>
    <col min="1779" max="1779" width="38.109375" style="876" customWidth="1"/>
    <col min="1780" max="1780" width="10.44140625" style="876" customWidth="1"/>
    <col min="1781" max="1781" width="16.109375" style="876" customWidth="1"/>
    <col min="1782" max="1782" width="16.44140625" style="876" customWidth="1"/>
    <col min="1783" max="1783" width="15.44140625" style="876" customWidth="1"/>
    <col min="1784" max="2033" width="9.109375" style="876"/>
    <col min="2034" max="2034" width="3.88671875" style="876" customWidth="1"/>
    <col min="2035" max="2035" width="38.109375" style="876" customWidth="1"/>
    <col min="2036" max="2036" width="10.44140625" style="876" customWidth="1"/>
    <col min="2037" max="2037" width="16.109375" style="876" customWidth="1"/>
    <col min="2038" max="2038" width="16.44140625" style="876" customWidth="1"/>
    <col min="2039" max="2039" width="15.44140625" style="876" customWidth="1"/>
    <col min="2040" max="2289" width="9.109375" style="876"/>
    <col min="2290" max="2290" width="3.88671875" style="876" customWidth="1"/>
    <col min="2291" max="2291" width="38.109375" style="876" customWidth="1"/>
    <col min="2292" max="2292" width="10.44140625" style="876" customWidth="1"/>
    <col min="2293" max="2293" width="16.109375" style="876" customWidth="1"/>
    <col min="2294" max="2294" width="16.44140625" style="876" customWidth="1"/>
    <col min="2295" max="2295" width="15.44140625" style="876" customWidth="1"/>
    <col min="2296" max="2545" width="9.109375" style="876"/>
    <col min="2546" max="2546" width="3.88671875" style="876" customWidth="1"/>
    <col min="2547" max="2547" width="38.109375" style="876" customWidth="1"/>
    <col min="2548" max="2548" width="10.44140625" style="876" customWidth="1"/>
    <col min="2549" max="2549" width="16.109375" style="876" customWidth="1"/>
    <col min="2550" max="2550" width="16.44140625" style="876" customWidth="1"/>
    <col min="2551" max="2551" width="15.44140625" style="876" customWidth="1"/>
    <col min="2552" max="2801" width="9.109375" style="876"/>
    <col min="2802" max="2802" width="3.88671875" style="876" customWidth="1"/>
    <col min="2803" max="2803" width="38.109375" style="876" customWidth="1"/>
    <col min="2804" max="2804" width="10.44140625" style="876" customWidth="1"/>
    <col min="2805" max="2805" width="16.109375" style="876" customWidth="1"/>
    <col min="2806" max="2806" width="16.44140625" style="876" customWidth="1"/>
    <col min="2807" max="2807" width="15.44140625" style="876" customWidth="1"/>
    <col min="2808" max="3057" width="9.109375" style="876"/>
    <col min="3058" max="3058" width="3.88671875" style="876" customWidth="1"/>
    <col min="3059" max="3059" width="38.109375" style="876" customWidth="1"/>
    <col min="3060" max="3060" width="10.44140625" style="876" customWidth="1"/>
    <col min="3061" max="3061" width="16.109375" style="876" customWidth="1"/>
    <col min="3062" max="3062" width="16.44140625" style="876" customWidth="1"/>
    <col min="3063" max="3063" width="15.44140625" style="876" customWidth="1"/>
    <col min="3064" max="3313" width="9.109375" style="876"/>
    <col min="3314" max="3314" width="3.88671875" style="876" customWidth="1"/>
    <col min="3315" max="3315" width="38.109375" style="876" customWidth="1"/>
    <col min="3316" max="3316" width="10.44140625" style="876" customWidth="1"/>
    <col min="3317" max="3317" width="16.109375" style="876" customWidth="1"/>
    <col min="3318" max="3318" width="16.44140625" style="876" customWidth="1"/>
    <col min="3319" max="3319" width="15.44140625" style="876" customWidth="1"/>
    <col min="3320" max="3569" width="9.109375" style="876"/>
    <col min="3570" max="3570" width="3.88671875" style="876" customWidth="1"/>
    <col min="3571" max="3571" width="38.109375" style="876" customWidth="1"/>
    <col min="3572" max="3572" width="10.44140625" style="876" customWidth="1"/>
    <col min="3573" max="3573" width="16.109375" style="876" customWidth="1"/>
    <col min="3574" max="3574" width="16.44140625" style="876" customWidth="1"/>
    <col min="3575" max="3575" width="15.44140625" style="876" customWidth="1"/>
    <col min="3576" max="3825" width="9.109375" style="876"/>
    <col min="3826" max="3826" width="3.88671875" style="876" customWidth="1"/>
    <col min="3827" max="3827" width="38.109375" style="876" customWidth="1"/>
    <col min="3828" max="3828" width="10.44140625" style="876" customWidth="1"/>
    <col min="3829" max="3829" width="16.109375" style="876" customWidth="1"/>
    <col min="3830" max="3830" width="16.44140625" style="876" customWidth="1"/>
    <col min="3831" max="3831" width="15.44140625" style="876" customWidth="1"/>
    <col min="3832" max="4081" width="9.109375" style="876"/>
    <col min="4082" max="4082" width="3.88671875" style="876" customWidth="1"/>
    <col min="4083" max="4083" width="38.109375" style="876" customWidth="1"/>
    <col min="4084" max="4084" width="10.44140625" style="876" customWidth="1"/>
    <col min="4085" max="4085" width="16.109375" style="876" customWidth="1"/>
    <col min="4086" max="4086" width="16.44140625" style="876" customWidth="1"/>
    <col min="4087" max="4087" width="15.44140625" style="876" customWidth="1"/>
    <col min="4088" max="4337" width="9.109375" style="876"/>
    <col min="4338" max="4338" width="3.88671875" style="876" customWidth="1"/>
    <col min="4339" max="4339" width="38.109375" style="876" customWidth="1"/>
    <col min="4340" max="4340" width="10.44140625" style="876" customWidth="1"/>
    <col min="4341" max="4341" width="16.109375" style="876" customWidth="1"/>
    <col min="4342" max="4342" width="16.44140625" style="876" customWidth="1"/>
    <col min="4343" max="4343" width="15.44140625" style="876" customWidth="1"/>
    <col min="4344" max="4593" width="9.109375" style="876"/>
    <col min="4594" max="4594" width="3.88671875" style="876" customWidth="1"/>
    <col min="4595" max="4595" width="38.109375" style="876" customWidth="1"/>
    <col min="4596" max="4596" width="10.44140625" style="876" customWidth="1"/>
    <col min="4597" max="4597" width="16.109375" style="876" customWidth="1"/>
    <col min="4598" max="4598" width="16.44140625" style="876" customWidth="1"/>
    <col min="4599" max="4599" width="15.44140625" style="876" customWidth="1"/>
    <col min="4600" max="4849" width="9.109375" style="876"/>
    <col min="4850" max="4850" width="3.88671875" style="876" customWidth="1"/>
    <col min="4851" max="4851" width="38.109375" style="876" customWidth="1"/>
    <col min="4852" max="4852" width="10.44140625" style="876" customWidth="1"/>
    <col min="4853" max="4853" width="16.109375" style="876" customWidth="1"/>
    <col min="4854" max="4854" width="16.44140625" style="876" customWidth="1"/>
    <col min="4855" max="4855" width="15.44140625" style="876" customWidth="1"/>
    <col min="4856" max="5105" width="9.109375" style="876"/>
    <col min="5106" max="5106" width="3.88671875" style="876" customWidth="1"/>
    <col min="5107" max="5107" width="38.109375" style="876" customWidth="1"/>
    <col min="5108" max="5108" width="10.44140625" style="876" customWidth="1"/>
    <col min="5109" max="5109" width="16.109375" style="876" customWidth="1"/>
    <col min="5110" max="5110" width="16.44140625" style="876" customWidth="1"/>
    <col min="5111" max="5111" width="15.44140625" style="876" customWidth="1"/>
    <col min="5112" max="5361" width="9.109375" style="876"/>
    <col min="5362" max="5362" width="3.88671875" style="876" customWidth="1"/>
    <col min="5363" max="5363" width="38.109375" style="876" customWidth="1"/>
    <col min="5364" max="5364" width="10.44140625" style="876" customWidth="1"/>
    <col min="5365" max="5365" width="16.109375" style="876" customWidth="1"/>
    <col min="5366" max="5366" width="16.44140625" style="876" customWidth="1"/>
    <col min="5367" max="5367" width="15.44140625" style="876" customWidth="1"/>
    <col min="5368" max="5617" width="9.109375" style="876"/>
    <col min="5618" max="5618" width="3.88671875" style="876" customWidth="1"/>
    <col min="5619" max="5619" width="38.109375" style="876" customWidth="1"/>
    <col min="5620" max="5620" width="10.44140625" style="876" customWidth="1"/>
    <col min="5621" max="5621" width="16.109375" style="876" customWidth="1"/>
    <col min="5622" max="5622" width="16.44140625" style="876" customWidth="1"/>
    <col min="5623" max="5623" width="15.44140625" style="876" customWidth="1"/>
    <col min="5624" max="5873" width="9.109375" style="876"/>
    <col min="5874" max="5874" width="3.88671875" style="876" customWidth="1"/>
    <col min="5875" max="5875" width="38.109375" style="876" customWidth="1"/>
    <col min="5876" max="5876" width="10.44140625" style="876" customWidth="1"/>
    <col min="5877" max="5877" width="16.109375" style="876" customWidth="1"/>
    <col min="5878" max="5878" width="16.44140625" style="876" customWidth="1"/>
    <col min="5879" max="5879" width="15.44140625" style="876" customWidth="1"/>
    <col min="5880" max="6129" width="9.109375" style="876"/>
    <col min="6130" max="6130" width="3.88671875" style="876" customWidth="1"/>
    <col min="6131" max="6131" width="38.109375" style="876" customWidth="1"/>
    <col min="6132" max="6132" width="10.44140625" style="876" customWidth="1"/>
    <col min="6133" max="6133" width="16.109375" style="876" customWidth="1"/>
    <col min="6134" max="6134" width="16.44140625" style="876" customWidth="1"/>
    <col min="6135" max="6135" width="15.44140625" style="876" customWidth="1"/>
    <col min="6136" max="6385" width="9.109375" style="876"/>
    <col min="6386" max="6386" width="3.88671875" style="876" customWidth="1"/>
    <col min="6387" max="6387" width="38.109375" style="876" customWidth="1"/>
    <col min="6388" max="6388" width="10.44140625" style="876" customWidth="1"/>
    <col min="6389" max="6389" width="16.109375" style="876" customWidth="1"/>
    <col min="6390" max="6390" width="16.44140625" style="876" customWidth="1"/>
    <col min="6391" max="6391" width="15.44140625" style="876" customWidth="1"/>
    <col min="6392" max="6641" width="9.109375" style="876"/>
    <col min="6642" max="6642" width="3.88671875" style="876" customWidth="1"/>
    <col min="6643" max="6643" width="38.109375" style="876" customWidth="1"/>
    <col min="6644" max="6644" width="10.44140625" style="876" customWidth="1"/>
    <col min="6645" max="6645" width="16.109375" style="876" customWidth="1"/>
    <col min="6646" max="6646" width="16.44140625" style="876" customWidth="1"/>
    <col min="6647" max="6647" width="15.44140625" style="876" customWidth="1"/>
    <col min="6648" max="6897" width="9.109375" style="876"/>
    <col min="6898" max="6898" width="3.88671875" style="876" customWidth="1"/>
    <col min="6899" max="6899" width="38.109375" style="876" customWidth="1"/>
    <col min="6900" max="6900" width="10.44140625" style="876" customWidth="1"/>
    <col min="6901" max="6901" width="16.109375" style="876" customWidth="1"/>
    <col min="6902" max="6902" width="16.44140625" style="876" customWidth="1"/>
    <col min="6903" max="6903" width="15.44140625" style="876" customWidth="1"/>
    <col min="6904" max="7153" width="9.109375" style="876"/>
    <col min="7154" max="7154" width="3.88671875" style="876" customWidth="1"/>
    <col min="7155" max="7155" width="38.109375" style="876" customWidth="1"/>
    <col min="7156" max="7156" width="10.44140625" style="876" customWidth="1"/>
    <col min="7157" max="7157" width="16.109375" style="876" customWidth="1"/>
    <col min="7158" max="7158" width="16.44140625" style="876" customWidth="1"/>
    <col min="7159" max="7159" width="15.44140625" style="876" customWidth="1"/>
    <col min="7160" max="7409" width="9.109375" style="876"/>
    <col min="7410" max="7410" width="3.88671875" style="876" customWidth="1"/>
    <col min="7411" max="7411" width="38.109375" style="876" customWidth="1"/>
    <col min="7412" max="7412" width="10.44140625" style="876" customWidth="1"/>
    <col min="7413" max="7413" width="16.109375" style="876" customWidth="1"/>
    <col min="7414" max="7414" width="16.44140625" style="876" customWidth="1"/>
    <col min="7415" max="7415" width="15.44140625" style="876" customWidth="1"/>
    <col min="7416" max="7665" width="9.109375" style="876"/>
    <col min="7666" max="7666" width="3.88671875" style="876" customWidth="1"/>
    <col min="7667" max="7667" width="38.109375" style="876" customWidth="1"/>
    <col min="7668" max="7668" width="10.44140625" style="876" customWidth="1"/>
    <col min="7669" max="7669" width="16.109375" style="876" customWidth="1"/>
    <col min="7670" max="7670" width="16.44140625" style="876" customWidth="1"/>
    <col min="7671" max="7671" width="15.44140625" style="876" customWidth="1"/>
    <col min="7672" max="7921" width="9.109375" style="876"/>
    <col min="7922" max="7922" width="3.88671875" style="876" customWidth="1"/>
    <col min="7923" max="7923" width="38.109375" style="876" customWidth="1"/>
    <col min="7924" max="7924" width="10.44140625" style="876" customWidth="1"/>
    <col min="7925" max="7925" width="16.109375" style="876" customWidth="1"/>
    <col min="7926" max="7926" width="16.44140625" style="876" customWidth="1"/>
    <col min="7927" max="7927" width="15.44140625" style="876" customWidth="1"/>
    <col min="7928" max="8177" width="9.109375" style="876"/>
    <col min="8178" max="8178" width="3.88671875" style="876" customWidth="1"/>
    <col min="8179" max="8179" width="38.109375" style="876" customWidth="1"/>
    <col min="8180" max="8180" width="10.44140625" style="876" customWidth="1"/>
    <col min="8181" max="8181" width="16.109375" style="876" customWidth="1"/>
    <col min="8182" max="8182" width="16.44140625" style="876" customWidth="1"/>
    <col min="8183" max="8183" width="15.44140625" style="876" customWidth="1"/>
    <col min="8184" max="8433" width="9.109375" style="876"/>
    <col min="8434" max="8434" width="3.88671875" style="876" customWidth="1"/>
    <col min="8435" max="8435" width="38.109375" style="876" customWidth="1"/>
    <col min="8436" max="8436" width="10.44140625" style="876" customWidth="1"/>
    <col min="8437" max="8437" width="16.109375" style="876" customWidth="1"/>
    <col min="8438" max="8438" width="16.44140625" style="876" customWidth="1"/>
    <col min="8439" max="8439" width="15.44140625" style="876" customWidth="1"/>
    <col min="8440" max="8689" width="9.109375" style="876"/>
    <col min="8690" max="8690" width="3.88671875" style="876" customWidth="1"/>
    <col min="8691" max="8691" width="38.109375" style="876" customWidth="1"/>
    <col min="8692" max="8692" width="10.44140625" style="876" customWidth="1"/>
    <col min="8693" max="8693" width="16.109375" style="876" customWidth="1"/>
    <col min="8694" max="8694" width="16.44140625" style="876" customWidth="1"/>
    <col min="8695" max="8695" width="15.44140625" style="876" customWidth="1"/>
    <col min="8696" max="8945" width="9.109375" style="876"/>
    <col min="8946" max="8946" width="3.88671875" style="876" customWidth="1"/>
    <col min="8947" max="8947" width="38.109375" style="876" customWidth="1"/>
    <col min="8948" max="8948" width="10.44140625" style="876" customWidth="1"/>
    <col min="8949" max="8949" width="16.109375" style="876" customWidth="1"/>
    <col min="8950" max="8950" width="16.44140625" style="876" customWidth="1"/>
    <col min="8951" max="8951" width="15.44140625" style="876" customWidth="1"/>
    <col min="8952" max="9201" width="9.109375" style="876"/>
    <col min="9202" max="9202" width="3.88671875" style="876" customWidth="1"/>
    <col min="9203" max="9203" width="38.109375" style="876" customWidth="1"/>
    <col min="9204" max="9204" width="10.44140625" style="876" customWidth="1"/>
    <col min="9205" max="9205" width="16.109375" style="876" customWidth="1"/>
    <col min="9206" max="9206" width="16.44140625" style="876" customWidth="1"/>
    <col min="9207" max="9207" width="15.44140625" style="876" customWidth="1"/>
    <col min="9208" max="9457" width="9.109375" style="876"/>
    <col min="9458" max="9458" width="3.88671875" style="876" customWidth="1"/>
    <col min="9459" max="9459" width="38.109375" style="876" customWidth="1"/>
    <col min="9460" max="9460" width="10.44140625" style="876" customWidth="1"/>
    <col min="9461" max="9461" width="16.109375" style="876" customWidth="1"/>
    <col min="9462" max="9462" width="16.44140625" style="876" customWidth="1"/>
    <col min="9463" max="9463" width="15.44140625" style="876" customWidth="1"/>
    <col min="9464" max="9713" width="9.109375" style="876"/>
    <col min="9714" max="9714" width="3.88671875" style="876" customWidth="1"/>
    <col min="9715" max="9715" width="38.109375" style="876" customWidth="1"/>
    <col min="9716" max="9716" width="10.44140625" style="876" customWidth="1"/>
    <col min="9717" max="9717" width="16.109375" style="876" customWidth="1"/>
    <col min="9718" max="9718" width="16.44140625" style="876" customWidth="1"/>
    <col min="9719" max="9719" width="15.44140625" style="876" customWidth="1"/>
    <col min="9720" max="9969" width="9.109375" style="876"/>
    <col min="9970" max="9970" width="3.88671875" style="876" customWidth="1"/>
    <col min="9971" max="9971" width="38.109375" style="876" customWidth="1"/>
    <col min="9972" max="9972" width="10.44140625" style="876" customWidth="1"/>
    <col min="9973" max="9973" width="16.109375" style="876" customWidth="1"/>
    <col min="9974" max="9974" width="16.44140625" style="876" customWidth="1"/>
    <col min="9975" max="9975" width="15.44140625" style="876" customWidth="1"/>
    <col min="9976" max="10225" width="9.109375" style="876"/>
    <col min="10226" max="10226" width="3.88671875" style="876" customWidth="1"/>
    <col min="10227" max="10227" width="38.109375" style="876" customWidth="1"/>
    <col min="10228" max="10228" width="10.44140625" style="876" customWidth="1"/>
    <col min="10229" max="10229" width="16.109375" style="876" customWidth="1"/>
    <col min="10230" max="10230" width="16.44140625" style="876" customWidth="1"/>
    <col min="10231" max="10231" width="15.44140625" style="876" customWidth="1"/>
    <col min="10232" max="10481" width="9.109375" style="876"/>
    <col min="10482" max="10482" width="3.88671875" style="876" customWidth="1"/>
    <col min="10483" max="10483" width="38.109375" style="876" customWidth="1"/>
    <col min="10484" max="10484" width="10.44140625" style="876" customWidth="1"/>
    <col min="10485" max="10485" width="16.109375" style="876" customWidth="1"/>
    <col min="10486" max="10486" width="16.44140625" style="876" customWidth="1"/>
    <col min="10487" max="10487" width="15.44140625" style="876" customWidth="1"/>
    <col min="10488" max="10737" width="9.109375" style="876"/>
    <col min="10738" max="10738" width="3.88671875" style="876" customWidth="1"/>
    <col min="10739" max="10739" width="38.109375" style="876" customWidth="1"/>
    <col min="10740" max="10740" width="10.44140625" style="876" customWidth="1"/>
    <col min="10741" max="10741" width="16.109375" style="876" customWidth="1"/>
    <col min="10742" max="10742" width="16.44140625" style="876" customWidth="1"/>
    <col min="10743" max="10743" width="15.44140625" style="876" customWidth="1"/>
    <col min="10744" max="10993" width="9.109375" style="876"/>
    <col min="10994" max="10994" width="3.88671875" style="876" customWidth="1"/>
    <col min="10995" max="10995" width="38.109375" style="876" customWidth="1"/>
    <col min="10996" max="10996" width="10.44140625" style="876" customWidth="1"/>
    <col min="10997" max="10997" width="16.109375" style="876" customWidth="1"/>
    <col min="10998" max="10998" width="16.44140625" style="876" customWidth="1"/>
    <col min="10999" max="10999" width="15.44140625" style="876" customWidth="1"/>
    <col min="11000" max="11249" width="9.109375" style="876"/>
    <col min="11250" max="11250" width="3.88671875" style="876" customWidth="1"/>
    <col min="11251" max="11251" width="38.109375" style="876" customWidth="1"/>
    <col min="11252" max="11252" width="10.44140625" style="876" customWidth="1"/>
    <col min="11253" max="11253" width="16.109375" style="876" customWidth="1"/>
    <col min="11254" max="11254" width="16.44140625" style="876" customWidth="1"/>
    <col min="11255" max="11255" width="15.44140625" style="876" customWidth="1"/>
    <col min="11256" max="11505" width="9.109375" style="876"/>
    <col min="11506" max="11506" width="3.88671875" style="876" customWidth="1"/>
    <col min="11507" max="11507" width="38.109375" style="876" customWidth="1"/>
    <col min="11508" max="11508" width="10.44140625" style="876" customWidth="1"/>
    <col min="11509" max="11509" width="16.109375" style="876" customWidth="1"/>
    <col min="11510" max="11510" width="16.44140625" style="876" customWidth="1"/>
    <col min="11511" max="11511" width="15.44140625" style="876" customWidth="1"/>
    <col min="11512" max="11761" width="9.109375" style="876"/>
    <col min="11762" max="11762" width="3.88671875" style="876" customWidth="1"/>
    <col min="11763" max="11763" width="38.109375" style="876" customWidth="1"/>
    <col min="11764" max="11764" width="10.44140625" style="876" customWidth="1"/>
    <col min="11765" max="11765" width="16.109375" style="876" customWidth="1"/>
    <col min="11766" max="11766" width="16.44140625" style="876" customWidth="1"/>
    <col min="11767" max="11767" width="15.44140625" style="876" customWidth="1"/>
    <col min="11768" max="12017" width="9.109375" style="876"/>
    <col min="12018" max="12018" width="3.88671875" style="876" customWidth="1"/>
    <col min="12019" max="12019" width="38.109375" style="876" customWidth="1"/>
    <col min="12020" max="12020" width="10.44140625" style="876" customWidth="1"/>
    <col min="12021" max="12021" width="16.109375" style="876" customWidth="1"/>
    <col min="12022" max="12022" width="16.44140625" style="876" customWidth="1"/>
    <col min="12023" max="12023" width="15.44140625" style="876" customWidth="1"/>
    <col min="12024" max="12273" width="9.109375" style="876"/>
    <col min="12274" max="12274" width="3.88671875" style="876" customWidth="1"/>
    <col min="12275" max="12275" width="38.109375" style="876" customWidth="1"/>
    <col min="12276" max="12276" width="10.44140625" style="876" customWidth="1"/>
    <col min="12277" max="12277" width="16.109375" style="876" customWidth="1"/>
    <col min="12278" max="12278" width="16.44140625" style="876" customWidth="1"/>
    <col min="12279" max="12279" width="15.44140625" style="876" customWidth="1"/>
    <col min="12280" max="12529" width="9.109375" style="876"/>
    <col min="12530" max="12530" width="3.88671875" style="876" customWidth="1"/>
    <col min="12531" max="12531" width="38.109375" style="876" customWidth="1"/>
    <col min="12532" max="12532" width="10.44140625" style="876" customWidth="1"/>
    <col min="12533" max="12533" width="16.109375" style="876" customWidth="1"/>
    <col min="12534" max="12534" width="16.44140625" style="876" customWidth="1"/>
    <col min="12535" max="12535" width="15.44140625" style="876" customWidth="1"/>
    <col min="12536" max="12785" width="9.109375" style="876"/>
    <col min="12786" max="12786" width="3.88671875" style="876" customWidth="1"/>
    <col min="12787" max="12787" width="38.109375" style="876" customWidth="1"/>
    <col min="12788" max="12788" width="10.44140625" style="876" customWidth="1"/>
    <col min="12789" max="12789" width="16.109375" style="876" customWidth="1"/>
    <col min="12790" max="12790" width="16.44140625" style="876" customWidth="1"/>
    <col min="12791" max="12791" width="15.44140625" style="876" customWidth="1"/>
    <col min="12792" max="13041" width="9.109375" style="876"/>
    <col min="13042" max="13042" width="3.88671875" style="876" customWidth="1"/>
    <col min="13043" max="13043" width="38.109375" style="876" customWidth="1"/>
    <col min="13044" max="13044" width="10.44140625" style="876" customWidth="1"/>
    <col min="13045" max="13045" width="16.109375" style="876" customWidth="1"/>
    <col min="13046" max="13046" width="16.44140625" style="876" customWidth="1"/>
    <col min="13047" max="13047" width="15.44140625" style="876" customWidth="1"/>
    <col min="13048" max="13297" width="9.109375" style="876"/>
    <col min="13298" max="13298" width="3.88671875" style="876" customWidth="1"/>
    <col min="13299" max="13299" width="38.109375" style="876" customWidth="1"/>
    <col min="13300" max="13300" width="10.44140625" style="876" customWidth="1"/>
    <col min="13301" max="13301" width="16.109375" style="876" customWidth="1"/>
    <col min="13302" max="13302" width="16.44140625" style="876" customWidth="1"/>
    <col min="13303" max="13303" width="15.44140625" style="876" customWidth="1"/>
    <col min="13304" max="13553" width="9.109375" style="876"/>
    <col min="13554" max="13554" width="3.88671875" style="876" customWidth="1"/>
    <col min="13555" max="13555" width="38.109375" style="876" customWidth="1"/>
    <col min="13556" max="13556" width="10.44140625" style="876" customWidth="1"/>
    <col min="13557" max="13557" width="16.109375" style="876" customWidth="1"/>
    <col min="13558" max="13558" width="16.44140625" style="876" customWidth="1"/>
    <col min="13559" max="13559" width="15.44140625" style="876" customWidth="1"/>
    <col min="13560" max="13809" width="9.109375" style="876"/>
    <col min="13810" max="13810" width="3.88671875" style="876" customWidth="1"/>
    <col min="13811" max="13811" width="38.109375" style="876" customWidth="1"/>
    <col min="13812" max="13812" width="10.44140625" style="876" customWidth="1"/>
    <col min="13813" max="13813" width="16.109375" style="876" customWidth="1"/>
    <col min="13814" max="13814" width="16.44140625" style="876" customWidth="1"/>
    <col min="13815" max="13815" width="15.44140625" style="876" customWidth="1"/>
    <col min="13816" max="14065" width="9.109375" style="876"/>
    <col min="14066" max="14066" width="3.88671875" style="876" customWidth="1"/>
    <col min="14067" max="14067" width="38.109375" style="876" customWidth="1"/>
    <col min="14068" max="14068" width="10.44140625" style="876" customWidth="1"/>
    <col min="14069" max="14069" width="16.109375" style="876" customWidth="1"/>
    <col min="14070" max="14070" width="16.44140625" style="876" customWidth="1"/>
    <col min="14071" max="14071" width="15.44140625" style="876" customWidth="1"/>
    <col min="14072" max="14321" width="9.109375" style="876"/>
    <col min="14322" max="14322" width="3.88671875" style="876" customWidth="1"/>
    <col min="14323" max="14323" width="38.109375" style="876" customWidth="1"/>
    <col min="14324" max="14324" width="10.44140625" style="876" customWidth="1"/>
    <col min="14325" max="14325" width="16.109375" style="876" customWidth="1"/>
    <col min="14326" max="14326" width="16.44140625" style="876" customWidth="1"/>
    <col min="14327" max="14327" width="15.44140625" style="876" customWidth="1"/>
    <col min="14328" max="14577" width="9.109375" style="876"/>
    <col min="14578" max="14578" width="3.88671875" style="876" customWidth="1"/>
    <col min="14579" max="14579" width="38.109375" style="876" customWidth="1"/>
    <col min="14580" max="14580" width="10.44140625" style="876" customWidth="1"/>
    <col min="14581" max="14581" width="16.109375" style="876" customWidth="1"/>
    <col min="14582" max="14582" width="16.44140625" style="876" customWidth="1"/>
    <col min="14583" max="14583" width="15.44140625" style="876" customWidth="1"/>
    <col min="14584" max="14833" width="9.109375" style="876"/>
    <col min="14834" max="14834" width="3.88671875" style="876" customWidth="1"/>
    <col min="14835" max="14835" width="38.109375" style="876" customWidth="1"/>
    <col min="14836" max="14836" width="10.44140625" style="876" customWidth="1"/>
    <col min="14837" max="14837" width="16.109375" style="876" customWidth="1"/>
    <col min="14838" max="14838" width="16.44140625" style="876" customWidth="1"/>
    <col min="14839" max="14839" width="15.44140625" style="876" customWidth="1"/>
    <col min="14840" max="15089" width="9.109375" style="876"/>
    <col min="15090" max="15090" width="3.88671875" style="876" customWidth="1"/>
    <col min="15091" max="15091" width="38.109375" style="876" customWidth="1"/>
    <col min="15092" max="15092" width="10.44140625" style="876" customWidth="1"/>
    <col min="15093" max="15093" width="16.109375" style="876" customWidth="1"/>
    <col min="15094" max="15094" width="16.44140625" style="876" customWidth="1"/>
    <col min="15095" max="15095" width="15.44140625" style="876" customWidth="1"/>
    <col min="15096" max="15345" width="9.109375" style="876"/>
    <col min="15346" max="15346" width="3.88671875" style="876" customWidth="1"/>
    <col min="15347" max="15347" width="38.109375" style="876" customWidth="1"/>
    <col min="15348" max="15348" width="10.44140625" style="876" customWidth="1"/>
    <col min="15349" max="15349" width="16.109375" style="876" customWidth="1"/>
    <col min="15350" max="15350" width="16.44140625" style="876" customWidth="1"/>
    <col min="15351" max="15351" width="15.44140625" style="876" customWidth="1"/>
    <col min="15352" max="15601" width="9.109375" style="876"/>
    <col min="15602" max="15602" width="3.88671875" style="876" customWidth="1"/>
    <col min="15603" max="15603" width="38.109375" style="876" customWidth="1"/>
    <col min="15604" max="15604" width="10.44140625" style="876" customWidth="1"/>
    <col min="15605" max="15605" width="16.109375" style="876" customWidth="1"/>
    <col min="15606" max="15606" width="16.44140625" style="876" customWidth="1"/>
    <col min="15607" max="15607" width="15.44140625" style="876" customWidth="1"/>
    <col min="15608" max="15857" width="9.109375" style="876"/>
    <col min="15858" max="15858" width="3.88671875" style="876" customWidth="1"/>
    <col min="15859" max="15859" width="38.109375" style="876" customWidth="1"/>
    <col min="15860" max="15860" width="10.44140625" style="876" customWidth="1"/>
    <col min="15861" max="15861" width="16.109375" style="876" customWidth="1"/>
    <col min="15862" max="15862" width="16.44140625" style="876" customWidth="1"/>
    <col min="15863" max="15863" width="15.44140625" style="876" customWidth="1"/>
    <col min="15864" max="16113" width="9.109375" style="876"/>
    <col min="16114" max="16114" width="3.88671875" style="876" customWidth="1"/>
    <col min="16115" max="16115" width="38.109375" style="876" customWidth="1"/>
    <col min="16116" max="16116" width="10.44140625" style="876" customWidth="1"/>
    <col min="16117" max="16117" width="16.109375" style="876" customWidth="1"/>
    <col min="16118" max="16118" width="16.44140625" style="876" customWidth="1"/>
    <col min="16119" max="16119" width="15.44140625" style="876" customWidth="1"/>
    <col min="16120" max="16384" width="9.109375" style="876"/>
  </cols>
  <sheetData>
    <row r="1" spans="1:8">
      <c r="A1" s="969"/>
      <c r="B1" s="5463" t="s">
        <v>1</v>
      </c>
      <c r="C1" s="5464"/>
      <c r="D1" s="5464"/>
      <c r="E1" s="5464"/>
      <c r="F1" s="5464"/>
      <c r="G1" s="5464"/>
      <c r="H1" s="6915"/>
    </row>
    <row r="2" spans="1:8" ht="10.5" customHeight="1">
      <c r="A2" s="969"/>
      <c r="B2" s="969"/>
      <c r="C2" s="969"/>
      <c r="D2" s="969"/>
      <c r="E2" s="969"/>
      <c r="F2" s="969"/>
      <c r="G2" s="969"/>
      <c r="H2" s="6916"/>
    </row>
    <row r="3" spans="1:8">
      <c r="A3" s="969" t="s">
        <v>2</v>
      </c>
      <c r="B3" s="113"/>
      <c r="C3" s="113" t="s">
        <v>10002</v>
      </c>
      <c r="D3" s="113"/>
      <c r="E3" s="113"/>
      <c r="F3" s="113"/>
      <c r="G3" s="113"/>
      <c r="H3" s="6917"/>
    </row>
    <row r="4" spans="1:8" ht="14.4" thickBot="1">
      <c r="A4" s="969" t="s">
        <v>4</v>
      </c>
      <c r="B4" s="969"/>
      <c r="C4" s="969" t="s">
        <v>189</v>
      </c>
      <c r="D4" s="969"/>
      <c r="E4" s="969"/>
      <c r="F4" s="969"/>
      <c r="G4" s="969"/>
      <c r="H4" s="6916"/>
    </row>
    <row r="5" spans="1:8" hidden="1">
      <c r="A5" s="969" t="s">
        <v>6</v>
      </c>
      <c r="B5" s="969"/>
      <c r="C5" s="969"/>
      <c r="D5" s="969"/>
      <c r="E5" s="969"/>
      <c r="F5" s="969"/>
      <c r="G5" s="969"/>
      <c r="H5" s="6916"/>
    </row>
    <row r="6" spans="1:8" ht="14.4" hidden="1" thickBot="1">
      <c r="A6" s="5489" t="s">
        <v>7</v>
      </c>
      <c r="B6" s="5489"/>
      <c r="C6" s="5489"/>
      <c r="D6" s="5489"/>
      <c r="E6" s="5489"/>
      <c r="F6" s="5490"/>
      <c r="G6" s="5490"/>
      <c r="H6" s="6918"/>
    </row>
    <row r="7" spans="1:8">
      <c r="A7" s="5480"/>
      <c r="B7" s="5466"/>
      <c r="C7" s="5467" t="s">
        <v>9</v>
      </c>
      <c r="D7" s="5581" t="s">
        <v>10</v>
      </c>
      <c r="E7" s="14010" t="s">
        <v>10004</v>
      </c>
      <c r="F7" s="14011"/>
      <c r="G7" s="14011"/>
      <c r="H7" s="14012"/>
    </row>
    <row r="8" spans="1:8" ht="14.25" customHeight="1">
      <c r="A8" s="5480"/>
      <c r="B8" s="5466" t="s">
        <v>13</v>
      </c>
      <c r="C8" s="5467" t="s">
        <v>93</v>
      </c>
      <c r="D8" s="5583" t="s">
        <v>11749</v>
      </c>
      <c r="E8" s="5468" t="s">
        <v>16</v>
      </c>
      <c r="F8" s="5491" t="s">
        <v>9985</v>
      </c>
      <c r="G8" s="5491" t="s">
        <v>10003</v>
      </c>
      <c r="H8" s="6919" t="s">
        <v>16</v>
      </c>
    </row>
    <row r="9" spans="1:8" ht="14.4" thickBot="1">
      <c r="A9" s="5492"/>
      <c r="B9" s="5469"/>
      <c r="C9" s="5470" t="s">
        <v>94</v>
      </c>
      <c r="D9" s="5493">
        <v>2017</v>
      </c>
      <c r="E9" s="5471">
        <v>2018</v>
      </c>
      <c r="F9" s="5493">
        <v>2018</v>
      </c>
      <c r="G9" s="5493" t="s">
        <v>9986</v>
      </c>
      <c r="H9" s="6920">
        <v>2019</v>
      </c>
    </row>
    <row r="10" spans="1:8" hidden="1">
      <c r="A10" s="5482" t="s">
        <v>17</v>
      </c>
      <c r="B10" s="5465" t="s">
        <v>18</v>
      </c>
      <c r="C10" s="5472"/>
      <c r="D10" s="5473"/>
      <c r="E10" s="5473"/>
      <c r="F10" s="5474"/>
      <c r="G10" s="5474"/>
      <c r="H10" s="6921"/>
    </row>
    <row r="11" spans="1:8" ht="12.75" hidden="1" customHeight="1">
      <c r="A11" s="5480"/>
      <c r="B11" s="5465" t="s">
        <v>19</v>
      </c>
      <c r="C11" s="5472"/>
      <c r="D11" s="5473"/>
      <c r="E11" s="5473"/>
      <c r="F11" s="5474"/>
      <c r="G11" s="5474"/>
      <c r="H11" s="6921"/>
    </row>
    <row r="12" spans="1:8" ht="12" hidden="1" customHeight="1">
      <c r="A12" s="5480"/>
      <c r="B12" s="5465" t="s">
        <v>20</v>
      </c>
      <c r="C12" s="5475" t="s">
        <v>190</v>
      </c>
      <c r="D12" s="5494"/>
      <c r="E12" s="5494"/>
      <c r="F12" s="5495"/>
      <c r="G12" s="5495"/>
      <c r="H12" s="6922"/>
    </row>
    <row r="13" spans="1:8" hidden="1">
      <c r="A13" s="5480"/>
      <c r="B13" s="5465" t="s">
        <v>21</v>
      </c>
      <c r="C13" s="5475">
        <v>711</v>
      </c>
      <c r="D13" s="5479"/>
      <c r="E13" s="5479"/>
      <c r="F13" s="5481"/>
      <c r="G13" s="5481"/>
      <c r="H13" s="5501"/>
    </row>
    <row r="14" spans="1:8" hidden="1">
      <c r="A14" s="5480"/>
      <c r="B14" s="5465" t="s">
        <v>104</v>
      </c>
      <c r="C14" s="5475">
        <v>713</v>
      </c>
      <c r="D14" s="5479"/>
      <c r="E14" s="5479"/>
      <c r="F14" s="5481"/>
      <c r="G14" s="5481"/>
      <c r="H14" s="5501"/>
    </row>
    <row r="15" spans="1:8" hidden="1">
      <c r="A15" s="5480"/>
      <c r="B15" s="5465" t="s">
        <v>105</v>
      </c>
      <c r="C15" s="5475">
        <v>714</v>
      </c>
      <c r="D15" s="5479"/>
      <c r="E15" s="5479"/>
      <c r="F15" s="5481"/>
      <c r="G15" s="5481"/>
      <c r="H15" s="5501"/>
    </row>
    <row r="16" spans="1:8" hidden="1">
      <c r="A16" s="5480"/>
      <c r="B16" s="5465" t="s">
        <v>22</v>
      </c>
      <c r="C16" s="5475">
        <v>715</v>
      </c>
      <c r="D16" s="5479"/>
      <c r="E16" s="5479"/>
      <c r="F16" s="5481"/>
      <c r="G16" s="5481"/>
      <c r="H16" s="5501"/>
    </row>
    <row r="17" spans="1:8" hidden="1">
      <c r="A17" s="5480"/>
      <c r="B17" s="5465" t="s">
        <v>23</v>
      </c>
      <c r="C17" s="5475">
        <v>717</v>
      </c>
      <c r="D17" s="5479"/>
      <c r="E17" s="5479"/>
      <c r="F17" s="5481"/>
      <c r="G17" s="5481"/>
      <c r="H17" s="5501"/>
    </row>
    <row r="18" spans="1:8" hidden="1">
      <c r="A18" s="5480"/>
      <c r="B18" s="5465" t="s">
        <v>24</v>
      </c>
      <c r="C18" s="5475" t="s">
        <v>25</v>
      </c>
      <c r="D18" s="5479"/>
      <c r="E18" s="5479"/>
      <c r="F18" s="5481"/>
      <c r="G18" s="5481"/>
      <c r="H18" s="5501"/>
    </row>
    <row r="19" spans="1:8" hidden="1">
      <c r="A19" s="5480"/>
      <c r="B19" s="5465" t="s">
        <v>26</v>
      </c>
      <c r="C19" s="5475">
        <v>724</v>
      </c>
      <c r="D19" s="5479"/>
      <c r="E19" s="5479"/>
      <c r="F19" s="5481"/>
      <c r="G19" s="5481"/>
      <c r="H19" s="5501"/>
    </row>
    <row r="20" spans="1:8" hidden="1">
      <c r="A20" s="5480"/>
      <c r="B20" s="5465" t="s">
        <v>27</v>
      </c>
      <c r="C20" s="5475">
        <v>725</v>
      </c>
      <c r="D20" s="5477"/>
      <c r="E20" s="5477"/>
      <c r="F20" s="5496"/>
      <c r="G20" s="5496"/>
      <c r="H20" s="6923"/>
    </row>
    <row r="21" spans="1:8" hidden="1">
      <c r="A21" s="5480"/>
      <c r="B21" s="5465" t="s">
        <v>191</v>
      </c>
      <c r="C21" s="5475">
        <v>731</v>
      </c>
      <c r="D21" s="5479"/>
      <c r="E21" s="5479"/>
      <c r="F21" s="5481"/>
      <c r="G21" s="5481"/>
      <c r="H21" s="5501"/>
    </row>
    <row r="22" spans="1:8" hidden="1">
      <c r="A22" s="5480"/>
      <c r="B22" s="5465" t="s">
        <v>28</v>
      </c>
      <c r="C22" s="5475">
        <v>732</v>
      </c>
      <c r="D22" s="5479"/>
      <c r="E22" s="5479"/>
      <c r="F22" s="5481"/>
      <c r="G22" s="5481"/>
      <c r="H22" s="5501"/>
    </row>
    <row r="23" spans="1:8" hidden="1">
      <c r="A23" s="5480"/>
      <c r="B23" s="5465" t="s">
        <v>29</v>
      </c>
      <c r="C23" s="5475">
        <v>733</v>
      </c>
      <c r="D23" s="5479"/>
      <c r="E23" s="5479"/>
      <c r="F23" s="5481"/>
      <c r="G23" s="5481"/>
      <c r="H23" s="5501"/>
    </row>
    <row r="24" spans="1:8" hidden="1">
      <c r="A24" s="5480"/>
      <c r="B24" s="5465" t="s">
        <v>30</v>
      </c>
      <c r="C24" s="5475">
        <v>734</v>
      </c>
      <c r="D24" s="5479"/>
      <c r="E24" s="5479"/>
      <c r="F24" s="5481"/>
      <c r="G24" s="5481"/>
      <c r="H24" s="5501"/>
    </row>
    <row r="25" spans="1:8" hidden="1">
      <c r="A25" s="5480"/>
      <c r="B25" s="5465" t="s">
        <v>154</v>
      </c>
      <c r="C25" s="5475">
        <v>742</v>
      </c>
      <c r="D25" s="5479"/>
      <c r="E25" s="5479"/>
      <c r="F25" s="5481"/>
      <c r="G25" s="5481"/>
      <c r="H25" s="5501"/>
    </row>
    <row r="26" spans="1:8" hidden="1">
      <c r="A26" s="5480"/>
      <c r="B26" s="5465" t="s">
        <v>96</v>
      </c>
      <c r="C26" s="5475">
        <v>749</v>
      </c>
      <c r="D26" s="5479"/>
      <c r="E26" s="5479"/>
      <c r="F26" s="5481"/>
      <c r="G26" s="5481"/>
      <c r="H26" s="5501"/>
    </row>
    <row r="27" spans="1:8" hidden="1">
      <c r="A27" s="5480"/>
      <c r="B27" s="5465" t="s">
        <v>33</v>
      </c>
      <c r="C27" s="5475" t="s">
        <v>34</v>
      </c>
      <c r="D27" s="5479"/>
      <c r="E27" s="5479"/>
      <c r="F27" s="5481"/>
      <c r="G27" s="5481"/>
      <c r="H27" s="5501"/>
    </row>
    <row r="28" spans="1:8" hidden="1">
      <c r="A28" s="5480"/>
      <c r="B28" s="5465" t="s">
        <v>35</v>
      </c>
      <c r="C28" s="5475" t="s">
        <v>36</v>
      </c>
      <c r="D28" s="5479"/>
      <c r="E28" s="5479"/>
      <c r="F28" s="5481"/>
      <c r="G28" s="5481"/>
      <c r="H28" s="5501"/>
    </row>
    <row r="29" spans="1:8" hidden="1">
      <c r="A29" s="5480"/>
      <c r="B29" s="5465" t="s">
        <v>10005</v>
      </c>
      <c r="C29" s="5475" t="s">
        <v>9</v>
      </c>
      <c r="D29" s="5479"/>
      <c r="E29" s="5479"/>
      <c r="F29" s="5481"/>
      <c r="G29" s="5481"/>
      <c r="H29" s="5501"/>
    </row>
    <row r="30" spans="1:8" ht="14.25" hidden="1" customHeight="1">
      <c r="A30" s="5480"/>
      <c r="B30" s="5478" t="s">
        <v>37</v>
      </c>
      <c r="C30" s="5475"/>
      <c r="D30" s="5497">
        <f>SUM(D11:D29)</f>
        <v>0</v>
      </c>
      <c r="E30" s="5497">
        <f>SUM(E11:E29)</f>
        <v>0</v>
      </c>
      <c r="F30" s="5498"/>
      <c r="G30" s="5498"/>
      <c r="H30" s="5505">
        <f>SUM(H11:H29)</f>
        <v>0</v>
      </c>
    </row>
    <row r="31" spans="1:8" ht="16.5" customHeight="1">
      <c r="A31" s="5482"/>
      <c r="B31" s="5465" t="s">
        <v>38</v>
      </c>
      <c r="C31" s="5475"/>
      <c r="D31" s="5479"/>
      <c r="E31" s="5479"/>
      <c r="F31" s="5481"/>
      <c r="G31" s="5481"/>
      <c r="H31" s="5501"/>
    </row>
    <row r="32" spans="1:8">
      <c r="A32" s="5480"/>
      <c r="B32" s="5465" t="s">
        <v>39</v>
      </c>
      <c r="C32" s="5475"/>
      <c r="D32" s="5479">
        <v>216746.27</v>
      </c>
      <c r="E32" s="5479">
        <f>183170.56+116829.44</f>
        <v>300000</v>
      </c>
      <c r="F32" s="5499">
        <v>116829.44</v>
      </c>
      <c r="G32" s="5500">
        <f>F32/E32</f>
        <v>0.38943146666666667</v>
      </c>
      <c r="H32" s="5501">
        <v>300000</v>
      </c>
    </row>
    <row r="33" spans="1:9" hidden="1">
      <c r="A33" s="5480"/>
      <c r="B33" s="5465" t="s">
        <v>41</v>
      </c>
      <c r="C33" s="5475"/>
      <c r="D33" s="5479"/>
      <c r="E33" s="5479"/>
      <c r="F33" s="5499"/>
      <c r="G33" s="5500" t="e">
        <f t="shared" ref="G33:G40" si="0">F33/E33</f>
        <v>#DIV/0!</v>
      </c>
      <c r="H33" s="5501">
        <v>0</v>
      </c>
    </row>
    <row r="34" spans="1:9">
      <c r="A34" s="5480"/>
      <c r="B34" s="5465" t="s">
        <v>42</v>
      </c>
      <c r="C34" s="5475"/>
      <c r="D34" s="5479">
        <v>34429.75</v>
      </c>
      <c r="E34" s="5479">
        <f>35721.8+24278.2</f>
        <v>60000</v>
      </c>
      <c r="F34" s="5499">
        <v>24278.2</v>
      </c>
      <c r="G34" s="5500">
        <f t="shared" si="0"/>
        <v>0.4046366666666667</v>
      </c>
      <c r="H34" s="5501">
        <v>60000</v>
      </c>
    </row>
    <row r="35" spans="1:9">
      <c r="A35" s="10679"/>
      <c r="B35" s="5465" t="s">
        <v>11940</v>
      </c>
      <c r="C35" s="10680"/>
      <c r="D35" s="10681"/>
      <c r="E35" s="10681"/>
      <c r="F35" s="10682"/>
      <c r="G35" s="10683"/>
      <c r="H35" s="10684">
        <f>20000+16000</f>
        <v>36000</v>
      </c>
    </row>
    <row r="36" spans="1:9" hidden="1">
      <c r="A36" s="5476"/>
      <c r="B36" s="5465" t="s">
        <v>125</v>
      </c>
      <c r="C36" s="5459"/>
      <c r="D36" s="5481"/>
      <c r="E36" s="5481"/>
      <c r="F36" s="5499"/>
      <c r="G36" s="5500"/>
      <c r="H36" s="5636"/>
    </row>
    <row r="37" spans="1:9">
      <c r="A37" s="5480"/>
      <c r="B37" s="5465" t="s">
        <v>107</v>
      </c>
      <c r="C37" s="5475"/>
      <c r="D37" s="5479">
        <v>46066.21</v>
      </c>
      <c r="E37" s="5479">
        <f>17414.32+27585.68</f>
        <v>45000</v>
      </c>
      <c r="F37" s="5499">
        <v>27585.68</v>
      </c>
      <c r="G37" s="5500">
        <f t="shared" si="0"/>
        <v>0.61301511111111107</v>
      </c>
      <c r="H37" s="5501">
        <v>50000</v>
      </c>
    </row>
    <row r="38" spans="1:9" hidden="1">
      <c r="A38" s="5476"/>
      <c r="B38" s="5465" t="s">
        <v>10008</v>
      </c>
      <c r="C38" s="5459"/>
      <c r="D38" s="5481"/>
      <c r="E38" s="5481"/>
      <c r="F38" s="5499"/>
      <c r="G38" s="5500"/>
      <c r="H38" s="5636"/>
    </row>
    <row r="39" spans="1:9" hidden="1">
      <c r="A39" s="5476"/>
      <c r="B39" s="5465" t="s">
        <v>10007</v>
      </c>
      <c r="C39" s="5459"/>
      <c r="D39" s="5481"/>
      <c r="E39" s="5481"/>
      <c r="F39" s="5499"/>
      <c r="G39" s="5500"/>
      <c r="H39" s="5636"/>
    </row>
    <row r="40" spans="1:9">
      <c r="A40" s="5480"/>
      <c r="B40" s="5465" t="s">
        <v>194</v>
      </c>
      <c r="C40" s="5475"/>
      <c r="D40" s="5479">
        <v>9253</v>
      </c>
      <c r="E40" s="5479">
        <f>18645+6355</f>
        <v>25000</v>
      </c>
      <c r="F40" s="5499">
        <v>6355</v>
      </c>
      <c r="G40" s="5500">
        <f t="shared" si="0"/>
        <v>0.25419999999999998</v>
      </c>
      <c r="H40" s="5501">
        <v>30000</v>
      </c>
    </row>
    <row r="41" spans="1:9">
      <c r="A41" s="5480"/>
      <c r="B41" s="5478" t="s">
        <v>37</v>
      </c>
      <c r="C41" s="5475"/>
      <c r="D41" s="5497">
        <f>SUM(D32:D40)</f>
        <v>306495.23</v>
      </c>
      <c r="E41" s="5497">
        <f>SUM(E32:E40)</f>
        <v>430000</v>
      </c>
      <c r="F41" s="5497">
        <f>SUM(F32:F40)</f>
        <v>175048.32000000001</v>
      </c>
      <c r="G41" s="5500">
        <f>F41/E41</f>
        <v>0.4070891162790698</v>
      </c>
      <c r="H41" s="5505">
        <f>SUM(H32:H40)</f>
        <v>476000</v>
      </c>
      <c r="I41" s="10527">
        <f>(H41-E41)/E41</f>
        <v>0.10697674418604651</v>
      </c>
    </row>
    <row r="42" spans="1:9" ht="19.5" customHeight="1">
      <c r="A42" s="5482" t="s">
        <v>51</v>
      </c>
      <c r="B42" s="5465" t="s">
        <v>112</v>
      </c>
      <c r="C42" s="5475"/>
      <c r="D42" s="5479"/>
      <c r="E42" s="5479"/>
      <c r="F42" s="5481"/>
      <c r="G42" s="5481"/>
      <c r="H42" s="5501"/>
    </row>
    <row r="43" spans="1:9" ht="19.5" customHeight="1">
      <c r="A43" s="5483"/>
      <c r="B43" s="5485" t="s">
        <v>176</v>
      </c>
      <c r="C43" s="5459"/>
      <c r="D43" s="5481">
        <v>46790</v>
      </c>
      <c r="E43" s="5481"/>
      <c r="F43" s="5636"/>
      <c r="G43" s="5637"/>
      <c r="H43" s="5636"/>
    </row>
    <row r="44" spans="1:9" s="2654" customFormat="1">
      <c r="A44" s="5484"/>
      <c r="B44" s="5485" t="s">
        <v>10947</v>
      </c>
      <c r="C44" s="5486"/>
      <c r="D44" s="5501"/>
      <c r="E44" s="5501"/>
      <c r="F44" s="5636"/>
      <c r="G44" s="5637"/>
      <c r="H44" s="5501">
        <f>150000-16000</f>
        <v>134000</v>
      </c>
    </row>
    <row r="45" spans="1:9" s="2654" customFormat="1">
      <c r="A45" s="5484"/>
      <c r="B45" s="5485" t="s">
        <v>9958</v>
      </c>
      <c r="C45" s="5486"/>
      <c r="D45" s="5502">
        <v>0</v>
      </c>
      <c r="E45" s="5502"/>
      <c r="F45" s="5503"/>
      <c r="G45" s="5503"/>
      <c r="H45" s="5502">
        <v>75000</v>
      </c>
    </row>
    <row r="46" spans="1:9" s="2654" customFormat="1" ht="13.5" customHeight="1">
      <c r="A46" s="5484"/>
      <c r="B46" s="5504" t="s">
        <v>195</v>
      </c>
      <c r="C46" s="5486"/>
      <c r="D46" s="5505">
        <f>SUM(D42:D45)</f>
        <v>46790</v>
      </c>
      <c r="E46" s="5505">
        <f>SUM(E44:E45)</f>
        <v>0</v>
      </c>
      <c r="F46" s="5505">
        <f>SUM(F44:F45)</f>
        <v>0</v>
      </c>
      <c r="G46" s="5506"/>
      <c r="H46" s="5505">
        <f>SUM(H44:H45)</f>
        <v>209000</v>
      </c>
    </row>
    <row r="47" spans="1:9" ht="14.25" customHeight="1">
      <c r="A47" s="5507"/>
      <c r="B47" s="5508"/>
      <c r="C47" s="5509"/>
      <c r="D47" s="5510"/>
      <c r="E47" s="5510"/>
      <c r="F47" s="5511"/>
      <c r="G47" s="5511"/>
      <c r="H47" s="5502"/>
    </row>
    <row r="48" spans="1:9" s="5460" customFormat="1" ht="18" customHeight="1">
      <c r="A48" s="5512"/>
      <c r="B48" s="5513" t="s">
        <v>55</v>
      </c>
      <c r="C48" s="5514"/>
      <c r="D48" s="5515">
        <f>(D30+D41+D46)</f>
        <v>353285.23</v>
      </c>
      <c r="E48" s="5515">
        <f>(E30+E41+E46)</f>
        <v>430000</v>
      </c>
      <c r="F48" s="5515">
        <f>(F30+F41+F46)</f>
        <v>175048.32000000001</v>
      </c>
      <c r="G48" s="5516"/>
      <c r="H48" s="6934">
        <f>(H30+H41+H46)</f>
        <v>685000</v>
      </c>
    </row>
    <row r="49" spans="1:8">
      <c r="A49" s="969"/>
      <c r="B49" s="969"/>
      <c r="C49" s="969"/>
      <c r="D49" s="969"/>
      <c r="E49" s="969"/>
      <c r="F49" s="969"/>
      <c r="G49" s="5487">
        <f>H48-E48</f>
        <v>255000</v>
      </c>
      <c r="H49" s="6925">
        <f>G49/E48</f>
        <v>0.59302325581395354</v>
      </c>
    </row>
    <row r="50" spans="1:8" ht="12.75" customHeight="1" thickBot="1">
      <c r="A50" s="969"/>
      <c r="B50" s="969"/>
      <c r="C50" s="969"/>
      <c r="D50" s="969"/>
      <c r="E50" s="969"/>
      <c r="F50" s="969"/>
      <c r="G50" s="969"/>
    </row>
    <row r="51" spans="1:8">
      <c r="A51" s="5578"/>
      <c r="B51" s="5579"/>
      <c r="C51" s="5580" t="s">
        <v>9</v>
      </c>
      <c r="D51" s="5581" t="s">
        <v>10</v>
      </c>
      <c r="E51" s="14013" t="s">
        <v>10006</v>
      </c>
      <c r="F51" s="14014"/>
      <c r="G51" s="14014"/>
      <c r="H51" s="14015"/>
    </row>
    <row r="52" spans="1:8" ht="14.25" customHeight="1">
      <c r="A52" s="5476"/>
      <c r="B52" s="5466" t="s">
        <v>13</v>
      </c>
      <c r="C52" s="5582" t="s">
        <v>93</v>
      </c>
      <c r="D52" s="5583" t="s">
        <v>11749</v>
      </c>
      <c r="E52" s="5583" t="s">
        <v>16</v>
      </c>
      <c r="F52" s="5583" t="s">
        <v>9985</v>
      </c>
      <c r="G52" s="5583" t="s">
        <v>10003</v>
      </c>
      <c r="H52" s="6926" t="s">
        <v>16</v>
      </c>
    </row>
    <row r="53" spans="1:8" ht="14.4" thickBot="1">
      <c r="A53" s="5584"/>
      <c r="B53" s="5585"/>
      <c r="C53" s="5586" t="s">
        <v>94</v>
      </c>
      <c r="D53" s="5493">
        <v>2017</v>
      </c>
      <c r="E53" s="5471">
        <v>2018</v>
      </c>
      <c r="F53" s="5493">
        <v>2018</v>
      </c>
      <c r="G53" s="5493" t="s">
        <v>9986</v>
      </c>
      <c r="H53" s="6927">
        <v>2019</v>
      </c>
    </row>
    <row r="54" spans="1:8" hidden="1">
      <c r="A54" s="5482" t="s">
        <v>17</v>
      </c>
      <c r="B54" s="5465" t="s">
        <v>18</v>
      </c>
      <c r="C54" s="5472"/>
      <c r="D54" s="5473"/>
      <c r="E54" s="5473"/>
      <c r="F54" s="5474"/>
      <c r="G54" s="5474"/>
      <c r="H54" s="6921"/>
    </row>
    <row r="55" spans="1:8" ht="12.75" hidden="1" customHeight="1">
      <c r="A55" s="5480"/>
      <c r="B55" s="5465" t="s">
        <v>19</v>
      </c>
      <c r="C55" s="5472"/>
      <c r="D55" s="5473"/>
      <c r="E55" s="5473"/>
      <c r="F55" s="5474"/>
      <c r="G55" s="5474"/>
      <c r="H55" s="6921"/>
    </row>
    <row r="56" spans="1:8" ht="12" hidden="1" customHeight="1">
      <c r="A56" s="5480"/>
      <c r="B56" s="5465" t="s">
        <v>20</v>
      </c>
      <c r="C56" s="5475" t="s">
        <v>190</v>
      </c>
      <c r="D56" s="5494"/>
      <c r="E56" s="5494"/>
      <c r="F56" s="5495"/>
      <c r="G56" s="5495"/>
      <c r="H56" s="6922"/>
    </row>
    <row r="57" spans="1:8" hidden="1">
      <c r="A57" s="5480"/>
      <c r="B57" s="5465" t="s">
        <v>21</v>
      </c>
      <c r="C57" s="5475">
        <v>711</v>
      </c>
      <c r="D57" s="5479"/>
      <c r="E57" s="5479"/>
      <c r="F57" s="5481"/>
      <c r="G57" s="5481"/>
      <c r="H57" s="5501"/>
    </row>
    <row r="58" spans="1:8" hidden="1">
      <c r="A58" s="5480"/>
      <c r="B58" s="5465" t="s">
        <v>104</v>
      </c>
      <c r="C58" s="5475">
        <v>713</v>
      </c>
      <c r="D58" s="5479"/>
      <c r="E58" s="5479"/>
      <c r="F58" s="5481"/>
      <c r="G58" s="5481"/>
      <c r="H58" s="5501"/>
    </row>
    <row r="59" spans="1:8" hidden="1">
      <c r="A59" s="5480"/>
      <c r="B59" s="5465" t="s">
        <v>105</v>
      </c>
      <c r="C59" s="5475">
        <v>714</v>
      </c>
      <c r="D59" s="5479"/>
      <c r="E59" s="5479"/>
      <c r="F59" s="5481"/>
      <c r="G59" s="5481"/>
      <c r="H59" s="5501"/>
    </row>
    <row r="60" spans="1:8" hidden="1">
      <c r="A60" s="5480"/>
      <c r="B60" s="5465" t="s">
        <v>22</v>
      </c>
      <c r="C60" s="5475">
        <v>715</v>
      </c>
      <c r="D60" s="5479"/>
      <c r="E60" s="5479"/>
      <c r="F60" s="5481"/>
      <c r="G60" s="5481"/>
      <c r="H60" s="5501"/>
    </row>
    <row r="61" spans="1:8" hidden="1">
      <c r="A61" s="5480"/>
      <c r="B61" s="5465" t="s">
        <v>23</v>
      </c>
      <c r="C61" s="5475">
        <v>717</v>
      </c>
      <c r="D61" s="5479"/>
      <c r="E61" s="5479"/>
      <c r="F61" s="5481"/>
      <c r="G61" s="5481"/>
      <c r="H61" s="5501"/>
    </row>
    <row r="62" spans="1:8" hidden="1">
      <c r="A62" s="5480"/>
      <c r="B62" s="5465" t="s">
        <v>24</v>
      </c>
      <c r="C62" s="5475" t="s">
        <v>25</v>
      </c>
      <c r="D62" s="5479"/>
      <c r="E62" s="5479"/>
      <c r="F62" s="5481"/>
      <c r="G62" s="5481"/>
      <c r="H62" s="5501"/>
    </row>
    <row r="63" spans="1:8" hidden="1">
      <c r="A63" s="5480"/>
      <c r="B63" s="5465" t="s">
        <v>26</v>
      </c>
      <c r="C63" s="5475">
        <v>724</v>
      </c>
      <c r="D63" s="5479"/>
      <c r="E63" s="5479"/>
      <c r="F63" s="5481"/>
      <c r="G63" s="5481"/>
      <c r="H63" s="5501"/>
    </row>
    <row r="64" spans="1:8" hidden="1">
      <c r="A64" s="5480"/>
      <c r="B64" s="5465" t="s">
        <v>27</v>
      </c>
      <c r="C64" s="5475">
        <v>725</v>
      </c>
      <c r="D64" s="5477"/>
      <c r="E64" s="5477"/>
      <c r="F64" s="5496"/>
      <c r="G64" s="5496"/>
      <c r="H64" s="6923"/>
    </row>
    <row r="65" spans="1:8" hidden="1">
      <c r="A65" s="5480"/>
      <c r="B65" s="5465" t="s">
        <v>191</v>
      </c>
      <c r="C65" s="5475">
        <v>731</v>
      </c>
      <c r="D65" s="5479"/>
      <c r="E65" s="5479"/>
      <c r="F65" s="5481"/>
      <c r="G65" s="5481"/>
      <c r="H65" s="5501"/>
    </row>
    <row r="66" spans="1:8" hidden="1">
      <c r="A66" s="5480"/>
      <c r="B66" s="5465" t="s">
        <v>28</v>
      </c>
      <c r="C66" s="5475">
        <v>732</v>
      </c>
      <c r="D66" s="5479"/>
      <c r="E66" s="5479"/>
      <c r="F66" s="5481"/>
      <c r="G66" s="5481"/>
      <c r="H66" s="5501"/>
    </row>
    <row r="67" spans="1:8" hidden="1">
      <c r="A67" s="5480"/>
      <c r="B67" s="5465" t="s">
        <v>29</v>
      </c>
      <c r="C67" s="5475">
        <v>733</v>
      </c>
      <c r="D67" s="5479"/>
      <c r="E67" s="5479"/>
      <c r="F67" s="5481"/>
      <c r="G67" s="5481"/>
      <c r="H67" s="5501"/>
    </row>
    <row r="68" spans="1:8" hidden="1">
      <c r="A68" s="5480"/>
      <c r="B68" s="5465" t="s">
        <v>30</v>
      </c>
      <c r="C68" s="5475">
        <v>734</v>
      </c>
      <c r="D68" s="5479"/>
      <c r="E68" s="5479"/>
      <c r="F68" s="5481"/>
      <c r="G68" s="5481"/>
      <c r="H68" s="5501"/>
    </row>
    <row r="69" spans="1:8" hidden="1">
      <c r="A69" s="5480"/>
      <c r="B69" s="5465" t="s">
        <v>154</v>
      </c>
      <c r="C69" s="5475">
        <v>742</v>
      </c>
      <c r="D69" s="5479"/>
      <c r="E69" s="5479"/>
      <c r="F69" s="5481"/>
      <c r="G69" s="5481"/>
      <c r="H69" s="5501"/>
    </row>
    <row r="70" spans="1:8" hidden="1">
      <c r="A70" s="5480"/>
      <c r="B70" s="5465" t="s">
        <v>96</v>
      </c>
      <c r="C70" s="5475">
        <v>749</v>
      </c>
      <c r="D70" s="5479"/>
      <c r="E70" s="5479"/>
      <c r="F70" s="5481"/>
      <c r="G70" s="5481"/>
      <c r="H70" s="5501"/>
    </row>
    <row r="71" spans="1:8" hidden="1">
      <c r="A71" s="5480"/>
      <c r="B71" s="5465" t="s">
        <v>33</v>
      </c>
      <c r="C71" s="5475" t="s">
        <v>34</v>
      </c>
      <c r="D71" s="5479"/>
      <c r="E71" s="5479"/>
      <c r="F71" s="5481"/>
      <c r="G71" s="5481"/>
      <c r="H71" s="5501"/>
    </row>
    <row r="72" spans="1:8" hidden="1">
      <c r="A72" s="5480"/>
      <c r="B72" s="5465" t="s">
        <v>35</v>
      </c>
      <c r="C72" s="5475" t="s">
        <v>36</v>
      </c>
      <c r="D72" s="5479"/>
      <c r="E72" s="5479"/>
      <c r="F72" s="5481"/>
      <c r="G72" s="5481"/>
      <c r="H72" s="5501"/>
    </row>
    <row r="73" spans="1:8" hidden="1">
      <c r="A73" s="5480"/>
      <c r="B73" s="5465" t="s">
        <v>10005</v>
      </c>
      <c r="C73" s="5475" t="s">
        <v>9</v>
      </c>
      <c r="D73" s="5479"/>
      <c r="E73" s="5479"/>
      <c r="F73" s="5481"/>
      <c r="G73" s="5481"/>
      <c r="H73" s="5501"/>
    </row>
    <row r="74" spans="1:8" ht="14.25" hidden="1" customHeight="1">
      <c r="A74" s="5480"/>
      <c r="B74" s="5478" t="s">
        <v>37</v>
      </c>
      <c r="C74" s="5475"/>
      <c r="D74" s="5497">
        <f>SUM(D55:D73)</f>
        <v>0</v>
      </c>
      <c r="E74" s="5497">
        <f>SUM(E55:E73)</f>
        <v>0</v>
      </c>
      <c r="F74" s="5498"/>
      <c r="G74" s="5498"/>
      <c r="H74" s="5505">
        <f>SUM(H55:H73)</f>
        <v>0</v>
      </c>
    </row>
    <row r="75" spans="1:8" ht="16.5" customHeight="1">
      <c r="A75" s="5482"/>
      <c r="B75" s="5465" t="s">
        <v>38</v>
      </c>
      <c r="C75" s="5475"/>
      <c r="D75" s="5479"/>
      <c r="E75" s="5479"/>
      <c r="F75" s="5481"/>
      <c r="G75" s="5481"/>
      <c r="H75" s="5501"/>
    </row>
    <row r="76" spans="1:8">
      <c r="A76" s="5480"/>
      <c r="B76" s="5465" t="s">
        <v>39</v>
      </c>
      <c r="C76" s="5475"/>
      <c r="D76" s="5479">
        <v>17290</v>
      </c>
      <c r="E76" s="5501">
        <f>33140+6860</f>
        <v>40000</v>
      </c>
      <c r="F76" s="5535">
        <v>6860</v>
      </c>
      <c r="G76" s="5536">
        <f>F76/E76</f>
        <v>0.17150000000000001</v>
      </c>
      <c r="H76" s="5501">
        <v>30000</v>
      </c>
    </row>
    <row r="77" spans="1:8" hidden="1">
      <c r="A77" s="5480"/>
      <c r="B77" s="5465" t="s">
        <v>41</v>
      </c>
      <c r="C77" s="5475"/>
      <c r="D77" s="5479"/>
      <c r="E77" s="5501"/>
      <c r="F77" s="5535"/>
      <c r="G77" s="5536"/>
      <c r="H77" s="5501"/>
    </row>
    <row r="78" spans="1:8">
      <c r="A78" s="5480"/>
      <c r="B78" s="5465" t="s">
        <v>42</v>
      </c>
      <c r="C78" s="5475"/>
      <c r="D78" s="5479">
        <v>67249.7</v>
      </c>
      <c r="E78" s="5501">
        <f>58843.95+21156.05</f>
        <v>80000</v>
      </c>
      <c r="F78" s="5535">
        <v>21156.05</v>
      </c>
      <c r="G78" s="5536">
        <f>F78/E78</f>
        <v>0.26445062499999999</v>
      </c>
      <c r="H78" s="5501">
        <v>80000</v>
      </c>
    </row>
    <row r="79" spans="1:8">
      <c r="A79" s="5476"/>
      <c r="B79" s="5465" t="s">
        <v>125</v>
      </c>
      <c r="C79" s="5459"/>
      <c r="D79" s="5481"/>
      <c r="E79" s="5636"/>
      <c r="F79" s="5535"/>
      <c r="G79" s="5536"/>
      <c r="H79" s="5636">
        <v>5000</v>
      </c>
    </row>
    <row r="80" spans="1:8">
      <c r="A80" s="5480"/>
      <c r="B80" s="5465" t="s">
        <v>107</v>
      </c>
      <c r="C80" s="5475"/>
      <c r="D80" s="5479"/>
      <c r="E80" s="5501"/>
      <c r="F80" s="5535"/>
      <c r="G80" s="5536"/>
      <c r="H80" s="5501">
        <v>15000</v>
      </c>
    </row>
    <row r="81" spans="1:9" ht="15.6">
      <c r="A81" s="5476"/>
      <c r="B81" s="7488" t="s">
        <v>10959</v>
      </c>
      <c r="C81" s="5459"/>
      <c r="D81" s="5481">
        <v>0</v>
      </c>
      <c r="E81" s="5636"/>
      <c r="F81" s="5535"/>
      <c r="G81" s="5536"/>
      <c r="H81" s="5636"/>
    </row>
    <row r="82" spans="1:9">
      <c r="A82" s="5476"/>
      <c r="B82" s="5465" t="s">
        <v>11750</v>
      </c>
      <c r="C82" s="5459"/>
      <c r="D82" s="5481">
        <v>0</v>
      </c>
      <c r="E82" s="5636">
        <v>40000</v>
      </c>
      <c r="F82" s="5535">
        <v>0</v>
      </c>
      <c r="G82" s="5536">
        <f>F82/E82</f>
        <v>0</v>
      </c>
      <c r="H82" s="5636">
        <v>20000</v>
      </c>
    </row>
    <row r="83" spans="1:9">
      <c r="A83" s="5480"/>
      <c r="B83" s="5465" t="s">
        <v>194</v>
      </c>
      <c r="C83" s="5475"/>
      <c r="D83" s="5479">
        <v>7156</v>
      </c>
      <c r="E83" s="5501">
        <v>80000</v>
      </c>
      <c r="F83" s="5535">
        <v>0</v>
      </c>
      <c r="G83" s="5536">
        <f>F83/E83</f>
        <v>0</v>
      </c>
      <c r="H83" s="5501">
        <v>20000</v>
      </c>
    </row>
    <row r="84" spans="1:9">
      <c r="A84" s="5480"/>
      <c r="B84" s="5478" t="s">
        <v>37</v>
      </c>
      <c r="C84" s="5475"/>
      <c r="D84" s="5497">
        <f>SUM(D76:D83)</f>
        <v>91695.7</v>
      </c>
      <c r="E84" s="5497">
        <f>SUM(E76:E83)</f>
        <v>240000</v>
      </c>
      <c r="F84" s="5497">
        <f>SUM(F76:F83)</f>
        <v>28016.05</v>
      </c>
      <c r="G84" s="7052">
        <f>F84/E84</f>
        <v>0.11673354166666666</v>
      </c>
      <c r="H84" s="5505">
        <f>SUM(H76:H83)</f>
        <v>170000</v>
      </c>
      <c r="I84" s="10527">
        <f>(H84-E84)/E84</f>
        <v>-0.29166666666666669</v>
      </c>
    </row>
    <row r="85" spans="1:9" ht="12" customHeight="1">
      <c r="A85" s="5482" t="s">
        <v>51</v>
      </c>
      <c r="B85" s="5465" t="s">
        <v>112</v>
      </c>
      <c r="C85" s="5475"/>
      <c r="D85" s="5479"/>
      <c r="E85" s="5479"/>
      <c r="F85" s="5481"/>
      <c r="G85" s="5481"/>
      <c r="H85" s="5501"/>
    </row>
    <row r="86" spans="1:9" ht="12" customHeight="1">
      <c r="A86" s="5483"/>
      <c r="B86" s="5465"/>
      <c r="C86" s="5459"/>
      <c r="D86" s="5764"/>
      <c r="E86" s="5764"/>
      <c r="F86" s="5764"/>
      <c r="G86" s="5764"/>
      <c r="H86" s="6928"/>
    </row>
    <row r="87" spans="1:9" ht="12" hidden="1" customHeight="1">
      <c r="A87" s="5483"/>
      <c r="B87" s="5465" t="s">
        <v>10063</v>
      </c>
      <c r="C87" s="5459"/>
      <c r="D87" s="5481"/>
      <c r="E87" s="5481"/>
      <c r="F87" s="5481"/>
      <c r="G87" s="5481"/>
      <c r="H87" s="5636"/>
    </row>
    <row r="88" spans="1:9" s="2654" customFormat="1" ht="12" hidden="1" customHeight="1">
      <c r="A88" s="5484"/>
      <c r="B88" s="5485" t="s">
        <v>176</v>
      </c>
      <c r="C88" s="5486"/>
      <c r="D88" s="5501"/>
      <c r="E88" s="5501"/>
      <c r="F88" s="5636"/>
      <c r="G88" s="5637"/>
      <c r="H88" s="5501"/>
    </row>
    <row r="89" spans="1:9" s="2654" customFormat="1" ht="15.75" customHeight="1">
      <c r="A89" s="5484"/>
      <c r="B89" s="5485" t="s">
        <v>9958</v>
      </c>
      <c r="C89" s="5486"/>
      <c r="D89" s="10507"/>
      <c r="E89" s="10475"/>
      <c r="F89" s="10475"/>
      <c r="G89" s="10476"/>
      <c r="H89" s="10475"/>
    </row>
    <row r="90" spans="1:9" s="2654" customFormat="1" ht="15.75" customHeight="1">
      <c r="A90" s="10472"/>
      <c r="B90" s="5485" t="s">
        <v>11710</v>
      </c>
      <c r="C90" s="10473"/>
      <c r="D90" s="10507"/>
      <c r="E90" s="10475"/>
      <c r="F90" s="10475"/>
      <c r="G90" s="10476"/>
      <c r="H90" s="10475">
        <v>22000</v>
      </c>
    </row>
    <row r="91" spans="1:9" s="2654" customFormat="1" ht="15.75" customHeight="1">
      <c r="A91" s="10472"/>
      <c r="B91" s="5485" t="s">
        <v>11711</v>
      </c>
      <c r="C91" s="10473"/>
      <c r="D91" s="10507"/>
      <c r="E91" s="10475"/>
      <c r="F91" s="10475"/>
      <c r="G91" s="10476"/>
      <c r="H91" s="10475">
        <v>5000</v>
      </c>
    </row>
    <row r="92" spans="1:9" s="2654" customFormat="1" ht="15.75" customHeight="1">
      <c r="A92" s="10472"/>
      <c r="B92" s="5485" t="s">
        <v>11712</v>
      </c>
      <c r="C92" s="10473"/>
      <c r="D92" s="10507"/>
      <c r="E92" s="10475"/>
      <c r="F92" s="10475"/>
      <c r="G92" s="10476"/>
      <c r="H92" s="10475">
        <v>50000</v>
      </c>
    </row>
    <row r="93" spans="1:9" s="2654" customFormat="1" ht="15.75" customHeight="1">
      <c r="A93" s="10472"/>
      <c r="B93" s="5485"/>
      <c r="C93" s="10473"/>
      <c r="D93" s="10477"/>
      <c r="E93" s="10477"/>
      <c r="F93" s="10474"/>
      <c r="G93" s="10478"/>
      <c r="H93" s="10474"/>
    </row>
    <row r="94" spans="1:9" s="2654" customFormat="1" ht="16.5" customHeight="1">
      <c r="A94" s="5484"/>
      <c r="B94" s="5504" t="s">
        <v>195</v>
      </c>
      <c r="C94" s="5486"/>
      <c r="D94" s="5505">
        <v>0</v>
      </c>
      <c r="E94" s="5505">
        <f>SUM(E88:E89)</f>
        <v>0</v>
      </c>
      <c r="F94" s="5505">
        <f>SUM(F88:F89)</f>
        <v>0</v>
      </c>
      <c r="G94" s="5506"/>
      <c r="H94" s="5505">
        <f>SUM(H87:H93)</f>
        <v>77000</v>
      </c>
    </row>
    <row r="95" spans="1:9" ht="14.25" customHeight="1">
      <c r="A95" s="5507"/>
      <c r="B95" s="5508"/>
      <c r="C95" s="5509"/>
      <c r="D95" s="5510"/>
      <c r="E95" s="5510"/>
      <c r="F95" s="5511"/>
      <c r="G95" s="5511"/>
      <c r="H95" s="5502"/>
    </row>
    <row r="96" spans="1:9" s="5460" customFormat="1" ht="18" customHeight="1">
      <c r="A96" s="5512"/>
      <c r="B96" s="5513" t="s">
        <v>55</v>
      </c>
      <c r="C96" s="5514"/>
      <c r="D96" s="5515">
        <v>420000</v>
      </c>
      <c r="E96" s="5515">
        <f>(E74+E84+E94)</f>
        <v>240000</v>
      </c>
      <c r="F96" s="5515">
        <f>(F74+F84+F94)</f>
        <v>28016.05</v>
      </c>
      <c r="G96" s="5516"/>
      <c r="H96" s="6934">
        <f>H94+H84</f>
        <v>247000</v>
      </c>
      <c r="I96" s="10527">
        <f>(H96-E96)/E96</f>
        <v>2.9166666666666667E-2</v>
      </c>
    </row>
    <row r="98" spans="1:8">
      <c r="G98" s="5638">
        <f>H96-E96</f>
        <v>7000</v>
      </c>
      <c r="H98" s="6929">
        <f>G98/E96</f>
        <v>2.9166666666666667E-2</v>
      </c>
    </row>
    <row r="99" spans="1:8" ht="12.75" customHeight="1" thickBot="1">
      <c r="A99" s="969"/>
      <c r="B99" s="969"/>
      <c r="C99" s="969"/>
      <c r="D99" s="969"/>
      <c r="E99" s="969"/>
      <c r="F99" s="969"/>
      <c r="G99" s="969"/>
    </row>
    <row r="100" spans="1:8">
      <c r="A100" s="5578"/>
      <c r="B100" s="5579"/>
      <c r="C100" s="5580" t="s">
        <v>9</v>
      </c>
      <c r="D100" s="5581" t="s">
        <v>10</v>
      </c>
      <c r="E100" s="14016" t="s">
        <v>10035</v>
      </c>
      <c r="F100" s="14017"/>
      <c r="G100" s="14017"/>
      <c r="H100" s="14018"/>
    </row>
    <row r="101" spans="1:8" ht="14.25" customHeight="1">
      <c r="A101" s="5476"/>
      <c r="B101" s="5466" t="s">
        <v>13</v>
      </c>
      <c r="C101" s="5582" t="s">
        <v>93</v>
      </c>
      <c r="D101" s="5583" t="s">
        <v>11749</v>
      </c>
      <c r="E101" s="5468" t="s">
        <v>16</v>
      </c>
      <c r="F101" s="5491" t="s">
        <v>9985</v>
      </c>
      <c r="G101" s="5491" t="s">
        <v>10003</v>
      </c>
      <c r="H101" s="6919" t="s">
        <v>16</v>
      </c>
    </row>
    <row r="102" spans="1:8" ht="14.4" thickBot="1">
      <c r="A102" s="5584"/>
      <c r="B102" s="5585"/>
      <c r="C102" s="5586" t="s">
        <v>94</v>
      </c>
      <c r="D102" s="5493">
        <v>2017</v>
      </c>
      <c r="E102" s="5471">
        <v>2018</v>
      </c>
      <c r="F102" s="5493">
        <v>2018</v>
      </c>
      <c r="G102" s="5493" t="s">
        <v>9986</v>
      </c>
      <c r="H102" s="6920">
        <v>2019</v>
      </c>
    </row>
    <row r="103" spans="1:8" hidden="1">
      <c r="A103" s="5482" t="s">
        <v>17</v>
      </c>
      <c r="B103" s="5465" t="s">
        <v>18</v>
      </c>
      <c r="C103" s="5472"/>
      <c r="D103" s="5473"/>
      <c r="E103" s="5473"/>
      <c r="F103" s="5474"/>
      <c r="G103" s="5474"/>
      <c r="H103" s="6921"/>
    </row>
    <row r="104" spans="1:8" ht="12.75" hidden="1" customHeight="1">
      <c r="A104" s="5480"/>
      <c r="B104" s="5465" t="s">
        <v>19</v>
      </c>
      <c r="C104" s="5472"/>
      <c r="D104" s="5473"/>
      <c r="E104" s="5473"/>
      <c r="F104" s="5474"/>
      <c r="G104" s="5474"/>
      <c r="H104" s="6921"/>
    </row>
    <row r="105" spans="1:8" ht="12" hidden="1" customHeight="1">
      <c r="A105" s="5480"/>
      <c r="B105" s="5465" t="s">
        <v>20</v>
      </c>
      <c r="C105" s="5475" t="s">
        <v>190</v>
      </c>
      <c r="D105" s="5494"/>
      <c r="E105" s="5494"/>
      <c r="F105" s="5495"/>
      <c r="G105" s="5495"/>
      <c r="H105" s="6922"/>
    </row>
    <row r="106" spans="1:8" hidden="1">
      <c r="A106" s="5480"/>
      <c r="B106" s="5465" t="s">
        <v>21</v>
      </c>
      <c r="C106" s="5475">
        <v>711</v>
      </c>
      <c r="D106" s="5479"/>
      <c r="E106" s="5479"/>
      <c r="F106" s="5481"/>
      <c r="G106" s="5481"/>
      <c r="H106" s="5501"/>
    </row>
    <row r="107" spans="1:8" hidden="1">
      <c r="A107" s="5480"/>
      <c r="B107" s="5465" t="s">
        <v>104</v>
      </c>
      <c r="C107" s="5475">
        <v>713</v>
      </c>
      <c r="D107" s="5479"/>
      <c r="E107" s="5479"/>
      <c r="F107" s="5481"/>
      <c r="G107" s="5481"/>
      <c r="H107" s="5501"/>
    </row>
    <row r="108" spans="1:8" hidden="1">
      <c r="A108" s="5480"/>
      <c r="B108" s="5465" t="s">
        <v>105</v>
      </c>
      <c r="C108" s="5475">
        <v>714</v>
      </c>
      <c r="D108" s="5479"/>
      <c r="E108" s="5479"/>
      <c r="F108" s="5481"/>
      <c r="G108" s="5481"/>
      <c r="H108" s="5501"/>
    </row>
    <row r="109" spans="1:8" hidden="1">
      <c r="A109" s="5480"/>
      <c r="B109" s="5465" t="s">
        <v>22</v>
      </c>
      <c r="C109" s="5475">
        <v>715</v>
      </c>
      <c r="D109" s="5479"/>
      <c r="E109" s="5479"/>
      <c r="F109" s="5481"/>
      <c r="G109" s="5481"/>
      <c r="H109" s="5501"/>
    </row>
    <row r="110" spans="1:8" hidden="1">
      <c r="A110" s="5480"/>
      <c r="B110" s="5465" t="s">
        <v>23</v>
      </c>
      <c r="C110" s="5475">
        <v>717</v>
      </c>
      <c r="D110" s="5479"/>
      <c r="E110" s="5479"/>
      <c r="F110" s="5481"/>
      <c r="G110" s="5481"/>
      <c r="H110" s="5501"/>
    </row>
    <row r="111" spans="1:8" hidden="1">
      <c r="A111" s="5480"/>
      <c r="B111" s="5465" t="s">
        <v>24</v>
      </c>
      <c r="C111" s="5475" t="s">
        <v>25</v>
      </c>
      <c r="D111" s="5479"/>
      <c r="E111" s="5479"/>
      <c r="F111" s="5481"/>
      <c r="G111" s="5481"/>
      <c r="H111" s="5501"/>
    </row>
    <row r="112" spans="1:8" hidden="1">
      <c r="A112" s="5480"/>
      <c r="B112" s="5465" t="s">
        <v>26</v>
      </c>
      <c r="C112" s="5475">
        <v>724</v>
      </c>
      <c r="D112" s="5479"/>
      <c r="E112" s="5479"/>
      <c r="F112" s="5481"/>
      <c r="G112" s="5481"/>
      <c r="H112" s="5501"/>
    </row>
    <row r="113" spans="1:8" hidden="1">
      <c r="A113" s="5480"/>
      <c r="B113" s="5465" t="s">
        <v>27</v>
      </c>
      <c r="C113" s="5475">
        <v>725</v>
      </c>
      <c r="D113" s="5477"/>
      <c r="E113" s="5477"/>
      <c r="F113" s="5496"/>
      <c r="G113" s="5496"/>
      <c r="H113" s="6923"/>
    </row>
    <row r="114" spans="1:8" hidden="1">
      <c r="A114" s="5480"/>
      <c r="B114" s="5465" t="s">
        <v>191</v>
      </c>
      <c r="C114" s="5475">
        <v>731</v>
      </c>
      <c r="D114" s="5479"/>
      <c r="E114" s="5479"/>
      <c r="F114" s="5481"/>
      <c r="G114" s="5481"/>
      <c r="H114" s="5501"/>
    </row>
    <row r="115" spans="1:8" hidden="1">
      <c r="A115" s="5480"/>
      <c r="B115" s="5465" t="s">
        <v>28</v>
      </c>
      <c r="C115" s="5475">
        <v>732</v>
      </c>
      <c r="D115" s="5479"/>
      <c r="E115" s="5479"/>
      <c r="F115" s="5481"/>
      <c r="G115" s="5481"/>
      <c r="H115" s="5501"/>
    </row>
    <row r="116" spans="1:8" hidden="1">
      <c r="A116" s="5480"/>
      <c r="B116" s="5465" t="s">
        <v>29</v>
      </c>
      <c r="C116" s="5475">
        <v>733</v>
      </c>
      <c r="D116" s="5479"/>
      <c r="E116" s="5479"/>
      <c r="F116" s="5481"/>
      <c r="G116" s="5481"/>
      <c r="H116" s="5501"/>
    </row>
    <row r="117" spans="1:8" hidden="1">
      <c r="A117" s="5480"/>
      <c r="B117" s="5465" t="s">
        <v>30</v>
      </c>
      <c r="C117" s="5475">
        <v>734</v>
      </c>
      <c r="D117" s="5479"/>
      <c r="E117" s="5479"/>
      <c r="F117" s="5481"/>
      <c r="G117" s="5481"/>
      <c r="H117" s="5501"/>
    </row>
    <row r="118" spans="1:8" hidden="1">
      <c r="A118" s="5480"/>
      <c r="B118" s="5465" t="s">
        <v>154</v>
      </c>
      <c r="C118" s="5475">
        <v>742</v>
      </c>
      <c r="D118" s="5479"/>
      <c r="E118" s="5479"/>
      <c r="F118" s="5481"/>
      <c r="G118" s="5481"/>
      <c r="H118" s="5501"/>
    </row>
    <row r="119" spans="1:8" hidden="1">
      <c r="A119" s="5480"/>
      <c r="B119" s="5465" t="s">
        <v>96</v>
      </c>
      <c r="C119" s="5475">
        <v>749</v>
      </c>
      <c r="D119" s="5479"/>
      <c r="E119" s="5479"/>
      <c r="F119" s="5481"/>
      <c r="G119" s="5481"/>
      <c r="H119" s="5501"/>
    </row>
    <row r="120" spans="1:8" hidden="1">
      <c r="A120" s="5480"/>
      <c r="B120" s="5465" t="s">
        <v>33</v>
      </c>
      <c r="C120" s="5475" t="s">
        <v>34</v>
      </c>
      <c r="D120" s="5479"/>
      <c r="E120" s="5479"/>
      <c r="F120" s="5481"/>
      <c r="G120" s="5481"/>
      <c r="H120" s="5501"/>
    </row>
    <row r="121" spans="1:8" hidden="1">
      <c r="A121" s="5480"/>
      <c r="B121" s="5465" t="s">
        <v>35</v>
      </c>
      <c r="C121" s="5475" t="s">
        <v>36</v>
      </c>
      <c r="D121" s="5479"/>
      <c r="E121" s="5479"/>
      <c r="F121" s="5481"/>
      <c r="G121" s="5481"/>
      <c r="H121" s="5501"/>
    </row>
    <row r="122" spans="1:8" hidden="1">
      <c r="A122" s="5480"/>
      <c r="B122" s="5465" t="s">
        <v>10005</v>
      </c>
      <c r="C122" s="5475" t="s">
        <v>9</v>
      </c>
      <c r="D122" s="5479"/>
      <c r="E122" s="5479"/>
      <c r="F122" s="5481"/>
      <c r="G122" s="5481"/>
      <c r="H122" s="5501"/>
    </row>
    <row r="123" spans="1:8" ht="14.25" hidden="1" customHeight="1">
      <c r="A123" s="5480"/>
      <c r="B123" s="5478" t="s">
        <v>37</v>
      </c>
      <c r="C123" s="5475"/>
      <c r="D123" s="5497">
        <f>SUM(D104:D122)</f>
        <v>0</v>
      </c>
      <c r="E123" s="5497">
        <f>SUM(E104:E122)</f>
        <v>0</v>
      </c>
      <c r="F123" s="5498"/>
      <c r="G123" s="5498"/>
      <c r="H123" s="5505">
        <f>SUM(H104:H122)</f>
        <v>0</v>
      </c>
    </row>
    <row r="124" spans="1:8" ht="16.5" customHeight="1">
      <c r="A124" s="5482"/>
      <c r="B124" s="5465" t="s">
        <v>38</v>
      </c>
      <c r="C124" s="5475"/>
      <c r="D124" s="5479"/>
      <c r="E124" s="5479"/>
      <c r="F124" s="5481"/>
      <c r="G124" s="5481"/>
      <c r="H124" s="5501"/>
    </row>
    <row r="125" spans="1:8" hidden="1">
      <c r="A125" s="5480"/>
      <c r="B125" s="5465" t="s">
        <v>39</v>
      </c>
      <c r="C125" s="5475">
        <v>751</v>
      </c>
      <c r="D125" s="5479">
        <v>107465.38</v>
      </c>
      <c r="E125" s="5479"/>
      <c r="F125" s="5587"/>
      <c r="G125" s="5588"/>
      <c r="H125" s="5501"/>
    </row>
    <row r="126" spans="1:8" hidden="1">
      <c r="A126" s="5480"/>
      <c r="B126" s="5465" t="s">
        <v>41</v>
      </c>
      <c r="C126" s="5475">
        <v>753</v>
      </c>
      <c r="D126" s="5479">
        <v>33600</v>
      </c>
      <c r="E126" s="5479"/>
      <c r="F126" s="5587"/>
      <c r="G126" s="5588"/>
      <c r="H126" s="5501"/>
    </row>
    <row r="127" spans="1:8" hidden="1">
      <c r="A127" s="5480"/>
      <c r="B127" s="5465" t="s">
        <v>42</v>
      </c>
      <c r="C127" s="5475">
        <v>755</v>
      </c>
      <c r="D127" s="5479">
        <v>77090.399999999994</v>
      </c>
      <c r="E127" s="5479"/>
      <c r="F127" s="5587"/>
      <c r="G127" s="5588"/>
      <c r="H127" s="5501"/>
    </row>
    <row r="128" spans="1:8" hidden="1">
      <c r="A128" s="5476"/>
      <c r="B128" s="5465" t="s">
        <v>125</v>
      </c>
      <c r="C128" s="5459">
        <v>771</v>
      </c>
      <c r="D128" s="5481"/>
      <c r="E128" s="5481"/>
      <c r="F128" s="5587"/>
      <c r="G128" s="5588"/>
      <c r="H128" s="5636"/>
    </row>
    <row r="129" spans="1:8" hidden="1">
      <c r="A129" s="5480"/>
      <c r="B129" s="5465" t="s">
        <v>107</v>
      </c>
      <c r="C129" s="5475">
        <v>772</v>
      </c>
      <c r="D129" s="5479">
        <v>31699.42</v>
      </c>
      <c r="E129" s="5479"/>
      <c r="F129" s="5587"/>
      <c r="G129" s="5588"/>
      <c r="H129" s="5501"/>
    </row>
    <row r="130" spans="1:8" hidden="1">
      <c r="A130" s="5476"/>
      <c r="B130" s="5465" t="s">
        <v>10008</v>
      </c>
      <c r="C130" s="5459">
        <v>781</v>
      </c>
      <c r="D130" s="5481"/>
      <c r="E130" s="5481"/>
      <c r="F130" s="5587"/>
      <c r="G130" s="5588"/>
      <c r="H130" s="5636"/>
    </row>
    <row r="131" spans="1:8" hidden="1">
      <c r="A131" s="5476"/>
      <c r="B131" s="5465" t="s">
        <v>10007</v>
      </c>
      <c r="C131" s="5459">
        <v>840</v>
      </c>
      <c r="D131" s="5481"/>
      <c r="E131" s="5481"/>
      <c r="F131" s="5587"/>
      <c r="G131" s="5588"/>
      <c r="H131" s="5636"/>
    </row>
    <row r="132" spans="1:8" s="7025" customFormat="1" ht="26.25" customHeight="1">
      <c r="A132" s="7018"/>
      <c r="B132" s="7019" t="s">
        <v>194</v>
      </c>
      <c r="C132" s="7020">
        <v>969</v>
      </c>
      <c r="D132" s="7021">
        <v>10665.04</v>
      </c>
      <c r="E132" s="7021"/>
      <c r="F132" s="7032"/>
      <c r="G132" s="7033" t="e">
        <f>F132/E132</f>
        <v>#DIV/0!</v>
      </c>
      <c r="H132" s="7024"/>
    </row>
    <row r="133" spans="1:8">
      <c r="A133" s="5480"/>
      <c r="B133" s="5478" t="s">
        <v>37</v>
      </c>
      <c r="C133" s="5475"/>
      <c r="D133" s="5497">
        <f>SUM(D125:D132)</f>
        <v>260520.24000000002</v>
      </c>
      <c r="E133" s="5497">
        <f>SUM(E125:E132)</f>
        <v>0</v>
      </c>
      <c r="F133" s="5497">
        <f>SUM(F125:F132)</f>
        <v>0</v>
      </c>
      <c r="G133" s="5498"/>
      <c r="H133" s="5505">
        <f>SUM(H125:H132)</f>
        <v>0</v>
      </c>
    </row>
    <row r="134" spans="1:8" ht="19.5" customHeight="1">
      <c r="A134" s="5482" t="s">
        <v>51</v>
      </c>
      <c r="B134" s="5465" t="s">
        <v>112</v>
      </c>
      <c r="C134" s="5475"/>
      <c r="D134" s="5479"/>
      <c r="E134" s="5479"/>
      <c r="F134" s="5481"/>
      <c r="G134" s="5481"/>
      <c r="H134" s="5501"/>
    </row>
    <row r="135" spans="1:8" ht="19.5" hidden="1" customHeight="1">
      <c r="A135" s="5483"/>
      <c r="B135" s="5465" t="s">
        <v>10009</v>
      </c>
      <c r="C135" s="5459"/>
      <c r="D135" s="5481"/>
      <c r="E135" s="5481"/>
      <c r="F135" s="5481"/>
      <c r="G135" s="5481"/>
      <c r="H135" s="5636"/>
    </row>
    <row r="136" spans="1:8" s="2654" customFormat="1" hidden="1">
      <c r="A136" s="5484"/>
      <c r="B136" s="5485" t="s">
        <v>176</v>
      </c>
      <c r="C136" s="5486">
        <v>221</v>
      </c>
      <c r="D136" s="5501"/>
      <c r="E136" s="5501"/>
      <c r="F136" s="5535"/>
      <c r="G136" s="5536"/>
      <c r="H136" s="5501"/>
    </row>
    <row r="137" spans="1:8" s="2654" customFormat="1" hidden="1">
      <c r="A137" s="5484"/>
      <c r="B137" s="5485" t="s">
        <v>9958</v>
      </c>
      <c r="C137" s="5486">
        <v>222</v>
      </c>
      <c r="D137" s="5502"/>
      <c r="E137" s="5502"/>
      <c r="F137" s="5503"/>
      <c r="G137" s="5503"/>
      <c r="H137" s="5502"/>
    </row>
    <row r="138" spans="1:8" s="2654" customFormat="1" ht="13.5" hidden="1" customHeight="1">
      <c r="A138" s="5484"/>
      <c r="B138" s="5504" t="s">
        <v>195</v>
      </c>
      <c r="C138" s="5486"/>
      <c r="D138" s="5505">
        <v>0</v>
      </c>
      <c r="E138" s="5505">
        <f>SUM(E136:E137)</f>
        <v>0</v>
      </c>
      <c r="F138" s="5505">
        <f>SUM(F136:F137)</f>
        <v>0</v>
      </c>
      <c r="G138" s="5506"/>
      <c r="H138" s="5505">
        <f>SUM(H136:H137)</f>
        <v>0</v>
      </c>
    </row>
    <row r="139" spans="1:8" ht="14.25" hidden="1" customHeight="1">
      <c r="A139" s="5507" t="s">
        <v>53</v>
      </c>
      <c r="B139" s="5508" t="s">
        <v>54</v>
      </c>
      <c r="C139" s="5509"/>
      <c r="D139" s="5510">
        <v>0</v>
      </c>
      <c r="E139" s="5510">
        <v>0</v>
      </c>
      <c r="F139" s="5511"/>
      <c r="G139" s="5511"/>
      <c r="H139" s="5502">
        <v>0</v>
      </c>
    </row>
    <row r="140" spans="1:8" s="5460" customFormat="1" ht="18" customHeight="1">
      <c r="A140" s="5512"/>
      <c r="B140" s="5513" t="s">
        <v>55</v>
      </c>
      <c r="C140" s="5514"/>
      <c r="D140" s="5515">
        <v>420000</v>
      </c>
      <c r="E140" s="5515">
        <f>E133</f>
        <v>0</v>
      </c>
      <c r="F140" s="5516"/>
      <c r="G140" s="5516"/>
      <c r="H140" s="5515">
        <f>H133</f>
        <v>0</v>
      </c>
    </row>
    <row r="142" spans="1:8" ht="12.75" customHeight="1" thickBot="1">
      <c r="A142" s="969"/>
      <c r="B142" s="969"/>
      <c r="C142" s="969"/>
      <c r="D142" s="969"/>
      <c r="E142" s="969"/>
      <c r="F142" s="969"/>
      <c r="G142" s="969"/>
    </row>
    <row r="143" spans="1:8">
      <c r="A143" s="5578"/>
      <c r="B143" s="5579"/>
      <c r="C143" s="5580" t="s">
        <v>9</v>
      </c>
      <c r="D143" s="5581" t="s">
        <v>10</v>
      </c>
      <c r="E143" s="14022" t="s">
        <v>10036</v>
      </c>
      <c r="F143" s="14023"/>
      <c r="G143" s="14023"/>
      <c r="H143" s="14024"/>
    </row>
    <row r="144" spans="1:8" ht="14.25" customHeight="1">
      <c r="A144" s="5476"/>
      <c r="B144" s="5466" t="s">
        <v>13</v>
      </c>
      <c r="C144" s="5582" t="s">
        <v>93</v>
      </c>
      <c r="D144" s="5583" t="s">
        <v>11749</v>
      </c>
      <c r="E144" s="5468" t="s">
        <v>16</v>
      </c>
      <c r="F144" s="5491" t="s">
        <v>9985</v>
      </c>
      <c r="G144" s="5491" t="s">
        <v>10003</v>
      </c>
      <c r="H144" s="6919" t="s">
        <v>16</v>
      </c>
    </row>
    <row r="145" spans="1:8" ht="14.4" thickBot="1">
      <c r="A145" s="5584"/>
      <c r="B145" s="5585"/>
      <c r="C145" s="5586" t="s">
        <v>94</v>
      </c>
      <c r="D145" s="5493">
        <v>2017</v>
      </c>
      <c r="E145" s="5471">
        <v>2018</v>
      </c>
      <c r="F145" s="5493">
        <v>2018</v>
      </c>
      <c r="G145" s="5493" t="s">
        <v>9986</v>
      </c>
      <c r="H145" s="6920">
        <v>2019</v>
      </c>
    </row>
    <row r="146" spans="1:8" hidden="1">
      <c r="A146" s="5482" t="s">
        <v>17</v>
      </c>
      <c r="B146" s="5465" t="s">
        <v>18</v>
      </c>
      <c r="C146" s="5472"/>
      <c r="D146" s="5473"/>
      <c r="E146" s="5473"/>
      <c r="F146" s="5474"/>
      <c r="G146" s="5474"/>
      <c r="H146" s="6921"/>
    </row>
    <row r="147" spans="1:8" ht="12.75" hidden="1" customHeight="1">
      <c r="A147" s="5480"/>
      <c r="B147" s="5465" t="s">
        <v>19</v>
      </c>
      <c r="C147" s="5472"/>
      <c r="D147" s="5473"/>
      <c r="E147" s="5473"/>
      <c r="F147" s="5474"/>
      <c r="G147" s="5474"/>
      <c r="H147" s="6921"/>
    </row>
    <row r="148" spans="1:8" ht="12" hidden="1" customHeight="1">
      <c r="A148" s="5480"/>
      <c r="B148" s="5465" t="s">
        <v>20</v>
      </c>
      <c r="C148" s="5475" t="s">
        <v>190</v>
      </c>
      <c r="D148" s="5494"/>
      <c r="E148" s="5494"/>
      <c r="F148" s="5495"/>
      <c r="G148" s="5495"/>
      <c r="H148" s="6922"/>
    </row>
    <row r="149" spans="1:8" hidden="1">
      <c r="A149" s="5480"/>
      <c r="B149" s="5465" t="s">
        <v>21</v>
      </c>
      <c r="C149" s="5475">
        <v>711</v>
      </c>
      <c r="D149" s="5479"/>
      <c r="E149" s="5479"/>
      <c r="F149" s="5481"/>
      <c r="G149" s="5481"/>
      <c r="H149" s="5501"/>
    </row>
    <row r="150" spans="1:8" hidden="1">
      <c r="A150" s="5480"/>
      <c r="B150" s="5465" t="s">
        <v>104</v>
      </c>
      <c r="C150" s="5475">
        <v>713</v>
      </c>
      <c r="D150" s="5479"/>
      <c r="E150" s="5479"/>
      <c r="F150" s="5481"/>
      <c r="G150" s="5481"/>
      <c r="H150" s="5501"/>
    </row>
    <row r="151" spans="1:8" hidden="1">
      <c r="A151" s="5480"/>
      <c r="B151" s="5465" t="s">
        <v>105</v>
      </c>
      <c r="C151" s="5475">
        <v>714</v>
      </c>
      <c r="D151" s="5479"/>
      <c r="E151" s="5479"/>
      <c r="F151" s="5481"/>
      <c r="G151" s="5481"/>
      <c r="H151" s="5501"/>
    </row>
    <row r="152" spans="1:8" hidden="1">
      <c r="A152" s="5480"/>
      <c r="B152" s="5465" t="s">
        <v>22</v>
      </c>
      <c r="C152" s="5475">
        <v>715</v>
      </c>
      <c r="D152" s="5479"/>
      <c r="E152" s="5479"/>
      <c r="F152" s="5481"/>
      <c r="G152" s="5481"/>
      <c r="H152" s="5501"/>
    </row>
    <row r="153" spans="1:8" hidden="1">
      <c r="A153" s="5480"/>
      <c r="B153" s="5465" t="s">
        <v>23</v>
      </c>
      <c r="C153" s="5475">
        <v>717</v>
      </c>
      <c r="D153" s="5479"/>
      <c r="E153" s="5479"/>
      <c r="F153" s="5481"/>
      <c r="G153" s="5481"/>
      <c r="H153" s="5501"/>
    </row>
    <row r="154" spans="1:8" hidden="1">
      <c r="A154" s="5480"/>
      <c r="B154" s="5465" t="s">
        <v>24</v>
      </c>
      <c r="C154" s="5475" t="s">
        <v>25</v>
      </c>
      <c r="D154" s="5479"/>
      <c r="E154" s="5479"/>
      <c r="F154" s="5481"/>
      <c r="G154" s="5481"/>
      <c r="H154" s="5501"/>
    </row>
    <row r="155" spans="1:8" hidden="1">
      <c r="A155" s="5480"/>
      <c r="B155" s="5465" t="s">
        <v>26</v>
      </c>
      <c r="C155" s="5475">
        <v>724</v>
      </c>
      <c r="D155" s="5479"/>
      <c r="E155" s="5479"/>
      <c r="F155" s="5481"/>
      <c r="G155" s="5481"/>
      <c r="H155" s="5501"/>
    </row>
    <row r="156" spans="1:8" hidden="1">
      <c r="A156" s="5480"/>
      <c r="B156" s="5465" t="s">
        <v>27</v>
      </c>
      <c r="C156" s="5475">
        <v>725</v>
      </c>
      <c r="D156" s="5477"/>
      <c r="E156" s="5477"/>
      <c r="F156" s="5496"/>
      <c r="G156" s="5496"/>
      <c r="H156" s="6923"/>
    </row>
    <row r="157" spans="1:8" hidden="1">
      <c r="A157" s="5480"/>
      <c r="B157" s="5465" t="s">
        <v>191</v>
      </c>
      <c r="C157" s="5475">
        <v>731</v>
      </c>
      <c r="D157" s="5479"/>
      <c r="E157" s="5479"/>
      <c r="F157" s="5481"/>
      <c r="G157" s="5481"/>
      <c r="H157" s="5501"/>
    </row>
    <row r="158" spans="1:8" hidden="1">
      <c r="A158" s="5480"/>
      <c r="B158" s="5465" t="s">
        <v>28</v>
      </c>
      <c r="C158" s="5475">
        <v>732</v>
      </c>
      <c r="D158" s="5479"/>
      <c r="E158" s="5479"/>
      <c r="F158" s="5481"/>
      <c r="G158" s="5481"/>
      <c r="H158" s="5501"/>
    </row>
    <row r="159" spans="1:8" hidden="1">
      <c r="A159" s="5480"/>
      <c r="B159" s="5465" t="s">
        <v>29</v>
      </c>
      <c r="C159" s="5475">
        <v>733</v>
      </c>
      <c r="D159" s="5479"/>
      <c r="E159" s="5479"/>
      <c r="F159" s="5481"/>
      <c r="G159" s="5481"/>
      <c r="H159" s="5501"/>
    </row>
    <row r="160" spans="1:8" hidden="1">
      <c r="A160" s="5480"/>
      <c r="B160" s="5465" t="s">
        <v>30</v>
      </c>
      <c r="C160" s="5475">
        <v>734</v>
      </c>
      <c r="D160" s="5479"/>
      <c r="E160" s="5479"/>
      <c r="F160" s="5481"/>
      <c r="G160" s="5481"/>
      <c r="H160" s="5501"/>
    </row>
    <row r="161" spans="1:8" hidden="1">
      <c r="A161" s="5480"/>
      <c r="B161" s="5465" t="s">
        <v>154</v>
      </c>
      <c r="C161" s="5475">
        <v>742</v>
      </c>
      <c r="D161" s="5479"/>
      <c r="E161" s="5479"/>
      <c r="F161" s="5481"/>
      <c r="G161" s="5481"/>
      <c r="H161" s="5501"/>
    </row>
    <row r="162" spans="1:8" hidden="1">
      <c r="A162" s="5480"/>
      <c r="B162" s="5465" t="s">
        <v>96</v>
      </c>
      <c r="C162" s="5475">
        <v>749</v>
      </c>
      <c r="D162" s="5479"/>
      <c r="E162" s="5479"/>
      <c r="F162" s="5481"/>
      <c r="G162" s="5481"/>
      <c r="H162" s="5501"/>
    </row>
    <row r="163" spans="1:8" hidden="1">
      <c r="A163" s="5480"/>
      <c r="B163" s="5465" t="s">
        <v>33</v>
      </c>
      <c r="C163" s="5475" t="s">
        <v>34</v>
      </c>
      <c r="D163" s="5479"/>
      <c r="E163" s="5479"/>
      <c r="F163" s="5481"/>
      <c r="G163" s="5481"/>
      <c r="H163" s="5501"/>
    </row>
    <row r="164" spans="1:8" hidden="1">
      <c r="A164" s="5480"/>
      <c r="B164" s="5465" t="s">
        <v>35</v>
      </c>
      <c r="C164" s="5475" t="s">
        <v>36</v>
      </c>
      <c r="D164" s="5479"/>
      <c r="E164" s="5479"/>
      <c r="F164" s="5481"/>
      <c r="G164" s="5481"/>
      <c r="H164" s="5501"/>
    </row>
    <row r="165" spans="1:8" hidden="1">
      <c r="A165" s="5480"/>
      <c r="B165" s="5465" t="s">
        <v>10005</v>
      </c>
      <c r="C165" s="5475" t="s">
        <v>9</v>
      </c>
      <c r="D165" s="5479"/>
      <c r="E165" s="5479"/>
      <c r="F165" s="5481"/>
      <c r="G165" s="5481"/>
      <c r="H165" s="5501"/>
    </row>
    <row r="166" spans="1:8" ht="14.25" hidden="1" customHeight="1">
      <c r="A166" s="5480"/>
      <c r="B166" s="5478" t="s">
        <v>37</v>
      </c>
      <c r="C166" s="5475"/>
      <c r="D166" s="5497">
        <f>SUM(D147:D165)</f>
        <v>0</v>
      </c>
      <c r="E166" s="5497">
        <f>SUM(E147:E165)</f>
        <v>0</v>
      </c>
      <c r="F166" s="5498"/>
      <c r="G166" s="5498"/>
      <c r="H166" s="5505">
        <f>SUM(H147:H165)</f>
        <v>0</v>
      </c>
    </row>
    <row r="167" spans="1:8" ht="16.5" customHeight="1">
      <c r="A167" s="5482"/>
      <c r="B167" s="5465" t="s">
        <v>38</v>
      </c>
      <c r="C167" s="5475"/>
      <c r="D167" s="5479"/>
      <c r="E167" s="5479"/>
      <c r="F167" s="5481"/>
      <c r="G167" s="5481"/>
      <c r="H167" s="5501"/>
    </row>
    <row r="168" spans="1:8" hidden="1">
      <c r="A168" s="5480"/>
      <c r="B168" s="5465" t="s">
        <v>39</v>
      </c>
      <c r="C168" s="5475">
        <v>751</v>
      </c>
      <c r="D168" s="5479">
        <v>107465.38</v>
      </c>
      <c r="E168" s="5479"/>
      <c r="F168" s="5587"/>
      <c r="G168" s="5588"/>
      <c r="H168" s="5501"/>
    </row>
    <row r="169" spans="1:8" hidden="1">
      <c r="A169" s="5480"/>
      <c r="B169" s="5465" t="s">
        <v>41</v>
      </c>
      <c r="C169" s="5475">
        <v>753</v>
      </c>
      <c r="D169" s="5479">
        <v>33600</v>
      </c>
      <c r="E169" s="5479"/>
      <c r="F169" s="5587"/>
      <c r="G169" s="5588"/>
      <c r="H169" s="5501"/>
    </row>
    <row r="170" spans="1:8" hidden="1">
      <c r="A170" s="5480"/>
      <c r="B170" s="5465" t="s">
        <v>42</v>
      </c>
      <c r="C170" s="5475">
        <v>755</v>
      </c>
      <c r="D170" s="5479">
        <v>77090.399999999994</v>
      </c>
      <c r="E170" s="5479"/>
      <c r="F170" s="5587"/>
      <c r="G170" s="5588"/>
      <c r="H170" s="5501"/>
    </row>
    <row r="171" spans="1:8" hidden="1">
      <c r="A171" s="5476"/>
      <c r="B171" s="5465" t="s">
        <v>125</v>
      </c>
      <c r="C171" s="5459">
        <v>771</v>
      </c>
      <c r="D171" s="5481"/>
      <c r="E171" s="5481"/>
      <c r="F171" s="5587"/>
      <c r="G171" s="5588"/>
      <c r="H171" s="5636"/>
    </row>
    <row r="172" spans="1:8" hidden="1">
      <c r="A172" s="5480"/>
      <c r="B172" s="5465" t="s">
        <v>107</v>
      </c>
      <c r="C172" s="5475">
        <v>772</v>
      </c>
      <c r="D172" s="5479">
        <v>31699.42</v>
      </c>
      <c r="E172" s="5479"/>
      <c r="F172" s="5587"/>
      <c r="G172" s="5588"/>
      <c r="H172" s="5501"/>
    </row>
    <row r="173" spans="1:8" hidden="1">
      <c r="A173" s="5476"/>
      <c r="B173" s="5465" t="s">
        <v>10008</v>
      </c>
      <c r="C173" s="5459">
        <v>781</v>
      </c>
      <c r="D173" s="5481"/>
      <c r="E173" s="5481"/>
      <c r="F173" s="5587"/>
      <c r="G173" s="5588"/>
      <c r="H173" s="5636"/>
    </row>
    <row r="174" spans="1:8" hidden="1">
      <c r="A174" s="5476"/>
      <c r="B174" s="5465" t="s">
        <v>10007</v>
      </c>
      <c r="C174" s="5459">
        <v>840</v>
      </c>
      <c r="D174" s="5481"/>
      <c r="E174" s="5481"/>
      <c r="F174" s="5587"/>
      <c r="G174" s="5588"/>
      <c r="H174" s="5636"/>
    </row>
    <row r="175" spans="1:8" s="7025" customFormat="1" ht="25.5" customHeight="1">
      <c r="A175" s="7018"/>
      <c r="B175" s="7019" t="s">
        <v>194</v>
      </c>
      <c r="C175" s="7020">
        <v>969</v>
      </c>
      <c r="D175" s="7021">
        <v>10665.04</v>
      </c>
      <c r="E175" s="7021"/>
      <c r="F175" s="7034"/>
      <c r="G175" s="7035" t="e">
        <f>F175/E175</f>
        <v>#DIV/0!</v>
      </c>
      <c r="H175" s="7021"/>
    </row>
    <row r="176" spans="1:8">
      <c r="A176" s="5480"/>
      <c r="B176" s="5478" t="s">
        <v>37</v>
      </c>
      <c r="C176" s="5475"/>
      <c r="D176" s="5497">
        <f>SUM(D168:D175)</f>
        <v>260520.24000000002</v>
      </c>
      <c r="E176" s="5497">
        <f>SUM(E168:E175)</f>
        <v>0</v>
      </c>
      <c r="F176" s="5497">
        <f>SUM(F168:F175)</f>
        <v>0</v>
      </c>
      <c r="G176" s="5498"/>
      <c r="H176" s="5505">
        <f>SUM(H168:H175)</f>
        <v>0</v>
      </c>
    </row>
    <row r="177" spans="1:8" ht="19.5" customHeight="1">
      <c r="A177" s="5482" t="s">
        <v>51</v>
      </c>
      <c r="B177" s="5465" t="s">
        <v>112</v>
      </c>
      <c r="C177" s="5475"/>
      <c r="D177" s="5479"/>
      <c r="E177" s="5479"/>
      <c r="F177" s="5481"/>
      <c r="G177" s="5481"/>
      <c r="H177" s="5501"/>
    </row>
    <row r="178" spans="1:8" ht="19.5" hidden="1" customHeight="1">
      <c r="A178" s="5483"/>
      <c r="B178" s="5465" t="s">
        <v>10009</v>
      </c>
      <c r="C178" s="5459"/>
      <c r="D178" s="5481"/>
      <c r="E178" s="5481"/>
      <c r="F178" s="5481"/>
      <c r="G178" s="5481"/>
      <c r="H178" s="5636"/>
    </row>
    <row r="179" spans="1:8" s="2654" customFormat="1" hidden="1">
      <c r="A179" s="5484"/>
      <c r="B179" s="5485" t="s">
        <v>176</v>
      </c>
      <c r="C179" s="5486">
        <v>221</v>
      </c>
      <c r="D179" s="5501"/>
      <c r="E179" s="5501"/>
      <c r="F179" s="5535"/>
      <c r="G179" s="5536"/>
      <c r="H179" s="5501"/>
    </row>
    <row r="180" spans="1:8" s="2654" customFormat="1" hidden="1">
      <c r="A180" s="5484"/>
      <c r="B180" s="5485" t="s">
        <v>9958</v>
      </c>
      <c r="C180" s="5486">
        <v>222</v>
      </c>
      <c r="D180" s="5502"/>
      <c r="E180" s="5502"/>
      <c r="F180" s="5503"/>
      <c r="G180" s="5503"/>
      <c r="H180" s="5502"/>
    </row>
    <row r="181" spans="1:8" s="2654" customFormat="1" ht="13.5" hidden="1" customHeight="1">
      <c r="A181" s="5484"/>
      <c r="B181" s="5504" t="s">
        <v>195</v>
      </c>
      <c r="C181" s="5486"/>
      <c r="D181" s="5505">
        <v>0</v>
      </c>
      <c r="E181" s="5505">
        <f>SUM(E179:E180)</f>
        <v>0</v>
      </c>
      <c r="F181" s="5505">
        <f>SUM(F179:F180)</f>
        <v>0</v>
      </c>
      <c r="G181" s="5506"/>
      <c r="H181" s="5505">
        <f>SUM(H179:H180)</f>
        <v>0</v>
      </c>
    </row>
    <row r="182" spans="1:8" ht="14.25" hidden="1" customHeight="1">
      <c r="A182" s="5507" t="s">
        <v>53</v>
      </c>
      <c r="B182" s="5508" t="s">
        <v>54</v>
      </c>
      <c r="C182" s="5509"/>
      <c r="D182" s="5510">
        <v>0</v>
      </c>
      <c r="E182" s="5510">
        <v>0</v>
      </c>
      <c r="F182" s="5511"/>
      <c r="G182" s="5511"/>
      <c r="H182" s="5502">
        <v>0</v>
      </c>
    </row>
    <row r="183" spans="1:8" s="5460" customFormat="1" ht="18" customHeight="1">
      <c r="A183" s="5512"/>
      <c r="B183" s="5513" t="s">
        <v>55</v>
      </c>
      <c r="C183" s="5514"/>
      <c r="D183" s="5515">
        <v>420000</v>
      </c>
      <c r="E183" s="5515">
        <f>E176</f>
        <v>0</v>
      </c>
      <c r="F183" s="5516"/>
      <c r="G183" s="5516"/>
      <c r="H183" s="5515">
        <f>H176</f>
        <v>0</v>
      </c>
    </row>
    <row r="187" spans="1:8" ht="12.75" customHeight="1" thickBot="1">
      <c r="A187" s="969"/>
      <c r="B187" s="969"/>
      <c r="C187" s="969"/>
      <c r="D187" s="969"/>
      <c r="E187" s="969"/>
      <c r="F187" s="969"/>
      <c r="G187" s="969"/>
    </row>
    <row r="188" spans="1:8">
      <c r="A188" s="5578"/>
      <c r="B188" s="5579"/>
      <c r="C188" s="5580" t="s">
        <v>9</v>
      </c>
      <c r="D188" s="5581" t="s">
        <v>10</v>
      </c>
      <c r="E188" s="14019" t="s">
        <v>10037</v>
      </c>
      <c r="F188" s="14020"/>
      <c r="G188" s="14020"/>
      <c r="H188" s="14021"/>
    </row>
    <row r="189" spans="1:8" ht="14.25" customHeight="1">
      <c r="A189" s="5476"/>
      <c r="B189" s="5466" t="s">
        <v>13</v>
      </c>
      <c r="C189" s="5582" t="s">
        <v>93</v>
      </c>
      <c r="D189" s="5583" t="s">
        <v>11749</v>
      </c>
      <c r="E189" s="5468" t="s">
        <v>16</v>
      </c>
      <c r="F189" s="5491" t="s">
        <v>9985</v>
      </c>
      <c r="G189" s="5491" t="s">
        <v>10003</v>
      </c>
      <c r="H189" s="6919" t="s">
        <v>16</v>
      </c>
    </row>
    <row r="190" spans="1:8" ht="14.4" thickBot="1">
      <c r="A190" s="5584"/>
      <c r="B190" s="5585"/>
      <c r="C190" s="5586" t="s">
        <v>94</v>
      </c>
      <c r="D190" s="5493">
        <v>2017</v>
      </c>
      <c r="E190" s="5471">
        <v>2018</v>
      </c>
      <c r="F190" s="5493">
        <v>2018</v>
      </c>
      <c r="G190" s="5493" t="s">
        <v>9986</v>
      </c>
      <c r="H190" s="6920">
        <v>2019</v>
      </c>
    </row>
    <row r="191" spans="1:8" hidden="1">
      <c r="A191" s="5482" t="s">
        <v>17</v>
      </c>
      <c r="B191" s="5465" t="s">
        <v>18</v>
      </c>
      <c r="C191" s="5472"/>
      <c r="D191" s="5473"/>
      <c r="E191" s="5473"/>
      <c r="F191" s="5474"/>
      <c r="G191" s="5474"/>
      <c r="H191" s="6921"/>
    </row>
    <row r="192" spans="1:8" ht="12.75" hidden="1" customHeight="1">
      <c r="A192" s="5480"/>
      <c r="B192" s="5465" t="s">
        <v>19</v>
      </c>
      <c r="C192" s="5472"/>
      <c r="D192" s="5473"/>
      <c r="E192" s="5473"/>
      <c r="F192" s="5474"/>
      <c r="G192" s="5474"/>
      <c r="H192" s="6921"/>
    </row>
    <row r="193" spans="1:8" ht="12" hidden="1" customHeight="1">
      <c r="A193" s="5480"/>
      <c r="B193" s="5465" t="s">
        <v>20</v>
      </c>
      <c r="C193" s="5475" t="s">
        <v>190</v>
      </c>
      <c r="D193" s="5494"/>
      <c r="E193" s="5494"/>
      <c r="F193" s="5495"/>
      <c r="G193" s="5495"/>
      <c r="H193" s="6922"/>
    </row>
    <row r="194" spans="1:8" hidden="1">
      <c r="A194" s="5480"/>
      <c r="B194" s="5465" t="s">
        <v>21</v>
      </c>
      <c r="C194" s="5475">
        <v>711</v>
      </c>
      <c r="D194" s="5479"/>
      <c r="E194" s="5479"/>
      <c r="F194" s="5481"/>
      <c r="G194" s="5481"/>
      <c r="H194" s="5501"/>
    </row>
    <row r="195" spans="1:8" hidden="1">
      <c r="A195" s="5480"/>
      <c r="B195" s="5465" t="s">
        <v>104</v>
      </c>
      <c r="C195" s="5475">
        <v>713</v>
      </c>
      <c r="D195" s="5479"/>
      <c r="E195" s="5479"/>
      <c r="F195" s="5481"/>
      <c r="G195" s="5481"/>
      <c r="H195" s="5501"/>
    </row>
    <row r="196" spans="1:8" hidden="1">
      <c r="A196" s="5480"/>
      <c r="B196" s="5465" t="s">
        <v>105</v>
      </c>
      <c r="C196" s="5475">
        <v>714</v>
      </c>
      <c r="D196" s="5479"/>
      <c r="E196" s="5479"/>
      <c r="F196" s="5481"/>
      <c r="G196" s="5481"/>
      <c r="H196" s="5501"/>
    </row>
    <row r="197" spans="1:8" hidden="1">
      <c r="A197" s="5480"/>
      <c r="B197" s="5465" t="s">
        <v>22</v>
      </c>
      <c r="C197" s="5475">
        <v>715</v>
      </c>
      <c r="D197" s="5479"/>
      <c r="E197" s="5479"/>
      <c r="F197" s="5481"/>
      <c r="G197" s="5481"/>
      <c r="H197" s="5501"/>
    </row>
    <row r="198" spans="1:8" hidden="1">
      <c r="A198" s="5480"/>
      <c r="B198" s="5465" t="s">
        <v>23</v>
      </c>
      <c r="C198" s="5475">
        <v>717</v>
      </c>
      <c r="D198" s="5479"/>
      <c r="E198" s="5479"/>
      <c r="F198" s="5481"/>
      <c r="G198" s="5481"/>
      <c r="H198" s="5501"/>
    </row>
    <row r="199" spans="1:8" hidden="1">
      <c r="A199" s="5480"/>
      <c r="B199" s="5465" t="s">
        <v>24</v>
      </c>
      <c r="C199" s="5475" t="s">
        <v>25</v>
      </c>
      <c r="D199" s="5479"/>
      <c r="E199" s="5479"/>
      <c r="F199" s="5481"/>
      <c r="G199" s="5481"/>
      <c r="H199" s="5501"/>
    </row>
    <row r="200" spans="1:8" hidden="1">
      <c r="A200" s="5480"/>
      <c r="B200" s="5465" t="s">
        <v>26</v>
      </c>
      <c r="C200" s="5475">
        <v>724</v>
      </c>
      <c r="D200" s="5479"/>
      <c r="E200" s="5479"/>
      <c r="F200" s="5481"/>
      <c r="G200" s="5481"/>
      <c r="H200" s="5501"/>
    </row>
    <row r="201" spans="1:8" hidden="1">
      <c r="A201" s="5480"/>
      <c r="B201" s="5465" t="s">
        <v>27</v>
      </c>
      <c r="C201" s="5475">
        <v>725</v>
      </c>
      <c r="D201" s="5477"/>
      <c r="E201" s="5477"/>
      <c r="F201" s="5496"/>
      <c r="G201" s="5496"/>
      <c r="H201" s="6923"/>
    </row>
    <row r="202" spans="1:8" hidden="1">
      <c r="A202" s="5480"/>
      <c r="B202" s="5465" t="s">
        <v>191</v>
      </c>
      <c r="C202" s="5475">
        <v>731</v>
      </c>
      <c r="D202" s="5479"/>
      <c r="E202" s="5479"/>
      <c r="F202" s="5481"/>
      <c r="G202" s="5481"/>
      <c r="H202" s="5501"/>
    </row>
    <row r="203" spans="1:8" hidden="1">
      <c r="A203" s="5480"/>
      <c r="B203" s="5465" t="s">
        <v>28</v>
      </c>
      <c r="C203" s="5475">
        <v>732</v>
      </c>
      <c r="D203" s="5479"/>
      <c r="E203" s="5479"/>
      <c r="F203" s="5481"/>
      <c r="G203" s="5481"/>
      <c r="H203" s="5501"/>
    </row>
    <row r="204" spans="1:8" hidden="1">
      <c r="A204" s="5480"/>
      <c r="B204" s="5465" t="s">
        <v>29</v>
      </c>
      <c r="C204" s="5475">
        <v>733</v>
      </c>
      <c r="D204" s="5479"/>
      <c r="E204" s="5479"/>
      <c r="F204" s="5481"/>
      <c r="G204" s="5481"/>
      <c r="H204" s="5501"/>
    </row>
    <row r="205" spans="1:8" hidden="1">
      <c r="A205" s="5480"/>
      <c r="B205" s="5465" t="s">
        <v>30</v>
      </c>
      <c r="C205" s="5475">
        <v>734</v>
      </c>
      <c r="D205" s="5479"/>
      <c r="E205" s="5479"/>
      <c r="F205" s="5481"/>
      <c r="G205" s="5481"/>
      <c r="H205" s="5501"/>
    </row>
    <row r="206" spans="1:8" hidden="1">
      <c r="A206" s="5480"/>
      <c r="B206" s="5465" t="s">
        <v>154</v>
      </c>
      <c r="C206" s="5475">
        <v>742</v>
      </c>
      <c r="D206" s="5479"/>
      <c r="E206" s="5479"/>
      <c r="F206" s="5481"/>
      <c r="G206" s="5481"/>
      <c r="H206" s="5501"/>
    </row>
    <row r="207" spans="1:8" hidden="1">
      <c r="A207" s="5480"/>
      <c r="B207" s="5465" t="s">
        <v>96</v>
      </c>
      <c r="C207" s="5475">
        <v>749</v>
      </c>
      <c r="D207" s="5479"/>
      <c r="E207" s="5479"/>
      <c r="F207" s="5481"/>
      <c r="G207" s="5481"/>
      <c r="H207" s="5501"/>
    </row>
    <row r="208" spans="1:8" hidden="1">
      <c r="A208" s="5480"/>
      <c r="B208" s="5465" t="s">
        <v>33</v>
      </c>
      <c r="C208" s="5475" t="s">
        <v>34</v>
      </c>
      <c r="D208" s="5479"/>
      <c r="E208" s="5479"/>
      <c r="F208" s="5481"/>
      <c r="G208" s="5481"/>
      <c r="H208" s="5501"/>
    </row>
    <row r="209" spans="1:8" hidden="1">
      <c r="A209" s="5480"/>
      <c r="B209" s="5465" t="s">
        <v>35</v>
      </c>
      <c r="C209" s="5475" t="s">
        <v>36</v>
      </c>
      <c r="D209" s="5479"/>
      <c r="E209" s="5479"/>
      <c r="F209" s="5481"/>
      <c r="G209" s="5481"/>
      <c r="H209" s="5501"/>
    </row>
    <row r="210" spans="1:8" hidden="1">
      <c r="A210" s="5480"/>
      <c r="B210" s="5465" t="s">
        <v>10005</v>
      </c>
      <c r="C210" s="5475" t="s">
        <v>9</v>
      </c>
      <c r="D210" s="5479"/>
      <c r="E210" s="5479"/>
      <c r="F210" s="5481"/>
      <c r="G210" s="5481"/>
      <c r="H210" s="5501"/>
    </row>
    <row r="211" spans="1:8" ht="14.25" hidden="1" customHeight="1">
      <c r="A211" s="5480"/>
      <c r="B211" s="5478" t="s">
        <v>37</v>
      </c>
      <c r="C211" s="5475"/>
      <c r="D211" s="5497">
        <f>SUM(D192:D210)</f>
        <v>0</v>
      </c>
      <c r="E211" s="5497">
        <f>SUM(E192:E210)</f>
        <v>0</v>
      </c>
      <c r="F211" s="5498"/>
      <c r="G211" s="5498"/>
      <c r="H211" s="5505">
        <f>SUM(H192:H210)</f>
        <v>0</v>
      </c>
    </row>
    <row r="212" spans="1:8" ht="16.5" customHeight="1">
      <c r="A212" s="5482"/>
      <c r="B212" s="5465" t="s">
        <v>38</v>
      </c>
      <c r="C212" s="5475"/>
      <c r="D212" s="5479"/>
      <c r="E212" s="5479"/>
      <c r="F212" s="5481"/>
      <c r="G212" s="5481"/>
      <c r="H212" s="5501"/>
    </row>
    <row r="213" spans="1:8">
      <c r="A213" s="5480"/>
      <c r="B213" s="5465" t="s">
        <v>39</v>
      </c>
      <c r="C213" s="5475"/>
      <c r="D213" s="5479">
        <v>6000</v>
      </c>
      <c r="E213" s="5479">
        <v>6000</v>
      </c>
      <c r="F213" s="5537">
        <v>0</v>
      </c>
      <c r="G213" s="5538">
        <f>F213/E213</f>
        <v>0</v>
      </c>
      <c r="H213" s="5479"/>
    </row>
    <row r="214" spans="1:8" hidden="1">
      <c r="A214" s="5480"/>
      <c r="B214" s="5465" t="s">
        <v>41</v>
      </c>
      <c r="C214" s="5475"/>
      <c r="D214" s="5479"/>
      <c r="E214" s="5479"/>
      <c r="F214" s="5537"/>
      <c r="G214" s="5538"/>
      <c r="H214" s="5479"/>
    </row>
    <row r="215" spans="1:8">
      <c r="A215" s="5480"/>
      <c r="B215" s="5465" t="s">
        <v>42</v>
      </c>
      <c r="C215" s="5475"/>
      <c r="D215" s="5479">
        <v>5164.68</v>
      </c>
      <c r="E215" s="5479">
        <f>8025+1975</f>
        <v>10000</v>
      </c>
      <c r="F215" s="5537">
        <v>1975</v>
      </c>
      <c r="G215" s="5538">
        <f>F215/E215</f>
        <v>0.19750000000000001</v>
      </c>
      <c r="H215" s="5479"/>
    </row>
    <row r="216" spans="1:8" hidden="1">
      <c r="A216" s="5476"/>
      <c r="B216" s="5465" t="s">
        <v>125</v>
      </c>
      <c r="C216" s="5459"/>
      <c r="D216" s="5481"/>
      <c r="E216" s="5481"/>
      <c r="F216" s="5537"/>
      <c r="G216" s="5538"/>
      <c r="H216" s="5481"/>
    </row>
    <row r="217" spans="1:8">
      <c r="A217" s="5480"/>
      <c r="B217" s="5465" t="s">
        <v>107</v>
      </c>
      <c r="C217" s="5475"/>
      <c r="D217" s="5479">
        <v>8386.17</v>
      </c>
      <c r="E217" s="5479">
        <f>4601.82+4398.18</f>
        <v>9000</v>
      </c>
      <c r="F217" s="5537">
        <v>4398.18</v>
      </c>
      <c r="G217" s="5538">
        <f>F217/E217</f>
        <v>0.48868666666666671</v>
      </c>
      <c r="H217" s="5479"/>
    </row>
    <row r="218" spans="1:8" hidden="1">
      <c r="A218" s="5476"/>
      <c r="B218" s="5465" t="s">
        <v>10008</v>
      </c>
      <c r="C218" s="5459"/>
      <c r="D218" s="5481"/>
      <c r="E218" s="5481"/>
      <c r="F218" s="5537"/>
      <c r="G218" s="5538"/>
      <c r="H218" s="5636"/>
    </row>
    <row r="219" spans="1:8" hidden="1">
      <c r="A219" s="5476"/>
      <c r="B219" s="5465" t="s">
        <v>10007</v>
      </c>
      <c r="C219" s="5459"/>
      <c r="D219" s="5481"/>
      <c r="E219" s="5481"/>
      <c r="F219" s="5537"/>
      <c r="G219" s="5538"/>
      <c r="H219" s="5636"/>
    </row>
    <row r="220" spans="1:8">
      <c r="A220" s="5480"/>
      <c r="B220" s="5465" t="s">
        <v>194</v>
      </c>
      <c r="C220" s="5475"/>
      <c r="D220" s="5479"/>
      <c r="E220" s="5479">
        <v>45000</v>
      </c>
      <c r="F220" s="5537">
        <v>0</v>
      </c>
      <c r="G220" s="5538">
        <f>F220/E220</f>
        <v>0</v>
      </c>
      <c r="H220" s="5501"/>
    </row>
    <row r="221" spans="1:8">
      <c r="A221" s="5480"/>
      <c r="B221" s="5478" t="s">
        <v>37</v>
      </c>
      <c r="C221" s="5475"/>
      <c r="D221" s="5497">
        <f>SUM(D213:D220)</f>
        <v>19550.849999999999</v>
      </c>
      <c r="E221" s="5497">
        <f>SUM(E213:E220)</f>
        <v>70000</v>
      </c>
      <c r="F221" s="5497">
        <f>SUM(F213:F220)</f>
        <v>6373.18</v>
      </c>
      <c r="G221" s="5498"/>
      <c r="H221" s="5505">
        <f>SUM(H213:H220)</f>
        <v>0</v>
      </c>
    </row>
    <row r="222" spans="1:8" ht="19.5" customHeight="1">
      <c r="A222" s="5482" t="s">
        <v>51</v>
      </c>
      <c r="B222" s="5465" t="s">
        <v>112</v>
      </c>
      <c r="C222" s="5475"/>
      <c r="D222" s="5479"/>
      <c r="E222" s="5479"/>
      <c r="F222" s="5481"/>
      <c r="G222" s="5481"/>
      <c r="H222" s="5501"/>
    </row>
    <row r="223" spans="1:8" ht="19.5" customHeight="1">
      <c r="A223" s="5483"/>
      <c r="B223" s="5465"/>
      <c r="C223" s="5459"/>
      <c r="D223" s="5481"/>
      <c r="E223" s="5481"/>
      <c r="F223" s="5481"/>
      <c r="G223" s="5481"/>
      <c r="H223" s="5636"/>
    </row>
    <row r="224" spans="1:8" s="2654" customFormat="1" ht="15.6">
      <c r="A224" s="5484"/>
      <c r="B224" s="7488" t="s">
        <v>10946</v>
      </c>
      <c r="C224" s="5486"/>
      <c r="D224" s="5501">
        <v>40280</v>
      </c>
      <c r="E224" s="5501"/>
      <c r="F224" s="5537"/>
      <c r="G224" s="5538" t="e">
        <f>F224/E224</f>
        <v>#DIV/0!</v>
      </c>
      <c r="H224" s="5501"/>
    </row>
    <row r="225" spans="1:8" s="2654" customFormat="1" hidden="1">
      <c r="A225" s="5484"/>
      <c r="B225" s="5485" t="s">
        <v>9958</v>
      </c>
      <c r="C225" s="5486">
        <v>222</v>
      </c>
      <c r="D225" s="5502"/>
      <c r="E225" s="5502"/>
      <c r="F225" s="5503"/>
      <c r="G225" s="5503"/>
      <c r="H225" s="5502"/>
    </row>
    <row r="226" spans="1:8" s="2654" customFormat="1" ht="13.5" customHeight="1">
      <c r="A226" s="5484"/>
      <c r="B226" s="5504" t="s">
        <v>195</v>
      </c>
      <c r="C226" s="5486"/>
      <c r="D226" s="5505">
        <f>SUM(D224:D225)</f>
        <v>40280</v>
      </c>
      <c r="E226" s="5505">
        <f>SUM(E224:E225)</f>
        <v>0</v>
      </c>
      <c r="F226" s="5505">
        <f>SUM(F224:F225)</f>
        <v>0</v>
      </c>
      <c r="G226" s="5506"/>
      <c r="H226" s="5505">
        <f>SUM(H223:H225)</f>
        <v>0</v>
      </c>
    </row>
    <row r="227" spans="1:8" ht="14.25" customHeight="1">
      <c r="A227" s="5507"/>
      <c r="B227" s="5508"/>
      <c r="C227" s="5509"/>
      <c r="D227" s="5510"/>
      <c r="E227" s="5510"/>
      <c r="F227" s="5511"/>
      <c r="G227" s="5511"/>
      <c r="H227" s="5502"/>
    </row>
    <row r="228" spans="1:8" s="5460" customFormat="1" ht="18" customHeight="1">
      <c r="A228" s="5512"/>
      <c r="B228" s="5513" t="s">
        <v>55</v>
      </c>
      <c r="C228" s="5514"/>
      <c r="D228" s="5515">
        <f>D226+D221</f>
        <v>59830.85</v>
      </c>
      <c r="E228" s="5515">
        <f>E226+E221</f>
        <v>70000</v>
      </c>
      <c r="F228" s="5516"/>
      <c r="G228" s="5516"/>
      <c r="H228" s="6924">
        <f>H226+H221</f>
        <v>0</v>
      </c>
    </row>
    <row r="230" spans="1:8" ht="12.75" customHeight="1" thickBot="1">
      <c r="A230" s="969"/>
      <c r="B230" s="969"/>
      <c r="C230" s="969"/>
      <c r="D230" s="969"/>
      <c r="E230" s="969"/>
      <c r="F230" s="969"/>
      <c r="G230" s="969"/>
    </row>
    <row r="231" spans="1:8">
      <c r="A231" s="5578"/>
      <c r="B231" s="5579"/>
      <c r="C231" s="5580" t="s">
        <v>9</v>
      </c>
      <c r="D231" s="5581" t="s">
        <v>10</v>
      </c>
      <c r="E231" s="14025" t="s">
        <v>10038</v>
      </c>
      <c r="F231" s="14026"/>
      <c r="G231" s="14026"/>
      <c r="H231" s="14027"/>
    </row>
    <row r="232" spans="1:8" ht="14.25" customHeight="1">
      <c r="A232" s="5476"/>
      <c r="B232" s="5466" t="s">
        <v>13</v>
      </c>
      <c r="C232" s="5582" t="s">
        <v>93</v>
      </c>
      <c r="D232" s="5583" t="s">
        <v>11749</v>
      </c>
      <c r="E232" s="5468" t="s">
        <v>16</v>
      </c>
      <c r="F232" s="5491" t="s">
        <v>9985</v>
      </c>
      <c r="G232" s="5491" t="s">
        <v>10003</v>
      </c>
      <c r="H232" s="6919" t="s">
        <v>16</v>
      </c>
    </row>
    <row r="233" spans="1:8" ht="14.4" thickBot="1">
      <c r="A233" s="5584"/>
      <c r="B233" s="5585"/>
      <c r="C233" s="5586" t="s">
        <v>94</v>
      </c>
      <c r="D233" s="5493">
        <v>2017</v>
      </c>
      <c r="E233" s="5471">
        <v>2018</v>
      </c>
      <c r="F233" s="5493">
        <v>2018</v>
      </c>
      <c r="G233" s="5493" t="s">
        <v>9986</v>
      </c>
      <c r="H233" s="6920">
        <v>2019</v>
      </c>
    </row>
    <row r="234" spans="1:8" hidden="1">
      <c r="A234" s="5482" t="s">
        <v>17</v>
      </c>
      <c r="B234" s="5465" t="s">
        <v>18</v>
      </c>
      <c r="C234" s="5472"/>
      <c r="D234" s="5473"/>
      <c r="E234" s="5473"/>
      <c r="F234" s="5474"/>
      <c r="G234" s="5474"/>
      <c r="H234" s="6921"/>
    </row>
    <row r="235" spans="1:8" ht="12.75" hidden="1" customHeight="1">
      <c r="A235" s="5480"/>
      <c r="B235" s="5465" t="s">
        <v>19</v>
      </c>
      <c r="C235" s="5472"/>
      <c r="D235" s="5473"/>
      <c r="E235" s="5473"/>
      <c r="F235" s="5474"/>
      <c r="G235" s="5474"/>
      <c r="H235" s="6921"/>
    </row>
    <row r="236" spans="1:8" ht="12" hidden="1" customHeight="1">
      <c r="A236" s="5480"/>
      <c r="B236" s="5465" t="s">
        <v>20</v>
      </c>
      <c r="C236" s="5475" t="s">
        <v>190</v>
      </c>
      <c r="D236" s="5494"/>
      <c r="E236" s="5494"/>
      <c r="F236" s="5495"/>
      <c r="G236" s="5495"/>
      <c r="H236" s="6922"/>
    </row>
    <row r="237" spans="1:8" hidden="1">
      <c r="A237" s="5480"/>
      <c r="B237" s="5465" t="s">
        <v>21</v>
      </c>
      <c r="C237" s="5475">
        <v>711</v>
      </c>
      <c r="D237" s="5479"/>
      <c r="E237" s="5479"/>
      <c r="F237" s="5481"/>
      <c r="G237" s="5481"/>
      <c r="H237" s="5501"/>
    </row>
    <row r="238" spans="1:8" hidden="1">
      <c r="A238" s="5480"/>
      <c r="B238" s="5465" t="s">
        <v>104</v>
      </c>
      <c r="C238" s="5475">
        <v>713</v>
      </c>
      <c r="D238" s="5479"/>
      <c r="E238" s="5479"/>
      <c r="F238" s="5481"/>
      <c r="G238" s="5481"/>
      <c r="H238" s="5501"/>
    </row>
    <row r="239" spans="1:8" hidden="1">
      <c r="A239" s="5480"/>
      <c r="B239" s="5465" t="s">
        <v>105</v>
      </c>
      <c r="C239" s="5475">
        <v>714</v>
      </c>
      <c r="D239" s="5479"/>
      <c r="E239" s="5479"/>
      <c r="F239" s="5481"/>
      <c r="G239" s="5481"/>
      <c r="H239" s="5501"/>
    </row>
    <row r="240" spans="1:8" hidden="1">
      <c r="A240" s="5480"/>
      <c r="B240" s="5465" t="s">
        <v>22</v>
      </c>
      <c r="C240" s="5475">
        <v>715</v>
      </c>
      <c r="D240" s="5479"/>
      <c r="E240" s="5479"/>
      <c r="F240" s="5481"/>
      <c r="G240" s="5481"/>
      <c r="H240" s="5501"/>
    </row>
    <row r="241" spans="1:8" hidden="1">
      <c r="A241" s="5480"/>
      <c r="B241" s="5465" t="s">
        <v>23</v>
      </c>
      <c r="C241" s="5475">
        <v>717</v>
      </c>
      <c r="D241" s="5479"/>
      <c r="E241" s="5479"/>
      <c r="F241" s="5481"/>
      <c r="G241" s="5481"/>
      <c r="H241" s="5501"/>
    </row>
    <row r="242" spans="1:8" hidden="1">
      <c r="A242" s="5480"/>
      <c r="B242" s="5465" t="s">
        <v>24</v>
      </c>
      <c r="C242" s="5475" t="s">
        <v>25</v>
      </c>
      <c r="D242" s="5479"/>
      <c r="E242" s="5479"/>
      <c r="F242" s="5481"/>
      <c r="G242" s="5481"/>
      <c r="H242" s="5501"/>
    </row>
    <row r="243" spans="1:8" hidden="1">
      <c r="A243" s="5480"/>
      <c r="B243" s="5465" t="s">
        <v>26</v>
      </c>
      <c r="C243" s="5475">
        <v>724</v>
      </c>
      <c r="D243" s="5479"/>
      <c r="E243" s="5479"/>
      <c r="F243" s="5481"/>
      <c r="G243" s="5481"/>
      <c r="H243" s="5501"/>
    </row>
    <row r="244" spans="1:8" hidden="1">
      <c r="A244" s="5480"/>
      <c r="B244" s="5465" t="s">
        <v>27</v>
      </c>
      <c r="C244" s="5475">
        <v>725</v>
      </c>
      <c r="D244" s="5477"/>
      <c r="E244" s="5477"/>
      <c r="F244" s="5496"/>
      <c r="G244" s="5496"/>
      <c r="H244" s="6923"/>
    </row>
    <row r="245" spans="1:8" hidden="1">
      <c r="A245" s="5480"/>
      <c r="B245" s="5465" t="s">
        <v>191</v>
      </c>
      <c r="C245" s="5475">
        <v>731</v>
      </c>
      <c r="D245" s="5479"/>
      <c r="E245" s="5479"/>
      <c r="F245" s="5481"/>
      <c r="G245" s="5481"/>
      <c r="H245" s="5501"/>
    </row>
    <row r="246" spans="1:8" hidden="1">
      <c r="A246" s="5480"/>
      <c r="B246" s="5465" t="s">
        <v>28</v>
      </c>
      <c r="C246" s="5475">
        <v>732</v>
      </c>
      <c r="D246" s="5479"/>
      <c r="E246" s="5479"/>
      <c r="F246" s="5481"/>
      <c r="G246" s="5481"/>
      <c r="H246" s="5501"/>
    </row>
    <row r="247" spans="1:8" hidden="1">
      <c r="A247" s="5480"/>
      <c r="B247" s="5465" t="s">
        <v>29</v>
      </c>
      <c r="C247" s="5475">
        <v>733</v>
      </c>
      <c r="D247" s="5479"/>
      <c r="E247" s="5479"/>
      <c r="F247" s="5481"/>
      <c r="G247" s="5481"/>
      <c r="H247" s="5501"/>
    </row>
    <row r="248" spans="1:8" hidden="1">
      <c r="A248" s="5480"/>
      <c r="B248" s="5465" t="s">
        <v>30</v>
      </c>
      <c r="C248" s="5475">
        <v>734</v>
      </c>
      <c r="D248" s="5479"/>
      <c r="E248" s="5479"/>
      <c r="F248" s="5481"/>
      <c r="G248" s="5481"/>
      <c r="H248" s="5501"/>
    </row>
    <row r="249" spans="1:8" hidden="1">
      <c r="A249" s="5480"/>
      <c r="B249" s="5465" t="s">
        <v>154</v>
      </c>
      <c r="C249" s="5475">
        <v>742</v>
      </c>
      <c r="D249" s="5479"/>
      <c r="E249" s="5479"/>
      <c r="F249" s="5481"/>
      <c r="G249" s="5481"/>
      <c r="H249" s="5501"/>
    </row>
    <row r="250" spans="1:8" hidden="1">
      <c r="A250" s="5480"/>
      <c r="B250" s="5465" t="s">
        <v>96</v>
      </c>
      <c r="C250" s="5475">
        <v>749</v>
      </c>
      <c r="D250" s="5479"/>
      <c r="E250" s="5479"/>
      <c r="F250" s="5481"/>
      <c r="G250" s="5481"/>
      <c r="H250" s="5501"/>
    </row>
    <row r="251" spans="1:8" hidden="1">
      <c r="A251" s="5480"/>
      <c r="B251" s="5465" t="s">
        <v>33</v>
      </c>
      <c r="C251" s="5475" t="s">
        <v>34</v>
      </c>
      <c r="D251" s="5479"/>
      <c r="E251" s="5479"/>
      <c r="F251" s="5481"/>
      <c r="G251" s="5481"/>
      <c r="H251" s="5501"/>
    </row>
    <row r="252" spans="1:8" hidden="1">
      <c r="A252" s="5480"/>
      <c r="B252" s="5465" t="s">
        <v>35</v>
      </c>
      <c r="C252" s="5475" t="s">
        <v>36</v>
      </c>
      <c r="D252" s="5479"/>
      <c r="E252" s="5479"/>
      <c r="F252" s="5481"/>
      <c r="G252" s="5481"/>
      <c r="H252" s="5501"/>
    </row>
    <row r="253" spans="1:8" hidden="1">
      <c r="A253" s="5480"/>
      <c r="B253" s="5465" t="s">
        <v>10005</v>
      </c>
      <c r="C253" s="5475" t="s">
        <v>9</v>
      </c>
      <c r="D253" s="5479"/>
      <c r="E253" s="5479"/>
      <c r="F253" s="5481"/>
      <c r="G253" s="5481"/>
      <c r="H253" s="5501"/>
    </row>
    <row r="254" spans="1:8" ht="14.25" hidden="1" customHeight="1">
      <c r="A254" s="5480"/>
      <c r="B254" s="5478" t="s">
        <v>37</v>
      </c>
      <c r="C254" s="5475"/>
      <c r="D254" s="5497">
        <f>SUM(D235:D253)</f>
        <v>0</v>
      </c>
      <c r="E254" s="5497">
        <f>SUM(E235:E253)</f>
        <v>0</v>
      </c>
      <c r="F254" s="5498"/>
      <c r="G254" s="5498"/>
      <c r="H254" s="5505">
        <f>SUM(H235:H253)</f>
        <v>0</v>
      </c>
    </row>
    <row r="255" spans="1:8" ht="16.5" customHeight="1">
      <c r="A255" s="5482"/>
      <c r="B255" s="5465" t="s">
        <v>38</v>
      </c>
      <c r="C255" s="5475"/>
      <c r="D255" s="5479"/>
      <c r="E255" s="5479"/>
      <c r="F255" s="5481"/>
      <c r="G255" s="5481"/>
      <c r="H255" s="5501"/>
    </row>
    <row r="256" spans="1:8">
      <c r="A256" s="5480"/>
      <c r="B256" s="5465" t="s">
        <v>39</v>
      </c>
      <c r="C256" s="5475"/>
      <c r="D256" s="5479"/>
      <c r="E256" s="5479">
        <v>18000</v>
      </c>
      <c r="F256" s="5592">
        <v>0</v>
      </c>
      <c r="G256" s="5593">
        <f>F256/E256</f>
        <v>0</v>
      </c>
      <c r="H256" s="5479"/>
    </row>
    <row r="257" spans="1:8" hidden="1">
      <c r="A257" s="5480"/>
      <c r="B257" s="5465" t="s">
        <v>41</v>
      </c>
      <c r="C257" s="5475"/>
      <c r="D257" s="5479"/>
      <c r="E257" s="5479"/>
      <c r="F257" s="5592"/>
      <c r="G257" s="5593"/>
      <c r="H257" s="5479"/>
    </row>
    <row r="258" spans="1:8">
      <c r="A258" s="5480"/>
      <c r="B258" s="5465" t="s">
        <v>42</v>
      </c>
      <c r="C258" s="5475"/>
      <c r="D258" s="5479">
        <v>27400.7</v>
      </c>
      <c r="E258" s="5479">
        <f>9247.45+18752.55</f>
        <v>28000</v>
      </c>
      <c r="F258" s="5592">
        <v>18752.55</v>
      </c>
      <c r="G258" s="5593">
        <f>F258/E258</f>
        <v>0.66973392857142855</v>
      </c>
      <c r="H258" s="5479"/>
    </row>
    <row r="259" spans="1:8" hidden="1">
      <c r="A259" s="5476"/>
      <c r="B259" s="5465" t="s">
        <v>125</v>
      </c>
      <c r="C259" s="5459"/>
      <c r="D259" s="5481"/>
      <c r="E259" s="5481"/>
      <c r="F259" s="5592"/>
      <c r="G259" s="5593"/>
      <c r="H259" s="5481"/>
    </row>
    <row r="260" spans="1:8">
      <c r="A260" s="5480"/>
      <c r="B260" s="5465" t="s">
        <v>107</v>
      </c>
      <c r="C260" s="5475"/>
      <c r="D260" s="5479">
        <v>6372.4</v>
      </c>
      <c r="E260" s="5479">
        <f>2949.57+4050.43</f>
        <v>7000</v>
      </c>
      <c r="F260" s="5592">
        <v>4050.43</v>
      </c>
      <c r="G260" s="5593">
        <f>F260/E260</f>
        <v>0.57863285714285717</v>
      </c>
      <c r="H260" s="5479"/>
    </row>
    <row r="261" spans="1:8" hidden="1">
      <c r="A261" s="5476"/>
      <c r="B261" s="5465" t="s">
        <v>10039</v>
      </c>
      <c r="C261" s="5459"/>
      <c r="D261" s="5591"/>
      <c r="E261" s="5591"/>
      <c r="F261" s="5594"/>
      <c r="G261" s="5593" t="e">
        <f>F261/E261</f>
        <v>#DIV/0!</v>
      </c>
      <c r="H261" s="5591"/>
    </row>
    <row r="262" spans="1:8" hidden="1">
      <c r="A262" s="5476"/>
      <c r="B262" s="5465" t="s">
        <v>10008</v>
      </c>
      <c r="C262" s="5459"/>
      <c r="D262" s="5481"/>
      <c r="E262" s="5481"/>
      <c r="F262" s="5592"/>
      <c r="G262" s="5593"/>
      <c r="H262" s="5481"/>
    </row>
    <row r="263" spans="1:8" hidden="1">
      <c r="A263" s="5476"/>
      <c r="B263" s="5465" t="s">
        <v>10007</v>
      </c>
      <c r="C263" s="5459"/>
      <c r="D263" s="5481"/>
      <c r="E263" s="5481"/>
      <c r="F263" s="5592"/>
      <c r="G263" s="5593"/>
      <c r="H263" s="5481"/>
    </row>
    <row r="264" spans="1:8">
      <c r="A264" s="5480"/>
      <c r="B264" s="5465" t="s">
        <v>194</v>
      </c>
      <c r="C264" s="5475"/>
      <c r="D264" s="5479">
        <v>17700</v>
      </c>
      <c r="E264" s="5479"/>
      <c r="F264" s="5592"/>
      <c r="G264" s="5593"/>
      <c r="H264" s="5479"/>
    </row>
    <row r="265" spans="1:8">
      <c r="A265" s="5480"/>
      <c r="B265" s="5478" t="s">
        <v>37</v>
      </c>
      <c r="C265" s="5475"/>
      <c r="D265" s="5497">
        <f>SUM(D256:D264)</f>
        <v>51473.1</v>
      </c>
      <c r="E265" s="5497">
        <f>SUM(E256:E264)</f>
        <v>53000</v>
      </c>
      <c r="F265" s="5497">
        <f>SUM(F256:F264)</f>
        <v>22802.98</v>
      </c>
      <c r="G265" s="5498"/>
      <c r="H265" s="5505">
        <f>SUM(H256:H264)</f>
        <v>0</v>
      </c>
    </row>
    <row r="266" spans="1:8" ht="14.25" customHeight="1">
      <c r="A266" s="5482" t="s">
        <v>51</v>
      </c>
      <c r="B266" s="5465" t="s">
        <v>112</v>
      </c>
      <c r="C266" s="5475"/>
      <c r="D266" s="5479"/>
      <c r="E266" s="5479"/>
      <c r="F266" s="5481"/>
      <c r="G266" s="5481"/>
      <c r="H266" s="5501"/>
    </row>
    <row r="267" spans="1:8" ht="14.25" hidden="1" customHeight="1">
      <c r="A267" s="5483"/>
      <c r="B267" s="5465" t="s">
        <v>10009</v>
      </c>
      <c r="C267" s="5459"/>
      <c r="D267" s="5481"/>
      <c r="E267" s="5481"/>
      <c r="F267" s="5481"/>
      <c r="G267" s="5481"/>
      <c r="H267" s="5636"/>
    </row>
    <row r="268" spans="1:8" s="2654" customFormat="1" ht="14.25" customHeight="1">
      <c r="A268" s="5484"/>
      <c r="B268" s="5485" t="s">
        <v>176</v>
      </c>
      <c r="C268" s="5486"/>
      <c r="D268" s="5501">
        <v>0</v>
      </c>
      <c r="E268" s="5501"/>
      <c r="F268" s="5537"/>
      <c r="G268" s="5538"/>
      <c r="H268" s="5501"/>
    </row>
    <row r="269" spans="1:8" s="2654" customFormat="1" ht="14.25" hidden="1" customHeight="1">
      <c r="A269" s="5484"/>
      <c r="B269" s="5485" t="s">
        <v>9958</v>
      </c>
      <c r="C269" s="5486">
        <v>222</v>
      </c>
      <c r="D269" s="5502"/>
      <c r="E269" s="5502"/>
      <c r="F269" s="5503"/>
      <c r="G269" s="5503"/>
      <c r="H269" s="5502"/>
    </row>
    <row r="270" spans="1:8" s="2654" customFormat="1" ht="14.25" customHeight="1">
      <c r="A270" s="5484"/>
      <c r="B270" s="5504" t="s">
        <v>195</v>
      </c>
      <c r="C270" s="5486"/>
      <c r="D270" s="5505">
        <v>0</v>
      </c>
      <c r="E270" s="5505">
        <f>SUM(E268:E269)</f>
        <v>0</v>
      </c>
      <c r="F270" s="5505">
        <f>SUM(F268:F269)</f>
        <v>0</v>
      </c>
      <c r="G270" s="5506"/>
      <c r="H270" s="5505">
        <f>SUM(H267:H269)</f>
        <v>0</v>
      </c>
    </row>
    <row r="271" spans="1:8" ht="14.25" customHeight="1">
      <c r="A271" s="5507" t="s">
        <v>53</v>
      </c>
      <c r="B271" s="5508" t="s">
        <v>54</v>
      </c>
      <c r="C271" s="5509"/>
      <c r="D271" s="5510">
        <v>0</v>
      </c>
      <c r="E271" s="5510"/>
      <c r="F271" s="5511"/>
      <c r="G271" s="5511"/>
      <c r="H271" s="5502">
        <v>0</v>
      </c>
    </row>
    <row r="272" spans="1:8" s="5460" customFormat="1" ht="14.25" customHeight="1">
      <c r="A272" s="5512"/>
      <c r="B272" s="5513" t="s">
        <v>55</v>
      </c>
      <c r="C272" s="5514"/>
      <c r="D272" s="5515">
        <f>D270+D265</f>
        <v>51473.1</v>
      </c>
      <c r="E272" s="5515">
        <f>E270+E265</f>
        <v>53000</v>
      </c>
      <c r="F272" s="5516"/>
      <c r="G272" s="5516"/>
      <c r="H272" s="6924">
        <f>H270+H265</f>
        <v>0</v>
      </c>
    </row>
    <row r="274" spans="1:8" ht="12.75" customHeight="1" thickBot="1">
      <c r="A274" s="969"/>
      <c r="B274" s="969"/>
      <c r="C274" s="969"/>
      <c r="D274" s="969"/>
      <c r="E274" s="969"/>
      <c r="F274" s="969"/>
      <c r="G274" s="969"/>
    </row>
    <row r="275" spans="1:8">
      <c r="A275" s="5578"/>
      <c r="B275" s="5579"/>
      <c r="C275" s="5580" t="s">
        <v>9</v>
      </c>
      <c r="D275" s="5581" t="s">
        <v>10</v>
      </c>
      <c r="E275" s="14028" t="s">
        <v>10040</v>
      </c>
      <c r="F275" s="14029"/>
      <c r="G275" s="14029"/>
      <c r="H275" s="14030"/>
    </row>
    <row r="276" spans="1:8" ht="14.25" customHeight="1">
      <c r="A276" s="5476"/>
      <c r="B276" s="5466" t="s">
        <v>13</v>
      </c>
      <c r="C276" s="5582" t="s">
        <v>93</v>
      </c>
      <c r="D276" s="5583" t="s">
        <v>11749</v>
      </c>
      <c r="E276" s="5468" t="s">
        <v>16</v>
      </c>
      <c r="F276" s="5491" t="s">
        <v>9985</v>
      </c>
      <c r="G276" s="5491" t="s">
        <v>10003</v>
      </c>
      <c r="H276" s="6919" t="s">
        <v>16</v>
      </c>
    </row>
    <row r="277" spans="1:8" ht="14.4" thickBot="1">
      <c r="A277" s="5584"/>
      <c r="B277" s="5585"/>
      <c r="C277" s="5586" t="s">
        <v>94</v>
      </c>
      <c r="D277" s="5493">
        <v>2017</v>
      </c>
      <c r="E277" s="5471">
        <v>2018</v>
      </c>
      <c r="F277" s="5493">
        <v>2018</v>
      </c>
      <c r="G277" s="5493" t="s">
        <v>9986</v>
      </c>
      <c r="H277" s="6920">
        <v>2019</v>
      </c>
    </row>
    <row r="278" spans="1:8" hidden="1">
      <c r="A278" s="5482" t="s">
        <v>17</v>
      </c>
      <c r="B278" s="5465" t="s">
        <v>18</v>
      </c>
      <c r="C278" s="5472"/>
      <c r="D278" s="5473"/>
      <c r="E278" s="5473"/>
      <c r="F278" s="5474"/>
      <c r="G278" s="5474"/>
      <c r="H278" s="6921"/>
    </row>
    <row r="279" spans="1:8" ht="12.75" hidden="1" customHeight="1">
      <c r="A279" s="5480"/>
      <c r="B279" s="5465" t="s">
        <v>19</v>
      </c>
      <c r="C279" s="5472"/>
      <c r="D279" s="5473"/>
      <c r="E279" s="5473"/>
      <c r="F279" s="5474"/>
      <c r="G279" s="5474"/>
      <c r="H279" s="6921"/>
    </row>
    <row r="280" spans="1:8" ht="12" hidden="1" customHeight="1">
      <c r="A280" s="5480"/>
      <c r="B280" s="5465" t="s">
        <v>20</v>
      </c>
      <c r="C280" s="5475" t="s">
        <v>190</v>
      </c>
      <c r="D280" s="5494"/>
      <c r="E280" s="5494"/>
      <c r="F280" s="5495"/>
      <c r="G280" s="5495"/>
      <c r="H280" s="6922"/>
    </row>
    <row r="281" spans="1:8" hidden="1">
      <c r="A281" s="5480"/>
      <c r="B281" s="5465" t="s">
        <v>21</v>
      </c>
      <c r="C281" s="5475">
        <v>711</v>
      </c>
      <c r="D281" s="5479"/>
      <c r="E281" s="5479"/>
      <c r="F281" s="5481"/>
      <c r="G281" s="5481"/>
      <c r="H281" s="5501"/>
    </row>
    <row r="282" spans="1:8" hidden="1">
      <c r="A282" s="5480"/>
      <c r="B282" s="5465" t="s">
        <v>104</v>
      </c>
      <c r="C282" s="5475">
        <v>713</v>
      </c>
      <c r="D282" s="5479"/>
      <c r="E282" s="5479"/>
      <c r="F282" s="5481"/>
      <c r="G282" s="5481"/>
      <c r="H282" s="5501"/>
    </row>
    <row r="283" spans="1:8" hidden="1">
      <c r="A283" s="5480"/>
      <c r="B283" s="5465" t="s">
        <v>105</v>
      </c>
      <c r="C283" s="5475">
        <v>714</v>
      </c>
      <c r="D283" s="5479"/>
      <c r="E283" s="5479"/>
      <c r="F283" s="5481"/>
      <c r="G283" s="5481"/>
      <c r="H283" s="5501"/>
    </row>
    <row r="284" spans="1:8" hidden="1">
      <c r="A284" s="5480"/>
      <c r="B284" s="5465" t="s">
        <v>22</v>
      </c>
      <c r="C284" s="5475">
        <v>715</v>
      </c>
      <c r="D284" s="5479"/>
      <c r="E284" s="5479"/>
      <c r="F284" s="5481"/>
      <c r="G284" s="5481"/>
      <c r="H284" s="5501"/>
    </row>
    <row r="285" spans="1:8" hidden="1">
      <c r="A285" s="5480"/>
      <c r="B285" s="5465" t="s">
        <v>23</v>
      </c>
      <c r="C285" s="5475">
        <v>717</v>
      </c>
      <c r="D285" s="5479"/>
      <c r="E285" s="5479"/>
      <c r="F285" s="5481"/>
      <c r="G285" s="5481"/>
      <c r="H285" s="5501"/>
    </row>
    <row r="286" spans="1:8" hidden="1">
      <c r="A286" s="5480"/>
      <c r="B286" s="5465" t="s">
        <v>24</v>
      </c>
      <c r="C286" s="5475" t="s">
        <v>25</v>
      </c>
      <c r="D286" s="5479"/>
      <c r="E286" s="5479"/>
      <c r="F286" s="5481"/>
      <c r="G286" s="5481"/>
      <c r="H286" s="5501"/>
    </row>
    <row r="287" spans="1:8" hidden="1">
      <c r="A287" s="5480"/>
      <c r="B287" s="5465" t="s">
        <v>26</v>
      </c>
      <c r="C287" s="5475">
        <v>724</v>
      </c>
      <c r="D287" s="5479"/>
      <c r="E287" s="5479"/>
      <c r="F287" s="5481"/>
      <c r="G287" s="5481"/>
      <c r="H287" s="5501"/>
    </row>
    <row r="288" spans="1:8" hidden="1">
      <c r="A288" s="5480"/>
      <c r="B288" s="5465" t="s">
        <v>27</v>
      </c>
      <c r="C288" s="5475">
        <v>725</v>
      </c>
      <c r="D288" s="5477"/>
      <c r="E288" s="5477"/>
      <c r="F288" s="5496"/>
      <c r="G288" s="5496"/>
      <c r="H288" s="6923"/>
    </row>
    <row r="289" spans="1:8" hidden="1">
      <c r="A289" s="5480"/>
      <c r="B289" s="5465" t="s">
        <v>191</v>
      </c>
      <c r="C289" s="5475">
        <v>731</v>
      </c>
      <c r="D289" s="5479"/>
      <c r="E289" s="5479"/>
      <c r="F289" s="5481"/>
      <c r="G289" s="5481"/>
      <c r="H289" s="5501"/>
    </row>
    <row r="290" spans="1:8" hidden="1">
      <c r="A290" s="5480"/>
      <c r="B290" s="5465" t="s">
        <v>28</v>
      </c>
      <c r="C290" s="5475">
        <v>732</v>
      </c>
      <c r="D290" s="5479"/>
      <c r="E290" s="5479"/>
      <c r="F290" s="5481"/>
      <c r="G290" s="5481"/>
      <c r="H290" s="5501"/>
    </row>
    <row r="291" spans="1:8" hidden="1">
      <c r="A291" s="5480"/>
      <c r="B291" s="5465" t="s">
        <v>29</v>
      </c>
      <c r="C291" s="5475">
        <v>733</v>
      </c>
      <c r="D291" s="5479"/>
      <c r="E291" s="5479"/>
      <c r="F291" s="5481"/>
      <c r="G291" s="5481"/>
      <c r="H291" s="5501"/>
    </row>
    <row r="292" spans="1:8" hidden="1">
      <c r="A292" s="5480"/>
      <c r="B292" s="5465" t="s">
        <v>30</v>
      </c>
      <c r="C292" s="5475">
        <v>734</v>
      </c>
      <c r="D292" s="5479"/>
      <c r="E292" s="5479"/>
      <c r="F292" s="5481"/>
      <c r="G292" s="5481"/>
      <c r="H292" s="5501"/>
    </row>
    <row r="293" spans="1:8" hidden="1">
      <c r="A293" s="5480"/>
      <c r="B293" s="5465" t="s">
        <v>154</v>
      </c>
      <c r="C293" s="5475">
        <v>742</v>
      </c>
      <c r="D293" s="5479"/>
      <c r="E293" s="5479"/>
      <c r="F293" s="5481"/>
      <c r="G293" s="5481"/>
      <c r="H293" s="5501"/>
    </row>
    <row r="294" spans="1:8" hidden="1">
      <c r="A294" s="5480"/>
      <c r="B294" s="5465" t="s">
        <v>96</v>
      </c>
      <c r="C294" s="5475">
        <v>749</v>
      </c>
      <c r="D294" s="5479"/>
      <c r="E294" s="5479"/>
      <c r="F294" s="5481"/>
      <c r="G294" s="5481"/>
      <c r="H294" s="5501"/>
    </row>
    <row r="295" spans="1:8" hidden="1">
      <c r="A295" s="5480"/>
      <c r="B295" s="5465" t="s">
        <v>33</v>
      </c>
      <c r="C295" s="5475" t="s">
        <v>34</v>
      </c>
      <c r="D295" s="5479"/>
      <c r="E295" s="5479"/>
      <c r="F295" s="5481"/>
      <c r="G295" s="5481"/>
      <c r="H295" s="5501"/>
    </row>
    <row r="296" spans="1:8" hidden="1">
      <c r="A296" s="5480"/>
      <c r="B296" s="5465" t="s">
        <v>35</v>
      </c>
      <c r="C296" s="5475" t="s">
        <v>36</v>
      </c>
      <c r="D296" s="5479"/>
      <c r="E296" s="5479"/>
      <c r="F296" s="5481"/>
      <c r="G296" s="5481"/>
      <c r="H296" s="5501"/>
    </row>
    <row r="297" spans="1:8" hidden="1">
      <c r="A297" s="5480"/>
      <c r="B297" s="5465" t="s">
        <v>10005</v>
      </c>
      <c r="C297" s="5475" t="s">
        <v>9</v>
      </c>
      <c r="D297" s="5479"/>
      <c r="E297" s="5479"/>
      <c r="F297" s="5481"/>
      <c r="G297" s="5481"/>
      <c r="H297" s="5501"/>
    </row>
    <row r="298" spans="1:8" ht="14.25" hidden="1" customHeight="1">
      <c r="A298" s="5480"/>
      <c r="B298" s="5478" t="s">
        <v>37</v>
      </c>
      <c r="C298" s="5475"/>
      <c r="D298" s="5497">
        <f>SUM(D279:D297)</f>
        <v>0</v>
      </c>
      <c r="E298" s="5497">
        <f>SUM(E279:E297)</f>
        <v>0</v>
      </c>
      <c r="F298" s="5498"/>
      <c r="G298" s="5498"/>
      <c r="H298" s="5505">
        <f>SUM(H279:H297)</f>
        <v>0</v>
      </c>
    </row>
    <row r="299" spans="1:8" ht="16.5" customHeight="1">
      <c r="A299" s="5482"/>
      <c r="B299" s="5465" t="s">
        <v>38</v>
      </c>
      <c r="C299" s="5475"/>
      <c r="D299" s="5479"/>
      <c r="E299" s="5479"/>
      <c r="F299" s="5481"/>
      <c r="G299" s="5481"/>
      <c r="H299" s="5501"/>
    </row>
    <row r="300" spans="1:8">
      <c r="A300" s="5480"/>
      <c r="B300" s="5465" t="s">
        <v>39</v>
      </c>
      <c r="C300" s="5475"/>
      <c r="D300" s="5479"/>
      <c r="E300" s="5479">
        <f>1316+13684</f>
        <v>15000</v>
      </c>
      <c r="F300" s="5595">
        <v>13684</v>
      </c>
      <c r="G300" s="5596">
        <f>F300/E300</f>
        <v>0.91226666666666667</v>
      </c>
      <c r="H300" s="5501"/>
    </row>
    <row r="301" spans="1:8">
      <c r="A301" s="5480"/>
      <c r="B301" s="5465" t="s">
        <v>41</v>
      </c>
      <c r="C301" s="5475"/>
      <c r="D301" s="5479"/>
      <c r="E301" s="5479"/>
      <c r="F301" s="5595"/>
      <c r="G301" s="5596"/>
      <c r="H301" s="5501"/>
    </row>
    <row r="302" spans="1:8">
      <c r="A302" s="5480"/>
      <c r="B302" s="5465" t="s">
        <v>42</v>
      </c>
      <c r="C302" s="5475"/>
      <c r="D302" s="5479">
        <v>27776.65</v>
      </c>
      <c r="E302" s="5479">
        <f>8060.9+9939.1</f>
        <v>18000</v>
      </c>
      <c r="F302" s="5595">
        <v>9939.1</v>
      </c>
      <c r="G302" s="5596">
        <f>F302/E302</f>
        <v>0.55217222222222229</v>
      </c>
      <c r="H302" s="5501"/>
    </row>
    <row r="303" spans="1:8">
      <c r="A303" s="5476"/>
      <c r="B303" s="5465" t="s">
        <v>125</v>
      </c>
      <c r="C303" s="5459"/>
      <c r="D303" s="5481"/>
      <c r="E303" s="5481"/>
      <c r="F303" s="5595"/>
      <c r="G303" s="5596"/>
      <c r="H303" s="5636"/>
    </row>
    <row r="304" spans="1:8">
      <c r="A304" s="5480"/>
      <c r="B304" s="5465" t="s">
        <v>107</v>
      </c>
      <c r="C304" s="5475"/>
      <c r="D304" s="5479">
        <v>23792.52</v>
      </c>
      <c r="E304" s="5479">
        <f>10987.39+11812.61</f>
        <v>22800</v>
      </c>
      <c r="F304" s="5595">
        <v>11812.61</v>
      </c>
      <c r="G304" s="5596">
        <f>F304/E304</f>
        <v>0.51809692982456146</v>
      </c>
      <c r="H304" s="5501"/>
    </row>
    <row r="305" spans="1:8">
      <c r="A305" s="5476"/>
      <c r="B305" s="5465" t="s">
        <v>10039</v>
      </c>
      <c r="C305" s="5459"/>
      <c r="D305" s="5591"/>
      <c r="E305" s="5591"/>
      <c r="F305" s="5597"/>
      <c r="G305" s="5596"/>
      <c r="H305" s="6930"/>
    </row>
    <row r="306" spans="1:8">
      <c r="A306" s="5476"/>
      <c r="B306" s="5465" t="s">
        <v>10008</v>
      </c>
      <c r="C306" s="5459"/>
      <c r="D306" s="5481"/>
      <c r="E306" s="5481"/>
      <c r="F306" s="5595"/>
      <c r="G306" s="5596"/>
      <c r="H306" s="5636"/>
    </row>
    <row r="307" spans="1:8">
      <c r="A307" s="5476"/>
      <c r="B307" s="5465" t="s">
        <v>10007</v>
      </c>
      <c r="C307" s="5459"/>
      <c r="D307" s="5481"/>
      <c r="E307" s="5481">
        <v>2200</v>
      </c>
      <c r="F307" s="5595">
        <v>0</v>
      </c>
      <c r="G307" s="7031">
        <f>F307/E307</f>
        <v>0</v>
      </c>
      <c r="H307" s="5636"/>
    </row>
    <row r="308" spans="1:8" s="7025" customFormat="1" ht="23.25" customHeight="1">
      <c r="A308" s="7018"/>
      <c r="B308" s="7019" t="s">
        <v>194</v>
      </c>
      <c r="C308" s="7020"/>
      <c r="D308" s="7021"/>
      <c r="E308" s="7021">
        <f>3500+8500</f>
        <v>12000</v>
      </c>
      <c r="F308" s="7030">
        <v>8500</v>
      </c>
      <c r="G308" s="7031">
        <f>F308/E308</f>
        <v>0.70833333333333337</v>
      </c>
      <c r="H308" s="7024"/>
    </row>
    <row r="309" spans="1:8">
      <c r="A309" s="5480"/>
      <c r="B309" s="5478" t="s">
        <v>37</v>
      </c>
      <c r="C309" s="5475"/>
      <c r="D309" s="5497">
        <f>SUM(D300:D308)</f>
        <v>51569.17</v>
      </c>
      <c r="E309" s="5497">
        <f>SUM(E300:E308)</f>
        <v>70000</v>
      </c>
      <c r="F309" s="5497">
        <f>SUM(F300:F308)</f>
        <v>43935.71</v>
      </c>
      <c r="G309" s="5498"/>
      <c r="H309" s="5505">
        <f>SUM(H300:H308)</f>
        <v>0</v>
      </c>
    </row>
    <row r="310" spans="1:8" ht="19.5" customHeight="1">
      <c r="A310" s="5482" t="s">
        <v>51</v>
      </c>
      <c r="B310" s="5465" t="s">
        <v>112</v>
      </c>
      <c r="C310" s="5475"/>
      <c r="D310" s="5479"/>
      <c r="E310" s="5479"/>
      <c r="F310" s="5481"/>
      <c r="G310" s="5481"/>
      <c r="H310" s="5501"/>
    </row>
    <row r="311" spans="1:8" ht="19.5" hidden="1" customHeight="1">
      <c r="A311" s="5483"/>
      <c r="B311" s="5465" t="s">
        <v>10009</v>
      </c>
      <c r="C311" s="5459"/>
      <c r="D311" s="5481"/>
      <c r="E311" s="5481"/>
      <c r="F311" s="5481"/>
      <c r="G311" s="5481"/>
      <c r="H311" s="5636"/>
    </row>
    <row r="312" spans="1:8" s="2654" customFormat="1" hidden="1">
      <c r="A312" s="5484"/>
      <c r="B312" s="5485" t="s">
        <v>176</v>
      </c>
      <c r="C312" s="5486">
        <v>221</v>
      </c>
      <c r="D312" s="5501"/>
      <c r="E312" s="5501"/>
      <c r="F312" s="5537"/>
      <c r="G312" s="5538"/>
      <c r="H312" s="5501"/>
    </row>
    <row r="313" spans="1:8" s="2654" customFormat="1" hidden="1">
      <c r="A313" s="5484"/>
      <c r="B313" s="5485" t="s">
        <v>9958</v>
      </c>
      <c r="C313" s="5486">
        <v>222</v>
      </c>
      <c r="D313" s="5502"/>
      <c r="E313" s="5502"/>
      <c r="F313" s="5503"/>
      <c r="G313" s="5503"/>
      <c r="H313" s="5502"/>
    </row>
    <row r="314" spans="1:8" s="2654" customFormat="1" ht="13.5" hidden="1" customHeight="1">
      <c r="A314" s="5484"/>
      <c r="B314" s="5504" t="s">
        <v>195</v>
      </c>
      <c r="C314" s="5486"/>
      <c r="D314" s="5505">
        <v>0</v>
      </c>
      <c r="E314" s="5505">
        <f>SUM(E312:E313)</f>
        <v>0</v>
      </c>
      <c r="F314" s="5505">
        <f>SUM(F312:F313)</f>
        <v>0</v>
      </c>
      <c r="G314" s="5506"/>
      <c r="H314" s="5505">
        <f>SUM(H311:H313)</f>
        <v>0</v>
      </c>
    </row>
    <row r="315" spans="1:8" ht="14.25" hidden="1" customHeight="1">
      <c r="A315" s="5507" t="s">
        <v>53</v>
      </c>
      <c r="B315" s="5508" t="s">
        <v>54</v>
      </c>
      <c r="C315" s="5509"/>
      <c r="D315" s="5510">
        <v>0</v>
      </c>
      <c r="E315" s="5510"/>
      <c r="F315" s="5511"/>
      <c r="G315" s="5511"/>
      <c r="H315" s="5502">
        <v>0</v>
      </c>
    </row>
    <row r="316" spans="1:8" s="5460" customFormat="1" ht="18" customHeight="1">
      <c r="A316" s="5512"/>
      <c r="B316" s="5513" t="s">
        <v>55</v>
      </c>
      <c r="C316" s="5514"/>
      <c r="D316" s="5515">
        <f>D314+D309</f>
        <v>51569.17</v>
      </c>
      <c r="E316" s="5515">
        <f>E314+E309</f>
        <v>70000</v>
      </c>
      <c r="F316" s="5516"/>
      <c r="G316" s="5516"/>
      <c r="H316" s="6924">
        <f>H314+H309</f>
        <v>0</v>
      </c>
    </row>
    <row r="321" spans="1:8" ht="12.75" customHeight="1" thickBot="1">
      <c r="A321" s="969"/>
      <c r="B321" s="969"/>
      <c r="C321" s="969"/>
      <c r="D321" s="969"/>
      <c r="E321" s="969"/>
      <c r="F321" s="969"/>
      <c r="G321" s="969"/>
    </row>
    <row r="322" spans="1:8">
      <c r="A322" s="5578"/>
      <c r="B322" s="5579"/>
      <c r="C322" s="5580" t="s">
        <v>9</v>
      </c>
      <c r="D322" s="5581" t="s">
        <v>10</v>
      </c>
      <c r="E322" s="14031" t="s">
        <v>10041</v>
      </c>
      <c r="F322" s="14032"/>
      <c r="G322" s="14032"/>
      <c r="H322" s="14033"/>
    </row>
    <row r="323" spans="1:8" ht="14.25" customHeight="1">
      <c r="A323" s="5476"/>
      <c r="B323" s="5466" t="s">
        <v>13</v>
      </c>
      <c r="C323" s="5582" t="s">
        <v>93</v>
      </c>
      <c r="D323" s="5583" t="s">
        <v>11749</v>
      </c>
      <c r="E323" s="5468" t="s">
        <v>16</v>
      </c>
      <c r="F323" s="5491" t="s">
        <v>9985</v>
      </c>
      <c r="G323" s="5491" t="s">
        <v>10003</v>
      </c>
      <c r="H323" s="6919" t="s">
        <v>16</v>
      </c>
    </row>
    <row r="324" spans="1:8" ht="14.4" thickBot="1">
      <c r="A324" s="5584"/>
      <c r="B324" s="5585"/>
      <c r="C324" s="5586" t="s">
        <v>94</v>
      </c>
      <c r="D324" s="5493">
        <v>2017</v>
      </c>
      <c r="E324" s="5471">
        <v>2018</v>
      </c>
      <c r="F324" s="5493">
        <v>2018</v>
      </c>
      <c r="G324" s="5493" t="s">
        <v>9986</v>
      </c>
      <c r="H324" s="6920">
        <v>2019</v>
      </c>
    </row>
    <row r="325" spans="1:8" hidden="1">
      <c r="A325" s="5482" t="s">
        <v>17</v>
      </c>
      <c r="B325" s="5465" t="s">
        <v>18</v>
      </c>
      <c r="C325" s="5472"/>
      <c r="D325" s="5473"/>
      <c r="E325" s="5473"/>
      <c r="F325" s="5474"/>
      <c r="G325" s="5474"/>
      <c r="H325" s="6921"/>
    </row>
    <row r="326" spans="1:8" ht="12.75" hidden="1" customHeight="1">
      <c r="A326" s="5480"/>
      <c r="B326" s="5465" t="s">
        <v>19</v>
      </c>
      <c r="C326" s="5472"/>
      <c r="D326" s="5473"/>
      <c r="E326" s="5473"/>
      <c r="F326" s="5474"/>
      <c r="G326" s="5474"/>
      <c r="H326" s="6921"/>
    </row>
    <row r="327" spans="1:8" ht="12" hidden="1" customHeight="1">
      <c r="A327" s="5480"/>
      <c r="B327" s="5465" t="s">
        <v>20</v>
      </c>
      <c r="C327" s="5475" t="s">
        <v>190</v>
      </c>
      <c r="D327" s="5494"/>
      <c r="E327" s="5494"/>
      <c r="F327" s="5495"/>
      <c r="G327" s="5495"/>
      <c r="H327" s="6922"/>
    </row>
    <row r="328" spans="1:8" hidden="1">
      <c r="A328" s="5480"/>
      <c r="B328" s="5465" t="s">
        <v>21</v>
      </c>
      <c r="C328" s="5475">
        <v>711</v>
      </c>
      <c r="D328" s="5479"/>
      <c r="E328" s="5479"/>
      <c r="F328" s="5481"/>
      <c r="G328" s="5481"/>
      <c r="H328" s="5501"/>
    </row>
    <row r="329" spans="1:8" hidden="1">
      <c r="A329" s="5480"/>
      <c r="B329" s="5465" t="s">
        <v>104</v>
      </c>
      <c r="C329" s="5475">
        <v>713</v>
      </c>
      <c r="D329" s="5479"/>
      <c r="E329" s="5479"/>
      <c r="F329" s="5481"/>
      <c r="G329" s="5481"/>
      <c r="H329" s="5501"/>
    </row>
    <row r="330" spans="1:8" hidden="1">
      <c r="A330" s="5480"/>
      <c r="B330" s="5465" t="s">
        <v>105</v>
      </c>
      <c r="C330" s="5475">
        <v>714</v>
      </c>
      <c r="D330" s="5479"/>
      <c r="E330" s="5479"/>
      <c r="F330" s="5481"/>
      <c r="G330" s="5481"/>
      <c r="H330" s="5501"/>
    </row>
    <row r="331" spans="1:8" hidden="1">
      <c r="A331" s="5480"/>
      <c r="B331" s="5465" t="s">
        <v>22</v>
      </c>
      <c r="C331" s="5475">
        <v>715</v>
      </c>
      <c r="D331" s="5479"/>
      <c r="E331" s="5479"/>
      <c r="F331" s="5481"/>
      <c r="G331" s="5481"/>
      <c r="H331" s="5501"/>
    </row>
    <row r="332" spans="1:8" hidden="1">
      <c r="A332" s="5480"/>
      <c r="B332" s="5465" t="s">
        <v>23</v>
      </c>
      <c r="C332" s="5475">
        <v>717</v>
      </c>
      <c r="D332" s="5479"/>
      <c r="E332" s="5479"/>
      <c r="F332" s="5481"/>
      <c r="G332" s="5481"/>
      <c r="H332" s="5501"/>
    </row>
    <row r="333" spans="1:8" hidden="1">
      <c r="A333" s="5480"/>
      <c r="B333" s="5465" t="s">
        <v>24</v>
      </c>
      <c r="C333" s="5475" t="s">
        <v>25</v>
      </c>
      <c r="D333" s="5479"/>
      <c r="E333" s="5479"/>
      <c r="F333" s="5481"/>
      <c r="G333" s="5481"/>
      <c r="H333" s="5501"/>
    </row>
    <row r="334" spans="1:8" hidden="1">
      <c r="A334" s="5480"/>
      <c r="B334" s="5465" t="s">
        <v>26</v>
      </c>
      <c r="C334" s="5475">
        <v>724</v>
      </c>
      <c r="D334" s="5479"/>
      <c r="E334" s="5479"/>
      <c r="F334" s="5481"/>
      <c r="G334" s="5481"/>
      <c r="H334" s="5501"/>
    </row>
    <row r="335" spans="1:8" hidden="1">
      <c r="A335" s="5480"/>
      <c r="B335" s="5465" t="s">
        <v>27</v>
      </c>
      <c r="C335" s="5475">
        <v>725</v>
      </c>
      <c r="D335" s="5477"/>
      <c r="E335" s="5477"/>
      <c r="F335" s="5496"/>
      <c r="G335" s="5496"/>
      <c r="H335" s="6923"/>
    </row>
    <row r="336" spans="1:8" hidden="1">
      <c r="A336" s="5480"/>
      <c r="B336" s="5465" t="s">
        <v>191</v>
      </c>
      <c r="C336" s="5475">
        <v>731</v>
      </c>
      <c r="D336" s="5479"/>
      <c r="E336" s="5479"/>
      <c r="F336" s="5481"/>
      <c r="G336" s="5481"/>
      <c r="H336" s="5501"/>
    </row>
    <row r="337" spans="1:8" hidden="1">
      <c r="A337" s="5480"/>
      <c r="B337" s="5465" t="s">
        <v>28</v>
      </c>
      <c r="C337" s="5475">
        <v>732</v>
      </c>
      <c r="D337" s="5479"/>
      <c r="E337" s="5479"/>
      <c r="F337" s="5481"/>
      <c r="G337" s="5481"/>
      <c r="H337" s="5501"/>
    </row>
    <row r="338" spans="1:8" hidden="1">
      <c r="A338" s="5480"/>
      <c r="B338" s="5465" t="s">
        <v>29</v>
      </c>
      <c r="C338" s="5475">
        <v>733</v>
      </c>
      <c r="D338" s="5479"/>
      <c r="E338" s="5479"/>
      <c r="F338" s="5481"/>
      <c r="G338" s="5481"/>
      <c r="H338" s="5501"/>
    </row>
    <row r="339" spans="1:8" hidden="1">
      <c r="A339" s="5480"/>
      <c r="B339" s="5465" t="s">
        <v>30</v>
      </c>
      <c r="C339" s="5475">
        <v>734</v>
      </c>
      <c r="D339" s="5479"/>
      <c r="E339" s="5479"/>
      <c r="F339" s="5481"/>
      <c r="G339" s="5481"/>
      <c r="H339" s="5501"/>
    </row>
    <row r="340" spans="1:8" hidden="1">
      <c r="A340" s="5480"/>
      <c r="B340" s="5465" t="s">
        <v>154</v>
      </c>
      <c r="C340" s="5475">
        <v>742</v>
      </c>
      <c r="D340" s="5479"/>
      <c r="E340" s="5479"/>
      <c r="F340" s="5481"/>
      <c r="G340" s="5481"/>
      <c r="H340" s="5501"/>
    </row>
    <row r="341" spans="1:8" hidden="1">
      <c r="A341" s="5480"/>
      <c r="B341" s="5465" t="s">
        <v>96</v>
      </c>
      <c r="C341" s="5475">
        <v>749</v>
      </c>
      <c r="D341" s="5479"/>
      <c r="E341" s="5479"/>
      <c r="F341" s="5481"/>
      <c r="G341" s="5481"/>
      <c r="H341" s="5501"/>
    </row>
    <row r="342" spans="1:8" hidden="1">
      <c r="A342" s="5480"/>
      <c r="B342" s="5465" t="s">
        <v>33</v>
      </c>
      <c r="C342" s="5475" t="s">
        <v>34</v>
      </c>
      <c r="D342" s="5479"/>
      <c r="E342" s="5479"/>
      <c r="F342" s="5481"/>
      <c r="G342" s="5481"/>
      <c r="H342" s="5501"/>
    </row>
    <row r="343" spans="1:8" hidden="1">
      <c r="A343" s="5480"/>
      <c r="B343" s="5465" t="s">
        <v>35</v>
      </c>
      <c r="C343" s="5475" t="s">
        <v>36</v>
      </c>
      <c r="D343" s="5479"/>
      <c r="E343" s="5479"/>
      <c r="F343" s="5481"/>
      <c r="G343" s="5481"/>
      <c r="H343" s="5501"/>
    </row>
    <row r="344" spans="1:8" hidden="1">
      <c r="A344" s="5480"/>
      <c r="B344" s="5465" t="s">
        <v>10005</v>
      </c>
      <c r="C344" s="5475" t="s">
        <v>9</v>
      </c>
      <c r="D344" s="5479"/>
      <c r="E344" s="5479"/>
      <c r="F344" s="5481"/>
      <c r="G344" s="5481"/>
      <c r="H344" s="5501"/>
    </row>
    <row r="345" spans="1:8" ht="14.25" hidden="1" customHeight="1">
      <c r="A345" s="5480"/>
      <c r="B345" s="5478" t="s">
        <v>37</v>
      </c>
      <c r="C345" s="5475"/>
      <c r="D345" s="5497">
        <f>SUM(D326:D344)</f>
        <v>0</v>
      </c>
      <c r="E345" s="5497">
        <f>SUM(E326:E344)</f>
        <v>0</v>
      </c>
      <c r="F345" s="5498"/>
      <c r="G345" s="5498"/>
      <c r="H345" s="5505">
        <f>SUM(H326:H344)</f>
        <v>0</v>
      </c>
    </row>
    <row r="346" spans="1:8" ht="16.5" customHeight="1">
      <c r="A346" s="5482"/>
      <c r="B346" s="5465" t="s">
        <v>38</v>
      </c>
      <c r="C346" s="5475"/>
      <c r="D346" s="5479"/>
      <c r="E346" s="5479"/>
      <c r="F346" s="5481"/>
      <c r="G346" s="5481"/>
      <c r="H346" s="5501"/>
    </row>
    <row r="347" spans="1:8">
      <c r="A347" s="5480"/>
      <c r="B347" s="5465" t="s">
        <v>39</v>
      </c>
      <c r="C347" s="5475"/>
      <c r="D347" s="5479">
        <v>0</v>
      </c>
      <c r="E347" s="5479">
        <f>3014+16986</f>
        <v>20000</v>
      </c>
      <c r="F347" s="5598">
        <v>16986</v>
      </c>
      <c r="G347" s="5599">
        <f>F347/E347</f>
        <v>0.84930000000000005</v>
      </c>
      <c r="H347" s="5479"/>
    </row>
    <row r="348" spans="1:8" hidden="1">
      <c r="A348" s="5480"/>
      <c r="B348" s="5465" t="s">
        <v>41</v>
      </c>
      <c r="C348" s="5475"/>
      <c r="D348" s="5479"/>
      <c r="E348" s="5479"/>
      <c r="F348" s="5598"/>
      <c r="G348" s="5599"/>
      <c r="H348" s="5479"/>
    </row>
    <row r="349" spans="1:8">
      <c r="A349" s="5480"/>
      <c r="B349" s="5465" t="s">
        <v>42</v>
      </c>
      <c r="C349" s="5475"/>
      <c r="D349" s="5479">
        <v>20000</v>
      </c>
      <c r="E349" s="5479">
        <f>3643.4+16356.6</f>
        <v>20000</v>
      </c>
      <c r="F349" s="5598">
        <v>16356.6</v>
      </c>
      <c r="G349" s="5599">
        <f>F349/E349</f>
        <v>0.81783000000000006</v>
      </c>
      <c r="H349" s="5479"/>
    </row>
    <row r="350" spans="1:8" hidden="1">
      <c r="A350" s="5476"/>
      <c r="B350" s="5465" t="s">
        <v>125</v>
      </c>
      <c r="C350" s="5459"/>
      <c r="D350" s="5481"/>
      <c r="E350" s="5481"/>
      <c r="F350" s="5598"/>
      <c r="G350" s="5599"/>
      <c r="H350" s="5481"/>
    </row>
    <row r="351" spans="1:8">
      <c r="A351" s="5480"/>
      <c r="B351" s="5465" t="s">
        <v>107</v>
      </c>
      <c r="C351" s="5475"/>
      <c r="D351" s="5479">
        <v>8561.9500000000007</v>
      </c>
      <c r="E351" s="5479">
        <f>4022.89+4977.11</f>
        <v>9000</v>
      </c>
      <c r="F351" s="5598">
        <v>4977.1099999999997</v>
      </c>
      <c r="G351" s="5599">
        <f>F351/E351</f>
        <v>0.55301222222222224</v>
      </c>
      <c r="H351" s="5479"/>
    </row>
    <row r="352" spans="1:8" hidden="1">
      <c r="A352" s="5476"/>
      <c r="B352" s="5465" t="s">
        <v>10039</v>
      </c>
      <c r="C352" s="5459"/>
      <c r="D352" s="5591"/>
      <c r="E352" s="5591"/>
      <c r="F352" s="5600"/>
      <c r="G352" s="5599"/>
      <c r="H352" s="5591"/>
    </row>
    <row r="353" spans="1:8" hidden="1">
      <c r="A353" s="5476"/>
      <c r="B353" s="5465" t="s">
        <v>10008</v>
      </c>
      <c r="C353" s="5459"/>
      <c r="D353" s="5481"/>
      <c r="E353" s="5481"/>
      <c r="F353" s="5598"/>
      <c r="G353" s="5599"/>
      <c r="H353" s="5481"/>
    </row>
    <row r="354" spans="1:8" hidden="1">
      <c r="A354" s="5476"/>
      <c r="B354" s="5465" t="s">
        <v>10042</v>
      </c>
      <c r="C354" s="5459"/>
      <c r="D354" s="5481"/>
      <c r="E354" s="5481"/>
      <c r="F354" s="5598"/>
      <c r="G354" s="5599" t="e">
        <f>F354/E354</f>
        <v>#DIV/0!</v>
      </c>
      <c r="H354" s="5481"/>
    </row>
    <row r="355" spans="1:8">
      <c r="A355" s="5480"/>
      <c r="B355" s="5465" t="s">
        <v>194</v>
      </c>
      <c r="C355" s="5475"/>
      <c r="D355" s="5479">
        <v>37838.86</v>
      </c>
      <c r="E355" s="5479">
        <f>15000+6000</f>
        <v>21000</v>
      </c>
      <c r="F355" s="5598">
        <v>6000</v>
      </c>
      <c r="G355" s="5599">
        <f>F355/E355</f>
        <v>0.2857142857142857</v>
      </c>
      <c r="H355" s="5479"/>
    </row>
    <row r="356" spans="1:8">
      <c r="A356" s="5480"/>
      <c r="B356" s="5478" t="s">
        <v>37</v>
      </c>
      <c r="C356" s="5475"/>
      <c r="D356" s="5497">
        <f>SUM(D347:D355)</f>
        <v>66400.81</v>
      </c>
      <c r="E356" s="5497">
        <f>SUM(E347:E355)</f>
        <v>70000</v>
      </c>
      <c r="F356" s="5497">
        <f>SUM(F347:F355)</f>
        <v>44319.71</v>
      </c>
      <c r="G356" s="5498"/>
      <c r="H356" s="5505">
        <f>SUM(H347:H355)</f>
        <v>0</v>
      </c>
    </row>
    <row r="357" spans="1:8" ht="19.5" customHeight="1">
      <c r="A357" s="5482" t="s">
        <v>51</v>
      </c>
      <c r="B357" s="5465" t="s">
        <v>112</v>
      </c>
      <c r="C357" s="5475"/>
      <c r="D357" s="5479"/>
      <c r="E357" s="5479"/>
      <c r="F357" s="5481"/>
      <c r="G357" s="5481"/>
      <c r="H357" s="5501"/>
    </row>
    <row r="358" spans="1:8" ht="19.5" hidden="1" customHeight="1">
      <c r="A358" s="5483"/>
      <c r="B358" s="5465" t="s">
        <v>10009</v>
      </c>
      <c r="C358" s="5459"/>
      <c r="D358" s="5481"/>
      <c r="E358" s="5481"/>
      <c r="F358" s="5481"/>
      <c r="G358" s="5481"/>
      <c r="H358" s="5636"/>
    </row>
    <row r="359" spans="1:8" s="2654" customFormat="1" hidden="1">
      <c r="A359" s="5484"/>
      <c r="B359" s="5485" t="s">
        <v>176</v>
      </c>
      <c r="C359" s="5486">
        <v>221</v>
      </c>
      <c r="D359" s="5501"/>
      <c r="E359" s="5501"/>
      <c r="F359" s="5537"/>
      <c r="G359" s="5538"/>
      <c r="H359" s="5501"/>
    </row>
    <row r="360" spans="1:8" s="2654" customFormat="1" hidden="1">
      <c r="A360" s="5484"/>
      <c r="B360" s="5485" t="s">
        <v>9958</v>
      </c>
      <c r="C360" s="5486">
        <v>222</v>
      </c>
      <c r="D360" s="5502"/>
      <c r="E360" s="5502"/>
      <c r="F360" s="5503"/>
      <c r="G360" s="5503"/>
      <c r="H360" s="5502"/>
    </row>
    <row r="361" spans="1:8" s="2654" customFormat="1" ht="13.5" hidden="1" customHeight="1">
      <c r="A361" s="5484"/>
      <c r="B361" s="5504" t="s">
        <v>195</v>
      </c>
      <c r="C361" s="5486"/>
      <c r="D361" s="5505">
        <v>0</v>
      </c>
      <c r="E361" s="5505">
        <f>SUM(E359:E360)</f>
        <v>0</v>
      </c>
      <c r="F361" s="5505">
        <f>SUM(F359:F360)</f>
        <v>0</v>
      </c>
      <c r="G361" s="5506"/>
      <c r="H361" s="5505">
        <f>SUM(H358:H360)</f>
        <v>0</v>
      </c>
    </row>
    <row r="362" spans="1:8" ht="14.25" hidden="1" customHeight="1">
      <c r="A362" s="5507" t="s">
        <v>53</v>
      </c>
      <c r="B362" s="5508" t="s">
        <v>54</v>
      </c>
      <c r="C362" s="5509"/>
      <c r="D362" s="5510">
        <v>0</v>
      </c>
      <c r="E362" s="5510"/>
      <c r="F362" s="5511"/>
      <c r="G362" s="5511"/>
      <c r="H362" s="5502">
        <v>0</v>
      </c>
    </row>
    <row r="363" spans="1:8" s="5460" customFormat="1" ht="18" customHeight="1">
      <c r="A363" s="5512"/>
      <c r="B363" s="5513" t="s">
        <v>55</v>
      </c>
      <c r="C363" s="5514"/>
      <c r="D363" s="5515">
        <f>D361+D356</f>
        <v>66400.81</v>
      </c>
      <c r="E363" s="5515">
        <f>E361+E356</f>
        <v>70000</v>
      </c>
      <c r="F363" s="5516"/>
      <c r="G363" s="5516"/>
      <c r="H363" s="6924">
        <f>H361+H356</f>
        <v>0</v>
      </c>
    </row>
    <row r="368" spans="1:8" ht="12" customHeight="1"/>
    <row r="369" spans="1:8" ht="12" customHeight="1"/>
    <row r="370" spans="1:8" ht="12" customHeight="1"/>
    <row r="371" spans="1:8" ht="12" customHeight="1"/>
    <row r="372" spans="1:8" ht="12" customHeight="1"/>
    <row r="373" spans="1:8" ht="12.75" customHeight="1" thickBot="1">
      <c r="A373" s="969"/>
      <c r="B373" s="969"/>
      <c r="C373" s="969"/>
      <c r="D373" s="969"/>
      <c r="E373" s="969"/>
      <c r="F373" s="969"/>
      <c r="G373" s="969"/>
    </row>
    <row r="374" spans="1:8">
      <c r="A374" s="5578"/>
      <c r="B374" s="5579"/>
      <c r="C374" s="5580" t="s">
        <v>9</v>
      </c>
      <c r="D374" s="5581" t="s">
        <v>10</v>
      </c>
      <c r="E374" s="13995" t="s">
        <v>10043</v>
      </c>
      <c r="F374" s="13996"/>
      <c r="G374" s="13996"/>
      <c r="H374" s="13997"/>
    </row>
    <row r="375" spans="1:8" ht="14.25" customHeight="1">
      <c r="A375" s="5476"/>
      <c r="B375" s="5466" t="s">
        <v>13</v>
      </c>
      <c r="C375" s="5582" t="s">
        <v>93</v>
      </c>
      <c r="D375" s="5583" t="s">
        <v>11749</v>
      </c>
      <c r="E375" s="5468" t="s">
        <v>16</v>
      </c>
      <c r="F375" s="5491" t="s">
        <v>9985</v>
      </c>
      <c r="G375" s="5491" t="s">
        <v>10003</v>
      </c>
      <c r="H375" s="6919" t="s">
        <v>16</v>
      </c>
    </row>
    <row r="376" spans="1:8" ht="14.4" thickBot="1">
      <c r="A376" s="5584"/>
      <c r="B376" s="5585"/>
      <c r="C376" s="5586" t="s">
        <v>94</v>
      </c>
      <c r="D376" s="5493">
        <v>2017</v>
      </c>
      <c r="E376" s="5471">
        <v>2018</v>
      </c>
      <c r="F376" s="5493">
        <v>2018</v>
      </c>
      <c r="G376" s="5493" t="s">
        <v>9986</v>
      </c>
      <c r="H376" s="6920">
        <v>2019</v>
      </c>
    </row>
    <row r="377" spans="1:8" hidden="1">
      <c r="A377" s="5482" t="s">
        <v>17</v>
      </c>
      <c r="B377" s="5465" t="s">
        <v>18</v>
      </c>
      <c r="C377" s="5472"/>
      <c r="D377" s="5473"/>
      <c r="E377" s="5473"/>
      <c r="F377" s="5474"/>
      <c r="G377" s="5474"/>
      <c r="H377" s="6921"/>
    </row>
    <row r="378" spans="1:8" ht="12.75" hidden="1" customHeight="1">
      <c r="A378" s="5480"/>
      <c r="B378" s="5465" t="s">
        <v>19</v>
      </c>
      <c r="C378" s="5472"/>
      <c r="D378" s="5473"/>
      <c r="E378" s="5473"/>
      <c r="F378" s="5474"/>
      <c r="G378" s="5474"/>
      <c r="H378" s="6921"/>
    </row>
    <row r="379" spans="1:8" ht="12" hidden="1" customHeight="1">
      <c r="A379" s="5480"/>
      <c r="B379" s="5465" t="s">
        <v>20</v>
      </c>
      <c r="C379" s="5475" t="s">
        <v>190</v>
      </c>
      <c r="D379" s="5494"/>
      <c r="E379" s="5494"/>
      <c r="F379" s="5495"/>
      <c r="G379" s="5495"/>
      <c r="H379" s="6922"/>
    </row>
    <row r="380" spans="1:8" hidden="1">
      <c r="A380" s="5480"/>
      <c r="B380" s="5465" t="s">
        <v>21</v>
      </c>
      <c r="C380" s="5475">
        <v>711</v>
      </c>
      <c r="D380" s="5479"/>
      <c r="E380" s="5479"/>
      <c r="F380" s="5481"/>
      <c r="G380" s="5481"/>
      <c r="H380" s="5501"/>
    </row>
    <row r="381" spans="1:8" hidden="1">
      <c r="A381" s="5480"/>
      <c r="B381" s="5465" t="s">
        <v>104</v>
      </c>
      <c r="C381" s="5475">
        <v>713</v>
      </c>
      <c r="D381" s="5479"/>
      <c r="E381" s="5479"/>
      <c r="F381" s="5481"/>
      <c r="G381" s="5481"/>
      <c r="H381" s="5501"/>
    </row>
    <row r="382" spans="1:8" hidden="1">
      <c r="A382" s="5480"/>
      <c r="B382" s="5465" t="s">
        <v>105</v>
      </c>
      <c r="C382" s="5475">
        <v>714</v>
      </c>
      <c r="D382" s="5479"/>
      <c r="E382" s="5479"/>
      <c r="F382" s="5481"/>
      <c r="G382" s="5481"/>
      <c r="H382" s="5501"/>
    </row>
    <row r="383" spans="1:8" hidden="1">
      <c r="A383" s="5480"/>
      <c r="B383" s="5465" t="s">
        <v>22</v>
      </c>
      <c r="C383" s="5475">
        <v>715</v>
      </c>
      <c r="D383" s="5479"/>
      <c r="E383" s="5479"/>
      <c r="F383" s="5481"/>
      <c r="G383" s="5481"/>
      <c r="H383" s="5501"/>
    </row>
    <row r="384" spans="1:8" hidden="1">
      <c r="A384" s="5480"/>
      <c r="B384" s="5465" t="s">
        <v>23</v>
      </c>
      <c r="C384" s="5475">
        <v>717</v>
      </c>
      <c r="D384" s="5479"/>
      <c r="E384" s="5479"/>
      <c r="F384" s="5481"/>
      <c r="G384" s="5481"/>
      <c r="H384" s="5501"/>
    </row>
    <row r="385" spans="1:8" hidden="1">
      <c r="A385" s="5480"/>
      <c r="B385" s="5465" t="s">
        <v>24</v>
      </c>
      <c r="C385" s="5475" t="s">
        <v>25</v>
      </c>
      <c r="D385" s="5479"/>
      <c r="E385" s="5479"/>
      <c r="F385" s="5481"/>
      <c r="G385" s="5481"/>
      <c r="H385" s="5501"/>
    </row>
    <row r="386" spans="1:8" hidden="1">
      <c r="A386" s="5480"/>
      <c r="B386" s="5465" t="s">
        <v>26</v>
      </c>
      <c r="C386" s="5475">
        <v>724</v>
      </c>
      <c r="D386" s="5479"/>
      <c r="E386" s="5479"/>
      <c r="F386" s="5481"/>
      <c r="G386" s="5481"/>
      <c r="H386" s="5501"/>
    </row>
    <row r="387" spans="1:8" hidden="1">
      <c r="A387" s="5480"/>
      <c r="B387" s="5465" t="s">
        <v>27</v>
      </c>
      <c r="C387" s="5475">
        <v>725</v>
      </c>
      <c r="D387" s="5477"/>
      <c r="E387" s="5477"/>
      <c r="F387" s="5496"/>
      <c r="G387" s="5496"/>
      <c r="H387" s="6923"/>
    </row>
    <row r="388" spans="1:8" hidden="1">
      <c r="A388" s="5480"/>
      <c r="B388" s="5465" t="s">
        <v>191</v>
      </c>
      <c r="C388" s="5475">
        <v>731</v>
      </c>
      <c r="D388" s="5479"/>
      <c r="E388" s="5479"/>
      <c r="F388" s="5481"/>
      <c r="G388" s="5481"/>
      <c r="H388" s="5501"/>
    </row>
    <row r="389" spans="1:8" hidden="1">
      <c r="A389" s="5480"/>
      <c r="B389" s="5465" t="s">
        <v>28</v>
      </c>
      <c r="C389" s="5475">
        <v>732</v>
      </c>
      <c r="D389" s="5479"/>
      <c r="E389" s="5479"/>
      <c r="F389" s="5481"/>
      <c r="G389" s="5481"/>
      <c r="H389" s="5501"/>
    </row>
    <row r="390" spans="1:8" hidden="1">
      <c r="A390" s="5480"/>
      <c r="B390" s="5465" t="s">
        <v>29</v>
      </c>
      <c r="C390" s="5475">
        <v>733</v>
      </c>
      <c r="D390" s="5479"/>
      <c r="E390" s="5479"/>
      <c r="F390" s="5481"/>
      <c r="G390" s="5481"/>
      <c r="H390" s="5501"/>
    </row>
    <row r="391" spans="1:8" hidden="1">
      <c r="A391" s="5480"/>
      <c r="B391" s="5465" t="s">
        <v>30</v>
      </c>
      <c r="C391" s="5475">
        <v>734</v>
      </c>
      <c r="D391" s="5479"/>
      <c r="E391" s="5479"/>
      <c r="F391" s="5481"/>
      <c r="G391" s="5481"/>
      <c r="H391" s="5501"/>
    </row>
    <row r="392" spans="1:8" hidden="1">
      <c r="A392" s="5480"/>
      <c r="B392" s="5465" t="s">
        <v>154</v>
      </c>
      <c r="C392" s="5475">
        <v>742</v>
      </c>
      <c r="D392" s="5479"/>
      <c r="E392" s="5479"/>
      <c r="F392" s="5481"/>
      <c r="G392" s="5481"/>
      <c r="H392" s="5501"/>
    </row>
    <row r="393" spans="1:8" hidden="1">
      <c r="A393" s="5480"/>
      <c r="B393" s="5465" t="s">
        <v>96</v>
      </c>
      <c r="C393" s="5475">
        <v>749</v>
      </c>
      <c r="D393" s="5479"/>
      <c r="E393" s="5479"/>
      <c r="F393" s="5481"/>
      <c r="G393" s="5481"/>
      <c r="H393" s="5501"/>
    </row>
    <row r="394" spans="1:8" hidden="1">
      <c r="A394" s="5480"/>
      <c r="B394" s="5465" t="s">
        <v>33</v>
      </c>
      <c r="C394" s="5475" t="s">
        <v>34</v>
      </c>
      <c r="D394" s="5479"/>
      <c r="E394" s="5479"/>
      <c r="F394" s="5481"/>
      <c r="G394" s="5481"/>
      <c r="H394" s="5501"/>
    </row>
    <row r="395" spans="1:8" hidden="1">
      <c r="A395" s="5480"/>
      <c r="B395" s="5465" t="s">
        <v>35</v>
      </c>
      <c r="C395" s="5475" t="s">
        <v>36</v>
      </c>
      <c r="D395" s="5479"/>
      <c r="E395" s="5479"/>
      <c r="F395" s="5481"/>
      <c r="G395" s="5481"/>
      <c r="H395" s="5501"/>
    </row>
    <row r="396" spans="1:8" hidden="1">
      <c r="A396" s="5480"/>
      <c r="B396" s="5465" t="s">
        <v>10005</v>
      </c>
      <c r="C396" s="5475" t="s">
        <v>9</v>
      </c>
      <c r="D396" s="5479"/>
      <c r="E396" s="5479"/>
      <c r="F396" s="5481"/>
      <c r="G396" s="5481"/>
      <c r="H396" s="5501"/>
    </row>
    <row r="397" spans="1:8" ht="14.25" hidden="1" customHeight="1">
      <c r="A397" s="5480"/>
      <c r="B397" s="5478" t="s">
        <v>37</v>
      </c>
      <c r="C397" s="5475"/>
      <c r="D397" s="5497">
        <f>SUM(D378:D396)</f>
        <v>0</v>
      </c>
      <c r="E397" s="5497">
        <f>SUM(E378:E396)</f>
        <v>0</v>
      </c>
      <c r="F397" s="5498"/>
      <c r="G397" s="5498"/>
      <c r="H397" s="5505">
        <f>SUM(H378:H396)</f>
        <v>0</v>
      </c>
    </row>
    <row r="398" spans="1:8" ht="15.75" customHeight="1">
      <c r="A398" s="5482"/>
      <c r="B398" s="5465" t="s">
        <v>38</v>
      </c>
      <c r="C398" s="5475"/>
      <c r="D398" s="5479"/>
      <c r="E398" s="5479"/>
      <c r="F398" s="5481"/>
      <c r="G398" s="5481"/>
      <c r="H398" s="5501"/>
    </row>
    <row r="399" spans="1:8" ht="15.75" customHeight="1">
      <c r="A399" s="5480"/>
      <c r="B399" s="5465" t="s">
        <v>39</v>
      </c>
      <c r="C399" s="5475"/>
      <c r="D399" s="5479">
        <v>14508</v>
      </c>
      <c r="E399" s="5479">
        <v>15000</v>
      </c>
      <c r="F399" s="5601">
        <v>0</v>
      </c>
      <c r="G399" s="5602">
        <f>F399/E399</f>
        <v>0</v>
      </c>
      <c r="H399" s="5501"/>
    </row>
    <row r="400" spans="1:8" ht="15.75" hidden="1" customHeight="1">
      <c r="A400" s="5480"/>
      <c r="B400" s="5465" t="s">
        <v>41</v>
      </c>
      <c r="C400" s="5475"/>
      <c r="D400" s="5479"/>
      <c r="E400" s="5479"/>
      <c r="F400" s="5601"/>
      <c r="G400" s="5602"/>
      <c r="H400" s="5501"/>
    </row>
    <row r="401" spans="1:8" ht="15.75" customHeight="1">
      <c r="A401" s="5480"/>
      <c r="B401" s="5465" t="s">
        <v>42</v>
      </c>
      <c r="C401" s="5475"/>
      <c r="D401" s="5479">
        <v>8176.8</v>
      </c>
      <c r="E401" s="5479">
        <f>7781.1+2218.9</f>
        <v>10000</v>
      </c>
      <c r="F401" s="5601">
        <v>2218.9</v>
      </c>
      <c r="G401" s="5602">
        <f>F401/E401</f>
        <v>0.22189</v>
      </c>
      <c r="H401" s="5501"/>
    </row>
    <row r="402" spans="1:8" ht="15.75" hidden="1" customHeight="1">
      <c r="A402" s="5476"/>
      <c r="B402" s="5465" t="s">
        <v>125</v>
      </c>
      <c r="C402" s="5459"/>
      <c r="D402" s="5481"/>
      <c r="E402" s="5481"/>
      <c r="F402" s="5601"/>
      <c r="G402" s="5602"/>
      <c r="H402" s="5636"/>
    </row>
    <row r="403" spans="1:8" ht="15.75" customHeight="1">
      <c r="A403" s="5480"/>
      <c r="B403" s="5465" t="s">
        <v>107</v>
      </c>
      <c r="C403" s="5475"/>
      <c r="D403" s="5479">
        <v>5246.38</v>
      </c>
      <c r="E403" s="5479">
        <f>2668.94+3331.06</f>
        <v>6000</v>
      </c>
      <c r="F403" s="5601">
        <v>3331.06</v>
      </c>
      <c r="G403" s="5602">
        <f>F403/E403</f>
        <v>0.55517666666666665</v>
      </c>
      <c r="H403" s="5501"/>
    </row>
    <row r="404" spans="1:8" ht="15.75" hidden="1" customHeight="1">
      <c r="A404" s="5476"/>
      <c r="B404" s="5465" t="s">
        <v>10039</v>
      </c>
      <c r="C404" s="5459"/>
      <c r="D404" s="5591"/>
      <c r="E404" s="5591"/>
      <c r="F404" s="5603"/>
      <c r="G404" s="5602"/>
      <c r="H404" s="6930"/>
    </row>
    <row r="405" spans="1:8" ht="15.75" hidden="1" customHeight="1">
      <c r="A405" s="5476"/>
      <c r="B405" s="5465" t="s">
        <v>10008</v>
      </c>
      <c r="C405" s="5459"/>
      <c r="D405" s="5481"/>
      <c r="E405" s="5481"/>
      <c r="F405" s="5601"/>
      <c r="G405" s="5602"/>
      <c r="H405" s="5636"/>
    </row>
    <row r="406" spans="1:8" ht="15.75" hidden="1" customHeight="1">
      <c r="A406" s="5476"/>
      <c r="B406" s="5465" t="s">
        <v>10042</v>
      </c>
      <c r="C406" s="5459"/>
      <c r="D406" s="5481"/>
      <c r="E406" s="5481"/>
      <c r="F406" s="5601"/>
      <c r="G406" s="5602"/>
      <c r="H406" s="5636"/>
    </row>
    <row r="407" spans="1:8" s="7025" customFormat="1" ht="15.75" customHeight="1">
      <c r="A407" s="7018"/>
      <c r="B407" s="7019" t="s">
        <v>194</v>
      </c>
      <c r="C407" s="7020"/>
      <c r="D407" s="7021"/>
      <c r="E407" s="7021">
        <v>39000</v>
      </c>
      <c r="F407" s="7028">
        <v>0</v>
      </c>
      <c r="G407" s="7029">
        <f>F407/E407</f>
        <v>0</v>
      </c>
      <c r="H407" s="7021"/>
    </row>
    <row r="408" spans="1:8">
      <c r="A408" s="5480"/>
      <c r="B408" s="5478" t="s">
        <v>37</v>
      </c>
      <c r="C408" s="5475"/>
      <c r="D408" s="5497">
        <f>SUM(D399:D407)</f>
        <v>27931.18</v>
      </c>
      <c r="E408" s="5497">
        <f>SUM(E399:E407)</f>
        <v>70000</v>
      </c>
      <c r="F408" s="5497">
        <f>SUM(F399:F407)</f>
        <v>5549.96</v>
      </c>
      <c r="G408" s="5498"/>
      <c r="H408" s="5505">
        <f>SUM(H399:H407)</f>
        <v>0</v>
      </c>
    </row>
    <row r="409" spans="1:8" ht="17.25" customHeight="1">
      <c r="A409" s="5482" t="s">
        <v>51</v>
      </c>
      <c r="B409" s="5465" t="s">
        <v>112</v>
      </c>
      <c r="C409" s="5475"/>
      <c r="D409" s="5479"/>
      <c r="E409" s="5479"/>
      <c r="F409" s="5481"/>
      <c r="G409" s="5481"/>
      <c r="H409" s="5501"/>
    </row>
    <row r="410" spans="1:8" ht="17.25" customHeight="1">
      <c r="A410" s="5483"/>
      <c r="B410" s="5465"/>
      <c r="C410" s="5459"/>
      <c r="D410" s="5481"/>
      <c r="E410" s="5481"/>
      <c r="F410" s="5481"/>
      <c r="G410" s="5481"/>
      <c r="H410" s="5636"/>
    </row>
    <row r="411" spans="1:8" s="2654" customFormat="1" ht="17.25" customHeight="1">
      <c r="A411" s="5484"/>
      <c r="B411" s="5485" t="s">
        <v>176</v>
      </c>
      <c r="C411" s="5486"/>
      <c r="D411" s="5501"/>
      <c r="E411" s="5501"/>
      <c r="F411" s="5636"/>
      <c r="G411" s="5637"/>
      <c r="H411" s="5501"/>
    </row>
    <row r="412" spans="1:8" s="2654" customFormat="1" ht="17.25" customHeight="1">
      <c r="A412" s="5484"/>
      <c r="B412" s="5485"/>
      <c r="C412" s="5486"/>
      <c r="D412" s="5502">
        <v>0</v>
      </c>
      <c r="E412" s="5502"/>
      <c r="F412" s="5503"/>
      <c r="G412" s="5503"/>
      <c r="H412" s="5502"/>
    </row>
    <row r="413" spans="1:8" s="2654" customFormat="1" ht="17.25" customHeight="1">
      <c r="A413" s="5484"/>
      <c r="B413" s="5504" t="s">
        <v>195</v>
      </c>
      <c r="C413" s="5486"/>
      <c r="D413" s="5505">
        <v>0</v>
      </c>
      <c r="E413" s="5505">
        <f>SUM(E411:E412)</f>
        <v>0</v>
      </c>
      <c r="F413" s="5505">
        <f>SUM(F411:F412)</f>
        <v>0</v>
      </c>
      <c r="G413" s="5506"/>
      <c r="H413" s="5505">
        <f>SUM(H410:H412)</f>
        <v>0</v>
      </c>
    </row>
    <row r="414" spans="1:8" ht="17.25" customHeight="1">
      <c r="A414" s="5507"/>
      <c r="B414" s="5508"/>
      <c r="C414" s="5509"/>
      <c r="D414" s="5510"/>
      <c r="E414" s="5510"/>
      <c r="F414" s="5511"/>
      <c r="G414" s="5511"/>
      <c r="H414" s="5502"/>
    </row>
    <row r="415" spans="1:8" s="5460" customFormat="1" ht="17.25" customHeight="1">
      <c r="A415" s="5512"/>
      <c r="B415" s="5513" t="s">
        <v>55</v>
      </c>
      <c r="C415" s="5514"/>
      <c r="D415" s="5515">
        <f>D413+D408</f>
        <v>27931.18</v>
      </c>
      <c r="E415" s="5515">
        <f>E413+E408</f>
        <v>70000</v>
      </c>
      <c r="F415" s="5516"/>
      <c r="G415" s="5516"/>
      <c r="H415" s="6924">
        <f>H413+H408</f>
        <v>0</v>
      </c>
    </row>
    <row r="417" spans="1:8" ht="12.75" customHeight="1" thickBot="1">
      <c r="A417" s="969"/>
      <c r="B417" s="969"/>
      <c r="C417" s="969"/>
      <c r="D417" s="969"/>
      <c r="E417" s="969"/>
      <c r="F417" s="969"/>
      <c r="G417" s="969"/>
    </row>
    <row r="418" spans="1:8">
      <c r="A418" s="5578"/>
      <c r="B418" s="5579"/>
      <c r="C418" s="5580" t="s">
        <v>9</v>
      </c>
      <c r="D418" s="5581" t="s">
        <v>10</v>
      </c>
      <c r="E418" s="13998" t="s">
        <v>10044</v>
      </c>
      <c r="F418" s="13999"/>
      <c r="G418" s="13999"/>
      <c r="H418" s="14000"/>
    </row>
    <row r="419" spans="1:8" ht="14.25" customHeight="1">
      <c r="A419" s="5476"/>
      <c r="B419" s="5466" t="s">
        <v>13</v>
      </c>
      <c r="C419" s="5582" t="s">
        <v>93</v>
      </c>
      <c r="D419" s="5583" t="s">
        <v>11749</v>
      </c>
      <c r="E419" s="5468" t="s">
        <v>16</v>
      </c>
      <c r="F419" s="5491" t="s">
        <v>9985</v>
      </c>
      <c r="G419" s="5491" t="s">
        <v>10003</v>
      </c>
      <c r="H419" s="6919" t="s">
        <v>16</v>
      </c>
    </row>
    <row r="420" spans="1:8" ht="14.4" thickBot="1">
      <c r="A420" s="5584"/>
      <c r="B420" s="5585"/>
      <c r="C420" s="5586" t="s">
        <v>94</v>
      </c>
      <c r="D420" s="5493">
        <v>2017</v>
      </c>
      <c r="E420" s="5471">
        <v>2018</v>
      </c>
      <c r="F420" s="5493">
        <v>2018</v>
      </c>
      <c r="G420" s="5493" t="s">
        <v>9986</v>
      </c>
      <c r="H420" s="6920">
        <v>2019</v>
      </c>
    </row>
    <row r="421" spans="1:8" hidden="1">
      <c r="A421" s="5482" t="s">
        <v>17</v>
      </c>
      <c r="B421" s="5465" t="s">
        <v>18</v>
      </c>
      <c r="C421" s="5472"/>
      <c r="D421" s="5473"/>
      <c r="E421" s="5473"/>
      <c r="F421" s="5474"/>
      <c r="G421" s="5474"/>
      <c r="H421" s="6921"/>
    </row>
    <row r="422" spans="1:8" ht="12.75" hidden="1" customHeight="1">
      <c r="A422" s="5480"/>
      <c r="B422" s="5465" t="s">
        <v>19</v>
      </c>
      <c r="C422" s="5472"/>
      <c r="D422" s="5473"/>
      <c r="E422" s="5473"/>
      <c r="F422" s="5474"/>
      <c r="G422" s="5474"/>
      <c r="H422" s="6921"/>
    </row>
    <row r="423" spans="1:8" ht="12" hidden="1" customHeight="1">
      <c r="A423" s="5480"/>
      <c r="B423" s="5465" t="s">
        <v>20</v>
      </c>
      <c r="C423" s="5475" t="s">
        <v>190</v>
      </c>
      <c r="D423" s="5494"/>
      <c r="E423" s="5494"/>
      <c r="F423" s="5495"/>
      <c r="G423" s="5495"/>
      <c r="H423" s="6922"/>
    </row>
    <row r="424" spans="1:8" hidden="1">
      <c r="A424" s="5480"/>
      <c r="B424" s="5465" t="s">
        <v>21</v>
      </c>
      <c r="C424" s="5475">
        <v>711</v>
      </c>
      <c r="D424" s="5479"/>
      <c r="E424" s="5479"/>
      <c r="F424" s="5481"/>
      <c r="G424" s="5481"/>
      <c r="H424" s="5501"/>
    </row>
    <row r="425" spans="1:8" hidden="1">
      <c r="A425" s="5480"/>
      <c r="B425" s="5465" t="s">
        <v>104</v>
      </c>
      <c r="C425" s="5475">
        <v>713</v>
      </c>
      <c r="D425" s="5479"/>
      <c r="E425" s="5479"/>
      <c r="F425" s="5481"/>
      <c r="G425" s="5481"/>
      <c r="H425" s="5501"/>
    </row>
    <row r="426" spans="1:8" hidden="1">
      <c r="A426" s="5480"/>
      <c r="B426" s="5465" t="s">
        <v>105</v>
      </c>
      <c r="C426" s="5475">
        <v>714</v>
      </c>
      <c r="D426" s="5479"/>
      <c r="E426" s="5479"/>
      <c r="F426" s="5481"/>
      <c r="G426" s="5481"/>
      <c r="H426" s="5501"/>
    </row>
    <row r="427" spans="1:8" hidden="1">
      <c r="A427" s="5480"/>
      <c r="B427" s="5465" t="s">
        <v>22</v>
      </c>
      <c r="C427" s="5475">
        <v>715</v>
      </c>
      <c r="D427" s="5479"/>
      <c r="E427" s="5479"/>
      <c r="F427" s="5481"/>
      <c r="G427" s="5481"/>
      <c r="H427" s="5501"/>
    </row>
    <row r="428" spans="1:8" hidden="1">
      <c r="A428" s="5480"/>
      <c r="B428" s="5465" t="s">
        <v>23</v>
      </c>
      <c r="C428" s="5475">
        <v>717</v>
      </c>
      <c r="D428" s="5479"/>
      <c r="E428" s="5479"/>
      <c r="F428" s="5481"/>
      <c r="G428" s="5481"/>
      <c r="H428" s="5501"/>
    </row>
    <row r="429" spans="1:8" hidden="1">
      <c r="A429" s="5480"/>
      <c r="B429" s="5465" t="s">
        <v>24</v>
      </c>
      <c r="C429" s="5475" t="s">
        <v>25</v>
      </c>
      <c r="D429" s="5479"/>
      <c r="E429" s="5479"/>
      <c r="F429" s="5481"/>
      <c r="G429" s="5481"/>
      <c r="H429" s="5501"/>
    </row>
    <row r="430" spans="1:8" hidden="1">
      <c r="A430" s="5480"/>
      <c r="B430" s="5465" t="s">
        <v>26</v>
      </c>
      <c r="C430" s="5475">
        <v>724</v>
      </c>
      <c r="D430" s="5479"/>
      <c r="E430" s="5479"/>
      <c r="F430" s="5481"/>
      <c r="G430" s="5481"/>
      <c r="H430" s="5501"/>
    </row>
    <row r="431" spans="1:8" hidden="1">
      <c r="A431" s="5480"/>
      <c r="B431" s="5465" t="s">
        <v>27</v>
      </c>
      <c r="C431" s="5475">
        <v>725</v>
      </c>
      <c r="D431" s="5477"/>
      <c r="E431" s="5477"/>
      <c r="F431" s="5496"/>
      <c r="G431" s="5496"/>
      <c r="H431" s="6923"/>
    </row>
    <row r="432" spans="1:8" hidden="1">
      <c r="A432" s="5480"/>
      <c r="B432" s="5465" t="s">
        <v>191</v>
      </c>
      <c r="C432" s="5475">
        <v>731</v>
      </c>
      <c r="D432" s="5479"/>
      <c r="E432" s="5479"/>
      <c r="F432" s="5481"/>
      <c r="G432" s="5481"/>
      <c r="H432" s="5501"/>
    </row>
    <row r="433" spans="1:8" hidden="1">
      <c r="A433" s="5480"/>
      <c r="B433" s="5465" t="s">
        <v>28</v>
      </c>
      <c r="C433" s="5475">
        <v>732</v>
      </c>
      <c r="D433" s="5479"/>
      <c r="E433" s="5479"/>
      <c r="F433" s="5481"/>
      <c r="G433" s="5481"/>
      <c r="H433" s="5501"/>
    </row>
    <row r="434" spans="1:8" hidden="1">
      <c r="A434" s="5480"/>
      <c r="B434" s="5465" t="s">
        <v>29</v>
      </c>
      <c r="C434" s="5475">
        <v>733</v>
      </c>
      <c r="D434" s="5479"/>
      <c r="E434" s="5479"/>
      <c r="F434" s="5481"/>
      <c r="G434" s="5481"/>
      <c r="H434" s="5501"/>
    </row>
    <row r="435" spans="1:8" hidden="1">
      <c r="A435" s="5480"/>
      <c r="B435" s="5465" t="s">
        <v>30</v>
      </c>
      <c r="C435" s="5475">
        <v>734</v>
      </c>
      <c r="D435" s="5479"/>
      <c r="E435" s="5479"/>
      <c r="F435" s="5481"/>
      <c r="G435" s="5481"/>
      <c r="H435" s="5501"/>
    </row>
    <row r="436" spans="1:8" hidden="1">
      <c r="A436" s="5480"/>
      <c r="B436" s="5465" t="s">
        <v>154</v>
      </c>
      <c r="C436" s="5475">
        <v>742</v>
      </c>
      <c r="D436" s="5479"/>
      <c r="E436" s="5479"/>
      <c r="F436" s="5481"/>
      <c r="G436" s="5481"/>
      <c r="H436" s="5501"/>
    </row>
    <row r="437" spans="1:8" hidden="1">
      <c r="A437" s="5480"/>
      <c r="B437" s="5465" t="s">
        <v>96</v>
      </c>
      <c r="C437" s="5475">
        <v>749</v>
      </c>
      <c r="D437" s="5479"/>
      <c r="E437" s="5479"/>
      <c r="F437" s="5481"/>
      <c r="G437" s="5481"/>
      <c r="H437" s="5501"/>
    </row>
    <row r="438" spans="1:8" hidden="1">
      <c r="A438" s="5480"/>
      <c r="B438" s="5465" t="s">
        <v>33</v>
      </c>
      <c r="C438" s="5475" t="s">
        <v>34</v>
      </c>
      <c r="D438" s="5479"/>
      <c r="E438" s="5479"/>
      <c r="F438" s="5481"/>
      <c r="G438" s="5481"/>
      <c r="H438" s="5501"/>
    </row>
    <row r="439" spans="1:8" hidden="1">
      <c r="A439" s="5480"/>
      <c r="B439" s="5465" t="s">
        <v>35</v>
      </c>
      <c r="C439" s="5475" t="s">
        <v>36</v>
      </c>
      <c r="D439" s="5479"/>
      <c r="E439" s="5479"/>
      <c r="F439" s="5481"/>
      <c r="G439" s="5481"/>
      <c r="H439" s="5501"/>
    </row>
    <row r="440" spans="1:8" hidden="1">
      <c r="A440" s="5480"/>
      <c r="B440" s="5465" t="s">
        <v>10005</v>
      </c>
      <c r="C440" s="5475" t="s">
        <v>9</v>
      </c>
      <c r="D440" s="5479"/>
      <c r="E440" s="5479"/>
      <c r="F440" s="5481"/>
      <c r="G440" s="5481"/>
      <c r="H440" s="5501"/>
    </row>
    <row r="441" spans="1:8" ht="14.25" hidden="1" customHeight="1">
      <c r="A441" s="5480"/>
      <c r="B441" s="5478" t="s">
        <v>37</v>
      </c>
      <c r="C441" s="5475"/>
      <c r="D441" s="5497">
        <f>SUM(D422:D440)</f>
        <v>0</v>
      </c>
      <c r="E441" s="5497">
        <f>SUM(E422:E440)</f>
        <v>0</v>
      </c>
      <c r="F441" s="5498"/>
      <c r="G441" s="5498"/>
      <c r="H441" s="5505">
        <f>SUM(H422:H440)</f>
        <v>0</v>
      </c>
    </row>
    <row r="442" spans="1:8" ht="16.5" customHeight="1">
      <c r="A442" s="5482"/>
      <c r="B442" s="5465" t="s">
        <v>38</v>
      </c>
      <c r="C442" s="5475"/>
      <c r="D442" s="5479"/>
      <c r="E442" s="5479"/>
      <c r="F442" s="5481"/>
      <c r="G442" s="5481"/>
      <c r="H442" s="5501"/>
    </row>
    <row r="443" spans="1:8">
      <c r="A443" s="5480"/>
      <c r="B443" s="5465" t="s">
        <v>39</v>
      </c>
      <c r="C443" s="5475"/>
      <c r="D443" s="5479"/>
      <c r="E443" s="5479">
        <v>30000</v>
      </c>
      <c r="F443" s="5604">
        <v>0</v>
      </c>
      <c r="G443" s="5605">
        <f>F443/E443</f>
        <v>0</v>
      </c>
      <c r="H443" s="5501"/>
    </row>
    <row r="444" spans="1:8">
      <c r="A444" s="5480"/>
      <c r="B444" s="5465" t="s">
        <v>41</v>
      </c>
      <c r="C444" s="5475"/>
      <c r="D444" s="5479"/>
      <c r="E444" s="5479"/>
      <c r="F444" s="5604"/>
      <c r="G444" s="5605"/>
      <c r="H444" s="5501"/>
    </row>
    <row r="445" spans="1:8">
      <c r="A445" s="5480"/>
      <c r="B445" s="5465" t="s">
        <v>42</v>
      </c>
      <c r="C445" s="5475"/>
      <c r="D445" s="5479">
        <v>10594.2</v>
      </c>
      <c r="E445" s="5479">
        <f>20090.25+9909.75</f>
        <v>30000</v>
      </c>
      <c r="F445" s="5604">
        <v>9909.75</v>
      </c>
      <c r="G445" s="5605">
        <f>F445/E445</f>
        <v>0.33032499999999998</v>
      </c>
      <c r="H445" s="5501"/>
    </row>
    <row r="446" spans="1:8">
      <c r="A446" s="5476"/>
      <c r="B446" s="5465" t="s">
        <v>125</v>
      </c>
      <c r="C446" s="5459"/>
      <c r="D446" s="5481"/>
      <c r="E446" s="5481"/>
      <c r="F446" s="5604"/>
      <c r="G446" s="5605"/>
      <c r="H446" s="5636"/>
    </row>
    <row r="447" spans="1:8">
      <c r="A447" s="5480"/>
      <c r="B447" s="5465" t="s">
        <v>107</v>
      </c>
      <c r="C447" s="5475"/>
      <c r="D447" s="5479">
        <v>4690.07</v>
      </c>
      <c r="E447" s="5479">
        <f>2415.41+2984.59</f>
        <v>5400</v>
      </c>
      <c r="F447" s="5604">
        <v>2984.59</v>
      </c>
      <c r="G447" s="5605">
        <f>F447/E447</f>
        <v>0.55270185185185183</v>
      </c>
      <c r="H447" s="5501"/>
    </row>
    <row r="448" spans="1:8">
      <c r="A448" s="5476"/>
      <c r="B448" s="5465" t="s">
        <v>10039</v>
      </c>
      <c r="C448" s="5459"/>
      <c r="D448" s="5591"/>
      <c r="E448" s="5591"/>
      <c r="F448" s="5606"/>
      <c r="G448" s="5605"/>
      <c r="H448" s="6930"/>
    </row>
    <row r="449" spans="1:8">
      <c r="A449" s="5476"/>
      <c r="B449" s="5465" t="s">
        <v>10008</v>
      </c>
      <c r="C449" s="5459"/>
      <c r="D449" s="5481"/>
      <c r="E449" s="5481"/>
      <c r="F449" s="5604"/>
      <c r="G449" s="5605"/>
      <c r="H449" s="5636"/>
    </row>
    <row r="450" spans="1:8" ht="15.6">
      <c r="A450" s="5476"/>
      <c r="B450" s="7488" t="s">
        <v>11748</v>
      </c>
      <c r="C450" s="5459"/>
      <c r="D450" s="5481">
        <v>700</v>
      </c>
      <c r="E450" s="5481"/>
      <c r="F450" s="5604"/>
      <c r="G450" s="5605"/>
      <c r="H450" s="5636"/>
    </row>
    <row r="451" spans="1:8" s="7025" customFormat="1" ht="22.5" customHeight="1">
      <c r="A451" s="7018"/>
      <c r="B451" s="7019" t="s">
        <v>194</v>
      </c>
      <c r="C451" s="7020"/>
      <c r="D451" s="7021">
        <v>13825</v>
      </c>
      <c r="E451" s="7021">
        <f>4200+400</f>
        <v>4600</v>
      </c>
      <c r="F451" s="7026">
        <v>400</v>
      </c>
      <c r="G451" s="7027">
        <f>F451/E451</f>
        <v>8.6956521739130432E-2</v>
      </c>
      <c r="H451" s="7021"/>
    </row>
    <row r="452" spans="1:8">
      <c r="A452" s="5480"/>
      <c r="B452" s="5478" t="s">
        <v>37</v>
      </c>
      <c r="C452" s="5475"/>
      <c r="D452" s="5497">
        <f>SUM(D443:D451)</f>
        <v>29809.27</v>
      </c>
      <c r="E452" s="5497">
        <f>SUM(E443:E451)</f>
        <v>70000</v>
      </c>
      <c r="F452" s="5497">
        <f>SUM(F443:F451)</f>
        <v>13294.34</v>
      </c>
      <c r="G452" s="5498"/>
      <c r="H452" s="5505">
        <f>SUM(H443:H451)</f>
        <v>0</v>
      </c>
    </row>
    <row r="453" spans="1:8" ht="16.5" customHeight="1">
      <c r="A453" s="5482" t="s">
        <v>51</v>
      </c>
      <c r="B453" s="5465" t="s">
        <v>112</v>
      </c>
      <c r="C453" s="5475"/>
      <c r="D453" s="5479"/>
      <c r="E453" s="5479"/>
      <c r="F453" s="5481"/>
      <c r="G453" s="5481"/>
      <c r="H453" s="5501"/>
    </row>
    <row r="454" spans="1:8" s="2654" customFormat="1" ht="16.5" hidden="1" customHeight="1">
      <c r="A454" s="5484"/>
      <c r="B454" s="5485" t="s">
        <v>176</v>
      </c>
      <c r="C454" s="5486">
        <v>221</v>
      </c>
      <c r="D454" s="5501"/>
      <c r="E454" s="5501"/>
      <c r="F454" s="5604">
        <v>0</v>
      </c>
      <c r="G454" s="5605" t="e">
        <f>F454/E454</f>
        <v>#DIV/0!</v>
      </c>
      <c r="H454" s="5501"/>
    </row>
    <row r="455" spans="1:8" s="2654" customFormat="1" ht="16.5" hidden="1" customHeight="1">
      <c r="A455" s="5484"/>
      <c r="B455" s="5485" t="s">
        <v>9958</v>
      </c>
      <c r="C455" s="5486">
        <v>222</v>
      </c>
      <c r="D455" s="5502"/>
      <c r="E455" s="5502"/>
      <c r="F455" s="5604">
        <v>0</v>
      </c>
      <c r="G455" s="5605" t="e">
        <f>F455/E455</f>
        <v>#DIV/0!</v>
      </c>
      <c r="H455" s="5502"/>
    </row>
    <row r="456" spans="1:8" s="2654" customFormat="1" ht="16.5" hidden="1" customHeight="1">
      <c r="A456" s="5484"/>
      <c r="B456" s="5504" t="s">
        <v>195</v>
      </c>
      <c r="C456" s="5486"/>
      <c r="D456" s="5505">
        <v>0</v>
      </c>
      <c r="E456" s="5505">
        <f>SUM(E454:E455)</f>
        <v>0</v>
      </c>
      <c r="F456" s="5505">
        <f>SUM(F454:F455)</f>
        <v>0</v>
      </c>
      <c r="G456" s="5506"/>
      <c r="H456" s="5505">
        <f>SUM(H454:H455)</f>
        <v>0</v>
      </c>
    </row>
    <row r="457" spans="1:8" ht="16.5" customHeight="1">
      <c r="A457" s="5507"/>
      <c r="B457" s="5508"/>
      <c r="C457" s="5509"/>
      <c r="D457" s="5510"/>
      <c r="E457" s="5510"/>
      <c r="F457" s="5511"/>
      <c r="G457" s="5511"/>
      <c r="H457" s="5502"/>
    </row>
    <row r="458" spans="1:8" s="5460" customFormat="1" ht="16.5" customHeight="1">
      <c r="A458" s="5512"/>
      <c r="B458" s="5513" t="s">
        <v>55</v>
      </c>
      <c r="C458" s="5514"/>
      <c r="D458" s="5515">
        <f>D456+D452</f>
        <v>29809.27</v>
      </c>
      <c r="E458" s="5515">
        <f>E456+E452</f>
        <v>70000</v>
      </c>
      <c r="F458" s="5516"/>
      <c r="G458" s="5516"/>
      <c r="H458" s="6924">
        <f>H456+H452</f>
        <v>0</v>
      </c>
    </row>
    <row r="460" spans="1:8" ht="12.75" customHeight="1" thickBot="1">
      <c r="A460" s="969"/>
      <c r="B460" s="969"/>
      <c r="C460" s="969"/>
      <c r="D460" s="969"/>
      <c r="E460" s="969"/>
      <c r="F460" s="969"/>
      <c r="G460" s="969"/>
    </row>
    <row r="461" spans="1:8">
      <c r="A461" s="5578"/>
      <c r="B461" s="5579"/>
      <c r="C461" s="5580" t="s">
        <v>9</v>
      </c>
      <c r="D461" s="5581" t="s">
        <v>10</v>
      </c>
      <c r="E461" s="14001" t="s">
        <v>10045</v>
      </c>
      <c r="F461" s="14002"/>
      <c r="G461" s="14002"/>
      <c r="H461" s="14003"/>
    </row>
    <row r="462" spans="1:8" ht="14.25" customHeight="1">
      <c r="A462" s="5476"/>
      <c r="B462" s="5466" t="s">
        <v>13</v>
      </c>
      <c r="C462" s="5582" t="s">
        <v>93</v>
      </c>
      <c r="D462" s="5583" t="s">
        <v>11749</v>
      </c>
      <c r="E462" s="5468" t="s">
        <v>16</v>
      </c>
      <c r="F462" s="5491" t="s">
        <v>9985</v>
      </c>
      <c r="G462" s="5491" t="s">
        <v>10003</v>
      </c>
      <c r="H462" s="6919" t="s">
        <v>16</v>
      </c>
    </row>
    <row r="463" spans="1:8" ht="14.4" thickBot="1">
      <c r="A463" s="5584"/>
      <c r="B463" s="5585"/>
      <c r="C463" s="5586" t="s">
        <v>94</v>
      </c>
      <c r="D463" s="5493">
        <v>2017</v>
      </c>
      <c r="E463" s="5471">
        <v>2018</v>
      </c>
      <c r="F463" s="5493">
        <v>2018</v>
      </c>
      <c r="G463" s="5493" t="s">
        <v>9986</v>
      </c>
      <c r="H463" s="6920">
        <v>2019</v>
      </c>
    </row>
    <row r="464" spans="1:8" hidden="1">
      <c r="A464" s="5482" t="s">
        <v>17</v>
      </c>
      <c r="B464" s="5465" t="s">
        <v>18</v>
      </c>
      <c r="C464" s="5472"/>
      <c r="D464" s="5473"/>
      <c r="E464" s="5473"/>
      <c r="F464" s="5474"/>
      <c r="G464" s="5474"/>
      <c r="H464" s="6921"/>
    </row>
    <row r="465" spans="1:8" ht="12.75" hidden="1" customHeight="1">
      <c r="A465" s="5480"/>
      <c r="B465" s="5465" t="s">
        <v>19</v>
      </c>
      <c r="C465" s="5472"/>
      <c r="D465" s="5473"/>
      <c r="E465" s="5473"/>
      <c r="F465" s="5474"/>
      <c r="G465" s="5474"/>
      <c r="H465" s="6921"/>
    </row>
    <row r="466" spans="1:8" ht="12" hidden="1" customHeight="1">
      <c r="A466" s="5480"/>
      <c r="B466" s="5465" t="s">
        <v>20</v>
      </c>
      <c r="C466" s="5475" t="s">
        <v>190</v>
      </c>
      <c r="D466" s="5494"/>
      <c r="E466" s="5494"/>
      <c r="F466" s="5495"/>
      <c r="G466" s="5495"/>
      <c r="H466" s="6922"/>
    </row>
    <row r="467" spans="1:8" hidden="1">
      <c r="A467" s="5480"/>
      <c r="B467" s="5465" t="s">
        <v>21</v>
      </c>
      <c r="C467" s="5475">
        <v>711</v>
      </c>
      <c r="D467" s="5479"/>
      <c r="E467" s="5479"/>
      <c r="F467" s="5481"/>
      <c r="G467" s="5481"/>
      <c r="H467" s="5501"/>
    </row>
    <row r="468" spans="1:8" hidden="1">
      <c r="A468" s="5480"/>
      <c r="B468" s="5465" t="s">
        <v>104</v>
      </c>
      <c r="C468" s="5475">
        <v>713</v>
      </c>
      <c r="D468" s="5479"/>
      <c r="E468" s="5479"/>
      <c r="F468" s="5481"/>
      <c r="G468" s="5481"/>
      <c r="H468" s="5501"/>
    </row>
    <row r="469" spans="1:8" hidden="1">
      <c r="A469" s="5480"/>
      <c r="B469" s="5465" t="s">
        <v>105</v>
      </c>
      <c r="C469" s="5475">
        <v>714</v>
      </c>
      <c r="D469" s="5479"/>
      <c r="E469" s="5479"/>
      <c r="F469" s="5481"/>
      <c r="G469" s="5481"/>
      <c r="H469" s="5501"/>
    </row>
    <row r="470" spans="1:8" hidden="1">
      <c r="A470" s="5480"/>
      <c r="B470" s="5465" t="s">
        <v>22</v>
      </c>
      <c r="C470" s="5475">
        <v>715</v>
      </c>
      <c r="D470" s="5479"/>
      <c r="E470" s="5479"/>
      <c r="F470" s="5481"/>
      <c r="G470" s="5481"/>
      <c r="H470" s="5501"/>
    </row>
    <row r="471" spans="1:8" hidden="1">
      <c r="A471" s="5480"/>
      <c r="B471" s="5465" t="s">
        <v>23</v>
      </c>
      <c r="C471" s="5475">
        <v>717</v>
      </c>
      <c r="D471" s="5479"/>
      <c r="E471" s="5479"/>
      <c r="F471" s="5481"/>
      <c r="G471" s="5481"/>
      <c r="H471" s="5501"/>
    </row>
    <row r="472" spans="1:8" hidden="1">
      <c r="A472" s="5480"/>
      <c r="B472" s="5465" t="s">
        <v>24</v>
      </c>
      <c r="C472" s="5475" t="s">
        <v>25</v>
      </c>
      <c r="D472" s="5479"/>
      <c r="E472" s="5479"/>
      <c r="F472" s="5481"/>
      <c r="G472" s="5481"/>
      <c r="H472" s="5501"/>
    </row>
    <row r="473" spans="1:8" hidden="1">
      <c r="A473" s="5480"/>
      <c r="B473" s="5465" t="s">
        <v>26</v>
      </c>
      <c r="C473" s="5475">
        <v>724</v>
      </c>
      <c r="D473" s="5479"/>
      <c r="E473" s="5479"/>
      <c r="F473" s="5481"/>
      <c r="G473" s="5481"/>
      <c r="H473" s="5501"/>
    </row>
    <row r="474" spans="1:8" hidden="1">
      <c r="A474" s="5480"/>
      <c r="B474" s="5465" t="s">
        <v>27</v>
      </c>
      <c r="C474" s="5475">
        <v>725</v>
      </c>
      <c r="D474" s="5477"/>
      <c r="E474" s="5477"/>
      <c r="F474" s="5496"/>
      <c r="G474" s="5496"/>
      <c r="H474" s="6923"/>
    </row>
    <row r="475" spans="1:8" hidden="1">
      <c r="A475" s="5480"/>
      <c r="B475" s="5465" t="s">
        <v>191</v>
      </c>
      <c r="C475" s="5475">
        <v>731</v>
      </c>
      <c r="D475" s="5479"/>
      <c r="E475" s="5479"/>
      <c r="F475" s="5481"/>
      <c r="G475" s="5481"/>
      <c r="H475" s="5501"/>
    </row>
    <row r="476" spans="1:8" hidden="1">
      <c r="A476" s="5480"/>
      <c r="B476" s="5465" t="s">
        <v>28</v>
      </c>
      <c r="C476" s="5475">
        <v>732</v>
      </c>
      <c r="D476" s="5479"/>
      <c r="E476" s="5479"/>
      <c r="F476" s="5481"/>
      <c r="G476" s="5481"/>
      <c r="H476" s="5501"/>
    </row>
    <row r="477" spans="1:8" hidden="1">
      <c r="A477" s="5480"/>
      <c r="B477" s="5465" t="s">
        <v>29</v>
      </c>
      <c r="C477" s="5475">
        <v>733</v>
      </c>
      <c r="D477" s="5479"/>
      <c r="E477" s="5479"/>
      <c r="F477" s="5481"/>
      <c r="G477" s="5481"/>
      <c r="H477" s="5501"/>
    </row>
    <row r="478" spans="1:8" hidden="1">
      <c r="A478" s="5480"/>
      <c r="B478" s="5465" t="s">
        <v>30</v>
      </c>
      <c r="C478" s="5475">
        <v>734</v>
      </c>
      <c r="D478" s="5479"/>
      <c r="E478" s="5479"/>
      <c r="F478" s="5481"/>
      <c r="G478" s="5481"/>
      <c r="H478" s="5501"/>
    </row>
    <row r="479" spans="1:8" hidden="1">
      <c r="A479" s="5480"/>
      <c r="B479" s="5465" t="s">
        <v>154</v>
      </c>
      <c r="C479" s="5475">
        <v>742</v>
      </c>
      <c r="D479" s="5479"/>
      <c r="E479" s="5479"/>
      <c r="F479" s="5481"/>
      <c r="G479" s="5481"/>
      <c r="H479" s="5501"/>
    </row>
    <row r="480" spans="1:8" hidden="1">
      <c r="A480" s="5480"/>
      <c r="B480" s="5465" t="s">
        <v>96</v>
      </c>
      <c r="C480" s="5475">
        <v>749</v>
      </c>
      <c r="D480" s="5479"/>
      <c r="E480" s="5479"/>
      <c r="F480" s="5481"/>
      <c r="G480" s="5481"/>
      <c r="H480" s="5501"/>
    </row>
    <row r="481" spans="1:8" hidden="1">
      <c r="A481" s="5480"/>
      <c r="B481" s="5465" t="s">
        <v>33</v>
      </c>
      <c r="C481" s="5475" t="s">
        <v>34</v>
      </c>
      <c r="D481" s="5479"/>
      <c r="E481" s="5479"/>
      <c r="F481" s="5481"/>
      <c r="G481" s="5481"/>
      <c r="H481" s="5501"/>
    </row>
    <row r="482" spans="1:8" hidden="1">
      <c r="A482" s="5480"/>
      <c r="B482" s="5465" t="s">
        <v>35</v>
      </c>
      <c r="C482" s="5475" t="s">
        <v>36</v>
      </c>
      <c r="D482" s="5479"/>
      <c r="E482" s="5479"/>
      <c r="F482" s="5481"/>
      <c r="G482" s="5481"/>
      <c r="H482" s="5501"/>
    </row>
    <row r="483" spans="1:8" hidden="1">
      <c r="A483" s="5480"/>
      <c r="B483" s="5465" t="s">
        <v>10005</v>
      </c>
      <c r="C483" s="5475" t="s">
        <v>9</v>
      </c>
      <c r="D483" s="5479"/>
      <c r="E483" s="5479"/>
      <c r="F483" s="5481"/>
      <c r="G483" s="5481"/>
      <c r="H483" s="5501"/>
    </row>
    <row r="484" spans="1:8" ht="14.25" hidden="1" customHeight="1">
      <c r="A484" s="5480"/>
      <c r="B484" s="5478" t="s">
        <v>37</v>
      </c>
      <c r="C484" s="5475"/>
      <c r="D484" s="5497">
        <f>SUM(D465:D483)</f>
        <v>0</v>
      </c>
      <c r="E484" s="5497">
        <f>SUM(E465:E483)</f>
        <v>0</v>
      </c>
      <c r="F484" s="5498"/>
      <c r="G484" s="5498"/>
      <c r="H484" s="5505">
        <f>SUM(H465:H483)</f>
        <v>0</v>
      </c>
    </row>
    <row r="485" spans="1:8" ht="16.5" customHeight="1">
      <c r="A485" s="5482"/>
      <c r="B485" s="5465" t="s">
        <v>38</v>
      </c>
      <c r="C485" s="5475"/>
      <c r="D485" s="5479"/>
      <c r="E485" s="5479"/>
      <c r="F485" s="5481"/>
      <c r="G485" s="5481"/>
      <c r="H485" s="5501"/>
    </row>
    <row r="486" spans="1:8">
      <c r="A486" s="5480"/>
      <c r="B486" s="5465" t="s">
        <v>39</v>
      </c>
      <c r="C486" s="5475"/>
      <c r="D486" s="5479">
        <v>0</v>
      </c>
      <c r="E486" s="5479">
        <v>20000</v>
      </c>
      <c r="F486" s="5607">
        <v>0</v>
      </c>
      <c r="G486" s="5608">
        <f>F486/E486</f>
        <v>0</v>
      </c>
      <c r="H486" s="5479"/>
    </row>
    <row r="487" spans="1:8" hidden="1">
      <c r="A487" s="5480"/>
      <c r="B487" s="5465" t="s">
        <v>41</v>
      </c>
      <c r="C487" s="5475"/>
      <c r="D487" s="5479"/>
      <c r="E487" s="5479"/>
      <c r="F487" s="5607"/>
      <c r="G487" s="5608"/>
      <c r="H487" s="5479"/>
    </row>
    <row r="488" spans="1:8">
      <c r="A488" s="5480"/>
      <c r="B488" s="5465" t="s">
        <v>42</v>
      </c>
      <c r="C488" s="5475"/>
      <c r="D488" s="5479">
        <v>35085.199999999997</v>
      </c>
      <c r="E488" s="5479">
        <f>4642.8+10357.2</f>
        <v>15000</v>
      </c>
      <c r="F488" s="5607">
        <v>10357.200000000001</v>
      </c>
      <c r="G488" s="5608">
        <f>F488/E488</f>
        <v>0.69048000000000009</v>
      </c>
      <c r="H488" s="5479"/>
    </row>
    <row r="489" spans="1:8" hidden="1">
      <c r="A489" s="5476"/>
      <c r="B489" s="5465" t="s">
        <v>125</v>
      </c>
      <c r="C489" s="5459"/>
      <c r="D489" s="5481"/>
      <c r="E489" s="5481"/>
      <c r="F489" s="5607"/>
      <c r="G489" s="5608"/>
      <c r="H489" s="5481"/>
    </row>
    <row r="490" spans="1:8">
      <c r="A490" s="5480"/>
      <c r="B490" s="5465" t="s">
        <v>107</v>
      </c>
      <c r="C490" s="5475"/>
      <c r="D490" s="5479">
        <v>4690.05</v>
      </c>
      <c r="E490" s="5479">
        <f>1989.04+3410.96</f>
        <v>5400</v>
      </c>
      <c r="F490" s="5607">
        <v>3410.96</v>
      </c>
      <c r="G490" s="5608">
        <f>F490/E490</f>
        <v>0.63165925925925925</v>
      </c>
      <c r="H490" s="5479"/>
    </row>
    <row r="491" spans="1:8" hidden="1">
      <c r="A491" s="5476"/>
      <c r="B491" s="5465" t="s">
        <v>10039</v>
      </c>
      <c r="C491" s="5459"/>
      <c r="D491" s="5591"/>
      <c r="E491" s="5591"/>
      <c r="F491" s="5609"/>
      <c r="G491" s="5608"/>
      <c r="H491" s="5591"/>
    </row>
    <row r="492" spans="1:8" hidden="1">
      <c r="A492" s="5476"/>
      <c r="B492" s="5465" t="s">
        <v>10008</v>
      </c>
      <c r="C492" s="5459"/>
      <c r="D492" s="5481"/>
      <c r="E492" s="5481"/>
      <c r="F492" s="5607"/>
      <c r="G492" s="5608"/>
      <c r="H492" s="5481"/>
    </row>
    <row r="493" spans="1:8" hidden="1">
      <c r="A493" s="5476"/>
      <c r="B493" s="5465" t="s">
        <v>10042</v>
      </c>
      <c r="C493" s="5459"/>
      <c r="D493" s="5481"/>
      <c r="E493" s="5481"/>
      <c r="F493" s="5607"/>
      <c r="G493" s="5608"/>
      <c r="H493" s="5481"/>
    </row>
    <row r="494" spans="1:8">
      <c r="A494" s="5480"/>
      <c r="B494" s="5465" t="s">
        <v>194</v>
      </c>
      <c r="C494" s="5475"/>
      <c r="D494" s="5479"/>
      <c r="E494" s="5479">
        <v>29600</v>
      </c>
      <c r="F494" s="5607">
        <v>0</v>
      </c>
      <c r="G494" s="5608">
        <f>F494/E494</f>
        <v>0</v>
      </c>
      <c r="H494" s="5479"/>
    </row>
    <row r="495" spans="1:8">
      <c r="A495" s="5480"/>
      <c r="B495" s="5478" t="s">
        <v>37</v>
      </c>
      <c r="C495" s="5475"/>
      <c r="D495" s="5497">
        <f>SUM(D486:D494)</f>
        <v>39775.25</v>
      </c>
      <c r="E495" s="5497">
        <f>SUM(E486:E494)</f>
        <v>70000</v>
      </c>
      <c r="F495" s="5497">
        <f>SUM(F486:F494)</f>
        <v>13768.16</v>
      </c>
      <c r="G495" s="5498"/>
      <c r="H495" s="5505">
        <f>SUM(H486:H494)</f>
        <v>0</v>
      </c>
    </row>
    <row r="496" spans="1:8" ht="16.5" customHeight="1">
      <c r="A496" s="5482" t="s">
        <v>51</v>
      </c>
      <c r="B496" s="5465" t="s">
        <v>112</v>
      </c>
      <c r="C496" s="5475"/>
      <c r="D496" s="5479"/>
      <c r="E496" s="5479"/>
      <c r="F496" s="5481"/>
      <c r="G496" s="5481"/>
      <c r="H496" s="5501"/>
    </row>
    <row r="497" spans="1:8" ht="16.5" customHeight="1">
      <c r="A497" s="5483"/>
      <c r="B497" s="5465"/>
      <c r="C497" s="5459"/>
      <c r="D497" s="5481"/>
      <c r="E497" s="5481"/>
      <c r="F497" s="5481"/>
      <c r="G497" s="5481"/>
      <c r="H497" s="5636"/>
    </row>
    <row r="498" spans="1:8" s="2654" customFormat="1" ht="16.5" customHeight="1">
      <c r="A498" s="5484"/>
      <c r="B498" s="5485" t="s">
        <v>176</v>
      </c>
      <c r="C498" s="5486"/>
      <c r="D498" s="5501">
        <v>0</v>
      </c>
      <c r="E498" s="5501"/>
      <c r="F498" s="5604"/>
      <c r="G498" s="5605"/>
      <c r="H498" s="5501"/>
    </row>
    <row r="499" spans="1:8" s="2654" customFormat="1" ht="16.5" hidden="1" customHeight="1">
      <c r="A499" s="5484"/>
      <c r="B499" s="5485" t="s">
        <v>9958</v>
      </c>
      <c r="C499" s="5486"/>
      <c r="D499" s="5502"/>
      <c r="E499" s="5502"/>
      <c r="F499" s="5604">
        <v>0</v>
      </c>
      <c r="G499" s="5605" t="e">
        <f>F499/E499</f>
        <v>#DIV/0!</v>
      </c>
      <c r="H499" s="5502"/>
    </row>
    <row r="500" spans="1:8" s="2654" customFormat="1" ht="16.5" customHeight="1">
      <c r="A500" s="5484"/>
      <c r="B500" s="5504" t="s">
        <v>195</v>
      </c>
      <c r="C500" s="5486"/>
      <c r="D500" s="5505">
        <v>0</v>
      </c>
      <c r="E500" s="5505">
        <f>SUM(E498:E499)</f>
        <v>0</v>
      </c>
      <c r="F500" s="5505">
        <f>SUM(F498:F499)</f>
        <v>0</v>
      </c>
      <c r="G500" s="5506"/>
      <c r="H500" s="5505">
        <f>SUM(H497:H499)</f>
        <v>0</v>
      </c>
    </row>
    <row r="501" spans="1:8" ht="16.5" customHeight="1">
      <c r="A501" s="5507"/>
      <c r="B501" s="5508"/>
      <c r="C501" s="5509"/>
      <c r="D501" s="5510"/>
      <c r="E501" s="5510"/>
      <c r="F501" s="5511"/>
      <c r="G501" s="5511"/>
      <c r="H501" s="5502"/>
    </row>
    <row r="502" spans="1:8" s="5460" customFormat="1" ht="16.5" customHeight="1">
      <c r="A502" s="5512"/>
      <c r="B502" s="5513" t="s">
        <v>55</v>
      </c>
      <c r="C502" s="5514"/>
      <c r="D502" s="5515">
        <f>D500+D495</f>
        <v>39775.25</v>
      </c>
      <c r="E502" s="5515">
        <f>E500+E495</f>
        <v>70000</v>
      </c>
      <c r="F502" s="5516"/>
      <c r="G502" s="5516"/>
      <c r="H502" s="6924">
        <f>H500+H495</f>
        <v>0</v>
      </c>
    </row>
    <row r="504" spans="1:8" ht="12.75" customHeight="1" thickBot="1">
      <c r="A504" s="969"/>
      <c r="B504" s="969"/>
      <c r="C504" s="969"/>
      <c r="D504" s="969"/>
      <c r="E504" s="969"/>
      <c r="F504" s="969"/>
      <c r="G504" s="969"/>
    </row>
    <row r="505" spans="1:8">
      <c r="A505" s="5578"/>
      <c r="B505" s="5579"/>
      <c r="C505" s="5580" t="s">
        <v>9</v>
      </c>
      <c r="D505" s="5581" t="s">
        <v>10</v>
      </c>
      <c r="E505" s="14004" t="s">
        <v>10046</v>
      </c>
      <c r="F505" s="14005"/>
      <c r="G505" s="14005"/>
      <c r="H505" s="14006"/>
    </row>
    <row r="506" spans="1:8" ht="14.25" customHeight="1">
      <c r="A506" s="5476"/>
      <c r="B506" s="5466" t="s">
        <v>13</v>
      </c>
      <c r="C506" s="5582" t="s">
        <v>93</v>
      </c>
      <c r="D506" s="5583" t="s">
        <v>11749</v>
      </c>
      <c r="E506" s="5468" t="s">
        <v>16</v>
      </c>
      <c r="F506" s="5491" t="s">
        <v>9985</v>
      </c>
      <c r="G506" s="5491" t="s">
        <v>10003</v>
      </c>
      <c r="H506" s="6919" t="s">
        <v>16</v>
      </c>
    </row>
    <row r="507" spans="1:8" ht="14.4" thickBot="1">
      <c r="A507" s="5584"/>
      <c r="B507" s="5585"/>
      <c r="C507" s="5586" t="s">
        <v>94</v>
      </c>
      <c r="D507" s="5493">
        <v>2017</v>
      </c>
      <c r="E507" s="5471">
        <v>2018</v>
      </c>
      <c r="F507" s="5493">
        <v>2018</v>
      </c>
      <c r="G507" s="5493" t="s">
        <v>9986</v>
      </c>
      <c r="H507" s="6920">
        <v>2019</v>
      </c>
    </row>
    <row r="508" spans="1:8" hidden="1">
      <c r="A508" s="5482" t="s">
        <v>17</v>
      </c>
      <c r="B508" s="5465" t="s">
        <v>18</v>
      </c>
      <c r="C508" s="5472"/>
      <c r="D508" s="5473"/>
      <c r="E508" s="5473"/>
      <c r="F508" s="5474"/>
      <c r="G508" s="5474"/>
      <c r="H508" s="6921"/>
    </row>
    <row r="509" spans="1:8" ht="12.75" hidden="1" customHeight="1">
      <c r="A509" s="5480"/>
      <c r="B509" s="5465" t="s">
        <v>19</v>
      </c>
      <c r="C509" s="5472"/>
      <c r="D509" s="5473"/>
      <c r="E509" s="5473"/>
      <c r="F509" s="5474"/>
      <c r="G509" s="5474"/>
      <c r="H509" s="6921"/>
    </row>
    <row r="510" spans="1:8" ht="12" hidden="1" customHeight="1">
      <c r="A510" s="5480"/>
      <c r="B510" s="5465" t="s">
        <v>20</v>
      </c>
      <c r="C510" s="5475" t="s">
        <v>190</v>
      </c>
      <c r="D510" s="5494"/>
      <c r="E510" s="5494"/>
      <c r="F510" s="5495"/>
      <c r="G510" s="5495"/>
      <c r="H510" s="6922"/>
    </row>
    <row r="511" spans="1:8" hidden="1">
      <c r="A511" s="5480"/>
      <c r="B511" s="5465" t="s">
        <v>21</v>
      </c>
      <c r="C511" s="5475">
        <v>711</v>
      </c>
      <c r="D511" s="5479"/>
      <c r="E511" s="5479"/>
      <c r="F511" s="5481"/>
      <c r="G511" s="5481"/>
      <c r="H511" s="5501"/>
    </row>
    <row r="512" spans="1:8" hidden="1">
      <c r="A512" s="5480"/>
      <c r="B512" s="5465" t="s">
        <v>104</v>
      </c>
      <c r="C512" s="5475">
        <v>713</v>
      </c>
      <c r="D512" s="5479"/>
      <c r="E512" s="5479"/>
      <c r="F512" s="5481"/>
      <c r="G512" s="5481"/>
      <c r="H512" s="5501"/>
    </row>
    <row r="513" spans="1:8" hidden="1">
      <c r="A513" s="5480"/>
      <c r="B513" s="5465" t="s">
        <v>105</v>
      </c>
      <c r="C513" s="5475">
        <v>714</v>
      </c>
      <c r="D513" s="5479"/>
      <c r="E513" s="5479"/>
      <c r="F513" s="5481"/>
      <c r="G513" s="5481"/>
      <c r="H513" s="5501"/>
    </row>
    <row r="514" spans="1:8" hidden="1">
      <c r="A514" s="5480"/>
      <c r="B514" s="5465" t="s">
        <v>22</v>
      </c>
      <c r="C514" s="5475">
        <v>715</v>
      </c>
      <c r="D514" s="5479"/>
      <c r="E514" s="5479"/>
      <c r="F514" s="5481"/>
      <c r="G514" s="5481"/>
      <c r="H514" s="5501"/>
    </row>
    <row r="515" spans="1:8" hidden="1">
      <c r="A515" s="5480"/>
      <c r="B515" s="5465" t="s">
        <v>23</v>
      </c>
      <c r="C515" s="5475">
        <v>717</v>
      </c>
      <c r="D515" s="5479"/>
      <c r="E515" s="5479"/>
      <c r="F515" s="5481"/>
      <c r="G515" s="5481"/>
      <c r="H515" s="5501"/>
    </row>
    <row r="516" spans="1:8" hidden="1">
      <c r="A516" s="5480"/>
      <c r="B516" s="5465" t="s">
        <v>24</v>
      </c>
      <c r="C516" s="5475" t="s">
        <v>25</v>
      </c>
      <c r="D516" s="5479"/>
      <c r="E516" s="5479"/>
      <c r="F516" s="5481"/>
      <c r="G516" s="5481"/>
      <c r="H516" s="5501"/>
    </row>
    <row r="517" spans="1:8" hidden="1">
      <c r="A517" s="5480"/>
      <c r="B517" s="5465" t="s">
        <v>26</v>
      </c>
      <c r="C517" s="5475">
        <v>724</v>
      </c>
      <c r="D517" s="5479"/>
      <c r="E517" s="5479"/>
      <c r="F517" s="5481"/>
      <c r="G517" s="5481"/>
      <c r="H517" s="5501"/>
    </row>
    <row r="518" spans="1:8" hidden="1">
      <c r="A518" s="5480"/>
      <c r="B518" s="5465" t="s">
        <v>27</v>
      </c>
      <c r="C518" s="5475">
        <v>725</v>
      </c>
      <c r="D518" s="5477"/>
      <c r="E518" s="5477"/>
      <c r="F518" s="5496"/>
      <c r="G518" s="5496"/>
      <c r="H518" s="6923"/>
    </row>
    <row r="519" spans="1:8" hidden="1">
      <c r="A519" s="5480"/>
      <c r="B519" s="5465" t="s">
        <v>191</v>
      </c>
      <c r="C519" s="5475">
        <v>731</v>
      </c>
      <c r="D519" s="5479"/>
      <c r="E519" s="5479"/>
      <c r="F519" s="5481"/>
      <c r="G519" s="5481"/>
      <c r="H519" s="5501"/>
    </row>
    <row r="520" spans="1:8" hidden="1">
      <c r="A520" s="5480"/>
      <c r="B520" s="5465" t="s">
        <v>28</v>
      </c>
      <c r="C520" s="5475">
        <v>732</v>
      </c>
      <c r="D520" s="5479"/>
      <c r="E520" s="5479"/>
      <c r="F520" s="5481"/>
      <c r="G520" s="5481"/>
      <c r="H520" s="5501"/>
    </row>
    <row r="521" spans="1:8" hidden="1">
      <c r="A521" s="5480"/>
      <c r="B521" s="5465" t="s">
        <v>29</v>
      </c>
      <c r="C521" s="5475">
        <v>733</v>
      </c>
      <c r="D521" s="5479"/>
      <c r="E521" s="5479"/>
      <c r="F521" s="5481"/>
      <c r="G521" s="5481"/>
      <c r="H521" s="5501"/>
    </row>
    <row r="522" spans="1:8" hidden="1">
      <c r="A522" s="5480"/>
      <c r="B522" s="5465" t="s">
        <v>30</v>
      </c>
      <c r="C522" s="5475">
        <v>734</v>
      </c>
      <c r="D522" s="5479"/>
      <c r="E522" s="5479"/>
      <c r="F522" s="5481"/>
      <c r="G522" s="5481"/>
      <c r="H522" s="5501"/>
    </row>
    <row r="523" spans="1:8" hidden="1">
      <c r="A523" s="5480"/>
      <c r="B523" s="5465" t="s">
        <v>154</v>
      </c>
      <c r="C523" s="5475">
        <v>742</v>
      </c>
      <c r="D523" s="5479"/>
      <c r="E523" s="5479"/>
      <c r="F523" s="5481"/>
      <c r="G523" s="5481"/>
      <c r="H523" s="5501"/>
    </row>
    <row r="524" spans="1:8" hidden="1">
      <c r="A524" s="5480"/>
      <c r="B524" s="5465" t="s">
        <v>96</v>
      </c>
      <c r="C524" s="5475">
        <v>749</v>
      </c>
      <c r="D524" s="5479"/>
      <c r="E524" s="5479"/>
      <c r="F524" s="5481"/>
      <c r="G524" s="5481"/>
      <c r="H524" s="5501"/>
    </row>
    <row r="525" spans="1:8" hidden="1">
      <c r="A525" s="5480"/>
      <c r="B525" s="5465" t="s">
        <v>33</v>
      </c>
      <c r="C525" s="5475" t="s">
        <v>34</v>
      </c>
      <c r="D525" s="5479"/>
      <c r="E525" s="5479"/>
      <c r="F525" s="5481"/>
      <c r="G525" s="5481"/>
      <c r="H525" s="5501"/>
    </row>
    <row r="526" spans="1:8" hidden="1">
      <c r="A526" s="5480"/>
      <c r="B526" s="5465" t="s">
        <v>35</v>
      </c>
      <c r="C526" s="5475" t="s">
        <v>36</v>
      </c>
      <c r="D526" s="5479"/>
      <c r="E526" s="5479"/>
      <c r="F526" s="5481"/>
      <c r="G526" s="5481"/>
      <c r="H526" s="5501"/>
    </row>
    <row r="527" spans="1:8" hidden="1">
      <c r="A527" s="5480"/>
      <c r="B527" s="5465" t="s">
        <v>10005</v>
      </c>
      <c r="C527" s="5475" t="s">
        <v>9</v>
      </c>
      <c r="D527" s="5479"/>
      <c r="E527" s="5479"/>
      <c r="F527" s="5481"/>
      <c r="G527" s="5481"/>
      <c r="H527" s="5501"/>
    </row>
    <row r="528" spans="1:8" ht="14.25" hidden="1" customHeight="1">
      <c r="A528" s="5480"/>
      <c r="B528" s="5478" t="s">
        <v>37</v>
      </c>
      <c r="C528" s="5475"/>
      <c r="D528" s="5497">
        <f>SUM(D509:D527)</f>
        <v>0</v>
      </c>
      <c r="E528" s="5497">
        <f>SUM(E509:E527)</f>
        <v>0</v>
      </c>
      <c r="F528" s="5498"/>
      <c r="G528" s="5498"/>
      <c r="H528" s="5505">
        <f>SUM(H509:H527)</f>
        <v>0</v>
      </c>
    </row>
    <row r="529" spans="1:8" ht="16.5" customHeight="1">
      <c r="A529" s="5482"/>
      <c r="B529" s="5465" t="s">
        <v>38</v>
      </c>
      <c r="C529" s="5475"/>
      <c r="D529" s="5479"/>
      <c r="E529" s="5479"/>
      <c r="F529" s="5481"/>
      <c r="G529" s="5481"/>
      <c r="H529" s="5501"/>
    </row>
    <row r="530" spans="1:8">
      <c r="A530" s="5480"/>
      <c r="B530" s="5465" t="s">
        <v>39</v>
      </c>
      <c r="C530" s="5475"/>
      <c r="D530" s="5479">
        <v>0</v>
      </c>
      <c r="E530" s="5479">
        <v>5000</v>
      </c>
      <c r="F530" s="5610">
        <v>0</v>
      </c>
      <c r="G530" s="5611">
        <f>F530/E530</f>
        <v>0</v>
      </c>
      <c r="H530" s="5479"/>
    </row>
    <row r="531" spans="1:8" hidden="1">
      <c r="A531" s="5480"/>
      <c r="B531" s="5465" t="s">
        <v>41</v>
      </c>
      <c r="C531" s="5475"/>
      <c r="D531" s="5479"/>
      <c r="E531" s="5479"/>
      <c r="F531" s="5610"/>
      <c r="G531" s="5611"/>
      <c r="H531" s="5479"/>
    </row>
    <row r="532" spans="1:8">
      <c r="A532" s="5480"/>
      <c r="B532" s="5465" t="s">
        <v>42</v>
      </c>
      <c r="C532" s="5475"/>
      <c r="D532" s="5479">
        <v>15000</v>
      </c>
      <c r="E532" s="5479">
        <f>10936.3+9063.7</f>
        <v>20000</v>
      </c>
      <c r="F532" s="5610">
        <v>9063.7000000000007</v>
      </c>
      <c r="G532" s="5611">
        <f>F532/E532</f>
        <v>0.45318500000000006</v>
      </c>
      <c r="H532" s="5479"/>
    </row>
    <row r="533" spans="1:8" hidden="1">
      <c r="A533" s="5476"/>
      <c r="B533" s="5465" t="s">
        <v>125</v>
      </c>
      <c r="C533" s="5459"/>
      <c r="D533" s="5481"/>
      <c r="E533" s="5481"/>
      <c r="F533" s="5610"/>
      <c r="G533" s="5611"/>
      <c r="H533" s="5481"/>
    </row>
    <row r="534" spans="1:8">
      <c r="A534" s="5480"/>
      <c r="B534" s="5465" t="s">
        <v>107</v>
      </c>
      <c r="C534" s="5475"/>
      <c r="D534" s="5479"/>
      <c r="E534" s="5479">
        <v>20000</v>
      </c>
      <c r="F534" s="5610">
        <v>0</v>
      </c>
      <c r="G534" s="5611">
        <f>F534/E534</f>
        <v>0</v>
      </c>
      <c r="H534" s="5479"/>
    </row>
    <row r="535" spans="1:8" hidden="1">
      <c r="A535" s="5476"/>
      <c r="B535" s="5465" t="s">
        <v>10039</v>
      </c>
      <c r="C535" s="5459"/>
      <c r="D535" s="5591"/>
      <c r="E535" s="5591"/>
      <c r="F535" s="5612"/>
      <c r="G535" s="5611" t="e">
        <f>F535/E535</f>
        <v>#DIV/0!</v>
      </c>
      <c r="H535" s="5591"/>
    </row>
    <row r="536" spans="1:8" hidden="1">
      <c r="A536" s="5476"/>
      <c r="B536" s="5465" t="s">
        <v>10008</v>
      </c>
      <c r="C536" s="5459"/>
      <c r="D536" s="5481"/>
      <c r="E536" s="5481"/>
      <c r="F536" s="5610"/>
      <c r="G536" s="5611" t="e">
        <f>F536/E536</f>
        <v>#DIV/0!</v>
      </c>
      <c r="H536" s="5481"/>
    </row>
    <row r="537" spans="1:8">
      <c r="A537" s="5476"/>
      <c r="B537" s="5465" t="s">
        <v>10047</v>
      </c>
      <c r="C537" s="5459"/>
      <c r="D537" s="5481"/>
      <c r="E537" s="5481">
        <v>5000</v>
      </c>
      <c r="F537" s="5610">
        <v>0</v>
      </c>
      <c r="G537" s="5611">
        <f>F537/E537</f>
        <v>0</v>
      </c>
      <c r="H537" s="5481"/>
    </row>
    <row r="538" spans="1:8">
      <c r="A538" s="5480"/>
      <c r="B538" s="5465" t="s">
        <v>194</v>
      </c>
      <c r="C538" s="5475"/>
      <c r="D538" s="5479">
        <v>11420.44</v>
      </c>
      <c r="E538" s="5479"/>
      <c r="F538" s="5610"/>
      <c r="G538" s="5611"/>
      <c r="H538" s="5479"/>
    </row>
    <row r="539" spans="1:8">
      <c r="A539" s="5480"/>
      <c r="B539" s="5478" t="s">
        <v>37</v>
      </c>
      <c r="C539" s="5475"/>
      <c r="D539" s="5497">
        <f>SUM(D530:D538)</f>
        <v>26420.440000000002</v>
      </c>
      <c r="E539" s="5497">
        <f>SUM(E530:E538)</f>
        <v>50000</v>
      </c>
      <c r="F539" s="5497">
        <f>SUM(F530:F538)</f>
        <v>9063.7000000000007</v>
      </c>
      <c r="G539" s="5498"/>
      <c r="H539" s="5505">
        <f>SUM(H530:H538)</f>
        <v>0</v>
      </c>
    </row>
    <row r="540" spans="1:8" ht="16.5" customHeight="1">
      <c r="A540" s="5482" t="s">
        <v>51</v>
      </c>
      <c r="B540" s="5465" t="s">
        <v>112</v>
      </c>
      <c r="C540" s="5475"/>
      <c r="D540" s="5479"/>
      <c r="E540" s="5479"/>
      <c r="F540" s="5481"/>
      <c r="G540" s="5481"/>
      <c r="H540" s="5501"/>
    </row>
    <row r="541" spans="1:8" s="2654" customFormat="1" ht="16.5" customHeight="1">
      <c r="A541" s="5484"/>
      <c r="B541" s="7488" t="s">
        <v>10946</v>
      </c>
      <c r="C541" s="5486"/>
      <c r="D541" s="5501">
        <v>28850</v>
      </c>
      <c r="E541" s="5501"/>
      <c r="F541" s="5610"/>
      <c r="G541" s="5611" t="e">
        <f>F541/E541</f>
        <v>#DIV/0!</v>
      </c>
      <c r="H541" s="5501"/>
    </row>
    <row r="542" spans="1:8" s="2654" customFormat="1" ht="16.5" hidden="1" customHeight="1">
      <c r="A542" s="5484"/>
      <c r="B542" s="5485" t="s">
        <v>9958</v>
      </c>
      <c r="C542" s="5486">
        <v>222</v>
      </c>
      <c r="D542" s="5502"/>
      <c r="E542" s="5502"/>
      <c r="F542" s="5604">
        <v>0</v>
      </c>
      <c r="G542" s="5605" t="e">
        <f>F542/E542</f>
        <v>#DIV/0!</v>
      </c>
      <c r="H542" s="5502"/>
    </row>
    <row r="543" spans="1:8" s="2654" customFormat="1" ht="16.5" customHeight="1">
      <c r="A543" s="5484"/>
      <c r="B543" s="5504" t="s">
        <v>195</v>
      </c>
      <c r="C543" s="5486"/>
      <c r="D543" s="5505">
        <f>SUM(D541:D542)</f>
        <v>28850</v>
      </c>
      <c r="E543" s="5505">
        <f>SUM(E541:E542)</f>
        <v>0</v>
      </c>
      <c r="F543" s="5505">
        <f>SUM(F541:F542)</f>
        <v>0</v>
      </c>
      <c r="G543" s="5506"/>
      <c r="H543" s="5505">
        <f>SUM(H541:H542)</f>
        <v>0</v>
      </c>
    </row>
    <row r="544" spans="1:8" ht="16.5" customHeight="1">
      <c r="A544" s="5507"/>
      <c r="B544" s="5508"/>
      <c r="C544" s="5509"/>
      <c r="D544" s="5510"/>
      <c r="E544" s="5510"/>
      <c r="F544" s="5511"/>
      <c r="G544" s="5511"/>
      <c r="H544" s="5502"/>
    </row>
    <row r="545" spans="1:8" s="5460" customFormat="1" ht="16.5" customHeight="1">
      <c r="A545" s="5512"/>
      <c r="B545" s="5513" t="s">
        <v>55</v>
      </c>
      <c r="C545" s="5514"/>
      <c r="D545" s="5515">
        <f>D543+D539</f>
        <v>55270.44</v>
      </c>
      <c r="E545" s="5515">
        <f>E543+E539</f>
        <v>50000</v>
      </c>
      <c r="F545" s="5516"/>
      <c r="G545" s="5516"/>
      <c r="H545" s="6924">
        <f>H543+H539</f>
        <v>0</v>
      </c>
    </row>
    <row r="547" spans="1:8" ht="12.75" customHeight="1" thickBot="1">
      <c r="A547" s="969"/>
      <c r="B547" s="969"/>
      <c r="C547" s="969"/>
      <c r="D547" s="969"/>
      <c r="E547" s="969"/>
      <c r="F547" s="969"/>
      <c r="G547" s="969"/>
    </row>
    <row r="548" spans="1:8">
      <c r="A548" s="5578"/>
      <c r="B548" s="5579"/>
      <c r="C548" s="5580" t="s">
        <v>9</v>
      </c>
      <c r="D548" s="5581" t="s">
        <v>10</v>
      </c>
      <c r="E548" s="14007" t="s">
        <v>10048</v>
      </c>
      <c r="F548" s="14008"/>
      <c r="G548" s="14008"/>
      <c r="H548" s="14009"/>
    </row>
    <row r="549" spans="1:8" ht="14.25" customHeight="1">
      <c r="A549" s="5476"/>
      <c r="B549" s="5466" t="s">
        <v>13</v>
      </c>
      <c r="C549" s="5582" t="s">
        <v>93</v>
      </c>
      <c r="D549" s="5583" t="s">
        <v>11749</v>
      </c>
      <c r="E549" s="5468" t="s">
        <v>16</v>
      </c>
      <c r="F549" s="5491" t="s">
        <v>9985</v>
      </c>
      <c r="G549" s="5491" t="s">
        <v>10003</v>
      </c>
      <c r="H549" s="6919" t="s">
        <v>16</v>
      </c>
    </row>
    <row r="550" spans="1:8" ht="14.4" thickBot="1">
      <c r="A550" s="5584"/>
      <c r="B550" s="5585"/>
      <c r="C550" s="5586" t="s">
        <v>94</v>
      </c>
      <c r="D550" s="5493">
        <v>2017</v>
      </c>
      <c r="E550" s="5471">
        <v>2018</v>
      </c>
      <c r="F550" s="5493">
        <v>2018</v>
      </c>
      <c r="G550" s="5493" t="s">
        <v>9986</v>
      </c>
      <c r="H550" s="6920">
        <v>2019</v>
      </c>
    </row>
    <row r="551" spans="1:8" hidden="1">
      <c r="A551" s="5482" t="s">
        <v>17</v>
      </c>
      <c r="B551" s="5465" t="s">
        <v>18</v>
      </c>
      <c r="C551" s="5472"/>
      <c r="D551" s="5473"/>
      <c r="E551" s="5473"/>
      <c r="F551" s="5474"/>
      <c r="G551" s="5474"/>
      <c r="H551" s="6921"/>
    </row>
    <row r="552" spans="1:8" ht="12.75" hidden="1" customHeight="1">
      <c r="A552" s="5480"/>
      <c r="B552" s="5465" t="s">
        <v>19</v>
      </c>
      <c r="C552" s="5472"/>
      <c r="D552" s="5473"/>
      <c r="E552" s="5473"/>
      <c r="F552" s="5474"/>
      <c r="G552" s="5474"/>
      <c r="H552" s="6921"/>
    </row>
    <row r="553" spans="1:8" ht="12" hidden="1" customHeight="1">
      <c r="A553" s="5480"/>
      <c r="B553" s="5465" t="s">
        <v>20</v>
      </c>
      <c r="C553" s="5475" t="s">
        <v>190</v>
      </c>
      <c r="D553" s="5494"/>
      <c r="E553" s="5494"/>
      <c r="F553" s="5495"/>
      <c r="G553" s="5495"/>
      <c r="H553" s="6922"/>
    </row>
    <row r="554" spans="1:8" hidden="1">
      <c r="A554" s="5480"/>
      <c r="B554" s="5465" t="s">
        <v>21</v>
      </c>
      <c r="C554" s="5475">
        <v>711</v>
      </c>
      <c r="D554" s="5479"/>
      <c r="E554" s="5479"/>
      <c r="F554" s="5481"/>
      <c r="G554" s="5481"/>
      <c r="H554" s="5501"/>
    </row>
    <row r="555" spans="1:8" hidden="1">
      <c r="A555" s="5480"/>
      <c r="B555" s="5465" t="s">
        <v>104</v>
      </c>
      <c r="C555" s="5475">
        <v>713</v>
      </c>
      <c r="D555" s="5479"/>
      <c r="E555" s="5479"/>
      <c r="F555" s="5481"/>
      <c r="G555" s="5481"/>
      <c r="H555" s="5501"/>
    </row>
    <row r="556" spans="1:8" hidden="1">
      <c r="A556" s="5480"/>
      <c r="B556" s="5465" t="s">
        <v>105</v>
      </c>
      <c r="C556" s="5475">
        <v>714</v>
      </c>
      <c r="D556" s="5479"/>
      <c r="E556" s="5479"/>
      <c r="F556" s="5481"/>
      <c r="G556" s="5481"/>
      <c r="H556" s="5501"/>
    </row>
    <row r="557" spans="1:8" hidden="1">
      <c r="A557" s="5480"/>
      <c r="B557" s="5465" t="s">
        <v>22</v>
      </c>
      <c r="C557" s="5475">
        <v>715</v>
      </c>
      <c r="D557" s="5479"/>
      <c r="E557" s="5479"/>
      <c r="F557" s="5481"/>
      <c r="G557" s="5481"/>
      <c r="H557" s="5501"/>
    </row>
    <row r="558" spans="1:8" hidden="1">
      <c r="A558" s="5480"/>
      <c r="B558" s="5465" t="s">
        <v>23</v>
      </c>
      <c r="C558" s="5475">
        <v>717</v>
      </c>
      <c r="D558" s="5479"/>
      <c r="E558" s="5479"/>
      <c r="F558" s="5481"/>
      <c r="G558" s="5481"/>
      <c r="H558" s="5501"/>
    </row>
    <row r="559" spans="1:8" hidden="1">
      <c r="A559" s="5480"/>
      <c r="B559" s="5465" t="s">
        <v>24</v>
      </c>
      <c r="C559" s="5475" t="s">
        <v>25</v>
      </c>
      <c r="D559" s="5479"/>
      <c r="E559" s="5479"/>
      <c r="F559" s="5481"/>
      <c r="G559" s="5481"/>
      <c r="H559" s="5501"/>
    </row>
    <row r="560" spans="1:8" hidden="1">
      <c r="A560" s="5480"/>
      <c r="B560" s="5465" t="s">
        <v>26</v>
      </c>
      <c r="C560" s="5475">
        <v>724</v>
      </c>
      <c r="D560" s="5479"/>
      <c r="E560" s="5479"/>
      <c r="F560" s="5481"/>
      <c r="G560" s="5481"/>
      <c r="H560" s="5501"/>
    </row>
    <row r="561" spans="1:8" hidden="1">
      <c r="A561" s="5480"/>
      <c r="B561" s="5465" t="s">
        <v>27</v>
      </c>
      <c r="C561" s="5475">
        <v>725</v>
      </c>
      <c r="D561" s="5477"/>
      <c r="E561" s="5477"/>
      <c r="F561" s="5496"/>
      <c r="G561" s="5496"/>
      <c r="H561" s="6923"/>
    </row>
    <row r="562" spans="1:8" hidden="1">
      <c r="A562" s="5480"/>
      <c r="B562" s="5465" t="s">
        <v>191</v>
      </c>
      <c r="C562" s="5475">
        <v>731</v>
      </c>
      <c r="D562" s="5479"/>
      <c r="E562" s="5479"/>
      <c r="F562" s="5481"/>
      <c r="G562" s="5481"/>
      <c r="H562" s="5501"/>
    </row>
    <row r="563" spans="1:8" hidden="1">
      <c r="A563" s="5480"/>
      <c r="B563" s="5465" t="s">
        <v>28</v>
      </c>
      <c r="C563" s="5475">
        <v>732</v>
      </c>
      <c r="D563" s="5479"/>
      <c r="E563" s="5479"/>
      <c r="F563" s="5481"/>
      <c r="G563" s="5481"/>
      <c r="H563" s="5501"/>
    </row>
    <row r="564" spans="1:8" hidden="1">
      <c r="A564" s="5480"/>
      <c r="B564" s="5465" t="s">
        <v>29</v>
      </c>
      <c r="C564" s="5475">
        <v>733</v>
      </c>
      <c r="D564" s="5479"/>
      <c r="E564" s="5479"/>
      <c r="F564" s="5481"/>
      <c r="G564" s="5481"/>
      <c r="H564" s="5501"/>
    </row>
    <row r="565" spans="1:8" hidden="1">
      <c r="A565" s="5480"/>
      <c r="B565" s="5465" t="s">
        <v>30</v>
      </c>
      <c r="C565" s="5475">
        <v>734</v>
      </c>
      <c r="D565" s="5479"/>
      <c r="E565" s="5479"/>
      <c r="F565" s="5481"/>
      <c r="G565" s="5481"/>
      <c r="H565" s="5501"/>
    </row>
    <row r="566" spans="1:8" hidden="1">
      <c r="A566" s="5480"/>
      <c r="B566" s="5465" t="s">
        <v>154</v>
      </c>
      <c r="C566" s="5475">
        <v>742</v>
      </c>
      <c r="D566" s="5479"/>
      <c r="E566" s="5479"/>
      <c r="F566" s="5481"/>
      <c r="G566" s="5481"/>
      <c r="H566" s="5501"/>
    </row>
    <row r="567" spans="1:8" hidden="1">
      <c r="A567" s="5480"/>
      <c r="B567" s="5465" t="s">
        <v>96</v>
      </c>
      <c r="C567" s="5475">
        <v>749</v>
      </c>
      <c r="D567" s="5479"/>
      <c r="E567" s="5479"/>
      <c r="F567" s="5481"/>
      <c r="G567" s="5481"/>
      <c r="H567" s="5501"/>
    </row>
    <row r="568" spans="1:8" hidden="1">
      <c r="A568" s="5480"/>
      <c r="B568" s="5465" t="s">
        <v>33</v>
      </c>
      <c r="C568" s="5475" t="s">
        <v>34</v>
      </c>
      <c r="D568" s="5479"/>
      <c r="E568" s="5479"/>
      <c r="F568" s="5481"/>
      <c r="G568" s="5481"/>
      <c r="H568" s="5501"/>
    </row>
    <row r="569" spans="1:8" hidden="1">
      <c r="A569" s="5480"/>
      <c r="B569" s="5465" t="s">
        <v>35</v>
      </c>
      <c r="C569" s="5475" t="s">
        <v>36</v>
      </c>
      <c r="D569" s="5479"/>
      <c r="E569" s="5479"/>
      <c r="F569" s="5481"/>
      <c r="G569" s="5481"/>
      <c r="H569" s="5501"/>
    </row>
    <row r="570" spans="1:8" hidden="1">
      <c r="A570" s="5480"/>
      <c r="B570" s="5465" t="s">
        <v>10005</v>
      </c>
      <c r="C570" s="5475" t="s">
        <v>9</v>
      </c>
      <c r="D570" s="5479"/>
      <c r="E570" s="5479"/>
      <c r="F570" s="5481"/>
      <c r="G570" s="5481"/>
      <c r="H570" s="5501"/>
    </row>
    <row r="571" spans="1:8" ht="14.25" hidden="1" customHeight="1">
      <c r="A571" s="5480"/>
      <c r="B571" s="5478" t="s">
        <v>37</v>
      </c>
      <c r="C571" s="5475"/>
      <c r="D571" s="5497">
        <f>SUM(D552:D570)</f>
        <v>0</v>
      </c>
      <c r="E571" s="5497">
        <f>SUM(E552:E570)</f>
        <v>0</v>
      </c>
      <c r="F571" s="5498"/>
      <c r="G571" s="5498"/>
      <c r="H571" s="5505">
        <f>SUM(H552:H570)</f>
        <v>0</v>
      </c>
    </row>
    <row r="572" spans="1:8" ht="16.5" customHeight="1">
      <c r="A572" s="5482"/>
      <c r="B572" s="5465" t="s">
        <v>38</v>
      </c>
      <c r="C572" s="5475"/>
      <c r="D572" s="5479"/>
      <c r="E572" s="5479"/>
      <c r="F572" s="5481"/>
      <c r="G572" s="5481"/>
      <c r="H572" s="5501"/>
    </row>
    <row r="573" spans="1:8" hidden="1">
      <c r="A573" s="5480"/>
      <c r="B573" s="5465" t="s">
        <v>39</v>
      </c>
      <c r="C573" s="5475"/>
      <c r="D573" s="5479"/>
      <c r="E573" s="5479"/>
      <c r="F573" s="5610"/>
      <c r="G573" s="5611" t="e">
        <f>F573/E573</f>
        <v>#DIV/0!</v>
      </c>
      <c r="H573" s="5501"/>
    </row>
    <row r="574" spans="1:8" hidden="1">
      <c r="A574" s="5480"/>
      <c r="B574" s="5465" t="s">
        <v>41</v>
      </c>
      <c r="C574" s="5475"/>
      <c r="D574" s="5479"/>
      <c r="E574" s="5479"/>
      <c r="F574" s="5610"/>
      <c r="G574" s="5611"/>
      <c r="H574" s="5501"/>
    </row>
    <row r="575" spans="1:8">
      <c r="A575" s="5480"/>
      <c r="B575" s="5465" t="s">
        <v>42</v>
      </c>
      <c r="C575" s="5475"/>
      <c r="D575" s="5479">
        <v>6077.25</v>
      </c>
      <c r="E575" s="5479">
        <v>12660</v>
      </c>
      <c r="F575" s="5613">
        <v>12660</v>
      </c>
      <c r="G575" s="5614">
        <f>F575/E575</f>
        <v>1</v>
      </c>
      <c r="H575" s="5501"/>
    </row>
    <row r="576" spans="1:8" hidden="1">
      <c r="A576" s="5476"/>
      <c r="B576" s="5465" t="s">
        <v>125</v>
      </c>
      <c r="C576" s="5459"/>
      <c r="D576" s="5481"/>
      <c r="E576" s="5481"/>
      <c r="F576" s="5613"/>
      <c r="G576" s="5614"/>
      <c r="H576" s="5636"/>
    </row>
    <row r="577" spans="1:8" hidden="1">
      <c r="A577" s="5480"/>
      <c r="B577" s="5465" t="s">
        <v>107</v>
      </c>
      <c r="C577" s="5475"/>
      <c r="D577" s="5479"/>
      <c r="E577" s="5479"/>
      <c r="F577" s="5613"/>
      <c r="G577" s="5614" t="e">
        <f>F577/E577</f>
        <v>#DIV/0!</v>
      </c>
      <c r="H577" s="5501"/>
    </row>
    <row r="578" spans="1:8" hidden="1">
      <c r="A578" s="5476"/>
      <c r="B578" s="5465" t="s">
        <v>10039</v>
      </c>
      <c r="C578" s="5459"/>
      <c r="D578" s="5591"/>
      <c r="E578" s="5591"/>
      <c r="F578" s="5615"/>
      <c r="G578" s="5614" t="e">
        <f>F578/E578</f>
        <v>#DIV/0!</v>
      </c>
      <c r="H578" s="6930"/>
    </row>
    <row r="579" spans="1:8" hidden="1">
      <c r="A579" s="5476"/>
      <c r="B579" s="5465" t="s">
        <v>10008</v>
      </c>
      <c r="C579" s="5459"/>
      <c r="D579" s="5481"/>
      <c r="E579" s="5481"/>
      <c r="F579" s="5613"/>
      <c r="G579" s="5614" t="e">
        <f>F579/E579</f>
        <v>#DIV/0!</v>
      </c>
      <c r="H579" s="5636"/>
    </row>
    <row r="580" spans="1:8" hidden="1">
      <c r="A580" s="5476"/>
      <c r="B580" s="5465" t="s">
        <v>10047</v>
      </c>
      <c r="C580" s="5459"/>
      <c r="D580" s="5481"/>
      <c r="E580" s="5481"/>
      <c r="F580" s="5613"/>
      <c r="G580" s="5614" t="e">
        <f>F580/E580</f>
        <v>#DIV/0!</v>
      </c>
      <c r="H580" s="5636"/>
    </row>
    <row r="581" spans="1:8" s="7025" customFormat="1" ht="27" customHeight="1">
      <c r="A581" s="7018"/>
      <c r="B581" s="7019" t="s">
        <v>194</v>
      </c>
      <c r="C581" s="7020"/>
      <c r="D581" s="7021">
        <v>0</v>
      </c>
      <c r="E581" s="7021">
        <f>15340+10000</f>
        <v>25340</v>
      </c>
      <c r="F581" s="7022">
        <v>10000</v>
      </c>
      <c r="G581" s="7023">
        <f>F581/E581</f>
        <v>0.39463299131807417</v>
      </c>
      <c r="H581" s="7021"/>
    </row>
    <row r="582" spans="1:8">
      <c r="A582" s="5480"/>
      <c r="B582" s="5478" t="s">
        <v>37</v>
      </c>
      <c r="C582" s="5475"/>
      <c r="D582" s="5497">
        <f>SUM(D573:D581)</f>
        <v>6077.25</v>
      </c>
      <c r="E582" s="5497">
        <f>SUM(E573:E581)</f>
        <v>38000</v>
      </c>
      <c r="F582" s="5497">
        <f>SUM(F573:F581)</f>
        <v>22660</v>
      </c>
      <c r="G582" s="5498"/>
      <c r="H582" s="5505">
        <f>SUM(H573:H581)</f>
        <v>0</v>
      </c>
    </row>
    <row r="583" spans="1:8" ht="16.5" customHeight="1">
      <c r="A583" s="5482" t="s">
        <v>51</v>
      </c>
      <c r="B583" s="5465" t="s">
        <v>112</v>
      </c>
      <c r="C583" s="5475"/>
      <c r="D583" s="5479"/>
      <c r="E583" s="5479"/>
      <c r="F583" s="5481"/>
      <c r="G583" s="5481"/>
      <c r="H583" s="5501"/>
    </row>
    <row r="584" spans="1:8" ht="16.5" customHeight="1">
      <c r="A584" s="5483"/>
      <c r="B584" s="5465"/>
      <c r="C584" s="5459"/>
      <c r="D584" s="5481"/>
      <c r="E584" s="5481"/>
      <c r="F584" s="5481"/>
      <c r="G584" s="5481"/>
      <c r="H584" s="5636"/>
    </row>
    <row r="585" spans="1:8" s="2654" customFormat="1" ht="16.5" customHeight="1">
      <c r="A585" s="5484"/>
      <c r="B585" s="7488" t="s">
        <v>10946</v>
      </c>
      <c r="C585" s="5486"/>
      <c r="D585" s="5501">
        <v>32159</v>
      </c>
      <c r="E585" s="5501">
        <v>0</v>
      </c>
      <c r="F585" s="5613">
        <v>0</v>
      </c>
      <c r="G585" s="5614" t="e">
        <f>F585/E585</f>
        <v>#DIV/0!</v>
      </c>
      <c r="H585" s="5501"/>
    </row>
    <row r="586" spans="1:8" s="2654" customFormat="1" ht="16.5" customHeight="1">
      <c r="A586" s="5484"/>
      <c r="B586" s="5485"/>
      <c r="C586" s="5486"/>
      <c r="D586" s="5502"/>
      <c r="E586" s="5502"/>
      <c r="F586" s="5636"/>
      <c r="G586" s="5637"/>
      <c r="H586" s="5502"/>
    </row>
    <row r="587" spans="1:8" s="2654" customFormat="1" ht="16.5" customHeight="1">
      <c r="A587" s="5484"/>
      <c r="B587" s="5504" t="s">
        <v>195</v>
      </c>
      <c r="C587" s="5486"/>
      <c r="D587" s="5505">
        <f>SUM(D585:D586)</f>
        <v>32159</v>
      </c>
      <c r="E587" s="5505">
        <f>SUM(E585:E586)</f>
        <v>0</v>
      </c>
      <c r="F587" s="5505">
        <f>SUM(F585:F586)</f>
        <v>0</v>
      </c>
      <c r="G587" s="5506"/>
      <c r="H587" s="5505">
        <f>SUM(H584:H586)</f>
        <v>0</v>
      </c>
    </row>
    <row r="588" spans="1:8" ht="16.5" customHeight="1">
      <c r="A588" s="5507"/>
      <c r="B588" s="5508"/>
      <c r="C588" s="5509"/>
      <c r="D588" s="5510"/>
      <c r="E588" s="5510"/>
      <c r="F588" s="5511"/>
      <c r="G588" s="5511"/>
      <c r="H588" s="5502"/>
    </row>
    <row r="589" spans="1:8" s="5460" customFormat="1" ht="16.5" customHeight="1">
      <c r="A589" s="5512"/>
      <c r="B589" s="5513" t="s">
        <v>55</v>
      </c>
      <c r="C589" s="5514"/>
      <c r="D589" s="5515">
        <f>D587+D582</f>
        <v>38236.25</v>
      </c>
      <c r="E589" s="5515">
        <f>E587+E582</f>
        <v>38000</v>
      </c>
      <c r="F589" s="5516"/>
      <c r="G589" s="5516"/>
      <c r="H589" s="6924">
        <f>H587+H582</f>
        <v>0</v>
      </c>
    </row>
    <row r="592" spans="1:8" ht="12.75" customHeight="1" thickBot="1">
      <c r="A592" s="969"/>
      <c r="B592" s="969"/>
      <c r="C592" s="969"/>
      <c r="D592" s="969"/>
      <c r="E592" s="969"/>
      <c r="F592" s="969"/>
      <c r="G592" s="969"/>
    </row>
    <row r="593" spans="1:8">
      <c r="A593" s="5578"/>
      <c r="B593" s="5579"/>
      <c r="C593" s="5580" t="s">
        <v>9</v>
      </c>
      <c r="D593" s="5581" t="s">
        <v>10</v>
      </c>
      <c r="E593" s="14034" t="s">
        <v>10049</v>
      </c>
      <c r="F593" s="14035"/>
      <c r="G593" s="14035"/>
      <c r="H593" s="14036"/>
    </row>
    <row r="594" spans="1:8" ht="14.25" customHeight="1">
      <c r="A594" s="5476"/>
      <c r="B594" s="5466" t="s">
        <v>13</v>
      </c>
      <c r="C594" s="5582" t="s">
        <v>93</v>
      </c>
      <c r="D594" s="5583" t="s">
        <v>11749</v>
      </c>
      <c r="E594" s="5468" t="s">
        <v>16</v>
      </c>
      <c r="F594" s="5491" t="s">
        <v>9985</v>
      </c>
      <c r="G594" s="5491" t="s">
        <v>10003</v>
      </c>
      <c r="H594" s="6919" t="s">
        <v>16</v>
      </c>
    </row>
    <row r="595" spans="1:8" ht="14.4" thickBot="1">
      <c r="A595" s="5584"/>
      <c r="B595" s="5585"/>
      <c r="C595" s="5586" t="s">
        <v>94</v>
      </c>
      <c r="D595" s="5493">
        <v>2017</v>
      </c>
      <c r="E595" s="5471">
        <v>2018</v>
      </c>
      <c r="F595" s="5493">
        <v>2018</v>
      </c>
      <c r="G595" s="5493" t="s">
        <v>9986</v>
      </c>
      <c r="H595" s="6920">
        <v>2019</v>
      </c>
    </row>
    <row r="596" spans="1:8" hidden="1">
      <c r="A596" s="5482" t="s">
        <v>17</v>
      </c>
      <c r="B596" s="5465" t="s">
        <v>18</v>
      </c>
      <c r="C596" s="5472"/>
      <c r="D596" s="5473"/>
      <c r="E596" s="5473"/>
      <c r="F596" s="5474"/>
      <c r="G596" s="5474"/>
      <c r="H596" s="6921"/>
    </row>
    <row r="597" spans="1:8" ht="12.75" hidden="1" customHeight="1">
      <c r="A597" s="5480"/>
      <c r="B597" s="5465" t="s">
        <v>19</v>
      </c>
      <c r="C597" s="5472"/>
      <c r="D597" s="5473"/>
      <c r="E597" s="5473"/>
      <c r="F597" s="5474"/>
      <c r="G597" s="5474"/>
      <c r="H597" s="6921"/>
    </row>
    <row r="598" spans="1:8" ht="12" hidden="1" customHeight="1">
      <c r="A598" s="5480"/>
      <c r="B598" s="5465" t="s">
        <v>20</v>
      </c>
      <c r="C598" s="5475" t="s">
        <v>190</v>
      </c>
      <c r="D598" s="5494"/>
      <c r="E598" s="5494"/>
      <c r="F598" s="5495"/>
      <c r="G598" s="5495"/>
      <c r="H598" s="6922"/>
    </row>
    <row r="599" spans="1:8" hidden="1">
      <c r="A599" s="5480"/>
      <c r="B599" s="5465" t="s">
        <v>21</v>
      </c>
      <c r="C599" s="5475">
        <v>711</v>
      </c>
      <c r="D599" s="5479"/>
      <c r="E599" s="5479"/>
      <c r="F599" s="5481"/>
      <c r="G599" s="5481"/>
      <c r="H599" s="5501"/>
    </row>
    <row r="600" spans="1:8" hidden="1">
      <c r="A600" s="5480"/>
      <c r="B600" s="5465" t="s">
        <v>104</v>
      </c>
      <c r="C600" s="5475">
        <v>713</v>
      </c>
      <c r="D600" s="5479"/>
      <c r="E600" s="5479"/>
      <c r="F600" s="5481"/>
      <c r="G600" s="5481"/>
      <c r="H600" s="5501"/>
    </row>
    <row r="601" spans="1:8" hidden="1">
      <c r="A601" s="5480"/>
      <c r="B601" s="5465" t="s">
        <v>105</v>
      </c>
      <c r="C601" s="5475">
        <v>714</v>
      </c>
      <c r="D601" s="5479"/>
      <c r="E601" s="5479"/>
      <c r="F601" s="5481"/>
      <c r="G601" s="5481"/>
      <c r="H601" s="5501"/>
    </row>
    <row r="602" spans="1:8" hidden="1">
      <c r="A602" s="5480"/>
      <c r="B602" s="5465" t="s">
        <v>22</v>
      </c>
      <c r="C602" s="5475">
        <v>715</v>
      </c>
      <c r="D602" s="5479"/>
      <c r="E602" s="5479"/>
      <c r="F602" s="5481"/>
      <c r="G602" s="5481"/>
      <c r="H602" s="5501"/>
    </row>
    <row r="603" spans="1:8" hidden="1">
      <c r="A603" s="5480"/>
      <c r="B603" s="5465" t="s">
        <v>23</v>
      </c>
      <c r="C603" s="5475">
        <v>717</v>
      </c>
      <c r="D603" s="5479"/>
      <c r="E603" s="5479"/>
      <c r="F603" s="5481"/>
      <c r="G603" s="5481"/>
      <c r="H603" s="5501"/>
    </row>
    <row r="604" spans="1:8" hidden="1">
      <c r="A604" s="5480"/>
      <c r="B604" s="5465" t="s">
        <v>24</v>
      </c>
      <c r="C604" s="5475" t="s">
        <v>25</v>
      </c>
      <c r="D604" s="5479"/>
      <c r="E604" s="5479"/>
      <c r="F604" s="5481"/>
      <c r="G604" s="5481"/>
      <c r="H604" s="5501"/>
    </row>
    <row r="605" spans="1:8" hidden="1">
      <c r="A605" s="5480"/>
      <c r="B605" s="5465" t="s">
        <v>26</v>
      </c>
      <c r="C605" s="5475">
        <v>724</v>
      </c>
      <c r="D605" s="5479"/>
      <c r="E605" s="5479"/>
      <c r="F605" s="5481"/>
      <c r="G605" s="5481"/>
      <c r="H605" s="5501"/>
    </row>
    <row r="606" spans="1:8" hidden="1">
      <c r="A606" s="5480"/>
      <c r="B606" s="5465" t="s">
        <v>27</v>
      </c>
      <c r="C606" s="5475">
        <v>725</v>
      </c>
      <c r="D606" s="5477"/>
      <c r="E606" s="5477"/>
      <c r="F606" s="5496"/>
      <c r="G606" s="5496"/>
      <c r="H606" s="6923"/>
    </row>
    <row r="607" spans="1:8" hidden="1">
      <c r="A607" s="5480"/>
      <c r="B607" s="5465" t="s">
        <v>191</v>
      </c>
      <c r="C607" s="5475">
        <v>731</v>
      </c>
      <c r="D607" s="5479"/>
      <c r="E607" s="5479"/>
      <c r="F607" s="5481"/>
      <c r="G607" s="5481"/>
      <c r="H607" s="5501"/>
    </row>
    <row r="608" spans="1:8" hidden="1">
      <c r="A608" s="5480"/>
      <c r="B608" s="5465" t="s">
        <v>28</v>
      </c>
      <c r="C608" s="5475">
        <v>732</v>
      </c>
      <c r="D608" s="5479"/>
      <c r="E608" s="5479"/>
      <c r="F608" s="5481"/>
      <c r="G608" s="5481"/>
      <c r="H608" s="5501"/>
    </row>
    <row r="609" spans="1:8" hidden="1">
      <c r="A609" s="5480"/>
      <c r="B609" s="5465" t="s">
        <v>29</v>
      </c>
      <c r="C609" s="5475">
        <v>733</v>
      </c>
      <c r="D609" s="5479"/>
      <c r="E609" s="5479"/>
      <c r="F609" s="5481"/>
      <c r="G609" s="5481"/>
      <c r="H609" s="5501"/>
    </row>
    <row r="610" spans="1:8" hidden="1">
      <c r="A610" s="5480"/>
      <c r="B610" s="5465" t="s">
        <v>30</v>
      </c>
      <c r="C610" s="5475">
        <v>734</v>
      </c>
      <c r="D610" s="5479"/>
      <c r="E610" s="5479"/>
      <c r="F610" s="5481"/>
      <c r="G610" s="5481"/>
      <c r="H610" s="5501"/>
    </row>
    <row r="611" spans="1:8" hidden="1">
      <c r="A611" s="5480"/>
      <c r="B611" s="5465" t="s">
        <v>154</v>
      </c>
      <c r="C611" s="5475">
        <v>742</v>
      </c>
      <c r="D611" s="5479"/>
      <c r="E611" s="5479"/>
      <c r="F611" s="5481"/>
      <c r="G611" s="5481"/>
      <c r="H611" s="5501"/>
    </row>
    <row r="612" spans="1:8" hidden="1">
      <c r="A612" s="5480"/>
      <c r="B612" s="5465" t="s">
        <v>96</v>
      </c>
      <c r="C612" s="5475">
        <v>749</v>
      </c>
      <c r="D612" s="5479"/>
      <c r="E612" s="5479"/>
      <c r="F612" s="5481"/>
      <c r="G612" s="5481"/>
      <c r="H612" s="5501"/>
    </row>
    <row r="613" spans="1:8" hidden="1">
      <c r="A613" s="5480"/>
      <c r="B613" s="5465" t="s">
        <v>33</v>
      </c>
      <c r="C613" s="5475" t="s">
        <v>34</v>
      </c>
      <c r="D613" s="5479"/>
      <c r="E613" s="5479"/>
      <c r="F613" s="5481"/>
      <c r="G613" s="5481"/>
      <c r="H613" s="5501"/>
    </row>
    <row r="614" spans="1:8" hidden="1">
      <c r="A614" s="5480"/>
      <c r="B614" s="5465" t="s">
        <v>35</v>
      </c>
      <c r="C614" s="5475" t="s">
        <v>36</v>
      </c>
      <c r="D614" s="5479"/>
      <c r="E614" s="5479"/>
      <c r="F614" s="5481"/>
      <c r="G614" s="5481"/>
      <c r="H614" s="5501"/>
    </row>
    <row r="615" spans="1:8" hidden="1">
      <c r="A615" s="5480"/>
      <c r="B615" s="5465" t="s">
        <v>10005</v>
      </c>
      <c r="C615" s="5475" t="s">
        <v>9</v>
      </c>
      <c r="D615" s="5479"/>
      <c r="E615" s="5479"/>
      <c r="F615" s="5481"/>
      <c r="G615" s="5481"/>
      <c r="H615" s="5501"/>
    </row>
    <row r="616" spans="1:8" ht="14.25" hidden="1" customHeight="1">
      <c r="A616" s="5480"/>
      <c r="B616" s="5478" t="s">
        <v>37</v>
      </c>
      <c r="C616" s="5475"/>
      <c r="D616" s="5497">
        <f>SUM(D597:D615)</f>
        <v>0</v>
      </c>
      <c r="E616" s="5497">
        <f>SUM(E597:E615)</f>
        <v>0</v>
      </c>
      <c r="F616" s="5498"/>
      <c r="G616" s="5498"/>
      <c r="H616" s="5505">
        <f>SUM(H597:H615)</f>
        <v>0</v>
      </c>
    </row>
    <row r="617" spans="1:8" ht="16.5" customHeight="1">
      <c r="A617" s="5482"/>
      <c r="B617" s="5465" t="s">
        <v>38</v>
      </c>
      <c r="C617" s="5475"/>
      <c r="D617" s="5479"/>
      <c r="E617" s="5479"/>
      <c r="F617" s="5481"/>
      <c r="G617" s="5481"/>
      <c r="H617" s="5501"/>
    </row>
    <row r="618" spans="1:8" hidden="1">
      <c r="A618" s="5480"/>
      <c r="B618" s="5465" t="s">
        <v>39</v>
      </c>
      <c r="C618" s="5475"/>
      <c r="D618" s="5479"/>
      <c r="E618" s="5479"/>
      <c r="F618" s="5616"/>
      <c r="G618" s="5617" t="e">
        <f>F618/E618</f>
        <v>#DIV/0!</v>
      </c>
      <c r="H618" s="5501"/>
    </row>
    <row r="619" spans="1:8" hidden="1">
      <c r="A619" s="5480"/>
      <c r="B619" s="5465" t="s">
        <v>41</v>
      </c>
      <c r="C619" s="5475"/>
      <c r="D619" s="5479"/>
      <c r="E619" s="5479"/>
      <c r="F619" s="5616"/>
      <c r="G619" s="5617"/>
      <c r="H619" s="5501"/>
    </row>
    <row r="620" spans="1:8">
      <c r="A620" s="5480"/>
      <c r="B620" s="5465" t="s">
        <v>42</v>
      </c>
      <c r="C620" s="5475"/>
      <c r="D620" s="5479">
        <v>34508.300000000003</v>
      </c>
      <c r="E620" s="5479">
        <f>11346.05+28653.95</f>
        <v>40000</v>
      </c>
      <c r="F620" s="5616">
        <v>28653.95</v>
      </c>
      <c r="G620" s="5617">
        <f>F620/E620</f>
        <v>0.71634874999999998</v>
      </c>
      <c r="H620" s="5501"/>
    </row>
    <row r="621" spans="1:8" hidden="1">
      <c r="A621" s="5476"/>
      <c r="B621" s="5465" t="s">
        <v>125</v>
      </c>
      <c r="C621" s="5459"/>
      <c r="D621" s="5481"/>
      <c r="E621" s="5481"/>
      <c r="F621" s="5616"/>
      <c r="G621" s="5617"/>
      <c r="H621" s="5636"/>
    </row>
    <row r="622" spans="1:8" hidden="1">
      <c r="A622" s="5480"/>
      <c r="B622" s="5465" t="s">
        <v>107</v>
      </c>
      <c r="C622" s="5475"/>
      <c r="D622" s="5479"/>
      <c r="E622" s="5479"/>
      <c r="F622" s="5616"/>
      <c r="G622" s="5617" t="e">
        <f>F622/E622</f>
        <v>#DIV/0!</v>
      </c>
      <c r="H622" s="5501"/>
    </row>
    <row r="623" spans="1:8" hidden="1">
      <c r="A623" s="5476"/>
      <c r="B623" s="5465" t="s">
        <v>10039</v>
      </c>
      <c r="C623" s="5459"/>
      <c r="D623" s="5591"/>
      <c r="E623" s="5591"/>
      <c r="F623" s="5618"/>
      <c r="G623" s="5617" t="e">
        <f>F623/E623</f>
        <v>#DIV/0!</v>
      </c>
      <c r="H623" s="6930"/>
    </row>
    <row r="624" spans="1:8" hidden="1">
      <c r="A624" s="5476"/>
      <c r="B624" s="5465" t="s">
        <v>10008</v>
      </c>
      <c r="C624" s="5459"/>
      <c r="D624" s="5481"/>
      <c r="E624" s="5481"/>
      <c r="F624" s="5616"/>
      <c r="G624" s="5617" t="e">
        <f>F624/E624</f>
        <v>#DIV/0!</v>
      </c>
      <c r="H624" s="5636"/>
    </row>
    <row r="625" spans="1:8" hidden="1">
      <c r="A625" s="5476"/>
      <c r="B625" s="5465" t="s">
        <v>10047</v>
      </c>
      <c r="C625" s="5459"/>
      <c r="D625" s="5481"/>
      <c r="E625" s="5481"/>
      <c r="F625" s="5616">
        <v>0</v>
      </c>
      <c r="G625" s="5617" t="e">
        <f>F625/E625</f>
        <v>#DIV/0!</v>
      </c>
      <c r="H625" s="5636"/>
    </row>
    <row r="626" spans="1:8" s="7025" customFormat="1" ht="23.25" customHeight="1">
      <c r="A626" s="7018"/>
      <c r="B626" s="7019" t="s">
        <v>194</v>
      </c>
      <c r="C626" s="7020"/>
      <c r="D626" s="7021">
        <v>0</v>
      </c>
      <c r="E626" s="7021">
        <f>25000+5000</f>
        <v>30000</v>
      </c>
      <c r="F626" s="7036">
        <v>5000</v>
      </c>
      <c r="G626" s="7037">
        <f>F626/E626</f>
        <v>0.16666666666666666</v>
      </c>
      <c r="H626" s="7021"/>
    </row>
    <row r="627" spans="1:8">
      <c r="A627" s="5480"/>
      <c r="B627" s="5478" t="s">
        <v>37</v>
      </c>
      <c r="C627" s="5475"/>
      <c r="D627" s="5497">
        <f>SUM(D618:D626)</f>
        <v>34508.300000000003</v>
      </c>
      <c r="E627" s="5497">
        <f>SUM(E618:E626)</f>
        <v>70000</v>
      </c>
      <c r="F627" s="5497">
        <f>SUM(F618:F626)</f>
        <v>33653.949999999997</v>
      </c>
      <c r="G627" s="5498"/>
      <c r="H627" s="5505">
        <f>SUM(H618:H626)</f>
        <v>0</v>
      </c>
    </row>
    <row r="628" spans="1:8" ht="16.5" customHeight="1">
      <c r="A628" s="5482" t="s">
        <v>51</v>
      </c>
      <c r="B628" s="5465" t="s">
        <v>112</v>
      </c>
      <c r="C628" s="5475"/>
      <c r="D628" s="5479"/>
      <c r="E628" s="5479"/>
      <c r="F628" s="5481"/>
      <c r="G628" s="5481"/>
      <c r="H628" s="5501"/>
    </row>
    <row r="629" spans="1:8" ht="16.5" hidden="1" customHeight="1">
      <c r="A629" s="5483"/>
      <c r="B629" s="5465"/>
      <c r="C629" s="5459"/>
      <c r="D629" s="5481"/>
      <c r="E629" s="5481"/>
      <c r="F629" s="5481"/>
      <c r="G629" s="5481"/>
      <c r="H629" s="5636"/>
    </row>
    <row r="630" spans="1:8" s="2654" customFormat="1" ht="16.5" hidden="1" customHeight="1">
      <c r="A630" s="5484"/>
      <c r="B630" s="5485" t="s">
        <v>176</v>
      </c>
      <c r="C630" s="5486">
        <v>221</v>
      </c>
      <c r="D630" s="5501"/>
      <c r="E630" s="5501"/>
      <c r="F630" s="5610">
        <v>0</v>
      </c>
      <c r="G630" s="5611" t="e">
        <f>F630/E630</f>
        <v>#DIV/0!</v>
      </c>
      <c r="H630" s="5501"/>
    </row>
    <row r="631" spans="1:8" s="2654" customFormat="1" ht="16.5" hidden="1" customHeight="1">
      <c r="A631" s="5484"/>
      <c r="B631" s="5485" t="s">
        <v>9958</v>
      </c>
      <c r="C631" s="5486">
        <v>222</v>
      </c>
      <c r="D631" s="5502"/>
      <c r="E631" s="5502"/>
      <c r="F631" s="5604">
        <v>0</v>
      </c>
      <c r="G631" s="5605" t="e">
        <f>F631/E631</f>
        <v>#DIV/0!</v>
      </c>
      <c r="H631" s="5502"/>
    </row>
    <row r="632" spans="1:8" s="2654" customFormat="1" ht="16.5" hidden="1" customHeight="1">
      <c r="A632" s="5484"/>
      <c r="B632" s="5504" t="s">
        <v>195</v>
      </c>
      <c r="C632" s="5486"/>
      <c r="D632" s="5505">
        <v>0</v>
      </c>
      <c r="E632" s="5505">
        <f>SUM(E630:E631)</f>
        <v>0</v>
      </c>
      <c r="F632" s="5505">
        <f>SUM(F630:F631)</f>
        <v>0</v>
      </c>
      <c r="G632" s="5506"/>
      <c r="H632" s="5505">
        <f>SUM(H629:H631)</f>
        <v>0</v>
      </c>
    </row>
    <row r="633" spans="1:8" ht="16.5" customHeight="1">
      <c r="A633" s="5507"/>
      <c r="B633" s="5508"/>
      <c r="C633" s="5509"/>
      <c r="D633" s="5510"/>
      <c r="E633" s="5510"/>
      <c r="F633" s="5511"/>
      <c r="G633" s="5511"/>
      <c r="H633" s="5502"/>
    </row>
    <row r="634" spans="1:8" s="5460" customFormat="1" ht="16.5" customHeight="1">
      <c r="A634" s="5512"/>
      <c r="B634" s="5513" t="s">
        <v>55</v>
      </c>
      <c r="C634" s="5514"/>
      <c r="D634" s="5515">
        <f>D632+D627</f>
        <v>34508.300000000003</v>
      </c>
      <c r="E634" s="5515">
        <f>E632+E627</f>
        <v>70000</v>
      </c>
      <c r="F634" s="5516"/>
      <c r="G634" s="5516"/>
      <c r="H634" s="6924">
        <f>H632+H627</f>
        <v>0</v>
      </c>
    </row>
    <row r="637" spans="1:8" ht="12.75" customHeight="1" thickBot="1">
      <c r="A637" s="969"/>
      <c r="B637" s="969"/>
      <c r="C637" s="969"/>
      <c r="D637" s="969"/>
      <c r="E637" s="969"/>
      <c r="F637" s="969"/>
      <c r="G637" s="969"/>
    </row>
    <row r="638" spans="1:8">
      <c r="A638" s="5578"/>
      <c r="B638" s="5579"/>
      <c r="C638" s="5580" t="s">
        <v>9</v>
      </c>
      <c r="D638" s="5581" t="s">
        <v>10</v>
      </c>
      <c r="E638" s="14019" t="s">
        <v>10062</v>
      </c>
      <c r="F638" s="14020"/>
      <c r="G638" s="14020"/>
      <c r="H638" s="14021"/>
    </row>
    <row r="639" spans="1:8" ht="14.25" customHeight="1">
      <c r="A639" s="5476"/>
      <c r="B639" s="5466" t="s">
        <v>13</v>
      </c>
      <c r="C639" s="5582" t="s">
        <v>93</v>
      </c>
      <c r="D639" s="5583" t="s">
        <v>11749</v>
      </c>
      <c r="E639" s="5468" t="s">
        <v>16</v>
      </c>
      <c r="F639" s="5491" t="s">
        <v>9985</v>
      </c>
      <c r="G639" s="5491" t="s">
        <v>10003</v>
      </c>
      <c r="H639" s="6919" t="s">
        <v>16</v>
      </c>
    </row>
    <row r="640" spans="1:8" ht="14.4" thickBot="1">
      <c r="A640" s="5584"/>
      <c r="B640" s="5585"/>
      <c r="C640" s="5586" t="s">
        <v>94</v>
      </c>
      <c r="D640" s="5493">
        <v>2017</v>
      </c>
      <c r="E640" s="5471">
        <v>2018</v>
      </c>
      <c r="F640" s="5493">
        <v>2018</v>
      </c>
      <c r="G640" s="5493" t="s">
        <v>9986</v>
      </c>
      <c r="H640" s="6920">
        <v>2019</v>
      </c>
    </row>
    <row r="641" spans="1:8" hidden="1">
      <c r="A641" s="5482" t="s">
        <v>17</v>
      </c>
      <c r="B641" s="5465" t="s">
        <v>18</v>
      </c>
      <c r="C641" s="5472"/>
      <c r="D641" s="5473"/>
      <c r="E641" s="5473"/>
      <c r="F641" s="5474"/>
      <c r="G641" s="5474"/>
      <c r="H641" s="6921"/>
    </row>
    <row r="642" spans="1:8" ht="12.75" hidden="1" customHeight="1">
      <c r="A642" s="5480"/>
      <c r="B642" s="5465" t="s">
        <v>19</v>
      </c>
      <c r="C642" s="5472"/>
      <c r="D642" s="5473"/>
      <c r="E642" s="5473"/>
      <c r="F642" s="5474"/>
      <c r="G642" s="5474"/>
      <c r="H642" s="6921"/>
    </row>
    <row r="643" spans="1:8" ht="12" hidden="1" customHeight="1">
      <c r="A643" s="5480"/>
      <c r="B643" s="5465" t="s">
        <v>20</v>
      </c>
      <c r="C643" s="5475" t="s">
        <v>190</v>
      </c>
      <c r="D643" s="5494"/>
      <c r="E643" s="5494"/>
      <c r="F643" s="5495"/>
      <c r="G643" s="5495"/>
      <c r="H643" s="6922"/>
    </row>
    <row r="644" spans="1:8" hidden="1">
      <c r="A644" s="5480"/>
      <c r="B644" s="5465" t="s">
        <v>21</v>
      </c>
      <c r="C644" s="5475">
        <v>711</v>
      </c>
      <c r="D644" s="5479"/>
      <c r="E644" s="5479"/>
      <c r="F644" s="5481"/>
      <c r="G644" s="5481"/>
      <c r="H644" s="5501"/>
    </row>
    <row r="645" spans="1:8" hidden="1">
      <c r="A645" s="5480"/>
      <c r="B645" s="5465" t="s">
        <v>104</v>
      </c>
      <c r="C645" s="5475">
        <v>713</v>
      </c>
      <c r="D645" s="5479"/>
      <c r="E645" s="5479"/>
      <c r="F645" s="5481"/>
      <c r="G645" s="5481"/>
      <c r="H645" s="5501"/>
    </row>
    <row r="646" spans="1:8" hidden="1">
      <c r="A646" s="5480"/>
      <c r="B646" s="5465" t="s">
        <v>105</v>
      </c>
      <c r="C646" s="5475">
        <v>714</v>
      </c>
      <c r="D646" s="5479"/>
      <c r="E646" s="5479"/>
      <c r="F646" s="5481"/>
      <c r="G646" s="5481"/>
      <c r="H646" s="5501"/>
    </row>
    <row r="647" spans="1:8" hidden="1">
      <c r="A647" s="5480"/>
      <c r="B647" s="5465" t="s">
        <v>22</v>
      </c>
      <c r="C647" s="5475">
        <v>715</v>
      </c>
      <c r="D647" s="5479"/>
      <c r="E647" s="5479"/>
      <c r="F647" s="5481"/>
      <c r="G647" s="5481"/>
      <c r="H647" s="5501"/>
    </row>
    <row r="648" spans="1:8" hidden="1">
      <c r="A648" s="5480"/>
      <c r="B648" s="5465" t="s">
        <v>23</v>
      </c>
      <c r="C648" s="5475">
        <v>717</v>
      </c>
      <c r="D648" s="5479"/>
      <c r="E648" s="5479"/>
      <c r="F648" s="5481"/>
      <c r="G648" s="5481"/>
      <c r="H648" s="5501"/>
    </row>
    <row r="649" spans="1:8" hidden="1">
      <c r="A649" s="5480"/>
      <c r="B649" s="5465" t="s">
        <v>24</v>
      </c>
      <c r="C649" s="5475" t="s">
        <v>25</v>
      </c>
      <c r="D649" s="5479"/>
      <c r="E649" s="5479"/>
      <c r="F649" s="5481"/>
      <c r="G649" s="5481"/>
      <c r="H649" s="5501"/>
    </row>
    <row r="650" spans="1:8" hidden="1">
      <c r="A650" s="5480"/>
      <c r="B650" s="5465" t="s">
        <v>26</v>
      </c>
      <c r="C650" s="5475">
        <v>724</v>
      </c>
      <c r="D650" s="5479"/>
      <c r="E650" s="5479"/>
      <c r="F650" s="5481"/>
      <c r="G650" s="5481"/>
      <c r="H650" s="5501"/>
    </row>
    <row r="651" spans="1:8" hidden="1">
      <c r="A651" s="5480"/>
      <c r="B651" s="5465" t="s">
        <v>27</v>
      </c>
      <c r="C651" s="5475">
        <v>725</v>
      </c>
      <c r="D651" s="5477"/>
      <c r="E651" s="5477"/>
      <c r="F651" s="5496"/>
      <c r="G651" s="5496"/>
      <c r="H651" s="6923"/>
    </row>
    <row r="652" spans="1:8" hidden="1">
      <c r="A652" s="5480"/>
      <c r="B652" s="5465" t="s">
        <v>191</v>
      </c>
      <c r="C652" s="5475">
        <v>731</v>
      </c>
      <c r="D652" s="5479"/>
      <c r="E652" s="5479"/>
      <c r="F652" s="5481"/>
      <c r="G652" s="5481"/>
      <c r="H652" s="5501"/>
    </row>
    <row r="653" spans="1:8" hidden="1">
      <c r="A653" s="5480"/>
      <c r="B653" s="5465" t="s">
        <v>28</v>
      </c>
      <c r="C653" s="5475">
        <v>732</v>
      </c>
      <c r="D653" s="5479"/>
      <c r="E653" s="5479"/>
      <c r="F653" s="5481"/>
      <c r="G653" s="5481"/>
      <c r="H653" s="5501"/>
    </row>
    <row r="654" spans="1:8" hidden="1">
      <c r="A654" s="5480"/>
      <c r="B654" s="5465" t="s">
        <v>29</v>
      </c>
      <c r="C654" s="5475">
        <v>733</v>
      </c>
      <c r="D654" s="5479"/>
      <c r="E654" s="5479"/>
      <c r="F654" s="5481"/>
      <c r="G654" s="5481"/>
      <c r="H654" s="5501"/>
    </row>
    <row r="655" spans="1:8" hidden="1">
      <c r="A655" s="5480"/>
      <c r="B655" s="5465" t="s">
        <v>30</v>
      </c>
      <c r="C655" s="5475">
        <v>734</v>
      </c>
      <c r="D655" s="5479"/>
      <c r="E655" s="5479"/>
      <c r="F655" s="5481"/>
      <c r="G655" s="5481"/>
      <c r="H655" s="5501"/>
    </row>
    <row r="656" spans="1:8" hidden="1">
      <c r="A656" s="5480"/>
      <c r="B656" s="5465" t="s">
        <v>154</v>
      </c>
      <c r="C656" s="5475">
        <v>742</v>
      </c>
      <c r="D656" s="5479"/>
      <c r="E656" s="5479"/>
      <c r="F656" s="5481"/>
      <c r="G656" s="5481"/>
      <c r="H656" s="5501"/>
    </row>
    <row r="657" spans="1:8" hidden="1">
      <c r="A657" s="5480"/>
      <c r="B657" s="5465" t="s">
        <v>96</v>
      </c>
      <c r="C657" s="5475">
        <v>749</v>
      </c>
      <c r="D657" s="5479"/>
      <c r="E657" s="5479"/>
      <c r="F657" s="5481"/>
      <c r="G657" s="5481"/>
      <c r="H657" s="5501"/>
    </row>
    <row r="658" spans="1:8" hidden="1">
      <c r="A658" s="5480"/>
      <c r="B658" s="5465" t="s">
        <v>33</v>
      </c>
      <c r="C658" s="5475" t="s">
        <v>34</v>
      </c>
      <c r="D658" s="5479"/>
      <c r="E658" s="5479"/>
      <c r="F658" s="5481"/>
      <c r="G658" s="5481"/>
      <c r="H658" s="5501"/>
    </row>
    <row r="659" spans="1:8" hidden="1">
      <c r="A659" s="5480"/>
      <c r="B659" s="5465" t="s">
        <v>35</v>
      </c>
      <c r="C659" s="5475" t="s">
        <v>36</v>
      </c>
      <c r="D659" s="5479"/>
      <c r="E659" s="5479"/>
      <c r="F659" s="5481"/>
      <c r="G659" s="5481"/>
      <c r="H659" s="5501"/>
    </row>
    <row r="660" spans="1:8" hidden="1">
      <c r="A660" s="5480"/>
      <c r="B660" s="5465" t="s">
        <v>10005</v>
      </c>
      <c r="C660" s="5475" t="s">
        <v>9</v>
      </c>
      <c r="D660" s="5479"/>
      <c r="E660" s="5479"/>
      <c r="F660" s="5481"/>
      <c r="G660" s="5481"/>
      <c r="H660" s="5501"/>
    </row>
    <row r="661" spans="1:8" ht="14.25" hidden="1" customHeight="1">
      <c r="A661" s="5480"/>
      <c r="B661" s="5478" t="s">
        <v>37</v>
      </c>
      <c r="C661" s="5475"/>
      <c r="D661" s="5497">
        <f>SUM(D642:D660)</f>
        <v>0</v>
      </c>
      <c r="E661" s="5497">
        <f>SUM(E642:E660)</f>
        <v>0</v>
      </c>
      <c r="F661" s="5498"/>
      <c r="G661" s="5498"/>
      <c r="H661" s="5505">
        <f>SUM(H642:H660)</f>
        <v>0</v>
      </c>
    </row>
    <row r="662" spans="1:8" ht="16.5" customHeight="1">
      <c r="A662" s="5482"/>
      <c r="B662" s="5465" t="s">
        <v>38</v>
      </c>
      <c r="C662" s="5475"/>
      <c r="D662" s="5479"/>
      <c r="E662" s="5479"/>
      <c r="F662" s="5481"/>
      <c r="G662" s="5481"/>
      <c r="H662" s="5501"/>
    </row>
    <row r="663" spans="1:8">
      <c r="A663" s="5480"/>
      <c r="B663" s="5465" t="s">
        <v>39</v>
      </c>
      <c r="C663" s="5475"/>
      <c r="D663" s="5479"/>
      <c r="E663" s="5479"/>
      <c r="F663" s="5636"/>
      <c r="G663" s="5637"/>
      <c r="H663" s="5501"/>
    </row>
    <row r="664" spans="1:8">
      <c r="A664" s="5480"/>
      <c r="B664" s="5465" t="s">
        <v>41</v>
      </c>
      <c r="C664" s="5475"/>
      <c r="D664" s="5479"/>
      <c r="E664" s="5479"/>
      <c r="F664" s="5636"/>
      <c r="G664" s="5637"/>
      <c r="H664" s="5501"/>
    </row>
    <row r="665" spans="1:8">
      <c r="A665" s="5480"/>
      <c r="B665" s="5465" t="s">
        <v>42</v>
      </c>
      <c r="C665" s="5475"/>
      <c r="D665" s="5479">
        <v>15943.04</v>
      </c>
      <c r="E665" s="5479">
        <f>3448.46+8492.54</f>
        <v>11941</v>
      </c>
      <c r="F665" s="5537">
        <v>8492.5400000000009</v>
      </c>
      <c r="G665" s="5538">
        <f>F665/E665</f>
        <v>0.71120844150406171</v>
      </c>
      <c r="H665" s="5501"/>
    </row>
    <row r="666" spans="1:8">
      <c r="A666" s="5476"/>
      <c r="B666" s="5465" t="s">
        <v>125</v>
      </c>
      <c r="C666" s="5459"/>
      <c r="D666" s="5481"/>
      <c r="E666" s="5481"/>
      <c r="F666" s="5537"/>
      <c r="G666" s="5538"/>
      <c r="H666" s="5636"/>
    </row>
    <row r="667" spans="1:8">
      <c r="A667" s="5480"/>
      <c r="B667" s="5465" t="s">
        <v>107</v>
      </c>
      <c r="C667" s="5475"/>
      <c r="D667" s="5479">
        <v>12505.12</v>
      </c>
      <c r="E667" s="5479">
        <f>2800.93+8199.07</f>
        <v>11000</v>
      </c>
      <c r="F667" s="5537">
        <v>8199.07</v>
      </c>
      <c r="G667" s="5538">
        <f>F667/E667</f>
        <v>0.74536999999999998</v>
      </c>
      <c r="H667" s="5501"/>
    </row>
    <row r="668" spans="1:8" ht="16.5" customHeight="1">
      <c r="A668" s="5476"/>
      <c r="B668" s="5465" t="s">
        <v>10008</v>
      </c>
      <c r="C668" s="5459"/>
      <c r="D668" s="5481"/>
      <c r="E668" s="5481"/>
      <c r="F668" s="5636"/>
      <c r="G668" s="5637"/>
      <c r="H668" s="5636"/>
    </row>
    <row r="669" spans="1:8" ht="16.5" customHeight="1">
      <c r="A669" s="5476"/>
      <c r="B669" s="5465" t="s">
        <v>10007</v>
      </c>
      <c r="C669" s="5459"/>
      <c r="D669" s="5481"/>
      <c r="E669" s="5481"/>
      <c r="F669" s="5636"/>
      <c r="G669" s="5637"/>
      <c r="H669" s="5636"/>
    </row>
    <row r="670" spans="1:8" s="7025" customFormat="1" ht="28.5" customHeight="1">
      <c r="A670" s="7018"/>
      <c r="B670" s="7019" t="s">
        <v>194</v>
      </c>
      <c r="C670" s="7020"/>
      <c r="D670" s="7021">
        <v>3887.2</v>
      </c>
      <c r="E670" s="7021">
        <f>8340.12+10718.88</f>
        <v>19059</v>
      </c>
      <c r="F670" s="7038">
        <v>10718.88</v>
      </c>
      <c r="G670" s="7039">
        <f>F670/E670</f>
        <v>0.56240516291515819</v>
      </c>
      <c r="H670" s="7021"/>
    </row>
    <row r="671" spans="1:8" ht="16.5" customHeight="1">
      <c r="A671" s="5480"/>
      <c r="B671" s="5478" t="s">
        <v>37</v>
      </c>
      <c r="C671" s="5475"/>
      <c r="D671" s="5497">
        <f>SUM(D663:D670)</f>
        <v>32335.360000000004</v>
      </c>
      <c r="E671" s="5497">
        <f>SUM(E663:E670)</f>
        <v>42000</v>
      </c>
      <c r="F671" s="5497">
        <f>SUM(F663:F670)</f>
        <v>27410.489999999998</v>
      </c>
      <c r="G671" s="5498"/>
      <c r="H671" s="5505">
        <f>SUM(H663:H670)</f>
        <v>0</v>
      </c>
    </row>
    <row r="672" spans="1:8" ht="19.5" customHeight="1">
      <c r="A672" s="5482" t="s">
        <v>51</v>
      </c>
      <c r="B672" s="5465" t="s">
        <v>112</v>
      </c>
      <c r="C672" s="5475"/>
      <c r="D672" s="5479"/>
      <c r="E672" s="5479"/>
      <c r="F672" s="5481"/>
      <c r="G672" s="5481"/>
      <c r="H672" s="5501"/>
    </row>
    <row r="673" spans="1:8" ht="19.5" hidden="1" customHeight="1">
      <c r="A673" s="5483"/>
      <c r="B673" s="5465" t="s">
        <v>10052</v>
      </c>
      <c r="C673" s="5459"/>
      <c r="D673" s="5481"/>
      <c r="E673" s="5481"/>
      <c r="F673" s="5481"/>
      <c r="G673" s="5481"/>
      <c r="H673" s="5636">
        <v>0</v>
      </c>
    </row>
    <row r="674" spans="1:8" s="2654" customFormat="1" ht="15.6">
      <c r="A674" s="5484"/>
      <c r="B674" s="7488" t="s">
        <v>10946</v>
      </c>
      <c r="C674" s="5486"/>
      <c r="D674" s="5501">
        <v>26800</v>
      </c>
      <c r="E674" s="5501"/>
      <c r="F674" s="5636"/>
      <c r="G674" s="5637"/>
      <c r="H674" s="5501"/>
    </row>
    <row r="675" spans="1:8" s="2654" customFormat="1" hidden="1">
      <c r="A675" s="5484"/>
      <c r="B675" s="5485" t="s">
        <v>9958</v>
      </c>
      <c r="C675" s="5486"/>
      <c r="D675" s="5502"/>
      <c r="E675" s="5502"/>
      <c r="F675" s="5503"/>
      <c r="G675" s="5503"/>
      <c r="H675" s="5502"/>
    </row>
    <row r="676" spans="1:8" s="2654" customFormat="1" ht="13.5" customHeight="1">
      <c r="A676" s="5484"/>
      <c r="B676" s="5504" t="s">
        <v>195</v>
      </c>
      <c r="C676" s="5486"/>
      <c r="D676" s="5505">
        <f>SUM(D674:D675)</f>
        <v>26800</v>
      </c>
      <c r="E676" s="5505">
        <f>SUM(E674:E675)</f>
        <v>0</v>
      </c>
      <c r="F676" s="5505">
        <f>SUM(F674:F675)</f>
        <v>0</v>
      </c>
      <c r="G676" s="5506"/>
      <c r="H676" s="5505">
        <f>SUM(H673:H675)</f>
        <v>0</v>
      </c>
    </row>
    <row r="677" spans="1:8" ht="14.25" customHeight="1">
      <c r="A677" s="5507"/>
      <c r="B677" s="5508"/>
      <c r="C677" s="5509"/>
      <c r="D677" s="5510"/>
      <c r="E677" s="5510"/>
      <c r="F677" s="5511"/>
      <c r="G677" s="5511"/>
      <c r="H677" s="5502"/>
    </row>
    <row r="678" spans="1:8" s="5460" customFormat="1" ht="18" customHeight="1">
      <c r="A678" s="5512"/>
      <c r="B678" s="5513" t="s">
        <v>55</v>
      </c>
      <c r="C678" s="5514"/>
      <c r="D678" s="5515">
        <f>D676+D671</f>
        <v>59135.360000000001</v>
      </c>
      <c r="E678" s="5515">
        <f>E676+E671</f>
        <v>42000</v>
      </c>
      <c r="F678" s="5516"/>
      <c r="G678" s="5516"/>
      <c r="H678" s="6924">
        <f>H676+H671</f>
        <v>0</v>
      </c>
    </row>
    <row r="682" spans="1:8" ht="14.4" thickBot="1"/>
    <row r="683" spans="1:8">
      <c r="A683" s="5578"/>
      <c r="B683" s="5579"/>
      <c r="C683" s="5580" t="s">
        <v>9</v>
      </c>
      <c r="D683" s="5581" t="s">
        <v>10</v>
      </c>
      <c r="E683" s="13992" t="s">
        <v>10050</v>
      </c>
      <c r="F683" s="13993"/>
      <c r="G683" s="13993"/>
      <c r="H683" s="13994"/>
    </row>
    <row r="684" spans="1:8" ht="14.25" customHeight="1">
      <c r="A684" s="5476"/>
      <c r="B684" s="5466" t="s">
        <v>13</v>
      </c>
      <c r="C684" s="5582" t="s">
        <v>93</v>
      </c>
      <c r="D684" s="5583"/>
      <c r="E684" s="5583" t="s">
        <v>16</v>
      </c>
      <c r="F684" s="5583" t="s">
        <v>9985</v>
      </c>
      <c r="G684" s="5583" t="s">
        <v>10003</v>
      </c>
      <c r="H684" s="6926" t="s">
        <v>16</v>
      </c>
    </row>
    <row r="685" spans="1:8" ht="14.4" thickBot="1">
      <c r="A685" s="5584"/>
      <c r="B685" s="5585"/>
      <c r="C685" s="5586" t="s">
        <v>94</v>
      </c>
      <c r="D685" s="5493">
        <v>2013</v>
      </c>
      <c r="E685" s="5471">
        <v>2018</v>
      </c>
      <c r="F685" s="5493">
        <v>2018</v>
      </c>
      <c r="G685" s="5493" t="s">
        <v>9986</v>
      </c>
      <c r="H685" s="6927">
        <v>2019</v>
      </c>
    </row>
    <row r="686" spans="1:8" s="65" customFormat="1">
      <c r="A686" s="5622"/>
      <c r="B686" s="5543" t="s">
        <v>38</v>
      </c>
      <c r="C686" s="5577"/>
      <c r="D686" s="5623"/>
      <c r="E686" s="5619"/>
      <c r="F686" s="5620"/>
      <c r="G686" s="5620"/>
      <c r="H686" s="6931"/>
    </row>
    <row r="687" spans="1:8" s="65" customFormat="1">
      <c r="A687" s="5576"/>
      <c r="B687" s="5561" t="s">
        <v>45</v>
      </c>
      <c r="C687" s="5577">
        <v>766</v>
      </c>
      <c r="D687" s="5623">
        <v>3500</v>
      </c>
      <c r="E687" s="5552"/>
      <c r="F687" s="5635"/>
      <c r="G687" s="5634" t="e">
        <f>F687/E687</f>
        <v>#DIV/0!</v>
      </c>
      <c r="H687" s="5552"/>
    </row>
    <row r="688" spans="1:8" s="65" customFormat="1" ht="15.75" customHeight="1">
      <c r="A688" s="5576"/>
      <c r="B688" s="5561" t="s">
        <v>46</v>
      </c>
      <c r="C688" s="5577">
        <v>767</v>
      </c>
      <c r="D688" s="5623">
        <v>20000</v>
      </c>
      <c r="E688" s="5552"/>
      <c r="F688" s="5635"/>
      <c r="G688" s="5634" t="e">
        <f>F688/E688</f>
        <v>#DIV/0!</v>
      </c>
      <c r="H688" s="5552"/>
    </row>
    <row r="689" spans="1:8" s="65" customFormat="1" ht="15.75" customHeight="1">
      <c r="A689" s="5576"/>
      <c r="B689" s="5561" t="s">
        <v>10051</v>
      </c>
      <c r="C689" s="5577">
        <v>782</v>
      </c>
      <c r="D689" s="5623">
        <v>0</v>
      </c>
      <c r="E689" s="5552"/>
      <c r="F689" s="5635"/>
      <c r="G689" s="5634" t="e">
        <f>F689/E689</f>
        <v>#DIV/0!</v>
      </c>
      <c r="H689" s="5552"/>
    </row>
    <row r="690" spans="1:8" s="65" customFormat="1" ht="15.75" customHeight="1">
      <c r="A690" s="5576"/>
      <c r="B690" s="5543" t="s">
        <v>152</v>
      </c>
      <c r="C690" s="5577">
        <v>969</v>
      </c>
      <c r="D690" s="5623"/>
      <c r="E690" s="5552"/>
      <c r="F690" s="5635"/>
      <c r="G690" s="5634" t="e">
        <f>F690/E690</f>
        <v>#DIV/0!</v>
      </c>
      <c r="H690" s="5552"/>
    </row>
    <row r="691" spans="1:8" s="65" customFormat="1">
      <c r="A691" s="5576"/>
      <c r="B691" s="5569" t="s">
        <v>37</v>
      </c>
      <c r="C691" s="5577"/>
      <c r="D691" s="5624">
        <f>SUM(D687:D689)</f>
        <v>23500</v>
      </c>
      <c r="E691" s="5621">
        <f>SUM(E687:E690)</f>
        <v>0</v>
      </c>
      <c r="F691" s="5621">
        <f>SUM(F687:F690)</f>
        <v>0</v>
      </c>
      <c r="G691" s="5625"/>
      <c r="H691" s="5621">
        <f>SUM(H687:H690)</f>
        <v>0</v>
      </c>
    </row>
    <row r="692" spans="1:8">
      <c r="A692" s="5628"/>
      <c r="B692" s="5629"/>
      <c r="C692" s="5630"/>
      <c r="D692" s="5626"/>
      <c r="E692" s="5626"/>
      <c r="F692" s="5626"/>
      <c r="G692" s="5626"/>
      <c r="H692" s="6932"/>
    </row>
    <row r="693" spans="1:8" s="5460" customFormat="1" ht="16.5" customHeight="1">
      <c r="A693" s="5631"/>
      <c r="B693" s="5632" t="s">
        <v>55</v>
      </c>
      <c r="C693" s="5633"/>
      <c r="D693" s="5627">
        <v>420000</v>
      </c>
      <c r="E693" s="5627">
        <f>E691</f>
        <v>0</v>
      </c>
      <c r="F693" s="5627"/>
      <c r="G693" s="5627"/>
      <c r="H693" s="6933">
        <f>H691+H686</f>
        <v>0</v>
      </c>
    </row>
  </sheetData>
  <mergeCells count="16">
    <mergeCell ref="E7:H7"/>
    <mergeCell ref="E51:H51"/>
    <mergeCell ref="E100:H100"/>
    <mergeCell ref="E638:H638"/>
    <mergeCell ref="E143:H143"/>
    <mergeCell ref="E188:H188"/>
    <mergeCell ref="E231:H231"/>
    <mergeCell ref="E275:H275"/>
    <mergeCell ref="E322:H322"/>
    <mergeCell ref="E593:H593"/>
    <mergeCell ref="E683:H683"/>
    <mergeCell ref="E374:H374"/>
    <mergeCell ref="E418:H418"/>
    <mergeCell ref="E461:H461"/>
    <mergeCell ref="E505:H505"/>
    <mergeCell ref="E548:H548"/>
  </mergeCells>
  <printOptions gridLinesSet="0"/>
  <pageMargins left="0.5" right="0.25" top="0.5" bottom="0.25" header="0.5" footer="0.5"/>
  <pageSetup paperSize="136" scale="90" firstPageNumber="171" orientation="portrait" useFirstPageNumber="1" verticalDpi="300" r:id="rId1"/>
  <headerFooter alignWithMargins="0"/>
</worksheet>
</file>

<file path=xl/worksheets/sheet70.xml><?xml version="1.0" encoding="utf-8"?>
<worksheet xmlns="http://schemas.openxmlformats.org/spreadsheetml/2006/main" xmlns:r="http://schemas.openxmlformats.org/officeDocument/2006/relationships">
  <sheetPr codeName="Sheet44">
    <tabColor theme="8" tint="-0.249977111117893"/>
  </sheetPr>
  <dimension ref="A1:R245"/>
  <sheetViews>
    <sheetView showGridLines="0" workbookViewId="0">
      <selection activeCell="K2" sqref="K1:V1048576"/>
    </sheetView>
  </sheetViews>
  <sheetFormatPr defaultRowHeight="15" customHeight="1"/>
  <cols>
    <col min="1" max="1" width="3.88671875" style="8019" customWidth="1"/>
    <col min="2" max="2" width="55.5546875" style="8019" customWidth="1"/>
    <col min="3" max="3" width="15.5546875" style="8031" hidden="1" customWidth="1"/>
    <col min="4" max="4" width="12.5546875" style="9285" customWidth="1"/>
    <col min="5" max="6" width="15.5546875" style="7762" customWidth="1"/>
    <col min="7" max="7" width="16.6640625" style="9521" customWidth="1"/>
    <col min="8" max="8" width="16.5546875" style="7762" customWidth="1"/>
    <col min="9" max="9" width="15.88671875" style="7762" hidden="1" customWidth="1"/>
    <col min="10" max="10" width="8.33203125" style="7348" hidden="1" customWidth="1"/>
    <col min="11" max="11" width="16.109375" style="7762" customWidth="1"/>
    <col min="12" max="12" width="16.88671875" style="7762" customWidth="1"/>
    <col min="13" max="13" width="12.88671875" style="7780" customWidth="1"/>
    <col min="14" max="14" width="4.5546875" style="7749" customWidth="1"/>
    <col min="15" max="15" width="18" style="7310" customWidth="1"/>
    <col min="16" max="16" width="12" style="7310" customWidth="1"/>
    <col min="17" max="17" width="10.88671875" style="8019" customWidth="1"/>
    <col min="18" max="18" width="15" style="8019" customWidth="1"/>
    <col min="19" max="21" width="8.88671875" style="8019" customWidth="1"/>
    <col min="22" max="195" width="9.109375" style="8019"/>
    <col min="196" max="196" width="3.88671875" style="8019" customWidth="1"/>
    <col min="197" max="197" width="42.44140625" style="8019" customWidth="1"/>
    <col min="198" max="198" width="12.44140625" style="8019" customWidth="1"/>
    <col min="199" max="199" width="15.109375" style="8019" customWidth="1"/>
    <col min="200" max="200" width="14" style="8019" customWidth="1"/>
    <col min="201" max="201" width="15" style="8019" customWidth="1"/>
    <col min="202" max="202" width="11.44140625" style="8019" bestFit="1" customWidth="1"/>
    <col min="203" max="203" width="13.109375" style="8019" bestFit="1" customWidth="1"/>
    <col min="204" max="451" width="9.109375" style="8019"/>
    <col min="452" max="452" width="3.88671875" style="8019" customWidth="1"/>
    <col min="453" max="453" width="42.44140625" style="8019" customWidth="1"/>
    <col min="454" max="454" width="12.44140625" style="8019" customWidth="1"/>
    <col min="455" max="455" width="15.109375" style="8019" customWidth="1"/>
    <col min="456" max="456" width="14" style="8019" customWidth="1"/>
    <col min="457" max="457" width="15" style="8019" customWidth="1"/>
    <col min="458" max="458" width="11.44140625" style="8019" bestFit="1" customWidth="1"/>
    <col min="459" max="459" width="13.109375" style="8019" bestFit="1" customWidth="1"/>
    <col min="460" max="707" width="9.109375" style="8019"/>
    <col min="708" max="708" width="3.88671875" style="8019" customWidth="1"/>
    <col min="709" max="709" width="42.44140625" style="8019" customWidth="1"/>
    <col min="710" max="710" width="12.44140625" style="8019" customWidth="1"/>
    <col min="711" max="711" width="15.109375" style="8019" customWidth="1"/>
    <col min="712" max="712" width="14" style="8019" customWidth="1"/>
    <col min="713" max="713" width="15" style="8019" customWidth="1"/>
    <col min="714" max="714" width="11.44140625" style="8019" bestFit="1" customWidth="1"/>
    <col min="715" max="715" width="13.109375" style="8019" bestFit="1" customWidth="1"/>
    <col min="716" max="963" width="9.109375" style="8019"/>
    <col min="964" max="964" width="3.88671875" style="8019" customWidth="1"/>
    <col min="965" max="965" width="42.44140625" style="8019" customWidth="1"/>
    <col min="966" max="966" width="12.44140625" style="8019" customWidth="1"/>
    <col min="967" max="967" width="15.109375" style="8019" customWidth="1"/>
    <col min="968" max="968" width="14" style="8019" customWidth="1"/>
    <col min="969" max="969" width="15" style="8019" customWidth="1"/>
    <col min="970" max="970" width="11.44140625" style="8019" bestFit="1" customWidth="1"/>
    <col min="971" max="971" width="13.109375" style="8019" bestFit="1" customWidth="1"/>
    <col min="972" max="1219" width="9.109375" style="8019"/>
    <col min="1220" max="1220" width="3.88671875" style="8019" customWidth="1"/>
    <col min="1221" max="1221" width="42.44140625" style="8019" customWidth="1"/>
    <col min="1222" max="1222" width="12.44140625" style="8019" customWidth="1"/>
    <col min="1223" max="1223" width="15.109375" style="8019" customWidth="1"/>
    <col min="1224" max="1224" width="14" style="8019" customWidth="1"/>
    <col min="1225" max="1225" width="15" style="8019" customWidth="1"/>
    <col min="1226" max="1226" width="11.44140625" style="8019" bestFit="1" customWidth="1"/>
    <col min="1227" max="1227" width="13.109375" style="8019" bestFit="1" customWidth="1"/>
    <col min="1228" max="1475" width="9.109375" style="8019"/>
    <col min="1476" max="1476" width="3.88671875" style="8019" customWidth="1"/>
    <col min="1477" max="1477" width="42.44140625" style="8019" customWidth="1"/>
    <col min="1478" max="1478" width="12.44140625" style="8019" customWidth="1"/>
    <col min="1479" max="1479" width="15.109375" style="8019" customWidth="1"/>
    <col min="1480" max="1480" width="14" style="8019" customWidth="1"/>
    <col min="1481" max="1481" width="15" style="8019" customWidth="1"/>
    <col min="1482" max="1482" width="11.44140625" style="8019" bestFit="1" customWidth="1"/>
    <col min="1483" max="1483" width="13.109375" style="8019" bestFit="1" customWidth="1"/>
    <col min="1484" max="1731" width="9.109375" style="8019"/>
    <col min="1732" max="1732" width="3.88671875" style="8019" customWidth="1"/>
    <col min="1733" max="1733" width="42.44140625" style="8019" customWidth="1"/>
    <col min="1734" max="1734" width="12.44140625" style="8019" customWidth="1"/>
    <col min="1735" max="1735" width="15.109375" style="8019" customWidth="1"/>
    <col min="1736" max="1736" width="14" style="8019" customWidth="1"/>
    <col min="1737" max="1737" width="15" style="8019" customWidth="1"/>
    <col min="1738" max="1738" width="11.44140625" style="8019" bestFit="1" customWidth="1"/>
    <col min="1739" max="1739" width="13.109375" style="8019" bestFit="1" customWidth="1"/>
    <col min="1740" max="1987" width="9.109375" style="8019"/>
    <col min="1988" max="1988" width="3.88671875" style="8019" customWidth="1"/>
    <col min="1989" max="1989" width="42.44140625" style="8019" customWidth="1"/>
    <col min="1990" max="1990" width="12.44140625" style="8019" customWidth="1"/>
    <col min="1991" max="1991" width="15.109375" style="8019" customWidth="1"/>
    <col min="1992" max="1992" width="14" style="8019" customWidth="1"/>
    <col min="1993" max="1993" width="15" style="8019" customWidth="1"/>
    <col min="1994" max="1994" width="11.44140625" style="8019" bestFit="1" customWidth="1"/>
    <col min="1995" max="1995" width="13.109375" style="8019" bestFit="1" customWidth="1"/>
    <col min="1996" max="2243" width="9.109375" style="8019"/>
    <col min="2244" max="2244" width="3.88671875" style="8019" customWidth="1"/>
    <col min="2245" max="2245" width="42.44140625" style="8019" customWidth="1"/>
    <col min="2246" max="2246" width="12.44140625" style="8019" customWidth="1"/>
    <col min="2247" max="2247" width="15.109375" style="8019" customWidth="1"/>
    <col min="2248" max="2248" width="14" style="8019" customWidth="1"/>
    <col min="2249" max="2249" width="15" style="8019" customWidth="1"/>
    <col min="2250" max="2250" width="11.44140625" style="8019" bestFit="1" customWidth="1"/>
    <col min="2251" max="2251" width="13.109375" style="8019" bestFit="1" customWidth="1"/>
    <col min="2252" max="2499" width="9.109375" style="8019"/>
    <col min="2500" max="2500" width="3.88671875" style="8019" customWidth="1"/>
    <col min="2501" max="2501" width="42.44140625" style="8019" customWidth="1"/>
    <col min="2502" max="2502" width="12.44140625" style="8019" customWidth="1"/>
    <col min="2503" max="2503" width="15.109375" style="8019" customWidth="1"/>
    <col min="2504" max="2504" width="14" style="8019" customWidth="1"/>
    <col min="2505" max="2505" width="15" style="8019" customWidth="1"/>
    <col min="2506" max="2506" width="11.44140625" style="8019" bestFit="1" customWidth="1"/>
    <col min="2507" max="2507" width="13.109375" style="8019" bestFit="1" customWidth="1"/>
    <col min="2508" max="2755" width="9.109375" style="8019"/>
    <col min="2756" max="2756" width="3.88671875" style="8019" customWidth="1"/>
    <col min="2757" max="2757" width="42.44140625" style="8019" customWidth="1"/>
    <col min="2758" max="2758" width="12.44140625" style="8019" customWidth="1"/>
    <col min="2759" max="2759" width="15.109375" style="8019" customWidth="1"/>
    <col min="2760" max="2760" width="14" style="8019" customWidth="1"/>
    <col min="2761" max="2761" width="15" style="8019" customWidth="1"/>
    <col min="2762" max="2762" width="11.44140625" style="8019" bestFit="1" customWidth="1"/>
    <col min="2763" max="2763" width="13.109375" style="8019" bestFit="1" customWidth="1"/>
    <col min="2764" max="3011" width="9.109375" style="8019"/>
    <col min="3012" max="3012" width="3.88671875" style="8019" customWidth="1"/>
    <col min="3013" max="3013" width="42.44140625" style="8019" customWidth="1"/>
    <col min="3014" max="3014" width="12.44140625" style="8019" customWidth="1"/>
    <col min="3015" max="3015" width="15.109375" style="8019" customWidth="1"/>
    <col min="3016" max="3016" width="14" style="8019" customWidth="1"/>
    <col min="3017" max="3017" width="15" style="8019" customWidth="1"/>
    <col min="3018" max="3018" width="11.44140625" style="8019" bestFit="1" customWidth="1"/>
    <col min="3019" max="3019" width="13.109375" style="8019" bestFit="1" customWidth="1"/>
    <col min="3020" max="3267" width="9.109375" style="8019"/>
    <col min="3268" max="3268" width="3.88671875" style="8019" customWidth="1"/>
    <col min="3269" max="3269" width="42.44140625" style="8019" customWidth="1"/>
    <col min="3270" max="3270" width="12.44140625" style="8019" customWidth="1"/>
    <col min="3271" max="3271" width="15.109375" style="8019" customWidth="1"/>
    <col min="3272" max="3272" width="14" style="8019" customWidth="1"/>
    <col min="3273" max="3273" width="15" style="8019" customWidth="1"/>
    <col min="3274" max="3274" width="11.44140625" style="8019" bestFit="1" customWidth="1"/>
    <col min="3275" max="3275" width="13.109375" style="8019" bestFit="1" customWidth="1"/>
    <col min="3276" max="3523" width="9.109375" style="8019"/>
    <col min="3524" max="3524" width="3.88671875" style="8019" customWidth="1"/>
    <col min="3525" max="3525" width="42.44140625" style="8019" customWidth="1"/>
    <col min="3526" max="3526" width="12.44140625" style="8019" customWidth="1"/>
    <col min="3527" max="3527" width="15.109375" style="8019" customWidth="1"/>
    <col min="3528" max="3528" width="14" style="8019" customWidth="1"/>
    <col min="3529" max="3529" width="15" style="8019" customWidth="1"/>
    <col min="3530" max="3530" width="11.44140625" style="8019" bestFit="1" customWidth="1"/>
    <col min="3531" max="3531" width="13.109375" style="8019" bestFit="1" customWidth="1"/>
    <col min="3532" max="3779" width="9.109375" style="8019"/>
    <col min="3780" max="3780" width="3.88671875" style="8019" customWidth="1"/>
    <col min="3781" max="3781" width="42.44140625" style="8019" customWidth="1"/>
    <col min="3782" max="3782" width="12.44140625" style="8019" customWidth="1"/>
    <col min="3783" max="3783" width="15.109375" style="8019" customWidth="1"/>
    <col min="3784" max="3784" width="14" style="8019" customWidth="1"/>
    <col min="3785" max="3785" width="15" style="8019" customWidth="1"/>
    <col min="3786" max="3786" width="11.44140625" style="8019" bestFit="1" customWidth="1"/>
    <col min="3787" max="3787" width="13.109375" style="8019" bestFit="1" customWidth="1"/>
    <col min="3788" max="4035" width="9.109375" style="8019"/>
    <col min="4036" max="4036" width="3.88671875" style="8019" customWidth="1"/>
    <col min="4037" max="4037" width="42.44140625" style="8019" customWidth="1"/>
    <col min="4038" max="4038" width="12.44140625" style="8019" customWidth="1"/>
    <col min="4039" max="4039" width="15.109375" style="8019" customWidth="1"/>
    <col min="4040" max="4040" width="14" style="8019" customWidth="1"/>
    <col min="4041" max="4041" width="15" style="8019" customWidth="1"/>
    <col min="4042" max="4042" width="11.44140625" style="8019" bestFit="1" customWidth="1"/>
    <col min="4043" max="4043" width="13.109375" style="8019" bestFit="1" customWidth="1"/>
    <col min="4044" max="4291" width="9.109375" style="8019"/>
    <col min="4292" max="4292" width="3.88671875" style="8019" customWidth="1"/>
    <col min="4293" max="4293" width="42.44140625" style="8019" customWidth="1"/>
    <col min="4294" max="4294" width="12.44140625" style="8019" customWidth="1"/>
    <col min="4295" max="4295" width="15.109375" style="8019" customWidth="1"/>
    <col min="4296" max="4296" width="14" style="8019" customWidth="1"/>
    <col min="4297" max="4297" width="15" style="8019" customWidth="1"/>
    <col min="4298" max="4298" width="11.44140625" style="8019" bestFit="1" customWidth="1"/>
    <col min="4299" max="4299" width="13.109375" style="8019" bestFit="1" customWidth="1"/>
    <col min="4300" max="4547" width="9.109375" style="8019"/>
    <col min="4548" max="4548" width="3.88671875" style="8019" customWidth="1"/>
    <col min="4549" max="4549" width="42.44140625" style="8019" customWidth="1"/>
    <col min="4550" max="4550" width="12.44140625" style="8019" customWidth="1"/>
    <col min="4551" max="4551" width="15.109375" style="8019" customWidth="1"/>
    <col min="4552" max="4552" width="14" style="8019" customWidth="1"/>
    <col min="4553" max="4553" width="15" style="8019" customWidth="1"/>
    <col min="4554" max="4554" width="11.44140625" style="8019" bestFit="1" customWidth="1"/>
    <col min="4555" max="4555" width="13.109375" style="8019" bestFit="1" customWidth="1"/>
    <col min="4556" max="4803" width="9.109375" style="8019"/>
    <col min="4804" max="4804" width="3.88671875" style="8019" customWidth="1"/>
    <col min="4805" max="4805" width="42.44140625" style="8019" customWidth="1"/>
    <col min="4806" max="4806" width="12.44140625" style="8019" customWidth="1"/>
    <col min="4807" max="4807" width="15.109375" style="8019" customWidth="1"/>
    <col min="4808" max="4808" width="14" style="8019" customWidth="1"/>
    <col min="4809" max="4809" width="15" style="8019" customWidth="1"/>
    <col min="4810" max="4810" width="11.44140625" style="8019" bestFit="1" customWidth="1"/>
    <col min="4811" max="4811" width="13.109375" style="8019" bestFit="1" customWidth="1"/>
    <col min="4812" max="5059" width="9.109375" style="8019"/>
    <col min="5060" max="5060" width="3.88671875" style="8019" customWidth="1"/>
    <col min="5061" max="5061" width="42.44140625" style="8019" customWidth="1"/>
    <col min="5062" max="5062" width="12.44140625" style="8019" customWidth="1"/>
    <col min="5063" max="5063" width="15.109375" style="8019" customWidth="1"/>
    <col min="5064" max="5064" width="14" style="8019" customWidth="1"/>
    <col min="5065" max="5065" width="15" style="8019" customWidth="1"/>
    <col min="5066" max="5066" width="11.44140625" style="8019" bestFit="1" customWidth="1"/>
    <col min="5067" max="5067" width="13.109375" style="8019" bestFit="1" customWidth="1"/>
    <col min="5068" max="5315" width="9.109375" style="8019"/>
    <col min="5316" max="5316" width="3.88671875" style="8019" customWidth="1"/>
    <col min="5317" max="5317" width="42.44140625" style="8019" customWidth="1"/>
    <col min="5318" max="5318" width="12.44140625" style="8019" customWidth="1"/>
    <col min="5319" max="5319" width="15.109375" style="8019" customWidth="1"/>
    <col min="5320" max="5320" width="14" style="8019" customWidth="1"/>
    <col min="5321" max="5321" width="15" style="8019" customWidth="1"/>
    <col min="5322" max="5322" width="11.44140625" style="8019" bestFit="1" customWidth="1"/>
    <col min="5323" max="5323" width="13.109375" style="8019" bestFit="1" customWidth="1"/>
    <col min="5324" max="5571" width="9.109375" style="8019"/>
    <col min="5572" max="5572" width="3.88671875" style="8019" customWidth="1"/>
    <col min="5573" max="5573" width="42.44140625" style="8019" customWidth="1"/>
    <col min="5574" max="5574" width="12.44140625" style="8019" customWidth="1"/>
    <col min="5575" max="5575" width="15.109375" style="8019" customWidth="1"/>
    <col min="5576" max="5576" width="14" style="8019" customWidth="1"/>
    <col min="5577" max="5577" width="15" style="8019" customWidth="1"/>
    <col min="5578" max="5578" width="11.44140625" style="8019" bestFit="1" customWidth="1"/>
    <col min="5579" max="5579" width="13.109375" style="8019" bestFit="1" customWidth="1"/>
    <col min="5580" max="5827" width="9.109375" style="8019"/>
    <col min="5828" max="5828" width="3.88671875" style="8019" customWidth="1"/>
    <col min="5829" max="5829" width="42.44140625" style="8019" customWidth="1"/>
    <col min="5830" max="5830" width="12.44140625" style="8019" customWidth="1"/>
    <col min="5831" max="5831" width="15.109375" style="8019" customWidth="1"/>
    <col min="5832" max="5832" width="14" style="8019" customWidth="1"/>
    <col min="5833" max="5833" width="15" style="8019" customWidth="1"/>
    <col min="5834" max="5834" width="11.44140625" style="8019" bestFit="1" customWidth="1"/>
    <col min="5835" max="5835" width="13.109375" style="8019" bestFit="1" customWidth="1"/>
    <col min="5836" max="6083" width="9.109375" style="8019"/>
    <col min="6084" max="6084" width="3.88671875" style="8019" customWidth="1"/>
    <col min="6085" max="6085" width="42.44140625" style="8019" customWidth="1"/>
    <col min="6086" max="6086" width="12.44140625" style="8019" customWidth="1"/>
    <col min="6087" max="6087" width="15.109375" style="8019" customWidth="1"/>
    <col min="6088" max="6088" width="14" style="8019" customWidth="1"/>
    <col min="6089" max="6089" width="15" style="8019" customWidth="1"/>
    <col min="6090" max="6090" width="11.44140625" style="8019" bestFit="1" customWidth="1"/>
    <col min="6091" max="6091" width="13.109375" style="8019" bestFit="1" customWidth="1"/>
    <col min="6092" max="6339" width="9.109375" style="8019"/>
    <col min="6340" max="6340" width="3.88671875" style="8019" customWidth="1"/>
    <col min="6341" max="6341" width="42.44140625" style="8019" customWidth="1"/>
    <col min="6342" max="6342" width="12.44140625" style="8019" customWidth="1"/>
    <col min="6343" max="6343" width="15.109375" style="8019" customWidth="1"/>
    <col min="6344" max="6344" width="14" style="8019" customWidth="1"/>
    <col min="6345" max="6345" width="15" style="8019" customWidth="1"/>
    <col min="6346" max="6346" width="11.44140625" style="8019" bestFit="1" customWidth="1"/>
    <col min="6347" max="6347" width="13.109375" style="8019" bestFit="1" customWidth="1"/>
    <col min="6348" max="6595" width="9.109375" style="8019"/>
    <col min="6596" max="6596" width="3.88671875" style="8019" customWidth="1"/>
    <col min="6597" max="6597" width="42.44140625" style="8019" customWidth="1"/>
    <col min="6598" max="6598" width="12.44140625" style="8019" customWidth="1"/>
    <col min="6599" max="6599" width="15.109375" style="8019" customWidth="1"/>
    <col min="6600" max="6600" width="14" style="8019" customWidth="1"/>
    <col min="6601" max="6601" width="15" style="8019" customWidth="1"/>
    <col min="6602" max="6602" width="11.44140625" style="8019" bestFit="1" customWidth="1"/>
    <col min="6603" max="6603" width="13.109375" style="8019" bestFit="1" customWidth="1"/>
    <col min="6604" max="6851" width="9.109375" style="8019"/>
    <col min="6852" max="6852" width="3.88671875" style="8019" customWidth="1"/>
    <col min="6853" max="6853" width="42.44140625" style="8019" customWidth="1"/>
    <col min="6854" max="6854" width="12.44140625" style="8019" customWidth="1"/>
    <col min="6855" max="6855" width="15.109375" style="8019" customWidth="1"/>
    <col min="6856" max="6856" width="14" style="8019" customWidth="1"/>
    <col min="6857" max="6857" width="15" style="8019" customWidth="1"/>
    <col min="6858" max="6858" width="11.44140625" style="8019" bestFit="1" customWidth="1"/>
    <col min="6859" max="6859" width="13.109375" style="8019" bestFit="1" customWidth="1"/>
    <col min="6860" max="7107" width="9.109375" style="8019"/>
    <col min="7108" max="7108" width="3.88671875" style="8019" customWidth="1"/>
    <col min="7109" max="7109" width="42.44140625" style="8019" customWidth="1"/>
    <col min="7110" max="7110" width="12.44140625" style="8019" customWidth="1"/>
    <col min="7111" max="7111" width="15.109375" style="8019" customWidth="1"/>
    <col min="7112" max="7112" width="14" style="8019" customWidth="1"/>
    <col min="7113" max="7113" width="15" style="8019" customWidth="1"/>
    <col min="7114" max="7114" width="11.44140625" style="8019" bestFit="1" customWidth="1"/>
    <col min="7115" max="7115" width="13.109375" style="8019" bestFit="1" customWidth="1"/>
    <col min="7116" max="7363" width="9.109375" style="8019"/>
    <col min="7364" max="7364" width="3.88671875" style="8019" customWidth="1"/>
    <col min="7365" max="7365" width="42.44140625" style="8019" customWidth="1"/>
    <col min="7366" max="7366" width="12.44140625" style="8019" customWidth="1"/>
    <col min="7367" max="7367" width="15.109375" style="8019" customWidth="1"/>
    <col min="7368" max="7368" width="14" style="8019" customWidth="1"/>
    <col min="7369" max="7369" width="15" style="8019" customWidth="1"/>
    <col min="7370" max="7370" width="11.44140625" style="8019" bestFit="1" customWidth="1"/>
    <col min="7371" max="7371" width="13.109375" style="8019" bestFit="1" customWidth="1"/>
    <col min="7372" max="7619" width="9.109375" style="8019"/>
    <col min="7620" max="7620" width="3.88671875" style="8019" customWidth="1"/>
    <col min="7621" max="7621" width="42.44140625" style="8019" customWidth="1"/>
    <col min="7622" max="7622" width="12.44140625" style="8019" customWidth="1"/>
    <col min="7623" max="7623" width="15.109375" style="8019" customWidth="1"/>
    <col min="7624" max="7624" width="14" style="8019" customWidth="1"/>
    <col min="7625" max="7625" width="15" style="8019" customWidth="1"/>
    <col min="7626" max="7626" width="11.44140625" style="8019" bestFit="1" customWidth="1"/>
    <col min="7627" max="7627" width="13.109375" style="8019" bestFit="1" customWidth="1"/>
    <col min="7628" max="7875" width="9.109375" style="8019"/>
    <col min="7876" max="7876" width="3.88671875" style="8019" customWidth="1"/>
    <col min="7877" max="7877" width="42.44140625" style="8019" customWidth="1"/>
    <col min="7878" max="7878" width="12.44140625" style="8019" customWidth="1"/>
    <col min="7879" max="7879" width="15.109375" style="8019" customWidth="1"/>
    <col min="7880" max="7880" width="14" style="8019" customWidth="1"/>
    <col min="7881" max="7881" width="15" style="8019" customWidth="1"/>
    <col min="7882" max="7882" width="11.44140625" style="8019" bestFit="1" customWidth="1"/>
    <col min="7883" max="7883" width="13.109375" style="8019" bestFit="1" customWidth="1"/>
    <col min="7884" max="8131" width="9.109375" style="8019"/>
    <col min="8132" max="8132" width="3.88671875" style="8019" customWidth="1"/>
    <col min="8133" max="8133" width="42.44140625" style="8019" customWidth="1"/>
    <col min="8134" max="8134" width="12.44140625" style="8019" customWidth="1"/>
    <col min="8135" max="8135" width="15.109375" style="8019" customWidth="1"/>
    <col min="8136" max="8136" width="14" style="8019" customWidth="1"/>
    <col min="8137" max="8137" width="15" style="8019" customWidth="1"/>
    <col min="8138" max="8138" width="11.44140625" style="8019" bestFit="1" customWidth="1"/>
    <col min="8139" max="8139" width="13.109375" style="8019" bestFit="1" customWidth="1"/>
    <col min="8140" max="8387" width="9.109375" style="8019"/>
    <col min="8388" max="8388" width="3.88671875" style="8019" customWidth="1"/>
    <col min="8389" max="8389" width="42.44140625" style="8019" customWidth="1"/>
    <col min="8390" max="8390" width="12.44140625" style="8019" customWidth="1"/>
    <col min="8391" max="8391" width="15.109375" style="8019" customWidth="1"/>
    <col min="8392" max="8392" width="14" style="8019" customWidth="1"/>
    <col min="8393" max="8393" width="15" style="8019" customWidth="1"/>
    <col min="8394" max="8394" width="11.44140625" style="8019" bestFit="1" customWidth="1"/>
    <col min="8395" max="8395" width="13.109375" style="8019" bestFit="1" customWidth="1"/>
    <col min="8396" max="8643" width="9.109375" style="8019"/>
    <col min="8644" max="8644" width="3.88671875" style="8019" customWidth="1"/>
    <col min="8645" max="8645" width="42.44140625" style="8019" customWidth="1"/>
    <col min="8646" max="8646" width="12.44140625" style="8019" customWidth="1"/>
    <col min="8647" max="8647" width="15.109375" style="8019" customWidth="1"/>
    <col min="8648" max="8648" width="14" style="8019" customWidth="1"/>
    <col min="8649" max="8649" width="15" style="8019" customWidth="1"/>
    <col min="8650" max="8650" width="11.44140625" style="8019" bestFit="1" customWidth="1"/>
    <col min="8651" max="8651" width="13.109375" style="8019" bestFit="1" customWidth="1"/>
    <col min="8652" max="8899" width="9.109375" style="8019"/>
    <col min="8900" max="8900" width="3.88671875" style="8019" customWidth="1"/>
    <col min="8901" max="8901" width="42.44140625" style="8019" customWidth="1"/>
    <col min="8902" max="8902" width="12.44140625" style="8019" customWidth="1"/>
    <col min="8903" max="8903" width="15.109375" style="8019" customWidth="1"/>
    <col min="8904" max="8904" width="14" style="8019" customWidth="1"/>
    <col min="8905" max="8905" width="15" style="8019" customWidth="1"/>
    <col min="8906" max="8906" width="11.44140625" style="8019" bestFit="1" customWidth="1"/>
    <col min="8907" max="8907" width="13.109375" style="8019" bestFit="1" customWidth="1"/>
    <col min="8908" max="9155" width="9.109375" style="8019"/>
    <col min="9156" max="9156" width="3.88671875" style="8019" customWidth="1"/>
    <col min="9157" max="9157" width="42.44140625" style="8019" customWidth="1"/>
    <col min="9158" max="9158" width="12.44140625" style="8019" customWidth="1"/>
    <col min="9159" max="9159" width="15.109375" style="8019" customWidth="1"/>
    <col min="9160" max="9160" width="14" style="8019" customWidth="1"/>
    <col min="9161" max="9161" width="15" style="8019" customWidth="1"/>
    <col min="9162" max="9162" width="11.44140625" style="8019" bestFit="1" customWidth="1"/>
    <col min="9163" max="9163" width="13.109375" style="8019" bestFit="1" customWidth="1"/>
    <col min="9164" max="9411" width="9.109375" style="8019"/>
    <col min="9412" max="9412" width="3.88671875" style="8019" customWidth="1"/>
    <col min="9413" max="9413" width="42.44140625" style="8019" customWidth="1"/>
    <col min="9414" max="9414" width="12.44140625" style="8019" customWidth="1"/>
    <col min="9415" max="9415" width="15.109375" style="8019" customWidth="1"/>
    <col min="9416" max="9416" width="14" style="8019" customWidth="1"/>
    <col min="9417" max="9417" width="15" style="8019" customWidth="1"/>
    <col min="9418" max="9418" width="11.44140625" style="8019" bestFit="1" customWidth="1"/>
    <col min="9419" max="9419" width="13.109375" style="8019" bestFit="1" customWidth="1"/>
    <col min="9420" max="9667" width="9.109375" style="8019"/>
    <col min="9668" max="9668" width="3.88671875" style="8019" customWidth="1"/>
    <col min="9669" max="9669" width="42.44140625" style="8019" customWidth="1"/>
    <col min="9670" max="9670" width="12.44140625" style="8019" customWidth="1"/>
    <col min="9671" max="9671" width="15.109375" style="8019" customWidth="1"/>
    <col min="9672" max="9672" width="14" style="8019" customWidth="1"/>
    <col min="9673" max="9673" width="15" style="8019" customWidth="1"/>
    <col min="9674" max="9674" width="11.44140625" style="8019" bestFit="1" customWidth="1"/>
    <col min="9675" max="9675" width="13.109375" style="8019" bestFit="1" customWidth="1"/>
    <col min="9676" max="9923" width="9.109375" style="8019"/>
    <col min="9924" max="9924" width="3.88671875" style="8019" customWidth="1"/>
    <col min="9925" max="9925" width="42.44140625" style="8019" customWidth="1"/>
    <col min="9926" max="9926" width="12.44140625" style="8019" customWidth="1"/>
    <col min="9927" max="9927" width="15.109375" style="8019" customWidth="1"/>
    <col min="9928" max="9928" width="14" style="8019" customWidth="1"/>
    <col min="9929" max="9929" width="15" style="8019" customWidth="1"/>
    <col min="9930" max="9930" width="11.44140625" style="8019" bestFit="1" customWidth="1"/>
    <col min="9931" max="9931" width="13.109375" style="8019" bestFit="1" customWidth="1"/>
    <col min="9932" max="10179" width="9.109375" style="8019"/>
    <col min="10180" max="10180" width="3.88671875" style="8019" customWidth="1"/>
    <col min="10181" max="10181" width="42.44140625" style="8019" customWidth="1"/>
    <col min="10182" max="10182" width="12.44140625" style="8019" customWidth="1"/>
    <col min="10183" max="10183" width="15.109375" style="8019" customWidth="1"/>
    <col min="10184" max="10184" width="14" style="8019" customWidth="1"/>
    <col min="10185" max="10185" width="15" style="8019" customWidth="1"/>
    <col min="10186" max="10186" width="11.44140625" style="8019" bestFit="1" customWidth="1"/>
    <col min="10187" max="10187" width="13.109375" style="8019" bestFit="1" customWidth="1"/>
    <col min="10188" max="10435" width="9.109375" style="8019"/>
    <col min="10436" max="10436" width="3.88671875" style="8019" customWidth="1"/>
    <col min="10437" max="10437" width="42.44140625" style="8019" customWidth="1"/>
    <col min="10438" max="10438" width="12.44140625" style="8019" customWidth="1"/>
    <col min="10439" max="10439" width="15.109375" style="8019" customWidth="1"/>
    <col min="10440" max="10440" width="14" style="8019" customWidth="1"/>
    <col min="10441" max="10441" width="15" style="8019" customWidth="1"/>
    <col min="10442" max="10442" width="11.44140625" style="8019" bestFit="1" customWidth="1"/>
    <col min="10443" max="10443" width="13.109375" style="8019" bestFit="1" customWidth="1"/>
    <col min="10444" max="10691" width="9.109375" style="8019"/>
    <col min="10692" max="10692" width="3.88671875" style="8019" customWidth="1"/>
    <col min="10693" max="10693" width="42.44140625" style="8019" customWidth="1"/>
    <col min="10694" max="10694" width="12.44140625" style="8019" customWidth="1"/>
    <col min="10695" max="10695" width="15.109375" style="8019" customWidth="1"/>
    <col min="10696" max="10696" width="14" style="8019" customWidth="1"/>
    <col min="10697" max="10697" width="15" style="8019" customWidth="1"/>
    <col min="10698" max="10698" width="11.44140625" style="8019" bestFit="1" customWidth="1"/>
    <col min="10699" max="10699" width="13.109375" style="8019" bestFit="1" customWidth="1"/>
    <col min="10700" max="10947" width="9.109375" style="8019"/>
    <col min="10948" max="10948" width="3.88671875" style="8019" customWidth="1"/>
    <col min="10949" max="10949" width="42.44140625" style="8019" customWidth="1"/>
    <col min="10950" max="10950" width="12.44140625" style="8019" customWidth="1"/>
    <col min="10951" max="10951" width="15.109375" style="8019" customWidth="1"/>
    <col min="10952" max="10952" width="14" style="8019" customWidth="1"/>
    <col min="10953" max="10953" width="15" style="8019" customWidth="1"/>
    <col min="10954" max="10954" width="11.44140625" style="8019" bestFit="1" customWidth="1"/>
    <col min="10955" max="10955" width="13.109375" style="8019" bestFit="1" customWidth="1"/>
    <col min="10956" max="11203" width="9.109375" style="8019"/>
    <col min="11204" max="11204" width="3.88671875" style="8019" customWidth="1"/>
    <col min="11205" max="11205" width="42.44140625" style="8019" customWidth="1"/>
    <col min="11206" max="11206" width="12.44140625" style="8019" customWidth="1"/>
    <col min="11207" max="11207" width="15.109375" style="8019" customWidth="1"/>
    <col min="11208" max="11208" width="14" style="8019" customWidth="1"/>
    <col min="11209" max="11209" width="15" style="8019" customWidth="1"/>
    <col min="11210" max="11210" width="11.44140625" style="8019" bestFit="1" customWidth="1"/>
    <col min="11211" max="11211" width="13.109375" style="8019" bestFit="1" customWidth="1"/>
    <col min="11212" max="11459" width="9.109375" style="8019"/>
    <col min="11460" max="11460" width="3.88671875" style="8019" customWidth="1"/>
    <col min="11461" max="11461" width="42.44140625" style="8019" customWidth="1"/>
    <col min="11462" max="11462" width="12.44140625" style="8019" customWidth="1"/>
    <col min="11463" max="11463" width="15.109375" style="8019" customWidth="1"/>
    <col min="11464" max="11464" width="14" style="8019" customWidth="1"/>
    <col min="11465" max="11465" width="15" style="8019" customWidth="1"/>
    <col min="11466" max="11466" width="11.44140625" style="8019" bestFit="1" customWidth="1"/>
    <col min="11467" max="11467" width="13.109375" style="8019" bestFit="1" customWidth="1"/>
    <col min="11468" max="11715" width="9.109375" style="8019"/>
    <col min="11716" max="11716" width="3.88671875" style="8019" customWidth="1"/>
    <col min="11717" max="11717" width="42.44140625" style="8019" customWidth="1"/>
    <col min="11718" max="11718" width="12.44140625" style="8019" customWidth="1"/>
    <col min="11719" max="11719" width="15.109375" style="8019" customWidth="1"/>
    <col min="11720" max="11720" width="14" style="8019" customWidth="1"/>
    <col min="11721" max="11721" width="15" style="8019" customWidth="1"/>
    <col min="11722" max="11722" width="11.44140625" style="8019" bestFit="1" customWidth="1"/>
    <col min="11723" max="11723" width="13.109375" style="8019" bestFit="1" customWidth="1"/>
    <col min="11724" max="11971" width="9.109375" style="8019"/>
    <col min="11972" max="11972" width="3.88671875" style="8019" customWidth="1"/>
    <col min="11973" max="11973" width="42.44140625" style="8019" customWidth="1"/>
    <col min="11974" max="11974" width="12.44140625" style="8019" customWidth="1"/>
    <col min="11975" max="11975" width="15.109375" style="8019" customWidth="1"/>
    <col min="11976" max="11976" width="14" style="8019" customWidth="1"/>
    <col min="11977" max="11977" width="15" style="8019" customWidth="1"/>
    <col min="11978" max="11978" width="11.44140625" style="8019" bestFit="1" customWidth="1"/>
    <col min="11979" max="11979" width="13.109375" style="8019" bestFit="1" customWidth="1"/>
    <col min="11980" max="12227" width="9.109375" style="8019"/>
    <col min="12228" max="12228" width="3.88671875" style="8019" customWidth="1"/>
    <col min="12229" max="12229" width="42.44140625" style="8019" customWidth="1"/>
    <col min="12230" max="12230" width="12.44140625" style="8019" customWidth="1"/>
    <col min="12231" max="12231" width="15.109375" style="8019" customWidth="1"/>
    <col min="12232" max="12232" width="14" style="8019" customWidth="1"/>
    <col min="12233" max="12233" width="15" style="8019" customWidth="1"/>
    <col min="12234" max="12234" width="11.44140625" style="8019" bestFit="1" customWidth="1"/>
    <col min="12235" max="12235" width="13.109375" style="8019" bestFit="1" customWidth="1"/>
    <col min="12236" max="12483" width="9.109375" style="8019"/>
    <col min="12484" max="12484" width="3.88671875" style="8019" customWidth="1"/>
    <col min="12485" max="12485" width="42.44140625" style="8019" customWidth="1"/>
    <col min="12486" max="12486" width="12.44140625" style="8019" customWidth="1"/>
    <col min="12487" max="12487" width="15.109375" style="8019" customWidth="1"/>
    <col min="12488" max="12488" width="14" style="8019" customWidth="1"/>
    <col min="12489" max="12489" width="15" style="8019" customWidth="1"/>
    <col min="12490" max="12490" width="11.44140625" style="8019" bestFit="1" customWidth="1"/>
    <col min="12491" max="12491" width="13.109375" style="8019" bestFit="1" customWidth="1"/>
    <col min="12492" max="12739" width="9.109375" style="8019"/>
    <col min="12740" max="12740" width="3.88671875" style="8019" customWidth="1"/>
    <col min="12741" max="12741" width="42.44140625" style="8019" customWidth="1"/>
    <col min="12742" max="12742" width="12.44140625" style="8019" customWidth="1"/>
    <col min="12743" max="12743" width="15.109375" style="8019" customWidth="1"/>
    <col min="12744" max="12744" width="14" style="8019" customWidth="1"/>
    <col min="12745" max="12745" width="15" style="8019" customWidth="1"/>
    <col min="12746" max="12746" width="11.44140625" style="8019" bestFit="1" customWidth="1"/>
    <col min="12747" max="12747" width="13.109375" style="8019" bestFit="1" customWidth="1"/>
    <col min="12748" max="12995" width="9.109375" style="8019"/>
    <col min="12996" max="12996" width="3.88671875" style="8019" customWidth="1"/>
    <col min="12997" max="12997" width="42.44140625" style="8019" customWidth="1"/>
    <col min="12998" max="12998" width="12.44140625" style="8019" customWidth="1"/>
    <col min="12999" max="12999" width="15.109375" style="8019" customWidth="1"/>
    <col min="13000" max="13000" width="14" style="8019" customWidth="1"/>
    <col min="13001" max="13001" width="15" style="8019" customWidth="1"/>
    <col min="13002" max="13002" width="11.44140625" style="8019" bestFit="1" customWidth="1"/>
    <col min="13003" max="13003" width="13.109375" style="8019" bestFit="1" customWidth="1"/>
    <col min="13004" max="13251" width="9.109375" style="8019"/>
    <col min="13252" max="13252" width="3.88671875" style="8019" customWidth="1"/>
    <col min="13253" max="13253" width="42.44140625" style="8019" customWidth="1"/>
    <col min="13254" max="13254" width="12.44140625" style="8019" customWidth="1"/>
    <col min="13255" max="13255" width="15.109375" style="8019" customWidth="1"/>
    <col min="13256" max="13256" width="14" style="8019" customWidth="1"/>
    <col min="13257" max="13257" width="15" style="8019" customWidth="1"/>
    <col min="13258" max="13258" width="11.44140625" style="8019" bestFit="1" customWidth="1"/>
    <col min="13259" max="13259" width="13.109375" style="8019" bestFit="1" customWidth="1"/>
    <col min="13260" max="13507" width="9.109375" style="8019"/>
    <col min="13508" max="13508" width="3.88671875" style="8019" customWidth="1"/>
    <col min="13509" max="13509" width="42.44140625" style="8019" customWidth="1"/>
    <col min="13510" max="13510" width="12.44140625" style="8019" customWidth="1"/>
    <col min="13511" max="13511" width="15.109375" style="8019" customWidth="1"/>
    <col min="13512" max="13512" width="14" style="8019" customWidth="1"/>
    <col min="13513" max="13513" width="15" style="8019" customWidth="1"/>
    <col min="13514" max="13514" width="11.44140625" style="8019" bestFit="1" customWidth="1"/>
    <col min="13515" max="13515" width="13.109375" style="8019" bestFit="1" customWidth="1"/>
    <col min="13516" max="13763" width="9.109375" style="8019"/>
    <col min="13764" max="13764" width="3.88671875" style="8019" customWidth="1"/>
    <col min="13765" max="13765" width="42.44140625" style="8019" customWidth="1"/>
    <col min="13766" max="13766" width="12.44140625" style="8019" customWidth="1"/>
    <col min="13767" max="13767" width="15.109375" style="8019" customWidth="1"/>
    <col min="13768" max="13768" width="14" style="8019" customWidth="1"/>
    <col min="13769" max="13769" width="15" style="8019" customWidth="1"/>
    <col min="13770" max="13770" width="11.44140625" style="8019" bestFit="1" customWidth="1"/>
    <col min="13771" max="13771" width="13.109375" style="8019" bestFit="1" customWidth="1"/>
    <col min="13772" max="14019" width="9.109375" style="8019"/>
    <col min="14020" max="14020" width="3.88671875" style="8019" customWidth="1"/>
    <col min="14021" max="14021" width="42.44140625" style="8019" customWidth="1"/>
    <col min="14022" max="14022" width="12.44140625" style="8019" customWidth="1"/>
    <col min="14023" max="14023" width="15.109375" style="8019" customWidth="1"/>
    <col min="14024" max="14024" width="14" style="8019" customWidth="1"/>
    <col min="14025" max="14025" width="15" style="8019" customWidth="1"/>
    <col min="14026" max="14026" width="11.44140625" style="8019" bestFit="1" customWidth="1"/>
    <col min="14027" max="14027" width="13.109375" style="8019" bestFit="1" customWidth="1"/>
    <col min="14028" max="14275" width="9.109375" style="8019"/>
    <col min="14276" max="14276" width="3.88671875" style="8019" customWidth="1"/>
    <col min="14277" max="14277" width="42.44140625" style="8019" customWidth="1"/>
    <col min="14278" max="14278" width="12.44140625" style="8019" customWidth="1"/>
    <col min="14279" max="14279" width="15.109375" style="8019" customWidth="1"/>
    <col min="14280" max="14280" width="14" style="8019" customWidth="1"/>
    <col min="14281" max="14281" width="15" style="8019" customWidth="1"/>
    <col min="14282" max="14282" width="11.44140625" style="8019" bestFit="1" customWidth="1"/>
    <col min="14283" max="14283" width="13.109375" style="8019" bestFit="1" customWidth="1"/>
    <col min="14284" max="14531" width="9.109375" style="8019"/>
    <col min="14532" max="14532" width="3.88671875" style="8019" customWidth="1"/>
    <col min="14533" max="14533" width="42.44140625" style="8019" customWidth="1"/>
    <col min="14534" max="14534" width="12.44140625" style="8019" customWidth="1"/>
    <col min="14535" max="14535" width="15.109375" style="8019" customWidth="1"/>
    <col min="14536" max="14536" width="14" style="8019" customWidth="1"/>
    <col min="14537" max="14537" width="15" style="8019" customWidth="1"/>
    <col min="14538" max="14538" width="11.44140625" style="8019" bestFit="1" customWidth="1"/>
    <col min="14539" max="14539" width="13.109375" style="8019" bestFit="1" customWidth="1"/>
    <col min="14540" max="14787" width="9.109375" style="8019"/>
    <col min="14788" max="14788" width="3.88671875" style="8019" customWidth="1"/>
    <col min="14789" max="14789" width="42.44140625" style="8019" customWidth="1"/>
    <col min="14790" max="14790" width="12.44140625" style="8019" customWidth="1"/>
    <col min="14791" max="14791" width="15.109375" style="8019" customWidth="1"/>
    <col min="14792" max="14792" width="14" style="8019" customWidth="1"/>
    <col min="14793" max="14793" width="15" style="8019" customWidth="1"/>
    <col min="14794" max="14794" width="11.44140625" style="8019" bestFit="1" customWidth="1"/>
    <col min="14795" max="14795" width="13.109375" style="8019" bestFit="1" customWidth="1"/>
    <col min="14796" max="15043" width="9.109375" style="8019"/>
    <col min="15044" max="15044" width="3.88671875" style="8019" customWidth="1"/>
    <col min="15045" max="15045" width="42.44140625" style="8019" customWidth="1"/>
    <col min="15046" max="15046" width="12.44140625" style="8019" customWidth="1"/>
    <col min="15047" max="15047" width="15.109375" style="8019" customWidth="1"/>
    <col min="15048" max="15048" width="14" style="8019" customWidth="1"/>
    <col min="15049" max="15049" width="15" style="8019" customWidth="1"/>
    <col min="15050" max="15050" width="11.44140625" style="8019" bestFit="1" customWidth="1"/>
    <col min="15051" max="15051" width="13.109375" style="8019" bestFit="1" customWidth="1"/>
    <col min="15052" max="15299" width="9.109375" style="8019"/>
    <col min="15300" max="15300" width="3.88671875" style="8019" customWidth="1"/>
    <col min="15301" max="15301" width="42.44140625" style="8019" customWidth="1"/>
    <col min="15302" max="15302" width="12.44140625" style="8019" customWidth="1"/>
    <col min="15303" max="15303" width="15.109375" style="8019" customWidth="1"/>
    <col min="15304" max="15304" width="14" style="8019" customWidth="1"/>
    <col min="15305" max="15305" width="15" style="8019" customWidth="1"/>
    <col min="15306" max="15306" width="11.44140625" style="8019" bestFit="1" customWidth="1"/>
    <col min="15307" max="15307" width="13.109375" style="8019" bestFit="1" customWidth="1"/>
    <col min="15308" max="15555" width="9.109375" style="8019"/>
    <col min="15556" max="15556" width="3.88671875" style="8019" customWidth="1"/>
    <col min="15557" max="15557" width="42.44140625" style="8019" customWidth="1"/>
    <col min="15558" max="15558" width="12.44140625" style="8019" customWidth="1"/>
    <col min="15559" max="15559" width="15.109375" style="8019" customWidth="1"/>
    <col min="15560" max="15560" width="14" style="8019" customWidth="1"/>
    <col min="15561" max="15561" width="15" style="8019" customWidth="1"/>
    <col min="15562" max="15562" width="11.44140625" style="8019" bestFit="1" customWidth="1"/>
    <col min="15563" max="15563" width="13.109375" style="8019" bestFit="1" customWidth="1"/>
    <col min="15564" max="15811" width="9.109375" style="8019"/>
    <col min="15812" max="15812" width="3.88671875" style="8019" customWidth="1"/>
    <col min="15813" max="15813" width="42.44140625" style="8019" customWidth="1"/>
    <col min="15814" max="15814" width="12.44140625" style="8019" customWidth="1"/>
    <col min="15815" max="15815" width="15.109375" style="8019" customWidth="1"/>
    <col min="15816" max="15816" width="14" style="8019" customWidth="1"/>
    <col min="15817" max="15817" width="15" style="8019" customWidth="1"/>
    <col min="15818" max="15818" width="11.44140625" style="8019" bestFit="1" customWidth="1"/>
    <col min="15819" max="15819" width="13.109375" style="8019" bestFit="1" customWidth="1"/>
    <col min="15820" max="16067" width="9.109375" style="8019"/>
    <col min="16068" max="16068" width="3.88671875" style="8019" customWidth="1"/>
    <col min="16069" max="16069" width="42.44140625" style="8019" customWidth="1"/>
    <col min="16070" max="16070" width="12.44140625" style="8019" customWidth="1"/>
    <col min="16071" max="16071" width="15.109375" style="8019" customWidth="1"/>
    <col min="16072" max="16072" width="14" style="8019" customWidth="1"/>
    <col min="16073" max="16073" width="15" style="8019" customWidth="1"/>
    <col min="16074" max="16074" width="11.44140625" style="8019" bestFit="1" customWidth="1"/>
    <col min="16075" max="16075" width="13.109375" style="8019" bestFit="1" customWidth="1"/>
    <col min="16076" max="16384" width="9.109375" style="8019"/>
  </cols>
  <sheetData>
    <row r="1" spans="1:18" ht="15" customHeight="1">
      <c r="A1" s="14692" t="s">
        <v>1</v>
      </c>
      <c r="B1" s="14692"/>
      <c r="C1" s="14692"/>
      <c r="D1" s="14692"/>
      <c r="E1" s="14692"/>
      <c r="F1" s="14692"/>
      <c r="G1" s="14692"/>
      <c r="H1" s="14692"/>
      <c r="I1" s="14692"/>
      <c r="J1" s="14692"/>
      <c r="K1" s="14692"/>
      <c r="L1" s="10875"/>
    </row>
    <row r="2" spans="1:18" ht="15" customHeight="1">
      <c r="A2" s="8020"/>
      <c r="B2" s="8020"/>
      <c r="C2" s="8021"/>
      <c r="D2" s="9284"/>
      <c r="E2" s="8022"/>
      <c r="F2" s="8022"/>
      <c r="G2" s="9513"/>
      <c r="H2" s="8022"/>
      <c r="I2" s="8022"/>
      <c r="J2" s="7286"/>
      <c r="K2" s="8022"/>
      <c r="L2" s="8022"/>
    </row>
    <row r="3" spans="1:18" ht="15" customHeight="1">
      <c r="A3" s="8020" t="s">
        <v>2</v>
      </c>
      <c r="B3" s="8023"/>
      <c r="C3" s="8019"/>
      <c r="D3" s="8023" t="s">
        <v>10109</v>
      </c>
      <c r="E3" s="8022"/>
      <c r="F3" s="8022"/>
      <c r="G3" s="9513"/>
      <c r="H3" s="8022"/>
      <c r="I3" s="8022"/>
      <c r="J3" s="7286"/>
      <c r="K3" s="8022"/>
      <c r="L3" s="8022"/>
    </row>
    <row r="4" spans="1:18" ht="15" customHeight="1">
      <c r="A4" s="8020"/>
      <c r="B4" s="8020"/>
      <c r="C4" s="8019"/>
      <c r="D4" s="8023" t="s">
        <v>10279</v>
      </c>
      <c r="E4" s="8022"/>
      <c r="F4" s="8022"/>
      <c r="G4" s="9513"/>
      <c r="H4" s="8022"/>
      <c r="I4" s="8022"/>
      <c r="J4" s="7286"/>
      <c r="K4" s="14691"/>
      <c r="L4" s="8515"/>
      <c r="M4" s="13960"/>
    </row>
    <row r="5" spans="1:18" ht="15" customHeight="1">
      <c r="A5" s="8020" t="s">
        <v>10716</v>
      </c>
      <c r="B5" s="8020"/>
      <c r="C5" s="8019"/>
      <c r="D5" s="8020" t="s">
        <v>207</v>
      </c>
      <c r="E5" s="8022"/>
      <c r="F5" s="8022"/>
      <c r="G5" s="9513"/>
      <c r="H5" s="12034"/>
      <c r="I5" s="8022"/>
      <c r="J5" s="7286"/>
      <c r="K5" s="14691"/>
      <c r="L5" s="12035"/>
      <c r="M5" s="13960"/>
    </row>
    <row r="6" spans="1:18" ht="15" customHeight="1" thickBot="1">
      <c r="A6" s="8024"/>
      <c r="B6" s="8025"/>
      <c r="C6" s="8025"/>
      <c r="D6" s="9286"/>
      <c r="E6" s="8026"/>
      <c r="F6" s="8027"/>
      <c r="G6" s="9514"/>
      <c r="H6" s="8026"/>
      <c r="I6" s="8027"/>
      <c r="J6" s="7294"/>
      <c r="K6" s="8026"/>
      <c r="L6" s="8034"/>
    </row>
    <row r="7" spans="1:18" ht="15" customHeight="1">
      <c r="A7" s="12041"/>
      <c r="B7" s="10157"/>
      <c r="C7" s="10157"/>
      <c r="D7" s="12042" t="s">
        <v>9</v>
      </c>
      <c r="E7" s="12043" t="s">
        <v>10</v>
      </c>
      <c r="F7" s="14188" t="s">
        <v>10711</v>
      </c>
      <c r="G7" s="14189"/>
      <c r="H7" s="14190"/>
      <c r="I7" s="11080" t="s">
        <v>9985</v>
      </c>
      <c r="J7" s="8206"/>
      <c r="K7" s="12044" t="s">
        <v>12</v>
      </c>
      <c r="L7" s="10480"/>
    </row>
    <row r="8" spans="1:18" ht="15" customHeight="1">
      <c r="A8" s="12045"/>
      <c r="B8" s="8028" t="s">
        <v>13</v>
      </c>
      <c r="C8" s="8028"/>
      <c r="D8" s="14693" t="s">
        <v>14</v>
      </c>
      <c r="E8" s="12046" t="s">
        <v>15</v>
      </c>
      <c r="F8" s="9502" t="s">
        <v>10709</v>
      </c>
      <c r="G8" s="11083" t="s">
        <v>10710</v>
      </c>
      <c r="H8" s="14191" t="s">
        <v>458</v>
      </c>
      <c r="I8" s="11084" t="s">
        <v>11871</v>
      </c>
      <c r="J8" s="11085"/>
      <c r="K8" s="12047" t="s">
        <v>16</v>
      </c>
      <c r="L8" s="10480"/>
    </row>
    <row r="9" spans="1:18" ht="15" customHeight="1" thickBot="1">
      <c r="A9" s="12048"/>
      <c r="B9" s="12049"/>
      <c r="C9" s="12049"/>
      <c r="D9" s="14694"/>
      <c r="E9" s="8036">
        <v>2017</v>
      </c>
      <c r="F9" s="9467" t="s">
        <v>457</v>
      </c>
      <c r="G9" s="11076" t="s">
        <v>456</v>
      </c>
      <c r="H9" s="14192"/>
      <c r="I9" s="7302">
        <v>2018</v>
      </c>
      <c r="J9" s="7322"/>
      <c r="K9" s="12050">
        <v>2019</v>
      </c>
      <c r="L9" s="10481"/>
    </row>
    <row r="10" spans="1:18" ht="15" customHeight="1">
      <c r="A10" s="12045"/>
      <c r="B10" s="8028"/>
      <c r="C10" s="8028"/>
      <c r="D10" s="10156"/>
      <c r="E10" s="12046"/>
      <c r="F10" s="12046"/>
      <c r="G10" s="12051"/>
      <c r="H10" s="12046"/>
      <c r="I10" s="12046"/>
      <c r="J10" s="11108"/>
      <c r="K10" s="12047"/>
      <c r="L10" s="10480"/>
    </row>
    <row r="11" spans="1:18" ht="15" customHeight="1">
      <c r="A11" s="12052" t="s">
        <v>17</v>
      </c>
      <c r="B11" s="8021" t="s">
        <v>18</v>
      </c>
      <c r="C11" s="8021"/>
      <c r="D11" s="9287"/>
      <c r="E11" s="12053"/>
      <c r="F11" s="12053"/>
      <c r="G11" s="12054"/>
      <c r="H11" s="12053"/>
      <c r="I11" s="12053"/>
      <c r="J11" s="11163"/>
      <c r="K11" s="12055"/>
      <c r="L11" s="8034"/>
    </row>
    <row r="12" spans="1:18" ht="15" customHeight="1">
      <c r="A12" s="12045"/>
      <c r="B12" s="8021" t="s">
        <v>19</v>
      </c>
      <c r="C12" s="8021"/>
      <c r="D12" s="9287"/>
      <c r="E12" s="12053"/>
      <c r="F12" s="12053"/>
      <c r="G12" s="12054"/>
      <c r="H12" s="12053"/>
      <c r="I12" s="12053"/>
      <c r="J12" s="11163"/>
      <c r="K12" s="12055"/>
      <c r="L12" s="8034"/>
    </row>
    <row r="13" spans="1:18" ht="15" customHeight="1">
      <c r="A13" s="12045"/>
      <c r="B13" s="8021" t="s">
        <v>20</v>
      </c>
      <c r="C13" s="8021"/>
      <c r="D13" s="9287">
        <v>50101010</v>
      </c>
      <c r="E13" s="12053">
        <f>'WS-PS 2017'!B12</f>
        <v>23557570.260000002</v>
      </c>
      <c r="F13" s="12053">
        <f>'WS-PS ACTUAL JUNE 2018'!B11</f>
        <v>13847374.17</v>
      </c>
      <c r="G13" s="12054">
        <f>H13-F13</f>
        <v>19988449.829999998</v>
      </c>
      <c r="H13" s="12056">
        <v>33835824</v>
      </c>
      <c r="I13" s="12056"/>
      <c r="J13" s="11165"/>
      <c r="K13" s="12057">
        <f>L13</f>
        <v>37928940</v>
      </c>
      <c r="L13" s="12036">
        <f>'staffing-SP'!F66</f>
        <v>37928940</v>
      </c>
      <c r="M13" s="7780">
        <f>'staffing-SP'!B66</f>
        <v>95</v>
      </c>
      <c r="O13" s="7310">
        <f>L13+L15</f>
        <v>43084140</v>
      </c>
    </row>
    <row r="14" spans="1:18" ht="15" customHeight="1">
      <c r="A14" s="12045"/>
      <c r="B14" s="8021" t="s">
        <v>11522</v>
      </c>
      <c r="C14" s="8021"/>
      <c r="D14" s="9287">
        <v>50101020</v>
      </c>
      <c r="E14" s="12053">
        <f>'WS-PS 2017'!C12</f>
        <v>0</v>
      </c>
      <c r="F14" s="12053"/>
      <c r="G14" s="12054">
        <f t="shared" ref="G14:G31" si="0">H14-F14</f>
        <v>1164000</v>
      </c>
      <c r="H14" s="12053">
        <v>1164000</v>
      </c>
      <c r="I14" s="12053"/>
      <c r="J14" s="11163"/>
      <c r="K14" s="12057">
        <f t="shared" ref="K14:K31" si="1">L14</f>
        <v>1164000</v>
      </c>
      <c r="L14" s="10247">
        <v>1164000</v>
      </c>
    </row>
    <row r="15" spans="1:18" ht="15" customHeight="1">
      <c r="A15" s="12045"/>
      <c r="B15" s="8021" t="s">
        <v>208</v>
      </c>
      <c r="C15" s="8021"/>
      <c r="D15" s="9287">
        <v>50101020</v>
      </c>
      <c r="E15" s="12053">
        <f>'WS-PS 2017'!D12</f>
        <v>3568993.11</v>
      </c>
      <c r="F15" s="12053">
        <f>'WS-PS ACTUAL JUNE 2018'!C11</f>
        <v>1735249.55</v>
      </c>
      <c r="G15" s="12054">
        <f t="shared" si="0"/>
        <v>3187426.45</v>
      </c>
      <c r="H15" s="12056">
        <v>4922676</v>
      </c>
      <c r="I15" s="12056"/>
      <c r="J15" s="11165"/>
      <c r="K15" s="12057">
        <f t="shared" si="1"/>
        <v>5155200</v>
      </c>
      <c r="L15" s="12036">
        <f>'staffing-SP'!F97</f>
        <v>5155200</v>
      </c>
      <c r="M15" s="12037">
        <f>'staffing-SP'!B90</f>
        <v>19</v>
      </c>
      <c r="N15" s="12038">
        <f>SUM(M13:M15)</f>
        <v>114</v>
      </c>
      <c r="O15" s="10268" t="s">
        <v>11490</v>
      </c>
      <c r="P15" s="10268" t="s">
        <v>11491</v>
      </c>
      <c r="Q15" s="10269" t="s">
        <v>11492</v>
      </c>
      <c r="R15" s="10269" t="s">
        <v>220</v>
      </c>
    </row>
    <row r="16" spans="1:18" ht="15" customHeight="1">
      <c r="A16" s="12045"/>
      <c r="B16" s="8021" t="s">
        <v>21</v>
      </c>
      <c r="C16" s="8021"/>
      <c r="D16" s="9287">
        <v>50102010</v>
      </c>
      <c r="E16" s="12053">
        <f>'WS-PS 2017'!F12</f>
        <v>2072488.37</v>
      </c>
      <c r="F16" s="12053">
        <f>'WS-PS ACTUAL JUNE 2018'!D11</f>
        <v>1145067.1399999999</v>
      </c>
      <c r="G16" s="12054">
        <f t="shared" si="0"/>
        <v>1590932.86</v>
      </c>
      <c r="H16" s="12053">
        <v>2736000</v>
      </c>
      <c r="I16" s="12053"/>
      <c r="J16" s="11163"/>
      <c r="K16" s="12057">
        <f t="shared" si="1"/>
        <v>2736000</v>
      </c>
      <c r="L16" s="7760">
        <f>24000*N15</f>
        <v>2736000</v>
      </c>
      <c r="O16" s="10270" t="s">
        <v>11494</v>
      </c>
      <c r="P16" s="10270" t="s">
        <v>11496</v>
      </c>
      <c r="Q16" s="10271" t="s">
        <v>11493</v>
      </c>
      <c r="R16" s="10272"/>
    </row>
    <row r="17" spans="1:18" ht="15" customHeight="1">
      <c r="A17" s="12045"/>
      <c r="B17" s="8021" t="s">
        <v>209</v>
      </c>
      <c r="C17" s="8021"/>
      <c r="D17" s="9287">
        <v>50102020</v>
      </c>
      <c r="E17" s="12053">
        <f>'WS-PS 2017'!G12</f>
        <v>1265550</v>
      </c>
      <c r="F17" s="12053">
        <f>'WS-PS ACTUAL JUNE 2018'!E11</f>
        <v>597150</v>
      </c>
      <c r="G17" s="12054">
        <f t="shared" si="0"/>
        <v>1052850</v>
      </c>
      <c r="H17" s="12053">
        <v>1650000</v>
      </c>
      <c r="I17" s="12053"/>
      <c r="J17" s="11163"/>
      <c r="K17" s="12057">
        <f t="shared" si="1"/>
        <v>1548000</v>
      </c>
      <c r="L17" s="7760">
        <v>1548000</v>
      </c>
      <c r="N17" s="7749" t="s">
        <v>643</v>
      </c>
      <c r="O17" s="10273">
        <f>10000*12</f>
        <v>120000</v>
      </c>
      <c r="P17" s="10274">
        <f>8500*12*13</f>
        <v>1326000</v>
      </c>
      <c r="Q17" s="10274">
        <f>8500*12</f>
        <v>102000</v>
      </c>
      <c r="R17" s="10275">
        <f>SUM(O17:Q17)</f>
        <v>1548000</v>
      </c>
    </row>
    <row r="18" spans="1:18" ht="15" customHeight="1">
      <c r="A18" s="12045"/>
      <c r="B18" s="8021" t="s">
        <v>210</v>
      </c>
      <c r="C18" s="8021"/>
      <c r="D18" s="9287">
        <v>50102030</v>
      </c>
      <c r="E18" s="12053">
        <f>'WS-PS 2017'!H12</f>
        <v>110500</v>
      </c>
      <c r="F18" s="12053">
        <f>'WS-PS ACTUAL JUNE 2018'!F11</f>
        <v>42500</v>
      </c>
      <c r="G18" s="12054">
        <f t="shared" si="0"/>
        <v>263500</v>
      </c>
      <c r="H18" s="12053">
        <v>306000</v>
      </c>
      <c r="I18" s="12053"/>
      <c r="J18" s="11163"/>
      <c r="K18" s="12057">
        <f t="shared" si="1"/>
        <v>102000</v>
      </c>
      <c r="L18" s="7760">
        <v>102000</v>
      </c>
      <c r="N18" s="7749" t="s">
        <v>644</v>
      </c>
      <c r="O18" s="10276"/>
      <c r="P18" s="10276"/>
      <c r="Q18" s="10274">
        <f>8500*12</f>
        <v>102000</v>
      </c>
      <c r="R18" s="10275">
        <f>SUM(O18:Q18)</f>
        <v>102000</v>
      </c>
    </row>
    <row r="19" spans="1:18" ht="15" customHeight="1">
      <c r="A19" s="12045"/>
      <c r="B19" s="8021" t="s">
        <v>22</v>
      </c>
      <c r="C19" s="8021"/>
      <c r="D19" s="9287">
        <v>50102040</v>
      </c>
      <c r="E19" s="12053">
        <f>'WS-PS 2017'!I12</f>
        <v>440000</v>
      </c>
      <c r="F19" s="12053">
        <f>'WS-PS ACTUAL JUNE 2018'!G11</f>
        <v>496000</v>
      </c>
      <c r="G19" s="12054">
        <f t="shared" si="0"/>
        <v>74000</v>
      </c>
      <c r="H19" s="12053">
        <v>570000</v>
      </c>
      <c r="I19" s="12053"/>
      <c r="J19" s="11163"/>
      <c r="K19" s="12057">
        <f t="shared" si="1"/>
        <v>684000</v>
      </c>
      <c r="L19" s="7760">
        <f>6000*N15</f>
        <v>684000</v>
      </c>
    </row>
    <row r="20" spans="1:18" ht="15" customHeight="1">
      <c r="A20" s="12045"/>
      <c r="B20" s="7488" t="s">
        <v>10932</v>
      </c>
      <c r="D20" s="10368">
        <v>50102080</v>
      </c>
      <c r="E20" s="12053">
        <f>'WS-PS 2017'!L12</f>
        <v>442000</v>
      </c>
      <c r="F20" s="12053">
        <f>'WS-PS ACTUAL JUNE 2018'!J11</f>
        <v>0</v>
      </c>
      <c r="G20" s="12054">
        <f t="shared" si="0"/>
        <v>570000</v>
      </c>
      <c r="H20" s="12053">
        <v>570000</v>
      </c>
      <c r="I20" s="12053"/>
      <c r="J20" s="11163"/>
      <c r="K20" s="12057">
        <f>L20</f>
        <v>570000</v>
      </c>
      <c r="L20" s="7760">
        <f>5000*N15</f>
        <v>570000</v>
      </c>
    </row>
    <row r="21" spans="1:18" ht="15" customHeight="1">
      <c r="A21" s="12045"/>
      <c r="B21" s="7488" t="s">
        <v>10934</v>
      </c>
      <c r="D21" s="8872">
        <v>50102120</v>
      </c>
      <c r="E21" s="12053">
        <f>'WS-PS 2017'!O12</f>
        <v>30000</v>
      </c>
      <c r="F21" s="12053">
        <f>'WS-PS ACTUAL JUNE 2018'!M11</f>
        <v>25000</v>
      </c>
      <c r="G21" s="12054">
        <f>H21-F21</f>
        <v>25000</v>
      </c>
      <c r="H21" s="12053">
        <v>50000</v>
      </c>
      <c r="I21" s="12053"/>
      <c r="J21" s="11163"/>
      <c r="K21" s="12057">
        <f t="shared" si="1"/>
        <v>35000</v>
      </c>
      <c r="L21" s="10248">
        <v>35000</v>
      </c>
    </row>
    <row r="22" spans="1:18" ht="15" customHeight="1">
      <c r="A22" s="12045"/>
      <c r="B22" s="8021" t="s">
        <v>141</v>
      </c>
      <c r="C22" s="8021"/>
      <c r="D22" s="9287">
        <v>50102130</v>
      </c>
      <c r="E22" s="10698">
        <f>'WS-PS 2017'!R12</f>
        <v>132546.41</v>
      </c>
      <c r="F22" s="12058">
        <f>'WS-PS ACTUAL JUNE 2018'!N11</f>
        <v>39707.93</v>
      </c>
      <c r="G22" s="12054">
        <f t="shared" si="0"/>
        <v>190292.07</v>
      </c>
      <c r="H22" s="12053">
        <v>230000</v>
      </c>
      <c r="I22" s="12053"/>
      <c r="J22" s="11163"/>
      <c r="K22" s="12057">
        <f>L22</f>
        <v>230000</v>
      </c>
      <c r="L22" s="7760">
        <v>230000</v>
      </c>
    </row>
    <row r="23" spans="1:18" ht="15" customHeight="1">
      <c r="A23" s="12045"/>
      <c r="B23" s="7488" t="s">
        <v>10933</v>
      </c>
      <c r="D23" s="8872">
        <v>50102140</v>
      </c>
      <c r="E23" s="10159">
        <f>'WS-PS 2017'!U12+'WS-PS 2017'!S12</f>
        <v>4431356.4000000004</v>
      </c>
      <c r="F23" s="12053">
        <f>'WS-PS ACTUAL JUNE 2018'!O11</f>
        <v>2373999.34</v>
      </c>
      <c r="G23" s="12054">
        <f>H23-F23</f>
        <v>3265304.66</v>
      </c>
      <c r="H23" s="12056">
        <v>5639304</v>
      </c>
      <c r="I23" s="12056"/>
      <c r="J23" s="11165"/>
      <c r="K23" s="12057">
        <f t="shared" si="1"/>
        <v>7180690</v>
      </c>
      <c r="L23" s="7760">
        <f>SUM(L13,L15)/12*2</f>
        <v>7180690</v>
      </c>
    </row>
    <row r="24" spans="1:18" ht="15" customHeight="1">
      <c r="A24" s="12045"/>
      <c r="B24" s="8021" t="s">
        <v>26</v>
      </c>
      <c r="C24" s="8021"/>
      <c r="D24" s="9287">
        <v>50102150</v>
      </c>
      <c r="E24" s="10159">
        <f>'WS-PS 2017'!T12</f>
        <v>445000</v>
      </c>
      <c r="F24" s="12053">
        <f>'WS-PS ACTUAL JUNE 2018'!Q11</f>
        <v>0</v>
      </c>
      <c r="G24" s="12054">
        <f t="shared" si="0"/>
        <v>570000</v>
      </c>
      <c r="H24" s="12053">
        <v>570000</v>
      </c>
      <c r="I24" s="12053"/>
      <c r="J24" s="11163"/>
      <c r="K24" s="12057">
        <f t="shared" si="1"/>
        <v>570000</v>
      </c>
      <c r="L24" s="7760">
        <f>5000*N15</f>
        <v>570000</v>
      </c>
    </row>
    <row r="25" spans="1:18" ht="15" customHeight="1">
      <c r="A25" s="12045"/>
      <c r="B25" s="7488" t="s">
        <v>11497</v>
      </c>
      <c r="D25" s="11257">
        <v>50102990</v>
      </c>
      <c r="E25" s="10159">
        <v>0</v>
      </c>
      <c r="F25" s="12053">
        <f>'WS-PS ACTUAL JUNE 2018'!R11</f>
        <v>0</v>
      </c>
      <c r="G25" s="12054">
        <f>H25-F25</f>
        <v>1858604</v>
      </c>
      <c r="H25" s="12053">
        <v>1858604</v>
      </c>
      <c r="I25" s="12053"/>
      <c r="J25" s="11163"/>
      <c r="K25" s="12057">
        <v>0</v>
      </c>
      <c r="L25" s="7760">
        <f>SUM(L13,L15)/12*0.575</f>
        <v>2064448.3749999998</v>
      </c>
    </row>
    <row r="26" spans="1:18" ht="15" customHeight="1">
      <c r="A26" s="12045"/>
      <c r="B26" s="7803" t="s">
        <v>11499</v>
      </c>
      <c r="C26" s="8021"/>
      <c r="D26" s="11059" t="s">
        <v>11495</v>
      </c>
      <c r="E26" s="10159">
        <f>'WS-PS 2017'!Q12</f>
        <v>0</v>
      </c>
      <c r="F26" s="12053">
        <f>'WS-PS ACTUAL JUNE 2018'!S11</f>
        <v>0</v>
      </c>
      <c r="G26" s="12054">
        <f>H26-F26</f>
        <v>0</v>
      </c>
      <c r="H26" s="12053">
        <v>0</v>
      </c>
      <c r="I26" s="12053"/>
      <c r="J26" s="11163"/>
      <c r="K26" s="12057">
        <f t="shared" si="1"/>
        <v>57000</v>
      </c>
      <c r="L26" s="7760">
        <f>3000*M15</f>
        <v>57000</v>
      </c>
    </row>
    <row r="27" spans="1:18" ht="15" customHeight="1">
      <c r="A27" s="12045"/>
      <c r="B27" s="11518" t="s">
        <v>59</v>
      </c>
      <c r="D27" s="8872">
        <v>50103010</v>
      </c>
      <c r="E27" s="10159">
        <f>'WS-PS 2017'!V12</f>
        <v>2919805.43</v>
      </c>
      <c r="F27" s="12053">
        <f>'WS-PS ACTUAL JUNE 2018'!T11</f>
        <v>1732131.33</v>
      </c>
      <c r="G27" s="12054">
        <f t="shared" si="0"/>
        <v>3777625.67</v>
      </c>
      <c r="H27" s="12056">
        <v>5509757</v>
      </c>
      <c r="I27" s="12053"/>
      <c r="J27" s="11163"/>
      <c r="K27" s="12057">
        <f t="shared" si="1"/>
        <v>5309776.8</v>
      </c>
      <c r="L27" s="10078">
        <f>SUM(L13:L15)*12%</f>
        <v>5309776.8</v>
      </c>
    </row>
    <row r="28" spans="1:18" ht="15" customHeight="1">
      <c r="A28" s="12045"/>
      <c r="B28" s="7803" t="s">
        <v>28</v>
      </c>
      <c r="D28" s="8872">
        <v>50103020</v>
      </c>
      <c r="E28" s="10159">
        <f>'WS-PS 2017'!W12</f>
        <v>99900</v>
      </c>
      <c r="F28" s="12053">
        <f>'WS-PS ACTUAL JUNE 2018'!U11</f>
        <v>57300</v>
      </c>
      <c r="G28" s="12054">
        <f t="shared" si="0"/>
        <v>79500</v>
      </c>
      <c r="H28" s="12053">
        <v>136800</v>
      </c>
      <c r="I28" s="12053"/>
      <c r="J28" s="11163"/>
      <c r="K28" s="12057">
        <f t="shared" si="1"/>
        <v>136800</v>
      </c>
      <c r="L28" s="7760">
        <f>1200*N15</f>
        <v>136800</v>
      </c>
    </row>
    <row r="29" spans="1:18" ht="15" customHeight="1">
      <c r="A29" s="12045"/>
      <c r="B29" s="7803" t="s">
        <v>29</v>
      </c>
      <c r="D29" s="8872">
        <v>50103030</v>
      </c>
      <c r="E29" s="10159">
        <f>'WS-PS 2017'!X12</f>
        <v>218087.5</v>
      </c>
      <c r="F29" s="12053">
        <f>'WS-PS ACTUAL JUNE 2018'!V11</f>
        <v>150755.24</v>
      </c>
      <c r="G29" s="12054">
        <f t="shared" si="0"/>
        <v>122844.76000000001</v>
      </c>
      <c r="H29" s="12053">
        <v>273600</v>
      </c>
      <c r="I29" s="12053"/>
      <c r="J29" s="11163"/>
      <c r="K29" s="12057">
        <v>373166.31</v>
      </c>
      <c r="L29" s="7760">
        <f>3600*N15</f>
        <v>410400</v>
      </c>
    </row>
    <row r="30" spans="1:18" ht="15" customHeight="1">
      <c r="A30" s="12045"/>
      <c r="B30" s="7803" t="s">
        <v>30</v>
      </c>
      <c r="D30" s="8872">
        <v>50103040</v>
      </c>
      <c r="E30" s="10159">
        <f>'WS-PS 2017'!Y12</f>
        <v>100303.75</v>
      </c>
      <c r="F30" s="12053">
        <f>'WS-PS ACTUAL JUNE 2018'!W11</f>
        <v>58610.43</v>
      </c>
      <c r="G30" s="12054">
        <f t="shared" si="0"/>
        <v>78189.570000000007</v>
      </c>
      <c r="H30" s="12053">
        <v>136800</v>
      </c>
      <c r="I30" s="12053"/>
      <c r="J30" s="11163"/>
      <c r="K30" s="12057">
        <f t="shared" si="1"/>
        <v>136800</v>
      </c>
      <c r="L30" s="7760">
        <f>1200*N15</f>
        <v>136800</v>
      </c>
    </row>
    <row r="31" spans="1:18" ht="15" customHeight="1">
      <c r="A31" s="12045"/>
      <c r="B31" s="7488" t="s">
        <v>5025</v>
      </c>
      <c r="D31" s="11258">
        <v>50104990</v>
      </c>
      <c r="E31" s="12053">
        <f>'WS-PS 2017'!Z12</f>
        <v>2200000</v>
      </c>
      <c r="F31" s="12053"/>
      <c r="G31" s="12054">
        <f t="shared" si="0"/>
        <v>0</v>
      </c>
      <c r="H31" s="12053">
        <v>0</v>
      </c>
      <c r="I31" s="12053"/>
      <c r="J31" s="11163"/>
      <c r="K31" s="12057">
        <f t="shared" si="1"/>
        <v>0</v>
      </c>
      <c r="L31" s="10247"/>
    </row>
    <row r="32" spans="1:18" ht="15" customHeight="1">
      <c r="A32" s="12045"/>
      <c r="B32" s="8021"/>
      <c r="C32" s="8021"/>
      <c r="D32" s="9287" t="s">
        <v>9</v>
      </c>
      <c r="E32" s="12053" t="s">
        <v>9</v>
      </c>
      <c r="F32" s="12053"/>
      <c r="G32" s="12054"/>
      <c r="H32" s="12053"/>
      <c r="I32" s="12053"/>
      <c r="J32" s="11163"/>
      <c r="K32" s="12055"/>
      <c r="L32" s="10247"/>
    </row>
    <row r="33" spans="1:13" ht="15" customHeight="1" thickBot="1">
      <c r="A33" s="12048"/>
      <c r="B33" s="12059" t="s">
        <v>37</v>
      </c>
      <c r="C33" s="12059"/>
      <c r="D33" s="10153"/>
      <c r="E33" s="12039">
        <f>SUM(E12:E32)</f>
        <v>42034101.230000004</v>
      </c>
      <c r="F33" s="8051">
        <f>SUM(F12:F32)</f>
        <v>22300845.129999999</v>
      </c>
      <c r="G33" s="8051">
        <f>SUM(G12:G32)</f>
        <v>37858519.869999997</v>
      </c>
      <c r="H33" s="8051">
        <f>SUM(H12:H32)</f>
        <v>60159365</v>
      </c>
      <c r="I33" s="8051"/>
      <c r="J33" s="7327"/>
      <c r="K33" s="12060">
        <f>SUM(K12:K32)</f>
        <v>63917373.109999999</v>
      </c>
      <c r="L33" s="8047"/>
    </row>
    <row r="34" spans="1:13" ht="15" customHeight="1">
      <c r="A34" s="8048"/>
      <c r="B34" s="8049"/>
      <c r="C34" s="8049"/>
      <c r="D34" s="9288"/>
      <c r="E34" s="8050"/>
      <c r="F34" s="8050"/>
      <c r="G34" s="9515"/>
      <c r="H34" s="8050"/>
      <c r="I34" s="8050"/>
      <c r="J34" s="7962"/>
      <c r="K34" s="8050"/>
      <c r="L34" s="8047"/>
    </row>
    <row r="35" spans="1:13" ht="15" customHeight="1">
      <c r="A35" s="8021"/>
      <c r="B35" s="8030"/>
      <c r="C35" s="8030"/>
      <c r="D35" s="9289"/>
      <c r="E35" s="8047"/>
      <c r="F35" s="8047"/>
      <c r="G35" s="9516"/>
      <c r="H35" s="8047"/>
      <c r="I35" s="8047"/>
      <c r="J35" s="7350"/>
      <c r="K35" s="8047"/>
      <c r="L35" s="8047"/>
    </row>
    <row r="36" spans="1:13" ht="15" customHeight="1">
      <c r="A36" s="8021"/>
      <c r="B36" s="8030"/>
      <c r="C36" s="8030"/>
      <c r="D36" s="9289"/>
      <c r="E36" s="8047"/>
      <c r="F36" s="8047"/>
      <c r="G36" s="9516"/>
      <c r="H36" s="8047"/>
      <c r="I36" s="8047"/>
      <c r="J36" s="7350"/>
      <c r="K36" s="8047"/>
      <c r="L36" s="8047"/>
    </row>
    <row r="37" spans="1:13" ht="15" customHeight="1">
      <c r="A37" s="8021"/>
      <c r="B37" s="8030"/>
      <c r="C37" s="8030"/>
      <c r="D37" s="9289"/>
      <c r="E37" s="8047"/>
      <c r="F37" s="8047"/>
      <c r="G37" s="9516"/>
      <c r="H37" s="8047"/>
      <c r="I37" s="8047"/>
      <c r="J37" s="7350"/>
      <c r="K37" s="8047"/>
      <c r="L37" s="8047"/>
    </row>
    <row r="38" spans="1:13" ht="15" customHeight="1" thickBot="1">
      <c r="A38" s="8035" t="s">
        <v>213</v>
      </c>
      <c r="B38" s="8035"/>
      <c r="C38" s="8035"/>
      <c r="D38" s="9290"/>
      <c r="E38" s="8027"/>
      <c r="F38" s="8027"/>
      <c r="G38" s="9514"/>
      <c r="H38" s="8027"/>
      <c r="I38" s="8027"/>
      <c r="J38" s="7294"/>
      <c r="K38" s="8027"/>
      <c r="L38" s="8034"/>
      <c r="M38" s="7861"/>
    </row>
    <row r="39" spans="1:13" ht="15" customHeight="1">
      <c r="A39" s="12041"/>
      <c r="B39" s="10157"/>
      <c r="C39" s="10157"/>
      <c r="D39" s="12042" t="s">
        <v>9</v>
      </c>
      <c r="E39" s="12043" t="s">
        <v>10</v>
      </c>
      <c r="F39" s="14188" t="s">
        <v>10711</v>
      </c>
      <c r="G39" s="14189"/>
      <c r="H39" s="14190"/>
      <c r="I39" s="12043"/>
      <c r="J39" s="9462"/>
      <c r="K39" s="12061" t="s">
        <v>12</v>
      </c>
      <c r="L39" s="10480"/>
      <c r="M39" s="7861"/>
    </row>
    <row r="40" spans="1:13" ht="15" customHeight="1">
      <c r="A40" s="12045"/>
      <c r="B40" s="8028" t="s">
        <v>13</v>
      </c>
      <c r="C40" s="8028"/>
      <c r="D40" s="14693" t="s">
        <v>14</v>
      </c>
      <c r="E40" s="12046" t="s">
        <v>15</v>
      </c>
      <c r="F40" s="9502" t="s">
        <v>10709</v>
      </c>
      <c r="G40" s="11083" t="s">
        <v>10710</v>
      </c>
      <c r="H40" s="14191" t="s">
        <v>458</v>
      </c>
      <c r="I40" s="12046"/>
      <c r="J40" s="11108"/>
      <c r="K40" s="12062" t="s">
        <v>16</v>
      </c>
      <c r="L40" s="10480"/>
      <c r="M40" s="7861"/>
    </row>
    <row r="41" spans="1:13" ht="15" customHeight="1" thickBot="1">
      <c r="A41" s="12048"/>
      <c r="B41" s="12049"/>
      <c r="C41" s="12049"/>
      <c r="D41" s="14694"/>
      <c r="E41" s="8036">
        <v>2017</v>
      </c>
      <c r="F41" s="9467" t="s">
        <v>457</v>
      </c>
      <c r="G41" s="11076" t="s">
        <v>456</v>
      </c>
      <c r="H41" s="14192"/>
      <c r="I41" s="8036"/>
      <c r="J41" s="7322"/>
      <c r="K41" s="12063">
        <v>2019</v>
      </c>
      <c r="L41" s="10481"/>
      <c r="M41" s="7861"/>
    </row>
    <row r="42" spans="1:13" ht="15" customHeight="1">
      <c r="A42" s="12045"/>
      <c r="B42" s="8028"/>
      <c r="C42" s="8028"/>
      <c r="D42" s="10156"/>
      <c r="E42" s="12064"/>
      <c r="F42" s="11123"/>
      <c r="G42" s="11073"/>
      <c r="H42" s="11123"/>
      <c r="I42" s="12064"/>
      <c r="J42" s="11108"/>
      <c r="K42" s="12065"/>
      <c r="L42" s="10481"/>
      <c r="M42" s="7861"/>
    </row>
    <row r="43" spans="1:13" ht="15" customHeight="1">
      <c r="A43" s="12052"/>
      <c r="B43" s="8021" t="s">
        <v>38</v>
      </c>
      <c r="C43" s="8021"/>
      <c r="D43" s="9287"/>
      <c r="E43" s="12053"/>
      <c r="F43" s="12053"/>
      <c r="G43" s="12054"/>
      <c r="H43" s="12053"/>
      <c r="I43" s="12066"/>
      <c r="J43" s="11163"/>
      <c r="K43" s="12055"/>
      <c r="L43" s="8034"/>
    </row>
    <row r="44" spans="1:13" ht="15" customHeight="1">
      <c r="A44" s="12052"/>
      <c r="B44" s="8021" t="s">
        <v>10517</v>
      </c>
      <c r="C44" s="8021"/>
      <c r="D44" s="9287">
        <v>50201010</v>
      </c>
      <c r="E44" s="12053"/>
      <c r="F44" s="12053"/>
      <c r="G44" s="12054"/>
      <c r="H44" s="12053"/>
      <c r="I44" s="10159"/>
      <c r="J44" s="11163"/>
      <c r="K44" s="12055"/>
      <c r="L44" s="8034"/>
    </row>
    <row r="45" spans="1:13" ht="15" customHeight="1">
      <c r="A45" s="12045"/>
      <c r="B45" s="8021" t="s">
        <v>10515</v>
      </c>
      <c r="C45" s="8021"/>
      <c r="D45" s="9287"/>
      <c r="E45" s="12053">
        <f>'ACTUAL KAGAWAD 2017'!B21</f>
        <v>744672.64</v>
      </c>
      <c r="F45" s="12053">
        <f>'ACTUAL KAGAWAD JUNE 2018'!B20</f>
        <v>93369</v>
      </c>
      <c r="G45" s="12054">
        <f>H45-F45</f>
        <v>1506631</v>
      </c>
      <c r="H45" s="12053">
        <v>1600000</v>
      </c>
      <c r="I45" s="10159">
        <v>239419.43</v>
      </c>
      <c r="J45" s="11163">
        <f>I45/H45</f>
        <v>0.14963714375000001</v>
      </c>
      <c r="K45" s="12055">
        <v>1700000</v>
      </c>
      <c r="L45" s="8034"/>
    </row>
    <row r="46" spans="1:13" ht="15" customHeight="1">
      <c r="A46" s="12045"/>
      <c r="B46" s="8021" t="s">
        <v>12224</v>
      </c>
      <c r="C46" s="8021"/>
      <c r="D46" s="9287"/>
      <c r="E46" s="12053">
        <f>SUM('ACTUAL KAGAWAD 2017'!B5:B17)</f>
        <v>224937.9</v>
      </c>
      <c r="F46" s="12053">
        <f>'ACTUAL KAGAWAD JUNE 2018'!B18</f>
        <v>153245.53999999998</v>
      </c>
      <c r="G46" s="12054">
        <f>H46-F46</f>
        <v>2446754.46</v>
      </c>
      <c r="H46" s="12053">
        <v>2600000</v>
      </c>
      <c r="I46" s="8882">
        <f>'ACTUAL KAGAWAD JUNE 2018'!B41</f>
        <v>340134.54</v>
      </c>
      <c r="J46" s="11163">
        <f>I46/H46</f>
        <v>0.13082097692307693</v>
      </c>
      <c r="K46" s="12055">
        <v>2800000</v>
      </c>
      <c r="L46" s="8034"/>
      <c r="M46" s="7861"/>
    </row>
    <row r="47" spans="1:13" ht="15" customHeight="1">
      <c r="A47" s="12045"/>
      <c r="B47" s="8021" t="s">
        <v>211</v>
      </c>
      <c r="C47" s="8021"/>
      <c r="D47" s="9287"/>
      <c r="E47" s="12053">
        <f>'ACTUAL KAGAWAD 2017'!B20</f>
        <v>7485</v>
      </c>
      <c r="F47" s="12053">
        <f>'ACTUAL KAGAWAD JUNE 2018'!B19</f>
        <v>0</v>
      </c>
      <c r="G47" s="12054">
        <f>H47-F47</f>
        <v>450000</v>
      </c>
      <c r="H47" s="12053">
        <v>450000</v>
      </c>
      <c r="I47" s="10159">
        <v>0</v>
      </c>
      <c r="J47" s="11163">
        <f>I47/H47</f>
        <v>0</v>
      </c>
      <c r="K47" s="12055">
        <v>450000</v>
      </c>
      <c r="L47" s="8034"/>
      <c r="M47" s="7861"/>
    </row>
    <row r="48" spans="1:13" ht="15" customHeight="1">
      <c r="A48" s="12045"/>
      <c r="B48" s="8021" t="s">
        <v>10269</v>
      </c>
      <c r="C48" s="8021"/>
      <c r="D48" s="9287"/>
      <c r="E48" s="12053">
        <f>'ACTUAL KAGAWAD 2017'!B19</f>
        <v>20112</v>
      </c>
      <c r="F48" s="12053">
        <f>'ACTUAL KAGAWAD JUNE 2018'!B21</f>
        <v>20212</v>
      </c>
      <c r="G48" s="12054">
        <f>H48-F48</f>
        <v>74788</v>
      </c>
      <c r="H48" s="12053">
        <v>95000</v>
      </c>
      <c r="I48" s="10159">
        <v>21163</v>
      </c>
      <c r="J48" s="11163">
        <f>I48/H48</f>
        <v>0.22276842105263159</v>
      </c>
      <c r="K48" s="12055">
        <v>100000</v>
      </c>
      <c r="L48" s="8034"/>
      <c r="M48" s="7861">
        <f>SUM(K45:K48)</f>
        <v>5050000</v>
      </c>
    </row>
    <row r="49" spans="1:13" ht="15" customHeight="1">
      <c r="A49" s="12045"/>
      <c r="B49" s="8021" t="s">
        <v>10324</v>
      </c>
      <c r="C49" s="8021"/>
      <c r="D49" s="9287">
        <v>50201010</v>
      </c>
      <c r="E49" s="12053"/>
      <c r="F49" s="12053"/>
      <c r="G49" s="12054"/>
      <c r="H49" s="12053"/>
      <c r="I49" s="12053"/>
      <c r="J49" s="11163"/>
      <c r="K49" s="12055"/>
      <c r="L49" s="8034"/>
      <c r="M49" s="7861"/>
    </row>
    <row r="50" spans="1:13" ht="15" customHeight="1">
      <c r="A50" s="12045"/>
      <c r="B50" s="8021" t="s">
        <v>10516</v>
      </c>
      <c r="C50" s="8021"/>
      <c r="D50" s="9287"/>
      <c r="E50" s="12053">
        <f>'ACTUAL KAGAWAD 2017'!C21</f>
        <v>592900</v>
      </c>
      <c r="F50" s="12053">
        <f>'ACTUAL KAGAWAD JUNE 2018'!C20</f>
        <v>1000</v>
      </c>
      <c r="G50" s="12054">
        <f t="shared" ref="G50:G62" si="2">H50-F50</f>
        <v>3549000</v>
      </c>
      <c r="H50" s="12053">
        <v>3550000</v>
      </c>
      <c r="I50" s="12053">
        <v>1925700</v>
      </c>
      <c r="J50" s="11163">
        <f>I50/H50</f>
        <v>0.54245070422535213</v>
      </c>
      <c r="K50" s="12055">
        <v>4511900</v>
      </c>
      <c r="L50" s="8034"/>
      <c r="M50" s="7861"/>
    </row>
    <row r="51" spans="1:13" ht="15" customHeight="1">
      <c r="A51" s="12045"/>
      <c r="B51" s="8021" t="s">
        <v>12224</v>
      </c>
      <c r="C51" s="8021"/>
      <c r="D51" s="9287"/>
      <c r="E51" s="12053">
        <f>'ACTUAL KAGAWAD 2017'!C18</f>
        <v>151880.76</v>
      </c>
      <c r="F51" s="12053">
        <f>'ACTUAL KAGAWAD JUNE 2018'!C18</f>
        <v>0</v>
      </c>
      <c r="G51" s="12054"/>
      <c r="H51" s="12053"/>
      <c r="I51" s="12053"/>
      <c r="J51" s="11163"/>
      <c r="K51" s="12055"/>
      <c r="L51" s="8034"/>
      <c r="M51" s="7861"/>
    </row>
    <row r="52" spans="1:13" ht="15" customHeight="1">
      <c r="A52" s="12045"/>
      <c r="B52" s="8021" t="s">
        <v>10269</v>
      </c>
      <c r="C52" s="8021"/>
      <c r="D52" s="9287"/>
      <c r="E52" s="12053">
        <f>'ACTUAL KAGAWAD 2017'!C19</f>
        <v>51400</v>
      </c>
      <c r="F52" s="12053">
        <f>'ACTUAL KAGAWAD JUNE 2018'!C21</f>
        <v>0</v>
      </c>
      <c r="G52" s="12054">
        <f t="shared" si="2"/>
        <v>73500</v>
      </c>
      <c r="H52" s="12053">
        <v>73500</v>
      </c>
      <c r="I52" s="12053">
        <v>53100</v>
      </c>
      <c r="J52" s="11163">
        <f>I52/H52</f>
        <v>0.72244897959183674</v>
      </c>
      <c r="K52" s="12055">
        <v>80000</v>
      </c>
      <c r="L52" s="8034"/>
      <c r="M52" s="10479">
        <f>SUM(K50:K52)</f>
        <v>4591900</v>
      </c>
    </row>
    <row r="53" spans="1:13" ht="15" customHeight="1">
      <c r="A53" s="12045"/>
      <c r="B53" s="8021" t="s">
        <v>10518</v>
      </c>
      <c r="C53" s="8021"/>
      <c r="D53" s="9287">
        <v>50203010</v>
      </c>
      <c r="E53" s="12053"/>
      <c r="F53" s="12053"/>
      <c r="G53" s="12054"/>
      <c r="H53" s="12053"/>
      <c r="I53" s="12053"/>
      <c r="J53" s="11163"/>
      <c r="K53" s="12055"/>
      <c r="L53" s="8034"/>
      <c r="M53" s="7861"/>
    </row>
    <row r="54" spans="1:13" ht="15" customHeight="1">
      <c r="A54" s="12045"/>
      <c r="B54" s="8021" t="s">
        <v>10516</v>
      </c>
      <c r="C54" s="8021"/>
      <c r="D54" s="9287"/>
      <c r="E54" s="12053">
        <f>'ACTUAL KAGAWAD 2017'!D21</f>
        <v>719751</v>
      </c>
      <c r="F54" s="12053">
        <f>'ACTUAL KAGAWAD JUNE 2018'!D20</f>
        <v>15829.5</v>
      </c>
      <c r="G54" s="12054">
        <f t="shared" si="2"/>
        <v>984170.5</v>
      </c>
      <c r="H54" s="12053">
        <v>1000000</v>
      </c>
      <c r="I54" s="12053">
        <v>325837.78999999998</v>
      </c>
      <c r="J54" s="11163">
        <f t="shared" ref="J54:J59" si="3">I54/H54</f>
        <v>0.32583778999999996</v>
      </c>
      <c r="K54" s="12055">
        <v>1000000</v>
      </c>
      <c r="L54" s="8034"/>
      <c r="M54" s="7861"/>
    </row>
    <row r="55" spans="1:13" ht="15" customHeight="1">
      <c r="A55" s="12045"/>
      <c r="B55" s="8021" t="s">
        <v>12224</v>
      </c>
      <c r="C55" s="8021"/>
      <c r="D55" s="9287"/>
      <c r="E55" s="12053">
        <f>SUM('ACTUAL KAGAWAD 2017'!D5:D17)</f>
        <v>1491551.65</v>
      </c>
      <c r="F55" s="12053">
        <f>'ACTUAL KAGAWAD JUNE 2018'!D18</f>
        <v>242585.95</v>
      </c>
      <c r="G55" s="12054">
        <f t="shared" si="2"/>
        <v>4307414.05</v>
      </c>
      <c r="H55" s="12053">
        <v>4550000</v>
      </c>
      <c r="I55" s="12053">
        <f>'ACTUAL KAGAWAD JUNE 2018'!D41</f>
        <v>2017262.75</v>
      </c>
      <c r="J55" s="11163">
        <f t="shared" si="3"/>
        <v>0.44335445054945055</v>
      </c>
      <c r="K55" s="12055">
        <v>4680000</v>
      </c>
      <c r="L55" s="8034"/>
      <c r="M55" s="7861"/>
    </row>
    <row r="56" spans="1:13" ht="15" customHeight="1">
      <c r="A56" s="12045"/>
      <c r="B56" s="8021" t="s">
        <v>211</v>
      </c>
      <c r="C56" s="8021"/>
      <c r="D56" s="9287"/>
      <c r="E56" s="12053">
        <f>'ACTUAL KAGAWAD 2017'!D20</f>
        <v>258098.45</v>
      </c>
      <c r="F56" s="12053">
        <f>'ACTUAL KAGAWAD JUNE 2018'!D19</f>
        <v>20944.25</v>
      </c>
      <c r="G56" s="12054">
        <f t="shared" si="2"/>
        <v>479055.75</v>
      </c>
      <c r="H56" s="12053">
        <v>500000</v>
      </c>
      <c r="I56" s="12053">
        <v>186959.95</v>
      </c>
      <c r="J56" s="11163">
        <f t="shared" si="3"/>
        <v>0.37391990000000003</v>
      </c>
      <c r="K56" s="12055">
        <v>500000</v>
      </c>
      <c r="L56" s="8034"/>
      <c r="M56" s="7861"/>
    </row>
    <row r="57" spans="1:13" ht="15" customHeight="1">
      <c r="A57" s="12045"/>
      <c r="B57" s="8021" t="s">
        <v>10269</v>
      </c>
      <c r="C57" s="8021"/>
      <c r="D57" s="9287"/>
      <c r="E57" s="12053">
        <f>'ACTUAL KAGAWAD 2017'!D19</f>
        <v>71331.34</v>
      </c>
      <c r="F57" s="12053">
        <f>'ACTUAL KAGAWAD JUNE 2018'!D21</f>
        <v>30099.200000000001</v>
      </c>
      <c r="G57" s="12054">
        <f t="shared" si="2"/>
        <v>169900.79999999999</v>
      </c>
      <c r="H57" s="12053">
        <v>200000</v>
      </c>
      <c r="I57" s="12053">
        <v>103747.75</v>
      </c>
      <c r="J57" s="11163">
        <f t="shared" si="3"/>
        <v>0.51873875000000003</v>
      </c>
      <c r="K57" s="12055">
        <v>210000</v>
      </c>
      <c r="L57" s="8034"/>
      <c r="M57" s="7861">
        <f>SUM(K54:K57)</f>
        <v>6390000</v>
      </c>
    </row>
    <row r="58" spans="1:13" ht="15" customHeight="1">
      <c r="A58" s="12045"/>
      <c r="B58" s="8021" t="s">
        <v>44</v>
      </c>
      <c r="C58" s="8021"/>
      <c r="D58" s="9287">
        <v>50203090</v>
      </c>
      <c r="E58" s="12053">
        <f>'WS-MOOE 2017'!R12</f>
        <v>1941343.57</v>
      </c>
      <c r="F58" s="12053">
        <f>'WS-MOOE ACTUAL JUNE 2018'!O12</f>
        <v>930</v>
      </c>
      <c r="G58" s="12054">
        <f t="shared" si="2"/>
        <v>7999070</v>
      </c>
      <c r="H58" s="12053">
        <v>8000000</v>
      </c>
      <c r="I58" s="12053">
        <v>4611210</v>
      </c>
      <c r="J58" s="11163">
        <f t="shared" si="3"/>
        <v>0.57640124999999998</v>
      </c>
      <c r="K58" s="12055">
        <v>8100000</v>
      </c>
      <c r="L58" s="8034"/>
      <c r="M58" s="7861"/>
    </row>
    <row r="59" spans="1:13" ht="15" customHeight="1">
      <c r="A59" s="12045"/>
      <c r="B59" s="7951" t="s">
        <v>144</v>
      </c>
      <c r="C59" s="8021"/>
      <c r="D59" s="9287">
        <v>50203110</v>
      </c>
      <c r="E59" s="12053">
        <f>'ACTUAL KAGAWAD 2017'!E19</f>
        <v>37500</v>
      </c>
      <c r="F59" s="12053">
        <f>'ACTUAL KAGAWAD JUNE 2018'!E20</f>
        <v>0</v>
      </c>
      <c r="G59" s="12054">
        <f t="shared" si="2"/>
        <v>300000</v>
      </c>
      <c r="H59" s="12053">
        <v>300000</v>
      </c>
      <c r="I59" s="12053">
        <v>267000</v>
      </c>
      <c r="J59" s="11163">
        <f t="shared" si="3"/>
        <v>0.89</v>
      </c>
      <c r="K59" s="12055">
        <f>450000+60000</f>
        <v>510000</v>
      </c>
      <c r="L59" s="8034"/>
      <c r="M59" s="7861"/>
    </row>
    <row r="60" spans="1:13" ht="15" customHeight="1">
      <c r="A60" s="12045"/>
      <c r="B60" s="7951" t="s">
        <v>46</v>
      </c>
      <c r="C60" s="8021"/>
      <c r="D60" s="9287">
        <v>50204020</v>
      </c>
      <c r="E60" s="12053"/>
      <c r="F60" s="12053"/>
      <c r="G60" s="12054"/>
      <c r="H60" s="12053"/>
      <c r="I60" s="12053"/>
      <c r="J60" s="11163"/>
      <c r="K60" s="12067"/>
      <c r="L60" s="8034"/>
      <c r="M60" s="7861"/>
    </row>
    <row r="61" spans="1:13" ht="15" customHeight="1">
      <c r="A61" s="12045"/>
      <c r="B61" s="8021" t="s">
        <v>10519</v>
      </c>
      <c r="C61" s="8021"/>
      <c r="D61" s="9287"/>
      <c r="E61" s="12053">
        <f>'ACTUAL KAGAWAD 2017'!F21</f>
        <v>1263560.6299999999</v>
      </c>
      <c r="F61" s="12053">
        <f>'ACTUAL KAGAWAD JUNE 2018'!F20</f>
        <v>416794.47</v>
      </c>
      <c r="G61" s="12054">
        <f t="shared" si="2"/>
        <v>1083205.53</v>
      </c>
      <c r="H61" s="12053">
        <v>1500000</v>
      </c>
      <c r="I61" s="12053">
        <v>660788.77</v>
      </c>
      <c r="J61" s="11163">
        <f>I61/H61</f>
        <v>0.44052584666666667</v>
      </c>
      <c r="K61" s="12068">
        <v>0</v>
      </c>
      <c r="L61" s="8029">
        <v>1500000</v>
      </c>
      <c r="M61" s="7861"/>
    </row>
    <row r="62" spans="1:13" ht="15" customHeight="1">
      <c r="A62" s="12045"/>
      <c r="B62" s="8021" t="s">
        <v>10269</v>
      </c>
      <c r="C62" s="8021"/>
      <c r="D62" s="9287"/>
      <c r="E62" s="12053">
        <f>'ACTUAL KAGAWAD 2017'!F19</f>
        <v>304286.59000000003</v>
      </c>
      <c r="F62" s="12053">
        <f>'ACTUAL KAGAWAD JUNE 2018'!F21</f>
        <v>106229.51</v>
      </c>
      <c r="G62" s="12054">
        <f t="shared" si="2"/>
        <v>273770.49</v>
      </c>
      <c r="H62" s="12053">
        <v>380000</v>
      </c>
      <c r="I62" s="12053">
        <v>169223.91</v>
      </c>
      <c r="J62" s="11163">
        <f>I62/H62</f>
        <v>0.44532607894736842</v>
      </c>
      <c r="K62" s="12068">
        <v>0</v>
      </c>
      <c r="L62" s="8032">
        <v>380000</v>
      </c>
      <c r="M62" s="10699">
        <f>SUM(L61:L62)</f>
        <v>1880000</v>
      </c>
    </row>
    <row r="63" spans="1:13" ht="15" customHeight="1" thickBot="1">
      <c r="A63" s="12048"/>
      <c r="B63" s="8035"/>
      <c r="C63" s="12069"/>
      <c r="D63" s="10153"/>
      <c r="E63" s="10154"/>
      <c r="F63" s="10154"/>
      <c r="G63" s="10155"/>
      <c r="H63" s="10154"/>
      <c r="I63" s="10154"/>
      <c r="J63" s="7573"/>
      <c r="K63" s="12070"/>
      <c r="L63" s="8034"/>
      <c r="M63" s="7861"/>
    </row>
    <row r="64" spans="1:13" ht="15" customHeight="1">
      <c r="A64" s="8021"/>
      <c r="B64" s="8021"/>
      <c r="C64" s="8021"/>
      <c r="D64" s="9289"/>
      <c r="E64" s="8034"/>
      <c r="F64" s="8034"/>
      <c r="G64" s="9517"/>
      <c r="H64" s="8034"/>
      <c r="I64" s="8034"/>
      <c r="J64" s="7290"/>
      <c r="K64" s="8034"/>
      <c r="L64" s="8034"/>
      <c r="M64" s="7861"/>
    </row>
    <row r="65" spans="1:13" ht="15" customHeight="1">
      <c r="A65" s="8021"/>
      <c r="B65" s="8021"/>
      <c r="C65" s="8021"/>
      <c r="D65" s="9289"/>
      <c r="E65" s="8034"/>
      <c r="F65" s="8034"/>
      <c r="G65" s="9517"/>
      <c r="H65" s="8034"/>
      <c r="I65" s="8034"/>
      <c r="J65" s="7290"/>
      <c r="K65" s="8034"/>
      <c r="L65" s="8034"/>
      <c r="M65" s="7861"/>
    </row>
    <row r="66" spans="1:13" ht="15" customHeight="1">
      <c r="A66" s="8021"/>
      <c r="B66" s="8021"/>
      <c r="C66" s="8021"/>
      <c r="D66" s="9289"/>
      <c r="E66" s="8034"/>
      <c r="F66" s="8034"/>
      <c r="G66" s="9517"/>
      <c r="H66" s="8034"/>
      <c r="I66" s="8034"/>
      <c r="J66" s="7290"/>
      <c r="K66" s="8034"/>
      <c r="L66" s="8034"/>
      <c r="M66" s="7861"/>
    </row>
    <row r="67" spans="1:13" ht="15" customHeight="1">
      <c r="A67" s="8021"/>
      <c r="B67" s="8021"/>
      <c r="C67" s="8021"/>
      <c r="D67" s="9289"/>
      <c r="E67" s="8034"/>
      <c r="F67" s="8034"/>
      <c r="G67" s="9517"/>
      <c r="H67" s="8034"/>
      <c r="I67" s="8034"/>
      <c r="J67" s="7290"/>
      <c r="K67" s="8034"/>
      <c r="L67" s="8034"/>
      <c r="M67" s="7861"/>
    </row>
    <row r="68" spans="1:13" ht="15" customHeight="1">
      <c r="A68" s="8021"/>
      <c r="B68" s="8021"/>
      <c r="C68" s="8021"/>
      <c r="D68" s="9289"/>
      <c r="E68" s="8034"/>
      <c r="F68" s="8034"/>
      <c r="G68" s="9517"/>
      <c r="H68" s="8034"/>
      <c r="I68" s="8034"/>
      <c r="J68" s="7290"/>
      <c r="K68" s="8034"/>
      <c r="L68" s="8034"/>
      <c r="M68" s="7861"/>
    </row>
    <row r="69" spans="1:13" ht="15" customHeight="1">
      <c r="A69" s="8021"/>
      <c r="B69" s="8021"/>
      <c r="C69" s="8021"/>
      <c r="D69" s="9289"/>
      <c r="E69" s="8034"/>
      <c r="F69" s="8034"/>
      <c r="G69" s="9517"/>
      <c r="H69" s="8034"/>
      <c r="I69" s="8034"/>
      <c r="J69" s="7290"/>
      <c r="K69" s="8034"/>
      <c r="L69" s="8034"/>
      <c r="M69" s="7861"/>
    </row>
    <row r="70" spans="1:13" ht="15" customHeight="1">
      <c r="A70" s="8021"/>
      <c r="B70" s="8021"/>
      <c r="C70" s="8021"/>
      <c r="D70" s="9289"/>
      <c r="E70" s="8034"/>
      <c r="F70" s="8034"/>
      <c r="G70" s="9517"/>
      <c r="H70" s="8034"/>
      <c r="I70" s="8034"/>
      <c r="J70" s="7290"/>
      <c r="K70" s="8034"/>
      <c r="L70" s="8034"/>
      <c r="M70" s="7861"/>
    </row>
    <row r="71" spans="1:13" ht="15" customHeight="1">
      <c r="A71" s="8021"/>
      <c r="B71" s="8021"/>
      <c r="C71" s="8021"/>
      <c r="D71" s="9289"/>
      <c r="E71" s="8034"/>
      <c r="F71" s="8034"/>
      <c r="G71" s="9517"/>
      <c r="H71" s="8034"/>
      <c r="I71" s="8034"/>
      <c r="J71" s="7290"/>
      <c r="K71" s="8034"/>
      <c r="L71" s="8034"/>
      <c r="M71" s="7861"/>
    </row>
    <row r="72" spans="1:13" ht="15" customHeight="1">
      <c r="A72" s="8021"/>
      <c r="B72" s="8021"/>
      <c r="C72" s="8021"/>
      <c r="D72" s="9289"/>
      <c r="E72" s="8034"/>
      <c r="F72" s="8034"/>
      <c r="G72" s="9517"/>
      <c r="H72" s="8034"/>
      <c r="I72" s="8034"/>
      <c r="J72" s="7290"/>
      <c r="K72" s="8034"/>
      <c r="L72" s="8034"/>
      <c r="M72" s="7861"/>
    </row>
    <row r="73" spans="1:13" ht="15" customHeight="1">
      <c r="A73" s="8021"/>
      <c r="B73" s="8021"/>
      <c r="C73" s="8021"/>
      <c r="D73" s="9289"/>
      <c r="E73" s="8034"/>
      <c r="F73" s="8034"/>
      <c r="G73" s="9517"/>
      <c r="H73" s="8034"/>
      <c r="I73" s="8034"/>
      <c r="J73" s="7290"/>
      <c r="K73" s="8034"/>
      <c r="L73" s="8034"/>
      <c r="M73" s="7861"/>
    </row>
    <row r="74" spans="1:13" ht="15" customHeight="1">
      <c r="A74" s="8021"/>
      <c r="B74" s="8021"/>
      <c r="C74" s="8021"/>
      <c r="D74" s="9289"/>
      <c r="E74" s="8034"/>
      <c r="F74" s="8034"/>
      <c r="G74" s="9517"/>
      <c r="H74" s="8034"/>
      <c r="I74" s="8034"/>
      <c r="J74" s="7290"/>
      <c r="K74" s="8034"/>
      <c r="L74" s="8034"/>
      <c r="M74" s="7861"/>
    </row>
    <row r="75" spans="1:13" ht="15" customHeight="1" thickBot="1">
      <c r="A75" s="8035" t="s">
        <v>5945</v>
      </c>
      <c r="B75" s="8035"/>
      <c r="C75" s="8035"/>
      <c r="D75" s="9290"/>
      <c r="E75" s="8027"/>
      <c r="F75" s="8027"/>
      <c r="G75" s="9514"/>
      <c r="H75" s="8027"/>
      <c r="I75" s="8027"/>
      <c r="J75" s="7294"/>
      <c r="K75" s="8027"/>
      <c r="L75" s="8034"/>
      <c r="M75" s="7861"/>
    </row>
    <row r="76" spans="1:13" ht="15" customHeight="1">
      <c r="A76" s="12041"/>
      <c r="B76" s="10157"/>
      <c r="C76" s="10157"/>
      <c r="D76" s="12042" t="s">
        <v>9</v>
      </c>
      <c r="E76" s="12043" t="s">
        <v>10</v>
      </c>
      <c r="F76" s="14188" t="s">
        <v>10711</v>
      </c>
      <c r="G76" s="14189"/>
      <c r="H76" s="14190"/>
      <c r="I76" s="12043"/>
      <c r="J76" s="9462"/>
      <c r="K76" s="12061" t="s">
        <v>12</v>
      </c>
      <c r="L76" s="10480"/>
      <c r="M76" s="7861"/>
    </row>
    <row r="77" spans="1:13" ht="15" customHeight="1">
      <c r="A77" s="12045"/>
      <c r="B77" s="8028" t="s">
        <v>13</v>
      </c>
      <c r="C77" s="8028"/>
      <c r="D77" s="14693" t="s">
        <v>14</v>
      </c>
      <c r="E77" s="12046" t="s">
        <v>15</v>
      </c>
      <c r="F77" s="9502" t="s">
        <v>10709</v>
      </c>
      <c r="G77" s="11083" t="s">
        <v>10710</v>
      </c>
      <c r="H77" s="14191" t="s">
        <v>458</v>
      </c>
      <c r="I77" s="12046"/>
      <c r="J77" s="11108"/>
      <c r="K77" s="12062" t="s">
        <v>16</v>
      </c>
      <c r="L77" s="10480"/>
      <c r="M77" s="7861"/>
    </row>
    <row r="78" spans="1:13" ht="15" customHeight="1" thickBot="1">
      <c r="A78" s="12048"/>
      <c r="B78" s="12049"/>
      <c r="C78" s="12049"/>
      <c r="D78" s="14694"/>
      <c r="E78" s="8036">
        <v>2017</v>
      </c>
      <c r="F78" s="9467" t="s">
        <v>457</v>
      </c>
      <c r="G78" s="11076" t="s">
        <v>456</v>
      </c>
      <c r="H78" s="14192"/>
      <c r="I78" s="8036"/>
      <c r="J78" s="7322"/>
      <c r="K78" s="12063">
        <v>2019</v>
      </c>
      <c r="L78" s="10481"/>
      <c r="M78" s="7861"/>
    </row>
    <row r="79" spans="1:13" ht="15" customHeight="1">
      <c r="A79" s="12045"/>
      <c r="B79" s="8028"/>
      <c r="C79" s="8028"/>
      <c r="D79" s="10156"/>
      <c r="E79" s="12064"/>
      <c r="F79" s="11123"/>
      <c r="G79" s="11073"/>
      <c r="H79" s="11123"/>
      <c r="I79" s="12064"/>
      <c r="J79" s="11108"/>
      <c r="K79" s="12065"/>
      <c r="L79" s="10481"/>
      <c r="M79" s="7861"/>
    </row>
    <row r="80" spans="1:13" ht="15" customHeight="1">
      <c r="A80" s="12045"/>
      <c r="B80" s="8021" t="s">
        <v>125</v>
      </c>
      <c r="C80" s="8021"/>
      <c r="D80" s="9287">
        <v>50205010</v>
      </c>
      <c r="E80" s="12053"/>
      <c r="F80" s="12053"/>
      <c r="G80" s="12054"/>
      <c r="H80" s="12053"/>
      <c r="I80" s="12053"/>
      <c r="J80" s="11163"/>
      <c r="K80" s="12055"/>
      <c r="L80" s="8034"/>
      <c r="M80" s="7861"/>
    </row>
    <row r="81" spans="1:16" ht="15" customHeight="1">
      <c r="A81" s="12045"/>
      <c r="B81" s="8021" t="s">
        <v>10519</v>
      </c>
      <c r="C81" s="8021"/>
      <c r="D81" s="9287"/>
      <c r="E81" s="12053">
        <f>'ACTUAL KAGAWAD 2017'!G21</f>
        <v>9605</v>
      </c>
      <c r="F81" s="12053">
        <f>'ACTUAL KAGAWAD JUNE 2018'!G20</f>
        <v>3579</v>
      </c>
      <c r="G81" s="12054">
        <f>H81-F81</f>
        <v>96421</v>
      </c>
      <c r="H81" s="12053">
        <v>100000</v>
      </c>
      <c r="I81" s="12053">
        <v>3992</v>
      </c>
      <c r="J81" s="11163">
        <f>I81/H81</f>
        <v>3.9919999999999997E-2</v>
      </c>
      <c r="K81" s="12055">
        <v>100000</v>
      </c>
      <c r="L81" s="8034"/>
      <c r="M81" s="7861"/>
    </row>
    <row r="82" spans="1:16" ht="15" customHeight="1">
      <c r="A82" s="12045"/>
      <c r="B82" s="8021" t="s">
        <v>10269</v>
      </c>
      <c r="C82" s="8021"/>
      <c r="D82" s="9287"/>
      <c r="E82" s="12053">
        <f>'ACTUAL KAGAWAD 2017'!G19</f>
        <v>1400</v>
      </c>
      <c r="F82" s="12053">
        <f>'ACTUAL KAGAWAD JUNE 2018'!G21</f>
        <v>500</v>
      </c>
      <c r="G82" s="12054">
        <f>H82-F82</f>
        <v>6850</v>
      </c>
      <c r="H82" s="12053">
        <v>7350</v>
      </c>
      <c r="I82" s="12053"/>
      <c r="J82" s="11163">
        <f>I82/H82</f>
        <v>0</v>
      </c>
      <c r="K82" s="12055">
        <v>7350</v>
      </c>
      <c r="L82" s="8034"/>
      <c r="M82" s="7861">
        <f>SUM(K81:K82)</f>
        <v>107350</v>
      </c>
    </row>
    <row r="83" spans="1:16" ht="15" customHeight="1">
      <c r="A83" s="12045"/>
      <c r="B83" s="7803" t="s">
        <v>11847</v>
      </c>
      <c r="C83" s="8028"/>
      <c r="D83" s="12071">
        <v>50205020</v>
      </c>
      <c r="E83" s="12064"/>
      <c r="F83" s="12064"/>
      <c r="G83" s="12054"/>
      <c r="H83" s="12064"/>
      <c r="I83" s="12064"/>
      <c r="J83" s="11108"/>
      <c r="K83" s="12065"/>
      <c r="L83" s="10481"/>
      <c r="M83" s="7861"/>
    </row>
    <row r="84" spans="1:16" ht="15" customHeight="1">
      <c r="A84" s="12045"/>
      <c r="B84" s="12077" t="s">
        <v>10516</v>
      </c>
      <c r="D84" s="9287"/>
      <c r="E84" s="12053">
        <f>'ACTUAL KAGAWAD 2017'!H21</f>
        <v>168510.45</v>
      </c>
      <c r="F84" s="12053">
        <f>'ACTUAL KAGAWAD JUNE 2018'!H20</f>
        <v>47528.7</v>
      </c>
      <c r="G84" s="12054">
        <f>H84-F84</f>
        <v>430471.3</v>
      </c>
      <c r="H84" s="12053">
        <v>478000</v>
      </c>
      <c r="I84" s="12053">
        <v>72565.98</v>
      </c>
      <c r="J84" s="11163">
        <f t="shared" ref="J84:J92" si="4">I84/H84</f>
        <v>0.15181167364016734</v>
      </c>
      <c r="K84" s="12055">
        <v>478000</v>
      </c>
      <c r="L84" s="8034"/>
      <c r="M84" s="7861"/>
    </row>
    <row r="85" spans="1:16" ht="15" customHeight="1">
      <c r="A85" s="12045"/>
      <c r="B85" s="8021" t="s">
        <v>12224</v>
      </c>
      <c r="D85" s="9287"/>
      <c r="E85" s="12053">
        <f>'ACTUAL KAGAWAD 2017'!H18</f>
        <v>717209.9</v>
      </c>
      <c r="F85" s="12053">
        <f>'ACTUAL KAGAWAD JUNE 2018'!H18</f>
        <v>297481.95999999996</v>
      </c>
      <c r="G85" s="12054">
        <f>H85-F85</f>
        <v>902518.04</v>
      </c>
      <c r="H85" s="12053">
        <v>1200000</v>
      </c>
      <c r="I85" s="12053">
        <f>'ACTUAL KAGAWAD JUNE 2018'!H41</f>
        <v>422422.31</v>
      </c>
      <c r="J85" s="11163">
        <f t="shared" si="4"/>
        <v>0.35201859166666666</v>
      </c>
      <c r="K85" s="12055">
        <v>1300000</v>
      </c>
      <c r="L85" s="8034"/>
      <c r="M85" s="7861"/>
    </row>
    <row r="86" spans="1:16" ht="15" customHeight="1">
      <c r="A86" s="12045"/>
      <c r="B86" s="12077" t="s">
        <v>211</v>
      </c>
      <c r="C86" s="8021"/>
      <c r="D86" s="9287"/>
      <c r="E86" s="12053">
        <f>'ACTUAL KAGAWAD 2017'!H20+'ACTUAL KAGAWAD 2017'!I20+'ACTUAL KAGAWAD 2017'!J20</f>
        <v>89438.28</v>
      </c>
      <c r="F86" s="12053">
        <f>'ACTUAL KAGAWAD JUNE 2018'!H19</f>
        <v>40018.39</v>
      </c>
      <c r="G86" s="12054">
        <f>H86-F86</f>
        <v>109981.61</v>
      </c>
      <c r="H86" s="12053">
        <v>150000</v>
      </c>
      <c r="I86" s="12053">
        <v>53467.93</v>
      </c>
      <c r="J86" s="11163">
        <f t="shared" si="4"/>
        <v>0.35645286666666665</v>
      </c>
      <c r="K86" s="12055">
        <v>150000</v>
      </c>
      <c r="L86" s="8034"/>
      <c r="M86" s="7861"/>
    </row>
    <row r="87" spans="1:16" ht="15" customHeight="1">
      <c r="A87" s="12045"/>
      <c r="B87" s="12077" t="s">
        <v>10269</v>
      </c>
      <c r="C87" s="8021"/>
      <c r="D87" s="9287"/>
      <c r="E87" s="12053">
        <f>'ACTUAL KAGAWAD 2017'!H19+'ACTUAL KAGAWAD 2017'!I19</f>
        <v>36257.64</v>
      </c>
      <c r="F87" s="12053">
        <f>'ACTUAL KAGAWAD JUNE 2018'!H21</f>
        <v>17014.05</v>
      </c>
      <c r="G87" s="12054">
        <f>H87-F87</f>
        <v>72185.95</v>
      </c>
      <c r="H87" s="12053">
        <v>89200</v>
      </c>
      <c r="I87" s="12053"/>
      <c r="J87" s="11163">
        <f t="shared" si="4"/>
        <v>0</v>
      </c>
      <c r="K87" s="12055">
        <v>90000</v>
      </c>
      <c r="L87" s="8034"/>
      <c r="M87" s="7861">
        <f>SUM(K84:K87)</f>
        <v>2018000</v>
      </c>
    </row>
    <row r="88" spans="1:16" ht="15" customHeight="1">
      <c r="A88" s="12045"/>
      <c r="B88" s="12094" t="s">
        <v>10993</v>
      </c>
      <c r="C88" s="8033"/>
      <c r="D88" s="12071">
        <v>50205040</v>
      </c>
      <c r="E88" s="12072">
        <f>'WS-MOOE 2017'!AF12</f>
        <v>268930</v>
      </c>
      <c r="F88" s="12072">
        <f>'ACTUAL KAGAWAD JUNE 2018'!K20</f>
        <v>99500</v>
      </c>
      <c r="G88" s="12054">
        <f>H88-F88</f>
        <v>1200500</v>
      </c>
      <c r="H88" s="12073">
        <v>1300000</v>
      </c>
      <c r="I88" s="12072">
        <v>141970</v>
      </c>
      <c r="J88" s="11163">
        <f t="shared" si="4"/>
        <v>0.10920769230769231</v>
      </c>
      <c r="K88" s="12074">
        <v>1300000</v>
      </c>
      <c r="L88" s="10482"/>
      <c r="M88" s="7861"/>
    </row>
    <row r="89" spans="1:16" ht="15" hidden="1" customHeight="1">
      <c r="A89" s="12045"/>
      <c r="B89" s="12077" t="s">
        <v>10270</v>
      </c>
      <c r="C89" s="8021" t="s">
        <v>10303</v>
      </c>
      <c r="D89" s="9287"/>
      <c r="E89" s="12053"/>
      <c r="F89" s="12053"/>
      <c r="G89" s="12054">
        <f t="shared" ref="G89:G102" si="5">H89-F89</f>
        <v>0</v>
      </c>
      <c r="H89" s="12075"/>
      <c r="I89" s="12075"/>
      <c r="J89" s="11163" t="e">
        <f t="shared" si="4"/>
        <v>#DIV/0!</v>
      </c>
      <c r="K89" s="12076"/>
      <c r="L89" s="10483"/>
      <c r="M89" s="7861"/>
    </row>
    <row r="90" spans="1:16" ht="15" customHeight="1">
      <c r="A90" s="12045"/>
      <c r="B90" s="12077" t="s">
        <v>10995</v>
      </c>
      <c r="C90" s="12077"/>
      <c r="D90" s="12078">
        <v>50207020</v>
      </c>
      <c r="E90" s="10159">
        <f>'WS-MOOE 2017'!AG12</f>
        <v>17500</v>
      </c>
      <c r="F90" s="10159">
        <f>'WS-MOOE ACTUAL JUNE 2018'!AC12</f>
        <v>0</v>
      </c>
      <c r="G90" s="12054">
        <f>H90-F90</f>
        <v>1329000</v>
      </c>
      <c r="H90" s="10159">
        <v>1329000</v>
      </c>
      <c r="I90" s="10159">
        <v>795000</v>
      </c>
      <c r="J90" s="11163">
        <f t="shared" si="4"/>
        <v>0.59819413092550788</v>
      </c>
      <c r="K90" s="12067">
        <v>1329000</v>
      </c>
      <c r="L90" s="8034"/>
      <c r="M90" s="7861"/>
    </row>
    <row r="91" spans="1:16" ht="15" customHeight="1">
      <c r="A91" s="12045"/>
      <c r="B91" s="12077" t="s">
        <v>10991</v>
      </c>
      <c r="C91" s="8021"/>
      <c r="D91" s="9287">
        <v>50299010</v>
      </c>
      <c r="E91" s="12053">
        <f>'WS-MOOE 2017'!BI12</f>
        <v>28000</v>
      </c>
      <c r="F91" s="12053">
        <f>'WS-MOOE ACTUAL JUNE 2018'!BB12</f>
        <v>8000</v>
      </c>
      <c r="G91" s="12054">
        <f t="shared" si="5"/>
        <v>192000</v>
      </c>
      <c r="H91" s="12075">
        <v>200000</v>
      </c>
      <c r="I91" s="12075">
        <v>14000</v>
      </c>
      <c r="J91" s="11163">
        <f t="shared" si="4"/>
        <v>7.0000000000000007E-2</v>
      </c>
      <c r="K91" s="12076">
        <v>200000</v>
      </c>
      <c r="L91" s="10483"/>
      <c r="M91" s="7861"/>
    </row>
    <row r="92" spans="1:16" ht="15" hidden="1" customHeight="1">
      <c r="A92" s="12045"/>
      <c r="B92" s="12077" t="s">
        <v>10302</v>
      </c>
      <c r="C92" s="8021"/>
      <c r="D92" s="9287">
        <v>781</v>
      </c>
      <c r="E92" s="12053">
        <f>'WS-MOOE 2017'!BJ12</f>
        <v>0</v>
      </c>
      <c r="F92" s="12053"/>
      <c r="G92" s="12054">
        <f t="shared" si="5"/>
        <v>0</v>
      </c>
      <c r="H92" s="12075">
        <v>0</v>
      </c>
      <c r="I92" s="12075"/>
      <c r="J92" s="12079" t="e">
        <f t="shared" si="4"/>
        <v>#DIV/0!</v>
      </c>
      <c r="K92" s="12076">
        <v>0</v>
      </c>
      <c r="L92" s="10483"/>
      <c r="M92" s="7861"/>
    </row>
    <row r="93" spans="1:16" ht="15" customHeight="1">
      <c r="A93" s="12045"/>
      <c r="B93" s="12077" t="s">
        <v>10992</v>
      </c>
      <c r="C93" s="8021"/>
      <c r="D93" s="9287">
        <v>50299030</v>
      </c>
      <c r="E93" s="12053"/>
      <c r="F93" s="12053"/>
      <c r="G93" s="12054"/>
      <c r="H93" s="12075"/>
      <c r="I93" s="10167"/>
      <c r="J93" s="12079"/>
      <c r="K93" s="12076"/>
      <c r="L93" s="10483"/>
      <c r="M93" s="7861"/>
    </row>
    <row r="94" spans="1:16" ht="15" customHeight="1">
      <c r="A94" s="12045"/>
      <c r="B94" s="12110" t="s">
        <v>10516</v>
      </c>
      <c r="C94" s="8021"/>
      <c r="D94" s="9287"/>
      <c r="E94" s="12053">
        <f>'ACTUAL KAGAWAD 2017'!P21</f>
        <v>1442478.7</v>
      </c>
      <c r="F94" s="12053">
        <f>'ACTUAL KAGAWAD JUNE 2018'!L20</f>
        <v>72057.100000000006</v>
      </c>
      <c r="G94" s="12054">
        <f>H94-F94</f>
        <v>1927942.9</v>
      </c>
      <c r="H94" s="12075">
        <v>2000000</v>
      </c>
      <c r="I94" s="12075">
        <v>501088.37</v>
      </c>
      <c r="J94" s="11246">
        <f>I94/H94</f>
        <v>0.25054418499999997</v>
      </c>
      <c r="K94" s="12076">
        <v>2000000</v>
      </c>
      <c r="L94" s="10483"/>
      <c r="M94" s="7861"/>
    </row>
    <row r="95" spans="1:16" ht="15" customHeight="1">
      <c r="A95" s="12045"/>
      <c r="B95" s="12077" t="s">
        <v>10269</v>
      </c>
      <c r="C95" s="8021"/>
      <c r="D95" s="9287"/>
      <c r="E95" s="12080">
        <f>'ACTUAL KAGAWAD 2017'!P19</f>
        <v>16878.2</v>
      </c>
      <c r="F95" s="12080">
        <f>'ACTUAL KAGAWAD JUNE 2018'!L21</f>
        <v>0</v>
      </c>
      <c r="G95" s="12054">
        <f>H95-F95</f>
        <v>34800</v>
      </c>
      <c r="H95" s="12075">
        <v>34800</v>
      </c>
      <c r="I95" s="12075">
        <v>2900</v>
      </c>
      <c r="J95" s="11246">
        <f>I95/H95</f>
        <v>8.3333333333333329E-2</v>
      </c>
      <c r="K95" s="12076">
        <v>34800</v>
      </c>
      <c r="L95" s="10483"/>
      <c r="M95" s="7861">
        <f>SUM(K94:K95)</f>
        <v>2034800</v>
      </c>
    </row>
    <row r="96" spans="1:16" s="8031" customFormat="1" ht="15" customHeight="1">
      <c r="A96" s="12045"/>
      <c r="B96" s="8037" t="s">
        <v>10271</v>
      </c>
      <c r="C96" s="8028"/>
      <c r="D96" s="9287">
        <v>50299030</v>
      </c>
      <c r="E96" s="12081">
        <f>'ACTUAL KAGAWAD 2017'!Q19</f>
        <v>131088</v>
      </c>
      <c r="F96" s="12081">
        <f>'ACTUAL KAGAWAD JUNE 2018'!M21</f>
        <v>48344</v>
      </c>
      <c r="G96" s="12054">
        <f>H96-F96</f>
        <v>251656</v>
      </c>
      <c r="H96" s="12082">
        <v>300000</v>
      </c>
      <c r="I96" s="12073">
        <v>88860.56</v>
      </c>
      <c r="J96" s="12083">
        <f>I96/H96</f>
        <v>0.29620186666666665</v>
      </c>
      <c r="K96" s="12084">
        <v>300000</v>
      </c>
      <c r="L96" s="10482"/>
      <c r="M96" s="7861"/>
      <c r="N96" s="10255"/>
      <c r="O96" s="7483"/>
      <c r="P96" s="7483"/>
    </row>
    <row r="97" spans="1:16" s="8031" customFormat="1" ht="15" customHeight="1">
      <c r="A97" s="12045"/>
      <c r="B97" s="8021" t="s">
        <v>5020</v>
      </c>
      <c r="C97" s="8028"/>
      <c r="D97" s="9287">
        <v>50212990</v>
      </c>
      <c r="E97" s="12046"/>
      <c r="F97" s="12046"/>
      <c r="G97" s="12054"/>
      <c r="H97" s="12082"/>
      <c r="I97" s="12073"/>
      <c r="J97" s="12085"/>
      <c r="K97" s="12084"/>
      <c r="L97" s="10482"/>
      <c r="M97" s="7861"/>
      <c r="N97" s="10255"/>
      <c r="O97" s="7483"/>
      <c r="P97" s="7483"/>
    </row>
    <row r="98" spans="1:16" ht="15" customHeight="1">
      <c r="A98" s="12045"/>
      <c r="B98" s="8031" t="s">
        <v>10519</v>
      </c>
      <c r="C98" s="8021"/>
      <c r="D98" s="9287"/>
      <c r="E98" s="10159">
        <f>'ACTUAL KAGAWAD 2017'!K21</f>
        <v>9473600.4199999999</v>
      </c>
      <c r="F98" s="10159">
        <f>'ACTUAL KAGAWAD JUNE 2018'!N20</f>
        <v>4792693.7300000004</v>
      </c>
      <c r="G98" s="12054">
        <f t="shared" si="5"/>
        <v>2207306.2699999996</v>
      </c>
      <c r="H98" s="12086">
        <v>7000000</v>
      </c>
      <c r="I98" s="12086">
        <v>10023832.5</v>
      </c>
      <c r="J98" s="11163">
        <f t="shared" ref="J98:J103" si="6">I98/H98</f>
        <v>1.4319760714285714</v>
      </c>
      <c r="K98" s="12087">
        <v>7500000</v>
      </c>
      <c r="L98" s="10483"/>
      <c r="M98" s="7861"/>
    </row>
    <row r="99" spans="1:16" ht="15" customHeight="1">
      <c r="A99" s="12045"/>
      <c r="B99" s="8021" t="s">
        <v>10520</v>
      </c>
      <c r="C99" s="8021"/>
      <c r="D99" s="9287"/>
      <c r="E99" s="12053">
        <f>'ACTUAL KAGAWAD 2017'!K20</f>
        <v>72248.39</v>
      </c>
      <c r="F99" s="12053">
        <f>'ACTUAL KAGAWAD JUNE 2018'!N19</f>
        <v>0</v>
      </c>
      <c r="G99" s="12054">
        <f t="shared" si="5"/>
        <v>680000</v>
      </c>
      <c r="H99" s="12075">
        <v>680000</v>
      </c>
      <c r="I99" s="12075">
        <v>140800</v>
      </c>
      <c r="J99" s="11163">
        <f t="shared" si="6"/>
        <v>0.20705882352941177</v>
      </c>
      <c r="K99" s="12076">
        <v>668000</v>
      </c>
      <c r="L99" s="10483"/>
      <c r="M99" s="7861"/>
    </row>
    <row r="100" spans="1:16" ht="15" customHeight="1">
      <c r="A100" s="12045"/>
      <c r="B100" s="8021" t="s">
        <v>12224</v>
      </c>
      <c r="C100" s="8021"/>
      <c r="D100" s="9287"/>
      <c r="E100" s="10159">
        <f>'ACTUAL KAGAWAD 2017'!K18</f>
        <v>11529464.320000002</v>
      </c>
      <c r="F100" s="10159">
        <f>'ACTUAL KAGAWAD JUNE 2018'!N18</f>
        <v>4448073</v>
      </c>
      <c r="G100" s="12054">
        <f t="shared" si="5"/>
        <v>5847927</v>
      </c>
      <c r="H100" s="12086">
        <v>10296000</v>
      </c>
      <c r="I100" s="12086">
        <f>'ACTUAL KAGAWAD JUNE 2018'!N41</f>
        <v>10605403.440000001</v>
      </c>
      <c r="J100" s="11163">
        <f t="shared" si="6"/>
        <v>1.0300508391608394</v>
      </c>
      <c r="K100" s="12087">
        <v>11270000</v>
      </c>
      <c r="L100" s="10483"/>
      <c r="M100" s="7861"/>
    </row>
    <row r="101" spans="1:16" ht="15" customHeight="1">
      <c r="A101" s="12045"/>
      <c r="B101" s="8021" t="s">
        <v>10521</v>
      </c>
      <c r="C101" s="8021"/>
      <c r="D101" s="9287"/>
      <c r="E101" s="10159">
        <f>'ACTUAL KAGAWAD 2017'!K19</f>
        <v>482175.58</v>
      </c>
      <c r="F101" s="10159">
        <f>'ACTUAL KAGAWAD JUNE 2018'!N21</f>
        <v>203601.86</v>
      </c>
      <c r="G101" s="12054">
        <f t="shared" si="5"/>
        <v>365598.14</v>
      </c>
      <c r="H101" s="12086">
        <v>569200</v>
      </c>
      <c r="I101" s="12086">
        <v>493001.87</v>
      </c>
      <c r="J101" s="11163">
        <f t="shared" si="6"/>
        <v>0.86613118411806045</v>
      </c>
      <c r="K101" s="12087">
        <v>569200</v>
      </c>
      <c r="L101" s="10483"/>
      <c r="M101" s="7861">
        <f>SUM(K98:K101)</f>
        <v>20007200</v>
      </c>
    </row>
    <row r="102" spans="1:16" ht="15" customHeight="1">
      <c r="A102" s="12045"/>
      <c r="B102" s="8021" t="s">
        <v>10080</v>
      </c>
      <c r="C102" s="8021"/>
      <c r="D102" s="9287">
        <v>50212020</v>
      </c>
      <c r="E102" s="10159">
        <f>'WS-MOOE 2017'!AM12</f>
        <v>119884.84</v>
      </c>
      <c r="F102" s="10159">
        <f>'WS-MOOE ACTUAL JUNE 2018'!AG12</f>
        <v>36215.629999999997</v>
      </c>
      <c r="G102" s="12054">
        <f t="shared" si="5"/>
        <v>463784.37</v>
      </c>
      <c r="H102" s="12086">
        <v>500000</v>
      </c>
      <c r="I102" s="12086">
        <v>397191.26</v>
      </c>
      <c r="J102" s="11163">
        <f t="shared" si="6"/>
        <v>0.79438251999999998</v>
      </c>
      <c r="K102" s="12087">
        <v>500000</v>
      </c>
      <c r="L102" s="10483"/>
      <c r="M102" s="7861"/>
    </row>
    <row r="103" spans="1:16" ht="15" customHeight="1">
      <c r="A103" s="12045"/>
      <c r="B103" s="8021" t="s">
        <v>10081</v>
      </c>
      <c r="C103" s="8021"/>
      <c r="D103" s="9287"/>
      <c r="E103" s="10159"/>
      <c r="F103" s="10159"/>
      <c r="G103" s="12054"/>
      <c r="H103" s="12086"/>
      <c r="I103" s="12086"/>
      <c r="J103" s="11163" t="e">
        <f t="shared" si="6"/>
        <v>#DIV/0!</v>
      </c>
      <c r="K103" s="12087"/>
      <c r="L103" s="10483"/>
      <c r="M103" s="7861"/>
    </row>
    <row r="104" spans="1:16" ht="15" customHeight="1" thickBot="1">
      <c r="A104" s="12048"/>
      <c r="B104" s="8035"/>
      <c r="C104" s="8054"/>
      <c r="D104" s="10153"/>
      <c r="E104" s="12088"/>
      <c r="F104" s="12088"/>
      <c r="G104" s="12089"/>
      <c r="H104" s="12090"/>
      <c r="I104" s="12090"/>
      <c r="J104" s="12091"/>
      <c r="K104" s="12092"/>
      <c r="L104" s="9367"/>
      <c r="M104" s="7861"/>
    </row>
    <row r="105" spans="1:16" ht="15" customHeight="1">
      <c r="A105" s="8021"/>
      <c r="B105" s="8021"/>
      <c r="C105" s="8037"/>
      <c r="D105" s="9289"/>
      <c r="E105" s="7848"/>
      <c r="F105" s="7848"/>
      <c r="G105" s="9518"/>
      <c r="H105" s="8015"/>
      <c r="I105" s="8015"/>
      <c r="J105" s="7290"/>
      <c r="K105" s="8015"/>
      <c r="L105" s="8015"/>
      <c r="M105" s="7861"/>
    </row>
    <row r="106" spans="1:16" ht="15" customHeight="1">
      <c r="A106" s="8021"/>
      <c r="B106" s="8021"/>
      <c r="C106" s="8037"/>
      <c r="D106" s="9289"/>
      <c r="E106" s="7848"/>
      <c r="F106" s="7848"/>
      <c r="G106" s="9518"/>
      <c r="H106" s="8015"/>
      <c r="I106" s="8015"/>
      <c r="J106" s="7290"/>
      <c r="K106" s="8015"/>
      <c r="L106" s="8015"/>
      <c r="M106" s="7861"/>
    </row>
    <row r="107" spans="1:16" ht="15" customHeight="1">
      <c r="A107" s="8021"/>
      <c r="B107" s="8021"/>
      <c r="C107" s="8037"/>
      <c r="D107" s="9289"/>
      <c r="E107" s="7848"/>
      <c r="F107" s="7848"/>
      <c r="G107" s="9518"/>
      <c r="H107" s="8015"/>
      <c r="I107" s="8015"/>
      <c r="J107" s="7290"/>
      <c r="K107" s="8015"/>
      <c r="L107" s="8015"/>
      <c r="M107" s="7861"/>
    </row>
    <row r="108" spans="1:16" ht="15" customHeight="1">
      <c r="A108" s="8021"/>
      <c r="B108" s="8021"/>
      <c r="C108" s="8037"/>
      <c r="D108" s="9289"/>
      <c r="E108" s="7848"/>
      <c r="F108" s="7848"/>
      <c r="G108" s="9518"/>
      <c r="H108" s="8015"/>
      <c r="I108" s="8015"/>
      <c r="J108" s="7290"/>
      <c r="K108" s="8015"/>
      <c r="L108" s="8015"/>
      <c r="M108" s="7861"/>
    </row>
    <row r="109" spans="1:16" ht="15" customHeight="1">
      <c r="A109" s="8021"/>
      <c r="B109" s="8021"/>
      <c r="C109" s="8037"/>
      <c r="D109" s="9289"/>
      <c r="E109" s="7848"/>
      <c r="F109" s="7848"/>
      <c r="G109" s="9518"/>
      <c r="H109" s="8015"/>
      <c r="I109" s="8015"/>
      <c r="J109" s="7290"/>
      <c r="K109" s="8015"/>
      <c r="L109" s="8015"/>
      <c r="M109" s="7861"/>
    </row>
    <row r="110" spans="1:16" ht="15" customHeight="1">
      <c r="A110" s="8021"/>
      <c r="B110" s="8021"/>
      <c r="C110" s="8037"/>
      <c r="D110" s="9289"/>
      <c r="E110" s="7848"/>
      <c r="F110" s="7848"/>
      <c r="G110" s="9518"/>
      <c r="H110" s="8015"/>
      <c r="I110" s="8015"/>
      <c r="J110" s="7290"/>
      <c r="K110" s="8015"/>
      <c r="L110" s="8015"/>
      <c r="M110" s="7861"/>
    </row>
    <row r="111" spans="1:16" ht="15" customHeight="1">
      <c r="A111" s="8021"/>
      <c r="B111" s="8021"/>
      <c r="C111" s="8037"/>
      <c r="D111" s="9289"/>
      <c r="E111" s="7848"/>
      <c r="F111" s="7848"/>
      <c r="G111" s="9518"/>
      <c r="H111" s="8015"/>
      <c r="I111" s="8015"/>
      <c r="J111" s="7290"/>
      <c r="K111" s="8015"/>
      <c r="L111" s="8015"/>
      <c r="M111" s="7861"/>
    </row>
    <row r="112" spans="1:16" ht="15" customHeight="1">
      <c r="A112" s="8021"/>
      <c r="B112" s="8021"/>
      <c r="C112" s="8037"/>
      <c r="D112" s="9289"/>
      <c r="E112" s="7848"/>
      <c r="F112" s="7848"/>
      <c r="G112" s="9518"/>
      <c r="H112" s="8015"/>
      <c r="I112" s="8015"/>
      <c r="J112" s="7290"/>
      <c r="K112" s="8015"/>
      <c r="L112" s="8015"/>
      <c r="M112" s="7861"/>
    </row>
    <row r="113" spans="1:13" ht="15" customHeight="1">
      <c r="A113" s="8021"/>
      <c r="B113" s="8021"/>
      <c r="C113" s="8037"/>
      <c r="D113" s="9289"/>
      <c r="E113" s="7848"/>
      <c r="F113" s="7848"/>
      <c r="G113" s="9518"/>
      <c r="H113" s="8015"/>
      <c r="I113" s="8015"/>
      <c r="J113" s="7290"/>
      <c r="K113" s="8015"/>
      <c r="L113" s="8015"/>
      <c r="M113" s="7861"/>
    </row>
    <row r="114" spans="1:13" ht="15" customHeight="1" thickBot="1">
      <c r="A114" s="8035" t="s">
        <v>10785</v>
      </c>
      <c r="B114" s="8035"/>
      <c r="C114" s="8035"/>
      <c r="D114" s="9290"/>
      <c r="E114" s="8027"/>
      <c r="F114" s="8027"/>
      <c r="G114" s="9514"/>
      <c r="H114" s="8027"/>
      <c r="I114" s="8027"/>
      <c r="J114" s="7294"/>
      <c r="K114" s="8027"/>
      <c r="L114" s="8034"/>
      <c r="M114" s="7861"/>
    </row>
    <row r="115" spans="1:13" ht="15" customHeight="1">
      <c r="A115" s="12041"/>
      <c r="B115" s="10158"/>
      <c r="C115" s="12104"/>
      <c r="D115" s="12042" t="s">
        <v>9</v>
      </c>
      <c r="E115" s="12043" t="s">
        <v>10</v>
      </c>
      <c r="F115" s="14188" t="s">
        <v>10711</v>
      </c>
      <c r="G115" s="14189"/>
      <c r="H115" s="14190"/>
      <c r="I115" s="12043"/>
      <c r="J115" s="9462"/>
      <c r="K115" s="12061" t="s">
        <v>12</v>
      </c>
      <c r="L115" s="10480"/>
      <c r="M115" s="7861"/>
    </row>
    <row r="116" spans="1:13" ht="15" customHeight="1">
      <c r="A116" s="12045"/>
      <c r="B116" s="12105" t="s">
        <v>13</v>
      </c>
      <c r="C116" s="12106"/>
      <c r="D116" s="14693" t="s">
        <v>14</v>
      </c>
      <c r="E116" s="12046" t="s">
        <v>15</v>
      </c>
      <c r="F116" s="9502" t="s">
        <v>10709</v>
      </c>
      <c r="G116" s="11083" t="s">
        <v>10710</v>
      </c>
      <c r="H116" s="14191" t="s">
        <v>458</v>
      </c>
      <c r="I116" s="12046"/>
      <c r="J116" s="11108"/>
      <c r="K116" s="12062" t="s">
        <v>16</v>
      </c>
      <c r="L116" s="10480"/>
      <c r="M116" s="7861"/>
    </row>
    <row r="117" spans="1:13" ht="15" customHeight="1" thickBot="1">
      <c r="A117" s="12048"/>
      <c r="B117" s="12107"/>
      <c r="C117" s="12108"/>
      <c r="D117" s="14694"/>
      <c r="E117" s="8036">
        <v>2017</v>
      </c>
      <c r="F117" s="9467" t="s">
        <v>457</v>
      </c>
      <c r="G117" s="11076" t="s">
        <v>456</v>
      </c>
      <c r="H117" s="14192"/>
      <c r="I117" s="8036"/>
      <c r="J117" s="7322"/>
      <c r="K117" s="12063">
        <v>2019</v>
      </c>
      <c r="L117" s="10481"/>
      <c r="M117" s="7861"/>
    </row>
    <row r="118" spans="1:13" ht="4.5" customHeight="1">
      <c r="A118" s="12041"/>
      <c r="B118" s="10158"/>
      <c r="C118" s="12104"/>
      <c r="D118" s="10156"/>
      <c r="E118" s="12064"/>
      <c r="F118" s="10030"/>
      <c r="G118" s="11073"/>
      <c r="H118" s="10030"/>
      <c r="I118" s="12064"/>
      <c r="J118" s="11108"/>
      <c r="K118" s="12093"/>
      <c r="L118" s="10481"/>
      <c r="M118" s="7861"/>
    </row>
    <row r="119" spans="1:13" ht="15" customHeight="1">
      <c r="A119" s="12045"/>
      <c r="B119" s="11111" t="s">
        <v>11414</v>
      </c>
      <c r="C119" s="12109"/>
      <c r="D119" s="9287">
        <v>50213040</v>
      </c>
      <c r="E119" s="10159">
        <f>'WS-MOOE 2017'!AS12</f>
        <v>359890.75</v>
      </c>
      <c r="F119" s="10159">
        <f>'WS-MOOE ACTUAL JUNE 2018'!AN12</f>
        <v>2000</v>
      </c>
      <c r="G119" s="12054">
        <f>H119-F119</f>
        <v>498000</v>
      </c>
      <c r="H119" s="12086">
        <v>500000</v>
      </c>
      <c r="I119" s="12086">
        <v>2000</v>
      </c>
      <c r="J119" s="11163">
        <f>I119/H119</f>
        <v>4.0000000000000001E-3</v>
      </c>
      <c r="K119" s="12087">
        <v>500000</v>
      </c>
      <c r="L119" s="10483">
        <v>500000</v>
      </c>
      <c r="M119" s="7861"/>
    </row>
    <row r="120" spans="1:13" ht="15" hidden="1" customHeight="1">
      <c r="A120" s="12045"/>
      <c r="B120" s="12077" t="s">
        <v>4957</v>
      </c>
      <c r="C120" s="12109"/>
      <c r="D120" s="9287"/>
      <c r="E120" s="10159"/>
      <c r="F120" s="10159"/>
      <c r="G120" s="12054"/>
      <c r="H120" s="12086"/>
      <c r="I120" s="12086"/>
      <c r="J120" s="11163"/>
      <c r="K120" s="12087"/>
      <c r="L120" s="10483"/>
      <c r="M120" s="7861"/>
    </row>
    <row r="121" spans="1:13" ht="15" hidden="1" customHeight="1">
      <c r="A121" s="12045"/>
      <c r="B121" s="12110" t="s">
        <v>10519</v>
      </c>
      <c r="C121" s="12109"/>
      <c r="D121" s="9287"/>
      <c r="E121" s="10159">
        <f>'WS-MOOE 2017'!AY12</f>
        <v>0</v>
      </c>
      <c r="F121" s="10159"/>
      <c r="G121" s="12054">
        <f>H121-F121</f>
        <v>0</v>
      </c>
      <c r="H121" s="12086"/>
      <c r="I121" s="12086"/>
      <c r="J121" s="11163" t="e">
        <f>I121/H121</f>
        <v>#DIV/0!</v>
      </c>
      <c r="K121" s="12087"/>
      <c r="L121" s="10483"/>
      <c r="M121" s="7861"/>
    </row>
    <row r="122" spans="1:13" ht="15" hidden="1" customHeight="1">
      <c r="A122" s="12045"/>
      <c r="B122" s="12077" t="s">
        <v>10521</v>
      </c>
      <c r="C122" s="12109"/>
      <c r="D122" s="9287"/>
      <c r="E122" s="10159">
        <v>0</v>
      </c>
      <c r="F122" s="10159"/>
      <c r="G122" s="12054">
        <f>H122-F122</f>
        <v>0</v>
      </c>
      <c r="H122" s="12086"/>
      <c r="I122" s="12086"/>
      <c r="J122" s="11163" t="e">
        <f>I122/H122</f>
        <v>#DIV/0!</v>
      </c>
      <c r="K122" s="12087"/>
      <c r="L122" s="10483"/>
      <c r="M122" s="7861"/>
    </row>
    <row r="123" spans="1:13" ht="15" customHeight="1">
      <c r="A123" s="12045"/>
      <c r="B123" s="11111" t="s">
        <v>10953</v>
      </c>
      <c r="C123" s="12109"/>
      <c r="D123" s="9287">
        <v>50213050</v>
      </c>
      <c r="E123" s="10159"/>
      <c r="F123" s="10159"/>
      <c r="G123" s="12054"/>
      <c r="H123" s="12086"/>
      <c r="I123" s="12086"/>
      <c r="J123" s="11163"/>
      <c r="K123" s="12087"/>
      <c r="L123" s="10483"/>
      <c r="M123" s="7861"/>
    </row>
    <row r="124" spans="1:13" ht="15" customHeight="1">
      <c r="A124" s="12045"/>
      <c r="B124" s="12110" t="s">
        <v>10519</v>
      </c>
      <c r="C124" s="12109"/>
      <c r="D124" s="9287"/>
      <c r="E124" s="10159">
        <f>'ACTUAL KAGAWAD 2017'!N21</f>
        <v>147796.5</v>
      </c>
      <c r="F124" s="10159">
        <f>'ACTUAL KAGAWAD JUNE 2018'!Q20</f>
        <v>9800</v>
      </c>
      <c r="G124" s="12054">
        <f>H124-F124</f>
        <v>790200</v>
      </c>
      <c r="H124" s="12086">
        <v>800000</v>
      </c>
      <c r="I124" s="12086">
        <v>9800</v>
      </c>
      <c r="J124" s="11163">
        <f>I124/H124</f>
        <v>1.225E-2</v>
      </c>
      <c r="K124" s="12087">
        <f>300000+500000</f>
        <v>800000</v>
      </c>
      <c r="L124" s="10483"/>
      <c r="M124" s="7861"/>
    </row>
    <row r="125" spans="1:13" ht="15" customHeight="1">
      <c r="A125" s="12045"/>
      <c r="B125" s="12077" t="s">
        <v>10521</v>
      </c>
      <c r="C125" s="12109"/>
      <c r="D125" s="9287"/>
      <c r="E125" s="10159">
        <f>'ACTUAL KAGAWAD 2017'!N19</f>
        <v>45347</v>
      </c>
      <c r="F125" s="10159">
        <f>'ACTUAL KAGAWAD JUNE 2018'!Q21</f>
        <v>0</v>
      </c>
      <c r="G125" s="12054">
        <f>H125-F125</f>
        <v>158300</v>
      </c>
      <c r="H125" s="12086">
        <v>158300</v>
      </c>
      <c r="I125" s="12086"/>
      <c r="J125" s="11163">
        <f>I125/H125</f>
        <v>0</v>
      </c>
      <c r="K125" s="12087">
        <f>33100+125200</f>
        <v>158300</v>
      </c>
      <c r="L125" s="10483"/>
      <c r="M125" s="7861">
        <f>SUM(K124:K125)</f>
        <v>958300</v>
      </c>
    </row>
    <row r="126" spans="1:13" ht="15" customHeight="1">
      <c r="A126" s="12045"/>
      <c r="B126" s="11111" t="s">
        <v>10954</v>
      </c>
      <c r="C126" s="12109"/>
      <c r="D126" s="9287">
        <v>50213060</v>
      </c>
      <c r="E126" s="10159">
        <f>'WS-MOOE 2017'!BB12</f>
        <v>1306022.18</v>
      </c>
      <c r="F126" s="10159">
        <f>'WS-MOOE ACTUAL JUNE 2018'!AT12</f>
        <v>481923.85</v>
      </c>
      <c r="G126" s="12054">
        <f>H126-F126</f>
        <v>2518076.15</v>
      </c>
      <c r="H126" s="12086">
        <v>3000000</v>
      </c>
      <c r="I126" s="12086">
        <v>2060242.22</v>
      </c>
      <c r="J126" s="11163">
        <f>I126/H126</f>
        <v>0.68674740666666667</v>
      </c>
      <c r="K126" s="12087">
        <v>3000000</v>
      </c>
      <c r="L126" s="10483"/>
      <c r="M126" s="7861"/>
    </row>
    <row r="127" spans="1:13" ht="15" customHeight="1">
      <c r="A127" s="12045"/>
      <c r="B127" s="12094" t="s">
        <v>4958</v>
      </c>
      <c r="C127" s="12109"/>
      <c r="D127" s="9287">
        <v>50215020</v>
      </c>
      <c r="E127" s="10159"/>
      <c r="F127" s="10159"/>
      <c r="G127" s="12054"/>
      <c r="H127" s="12086"/>
      <c r="I127" s="12086"/>
      <c r="J127" s="11163"/>
      <c r="K127" s="12087"/>
      <c r="L127" s="10483"/>
      <c r="M127" s="7861"/>
    </row>
    <row r="128" spans="1:13" ht="15" customHeight="1">
      <c r="A128" s="12045"/>
      <c r="B128" s="12110" t="s">
        <v>10519</v>
      </c>
      <c r="C128" s="12111"/>
      <c r="D128" s="9287"/>
      <c r="E128" s="9282">
        <f>'ACTUAL KAGAWAD 2017'!O21</f>
        <v>1612.5</v>
      </c>
      <c r="F128" s="9282">
        <f>'ACTUAL KAGAWAD JUNE 2018'!T20</f>
        <v>1177.5</v>
      </c>
      <c r="G128" s="12054">
        <f>H128-F128</f>
        <v>13822.5</v>
      </c>
      <c r="H128" s="12095">
        <v>15000</v>
      </c>
      <c r="I128" s="12086">
        <v>1852.5</v>
      </c>
      <c r="J128" s="11163">
        <f>I128/H128</f>
        <v>0.1235</v>
      </c>
      <c r="K128" s="12096">
        <v>15000</v>
      </c>
      <c r="L128" s="9367"/>
      <c r="M128" s="7861"/>
    </row>
    <row r="129" spans="1:14" ht="15" customHeight="1">
      <c r="A129" s="12045"/>
      <c r="B129" s="12077" t="s">
        <v>10521</v>
      </c>
      <c r="C129" s="12111"/>
      <c r="D129" s="9287"/>
      <c r="E129" s="9282">
        <f>'ACTUAL KAGAWAD 2017'!O19</f>
        <v>0</v>
      </c>
      <c r="F129" s="9282">
        <f>'ACTUAL KAGAWAD JUNE 2018'!T21</f>
        <v>393.75</v>
      </c>
      <c r="G129" s="12054">
        <f>H129-F129</f>
        <v>1606.25</v>
      </c>
      <c r="H129" s="12095">
        <v>2000</v>
      </c>
      <c r="I129" s="12095"/>
      <c r="J129" s="11163">
        <f>I129/H129</f>
        <v>0</v>
      </c>
      <c r="K129" s="12096">
        <v>2000</v>
      </c>
      <c r="L129" s="9367"/>
      <c r="M129" s="7861">
        <f>SUM(K128:K129)</f>
        <v>17000</v>
      </c>
    </row>
    <row r="130" spans="1:14" ht="15" customHeight="1">
      <c r="A130" s="12045"/>
      <c r="B130" s="12077" t="s">
        <v>10522</v>
      </c>
      <c r="C130" s="12111"/>
      <c r="D130" s="9287">
        <v>50299990</v>
      </c>
      <c r="E130" s="9282"/>
      <c r="F130" s="9282"/>
      <c r="G130" s="12097"/>
      <c r="H130" s="10138"/>
      <c r="I130" s="10138"/>
      <c r="J130" s="11163"/>
      <c r="K130" s="11133"/>
      <c r="L130" s="8015"/>
      <c r="M130" s="7861"/>
    </row>
    <row r="131" spans="1:14" ht="15" customHeight="1">
      <c r="A131" s="12045"/>
      <c r="B131" s="12110" t="s">
        <v>10523</v>
      </c>
      <c r="C131" s="12109"/>
      <c r="D131" s="9287"/>
      <c r="E131" s="10159">
        <f>'ACTUAL KAGAWAD 2017'!R21</f>
        <v>680181.5</v>
      </c>
      <c r="F131" s="10159">
        <f>'ACTUAL KAGAWAD JUNE 2018'!U20</f>
        <v>19704.27</v>
      </c>
      <c r="G131" s="12054">
        <f>H131-F131</f>
        <v>5105295.7300000004</v>
      </c>
      <c r="H131" s="10159">
        <v>5125000</v>
      </c>
      <c r="I131" s="10159">
        <v>214700.27</v>
      </c>
      <c r="J131" s="11163">
        <f>I131/H131</f>
        <v>4.1892735609756093E-2</v>
      </c>
      <c r="K131" s="12067">
        <v>5125000</v>
      </c>
      <c r="L131" s="8034"/>
      <c r="M131" s="7861"/>
      <c r="N131" s="7749">
        <f>K131-3125000</f>
        <v>2000000</v>
      </c>
    </row>
    <row r="132" spans="1:14" ht="15" hidden="1" customHeight="1">
      <c r="A132" s="12045"/>
      <c r="B132" s="12077" t="s">
        <v>5922</v>
      </c>
      <c r="C132" s="10159"/>
      <c r="D132" s="9287"/>
      <c r="E132" s="10159"/>
      <c r="F132" s="10159"/>
      <c r="G132" s="10168"/>
      <c r="H132" s="10159"/>
      <c r="I132" s="10159"/>
      <c r="J132" s="8799"/>
      <c r="K132" s="12067"/>
      <c r="L132" s="8034"/>
      <c r="M132" s="7861"/>
    </row>
    <row r="133" spans="1:14" ht="15" hidden="1" customHeight="1">
      <c r="A133" s="12045"/>
      <c r="B133" s="12077" t="s">
        <v>10783</v>
      </c>
      <c r="C133" s="10159"/>
      <c r="D133" s="9287"/>
      <c r="E133" s="10159"/>
      <c r="F133" s="10159"/>
      <c r="G133" s="10168"/>
      <c r="H133" s="10159"/>
      <c r="I133" s="10159"/>
      <c r="J133" s="8799"/>
      <c r="K133" s="12067"/>
      <c r="L133" s="8034"/>
      <c r="M133" s="7861"/>
    </row>
    <row r="134" spans="1:14" ht="15" hidden="1" customHeight="1">
      <c r="A134" s="12045"/>
      <c r="B134" s="12077" t="s">
        <v>5923</v>
      </c>
      <c r="C134" s="10159"/>
      <c r="D134" s="9287"/>
      <c r="E134" s="10159"/>
      <c r="F134" s="10159"/>
      <c r="G134" s="10168"/>
      <c r="H134" s="10159"/>
      <c r="I134" s="10159"/>
      <c r="J134" s="8799"/>
      <c r="K134" s="12067"/>
      <c r="L134" s="8034"/>
      <c r="M134" s="7861"/>
    </row>
    <row r="135" spans="1:14" ht="15" hidden="1" customHeight="1">
      <c r="A135" s="12045"/>
      <c r="B135" s="12077" t="s">
        <v>5924</v>
      </c>
      <c r="C135" s="12109"/>
      <c r="D135" s="9287"/>
      <c r="E135" s="10159"/>
      <c r="F135" s="10159"/>
      <c r="G135" s="10168"/>
      <c r="H135" s="10159"/>
      <c r="I135" s="10159"/>
      <c r="J135" s="8799"/>
      <c r="K135" s="12067"/>
      <c r="L135" s="8034"/>
      <c r="M135" s="7861"/>
    </row>
    <row r="136" spans="1:14" ht="15" hidden="1" customHeight="1">
      <c r="A136" s="12045"/>
      <c r="B136" s="12077" t="s">
        <v>5925</v>
      </c>
      <c r="C136" s="10159"/>
      <c r="D136" s="9287"/>
      <c r="E136" s="10159"/>
      <c r="F136" s="10159"/>
      <c r="G136" s="10168"/>
      <c r="H136" s="10159"/>
      <c r="I136" s="10159"/>
      <c r="J136" s="8799"/>
      <c r="K136" s="12067"/>
      <c r="L136" s="8034"/>
      <c r="M136" s="7861"/>
    </row>
    <row r="137" spans="1:14" ht="15" hidden="1" customHeight="1">
      <c r="A137" s="12045"/>
      <c r="B137" s="12077" t="s">
        <v>5926</v>
      </c>
      <c r="C137" s="10159"/>
      <c r="D137" s="9287"/>
      <c r="E137" s="10159"/>
      <c r="F137" s="10159"/>
      <c r="G137" s="10168"/>
      <c r="H137" s="10159"/>
      <c r="I137" s="10159"/>
      <c r="J137" s="8799"/>
      <c r="K137" s="12067"/>
      <c r="L137" s="8034"/>
      <c r="M137" s="7861"/>
    </row>
    <row r="138" spans="1:14" ht="15" hidden="1" customHeight="1">
      <c r="A138" s="12045"/>
      <c r="B138" s="12077" t="s">
        <v>5927</v>
      </c>
      <c r="C138" s="10159"/>
      <c r="D138" s="9287"/>
      <c r="E138" s="10159"/>
      <c r="F138" s="10159"/>
      <c r="G138" s="10168"/>
      <c r="H138" s="10159"/>
      <c r="I138" s="10159"/>
      <c r="J138" s="8799"/>
      <c r="K138" s="12067"/>
      <c r="L138" s="8034"/>
      <c r="M138" s="7861"/>
    </row>
    <row r="139" spans="1:14" ht="15" hidden="1" customHeight="1">
      <c r="A139" s="12045"/>
      <c r="B139" s="12077" t="s">
        <v>5928</v>
      </c>
      <c r="C139" s="10159"/>
      <c r="D139" s="9287"/>
      <c r="E139" s="10159"/>
      <c r="F139" s="10159"/>
      <c r="G139" s="10168"/>
      <c r="H139" s="10159"/>
      <c r="I139" s="10159"/>
      <c r="J139" s="8799"/>
      <c r="K139" s="12067"/>
      <c r="L139" s="8034"/>
      <c r="M139" s="7861"/>
    </row>
    <row r="140" spans="1:14" ht="15" hidden="1" customHeight="1">
      <c r="A140" s="12045"/>
      <c r="B140" s="12077" t="s">
        <v>5929</v>
      </c>
      <c r="C140" s="10159"/>
      <c r="D140" s="9287"/>
      <c r="E140" s="10159"/>
      <c r="F140" s="10159"/>
      <c r="G140" s="10168"/>
      <c r="H140" s="10159"/>
      <c r="I140" s="10159"/>
      <c r="J140" s="8799"/>
      <c r="K140" s="12067"/>
      <c r="L140" s="8034"/>
      <c r="M140" s="7861"/>
    </row>
    <row r="141" spans="1:14" ht="15" customHeight="1">
      <c r="A141" s="12045"/>
      <c r="B141" s="8021" t="s">
        <v>12224</v>
      </c>
      <c r="C141" s="12109"/>
      <c r="D141" s="9287"/>
      <c r="E141" s="10159">
        <f>'ACTUAL KAGAWAD 2017'!R18</f>
        <v>165487.99</v>
      </c>
      <c r="F141" s="10159">
        <f>'ACTUAL KAGAWAD JUNE 2018'!U18</f>
        <v>94632</v>
      </c>
      <c r="G141" s="12054">
        <f>H141-F141</f>
        <v>5105368</v>
      </c>
      <c r="H141" s="10159">
        <v>5200000</v>
      </c>
      <c r="I141" s="10159">
        <f>'ACTUAL KAGAWAD JUNE 2018'!U41</f>
        <v>124174</v>
      </c>
      <c r="J141" s="11163">
        <f>I141/H141</f>
        <v>2.3879615384615385E-2</v>
      </c>
      <c r="K141" s="12067">
        <v>5200000</v>
      </c>
      <c r="L141" s="8034"/>
      <c r="M141" s="7861"/>
    </row>
    <row r="142" spans="1:14" ht="15" hidden="1" customHeight="1">
      <c r="A142" s="12045"/>
      <c r="B142" s="12077" t="s">
        <v>10784</v>
      </c>
      <c r="C142" s="12109"/>
      <c r="D142" s="9287"/>
      <c r="E142" s="10159"/>
      <c r="F142" s="10159"/>
      <c r="G142" s="10168"/>
      <c r="H142" s="10159"/>
      <c r="I142" s="10159"/>
      <c r="J142" s="8799"/>
      <c r="K142" s="12067"/>
      <c r="L142" s="8034"/>
      <c r="M142" s="7861"/>
    </row>
    <row r="143" spans="1:14" ht="15" hidden="1" customHeight="1">
      <c r="A143" s="12045"/>
      <c r="B143" s="12077" t="s">
        <v>5922</v>
      </c>
      <c r="C143" s="10159"/>
      <c r="D143" s="9287"/>
      <c r="E143" s="10159"/>
      <c r="F143" s="10159"/>
      <c r="G143" s="10168"/>
      <c r="H143" s="10159"/>
      <c r="I143" s="10159"/>
      <c r="J143" s="8799"/>
      <c r="K143" s="12067"/>
      <c r="L143" s="8034"/>
      <c r="M143" s="7861"/>
    </row>
    <row r="144" spans="1:14" ht="15" hidden="1" customHeight="1">
      <c r="A144" s="12045"/>
      <c r="B144" s="12077" t="s">
        <v>5930</v>
      </c>
      <c r="C144" s="10159"/>
      <c r="D144" s="9287"/>
      <c r="E144" s="10159"/>
      <c r="F144" s="10159"/>
      <c r="G144" s="10168"/>
      <c r="H144" s="10159"/>
      <c r="I144" s="10159"/>
      <c r="J144" s="8799"/>
      <c r="K144" s="12067"/>
      <c r="L144" s="8034"/>
      <c r="M144" s="7861"/>
    </row>
    <row r="145" spans="1:16" ht="15" hidden="1" customHeight="1">
      <c r="A145" s="12045"/>
      <c r="B145" s="12077" t="s">
        <v>5925</v>
      </c>
      <c r="C145" s="10159"/>
      <c r="D145" s="9287"/>
      <c r="E145" s="10159"/>
      <c r="F145" s="10159"/>
      <c r="G145" s="10168"/>
      <c r="H145" s="10159"/>
      <c r="I145" s="10159"/>
      <c r="J145" s="8799"/>
      <c r="K145" s="12067"/>
      <c r="L145" s="8034"/>
      <c r="M145" s="7861"/>
    </row>
    <row r="146" spans="1:16" ht="15" hidden="1" customHeight="1">
      <c r="A146" s="12045"/>
      <c r="B146" s="12077" t="s">
        <v>5931</v>
      </c>
      <c r="C146" s="10159"/>
      <c r="D146" s="9287"/>
      <c r="E146" s="10159"/>
      <c r="F146" s="10159"/>
      <c r="G146" s="10168"/>
      <c r="H146" s="10159"/>
      <c r="I146" s="10159"/>
      <c r="J146" s="8799"/>
      <c r="K146" s="12067"/>
      <c r="L146" s="8034"/>
      <c r="M146" s="7861"/>
    </row>
    <row r="147" spans="1:16" ht="15" hidden="1" customHeight="1">
      <c r="A147" s="12045"/>
      <c r="B147" s="12077" t="s">
        <v>5927</v>
      </c>
      <c r="C147" s="10159"/>
      <c r="D147" s="9287"/>
      <c r="E147" s="10159"/>
      <c r="F147" s="10159"/>
      <c r="G147" s="10168"/>
      <c r="H147" s="10159"/>
      <c r="I147" s="10159"/>
      <c r="J147" s="8799"/>
      <c r="K147" s="12067"/>
      <c r="L147" s="8034"/>
      <c r="M147" s="7861"/>
    </row>
    <row r="148" spans="1:16" ht="15" hidden="1" customHeight="1">
      <c r="A148" s="12045"/>
      <c r="B148" s="12077" t="s">
        <v>5932</v>
      </c>
      <c r="C148" s="10159"/>
      <c r="D148" s="9287"/>
      <c r="E148" s="10159"/>
      <c r="F148" s="10159"/>
      <c r="G148" s="10168"/>
      <c r="H148" s="10159"/>
      <c r="I148" s="10159"/>
      <c r="J148" s="8799"/>
      <c r="K148" s="12067"/>
      <c r="L148" s="8034"/>
      <c r="M148" s="7861"/>
    </row>
    <row r="149" spans="1:16" ht="15" customHeight="1">
      <c r="A149" s="12045"/>
      <c r="B149" s="12077" t="s">
        <v>4959</v>
      </c>
      <c r="C149" s="12109"/>
      <c r="D149" s="9287"/>
      <c r="E149" s="10159">
        <f>'WS-MOOE 2017'!BP12</f>
        <v>0</v>
      </c>
      <c r="F149" s="10159"/>
      <c r="G149" s="12054"/>
      <c r="H149" s="10159"/>
      <c r="I149" s="10159"/>
      <c r="J149" s="11163" t="s">
        <v>9</v>
      </c>
      <c r="K149" s="12067"/>
      <c r="L149" s="8034"/>
      <c r="M149" s="13780" t="s">
        <v>10994</v>
      </c>
    </row>
    <row r="150" spans="1:16" ht="15" customHeight="1">
      <c r="A150" s="12045"/>
      <c r="B150" s="12077" t="s">
        <v>10269</v>
      </c>
      <c r="C150" s="12109"/>
      <c r="D150" s="9287"/>
      <c r="E150" s="10159">
        <f>'ACTUAL KAGAWAD 2017'!R19</f>
        <v>20760.5</v>
      </c>
      <c r="F150" s="10159">
        <f>'ACTUAL KAGAWAD JUNE 2018'!U21</f>
        <v>9304.75</v>
      </c>
      <c r="G150" s="12054">
        <f>H150-F150</f>
        <v>50695.25</v>
      </c>
      <c r="H150" s="10159">
        <v>60000</v>
      </c>
      <c r="I150" s="10159"/>
      <c r="J150" s="11163">
        <f>I150/H150</f>
        <v>0</v>
      </c>
      <c r="K150" s="12067">
        <v>0</v>
      </c>
      <c r="L150" s="8034"/>
      <c r="M150" s="7861">
        <f>SUM(K131:K141,K150)</f>
        <v>10325000</v>
      </c>
    </row>
    <row r="151" spans="1:16" ht="6.9" customHeight="1">
      <c r="A151" s="12045"/>
      <c r="B151" s="12077"/>
      <c r="C151" s="12109"/>
      <c r="D151" s="9287"/>
      <c r="E151" s="12098"/>
      <c r="F151" s="12098"/>
      <c r="G151" s="12099"/>
      <c r="H151" s="12098"/>
      <c r="I151" s="12098"/>
      <c r="J151" s="7373"/>
      <c r="K151" s="12100"/>
      <c r="L151" s="8034"/>
      <c r="M151" s="7861"/>
    </row>
    <row r="152" spans="1:16" ht="15" customHeight="1">
      <c r="A152" s="12045"/>
      <c r="B152" s="12101" t="s">
        <v>37</v>
      </c>
      <c r="C152" s="12112"/>
      <c r="D152" s="9287"/>
      <c r="E152" s="10160">
        <f>SUM(E43:E63,E79:E104,E118:E150)</f>
        <v>35212580.170000002</v>
      </c>
      <c r="F152" s="10160">
        <f>SUM(F43:F63,F79:F104,F118:F150)</f>
        <v>11834782.960000001</v>
      </c>
      <c r="G152" s="10160">
        <f>SUM(G43:G63,G79:G104,G118:G150)</f>
        <v>54057567.039999992</v>
      </c>
      <c r="H152" s="10160">
        <f>SUM(H43:H63,H79:H104,H118:H150)</f>
        <v>65892350</v>
      </c>
      <c r="I152" s="10160"/>
      <c r="J152" s="9466"/>
      <c r="K152" s="12102">
        <f>SUM(K43:K63,K79:K104,K118:K150)</f>
        <v>67238550</v>
      </c>
      <c r="L152" s="10603">
        <f>(K152-H152)/H152</f>
        <v>2.0430292742632489E-2</v>
      </c>
      <c r="M152" s="7861"/>
    </row>
    <row r="153" spans="1:16" s="8031" customFormat="1" ht="6" customHeight="1" thickBot="1">
      <c r="A153" s="12048"/>
      <c r="B153" s="12069"/>
      <c r="C153" s="12113"/>
      <c r="D153" s="10153"/>
      <c r="E153" s="10154"/>
      <c r="F153" s="10154"/>
      <c r="G153" s="10155"/>
      <c r="H153" s="10154"/>
      <c r="I153" s="10154"/>
      <c r="J153" s="7573"/>
      <c r="K153" s="12070"/>
      <c r="L153" s="8034"/>
      <c r="M153" s="7861"/>
      <c r="N153" s="10255"/>
      <c r="O153" s="7483"/>
      <c r="P153" s="7483"/>
    </row>
    <row r="154" spans="1:16" ht="15" customHeight="1">
      <c r="A154" s="8021"/>
      <c r="B154" s="8021"/>
      <c r="C154" s="8021"/>
      <c r="D154" s="9289"/>
      <c r="E154" s="8034"/>
      <c r="F154" s="8034"/>
      <c r="G154" s="9517"/>
      <c r="H154" s="8034"/>
      <c r="I154" s="8034"/>
      <c r="J154" s="7290"/>
      <c r="K154" s="8034"/>
      <c r="L154" s="8034"/>
      <c r="M154" s="7861"/>
    </row>
    <row r="155" spans="1:16" ht="15" customHeight="1" thickBot="1">
      <c r="A155" s="8035" t="s">
        <v>10786</v>
      </c>
      <c r="B155" s="8035"/>
      <c r="C155" s="8035"/>
      <c r="D155" s="9290"/>
      <c r="E155" s="8027"/>
      <c r="F155" s="8027"/>
      <c r="G155" s="9514"/>
      <c r="H155" s="8027"/>
      <c r="I155" s="8027"/>
      <c r="J155" s="7294"/>
      <c r="K155" s="8027"/>
      <c r="L155" s="8034"/>
      <c r="M155" s="7861"/>
    </row>
    <row r="156" spans="1:16" ht="15" customHeight="1">
      <c r="A156" s="12041"/>
      <c r="B156" s="10157"/>
      <c r="C156" s="10157"/>
      <c r="D156" s="12042" t="s">
        <v>9</v>
      </c>
      <c r="E156" s="12043" t="s">
        <v>10</v>
      </c>
      <c r="F156" s="14188" t="s">
        <v>10711</v>
      </c>
      <c r="G156" s="14189"/>
      <c r="H156" s="14190"/>
      <c r="I156" s="12043"/>
      <c r="J156" s="9462"/>
      <c r="K156" s="12061" t="s">
        <v>12</v>
      </c>
      <c r="L156" s="10480"/>
      <c r="M156" s="7861"/>
    </row>
    <row r="157" spans="1:16" ht="15" customHeight="1">
      <c r="A157" s="12045"/>
      <c r="B157" s="8028" t="s">
        <v>13</v>
      </c>
      <c r="C157" s="8028"/>
      <c r="D157" s="14693" t="s">
        <v>14</v>
      </c>
      <c r="E157" s="12046" t="s">
        <v>15</v>
      </c>
      <c r="F157" s="9502" t="s">
        <v>10709</v>
      </c>
      <c r="G157" s="11083" t="s">
        <v>10710</v>
      </c>
      <c r="H157" s="14191" t="s">
        <v>458</v>
      </c>
      <c r="I157" s="12046"/>
      <c r="J157" s="11108"/>
      <c r="K157" s="12062" t="s">
        <v>16</v>
      </c>
      <c r="L157" s="10480"/>
      <c r="M157" s="7861"/>
    </row>
    <row r="158" spans="1:16" ht="15" customHeight="1" thickBot="1">
      <c r="A158" s="12048"/>
      <c r="B158" s="12049"/>
      <c r="C158" s="12049"/>
      <c r="D158" s="14694"/>
      <c r="E158" s="8036">
        <v>2017</v>
      </c>
      <c r="F158" s="9467" t="s">
        <v>457</v>
      </c>
      <c r="G158" s="11076" t="s">
        <v>456</v>
      </c>
      <c r="H158" s="14192"/>
      <c r="I158" s="8036"/>
      <c r="J158" s="7322"/>
      <c r="K158" s="12063">
        <v>2019</v>
      </c>
      <c r="L158" s="10481"/>
      <c r="M158" s="7861"/>
    </row>
    <row r="159" spans="1:16" ht="15" customHeight="1">
      <c r="A159" s="12114" t="s">
        <v>51</v>
      </c>
      <c r="B159" s="10161" t="s">
        <v>4726</v>
      </c>
      <c r="C159" s="10161"/>
      <c r="D159" s="10162"/>
      <c r="E159" s="10163"/>
      <c r="F159" s="10163"/>
      <c r="G159" s="10164"/>
      <c r="H159" s="10165"/>
      <c r="I159" s="10165"/>
      <c r="J159" s="9464"/>
      <c r="K159" s="12115"/>
      <c r="L159" s="8034"/>
      <c r="M159" s="7861"/>
    </row>
    <row r="160" spans="1:16" ht="15" hidden="1" customHeight="1">
      <c r="A160" s="12052"/>
      <c r="B160" s="8021" t="s">
        <v>10952</v>
      </c>
      <c r="C160" s="12077"/>
      <c r="D160" s="9287">
        <v>50703040</v>
      </c>
      <c r="E160" s="10159">
        <v>0</v>
      </c>
      <c r="F160" s="10159"/>
      <c r="G160" s="12054"/>
      <c r="H160" s="10159"/>
      <c r="I160" s="10159"/>
      <c r="J160" s="8799"/>
      <c r="K160" s="12067"/>
      <c r="L160" s="8034"/>
      <c r="M160" s="7861"/>
    </row>
    <row r="161" spans="1:13" ht="15" customHeight="1">
      <c r="A161" s="12052"/>
      <c r="B161" s="7352" t="s">
        <v>11206</v>
      </c>
      <c r="D161" s="8872">
        <v>50704990</v>
      </c>
      <c r="E161" s="10159"/>
      <c r="F161" s="10159"/>
      <c r="G161" s="12054"/>
      <c r="H161" s="10159">
        <v>0</v>
      </c>
      <c r="I161" s="10159"/>
      <c r="J161" s="8799"/>
      <c r="K161" s="12067">
        <v>0</v>
      </c>
      <c r="L161" s="8034"/>
      <c r="M161" s="7861">
        <v>1000000</v>
      </c>
    </row>
    <row r="162" spans="1:13" ht="15" hidden="1" customHeight="1">
      <c r="A162" s="12052"/>
      <c r="B162" s="10373" t="s">
        <v>11721</v>
      </c>
      <c r="D162" s="8872"/>
      <c r="E162" s="10159"/>
      <c r="F162" s="10159"/>
      <c r="G162" s="12054"/>
      <c r="H162" s="10159"/>
      <c r="I162" s="10159"/>
      <c r="J162" s="8799"/>
      <c r="K162" s="12055"/>
      <c r="L162" s="8034"/>
      <c r="M162" s="7861"/>
    </row>
    <row r="163" spans="1:13" ht="15" hidden="1" customHeight="1">
      <c r="A163" s="12052"/>
      <c r="B163" s="10373" t="s">
        <v>11724</v>
      </c>
      <c r="D163" s="8872"/>
      <c r="E163" s="10159"/>
      <c r="F163" s="10159"/>
      <c r="G163" s="12054"/>
      <c r="H163" s="10159"/>
      <c r="I163" s="10159"/>
      <c r="J163" s="8799"/>
      <c r="K163" s="12055"/>
      <c r="L163" s="8034"/>
      <c r="M163" s="7861"/>
    </row>
    <row r="164" spans="1:13" ht="15" hidden="1" customHeight="1">
      <c r="A164" s="12052"/>
      <c r="B164" s="10373" t="s">
        <v>11722</v>
      </c>
      <c r="D164" s="8872"/>
      <c r="E164" s="10159"/>
      <c r="F164" s="10159"/>
      <c r="G164" s="12054"/>
      <c r="H164" s="10159"/>
      <c r="I164" s="10159"/>
      <c r="J164" s="8799"/>
      <c r="K164" s="12055"/>
      <c r="L164" s="8034"/>
      <c r="M164" s="7861"/>
    </row>
    <row r="165" spans="1:13" ht="15" hidden="1" customHeight="1">
      <c r="A165" s="12052"/>
      <c r="B165" s="10373" t="s">
        <v>11723</v>
      </c>
      <c r="D165" s="8872"/>
      <c r="E165" s="10159"/>
      <c r="F165" s="10159"/>
      <c r="G165" s="12054"/>
      <c r="H165" s="10159"/>
      <c r="I165" s="10159"/>
      <c r="J165" s="8799"/>
      <c r="K165" s="12055"/>
      <c r="L165" s="8034"/>
      <c r="M165" s="7861"/>
    </row>
    <row r="166" spans="1:13" ht="15" customHeight="1">
      <c r="A166" s="12052"/>
      <c r="B166" s="10373" t="s">
        <v>11882</v>
      </c>
      <c r="D166" s="8872"/>
      <c r="E166" s="10159"/>
      <c r="F166" s="10159"/>
      <c r="G166" s="12054"/>
      <c r="H166" s="10159"/>
      <c r="I166" s="10159"/>
      <c r="J166" s="8799"/>
      <c r="K166" s="12055">
        <v>3000000</v>
      </c>
      <c r="L166" s="8034"/>
      <c r="M166" s="7861">
        <v>2500000</v>
      </c>
    </row>
    <row r="167" spans="1:13" ht="15" customHeight="1">
      <c r="A167" s="12052"/>
      <c r="B167" s="8021" t="s">
        <v>176</v>
      </c>
      <c r="C167" s="12077"/>
      <c r="D167" s="9287">
        <v>50705020</v>
      </c>
      <c r="E167" s="10159"/>
      <c r="F167" s="10159">
        <f>'WS-CO ACTUAL JUNE 2018'!E11</f>
        <v>0</v>
      </c>
      <c r="G167" s="12054">
        <f>H167-F167</f>
        <v>6900000</v>
      </c>
      <c r="H167" s="10159">
        <v>6900000</v>
      </c>
      <c r="I167" s="10159">
        <v>911457.8</v>
      </c>
      <c r="J167" s="8799">
        <f>I167/H167</f>
        <v>0.13209533333333334</v>
      </c>
      <c r="K167" s="12116">
        <v>615000</v>
      </c>
      <c r="L167" s="10167"/>
      <c r="M167" s="7861">
        <v>3500000</v>
      </c>
    </row>
    <row r="168" spans="1:13" ht="15" hidden="1" customHeight="1">
      <c r="A168" s="12052"/>
      <c r="B168" s="7738" t="s">
        <v>11725</v>
      </c>
      <c r="C168" s="8021"/>
      <c r="D168" s="10166"/>
      <c r="E168" s="10159"/>
      <c r="F168" s="10159"/>
      <c r="G168" s="12054"/>
      <c r="H168" s="10159"/>
      <c r="I168" s="10159"/>
      <c r="J168" s="11163"/>
      <c r="K168" s="12116"/>
      <c r="L168" s="10167"/>
      <c r="M168" s="7861"/>
    </row>
    <row r="169" spans="1:13" ht="15" hidden="1" customHeight="1">
      <c r="A169" s="12052"/>
      <c r="B169" s="7738" t="s">
        <v>11726</v>
      </c>
      <c r="C169" s="8021"/>
      <c r="D169" s="10166"/>
      <c r="E169" s="10159"/>
      <c r="F169" s="10159"/>
      <c r="G169" s="12054"/>
      <c r="H169" s="10159"/>
      <c r="I169" s="10159"/>
      <c r="J169" s="11163"/>
      <c r="K169" s="12116"/>
      <c r="L169" s="10167"/>
      <c r="M169" s="7861"/>
    </row>
    <row r="170" spans="1:13" ht="15" hidden="1" customHeight="1">
      <c r="A170" s="12052"/>
      <c r="B170" s="7738" t="s">
        <v>11883</v>
      </c>
      <c r="C170" s="8021"/>
      <c r="D170" s="10166"/>
      <c r="E170" s="10159"/>
      <c r="F170" s="10159"/>
      <c r="G170" s="12054"/>
      <c r="H170" s="10159"/>
      <c r="I170" s="10159"/>
      <c r="J170" s="11163"/>
      <c r="K170" s="12116"/>
      <c r="L170" s="10167"/>
      <c r="M170" s="7861"/>
    </row>
    <row r="171" spans="1:13" ht="15" hidden="1" customHeight="1">
      <c r="A171" s="12052"/>
      <c r="B171" s="7738" t="s">
        <v>11727</v>
      </c>
      <c r="C171" s="8021"/>
      <c r="D171" s="10166"/>
      <c r="E171" s="10159"/>
      <c r="F171" s="10159"/>
      <c r="G171" s="12054"/>
      <c r="H171" s="10159"/>
      <c r="I171" s="10159"/>
      <c r="J171" s="11163"/>
      <c r="K171" s="12116"/>
      <c r="L171" s="10167"/>
      <c r="M171" s="7861"/>
    </row>
    <row r="172" spans="1:13" ht="15" hidden="1" customHeight="1">
      <c r="A172" s="12052"/>
      <c r="B172" s="7738" t="s">
        <v>11728</v>
      </c>
      <c r="C172" s="8021"/>
      <c r="D172" s="10166"/>
      <c r="E172" s="10159"/>
      <c r="F172" s="10159"/>
      <c r="G172" s="12054"/>
      <c r="H172" s="10159"/>
      <c r="I172" s="10159"/>
      <c r="J172" s="11163"/>
      <c r="K172" s="12116"/>
      <c r="L172" s="10167"/>
      <c r="M172" s="7861"/>
    </row>
    <row r="173" spans="1:13" ht="15" hidden="1" customHeight="1">
      <c r="A173" s="12052"/>
      <c r="B173" s="7738" t="s">
        <v>11729</v>
      </c>
      <c r="C173" s="8021"/>
      <c r="D173" s="10166"/>
      <c r="E173" s="10159"/>
      <c r="F173" s="10159"/>
      <c r="G173" s="12054"/>
      <c r="H173" s="10159"/>
      <c r="I173" s="10159"/>
      <c r="J173" s="11163"/>
      <c r="K173" s="12116"/>
      <c r="L173" s="10167"/>
      <c r="M173" s="7861"/>
    </row>
    <row r="174" spans="1:13" ht="15" hidden="1" customHeight="1">
      <c r="A174" s="12052"/>
      <c r="B174" s="7738"/>
      <c r="C174" s="8021"/>
      <c r="D174" s="10166"/>
      <c r="E174" s="10159"/>
      <c r="F174" s="10159"/>
      <c r="G174" s="12054"/>
      <c r="H174" s="10159"/>
      <c r="I174" s="10159"/>
      <c r="J174" s="11163"/>
      <c r="K174" s="12116"/>
      <c r="L174" s="10167"/>
      <c r="M174" s="7861"/>
    </row>
    <row r="175" spans="1:13" ht="15" customHeight="1">
      <c r="A175" s="12052"/>
      <c r="B175" s="8037" t="s">
        <v>11713</v>
      </c>
      <c r="C175" s="8037"/>
      <c r="D175" s="10166"/>
      <c r="E175" s="10159">
        <f>'WS-CO 2017'!F11</f>
        <v>604985</v>
      </c>
      <c r="F175" s="10159"/>
      <c r="G175" s="12054"/>
      <c r="H175" s="10159"/>
      <c r="I175" s="10159"/>
      <c r="J175" s="11163"/>
      <c r="K175" s="12116"/>
      <c r="L175" s="10167"/>
      <c r="M175" s="7861"/>
    </row>
    <row r="176" spans="1:13" ht="15" customHeight="1">
      <c r="A176" s="12052"/>
      <c r="B176" s="8037" t="s">
        <v>12239</v>
      </c>
      <c r="C176" s="8037"/>
      <c r="D176" s="10166">
        <v>50707010</v>
      </c>
      <c r="E176" s="10159">
        <f>'WS-CO 2017'!K11</f>
        <v>121566.5</v>
      </c>
      <c r="F176" s="10159"/>
      <c r="G176" s="12054"/>
      <c r="H176" s="10159"/>
      <c r="I176" s="10159"/>
      <c r="J176" s="11163"/>
      <c r="K176" s="12116">
        <v>985000</v>
      </c>
      <c r="L176" s="10167"/>
      <c r="M176" s="7861"/>
    </row>
    <row r="177" spans="1:13" ht="15" hidden="1" customHeight="1">
      <c r="A177" s="12052"/>
      <c r="B177" s="12040" t="s">
        <v>11732</v>
      </c>
      <c r="C177" s="8037"/>
      <c r="D177" s="10166"/>
      <c r="E177" s="10159"/>
      <c r="F177" s="10159"/>
      <c r="G177" s="12054"/>
      <c r="H177" s="10159"/>
      <c r="I177" s="10159"/>
      <c r="J177" s="11163"/>
      <c r="K177" s="12116"/>
      <c r="L177" s="10167"/>
      <c r="M177" s="7861"/>
    </row>
    <row r="178" spans="1:13" ht="15" hidden="1" customHeight="1">
      <c r="A178" s="12052"/>
      <c r="B178" s="12040" t="s">
        <v>11730</v>
      </c>
      <c r="C178" s="8037"/>
      <c r="D178" s="10166"/>
      <c r="E178" s="10159"/>
      <c r="F178" s="10159"/>
      <c r="G178" s="12054"/>
      <c r="H178" s="10159"/>
      <c r="I178" s="10159"/>
      <c r="J178" s="11163"/>
      <c r="K178" s="12116"/>
      <c r="L178" s="10167"/>
      <c r="M178" s="7861"/>
    </row>
    <row r="179" spans="1:13" ht="15" hidden="1" customHeight="1">
      <c r="A179" s="12052"/>
      <c r="B179" s="12040" t="s">
        <v>11731</v>
      </c>
      <c r="C179" s="8037"/>
      <c r="D179" s="10166"/>
      <c r="E179" s="10159"/>
      <c r="F179" s="10159"/>
      <c r="G179" s="12054"/>
      <c r="H179" s="10159"/>
      <c r="I179" s="10159"/>
      <c r="J179" s="11163"/>
      <c r="K179" s="12116"/>
      <c r="L179" s="10167"/>
      <c r="M179" s="7861"/>
    </row>
    <row r="180" spans="1:13" ht="15" hidden="1" customHeight="1">
      <c r="A180" s="12052"/>
      <c r="B180" s="12040" t="s">
        <v>11733</v>
      </c>
      <c r="C180" s="8037"/>
      <c r="D180" s="10166"/>
      <c r="E180" s="10159"/>
      <c r="F180" s="10159"/>
      <c r="G180" s="12054"/>
      <c r="H180" s="10159"/>
      <c r="I180" s="10159"/>
      <c r="J180" s="11163"/>
      <c r="K180" s="12116"/>
      <c r="L180" s="10167"/>
      <c r="M180" s="7861"/>
    </row>
    <row r="181" spans="1:13" ht="15" hidden="1" customHeight="1">
      <c r="A181" s="12052"/>
      <c r="B181" s="12040" t="s">
        <v>11734</v>
      </c>
      <c r="C181" s="8037"/>
      <c r="D181" s="10166"/>
      <c r="E181" s="10159"/>
      <c r="F181" s="10159"/>
      <c r="G181" s="12054"/>
      <c r="H181" s="10159"/>
      <c r="I181" s="10159"/>
      <c r="J181" s="11163"/>
      <c r="K181" s="12116"/>
      <c r="L181" s="10167"/>
      <c r="M181" s="7861"/>
    </row>
    <row r="182" spans="1:13" ht="15" hidden="1" customHeight="1">
      <c r="A182" s="12052"/>
      <c r="B182" s="12040" t="s">
        <v>11735</v>
      </c>
      <c r="C182" s="8037"/>
      <c r="D182" s="10166"/>
      <c r="E182" s="10159"/>
      <c r="F182" s="10159"/>
      <c r="G182" s="12054"/>
      <c r="H182" s="10159"/>
      <c r="I182" s="10159"/>
      <c r="J182" s="11163"/>
      <c r="K182" s="12116"/>
      <c r="L182" s="10167"/>
      <c r="M182" s="7861"/>
    </row>
    <row r="183" spans="1:13" ht="15" hidden="1" customHeight="1">
      <c r="A183" s="12052"/>
      <c r="B183" s="12040" t="s">
        <v>11736</v>
      </c>
      <c r="C183" s="8037"/>
      <c r="D183" s="10166"/>
      <c r="E183" s="10159"/>
      <c r="F183" s="10159"/>
      <c r="G183" s="12054"/>
      <c r="H183" s="10159"/>
      <c r="I183" s="10159"/>
      <c r="J183" s="11163"/>
      <c r="K183" s="12116"/>
      <c r="L183" s="10167"/>
      <c r="M183" s="7861"/>
    </row>
    <row r="184" spans="1:13" ht="15" hidden="1" customHeight="1">
      <c r="A184" s="12052"/>
      <c r="B184" s="12040" t="s">
        <v>11737</v>
      </c>
      <c r="C184" s="8037"/>
      <c r="D184" s="10166"/>
      <c r="E184" s="10159"/>
      <c r="F184" s="10159"/>
      <c r="G184" s="12054"/>
      <c r="H184" s="10159"/>
      <c r="I184" s="10159"/>
      <c r="J184" s="11163"/>
      <c r="K184" s="12116"/>
      <c r="L184" s="10167"/>
      <c r="M184" s="7861"/>
    </row>
    <row r="185" spans="1:13" ht="15" hidden="1" customHeight="1">
      <c r="A185" s="12052"/>
      <c r="B185" s="12040" t="s">
        <v>11738</v>
      </c>
      <c r="C185" s="8037"/>
      <c r="D185" s="10166"/>
      <c r="E185" s="10159"/>
      <c r="F185" s="10159"/>
      <c r="G185" s="12054"/>
      <c r="H185" s="10159"/>
      <c r="I185" s="10159"/>
      <c r="J185" s="11163"/>
      <c r="K185" s="12116"/>
      <c r="L185" s="10167"/>
      <c r="M185" s="7861"/>
    </row>
    <row r="186" spans="1:13" ht="15" hidden="1" customHeight="1">
      <c r="A186" s="12052"/>
      <c r="B186" s="8021" t="s">
        <v>11714</v>
      </c>
      <c r="C186" s="8021"/>
      <c r="D186" s="9287"/>
      <c r="E186" s="10159"/>
      <c r="F186" s="10159"/>
      <c r="G186" s="12054"/>
      <c r="H186" s="10159"/>
      <c r="I186" s="10159"/>
      <c r="J186" s="11163"/>
      <c r="K186" s="12116"/>
      <c r="L186" s="10167"/>
      <c r="M186" s="7861"/>
    </row>
    <row r="187" spans="1:13" ht="15" hidden="1" customHeight="1">
      <c r="A187" s="12052"/>
      <c r="B187" s="8037" t="s">
        <v>11715</v>
      </c>
      <c r="C187" s="8037"/>
      <c r="D187" s="10166"/>
      <c r="E187" s="10159"/>
      <c r="F187" s="10159"/>
      <c r="G187" s="12054"/>
      <c r="H187" s="10159"/>
      <c r="I187" s="10159"/>
      <c r="J187" s="11163"/>
      <c r="K187" s="12116"/>
      <c r="L187" s="10167"/>
      <c r="M187" s="7861"/>
    </row>
    <row r="188" spans="1:13" ht="15" hidden="1" customHeight="1">
      <c r="A188" s="12052"/>
      <c r="B188" s="8037" t="s">
        <v>11716</v>
      </c>
      <c r="C188" s="8037"/>
      <c r="D188" s="10166"/>
      <c r="E188" s="10159"/>
      <c r="F188" s="10159"/>
      <c r="G188" s="12054"/>
      <c r="H188" s="10159"/>
      <c r="I188" s="10159"/>
      <c r="J188" s="11163"/>
      <c r="K188" s="12116"/>
      <c r="L188" s="10167"/>
      <c r="M188" s="7861"/>
    </row>
    <row r="189" spans="1:13" ht="15" customHeight="1">
      <c r="A189" s="12052"/>
      <c r="B189" s="7488" t="s">
        <v>10947</v>
      </c>
      <c r="C189" s="8037"/>
      <c r="D189" s="10166">
        <v>50705030</v>
      </c>
      <c r="E189" s="10159"/>
      <c r="F189" s="10159">
        <f>'WS-CO ACTUAL JUNE 2018'!F11</f>
        <v>0</v>
      </c>
      <c r="G189" s="12054">
        <f>H189-F189</f>
        <v>2445900</v>
      </c>
      <c r="H189" s="10159">
        <v>2445900</v>
      </c>
      <c r="I189" s="10159">
        <v>1040793</v>
      </c>
      <c r="J189" s="11163">
        <f>I189/H189</f>
        <v>0.42552557340856129</v>
      </c>
      <c r="K189" s="12116">
        <v>2900000</v>
      </c>
      <c r="L189" s="10167"/>
      <c r="M189" s="7861">
        <v>500000</v>
      </c>
    </row>
    <row r="190" spans="1:13" ht="15" customHeight="1">
      <c r="A190" s="12117"/>
      <c r="B190" s="8031" t="s">
        <v>11717</v>
      </c>
      <c r="C190" s="12110"/>
      <c r="D190" s="9287"/>
      <c r="E190" s="12053">
        <f>'WS-CO 2017'!H11</f>
        <v>590989</v>
      </c>
      <c r="F190" s="12053"/>
      <c r="G190" s="12054">
        <f>H190-F190</f>
        <v>0</v>
      </c>
      <c r="H190" s="10159"/>
      <c r="I190" s="10159"/>
      <c r="J190" s="11163"/>
      <c r="K190" s="12116"/>
      <c r="L190" s="10167"/>
      <c r="M190" s="7861" t="s">
        <v>11159</v>
      </c>
    </row>
    <row r="191" spans="1:13" ht="15" hidden="1" customHeight="1">
      <c r="A191" s="12052"/>
      <c r="B191" s="8021" t="s">
        <v>11718</v>
      </c>
      <c r="C191" s="8021"/>
      <c r="D191" s="9287"/>
      <c r="E191" s="10159"/>
      <c r="F191" s="10159"/>
      <c r="G191" s="12054">
        <f>H191-F191</f>
        <v>0</v>
      </c>
      <c r="H191" s="10159"/>
      <c r="I191" s="10159"/>
      <c r="J191" s="11163"/>
      <c r="K191" s="12116"/>
      <c r="L191" s="10167"/>
      <c r="M191" s="7861" t="s">
        <v>11160</v>
      </c>
    </row>
    <row r="192" spans="1:13" ht="15" hidden="1" customHeight="1">
      <c r="A192" s="12052"/>
      <c r="B192" s="8021" t="s">
        <v>11719</v>
      </c>
      <c r="C192" s="8021"/>
      <c r="D192" s="9287"/>
      <c r="E192" s="10159"/>
      <c r="F192" s="10159"/>
      <c r="G192" s="12054"/>
      <c r="H192" s="10159"/>
      <c r="I192" s="10159"/>
      <c r="J192" s="11163"/>
      <c r="K192" s="12116"/>
      <c r="L192" s="10167"/>
      <c r="M192" s="7861"/>
    </row>
    <row r="193" spans="1:15" ht="15" customHeight="1">
      <c r="A193" s="12052"/>
      <c r="B193" s="8021" t="s">
        <v>10636</v>
      </c>
      <c r="C193" s="8021"/>
      <c r="D193" s="9287">
        <v>50705990</v>
      </c>
      <c r="E193" s="10159">
        <f>'WS-CO 2017'!I11</f>
        <v>473133</v>
      </c>
      <c r="F193" s="10159">
        <f>'WS-CO ACTUAL JUNE 2018'!J11</f>
        <v>0</v>
      </c>
      <c r="G193" s="12054">
        <f>H193-F193</f>
        <v>500000</v>
      </c>
      <c r="H193" s="10159">
        <v>500000</v>
      </c>
      <c r="I193" s="10159">
        <v>500000</v>
      </c>
      <c r="J193" s="11163">
        <f>I193/H193</f>
        <v>1</v>
      </c>
      <c r="K193" s="12116"/>
      <c r="L193" s="10167"/>
      <c r="M193" s="7861"/>
    </row>
    <row r="194" spans="1:15" ht="15" hidden="1" customHeight="1">
      <c r="A194" s="12052"/>
      <c r="B194" s="8037" t="s">
        <v>11720</v>
      </c>
      <c r="C194" s="8037"/>
      <c r="D194" s="10166"/>
      <c r="E194" s="10159"/>
      <c r="F194" s="10159"/>
      <c r="G194" s="12054">
        <f>H194-F194</f>
        <v>0</v>
      </c>
      <c r="H194" s="10159"/>
      <c r="I194" s="10167"/>
      <c r="J194" s="11163" t="s">
        <v>9</v>
      </c>
      <c r="K194" s="12116"/>
      <c r="L194" s="10167"/>
      <c r="M194" s="7861"/>
    </row>
    <row r="195" spans="1:15" ht="15" customHeight="1">
      <c r="A195" s="12052"/>
      <c r="B195" s="8055" t="s">
        <v>11874</v>
      </c>
      <c r="C195" s="12077"/>
      <c r="D195" s="9287">
        <v>50706010</v>
      </c>
      <c r="E195" s="10159"/>
      <c r="F195" s="10159">
        <f>'WS-CO ACTUAL JUNE 2018'!K11</f>
        <v>0</v>
      </c>
      <c r="G195" s="12054">
        <f>H195-F195</f>
        <v>2580000</v>
      </c>
      <c r="H195" s="10159">
        <v>2580000</v>
      </c>
      <c r="I195" s="10159">
        <v>1430525</v>
      </c>
      <c r="J195" s="11163">
        <f>I195/H195</f>
        <v>0.55446705426356591</v>
      </c>
      <c r="K195" s="12116"/>
      <c r="L195" s="10167"/>
      <c r="M195" s="7861"/>
    </row>
    <row r="196" spans="1:15" ht="15" hidden="1" customHeight="1">
      <c r="A196" s="12052"/>
      <c r="B196" s="8037" t="s">
        <v>11194</v>
      </c>
      <c r="C196" s="8037"/>
      <c r="D196" s="10166"/>
      <c r="E196" s="10159"/>
      <c r="F196" s="10159"/>
      <c r="G196" s="10168"/>
      <c r="H196" s="10159"/>
      <c r="I196" s="10159"/>
      <c r="J196" s="11163"/>
      <c r="K196" s="12116"/>
      <c r="L196" s="10167"/>
      <c r="M196" s="7861"/>
    </row>
    <row r="197" spans="1:15" ht="15" hidden="1" customHeight="1">
      <c r="A197" s="12052"/>
      <c r="B197" s="8038" t="s">
        <v>3312</v>
      </c>
      <c r="C197" s="8037"/>
      <c r="D197" s="10166"/>
      <c r="E197" s="10159"/>
      <c r="F197" s="10159"/>
      <c r="G197" s="10168"/>
      <c r="H197" s="10159"/>
      <c r="I197" s="10159"/>
      <c r="J197" s="11163"/>
      <c r="K197" s="12067"/>
      <c r="L197" s="8034"/>
      <c r="M197" s="7861"/>
    </row>
    <row r="198" spans="1:15" ht="15" hidden="1" customHeight="1">
      <c r="A198" s="12052"/>
      <c r="B198" s="8037" t="s">
        <v>10272</v>
      </c>
      <c r="C198" s="8037"/>
      <c r="D198" s="10166"/>
      <c r="E198" s="10159">
        <v>0</v>
      </c>
      <c r="F198" s="10159"/>
      <c r="G198" s="12054">
        <f>H198-F198</f>
        <v>0</v>
      </c>
      <c r="H198" s="10159"/>
      <c r="I198" s="10159"/>
      <c r="J198" s="11163"/>
      <c r="K198" s="12067"/>
      <c r="L198" s="8034"/>
      <c r="M198" s="7861"/>
    </row>
    <row r="199" spans="1:15" ht="15" hidden="1" customHeight="1">
      <c r="A199" s="12052"/>
      <c r="B199" s="8037" t="s">
        <v>10273</v>
      </c>
      <c r="C199" s="8037"/>
      <c r="D199" s="10166"/>
      <c r="E199" s="10159">
        <v>0</v>
      </c>
      <c r="F199" s="10159"/>
      <c r="G199" s="12054">
        <f>H199-F199</f>
        <v>0</v>
      </c>
      <c r="H199" s="10159"/>
      <c r="I199" s="10159"/>
      <c r="J199" s="11163"/>
      <c r="K199" s="12067"/>
      <c r="L199" s="8034"/>
      <c r="M199" s="7861"/>
    </row>
    <row r="200" spans="1:15" ht="15" hidden="1" customHeight="1">
      <c r="A200" s="12052"/>
      <c r="B200" s="8037" t="s">
        <v>10274</v>
      </c>
      <c r="C200" s="8037"/>
      <c r="D200" s="10166"/>
      <c r="E200" s="10159">
        <v>0</v>
      </c>
      <c r="F200" s="10159"/>
      <c r="G200" s="12054">
        <f>H200-F200</f>
        <v>0</v>
      </c>
      <c r="H200" s="10159"/>
      <c r="I200" s="10159">
        <v>0</v>
      </c>
      <c r="J200" s="11163" t="e">
        <f>I200/H200</f>
        <v>#DIV/0!</v>
      </c>
      <c r="K200" s="12067"/>
      <c r="L200" s="8034"/>
      <c r="M200" s="7861"/>
    </row>
    <row r="201" spans="1:15" ht="15" hidden="1" customHeight="1">
      <c r="A201" s="12052"/>
      <c r="B201" s="8021" t="s">
        <v>176</v>
      </c>
      <c r="C201" s="12077"/>
      <c r="D201" s="9287"/>
      <c r="E201" s="10159">
        <f>'WS-CO 2017'!J11</f>
        <v>0</v>
      </c>
      <c r="F201" s="10159"/>
      <c r="G201" s="12054">
        <f>H201-F201</f>
        <v>0</v>
      </c>
      <c r="H201" s="10159"/>
      <c r="I201" s="10159"/>
      <c r="J201" s="11163"/>
      <c r="K201" s="12067"/>
      <c r="L201" s="8034"/>
      <c r="M201" s="7861"/>
    </row>
    <row r="202" spans="1:15" ht="15" hidden="1" customHeight="1">
      <c r="A202" s="12052"/>
      <c r="B202" s="8021" t="s">
        <v>161</v>
      </c>
      <c r="C202" s="8021"/>
      <c r="D202" s="9287"/>
      <c r="E202" s="10159">
        <v>0</v>
      </c>
      <c r="F202" s="10159"/>
      <c r="G202" s="12054">
        <f>H202-F202</f>
        <v>0</v>
      </c>
      <c r="H202" s="10159"/>
      <c r="I202" s="10159">
        <v>39499.25</v>
      </c>
      <c r="J202" s="11163" t="e">
        <f>I202/H202</f>
        <v>#DIV/0!</v>
      </c>
      <c r="K202" s="12067"/>
      <c r="L202" s="8034"/>
      <c r="M202" s="7861"/>
    </row>
    <row r="203" spans="1:15" ht="15" hidden="1" customHeight="1">
      <c r="A203" s="12052"/>
      <c r="B203" s="8021"/>
      <c r="C203" s="8021"/>
      <c r="D203" s="9287"/>
      <c r="E203" s="10159"/>
      <c r="F203" s="10159"/>
      <c r="G203" s="10168"/>
      <c r="H203" s="10159"/>
      <c r="I203" s="10159"/>
      <c r="J203" s="11163"/>
      <c r="K203" s="12067"/>
      <c r="L203" s="8034"/>
      <c r="M203" s="7861"/>
    </row>
    <row r="204" spans="1:15" ht="15" customHeight="1">
      <c r="A204" s="12052"/>
      <c r="B204" s="8021"/>
      <c r="C204" s="8021"/>
      <c r="D204" s="9287"/>
      <c r="E204" s="10159"/>
      <c r="F204" s="10159"/>
      <c r="G204" s="10168"/>
      <c r="H204" s="10159"/>
      <c r="I204" s="10159"/>
      <c r="J204" s="11163"/>
      <c r="K204" s="12067"/>
      <c r="L204" s="8034"/>
      <c r="M204" s="7861"/>
    </row>
    <row r="205" spans="1:15" ht="15" customHeight="1">
      <c r="A205" s="12052"/>
      <c r="B205" s="8030" t="s">
        <v>214</v>
      </c>
      <c r="C205" s="8030"/>
      <c r="D205" s="9287"/>
      <c r="E205" s="10160">
        <f>SUM(E160:E202)</f>
        <v>1790673.5</v>
      </c>
      <c r="F205" s="10160">
        <f>SUM(F160:F202)</f>
        <v>0</v>
      </c>
      <c r="G205" s="10160">
        <f>SUM(G160:G202)</f>
        <v>12425900</v>
      </c>
      <c r="H205" s="10160">
        <f>SUM(H160:H204)</f>
        <v>12425900</v>
      </c>
      <c r="I205" s="10160"/>
      <c r="J205" s="9466"/>
      <c r="K205" s="12102">
        <f>SUM(K160:K204)</f>
        <v>7500000</v>
      </c>
      <c r="L205" s="10601">
        <f>(K205-H205)/H205</f>
        <v>-0.39642198955407659</v>
      </c>
      <c r="M205" s="7861"/>
      <c r="O205" s="7749">
        <v>7500000</v>
      </c>
    </row>
    <row r="206" spans="1:15" ht="15" customHeight="1">
      <c r="A206" s="12052"/>
      <c r="B206" s="8030"/>
      <c r="C206" s="8030"/>
      <c r="D206" s="9287"/>
      <c r="E206" s="12066"/>
      <c r="F206" s="12118"/>
      <c r="G206" s="12119"/>
      <c r="H206" s="12120"/>
      <c r="I206" s="12120"/>
      <c r="J206" s="11951"/>
      <c r="K206" s="12121"/>
      <c r="L206" s="8047"/>
      <c r="M206" s="7861"/>
    </row>
    <row r="207" spans="1:15" ht="15" customHeight="1">
      <c r="A207" s="12052" t="s">
        <v>53</v>
      </c>
      <c r="B207" s="8021" t="s">
        <v>131</v>
      </c>
      <c r="C207" s="8021"/>
      <c r="D207" s="9287"/>
      <c r="E207" s="10159"/>
      <c r="F207" s="12053"/>
      <c r="G207" s="12054"/>
      <c r="H207" s="10159"/>
      <c r="I207" s="10159"/>
      <c r="J207" s="8799"/>
      <c r="K207" s="12067"/>
      <c r="L207" s="8034"/>
      <c r="M207" s="7861"/>
    </row>
    <row r="208" spans="1:15" ht="15" hidden="1" customHeight="1">
      <c r="A208" s="12045"/>
      <c r="B208" s="7738"/>
      <c r="C208" s="8021"/>
      <c r="D208" s="9287"/>
      <c r="E208" s="10159"/>
      <c r="F208" s="10159"/>
      <c r="G208" s="10168"/>
      <c r="H208" s="10159"/>
      <c r="I208" s="10159"/>
      <c r="J208" s="8799"/>
      <c r="K208" s="12067"/>
      <c r="L208" s="8034"/>
      <c r="M208" s="7861"/>
    </row>
    <row r="209" spans="1:16" s="8041" customFormat="1" ht="15" hidden="1" customHeight="1">
      <c r="A209" s="12122"/>
      <c r="B209" s="8039" t="s">
        <v>5934</v>
      </c>
      <c r="C209" s="8040">
        <v>13100000</v>
      </c>
      <c r="D209" s="10169"/>
      <c r="E209" s="10170"/>
      <c r="F209" s="10170"/>
      <c r="G209" s="10171"/>
      <c r="H209" s="10170"/>
      <c r="I209" s="10170"/>
      <c r="J209" s="10172"/>
      <c r="K209" s="12123"/>
      <c r="L209" s="10484"/>
      <c r="M209" s="10245"/>
      <c r="N209" s="10267"/>
      <c r="O209" s="7915"/>
      <c r="P209" s="7915"/>
    </row>
    <row r="210" spans="1:16" s="8041" customFormat="1" ht="15" hidden="1" customHeight="1">
      <c r="A210" s="12122"/>
      <c r="B210" s="7751" t="s">
        <v>5935</v>
      </c>
      <c r="C210" s="12124"/>
      <c r="D210" s="10169"/>
      <c r="E210" s="10170"/>
      <c r="F210" s="10170"/>
      <c r="G210" s="10171"/>
      <c r="H210" s="8800"/>
      <c r="I210" s="10170"/>
      <c r="J210" s="10172"/>
      <c r="K210" s="11882"/>
      <c r="L210" s="10485"/>
      <c r="M210" s="10245"/>
      <c r="N210" s="10267"/>
      <c r="O210" s="7915"/>
      <c r="P210" s="7915"/>
    </row>
    <row r="211" spans="1:16" s="8041" customFormat="1" ht="15" hidden="1" customHeight="1">
      <c r="A211" s="12122"/>
      <c r="B211" s="7751" t="s">
        <v>5936</v>
      </c>
      <c r="C211" s="12124"/>
      <c r="D211" s="10169"/>
      <c r="E211" s="10170"/>
      <c r="F211" s="10170"/>
      <c r="G211" s="10171"/>
      <c r="H211" s="8800"/>
      <c r="I211" s="10170"/>
      <c r="J211" s="10172"/>
      <c r="K211" s="11882"/>
      <c r="L211" s="10485"/>
      <c r="M211" s="10245"/>
      <c r="N211" s="10267"/>
      <c r="O211" s="7915"/>
      <c r="P211" s="7915"/>
    </row>
    <row r="212" spans="1:16" s="8041" customFormat="1" ht="15" hidden="1" customHeight="1">
      <c r="A212" s="12122"/>
      <c r="B212" s="7751" t="s">
        <v>12229</v>
      </c>
      <c r="C212" s="12124"/>
      <c r="D212" s="10169"/>
      <c r="E212" s="10170"/>
      <c r="F212" s="10170"/>
      <c r="G212" s="10171"/>
      <c r="H212" s="8800"/>
      <c r="I212" s="10170"/>
      <c r="J212" s="10172"/>
      <c r="K212" s="11882"/>
      <c r="L212" s="10485"/>
      <c r="M212" s="10245"/>
      <c r="N212" s="10267"/>
      <c r="O212" s="7915"/>
      <c r="P212" s="7915"/>
    </row>
    <row r="213" spans="1:16" s="8041" customFormat="1" ht="15" hidden="1" customHeight="1">
      <c r="A213" s="12122"/>
      <c r="B213" s="7751" t="s">
        <v>12230</v>
      </c>
      <c r="C213" s="12124"/>
      <c r="D213" s="10169"/>
      <c r="E213" s="10170"/>
      <c r="F213" s="10170"/>
      <c r="G213" s="10171"/>
      <c r="H213" s="8800"/>
      <c r="I213" s="10170"/>
      <c r="J213" s="10172"/>
      <c r="K213" s="11882"/>
      <c r="L213" s="10485"/>
      <c r="M213" s="10245"/>
      <c r="N213" s="10267"/>
      <c r="O213" s="7915"/>
      <c r="P213" s="7915"/>
    </row>
    <row r="214" spans="1:16" s="8041" customFormat="1" ht="15" hidden="1" customHeight="1">
      <c r="A214" s="12122"/>
      <c r="B214" s="7751" t="s">
        <v>5937</v>
      </c>
      <c r="C214" s="12124"/>
      <c r="D214" s="10169"/>
      <c r="E214" s="10170"/>
      <c r="F214" s="10170"/>
      <c r="G214" s="10171"/>
      <c r="H214" s="8800"/>
      <c r="I214" s="10170"/>
      <c r="J214" s="10172"/>
      <c r="K214" s="11882"/>
      <c r="L214" s="10485"/>
      <c r="M214" s="10245"/>
      <c r="N214" s="10267"/>
      <c r="O214" s="7915"/>
      <c r="P214" s="7915"/>
    </row>
    <row r="215" spans="1:16" s="8041" customFormat="1" ht="15" hidden="1" customHeight="1">
      <c r="A215" s="12122"/>
      <c r="B215" s="7751" t="s">
        <v>5938</v>
      </c>
      <c r="C215" s="12124"/>
      <c r="D215" s="10169"/>
      <c r="E215" s="10170"/>
      <c r="F215" s="10170"/>
      <c r="G215" s="10171"/>
      <c r="H215" s="8800"/>
      <c r="I215" s="10170"/>
      <c r="J215" s="10172"/>
      <c r="K215" s="11882"/>
      <c r="L215" s="10485"/>
      <c r="M215" s="10245"/>
      <c r="N215" s="10267"/>
      <c r="O215" s="7915"/>
      <c r="P215" s="7915"/>
    </row>
    <row r="216" spans="1:16" s="8041" customFormat="1" ht="15" hidden="1" customHeight="1">
      <c r="A216" s="12122"/>
      <c r="B216" s="7751" t="s">
        <v>5939</v>
      </c>
      <c r="C216" s="12124"/>
      <c r="D216" s="10169"/>
      <c r="E216" s="10170"/>
      <c r="F216" s="10170"/>
      <c r="G216" s="10171"/>
      <c r="H216" s="8800"/>
      <c r="I216" s="10170"/>
      <c r="J216" s="10172"/>
      <c r="K216" s="11882"/>
      <c r="L216" s="10485"/>
      <c r="M216" s="10245"/>
      <c r="N216" s="10267"/>
      <c r="O216" s="7915"/>
      <c r="P216" s="7915"/>
    </row>
    <row r="217" spans="1:16" s="8041" customFormat="1" ht="15" hidden="1" customHeight="1">
      <c r="A217" s="12122"/>
      <c r="B217" s="7751" t="s">
        <v>12240</v>
      </c>
      <c r="C217" s="12124"/>
      <c r="D217" s="10169"/>
      <c r="E217" s="10170"/>
      <c r="F217" s="10170"/>
      <c r="G217" s="10171"/>
      <c r="H217" s="8800"/>
      <c r="I217" s="10170"/>
      <c r="J217" s="10172"/>
      <c r="K217" s="11882"/>
      <c r="L217" s="10485"/>
      <c r="M217" s="10245"/>
      <c r="N217" s="10267"/>
      <c r="O217" s="7915"/>
      <c r="P217" s="7915"/>
    </row>
    <row r="218" spans="1:16" s="8041" customFormat="1" ht="15" hidden="1" customHeight="1">
      <c r="A218" s="12122"/>
      <c r="B218" s="7751" t="s">
        <v>5940</v>
      </c>
      <c r="C218" s="12124"/>
      <c r="D218" s="10169"/>
      <c r="E218" s="10170"/>
      <c r="F218" s="10170"/>
      <c r="G218" s="10171"/>
      <c r="H218" s="8800"/>
      <c r="I218" s="10170"/>
      <c r="J218" s="10172"/>
      <c r="K218" s="11882"/>
      <c r="L218" s="10485"/>
      <c r="M218" s="10245"/>
      <c r="N218" s="10267"/>
      <c r="O218" s="7915"/>
      <c r="P218" s="7915"/>
    </row>
    <row r="219" spans="1:16" s="8041" customFormat="1" ht="15" hidden="1" customHeight="1">
      <c r="A219" s="12122"/>
      <c r="B219" s="7751" t="s">
        <v>5941</v>
      </c>
      <c r="C219" s="12124"/>
      <c r="D219" s="10169"/>
      <c r="E219" s="10170"/>
      <c r="F219" s="10170"/>
      <c r="G219" s="10171"/>
      <c r="H219" s="8800"/>
      <c r="I219" s="10170"/>
      <c r="J219" s="10172"/>
      <c r="K219" s="11882"/>
      <c r="L219" s="10485"/>
      <c r="M219" s="10245"/>
      <c r="N219" s="10267"/>
      <c r="O219" s="7915"/>
      <c r="P219" s="7915"/>
    </row>
    <row r="220" spans="1:16" s="8041" customFormat="1" ht="15" hidden="1" customHeight="1">
      <c r="A220" s="12122"/>
      <c r="B220" s="8039" t="s">
        <v>5942</v>
      </c>
      <c r="C220" s="12125">
        <v>20800000</v>
      </c>
      <c r="D220" s="10169">
        <v>874</v>
      </c>
      <c r="E220" s="10170"/>
      <c r="F220" s="10170"/>
      <c r="G220" s="10171"/>
      <c r="H220" s="10170"/>
      <c r="I220" s="10170"/>
      <c r="J220" s="10172"/>
      <c r="K220" s="12123"/>
      <c r="L220" s="10484"/>
      <c r="M220" s="10245"/>
      <c r="N220" s="10267"/>
      <c r="O220" s="7915"/>
      <c r="P220" s="7915"/>
    </row>
    <row r="221" spans="1:16" s="8041" customFormat="1" ht="15" hidden="1" customHeight="1">
      <c r="A221" s="12122"/>
      <c r="B221" s="7751" t="s">
        <v>5935</v>
      </c>
      <c r="C221" s="12126"/>
      <c r="D221" s="10169"/>
      <c r="E221" s="10170"/>
      <c r="F221" s="10170"/>
      <c r="G221" s="10171"/>
      <c r="H221" s="10170"/>
      <c r="I221" s="10170"/>
      <c r="J221" s="10172"/>
      <c r="K221" s="12123"/>
      <c r="L221" s="10484"/>
      <c r="M221" s="10245"/>
      <c r="N221" s="10267"/>
      <c r="O221" s="7915"/>
      <c r="P221" s="7915"/>
    </row>
    <row r="222" spans="1:16" s="8041" customFormat="1" ht="15" hidden="1" customHeight="1">
      <c r="A222" s="12122"/>
      <c r="B222" s="7751" t="s">
        <v>5943</v>
      </c>
      <c r="C222" s="12126"/>
      <c r="D222" s="10169"/>
      <c r="E222" s="10170"/>
      <c r="F222" s="10170"/>
      <c r="G222" s="10171"/>
      <c r="H222" s="10170"/>
      <c r="I222" s="10170"/>
      <c r="J222" s="10172"/>
      <c r="K222" s="12123"/>
      <c r="L222" s="10484"/>
      <c r="M222" s="10245"/>
      <c r="N222" s="10267"/>
      <c r="O222" s="7915"/>
      <c r="P222" s="7915"/>
    </row>
    <row r="223" spans="1:16" s="8041" customFormat="1" ht="15" hidden="1" customHeight="1">
      <c r="A223" s="12122"/>
      <c r="B223" s="7751" t="s">
        <v>12229</v>
      </c>
      <c r="C223" s="12126"/>
      <c r="D223" s="10169"/>
      <c r="E223" s="10170"/>
      <c r="F223" s="10170"/>
      <c r="G223" s="10171"/>
      <c r="H223" s="10170"/>
      <c r="I223" s="10170"/>
      <c r="J223" s="10172"/>
      <c r="K223" s="12123"/>
      <c r="L223" s="10484"/>
      <c r="M223" s="10245"/>
      <c r="N223" s="10267"/>
      <c r="O223" s="7915"/>
      <c r="P223" s="7915"/>
    </row>
    <row r="224" spans="1:16" s="8041" customFormat="1" ht="15" hidden="1" customHeight="1">
      <c r="A224" s="12122"/>
      <c r="B224" s="7751" t="s">
        <v>12230</v>
      </c>
      <c r="C224" s="12126"/>
      <c r="D224" s="10169"/>
      <c r="E224" s="10170"/>
      <c r="F224" s="10170"/>
      <c r="G224" s="10171"/>
      <c r="H224" s="10170"/>
      <c r="I224" s="10170"/>
      <c r="J224" s="10172"/>
      <c r="K224" s="12123"/>
      <c r="L224" s="10484"/>
      <c r="M224" s="10245"/>
      <c r="N224" s="10267"/>
      <c r="O224" s="7915"/>
      <c r="P224" s="7915"/>
    </row>
    <row r="225" spans="1:16" s="8041" customFormat="1" ht="15" hidden="1" customHeight="1">
      <c r="A225" s="12122"/>
      <c r="B225" s="7751" t="s">
        <v>5937</v>
      </c>
      <c r="C225" s="12126"/>
      <c r="D225" s="10169"/>
      <c r="E225" s="10170"/>
      <c r="F225" s="10170"/>
      <c r="G225" s="10171"/>
      <c r="H225" s="10170"/>
      <c r="I225" s="10170"/>
      <c r="J225" s="10172"/>
      <c r="K225" s="12123"/>
      <c r="L225" s="10484"/>
      <c r="M225" s="10245"/>
      <c r="N225" s="10267"/>
      <c r="O225" s="7915"/>
      <c r="P225" s="7915"/>
    </row>
    <row r="226" spans="1:16" s="8041" customFormat="1" ht="15" hidden="1" customHeight="1">
      <c r="A226" s="12122"/>
      <c r="B226" s="7751" t="s">
        <v>5938</v>
      </c>
      <c r="C226" s="12126"/>
      <c r="D226" s="10169"/>
      <c r="E226" s="10170"/>
      <c r="F226" s="10170"/>
      <c r="G226" s="10171"/>
      <c r="H226" s="10170"/>
      <c r="I226" s="10170"/>
      <c r="J226" s="10172"/>
      <c r="K226" s="12123"/>
      <c r="L226" s="10484"/>
      <c r="M226" s="10245"/>
      <c r="N226" s="10267"/>
      <c r="O226" s="7915"/>
      <c r="P226" s="7915"/>
    </row>
    <row r="227" spans="1:16" s="8041" customFormat="1" ht="15" hidden="1" customHeight="1">
      <c r="A227" s="12122"/>
      <c r="B227" s="7751" t="s">
        <v>5939</v>
      </c>
      <c r="C227" s="12126"/>
      <c r="D227" s="10169"/>
      <c r="E227" s="10170"/>
      <c r="F227" s="10170"/>
      <c r="G227" s="10171"/>
      <c r="H227" s="10170"/>
      <c r="I227" s="10170"/>
      <c r="J227" s="10172"/>
      <c r="K227" s="12123"/>
      <c r="L227" s="10484"/>
      <c r="M227" s="10245"/>
      <c r="N227" s="10267"/>
      <c r="O227" s="7915"/>
      <c r="P227" s="7915"/>
    </row>
    <row r="228" spans="1:16" s="8041" customFormat="1" ht="15" hidden="1" customHeight="1">
      <c r="A228" s="12122"/>
      <c r="B228" s="7751" t="s">
        <v>5944</v>
      </c>
      <c r="C228" s="12126"/>
      <c r="D228" s="10169"/>
      <c r="E228" s="10170"/>
      <c r="F228" s="10170"/>
      <c r="G228" s="10171"/>
      <c r="H228" s="10170"/>
      <c r="I228" s="10170"/>
      <c r="J228" s="10172"/>
      <c r="K228" s="12123"/>
      <c r="L228" s="10484"/>
      <c r="M228" s="10245"/>
      <c r="N228" s="10267"/>
      <c r="O228" s="7915"/>
      <c r="P228" s="7915"/>
    </row>
    <row r="229" spans="1:16" s="8041" customFormat="1" ht="15" hidden="1" customHeight="1">
      <c r="A229" s="12122"/>
      <c r="B229" s="7751" t="s">
        <v>5940</v>
      </c>
      <c r="C229" s="12126"/>
      <c r="D229" s="10169"/>
      <c r="E229" s="10170"/>
      <c r="F229" s="10170"/>
      <c r="G229" s="10171"/>
      <c r="H229" s="10170"/>
      <c r="I229" s="10170"/>
      <c r="J229" s="10172"/>
      <c r="K229" s="12123"/>
      <c r="L229" s="10484"/>
      <c r="M229" s="10245"/>
      <c r="N229" s="10267"/>
      <c r="O229" s="7915"/>
      <c r="P229" s="7915"/>
    </row>
    <row r="230" spans="1:16" s="8041" customFormat="1" ht="15" hidden="1" customHeight="1">
      <c r="A230" s="12122"/>
      <c r="B230" s="7751" t="s">
        <v>5941</v>
      </c>
      <c r="C230" s="12126"/>
      <c r="D230" s="10169"/>
      <c r="E230" s="10170"/>
      <c r="F230" s="10170"/>
      <c r="G230" s="10171"/>
      <c r="H230" s="10170"/>
      <c r="I230" s="10170"/>
      <c r="J230" s="10172"/>
      <c r="K230" s="12123"/>
      <c r="L230" s="10484"/>
      <c r="M230" s="10245"/>
      <c r="N230" s="10267"/>
      <c r="O230" s="7915"/>
      <c r="P230" s="7915"/>
    </row>
    <row r="231" spans="1:16" s="8042" customFormat="1" ht="15" hidden="1" customHeight="1">
      <c r="A231" s="12127"/>
      <c r="B231" s="8030" t="s">
        <v>214</v>
      </c>
      <c r="C231" s="8030"/>
      <c r="D231" s="10173"/>
      <c r="E231" s="10160">
        <f>SUM(E208:E230)</f>
        <v>0</v>
      </c>
      <c r="F231" s="10160">
        <f>SUM(F208:F230)</f>
        <v>0</v>
      </c>
      <c r="G231" s="10160">
        <f>SUM(G208:G230)</f>
        <v>0</v>
      </c>
      <c r="H231" s="10160">
        <f>SUM(H208:H230)</f>
        <v>0</v>
      </c>
      <c r="I231" s="10160"/>
      <c r="J231" s="9466"/>
      <c r="K231" s="12102">
        <f>SUM(K208:K230)</f>
        <v>0</v>
      </c>
      <c r="L231" s="8047"/>
      <c r="M231" s="7863"/>
      <c r="N231" s="7856"/>
      <c r="O231" s="7502"/>
      <c r="P231" s="7502"/>
    </row>
    <row r="232" spans="1:16" ht="15" customHeight="1">
      <c r="A232" s="12128"/>
      <c r="B232" s="8053"/>
      <c r="C232" s="8053"/>
      <c r="D232" s="12129"/>
      <c r="E232" s="12130"/>
      <c r="F232" s="12130"/>
      <c r="G232" s="12131"/>
      <c r="H232" s="10174"/>
      <c r="I232" s="10174"/>
      <c r="J232" s="8874"/>
      <c r="K232" s="12132"/>
      <c r="L232" s="8047"/>
      <c r="M232" s="7861"/>
    </row>
    <row r="233" spans="1:16" ht="15" customHeight="1" thickBot="1">
      <c r="A233" s="12133"/>
      <c r="B233" s="12134" t="s">
        <v>55</v>
      </c>
      <c r="C233" s="12135"/>
      <c r="D233" s="12136"/>
      <c r="E233" s="12039">
        <f>(E33+E152+E205+E231)</f>
        <v>79037354.900000006</v>
      </c>
      <c r="F233" s="12039">
        <f>(F33+F152+F205+F231)</f>
        <v>34135628.090000004</v>
      </c>
      <c r="G233" s="12039">
        <f>(G33+G152+G205+G231)</f>
        <v>104341986.91</v>
      </c>
      <c r="H233" s="12039">
        <f>(H33+H152+H205+H231)</f>
        <v>138477615</v>
      </c>
      <c r="I233" s="12039"/>
      <c r="J233" s="11449"/>
      <c r="K233" s="12137">
        <f>(K33+K152+K205+K231)</f>
        <v>138655923.11000001</v>
      </c>
      <c r="L233" s="10379">
        <f>(K233-H233)/H233</f>
        <v>1.2876312897215504E-3</v>
      </c>
      <c r="M233" s="7861"/>
    </row>
    <row r="234" spans="1:16" s="7333" customFormat="1" ht="15" customHeight="1">
      <c r="A234" s="7812" t="s">
        <v>4763</v>
      </c>
      <c r="B234" s="7812"/>
      <c r="C234" s="7738"/>
      <c r="D234" s="9291"/>
      <c r="E234" s="7814"/>
      <c r="F234" s="7814"/>
      <c r="G234" s="9519"/>
      <c r="H234" s="7815"/>
      <c r="I234" s="7814"/>
      <c r="J234" s="8043"/>
      <c r="K234" s="7815"/>
      <c r="L234" s="7815"/>
      <c r="M234" s="10246"/>
      <c r="N234" s="7858"/>
      <c r="O234" s="7505"/>
      <c r="P234" s="7505"/>
    </row>
    <row r="235" spans="1:16" s="7333" customFormat="1" ht="15" customHeight="1">
      <c r="A235" s="7812"/>
      <c r="B235" s="7812"/>
      <c r="C235" s="7738"/>
      <c r="D235" s="9291"/>
      <c r="E235" s="7814"/>
      <c r="F235" s="7814"/>
      <c r="G235" s="9519"/>
      <c r="H235" s="7815"/>
      <c r="I235" s="7814"/>
      <c r="J235" s="8043"/>
      <c r="K235" s="7815"/>
      <c r="L235" s="7815"/>
      <c r="M235" s="10246"/>
      <c r="N235" s="7858"/>
      <c r="O235" s="7505"/>
      <c r="P235" s="7505"/>
    </row>
    <row r="236" spans="1:16" ht="15" hidden="1" customHeight="1">
      <c r="B236" s="7761" t="s">
        <v>3483</v>
      </c>
      <c r="C236" s="8019"/>
      <c r="D236" s="10870" t="s">
        <v>3484</v>
      </c>
      <c r="E236" s="8019"/>
      <c r="G236" s="9459" t="s">
        <v>10666</v>
      </c>
      <c r="H236" s="8019"/>
      <c r="I236" s="7763"/>
      <c r="J236" s="7286"/>
      <c r="M236" s="7861"/>
    </row>
    <row r="237" spans="1:16" s="8042" customFormat="1" ht="15" hidden="1" customHeight="1">
      <c r="A237" s="7761"/>
      <c r="B237" s="7761"/>
      <c r="D237" s="9293"/>
      <c r="E237" s="10870"/>
      <c r="F237" s="7764"/>
      <c r="G237" s="9520"/>
      <c r="H237" s="7339"/>
      <c r="I237" s="7763"/>
      <c r="J237" s="7286"/>
      <c r="K237" s="7764"/>
      <c r="L237" s="7764"/>
      <c r="M237" s="7863"/>
      <c r="N237" s="7856"/>
      <c r="O237" s="7502"/>
      <c r="P237" s="7502"/>
    </row>
    <row r="238" spans="1:16" ht="15" hidden="1" customHeight="1">
      <c r="A238" s="7761"/>
      <c r="B238" s="12103"/>
      <c r="C238" s="8019"/>
      <c r="D238" s="9292"/>
      <c r="E238" s="10870"/>
      <c r="H238" s="7339"/>
      <c r="I238" s="7763"/>
      <c r="J238" s="7286"/>
      <c r="M238" s="7861"/>
    </row>
    <row r="239" spans="1:16" ht="15" hidden="1" customHeight="1">
      <c r="A239" s="8044"/>
      <c r="B239" s="10874" t="s">
        <v>12068</v>
      </c>
      <c r="C239" s="8044"/>
      <c r="D239" s="9292"/>
      <c r="E239" s="14304" t="s">
        <v>12059</v>
      </c>
      <c r="F239" s="14304"/>
      <c r="H239" s="7342" t="s">
        <v>10667</v>
      </c>
      <c r="I239" s="7933"/>
      <c r="J239" s="7934"/>
      <c r="M239" s="7861"/>
    </row>
    <row r="240" spans="1:16" ht="15" hidden="1" customHeight="1">
      <c r="A240" s="8045"/>
      <c r="B240" s="8046" t="s">
        <v>10111</v>
      </c>
      <c r="C240" s="8045"/>
      <c r="D240" s="9292"/>
      <c r="E240" s="7821" t="s">
        <v>3486</v>
      </c>
      <c r="H240" s="7344" t="s">
        <v>10668</v>
      </c>
      <c r="I240" s="7763"/>
      <c r="J240" s="7763"/>
      <c r="K240" s="7763"/>
      <c r="L240" s="7763"/>
      <c r="M240" s="7861"/>
    </row>
    <row r="241" spans="1:13" ht="15" customHeight="1">
      <c r="A241" s="8020"/>
      <c r="B241" s="8020"/>
      <c r="C241" s="8021"/>
      <c r="D241" s="9284"/>
      <c r="E241" s="8022"/>
      <c r="F241" s="8022"/>
      <c r="G241" s="9513"/>
      <c r="H241" s="8022"/>
      <c r="I241" s="8022"/>
      <c r="J241" s="7286">
        <f>J235/H233</f>
        <v>0</v>
      </c>
      <c r="K241" s="8022"/>
      <c r="L241" s="8022"/>
      <c r="M241" s="7861"/>
    </row>
    <row r="242" spans="1:13" ht="15" customHeight="1">
      <c r="A242" s="8020"/>
      <c r="B242" s="8020"/>
      <c r="C242" s="8021"/>
      <c r="D242" s="9284"/>
      <c r="E242" s="8022"/>
      <c r="F242" s="8022"/>
      <c r="G242" s="9513"/>
      <c r="H242" s="8022"/>
      <c r="I242" s="8022"/>
      <c r="J242" s="7286"/>
      <c r="K242" s="8022"/>
      <c r="L242" s="8022"/>
      <c r="M242" s="7861"/>
    </row>
    <row r="243" spans="1:13" ht="15" customHeight="1">
      <c r="A243" s="8020"/>
      <c r="B243" s="8020"/>
      <c r="C243" s="8021"/>
      <c r="D243" s="9284"/>
      <c r="E243" s="8022"/>
      <c r="F243" s="8022"/>
      <c r="G243" s="9513"/>
      <c r="H243" s="8022"/>
      <c r="I243" s="8022">
        <f>K233-H233</f>
        <v>178308.11000001431</v>
      </c>
      <c r="J243" s="7286">
        <f>I243/H233</f>
        <v>1.2876312897215504E-3</v>
      </c>
      <c r="K243" s="8022"/>
      <c r="L243" s="8022"/>
    </row>
    <row r="244" spans="1:13" ht="15" customHeight="1">
      <c r="A244" s="8020"/>
      <c r="B244" s="8020"/>
      <c r="C244" s="8021"/>
      <c r="D244" s="9284"/>
      <c r="E244" s="8022"/>
      <c r="F244" s="8022"/>
      <c r="G244" s="9513"/>
      <c r="H244" s="8022"/>
      <c r="I244" s="8022"/>
      <c r="J244" s="7286"/>
      <c r="K244" s="8022"/>
      <c r="L244" s="8022"/>
    </row>
    <row r="245" spans="1:13" ht="15" customHeight="1">
      <c r="A245" s="8020"/>
      <c r="B245" s="8020"/>
      <c r="C245" s="8021"/>
      <c r="D245" s="9284"/>
      <c r="E245" s="8022"/>
      <c r="F245" s="8022"/>
      <c r="G245" s="9513"/>
      <c r="H245" s="8022"/>
      <c r="I245" s="8022"/>
      <c r="J245" s="7286"/>
      <c r="K245" s="8022"/>
      <c r="L245" s="8022"/>
    </row>
  </sheetData>
  <mergeCells count="18">
    <mergeCell ref="A1:K1"/>
    <mergeCell ref="D8:D9"/>
    <mergeCell ref="D157:D158"/>
    <mergeCell ref="D40:D41"/>
    <mergeCell ref="D77:D78"/>
    <mergeCell ref="D116:D117"/>
    <mergeCell ref="F7:H7"/>
    <mergeCell ref="H8:H9"/>
    <mergeCell ref="F39:H39"/>
    <mergeCell ref="H40:H41"/>
    <mergeCell ref="F76:H76"/>
    <mergeCell ref="H77:H78"/>
    <mergeCell ref="F115:H115"/>
    <mergeCell ref="H116:H117"/>
    <mergeCell ref="K4:K5"/>
    <mergeCell ref="F156:H156"/>
    <mergeCell ref="E239:F239"/>
    <mergeCell ref="H157:H158"/>
  </mergeCells>
  <printOptions horizontalCentered="1" gridLinesSet="0"/>
  <pageMargins left="0.25" right="0.25" top="0.5" bottom="0.25" header="0.25" footer="0.25"/>
  <pageSetup paperSize="119" firstPageNumber="101" orientation="landscape" useFirstPageNumber="1" r:id="rId1"/>
  <headerFooter alignWithMargins="0"/>
</worksheet>
</file>

<file path=xl/worksheets/sheet71.xml><?xml version="1.0" encoding="utf-8"?>
<worksheet xmlns="http://schemas.openxmlformats.org/spreadsheetml/2006/main" xmlns:r="http://schemas.openxmlformats.org/officeDocument/2006/relationships">
  <sheetPr codeName="Sheet107">
    <tabColor rgb="FFFFFF00"/>
  </sheetPr>
  <dimension ref="A1:E45"/>
  <sheetViews>
    <sheetView topLeftCell="A13" workbookViewId="0"/>
  </sheetViews>
  <sheetFormatPr defaultRowHeight="14.4"/>
  <cols>
    <col min="1" max="1" width="32.109375" customWidth="1"/>
    <col min="2" max="2" width="15.44140625" customWidth="1"/>
    <col min="3" max="3" width="20" customWidth="1"/>
    <col min="4" max="4" width="13.88671875" customWidth="1"/>
    <col min="5" max="5" width="16.44140625" customWidth="1"/>
  </cols>
  <sheetData>
    <row r="1" spans="1:5">
      <c r="A1" s="1158" t="s">
        <v>6694</v>
      </c>
    </row>
    <row r="2" spans="1:5" ht="15" thickBot="1"/>
    <row r="3" spans="1:5">
      <c r="A3" s="2112"/>
      <c r="B3" s="14697" t="s">
        <v>5917</v>
      </c>
      <c r="C3" s="14698"/>
      <c r="D3" s="14699"/>
      <c r="E3" s="2113"/>
    </row>
    <row r="4" spans="1:5">
      <c r="A4" s="2114" t="s">
        <v>5488</v>
      </c>
      <c r="B4" s="3641" t="s">
        <v>3876</v>
      </c>
      <c r="C4" s="14695" t="s">
        <v>1973</v>
      </c>
      <c r="D4" s="3642" t="s">
        <v>52</v>
      </c>
      <c r="E4" s="2115" t="s">
        <v>458</v>
      </c>
    </row>
    <row r="5" spans="1:5">
      <c r="A5" s="2116"/>
      <c r="B5" s="2030" t="s">
        <v>563</v>
      </c>
      <c r="C5" s="14696"/>
      <c r="D5" s="2026"/>
      <c r="E5" s="2117"/>
    </row>
    <row r="6" spans="1:5">
      <c r="A6" s="2118"/>
      <c r="B6" s="2025"/>
      <c r="C6" s="2025"/>
      <c r="D6" s="2025"/>
      <c r="E6" s="2119"/>
    </row>
    <row r="7" spans="1:5">
      <c r="A7" s="2120" t="s">
        <v>2048</v>
      </c>
      <c r="B7" s="2025"/>
      <c r="C7" s="2025"/>
      <c r="D7" s="2025"/>
      <c r="E7" s="2119"/>
    </row>
    <row r="8" spans="1:5">
      <c r="A8" s="2121" t="s">
        <v>207</v>
      </c>
      <c r="B8" s="2122">
        <v>40480604</v>
      </c>
      <c r="C8" s="2122">
        <v>70199200</v>
      </c>
      <c r="D8" s="2122">
        <v>1672000</v>
      </c>
      <c r="E8" s="2123">
        <f>+B8+C8+D8</f>
        <v>112351804</v>
      </c>
    </row>
    <row r="9" spans="1:5">
      <c r="A9" s="2118"/>
      <c r="B9" s="2025"/>
      <c r="C9" s="2025"/>
      <c r="D9" s="2025"/>
      <c r="E9" s="2119"/>
    </row>
    <row r="10" spans="1:5">
      <c r="A10" s="2118"/>
      <c r="B10" s="2025"/>
      <c r="C10" s="2025"/>
      <c r="D10" s="2025"/>
      <c r="E10" s="2119"/>
    </row>
    <row r="11" spans="1:5">
      <c r="A11" s="2118"/>
      <c r="B11" s="2025"/>
      <c r="C11" s="2025"/>
      <c r="D11" s="2025"/>
      <c r="E11" s="2119"/>
    </row>
    <row r="12" spans="1:5">
      <c r="A12" s="2120" t="s">
        <v>3429</v>
      </c>
      <c r="B12" s="2025"/>
      <c r="C12" s="2025"/>
      <c r="D12" s="2025"/>
      <c r="E12" s="2119"/>
    </row>
    <row r="13" spans="1:5">
      <c r="A13" s="2124" t="s">
        <v>131</v>
      </c>
      <c r="B13" s="2025"/>
      <c r="C13" s="2025"/>
      <c r="D13" s="2025"/>
      <c r="E13" s="2125">
        <v>30555000</v>
      </c>
    </row>
    <row r="14" spans="1:5">
      <c r="A14" s="2121" t="s">
        <v>5919</v>
      </c>
      <c r="B14" s="2025"/>
      <c r="C14" s="2025"/>
      <c r="D14" s="2025"/>
      <c r="E14" s="2119"/>
    </row>
    <row r="15" spans="1:5">
      <c r="A15" s="2121" t="s">
        <v>5920</v>
      </c>
      <c r="B15" s="2025"/>
      <c r="C15" s="2025"/>
      <c r="D15" s="2025"/>
      <c r="E15" s="2126"/>
    </row>
    <row r="16" spans="1:5">
      <c r="A16" s="2121" t="s">
        <v>215</v>
      </c>
      <c r="B16" s="2025"/>
      <c r="C16" s="2025"/>
      <c r="D16" s="2025"/>
      <c r="E16" s="2119"/>
    </row>
    <row r="17" spans="1:5" ht="15" thickBot="1">
      <c r="A17" s="2118"/>
      <c r="B17" s="2025"/>
      <c r="C17" s="2025"/>
      <c r="D17" s="2025"/>
      <c r="E17" s="2127"/>
    </row>
    <row r="18" spans="1:5" ht="18.600000000000001" thickTop="1">
      <c r="A18" s="2118"/>
      <c r="B18" s="2025"/>
      <c r="C18" s="2025"/>
      <c r="D18" s="2128" t="s">
        <v>5921</v>
      </c>
      <c r="E18" s="2129">
        <f>SUM(E8:E17)</f>
        <v>142906804</v>
      </c>
    </row>
    <row r="19" spans="1:5">
      <c r="A19" s="2118"/>
      <c r="B19" s="2025"/>
      <c r="C19" s="2025"/>
      <c r="D19" s="2025"/>
      <c r="E19" s="2130" t="s">
        <v>2680</v>
      </c>
    </row>
    <row r="20" spans="1:5">
      <c r="A20" s="2118"/>
      <c r="B20" s="2025"/>
      <c r="C20" s="2025"/>
      <c r="D20" s="2025"/>
      <c r="E20" s="2119"/>
    </row>
    <row r="21" spans="1:5">
      <c r="A21" s="2118"/>
      <c r="B21" s="2025"/>
      <c r="C21" s="2025"/>
      <c r="D21" s="2025"/>
      <c r="E21" s="2119"/>
    </row>
    <row r="22" spans="1:5">
      <c r="A22" s="2118"/>
      <c r="B22" s="2025"/>
      <c r="C22" s="2025"/>
      <c r="D22" s="2025"/>
      <c r="E22" s="2119"/>
    </row>
    <row r="23" spans="1:5">
      <c r="A23" s="2118"/>
      <c r="B23" s="2025"/>
      <c r="C23" s="2025"/>
      <c r="D23" s="2025"/>
      <c r="E23" s="2119"/>
    </row>
    <row r="24" spans="1:5">
      <c r="A24" s="2118"/>
      <c r="B24" s="2025"/>
      <c r="C24" s="2025"/>
      <c r="D24" s="2025"/>
      <c r="E24" s="2119"/>
    </row>
    <row r="25" spans="1:5">
      <c r="A25" s="2118"/>
      <c r="B25" s="2025"/>
      <c r="C25" s="2025"/>
      <c r="D25" s="2025"/>
      <c r="E25" s="2119"/>
    </row>
    <row r="26" spans="1:5">
      <c r="A26" s="2118"/>
      <c r="B26" s="2025"/>
      <c r="C26" s="2025"/>
      <c r="D26" s="2025"/>
      <c r="E26" s="2119"/>
    </row>
    <row r="27" spans="1:5">
      <c r="A27" s="2118"/>
      <c r="B27" s="2025"/>
      <c r="C27" s="2025"/>
      <c r="D27" s="2025"/>
      <c r="E27" s="2119"/>
    </row>
    <row r="28" spans="1:5">
      <c r="A28" s="2118"/>
      <c r="B28" s="2025"/>
      <c r="C28" s="2025"/>
      <c r="D28" s="2025"/>
      <c r="E28" s="2119"/>
    </row>
    <row r="29" spans="1:5">
      <c r="A29" s="2118"/>
      <c r="B29" s="2025"/>
      <c r="C29" s="2025"/>
      <c r="D29" s="2025"/>
      <c r="E29" s="2119"/>
    </row>
    <row r="30" spans="1:5">
      <c r="A30" s="2118"/>
      <c r="B30" s="2025"/>
      <c r="C30" s="2025"/>
      <c r="D30" s="2025"/>
      <c r="E30" s="2119"/>
    </row>
    <row r="31" spans="1:5">
      <c r="A31" s="2118"/>
      <c r="B31" s="2025"/>
      <c r="C31" s="2025"/>
      <c r="D31" s="2025"/>
      <c r="E31" s="2119"/>
    </row>
    <row r="32" spans="1:5">
      <c r="A32" s="2118"/>
      <c r="B32" s="2025"/>
      <c r="C32" s="2025"/>
      <c r="D32" s="2025"/>
      <c r="E32" s="2119"/>
    </row>
    <row r="33" spans="1:5">
      <c r="A33" s="2118"/>
      <c r="B33" s="2025"/>
      <c r="C33" s="2025"/>
      <c r="D33" s="2025"/>
      <c r="E33" s="2119"/>
    </row>
    <row r="34" spans="1:5">
      <c r="A34" s="2118"/>
      <c r="B34" s="2025"/>
      <c r="C34" s="2025"/>
      <c r="D34" s="2025"/>
      <c r="E34" s="2119"/>
    </row>
    <row r="35" spans="1:5">
      <c r="A35" s="2118"/>
      <c r="B35" s="2025"/>
      <c r="C35" s="2025"/>
      <c r="D35" s="2025"/>
      <c r="E35" s="2119"/>
    </row>
    <row r="36" spans="1:5">
      <c r="A36" s="2118"/>
      <c r="B36" s="2025"/>
      <c r="C36" s="2025"/>
      <c r="D36" s="2025"/>
      <c r="E36" s="2119"/>
    </row>
    <row r="37" spans="1:5">
      <c r="A37" s="2118"/>
      <c r="B37" s="2025"/>
      <c r="C37" s="2025"/>
      <c r="D37" s="2025"/>
      <c r="E37" s="2119"/>
    </row>
    <row r="38" spans="1:5">
      <c r="A38" s="2118"/>
      <c r="B38" s="2025"/>
      <c r="C38" s="2025"/>
      <c r="D38" s="2025"/>
      <c r="E38" s="2119"/>
    </row>
    <row r="39" spans="1:5">
      <c r="A39" s="2118"/>
      <c r="B39" s="2025"/>
      <c r="C39" s="2025"/>
      <c r="D39" s="2025"/>
      <c r="E39" s="2119"/>
    </row>
    <row r="40" spans="1:5">
      <c r="A40" s="2118"/>
      <c r="B40" s="2025"/>
      <c r="C40" s="2025"/>
      <c r="D40" s="2025"/>
      <c r="E40" s="2119"/>
    </row>
    <row r="41" spans="1:5">
      <c r="A41" s="2118"/>
      <c r="B41" s="2025"/>
      <c r="C41" s="2025"/>
      <c r="D41" s="2025"/>
      <c r="E41" s="2119"/>
    </row>
    <row r="42" spans="1:5">
      <c r="A42" s="2118"/>
      <c r="B42" s="2025"/>
      <c r="C42" s="2025"/>
      <c r="D42" s="2025"/>
      <c r="E42" s="2119"/>
    </row>
    <row r="43" spans="1:5">
      <c r="A43" s="2118"/>
      <c r="B43" s="2025"/>
      <c r="C43" s="2025"/>
      <c r="D43" s="2025"/>
      <c r="E43" s="2119"/>
    </row>
    <row r="44" spans="1:5">
      <c r="A44" s="2118"/>
      <c r="B44" s="2025"/>
      <c r="C44" s="2025"/>
      <c r="D44" s="2025"/>
      <c r="E44" s="2119"/>
    </row>
    <row r="45" spans="1:5" ht="15" thickBot="1">
      <c r="A45" s="2131"/>
      <c r="B45" s="2132"/>
      <c r="C45" s="2132"/>
      <c r="D45" s="2132"/>
      <c r="E45" s="2133"/>
    </row>
  </sheetData>
  <mergeCells count="2">
    <mergeCell ref="C4:C5"/>
    <mergeCell ref="B3:D3"/>
  </mergeCells>
  <pageMargins left="0.5" right="0.25" top="0.75" bottom="0.5" header="0.3" footer="0.25"/>
  <pageSetup paperSize="119" orientation="portrait" horizontalDpi="300" verticalDpi="300" r:id="rId1"/>
</worksheet>
</file>

<file path=xl/worksheets/sheet72.xml><?xml version="1.0" encoding="utf-8"?>
<worksheet xmlns="http://schemas.openxmlformats.org/spreadsheetml/2006/main" xmlns:r="http://schemas.openxmlformats.org/officeDocument/2006/relationships">
  <sheetPr codeName="Sheet45">
    <tabColor rgb="FFFFFF00"/>
  </sheetPr>
  <dimension ref="A1:L101"/>
  <sheetViews>
    <sheetView showGridLines="0" workbookViewId="0">
      <selection activeCell="F2" sqref="F1:N1048576"/>
    </sheetView>
  </sheetViews>
  <sheetFormatPr defaultRowHeight="12.9" customHeight="1"/>
  <cols>
    <col min="1" max="1" width="40.5546875" style="7165" customWidth="1"/>
    <col min="2" max="3" width="8.5546875" style="7165" customWidth="1"/>
    <col min="4" max="6" width="14.5546875" style="7165" customWidth="1"/>
    <col min="7" max="7" width="8.88671875" style="7165" customWidth="1"/>
    <col min="8" max="8" width="16.109375" style="7165" customWidth="1"/>
    <col min="9" max="13" width="8.88671875" style="7165" customWidth="1"/>
    <col min="14" max="256" width="9.109375" style="7165"/>
    <col min="257" max="257" width="33.44140625" style="7165" customWidth="1"/>
    <col min="258" max="258" width="10.44140625" style="7165" customWidth="1"/>
    <col min="259" max="259" width="11.109375" style="7165" customWidth="1"/>
    <col min="260" max="260" width="11" style="7165" customWidth="1"/>
    <col min="261" max="261" width="15.44140625" style="7165" customWidth="1"/>
    <col min="262" max="262" width="16.109375" style="7165" customWidth="1"/>
    <col min="263" max="512" width="9.109375" style="7165"/>
    <col min="513" max="513" width="33.44140625" style="7165" customWidth="1"/>
    <col min="514" max="514" width="10.44140625" style="7165" customWidth="1"/>
    <col min="515" max="515" width="11.109375" style="7165" customWidth="1"/>
    <col min="516" max="516" width="11" style="7165" customWidth="1"/>
    <col min="517" max="517" width="15.44140625" style="7165" customWidth="1"/>
    <col min="518" max="518" width="16.109375" style="7165" customWidth="1"/>
    <col min="519" max="768" width="9.109375" style="7165"/>
    <col min="769" max="769" width="33.44140625" style="7165" customWidth="1"/>
    <col min="770" max="770" width="10.44140625" style="7165" customWidth="1"/>
    <col min="771" max="771" width="11.109375" style="7165" customWidth="1"/>
    <col min="772" max="772" width="11" style="7165" customWidth="1"/>
    <col min="773" max="773" width="15.44140625" style="7165" customWidth="1"/>
    <col min="774" max="774" width="16.109375" style="7165" customWidth="1"/>
    <col min="775" max="1024" width="9.109375" style="7165"/>
    <col min="1025" max="1025" width="33.44140625" style="7165" customWidth="1"/>
    <col min="1026" max="1026" width="10.44140625" style="7165" customWidth="1"/>
    <col min="1027" max="1027" width="11.109375" style="7165" customWidth="1"/>
    <col min="1028" max="1028" width="11" style="7165" customWidth="1"/>
    <col min="1029" max="1029" width="15.44140625" style="7165" customWidth="1"/>
    <col min="1030" max="1030" width="16.109375" style="7165" customWidth="1"/>
    <col min="1031" max="1280" width="9.109375" style="7165"/>
    <col min="1281" max="1281" width="33.44140625" style="7165" customWidth="1"/>
    <col min="1282" max="1282" width="10.44140625" style="7165" customWidth="1"/>
    <col min="1283" max="1283" width="11.109375" style="7165" customWidth="1"/>
    <col min="1284" max="1284" width="11" style="7165" customWidth="1"/>
    <col min="1285" max="1285" width="15.44140625" style="7165" customWidth="1"/>
    <col min="1286" max="1286" width="16.109375" style="7165" customWidth="1"/>
    <col min="1287" max="1536" width="9.109375" style="7165"/>
    <col min="1537" max="1537" width="33.44140625" style="7165" customWidth="1"/>
    <col min="1538" max="1538" width="10.44140625" style="7165" customWidth="1"/>
    <col min="1539" max="1539" width="11.109375" style="7165" customWidth="1"/>
    <col min="1540" max="1540" width="11" style="7165" customWidth="1"/>
    <col min="1541" max="1541" width="15.44140625" style="7165" customWidth="1"/>
    <col min="1542" max="1542" width="16.109375" style="7165" customWidth="1"/>
    <col min="1543" max="1792" width="9.109375" style="7165"/>
    <col min="1793" max="1793" width="33.44140625" style="7165" customWidth="1"/>
    <col min="1794" max="1794" width="10.44140625" style="7165" customWidth="1"/>
    <col min="1795" max="1795" width="11.109375" style="7165" customWidth="1"/>
    <col min="1796" max="1796" width="11" style="7165" customWidth="1"/>
    <col min="1797" max="1797" width="15.44140625" style="7165" customWidth="1"/>
    <col min="1798" max="1798" width="16.109375" style="7165" customWidth="1"/>
    <col min="1799" max="2048" width="9.109375" style="7165"/>
    <col min="2049" max="2049" width="33.44140625" style="7165" customWidth="1"/>
    <col min="2050" max="2050" width="10.44140625" style="7165" customWidth="1"/>
    <col min="2051" max="2051" width="11.109375" style="7165" customWidth="1"/>
    <col min="2052" max="2052" width="11" style="7165" customWidth="1"/>
    <col min="2053" max="2053" width="15.44140625" style="7165" customWidth="1"/>
    <col min="2054" max="2054" width="16.109375" style="7165" customWidth="1"/>
    <col min="2055" max="2304" width="9.109375" style="7165"/>
    <col min="2305" max="2305" width="33.44140625" style="7165" customWidth="1"/>
    <col min="2306" max="2306" width="10.44140625" style="7165" customWidth="1"/>
    <col min="2307" max="2307" width="11.109375" style="7165" customWidth="1"/>
    <col min="2308" max="2308" width="11" style="7165" customWidth="1"/>
    <col min="2309" max="2309" width="15.44140625" style="7165" customWidth="1"/>
    <col min="2310" max="2310" width="16.109375" style="7165" customWidth="1"/>
    <col min="2311" max="2560" width="9.109375" style="7165"/>
    <col min="2561" max="2561" width="33.44140625" style="7165" customWidth="1"/>
    <col min="2562" max="2562" width="10.44140625" style="7165" customWidth="1"/>
    <col min="2563" max="2563" width="11.109375" style="7165" customWidth="1"/>
    <col min="2564" max="2564" width="11" style="7165" customWidth="1"/>
    <col min="2565" max="2565" width="15.44140625" style="7165" customWidth="1"/>
    <col min="2566" max="2566" width="16.109375" style="7165" customWidth="1"/>
    <col min="2567" max="2816" width="9.109375" style="7165"/>
    <col min="2817" max="2817" width="33.44140625" style="7165" customWidth="1"/>
    <col min="2818" max="2818" width="10.44140625" style="7165" customWidth="1"/>
    <col min="2819" max="2819" width="11.109375" style="7165" customWidth="1"/>
    <col min="2820" max="2820" width="11" style="7165" customWidth="1"/>
    <col min="2821" max="2821" width="15.44140625" style="7165" customWidth="1"/>
    <col min="2822" max="2822" width="16.109375" style="7165" customWidth="1"/>
    <col min="2823" max="3072" width="9.109375" style="7165"/>
    <col min="3073" max="3073" width="33.44140625" style="7165" customWidth="1"/>
    <col min="3074" max="3074" width="10.44140625" style="7165" customWidth="1"/>
    <col min="3075" max="3075" width="11.109375" style="7165" customWidth="1"/>
    <col min="3076" max="3076" width="11" style="7165" customWidth="1"/>
    <col min="3077" max="3077" width="15.44140625" style="7165" customWidth="1"/>
    <col min="3078" max="3078" width="16.109375" style="7165" customWidth="1"/>
    <col min="3079" max="3328" width="9.109375" style="7165"/>
    <col min="3329" max="3329" width="33.44140625" style="7165" customWidth="1"/>
    <col min="3330" max="3330" width="10.44140625" style="7165" customWidth="1"/>
    <col min="3331" max="3331" width="11.109375" style="7165" customWidth="1"/>
    <col min="3332" max="3332" width="11" style="7165" customWidth="1"/>
    <col min="3333" max="3333" width="15.44140625" style="7165" customWidth="1"/>
    <col min="3334" max="3334" width="16.109375" style="7165" customWidth="1"/>
    <col min="3335" max="3584" width="9.109375" style="7165"/>
    <col min="3585" max="3585" width="33.44140625" style="7165" customWidth="1"/>
    <col min="3586" max="3586" width="10.44140625" style="7165" customWidth="1"/>
    <col min="3587" max="3587" width="11.109375" style="7165" customWidth="1"/>
    <col min="3588" max="3588" width="11" style="7165" customWidth="1"/>
    <col min="3589" max="3589" width="15.44140625" style="7165" customWidth="1"/>
    <col min="3590" max="3590" width="16.109375" style="7165" customWidth="1"/>
    <col min="3591" max="3840" width="9.109375" style="7165"/>
    <col min="3841" max="3841" width="33.44140625" style="7165" customWidth="1"/>
    <col min="3842" max="3842" width="10.44140625" style="7165" customWidth="1"/>
    <col min="3843" max="3843" width="11.109375" style="7165" customWidth="1"/>
    <col min="3844" max="3844" width="11" style="7165" customWidth="1"/>
    <col min="3845" max="3845" width="15.44140625" style="7165" customWidth="1"/>
    <col min="3846" max="3846" width="16.109375" style="7165" customWidth="1"/>
    <col min="3847" max="4096" width="9.109375" style="7165"/>
    <col min="4097" max="4097" width="33.44140625" style="7165" customWidth="1"/>
    <col min="4098" max="4098" width="10.44140625" style="7165" customWidth="1"/>
    <col min="4099" max="4099" width="11.109375" style="7165" customWidth="1"/>
    <col min="4100" max="4100" width="11" style="7165" customWidth="1"/>
    <col min="4101" max="4101" width="15.44140625" style="7165" customWidth="1"/>
    <col min="4102" max="4102" width="16.109375" style="7165" customWidth="1"/>
    <col min="4103" max="4352" width="9.109375" style="7165"/>
    <col min="4353" max="4353" width="33.44140625" style="7165" customWidth="1"/>
    <col min="4354" max="4354" width="10.44140625" style="7165" customWidth="1"/>
    <col min="4355" max="4355" width="11.109375" style="7165" customWidth="1"/>
    <col min="4356" max="4356" width="11" style="7165" customWidth="1"/>
    <col min="4357" max="4357" width="15.44140625" style="7165" customWidth="1"/>
    <col min="4358" max="4358" width="16.109375" style="7165" customWidth="1"/>
    <col min="4359" max="4608" width="9.109375" style="7165"/>
    <col min="4609" max="4609" width="33.44140625" style="7165" customWidth="1"/>
    <col min="4610" max="4610" width="10.44140625" style="7165" customWidth="1"/>
    <col min="4611" max="4611" width="11.109375" style="7165" customWidth="1"/>
    <col min="4612" max="4612" width="11" style="7165" customWidth="1"/>
    <col min="4613" max="4613" width="15.44140625" style="7165" customWidth="1"/>
    <col min="4614" max="4614" width="16.109375" style="7165" customWidth="1"/>
    <col min="4615" max="4864" width="9.109375" style="7165"/>
    <col min="4865" max="4865" width="33.44140625" style="7165" customWidth="1"/>
    <col min="4866" max="4866" width="10.44140625" style="7165" customWidth="1"/>
    <col min="4867" max="4867" width="11.109375" style="7165" customWidth="1"/>
    <col min="4868" max="4868" width="11" style="7165" customWidth="1"/>
    <col min="4869" max="4869" width="15.44140625" style="7165" customWidth="1"/>
    <col min="4870" max="4870" width="16.109375" style="7165" customWidth="1"/>
    <col min="4871" max="5120" width="9.109375" style="7165"/>
    <col min="5121" max="5121" width="33.44140625" style="7165" customWidth="1"/>
    <col min="5122" max="5122" width="10.44140625" style="7165" customWidth="1"/>
    <col min="5123" max="5123" width="11.109375" style="7165" customWidth="1"/>
    <col min="5124" max="5124" width="11" style="7165" customWidth="1"/>
    <col min="5125" max="5125" width="15.44140625" style="7165" customWidth="1"/>
    <col min="5126" max="5126" width="16.109375" style="7165" customWidth="1"/>
    <col min="5127" max="5376" width="9.109375" style="7165"/>
    <col min="5377" max="5377" width="33.44140625" style="7165" customWidth="1"/>
    <col min="5378" max="5378" width="10.44140625" style="7165" customWidth="1"/>
    <col min="5379" max="5379" width="11.109375" style="7165" customWidth="1"/>
    <col min="5380" max="5380" width="11" style="7165" customWidth="1"/>
    <col min="5381" max="5381" width="15.44140625" style="7165" customWidth="1"/>
    <col min="5382" max="5382" width="16.109375" style="7165" customWidth="1"/>
    <col min="5383" max="5632" width="9.109375" style="7165"/>
    <col min="5633" max="5633" width="33.44140625" style="7165" customWidth="1"/>
    <col min="5634" max="5634" width="10.44140625" style="7165" customWidth="1"/>
    <col min="5635" max="5635" width="11.109375" style="7165" customWidth="1"/>
    <col min="5636" max="5636" width="11" style="7165" customWidth="1"/>
    <col min="5637" max="5637" width="15.44140625" style="7165" customWidth="1"/>
    <col min="5638" max="5638" width="16.109375" style="7165" customWidth="1"/>
    <col min="5639" max="5888" width="9.109375" style="7165"/>
    <col min="5889" max="5889" width="33.44140625" style="7165" customWidth="1"/>
    <col min="5890" max="5890" width="10.44140625" style="7165" customWidth="1"/>
    <col min="5891" max="5891" width="11.109375" style="7165" customWidth="1"/>
    <col min="5892" max="5892" width="11" style="7165" customWidth="1"/>
    <col min="5893" max="5893" width="15.44140625" style="7165" customWidth="1"/>
    <col min="5894" max="5894" width="16.109375" style="7165" customWidth="1"/>
    <col min="5895" max="6144" width="9.109375" style="7165"/>
    <col min="6145" max="6145" width="33.44140625" style="7165" customWidth="1"/>
    <col min="6146" max="6146" width="10.44140625" style="7165" customWidth="1"/>
    <col min="6147" max="6147" width="11.109375" style="7165" customWidth="1"/>
    <col min="6148" max="6148" width="11" style="7165" customWidth="1"/>
    <col min="6149" max="6149" width="15.44140625" style="7165" customWidth="1"/>
    <col min="6150" max="6150" width="16.109375" style="7165" customWidth="1"/>
    <col min="6151" max="6400" width="9.109375" style="7165"/>
    <col min="6401" max="6401" width="33.44140625" style="7165" customWidth="1"/>
    <col min="6402" max="6402" width="10.44140625" style="7165" customWidth="1"/>
    <col min="6403" max="6403" width="11.109375" style="7165" customWidth="1"/>
    <col min="6404" max="6404" width="11" style="7165" customWidth="1"/>
    <col min="6405" max="6405" width="15.44140625" style="7165" customWidth="1"/>
    <col min="6406" max="6406" width="16.109375" style="7165" customWidth="1"/>
    <col min="6407" max="6656" width="9.109375" style="7165"/>
    <col min="6657" max="6657" width="33.44140625" style="7165" customWidth="1"/>
    <col min="6658" max="6658" width="10.44140625" style="7165" customWidth="1"/>
    <col min="6659" max="6659" width="11.109375" style="7165" customWidth="1"/>
    <col min="6660" max="6660" width="11" style="7165" customWidth="1"/>
    <col min="6661" max="6661" width="15.44140625" style="7165" customWidth="1"/>
    <col min="6662" max="6662" width="16.109375" style="7165" customWidth="1"/>
    <col min="6663" max="6912" width="9.109375" style="7165"/>
    <col min="6913" max="6913" width="33.44140625" style="7165" customWidth="1"/>
    <col min="6914" max="6914" width="10.44140625" style="7165" customWidth="1"/>
    <col min="6915" max="6915" width="11.109375" style="7165" customWidth="1"/>
    <col min="6916" max="6916" width="11" style="7165" customWidth="1"/>
    <col min="6917" max="6917" width="15.44140625" style="7165" customWidth="1"/>
    <col min="6918" max="6918" width="16.109375" style="7165" customWidth="1"/>
    <col min="6919" max="7168" width="9.109375" style="7165"/>
    <col min="7169" max="7169" width="33.44140625" style="7165" customWidth="1"/>
    <col min="7170" max="7170" width="10.44140625" style="7165" customWidth="1"/>
    <col min="7171" max="7171" width="11.109375" style="7165" customWidth="1"/>
    <col min="7172" max="7172" width="11" style="7165" customWidth="1"/>
    <col min="7173" max="7173" width="15.44140625" style="7165" customWidth="1"/>
    <col min="7174" max="7174" width="16.109375" style="7165" customWidth="1"/>
    <col min="7175" max="7424" width="9.109375" style="7165"/>
    <col min="7425" max="7425" width="33.44140625" style="7165" customWidth="1"/>
    <col min="7426" max="7426" width="10.44140625" style="7165" customWidth="1"/>
    <col min="7427" max="7427" width="11.109375" style="7165" customWidth="1"/>
    <col min="7428" max="7428" width="11" style="7165" customWidth="1"/>
    <col min="7429" max="7429" width="15.44140625" style="7165" customWidth="1"/>
    <col min="7430" max="7430" width="16.109375" style="7165" customWidth="1"/>
    <col min="7431" max="7680" width="9.109375" style="7165"/>
    <col min="7681" max="7681" width="33.44140625" style="7165" customWidth="1"/>
    <col min="7682" max="7682" width="10.44140625" style="7165" customWidth="1"/>
    <col min="7683" max="7683" width="11.109375" style="7165" customWidth="1"/>
    <col min="7684" max="7684" width="11" style="7165" customWidth="1"/>
    <col min="7685" max="7685" width="15.44140625" style="7165" customWidth="1"/>
    <col min="7686" max="7686" width="16.109375" style="7165" customWidth="1"/>
    <col min="7687" max="7936" width="9.109375" style="7165"/>
    <col min="7937" max="7937" width="33.44140625" style="7165" customWidth="1"/>
    <col min="7938" max="7938" width="10.44140625" style="7165" customWidth="1"/>
    <col min="7939" max="7939" width="11.109375" style="7165" customWidth="1"/>
    <col min="7940" max="7940" width="11" style="7165" customWidth="1"/>
    <col min="7941" max="7941" width="15.44140625" style="7165" customWidth="1"/>
    <col min="7942" max="7942" width="16.109375" style="7165" customWidth="1"/>
    <col min="7943" max="8192" width="9.109375" style="7165"/>
    <col min="8193" max="8193" width="33.44140625" style="7165" customWidth="1"/>
    <col min="8194" max="8194" width="10.44140625" style="7165" customWidth="1"/>
    <col min="8195" max="8195" width="11.109375" style="7165" customWidth="1"/>
    <col min="8196" max="8196" width="11" style="7165" customWidth="1"/>
    <col min="8197" max="8197" width="15.44140625" style="7165" customWidth="1"/>
    <col min="8198" max="8198" width="16.109375" style="7165" customWidth="1"/>
    <col min="8199" max="8448" width="9.109375" style="7165"/>
    <col min="8449" max="8449" width="33.44140625" style="7165" customWidth="1"/>
    <col min="8450" max="8450" width="10.44140625" style="7165" customWidth="1"/>
    <col min="8451" max="8451" width="11.109375" style="7165" customWidth="1"/>
    <col min="8452" max="8452" width="11" style="7165" customWidth="1"/>
    <col min="8453" max="8453" width="15.44140625" style="7165" customWidth="1"/>
    <col min="8454" max="8454" width="16.109375" style="7165" customWidth="1"/>
    <col min="8455" max="8704" width="9.109375" style="7165"/>
    <col min="8705" max="8705" width="33.44140625" style="7165" customWidth="1"/>
    <col min="8706" max="8706" width="10.44140625" style="7165" customWidth="1"/>
    <col min="8707" max="8707" width="11.109375" style="7165" customWidth="1"/>
    <col min="8708" max="8708" width="11" style="7165" customWidth="1"/>
    <col min="8709" max="8709" width="15.44140625" style="7165" customWidth="1"/>
    <col min="8710" max="8710" width="16.109375" style="7165" customWidth="1"/>
    <col min="8711" max="8960" width="9.109375" style="7165"/>
    <col min="8961" max="8961" width="33.44140625" style="7165" customWidth="1"/>
    <col min="8962" max="8962" width="10.44140625" style="7165" customWidth="1"/>
    <col min="8963" max="8963" width="11.109375" style="7165" customWidth="1"/>
    <col min="8964" max="8964" width="11" style="7165" customWidth="1"/>
    <col min="8965" max="8965" width="15.44140625" style="7165" customWidth="1"/>
    <col min="8966" max="8966" width="16.109375" style="7165" customWidth="1"/>
    <col min="8967" max="9216" width="9.109375" style="7165"/>
    <col min="9217" max="9217" width="33.44140625" style="7165" customWidth="1"/>
    <col min="9218" max="9218" width="10.44140625" style="7165" customWidth="1"/>
    <col min="9219" max="9219" width="11.109375" style="7165" customWidth="1"/>
    <col min="9220" max="9220" width="11" style="7165" customWidth="1"/>
    <col min="9221" max="9221" width="15.44140625" style="7165" customWidth="1"/>
    <col min="9222" max="9222" width="16.109375" style="7165" customWidth="1"/>
    <col min="9223" max="9472" width="9.109375" style="7165"/>
    <col min="9473" max="9473" width="33.44140625" style="7165" customWidth="1"/>
    <col min="9474" max="9474" width="10.44140625" style="7165" customWidth="1"/>
    <col min="9475" max="9475" width="11.109375" style="7165" customWidth="1"/>
    <col min="9476" max="9476" width="11" style="7165" customWidth="1"/>
    <col min="9477" max="9477" width="15.44140625" style="7165" customWidth="1"/>
    <col min="9478" max="9478" width="16.109375" style="7165" customWidth="1"/>
    <col min="9479" max="9728" width="9.109375" style="7165"/>
    <col min="9729" max="9729" width="33.44140625" style="7165" customWidth="1"/>
    <col min="9730" max="9730" width="10.44140625" style="7165" customWidth="1"/>
    <col min="9731" max="9731" width="11.109375" style="7165" customWidth="1"/>
    <col min="9732" max="9732" width="11" style="7165" customWidth="1"/>
    <col min="9733" max="9733" width="15.44140625" style="7165" customWidth="1"/>
    <col min="9734" max="9734" width="16.109375" style="7165" customWidth="1"/>
    <col min="9735" max="9984" width="9.109375" style="7165"/>
    <col min="9985" max="9985" width="33.44140625" style="7165" customWidth="1"/>
    <col min="9986" max="9986" width="10.44140625" style="7165" customWidth="1"/>
    <col min="9987" max="9987" width="11.109375" style="7165" customWidth="1"/>
    <col min="9988" max="9988" width="11" style="7165" customWidth="1"/>
    <col min="9989" max="9989" width="15.44140625" style="7165" customWidth="1"/>
    <col min="9990" max="9990" width="16.109375" style="7165" customWidth="1"/>
    <col min="9991" max="10240" width="9.109375" style="7165"/>
    <col min="10241" max="10241" width="33.44140625" style="7165" customWidth="1"/>
    <col min="10242" max="10242" width="10.44140625" style="7165" customWidth="1"/>
    <col min="10243" max="10243" width="11.109375" style="7165" customWidth="1"/>
    <col min="10244" max="10244" width="11" style="7165" customWidth="1"/>
    <col min="10245" max="10245" width="15.44140625" style="7165" customWidth="1"/>
    <col min="10246" max="10246" width="16.109375" style="7165" customWidth="1"/>
    <col min="10247" max="10496" width="9.109375" style="7165"/>
    <col min="10497" max="10497" width="33.44140625" style="7165" customWidth="1"/>
    <col min="10498" max="10498" width="10.44140625" style="7165" customWidth="1"/>
    <col min="10499" max="10499" width="11.109375" style="7165" customWidth="1"/>
    <col min="10500" max="10500" width="11" style="7165" customWidth="1"/>
    <col min="10501" max="10501" width="15.44140625" style="7165" customWidth="1"/>
    <col min="10502" max="10502" width="16.109375" style="7165" customWidth="1"/>
    <col min="10503" max="10752" width="9.109375" style="7165"/>
    <col min="10753" max="10753" width="33.44140625" style="7165" customWidth="1"/>
    <col min="10754" max="10754" width="10.44140625" style="7165" customWidth="1"/>
    <col min="10755" max="10755" width="11.109375" style="7165" customWidth="1"/>
    <col min="10756" max="10756" width="11" style="7165" customWidth="1"/>
    <col min="10757" max="10757" width="15.44140625" style="7165" customWidth="1"/>
    <col min="10758" max="10758" width="16.109375" style="7165" customWidth="1"/>
    <col min="10759" max="11008" width="9.109375" style="7165"/>
    <col min="11009" max="11009" width="33.44140625" style="7165" customWidth="1"/>
    <col min="11010" max="11010" width="10.44140625" style="7165" customWidth="1"/>
    <col min="11011" max="11011" width="11.109375" style="7165" customWidth="1"/>
    <col min="11012" max="11012" width="11" style="7165" customWidth="1"/>
    <col min="11013" max="11013" width="15.44140625" style="7165" customWidth="1"/>
    <col min="11014" max="11014" width="16.109375" style="7165" customWidth="1"/>
    <col min="11015" max="11264" width="9.109375" style="7165"/>
    <col min="11265" max="11265" width="33.44140625" style="7165" customWidth="1"/>
    <col min="11266" max="11266" width="10.44140625" style="7165" customWidth="1"/>
    <col min="11267" max="11267" width="11.109375" style="7165" customWidth="1"/>
    <col min="11268" max="11268" width="11" style="7165" customWidth="1"/>
    <col min="11269" max="11269" width="15.44140625" style="7165" customWidth="1"/>
    <col min="11270" max="11270" width="16.109375" style="7165" customWidth="1"/>
    <col min="11271" max="11520" width="9.109375" style="7165"/>
    <col min="11521" max="11521" width="33.44140625" style="7165" customWidth="1"/>
    <col min="11522" max="11522" width="10.44140625" style="7165" customWidth="1"/>
    <col min="11523" max="11523" width="11.109375" style="7165" customWidth="1"/>
    <col min="11524" max="11524" width="11" style="7165" customWidth="1"/>
    <col min="11525" max="11525" width="15.44140625" style="7165" customWidth="1"/>
    <col min="11526" max="11526" width="16.109375" style="7165" customWidth="1"/>
    <col min="11527" max="11776" width="9.109375" style="7165"/>
    <col min="11777" max="11777" width="33.44140625" style="7165" customWidth="1"/>
    <col min="11778" max="11778" width="10.44140625" style="7165" customWidth="1"/>
    <col min="11779" max="11779" width="11.109375" style="7165" customWidth="1"/>
    <col min="11780" max="11780" width="11" style="7165" customWidth="1"/>
    <col min="11781" max="11781" width="15.44140625" style="7165" customWidth="1"/>
    <col min="11782" max="11782" width="16.109375" style="7165" customWidth="1"/>
    <col min="11783" max="12032" width="9.109375" style="7165"/>
    <col min="12033" max="12033" width="33.44140625" style="7165" customWidth="1"/>
    <col min="12034" max="12034" width="10.44140625" style="7165" customWidth="1"/>
    <col min="12035" max="12035" width="11.109375" style="7165" customWidth="1"/>
    <col min="12036" max="12036" width="11" style="7165" customWidth="1"/>
    <col min="12037" max="12037" width="15.44140625" style="7165" customWidth="1"/>
    <col min="12038" max="12038" width="16.109375" style="7165" customWidth="1"/>
    <col min="12039" max="12288" width="9.109375" style="7165"/>
    <col min="12289" max="12289" width="33.44140625" style="7165" customWidth="1"/>
    <col min="12290" max="12290" width="10.44140625" style="7165" customWidth="1"/>
    <col min="12291" max="12291" width="11.109375" style="7165" customWidth="1"/>
    <col min="12292" max="12292" width="11" style="7165" customWidth="1"/>
    <col min="12293" max="12293" width="15.44140625" style="7165" customWidth="1"/>
    <col min="12294" max="12294" width="16.109375" style="7165" customWidth="1"/>
    <col min="12295" max="12544" width="9.109375" style="7165"/>
    <col min="12545" max="12545" width="33.44140625" style="7165" customWidth="1"/>
    <col min="12546" max="12546" width="10.44140625" style="7165" customWidth="1"/>
    <col min="12547" max="12547" width="11.109375" style="7165" customWidth="1"/>
    <col min="12548" max="12548" width="11" style="7165" customWidth="1"/>
    <col min="12549" max="12549" width="15.44140625" style="7165" customWidth="1"/>
    <col min="12550" max="12550" width="16.109375" style="7165" customWidth="1"/>
    <col min="12551" max="12800" width="9.109375" style="7165"/>
    <col min="12801" max="12801" width="33.44140625" style="7165" customWidth="1"/>
    <col min="12802" max="12802" width="10.44140625" style="7165" customWidth="1"/>
    <col min="12803" max="12803" width="11.109375" style="7165" customWidth="1"/>
    <col min="12804" max="12804" width="11" style="7165" customWidth="1"/>
    <col min="12805" max="12805" width="15.44140625" style="7165" customWidth="1"/>
    <col min="12806" max="12806" width="16.109375" style="7165" customWidth="1"/>
    <col min="12807" max="13056" width="9.109375" style="7165"/>
    <col min="13057" max="13057" width="33.44140625" style="7165" customWidth="1"/>
    <col min="13058" max="13058" width="10.44140625" style="7165" customWidth="1"/>
    <col min="13059" max="13059" width="11.109375" style="7165" customWidth="1"/>
    <col min="13060" max="13060" width="11" style="7165" customWidth="1"/>
    <col min="13061" max="13061" width="15.44140625" style="7165" customWidth="1"/>
    <col min="13062" max="13062" width="16.109375" style="7165" customWidth="1"/>
    <col min="13063" max="13312" width="9.109375" style="7165"/>
    <col min="13313" max="13313" width="33.44140625" style="7165" customWidth="1"/>
    <col min="13314" max="13314" width="10.44140625" style="7165" customWidth="1"/>
    <col min="13315" max="13315" width="11.109375" style="7165" customWidth="1"/>
    <col min="13316" max="13316" width="11" style="7165" customWidth="1"/>
    <col min="13317" max="13317" width="15.44140625" style="7165" customWidth="1"/>
    <col min="13318" max="13318" width="16.109375" style="7165" customWidth="1"/>
    <col min="13319" max="13568" width="9.109375" style="7165"/>
    <col min="13569" max="13569" width="33.44140625" style="7165" customWidth="1"/>
    <col min="13570" max="13570" width="10.44140625" style="7165" customWidth="1"/>
    <col min="13571" max="13571" width="11.109375" style="7165" customWidth="1"/>
    <col min="13572" max="13572" width="11" style="7165" customWidth="1"/>
    <col min="13573" max="13573" width="15.44140625" style="7165" customWidth="1"/>
    <col min="13574" max="13574" width="16.109375" style="7165" customWidth="1"/>
    <col min="13575" max="13824" width="9.109375" style="7165"/>
    <col min="13825" max="13825" width="33.44140625" style="7165" customWidth="1"/>
    <col min="13826" max="13826" width="10.44140625" style="7165" customWidth="1"/>
    <col min="13827" max="13827" width="11.109375" style="7165" customWidth="1"/>
    <col min="13828" max="13828" width="11" style="7165" customWidth="1"/>
    <col min="13829" max="13829" width="15.44140625" style="7165" customWidth="1"/>
    <col min="13830" max="13830" width="16.109375" style="7165" customWidth="1"/>
    <col min="13831" max="14080" width="9.109375" style="7165"/>
    <col min="14081" max="14081" width="33.44140625" style="7165" customWidth="1"/>
    <col min="14082" max="14082" width="10.44140625" style="7165" customWidth="1"/>
    <col min="14083" max="14083" width="11.109375" style="7165" customWidth="1"/>
    <col min="14084" max="14084" width="11" style="7165" customWidth="1"/>
    <col min="14085" max="14085" width="15.44140625" style="7165" customWidth="1"/>
    <col min="14086" max="14086" width="16.109375" style="7165" customWidth="1"/>
    <col min="14087" max="14336" width="9.109375" style="7165"/>
    <col min="14337" max="14337" width="33.44140625" style="7165" customWidth="1"/>
    <col min="14338" max="14338" width="10.44140625" style="7165" customWidth="1"/>
    <col min="14339" max="14339" width="11.109375" style="7165" customWidth="1"/>
    <col min="14340" max="14340" width="11" style="7165" customWidth="1"/>
    <col min="14341" max="14341" width="15.44140625" style="7165" customWidth="1"/>
    <col min="14342" max="14342" width="16.109375" style="7165" customWidth="1"/>
    <col min="14343" max="14592" width="9.109375" style="7165"/>
    <col min="14593" max="14593" width="33.44140625" style="7165" customWidth="1"/>
    <col min="14594" max="14594" width="10.44140625" style="7165" customWidth="1"/>
    <col min="14595" max="14595" width="11.109375" style="7165" customWidth="1"/>
    <col min="14596" max="14596" width="11" style="7165" customWidth="1"/>
    <col min="14597" max="14597" width="15.44140625" style="7165" customWidth="1"/>
    <col min="14598" max="14598" width="16.109375" style="7165" customWidth="1"/>
    <col min="14599" max="14848" width="9.109375" style="7165"/>
    <col min="14849" max="14849" width="33.44140625" style="7165" customWidth="1"/>
    <col min="14850" max="14850" width="10.44140625" style="7165" customWidth="1"/>
    <col min="14851" max="14851" width="11.109375" style="7165" customWidth="1"/>
    <col min="14852" max="14852" width="11" style="7165" customWidth="1"/>
    <col min="14853" max="14853" width="15.44140625" style="7165" customWidth="1"/>
    <col min="14854" max="14854" width="16.109375" style="7165" customWidth="1"/>
    <col min="14855" max="15104" width="9.109375" style="7165"/>
    <col min="15105" max="15105" width="33.44140625" style="7165" customWidth="1"/>
    <col min="15106" max="15106" width="10.44140625" style="7165" customWidth="1"/>
    <col min="15107" max="15107" width="11.109375" style="7165" customWidth="1"/>
    <col min="15108" max="15108" width="11" style="7165" customWidth="1"/>
    <col min="15109" max="15109" width="15.44140625" style="7165" customWidth="1"/>
    <col min="15110" max="15110" width="16.109375" style="7165" customWidth="1"/>
    <col min="15111" max="15360" width="9.109375" style="7165"/>
    <col min="15361" max="15361" width="33.44140625" style="7165" customWidth="1"/>
    <col min="15362" max="15362" width="10.44140625" style="7165" customWidth="1"/>
    <col min="15363" max="15363" width="11.109375" style="7165" customWidth="1"/>
    <col min="15364" max="15364" width="11" style="7165" customWidth="1"/>
    <col min="15365" max="15365" width="15.44140625" style="7165" customWidth="1"/>
    <col min="15366" max="15366" width="16.109375" style="7165" customWidth="1"/>
    <col min="15367" max="15616" width="9.109375" style="7165"/>
    <col min="15617" max="15617" width="33.44140625" style="7165" customWidth="1"/>
    <col min="15618" max="15618" width="10.44140625" style="7165" customWidth="1"/>
    <col min="15619" max="15619" width="11.109375" style="7165" customWidth="1"/>
    <col min="15620" max="15620" width="11" style="7165" customWidth="1"/>
    <col min="15621" max="15621" width="15.44140625" style="7165" customWidth="1"/>
    <col min="15622" max="15622" width="16.109375" style="7165" customWidth="1"/>
    <col min="15623" max="15872" width="9.109375" style="7165"/>
    <col min="15873" max="15873" width="33.44140625" style="7165" customWidth="1"/>
    <col min="15874" max="15874" width="10.44140625" style="7165" customWidth="1"/>
    <col min="15875" max="15875" width="11.109375" style="7165" customWidth="1"/>
    <col min="15876" max="15876" width="11" style="7165" customWidth="1"/>
    <col min="15877" max="15877" width="15.44140625" style="7165" customWidth="1"/>
    <col min="15878" max="15878" width="16.109375" style="7165" customWidth="1"/>
    <col min="15879" max="16128" width="9.109375" style="7165"/>
    <col min="16129" max="16129" width="33.44140625" style="7165" customWidth="1"/>
    <col min="16130" max="16130" width="10.44140625" style="7165" customWidth="1"/>
    <col min="16131" max="16131" width="11.109375" style="7165" customWidth="1"/>
    <col min="16132" max="16132" width="11" style="7165" customWidth="1"/>
    <col min="16133" max="16133" width="15.44140625" style="7165" customWidth="1"/>
    <col min="16134" max="16134" width="16.109375" style="7165" customWidth="1"/>
    <col min="16135" max="16384" width="9.109375" style="7165"/>
  </cols>
  <sheetData>
    <row r="1" spans="1:12" ht="12.9" customHeight="1">
      <c r="A1" s="14215" t="s">
        <v>1087</v>
      </c>
      <c r="B1" s="14215"/>
      <c r="C1" s="14215"/>
      <c r="D1" s="14215"/>
      <c r="E1" s="14215"/>
      <c r="F1" s="14215"/>
    </row>
    <row r="3" spans="1:12" ht="12.9" customHeight="1">
      <c r="A3" s="7163" t="s">
        <v>1162</v>
      </c>
    </row>
    <row r="4" spans="1:12" ht="12.9" customHeight="1" thickBot="1">
      <c r="A4" s="7163"/>
    </row>
    <row r="5" spans="1:12" s="7195" customFormat="1" ht="12.9" customHeight="1" thickBot="1">
      <c r="A5" s="9697" t="s">
        <v>1163</v>
      </c>
      <c r="B5" s="10711" t="s">
        <v>1035</v>
      </c>
      <c r="C5" s="10711" t="s">
        <v>1036</v>
      </c>
      <c r="D5" s="14700" t="s">
        <v>1037</v>
      </c>
      <c r="E5" s="14700"/>
      <c r="F5" s="14701"/>
    </row>
    <row r="6" spans="1:12" s="7195" customFormat="1" ht="12.9" customHeight="1" thickBot="1">
      <c r="A6" s="9698" t="s">
        <v>1088</v>
      </c>
      <c r="B6" s="9772" t="s">
        <v>9</v>
      </c>
      <c r="C6" s="9772" t="s">
        <v>1039</v>
      </c>
      <c r="D6" s="10725" t="s">
        <v>10</v>
      </c>
      <c r="E6" s="9772" t="s">
        <v>11</v>
      </c>
      <c r="F6" s="9773" t="s">
        <v>11621</v>
      </c>
    </row>
    <row r="7" spans="1:12" ht="12.9" customHeight="1">
      <c r="A7" s="9700"/>
      <c r="B7" s="9701"/>
      <c r="C7" s="10764"/>
      <c r="D7" s="9701"/>
      <c r="E7" s="10764"/>
      <c r="F7" s="9658"/>
    </row>
    <row r="8" spans="1:12" ht="12.9" customHeight="1">
      <c r="A8" s="9702" t="s">
        <v>806</v>
      </c>
      <c r="B8" s="10765"/>
      <c r="C8" s="10765"/>
      <c r="D8" s="10765"/>
      <c r="E8" s="10765"/>
      <c r="F8" s="7215"/>
    </row>
    <row r="9" spans="1:12" ht="12.9" customHeight="1">
      <c r="A9" s="7209" t="s">
        <v>1089</v>
      </c>
      <c r="B9" s="10765"/>
      <c r="C9" s="10765"/>
      <c r="D9" s="10765"/>
      <c r="E9" s="10765"/>
      <c r="F9" s="7215"/>
    </row>
    <row r="10" spans="1:12" ht="12.9" customHeight="1">
      <c r="A10" s="7207" t="s">
        <v>1164</v>
      </c>
      <c r="B10" s="10753">
        <v>1</v>
      </c>
      <c r="C10" s="10753">
        <v>28</v>
      </c>
      <c r="D10" s="10754">
        <v>1156356</v>
      </c>
      <c r="E10" s="10754">
        <v>1379772</v>
      </c>
      <c r="F10" s="7216">
        <v>1646340</v>
      </c>
      <c r="J10" s="7165">
        <v>3</v>
      </c>
      <c r="K10" s="7165">
        <v>3</v>
      </c>
      <c r="L10" s="7165">
        <v>4</v>
      </c>
    </row>
    <row r="11" spans="1:12" ht="12.9" customHeight="1">
      <c r="A11" s="7207" t="s">
        <v>1165</v>
      </c>
      <c r="B11" s="10753">
        <v>12</v>
      </c>
      <c r="C11" s="10753">
        <v>27</v>
      </c>
      <c r="D11" s="10754">
        <v>12647136</v>
      </c>
      <c r="E11" s="10754">
        <v>14930688</v>
      </c>
      <c r="F11" s="7216">
        <v>17626656</v>
      </c>
    </row>
    <row r="12" spans="1:12" ht="12.9" customHeight="1">
      <c r="A12" s="7207" t="s">
        <v>12245</v>
      </c>
      <c r="B12" s="10753">
        <v>1</v>
      </c>
      <c r="C12" s="10753">
        <v>26</v>
      </c>
      <c r="D12" s="10754">
        <v>1041900</v>
      </c>
      <c r="E12" s="10754">
        <v>1226604</v>
      </c>
      <c r="F12" s="7216">
        <v>1444044</v>
      </c>
      <c r="G12" s="7165">
        <f>SUM(B10:B12)</f>
        <v>14</v>
      </c>
      <c r="H12" s="7198">
        <f>SUM(F10:F12)</f>
        <v>20717040</v>
      </c>
    </row>
    <row r="13" spans="1:12" ht="12.9" customHeight="1">
      <c r="A13" s="7207"/>
      <c r="B13" s="10753"/>
      <c r="C13" s="10753"/>
      <c r="D13" s="10754"/>
      <c r="E13" s="10754"/>
      <c r="F13" s="7216"/>
    </row>
    <row r="14" spans="1:12" ht="12.9" customHeight="1">
      <c r="A14" s="7209" t="s">
        <v>1151</v>
      </c>
      <c r="B14" s="10753"/>
      <c r="C14" s="10753"/>
      <c r="D14" s="10754"/>
      <c r="E14" s="10754"/>
      <c r="F14" s="7216"/>
    </row>
    <row r="15" spans="1:12" ht="12.9" customHeight="1">
      <c r="A15" s="7209" t="s">
        <v>1092</v>
      </c>
      <c r="B15" s="10753"/>
      <c r="C15" s="10753"/>
      <c r="D15" s="10754"/>
      <c r="E15" s="10754"/>
      <c r="F15" s="7216"/>
    </row>
    <row r="16" spans="1:12" ht="12.9" customHeight="1">
      <c r="A16" s="7207" t="s">
        <v>1166</v>
      </c>
      <c r="B16" s="10753">
        <v>1</v>
      </c>
      <c r="C16" s="10753">
        <v>19</v>
      </c>
      <c r="D16" s="10754">
        <v>502776</v>
      </c>
      <c r="E16" s="10754">
        <v>544200</v>
      </c>
      <c r="F16" s="7216">
        <v>598656</v>
      </c>
    </row>
    <row r="17" spans="1:8" ht="12.9" customHeight="1">
      <c r="A17" s="7207" t="s">
        <v>1167</v>
      </c>
      <c r="B17" s="10753">
        <v>1</v>
      </c>
      <c r="C17" s="10753">
        <v>17</v>
      </c>
      <c r="D17" s="10754">
        <v>416484</v>
      </c>
      <c r="E17" s="10754">
        <v>443124</v>
      </c>
      <c r="F17" s="7216">
        <v>477288</v>
      </c>
    </row>
    <row r="18" spans="1:8" ht="12.9" customHeight="1">
      <c r="A18" s="7207" t="s">
        <v>1171</v>
      </c>
      <c r="B18" s="10753">
        <v>0</v>
      </c>
      <c r="C18" s="10753">
        <v>11</v>
      </c>
      <c r="D18" s="10806">
        <v>235440</v>
      </c>
      <c r="E18" s="10806">
        <v>242148</v>
      </c>
      <c r="F18" s="7216">
        <v>0</v>
      </c>
    </row>
    <row r="19" spans="1:8" ht="12.9" customHeight="1">
      <c r="A19" s="7207"/>
      <c r="B19" s="10753"/>
      <c r="C19" s="10753"/>
      <c r="D19" s="10806"/>
      <c r="E19" s="10806"/>
      <c r="F19" s="9704"/>
      <c r="G19" s="7165">
        <f>SUM(B16:B19)</f>
        <v>2</v>
      </c>
      <c r="H19" s="7198">
        <f>SUM(F16:F19)</f>
        <v>1075944</v>
      </c>
    </row>
    <row r="20" spans="1:8" ht="12.9" customHeight="1">
      <c r="A20" s="7209" t="s">
        <v>1137</v>
      </c>
      <c r="B20" s="10753"/>
      <c r="C20" s="10753"/>
      <c r="D20" s="10754"/>
      <c r="E20" s="10754"/>
      <c r="F20" s="7216"/>
    </row>
    <row r="21" spans="1:8" ht="12.9" hidden="1" customHeight="1">
      <c r="A21" s="7207" t="s">
        <v>10365</v>
      </c>
      <c r="B21" s="10753">
        <v>0</v>
      </c>
      <c r="C21" s="10753">
        <v>15</v>
      </c>
      <c r="D21" s="10754">
        <v>0</v>
      </c>
      <c r="E21" s="10754">
        <v>0</v>
      </c>
      <c r="F21" s="7216">
        <v>0</v>
      </c>
    </row>
    <row r="22" spans="1:8" ht="12.9" customHeight="1">
      <c r="A22" s="7207" t="s">
        <v>10363</v>
      </c>
      <c r="B22" s="10753">
        <v>1</v>
      </c>
      <c r="C22" s="10753">
        <v>18</v>
      </c>
      <c r="D22" s="10754">
        <v>0</v>
      </c>
      <c r="E22" s="10754">
        <v>0</v>
      </c>
      <c r="F22" s="7216">
        <v>783828</v>
      </c>
    </row>
    <row r="23" spans="1:8" ht="12.9" customHeight="1">
      <c r="A23" s="7207" t="s">
        <v>10365</v>
      </c>
      <c r="B23" s="10753">
        <v>1</v>
      </c>
      <c r="C23" s="10753">
        <v>14</v>
      </c>
      <c r="D23" s="10754">
        <v>0</v>
      </c>
      <c r="E23" s="10754">
        <v>0</v>
      </c>
      <c r="F23" s="7216">
        <v>366372</v>
      </c>
    </row>
    <row r="24" spans="1:8" ht="12.9" customHeight="1">
      <c r="A24" s="7207" t="s">
        <v>10366</v>
      </c>
      <c r="B24" s="10753">
        <v>4</v>
      </c>
      <c r="C24" s="10753">
        <v>11</v>
      </c>
      <c r="D24" s="10754">
        <v>987564</v>
      </c>
      <c r="E24" s="10754">
        <v>1025916</v>
      </c>
      <c r="F24" s="7216">
        <v>1024260</v>
      </c>
    </row>
    <row r="25" spans="1:8" ht="12.9" customHeight="1">
      <c r="A25" s="7207"/>
      <c r="B25" s="10753"/>
      <c r="C25" s="10753"/>
      <c r="D25" s="10754"/>
      <c r="E25" s="10754"/>
      <c r="F25" s="7216"/>
      <c r="G25" s="7165">
        <f>SUM(B21:B25)</f>
        <v>6</v>
      </c>
      <c r="H25" s="7198">
        <f>SUM(F21:F25)</f>
        <v>2174460</v>
      </c>
    </row>
    <row r="26" spans="1:8" ht="12.9" customHeight="1">
      <c r="A26" s="7209" t="s">
        <v>1168</v>
      </c>
      <c r="B26" s="10765"/>
      <c r="C26" s="10753"/>
      <c r="D26" s="10754"/>
      <c r="E26" s="10754"/>
      <c r="F26" s="7216"/>
    </row>
    <row r="27" spans="1:8" ht="12.9" customHeight="1">
      <c r="A27" s="7209" t="s">
        <v>1169</v>
      </c>
      <c r="B27" s="10765"/>
      <c r="C27" s="10753"/>
      <c r="D27" s="10754"/>
      <c r="E27" s="10754"/>
      <c r="F27" s="7216"/>
    </row>
    <row r="28" spans="1:8" ht="12.9" customHeight="1">
      <c r="A28" s="7209"/>
      <c r="B28" s="10765"/>
      <c r="C28" s="10753"/>
      <c r="D28" s="10754"/>
      <c r="E28" s="10754"/>
      <c r="F28" s="7216"/>
    </row>
    <row r="29" spans="1:8" ht="12.9" customHeight="1">
      <c r="A29" s="7207" t="s">
        <v>1255</v>
      </c>
      <c r="B29" s="10753">
        <v>1</v>
      </c>
      <c r="C29" s="10753">
        <v>18</v>
      </c>
      <c r="D29" s="10754">
        <v>433332</v>
      </c>
      <c r="E29" s="10754">
        <v>468084</v>
      </c>
      <c r="F29" s="7216">
        <v>499800</v>
      </c>
    </row>
    <row r="30" spans="1:8" ht="12.9" customHeight="1">
      <c r="A30" s="7207" t="s">
        <v>1363</v>
      </c>
      <c r="B30" s="10753">
        <v>1</v>
      </c>
      <c r="C30" s="10753">
        <v>14</v>
      </c>
      <c r="D30" s="10754">
        <v>306876</v>
      </c>
      <c r="E30" s="10754">
        <v>639600</v>
      </c>
      <c r="F30" s="7216">
        <v>333060</v>
      </c>
    </row>
    <row r="31" spans="1:8" ht="12.9" customHeight="1">
      <c r="A31" s="7207" t="s">
        <v>1257</v>
      </c>
      <c r="B31" s="10753">
        <v>2</v>
      </c>
      <c r="C31" s="10753">
        <v>11</v>
      </c>
      <c r="D31" s="10754">
        <v>0</v>
      </c>
      <c r="E31" s="10754">
        <v>242148</v>
      </c>
      <c r="F31" s="7216">
        <v>498096</v>
      </c>
    </row>
    <row r="32" spans="1:8" ht="12.9" customHeight="1">
      <c r="A32" s="7207" t="s">
        <v>1364</v>
      </c>
      <c r="B32" s="10753">
        <v>1</v>
      </c>
      <c r="C32" s="10753">
        <v>10</v>
      </c>
      <c r="D32" s="10754">
        <v>220620</v>
      </c>
      <c r="E32" s="10754">
        <v>0</v>
      </c>
      <c r="F32" s="7216">
        <v>230796</v>
      </c>
    </row>
    <row r="33" spans="1:8" ht="12.9" customHeight="1">
      <c r="A33" s="7207" t="s">
        <v>10417</v>
      </c>
      <c r="B33" s="10753">
        <v>0</v>
      </c>
      <c r="C33" s="10753">
        <v>11</v>
      </c>
      <c r="D33" s="10754">
        <v>238236</v>
      </c>
      <c r="E33" s="10754">
        <v>245244</v>
      </c>
      <c r="F33" s="7216">
        <v>0</v>
      </c>
    </row>
    <row r="34" spans="1:8" ht="12.9" customHeight="1">
      <c r="A34" s="7207" t="s">
        <v>10418</v>
      </c>
      <c r="B34" s="10753">
        <v>1</v>
      </c>
      <c r="C34" s="10753">
        <v>9</v>
      </c>
      <c r="D34" s="10754">
        <v>215316</v>
      </c>
      <c r="E34" s="10754">
        <v>222900</v>
      </c>
      <c r="F34" s="7216">
        <v>228648</v>
      </c>
    </row>
    <row r="35" spans="1:8" ht="12.9" customHeight="1">
      <c r="A35" s="7207" t="s">
        <v>1258</v>
      </c>
      <c r="B35" s="10753">
        <v>2</v>
      </c>
      <c r="C35" s="10753">
        <v>8</v>
      </c>
      <c r="D35" s="10754">
        <v>189816</v>
      </c>
      <c r="E35" s="10754">
        <v>390768</v>
      </c>
      <c r="F35" s="7216">
        <v>407700</v>
      </c>
    </row>
    <row r="36" spans="1:8" ht="12.9" customHeight="1">
      <c r="A36" s="7207" t="s">
        <v>3404</v>
      </c>
      <c r="B36" s="10753">
        <v>1</v>
      </c>
      <c r="C36" s="10753">
        <v>7</v>
      </c>
      <c r="D36" s="10754">
        <v>187044</v>
      </c>
      <c r="E36" s="10754">
        <v>193896</v>
      </c>
      <c r="F36" s="7216">
        <v>188856</v>
      </c>
    </row>
    <row r="37" spans="1:8" ht="12.9" customHeight="1">
      <c r="A37" s="7207" t="s">
        <v>1259</v>
      </c>
      <c r="B37" s="10753">
        <v>10</v>
      </c>
      <c r="C37" s="10753">
        <v>6</v>
      </c>
      <c r="D37" s="10754">
        <v>339804</v>
      </c>
      <c r="E37" s="10754">
        <v>516240</v>
      </c>
      <c r="F37" s="7216">
        <v>1781640</v>
      </c>
    </row>
    <row r="38" spans="1:8" ht="12.9" customHeight="1">
      <c r="A38" s="7207" t="s">
        <v>10154</v>
      </c>
      <c r="B38" s="10753">
        <v>3</v>
      </c>
      <c r="C38" s="10753">
        <v>5</v>
      </c>
      <c r="D38" s="10754"/>
      <c r="E38" s="10754">
        <v>485316</v>
      </c>
      <c r="F38" s="7216">
        <v>504252</v>
      </c>
    </row>
    <row r="39" spans="1:8" ht="12.9" customHeight="1">
      <c r="A39" s="7207" t="s">
        <v>1260</v>
      </c>
      <c r="B39" s="10753">
        <v>2</v>
      </c>
      <c r="C39" s="10753">
        <v>4</v>
      </c>
      <c r="D39" s="10754">
        <v>457344</v>
      </c>
      <c r="E39" s="10754">
        <v>463956</v>
      </c>
      <c r="F39" s="7216">
        <v>317136</v>
      </c>
    </row>
    <row r="40" spans="1:8" ht="12.9" customHeight="1">
      <c r="A40" s="7207" t="s">
        <v>1261</v>
      </c>
      <c r="B40" s="10753">
        <v>7</v>
      </c>
      <c r="C40" s="10753">
        <v>3</v>
      </c>
      <c r="D40" s="10754">
        <v>985980</v>
      </c>
      <c r="E40" s="10754">
        <v>889104</v>
      </c>
      <c r="F40" s="7216">
        <v>1069320</v>
      </c>
    </row>
    <row r="41" spans="1:8" ht="12.9" customHeight="1">
      <c r="A41" s="7207" t="s">
        <v>1262</v>
      </c>
      <c r="B41" s="10753">
        <v>7</v>
      </c>
      <c r="C41" s="10753">
        <v>2</v>
      </c>
      <c r="D41" s="10754">
        <v>795732</v>
      </c>
      <c r="E41" s="10754">
        <v>971388</v>
      </c>
      <c r="F41" s="7216">
        <v>1018776</v>
      </c>
    </row>
    <row r="42" spans="1:8" ht="12.9" customHeight="1">
      <c r="A42" s="7207" t="s">
        <v>1263</v>
      </c>
      <c r="B42" s="10744">
        <v>28</v>
      </c>
      <c r="C42" s="10744">
        <v>1</v>
      </c>
      <c r="D42" s="10745">
        <v>3241260</v>
      </c>
      <c r="E42" s="10745">
        <v>3125172</v>
      </c>
      <c r="F42" s="9714">
        <v>3816300</v>
      </c>
    </row>
    <row r="43" spans="1:8" ht="12.9" customHeight="1">
      <c r="A43" s="7209" t="s">
        <v>1098</v>
      </c>
      <c r="B43" s="9613">
        <f>SUM(B10:B42)</f>
        <v>88</v>
      </c>
      <c r="C43" s="9630"/>
      <c r="D43" s="9619">
        <f>SUM(D10:D42)</f>
        <v>24599016</v>
      </c>
      <c r="E43" s="9619">
        <f>SUM(E10:E42)</f>
        <v>28646268</v>
      </c>
      <c r="F43" s="7221">
        <f>SUM(F10:F42)</f>
        <v>34861824</v>
      </c>
      <c r="G43" s="7165">
        <f>SUM(B29:B42)</f>
        <v>66</v>
      </c>
      <c r="H43" s="7198">
        <f>SUM(F29:F42)</f>
        <v>10894380</v>
      </c>
    </row>
    <row r="44" spans="1:8" ht="12.9" customHeight="1">
      <c r="A44" s="7207"/>
      <c r="B44" s="10777"/>
      <c r="C44" s="10746"/>
      <c r="D44" s="10807"/>
      <c r="E44" s="10807"/>
      <c r="F44" s="10808"/>
    </row>
    <row r="45" spans="1:8" ht="12.9" customHeight="1">
      <c r="A45" s="7207" t="s">
        <v>1113</v>
      </c>
      <c r="B45" s="10760" t="s">
        <v>9</v>
      </c>
      <c r="C45" s="10753"/>
      <c r="D45" s="10754"/>
      <c r="E45" s="10754"/>
      <c r="F45" s="7216"/>
    </row>
    <row r="46" spans="1:8" ht="12.9" customHeight="1">
      <c r="A46" s="7207" t="s">
        <v>1170</v>
      </c>
      <c r="B46" s="10753">
        <v>1</v>
      </c>
      <c r="C46" s="10753">
        <v>27</v>
      </c>
      <c r="D46" s="10754">
        <v>1046748</v>
      </c>
      <c r="E46" s="10754">
        <v>1234920</v>
      </c>
      <c r="F46" s="7216">
        <v>1456932</v>
      </c>
    </row>
    <row r="47" spans="1:8" ht="12.9" customHeight="1">
      <c r="A47" s="7207" t="s">
        <v>1171</v>
      </c>
      <c r="B47" s="10753">
        <v>1</v>
      </c>
      <c r="C47" s="10753">
        <v>11</v>
      </c>
      <c r="D47" s="10754">
        <v>0</v>
      </c>
      <c r="E47" s="10754">
        <v>0</v>
      </c>
      <c r="F47" s="7216">
        <v>249048</v>
      </c>
    </row>
    <row r="48" spans="1:8" ht="12.9" hidden="1" customHeight="1">
      <c r="A48" s="7207" t="s">
        <v>1095</v>
      </c>
      <c r="B48" s="10753">
        <v>0</v>
      </c>
      <c r="C48" s="10753">
        <v>18</v>
      </c>
      <c r="D48" s="10754"/>
      <c r="E48" s="10754"/>
      <c r="F48" s="7216"/>
    </row>
    <row r="49" spans="1:8" ht="12.9" customHeight="1">
      <c r="A49" s="7207" t="s">
        <v>1301</v>
      </c>
      <c r="B49" s="10753">
        <v>1</v>
      </c>
      <c r="C49" s="10753">
        <v>14</v>
      </c>
      <c r="D49" s="10754">
        <v>303480</v>
      </c>
      <c r="E49" s="10754">
        <v>0</v>
      </c>
      <c r="F49" s="7216">
        <v>333060</v>
      </c>
    </row>
    <row r="50" spans="1:8" ht="12.9" customHeight="1">
      <c r="A50" s="7207" t="s">
        <v>1395</v>
      </c>
      <c r="B50" s="10753">
        <v>0</v>
      </c>
      <c r="C50" s="10753">
        <v>11</v>
      </c>
      <c r="D50" s="10754">
        <v>470880</v>
      </c>
      <c r="E50" s="10754">
        <v>242148</v>
      </c>
      <c r="F50" s="7216">
        <v>0</v>
      </c>
    </row>
    <row r="51" spans="1:8" ht="12.9" customHeight="1">
      <c r="A51" s="7207" t="s">
        <v>1172</v>
      </c>
      <c r="B51" s="10753">
        <v>0</v>
      </c>
      <c r="C51" s="10753">
        <v>10</v>
      </c>
      <c r="D51" s="10754">
        <v>0</v>
      </c>
      <c r="E51" s="10754">
        <v>224616</v>
      </c>
      <c r="F51" s="7216">
        <v>0</v>
      </c>
    </row>
    <row r="52" spans="1:8" ht="12.9" customHeight="1">
      <c r="A52" s="7207" t="s">
        <v>11649</v>
      </c>
      <c r="B52" s="10753">
        <v>1</v>
      </c>
      <c r="C52" s="10753">
        <v>11</v>
      </c>
      <c r="D52" s="10754">
        <v>0</v>
      </c>
      <c r="E52" s="10754">
        <v>0</v>
      </c>
      <c r="F52" s="7216">
        <v>249048</v>
      </c>
    </row>
    <row r="53" spans="1:8" ht="12.9" customHeight="1">
      <c r="A53" s="7207" t="s">
        <v>10362</v>
      </c>
      <c r="B53" s="10753">
        <v>0</v>
      </c>
      <c r="C53" s="10753">
        <v>8</v>
      </c>
      <c r="D53" s="10754">
        <v>189816</v>
      </c>
      <c r="E53" s="10754">
        <v>0</v>
      </c>
      <c r="F53" s="7216">
        <v>0</v>
      </c>
    </row>
    <row r="54" spans="1:8" ht="12.9" customHeight="1">
      <c r="A54" s="7207" t="s">
        <v>1097</v>
      </c>
      <c r="B54" s="10753">
        <v>0</v>
      </c>
      <c r="C54" s="10753">
        <v>6</v>
      </c>
      <c r="D54" s="10754">
        <v>1329696</v>
      </c>
      <c r="E54" s="10754">
        <v>1204560</v>
      </c>
      <c r="F54" s="7216">
        <v>0</v>
      </c>
      <c r="H54" s="7198"/>
    </row>
    <row r="55" spans="1:8" ht="12.9" customHeight="1">
      <c r="A55" s="7207" t="s">
        <v>1173</v>
      </c>
      <c r="B55" s="10753">
        <v>0</v>
      </c>
      <c r="C55" s="10753">
        <v>5</v>
      </c>
      <c r="D55" s="10754">
        <v>467100</v>
      </c>
      <c r="E55" s="10754">
        <v>0</v>
      </c>
      <c r="F55" s="7216">
        <v>0</v>
      </c>
    </row>
    <row r="56" spans="1:8" ht="12.9" customHeight="1">
      <c r="A56" s="7207" t="s">
        <v>1260</v>
      </c>
      <c r="B56" s="10753">
        <v>1</v>
      </c>
      <c r="C56" s="10753">
        <v>4</v>
      </c>
      <c r="D56" s="10754">
        <v>145860</v>
      </c>
      <c r="E56" s="10754">
        <v>0</v>
      </c>
      <c r="F56" s="7216">
        <v>158568</v>
      </c>
    </row>
    <row r="57" spans="1:8" s="7252" customFormat="1" ht="12.9" customHeight="1">
      <c r="A57" s="9707" t="s">
        <v>1174</v>
      </c>
      <c r="B57" s="10809">
        <v>0</v>
      </c>
      <c r="C57" s="10809">
        <v>3</v>
      </c>
      <c r="D57" s="10810"/>
      <c r="E57" s="10811">
        <v>142968</v>
      </c>
      <c r="F57" s="7216">
        <v>0</v>
      </c>
    </row>
    <row r="58" spans="1:8" ht="12.9" customHeight="1">
      <c r="A58" s="7207" t="s">
        <v>1420</v>
      </c>
      <c r="B58" s="10753">
        <v>0</v>
      </c>
      <c r="C58" s="10753">
        <v>2</v>
      </c>
      <c r="D58" s="10754">
        <v>128004</v>
      </c>
      <c r="E58" s="10810">
        <v>0</v>
      </c>
      <c r="F58" s="7216">
        <v>0</v>
      </c>
    </row>
    <row r="59" spans="1:8" ht="12.9" customHeight="1">
      <c r="A59" s="7207" t="s">
        <v>1175</v>
      </c>
      <c r="B59" s="10753">
        <v>1</v>
      </c>
      <c r="C59" s="10753">
        <v>1</v>
      </c>
      <c r="D59" s="10754">
        <v>239544</v>
      </c>
      <c r="E59" s="10754">
        <v>630600</v>
      </c>
      <c r="F59" s="7216">
        <v>132816</v>
      </c>
    </row>
    <row r="60" spans="1:8" ht="12.9" customHeight="1">
      <c r="A60" s="7207" t="s">
        <v>10363</v>
      </c>
      <c r="B60" s="10753">
        <v>0</v>
      </c>
      <c r="C60" s="10753">
        <v>22</v>
      </c>
      <c r="D60" s="10754">
        <v>633396</v>
      </c>
      <c r="E60" s="10754">
        <v>704604</v>
      </c>
      <c r="F60" s="7216">
        <v>0</v>
      </c>
    </row>
    <row r="61" spans="1:8" ht="12.9" customHeight="1">
      <c r="A61" s="7207" t="s">
        <v>10364</v>
      </c>
      <c r="B61" s="10753">
        <v>1</v>
      </c>
      <c r="C61" s="10753">
        <v>18</v>
      </c>
      <c r="D61" s="10754">
        <v>428316</v>
      </c>
      <c r="E61" s="10754">
        <v>457020</v>
      </c>
      <c r="F61" s="7216">
        <v>487644</v>
      </c>
    </row>
    <row r="62" spans="1:8" ht="12.9" customHeight="1">
      <c r="A62" s="7207" t="s">
        <v>10365</v>
      </c>
      <c r="B62" s="10753">
        <v>0</v>
      </c>
      <c r="C62" s="10753">
        <v>15</v>
      </c>
      <c r="D62" s="10754">
        <v>330780</v>
      </c>
      <c r="E62" s="10754">
        <v>348120</v>
      </c>
      <c r="F62" s="7216">
        <v>0</v>
      </c>
    </row>
    <row r="63" spans="1:8" ht="12.9" hidden="1" customHeight="1">
      <c r="A63" s="7207" t="s">
        <v>10366</v>
      </c>
      <c r="B63" s="10753">
        <v>0</v>
      </c>
      <c r="C63" s="10753">
        <v>11</v>
      </c>
      <c r="D63" s="10754"/>
      <c r="E63" s="10754">
        <v>0</v>
      </c>
      <c r="F63" s="7216">
        <v>0</v>
      </c>
    </row>
    <row r="64" spans="1:8" s="7163" customFormat="1" ht="12.9" customHeight="1">
      <c r="A64" s="7209" t="s">
        <v>4774</v>
      </c>
      <c r="B64" s="9613">
        <f>SUM(B46:B63)</f>
        <v>7</v>
      </c>
      <c r="C64" s="9613"/>
      <c r="D64" s="9619">
        <f>SUM(D46:D63)</f>
        <v>5713620</v>
      </c>
      <c r="E64" s="9619">
        <f>SUM(E46:E63)</f>
        <v>5189556</v>
      </c>
      <c r="F64" s="7221">
        <f>SUM(F46:F63)</f>
        <v>3067116</v>
      </c>
    </row>
    <row r="65" spans="1:8" ht="12.9" customHeight="1" thickBot="1">
      <c r="A65" s="9709"/>
      <c r="B65" s="9772"/>
      <c r="C65" s="9633"/>
      <c r="D65" s="10812"/>
      <c r="E65" s="10812"/>
      <c r="F65" s="10813"/>
    </row>
    <row r="66" spans="1:8" ht="12.9" customHeight="1" thickBot="1">
      <c r="A66" s="10422" t="s">
        <v>1074</v>
      </c>
      <c r="B66" s="10725">
        <f>SUM(B43+B64)</f>
        <v>95</v>
      </c>
      <c r="C66" s="10725"/>
      <c r="D66" s="10419">
        <f>SUM(D43+D64)</f>
        <v>30312636</v>
      </c>
      <c r="E66" s="10419">
        <f>SUM(E43+E64)</f>
        <v>33835824</v>
      </c>
      <c r="F66" s="10420">
        <f>SUM(F43+F64)</f>
        <v>37928940</v>
      </c>
      <c r="H66" s="7198">
        <f>F66-24479484</f>
        <v>13449456</v>
      </c>
    </row>
    <row r="67" spans="1:8" ht="12.9" customHeight="1">
      <c r="A67" s="7199"/>
      <c r="B67" s="7199"/>
      <c r="C67" s="7199"/>
      <c r="D67" s="7199"/>
      <c r="E67" s="7199"/>
      <c r="F67" s="7199"/>
    </row>
    <row r="68" spans="1:8" ht="12.9" customHeight="1">
      <c r="A68" s="7199"/>
      <c r="B68" s="7199"/>
      <c r="C68" s="7199"/>
      <c r="D68" s="7199"/>
      <c r="E68" s="7199"/>
      <c r="F68" s="7199"/>
    </row>
    <row r="69" spans="1:8" ht="12.9" customHeight="1">
      <c r="A69" s="7199"/>
      <c r="B69" s="7199"/>
      <c r="C69" s="7199"/>
      <c r="D69" s="7199"/>
      <c r="E69" s="7199"/>
      <c r="F69" s="7199"/>
    </row>
    <row r="70" spans="1:8" ht="12.9" customHeight="1" thickBot="1">
      <c r="A70" s="7199" t="s">
        <v>4775</v>
      </c>
      <c r="B70" s="7199"/>
      <c r="C70" s="7199"/>
      <c r="D70" s="7199"/>
      <c r="E70" s="7199"/>
      <c r="F70" s="7199"/>
    </row>
    <row r="71" spans="1:8" s="7195" customFormat="1" ht="12.9" customHeight="1" thickBot="1">
      <c r="A71" s="9697" t="s">
        <v>1163</v>
      </c>
      <c r="B71" s="10711" t="s">
        <v>1035</v>
      </c>
      <c r="C71" s="10711" t="s">
        <v>1036</v>
      </c>
      <c r="D71" s="14700" t="s">
        <v>1037</v>
      </c>
      <c r="E71" s="14700"/>
      <c r="F71" s="14701"/>
    </row>
    <row r="72" spans="1:8" s="7195" customFormat="1" ht="12.9" customHeight="1" thickBot="1">
      <c r="A72" s="9698" t="s">
        <v>1088</v>
      </c>
      <c r="B72" s="9772" t="s">
        <v>9</v>
      </c>
      <c r="C72" s="9772" t="s">
        <v>1039</v>
      </c>
      <c r="D72" s="10725" t="s">
        <v>10</v>
      </c>
      <c r="E72" s="9772" t="s">
        <v>11</v>
      </c>
      <c r="F72" s="9773" t="s">
        <v>11621</v>
      </c>
    </row>
    <row r="73" spans="1:8" ht="12.9" customHeight="1">
      <c r="A73" s="9715"/>
      <c r="B73" s="9624"/>
      <c r="C73" s="9624"/>
      <c r="D73" s="9624"/>
      <c r="E73" s="9624"/>
      <c r="F73" s="9716"/>
    </row>
    <row r="74" spans="1:8" ht="12.9" customHeight="1">
      <c r="A74" s="7209" t="s">
        <v>1075</v>
      </c>
      <c r="B74" s="10765"/>
      <c r="C74" s="10765"/>
      <c r="D74" s="10765"/>
      <c r="E74" s="10765"/>
      <c r="F74" s="7215"/>
    </row>
    <row r="75" spans="1:8" ht="12.9" customHeight="1">
      <c r="A75" s="7209" t="s">
        <v>1102</v>
      </c>
      <c r="B75" s="10765"/>
      <c r="C75" s="10765"/>
      <c r="D75" s="10765"/>
      <c r="E75" s="10765"/>
      <c r="F75" s="7215"/>
    </row>
    <row r="76" spans="1:8" ht="12.9" customHeight="1">
      <c r="A76" s="7207"/>
      <c r="B76" s="10765"/>
      <c r="C76" s="10765"/>
      <c r="D76" s="10765"/>
      <c r="E76" s="10765"/>
      <c r="F76" s="7215"/>
    </row>
    <row r="77" spans="1:8" ht="12.9" customHeight="1">
      <c r="A77" s="7207" t="s">
        <v>1103</v>
      </c>
      <c r="B77" s="10765"/>
      <c r="C77" s="10765"/>
      <c r="D77" s="10765"/>
      <c r="E77" s="10765"/>
      <c r="F77" s="7215"/>
    </row>
    <row r="78" spans="1:8" ht="12.9" customHeight="1">
      <c r="A78" s="7207" t="s">
        <v>1078</v>
      </c>
      <c r="B78" s="10753"/>
      <c r="C78" s="10765"/>
      <c r="D78" s="10765"/>
      <c r="E78" s="10765"/>
      <c r="F78" s="7215"/>
    </row>
    <row r="79" spans="1:8" ht="12.9" customHeight="1">
      <c r="A79" s="7207" t="s">
        <v>1079</v>
      </c>
      <c r="B79" s="10753">
        <v>1</v>
      </c>
      <c r="C79" s="10765"/>
      <c r="D79" s="10765"/>
      <c r="E79" s="10765"/>
      <c r="F79" s="7215"/>
    </row>
    <row r="80" spans="1:8" ht="12.9" customHeight="1">
      <c r="A80" s="7207"/>
      <c r="B80" s="10765"/>
      <c r="C80" s="10765"/>
      <c r="D80" s="10765"/>
      <c r="E80" s="10765"/>
      <c r="F80" s="7215"/>
    </row>
    <row r="81" spans="1:6" ht="12.9" customHeight="1">
      <c r="A81" s="7207" t="s">
        <v>168</v>
      </c>
      <c r="B81" s="10765"/>
      <c r="C81" s="10765"/>
      <c r="D81" s="10765"/>
      <c r="E81" s="10765"/>
      <c r="F81" s="7215"/>
    </row>
    <row r="82" spans="1:6" ht="12.9" customHeight="1">
      <c r="A82" s="7207" t="s">
        <v>1080</v>
      </c>
      <c r="B82" s="10765"/>
      <c r="C82" s="10765"/>
      <c r="D82" s="10765"/>
      <c r="E82" s="10765"/>
      <c r="F82" s="7215"/>
    </row>
    <row r="83" spans="1:6" ht="12.9" customHeight="1">
      <c r="A83" s="7207"/>
      <c r="B83" s="10765"/>
      <c r="C83" s="10765"/>
      <c r="D83" s="10765"/>
      <c r="E83" s="10765"/>
      <c r="F83" s="7215"/>
    </row>
    <row r="84" spans="1:6" ht="12.9" customHeight="1">
      <c r="A84" s="7207" t="s">
        <v>1104</v>
      </c>
      <c r="B84" s="10765" t="s">
        <v>9</v>
      </c>
      <c r="C84" s="10765"/>
      <c r="D84" s="10765"/>
      <c r="E84" s="10765"/>
      <c r="F84" s="7215"/>
    </row>
    <row r="85" spans="1:6" ht="12.9" customHeight="1">
      <c r="A85" s="7207" t="s">
        <v>1176</v>
      </c>
      <c r="B85" s="10753">
        <v>1</v>
      </c>
      <c r="C85" s="10753">
        <v>24</v>
      </c>
      <c r="D85" s="10754">
        <v>772992</v>
      </c>
      <c r="E85" s="10754">
        <v>879588</v>
      </c>
      <c r="F85" s="7216">
        <v>1000872</v>
      </c>
    </row>
    <row r="86" spans="1:6" ht="12.9" customHeight="1">
      <c r="A86" s="7207" t="s">
        <v>1177</v>
      </c>
      <c r="B86" s="10753">
        <v>18</v>
      </c>
      <c r="C86" s="10753">
        <v>10</v>
      </c>
      <c r="D86" s="10754">
        <v>3934872</v>
      </c>
      <c r="E86" s="10754">
        <v>4043088</v>
      </c>
      <c r="F86" s="7216">
        <v>4154328</v>
      </c>
    </row>
    <row r="87" spans="1:6" ht="12.9" customHeight="1">
      <c r="A87" s="7207" t="s">
        <v>1105</v>
      </c>
      <c r="B87" s="10753"/>
      <c r="C87" s="10753"/>
      <c r="D87" s="10765"/>
      <c r="E87" s="10765"/>
      <c r="F87" s="7215"/>
    </row>
    <row r="88" spans="1:6" ht="12.9" customHeight="1">
      <c r="A88" s="7207"/>
      <c r="B88" s="10753"/>
      <c r="C88" s="10753"/>
      <c r="D88" s="10765"/>
      <c r="E88" s="10765"/>
      <c r="F88" s="7215"/>
    </row>
    <row r="89" spans="1:6" ht="12.9" customHeight="1">
      <c r="A89" s="7207"/>
      <c r="B89" s="10753"/>
      <c r="C89" s="10753"/>
      <c r="D89" s="10765"/>
      <c r="E89" s="10765"/>
      <c r="F89" s="7215"/>
    </row>
    <row r="90" spans="1:6" ht="12.9" customHeight="1">
      <c r="A90" s="7209" t="s">
        <v>1083</v>
      </c>
      <c r="B90" s="9613">
        <f>SUM(B85:B86)</f>
        <v>19</v>
      </c>
      <c r="C90" s="9613" t="s">
        <v>9</v>
      </c>
      <c r="D90" s="9668">
        <f>SUM(D84:D86)</f>
        <v>4707864</v>
      </c>
      <c r="E90" s="9668">
        <f>SUM(E84:E86)</f>
        <v>4922676</v>
      </c>
      <c r="F90" s="9669">
        <f>SUM(F84:F86)</f>
        <v>5155200</v>
      </c>
    </row>
    <row r="91" spans="1:6" ht="12.9" customHeight="1">
      <c r="A91" s="7207"/>
      <c r="B91" s="10753"/>
      <c r="C91" s="10753"/>
      <c r="D91" s="10765"/>
      <c r="E91" s="10765"/>
      <c r="F91" s="7215"/>
    </row>
    <row r="92" spans="1:6" ht="12.9" customHeight="1">
      <c r="A92" s="7207"/>
      <c r="B92" s="10753"/>
      <c r="C92" s="10753" t="s">
        <v>9</v>
      </c>
      <c r="D92" s="10765"/>
      <c r="E92" s="10765"/>
      <c r="F92" s="7215"/>
    </row>
    <row r="93" spans="1:6" ht="12.9" customHeight="1">
      <c r="A93" s="7207" t="s">
        <v>1106</v>
      </c>
      <c r="B93" s="10753"/>
      <c r="C93" s="10753"/>
      <c r="D93" s="10765"/>
      <c r="E93" s="10765"/>
      <c r="F93" s="7215"/>
    </row>
    <row r="94" spans="1:6" ht="12.9" customHeight="1">
      <c r="A94" s="7209"/>
      <c r="B94" s="10753"/>
      <c r="C94" s="10753"/>
      <c r="D94" s="10754"/>
      <c r="E94" s="10754"/>
      <c r="F94" s="7216"/>
    </row>
    <row r="95" spans="1:6" ht="12.9" customHeight="1">
      <c r="A95" s="7207"/>
      <c r="B95" s="10753"/>
      <c r="C95" s="10753"/>
      <c r="D95" s="10765"/>
      <c r="E95" s="10765"/>
      <c r="F95" s="7215"/>
    </row>
    <row r="96" spans="1:6" ht="12.9" customHeight="1" thickBot="1">
      <c r="A96" s="7207"/>
      <c r="B96" s="9633" t="s">
        <v>9</v>
      </c>
      <c r="C96" s="9634"/>
      <c r="D96" s="9634"/>
      <c r="E96" s="9634"/>
      <c r="F96" s="9753"/>
    </row>
    <row r="97" spans="1:6" ht="12.9" customHeight="1" thickBot="1">
      <c r="A97" s="7209" t="s">
        <v>1086</v>
      </c>
      <c r="B97" s="10725">
        <f>B94+B90</f>
        <v>19</v>
      </c>
      <c r="C97" s="10414"/>
      <c r="D97" s="10419">
        <f>SUM(D90:D96)</f>
        <v>4707864</v>
      </c>
      <c r="E97" s="10419">
        <f>SUM(E90:E96)</f>
        <v>4922676</v>
      </c>
      <c r="F97" s="10420">
        <f>SUM(F90:F96)</f>
        <v>5155200</v>
      </c>
    </row>
    <row r="98" spans="1:6" ht="12.9" customHeight="1" thickBot="1">
      <c r="A98" s="7209"/>
      <c r="B98" s="10760"/>
      <c r="C98" s="10765"/>
      <c r="D98" s="10776"/>
      <c r="E98" s="10776"/>
      <c r="F98" s="9718"/>
    </row>
    <row r="99" spans="1:6" ht="12.9" customHeight="1">
      <c r="A99" s="9725"/>
      <c r="B99" s="10711"/>
      <c r="C99" s="9624"/>
      <c r="D99" s="10814"/>
      <c r="E99" s="10814"/>
      <c r="F99" s="10815"/>
    </row>
    <row r="100" spans="1:6" ht="12.9" customHeight="1">
      <c r="A100" s="7209" t="s">
        <v>1178</v>
      </c>
      <c r="B100" s="10760">
        <f>SUM(B66+B97)</f>
        <v>114</v>
      </c>
      <c r="C100" s="10765"/>
      <c r="D100" s="10776">
        <f>SUM(D66+D97)</f>
        <v>35020500</v>
      </c>
      <c r="E100" s="10776">
        <f>SUM(E66+E97)</f>
        <v>38758500</v>
      </c>
      <c r="F100" s="9718">
        <f>SUM(F66+F97)</f>
        <v>43084140</v>
      </c>
    </row>
    <row r="101" spans="1:6" ht="12.9" customHeight="1" thickBot="1">
      <c r="A101" s="9709"/>
      <c r="B101" s="9634"/>
      <c r="C101" s="9634"/>
      <c r="D101" s="9634"/>
      <c r="E101" s="9634"/>
      <c r="F101" s="9753"/>
    </row>
  </sheetData>
  <mergeCells count="3">
    <mergeCell ref="D5:F5"/>
    <mergeCell ref="D71:F71"/>
    <mergeCell ref="A1:F1"/>
  </mergeCells>
  <pageMargins left="0.25" right="0.25" top="0.5" bottom="0.5" header="0.3" footer="0.3"/>
  <pageSetup paperSize="119" firstPageNumber="104" orientation="portrait" useFirstPageNumber="1" r:id="rId1"/>
  <headerFooter alignWithMargins="0"/>
</worksheet>
</file>

<file path=xl/worksheets/sheet73.xml><?xml version="1.0" encoding="utf-8"?>
<worksheet xmlns="http://schemas.openxmlformats.org/spreadsheetml/2006/main" xmlns:r="http://schemas.openxmlformats.org/officeDocument/2006/relationships">
  <sheetPr codeName="Sheet47">
    <tabColor rgb="FFFFFF00"/>
  </sheetPr>
  <dimension ref="A1:J94"/>
  <sheetViews>
    <sheetView showGridLines="0" topLeftCell="A73" workbookViewId="0">
      <selection activeCell="A81" sqref="A81:XFD81"/>
    </sheetView>
  </sheetViews>
  <sheetFormatPr defaultRowHeight="13.2"/>
  <cols>
    <col min="1" max="1" width="8" style="1309" customWidth="1"/>
    <col min="2" max="2" width="2.88671875" style="3418" customWidth="1"/>
    <col min="3" max="3" width="22.44140625" style="387" customWidth="1"/>
    <col min="4" max="4" width="15.88671875" style="537" customWidth="1"/>
    <col min="5" max="5" width="17" style="387" customWidth="1"/>
    <col min="6" max="6" width="14.109375" style="387" customWidth="1"/>
    <col min="7" max="7" width="9.109375" style="387" customWidth="1"/>
    <col min="8" max="8" width="9" style="387" customWidth="1"/>
    <col min="9" max="9" width="11.109375" style="387" customWidth="1"/>
    <col min="10" max="10" width="14" style="387" bestFit="1" customWidth="1"/>
    <col min="11" max="256" width="9.109375" style="387"/>
    <col min="257" max="257" width="8" style="387" customWidth="1"/>
    <col min="258" max="258" width="2.88671875" style="387" customWidth="1"/>
    <col min="259" max="259" width="22.44140625" style="387" customWidth="1"/>
    <col min="260" max="261" width="15.88671875" style="387" customWidth="1"/>
    <col min="262" max="262" width="14.109375" style="387" customWidth="1"/>
    <col min="263" max="263" width="9.109375" style="387" customWidth="1"/>
    <col min="264" max="264" width="9" style="387" customWidth="1"/>
    <col min="265" max="265" width="11.109375" style="387" customWidth="1"/>
    <col min="266" max="266" width="14" style="387" bestFit="1" customWidth="1"/>
    <col min="267" max="512" width="9.109375" style="387"/>
    <col min="513" max="513" width="8" style="387" customWidth="1"/>
    <col min="514" max="514" width="2.88671875" style="387" customWidth="1"/>
    <col min="515" max="515" width="22.44140625" style="387" customWidth="1"/>
    <col min="516" max="517" width="15.88671875" style="387" customWidth="1"/>
    <col min="518" max="518" width="14.109375" style="387" customWidth="1"/>
    <col min="519" max="519" width="9.109375" style="387" customWidth="1"/>
    <col min="520" max="520" width="9" style="387" customWidth="1"/>
    <col min="521" max="521" width="11.109375" style="387" customWidth="1"/>
    <col min="522" max="522" width="14" style="387" bestFit="1" customWidth="1"/>
    <col min="523" max="768" width="9.109375" style="387"/>
    <col min="769" max="769" width="8" style="387" customWidth="1"/>
    <col min="770" max="770" width="2.88671875" style="387" customWidth="1"/>
    <col min="771" max="771" width="22.44140625" style="387" customWidth="1"/>
    <col min="772" max="773" width="15.88671875" style="387" customWidth="1"/>
    <col min="774" max="774" width="14.109375" style="387" customWidth="1"/>
    <col min="775" max="775" width="9.109375" style="387" customWidth="1"/>
    <col min="776" max="776" width="9" style="387" customWidth="1"/>
    <col min="777" max="777" width="11.109375" style="387" customWidth="1"/>
    <col min="778" max="778" width="14" style="387" bestFit="1" customWidth="1"/>
    <col min="779" max="1024" width="9.109375" style="387"/>
    <col min="1025" max="1025" width="8" style="387" customWidth="1"/>
    <col min="1026" max="1026" width="2.88671875" style="387" customWidth="1"/>
    <col min="1027" max="1027" width="22.44140625" style="387" customWidth="1"/>
    <col min="1028" max="1029" width="15.88671875" style="387" customWidth="1"/>
    <col min="1030" max="1030" width="14.109375" style="387" customWidth="1"/>
    <col min="1031" max="1031" width="9.109375" style="387" customWidth="1"/>
    <col min="1032" max="1032" width="9" style="387" customWidth="1"/>
    <col min="1033" max="1033" width="11.109375" style="387" customWidth="1"/>
    <col min="1034" max="1034" width="14" style="387" bestFit="1" customWidth="1"/>
    <col min="1035" max="1280" width="9.109375" style="387"/>
    <col min="1281" max="1281" width="8" style="387" customWidth="1"/>
    <col min="1282" max="1282" width="2.88671875" style="387" customWidth="1"/>
    <col min="1283" max="1283" width="22.44140625" style="387" customWidth="1"/>
    <col min="1284" max="1285" width="15.88671875" style="387" customWidth="1"/>
    <col min="1286" max="1286" width="14.109375" style="387" customWidth="1"/>
    <col min="1287" max="1287" width="9.109375" style="387" customWidth="1"/>
    <col min="1288" max="1288" width="9" style="387" customWidth="1"/>
    <col min="1289" max="1289" width="11.109375" style="387" customWidth="1"/>
    <col min="1290" max="1290" width="14" style="387" bestFit="1" customWidth="1"/>
    <col min="1291" max="1536" width="9.109375" style="387"/>
    <col min="1537" max="1537" width="8" style="387" customWidth="1"/>
    <col min="1538" max="1538" width="2.88671875" style="387" customWidth="1"/>
    <col min="1539" max="1539" width="22.44140625" style="387" customWidth="1"/>
    <col min="1540" max="1541" width="15.88671875" style="387" customWidth="1"/>
    <col min="1542" max="1542" width="14.109375" style="387" customWidth="1"/>
    <col min="1543" max="1543" width="9.109375" style="387" customWidth="1"/>
    <col min="1544" max="1544" width="9" style="387" customWidth="1"/>
    <col min="1545" max="1545" width="11.109375" style="387" customWidth="1"/>
    <col min="1546" max="1546" width="14" style="387" bestFit="1" customWidth="1"/>
    <col min="1547" max="1792" width="9.109375" style="387"/>
    <col min="1793" max="1793" width="8" style="387" customWidth="1"/>
    <col min="1794" max="1794" width="2.88671875" style="387" customWidth="1"/>
    <col min="1795" max="1795" width="22.44140625" style="387" customWidth="1"/>
    <col min="1796" max="1797" width="15.88671875" style="387" customWidth="1"/>
    <col min="1798" max="1798" width="14.109375" style="387" customWidth="1"/>
    <col min="1799" max="1799" width="9.109375" style="387" customWidth="1"/>
    <col min="1800" max="1800" width="9" style="387" customWidth="1"/>
    <col min="1801" max="1801" width="11.109375" style="387" customWidth="1"/>
    <col min="1802" max="1802" width="14" style="387" bestFit="1" customWidth="1"/>
    <col min="1803" max="2048" width="9.109375" style="387"/>
    <col min="2049" max="2049" width="8" style="387" customWidth="1"/>
    <col min="2050" max="2050" width="2.88671875" style="387" customWidth="1"/>
    <col min="2051" max="2051" width="22.44140625" style="387" customWidth="1"/>
    <col min="2052" max="2053" width="15.88671875" style="387" customWidth="1"/>
    <col min="2054" max="2054" width="14.109375" style="387" customWidth="1"/>
    <col min="2055" max="2055" width="9.109375" style="387" customWidth="1"/>
    <col min="2056" max="2056" width="9" style="387" customWidth="1"/>
    <col min="2057" max="2057" width="11.109375" style="387" customWidth="1"/>
    <col min="2058" max="2058" width="14" style="387" bestFit="1" customWidth="1"/>
    <col min="2059" max="2304" width="9.109375" style="387"/>
    <col min="2305" max="2305" width="8" style="387" customWidth="1"/>
    <col min="2306" max="2306" width="2.88671875" style="387" customWidth="1"/>
    <col min="2307" max="2307" width="22.44140625" style="387" customWidth="1"/>
    <col min="2308" max="2309" width="15.88671875" style="387" customWidth="1"/>
    <col min="2310" max="2310" width="14.109375" style="387" customWidth="1"/>
    <col min="2311" max="2311" width="9.109375" style="387" customWidth="1"/>
    <col min="2312" max="2312" width="9" style="387" customWidth="1"/>
    <col min="2313" max="2313" width="11.109375" style="387" customWidth="1"/>
    <col min="2314" max="2314" width="14" style="387" bestFit="1" customWidth="1"/>
    <col min="2315" max="2560" width="9.109375" style="387"/>
    <col min="2561" max="2561" width="8" style="387" customWidth="1"/>
    <col min="2562" max="2562" width="2.88671875" style="387" customWidth="1"/>
    <col min="2563" max="2563" width="22.44140625" style="387" customWidth="1"/>
    <col min="2564" max="2565" width="15.88671875" style="387" customWidth="1"/>
    <col min="2566" max="2566" width="14.109375" style="387" customWidth="1"/>
    <col min="2567" max="2567" width="9.109375" style="387" customWidth="1"/>
    <col min="2568" max="2568" width="9" style="387" customWidth="1"/>
    <col min="2569" max="2569" width="11.109375" style="387" customWidth="1"/>
    <col min="2570" max="2570" width="14" style="387" bestFit="1" customWidth="1"/>
    <col min="2571" max="2816" width="9.109375" style="387"/>
    <col min="2817" max="2817" width="8" style="387" customWidth="1"/>
    <col min="2818" max="2818" width="2.88671875" style="387" customWidth="1"/>
    <col min="2819" max="2819" width="22.44140625" style="387" customWidth="1"/>
    <col min="2820" max="2821" width="15.88671875" style="387" customWidth="1"/>
    <col min="2822" max="2822" width="14.109375" style="387" customWidth="1"/>
    <col min="2823" max="2823" width="9.109375" style="387" customWidth="1"/>
    <col min="2824" max="2824" width="9" style="387" customWidth="1"/>
    <col min="2825" max="2825" width="11.109375" style="387" customWidth="1"/>
    <col min="2826" max="2826" width="14" style="387" bestFit="1" customWidth="1"/>
    <col min="2827" max="3072" width="9.109375" style="387"/>
    <col min="3073" max="3073" width="8" style="387" customWidth="1"/>
    <col min="3074" max="3074" width="2.88671875" style="387" customWidth="1"/>
    <col min="3075" max="3075" width="22.44140625" style="387" customWidth="1"/>
    <col min="3076" max="3077" width="15.88671875" style="387" customWidth="1"/>
    <col min="3078" max="3078" width="14.109375" style="387" customWidth="1"/>
    <col min="3079" max="3079" width="9.109375" style="387" customWidth="1"/>
    <col min="3080" max="3080" width="9" style="387" customWidth="1"/>
    <col min="3081" max="3081" width="11.109375" style="387" customWidth="1"/>
    <col min="3082" max="3082" width="14" style="387" bestFit="1" customWidth="1"/>
    <col min="3083" max="3328" width="9.109375" style="387"/>
    <col min="3329" max="3329" width="8" style="387" customWidth="1"/>
    <col min="3330" max="3330" width="2.88671875" style="387" customWidth="1"/>
    <col min="3331" max="3331" width="22.44140625" style="387" customWidth="1"/>
    <col min="3332" max="3333" width="15.88671875" style="387" customWidth="1"/>
    <col min="3334" max="3334" width="14.109375" style="387" customWidth="1"/>
    <col min="3335" max="3335" width="9.109375" style="387" customWidth="1"/>
    <col min="3336" max="3336" width="9" style="387" customWidth="1"/>
    <col min="3337" max="3337" width="11.109375" style="387" customWidth="1"/>
    <col min="3338" max="3338" width="14" style="387" bestFit="1" customWidth="1"/>
    <col min="3339" max="3584" width="9.109375" style="387"/>
    <col min="3585" max="3585" width="8" style="387" customWidth="1"/>
    <col min="3586" max="3586" width="2.88671875" style="387" customWidth="1"/>
    <col min="3587" max="3587" width="22.44140625" style="387" customWidth="1"/>
    <col min="3588" max="3589" width="15.88671875" style="387" customWidth="1"/>
    <col min="3590" max="3590" width="14.109375" style="387" customWidth="1"/>
    <col min="3591" max="3591" width="9.109375" style="387" customWidth="1"/>
    <col min="3592" max="3592" width="9" style="387" customWidth="1"/>
    <col min="3593" max="3593" width="11.109375" style="387" customWidth="1"/>
    <col min="3594" max="3594" width="14" style="387" bestFit="1" customWidth="1"/>
    <col min="3595" max="3840" width="9.109375" style="387"/>
    <col min="3841" max="3841" width="8" style="387" customWidth="1"/>
    <col min="3842" max="3842" width="2.88671875" style="387" customWidth="1"/>
    <col min="3843" max="3843" width="22.44140625" style="387" customWidth="1"/>
    <col min="3844" max="3845" width="15.88671875" style="387" customWidth="1"/>
    <col min="3846" max="3846" width="14.109375" style="387" customWidth="1"/>
    <col min="3847" max="3847" width="9.109375" style="387" customWidth="1"/>
    <col min="3848" max="3848" width="9" style="387" customWidth="1"/>
    <col min="3849" max="3849" width="11.109375" style="387" customWidth="1"/>
    <col min="3850" max="3850" width="14" style="387" bestFit="1" customWidth="1"/>
    <col min="3851" max="4096" width="9.109375" style="387"/>
    <col min="4097" max="4097" width="8" style="387" customWidth="1"/>
    <col min="4098" max="4098" width="2.88671875" style="387" customWidth="1"/>
    <col min="4099" max="4099" width="22.44140625" style="387" customWidth="1"/>
    <col min="4100" max="4101" width="15.88671875" style="387" customWidth="1"/>
    <col min="4102" max="4102" width="14.109375" style="387" customWidth="1"/>
    <col min="4103" max="4103" width="9.109375" style="387" customWidth="1"/>
    <col min="4104" max="4104" width="9" style="387" customWidth="1"/>
    <col min="4105" max="4105" width="11.109375" style="387" customWidth="1"/>
    <col min="4106" max="4106" width="14" style="387" bestFit="1" customWidth="1"/>
    <col min="4107" max="4352" width="9.109375" style="387"/>
    <col min="4353" max="4353" width="8" style="387" customWidth="1"/>
    <col min="4354" max="4354" width="2.88671875" style="387" customWidth="1"/>
    <col min="4355" max="4355" width="22.44140625" style="387" customWidth="1"/>
    <col min="4356" max="4357" width="15.88671875" style="387" customWidth="1"/>
    <col min="4358" max="4358" width="14.109375" style="387" customWidth="1"/>
    <col min="4359" max="4359" width="9.109375" style="387" customWidth="1"/>
    <col min="4360" max="4360" width="9" style="387" customWidth="1"/>
    <col min="4361" max="4361" width="11.109375" style="387" customWidth="1"/>
    <col min="4362" max="4362" width="14" style="387" bestFit="1" customWidth="1"/>
    <col min="4363" max="4608" width="9.109375" style="387"/>
    <col min="4609" max="4609" width="8" style="387" customWidth="1"/>
    <col min="4610" max="4610" width="2.88671875" style="387" customWidth="1"/>
    <col min="4611" max="4611" width="22.44140625" style="387" customWidth="1"/>
    <col min="4612" max="4613" width="15.88671875" style="387" customWidth="1"/>
    <col min="4614" max="4614" width="14.109375" style="387" customWidth="1"/>
    <col min="4615" max="4615" width="9.109375" style="387" customWidth="1"/>
    <col min="4616" max="4616" width="9" style="387" customWidth="1"/>
    <col min="4617" max="4617" width="11.109375" style="387" customWidth="1"/>
    <col min="4618" max="4618" width="14" style="387" bestFit="1" customWidth="1"/>
    <col min="4619" max="4864" width="9.109375" style="387"/>
    <col min="4865" max="4865" width="8" style="387" customWidth="1"/>
    <col min="4866" max="4866" width="2.88671875" style="387" customWidth="1"/>
    <col min="4867" max="4867" width="22.44140625" style="387" customWidth="1"/>
    <col min="4868" max="4869" width="15.88671875" style="387" customWidth="1"/>
    <col min="4870" max="4870" width="14.109375" style="387" customWidth="1"/>
    <col min="4871" max="4871" width="9.109375" style="387" customWidth="1"/>
    <col min="4872" max="4872" width="9" style="387" customWidth="1"/>
    <col min="4873" max="4873" width="11.109375" style="387" customWidth="1"/>
    <col min="4874" max="4874" width="14" style="387" bestFit="1" customWidth="1"/>
    <col min="4875" max="5120" width="9.109375" style="387"/>
    <col min="5121" max="5121" width="8" style="387" customWidth="1"/>
    <col min="5122" max="5122" width="2.88671875" style="387" customWidth="1"/>
    <col min="5123" max="5123" width="22.44140625" style="387" customWidth="1"/>
    <col min="5124" max="5125" width="15.88671875" style="387" customWidth="1"/>
    <col min="5126" max="5126" width="14.109375" style="387" customWidth="1"/>
    <col min="5127" max="5127" width="9.109375" style="387" customWidth="1"/>
    <col min="5128" max="5128" width="9" style="387" customWidth="1"/>
    <col min="5129" max="5129" width="11.109375" style="387" customWidth="1"/>
    <col min="5130" max="5130" width="14" style="387" bestFit="1" customWidth="1"/>
    <col min="5131" max="5376" width="9.109375" style="387"/>
    <col min="5377" max="5377" width="8" style="387" customWidth="1"/>
    <col min="5378" max="5378" width="2.88671875" style="387" customWidth="1"/>
    <col min="5379" max="5379" width="22.44140625" style="387" customWidth="1"/>
    <col min="5380" max="5381" width="15.88671875" style="387" customWidth="1"/>
    <col min="5382" max="5382" width="14.109375" style="387" customWidth="1"/>
    <col min="5383" max="5383" width="9.109375" style="387" customWidth="1"/>
    <col min="5384" max="5384" width="9" style="387" customWidth="1"/>
    <col min="5385" max="5385" width="11.109375" style="387" customWidth="1"/>
    <col min="5386" max="5386" width="14" style="387" bestFit="1" customWidth="1"/>
    <col min="5387" max="5632" width="9.109375" style="387"/>
    <col min="5633" max="5633" width="8" style="387" customWidth="1"/>
    <col min="5634" max="5634" width="2.88671875" style="387" customWidth="1"/>
    <col min="5635" max="5635" width="22.44140625" style="387" customWidth="1"/>
    <col min="5636" max="5637" width="15.88671875" style="387" customWidth="1"/>
    <col min="5638" max="5638" width="14.109375" style="387" customWidth="1"/>
    <col min="5639" max="5639" width="9.109375" style="387" customWidth="1"/>
    <col min="5640" max="5640" width="9" style="387" customWidth="1"/>
    <col min="5641" max="5641" width="11.109375" style="387" customWidth="1"/>
    <col min="5642" max="5642" width="14" style="387" bestFit="1" customWidth="1"/>
    <col min="5643" max="5888" width="9.109375" style="387"/>
    <col min="5889" max="5889" width="8" style="387" customWidth="1"/>
    <col min="5890" max="5890" width="2.88671875" style="387" customWidth="1"/>
    <col min="5891" max="5891" width="22.44140625" style="387" customWidth="1"/>
    <col min="5892" max="5893" width="15.88671875" style="387" customWidth="1"/>
    <col min="5894" max="5894" width="14.109375" style="387" customWidth="1"/>
    <col min="5895" max="5895" width="9.109375" style="387" customWidth="1"/>
    <col min="5896" max="5896" width="9" style="387" customWidth="1"/>
    <col min="5897" max="5897" width="11.109375" style="387" customWidth="1"/>
    <col min="5898" max="5898" width="14" style="387" bestFit="1" customWidth="1"/>
    <col min="5899" max="6144" width="9.109375" style="387"/>
    <col min="6145" max="6145" width="8" style="387" customWidth="1"/>
    <col min="6146" max="6146" width="2.88671875" style="387" customWidth="1"/>
    <col min="6147" max="6147" width="22.44140625" style="387" customWidth="1"/>
    <col min="6148" max="6149" width="15.88671875" style="387" customWidth="1"/>
    <col min="6150" max="6150" width="14.109375" style="387" customWidth="1"/>
    <col min="6151" max="6151" width="9.109375" style="387" customWidth="1"/>
    <col min="6152" max="6152" width="9" style="387" customWidth="1"/>
    <col min="6153" max="6153" width="11.109375" style="387" customWidth="1"/>
    <col min="6154" max="6154" width="14" style="387" bestFit="1" customWidth="1"/>
    <col min="6155" max="6400" width="9.109375" style="387"/>
    <col min="6401" max="6401" width="8" style="387" customWidth="1"/>
    <col min="6402" max="6402" width="2.88671875" style="387" customWidth="1"/>
    <col min="6403" max="6403" width="22.44140625" style="387" customWidth="1"/>
    <col min="6404" max="6405" width="15.88671875" style="387" customWidth="1"/>
    <col min="6406" max="6406" width="14.109375" style="387" customWidth="1"/>
    <col min="6407" max="6407" width="9.109375" style="387" customWidth="1"/>
    <col min="6408" max="6408" width="9" style="387" customWidth="1"/>
    <col min="6409" max="6409" width="11.109375" style="387" customWidth="1"/>
    <col min="6410" max="6410" width="14" style="387" bestFit="1" customWidth="1"/>
    <col min="6411" max="6656" width="9.109375" style="387"/>
    <col min="6657" max="6657" width="8" style="387" customWidth="1"/>
    <col min="6658" max="6658" width="2.88671875" style="387" customWidth="1"/>
    <col min="6659" max="6659" width="22.44140625" style="387" customWidth="1"/>
    <col min="6660" max="6661" width="15.88671875" style="387" customWidth="1"/>
    <col min="6662" max="6662" width="14.109375" style="387" customWidth="1"/>
    <col min="6663" max="6663" width="9.109375" style="387" customWidth="1"/>
    <col min="6664" max="6664" width="9" style="387" customWidth="1"/>
    <col min="6665" max="6665" width="11.109375" style="387" customWidth="1"/>
    <col min="6666" max="6666" width="14" style="387" bestFit="1" customWidth="1"/>
    <col min="6667" max="6912" width="9.109375" style="387"/>
    <col min="6913" max="6913" width="8" style="387" customWidth="1"/>
    <col min="6914" max="6914" width="2.88671875" style="387" customWidth="1"/>
    <col min="6915" max="6915" width="22.44140625" style="387" customWidth="1"/>
    <col min="6916" max="6917" width="15.88671875" style="387" customWidth="1"/>
    <col min="6918" max="6918" width="14.109375" style="387" customWidth="1"/>
    <col min="6919" max="6919" width="9.109375" style="387" customWidth="1"/>
    <col min="6920" max="6920" width="9" style="387" customWidth="1"/>
    <col min="6921" max="6921" width="11.109375" style="387" customWidth="1"/>
    <col min="6922" max="6922" width="14" style="387" bestFit="1" customWidth="1"/>
    <col min="6923" max="7168" width="9.109375" style="387"/>
    <col min="7169" max="7169" width="8" style="387" customWidth="1"/>
    <col min="7170" max="7170" width="2.88671875" style="387" customWidth="1"/>
    <col min="7171" max="7171" width="22.44140625" style="387" customWidth="1"/>
    <col min="7172" max="7173" width="15.88671875" style="387" customWidth="1"/>
    <col min="7174" max="7174" width="14.109375" style="387" customWidth="1"/>
    <col min="7175" max="7175" width="9.109375" style="387" customWidth="1"/>
    <col min="7176" max="7176" width="9" style="387" customWidth="1"/>
    <col min="7177" max="7177" width="11.109375" style="387" customWidth="1"/>
    <col min="7178" max="7178" width="14" style="387" bestFit="1" customWidth="1"/>
    <col min="7179" max="7424" width="9.109375" style="387"/>
    <col min="7425" max="7425" width="8" style="387" customWidth="1"/>
    <col min="7426" max="7426" width="2.88671875" style="387" customWidth="1"/>
    <col min="7427" max="7427" width="22.44140625" style="387" customWidth="1"/>
    <col min="7428" max="7429" width="15.88671875" style="387" customWidth="1"/>
    <col min="7430" max="7430" width="14.109375" style="387" customWidth="1"/>
    <col min="7431" max="7431" width="9.109375" style="387" customWidth="1"/>
    <col min="7432" max="7432" width="9" style="387" customWidth="1"/>
    <col min="7433" max="7433" width="11.109375" style="387" customWidth="1"/>
    <col min="7434" max="7434" width="14" style="387" bestFit="1" customWidth="1"/>
    <col min="7435" max="7680" width="9.109375" style="387"/>
    <col min="7681" max="7681" width="8" style="387" customWidth="1"/>
    <col min="7682" max="7682" width="2.88671875" style="387" customWidth="1"/>
    <col min="7683" max="7683" width="22.44140625" style="387" customWidth="1"/>
    <col min="7684" max="7685" width="15.88671875" style="387" customWidth="1"/>
    <col min="7686" max="7686" width="14.109375" style="387" customWidth="1"/>
    <col min="7687" max="7687" width="9.109375" style="387" customWidth="1"/>
    <col min="7688" max="7688" width="9" style="387" customWidth="1"/>
    <col min="7689" max="7689" width="11.109375" style="387" customWidth="1"/>
    <col min="7690" max="7690" width="14" style="387" bestFit="1" customWidth="1"/>
    <col min="7691" max="7936" width="9.109375" style="387"/>
    <col min="7937" max="7937" width="8" style="387" customWidth="1"/>
    <col min="7938" max="7938" width="2.88671875" style="387" customWidth="1"/>
    <col min="7939" max="7939" width="22.44140625" style="387" customWidth="1"/>
    <col min="7940" max="7941" width="15.88671875" style="387" customWidth="1"/>
    <col min="7942" max="7942" width="14.109375" style="387" customWidth="1"/>
    <col min="7943" max="7943" width="9.109375" style="387" customWidth="1"/>
    <col min="7944" max="7944" width="9" style="387" customWidth="1"/>
    <col min="7945" max="7945" width="11.109375" style="387" customWidth="1"/>
    <col min="7946" max="7946" width="14" style="387" bestFit="1" customWidth="1"/>
    <col min="7947" max="8192" width="9.109375" style="387"/>
    <col min="8193" max="8193" width="8" style="387" customWidth="1"/>
    <col min="8194" max="8194" width="2.88671875" style="387" customWidth="1"/>
    <col min="8195" max="8195" width="22.44140625" style="387" customWidth="1"/>
    <col min="8196" max="8197" width="15.88671875" style="387" customWidth="1"/>
    <col min="8198" max="8198" width="14.109375" style="387" customWidth="1"/>
    <col min="8199" max="8199" width="9.109375" style="387" customWidth="1"/>
    <col min="8200" max="8200" width="9" style="387" customWidth="1"/>
    <col min="8201" max="8201" width="11.109375" style="387" customWidth="1"/>
    <col min="8202" max="8202" width="14" style="387" bestFit="1" customWidth="1"/>
    <col min="8203" max="8448" width="9.109375" style="387"/>
    <col min="8449" max="8449" width="8" style="387" customWidth="1"/>
    <col min="8450" max="8450" width="2.88671875" style="387" customWidth="1"/>
    <col min="8451" max="8451" width="22.44140625" style="387" customWidth="1"/>
    <col min="8452" max="8453" width="15.88671875" style="387" customWidth="1"/>
    <col min="8454" max="8454" width="14.109375" style="387" customWidth="1"/>
    <col min="8455" max="8455" width="9.109375" style="387" customWidth="1"/>
    <col min="8456" max="8456" width="9" style="387" customWidth="1"/>
    <col min="8457" max="8457" width="11.109375" style="387" customWidth="1"/>
    <col min="8458" max="8458" width="14" style="387" bestFit="1" customWidth="1"/>
    <col min="8459" max="8704" width="9.109375" style="387"/>
    <col min="8705" max="8705" width="8" style="387" customWidth="1"/>
    <col min="8706" max="8706" width="2.88671875" style="387" customWidth="1"/>
    <col min="8707" max="8707" width="22.44140625" style="387" customWidth="1"/>
    <col min="8708" max="8709" width="15.88671875" style="387" customWidth="1"/>
    <col min="8710" max="8710" width="14.109375" style="387" customWidth="1"/>
    <col min="8711" max="8711" width="9.109375" style="387" customWidth="1"/>
    <col min="8712" max="8712" width="9" style="387" customWidth="1"/>
    <col min="8713" max="8713" width="11.109375" style="387" customWidth="1"/>
    <col min="8714" max="8714" width="14" style="387" bestFit="1" customWidth="1"/>
    <col min="8715" max="8960" width="9.109375" style="387"/>
    <col min="8961" max="8961" width="8" style="387" customWidth="1"/>
    <col min="8962" max="8962" width="2.88671875" style="387" customWidth="1"/>
    <col min="8963" max="8963" width="22.44140625" style="387" customWidth="1"/>
    <col min="8964" max="8965" width="15.88671875" style="387" customWidth="1"/>
    <col min="8966" max="8966" width="14.109375" style="387" customWidth="1"/>
    <col min="8967" max="8967" width="9.109375" style="387" customWidth="1"/>
    <col min="8968" max="8968" width="9" style="387" customWidth="1"/>
    <col min="8969" max="8969" width="11.109375" style="387" customWidth="1"/>
    <col min="8970" max="8970" width="14" style="387" bestFit="1" customWidth="1"/>
    <col min="8971" max="9216" width="9.109375" style="387"/>
    <col min="9217" max="9217" width="8" style="387" customWidth="1"/>
    <col min="9218" max="9218" width="2.88671875" style="387" customWidth="1"/>
    <col min="9219" max="9219" width="22.44140625" style="387" customWidth="1"/>
    <col min="9220" max="9221" width="15.88671875" style="387" customWidth="1"/>
    <col min="9222" max="9222" width="14.109375" style="387" customWidth="1"/>
    <col min="9223" max="9223" width="9.109375" style="387" customWidth="1"/>
    <col min="9224" max="9224" width="9" style="387" customWidth="1"/>
    <col min="9225" max="9225" width="11.109375" style="387" customWidth="1"/>
    <col min="9226" max="9226" width="14" style="387" bestFit="1" customWidth="1"/>
    <col min="9227" max="9472" width="9.109375" style="387"/>
    <col min="9473" max="9473" width="8" style="387" customWidth="1"/>
    <col min="9474" max="9474" width="2.88671875" style="387" customWidth="1"/>
    <col min="9475" max="9475" width="22.44140625" style="387" customWidth="1"/>
    <col min="9476" max="9477" width="15.88671875" style="387" customWidth="1"/>
    <col min="9478" max="9478" width="14.109375" style="387" customWidth="1"/>
    <col min="9479" max="9479" width="9.109375" style="387" customWidth="1"/>
    <col min="9480" max="9480" width="9" style="387" customWidth="1"/>
    <col min="9481" max="9481" width="11.109375" style="387" customWidth="1"/>
    <col min="9482" max="9482" width="14" style="387" bestFit="1" customWidth="1"/>
    <col min="9483" max="9728" width="9.109375" style="387"/>
    <col min="9729" max="9729" width="8" style="387" customWidth="1"/>
    <col min="9730" max="9730" width="2.88671875" style="387" customWidth="1"/>
    <col min="9731" max="9731" width="22.44140625" style="387" customWidth="1"/>
    <col min="9732" max="9733" width="15.88671875" style="387" customWidth="1"/>
    <col min="9734" max="9734" width="14.109375" style="387" customWidth="1"/>
    <col min="9735" max="9735" width="9.109375" style="387" customWidth="1"/>
    <col min="9736" max="9736" width="9" style="387" customWidth="1"/>
    <col min="9737" max="9737" width="11.109375" style="387" customWidth="1"/>
    <col min="9738" max="9738" width="14" style="387" bestFit="1" customWidth="1"/>
    <col min="9739" max="9984" width="9.109375" style="387"/>
    <col min="9985" max="9985" width="8" style="387" customWidth="1"/>
    <col min="9986" max="9986" width="2.88671875" style="387" customWidth="1"/>
    <col min="9987" max="9987" width="22.44140625" style="387" customWidth="1"/>
    <col min="9988" max="9989" width="15.88671875" style="387" customWidth="1"/>
    <col min="9990" max="9990" width="14.109375" style="387" customWidth="1"/>
    <col min="9991" max="9991" width="9.109375" style="387" customWidth="1"/>
    <col min="9992" max="9992" width="9" style="387" customWidth="1"/>
    <col min="9993" max="9993" width="11.109375" style="387" customWidth="1"/>
    <col min="9994" max="9994" width="14" style="387" bestFit="1" customWidth="1"/>
    <col min="9995" max="10240" width="9.109375" style="387"/>
    <col min="10241" max="10241" width="8" style="387" customWidth="1"/>
    <col min="10242" max="10242" width="2.88671875" style="387" customWidth="1"/>
    <col min="10243" max="10243" width="22.44140625" style="387" customWidth="1"/>
    <col min="10244" max="10245" width="15.88671875" style="387" customWidth="1"/>
    <col min="10246" max="10246" width="14.109375" style="387" customWidth="1"/>
    <col min="10247" max="10247" width="9.109375" style="387" customWidth="1"/>
    <col min="10248" max="10248" width="9" style="387" customWidth="1"/>
    <col min="10249" max="10249" width="11.109375" style="387" customWidth="1"/>
    <col min="10250" max="10250" width="14" style="387" bestFit="1" customWidth="1"/>
    <col min="10251" max="10496" width="9.109375" style="387"/>
    <col min="10497" max="10497" width="8" style="387" customWidth="1"/>
    <col min="10498" max="10498" width="2.88671875" style="387" customWidth="1"/>
    <col min="10499" max="10499" width="22.44140625" style="387" customWidth="1"/>
    <col min="10500" max="10501" width="15.88671875" style="387" customWidth="1"/>
    <col min="10502" max="10502" width="14.109375" style="387" customWidth="1"/>
    <col min="10503" max="10503" width="9.109375" style="387" customWidth="1"/>
    <col min="10504" max="10504" width="9" style="387" customWidth="1"/>
    <col min="10505" max="10505" width="11.109375" style="387" customWidth="1"/>
    <col min="10506" max="10506" width="14" style="387" bestFit="1" customWidth="1"/>
    <col min="10507" max="10752" width="9.109375" style="387"/>
    <col min="10753" max="10753" width="8" style="387" customWidth="1"/>
    <col min="10754" max="10754" width="2.88671875" style="387" customWidth="1"/>
    <col min="10755" max="10755" width="22.44140625" style="387" customWidth="1"/>
    <col min="10756" max="10757" width="15.88671875" style="387" customWidth="1"/>
    <col min="10758" max="10758" width="14.109375" style="387" customWidth="1"/>
    <col min="10759" max="10759" width="9.109375" style="387" customWidth="1"/>
    <col min="10760" max="10760" width="9" style="387" customWidth="1"/>
    <col min="10761" max="10761" width="11.109375" style="387" customWidth="1"/>
    <col min="10762" max="10762" width="14" style="387" bestFit="1" customWidth="1"/>
    <col min="10763" max="11008" width="9.109375" style="387"/>
    <col min="11009" max="11009" width="8" style="387" customWidth="1"/>
    <col min="11010" max="11010" width="2.88671875" style="387" customWidth="1"/>
    <col min="11011" max="11011" width="22.44140625" style="387" customWidth="1"/>
    <col min="11012" max="11013" width="15.88671875" style="387" customWidth="1"/>
    <col min="11014" max="11014" width="14.109375" style="387" customWidth="1"/>
    <col min="11015" max="11015" width="9.109375" style="387" customWidth="1"/>
    <col min="11016" max="11016" width="9" style="387" customWidth="1"/>
    <col min="11017" max="11017" width="11.109375" style="387" customWidth="1"/>
    <col min="11018" max="11018" width="14" style="387" bestFit="1" customWidth="1"/>
    <col min="11019" max="11264" width="9.109375" style="387"/>
    <col min="11265" max="11265" width="8" style="387" customWidth="1"/>
    <col min="11266" max="11266" width="2.88671875" style="387" customWidth="1"/>
    <col min="11267" max="11267" width="22.44140625" style="387" customWidth="1"/>
    <col min="11268" max="11269" width="15.88671875" style="387" customWidth="1"/>
    <col min="11270" max="11270" width="14.109375" style="387" customWidth="1"/>
    <col min="11271" max="11271" width="9.109375" style="387" customWidth="1"/>
    <col min="11272" max="11272" width="9" style="387" customWidth="1"/>
    <col min="11273" max="11273" width="11.109375" style="387" customWidth="1"/>
    <col min="11274" max="11274" width="14" style="387" bestFit="1" customWidth="1"/>
    <col min="11275" max="11520" width="9.109375" style="387"/>
    <col min="11521" max="11521" width="8" style="387" customWidth="1"/>
    <col min="11522" max="11522" width="2.88671875" style="387" customWidth="1"/>
    <col min="11523" max="11523" width="22.44140625" style="387" customWidth="1"/>
    <col min="11524" max="11525" width="15.88671875" style="387" customWidth="1"/>
    <col min="11526" max="11526" width="14.109375" style="387" customWidth="1"/>
    <col min="11527" max="11527" width="9.109375" style="387" customWidth="1"/>
    <col min="11528" max="11528" width="9" style="387" customWidth="1"/>
    <col min="11529" max="11529" width="11.109375" style="387" customWidth="1"/>
    <col min="11530" max="11530" width="14" style="387" bestFit="1" customWidth="1"/>
    <col min="11531" max="11776" width="9.109375" style="387"/>
    <col min="11777" max="11777" width="8" style="387" customWidth="1"/>
    <col min="11778" max="11778" width="2.88671875" style="387" customWidth="1"/>
    <col min="11779" max="11779" width="22.44140625" style="387" customWidth="1"/>
    <col min="11780" max="11781" width="15.88671875" style="387" customWidth="1"/>
    <col min="11782" max="11782" width="14.109375" style="387" customWidth="1"/>
    <col min="11783" max="11783" width="9.109375" style="387" customWidth="1"/>
    <col min="11784" max="11784" width="9" style="387" customWidth="1"/>
    <col min="11785" max="11785" width="11.109375" style="387" customWidth="1"/>
    <col min="11786" max="11786" width="14" style="387" bestFit="1" customWidth="1"/>
    <col min="11787" max="12032" width="9.109375" style="387"/>
    <col min="12033" max="12033" width="8" style="387" customWidth="1"/>
    <col min="12034" max="12034" width="2.88671875" style="387" customWidth="1"/>
    <col min="12035" max="12035" width="22.44140625" style="387" customWidth="1"/>
    <col min="12036" max="12037" width="15.88671875" style="387" customWidth="1"/>
    <col min="12038" max="12038" width="14.109375" style="387" customWidth="1"/>
    <col min="12039" max="12039" width="9.109375" style="387" customWidth="1"/>
    <col min="12040" max="12040" width="9" style="387" customWidth="1"/>
    <col min="12041" max="12041" width="11.109375" style="387" customWidth="1"/>
    <col min="12042" max="12042" width="14" style="387" bestFit="1" customWidth="1"/>
    <col min="12043" max="12288" width="9.109375" style="387"/>
    <col min="12289" max="12289" width="8" style="387" customWidth="1"/>
    <col min="12290" max="12290" width="2.88671875" style="387" customWidth="1"/>
    <col min="12291" max="12291" width="22.44140625" style="387" customWidth="1"/>
    <col min="12292" max="12293" width="15.88671875" style="387" customWidth="1"/>
    <col min="12294" max="12294" width="14.109375" style="387" customWidth="1"/>
    <col min="12295" max="12295" width="9.109375" style="387" customWidth="1"/>
    <col min="12296" max="12296" width="9" style="387" customWidth="1"/>
    <col min="12297" max="12297" width="11.109375" style="387" customWidth="1"/>
    <col min="12298" max="12298" width="14" style="387" bestFit="1" customWidth="1"/>
    <col min="12299" max="12544" width="9.109375" style="387"/>
    <col min="12545" max="12545" width="8" style="387" customWidth="1"/>
    <col min="12546" max="12546" width="2.88671875" style="387" customWidth="1"/>
    <col min="12547" max="12547" width="22.44140625" style="387" customWidth="1"/>
    <col min="12548" max="12549" width="15.88671875" style="387" customWidth="1"/>
    <col min="12550" max="12550" width="14.109375" style="387" customWidth="1"/>
    <col min="12551" max="12551" width="9.109375" style="387" customWidth="1"/>
    <col min="12552" max="12552" width="9" style="387" customWidth="1"/>
    <col min="12553" max="12553" width="11.109375" style="387" customWidth="1"/>
    <col min="12554" max="12554" width="14" style="387" bestFit="1" customWidth="1"/>
    <col min="12555" max="12800" width="9.109375" style="387"/>
    <col min="12801" max="12801" width="8" style="387" customWidth="1"/>
    <col min="12802" max="12802" width="2.88671875" style="387" customWidth="1"/>
    <col min="12803" max="12803" width="22.44140625" style="387" customWidth="1"/>
    <col min="12804" max="12805" width="15.88671875" style="387" customWidth="1"/>
    <col min="12806" max="12806" width="14.109375" style="387" customWidth="1"/>
    <col min="12807" max="12807" width="9.109375" style="387" customWidth="1"/>
    <col min="12808" max="12808" width="9" style="387" customWidth="1"/>
    <col min="12809" max="12809" width="11.109375" style="387" customWidth="1"/>
    <col min="12810" max="12810" width="14" style="387" bestFit="1" customWidth="1"/>
    <col min="12811" max="13056" width="9.109375" style="387"/>
    <col min="13057" max="13057" width="8" style="387" customWidth="1"/>
    <col min="13058" max="13058" width="2.88671875" style="387" customWidth="1"/>
    <col min="13059" max="13059" width="22.44140625" style="387" customWidth="1"/>
    <col min="13060" max="13061" width="15.88671875" style="387" customWidth="1"/>
    <col min="13062" max="13062" width="14.109375" style="387" customWidth="1"/>
    <col min="13063" max="13063" width="9.109375" style="387" customWidth="1"/>
    <col min="13064" max="13064" width="9" style="387" customWidth="1"/>
    <col min="13065" max="13065" width="11.109375" style="387" customWidth="1"/>
    <col min="13066" max="13066" width="14" style="387" bestFit="1" customWidth="1"/>
    <col min="13067" max="13312" width="9.109375" style="387"/>
    <col min="13313" max="13313" width="8" style="387" customWidth="1"/>
    <col min="13314" max="13314" width="2.88671875" style="387" customWidth="1"/>
    <col min="13315" max="13315" width="22.44140625" style="387" customWidth="1"/>
    <col min="13316" max="13317" width="15.88671875" style="387" customWidth="1"/>
    <col min="13318" max="13318" width="14.109375" style="387" customWidth="1"/>
    <col min="13319" max="13319" width="9.109375" style="387" customWidth="1"/>
    <col min="13320" max="13320" width="9" style="387" customWidth="1"/>
    <col min="13321" max="13321" width="11.109375" style="387" customWidth="1"/>
    <col min="13322" max="13322" width="14" style="387" bestFit="1" customWidth="1"/>
    <col min="13323" max="13568" width="9.109375" style="387"/>
    <col min="13569" max="13569" width="8" style="387" customWidth="1"/>
    <col min="13570" max="13570" width="2.88671875" style="387" customWidth="1"/>
    <col min="13571" max="13571" width="22.44140625" style="387" customWidth="1"/>
    <col min="13572" max="13573" width="15.88671875" style="387" customWidth="1"/>
    <col min="13574" max="13574" width="14.109375" style="387" customWidth="1"/>
    <col min="13575" max="13575" width="9.109375" style="387" customWidth="1"/>
    <col min="13576" max="13576" width="9" style="387" customWidth="1"/>
    <col min="13577" max="13577" width="11.109375" style="387" customWidth="1"/>
    <col min="13578" max="13578" width="14" style="387" bestFit="1" customWidth="1"/>
    <col min="13579" max="13824" width="9.109375" style="387"/>
    <col min="13825" max="13825" width="8" style="387" customWidth="1"/>
    <col min="13826" max="13826" width="2.88671875" style="387" customWidth="1"/>
    <col min="13827" max="13827" width="22.44140625" style="387" customWidth="1"/>
    <col min="13828" max="13829" width="15.88671875" style="387" customWidth="1"/>
    <col min="13830" max="13830" width="14.109375" style="387" customWidth="1"/>
    <col min="13831" max="13831" width="9.109375" style="387" customWidth="1"/>
    <col min="13832" max="13832" width="9" style="387" customWidth="1"/>
    <col min="13833" max="13833" width="11.109375" style="387" customWidth="1"/>
    <col min="13834" max="13834" width="14" style="387" bestFit="1" customWidth="1"/>
    <col min="13835" max="14080" width="9.109375" style="387"/>
    <col min="14081" max="14081" width="8" style="387" customWidth="1"/>
    <col min="14082" max="14082" width="2.88671875" style="387" customWidth="1"/>
    <col min="14083" max="14083" width="22.44140625" style="387" customWidth="1"/>
    <col min="14084" max="14085" width="15.88671875" style="387" customWidth="1"/>
    <col min="14086" max="14086" width="14.109375" style="387" customWidth="1"/>
    <col min="14087" max="14087" width="9.109375" style="387" customWidth="1"/>
    <col min="14088" max="14088" width="9" style="387" customWidth="1"/>
    <col min="14089" max="14089" width="11.109375" style="387" customWidth="1"/>
    <col min="14090" max="14090" width="14" style="387" bestFit="1" customWidth="1"/>
    <col min="14091" max="14336" width="9.109375" style="387"/>
    <col min="14337" max="14337" width="8" style="387" customWidth="1"/>
    <col min="14338" max="14338" width="2.88671875" style="387" customWidth="1"/>
    <col min="14339" max="14339" width="22.44140625" style="387" customWidth="1"/>
    <col min="14340" max="14341" width="15.88671875" style="387" customWidth="1"/>
    <col min="14342" max="14342" width="14.109375" style="387" customWidth="1"/>
    <col min="14343" max="14343" width="9.109375" style="387" customWidth="1"/>
    <col min="14344" max="14344" width="9" style="387" customWidth="1"/>
    <col min="14345" max="14345" width="11.109375" style="387" customWidth="1"/>
    <col min="14346" max="14346" width="14" style="387" bestFit="1" customWidth="1"/>
    <col min="14347" max="14592" width="9.109375" style="387"/>
    <col min="14593" max="14593" width="8" style="387" customWidth="1"/>
    <col min="14594" max="14594" width="2.88671875" style="387" customWidth="1"/>
    <col min="14595" max="14595" width="22.44140625" style="387" customWidth="1"/>
    <col min="14596" max="14597" width="15.88671875" style="387" customWidth="1"/>
    <col min="14598" max="14598" width="14.109375" style="387" customWidth="1"/>
    <col min="14599" max="14599" width="9.109375" style="387" customWidth="1"/>
    <col min="14600" max="14600" width="9" style="387" customWidth="1"/>
    <col min="14601" max="14601" width="11.109375" style="387" customWidth="1"/>
    <col min="14602" max="14602" width="14" style="387" bestFit="1" customWidth="1"/>
    <col min="14603" max="14848" width="9.109375" style="387"/>
    <col min="14849" max="14849" width="8" style="387" customWidth="1"/>
    <col min="14850" max="14850" width="2.88671875" style="387" customWidth="1"/>
    <col min="14851" max="14851" width="22.44140625" style="387" customWidth="1"/>
    <col min="14852" max="14853" width="15.88671875" style="387" customWidth="1"/>
    <col min="14854" max="14854" width="14.109375" style="387" customWidth="1"/>
    <col min="14855" max="14855" width="9.109375" style="387" customWidth="1"/>
    <col min="14856" max="14856" width="9" style="387" customWidth="1"/>
    <col min="14857" max="14857" width="11.109375" style="387" customWidth="1"/>
    <col min="14858" max="14858" width="14" style="387" bestFit="1" customWidth="1"/>
    <col min="14859" max="15104" width="9.109375" style="387"/>
    <col min="15105" max="15105" width="8" style="387" customWidth="1"/>
    <col min="15106" max="15106" width="2.88671875" style="387" customWidth="1"/>
    <col min="15107" max="15107" width="22.44140625" style="387" customWidth="1"/>
    <col min="15108" max="15109" width="15.88671875" style="387" customWidth="1"/>
    <col min="15110" max="15110" width="14.109375" style="387" customWidth="1"/>
    <col min="15111" max="15111" width="9.109375" style="387" customWidth="1"/>
    <col min="15112" max="15112" width="9" style="387" customWidth="1"/>
    <col min="15113" max="15113" width="11.109375" style="387" customWidth="1"/>
    <col min="15114" max="15114" width="14" style="387" bestFit="1" customWidth="1"/>
    <col min="15115" max="15360" width="9.109375" style="387"/>
    <col min="15361" max="15361" width="8" style="387" customWidth="1"/>
    <col min="15362" max="15362" width="2.88671875" style="387" customWidth="1"/>
    <col min="15363" max="15363" width="22.44140625" style="387" customWidth="1"/>
    <col min="15364" max="15365" width="15.88671875" style="387" customWidth="1"/>
    <col min="15366" max="15366" width="14.109375" style="387" customWidth="1"/>
    <col min="15367" max="15367" width="9.109375" style="387" customWidth="1"/>
    <col min="15368" max="15368" width="9" style="387" customWidth="1"/>
    <col min="15369" max="15369" width="11.109375" style="387" customWidth="1"/>
    <col min="15370" max="15370" width="14" style="387" bestFit="1" customWidth="1"/>
    <col min="15371" max="15616" width="9.109375" style="387"/>
    <col min="15617" max="15617" width="8" style="387" customWidth="1"/>
    <col min="15618" max="15618" width="2.88671875" style="387" customWidth="1"/>
    <col min="15619" max="15619" width="22.44140625" style="387" customWidth="1"/>
    <col min="15620" max="15621" width="15.88671875" style="387" customWidth="1"/>
    <col min="15622" max="15622" width="14.109375" style="387" customWidth="1"/>
    <col min="15623" max="15623" width="9.109375" style="387" customWidth="1"/>
    <col min="15624" max="15624" width="9" style="387" customWidth="1"/>
    <col min="15625" max="15625" width="11.109375" style="387" customWidth="1"/>
    <col min="15626" max="15626" width="14" style="387" bestFit="1" customWidth="1"/>
    <col min="15627" max="15872" width="9.109375" style="387"/>
    <col min="15873" max="15873" width="8" style="387" customWidth="1"/>
    <col min="15874" max="15874" width="2.88671875" style="387" customWidth="1"/>
    <col min="15875" max="15875" width="22.44140625" style="387" customWidth="1"/>
    <col min="15876" max="15877" width="15.88671875" style="387" customWidth="1"/>
    <col min="15878" max="15878" width="14.109375" style="387" customWidth="1"/>
    <col min="15879" max="15879" width="9.109375" style="387" customWidth="1"/>
    <col min="15880" max="15880" width="9" style="387" customWidth="1"/>
    <col min="15881" max="15881" width="11.109375" style="387" customWidth="1"/>
    <col min="15882" max="15882" width="14" style="387" bestFit="1" customWidth="1"/>
    <col min="15883" max="16128" width="9.109375" style="387"/>
    <col min="16129" max="16129" width="8" style="387" customWidth="1"/>
    <col min="16130" max="16130" width="2.88671875" style="387" customWidth="1"/>
    <col min="16131" max="16131" width="22.44140625" style="387" customWidth="1"/>
    <col min="16132" max="16133" width="15.88671875" style="387" customWidth="1"/>
    <col min="16134" max="16134" width="14.109375" style="387" customWidth="1"/>
    <col min="16135" max="16135" width="9.109375" style="387" customWidth="1"/>
    <col min="16136" max="16136" width="9" style="387" customWidth="1"/>
    <col min="16137" max="16137" width="11.109375" style="387" customWidth="1"/>
    <col min="16138" max="16138" width="14" style="387" bestFit="1" customWidth="1"/>
    <col min="16139" max="16384" width="9.109375" style="387"/>
  </cols>
  <sheetData>
    <row r="1" spans="1:10" s="426" customFormat="1" ht="15.6">
      <c r="A1" s="14705" t="s">
        <v>2138</v>
      </c>
      <c r="B1" s="14705"/>
      <c r="C1" s="14705"/>
      <c r="D1" s="14705"/>
      <c r="E1" s="14705"/>
      <c r="F1" s="14705"/>
      <c r="G1" s="14705"/>
      <c r="H1" s="14705"/>
      <c r="I1" s="412"/>
      <c r="J1" s="412"/>
    </row>
    <row r="2" spans="1:10" s="426" customFormat="1" ht="15.6">
      <c r="A2" s="1312"/>
      <c r="B2" s="3424"/>
      <c r="D2" s="547"/>
    </row>
    <row r="3" spans="1:10" s="426" customFormat="1" ht="15.6">
      <c r="A3" s="1312" t="s">
        <v>2139</v>
      </c>
      <c r="B3" s="3424"/>
      <c r="D3" s="548" t="s">
        <v>138</v>
      </c>
    </row>
    <row r="4" spans="1:10" s="426" customFormat="1" ht="15.6">
      <c r="A4" s="1312" t="s">
        <v>2140</v>
      </c>
      <c r="B4" s="3424"/>
      <c r="D4" s="548" t="s">
        <v>139</v>
      </c>
    </row>
    <row r="5" spans="1:10" s="426" customFormat="1" ht="15.6">
      <c r="A5" s="1312" t="s">
        <v>2141</v>
      </c>
      <c r="B5" s="3424"/>
      <c r="D5" s="547" t="s">
        <v>2038</v>
      </c>
    </row>
    <row r="6" spans="1:10" s="426" customFormat="1" ht="9.75" customHeight="1">
      <c r="A6" s="1312"/>
      <c r="B6" s="3424"/>
      <c r="D6" s="547"/>
      <c r="I6" s="549"/>
    </row>
    <row r="7" spans="1:10" s="426" customFormat="1" ht="15.6">
      <c r="A7" s="1311" t="s">
        <v>2181</v>
      </c>
      <c r="B7" s="551"/>
      <c r="C7" s="550"/>
      <c r="D7" s="552"/>
      <c r="E7" s="549"/>
      <c r="F7" s="549"/>
      <c r="G7" s="549"/>
      <c r="H7" s="549"/>
      <c r="I7" s="549"/>
      <c r="J7" s="549"/>
    </row>
    <row r="8" spans="1:10" ht="6" customHeight="1">
      <c r="A8" s="3423"/>
      <c r="B8" s="3426"/>
      <c r="C8" s="510"/>
      <c r="D8" s="538"/>
      <c r="E8" s="510"/>
      <c r="F8" s="510"/>
      <c r="G8" s="510"/>
      <c r="H8" s="510"/>
      <c r="I8" s="510"/>
      <c r="J8" s="510"/>
    </row>
    <row r="9" spans="1:10" ht="34.5" customHeight="1">
      <c r="A9" s="3423">
        <v>1</v>
      </c>
      <c r="B9" s="510"/>
      <c r="C9" s="14552" t="s">
        <v>6000</v>
      </c>
      <c r="D9" s="14552"/>
      <c r="E9" s="14552"/>
      <c r="F9" s="14552"/>
      <c r="G9" s="14552"/>
      <c r="H9" s="14552"/>
      <c r="I9" s="510"/>
      <c r="J9" s="510"/>
    </row>
    <row r="10" spans="1:10" ht="30.75" customHeight="1">
      <c r="A10" s="3423">
        <v>2</v>
      </c>
      <c r="B10" s="3426"/>
      <c r="C10" s="14552" t="s">
        <v>5999</v>
      </c>
      <c r="D10" s="14552"/>
      <c r="E10" s="14552"/>
      <c r="F10" s="14552"/>
      <c r="G10" s="14552"/>
      <c r="H10" s="14552"/>
      <c r="I10" s="510"/>
      <c r="J10" s="510"/>
    </row>
    <row r="11" spans="1:10">
      <c r="A11" s="3423"/>
      <c r="B11" s="3426"/>
      <c r="C11" s="511"/>
      <c r="D11" s="538"/>
      <c r="E11" s="510"/>
      <c r="F11" s="510"/>
      <c r="G11" s="510"/>
      <c r="H11" s="510"/>
      <c r="I11" s="510"/>
      <c r="J11" s="510"/>
    </row>
    <row r="12" spans="1:10" s="426" customFormat="1" ht="15.6">
      <c r="A12" s="1311" t="s">
        <v>2142</v>
      </c>
      <c r="B12" s="551"/>
      <c r="C12" s="550"/>
      <c r="D12" s="553"/>
      <c r="E12" s="549"/>
      <c r="F12" s="549"/>
      <c r="G12" s="549"/>
      <c r="H12" s="549"/>
      <c r="I12" s="549"/>
      <c r="J12" s="549"/>
    </row>
    <row r="13" spans="1:10">
      <c r="A13" s="3423" t="s">
        <v>2143</v>
      </c>
      <c r="B13" s="3426"/>
      <c r="C13" s="510"/>
      <c r="D13" s="538"/>
      <c r="E13" s="510"/>
      <c r="F13" s="510"/>
      <c r="G13" s="510"/>
      <c r="H13" s="510"/>
      <c r="I13" s="510"/>
      <c r="J13" s="510"/>
    </row>
    <row r="14" spans="1:10" ht="33" customHeight="1">
      <c r="A14" s="3423">
        <v>1</v>
      </c>
      <c r="B14" s="14552" t="s">
        <v>5993</v>
      </c>
      <c r="C14" s="14552"/>
      <c r="D14" s="14552"/>
      <c r="E14" s="14552"/>
      <c r="F14" s="14552"/>
      <c r="G14" s="14552"/>
      <c r="H14" s="14552"/>
      <c r="I14" s="510"/>
      <c r="J14" s="510"/>
    </row>
    <row r="15" spans="1:10" ht="36" customHeight="1">
      <c r="A15" s="3423">
        <v>2</v>
      </c>
      <c r="B15" s="14552" t="s">
        <v>5994</v>
      </c>
      <c r="C15" s="14552"/>
      <c r="D15" s="14552"/>
      <c r="E15" s="14552"/>
      <c r="F15" s="14552"/>
      <c r="G15" s="14552"/>
      <c r="H15" s="14552"/>
      <c r="I15" s="510"/>
      <c r="J15" s="510"/>
    </row>
    <row r="16" spans="1:10" ht="49.5" customHeight="1">
      <c r="A16" s="3423">
        <v>3</v>
      </c>
      <c r="B16" s="14552" t="s">
        <v>5995</v>
      </c>
      <c r="C16" s="14552"/>
      <c r="D16" s="14552"/>
      <c r="E16" s="14552"/>
      <c r="F16" s="14552"/>
      <c r="G16" s="14552"/>
      <c r="H16" s="14552"/>
      <c r="I16" s="510"/>
      <c r="J16" s="510"/>
    </row>
    <row r="17" spans="1:10" ht="18.75" customHeight="1">
      <c r="A17" s="3423">
        <v>4</v>
      </c>
      <c r="B17" s="1140" t="s">
        <v>5996</v>
      </c>
      <c r="D17" s="538"/>
      <c r="E17" s="510"/>
      <c r="F17" s="510"/>
      <c r="G17" s="510"/>
      <c r="H17" s="510"/>
      <c r="I17" s="510"/>
      <c r="J17" s="510"/>
    </row>
    <row r="18" spans="1:10" ht="21.75" customHeight="1">
      <c r="A18" s="3423">
        <v>5</v>
      </c>
      <c r="B18" s="1140" t="s">
        <v>2144</v>
      </c>
      <c r="D18" s="538"/>
      <c r="E18" s="510"/>
      <c r="F18" s="510"/>
      <c r="G18" s="510"/>
      <c r="H18" s="510"/>
      <c r="I18" s="510"/>
      <c r="J18" s="510"/>
    </row>
    <row r="19" spans="1:10" ht="35.25" customHeight="1">
      <c r="A19" s="3423">
        <v>6</v>
      </c>
      <c r="B19" s="14552" t="s">
        <v>5997</v>
      </c>
      <c r="C19" s="14552"/>
      <c r="D19" s="14552"/>
      <c r="E19" s="14552"/>
      <c r="F19" s="14552"/>
      <c r="G19" s="14552"/>
      <c r="H19" s="14552"/>
      <c r="I19" s="510"/>
      <c r="J19" s="510"/>
    </row>
    <row r="20" spans="1:10" ht="36.75" customHeight="1">
      <c r="A20" s="3423">
        <v>7</v>
      </c>
      <c r="B20" s="14552" t="s">
        <v>5998</v>
      </c>
      <c r="C20" s="14552"/>
      <c r="D20" s="14552"/>
      <c r="E20" s="14552"/>
      <c r="F20" s="14552"/>
      <c r="G20" s="14552"/>
      <c r="H20" s="14552"/>
      <c r="I20" s="510"/>
      <c r="J20" s="510"/>
    </row>
    <row r="21" spans="1:10" ht="21" customHeight="1">
      <c r="A21" s="3423">
        <v>8</v>
      </c>
      <c r="B21" s="1140" t="s">
        <v>2145</v>
      </c>
      <c r="D21" s="538"/>
      <c r="E21" s="510"/>
      <c r="F21" s="510"/>
      <c r="G21" s="510"/>
      <c r="H21" s="510"/>
      <c r="I21" s="510"/>
      <c r="J21" s="510"/>
    </row>
    <row r="22" spans="1:10">
      <c r="A22" s="3423"/>
      <c r="B22" s="510"/>
      <c r="D22" s="538"/>
      <c r="E22" s="510"/>
      <c r="F22" s="510"/>
      <c r="G22" s="510"/>
      <c r="H22" s="510"/>
      <c r="I22" s="510"/>
      <c r="J22" s="510"/>
    </row>
    <row r="23" spans="1:10">
      <c r="A23" s="3423"/>
      <c r="B23" s="3426"/>
      <c r="C23" s="510"/>
      <c r="D23" s="538"/>
      <c r="E23" s="510"/>
      <c r="F23" s="510"/>
      <c r="G23" s="510"/>
      <c r="H23" s="510"/>
      <c r="I23" s="510"/>
      <c r="J23" s="510"/>
    </row>
    <row r="24" spans="1:10" s="426" customFormat="1" ht="15.6">
      <c r="A24" s="1311" t="s">
        <v>1839</v>
      </c>
      <c r="B24" s="551"/>
      <c r="C24" s="550"/>
      <c r="D24" s="552"/>
      <c r="E24" s="549"/>
      <c r="F24" s="549"/>
      <c r="G24" s="549"/>
      <c r="H24" s="549"/>
      <c r="I24" s="549"/>
      <c r="J24" s="549"/>
    </row>
    <row r="25" spans="1:10">
      <c r="A25" s="3423"/>
      <c r="B25" s="3426"/>
      <c r="C25" s="510"/>
      <c r="D25" s="538"/>
      <c r="E25" s="510"/>
      <c r="F25" s="510"/>
      <c r="G25" s="510"/>
      <c r="H25" s="510"/>
      <c r="I25" s="510"/>
      <c r="J25" s="510"/>
    </row>
    <row r="26" spans="1:10" s="516" customFormat="1" ht="24" customHeight="1">
      <c r="A26" s="14703" t="s">
        <v>4776</v>
      </c>
      <c r="B26" s="512"/>
      <c r="C26" s="3425" t="s">
        <v>2146</v>
      </c>
      <c r="D26" s="513" t="s">
        <v>2147</v>
      </c>
      <c r="E26" s="514" t="s">
        <v>1787</v>
      </c>
      <c r="F26" s="514" t="s">
        <v>1764</v>
      </c>
      <c r="G26" s="14706" t="s">
        <v>1739</v>
      </c>
      <c r="H26" s="14707"/>
      <c r="I26" s="515"/>
    </row>
    <row r="27" spans="1:10" s="516" customFormat="1" ht="17.25" customHeight="1">
      <c r="A27" s="14704"/>
      <c r="B27" s="517"/>
      <c r="C27" s="518" t="s">
        <v>2148</v>
      </c>
      <c r="D27" s="519"/>
      <c r="E27" s="520"/>
      <c r="F27" s="520"/>
      <c r="G27" s="520" t="s">
        <v>2149</v>
      </c>
      <c r="H27" s="521" t="s">
        <v>1790</v>
      </c>
      <c r="I27" s="522"/>
    </row>
    <row r="28" spans="1:10">
      <c r="A28" s="629"/>
      <c r="B28" s="523" t="s">
        <v>2150</v>
      </c>
      <c r="C28" s="524" t="s">
        <v>2151</v>
      </c>
      <c r="D28" s="539">
        <v>5081030</v>
      </c>
      <c r="E28" s="525"/>
      <c r="F28" s="525"/>
      <c r="G28" s="525"/>
      <c r="H28" s="525"/>
    </row>
    <row r="29" spans="1:10" ht="4.5" customHeight="1">
      <c r="A29" s="629"/>
      <c r="B29" s="523"/>
      <c r="C29" s="524"/>
      <c r="D29" s="540"/>
      <c r="E29" s="526"/>
      <c r="F29" s="526"/>
      <c r="G29" s="526"/>
      <c r="H29" s="526"/>
      <c r="J29" s="3643"/>
    </row>
    <row r="30" spans="1:10">
      <c r="A30" s="14713" t="s">
        <v>3644</v>
      </c>
      <c r="B30" s="14708" t="s">
        <v>2152</v>
      </c>
      <c r="C30" s="14709"/>
      <c r="D30" s="540">
        <v>168500</v>
      </c>
      <c r="E30" s="526"/>
      <c r="F30" s="526"/>
      <c r="G30" s="526"/>
      <c r="H30" s="526"/>
      <c r="J30" s="3643"/>
    </row>
    <row r="31" spans="1:10">
      <c r="A31" s="14713"/>
      <c r="B31" s="527" t="s">
        <v>2153</v>
      </c>
      <c r="C31" s="528"/>
      <c r="D31" s="540"/>
      <c r="E31" s="526"/>
      <c r="F31" s="526"/>
      <c r="G31" s="526"/>
      <c r="H31" s="526"/>
      <c r="J31" s="3643"/>
    </row>
    <row r="32" spans="1:10" s="397" customFormat="1" ht="43.5" customHeight="1">
      <c r="A32" s="1308"/>
      <c r="B32" s="529" t="s">
        <v>1133</v>
      </c>
      <c r="C32" s="3433" t="s">
        <v>2154</v>
      </c>
      <c r="D32" s="541"/>
      <c r="E32" s="530" t="s">
        <v>2155</v>
      </c>
      <c r="F32" s="530" t="s">
        <v>6006</v>
      </c>
      <c r="G32" s="530" t="s">
        <v>6008</v>
      </c>
      <c r="H32" s="542" t="s">
        <v>5113</v>
      </c>
      <c r="I32" s="543"/>
      <c r="J32" s="3644"/>
    </row>
    <row r="33" spans="1:10" s="397" customFormat="1" ht="42.75" customHeight="1">
      <c r="A33" s="1308"/>
      <c r="B33" s="529" t="s">
        <v>1133</v>
      </c>
      <c r="C33" s="3433" t="s">
        <v>3636</v>
      </c>
      <c r="D33" s="541"/>
      <c r="E33" s="530" t="s">
        <v>2156</v>
      </c>
      <c r="F33" s="530" t="s">
        <v>6007</v>
      </c>
      <c r="G33" s="530" t="s">
        <v>6008</v>
      </c>
      <c r="H33" s="542" t="s">
        <v>5113</v>
      </c>
      <c r="J33" s="3644"/>
    </row>
    <row r="34" spans="1:10" s="397" customFormat="1" ht="33" customHeight="1">
      <c r="A34" s="1308"/>
      <c r="B34" s="529" t="s">
        <v>1133</v>
      </c>
      <c r="C34" s="3433" t="s">
        <v>2157</v>
      </c>
      <c r="D34" s="541"/>
      <c r="E34" s="530" t="s">
        <v>2158</v>
      </c>
      <c r="F34" s="530"/>
      <c r="G34" s="530" t="s">
        <v>6008</v>
      </c>
      <c r="H34" s="542" t="s">
        <v>5113</v>
      </c>
      <c r="J34" s="3644"/>
    </row>
    <row r="35" spans="1:10" s="397" customFormat="1" ht="48.75" customHeight="1">
      <c r="A35" s="1308">
        <v>755</v>
      </c>
      <c r="B35" s="529" t="s">
        <v>1133</v>
      </c>
      <c r="C35" s="3433" t="s">
        <v>2159</v>
      </c>
      <c r="D35" s="541">
        <v>90000</v>
      </c>
      <c r="E35" s="3411" t="s">
        <v>6001</v>
      </c>
      <c r="F35" s="530" t="s">
        <v>2160</v>
      </c>
      <c r="G35" s="530" t="s">
        <v>6008</v>
      </c>
      <c r="H35" s="542" t="s">
        <v>5113</v>
      </c>
      <c r="J35" s="3644"/>
    </row>
    <row r="36" spans="1:10" s="397" customFormat="1" ht="19.5" customHeight="1">
      <c r="A36" s="1308">
        <v>767</v>
      </c>
      <c r="B36" s="529" t="s">
        <v>1133</v>
      </c>
      <c r="C36" s="3433" t="s">
        <v>2161</v>
      </c>
      <c r="D36" s="541">
        <v>297700</v>
      </c>
      <c r="E36" s="530" t="s">
        <v>6002</v>
      </c>
      <c r="F36" s="530" t="s">
        <v>6009</v>
      </c>
      <c r="G36" s="530" t="s">
        <v>6008</v>
      </c>
      <c r="H36" s="542" t="s">
        <v>5113</v>
      </c>
      <c r="J36" s="544"/>
    </row>
    <row r="37" spans="1:10" ht="27.75" customHeight="1">
      <c r="A37" s="629">
        <v>772</v>
      </c>
      <c r="B37" s="523" t="s">
        <v>1133</v>
      </c>
      <c r="C37" s="3433" t="s">
        <v>3645</v>
      </c>
      <c r="D37" s="540">
        <v>77200</v>
      </c>
      <c r="E37" s="530" t="s">
        <v>2162</v>
      </c>
      <c r="F37" s="530" t="s">
        <v>6009</v>
      </c>
      <c r="G37" s="530" t="s">
        <v>6008</v>
      </c>
      <c r="H37" s="542" t="s">
        <v>5113</v>
      </c>
      <c r="J37" s="409"/>
    </row>
    <row r="38" spans="1:10" ht="5.25" customHeight="1">
      <c r="A38" s="629"/>
      <c r="B38" s="523"/>
      <c r="C38" s="531"/>
      <c r="D38" s="540"/>
      <c r="E38" s="526"/>
      <c r="F38" s="526"/>
      <c r="G38" s="530"/>
      <c r="H38" s="542"/>
      <c r="J38" s="409"/>
    </row>
    <row r="39" spans="1:10" s="510" customFormat="1" ht="18" customHeight="1">
      <c r="A39" s="1313"/>
      <c r="B39" s="1314"/>
      <c r="C39" s="1315"/>
      <c r="D39" s="1316"/>
      <c r="E39" s="1315"/>
      <c r="F39" s="1315"/>
      <c r="G39" s="1317"/>
      <c r="H39" s="1318"/>
      <c r="J39" s="1803"/>
    </row>
    <row r="40" spans="1:10" s="510" customFormat="1" ht="18" customHeight="1">
      <c r="A40" s="3423"/>
      <c r="B40" s="3426"/>
      <c r="D40" s="538"/>
      <c r="G40" s="533"/>
      <c r="H40" s="1800"/>
      <c r="J40" s="1803"/>
    </row>
    <row r="41" spans="1:10" s="510" customFormat="1" ht="18" customHeight="1">
      <c r="A41" s="3423"/>
      <c r="B41" s="3426"/>
      <c r="D41" s="538"/>
      <c r="G41" s="533"/>
      <c r="H41" s="1800"/>
      <c r="J41" s="1803"/>
    </row>
    <row r="42" spans="1:10" s="516" customFormat="1" ht="24" customHeight="1">
      <c r="A42" s="14703" t="s">
        <v>4776</v>
      </c>
      <c r="B42" s="512"/>
      <c r="C42" s="3425" t="s">
        <v>2146</v>
      </c>
      <c r="D42" s="513" t="s">
        <v>2147</v>
      </c>
      <c r="E42" s="514" t="s">
        <v>1787</v>
      </c>
      <c r="F42" s="514" t="s">
        <v>1764</v>
      </c>
      <c r="G42" s="14706" t="s">
        <v>1739</v>
      </c>
      <c r="H42" s="14707"/>
      <c r="I42" s="515"/>
    </row>
    <row r="43" spans="1:10" s="516" customFormat="1" ht="17.25" customHeight="1">
      <c r="A43" s="14704"/>
      <c r="B43" s="517"/>
      <c r="C43" s="518" t="s">
        <v>2148</v>
      </c>
      <c r="D43" s="519"/>
      <c r="E43" s="520"/>
      <c r="F43" s="520"/>
      <c r="G43" s="520" t="s">
        <v>2149</v>
      </c>
      <c r="H43" s="521" t="s">
        <v>1790</v>
      </c>
      <c r="I43" s="522"/>
    </row>
    <row r="44" spans="1:10" ht="18" customHeight="1">
      <c r="A44" s="629">
        <v>773</v>
      </c>
      <c r="B44" s="523" t="s">
        <v>1133</v>
      </c>
      <c r="C44" s="531" t="s">
        <v>2163</v>
      </c>
      <c r="D44" s="540">
        <v>12000</v>
      </c>
      <c r="E44" s="526" t="s">
        <v>2162</v>
      </c>
      <c r="F44" s="530" t="s">
        <v>6009</v>
      </c>
      <c r="G44" s="530" t="s">
        <v>6008</v>
      </c>
      <c r="H44" s="542" t="s">
        <v>5113</v>
      </c>
      <c r="J44" s="409"/>
    </row>
    <row r="45" spans="1:10" s="397" customFormat="1" ht="46.5" customHeight="1">
      <c r="A45" s="3427"/>
      <c r="B45" s="1038" t="s">
        <v>1133</v>
      </c>
      <c r="C45" s="1039" t="s">
        <v>2164</v>
      </c>
      <c r="D45" s="1040"/>
      <c r="E45" s="1035" t="s">
        <v>2165</v>
      </c>
      <c r="F45" s="1035" t="s">
        <v>2166</v>
      </c>
      <c r="G45" s="530" t="s">
        <v>6008</v>
      </c>
      <c r="H45" s="542" t="s">
        <v>5113</v>
      </c>
    </row>
    <row r="46" spans="1:10" s="510" customFormat="1" ht="45" customHeight="1">
      <c r="A46" s="1034">
        <v>795</v>
      </c>
      <c r="B46" s="1041" t="s">
        <v>1133</v>
      </c>
      <c r="C46" s="1039" t="s">
        <v>2167</v>
      </c>
      <c r="D46" s="1042">
        <v>569200</v>
      </c>
      <c r="E46" s="2148" t="s">
        <v>2168</v>
      </c>
      <c r="F46" s="2149" t="s">
        <v>6006</v>
      </c>
      <c r="G46" s="530" t="s">
        <v>6008</v>
      </c>
      <c r="H46" s="542" t="s">
        <v>5113</v>
      </c>
    </row>
    <row r="47" spans="1:10" ht="62.25" customHeight="1">
      <c r="A47" s="629">
        <v>823</v>
      </c>
      <c r="B47" s="523" t="s">
        <v>1133</v>
      </c>
      <c r="C47" s="3433" t="s">
        <v>3637</v>
      </c>
      <c r="D47" s="540">
        <v>125200</v>
      </c>
      <c r="E47" s="3411" t="s">
        <v>6003</v>
      </c>
      <c r="F47" s="3645" t="s">
        <v>6010</v>
      </c>
      <c r="G47" s="530" t="s">
        <v>6008</v>
      </c>
      <c r="H47" s="542" t="s">
        <v>5113</v>
      </c>
    </row>
    <row r="48" spans="1:10" ht="60" customHeight="1">
      <c r="A48" s="1034">
        <v>840</v>
      </c>
      <c r="B48" s="1041" t="s">
        <v>1133</v>
      </c>
      <c r="C48" s="1039" t="s">
        <v>3639</v>
      </c>
      <c r="D48" s="1042">
        <v>33100</v>
      </c>
      <c r="E48" s="3411" t="s">
        <v>6004</v>
      </c>
      <c r="F48" s="2151"/>
      <c r="G48" s="530" t="s">
        <v>6008</v>
      </c>
      <c r="H48" s="542" t="s">
        <v>5113</v>
      </c>
    </row>
    <row r="49" spans="1:9" ht="36.75" customHeight="1">
      <c r="A49" s="1034">
        <v>892</v>
      </c>
      <c r="B49" s="1041" t="s">
        <v>1133</v>
      </c>
      <c r="C49" s="1039" t="s">
        <v>608</v>
      </c>
      <c r="D49" s="1042">
        <v>2000</v>
      </c>
      <c r="E49" s="3411" t="s">
        <v>6005</v>
      </c>
      <c r="F49" s="3645" t="s">
        <v>6011</v>
      </c>
      <c r="G49" s="530" t="s">
        <v>6008</v>
      </c>
      <c r="H49" s="542" t="s">
        <v>5113</v>
      </c>
    </row>
    <row r="50" spans="1:9">
      <c r="A50" s="629"/>
      <c r="B50" s="523" t="s">
        <v>2170</v>
      </c>
      <c r="C50" s="524" t="s">
        <v>2171</v>
      </c>
      <c r="D50" s="540"/>
      <c r="E50" s="526"/>
      <c r="F50" s="526"/>
      <c r="G50" s="530"/>
      <c r="H50" s="542"/>
    </row>
    <row r="51" spans="1:9" s="397" customFormat="1" ht="69.75" customHeight="1">
      <c r="A51" s="1308"/>
      <c r="B51" s="529" t="s">
        <v>1133</v>
      </c>
      <c r="C51" s="3411" t="s">
        <v>6012</v>
      </c>
      <c r="D51" s="541"/>
      <c r="E51" s="530" t="s">
        <v>2172</v>
      </c>
      <c r="F51" s="530" t="s">
        <v>3638</v>
      </c>
      <c r="G51" s="530" t="s">
        <v>6008</v>
      </c>
      <c r="H51" s="542" t="s">
        <v>5113</v>
      </c>
    </row>
    <row r="52" spans="1:9" ht="59.25" customHeight="1">
      <c r="A52" s="629"/>
      <c r="B52" s="532" t="s">
        <v>1133</v>
      </c>
      <c r="C52" s="3411" t="s">
        <v>6013</v>
      </c>
      <c r="D52" s="545"/>
      <c r="E52" s="534" t="s">
        <v>6017</v>
      </c>
      <c r="F52" s="534" t="s">
        <v>6021</v>
      </c>
      <c r="G52" s="530" t="s">
        <v>6008</v>
      </c>
      <c r="H52" s="542" t="s">
        <v>5113</v>
      </c>
    </row>
    <row r="53" spans="1:9" s="397" customFormat="1" ht="46.5" customHeight="1">
      <c r="A53" s="1308"/>
      <c r="B53" s="536" t="s">
        <v>1133</v>
      </c>
      <c r="C53" s="3609" t="s">
        <v>6014</v>
      </c>
      <c r="D53" s="546"/>
      <c r="E53" s="534" t="s">
        <v>6018</v>
      </c>
      <c r="F53" s="534" t="s">
        <v>6022</v>
      </c>
      <c r="G53" s="530" t="s">
        <v>6008</v>
      </c>
      <c r="H53" s="542" t="s">
        <v>5113</v>
      </c>
    </row>
    <row r="54" spans="1:9" s="397" customFormat="1" ht="72" customHeight="1">
      <c r="A54" s="1308"/>
      <c r="B54" s="536" t="s">
        <v>1133</v>
      </c>
      <c r="C54" s="3609" t="s">
        <v>6015</v>
      </c>
      <c r="D54" s="546"/>
      <c r="E54" s="2149" t="s">
        <v>6019</v>
      </c>
      <c r="F54" s="534" t="s">
        <v>6023</v>
      </c>
      <c r="G54" s="530" t="s">
        <v>6008</v>
      </c>
      <c r="H54" s="542" t="s">
        <v>5113</v>
      </c>
    </row>
    <row r="55" spans="1:9" s="397" customFormat="1" ht="57.75" customHeight="1">
      <c r="A55" s="1308" t="s">
        <v>63</v>
      </c>
      <c r="B55" s="529" t="s">
        <v>1133</v>
      </c>
      <c r="C55" s="3411" t="s">
        <v>6016</v>
      </c>
      <c r="D55" s="546">
        <v>7350</v>
      </c>
      <c r="E55" s="2149" t="s">
        <v>6020</v>
      </c>
      <c r="F55" s="534" t="s">
        <v>6024</v>
      </c>
      <c r="G55" s="530" t="s">
        <v>6008</v>
      </c>
      <c r="H55" s="542" t="s">
        <v>5113</v>
      </c>
    </row>
    <row r="56" spans="1:9" s="510" customFormat="1" ht="29.25" customHeight="1">
      <c r="A56" s="14713" t="s">
        <v>3640</v>
      </c>
      <c r="B56" s="523" t="s">
        <v>2173</v>
      </c>
      <c r="C56" s="1044" t="s">
        <v>2174</v>
      </c>
      <c r="D56" s="545"/>
      <c r="E56" s="2151"/>
      <c r="F56" s="2151"/>
      <c r="G56" s="530"/>
      <c r="H56" s="542"/>
    </row>
    <row r="57" spans="1:9" s="510" customFormat="1" ht="2.25" customHeight="1">
      <c r="A57" s="14713"/>
      <c r="B57" s="523"/>
      <c r="D57" s="545"/>
      <c r="E57" s="2151"/>
      <c r="F57" s="2151"/>
      <c r="G57" s="530"/>
      <c r="H57" s="542"/>
    </row>
    <row r="58" spans="1:9" s="533" customFormat="1" ht="90.75" customHeight="1">
      <c r="A58" s="1308"/>
      <c r="B58" s="529" t="s">
        <v>1133</v>
      </c>
      <c r="C58" s="3609" t="s">
        <v>9416</v>
      </c>
      <c r="D58" s="546">
        <v>461000</v>
      </c>
      <c r="E58" s="3645" t="s">
        <v>6026</v>
      </c>
      <c r="F58" s="3645" t="s">
        <v>6025</v>
      </c>
      <c r="G58" s="530" t="s">
        <v>6008</v>
      </c>
      <c r="H58" s="542" t="s">
        <v>5113</v>
      </c>
    </row>
    <row r="59" spans="1:9" s="397" customFormat="1" ht="45.75" customHeight="1">
      <c r="A59" s="1308"/>
      <c r="B59" s="529" t="s">
        <v>1133</v>
      </c>
      <c r="C59" s="533" t="s">
        <v>2175</v>
      </c>
      <c r="D59" s="546">
        <v>27600</v>
      </c>
      <c r="E59" s="2152" t="s">
        <v>2176</v>
      </c>
      <c r="F59" s="2152" t="s">
        <v>3641</v>
      </c>
      <c r="G59" s="530" t="s">
        <v>6008</v>
      </c>
      <c r="H59" s="542" t="s">
        <v>5113</v>
      </c>
    </row>
    <row r="60" spans="1:9" s="533" customFormat="1" ht="14.25" customHeight="1">
      <c r="A60" s="1319"/>
      <c r="B60" s="1320"/>
      <c r="C60" s="1317"/>
      <c r="D60" s="1321"/>
      <c r="E60" s="1317"/>
      <c r="F60" s="1317"/>
      <c r="G60" s="1317"/>
      <c r="H60" s="1318"/>
    </row>
    <row r="61" spans="1:9" s="533" customFormat="1" ht="18.75" customHeight="1">
      <c r="A61" s="1801"/>
      <c r="B61" s="515"/>
      <c r="D61" s="1802"/>
      <c r="H61" s="1800"/>
    </row>
    <row r="62" spans="1:9" s="533" customFormat="1" ht="18.75" customHeight="1">
      <c r="A62" s="1801"/>
      <c r="B62" s="515"/>
      <c r="D62" s="1802"/>
      <c r="H62" s="1800"/>
    </row>
    <row r="63" spans="1:9" s="533" customFormat="1" ht="18.75" customHeight="1">
      <c r="A63" s="1801"/>
      <c r="B63" s="515"/>
      <c r="D63" s="1802"/>
      <c r="H63" s="1800"/>
    </row>
    <row r="64" spans="1:9" s="516" customFormat="1" ht="24" customHeight="1">
      <c r="A64" s="14703" t="s">
        <v>4776</v>
      </c>
      <c r="B64" s="512"/>
      <c r="C64" s="3425" t="s">
        <v>2146</v>
      </c>
      <c r="D64" s="513" t="s">
        <v>2147</v>
      </c>
      <c r="E64" s="514" t="s">
        <v>1787</v>
      </c>
      <c r="F64" s="514" t="s">
        <v>1764</v>
      </c>
      <c r="G64" s="14706" t="s">
        <v>1739</v>
      </c>
      <c r="H64" s="14707"/>
      <c r="I64" s="515"/>
    </row>
    <row r="65" spans="1:9" s="516" customFormat="1" ht="17.25" customHeight="1">
      <c r="A65" s="14704"/>
      <c r="B65" s="517"/>
      <c r="C65" s="518" t="s">
        <v>2148</v>
      </c>
      <c r="D65" s="519"/>
      <c r="E65" s="520"/>
      <c r="F65" s="520"/>
      <c r="G65" s="520" t="s">
        <v>2149</v>
      </c>
      <c r="H65" s="521" t="s">
        <v>1790</v>
      </c>
      <c r="I65" s="522"/>
    </row>
    <row r="66" spans="1:9" s="397" customFormat="1" ht="56.25" customHeight="1">
      <c r="A66" s="1308"/>
      <c r="B66" s="529" t="s">
        <v>1133</v>
      </c>
      <c r="C66" s="533" t="s">
        <v>2177</v>
      </c>
      <c r="D66" s="546"/>
      <c r="E66" s="534" t="s">
        <v>6029</v>
      </c>
      <c r="F66" s="534" t="s">
        <v>3642</v>
      </c>
      <c r="G66" s="530" t="s">
        <v>6008</v>
      </c>
      <c r="H66" s="542" t="s">
        <v>5113</v>
      </c>
    </row>
    <row r="67" spans="1:9" s="397" customFormat="1" ht="51.75" customHeight="1">
      <c r="A67" s="1308"/>
      <c r="B67" s="529" t="s">
        <v>1133</v>
      </c>
      <c r="C67" s="533" t="s">
        <v>6027</v>
      </c>
      <c r="D67" s="546"/>
      <c r="E67" s="2149" t="s">
        <v>2178</v>
      </c>
      <c r="F67" s="533" t="s">
        <v>3642</v>
      </c>
      <c r="G67" s="530" t="s">
        <v>6008</v>
      </c>
      <c r="H67" s="542" t="s">
        <v>5113</v>
      </c>
    </row>
    <row r="68" spans="1:9" s="397" customFormat="1" ht="57.75" customHeight="1">
      <c r="A68" s="1308"/>
      <c r="B68" s="529" t="s">
        <v>1133</v>
      </c>
      <c r="C68" s="3609" t="s">
        <v>6028</v>
      </c>
      <c r="D68" s="546">
        <v>60000</v>
      </c>
      <c r="E68" s="3645" t="s">
        <v>6030</v>
      </c>
      <c r="F68" s="3609" t="s">
        <v>6031</v>
      </c>
      <c r="G68" s="530" t="s">
        <v>6008</v>
      </c>
      <c r="H68" s="542" t="s">
        <v>5113</v>
      </c>
    </row>
    <row r="69" spans="1:9" ht="16.5" customHeight="1">
      <c r="A69" s="629"/>
      <c r="B69" s="523" t="s">
        <v>2179</v>
      </c>
      <c r="C69" s="3605" t="s">
        <v>6032</v>
      </c>
      <c r="D69" s="545"/>
      <c r="E69" s="2151"/>
      <c r="F69" s="510"/>
      <c r="G69" s="530"/>
      <c r="H69" s="542"/>
    </row>
    <row r="70" spans="1:9" ht="26.25" customHeight="1">
      <c r="A70" s="2153"/>
      <c r="B70" s="2154"/>
      <c r="C70" s="3605" t="s">
        <v>6033</v>
      </c>
      <c r="D70" s="2155"/>
      <c r="E70" s="2151"/>
      <c r="F70" s="510"/>
      <c r="G70" s="530"/>
      <c r="H70" s="542"/>
    </row>
    <row r="71" spans="1:9" ht="102.75" customHeight="1">
      <c r="A71" s="2153"/>
      <c r="B71" s="2154"/>
      <c r="C71" s="3609" t="s">
        <v>9417</v>
      </c>
      <c r="D71" s="2155">
        <v>34800</v>
      </c>
      <c r="E71" s="1035" t="s">
        <v>2180</v>
      </c>
      <c r="F71" s="3609" t="s">
        <v>6034</v>
      </c>
      <c r="G71" s="530" t="s">
        <v>6008</v>
      </c>
      <c r="H71" s="542" t="s">
        <v>5113</v>
      </c>
    </row>
    <row r="72" spans="1:9" s="397" customFormat="1" ht="55.5" customHeight="1">
      <c r="A72" s="1308"/>
      <c r="B72" s="529"/>
      <c r="C72" s="3609" t="s">
        <v>9418</v>
      </c>
      <c r="D72" s="546"/>
      <c r="E72" s="1035"/>
      <c r="F72" s="534"/>
      <c r="G72" s="530" t="s">
        <v>6008</v>
      </c>
      <c r="H72" s="542" t="s">
        <v>5113</v>
      </c>
    </row>
    <row r="73" spans="1:9" s="397" customFormat="1" ht="44.25" customHeight="1">
      <c r="A73" s="1308"/>
      <c r="B73" s="529"/>
      <c r="C73" s="3411" t="s">
        <v>9419</v>
      </c>
      <c r="D73" s="546"/>
      <c r="E73" s="1035"/>
      <c r="F73" s="534"/>
      <c r="G73" s="530" t="s">
        <v>6008</v>
      </c>
      <c r="H73" s="542" t="s">
        <v>5113</v>
      </c>
    </row>
    <row r="74" spans="1:9" s="397" customFormat="1" ht="18" customHeight="1">
      <c r="A74" s="3427"/>
      <c r="B74" s="1047" t="s">
        <v>3643</v>
      </c>
      <c r="C74" s="533"/>
      <c r="D74" s="1045"/>
      <c r="E74" s="1046"/>
      <c r="F74" s="1046"/>
      <c r="G74" s="530"/>
      <c r="H74" s="542"/>
    </row>
    <row r="75" spans="1:9" s="397" customFormat="1" ht="36.75" customHeight="1">
      <c r="A75" s="3427"/>
      <c r="B75" s="1038"/>
      <c r="C75" s="3609" t="s">
        <v>9420</v>
      </c>
      <c r="D75" s="1045">
        <v>200000</v>
      </c>
      <c r="E75" s="1046"/>
      <c r="F75" s="1046"/>
      <c r="G75" s="530" t="s">
        <v>6008</v>
      </c>
      <c r="H75" s="542" t="s">
        <v>5113</v>
      </c>
    </row>
    <row r="76" spans="1:9" s="397" customFormat="1" ht="82.8">
      <c r="A76" s="3427"/>
      <c r="B76" s="1038"/>
      <c r="C76" s="3609" t="s">
        <v>9421</v>
      </c>
      <c r="D76" s="1653"/>
      <c r="E76" s="1046"/>
      <c r="F76" s="1046"/>
      <c r="G76" s="530" t="s">
        <v>6008</v>
      </c>
      <c r="H76" s="542" t="s">
        <v>5113</v>
      </c>
    </row>
    <row r="77" spans="1:9" s="397" customFormat="1" ht="48.75" customHeight="1">
      <c r="A77" s="3427"/>
      <c r="B77" s="1038"/>
      <c r="C77" s="3609" t="s">
        <v>9422</v>
      </c>
      <c r="D77" s="1654">
        <v>10000</v>
      </c>
      <c r="E77" s="1046"/>
      <c r="F77" s="1046"/>
      <c r="G77" s="530" t="s">
        <v>6008</v>
      </c>
      <c r="H77" s="542" t="s">
        <v>5113</v>
      </c>
    </row>
    <row r="78" spans="1:9" s="397" customFormat="1" ht="41.4">
      <c r="A78" s="3427"/>
      <c r="B78" s="1038"/>
      <c r="C78" s="3609" t="s">
        <v>9423</v>
      </c>
      <c r="D78" s="1653">
        <v>150000</v>
      </c>
      <c r="E78" s="1046"/>
      <c r="F78" s="1046"/>
      <c r="G78" s="530" t="s">
        <v>6008</v>
      </c>
      <c r="H78" s="542" t="s">
        <v>5113</v>
      </c>
    </row>
    <row r="79" spans="1:9" s="397" customFormat="1">
      <c r="A79" s="3427"/>
      <c r="B79" s="1038"/>
      <c r="C79" s="533"/>
      <c r="D79" s="1045"/>
      <c r="E79" s="1046"/>
      <c r="F79" s="1046"/>
      <c r="G79" s="530"/>
      <c r="H79" s="542"/>
    </row>
    <row r="80" spans="1:9">
      <c r="A80" s="629"/>
      <c r="B80" s="523"/>
      <c r="C80" s="510" t="s">
        <v>2061</v>
      </c>
      <c r="D80" s="545"/>
      <c r="E80" s="535"/>
      <c r="F80" s="535"/>
      <c r="G80" s="535"/>
      <c r="H80" s="526"/>
    </row>
    <row r="81" spans="1:8" s="5198" customFormat="1" ht="24" customHeight="1">
      <c r="A81" s="5195"/>
      <c r="B81" s="14710" t="s">
        <v>220</v>
      </c>
      <c r="C81" s="14711"/>
      <c r="D81" s="5196">
        <f>SUM(D28:D80)</f>
        <v>7406680</v>
      </c>
      <c r="E81" s="5197"/>
      <c r="F81" s="5197"/>
      <c r="G81" s="5197"/>
      <c r="H81" s="5197"/>
    </row>
    <row r="82" spans="1:8">
      <c r="A82" s="3423"/>
      <c r="B82" s="3426"/>
      <c r="D82" s="538"/>
      <c r="E82" s="510"/>
      <c r="F82" s="510"/>
      <c r="G82" s="510"/>
      <c r="H82" s="510"/>
    </row>
    <row r="83" spans="1:8">
      <c r="A83" s="3423"/>
      <c r="B83" s="3426"/>
      <c r="D83" s="538"/>
      <c r="E83" s="510"/>
      <c r="F83" s="510"/>
      <c r="G83" s="510"/>
      <c r="H83" s="510"/>
    </row>
    <row r="84" spans="1:8">
      <c r="A84" s="3423"/>
      <c r="B84" s="3426"/>
      <c r="D84" s="538"/>
      <c r="E84" s="510"/>
      <c r="F84" s="510"/>
      <c r="G84" s="510"/>
      <c r="H84" s="510"/>
    </row>
    <row r="85" spans="1:8">
      <c r="A85" s="3423"/>
      <c r="B85" s="3426"/>
      <c r="D85" s="538"/>
      <c r="E85" s="510"/>
      <c r="F85" s="510"/>
      <c r="G85" s="510"/>
      <c r="H85" s="510"/>
    </row>
    <row r="86" spans="1:8">
      <c r="A86" s="3423"/>
      <c r="B86" s="3426"/>
      <c r="C86" s="510"/>
      <c r="D86" s="538"/>
      <c r="E86" s="510"/>
      <c r="F86" s="510"/>
      <c r="G86" s="510"/>
      <c r="H86" s="510"/>
    </row>
    <row r="87" spans="1:8">
      <c r="A87" s="3426"/>
      <c r="B87" s="3426"/>
      <c r="D87" s="14712"/>
      <c r="E87" s="14712"/>
      <c r="F87" s="14712"/>
      <c r="G87" s="14712"/>
      <c r="H87" s="14712"/>
    </row>
    <row r="88" spans="1:8">
      <c r="A88" s="3423"/>
      <c r="B88" s="3426"/>
      <c r="D88" s="14702"/>
      <c r="E88" s="14702"/>
      <c r="F88" s="14702"/>
      <c r="G88" s="14702"/>
      <c r="H88" s="14702"/>
    </row>
    <row r="89" spans="1:8">
      <c r="A89" s="3423"/>
      <c r="B89" s="3426"/>
      <c r="C89" s="510"/>
      <c r="D89" s="538"/>
      <c r="E89" s="510"/>
      <c r="F89" s="510"/>
      <c r="G89" s="510"/>
    </row>
    <row r="90" spans="1:8">
      <c r="A90" s="3423"/>
      <c r="B90" s="3426"/>
      <c r="C90" s="510"/>
      <c r="D90" s="538"/>
      <c r="E90" s="510"/>
      <c r="F90" s="510"/>
      <c r="G90" s="510"/>
      <c r="H90" s="510"/>
    </row>
    <row r="91" spans="1:8">
      <c r="A91" s="3423"/>
      <c r="B91" s="3426"/>
      <c r="C91" s="510"/>
      <c r="D91" s="538"/>
      <c r="E91" s="510"/>
      <c r="F91" s="510"/>
      <c r="G91" s="510"/>
      <c r="H91" s="510"/>
    </row>
    <row r="92" spans="1:8">
      <c r="A92" s="3423"/>
      <c r="B92" s="3426"/>
      <c r="C92" s="510"/>
      <c r="D92" s="538"/>
      <c r="E92" s="510"/>
      <c r="F92" s="510"/>
      <c r="G92" s="510"/>
      <c r="H92" s="510"/>
    </row>
    <row r="93" spans="1:8">
      <c r="C93" s="510"/>
      <c r="D93" s="538"/>
      <c r="E93" s="510"/>
      <c r="F93" s="510"/>
      <c r="G93" s="510"/>
      <c r="H93" s="510"/>
    </row>
    <row r="94" spans="1:8">
      <c r="C94" s="510"/>
      <c r="D94" s="538"/>
      <c r="E94" s="510"/>
      <c r="F94" s="510"/>
      <c r="G94" s="510"/>
      <c r="H94" s="510"/>
    </row>
  </sheetData>
  <mergeCells count="22">
    <mergeCell ref="C9:H9"/>
    <mergeCell ref="B15:H15"/>
    <mergeCell ref="B16:H16"/>
    <mergeCell ref="B19:H19"/>
    <mergeCell ref="B20:H20"/>
    <mergeCell ref="C10:H10"/>
    <mergeCell ref="D88:E88"/>
    <mergeCell ref="F88:H88"/>
    <mergeCell ref="A26:A27"/>
    <mergeCell ref="A1:H1"/>
    <mergeCell ref="G26:H26"/>
    <mergeCell ref="B30:C30"/>
    <mergeCell ref="B81:C81"/>
    <mergeCell ref="D87:E87"/>
    <mergeCell ref="F87:H87"/>
    <mergeCell ref="B14:H14"/>
    <mergeCell ref="A56:A57"/>
    <mergeCell ref="A30:A31"/>
    <mergeCell ref="A42:A43"/>
    <mergeCell ref="G42:H42"/>
    <mergeCell ref="A64:A65"/>
    <mergeCell ref="G64:H64"/>
  </mergeCells>
  <pageMargins left="0.5" right="0.25" top="0.75" bottom="0.5" header="0.5" footer="0.25"/>
  <pageSetup paperSize="119" firstPageNumber="112" orientation="portrait" useFirstPageNumber="1" verticalDpi="300" r:id="rId1"/>
  <headerFooter alignWithMargins="0"/>
</worksheet>
</file>

<file path=xl/worksheets/sheet74.xml><?xml version="1.0" encoding="utf-8"?>
<worksheet xmlns="http://schemas.openxmlformats.org/spreadsheetml/2006/main" xmlns:r="http://schemas.openxmlformats.org/officeDocument/2006/relationships">
  <sheetPr codeName="Sheet48">
    <tabColor rgb="FFFFCC66"/>
  </sheetPr>
  <dimension ref="A1:J101"/>
  <sheetViews>
    <sheetView showGridLines="0" topLeftCell="A19" workbookViewId="0">
      <selection activeCell="D28" sqref="D28"/>
    </sheetView>
  </sheetViews>
  <sheetFormatPr defaultRowHeight="13.5" customHeight="1"/>
  <cols>
    <col min="1" max="1" width="3.88671875" style="5809" customWidth="1"/>
    <col min="2" max="2" width="40" style="5812" customWidth="1"/>
    <col min="3" max="3" width="11.109375" style="6709" customWidth="1"/>
    <col min="4" max="4" width="15.44140625" style="6694" customWidth="1"/>
    <col min="5" max="5" width="14" style="6694" customWidth="1"/>
    <col min="6" max="7" width="13.44140625" style="6694" hidden="1" customWidth="1"/>
    <col min="8" max="8" width="14" style="6694" customWidth="1"/>
    <col min="9" max="9" width="14.88671875" style="5807" bestFit="1" customWidth="1"/>
    <col min="10" max="10" width="17" style="5809" customWidth="1"/>
    <col min="11" max="258" width="9.109375" style="5809"/>
    <col min="259" max="259" width="3.88671875" style="5809" customWidth="1"/>
    <col min="260" max="260" width="36.44140625" style="5809" customWidth="1"/>
    <col min="261" max="261" width="9.44140625" style="5809" customWidth="1"/>
    <col min="262" max="262" width="16.44140625" style="5809" customWidth="1"/>
    <col min="263" max="263" width="16.109375" style="5809" customWidth="1"/>
    <col min="264" max="264" width="16.44140625" style="5809" customWidth="1"/>
    <col min="265" max="514" width="9.109375" style="5809"/>
    <col min="515" max="515" width="3.88671875" style="5809" customWidth="1"/>
    <col min="516" max="516" width="36.44140625" style="5809" customWidth="1"/>
    <col min="517" max="517" width="9.44140625" style="5809" customWidth="1"/>
    <col min="518" max="518" width="16.44140625" style="5809" customWidth="1"/>
    <col min="519" max="519" width="16.109375" style="5809" customWidth="1"/>
    <col min="520" max="520" width="16.44140625" style="5809" customWidth="1"/>
    <col min="521" max="770" width="9.109375" style="5809"/>
    <col min="771" max="771" width="3.88671875" style="5809" customWidth="1"/>
    <col min="772" max="772" width="36.44140625" style="5809" customWidth="1"/>
    <col min="773" max="773" width="9.44140625" style="5809" customWidth="1"/>
    <col min="774" max="774" width="16.44140625" style="5809" customWidth="1"/>
    <col min="775" max="775" width="16.109375" style="5809" customWidth="1"/>
    <col min="776" max="776" width="16.44140625" style="5809" customWidth="1"/>
    <col min="777" max="1026" width="9.109375" style="5809"/>
    <col min="1027" max="1027" width="3.88671875" style="5809" customWidth="1"/>
    <col min="1028" max="1028" width="36.44140625" style="5809" customWidth="1"/>
    <col min="1029" max="1029" width="9.44140625" style="5809" customWidth="1"/>
    <col min="1030" max="1030" width="16.44140625" style="5809" customWidth="1"/>
    <col min="1031" max="1031" width="16.109375" style="5809" customWidth="1"/>
    <col min="1032" max="1032" width="16.44140625" style="5809" customWidth="1"/>
    <col min="1033" max="1282" width="9.109375" style="5809"/>
    <col min="1283" max="1283" width="3.88671875" style="5809" customWidth="1"/>
    <col min="1284" max="1284" width="36.44140625" style="5809" customWidth="1"/>
    <col min="1285" max="1285" width="9.44140625" style="5809" customWidth="1"/>
    <col min="1286" max="1286" width="16.44140625" style="5809" customWidth="1"/>
    <col min="1287" max="1287" width="16.109375" style="5809" customWidth="1"/>
    <col min="1288" max="1288" width="16.44140625" style="5809" customWidth="1"/>
    <col min="1289" max="1538" width="9.109375" style="5809"/>
    <col min="1539" max="1539" width="3.88671875" style="5809" customWidth="1"/>
    <col min="1540" max="1540" width="36.44140625" style="5809" customWidth="1"/>
    <col min="1541" max="1541" width="9.44140625" style="5809" customWidth="1"/>
    <col min="1542" max="1542" width="16.44140625" style="5809" customWidth="1"/>
    <col min="1543" max="1543" width="16.109375" style="5809" customWidth="1"/>
    <col min="1544" max="1544" width="16.44140625" style="5809" customWidth="1"/>
    <col min="1545" max="1794" width="9.109375" style="5809"/>
    <col min="1795" max="1795" width="3.88671875" style="5809" customWidth="1"/>
    <col min="1796" max="1796" width="36.44140625" style="5809" customWidth="1"/>
    <col min="1797" max="1797" width="9.44140625" style="5809" customWidth="1"/>
    <col min="1798" max="1798" width="16.44140625" style="5809" customWidth="1"/>
    <col min="1799" max="1799" width="16.109375" style="5809" customWidth="1"/>
    <col min="1800" max="1800" width="16.44140625" style="5809" customWidth="1"/>
    <col min="1801" max="2050" width="9.109375" style="5809"/>
    <col min="2051" max="2051" width="3.88671875" style="5809" customWidth="1"/>
    <col min="2052" max="2052" width="36.44140625" style="5809" customWidth="1"/>
    <col min="2053" max="2053" width="9.44140625" style="5809" customWidth="1"/>
    <col min="2054" max="2054" width="16.44140625" style="5809" customWidth="1"/>
    <col min="2055" max="2055" width="16.109375" style="5809" customWidth="1"/>
    <col min="2056" max="2056" width="16.44140625" style="5809" customWidth="1"/>
    <col min="2057" max="2306" width="9.109375" style="5809"/>
    <col min="2307" max="2307" width="3.88671875" style="5809" customWidth="1"/>
    <col min="2308" max="2308" width="36.44140625" style="5809" customWidth="1"/>
    <col min="2309" max="2309" width="9.44140625" style="5809" customWidth="1"/>
    <col min="2310" max="2310" width="16.44140625" style="5809" customWidth="1"/>
    <col min="2311" max="2311" width="16.109375" style="5809" customWidth="1"/>
    <col min="2312" max="2312" width="16.44140625" style="5809" customWidth="1"/>
    <col min="2313" max="2562" width="9.109375" style="5809"/>
    <col min="2563" max="2563" width="3.88671875" style="5809" customWidth="1"/>
    <col min="2564" max="2564" width="36.44140625" style="5809" customWidth="1"/>
    <col min="2565" max="2565" width="9.44140625" style="5809" customWidth="1"/>
    <col min="2566" max="2566" width="16.44140625" style="5809" customWidth="1"/>
    <col min="2567" max="2567" width="16.109375" style="5809" customWidth="1"/>
    <col min="2568" max="2568" width="16.44140625" style="5809" customWidth="1"/>
    <col min="2569" max="2818" width="9.109375" style="5809"/>
    <col min="2819" max="2819" width="3.88671875" style="5809" customWidth="1"/>
    <col min="2820" max="2820" width="36.44140625" style="5809" customWidth="1"/>
    <col min="2821" max="2821" width="9.44140625" style="5809" customWidth="1"/>
    <col min="2822" max="2822" width="16.44140625" style="5809" customWidth="1"/>
    <col min="2823" max="2823" width="16.109375" style="5809" customWidth="1"/>
    <col min="2824" max="2824" width="16.44140625" style="5809" customWidth="1"/>
    <col min="2825" max="3074" width="9.109375" style="5809"/>
    <col min="3075" max="3075" width="3.88671875" style="5809" customWidth="1"/>
    <col min="3076" max="3076" width="36.44140625" style="5809" customWidth="1"/>
    <col min="3077" max="3077" width="9.44140625" style="5809" customWidth="1"/>
    <col min="3078" max="3078" width="16.44140625" style="5809" customWidth="1"/>
    <col min="3079" max="3079" width="16.109375" style="5809" customWidth="1"/>
    <col min="3080" max="3080" width="16.44140625" style="5809" customWidth="1"/>
    <col min="3081" max="3330" width="9.109375" style="5809"/>
    <col min="3331" max="3331" width="3.88671875" style="5809" customWidth="1"/>
    <col min="3332" max="3332" width="36.44140625" style="5809" customWidth="1"/>
    <col min="3333" max="3333" width="9.44140625" style="5809" customWidth="1"/>
    <col min="3334" max="3334" width="16.44140625" style="5809" customWidth="1"/>
    <col min="3335" max="3335" width="16.109375" style="5809" customWidth="1"/>
    <col min="3336" max="3336" width="16.44140625" style="5809" customWidth="1"/>
    <col min="3337" max="3586" width="9.109375" style="5809"/>
    <col min="3587" max="3587" width="3.88671875" style="5809" customWidth="1"/>
    <col min="3588" max="3588" width="36.44140625" style="5809" customWidth="1"/>
    <col min="3589" max="3589" width="9.44140625" style="5809" customWidth="1"/>
    <col min="3590" max="3590" width="16.44140625" style="5809" customWidth="1"/>
    <col min="3591" max="3591" width="16.109375" style="5809" customWidth="1"/>
    <col min="3592" max="3592" width="16.44140625" style="5809" customWidth="1"/>
    <col min="3593" max="3842" width="9.109375" style="5809"/>
    <col min="3843" max="3843" width="3.88671875" style="5809" customWidth="1"/>
    <col min="3844" max="3844" width="36.44140625" style="5809" customWidth="1"/>
    <col min="3845" max="3845" width="9.44140625" style="5809" customWidth="1"/>
    <col min="3846" max="3846" width="16.44140625" style="5809" customWidth="1"/>
    <col min="3847" max="3847" width="16.109375" style="5809" customWidth="1"/>
    <col min="3848" max="3848" width="16.44140625" style="5809" customWidth="1"/>
    <col min="3849" max="4098" width="9.109375" style="5809"/>
    <col min="4099" max="4099" width="3.88671875" style="5809" customWidth="1"/>
    <col min="4100" max="4100" width="36.44140625" style="5809" customWidth="1"/>
    <col min="4101" max="4101" width="9.44140625" style="5809" customWidth="1"/>
    <col min="4102" max="4102" width="16.44140625" style="5809" customWidth="1"/>
    <col min="4103" max="4103" width="16.109375" style="5809" customWidth="1"/>
    <col min="4104" max="4104" width="16.44140625" style="5809" customWidth="1"/>
    <col min="4105" max="4354" width="9.109375" style="5809"/>
    <col min="4355" max="4355" width="3.88671875" style="5809" customWidth="1"/>
    <col min="4356" max="4356" width="36.44140625" style="5809" customWidth="1"/>
    <col min="4357" max="4357" width="9.44140625" style="5809" customWidth="1"/>
    <col min="4358" max="4358" width="16.44140625" style="5809" customWidth="1"/>
    <col min="4359" max="4359" width="16.109375" style="5809" customWidth="1"/>
    <col min="4360" max="4360" width="16.44140625" style="5809" customWidth="1"/>
    <col min="4361" max="4610" width="9.109375" style="5809"/>
    <col min="4611" max="4611" width="3.88671875" style="5809" customWidth="1"/>
    <col min="4612" max="4612" width="36.44140625" style="5809" customWidth="1"/>
    <col min="4613" max="4613" width="9.44140625" style="5809" customWidth="1"/>
    <col min="4614" max="4614" width="16.44140625" style="5809" customWidth="1"/>
    <col min="4615" max="4615" width="16.109375" style="5809" customWidth="1"/>
    <col min="4616" max="4616" width="16.44140625" style="5809" customWidth="1"/>
    <col min="4617" max="4866" width="9.109375" style="5809"/>
    <col min="4867" max="4867" width="3.88671875" style="5809" customWidth="1"/>
    <col min="4868" max="4868" width="36.44140625" style="5809" customWidth="1"/>
    <col min="4869" max="4869" width="9.44140625" style="5809" customWidth="1"/>
    <col min="4870" max="4870" width="16.44140625" style="5809" customWidth="1"/>
    <col min="4871" max="4871" width="16.109375" style="5809" customWidth="1"/>
    <col min="4872" max="4872" width="16.44140625" style="5809" customWidth="1"/>
    <col min="4873" max="5122" width="9.109375" style="5809"/>
    <col min="5123" max="5123" width="3.88671875" style="5809" customWidth="1"/>
    <col min="5124" max="5124" width="36.44140625" style="5809" customWidth="1"/>
    <col min="5125" max="5125" width="9.44140625" style="5809" customWidth="1"/>
    <col min="5126" max="5126" width="16.44140625" style="5809" customWidth="1"/>
    <col min="5127" max="5127" width="16.109375" style="5809" customWidth="1"/>
    <col min="5128" max="5128" width="16.44140625" style="5809" customWidth="1"/>
    <col min="5129" max="5378" width="9.109375" style="5809"/>
    <col min="5379" max="5379" width="3.88671875" style="5809" customWidth="1"/>
    <col min="5380" max="5380" width="36.44140625" style="5809" customWidth="1"/>
    <col min="5381" max="5381" width="9.44140625" style="5809" customWidth="1"/>
    <col min="5382" max="5382" width="16.44140625" style="5809" customWidth="1"/>
    <col min="5383" max="5383" width="16.109375" style="5809" customWidth="1"/>
    <col min="5384" max="5384" width="16.44140625" style="5809" customWidth="1"/>
    <col min="5385" max="5634" width="9.109375" style="5809"/>
    <col min="5635" max="5635" width="3.88671875" style="5809" customWidth="1"/>
    <col min="5636" max="5636" width="36.44140625" style="5809" customWidth="1"/>
    <col min="5637" max="5637" width="9.44140625" style="5809" customWidth="1"/>
    <col min="5638" max="5638" width="16.44140625" style="5809" customWidth="1"/>
    <col min="5639" max="5639" width="16.109375" style="5809" customWidth="1"/>
    <col min="5640" max="5640" width="16.44140625" style="5809" customWidth="1"/>
    <col min="5641" max="5890" width="9.109375" style="5809"/>
    <col min="5891" max="5891" width="3.88671875" style="5809" customWidth="1"/>
    <col min="5892" max="5892" width="36.44140625" style="5809" customWidth="1"/>
    <col min="5893" max="5893" width="9.44140625" style="5809" customWidth="1"/>
    <col min="5894" max="5894" width="16.44140625" style="5809" customWidth="1"/>
    <col min="5895" max="5895" width="16.109375" style="5809" customWidth="1"/>
    <col min="5896" max="5896" width="16.44140625" style="5809" customWidth="1"/>
    <col min="5897" max="6146" width="9.109375" style="5809"/>
    <col min="6147" max="6147" width="3.88671875" style="5809" customWidth="1"/>
    <col min="6148" max="6148" width="36.44140625" style="5809" customWidth="1"/>
    <col min="6149" max="6149" width="9.44140625" style="5809" customWidth="1"/>
    <col min="6150" max="6150" width="16.44140625" style="5809" customWidth="1"/>
    <col min="6151" max="6151" width="16.109375" style="5809" customWidth="1"/>
    <col min="6152" max="6152" width="16.44140625" style="5809" customWidth="1"/>
    <col min="6153" max="6402" width="9.109375" style="5809"/>
    <col min="6403" max="6403" width="3.88671875" style="5809" customWidth="1"/>
    <col min="6404" max="6404" width="36.44140625" style="5809" customWidth="1"/>
    <col min="6405" max="6405" width="9.44140625" style="5809" customWidth="1"/>
    <col min="6406" max="6406" width="16.44140625" style="5809" customWidth="1"/>
    <col min="6407" max="6407" width="16.109375" style="5809" customWidth="1"/>
    <col min="6408" max="6408" width="16.44140625" style="5809" customWidth="1"/>
    <col min="6409" max="6658" width="9.109375" style="5809"/>
    <col min="6659" max="6659" width="3.88671875" style="5809" customWidth="1"/>
    <col min="6660" max="6660" width="36.44140625" style="5809" customWidth="1"/>
    <col min="6661" max="6661" width="9.44140625" style="5809" customWidth="1"/>
    <col min="6662" max="6662" width="16.44140625" style="5809" customWidth="1"/>
    <col min="6663" max="6663" width="16.109375" style="5809" customWidth="1"/>
    <col min="6664" max="6664" width="16.44140625" style="5809" customWidth="1"/>
    <col min="6665" max="6914" width="9.109375" style="5809"/>
    <col min="6915" max="6915" width="3.88671875" style="5809" customWidth="1"/>
    <col min="6916" max="6916" width="36.44140625" style="5809" customWidth="1"/>
    <col min="6917" max="6917" width="9.44140625" style="5809" customWidth="1"/>
    <col min="6918" max="6918" width="16.44140625" style="5809" customWidth="1"/>
    <col min="6919" max="6919" width="16.109375" style="5809" customWidth="1"/>
    <col min="6920" max="6920" width="16.44140625" style="5809" customWidth="1"/>
    <col min="6921" max="7170" width="9.109375" style="5809"/>
    <col min="7171" max="7171" width="3.88671875" style="5809" customWidth="1"/>
    <col min="7172" max="7172" width="36.44140625" style="5809" customWidth="1"/>
    <col min="7173" max="7173" width="9.44140625" style="5809" customWidth="1"/>
    <col min="7174" max="7174" width="16.44140625" style="5809" customWidth="1"/>
    <col min="7175" max="7175" width="16.109375" style="5809" customWidth="1"/>
    <col min="7176" max="7176" width="16.44140625" style="5809" customWidth="1"/>
    <col min="7177" max="7426" width="9.109375" style="5809"/>
    <col min="7427" max="7427" width="3.88671875" style="5809" customWidth="1"/>
    <col min="7428" max="7428" width="36.44140625" style="5809" customWidth="1"/>
    <col min="7429" max="7429" width="9.44140625" style="5809" customWidth="1"/>
    <col min="7430" max="7430" width="16.44140625" style="5809" customWidth="1"/>
    <col min="7431" max="7431" width="16.109375" style="5809" customWidth="1"/>
    <col min="7432" max="7432" width="16.44140625" style="5809" customWidth="1"/>
    <col min="7433" max="7682" width="9.109375" style="5809"/>
    <col min="7683" max="7683" width="3.88671875" style="5809" customWidth="1"/>
    <col min="7684" max="7684" width="36.44140625" style="5809" customWidth="1"/>
    <col min="7685" max="7685" width="9.44140625" style="5809" customWidth="1"/>
    <col min="7686" max="7686" width="16.44140625" style="5809" customWidth="1"/>
    <col min="7687" max="7687" width="16.109375" style="5809" customWidth="1"/>
    <col min="7688" max="7688" width="16.44140625" style="5809" customWidth="1"/>
    <col min="7689" max="7938" width="9.109375" style="5809"/>
    <col min="7939" max="7939" width="3.88671875" style="5809" customWidth="1"/>
    <col min="7940" max="7940" width="36.44140625" style="5809" customWidth="1"/>
    <col min="7941" max="7941" width="9.44140625" style="5809" customWidth="1"/>
    <col min="7942" max="7942" width="16.44140625" style="5809" customWidth="1"/>
    <col min="7943" max="7943" width="16.109375" style="5809" customWidth="1"/>
    <col min="7944" max="7944" width="16.44140625" style="5809" customWidth="1"/>
    <col min="7945" max="8194" width="9.109375" style="5809"/>
    <col min="8195" max="8195" width="3.88671875" style="5809" customWidth="1"/>
    <col min="8196" max="8196" width="36.44140625" style="5809" customWidth="1"/>
    <col min="8197" max="8197" width="9.44140625" style="5809" customWidth="1"/>
    <col min="8198" max="8198" width="16.44140625" style="5809" customWidth="1"/>
    <col min="8199" max="8199" width="16.109375" style="5809" customWidth="1"/>
    <col min="8200" max="8200" width="16.44140625" style="5809" customWidth="1"/>
    <col min="8201" max="8450" width="9.109375" style="5809"/>
    <col min="8451" max="8451" width="3.88671875" style="5809" customWidth="1"/>
    <col min="8452" max="8452" width="36.44140625" style="5809" customWidth="1"/>
    <col min="8453" max="8453" width="9.44140625" style="5809" customWidth="1"/>
    <col min="8454" max="8454" width="16.44140625" style="5809" customWidth="1"/>
    <col min="8455" max="8455" width="16.109375" style="5809" customWidth="1"/>
    <col min="8456" max="8456" width="16.44140625" style="5809" customWidth="1"/>
    <col min="8457" max="8706" width="9.109375" style="5809"/>
    <col min="8707" max="8707" width="3.88671875" style="5809" customWidth="1"/>
    <col min="8708" max="8708" width="36.44140625" style="5809" customWidth="1"/>
    <col min="8709" max="8709" width="9.44140625" style="5809" customWidth="1"/>
    <col min="8710" max="8710" width="16.44140625" style="5809" customWidth="1"/>
    <col min="8711" max="8711" width="16.109375" style="5809" customWidth="1"/>
    <col min="8712" max="8712" width="16.44140625" style="5809" customWidth="1"/>
    <col min="8713" max="8962" width="9.109375" style="5809"/>
    <col min="8963" max="8963" width="3.88671875" style="5809" customWidth="1"/>
    <col min="8964" max="8964" width="36.44140625" style="5809" customWidth="1"/>
    <col min="8965" max="8965" width="9.44140625" style="5809" customWidth="1"/>
    <col min="8966" max="8966" width="16.44140625" style="5809" customWidth="1"/>
    <col min="8967" max="8967" width="16.109375" style="5809" customWidth="1"/>
    <col min="8968" max="8968" width="16.44140625" style="5809" customWidth="1"/>
    <col min="8969" max="9218" width="9.109375" style="5809"/>
    <col min="9219" max="9219" width="3.88671875" style="5809" customWidth="1"/>
    <col min="9220" max="9220" width="36.44140625" style="5809" customWidth="1"/>
    <col min="9221" max="9221" width="9.44140625" style="5809" customWidth="1"/>
    <col min="9222" max="9222" width="16.44140625" style="5809" customWidth="1"/>
    <col min="9223" max="9223" width="16.109375" style="5809" customWidth="1"/>
    <col min="9224" max="9224" width="16.44140625" style="5809" customWidth="1"/>
    <col min="9225" max="9474" width="9.109375" style="5809"/>
    <col min="9475" max="9475" width="3.88671875" style="5809" customWidth="1"/>
    <col min="9476" max="9476" width="36.44140625" style="5809" customWidth="1"/>
    <col min="9477" max="9477" width="9.44140625" style="5809" customWidth="1"/>
    <col min="9478" max="9478" width="16.44140625" style="5809" customWidth="1"/>
    <col min="9479" max="9479" width="16.109375" style="5809" customWidth="1"/>
    <col min="9480" max="9480" width="16.44140625" style="5809" customWidth="1"/>
    <col min="9481" max="9730" width="9.109375" style="5809"/>
    <col min="9731" max="9731" width="3.88671875" style="5809" customWidth="1"/>
    <col min="9732" max="9732" width="36.44140625" style="5809" customWidth="1"/>
    <col min="9733" max="9733" width="9.44140625" style="5809" customWidth="1"/>
    <col min="9734" max="9734" width="16.44140625" style="5809" customWidth="1"/>
    <col min="9735" max="9735" width="16.109375" style="5809" customWidth="1"/>
    <col min="9736" max="9736" width="16.44140625" style="5809" customWidth="1"/>
    <col min="9737" max="9986" width="9.109375" style="5809"/>
    <col min="9987" max="9987" width="3.88671875" style="5809" customWidth="1"/>
    <col min="9988" max="9988" width="36.44140625" style="5809" customWidth="1"/>
    <col min="9989" max="9989" width="9.44140625" style="5809" customWidth="1"/>
    <col min="9990" max="9990" width="16.44140625" style="5809" customWidth="1"/>
    <col min="9991" max="9991" width="16.109375" style="5809" customWidth="1"/>
    <col min="9992" max="9992" width="16.44140625" style="5809" customWidth="1"/>
    <col min="9993" max="10242" width="9.109375" style="5809"/>
    <col min="10243" max="10243" width="3.88671875" style="5809" customWidth="1"/>
    <col min="10244" max="10244" width="36.44140625" style="5809" customWidth="1"/>
    <col min="10245" max="10245" width="9.44140625" style="5809" customWidth="1"/>
    <col min="10246" max="10246" width="16.44140625" style="5809" customWidth="1"/>
    <col min="10247" max="10247" width="16.109375" style="5809" customWidth="1"/>
    <col min="10248" max="10248" width="16.44140625" style="5809" customWidth="1"/>
    <col min="10249" max="10498" width="9.109375" style="5809"/>
    <col min="10499" max="10499" width="3.88671875" style="5809" customWidth="1"/>
    <col min="10500" max="10500" width="36.44140625" style="5809" customWidth="1"/>
    <col min="10501" max="10501" width="9.44140625" style="5809" customWidth="1"/>
    <col min="10502" max="10502" width="16.44140625" style="5809" customWidth="1"/>
    <col min="10503" max="10503" width="16.109375" style="5809" customWidth="1"/>
    <col min="10504" max="10504" width="16.44140625" style="5809" customWidth="1"/>
    <col min="10505" max="10754" width="9.109375" style="5809"/>
    <col min="10755" max="10755" width="3.88671875" style="5809" customWidth="1"/>
    <col min="10756" max="10756" width="36.44140625" style="5809" customWidth="1"/>
    <col min="10757" max="10757" width="9.44140625" style="5809" customWidth="1"/>
    <col min="10758" max="10758" width="16.44140625" style="5809" customWidth="1"/>
    <col min="10759" max="10759" width="16.109375" style="5809" customWidth="1"/>
    <col min="10760" max="10760" width="16.44140625" style="5809" customWidth="1"/>
    <col min="10761" max="11010" width="9.109375" style="5809"/>
    <col min="11011" max="11011" width="3.88671875" style="5809" customWidth="1"/>
    <col min="11012" max="11012" width="36.44140625" style="5809" customWidth="1"/>
    <col min="11013" max="11013" width="9.44140625" style="5809" customWidth="1"/>
    <col min="11014" max="11014" width="16.44140625" style="5809" customWidth="1"/>
    <col min="11015" max="11015" width="16.109375" style="5809" customWidth="1"/>
    <col min="11016" max="11016" width="16.44140625" style="5809" customWidth="1"/>
    <col min="11017" max="11266" width="9.109375" style="5809"/>
    <col min="11267" max="11267" width="3.88671875" style="5809" customWidth="1"/>
    <col min="11268" max="11268" width="36.44140625" style="5809" customWidth="1"/>
    <col min="11269" max="11269" width="9.44140625" style="5809" customWidth="1"/>
    <col min="11270" max="11270" width="16.44140625" style="5809" customWidth="1"/>
    <col min="11271" max="11271" width="16.109375" style="5809" customWidth="1"/>
    <col min="11272" max="11272" width="16.44140625" style="5809" customWidth="1"/>
    <col min="11273" max="11522" width="9.109375" style="5809"/>
    <col min="11523" max="11523" width="3.88671875" style="5809" customWidth="1"/>
    <col min="11524" max="11524" width="36.44140625" style="5809" customWidth="1"/>
    <col min="11525" max="11525" width="9.44140625" style="5809" customWidth="1"/>
    <col min="11526" max="11526" width="16.44140625" style="5809" customWidth="1"/>
    <col min="11527" max="11527" width="16.109375" style="5809" customWidth="1"/>
    <col min="11528" max="11528" width="16.44140625" style="5809" customWidth="1"/>
    <col min="11529" max="11778" width="9.109375" style="5809"/>
    <col min="11779" max="11779" width="3.88671875" style="5809" customWidth="1"/>
    <col min="11780" max="11780" width="36.44140625" style="5809" customWidth="1"/>
    <col min="11781" max="11781" width="9.44140625" style="5809" customWidth="1"/>
    <col min="11782" max="11782" width="16.44140625" style="5809" customWidth="1"/>
    <col min="11783" max="11783" width="16.109375" style="5809" customWidth="1"/>
    <col min="11784" max="11784" width="16.44140625" style="5809" customWidth="1"/>
    <col min="11785" max="12034" width="9.109375" style="5809"/>
    <col min="12035" max="12035" width="3.88671875" style="5809" customWidth="1"/>
    <col min="12036" max="12036" width="36.44140625" style="5809" customWidth="1"/>
    <col min="12037" max="12037" width="9.44140625" style="5809" customWidth="1"/>
    <col min="12038" max="12038" width="16.44140625" style="5809" customWidth="1"/>
    <col min="12039" max="12039" width="16.109375" style="5809" customWidth="1"/>
    <col min="12040" max="12040" width="16.44140625" style="5809" customWidth="1"/>
    <col min="12041" max="12290" width="9.109375" style="5809"/>
    <col min="12291" max="12291" width="3.88671875" style="5809" customWidth="1"/>
    <col min="12292" max="12292" width="36.44140625" style="5809" customWidth="1"/>
    <col min="12293" max="12293" width="9.44140625" style="5809" customWidth="1"/>
    <col min="12294" max="12294" width="16.44140625" style="5809" customWidth="1"/>
    <col min="12295" max="12295" width="16.109375" style="5809" customWidth="1"/>
    <col min="12296" max="12296" width="16.44140625" style="5809" customWidth="1"/>
    <col min="12297" max="12546" width="9.109375" style="5809"/>
    <col min="12547" max="12547" width="3.88671875" style="5809" customWidth="1"/>
    <col min="12548" max="12548" width="36.44140625" style="5809" customWidth="1"/>
    <col min="12549" max="12549" width="9.44140625" style="5809" customWidth="1"/>
    <col min="12550" max="12550" width="16.44140625" style="5809" customWidth="1"/>
    <col min="12551" max="12551" width="16.109375" style="5809" customWidth="1"/>
    <col min="12552" max="12552" width="16.44140625" style="5809" customWidth="1"/>
    <col min="12553" max="12802" width="9.109375" style="5809"/>
    <col min="12803" max="12803" width="3.88671875" style="5809" customWidth="1"/>
    <col min="12804" max="12804" width="36.44140625" style="5809" customWidth="1"/>
    <col min="12805" max="12805" width="9.44140625" style="5809" customWidth="1"/>
    <col min="12806" max="12806" width="16.44140625" style="5809" customWidth="1"/>
    <col min="12807" max="12807" width="16.109375" style="5809" customWidth="1"/>
    <col min="12808" max="12808" width="16.44140625" style="5809" customWidth="1"/>
    <col min="12809" max="13058" width="9.109375" style="5809"/>
    <col min="13059" max="13059" width="3.88671875" style="5809" customWidth="1"/>
    <col min="13060" max="13060" width="36.44140625" style="5809" customWidth="1"/>
    <col min="13061" max="13061" width="9.44140625" style="5809" customWidth="1"/>
    <col min="13062" max="13062" width="16.44140625" style="5809" customWidth="1"/>
    <col min="13063" max="13063" width="16.109375" style="5809" customWidth="1"/>
    <col min="13064" max="13064" width="16.44140625" style="5809" customWidth="1"/>
    <col min="13065" max="13314" width="9.109375" style="5809"/>
    <col min="13315" max="13315" width="3.88671875" style="5809" customWidth="1"/>
    <col min="13316" max="13316" width="36.44140625" style="5809" customWidth="1"/>
    <col min="13317" max="13317" width="9.44140625" style="5809" customWidth="1"/>
    <col min="13318" max="13318" width="16.44140625" style="5809" customWidth="1"/>
    <col min="13319" max="13319" width="16.109375" style="5809" customWidth="1"/>
    <col min="13320" max="13320" width="16.44140625" style="5809" customWidth="1"/>
    <col min="13321" max="13570" width="9.109375" style="5809"/>
    <col min="13571" max="13571" width="3.88671875" style="5809" customWidth="1"/>
    <col min="13572" max="13572" width="36.44140625" style="5809" customWidth="1"/>
    <col min="13573" max="13573" width="9.44140625" style="5809" customWidth="1"/>
    <col min="13574" max="13574" width="16.44140625" style="5809" customWidth="1"/>
    <col min="13575" max="13575" width="16.109375" style="5809" customWidth="1"/>
    <col min="13576" max="13576" width="16.44140625" style="5809" customWidth="1"/>
    <col min="13577" max="13826" width="9.109375" style="5809"/>
    <col min="13827" max="13827" width="3.88671875" style="5809" customWidth="1"/>
    <col min="13828" max="13828" width="36.44140625" style="5809" customWidth="1"/>
    <col min="13829" max="13829" width="9.44140625" style="5809" customWidth="1"/>
    <col min="13830" max="13830" width="16.44140625" style="5809" customWidth="1"/>
    <col min="13831" max="13831" width="16.109375" style="5809" customWidth="1"/>
    <col min="13832" max="13832" width="16.44140625" style="5809" customWidth="1"/>
    <col min="13833" max="14082" width="9.109375" style="5809"/>
    <col min="14083" max="14083" width="3.88671875" style="5809" customWidth="1"/>
    <col min="14084" max="14084" width="36.44140625" style="5809" customWidth="1"/>
    <col min="14085" max="14085" width="9.44140625" style="5809" customWidth="1"/>
    <col min="14086" max="14086" width="16.44140625" style="5809" customWidth="1"/>
    <col min="14087" max="14087" width="16.109375" style="5809" customWidth="1"/>
    <col min="14088" max="14088" width="16.44140625" style="5809" customWidth="1"/>
    <col min="14089" max="14338" width="9.109375" style="5809"/>
    <col min="14339" max="14339" width="3.88671875" style="5809" customWidth="1"/>
    <col min="14340" max="14340" width="36.44140625" style="5809" customWidth="1"/>
    <col min="14341" max="14341" width="9.44140625" style="5809" customWidth="1"/>
    <col min="14342" max="14342" width="16.44140625" style="5809" customWidth="1"/>
    <col min="14343" max="14343" width="16.109375" style="5809" customWidth="1"/>
    <col min="14344" max="14344" width="16.44140625" style="5809" customWidth="1"/>
    <col min="14345" max="14594" width="9.109375" style="5809"/>
    <col min="14595" max="14595" width="3.88671875" style="5809" customWidth="1"/>
    <col min="14596" max="14596" width="36.44140625" style="5809" customWidth="1"/>
    <col min="14597" max="14597" width="9.44140625" style="5809" customWidth="1"/>
    <col min="14598" max="14598" width="16.44140625" style="5809" customWidth="1"/>
    <col min="14599" max="14599" width="16.109375" style="5809" customWidth="1"/>
    <col min="14600" max="14600" width="16.44140625" style="5809" customWidth="1"/>
    <col min="14601" max="14850" width="9.109375" style="5809"/>
    <col min="14851" max="14851" width="3.88671875" style="5809" customWidth="1"/>
    <col min="14852" max="14852" width="36.44140625" style="5809" customWidth="1"/>
    <col min="14853" max="14853" width="9.44140625" style="5809" customWidth="1"/>
    <col min="14854" max="14854" width="16.44140625" style="5809" customWidth="1"/>
    <col min="14855" max="14855" width="16.109375" style="5809" customWidth="1"/>
    <col min="14856" max="14856" width="16.44140625" style="5809" customWidth="1"/>
    <col min="14857" max="15106" width="9.109375" style="5809"/>
    <col min="15107" max="15107" width="3.88671875" style="5809" customWidth="1"/>
    <col min="15108" max="15108" width="36.44140625" style="5809" customWidth="1"/>
    <col min="15109" max="15109" width="9.44140625" style="5809" customWidth="1"/>
    <col min="15110" max="15110" width="16.44140625" style="5809" customWidth="1"/>
    <col min="15111" max="15111" width="16.109375" style="5809" customWidth="1"/>
    <col min="15112" max="15112" width="16.44140625" style="5809" customWidth="1"/>
    <col min="15113" max="15362" width="9.109375" style="5809"/>
    <col min="15363" max="15363" width="3.88671875" style="5809" customWidth="1"/>
    <col min="15364" max="15364" width="36.44140625" style="5809" customWidth="1"/>
    <col min="15365" max="15365" width="9.44140625" style="5809" customWidth="1"/>
    <col min="15366" max="15366" width="16.44140625" style="5809" customWidth="1"/>
    <col min="15367" max="15367" width="16.109375" style="5809" customWidth="1"/>
    <col min="15368" max="15368" width="16.44140625" style="5809" customWidth="1"/>
    <col min="15369" max="15618" width="9.109375" style="5809"/>
    <col min="15619" max="15619" width="3.88671875" style="5809" customWidth="1"/>
    <col min="15620" max="15620" width="36.44140625" style="5809" customWidth="1"/>
    <col min="15621" max="15621" width="9.44140625" style="5809" customWidth="1"/>
    <col min="15622" max="15622" width="16.44140625" style="5809" customWidth="1"/>
    <col min="15623" max="15623" width="16.109375" style="5809" customWidth="1"/>
    <col min="15624" max="15624" width="16.44140625" style="5809" customWidth="1"/>
    <col min="15625" max="15874" width="9.109375" style="5809"/>
    <col min="15875" max="15875" width="3.88671875" style="5809" customWidth="1"/>
    <col min="15876" max="15876" width="36.44140625" style="5809" customWidth="1"/>
    <col min="15877" max="15877" width="9.44140625" style="5809" customWidth="1"/>
    <col min="15878" max="15878" width="16.44140625" style="5809" customWidth="1"/>
    <col min="15879" max="15879" width="16.109375" style="5809" customWidth="1"/>
    <col min="15880" max="15880" width="16.44140625" style="5809" customWidth="1"/>
    <col min="15881" max="16130" width="9.109375" style="5809"/>
    <col min="16131" max="16131" width="3.88671875" style="5809" customWidth="1"/>
    <col min="16132" max="16132" width="36.44140625" style="5809" customWidth="1"/>
    <col min="16133" max="16133" width="9.44140625" style="5809" customWidth="1"/>
    <col min="16134" max="16134" width="16.44140625" style="5809" customWidth="1"/>
    <col min="16135" max="16135" width="16.109375" style="5809" customWidth="1"/>
    <col min="16136" max="16136" width="16.44140625" style="5809" customWidth="1"/>
    <col min="16137" max="16384" width="9.109375" style="5809"/>
  </cols>
  <sheetData>
    <row r="1" spans="1:9" ht="13.5" customHeight="1">
      <c r="A1" s="5823"/>
      <c r="B1" s="5824" t="s">
        <v>1</v>
      </c>
      <c r="C1" s="6696"/>
      <c r="D1" s="6635"/>
      <c r="E1" s="6635"/>
      <c r="F1" s="6635"/>
      <c r="G1" s="6635"/>
      <c r="H1" s="6635"/>
    </row>
    <row r="2" spans="1:9" ht="13.5" customHeight="1">
      <c r="A2" s="5823"/>
      <c r="B2" s="5825"/>
      <c r="C2" s="6696"/>
      <c r="D2" s="6636"/>
      <c r="E2" s="6636"/>
      <c r="F2" s="6636"/>
      <c r="G2" s="6636"/>
      <c r="H2" s="6636"/>
    </row>
    <row r="3" spans="1:9" ht="13.5" customHeight="1">
      <c r="A3" s="5823" t="s">
        <v>2</v>
      </c>
      <c r="B3" s="5826"/>
      <c r="C3" s="6697" t="s">
        <v>138</v>
      </c>
      <c r="D3" s="6637"/>
      <c r="E3" s="6637"/>
      <c r="F3" s="6637"/>
      <c r="G3" s="6637"/>
      <c r="H3" s="6636"/>
    </row>
    <row r="4" spans="1:9" ht="17.25" customHeight="1">
      <c r="A4" s="5823" t="s">
        <v>4</v>
      </c>
      <c r="B4" s="5825"/>
      <c r="C4" s="6697" t="s">
        <v>139</v>
      </c>
      <c r="D4" s="6636"/>
      <c r="E4" s="6636"/>
      <c r="F4" s="6636"/>
      <c r="G4" s="6636"/>
      <c r="H4" s="6637"/>
    </row>
    <row r="5" spans="1:9" ht="13.5" customHeight="1" thickBot="1">
      <c r="A5" s="5827" t="s">
        <v>7</v>
      </c>
      <c r="B5" s="5828"/>
      <c r="C5" s="6698" t="s">
        <v>8</v>
      </c>
      <c r="D5" s="6638"/>
      <c r="E5" s="6638"/>
      <c r="F5" s="6639"/>
      <c r="G5" s="6639"/>
      <c r="H5" s="6638"/>
    </row>
    <row r="6" spans="1:9" ht="0.75" customHeight="1">
      <c r="A6" s="5822"/>
      <c r="B6" s="5829"/>
      <c r="C6" s="6699"/>
      <c r="D6" s="6640"/>
      <c r="E6" s="6641"/>
      <c r="F6" s="6642"/>
      <c r="G6" s="6642"/>
      <c r="H6" s="6641"/>
    </row>
    <row r="7" spans="1:9" ht="13.5" customHeight="1">
      <c r="A7" s="5830"/>
      <c r="B7" s="5831"/>
      <c r="C7" s="5832" t="s">
        <v>93</v>
      </c>
      <c r="D7" s="6643" t="s">
        <v>10</v>
      </c>
      <c r="E7" s="6643" t="s">
        <v>11</v>
      </c>
      <c r="F7" s="6625" t="s">
        <v>9985</v>
      </c>
      <c r="G7" s="6625" t="s">
        <v>9985</v>
      </c>
      <c r="H7" s="6643" t="s">
        <v>12</v>
      </c>
    </row>
    <row r="8" spans="1:9" ht="13.5" customHeight="1">
      <c r="A8" s="5830"/>
      <c r="B8" s="5831" t="s">
        <v>13</v>
      </c>
      <c r="C8" s="5832" t="s">
        <v>94</v>
      </c>
      <c r="D8" s="6643" t="s">
        <v>15</v>
      </c>
      <c r="E8" s="6643" t="s">
        <v>16</v>
      </c>
      <c r="F8" s="6625">
        <v>2014</v>
      </c>
      <c r="G8" s="6625" t="s">
        <v>9988</v>
      </c>
      <c r="H8" s="6643" t="s">
        <v>16</v>
      </c>
    </row>
    <row r="9" spans="1:9" ht="13.5" customHeight="1" thickBot="1">
      <c r="A9" s="5833"/>
      <c r="B9" s="5834"/>
      <c r="C9" s="5835"/>
      <c r="D9" s="5836">
        <v>2015</v>
      </c>
      <c r="E9" s="5836">
        <v>2015</v>
      </c>
      <c r="F9" s="5866"/>
      <c r="G9" s="5866">
        <v>2014</v>
      </c>
      <c r="H9" s="5836">
        <v>2016</v>
      </c>
    </row>
    <row r="10" spans="1:9" ht="13.5" customHeight="1">
      <c r="A10" s="5837" t="s">
        <v>17</v>
      </c>
      <c r="B10" s="5829" t="s">
        <v>18</v>
      </c>
      <c r="C10" s="6700"/>
      <c r="D10" s="6644" t="s">
        <v>9</v>
      </c>
      <c r="E10" s="6644"/>
      <c r="F10" s="6645"/>
      <c r="G10" s="6645"/>
      <c r="H10" s="6644"/>
    </row>
    <row r="11" spans="1:9" ht="13.5" customHeight="1">
      <c r="A11" s="5830"/>
      <c r="B11" s="5829" t="s">
        <v>19</v>
      </c>
      <c r="C11" s="6700"/>
      <c r="D11" s="6644"/>
      <c r="E11" s="6644"/>
      <c r="F11" s="6645"/>
      <c r="G11" s="6645"/>
      <c r="H11" s="6644"/>
    </row>
    <row r="12" spans="1:9" ht="15" customHeight="1">
      <c r="A12" s="5830"/>
      <c r="B12" s="5829" t="s">
        <v>20</v>
      </c>
      <c r="C12" s="6700" t="s">
        <v>140</v>
      </c>
      <c r="D12" s="6646">
        <f>'WS-PS 2017'!B26</f>
        <v>0</v>
      </c>
      <c r="E12" s="6646">
        <v>3771060</v>
      </c>
      <c r="F12" s="6647"/>
      <c r="G12" s="6647"/>
      <c r="H12" s="14717" t="s">
        <v>10348</v>
      </c>
      <c r="I12" s="5817">
        <v>3764520</v>
      </c>
    </row>
    <row r="13" spans="1:9" ht="15" customHeight="1">
      <c r="A13" s="5830"/>
      <c r="B13" s="5829" t="s">
        <v>21</v>
      </c>
      <c r="C13" s="6700">
        <v>711</v>
      </c>
      <c r="D13" s="6644">
        <f>'WS-PS 2017'!F26</f>
        <v>0</v>
      </c>
      <c r="E13" s="6644">
        <f>480000+24000</f>
        <v>504000</v>
      </c>
      <c r="F13" s="6645"/>
      <c r="G13" s="6645"/>
      <c r="H13" s="14717"/>
      <c r="I13" s="5818">
        <v>504000</v>
      </c>
    </row>
    <row r="14" spans="1:9" ht="15" customHeight="1">
      <c r="A14" s="5830"/>
      <c r="B14" s="5829" t="s">
        <v>22</v>
      </c>
      <c r="C14" s="6700">
        <v>715</v>
      </c>
      <c r="D14" s="6644">
        <f>'WS-PS 2017'!I26</f>
        <v>0</v>
      </c>
      <c r="E14" s="6644">
        <v>105000</v>
      </c>
      <c r="F14" s="6645"/>
      <c r="G14" s="6645"/>
      <c r="H14" s="14717"/>
      <c r="I14" s="5818">
        <v>105000</v>
      </c>
    </row>
    <row r="15" spans="1:9" ht="15" customHeight="1">
      <c r="A15" s="5830"/>
      <c r="B15" s="5829" t="s">
        <v>23</v>
      </c>
      <c r="C15" s="6700">
        <v>717</v>
      </c>
      <c r="D15" s="6644">
        <f>'WS-PS 2017'!L26</f>
        <v>0</v>
      </c>
      <c r="E15" s="6644">
        <v>42000</v>
      </c>
      <c r="F15" s="6645"/>
      <c r="G15" s="6645"/>
      <c r="H15" s="14717"/>
      <c r="I15" s="5818">
        <v>0</v>
      </c>
    </row>
    <row r="16" spans="1:9" ht="15" customHeight="1">
      <c r="A16" s="5838"/>
      <c r="B16" s="5839" t="s">
        <v>4766</v>
      </c>
      <c r="C16" s="6701" t="s">
        <v>10495</v>
      </c>
      <c r="D16" s="6648">
        <f>'WS-PS 2017'!P26</f>
        <v>0</v>
      </c>
      <c r="E16" s="6648">
        <v>0</v>
      </c>
      <c r="F16" s="6645"/>
      <c r="G16" s="6645"/>
      <c r="H16" s="14717"/>
      <c r="I16" s="5819"/>
    </row>
    <row r="17" spans="1:9" ht="15" hidden="1" customHeight="1">
      <c r="A17" s="5840"/>
      <c r="B17" s="5839" t="s">
        <v>5026</v>
      </c>
      <c r="C17" s="6632" t="s">
        <v>10494</v>
      </c>
      <c r="D17" s="6648">
        <f>'WS-PS 2017'!Q26</f>
        <v>0</v>
      </c>
      <c r="E17" s="6648">
        <v>0</v>
      </c>
      <c r="F17" s="6645"/>
      <c r="G17" s="6645"/>
      <c r="H17" s="14717"/>
      <c r="I17" s="5819"/>
    </row>
    <row r="18" spans="1:9" ht="15" customHeight="1">
      <c r="A18" s="5840"/>
      <c r="B18" s="5839" t="s">
        <v>10230</v>
      </c>
      <c r="C18" s="6632" t="s">
        <v>10496</v>
      </c>
      <c r="D18" s="6649"/>
      <c r="E18" s="6649"/>
      <c r="F18" s="6649"/>
      <c r="G18" s="6649"/>
      <c r="H18" s="14717"/>
      <c r="I18" s="5820">
        <v>210000</v>
      </c>
    </row>
    <row r="19" spans="1:9" ht="15" customHeight="1">
      <c r="A19" s="5830"/>
      <c r="B19" s="5829" t="s">
        <v>141</v>
      </c>
      <c r="C19" s="6700">
        <v>723</v>
      </c>
      <c r="D19" s="6644">
        <f>'WS-PS 2017'!R26</f>
        <v>0</v>
      </c>
      <c r="E19" s="6644">
        <v>130000</v>
      </c>
      <c r="F19" s="6645"/>
      <c r="G19" s="6645"/>
      <c r="H19" s="14717"/>
      <c r="I19" s="5818">
        <v>130000</v>
      </c>
    </row>
    <row r="20" spans="1:9" ht="15" customHeight="1">
      <c r="A20" s="5830"/>
      <c r="B20" s="5829" t="s">
        <v>26</v>
      </c>
      <c r="C20" s="6700">
        <v>724</v>
      </c>
      <c r="D20" s="6644">
        <f>'WS-PS 2017'!T26</f>
        <v>0</v>
      </c>
      <c r="E20" s="6644">
        <v>105000</v>
      </c>
      <c r="F20" s="6645"/>
      <c r="G20" s="6645"/>
      <c r="H20" s="14717"/>
      <c r="I20" s="5818">
        <v>105000</v>
      </c>
    </row>
    <row r="21" spans="1:9" ht="15" customHeight="1">
      <c r="A21" s="5830"/>
      <c r="B21" s="5829" t="s">
        <v>27</v>
      </c>
      <c r="C21" s="6700">
        <v>725</v>
      </c>
      <c r="D21" s="6650">
        <f>'WS-PS 2017'!U26</f>
        <v>0</v>
      </c>
      <c r="E21" s="6650">
        <f>E12/12</f>
        <v>314255</v>
      </c>
      <c r="F21" s="6651"/>
      <c r="G21" s="6651"/>
      <c r="H21" s="14717"/>
      <c r="I21" s="5821">
        <v>313710</v>
      </c>
    </row>
    <row r="22" spans="1:9" ht="15" customHeight="1">
      <c r="A22" s="5830"/>
      <c r="B22" s="5829" t="s">
        <v>142</v>
      </c>
      <c r="C22" s="6700">
        <v>731</v>
      </c>
      <c r="D22" s="6644">
        <f>'WS-PS 2017'!V26</f>
        <v>0</v>
      </c>
      <c r="E22" s="6644">
        <v>452527</v>
      </c>
      <c r="F22" s="6645"/>
      <c r="G22" s="6645"/>
      <c r="H22" s="14717"/>
      <c r="I22" s="5818">
        <v>451742</v>
      </c>
    </row>
    <row r="23" spans="1:9" ht="15" customHeight="1">
      <c r="A23" s="5830"/>
      <c r="B23" s="5829" t="s">
        <v>28</v>
      </c>
      <c r="C23" s="6700">
        <v>732</v>
      </c>
      <c r="D23" s="6644">
        <f>'WS-PS 2017'!W26</f>
        <v>0</v>
      </c>
      <c r="E23" s="6644">
        <v>25200</v>
      </c>
      <c r="F23" s="6645"/>
      <c r="G23" s="6645"/>
      <c r="H23" s="14717"/>
      <c r="I23" s="5818">
        <v>25200</v>
      </c>
    </row>
    <row r="24" spans="1:9" ht="15" customHeight="1">
      <c r="A24" s="5830"/>
      <c r="B24" s="5829" t="s">
        <v>29</v>
      </c>
      <c r="C24" s="6700">
        <v>733</v>
      </c>
      <c r="D24" s="6644">
        <f>'WS-PS 2017'!X26</f>
        <v>0</v>
      </c>
      <c r="E24" s="6644">
        <v>50701</v>
      </c>
      <c r="F24" s="6645"/>
      <c r="G24" s="6645"/>
      <c r="H24" s="14717"/>
      <c r="I24" s="5818">
        <v>50400</v>
      </c>
    </row>
    <row r="25" spans="1:9" ht="15" customHeight="1">
      <c r="A25" s="5830"/>
      <c r="B25" s="5829" t="s">
        <v>30</v>
      </c>
      <c r="C25" s="6700">
        <v>734</v>
      </c>
      <c r="D25" s="6644">
        <f>'WS-PS 2017'!Y26</f>
        <v>0</v>
      </c>
      <c r="E25" s="6644">
        <v>25200</v>
      </c>
      <c r="F25" s="6645"/>
      <c r="G25" s="6645"/>
      <c r="H25" s="14717"/>
      <c r="I25" s="5818">
        <v>25200</v>
      </c>
    </row>
    <row r="26" spans="1:9" ht="15" hidden="1" customHeight="1">
      <c r="A26" s="5830"/>
      <c r="B26" s="5829" t="s">
        <v>143</v>
      </c>
      <c r="C26" s="6700">
        <v>749</v>
      </c>
      <c r="D26" s="6644">
        <v>0</v>
      </c>
      <c r="E26" s="6644">
        <v>0</v>
      </c>
      <c r="F26" s="6645"/>
      <c r="G26" s="6645"/>
      <c r="H26" s="14717"/>
      <c r="I26" s="5818"/>
    </row>
    <row r="27" spans="1:9" ht="15" customHeight="1">
      <c r="A27" s="5830"/>
      <c r="B27" s="5829" t="s">
        <v>123</v>
      </c>
      <c r="C27" s="6700" t="s">
        <v>10497</v>
      </c>
      <c r="D27" s="6644">
        <f>'WS-PS 2017'!O26</f>
        <v>0</v>
      </c>
      <c r="E27" s="6644">
        <v>35000</v>
      </c>
      <c r="F27" s="6645"/>
      <c r="G27" s="6645"/>
      <c r="H27" s="14717"/>
      <c r="I27" s="5818">
        <v>5000</v>
      </c>
    </row>
    <row r="28" spans="1:9" ht="15" customHeight="1">
      <c r="A28" s="5830"/>
      <c r="B28" s="5829" t="s">
        <v>124</v>
      </c>
      <c r="C28" s="6700" t="s">
        <v>10493</v>
      </c>
      <c r="D28" s="6644">
        <f>'WS-PS 2017'!Z26</f>
        <v>0</v>
      </c>
      <c r="E28" s="6644">
        <v>0</v>
      </c>
      <c r="F28" s="6645"/>
      <c r="G28" s="6645"/>
      <c r="H28" s="14717"/>
      <c r="I28" s="5818"/>
    </row>
    <row r="29" spans="1:9" ht="15" customHeight="1">
      <c r="A29" s="5830"/>
      <c r="B29" s="5829" t="s">
        <v>320</v>
      </c>
      <c r="C29" s="6700" t="s">
        <v>9</v>
      </c>
      <c r="D29" s="6652"/>
      <c r="E29" s="6652"/>
      <c r="F29" s="6653"/>
      <c r="G29" s="6653"/>
      <c r="H29" s="14718"/>
    </row>
    <row r="30" spans="1:9" ht="1.5" customHeight="1">
      <c r="A30" s="5830"/>
      <c r="B30" s="5829"/>
      <c r="C30" s="6700"/>
      <c r="D30" s="6644"/>
      <c r="E30" s="6644"/>
      <c r="F30" s="6645"/>
      <c r="G30" s="6645"/>
      <c r="H30" s="6644"/>
    </row>
    <row r="31" spans="1:9" ht="15.75" customHeight="1">
      <c r="A31" s="5830"/>
      <c r="B31" s="5841" t="s">
        <v>37</v>
      </c>
      <c r="C31" s="6700"/>
      <c r="D31" s="6654">
        <f>SUM(D11:D29)</f>
        <v>0</v>
      </c>
      <c r="E31" s="6655">
        <f>SUM(E11:E29)</f>
        <v>5559943</v>
      </c>
      <c r="F31" s="6656"/>
      <c r="G31" s="6656"/>
      <c r="H31" s="6655">
        <f>SUM(H11:H29)</f>
        <v>0</v>
      </c>
      <c r="I31" s="5807">
        <f>SUM(I12:I29)</f>
        <v>5689772</v>
      </c>
    </row>
    <row r="32" spans="1:9" ht="1.5" customHeight="1">
      <c r="A32" s="5830"/>
      <c r="B32" s="5841"/>
      <c r="C32" s="6700"/>
      <c r="D32" s="6657"/>
      <c r="E32" s="6657"/>
      <c r="F32" s="6658"/>
      <c r="G32" s="6658"/>
      <c r="H32" s="6657"/>
    </row>
    <row r="33" spans="1:8" ht="15" customHeight="1">
      <c r="A33" s="5837"/>
      <c r="B33" s="5829" t="s">
        <v>38</v>
      </c>
      <c r="C33" s="6700"/>
      <c r="D33" s="6644"/>
      <c r="E33" s="6644"/>
      <c r="F33" s="6645"/>
      <c r="G33" s="6645"/>
      <c r="H33" s="6644"/>
    </row>
    <row r="34" spans="1:8" ht="15" customHeight="1">
      <c r="A34" s="5830"/>
      <c r="B34" s="5829" t="s">
        <v>39</v>
      </c>
      <c r="C34" s="6700">
        <v>751</v>
      </c>
      <c r="D34" s="6644">
        <f>'WS-MOOE 2017'!B26</f>
        <v>0</v>
      </c>
      <c r="E34" s="6644">
        <v>95000</v>
      </c>
      <c r="F34" s="6645">
        <v>35266</v>
      </c>
      <c r="G34" s="6659">
        <f>F34/E34</f>
        <v>0.37122105263157895</v>
      </c>
      <c r="H34" s="14717" t="s">
        <v>10348</v>
      </c>
    </row>
    <row r="35" spans="1:8" ht="15" customHeight="1">
      <c r="A35" s="5830"/>
      <c r="B35" s="5829" t="s">
        <v>41</v>
      </c>
      <c r="C35" s="6700">
        <v>753</v>
      </c>
      <c r="D35" s="6644">
        <f>'WS-MOOE 2017'!H26</f>
        <v>0</v>
      </c>
      <c r="E35" s="6644">
        <v>73500</v>
      </c>
      <c r="F35" s="6645">
        <v>47400</v>
      </c>
      <c r="G35" s="6659">
        <f t="shared" ref="G35:G51" si="0">F35/E35</f>
        <v>0.64489795918367343</v>
      </c>
      <c r="H35" s="14717"/>
    </row>
    <row r="36" spans="1:8" ht="15" customHeight="1">
      <c r="A36" s="5830"/>
      <c r="B36" s="5829" t="s">
        <v>42</v>
      </c>
      <c r="C36" s="6700">
        <v>755</v>
      </c>
      <c r="D36" s="6644">
        <f>'WS-MOOE 2017'!J26</f>
        <v>0</v>
      </c>
      <c r="E36" s="6644">
        <v>150000</v>
      </c>
      <c r="F36" s="6645">
        <v>83493.2</v>
      </c>
      <c r="G36" s="6659">
        <f t="shared" si="0"/>
        <v>0.5566213333333333</v>
      </c>
      <c r="H36" s="14717"/>
    </row>
    <row r="37" spans="1:8" ht="15" hidden="1" customHeight="1">
      <c r="A37" s="5830"/>
      <c r="B37" s="5829" t="s">
        <v>44</v>
      </c>
      <c r="C37" s="6700">
        <v>761</v>
      </c>
      <c r="D37" s="6644">
        <f>'WS-MOOE 2017'!R26</f>
        <v>0</v>
      </c>
      <c r="E37" s="6644">
        <v>0</v>
      </c>
      <c r="F37" s="6645"/>
      <c r="G37" s="6659" t="e">
        <f t="shared" si="0"/>
        <v>#DIV/0!</v>
      </c>
      <c r="H37" s="14717"/>
    </row>
    <row r="38" spans="1:8" ht="15" customHeight="1">
      <c r="A38" s="5830"/>
      <c r="B38" s="5829" t="s">
        <v>144</v>
      </c>
      <c r="C38" s="6700">
        <v>763</v>
      </c>
      <c r="D38" s="6644">
        <f>'WS-MOOE 2017'!U26</f>
        <v>0</v>
      </c>
      <c r="E38" s="6644">
        <v>231000</v>
      </c>
      <c r="F38" s="6645">
        <v>2533.75</v>
      </c>
      <c r="G38" s="6659">
        <f t="shared" si="0"/>
        <v>1.0968614718614718E-2</v>
      </c>
      <c r="H38" s="14717"/>
    </row>
    <row r="39" spans="1:8" ht="15" customHeight="1">
      <c r="A39" s="5830"/>
      <c r="B39" s="5829" t="s">
        <v>46</v>
      </c>
      <c r="C39" s="6700">
        <v>767</v>
      </c>
      <c r="D39" s="6644">
        <f>'WS-MOOE 2017'!X26</f>
        <v>0</v>
      </c>
      <c r="E39" s="6644">
        <v>300700</v>
      </c>
      <c r="F39" s="6645">
        <v>236370.05</v>
      </c>
      <c r="G39" s="6659">
        <f t="shared" si="0"/>
        <v>0.7860660126371799</v>
      </c>
      <c r="H39" s="14717"/>
    </row>
    <row r="40" spans="1:8" ht="15" customHeight="1">
      <c r="A40" s="5830"/>
      <c r="B40" s="5829" t="s">
        <v>145</v>
      </c>
      <c r="C40" s="6700" t="s">
        <v>63</v>
      </c>
      <c r="D40" s="6644">
        <f>'WS-MOOE 2017'!Z26</f>
        <v>0</v>
      </c>
      <c r="E40" s="6644">
        <v>7000</v>
      </c>
      <c r="F40" s="6645">
        <v>2041</v>
      </c>
      <c r="G40" s="6659">
        <f t="shared" si="0"/>
        <v>0.29157142857142859</v>
      </c>
      <c r="H40" s="14717"/>
    </row>
    <row r="41" spans="1:8" ht="15" customHeight="1">
      <c r="A41" s="5830"/>
      <c r="B41" s="5829" t="s">
        <v>146</v>
      </c>
      <c r="C41" s="6700" t="s">
        <v>147</v>
      </c>
      <c r="D41" s="6644">
        <f>'WS-MOOE 2017'!AA26+'WS-MOOE 2017'!AE26</f>
        <v>0</v>
      </c>
      <c r="E41" s="6644">
        <v>77200</v>
      </c>
      <c r="F41" s="6645">
        <v>23071.57</v>
      </c>
      <c r="G41" s="6659">
        <f t="shared" si="0"/>
        <v>0.29885453367875647</v>
      </c>
      <c r="H41" s="14717"/>
    </row>
    <row r="42" spans="1:8" ht="15" customHeight="1">
      <c r="A42" s="5830"/>
      <c r="B42" s="5829" t="s">
        <v>173</v>
      </c>
      <c r="C42" s="6700">
        <v>773</v>
      </c>
      <c r="D42" s="6644">
        <f>'WS-MOOE 2017'!AC26</f>
        <v>0</v>
      </c>
      <c r="E42" s="6644">
        <v>12000</v>
      </c>
      <c r="F42" s="6645">
        <v>500</v>
      </c>
      <c r="G42" s="6659">
        <f t="shared" si="0"/>
        <v>4.1666666666666664E-2</v>
      </c>
      <c r="H42" s="14717"/>
    </row>
    <row r="43" spans="1:8" ht="15" customHeight="1">
      <c r="A43" s="5830"/>
      <c r="B43" s="5829" t="s">
        <v>114</v>
      </c>
      <c r="C43" s="6700">
        <v>781</v>
      </c>
      <c r="D43" s="6644">
        <f>'WS-MOOE 2017'!BJ26</f>
        <v>0</v>
      </c>
      <c r="E43" s="6644">
        <v>10000</v>
      </c>
      <c r="F43" s="6645">
        <v>0</v>
      </c>
      <c r="G43" s="6659">
        <f t="shared" si="0"/>
        <v>0</v>
      </c>
      <c r="H43" s="14717"/>
    </row>
    <row r="44" spans="1:8" ht="15" customHeight="1">
      <c r="A44" s="5830"/>
      <c r="B44" s="5829" t="s">
        <v>100</v>
      </c>
      <c r="C44" s="6700">
        <v>783</v>
      </c>
      <c r="D44" s="6644">
        <f>'WS-MOOE 2017'!BK26</f>
        <v>0</v>
      </c>
      <c r="E44" s="6644">
        <v>34800</v>
      </c>
      <c r="F44" s="6645">
        <v>21195.56</v>
      </c>
      <c r="G44" s="6659">
        <f t="shared" si="0"/>
        <v>0.60906781609195404</v>
      </c>
      <c r="H44" s="14717"/>
    </row>
    <row r="45" spans="1:8" ht="15" customHeight="1">
      <c r="A45" s="5830"/>
      <c r="B45" s="5829" t="s">
        <v>128</v>
      </c>
      <c r="C45" s="6700">
        <v>786</v>
      </c>
      <c r="D45" s="6644">
        <f>'WS-MOOE 2017'!BL26</f>
        <v>0</v>
      </c>
      <c r="E45" s="6644">
        <v>300000</v>
      </c>
      <c r="F45" s="6645">
        <v>140520</v>
      </c>
      <c r="G45" s="6659">
        <f t="shared" si="0"/>
        <v>0.46839999999999998</v>
      </c>
      <c r="H45" s="14717"/>
    </row>
    <row r="46" spans="1:8" ht="15" customHeight="1">
      <c r="A46" s="5830"/>
      <c r="B46" s="5829" t="s">
        <v>148</v>
      </c>
      <c r="C46" s="6700">
        <v>795</v>
      </c>
      <c r="D46" s="6644">
        <f>'WS-MOOE 2017'!AO26</f>
        <v>0</v>
      </c>
      <c r="E46" s="6644">
        <v>569200</v>
      </c>
      <c r="F46" s="6645">
        <v>277511</v>
      </c>
      <c r="G46" s="6659">
        <f t="shared" si="0"/>
        <v>0.48754567814476457</v>
      </c>
      <c r="H46" s="14717"/>
    </row>
    <row r="47" spans="1:8" ht="15" customHeight="1">
      <c r="A47" s="5830"/>
      <c r="B47" s="5829" t="s">
        <v>149</v>
      </c>
      <c r="C47" s="6700">
        <v>823</v>
      </c>
      <c r="D47" s="6644">
        <f>'WS-MOOE 2017'!AY26</f>
        <v>0</v>
      </c>
      <c r="E47" s="6644">
        <v>40000</v>
      </c>
      <c r="F47" s="6645">
        <v>0</v>
      </c>
      <c r="G47" s="6659">
        <f t="shared" si="0"/>
        <v>0</v>
      </c>
      <c r="H47" s="14717"/>
    </row>
    <row r="48" spans="1:8" ht="15" customHeight="1">
      <c r="A48" s="5830"/>
      <c r="B48" s="5829" t="s">
        <v>150</v>
      </c>
      <c r="C48" s="6700">
        <v>840</v>
      </c>
      <c r="D48" s="6644">
        <f>'WS-MOOE 2017'!BA26</f>
        <v>0</v>
      </c>
      <c r="E48" s="6644">
        <v>20000</v>
      </c>
      <c r="F48" s="6645">
        <v>0</v>
      </c>
      <c r="G48" s="6659">
        <f>F48/E48</f>
        <v>0</v>
      </c>
      <c r="H48" s="14717"/>
    </row>
    <row r="49" spans="1:10" ht="15" hidden="1" customHeight="1">
      <c r="A49" s="5830"/>
      <c r="B49" s="5829" t="s">
        <v>151</v>
      </c>
      <c r="C49" s="6700">
        <v>841</v>
      </c>
      <c r="D49" s="6644">
        <f>'WS-MOOE 2017'!BB26</f>
        <v>0</v>
      </c>
      <c r="E49" s="6644">
        <v>0</v>
      </c>
      <c r="F49" s="6645"/>
      <c r="G49" s="6659" t="e">
        <f t="shared" si="0"/>
        <v>#DIV/0!</v>
      </c>
      <c r="H49" s="14717"/>
    </row>
    <row r="50" spans="1:10" ht="15" customHeight="1">
      <c r="A50" s="5830"/>
      <c r="B50" s="5829" t="s">
        <v>72</v>
      </c>
      <c r="C50" s="6700">
        <v>892</v>
      </c>
      <c r="D50" s="6644">
        <f>'WS-MOOE 2017'!BH26</f>
        <v>0</v>
      </c>
      <c r="E50" s="6644">
        <v>2000</v>
      </c>
      <c r="F50" s="6645">
        <v>300</v>
      </c>
      <c r="G50" s="6659">
        <f t="shared" si="0"/>
        <v>0.15</v>
      </c>
      <c r="H50" s="14717"/>
    </row>
    <row r="51" spans="1:10" ht="15" customHeight="1">
      <c r="A51" s="5830"/>
      <c r="B51" s="5829" t="s">
        <v>152</v>
      </c>
      <c r="C51" s="6700">
        <v>969</v>
      </c>
      <c r="D51" s="6644">
        <f>'WS-MOOE 2017'!BO26</f>
        <v>0</v>
      </c>
      <c r="E51" s="6644">
        <v>60000</v>
      </c>
      <c r="F51" s="6645">
        <v>11366.25</v>
      </c>
      <c r="G51" s="6659">
        <f t="shared" si="0"/>
        <v>0.18943750000000001</v>
      </c>
      <c r="H51" s="14718"/>
    </row>
    <row r="52" spans="1:10" ht="6" customHeight="1">
      <c r="A52" s="5830"/>
      <c r="B52" s="5829"/>
      <c r="C52" s="6700"/>
      <c r="D52" s="6644"/>
      <c r="E52" s="6644"/>
      <c r="F52" s="6645"/>
      <c r="G52" s="6645"/>
      <c r="H52" s="6644"/>
    </row>
    <row r="53" spans="1:10" s="5798" customFormat="1" ht="20.25" customHeight="1">
      <c r="A53" s="5800"/>
      <c r="B53" s="5804" t="s">
        <v>37</v>
      </c>
      <c r="C53" s="5873"/>
      <c r="D53" s="6660">
        <f>SUM(D34:D51)</f>
        <v>0</v>
      </c>
      <c r="E53" s="6661">
        <f>SUM(E34:E51)</f>
        <v>1982400</v>
      </c>
      <c r="F53" s="6629"/>
      <c r="G53" s="6629"/>
      <c r="H53" s="6661">
        <f>SUM(H34:H51)</f>
        <v>0</v>
      </c>
      <c r="I53" s="5787"/>
      <c r="J53" s="5787">
        <f>E53*1.05</f>
        <v>2081520</v>
      </c>
    </row>
    <row r="54" spans="1:10" ht="13.5" customHeight="1">
      <c r="A54" s="5840"/>
      <c r="B54" s="5841"/>
      <c r="C54" s="6702"/>
      <c r="D54" s="6662"/>
      <c r="E54" s="6662"/>
      <c r="F54" s="6656"/>
      <c r="G54" s="6656"/>
      <c r="H54" s="6662"/>
      <c r="J54" s="5807"/>
    </row>
    <row r="55" spans="1:10" ht="13.5" customHeight="1">
      <c r="A55" s="5842"/>
      <c r="B55" s="5843"/>
      <c r="C55" s="6703"/>
      <c r="D55" s="6663"/>
      <c r="E55" s="6663"/>
      <c r="F55" s="6664"/>
      <c r="G55" s="6664"/>
      <c r="H55" s="6663"/>
      <c r="J55" s="5807"/>
    </row>
    <row r="56" spans="1:10" ht="13.5" customHeight="1">
      <c r="A56" s="5822"/>
      <c r="B56" s="5841"/>
      <c r="C56" s="6704"/>
      <c r="D56" s="6665"/>
      <c r="E56" s="6665"/>
      <c r="F56" s="6665"/>
      <c r="G56" s="6665"/>
      <c r="H56" s="6665"/>
      <c r="J56" s="5807"/>
    </row>
    <row r="57" spans="1:10" ht="13.5" customHeight="1">
      <c r="A57" s="5822"/>
      <c r="B57" s="5841"/>
      <c r="C57" s="6704"/>
      <c r="D57" s="6665"/>
      <c r="E57" s="6665"/>
      <c r="F57" s="6665"/>
      <c r="G57" s="6665"/>
      <c r="H57" s="6665"/>
      <c r="J57" s="5807"/>
    </row>
    <row r="58" spans="1:10" ht="13.5" customHeight="1">
      <c r="A58" s="5822"/>
      <c r="B58" s="5841"/>
      <c r="C58" s="6704"/>
      <c r="D58" s="6665"/>
      <c r="E58" s="6665"/>
      <c r="F58" s="6665"/>
      <c r="G58" s="6665"/>
      <c r="H58" s="6665"/>
      <c r="J58" s="5807"/>
    </row>
    <row r="59" spans="1:10" ht="13.5" customHeight="1">
      <c r="A59" s="5822"/>
      <c r="B59" s="5841"/>
      <c r="C59" s="6704"/>
      <c r="D59" s="6665"/>
      <c r="E59" s="6665"/>
      <c r="F59" s="6665"/>
      <c r="G59" s="6665"/>
      <c r="H59" s="6665"/>
      <c r="J59" s="5807"/>
    </row>
    <row r="60" spans="1:10" ht="13.5" customHeight="1">
      <c r="A60" s="5822"/>
      <c r="B60" s="5841"/>
      <c r="C60" s="6704"/>
      <c r="D60" s="6665"/>
      <c r="E60" s="6665"/>
      <c r="F60" s="6665"/>
      <c r="G60" s="6665"/>
      <c r="H60" s="6665"/>
      <c r="J60" s="5807"/>
    </row>
    <row r="61" spans="1:10" ht="13.5" customHeight="1">
      <c r="A61" s="5822"/>
      <c r="B61" s="5841"/>
      <c r="C61" s="6704"/>
      <c r="D61" s="6665"/>
      <c r="E61" s="6665"/>
      <c r="F61" s="6665"/>
      <c r="G61" s="6665"/>
      <c r="H61" s="6665"/>
      <c r="J61" s="5807"/>
    </row>
    <row r="62" spans="1:10" ht="13.5" customHeight="1">
      <c r="A62" s="5822"/>
      <c r="B62" s="5841"/>
      <c r="C62" s="6704"/>
      <c r="D62" s="6665"/>
      <c r="E62" s="6665"/>
      <c r="F62" s="6665"/>
      <c r="G62" s="6665"/>
      <c r="H62" s="6665"/>
      <c r="J62" s="5807"/>
    </row>
    <row r="63" spans="1:10" ht="13.5" customHeight="1">
      <c r="A63" s="5822"/>
      <c r="B63" s="5841"/>
      <c r="C63" s="6704"/>
      <c r="D63" s="6665"/>
      <c r="E63" s="6665"/>
      <c r="F63" s="6665"/>
      <c r="G63" s="6665"/>
      <c r="H63" s="6665"/>
      <c r="J63" s="5807"/>
    </row>
    <row r="64" spans="1:10" ht="13.5" customHeight="1">
      <c r="A64" s="5822"/>
      <c r="B64" s="5841"/>
      <c r="C64" s="6704"/>
      <c r="D64" s="6665"/>
      <c r="E64" s="6665"/>
      <c r="F64" s="6665"/>
      <c r="G64" s="6665"/>
      <c r="H64" s="6665"/>
      <c r="J64" s="5807"/>
    </row>
    <row r="65" spans="1:10" ht="18.75" customHeight="1">
      <c r="A65" s="5844" t="s">
        <v>9157</v>
      </c>
      <c r="B65" s="5845"/>
      <c r="C65" s="6705"/>
      <c r="D65" s="6666"/>
      <c r="E65" s="6666"/>
      <c r="F65" s="6667"/>
      <c r="G65" s="6667"/>
      <c r="H65" s="6666"/>
      <c r="J65" s="5807"/>
    </row>
    <row r="66" spans="1:10" ht="13.5" customHeight="1">
      <c r="A66" s="5830"/>
      <c r="B66" s="5831"/>
      <c r="C66" s="5832" t="s">
        <v>93</v>
      </c>
      <c r="D66" s="6643" t="s">
        <v>10</v>
      </c>
      <c r="E66" s="6643" t="s">
        <v>11</v>
      </c>
      <c r="F66" s="6668"/>
      <c r="G66" s="6668"/>
      <c r="H66" s="6643" t="s">
        <v>12</v>
      </c>
    </row>
    <row r="67" spans="1:10" ht="13.5" customHeight="1">
      <c r="A67" s="5830"/>
      <c r="B67" s="5831" t="s">
        <v>13</v>
      </c>
      <c r="C67" s="5832" t="s">
        <v>94</v>
      </c>
      <c r="D67" s="6643" t="s">
        <v>15</v>
      </c>
      <c r="E67" s="6643" t="s">
        <v>16</v>
      </c>
      <c r="F67" s="6668"/>
      <c r="G67" s="6668"/>
      <c r="H67" s="6643" t="s">
        <v>16</v>
      </c>
    </row>
    <row r="68" spans="1:10" ht="13.5" customHeight="1" thickBot="1">
      <c r="A68" s="5833"/>
      <c r="B68" s="5834"/>
      <c r="C68" s="5835"/>
      <c r="D68" s="5836">
        <v>2015</v>
      </c>
      <c r="E68" s="5836">
        <v>2015</v>
      </c>
      <c r="F68" s="5846"/>
      <c r="G68" s="5846"/>
      <c r="H68" s="5836">
        <v>2016</v>
      </c>
      <c r="I68" s="5847"/>
    </row>
    <row r="69" spans="1:10" ht="13.5" customHeight="1">
      <c r="A69" s="5840"/>
      <c r="B69" s="5831"/>
      <c r="C69" s="5848"/>
      <c r="D69" s="6669"/>
      <c r="E69" s="6669"/>
      <c r="F69" s="6668"/>
      <c r="G69" s="6668"/>
      <c r="H69" s="6669"/>
    </row>
    <row r="70" spans="1:10" ht="15" customHeight="1">
      <c r="A70" s="5837" t="s">
        <v>51</v>
      </c>
      <c r="B70" s="5829" t="s">
        <v>4764</v>
      </c>
      <c r="C70" s="6700"/>
      <c r="D70" s="6670"/>
      <c r="E70" s="6644"/>
      <c r="F70" s="6645"/>
      <c r="G70" s="6645"/>
      <c r="H70" s="6644"/>
      <c r="J70" s="5797"/>
    </row>
    <row r="71" spans="1:10" ht="15" customHeight="1">
      <c r="A71" s="5849"/>
      <c r="B71" s="5812" t="s">
        <v>161</v>
      </c>
      <c r="C71" s="6706">
        <v>223</v>
      </c>
      <c r="D71" s="6671">
        <f>'WS-CO 2017'!H25</f>
        <v>0</v>
      </c>
      <c r="E71" s="6648">
        <v>50000</v>
      </c>
      <c r="F71" s="6645"/>
      <c r="G71" s="6645"/>
      <c r="H71" s="6648"/>
    </row>
    <row r="72" spans="1:10" ht="15" customHeight="1">
      <c r="A72" s="5850"/>
      <c r="B72" s="5829" t="s">
        <v>9979</v>
      </c>
      <c r="C72" s="6702"/>
      <c r="D72" s="6672"/>
      <c r="E72" s="6673"/>
      <c r="F72" s="6645"/>
      <c r="G72" s="6645"/>
      <c r="H72" s="6673"/>
    </row>
    <row r="73" spans="1:10" s="5810" customFormat="1" ht="27" customHeight="1">
      <c r="A73" s="5851"/>
      <c r="B73" s="5852" t="s">
        <v>9127</v>
      </c>
      <c r="C73" s="5897"/>
      <c r="D73" s="6674"/>
      <c r="E73" s="6675"/>
      <c r="F73" s="6622">
        <v>112200</v>
      </c>
      <c r="G73" s="6676" t="e">
        <f>F73/E73</f>
        <v>#DIV/0!</v>
      </c>
      <c r="H73" s="6675"/>
      <c r="I73" s="5784"/>
    </row>
    <row r="74" spans="1:10" ht="24.75" customHeight="1">
      <c r="A74" s="5850"/>
      <c r="B74" s="5829" t="s">
        <v>176</v>
      </c>
      <c r="C74" s="6702">
        <v>221</v>
      </c>
      <c r="D74" s="6672">
        <f>'WS-CO 2017'!F25</f>
        <v>0</v>
      </c>
      <c r="E74" s="6673">
        <v>350000</v>
      </c>
      <c r="F74" s="6645"/>
      <c r="G74" s="6645"/>
      <c r="H74" s="6673"/>
    </row>
    <row r="75" spans="1:10" ht="15" customHeight="1">
      <c r="A75" s="5849"/>
      <c r="B75" s="5829" t="s">
        <v>9980</v>
      </c>
      <c r="C75" s="6706"/>
      <c r="D75" s="6671"/>
      <c r="E75" s="6648"/>
      <c r="F75" s="6645"/>
      <c r="G75" s="6645"/>
      <c r="H75" s="6648"/>
    </row>
    <row r="76" spans="1:10" ht="15" customHeight="1">
      <c r="A76" s="5850"/>
      <c r="B76" s="5829" t="s">
        <v>6035</v>
      </c>
      <c r="C76" s="6702"/>
      <c r="D76" s="6677"/>
      <c r="E76" s="6678"/>
      <c r="F76" s="6645">
        <v>65750</v>
      </c>
      <c r="G76" s="6659" t="e">
        <f>F76/E76</f>
        <v>#DIV/0!</v>
      </c>
      <c r="H76" s="6678"/>
    </row>
    <row r="77" spans="1:10" ht="15" customHeight="1">
      <c r="A77" s="5850"/>
      <c r="B77" s="5829" t="s">
        <v>6036</v>
      </c>
      <c r="C77" s="6702"/>
      <c r="D77" s="6677"/>
      <c r="E77" s="6678"/>
      <c r="F77" s="6645"/>
      <c r="G77" s="6645"/>
      <c r="H77" s="6678"/>
    </row>
    <row r="78" spans="1:10" ht="15" customHeight="1">
      <c r="A78" s="5850"/>
      <c r="B78" s="5829"/>
      <c r="C78" s="6702"/>
      <c r="D78" s="6679"/>
      <c r="E78" s="6680"/>
      <c r="F78" s="6645"/>
      <c r="G78" s="6645"/>
      <c r="H78" s="6680"/>
    </row>
    <row r="79" spans="1:10" s="5798" customFormat="1" ht="24" customHeight="1">
      <c r="A79" s="5801"/>
      <c r="B79" s="5804" t="s">
        <v>37</v>
      </c>
      <c r="C79" s="5875"/>
      <c r="D79" s="6681">
        <f>SUM(D71:D75)</f>
        <v>0</v>
      </c>
      <c r="E79" s="6661">
        <f>SUM(E71:E77)</f>
        <v>400000</v>
      </c>
      <c r="F79" s="6629"/>
      <c r="G79" s="6629"/>
      <c r="H79" s="6661">
        <f>SUM(H71:H77)</f>
        <v>0</v>
      </c>
      <c r="I79" s="5787"/>
    </row>
    <row r="80" spans="1:10" ht="13.5" customHeight="1">
      <c r="A80" s="5850"/>
      <c r="B80" s="5841"/>
      <c r="C80" s="6702"/>
      <c r="D80" s="6682"/>
      <c r="E80" s="6683"/>
      <c r="F80" s="6656"/>
      <c r="G80" s="6656"/>
      <c r="H80" s="6683"/>
    </row>
    <row r="81" spans="1:9" ht="13.5" customHeight="1">
      <c r="A81" s="5849" t="s">
        <v>53</v>
      </c>
      <c r="B81" s="5829" t="s">
        <v>259</v>
      </c>
      <c r="C81" s="6706"/>
      <c r="D81" s="6671"/>
      <c r="E81" s="6648"/>
      <c r="F81" s="6645"/>
      <c r="G81" s="6645"/>
      <c r="H81" s="6648"/>
    </row>
    <row r="82" spans="1:9" ht="13.5" customHeight="1">
      <c r="A82" s="5850"/>
      <c r="B82" s="5829"/>
      <c r="C82" s="6702"/>
      <c r="D82" s="6682"/>
      <c r="E82" s="6684"/>
      <c r="F82" s="6645"/>
      <c r="G82" s="6645"/>
      <c r="H82" s="6684"/>
    </row>
    <row r="83" spans="1:9" ht="16.5" customHeight="1">
      <c r="A83" s="5849"/>
      <c r="B83" s="5829" t="s">
        <v>37</v>
      </c>
      <c r="C83" s="6706"/>
      <c r="D83" s="6685"/>
      <c r="E83" s="6686"/>
      <c r="F83" s="6687"/>
      <c r="G83" s="6687"/>
      <c r="H83" s="6686"/>
    </row>
    <row r="84" spans="1:9" ht="13.5" customHeight="1">
      <c r="A84" s="5850"/>
      <c r="B84" s="5829"/>
      <c r="C84" s="6702"/>
      <c r="D84" s="6688"/>
      <c r="E84" s="6689"/>
      <c r="F84" s="6690"/>
      <c r="G84" s="6690"/>
      <c r="H84" s="6689"/>
    </row>
    <row r="85" spans="1:9" s="5798" customFormat="1" ht="22.5" customHeight="1">
      <c r="A85" s="5853"/>
      <c r="B85" s="5854" t="s">
        <v>55</v>
      </c>
      <c r="C85" s="6707"/>
      <c r="D85" s="6691">
        <f>(D31+D53+D79)</f>
        <v>0</v>
      </c>
      <c r="E85" s="6691">
        <f>(E31+E53+E79)</f>
        <v>7942343</v>
      </c>
      <c r="F85" s="6628"/>
      <c r="G85" s="6628"/>
      <c r="H85" s="6691">
        <f>(H31+H53+H79+H83)</f>
        <v>0</v>
      </c>
      <c r="I85" s="5787"/>
    </row>
    <row r="86" spans="1:9" ht="2.25" customHeight="1" thickBot="1">
      <c r="A86" s="5855"/>
      <c r="B86" s="5856"/>
      <c r="C86" s="6708"/>
      <c r="D86" s="6692"/>
      <c r="E86" s="6693"/>
      <c r="F86" s="6693"/>
      <c r="G86" s="6693"/>
      <c r="H86" s="6693"/>
    </row>
    <row r="87" spans="1:9" s="5790" customFormat="1" ht="13.5" customHeight="1" thickTop="1">
      <c r="A87" s="5789" t="s">
        <v>4763</v>
      </c>
      <c r="B87" s="5794"/>
      <c r="C87" s="6621"/>
      <c r="D87" s="6623"/>
      <c r="E87" s="6623"/>
      <c r="F87" s="6623"/>
      <c r="G87" s="6623"/>
      <c r="H87" s="6624"/>
      <c r="I87" s="5791"/>
    </row>
    <row r="88" spans="1:9" ht="13.5" customHeight="1">
      <c r="A88" s="5823"/>
      <c r="B88" s="5825"/>
      <c r="C88" s="6696"/>
      <c r="D88" s="6636"/>
      <c r="E88" s="6636"/>
      <c r="F88" s="6636"/>
      <c r="G88" s="6636"/>
    </row>
    <row r="89" spans="1:9" s="5816" customFormat="1" ht="13.5" hidden="1" customHeight="1">
      <c r="A89" s="5802" t="s">
        <v>3483</v>
      </c>
      <c r="B89" s="5805"/>
      <c r="C89" s="6633" t="s">
        <v>3484</v>
      </c>
      <c r="D89" s="6630"/>
      <c r="E89" s="6626" t="s">
        <v>3485</v>
      </c>
      <c r="F89" s="6626"/>
      <c r="G89" s="6626"/>
      <c r="H89" s="6630"/>
      <c r="I89" s="5807"/>
    </row>
    <row r="90" spans="1:9" s="5857" customFormat="1" ht="13.5" hidden="1" customHeight="1">
      <c r="A90" s="5802"/>
      <c r="B90" s="5805"/>
      <c r="C90" s="6633"/>
      <c r="D90" s="6631"/>
      <c r="E90" s="6626"/>
      <c r="F90" s="6626"/>
      <c r="G90" s="6626"/>
      <c r="H90" s="6631"/>
      <c r="I90" s="5811"/>
    </row>
    <row r="91" spans="1:9" s="5816" customFormat="1" ht="13.5" hidden="1" customHeight="1">
      <c r="A91" s="5802"/>
      <c r="B91" s="5805"/>
      <c r="C91" s="6633"/>
      <c r="D91" s="6630"/>
      <c r="E91" s="6626"/>
      <c r="F91" s="6626"/>
      <c r="G91" s="6626"/>
      <c r="H91" s="6630"/>
      <c r="I91" s="5807"/>
    </row>
    <row r="92" spans="1:9" ht="13.5" hidden="1" customHeight="1">
      <c r="A92" s="14715" t="s">
        <v>9156</v>
      </c>
      <c r="B92" s="14715"/>
      <c r="C92" s="6634" t="s">
        <v>10110</v>
      </c>
      <c r="D92" s="6630"/>
      <c r="E92" s="6627" t="s">
        <v>9154</v>
      </c>
      <c r="F92" s="6627"/>
      <c r="G92" s="6627"/>
      <c r="H92" s="6630"/>
    </row>
    <row r="93" spans="1:9" ht="13.5" hidden="1" customHeight="1">
      <c r="A93" s="14716" t="s">
        <v>10111</v>
      </c>
      <c r="B93" s="14716"/>
      <c r="C93" s="6633" t="s">
        <v>3486</v>
      </c>
      <c r="D93" s="6630"/>
      <c r="E93" s="14714" t="s">
        <v>737</v>
      </c>
      <c r="F93" s="14714"/>
      <c r="G93" s="14714"/>
      <c r="H93" s="14714"/>
    </row>
    <row r="94" spans="1:9" ht="13.5" customHeight="1">
      <c r="A94" s="5823"/>
      <c r="B94" s="5825"/>
      <c r="C94" s="6696"/>
      <c r="D94" s="6636"/>
      <c r="E94" s="6636"/>
      <c r="F94" s="6636"/>
      <c r="G94" s="6636"/>
      <c r="H94" s="6636"/>
    </row>
    <row r="95" spans="1:9" ht="15" customHeight="1">
      <c r="A95" s="5823"/>
      <c r="B95" s="5825"/>
      <c r="C95" s="6696"/>
      <c r="D95" s="6636"/>
      <c r="E95" s="6636"/>
      <c r="F95" s="6636"/>
      <c r="G95" s="6636"/>
      <c r="H95" s="6695"/>
    </row>
    <row r="96" spans="1:9" ht="13.5" customHeight="1">
      <c r="A96" s="5823"/>
      <c r="B96" s="5825"/>
      <c r="C96" s="6696"/>
      <c r="D96" s="6636"/>
      <c r="E96" s="6636"/>
      <c r="F96" s="6636"/>
      <c r="G96" s="6636"/>
      <c r="H96" s="6636"/>
    </row>
    <row r="97" spans="1:8" ht="13.5" customHeight="1">
      <c r="A97" s="5823"/>
      <c r="B97" s="5825"/>
      <c r="C97" s="6696"/>
      <c r="D97" s="6636"/>
      <c r="E97" s="6636"/>
      <c r="F97" s="6636"/>
      <c r="G97" s="6636"/>
      <c r="H97" s="6636"/>
    </row>
    <row r="98" spans="1:8" ht="13.5" customHeight="1">
      <c r="A98" s="5823"/>
      <c r="B98" s="5825"/>
      <c r="C98" s="6696"/>
      <c r="D98" s="6636"/>
      <c r="E98" s="6636"/>
      <c r="F98" s="6636"/>
      <c r="G98" s="6636"/>
      <c r="H98" s="6636"/>
    </row>
    <row r="99" spans="1:8" ht="13.5" customHeight="1">
      <c r="A99" s="5823"/>
      <c r="B99" s="5825"/>
      <c r="C99" s="6696"/>
      <c r="D99" s="6636"/>
      <c r="E99" s="6636"/>
      <c r="F99" s="6636"/>
      <c r="G99" s="6636"/>
      <c r="H99" s="6636"/>
    </row>
    <row r="100" spans="1:8" ht="13.5" customHeight="1">
      <c r="A100" s="5823"/>
      <c r="B100" s="5825"/>
      <c r="C100" s="6696"/>
      <c r="D100" s="6636"/>
      <c r="E100" s="6636"/>
      <c r="F100" s="6636"/>
      <c r="G100" s="6636"/>
      <c r="H100" s="6636"/>
    </row>
    <row r="101" spans="1:8" ht="13.5" customHeight="1">
      <c r="A101" s="5823"/>
      <c r="B101" s="5825"/>
      <c r="C101" s="6696"/>
      <c r="D101" s="6636"/>
      <c r="E101" s="6636"/>
      <c r="F101" s="6636"/>
      <c r="G101" s="6636"/>
      <c r="H101" s="6636"/>
    </row>
  </sheetData>
  <mergeCells count="5">
    <mergeCell ref="E93:H93"/>
    <mergeCell ref="A92:B92"/>
    <mergeCell ref="A93:B93"/>
    <mergeCell ref="H12:H29"/>
    <mergeCell ref="H34:H51"/>
  </mergeCells>
  <printOptions gridLinesSet="0"/>
  <pageMargins left="0.5" right="0.25" top="0.75" bottom="1.75" header="0.5" footer="0.25"/>
  <pageSetup paperSize="5" firstPageNumber="115" orientation="portrait" useFirstPageNumber="1" verticalDpi="300" r:id="rId1"/>
  <headerFooter alignWithMargins="0"/>
</worksheet>
</file>

<file path=xl/worksheets/sheet75.xml><?xml version="1.0" encoding="utf-8"?>
<worksheet xmlns="http://schemas.openxmlformats.org/spreadsheetml/2006/main" xmlns:r="http://schemas.openxmlformats.org/officeDocument/2006/relationships">
  <sheetPr codeName="Sheet111">
    <tabColor rgb="FFFFFF00"/>
  </sheetPr>
  <dimension ref="A1:E29"/>
  <sheetViews>
    <sheetView topLeftCell="A13" workbookViewId="0">
      <selection activeCell="G9" sqref="G9"/>
    </sheetView>
  </sheetViews>
  <sheetFormatPr defaultColWidth="9.109375" defaultRowHeight="14.4"/>
  <cols>
    <col min="1" max="1" width="43.88671875" style="818" customWidth="1"/>
    <col min="2" max="2" width="13.88671875" style="889" customWidth="1"/>
    <col min="3" max="3" width="14" style="889" customWidth="1"/>
    <col min="4" max="4" width="11.44140625" style="889" customWidth="1"/>
    <col min="5" max="5" width="14.109375" style="889" customWidth="1"/>
    <col min="6" max="16384" width="9.109375" style="818"/>
  </cols>
  <sheetData>
    <row r="1" spans="1:5" s="881" customFormat="1" ht="40.5" customHeight="1">
      <c r="A1" s="881" t="s">
        <v>3426</v>
      </c>
      <c r="B1" s="884"/>
      <c r="C1" s="884"/>
      <c r="D1" s="884"/>
      <c r="E1" s="884"/>
    </row>
    <row r="2" spans="1:5" s="881" customFormat="1" ht="17.25" customHeight="1">
      <c r="A2" s="6" t="s">
        <v>4777</v>
      </c>
      <c r="B2" s="884"/>
      <c r="C2" s="884"/>
      <c r="D2" s="884"/>
      <c r="E2" s="884"/>
    </row>
    <row r="3" spans="1:5" s="881" customFormat="1" ht="17.25" customHeight="1">
      <c r="B3" s="884"/>
      <c r="C3" s="884"/>
      <c r="D3" s="884"/>
      <c r="E3" s="884"/>
    </row>
    <row r="4" spans="1:5" s="881" customFormat="1">
      <c r="A4" s="14205" t="s">
        <v>3427</v>
      </c>
      <c r="B4" s="14207" t="s">
        <v>18</v>
      </c>
      <c r="C4" s="14207"/>
      <c r="D4" s="14207"/>
      <c r="E4" s="14208" t="s">
        <v>220</v>
      </c>
    </row>
    <row r="5" spans="1:5" s="1027" customFormat="1" ht="28.8">
      <c r="A5" s="14206"/>
      <c r="B5" s="1002" t="s">
        <v>2151</v>
      </c>
      <c r="C5" s="1002" t="s">
        <v>1973</v>
      </c>
      <c r="D5" s="1002" t="s">
        <v>52</v>
      </c>
      <c r="E5" s="14209"/>
    </row>
    <row r="6" spans="1:5" s="881" customFormat="1">
      <c r="A6" s="883" t="s">
        <v>2048</v>
      </c>
      <c r="B6" s="886"/>
      <c r="C6" s="886"/>
      <c r="D6" s="886"/>
      <c r="E6" s="886"/>
    </row>
    <row r="7" spans="1:5">
      <c r="A7" s="879" t="s">
        <v>3646</v>
      </c>
      <c r="B7" s="887">
        <v>5081030</v>
      </c>
      <c r="C7" s="887"/>
      <c r="D7" s="887"/>
      <c r="E7" s="887">
        <f>SUM(B7:D7)</f>
        <v>5081030</v>
      </c>
    </row>
    <row r="8" spans="1:5" s="951" customFormat="1" ht="21.75" customHeight="1">
      <c r="A8" s="998" t="s">
        <v>3647</v>
      </c>
      <c r="B8" s="954"/>
      <c r="C8" s="954"/>
      <c r="D8" s="954"/>
      <c r="E8" s="954"/>
    </row>
    <row r="9" spans="1:5" s="951" customFormat="1" ht="27.75" customHeight="1">
      <c r="A9" s="1048" t="s">
        <v>3648</v>
      </c>
      <c r="B9" s="957"/>
      <c r="C9" s="957">
        <f>'lbpf 3-LIB'!H53</f>
        <v>0</v>
      </c>
      <c r="D9" s="957"/>
      <c r="E9" s="954">
        <f>SUM(B9:D9)</f>
        <v>0</v>
      </c>
    </row>
    <row r="10" spans="1:5">
      <c r="A10" s="1007" t="s">
        <v>3649</v>
      </c>
      <c r="B10" s="945"/>
      <c r="C10" s="945"/>
      <c r="D10" s="945">
        <f>'lbpf 3-LIB'!H79</f>
        <v>0</v>
      </c>
      <c r="E10" s="887">
        <f>SUM(B10:D10)</f>
        <v>0</v>
      </c>
    </row>
    <row r="11" spans="1:5">
      <c r="A11" s="1007" t="s">
        <v>6037</v>
      </c>
      <c r="B11" s="945"/>
      <c r="C11" s="945"/>
      <c r="D11" s="945"/>
      <c r="E11" s="887"/>
    </row>
    <row r="12" spans="1:5">
      <c r="A12" s="1007" t="s">
        <v>6038</v>
      </c>
      <c r="B12" s="945"/>
      <c r="C12" s="945"/>
      <c r="D12" s="945"/>
      <c r="E12" s="887">
        <f>SUM(B12:D12)</f>
        <v>0</v>
      </c>
    </row>
    <row r="13" spans="1:5">
      <c r="A13" s="1007" t="s">
        <v>6039</v>
      </c>
      <c r="B13" s="945"/>
      <c r="C13" s="945"/>
      <c r="D13" s="945"/>
      <c r="E13" s="887"/>
    </row>
    <row r="14" spans="1:5">
      <c r="A14" s="3646"/>
      <c r="B14" s="2387"/>
      <c r="C14" s="2387"/>
      <c r="D14" s="2387"/>
      <c r="E14" s="2387"/>
    </row>
    <row r="15" spans="1:5">
      <c r="A15" s="3646"/>
      <c r="B15" s="2387"/>
      <c r="C15" s="2387"/>
      <c r="D15" s="2387"/>
      <c r="E15" s="2387"/>
    </row>
    <row r="16" spans="1:5">
      <c r="A16" s="3646"/>
      <c r="B16" s="2387"/>
      <c r="C16" s="2387"/>
      <c r="D16" s="2387"/>
      <c r="E16" s="2387"/>
    </row>
    <row r="17" spans="1:5">
      <c r="A17" s="1028"/>
      <c r="B17" s="978"/>
      <c r="C17" s="978"/>
      <c r="D17" s="978"/>
      <c r="E17" s="978"/>
    </row>
    <row r="18" spans="1:5">
      <c r="A18" s="883" t="s">
        <v>3429</v>
      </c>
      <c r="B18" s="887"/>
      <c r="C18" s="887"/>
      <c r="D18" s="887"/>
      <c r="E18" s="887"/>
    </row>
    <row r="19" spans="1:5">
      <c r="A19" s="890" t="s">
        <v>3430</v>
      </c>
      <c r="B19" s="887"/>
      <c r="C19" s="887"/>
      <c r="D19" s="887"/>
      <c r="E19" s="887"/>
    </row>
    <row r="20" spans="1:5">
      <c r="A20" s="879"/>
      <c r="B20" s="887"/>
      <c r="C20" s="887"/>
      <c r="D20" s="887"/>
      <c r="E20" s="887"/>
    </row>
    <row r="21" spans="1:5">
      <c r="A21" s="879"/>
      <c r="B21" s="887"/>
      <c r="C21" s="887"/>
      <c r="D21" s="887"/>
      <c r="E21" s="887"/>
    </row>
    <row r="22" spans="1:5">
      <c r="A22" s="3646"/>
      <c r="B22" s="2387"/>
      <c r="C22" s="2387"/>
      <c r="D22" s="2387"/>
      <c r="E22" s="2387"/>
    </row>
    <row r="23" spans="1:5">
      <c r="A23" s="3646"/>
      <c r="B23" s="2387"/>
      <c r="C23" s="2387"/>
      <c r="D23" s="2387"/>
      <c r="E23" s="2387"/>
    </row>
    <row r="24" spans="1:5">
      <c r="A24" s="3646"/>
      <c r="B24" s="2387"/>
      <c r="C24" s="2387"/>
      <c r="D24" s="2387"/>
      <c r="E24" s="2387"/>
    </row>
    <row r="25" spans="1:5">
      <c r="A25" s="3646"/>
      <c r="B25" s="2387"/>
      <c r="C25" s="2387"/>
      <c r="D25" s="2387"/>
      <c r="E25" s="2387"/>
    </row>
    <row r="26" spans="1:5">
      <c r="A26" s="3646"/>
      <c r="B26" s="2387"/>
      <c r="C26" s="2387"/>
      <c r="D26" s="2387"/>
      <c r="E26" s="2387"/>
    </row>
    <row r="27" spans="1:5">
      <c r="A27" s="879"/>
      <c r="B27" s="887"/>
      <c r="C27" s="887"/>
      <c r="D27" s="887"/>
      <c r="E27" s="887"/>
    </row>
    <row r="28" spans="1:5">
      <c r="A28" s="879"/>
      <c r="B28" s="887"/>
      <c r="C28" s="887"/>
      <c r="D28" s="887"/>
      <c r="E28" s="887"/>
    </row>
    <row r="29" spans="1:5" s="881" customFormat="1">
      <c r="A29" s="891" t="s">
        <v>2850</v>
      </c>
      <c r="B29" s="892">
        <f>SUM(B6:B28)</f>
        <v>5081030</v>
      </c>
      <c r="C29" s="892">
        <f>SUM(C6:C28)</f>
        <v>0</v>
      </c>
      <c r="D29" s="892">
        <f>SUM(D6:D28)</f>
        <v>0</v>
      </c>
      <c r="E29" s="892">
        <f>SUM(E6:E28)</f>
        <v>5081030</v>
      </c>
    </row>
  </sheetData>
  <mergeCells count="3">
    <mergeCell ref="A4:A5"/>
    <mergeCell ref="B4:D4"/>
    <mergeCell ref="E4:E5"/>
  </mergeCells>
  <printOptions horizontalCentered="1"/>
  <pageMargins left="0.5" right="0.25" top="0.75" bottom="0.5" header="0.3" footer="0.25"/>
  <pageSetup paperSize="119" firstPageNumber="116" orientation="portrait" useFirstPageNumber="1" verticalDpi="300" r:id="rId1"/>
</worksheet>
</file>

<file path=xl/worksheets/sheet76.xml><?xml version="1.0" encoding="utf-8"?>
<worksheet xmlns="http://schemas.openxmlformats.org/spreadsheetml/2006/main" xmlns:r="http://schemas.openxmlformats.org/officeDocument/2006/relationships">
  <sheetPr codeName="Sheet49">
    <tabColor rgb="FFFFFF00"/>
  </sheetPr>
  <dimension ref="A1:F63"/>
  <sheetViews>
    <sheetView workbookViewId="0">
      <selection activeCell="F30" sqref="F30:F34"/>
    </sheetView>
  </sheetViews>
  <sheetFormatPr defaultRowHeight="13.2"/>
  <cols>
    <col min="1" max="1" width="36.109375" style="1326" customWidth="1"/>
    <col min="2" max="2" width="10.88671875" style="1326" customWidth="1"/>
    <col min="3" max="3" width="9.44140625" style="1326" customWidth="1"/>
    <col min="4" max="5" width="14.109375" style="1326" customWidth="1"/>
    <col min="6" max="6" width="13" style="1326" customWidth="1"/>
    <col min="7" max="234" width="9.109375" style="1326"/>
    <col min="235" max="235" width="34.109375" style="1326" customWidth="1"/>
    <col min="236" max="237" width="9.109375" style="1326"/>
    <col min="238" max="238" width="10" style="1326" customWidth="1"/>
    <col min="239" max="239" width="15.109375" style="1326" customWidth="1"/>
    <col min="240" max="240" width="13.88671875" style="1326" customWidth="1"/>
    <col min="241" max="241" width="9.109375" style="1326"/>
    <col min="242" max="242" width="12.109375" style="1326" customWidth="1"/>
    <col min="243" max="243" width="11.88671875" style="1326" customWidth="1"/>
    <col min="244" max="490" width="9.109375" style="1326"/>
    <col min="491" max="491" width="34.109375" style="1326" customWidth="1"/>
    <col min="492" max="493" width="9.109375" style="1326"/>
    <col min="494" max="494" width="10" style="1326" customWidth="1"/>
    <col min="495" max="495" width="15.109375" style="1326" customWidth="1"/>
    <col min="496" max="496" width="13.88671875" style="1326" customWidth="1"/>
    <col min="497" max="497" width="9.109375" style="1326"/>
    <col min="498" max="498" width="12.109375" style="1326" customWidth="1"/>
    <col min="499" max="499" width="11.88671875" style="1326" customWidth="1"/>
    <col min="500" max="746" width="9.109375" style="1326"/>
    <col min="747" max="747" width="34.109375" style="1326" customWidth="1"/>
    <col min="748" max="749" width="9.109375" style="1326"/>
    <col min="750" max="750" width="10" style="1326" customWidth="1"/>
    <col min="751" max="751" width="15.109375" style="1326" customWidth="1"/>
    <col min="752" max="752" width="13.88671875" style="1326" customWidth="1"/>
    <col min="753" max="753" width="9.109375" style="1326"/>
    <col min="754" max="754" width="12.109375" style="1326" customWidth="1"/>
    <col min="755" max="755" width="11.88671875" style="1326" customWidth="1"/>
    <col min="756" max="1002" width="9.109375" style="1326"/>
    <col min="1003" max="1003" width="34.109375" style="1326" customWidth="1"/>
    <col min="1004" max="1005" width="9.109375" style="1326"/>
    <col min="1006" max="1006" width="10" style="1326" customWidth="1"/>
    <col min="1007" max="1007" width="15.109375" style="1326" customWidth="1"/>
    <col min="1008" max="1008" width="13.88671875" style="1326" customWidth="1"/>
    <col min="1009" max="1009" width="9.109375" style="1326"/>
    <col min="1010" max="1010" width="12.109375" style="1326" customWidth="1"/>
    <col min="1011" max="1011" width="11.88671875" style="1326" customWidth="1"/>
    <col min="1012" max="1258" width="9.109375" style="1326"/>
    <col min="1259" max="1259" width="34.109375" style="1326" customWidth="1"/>
    <col min="1260" max="1261" width="9.109375" style="1326"/>
    <col min="1262" max="1262" width="10" style="1326" customWidth="1"/>
    <col min="1263" max="1263" width="15.109375" style="1326" customWidth="1"/>
    <col min="1264" max="1264" width="13.88671875" style="1326" customWidth="1"/>
    <col min="1265" max="1265" width="9.109375" style="1326"/>
    <col min="1266" max="1266" width="12.109375" style="1326" customWidth="1"/>
    <col min="1267" max="1267" width="11.88671875" style="1326" customWidth="1"/>
    <col min="1268" max="1514" width="9.109375" style="1326"/>
    <col min="1515" max="1515" width="34.109375" style="1326" customWidth="1"/>
    <col min="1516" max="1517" width="9.109375" style="1326"/>
    <col min="1518" max="1518" width="10" style="1326" customWidth="1"/>
    <col min="1519" max="1519" width="15.109375" style="1326" customWidth="1"/>
    <col min="1520" max="1520" width="13.88671875" style="1326" customWidth="1"/>
    <col min="1521" max="1521" width="9.109375" style="1326"/>
    <col min="1522" max="1522" width="12.109375" style="1326" customWidth="1"/>
    <col min="1523" max="1523" width="11.88671875" style="1326" customWidth="1"/>
    <col min="1524" max="1770" width="9.109375" style="1326"/>
    <col min="1771" max="1771" width="34.109375" style="1326" customWidth="1"/>
    <col min="1772" max="1773" width="9.109375" style="1326"/>
    <col min="1774" max="1774" width="10" style="1326" customWidth="1"/>
    <col min="1775" max="1775" width="15.109375" style="1326" customWidth="1"/>
    <col min="1776" max="1776" width="13.88671875" style="1326" customWidth="1"/>
    <col min="1777" max="1777" width="9.109375" style="1326"/>
    <col min="1778" max="1778" width="12.109375" style="1326" customWidth="1"/>
    <col min="1779" max="1779" width="11.88671875" style="1326" customWidth="1"/>
    <col min="1780" max="2026" width="9.109375" style="1326"/>
    <col min="2027" max="2027" width="34.109375" style="1326" customWidth="1"/>
    <col min="2028" max="2029" width="9.109375" style="1326"/>
    <col min="2030" max="2030" width="10" style="1326" customWidth="1"/>
    <col min="2031" max="2031" width="15.109375" style="1326" customWidth="1"/>
    <col min="2032" max="2032" width="13.88671875" style="1326" customWidth="1"/>
    <col min="2033" max="2033" width="9.109375" style="1326"/>
    <col min="2034" max="2034" width="12.109375" style="1326" customWidth="1"/>
    <col min="2035" max="2035" width="11.88671875" style="1326" customWidth="1"/>
    <col min="2036" max="2282" width="9.109375" style="1326"/>
    <col min="2283" max="2283" width="34.109375" style="1326" customWidth="1"/>
    <col min="2284" max="2285" width="9.109375" style="1326"/>
    <col min="2286" max="2286" width="10" style="1326" customWidth="1"/>
    <col min="2287" max="2287" width="15.109375" style="1326" customWidth="1"/>
    <col min="2288" max="2288" width="13.88671875" style="1326" customWidth="1"/>
    <col min="2289" max="2289" width="9.109375" style="1326"/>
    <col min="2290" max="2290" width="12.109375" style="1326" customWidth="1"/>
    <col min="2291" max="2291" width="11.88671875" style="1326" customWidth="1"/>
    <col min="2292" max="2538" width="9.109375" style="1326"/>
    <col min="2539" max="2539" width="34.109375" style="1326" customWidth="1"/>
    <col min="2540" max="2541" width="9.109375" style="1326"/>
    <col min="2542" max="2542" width="10" style="1326" customWidth="1"/>
    <col min="2543" max="2543" width="15.109375" style="1326" customWidth="1"/>
    <col min="2544" max="2544" width="13.88671875" style="1326" customWidth="1"/>
    <col min="2545" max="2545" width="9.109375" style="1326"/>
    <col min="2546" max="2546" width="12.109375" style="1326" customWidth="1"/>
    <col min="2547" max="2547" width="11.88671875" style="1326" customWidth="1"/>
    <col min="2548" max="2794" width="9.109375" style="1326"/>
    <col min="2795" max="2795" width="34.109375" style="1326" customWidth="1"/>
    <col min="2796" max="2797" width="9.109375" style="1326"/>
    <col min="2798" max="2798" width="10" style="1326" customWidth="1"/>
    <col min="2799" max="2799" width="15.109375" style="1326" customWidth="1"/>
    <col min="2800" max="2800" width="13.88671875" style="1326" customWidth="1"/>
    <col min="2801" max="2801" width="9.109375" style="1326"/>
    <col min="2802" max="2802" width="12.109375" style="1326" customWidth="1"/>
    <col min="2803" max="2803" width="11.88671875" style="1326" customWidth="1"/>
    <col min="2804" max="3050" width="9.109375" style="1326"/>
    <col min="3051" max="3051" width="34.109375" style="1326" customWidth="1"/>
    <col min="3052" max="3053" width="9.109375" style="1326"/>
    <col min="3054" max="3054" width="10" style="1326" customWidth="1"/>
    <col min="3055" max="3055" width="15.109375" style="1326" customWidth="1"/>
    <col min="3056" max="3056" width="13.88671875" style="1326" customWidth="1"/>
    <col min="3057" max="3057" width="9.109375" style="1326"/>
    <col min="3058" max="3058" width="12.109375" style="1326" customWidth="1"/>
    <col min="3059" max="3059" width="11.88671875" style="1326" customWidth="1"/>
    <col min="3060" max="3306" width="9.109375" style="1326"/>
    <col min="3307" max="3307" width="34.109375" style="1326" customWidth="1"/>
    <col min="3308" max="3309" width="9.109375" style="1326"/>
    <col min="3310" max="3310" width="10" style="1326" customWidth="1"/>
    <col min="3311" max="3311" width="15.109375" style="1326" customWidth="1"/>
    <col min="3312" max="3312" width="13.88671875" style="1326" customWidth="1"/>
    <col min="3313" max="3313" width="9.109375" style="1326"/>
    <col min="3314" max="3314" width="12.109375" style="1326" customWidth="1"/>
    <col min="3315" max="3315" width="11.88671875" style="1326" customWidth="1"/>
    <col min="3316" max="3562" width="9.109375" style="1326"/>
    <col min="3563" max="3563" width="34.109375" style="1326" customWidth="1"/>
    <col min="3564" max="3565" width="9.109375" style="1326"/>
    <col min="3566" max="3566" width="10" style="1326" customWidth="1"/>
    <col min="3567" max="3567" width="15.109375" style="1326" customWidth="1"/>
    <col min="3568" max="3568" width="13.88671875" style="1326" customWidth="1"/>
    <col min="3569" max="3569" width="9.109375" style="1326"/>
    <col min="3570" max="3570" width="12.109375" style="1326" customWidth="1"/>
    <col min="3571" max="3571" width="11.88671875" style="1326" customWidth="1"/>
    <col min="3572" max="3818" width="9.109375" style="1326"/>
    <col min="3819" max="3819" width="34.109375" style="1326" customWidth="1"/>
    <col min="3820" max="3821" width="9.109375" style="1326"/>
    <col min="3822" max="3822" width="10" style="1326" customWidth="1"/>
    <col min="3823" max="3823" width="15.109375" style="1326" customWidth="1"/>
    <col min="3824" max="3824" width="13.88671875" style="1326" customWidth="1"/>
    <col min="3825" max="3825" width="9.109375" style="1326"/>
    <col min="3826" max="3826" width="12.109375" style="1326" customWidth="1"/>
    <col min="3827" max="3827" width="11.88671875" style="1326" customWidth="1"/>
    <col min="3828" max="4074" width="9.109375" style="1326"/>
    <col min="4075" max="4075" width="34.109375" style="1326" customWidth="1"/>
    <col min="4076" max="4077" width="9.109375" style="1326"/>
    <col min="4078" max="4078" width="10" style="1326" customWidth="1"/>
    <col min="4079" max="4079" width="15.109375" style="1326" customWidth="1"/>
    <col min="4080" max="4080" width="13.88671875" style="1326" customWidth="1"/>
    <col min="4081" max="4081" width="9.109375" style="1326"/>
    <col min="4082" max="4082" width="12.109375" style="1326" customWidth="1"/>
    <col min="4083" max="4083" width="11.88671875" style="1326" customWidth="1"/>
    <col min="4084" max="4330" width="9.109375" style="1326"/>
    <col min="4331" max="4331" width="34.109375" style="1326" customWidth="1"/>
    <col min="4332" max="4333" width="9.109375" style="1326"/>
    <col min="4334" max="4334" width="10" style="1326" customWidth="1"/>
    <col min="4335" max="4335" width="15.109375" style="1326" customWidth="1"/>
    <col min="4336" max="4336" width="13.88671875" style="1326" customWidth="1"/>
    <col min="4337" max="4337" width="9.109375" style="1326"/>
    <col min="4338" max="4338" width="12.109375" style="1326" customWidth="1"/>
    <col min="4339" max="4339" width="11.88671875" style="1326" customWidth="1"/>
    <col min="4340" max="4586" width="9.109375" style="1326"/>
    <col min="4587" max="4587" width="34.109375" style="1326" customWidth="1"/>
    <col min="4588" max="4589" width="9.109375" style="1326"/>
    <col min="4590" max="4590" width="10" style="1326" customWidth="1"/>
    <col min="4591" max="4591" width="15.109375" style="1326" customWidth="1"/>
    <col min="4592" max="4592" width="13.88671875" style="1326" customWidth="1"/>
    <col min="4593" max="4593" width="9.109375" style="1326"/>
    <col min="4594" max="4594" width="12.109375" style="1326" customWidth="1"/>
    <col min="4595" max="4595" width="11.88671875" style="1326" customWidth="1"/>
    <col min="4596" max="4842" width="9.109375" style="1326"/>
    <col min="4843" max="4843" width="34.109375" style="1326" customWidth="1"/>
    <col min="4844" max="4845" width="9.109375" style="1326"/>
    <col min="4846" max="4846" width="10" style="1326" customWidth="1"/>
    <col min="4847" max="4847" width="15.109375" style="1326" customWidth="1"/>
    <col min="4848" max="4848" width="13.88671875" style="1326" customWidth="1"/>
    <col min="4849" max="4849" width="9.109375" style="1326"/>
    <col min="4850" max="4850" width="12.109375" style="1326" customWidth="1"/>
    <col min="4851" max="4851" width="11.88671875" style="1326" customWidth="1"/>
    <col min="4852" max="5098" width="9.109375" style="1326"/>
    <col min="5099" max="5099" width="34.109375" style="1326" customWidth="1"/>
    <col min="5100" max="5101" width="9.109375" style="1326"/>
    <col min="5102" max="5102" width="10" style="1326" customWidth="1"/>
    <col min="5103" max="5103" width="15.109375" style="1326" customWidth="1"/>
    <col min="5104" max="5104" width="13.88671875" style="1326" customWidth="1"/>
    <col min="5105" max="5105" width="9.109375" style="1326"/>
    <col min="5106" max="5106" width="12.109375" style="1326" customWidth="1"/>
    <col min="5107" max="5107" width="11.88671875" style="1326" customWidth="1"/>
    <col min="5108" max="5354" width="9.109375" style="1326"/>
    <col min="5355" max="5355" width="34.109375" style="1326" customWidth="1"/>
    <col min="5356" max="5357" width="9.109375" style="1326"/>
    <col min="5358" max="5358" width="10" style="1326" customWidth="1"/>
    <col min="5359" max="5359" width="15.109375" style="1326" customWidth="1"/>
    <col min="5360" max="5360" width="13.88671875" style="1326" customWidth="1"/>
    <col min="5361" max="5361" width="9.109375" style="1326"/>
    <col min="5362" max="5362" width="12.109375" style="1326" customWidth="1"/>
    <col min="5363" max="5363" width="11.88671875" style="1326" customWidth="1"/>
    <col min="5364" max="5610" width="9.109375" style="1326"/>
    <col min="5611" max="5611" width="34.109375" style="1326" customWidth="1"/>
    <col min="5612" max="5613" width="9.109375" style="1326"/>
    <col min="5614" max="5614" width="10" style="1326" customWidth="1"/>
    <col min="5615" max="5615" width="15.109375" style="1326" customWidth="1"/>
    <col min="5616" max="5616" width="13.88671875" style="1326" customWidth="1"/>
    <col min="5617" max="5617" width="9.109375" style="1326"/>
    <col min="5618" max="5618" width="12.109375" style="1326" customWidth="1"/>
    <col min="5619" max="5619" width="11.88671875" style="1326" customWidth="1"/>
    <col min="5620" max="5866" width="9.109375" style="1326"/>
    <col min="5867" max="5867" width="34.109375" style="1326" customWidth="1"/>
    <col min="5868" max="5869" width="9.109375" style="1326"/>
    <col min="5870" max="5870" width="10" style="1326" customWidth="1"/>
    <col min="5871" max="5871" width="15.109375" style="1326" customWidth="1"/>
    <col min="5872" max="5872" width="13.88671875" style="1326" customWidth="1"/>
    <col min="5873" max="5873" width="9.109375" style="1326"/>
    <col min="5874" max="5874" width="12.109375" style="1326" customWidth="1"/>
    <col min="5875" max="5875" width="11.88671875" style="1326" customWidth="1"/>
    <col min="5876" max="6122" width="9.109375" style="1326"/>
    <col min="6123" max="6123" width="34.109375" style="1326" customWidth="1"/>
    <col min="6124" max="6125" width="9.109375" style="1326"/>
    <col min="6126" max="6126" width="10" style="1326" customWidth="1"/>
    <col min="6127" max="6127" width="15.109375" style="1326" customWidth="1"/>
    <col min="6128" max="6128" width="13.88671875" style="1326" customWidth="1"/>
    <col min="6129" max="6129" width="9.109375" style="1326"/>
    <col min="6130" max="6130" width="12.109375" style="1326" customWidth="1"/>
    <col min="6131" max="6131" width="11.88671875" style="1326" customWidth="1"/>
    <col min="6132" max="6378" width="9.109375" style="1326"/>
    <col min="6379" max="6379" width="34.109375" style="1326" customWidth="1"/>
    <col min="6380" max="6381" width="9.109375" style="1326"/>
    <col min="6382" max="6382" width="10" style="1326" customWidth="1"/>
    <col min="6383" max="6383" width="15.109375" style="1326" customWidth="1"/>
    <col min="6384" max="6384" width="13.88671875" style="1326" customWidth="1"/>
    <col min="6385" max="6385" width="9.109375" style="1326"/>
    <col min="6386" max="6386" width="12.109375" style="1326" customWidth="1"/>
    <col min="6387" max="6387" width="11.88671875" style="1326" customWidth="1"/>
    <col min="6388" max="6634" width="9.109375" style="1326"/>
    <col min="6635" max="6635" width="34.109375" style="1326" customWidth="1"/>
    <col min="6636" max="6637" width="9.109375" style="1326"/>
    <col min="6638" max="6638" width="10" style="1326" customWidth="1"/>
    <col min="6639" max="6639" width="15.109375" style="1326" customWidth="1"/>
    <col min="6640" max="6640" width="13.88671875" style="1326" customWidth="1"/>
    <col min="6641" max="6641" width="9.109375" style="1326"/>
    <col min="6642" max="6642" width="12.109375" style="1326" customWidth="1"/>
    <col min="6643" max="6643" width="11.88671875" style="1326" customWidth="1"/>
    <col min="6644" max="6890" width="9.109375" style="1326"/>
    <col min="6891" max="6891" width="34.109375" style="1326" customWidth="1"/>
    <col min="6892" max="6893" width="9.109375" style="1326"/>
    <col min="6894" max="6894" width="10" style="1326" customWidth="1"/>
    <col min="6895" max="6895" width="15.109375" style="1326" customWidth="1"/>
    <col min="6896" max="6896" width="13.88671875" style="1326" customWidth="1"/>
    <col min="6897" max="6897" width="9.109375" style="1326"/>
    <col min="6898" max="6898" width="12.109375" style="1326" customWidth="1"/>
    <col min="6899" max="6899" width="11.88671875" style="1326" customWidth="1"/>
    <col min="6900" max="7146" width="9.109375" style="1326"/>
    <col min="7147" max="7147" width="34.109375" style="1326" customWidth="1"/>
    <col min="7148" max="7149" width="9.109375" style="1326"/>
    <col min="7150" max="7150" width="10" style="1326" customWidth="1"/>
    <col min="7151" max="7151" width="15.109375" style="1326" customWidth="1"/>
    <col min="7152" max="7152" width="13.88671875" style="1326" customWidth="1"/>
    <col min="7153" max="7153" width="9.109375" style="1326"/>
    <col min="7154" max="7154" width="12.109375" style="1326" customWidth="1"/>
    <col min="7155" max="7155" width="11.88671875" style="1326" customWidth="1"/>
    <col min="7156" max="7402" width="9.109375" style="1326"/>
    <col min="7403" max="7403" width="34.109375" style="1326" customWidth="1"/>
    <col min="7404" max="7405" width="9.109375" style="1326"/>
    <col min="7406" max="7406" width="10" style="1326" customWidth="1"/>
    <col min="7407" max="7407" width="15.109375" style="1326" customWidth="1"/>
    <col min="7408" max="7408" width="13.88671875" style="1326" customWidth="1"/>
    <col min="7409" max="7409" width="9.109375" style="1326"/>
    <col min="7410" max="7410" width="12.109375" style="1326" customWidth="1"/>
    <col min="7411" max="7411" width="11.88671875" style="1326" customWidth="1"/>
    <col min="7412" max="7658" width="9.109375" style="1326"/>
    <col min="7659" max="7659" width="34.109375" style="1326" customWidth="1"/>
    <col min="7660" max="7661" width="9.109375" style="1326"/>
    <col min="7662" max="7662" width="10" style="1326" customWidth="1"/>
    <col min="7663" max="7663" width="15.109375" style="1326" customWidth="1"/>
    <col min="7664" max="7664" width="13.88671875" style="1326" customWidth="1"/>
    <col min="7665" max="7665" width="9.109375" style="1326"/>
    <col min="7666" max="7666" width="12.109375" style="1326" customWidth="1"/>
    <col min="7667" max="7667" width="11.88671875" style="1326" customWidth="1"/>
    <col min="7668" max="7914" width="9.109375" style="1326"/>
    <col min="7915" max="7915" width="34.109375" style="1326" customWidth="1"/>
    <col min="7916" max="7917" width="9.109375" style="1326"/>
    <col min="7918" max="7918" width="10" style="1326" customWidth="1"/>
    <col min="7919" max="7919" width="15.109375" style="1326" customWidth="1"/>
    <col min="7920" max="7920" width="13.88671875" style="1326" customWidth="1"/>
    <col min="7921" max="7921" width="9.109375" style="1326"/>
    <col min="7922" max="7922" width="12.109375" style="1326" customWidth="1"/>
    <col min="7923" max="7923" width="11.88671875" style="1326" customWidth="1"/>
    <col min="7924" max="8170" width="9.109375" style="1326"/>
    <col min="8171" max="8171" width="34.109375" style="1326" customWidth="1"/>
    <col min="8172" max="8173" width="9.109375" style="1326"/>
    <col min="8174" max="8174" width="10" style="1326" customWidth="1"/>
    <col min="8175" max="8175" width="15.109375" style="1326" customWidth="1"/>
    <col min="8176" max="8176" width="13.88671875" style="1326" customWidth="1"/>
    <col min="8177" max="8177" width="9.109375" style="1326"/>
    <col min="8178" max="8178" width="12.109375" style="1326" customWidth="1"/>
    <col min="8179" max="8179" width="11.88671875" style="1326" customWidth="1"/>
    <col min="8180" max="8426" width="9.109375" style="1326"/>
    <col min="8427" max="8427" width="34.109375" style="1326" customWidth="1"/>
    <col min="8428" max="8429" width="9.109375" style="1326"/>
    <col min="8430" max="8430" width="10" style="1326" customWidth="1"/>
    <col min="8431" max="8431" width="15.109375" style="1326" customWidth="1"/>
    <col min="8432" max="8432" width="13.88671875" style="1326" customWidth="1"/>
    <col min="8433" max="8433" width="9.109375" style="1326"/>
    <col min="8434" max="8434" width="12.109375" style="1326" customWidth="1"/>
    <col min="8435" max="8435" width="11.88671875" style="1326" customWidth="1"/>
    <col min="8436" max="8682" width="9.109375" style="1326"/>
    <col min="8683" max="8683" width="34.109375" style="1326" customWidth="1"/>
    <col min="8684" max="8685" width="9.109375" style="1326"/>
    <col min="8686" max="8686" width="10" style="1326" customWidth="1"/>
    <col min="8687" max="8687" width="15.109375" style="1326" customWidth="1"/>
    <col min="8688" max="8688" width="13.88671875" style="1326" customWidth="1"/>
    <col min="8689" max="8689" width="9.109375" style="1326"/>
    <col min="8690" max="8690" width="12.109375" style="1326" customWidth="1"/>
    <col min="8691" max="8691" width="11.88671875" style="1326" customWidth="1"/>
    <col min="8692" max="8938" width="9.109375" style="1326"/>
    <col min="8939" max="8939" width="34.109375" style="1326" customWidth="1"/>
    <col min="8940" max="8941" width="9.109375" style="1326"/>
    <col min="8942" max="8942" width="10" style="1326" customWidth="1"/>
    <col min="8943" max="8943" width="15.109375" style="1326" customWidth="1"/>
    <col min="8944" max="8944" width="13.88671875" style="1326" customWidth="1"/>
    <col min="8945" max="8945" width="9.109375" style="1326"/>
    <col min="8946" max="8946" width="12.109375" style="1326" customWidth="1"/>
    <col min="8947" max="8947" width="11.88671875" style="1326" customWidth="1"/>
    <col min="8948" max="9194" width="9.109375" style="1326"/>
    <col min="9195" max="9195" width="34.109375" style="1326" customWidth="1"/>
    <col min="9196" max="9197" width="9.109375" style="1326"/>
    <col min="9198" max="9198" width="10" style="1326" customWidth="1"/>
    <col min="9199" max="9199" width="15.109375" style="1326" customWidth="1"/>
    <col min="9200" max="9200" width="13.88671875" style="1326" customWidth="1"/>
    <col min="9201" max="9201" width="9.109375" style="1326"/>
    <col min="9202" max="9202" width="12.109375" style="1326" customWidth="1"/>
    <col min="9203" max="9203" width="11.88671875" style="1326" customWidth="1"/>
    <col min="9204" max="9450" width="9.109375" style="1326"/>
    <col min="9451" max="9451" width="34.109375" style="1326" customWidth="1"/>
    <col min="9452" max="9453" width="9.109375" style="1326"/>
    <col min="9454" max="9454" width="10" style="1326" customWidth="1"/>
    <col min="9455" max="9455" width="15.109375" style="1326" customWidth="1"/>
    <col min="9456" max="9456" width="13.88671875" style="1326" customWidth="1"/>
    <col min="9457" max="9457" width="9.109375" style="1326"/>
    <col min="9458" max="9458" width="12.109375" style="1326" customWidth="1"/>
    <col min="9459" max="9459" width="11.88671875" style="1326" customWidth="1"/>
    <col min="9460" max="9706" width="9.109375" style="1326"/>
    <col min="9707" max="9707" width="34.109375" style="1326" customWidth="1"/>
    <col min="9708" max="9709" width="9.109375" style="1326"/>
    <col min="9710" max="9710" width="10" style="1326" customWidth="1"/>
    <col min="9711" max="9711" width="15.109375" style="1326" customWidth="1"/>
    <col min="9712" max="9712" width="13.88671875" style="1326" customWidth="1"/>
    <col min="9713" max="9713" width="9.109375" style="1326"/>
    <col min="9714" max="9714" width="12.109375" style="1326" customWidth="1"/>
    <col min="9715" max="9715" width="11.88671875" style="1326" customWidth="1"/>
    <col min="9716" max="9962" width="9.109375" style="1326"/>
    <col min="9963" max="9963" width="34.109375" style="1326" customWidth="1"/>
    <col min="9964" max="9965" width="9.109375" style="1326"/>
    <col min="9966" max="9966" width="10" style="1326" customWidth="1"/>
    <col min="9967" max="9967" width="15.109375" style="1326" customWidth="1"/>
    <col min="9968" max="9968" width="13.88671875" style="1326" customWidth="1"/>
    <col min="9969" max="9969" width="9.109375" style="1326"/>
    <col min="9970" max="9970" width="12.109375" style="1326" customWidth="1"/>
    <col min="9971" max="9971" width="11.88671875" style="1326" customWidth="1"/>
    <col min="9972" max="10218" width="9.109375" style="1326"/>
    <col min="10219" max="10219" width="34.109375" style="1326" customWidth="1"/>
    <col min="10220" max="10221" width="9.109375" style="1326"/>
    <col min="10222" max="10222" width="10" style="1326" customWidth="1"/>
    <col min="10223" max="10223" width="15.109375" style="1326" customWidth="1"/>
    <col min="10224" max="10224" width="13.88671875" style="1326" customWidth="1"/>
    <col min="10225" max="10225" width="9.109375" style="1326"/>
    <col min="10226" max="10226" width="12.109375" style="1326" customWidth="1"/>
    <col min="10227" max="10227" width="11.88671875" style="1326" customWidth="1"/>
    <col min="10228" max="10474" width="9.109375" style="1326"/>
    <col min="10475" max="10475" width="34.109375" style="1326" customWidth="1"/>
    <col min="10476" max="10477" width="9.109375" style="1326"/>
    <col min="10478" max="10478" width="10" style="1326" customWidth="1"/>
    <col min="10479" max="10479" width="15.109375" style="1326" customWidth="1"/>
    <col min="10480" max="10480" width="13.88671875" style="1326" customWidth="1"/>
    <col min="10481" max="10481" width="9.109375" style="1326"/>
    <col min="10482" max="10482" width="12.109375" style="1326" customWidth="1"/>
    <col min="10483" max="10483" width="11.88671875" style="1326" customWidth="1"/>
    <col min="10484" max="10730" width="9.109375" style="1326"/>
    <col min="10731" max="10731" width="34.109375" style="1326" customWidth="1"/>
    <col min="10732" max="10733" width="9.109375" style="1326"/>
    <col min="10734" max="10734" width="10" style="1326" customWidth="1"/>
    <col min="10735" max="10735" width="15.109375" style="1326" customWidth="1"/>
    <col min="10736" max="10736" width="13.88671875" style="1326" customWidth="1"/>
    <col min="10737" max="10737" width="9.109375" style="1326"/>
    <col min="10738" max="10738" width="12.109375" style="1326" customWidth="1"/>
    <col min="10739" max="10739" width="11.88671875" style="1326" customWidth="1"/>
    <col min="10740" max="10986" width="9.109375" style="1326"/>
    <col min="10987" max="10987" width="34.109375" style="1326" customWidth="1"/>
    <col min="10988" max="10989" width="9.109375" style="1326"/>
    <col min="10990" max="10990" width="10" style="1326" customWidth="1"/>
    <col min="10991" max="10991" width="15.109375" style="1326" customWidth="1"/>
    <col min="10992" max="10992" width="13.88671875" style="1326" customWidth="1"/>
    <col min="10993" max="10993" width="9.109375" style="1326"/>
    <col min="10994" max="10994" width="12.109375" style="1326" customWidth="1"/>
    <col min="10995" max="10995" width="11.88671875" style="1326" customWidth="1"/>
    <col min="10996" max="11242" width="9.109375" style="1326"/>
    <col min="11243" max="11243" width="34.109375" style="1326" customWidth="1"/>
    <col min="11244" max="11245" width="9.109375" style="1326"/>
    <col min="11246" max="11246" width="10" style="1326" customWidth="1"/>
    <col min="11247" max="11247" width="15.109375" style="1326" customWidth="1"/>
    <col min="11248" max="11248" width="13.88671875" style="1326" customWidth="1"/>
    <col min="11249" max="11249" width="9.109375" style="1326"/>
    <col min="11250" max="11250" width="12.109375" style="1326" customWidth="1"/>
    <col min="11251" max="11251" width="11.88671875" style="1326" customWidth="1"/>
    <col min="11252" max="11498" width="9.109375" style="1326"/>
    <col min="11499" max="11499" width="34.109375" style="1326" customWidth="1"/>
    <col min="11500" max="11501" width="9.109375" style="1326"/>
    <col min="11502" max="11502" width="10" style="1326" customWidth="1"/>
    <col min="11503" max="11503" width="15.109375" style="1326" customWidth="1"/>
    <col min="11504" max="11504" width="13.88671875" style="1326" customWidth="1"/>
    <col min="11505" max="11505" width="9.109375" style="1326"/>
    <col min="11506" max="11506" width="12.109375" style="1326" customWidth="1"/>
    <col min="11507" max="11507" width="11.88671875" style="1326" customWidth="1"/>
    <col min="11508" max="11754" width="9.109375" style="1326"/>
    <col min="11755" max="11755" width="34.109375" style="1326" customWidth="1"/>
    <col min="11756" max="11757" width="9.109375" style="1326"/>
    <col min="11758" max="11758" width="10" style="1326" customWidth="1"/>
    <col min="11759" max="11759" width="15.109375" style="1326" customWidth="1"/>
    <col min="11760" max="11760" width="13.88671875" style="1326" customWidth="1"/>
    <col min="11761" max="11761" width="9.109375" style="1326"/>
    <col min="11762" max="11762" width="12.109375" style="1326" customWidth="1"/>
    <col min="11763" max="11763" width="11.88671875" style="1326" customWidth="1"/>
    <col min="11764" max="12010" width="9.109375" style="1326"/>
    <col min="12011" max="12011" width="34.109375" style="1326" customWidth="1"/>
    <col min="12012" max="12013" width="9.109375" style="1326"/>
    <col min="12014" max="12014" width="10" style="1326" customWidth="1"/>
    <col min="12015" max="12015" width="15.109375" style="1326" customWidth="1"/>
    <col min="12016" max="12016" width="13.88671875" style="1326" customWidth="1"/>
    <col min="12017" max="12017" width="9.109375" style="1326"/>
    <col min="12018" max="12018" width="12.109375" style="1326" customWidth="1"/>
    <col min="12019" max="12019" width="11.88671875" style="1326" customWidth="1"/>
    <col min="12020" max="12266" width="9.109375" style="1326"/>
    <col min="12267" max="12267" width="34.109375" style="1326" customWidth="1"/>
    <col min="12268" max="12269" width="9.109375" style="1326"/>
    <col min="12270" max="12270" width="10" style="1326" customWidth="1"/>
    <col min="12271" max="12271" width="15.109375" style="1326" customWidth="1"/>
    <col min="12272" max="12272" width="13.88671875" style="1326" customWidth="1"/>
    <col min="12273" max="12273" width="9.109375" style="1326"/>
    <col min="12274" max="12274" width="12.109375" style="1326" customWidth="1"/>
    <col min="12275" max="12275" width="11.88671875" style="1326" customWidth="1"/>
    <col min="12276" max="12522" width="9.109375" style="1326"/>
    <col min="12523" max="12523" width="34.109375" style="1326" customWidth="1"/>
    <col min="12524" max="12525" width="9.109375" style="1326"/>
    <col min="12526" max="12526" width="10" style="1326" customWidth="1"/>
    <col min="12527" max="12527" width="15.109375" style="1326" customWidth="1"/>
    <col min="12528" max="12528" width="13.88671875" style="1326" customWidth="1"/>
    <col min="12529" max="12529" width="9.109375" style="1326"/>
    <col min="12530" max="12530" width="12.109375" style="1326" customWidth="1"/>
    <col min="12531" max="12531" width="11.88671875" style="1326" customWidth="1"/>
    <col min="12532" max="12778" width="9.109375" style="1326"/>
    <col min="12779" max="12779" width="34.109375" style="1326" customWidth="1"/>
    <col min="12780" max="12781" width="9.109375" style="1326"/>
    <col min="12782" max="12782" width="10" style="1326" customWidth="1"/>
    <col min="12783" max="12783" width="15.109375" style="1326" customWidth="1"/>
    <col min="12784" max="12784" width="13.88671875" style="1326" customWidth="1"/>
    <col min="12785" max="12785" width="9.109375" style="1326"/>
    <col min="12786" max="12786" width="12.109375" style="1326" customWidth="1"/>
    <col min="12787" max="12787" width="11.88671875" style="1326" customWidth="1"/>
    <col min="12788" max="13034" width="9.109375" style="1326"/>
    <col min="13035" max="13035" width="34.109375" style="1326" customWidth="1"/>
    <col min="13036" max="13037" width="9.109375" style="1326"/>
    <col min="13038" max="13038" width="10" style="1326" customWidth="1"/>
    <col min="13039" max="13039" width="15.109375" style="1326" customWidth="1"/>
    <col min="13040" max="13040" width="13.88671875" style="1326" customWidth="1"/>
    <col min="13041" max="13041" width="9.109375" style="1326"/>
    <col min="13042" max="13042" width="12.109375" style="1326" customWidth="1"/>
    <col min="13043" max="13043" width="11.88671875" style="1326" customWidth="1"/>
    <col min="13044" max="13290" width="9.109375" style="1326"/>
    <col min="13291" max="13291" width="34.109375" style="1326" customWidth="1"/>
    <col min="13292" max="13293" width="9.109375" style="1326"/>
    <col min="13294" max="13294" width="10" style="1326" customWidth="1"/>
    <col min="13295" max="13295" width="15.109375" style="1326" customWidth="1"/>
    <col min="13296" max="13296" width="13.88671875" style="1326" customWidth="1"/>
    <col min="13297" max="13297" width="9.109375" style="1326"/>
    <col min="13298" max="13298" width="12.109375" style="1326" customWidth="1"/>
    <col min="13299" max="13299" width="11.88671875" style="1326" customWidth="1"/>
    <col min="13300" max="13546" width="9.109375" style="1326"/>
    <col min="13547" max="13547" width="34.109375" style="1326" customWidth="1"/>
    <col min="13548" max="13549" width="9.109375" style="1326"/>
    <col min="13550" max="13550" width="10" style="1326" customWidth="1"/>
    <col min="13551" max="13551" width="15.109375" style="1326" customWidth="1"/>
    <col min="13552" max="13552" width="13.88671875" style="1326" customWidth="1"/>
    <col min="13553" max="13553" width="9.109375" style="1326"/>
    <col min="13554" max="13554" width="12.109375" style="1326" customWidth="1"/>
    <col min="13555" max="13555" width="11.88671875" style="1326" customWidth="1"/>
    <col min="13556" max="13802" width="9.109375" style="1326"/>
    <col min="13803" max="13803" width="34.109375" style="1326" customWidth="1"/>
    <col min="13804" max="13805" width="9.109375" style="1326"/>
    <col min="13806" max="13806" width="10" style="1326" customWidth="1"/>
    <col min="13807" max="13807" width="15.109375" style="1326" customWidth="1"/>
    <col min="13808" max="13808" width="13.88671875" style="1326" customWidth="1"/>
    <col min="13809" max="13809" width="9.109375" style="1326"/>
    <col min="13810" max="13810" width="12.109375" style="1326" customWidth="1"/>
    <col min="13811" max="13811" width="11.88671875" style="1326" customWidth="1"/>
    <col min="13812" max="14058" width="9.109375" style="1326"/>
    <col min="14059" max="14059" width="34.109375" style="1326" customWidth="1"/>
    <col min="14060" max="14061" width="9.109375" style="1326"/>
    <col min="14062" max="14062" width="10" style="1326" customWidth="1"/>
    <col min="14063" max="14063" width="15.109375" style="1326" customWidth="1"/>
    <col min="14064" max="14064" width="13.88671875" style="1326" customWidth="1"/>
    <col min="14065" max="14065" width="9.109375" style="1326"/>
    <col min="14066" max="14066" width="12.109375" style="1326" customWidth="1"/>
    <col min="14067" max="14067" width="11.88671875" style="1326" customWidth="1"/>
    <col min="14068" max="14314" width="9.109375" style="1326"/>
    <col min="14315" max="14315" width="34.109375" style="1326" customWidth="1"/>
    <col min="14316" max="14317" width="9.109375" style="1326"/>
    <col min="14318" max="14318" width="10" style="1326" customWidth="1"/>
    <col min="14319" max="14319" width="15.109375" style="1326" customWidth="1"/>
    <col min="14320" max="14320" width="13.88671875" style="1326" customWidth="1"/>
    <col min="14321" max="14321" width="9.109375" style="1326"/>
    <col min="14322" max="14322" width="12.109375" style="1326" customWidth="1"/>
    <col min="14323" max="14323" width="11.88671875" style="1326" customWidth="1"/>
    <col min="14324" max="14570" width="9.109375" style="1326"/>
    <col min="14571" max="14571" width="34.109375" style="1326" customWidth="1"/>
    <col min="14572" max="14573" width="9.109375" style="1326"/>
    <col min="14574" max="14574" width="10" style="1326" customWidth="1"/>
    <col min="14575" max="14575" width="15.109375" style="1326" customWidth="1"/>
    <col min="14576" max="14576" width="13.88671875" style="1326" customWidth="1"/>
    <col min="14577" max="14577" width="9.109375" style="1326"/>
    <col min="14578" max="14578" width="12.109375" style="1326" customWidth="1"/>
    <col min="14579" max="14579" width="11.88671875" style="1326" customWidth="1"/>
    <col min="14580" max="14826" width="9.109375" style="1326"/>
    <col min="14827" max="14827" width="34.109375" style="1326" customWidth="1"/>
    <col min="14828" max="14829" width="9.109375" style="1326"/>
    <col min="14830" max="14830" width="10" style="1326" customWidth="1"/>
    <col min="14831" max="14831" width="15.109375" style="1326" customWidth="1"/>
    <col min="14832" max="14832" width="13.88671875" style="1326" customWidth="1"/>
    <col min="14833" max="14833" width="9.109375" style="1326"/>
    <col min="14834" max="14834" width="12.109375" style="1326" customWidth="1"/>
    <col min="14835" max="14835" width="11.88671875" style="1326" customWidth="1"/>
    <col min="14836" max="15082" width="9.109375" style="1326"/>
    <col min="15083" max="15083" width="34.109375" style="1326" customWidth="1"/>
    <col min="15084" max="15085" width="9.109375" style="1326"/>
    <col min="15086" max="15086" width="10" style="1326" customWidth="1"/>
    <col min="15087" max="15087" width="15.109375" style="1326" customWidth="1"/>
    <col min="15088" max="15088" width="13.88671875" style="1326" customWidth="1"/>
    <col min="15089" max="15089" width="9.109375" style="1326"/>
    <col min="15090" max="15090" width="12.109375" style="1326" customWidth="1"/>
    <col min="15091" max="15091" width="11.88671875" style="1326" customWidth="1"/>
    <col min="15092" max="15338" width="9.109375" style="1326"/>
    <col min="15339" max="15339" width="34.109375" style="1326" customWidth="1"/>
    <col min="15340" max="15341" width="9.109375" style="1326"/>
    <col min="15342" max="15342" width="10" style="1326" customWidth="1"/>
    <col min="15343" max="15343" width="15.109375" style="1326" customWidth="1"/>
    <col min="15344" max="15344" width="13.88671875" style="1326" customWidth="1"/>
    <col min="15345" max="15345" width="9.109375" style="1326"/>
    <col min="15346" max="15346" width="12.109375" style="1326" customWidth="1"/>
    <col min="15347" max="15347" width="11.88671875" style="1326" customWidth="1"/>
    <col min="15348" max="15594" width="9.109375" style="1326"/>
    <col min="15595" max="15595" width="34.109375" style="1326" customWidth="1"/>
    <col min="15596" max="15597" width="9.109375" style="1326"/>
    <col min="15598" max="15598" width="10" style="1326" customWidth="1"/>
    <col min="15599" max="15599" width="15.109375" style="1326" customWidth="1"/>
    <col min="15600" max="15600" width="13.88671875" style="1326" customWidth="1"/>
    <col min="15601" max="15601" width="9.109375" style="1326"/>
    <col min="15602" max="15602" width="12.109375" style="1326" customWidth="1"/>
    <col min="15603" max="15603" width="11.88671875" style="1326" customWidth="1"/>
    <col min="15604" max="15850" width="9.109375" style="1326"/>
    <col min="15851" max="15851" width="34.109375" style="1326" customWidth="1"/>
    <col min="15852" max="15853" width="9.109375" style="1326"/>
    <col min="15854" max="15854" width="10" style="1326" customWidth="1"/>
    <col min="15855" max="15855" width="15.109375" style="1326" customWidth="1"/>
    <col min="15856" max="15856" width="13.88671875" style="1326" customWidth="1"/>
    <col min="15857" max="15857" width="9.109375" style="1326"/>
    <col min="15858" max="15858" width="12.109375" style="1326" customWidth="1"/>
    <col min="15859" max="15859" width="11.88671875" style="1326" customWidth="1"/>
    <col min="15860" max="16106" width="9.109375" style="1326"/>
    <col min="16107" max="16107" width="34.109375" style="1326" customWidth="1"/>
    <col min="16108" max="16109" width="9.109375" style="1326"/>
    <col min="16110" max="16110" width="10" style="1326" customWidth="1"/>
    <col min="16111" max="16111" width="15.109375" style="1326" customWidth="1"/>
    <col min="16112" max="16112" width="13.88671875" style="1326" customWidth="1"/>
    <col min="16113" max="16113" width="9.109375" style="1326"/>
    <col min="16114" max="16114" width="12.109375" style="1326" customWidth="1"/>
    <col min="16115" max="16115" width="11.88671875" style="1326" customWidth="1"/>
    <col min="16116" max="16384" width="9.109375" style="1326"/>
  </cols>
  <sheetData>
    <row r="1" spans="1:6">
      <c r="A1" s="1330" t="s">
        <v>1087</v>
      </c>
    </row>
    <row r="3" spans="1:6">
      <c r="A3" s="1330" t="s">
        <v>768</v>
      </c>
    </row>
    <row r="4" spans="1:6" ht="13.8" thickBot="1"/>
    <row r="5" spans="1:6" ht="15" customHeight="1">
      <c r="A5" s="1829" t="s">
        <v>842</v>
      </c>
      <c r="B5" s="1829" t="s">
        <v>1035</v>
      </c>
      <c r="C5" s="1829" t="s">
        <v>1036</v>
      </c>
      <c r="D5" s="14719" t="s">
        <v>1037</v>
      </c>
      <c r="E5" s="14719"/>
      <c r="F5" s="14719"/>
    </row>
    <row r="6" spans="1:6" ht="15" customHeight="1" thickBot="1">
      <c r="A6" s="1332" t="s">
        <v>1088</v>
      </c>
      <c r="B6" s="1332" t="s">
        <v>9</v>
      </c>
      <c r="C6" s="1332" t="s">
        <v>1039</v>
      </c>
      <c r="D6" s="2691" t="s">
        <v>1040</v>
      </c>
      <c r="E6" s="2691" t="s">
        <v>11</v>
      </c>
      <c r="F6" s="5863" t="s">
        <v>10349</v>
      </c>
    </row>
    <row r="7" spans="1:6">
      <c r="A7" s="1831" t="s">
        <v>9</v>
      </c>
      <c r="B7" s="1841"/>
      <c r="C7" s="1831"/>
      <c r="D7" s="1841"/>
      <c r="E7" s="1841"/>
      <c r="F7" s="1831"/>
    </row>
    <row r="8" spans="1:6">
      <c r="A8" s="1832" t="s">
        <v>1139</v>
      </c>
      <c r="B8" s="1831"/>
      <c r="C8" s="1831"/>
      <c r="D8" s="1831"/>
      <c r="E8" s="1831"/>
      <c r="F8" s="1831"/>
    </row>
    <row r="9" spans="1:6">
      <c r="A9" s="1832" t="s">
        <v>1149</v>
      </c>
      <c r="B9" s="1831"/>
      <c r="C9" s="1831"/>
      <c r="D9" s="1831"/>
      <c r="E9" s="1831"/>
      <c r="F9" s="1831"/>
    </row>
    <row r="10" spans="1:6" ht="14.4">
      <c r="A10" s="1831" t="s">
        <v>1150</v>
      </c>
      <c r="B10" s="1830" t="s">
        <v>9</v>
      </c>
      <c r="C10" s="1831"/>
      <c r="D10" s="1831"/>
      <c r="E10" s="1833" t="s">
        <v>9</v>
      </c>
      <c r="F10" s="1833" t="s">
        <v>9</v>
      </c>
    </row>
    <row r="11" spans="1:6">
      <c r="A11" s="1831"/>
      <c r="B11" s="1831"/>
      <c r="C11" s="1831"/>
      <c r="D11" s="1831"/>
      <c r="E11" s="1831"/>
      <c r="F11" s="1831"/>
    </row>
    <row r="12" spans="1:6">
      <c r="A12" s="1831"/>
      <c r="B12" s="1831"/>
      <c r="C12" s="1831"/>
      <c r="D12" s="1831"/>
      <c r="E12" s="1831"/>
      <c r="F12" s="1831"/>
    </row>
    <row r="13" spans="1:6">
      <c r="A13" s="1832" t="s">
        <v>1151</v>
      </c>
      <c r="B13" s="1831"/>
      <c r="C13" s="1831"/>
      <c r="D13" s="1831"/>
      <c r="E13" s="1831"/>
      <c r="F13" s="1831"/>
    </row>
    <row r="14" spans="1:6">
      <c r="A14" s="1832" t="s">
        <v>1109</v>
      </c>
      <c r="B14" s="1831"/>
      <c r="C14" s="1831"/>
      <c r="D14" s="1831"/>
      <c r="E14" s="1831"/>
      <c r="F14" s="1831"/>
    </row>
    <row r="15" spans="1:6" ht="14.4">
      <c r="A15" s="1831"/>
      <c r="B15" s="1830"/>
      <c r="C15" s="1830"/>
      <c r="D15" s="1831"/>
      <c r="E15" s="1833"/>
      <c r="F15" s="1833"/>
    </row>
    <row r="16" spans="1:6" ht="14.4">
      <c r="A16" s="1832" t="s">
        <v>1152</v>
      </c>
      <c r="B16" s="1830"/>
      <c r="C16" s="1830"/>
      <c r="D16" s="1831"/>
      <c r="E16" s="1833"/>
      <c r="F16" s="1833"/>
    </row>
    <row r="17" spans="1:6" ht="14.4">
      <c r="A17" s="1831" t="s">
        <v>1153</v>
      </c>
      <c r="B17" s="1830">
        <v>1</v>
      </c>
      <c r="C17" s="1830">
        <v>15</v>
      </c>
      <c r="D17" s="1833">
        <v>305256</v>
      </c>
      <c r="E17" s="1833">
        <v>308616</v>
      </c>
      <c r="F17" s="1833"/>
    </row>
    <row r="18" spans="1:6" ht="14.4">
      <c r="A18" s="1831" t="s">
        <v>1154</v>
      </c>
      <c r="B18" s="1830">
        <v>4</v>
      </c>
      <c r="C18" s="1830">
        <v>11</v>
      </c>
      <c r="D18" s="1833">
        <v>919920</v>
      </c>
      <c r="E18" s="1833">
        <v>924468</v>
      </c>
      <c r="F18" s="1833"/>
    </row>
    <row r="19" spans="1:6" ht="14.4">
      <c r="A19" s="1831"/>
      <c r="B19" s="1830"/>
      <c r="C19" s="1830"/>
      <c r="D19" s="1833"/>
      <c r="E19" s="1833"/>
      <c r="F19" s="1833"/>
    </row>
    <row r="20" spans="1:6" ht="14.4">
      <c r="A20" s="1832" t="s">
        <v>1094</v>
      </c>
      <c r="B20" s="1830"/>
      <c r="C20" s="1830"/>
      <c r="D20" s="1833"/>
      <c r="E20" s="1833"/>
      <c r="F20" s="1833"/>
    </row>
    <row r="21" spans="1:6" ht="14.4">
      <c r="A21" s="1831" t="s">
        <v>1155</v>
      </c>
      <c r="B21" s="1830">
        <v>1</v>
      </c>
      <c r="C21" s="1830">
        <v>4</v>
      </c>
      <c r="D21" s="1833">
        <v>143844</v>
      </c>
      <c r="E21" s="1833">
        <v>143844</v>
      </c>
      <c r="F21" s="1833"/>
    </row>
    <row r="22" spans="1:6" ht="14.4">
      <c r="A22" s="1836" t="s">
        <v>1156</v>
      </c>
      <c r="B22" s="1830">
        <v>1</v>
      </c>
      <c r="C22" s="1830">
        <v>3</v>
      </c>
      <c r="D22" s="1833">
        <v>129876</v>
      </c>
      <c r="E22" s="1833">
        <v>131172</v>
      </c>
      <c r="F22" s="1833"/>
    </row>
    <row r="23" spans="1:6" ht="14.4">
      <c r="A23" s="1836" t="s">
        <v>1157</v>
      </c>
      <c r="B23" s="1830">
        <v>4</v>
      </c>
      <c r="C23" s="1830">
        <v>2</v>
      </c>
      <c r="D23" s="1833">
        <v>481152</v>
      </c>
      <c r="E23" s="1833">
        <v>482316</v>
      </c>
      <c r="F23" s="1833"/>
    </row>
    <row r="24" spans="1:6" ht="14.4">
      <c r="A24" s="1836" t="s">
        <v>1158</v>
      </c>
      <c r="B24" s="1834">
        <v>8</v>
      </c>
      <c r="C24" s="1834">
        <v>1</v>
      </c>
      <c r="D24" s="1835">
        <v>780180</v>
      </c>
      <c r="E24" s="1835">
        <v>892608</v>
      </c>
      <c r="F24" s="1835"/>
    </row>
    <row r="25" spans="1:6" ht="15" thickBot="1">
      <c r="A25" s="1836"/>
      <c r="B25" s="1839"/>
      <c r="C25" s="1839"/>
      <c r="D25" s="5172"/>
      <c r="E25" s="5172"/>
      <c r="F25" s="5172"/>
    </row>
    <row r="26" spans="1:6" ht="22.5" customHeight="1" thickBot="1">
      <c r="A26" s="1331" t="s">
        <v>1159</v>
      </c>
      <c r="B26" s="5129">
        <f>SUM(B10:B24)</f>
        <v>19</v>
      </c>
      <c r="C26" s="1333"/>
      <c r="D26" s="1325">
        <f>SUM(D10:D25)</f>
        <v>2760228</v>
      </c>
      <c r="E26" s="1325">
        <f>SUM(E10:E25)</f>
        <v>2883024</v>
      </c>
      <c r="F26" s="1325">
        <f>SUM(F10:F25)</f>
        <v>0</v>
      </c>
    </row>
    <row r="27" spans="1:6">
      <c r="A27" s="1836"/>
      <c r="B27" s="1831"/>
      <c r="C27" s="1830"/>
      <c r="D27" s="1831"/>
      <c r="E27" s="1831"/>
      <c r="F27" s="1831"/>
    </row>
    <row r="28" spans="1:6">
      <c r="A28" s="1836" t="s">
        <v>1113</v>
      </c>
      <c r="B28" s="1837" t="s">
        <v>9</v>
      </c>
      <c r="C28" s="1830"/>
      <c r="D28" s="1831"/>
      <c r="E28" s="1831"/>
      <c r="F28" s="1831"/>
    </row>
    <row r="29" spans="1:6">
      <c r="A29" s="1836"/>
      <c r="B29" s="1837"/>
      <c r="C29" s="1830"/>
      <c r="D29" s="1831"/>
      <c r="E29" s="1831"/>
      <c r="F29" s="1831"/>
    </row>
    <row r="30" spans="1:6" ht="14.4">
      <c r="A30" s="1836" t="s">
        <v>1157</v>
      </c>
      <c r="B30" s="1830">
        <v>0</v>
      </c>
      <c r="C30" s="1830">
        <v>2</v>
      </c>
      <c r="D30" s="5663" t="s">
        <v>10212</v>
      </c>
      <c r="E30" s="1833">
        <v>0</v>
      </c>
      <c r="F30" s="1833"/>
    </row>
    <row r="31" spans="1:6" ht="14.4">
      <c r="A31" s="1836" t="s">
        <v>1158</v>
      </c>
      <c r="B31" s="893">
        <v>0</v>
      </c>
      <c r="C31" s="1830">
        <v>1</v>
      </c>
      <c r="D31" s="1833">
        <v>108000</v>
      </c>
      <c r="E31" s="5663" t="s">
        <v>10212</v>
      </c>
      <c r="F31" s="5663"/>
    </row>
    <row r="32" spans="1:6" ht="14.4">
      <c r="A32" s="1836" t="s">
        <v>1160</v>
      </c>
      <c r="B32" s="1830">
        <v>1</v>
      </c>
      <c r="C32" s="1830">
        <v>22</v>
      </c>
      <c r="D32" s="1833">
        <v>511824</v>
      </c>
      <c r="E32" s="1833">
        <v>511824</v>
      </c>
      <c r="F32" s="1833"/>
    </row>
    <row r="33" spans="1:6" ht="14.4">
      <c r="A33" s="1836" t="s">
        <v>1161</v>
      </c>
      <c r="B33" s="1834">
        <v>1</v>
      </c>
      <c r="C33" s="1834">
        <v>11</v>
      </c>
      <c r="D33" s="1835">
        <v>0</v>
      </c>
      <c r="E33" s="1835">
        <v>376212</v>
      </c>
      <c r="F33" s="1835"/>
    </row>
    <row r="34" spans="1:6" ht="15" thickBot="1">
      <c r="A34" s="1836"/>
      <c r="B34" s="1839"/>
      <c r="C34" s="1839"/>
      <c r="D34" s="5172"/>
      <c r="E34" s="5172"/>
      <c r="F34" s="5172"/>
    </row>
    <row r="35" spans="1:6" ht="20.25" customHeight="1" thickBot="1">
      <c r="A35" s="1838" t="s">
        <v>4774</v>
      </c>
      <c r="B35" s="5129">
        <f>SUM(B30:B33)</f>
        <v>2</v>
      </c>
      <c r="C35" s="1333"/>
      <c r="D35" s="1335">
        <f>SUM(D30:D33)</f>
        <v>619824</v>
      </c>
      <c r="E35" s="1335">
        <f>SUM(E30:E33)</f>
        <v>888036</v>
      </c>
      <c r="F35" s="1335">
        <f>SUM(F30:F33)</f>
        <v>0</v>
      </c>
    </row>
    <row r="36" spans="1:6" ht="13.8" thickBot="1">
      <c r="A36" s="5199"/>
      <c r="B36" s="1837"/>
      <c r="C36" s="1830"/>
      <c r="D36" s="2690"/>
      <c r="E36" s="2690"/>
      <c r="F36" s="2690"/>
    </row>
    <row r="37" spans="1:6" ht="18" customHeight="1" thickBot="1">
      <c r="A37" s="1324" t="s">
        <v>1101</v>
      </c>
      <c r="B37" s="5129">
        <f>SUM(B26:B34)</f>
        <v>21</v>
      </c>
      <c r="C37" s="1333"/>
      <c r="D37" s="1325">
        <f>SUM(D26+D35)</f>
        <v>3380052</v>
      </c>
      <c r="E37" s="1325">
        <f>SUM(E26+E35)</f>
        <v>3771060</v>
      </c>
      <c r="F37" s="1325">
        <f>SUM(F26+F35)</f>
        <v>0</v>
      </c>
    </row>
    <row r="38" spans="1:6">
      <c r="A38" s="1831"/>
      <c r="B38" s="1830"/>
      <c r="C38" s="1830"/>
      <c r="D38" s="1831"/>
      <c r="E38" s="1831"/>
      <c r="F38" s="1831"/>
    </row>
    <row r="39" spans="1:6">
      <c r="A39" s="1831"/>
      <c r="B39" s="1831"/>
      <c r="C39" s="1830"/>
      <c r="D39" s="1831"/>
      <c r="E39" s="1831"/>
      <c r="F39" s="1831"/>
    </row>
    <row r="40" spans="1:6">
      <c r="A40" s="1331" t="s">
        <v>1075</v>
      </c>
      <c r="B40" s="1830"/>
      <c r="C40" s="1830"/>
      <c r="D40" s="1831"/>
      <c r="E40" s="1831"/>
      <c r="F40" s="1831"/>
    </row>
    <row r="41" spans="1:6">
      <c r="A41" s="1331" t="s">
        <v>1102</v>
      </c>
      <c r="B41" s="1830"/>
      <c r="C41" s="1830"/>
      <c r="D41" s="1831"/>
      <c r="E41" s="1831"/>
      <c r="F41" s="1831"/>
    </row>
    <row r="42" spans="1:6">
      <c r="A42" s="1836" t="s">
        <v>1103</v>
      </c>
      <c r="B42" s="1830">
        <v>1</v>
      </c>
      <c r="C42" s="1831" t="s">
        <v>10213</v>
      </c>
      <c r="D42" s="1831"/>
      <c r="E42" s="1831"/>
      <c r="F42" s="1831"/>
    </row>
    <row r="43" spans="1:6">
      <c r="A43" s="1836" t="s">
        <v>1078</v>
      </c>
      <c r="B43" s="1831"/>
      <c r="C43" s="1831"/>
      <c r="D43" s="1831"/>
      <c r="E43" s="1831"/>
      <c r="F43" s="1831"/>
    </row>
    <row r="44" spans="1:6">
      <c r="A44" s="1836" t="s">
        <v>1079</v>
      </c>
      <c r="B44" s="1831"/>
      <c r="C44" s="1831"/>
      <c r="D44" s="1831"/>
      <c r="E44" s="1831"/>
      <c r="F44" s="1831"/>
    </row>
    <row r="45" spans="1:6">
      <c r="A45" s="1836" t="s">
        <v>168</v>
      </c>
      <c r="B45" s="1831"/>
      <c r="C45" s="1831"/>
      <c r="D45" s="1831"/>
      <c r="E45" s="1831"/>
      <c r="F45" s="1831"/>
    </row>
    <row r="46" spans="1:6">
      <c r="A46" s="1836" t="s">
        <v>1080</v>
      </c>
      <c r="B46" s="1831"/>
      <c r="C46" s="1831"/>
      <c r="D46" s="1831"/>
      <c r="E46" s="1831"/>
      <c r="F46" s="1831"/>
    </row>
    <row r="47" spans="1:6">
      <c r="A47" s="1836" t="s">
        <v>1104</v>
      </c>
      <c r="B47" s="1831"/>
      <c r="C47" s="1831"/>
      <c r="D47" s="1831"/>
      <c r="E47" s="1831"/>
      <c r="F47" s="1831"/>
    </row>
    <row r="48" spans="1:6">
      <c r="A48" s="1836" t="s">
        <v>1105</v>
      </c>
      <c r="B48" s="1836"/>
      <c r="C48" s="1836"/>
      <c r="D48" s="1836"/>
      <c r="E48" s="1836"/>
      <c r="F48" s="1836"/>
    </row>
    <row r="49" spans="1:6" ht="13.8" thickBot="1">
      <c r="A49" s="1836"/>
      <c r="B49" s="1842"/>
      <c r="C49" s="1842"/>
      <c r="D49" s="1842"/>
      <c r="E49" s="1842"/>
      <c r="F49" s="1842"/>
    </row>
    <row r="50" spans="1:6" ht="20.25" customHeight="1" thickBot="1">
      <c r="A50" s="1331" t="s">
        <v>1083</v>
      </c>
      <c r="B50" s="1334"/>
      <c r="C50" s="1334"/>
      <c r="D50" s="1334"/>
      <c r="E50" s="1334"/>
      <c r="F50" s="1334"/>
    </row>
    <row r="51" spans="1:6">
      <c r="A51" s="1331"/>
      <c r="B51" s="1836"/>
      <c r="C51" s="1836"/>
      <c r="D51" s="1836"/>
      <c r="E51" s="1836"/>
      <c r="F51" s="1836"/>
    </row>
    <row r="52" spans="1:6">
      <c r="A52" s="1836" t="s">
        <v>1106</v>
      </c>
      <c r="B52" s="1836"/>
      <c r="C52" s="1836"/>
      <c r="D52" s="1836"/>
      <c r="E52" s="1836"/>
      <c r="F52" s="1836"/>
    </row>
    <row r="53" spans="1:6" ht="13.8" thickBot="1">
      <c r="A53" s="1842"/>
      <c r="B53" s="1842"/>
      <c r="C53" s="1842"/>
      <c r="D53" s="1842"/>
      <c r="E53" s="1842"/>
      <c r="F53" s="1842"/>
    </row>
    <row r="54" spans="1:6">
      <c r="A54" s="1831"/>
      <c r="B54" s="1831"/>
      <c r="C54" s="1831"/>
      <c r="D54" s="1831"/>
      <c r="E54" s="1831"/>
      <c r="F54" s="1831"/>
    </row>
    <row r="55" spans="1:6">
      <c r="A55" s="1831" t="s">
        <v>1086</v>
      </c>
      <c r="B55" s="1831"/>
      <c r="C55" s="1831"/>
      <c r="D55" s="1831"/>
      <c r="E55" s="1831"/>
      <c r="F55" s="1831"/>
    </row>
    <row r="56" spans="1:6" ht="13.8" thickBot="1">
      <c r="A56" s="5200"/>
      <c r="B56" s="5200"/>
      <c r="C56" s="5200"/>
      <c r="D56" s="5200"/>
      <c r="E56" s="5200"/>
      <c r="F56" s="5200"/>
    </row>
    <row r="57" spans="1:6" ht="13.8" thickTop="1">
      <c r="A57" s="1840"/>
      <c r="B57" s="1840"/>
      <c r="C57" s="1840"/>
      <c r="D57" s="1840"/>
      <c r="E57" s="1840"/>
      <c r="F57" s="1840"/>
    </row>
    <row r="58" spans="1:6">
      <c r="A58" s="1840"/>
      <c r="B58" s="1840"/>
      <c r="C58" s="1840"/>
      <c r="D58" s="1840"/>
      <c r="E58" s="1840"/>
      <c r="F58" s="1840"/>
    </row>
    <row r="59" spans="1:6">
      <c r="A59" s="1840"/>
      <c r="B59" s="1840"/>
      <c r="C59" s="1840"/>
      <c r="D59" s="1840"/>
      <c r="E59" s="1840"/>
      <c r="F59" s="1840"/>
    </row>
    <row r="60" spans="1:6">
      <c r="A60" s="1840"/>
      <c r="B60" s="1840"/>
      <c r="C60" s="1840"/>
      <c r="D60" s="1840"/>
      <c r="E60" s="1840"/>
      <c r="F60" s="1840"/>
    </row>
    <row r="61" spans="1:6">
      <c r="A61" s="1840"/>
      <c r="B61" s="1840"/>
      <c r="C61" s="1840"/>
      <c r="D61" s="1840"/>
      <c r="E61" s="1840"/>
      <c r="F61" s="1840"/>
    </row>
    <row r="62" spans="1:6">
      <c r="A62" s="1840"/>
      <c r="B62" s="1840"/>
      <c r="C62" s="1840"/>
      <c r="D62" s="1840"/>
      <c r="E62" s="1840"/>
      <c r="F62" s="1840"/>
    </row>
    <row r="63" spans="1:6">
      <c r="A63" s="1840"/>
      <c r="B63" s="1840"/>
      <c r="C63" s="1840"/>
      <c r="D63" s="1840"/>
      <c r="E63" s="1840"/>
      <c r="F63" s="1840"/>
    </row>
  </sheetData>
  <mergeCells count="1">
    <mergeCell ref="D5:F5"/>
  </mergeCells>
  <printOptions horizontalCentered="1"/>
  <pageMargins left="0.5" right="0.25" top="0.75" bottom="0.5" header="0.5" footer="0.25"/>
  <pageSetup paperSize="5" firstPageNumber="118" orientation="portrait" useFirstPageNumber="1" verticalDpi="300" r:id="rId1"/>
  <headerFooter alignWithMargins="0">
    <oddHeader>&amp;R&amp;16&amp;P</oddHeader>
  </headerFooter>
</worksheet>
</file>

<file path=xl/worksheets/sheet77.xml><?xml version="1.0" encoding="utf-8"?>
<worksheet xmlns="http://schemas.openxmlformats.org/spreadsheetml/2006/main" xmlns:r="http://schemas.openxmlformats.org/officeDocument/2006/relationships">
  <sheetPr codeName="Sheet112"/>
  <dimension ref="A1:J54"/>
  <sheetViews>
    <sheetView showGridLines="0" topLeftCell="A16" workbookViewId="0">
      <selection activeCell="A18" sqref="A18"/>
    </sheetView>
  </sheetViews>
  <sheetFormatPr defaultColWidth="9.109375" defaultRowHeight="15.9" customHeight="1"/>
  <cols>
    <col min="1" max="1" width="6.88671875" style="3750" customWidth="1"/>
    <col min="2" max="2" width="5.88671875" style="3750" customWidth="1"/>
    <col min="3" max="3" width="23.88671875" style="3750" customWidth="1"/>
    <col min="4" max="4" width="14.88671875" style="3750" customWidth="1"/>
    <col min="5" max="5" width="13" style="3750" customWidth="1"/>
    <col min="6" max="9" width="9.109375" style="3750"/>
    <col min="10" max="10" width="8.88671875" style="3750" customWidth="1"/>
    <col min="11" max="16384" width="9.109375" style="3750"/>
  </cols>
  <sheetData>
    <row r="1" spans="1:10" ht="15.9" customHeight="1">
      <c r="I1" s="3751"/>
      <c r="J1" s="3753"/>
    </row>
    <row r="2" spans="1:10" ht="15.9" customHeight="1">
      <c r="A2" s="14720" t="s">
        <v>9496</v>
      </c>
      <c r="B2" s="14720"/>
      <c r="C2" s="14720"/>
      <c r="D2" s="14720"/>
      <c r="E2" s="14720"/>
      <c r="F2" s="14720"/>
      <c r="G2" s="14720"/>
      <c r="H2" s="14720"/>
      <c r="I2" s="3752"/>
      <c r="J2" s="3752"/>
    </row>
    <row r="3" spans="1:10" ht="15.9" customHeight="1">
      <c r="A3" s="3753"/>
    </row>
    <row r="5" spans="1:10" ht="15.9" customHeight="1">
      <c r="A5" s="3750" t="s">
        <v>734</v>
      </c>
      <c r="B5" s="3750" t="s">
        <v>840</v>
      </c>
      <c r="C5" s="3752" t="s">
        <v>9494</v>
      </c>
    </row>
    <row r="6" spans="1:10" ht="15.9" customHeight="1">
      <c r="A6" s="3750" t="s">
        <v>12</v>
      </c>
      <c r="B6" s="3750" t="s">
        <v>840</v>
      </c>
      <c r="C6" s="3750" t="s">
        <v>9493</v>
      </c>
    </row>
    <row r="8" spans="1:10" ht="15.9" customHeight="1">
      <c r="A8" s="3752" t="s">
        <v>9498</v>
      </c>
    </row>
    <row r="9" spans="1:10" ht="15.9" customHeight="1">
      <c r="A9" s="3752"/>
    </row>
    <row r="10" spans="1:10" ht="15.9" customHeight="1">
      <c r="A10" s="3752" t="s">
        <v>9495</v>
      </c>
    </row>
    <row r="11" spans="1:10" ht="15.9" customHeight="1">
      <c r="A11" s="3800" t="s">
        <v>4580</v>
      </c>
    </row>
    <row r="12" spans="1:10" s="3749" customFormat="1" ht="15.9" customHeight="1">
      <c r="A12" s="3800" t="s">
        <v>4580</v>
      </c>
      <c r="B12" s="3754"/>
      <c r="C12" s="3754"/>
      <c r="D12" s="3754"/>
      <c r="E12" s="3754"/>
      <c r="F12" s="3754"/>
      <c r="G12" s="3754"/>
      <c r="H12" s="3754"/>
      <c r="I12" s="3754"/>
      <c r="J12" s="3754"/>
    </row>
    <row r="13" spans="1:10" s="3749" customFormat="1" ht="15.9" customHeight="1">
      <c r="A13" s="3800" t="s">
        <v>4580</v>
      </c>
      <c r="B13" s="3754"/>
      <c r="C13" s="3754"/>
      <c r="D13" s="3754"/>
      <c r="E13" s="3754"/>
      <c r="F13" s="3754"/>
      <c r="G13" s="3754"/>
      <c r="H13" s="3754"/>
      <c r="I13" s="3754"/>
      <c r="J13" s="3754"/>
    </row>
    <row r="14" spans="1:10" s="3749" customFormat="1" ht="15.9" customHeight="1">
      <c r="A14" s="3755" t="s">
        <v>9497</v>
      </c>
      <c r="B14" s="3754"/>
      <c r="C14" s="3754"/>
      <c r="D14" s="3754"/>
      <c r="E14" s="3754"/>
      <c r="F14" s="3754"/>
      <c r="G14" s="3754"/>
      <c r="H14" s="3754"/>
      <c r="I14" s="3754"/>
      <c r="J14" s="3754"/>
    </row>
    <row r="15" spans="1:10" s="3749" customFormat="1" ht="15.9" customHeight="1">
      <c r="A15" s="3800" t="s">
        <v>4580</v>
      </c>
      <c r="B15" s="3754"/>
      <c r="C15" s="3754"/>
      <c r="D15" s="3754"/>
      <c r="E15" s="3754"/>
      <c r="F15" s="3754"/>
      <c r="G15" s="3754"/>
      <c r="H15" s="3754"/>
      <c r="I15" s="3754"/>
      <c r="J15" s="3754"/>
    </row>
    <row r="16" spans="1:10" s="3749" customFormat="1" ht="15.9" customHeight="1">
      <c r="A16" s="3800" t="s">
        <v>4580</v>
      </c>
      <c r="B16" s="3756"/>
      <c r="C16" s="3756"/>
      <c r="D16" s="3756"/>
      <c r="E16" s="3756"/>
      <c r="F16" s="3756"/>
      <c r="G16" s="3756"/>
      <c r="H16" s="3756"/>
      <c r="I16" s="3756"/>
      <c r="J16" s="3756"/>
    </row>
    <row r="17" spans="1:10" s="3749" customFormat="1" ht="15.9" customHeight="1">
      <c r="A17" s="3800" t="s">
        <v>4580</v>
      </c>
      <c r="B17" s="3754"/>
      <c r="C17" s="3754"/>
      <c r="D17" s="3754"/>
      <c r="E17" s="3754"/>
      <c r="F17" s="3754"/>
      <c r="G17" s="3754"/>
      <c r="H17" s="3754"/>
      <c r="I17" s="3754"/>
      <c r="J17" s="3754"/>
    </row>
    <row r="18" spans="1:10" s="3749" customFormat="1" ht="15.9" customHeight="1">
      <c r="A18" s="3755" t="s">
        <v>9499</v>
      </c>
      <c r="B18" s="3754"/>
      <c r="C18" s="3754"/>
      <c r="D18" s="3754"/>
      <c r="E18" s="3754"/>
      <c r="F18" s="3754"/>
      <c r="G18" s="3754"/>
      <c r="H18" s="3754"/>
      <c r="I18" s="3754"/>
      <c r="J18" s="3754"/>
    </row>
    <row r="19" spans="1:10" s="3749" customFormat="1" ht="15.9" customHeight="1">
      <c r="A19" s="3800" t="s">
        <v>4580</v>
      </c>
      <c r="B19" s="3754"/>
      <c r="C19" s="3754"/>
      <c r="D19" s="3754"/>
      <c r="E19" s="3754"/>
      <c r="F19" s="3754"/>
      <c r="G19" s="3754"/>
      <c r="H19" s="3754"/>
      <c r="I19" s="3754"/>
      <c r="J19" s="3754"/>
    </row>
    <row r="20" spans="1:10" s="3749" customFormat="1" ht="15.9" customHeight="1">
      <c r="A20" s="3800" t="s">
        <v>4580</v>
      </c>
      <c r="B20" s="3754"/>
      <c r="C20" s="3754"/>
      <c r="D20" s="3754"/>
      <c r="E20" s="3754"/>
      <c r="F20" s="3754"/>
      <c r="G20" s="3754"/>
      <c r="H20" s="3754"/>
      <c r="I20" s="3754"/>
      <c r="J20" s="3754"/>
    </row>
    <row r="21" spans="1:10" ht="15.9" customHeight="1">
      <c r="A21" s="3800" t="s">
        <v>4580</v>
      </c>
    </row>
    <row r="22" spans="1:10" ht="15.9" customHeight="1">
      <c r="A22" s="3752"/>
    </row>
    <row r="23" spans="1:10" ht="15.9" customHeight="1">
      <c r="A23" s="3752" t="s">
        <v>1730</v>
      </c>
    </row>
    <row r="24" spans="1:10" ht="15.9" customHeight="1">
      <c r="A24" s="3800" t="s">
        <v>4580</v>
      </c>
    </row>
    <row r="25" spans="1:10" ht="15.9" customHeight="1">
      <c r="A25" s="3800" t="s">
        <v>4580</v>
      </c>
    </row>
    <row r="26" spans="1:10" ht="15.9" customHeight="1">
      <c r="A26" s="3800" t="s">
        <v>4580</v>
      </c>
    </row>
    <row r="27" spans="1:10" ht="15.9" customHeight="1">
      <c r="A27" s="3754"/>
    </row>
    <row r="28" spans="1:10" ht="15.9" customHeight="1">
      <c r="A28" s="3764" t="s">
        <v>1839</v>
      </c>
      <c r="B28" s="3765"/>
      <c r="C28" s="3766"/>
      <c r="D28" s="3767"/>
      <c r="E28" s="3768"/>
      <c r="F28" s="3768"/>
      <c r="G28" s="3768"/>
      <c r="H28" s="3768"/>
    </row>
    <row r="29" spans="1:10" ht="15.9" customHeight="1">
      <c r="A29" s="3769"/>
      <c r="B29" s="3765"/>
      <c r="C29" s="3768"/>
      <c r="D29" s="3770"/>
      <c r="E29" s="3768"/>
      <c r="F29" s="3768"/>
      <c r="G29" s="3768"/>
      <c r="H29" s="3768"/>
    </row>
    <row r="30" spans="1:10" ht="15.9" customHeight="1">
      <c r="A30" s="14721" t="s">
        <v>4776</v>
      </c>
      <c r="B30" s="3771"/>
      <c r="C30" s="3772" t="s">
        <v>2146</v>
      </c>
      <c r="D30" s="3773" t="s">
        <v>2147</v>
      </c>
      <c r="E30" s="3774" t="s">
        <v>1787</v>
      </c>
      <c r="F30" s="3774" t="s">
        <v>1764</v>
      </c>
      <c r="G30" s="14723" t="s">
        <v>1739</v>
      </c>
      <c r="H30" s="14724"/>
    </row>
    <row r="31" spans="1:10" ht="15.9" customHeight="1">
      <c r="A31" s="14722"/>
      <c r="B31" s="3775"/>
      <c r="C31" s="3776" t="s">
        <v>2148</v>
      </c>
      <c r="D31" s="3777"/>
      <c r="E31" s="3778"/>
      <c r="F31" s="3778"/>
      <c r="G31" s="3778" t="s">
        <v>2149</v>
      </c>
      <c r="H31" s="3779" t="s">
        <v>1790</v>
      </c>
    </row>
    <row r="32" spans="1:10" ht="15.9" customHeight="1">
      <c r="A32" s="3780"/>
      <c r="B32" s="3781"/>
      <c r="C32" s="3782"/>
      <c r="D32" s="3783"/>
      <c r="E32" s="3784"/>
      <c r="F32" s="3784"/>
      <c r="G32" s="3784"/>
      <c r="H32" s="3784"/>
    </row>
    <row r="33" spans="1:8" ht="15.9" customHeight="1">
      <c r="A33" s="3785"/>
      <c r="B33" s="3786"/>
      <c r="C33" s="3787"/>
      <c r="D33" s="3788"/>
      <c r="E33" s="3789"/>
      <c r="F33" s="3789"/>
      <c r="G33" s="3789"/>
      <c r="H33" s="3789"/>
    </row>
    <row r="34" spans="1:8" ht="15.9" customHeight="1">
      <c r="A34" s="14725"/>
      <c r="B34" s="14726"/>
      <c r="C34" s="14727"/>
      <c r="D34" s="3788"/>
      <c r="E34" s="3789"/>
      <c r="F34" s="3789"/>
      <c r="G34" s="3789"/>
      <c r="H34" s="3789"/>
    </row>
    <row r="35" spans="1:8" ht="15.9" customHeight="1">
      <c r="A35" s="14725"/>
      <c r="B35" s="3790"/>
      <c r="C35" s="3791"/>
      <c r="D35" s="3788"/>
      <c r="E35" s="3789"/>
      <c r="F35" s="3789"/>
      <c r="G35" s="3789"/>
      <c r="H35" s="3789"/>
    </row>
    <row r="36" spans="1:8" ht="15.9" customHeight="1">
      <c r="A36" s="3792"/>
      <c r="B36" s="3793"/>
      <c r="C36" s="3794"/>
      <c r="D36" s="3795"/>
      <c r="E36" s="3796"/>
      <c r="F36" s="3796"/>
      <c r="G36" s="3796"/>
      <c r="H36" s="3797"/>
    </row>
    <row r="37" spans="1:8" ht="15.9" customHeight="1">
      <c r="A37" s="3792"/>
      <c r="B37" s="3793"/>
      <c r="C37" s="3794"/>
      <c r="D37" s="3795"/>
      <c r="E37" s="3796"/>
      <c r="F37" s="3796"/>
      <c r="G37" s="3796"/>
      <c r="H37" s="3797"/>
    </row>
    <row r="38" spans="1:8" ht="15.9" customHeight="1">
      <c r="A38" s="3792"/>
      <c r="B38" s="3793"/>
      <c r="C38" s="3794"/>
      <c r="D38" s="3795"/>
      <c r="E38" s="3796"/>
      <c r="F38" s="3796"/>
      <c r="G38" s="3796"/>
      <c r="H38" s="3797"/>
    </row>
    <row r="39" spans="1:8" ht="15.9" customHeight="1">
      <c r="A39" s="3792"/>
      <c r="B39" s="3793"/>
      <c r="C39" s="3794"/>
      <c r="D39" s="3795"/>
      <c r="E39" s="3763"/>
      <c r="F39" s="3796"/>
      <c r="G39" s="3796"/>
      <c r="H39" s="3797"/>
    </row>
    <row r="40" spans="1:8" ht="15.9" customHeight="1">
      <c r="A40" s="3792"/>
      <c r="B40" s="3793"/>
      <c r="C40" s="3794"/>
      <c r="D40" s="3795"/>
      <c r="E40" s="3796"/>
      <c r="F40" s="3796"/>
      <c r="G40" s="3796"/>
      <c r="H40" s="3797"/>
    </row>
    <row r="41" spans="1:8" ht="15.9" customHeight="1">
      <c r="A41" s="3785"/>
      <c r="B41" s="3786"/>
      <c r="C41" s="3794"/>
      <c r="D41" s="3788"/>
      <c r="E41" s="3796"/>
      <c r="F41" s="3796"/>
      <c r="G41" s="3796"/>
      <c r="H41" s="3797"/>
    </row>
    <row r="42" spans="1:8" ht="15.9" customHeight="1">
      <c r="A42" s="3785"/>
      <c r="B42" s="3786"/>
      <c r="C42" s="3798"/>
      <c r="D42" s="3788"/>
      <c r="E42" s="3789"/>
      <c r="F42" s="3789"/>
      <c r="G42" s="3796"/>
      <c r="H42" s="3797"/>
    </row>
    <row r="43" spans="1:8" ht="15.9" customHeight="1">
      <c r="A43" s="3757"/>
      <c r="B43" s="3758"/>
      <c r="C43" s="3759"/>
      <c r="D43" s="3757"/>
      <c r="E43" s="3757"/>
      <c r="F43" s="3757"/>
      <c r="G43" s="3757"/>
      <c r="H43" s="3757"/>
    </row>
    <row r="44" spans="1:8" ht="15.9" customHeight="1">
      <c r="A44" s="3757"/>
      <c r="B44" s="3758"/>
      <c r="C44" s="3759"/>
      <c r="D44" s="3757"/>
      <c r="E44" s="3757"/>
      <c r="F44" s="3757"/>
      <c r="G44" s="3757"/>
      <c r="H44" s="3757"/>
    </row>
    <row r="45" spans="1:8" ht="15.9" customHeight="1">
      <c r="A45" s="3757"/>
      <c r="B45" s="3758"/>
      <c r="C45" s="3759"/>
      <c r="D45" s="3757"/>
      <c r="E45" s="3757"/>
      <c r="F45" s="3757"/>
      <c r="G45" s="3757"/>
      <c r="H45" s="3757"/>
    </row>
    <row r="46" spans="1:8" ht="15.9" customHeight="1">
      <c r="A46" s="3757"/>
      <c r="B46" s="3758"/>
      <c r="C46" s="3759"/>
      <c r="D46" s="3757"/>
      <c r="E46" s="3757"/>
      <c r="F46" s="3757"/>
      <c r="G46" s="3757"/>
      <c r="H46" s="3757"/>
    </row>
    <row r="47" spans="1:8" ht="15.9" customHeight="1">
      <c r="A47" s="3757"/>
      <c r="B47" s="3758"/>
      <c r="C47" s="3759"/>
      <c r="D47" s="3757"/>
      <c r="E47" s="3757"/>
      <c r="F47" s="3757"/>
      <c r="G47" s="3757"/>
      <c r="H47" s="3757"/>
    </row>
    <row r="48" spans="1:8" ht="15.9" customHeight="1">
      <c r="A48" s="3757"/>
      <c r="B48" s="3758"/>
      <c r="C48" s="3759"/>
      <c r="D48" s="3757"/>
      <c r="E48" s="3757"/>
      <c r="F48" s="3757"/>
      <c r="G48" s="3757"/>
      <c r="H48" s="3757"/>
    </row>
    <row r="49" spans="1:8" ht="15.9" customHeight="1">
      <c r="A49" s="3757"/>
      <c r="B49" s="3758"/>
      <c r="C49" s="3759"/>
      <c r="D49" s="3757"/>
      <c r="E49" s="3757"/>
      <c r="F49" s="3757"/>
      <c r="G49" s="3757"/>
      <c r="H49" s="3757"/>
    </row>
    <row r="50" spans="1:8" ht="15.9" customHeight="1">
      <c r="A50" s="3757"/>
      <c r="B50" s="3758"/>
      <c r="C50" s="3759"/>
      <c r="D50" s="3757"/>
      <c r="E50" s="3757"/>
      <c r="F50" s="3757"/>
      <c r="G50" s="3757"/>
      <c r="H50" s="3757"/>
    </row>
    <row r="51" spans="1:8" ht="15.9" customHeight="1">
      <c r="A51" s="3757"/>
      <c r="B51" s="3758"/>
      <c r="C51" s="3759"/>
      <c r="D51" s="3757"/>
      <c r="E51" s="3757"/>
      <c r="F51" s="3757"/>
      <c r="G51" s="3757"/>
      <c r="H51" s="3757"/>
    </row>
    <row r="52" spans="1:8" ht="15.9" customHeight="1">
      <c r="A52" s="3757"/>
      <c r="B52" s="3758"/>
      <c r="C52" s="3759"/>
      <c r="D52" s="3757"/>
      <c r="E52" s="3757"/>
      <c r="F52" s="3757"/>
      <c r="G52" s="3757"/>
      <c r="H52" s="3757"/>
    </row>
    <row r="53" spans="1:8" ht="15.9" customHeight="1">
      <c r="A53" s="3757"/>
      <c r="B53" s="3758"/>
      <c r="C53" s="3759"/>
      <c r="D53" s="3757"/>
      <c r="E53" s="3757"/>
      <c r="F53" s="3757"/>
      <c r="G53" s="3757"/>
      <c r="H53" s="3757"/>
    </row>
    <row r="54" spans="1:8" s="3752" customFormat="1" ht="15.9" customHeight="1">
      <c r="A54" s="3760"/>
      <c r="B54" s="3761"/>
      <c r="C54" s="3762" t="s">
        <v>220</v>
      </c>
      <c r="D54" s="3799">
        <v>22868755</v>
      </c>
      <c r="E54" s="3760"/>
      <c r="F54" s="3760"/>
      <c r="G54" s="3760"/>
      <c r="H54" s="3760"/>
    </row>
  </sheetData>
  <mergeCells count="5">
    <mergeCell ref="A2:H2"/>
    <mergeCell ref="A30:A31"/>
    <mergeCell ref="G30:H30"/>
    <mergeCell ref="A34:A35"/>
    <mergeCell ref="B34:C34"/>
  </mergeCells>
  <pageMargins left="0.5" right="0.25" top="0.75" bottom="0.5" header="0.5" footer="0.25"/>
  <pageSetup paperSize="119" firstPageNumber="11" orientation="portrait" useFirstPageNumber="1" r:id="rId1"/>
</worksheet>
</file>

<file path=xl/worksheets/sheet78.xml><?xml version="1.0" encoding="utf-8"?>
<worksheet xmlns="http://schemas.openxmlformats.org/spreadsheetml/2006/main" xmlns:r="http://schemas.openxmlformats.org/officeDocument/2006/relationships">
  <sheetPr codeName="Sheet115">
    <tabColor theme="8" tint="-0.249977111117893"/>
  </sheetPr>
  <dimension ref="A1:L152"/>
  <sheetViews>
    <sheetView showGridLines="0" topLeftCell="A49" workbookViewId="0">
      <selection activeCell="J49" sqref="J1:Q1048576"/>
    </sheetView>
  </sheetViews>
  <sheetFormatPr defaultRowHeight="15" customHeight="1"/>
  <cols>
    <col min="1" max="1" width="4.109375" style="7818" customWidth="1"/>
    <col min="2" max="2" width="55.5546875" style="7818" customWidth="1"/>
    <col min="3" max="3" width="12.5546875" style="7841" customWidth="1"/>
    <col min="4" max="4" width="15.5546875" style="7818" customWidth="1"/>
    <col min="5" max="5" width="15.5546875" style="7339" customWidth="1"/>
    <col min="6" max="6" width="15.5546875" style="9494" customWidth="1"/>
    <col min="7" max="7" width="17.109375" style="7818" customWidth="1"/>
    <col min="8" max="8" width="15.33203125" style="7310" hidden="1" customWidth="1"/>
    <col min="9" max="9" width="9.6640625" style="7818" hidden="1" customWidth="1"/>
    <col min="10" max="10" width="15.5546875" style="7818" customWidth="1"/>
    <col min="11" max="11" width="17.44140625" style="7310" customWidth="1"/>
    <col min="12" max="12" width="8.88671875" style="7841" customWidth="1"/>
    <col min="13" max="16" width="8.88671875" style="7818" customWidth="1"/>
    <col min="17" max="248" width="9.109375" style="7818"/>
    <col min="249" max="249" width="3.88671875" style="7818" customWidth="1"/>
    <col min="250" max="250" width="38.109375" style="7818" customWidth="1"/>
    <col min="251" max="251" width="11.44140625" style="7818" customWidth="1"/>
    <col min="252" max="252" width="15" style="7818" customWidth="1"/>
    <col min="253" max="253" width="16.109375" style="7818" customWidth="1"/>
    <col min="254" max="254" width="15.109375" style="7818" customWidth="1"/>
    <col min="255" max="255" width="16.109375" style="7818" customWidth="1"/>
    <col min="256" max="256" width="14.44140625" style="7818" bestFit="1" customWidth="1"/>
    <col min="257" max="504" width="9.109375" style="7818"/>
    <col min="505" max="505" width="3.88671875" style="7818" customWidth="1"/>
    <col min="506" max="506" width="38.109375" style="7818" customWidth="1"/>
    <col min="507" max="507" width="11.44140625" style="7818" customWidth="1"/>
    <col min="508" max="508" width="15" style="7818" customWidth="1"/>
    <col min="509" max="509" width="16.109375" style="7818" customWidth="1"/>
    <col min="510" max="510" width="15.109375" style="7818" customWidth="1"/>
    <col min="511" max="511" width="16.109375" style="7818" customWidth="1"/>
    <col min="512" max="512" width="14.44140625" style="7818" bestFit="1" customWidth="1"/>
    <col min="513" max="760" width="9.109375" style="7818"/>
    <col min="761" max="761" width="3.88671875" style="7818" customWidth="1"/>
    <col min="762" max="762" width="38.109375" style="7818" customWidth="1"/>
    <col min="763" max="763" width="11.44140625" style="7818" customWidth="1"/>
    <col min="764" max="764" width="15" style="7818" customWidth="1"/>
    <col min="765" max="765" width="16.109375" style="7818" customWidth="1"/>
    <col min="766" max="766" width="15.109375" style="7818" customWidth="1"/>
    <col min="767" max="767" width="16.109375" style="7818" customWidth="1"/>
    <col min="768" max="768" width="14.44140625" style="7818" bestFit="1" customWidth="1"/>
    <col min="769" max="1016" width="9.109375" style="7818"/>
    <col min="1017" max="1017" width="3.88671875" style="7818" customWidth="1"/>
    <col min="1018" max="1018" width="38.109375" style="7818" customWidth="1"/>
    <col min="1019" max="1019" width="11.44140625" style="7818" customWidth="1"/>
    <col min="1020" max="1020" width="15" style="7818" customWidth="1"/>
    <col min="1021" max="1021" width="16.109375" style="7818" customWidth="1"/>
    <col min="1022" max="1022" width="15.109375" style="7818" customWidth="1"/>
    <col min="1023" max="1023" width="16.109375" style="7818" customWidth="1"/>
    <col min="1024" max="1024" width="14.44140625" style="7818" bestFit="1" customWidth="1"/>
    <col min="1025" max="1272" width="9.109375" style="7818"/>
    <col min="1273" max="1273" width="3.88671875" style="7818" customWidth="1"/>
    <col min="1274" max="1274" width="38.109375" style="7818" customWidth="1"/>
    <col min="1275" max="1275" width="11.44140625" style="7818" customWidth="1"/>
    <col min="1276" max="1276" width="15" style="7818" customWidth="1"/>
    <col min="1277" max="1277" width="16.109375" style="7818" customWidth="1"/>
    <col min="1278" max="1278" width="15.109375" style="7818" customWidth="1"/>
    <col min="1279" max="1279" width="16.109375" style="7818" customWidth="1"/>
    <col min="1280" max="1280" width="14.44140625" style="7818" bestFit="1" customWidth="1"/>
    <col min="1281" max="1528" width="9.109375" style="7818"/>
    <col min="1529" max="1529" width="3.88671875" style="7818" customWidth="1"/>
    <col min="1530" max="1530" width="38.109375" style="7818" customWidth="1"/>
    <col min="1531" max="1531" width="11.44140625" style="7818" customWidth="1"/>
    <col min="1532" max="1532" width="15" style="7818" customWidth="1"/>
    <col min="1533" max="1533" width="16.109375" style="7818" customWidth="1"/>
    <col min="1534" max="1534" width="15.109375" style="7818" customWidth="1"/>
    <col min="1535" max="1535" width="16.109375" style="7818" customWidth="1"/>
    <col min="1536" max="1536" width="14.44140625" style="7818" bestFit="1" customWidth="1"/>
    <col min="1537" max="1784" width="9.109375" style="7818"/>
    <col min="1785" max="1785" width="3.88671875" style="7818" customWidth="1"/>
    <col min="1786" max="1786" width="38.109375" style="7818" customWidth="1"/>
    <col min="1787" max="1787" width="11.44140625" style="7818" customWidth="1"/>
    <col min="1788" max="1788" width="15" style="7818" customWidth="1"/>
    <col min="1789" max="1789" width="16.109375" style="7818" customWidth="1"/>
    <col min="1790" max="1790" width="15.109375" style="7818" customWidth="1"/>
    <col min="1791" max="1791" width="16.109375" style="7818" customWidth="1"/>
    <col min="1792" max="1792" width="14.44140625" style="7818" bestFit="1" customWidth="1"/>
    <col min="1793" max="2040" width="9.109375" style="7818"/>
    <col min="2041" max="2041" width="3.88671875" style="7818" customWidth="1"/>
    <col min="2042" max="2042" width="38.109375" style="7818" customWidth="1"/>
    <col min="2043" max="2043" width="11.44140625" style="7818" customWidth="1"/>
    <col min="2044" max="2044" width="15" style="7818" customWidth="1"/>
    <col min="2045" max="2045" width="16.109375" style="7818" customWidth="1"/>
    <col min="2046" max="2046" width="15.109375" style="7818" customWidth="1"/>
    <col min="2047" max="2047" width="16.109375" style="7818" customWidth="1"/>
    <col min="2048" max="2048" width="14.44140625" style="7818" bestFit="1" customWidth="1"/>
    <col min="2049" max="2296" width="9.109375" style="7818"/>
    <col min="2297" max="2297" width="3.88671875" style="7818" customWidth="1"/>
    <col min="2298" max="2298" width="38.109375" style="7818" customWidth="1"/>
    <col min="2299" max="2299" width="11.44140625" style="7818" customWidth="1"/>
    <col min="2300" max="2300" width="15" style="7818" customWidth="1"/>
    <col min="2301" max="2301" width="16.109375" style="7818" customWidth="1"/>
    <col min="2302" max="2302" width="15.109375" style="7818" customWidth="1"/>
    <col min="2303" max="2303" width="16.109375" style="7818" customWidth="1"/>
    <col min="2304" max="2304" width="14.44140625" style="7818" bestFit="1" customWidth="1"/>
    <col min="2305" max="2552" width="9.109375" style="7818"/>
    <col min="2553" max="2553" width="3.88671875" style="7818" customWidth="1"/>
    <col min="2554" max="2554" width="38.109375" style="7818" customWidth="1"/>
    <col min="2555" max="2555" width="11.44140625" style="7818" customWidth="1"/>
    <col min="2556" max="2556" width="15" style="7818" customWidth="1"/>
    <col min="2557" max="2557" width="16.109375" style="7818" customWidth="1"/>
    <col min="2558" max="2558" width="15.109375" style="7818" customWidth="1"/>
    <col min="2559" max="2559" width="16.109375" style="7818" customWidth="1"/>
    <col min="2560" max="2560" width="14.44140625" style="7818" bestFit="1" customWidth="1"/>
    <col min="2561" max="2808" width="9.109375" style="7818"/>
    <col min="2809" max="2809" width="3.88671875" style="7818" customWidth="1"/>
    <col min="2810" max="2810" width="38.109375" style="7818" customWidth="1"/>
    <col min="2811" max="2811" width="11.44140625" style="7818" customWidth="1"/>
    <col min="2812" max="2812" width="15" style="7818" customWidth="1"/>
    <col min="2813" max="2813" width="16.109375" style="7818" customWidth="1"/>
    <col min="2814" max="2814" width="15.109375" style="7818" customWidth="1"/>
    <col min="2815" max="2815" width="16.109375" style="7818" customWidth="1"/>
    <col min="2816" max="2816" width="14.44140625" style="7818" bestFit="1" customWidth="1"/>
    <col min="2817" max="3064" width="9.109375" style="7818"/>
    <col min="3065" max="3065" width="3.88671875" style="7818" customWidth="1"/>
    <col min="3066" max="3066" width="38.109375" style="7818" customWidth="1"/>
    <col min="3067" max="3067" width="11.44140625" style="7818" customWidth="1"/>
    <col min="3068" max="3068" width="15" style="7818" customWidth="1"/>
    <col min="3069" max="3069" width="16.109375" style="7818" customWidth="1"/>
    <col min="3070" max="3070" width="15.109375" style="7818" customWidth="1"/>
    <col min="3071" max="3071" width="16.109375" style="7818" customWidth="1"/>
    <col min="3072" max="3072" width="14.44140625" style="7818" bestFit="1" customWidth="1"/>
    <col min="3073" max="3320" width="9.109375" style="7818"/>
    <col min="3321" max="3321" width="3.88671875" style="7818" customWidth="1"/>
    <col min="3322" max="3322" width="38.109375" style="7818" customWidth="1"/>
    <col min="3323" max="3323" width="11.44140625" style="7818" customWidth="1"/>
    <col min="3324" max="3324" width="15" style="7818" customWidth="1"/>
    <col min="3325" max="3325" width="16.109375" style="7818" customWidth="1"/>
    <col min="3326" max="3326" width="15.109375" style="7818" customWidth="1"/>
    <col min="3327" max="3327" width="16.109375" style="7818" customWidth="1"/>
    <col min="3328" max="3328" width="14.44140625" style="7818" bestFit="1" customWidth="1"/>
    <col min="3329" max="3576" width="9.109375" style="7818"/>
    <col min="3577" max="3577" width="3.88671875" style="7818" customWidth="1"/>
    <col min="3578" max="3578" width="38.109375" style="7818" customWidth="1"/>
    <col min="3579" max="3579" width="11.44140625" style="7818" customWidth="1"/>
    <col min="3580" max="3580" width="15" style="7818" customWidth="1"/>
    <col min="3581" max="3581" width="16.109375" style="7818" customWidth="1"/>
    <col min="3582" max="3582" width="15.109375" style="7818" customWidth="1"/>
    <col min="3583" max="3583" width="16.109375" style="7818" customWidth="1"/>
    <col min="3584" max="3584" width="14.44140625" style="7818" bestFit="1" customWidth="1"/>
    <col min="3585" max="3832" width="9.109375" style="7818"/>
    <col min="3833" max="3833" width="3.88671875" style="7818" customWidth="1"/>
    <col min="3834" max="3834" width="38.109375" style="7818" customWidth="1"/>
    <col min="3835" max="3835" width="11.44140625" style="7818" customWidth="1"/>
    <col min="3836" max="3836" width="15" style="7818" customWidth="1"/>
    <col min="3837" max="3837" width="16.109375" style="7818" customWidth="1"/>
    <col min="3838" max="3838" width="15.109375" style="7818" customWidth="1"/>
    <col min="3839" max="3839" width="16.109375" style="7818" customWidth="1"/>
    <col min="3840" max="3840" width="14.44140625" style="7818" bestFit="1" customWidth="1"/>
    <col min="3841" max="4088" width="9.109375" style="7818"/>
    <col min="4089" max="4089" width="3.88671875" style="7818" customWidth="1"/>
    <col min="4090" max="4090" width="38.109375" style="7818" customWidth="1"/>
    <col min="4091" max="4091" width="11.44140625" style="7818" customWidth="1"/>
    <col min="4092" max="4092" width="15" style="7818" customWidth="1"/>
    <col min="4093" max="4093" width="16.109375" style="7818" customWidth="1"/>
    <col min="4094" max="4094" width="15.109375" style="7818" customWidth="1"/>
    <col min="4095" max="4095" width="16.109375" style="7818" customWidth="1"/>
    <col min="4096" max="4096" width="14.44140625" style="7818" bestFit="1" customWidth="1"/>
    <col min="4097" max="4344" width="9.109375" style="7818"/>
    <col min="4345" max="4345" width="3.88671875" style="7818" customWidth="1"/>
    <col min="4346" max="4346" width="38.109375" style="7818" customWidth="1"/>
    <col min="4347" max="4347" width="11.44140625" style="7818" customWidth="1"/>
    <col min="4348" max="4348" width="15" style="7818" customWidth="1"/>
    <col min="4349" max="4349" width="16.109375" style="7818" customWidth="1"/>
    <col min="4350" max="4350" width="15.109375" style="7818" customWidth="1"/>
    <col min="4351" max="4351" width="16.109375" style="7818" customWidth="1"/>
    <col min="4352" max="4352" width="14.44140625" style="7818" bestFit="1" customWidth="1"/>
    <col min="4353" max="4600" width="9.109375" style="7818"/>
    <col min="4601" max="4601" width="3.88671875" style="7818" customWidth="1"/>
    <col min="4602" max="4602" width="38.109375" style="7818" customWidth="1"/>
    <col min="4603" max="4603" width="11.44140625" style="7818" customWidth="1"/>
    <col min="4604" max="4604" width="15" style="7818" customWidth="1"/>
    <col min="4605" max="4605" width="16.109375" style="7818" customWidth="1"/>
    <col min="4606" max="4606" width="15.109375" style="7818" customWidth="1"/>
    <col min="4607" max="4607" width="16.109375" style="7818" customWidth="1"/>
    <col min="4608" max="4608" width="14.44140625" style="7818" bestFit="1" customWidth="1"/>
    <col min="4609" max="4856" width="9.109375" style="7818"/>
    <col min="4857" max="4857" width="3.88671875" style="7818" customWidth="1"/>
    <col min="4858" max="4858" width="38.109375" style="7818" customWidth="1"/>
    <col min="4859" max="4859" width="11.44140625" style="7818" customWidth="1"/>
    <col min="4860" max="4860" width="15" style="7818" customWidth="1"/>
    <col min="4861" max="4861" width="16.109375" style="7818" customWidth="1"/>
    <col min="4862" max="4862" width="15.109375" style="7818" customWidth="1"/>
    <col min="4863" max="4863" width="16.109375" style="7818" customWidth="1"/>
    <col min="4864" max="4864" width="14.44140625" style="7818" bestFit="1" customWidth="1"/>
    <col min="4865" max="5112" width="9.109375" style="7818"/>
    <col min="5113" max="5113" width="3.88671875" style="7818" customWidth="1"/>
    <col min="5114" max="5114" width="38.109375" style="7818" customWidth="1"/>
    <col min="5115" max="5115" width="11.44140625" style="7818" customWidth="1"/>
    <col min="5116" max="5116" width="15" style="7818" customWidth="1"/>
    <col min="5117" max="5117" width="16.109375" style="7818" customWidth="1"/>
    <col min="5118" max="5118" width="15.109375" style="7818" customWidth="1"/>
    <col min="5119" max="5119" width="16.109375" style="7818" customWidth="1"/>
    <col min="5120" max="5120" width="14.44140625" style="7818" bestFit="1" customWidth="1"/>
    <col min="5121" max="5368" width="9.109375" style="7818"/>
    <col min="5369" max="5369" width="3.88671875" style="7818" customWidth="1"/>
    <col min="5370" max="5370" width="38.109375" style="7818" customWidth="1"/>
    <col min="5371" max="5371" width="11.44140625" style="7818" customWidth="1"/>
    <col min="5372" max="5372" width="15" style="7818" customWidth="1"/>
    <col min="5373" max="5373" width="16.109375" style="7818" customWidth="1"/>
    <col min="5374" max="5374" width="15.109375" style="7818" customWidth="1"/>
    <col min="5375" max="5375" width="16.109375" style="7818" customWidth="1"/>
    <col min="5376" max="5376" width="14.44140625" style="7818" bestFit="1" customWidth="1"/>
    <col min="5377" max="5624" width="9.109375" style="7818"/>
    <col min="5625" max="5625" width="3.88671875" style="7818" customWidth="1"/>
    <col min="5626" max="5626" width="38.109375" style="7818" customWidth="1"/>
    <col min="5627" max="5627" width="11.44140625" style="7818" customWidth="1"/>
    <col min="5628" max="5628" width="15" style="7818" customWidth="1"/>
    <col min="5629" max="5629" width="16.109375" style="7818" customWidth="1"/>
    <col min="5630" max="5630" width="15.109375" style="7818" customWidth="1"/>
    <col min="5631" max="5631" width="16.109375" style="7818" customWidth="1"/>
    <col min="5632" max="5632" width="14.44140625" style="7818" bestFit="1" customWidth="1"/>
    <col min="5633" max="5880" width="9.109375" style="7818"/>
    <col min="5881" max="5881" width="3.88671875" style="7818" customWidth="1"/>
    <col min="5882" max="5882" width="38.109375" style="7818" customWidth="1"/>
    <col min="5883" max="5883" width="11.44140625" style="7818" customWidth="1"/>
    <col min="5884" max="5884" width="15" style="7818" customWidth="1"/>
    <col min="5885" max="5885" width="16.109375" style="7818" customWidth="1"/>
    <col min="5886" max="5886" width="15.109375" style="7818" customWidth="1"/>
    <col min="5887" max="5887" width="16.109375" style="7818" customWidth="1"/>
    <col min="5888" max="5888" width="14.44140625" style="7818" bestFit="1" customWidth="1"/>
    <col min="5889" max="6136" width="9.109375" style="7818"/>
    <col min="6137" max="6137" width="3.88671875" style="7818" customWidth="1"/>
    <col min="6138" max="6138" width="38.109375" style="7818" customWidth="1"/>
    <col min="6139" max="6139" width="11.44140625" style="7818" customWidth="1"/>
    <col min="6140" max="6140" width="15" style="7818" customWidth="1"/>
    <col min="6141" max="6141" width="16.109375" style="7818" customWidth="1"/>
    <col min="6142" max="6142" width="15.109375" style="7818" customWidth="1"/>
    <col min="6143" max="6143" width="16.109375" style="7818" customWidth="1"/>
    <col min="6144" max="6144" width="14.44140625" style="7818" bestFit="1" customWidth="1"/>
    <col min="6145" max="6392" width="9.109375" style="7818"/>
    <col min="6393" max="6393" width="3.88671875" style="7818" customWidth="1"/>
    <col min="6394" max="6394" width="38.109375" style="7818" customWidth="1"/>
    <col min="6395" max="6395" width="11.44140625" style="7818" customWidth="1"/>
    <col min="6396" max="6396" width="15" style="7818" customWidth="1"/>
    <col min="6397" max="6397" width="16.109375" style="7818" customWidth="1"/>
    <col min="6398" max="6398" width="15.109375" style="7818" customWidth="1"/>
    <col min="6399" max="6399" width="16.109375" style="7818" customWidth="1"/>
    <col min="6400" max="6400" width="14.44140625" style="7818" bestFit="1" customWidth="1"/>
    <col min="6401" max="6648" width="9.109375" style="7818"/>
    <col min="6649" max="6649" width="3.88671875" style="7818" customWidth="1"/>
    <col min="6650" max="6650" width="38.109375" style="7818" customWidth="1"/>
    <col min="6651" max="6651" width="11.44140625" style="7818" customWidth="1"/>
    <col min="6652" max="6652" width="15" style="7818" customWidth="1"/>
    <col min="6653" max="6653" width="16.109375" style="7818" customWidth="1"/>
    <col min="6654" max="6654" width="15.109375" style="7818" customWidth="1"/>
    <col min="6655" max="6655" width="16.109375" style="7818" customWidth="1"/>
    <col min="6656" max="6656" width="14.44140625" style="7818" bestFit="1" customWidth="1"/>
    <col min="6657" max="6904" width="9.109375" style="7818"/>
    <col min="6905" max="6905" width="3.88671875" style="7818" customWidth="1"/>
    <col min="6906" max="6906" width="38.109375" style="7818" customWidth="1"/>
    <col min="6907" max="6907" width="11.44140625" style="7818" customWidth="1"/>
    <col min="6908" max="6908" width="15" style="7818" customWidth="1"/>
    <col min="6909" max="6909" width="16.109375" style="7818" customWidth="1"/>
    <col min="6910" max="6910" width="15.109375" style="7818" customWidth="1"/>
    <col min="6911" max="6911" width="16.109375" style="7818" customWidth="1"/>
    <col min="6912" max="6912" width="14.44140625" style="7818" bestFit="1" customWidth="1"/>
    <col min="6913" max="7160" width="9.109375" style="7818"/>
    <col min="7161" max="7161" width="3.88671875" style="7818" customWidth="1"/>
    <col min="7162" max="7162" width="38.109375" style="7818" customWidth="1"/>
    <col min="7163" max="7163" width="11.44140625" style="7818" customWidth="1"/>
    <col min="7164" max="7164" width="15" style="7818" customWidth="1"/>
    <col min="7165" max="7165" width="16.109375" style="7818" customWidth="1"/>
    <col min="7166" max="7166" width="15.109375" style="7818" customWidth="1"/>
    <col min="7167" max="7167" width="16.109375" style="7818" customWidth="1"/>
    <col min="7168" max="7168" width="14.44140625" style="7818" bestFit="1" customWidth="1"/>
    <col min="7169" max="7416" width="9.109375" style="7818"/>
    <col min="7417" max="7417" width="3.88671875" style="7818" customWidth="1"/>
    <col min="7418" max="7418" width="38.109375" style="7818" customWidth="1"/>
    <col min="7419" max="7419" width="11.44140625" style="7818" customWidth="1"/>
    <col min="7420" max="7420" width="15" style="7818" customWidth="1"/>
    <col min="7421" max="7421" width="16.109375" style="7818" customWidth="1"/>
    <col min="7422" max="7422" width="15.109375" style="7818" customWidth="1"/>
    <col min="7423" max="7423" width="16.109375" style="7818" customWidth="1"/>
    <col min="7424" max="7424" width="14.44140625" style="7818" bestFit="1" customWidth="1"/>
    <col min="7425" max="7672" width="9.109375" style="7818"/>
    <col min="7673" max="7673" width="3.88671875" style="7818" customWidth="1"/>
    <col min="7674" max="7674" width="38.109375" style="7818" customWidth="1"/>
    <col min="7675" max="7675" width="11.44140625" style="7818" customWidth="1"/>
    <col min="7676" max="7676" width="15" style="7818" customWidth="1"/>
    <col min="7677" max="7677" width="16.109375" style="7818" customWidth="1"/>
    <col min="7678" max="7678" width="15.109375" style="7818" customWidth="1"/>
    <col min="7679" max="7679" width="16.109375" style="7818" customWidth="1"/>
    <col min="7680" max="7680" width="14.44140625" style="7818" bestFit="1" customWidth="1"/>
    <col min="7681" max="7928" width="9.109375" style="7818"/>
    <col min="7929" max="7929" width="3.88671875" style="7818" customWidth="1"/>
    <col min="7930" max="7930" width="38.109375" style="7818" customWidth="1"/>
    <col min="7931" max="7931" width="11.44140625" style="7818" customWidth="1"/>
    <col min="7932" max="7932" width="15" style="7818" customWidth="1"/>
    <col min="7933" max="7933" width="16.109375" style="7818" customWidth="1"/>
    <col min="7934" max="7934" width="15.109375" style="7818" customWidth="1"/>
    <col min="7935" max="7935" width="16.109375" style="7818" customWidth="1"/>
    <col min="7936" max="7936" width="14.44140625" style="7818" bestFit="1" customWidth="1"/>
    <col min="7937" max="8184" width="9.109375" style="7818"/>
    <col min="8185" max="8185" width="3.88671875" style="7818" customWidth="1"/>
    <col min="8186" max="8186" width="38.109375" style="7818" customWidth="1"/>
    <col min="8187" max="8187" width="11.44140625" style="7818" customWidth="1"/>
    <col min="8188" max="8188" width="15" style="7818" customWidth="1"/>
    <col min="8189" max="8189" width="16.109375" style="7818" customWidth="1"/>
    <col min="8190" max="8190" width="15.109375" style="7818" customWidth="1"/>
    <col min="8191" max="8191" width="16.109375" style="7818" customWidth="1"/>
    <col min="8192" max="8192" width="14.44140625" style="7818" bestFit="1" customWidth="1"/>
    <col min="8193" max="8440" width="9.109375" style="7818"/>
    <col min="8441" max="8441" width="3.88671875" style="7818" customWidth="1"/>
    <col min="8442" max="8442" width="38.109375" style="7818" customWidth="1"/>
    <col min="8443" max="8443" width="11.44140625" style="7818" customWidth="1"/>
    <col min="8444" max="8444" width="15" style="7818" customWidth="1"/>
    <col min="8445" max="8445" width="16.109375" style="7818" customWidth="1"/>
    <col min="8446" max="8446" width="15.109375" style="7818" customWidth="1"/>
    <col min="8447" max="8447" width="16.109375" style="7818" customWidth="1"/>
    <col min="8448" max="8448" width="14.44140625" style="7818" bestFit="1" customWidth="1"/>
    <col min="8449" max="8696" width="9.109375" style="7818"/>
    <col min="8697" max="8697" width="3.88671875" style="7818" customWidth="1"/>
    <col min="8698" max="8698" width="38.109375" style="7818" customWidth="1"/>
    <col min="8699" max="8699" width="11.44140625" style="7818" customWidth="1"/>
    <col min="8700" max="8700" width="15" style="7818" customWidth="1"/>
    <col min="8701" max="8701" width="16.109375" style="7818" customWidth="1"/>
    <col min="8702" max="8702" width="15.109375" style="7818" customWidth="1"/>
    <col min="8703" max="8703" width="16.109375" style="7818" customWidth="1"/>
    <col min="8704" max="8704" width="14.44140625" style="7818" bestFit="1" customWidth="1"/>
    <col min="8705" max="8952" width="9.109375" style="7818"/>
    <col min="8953" max="8953" width="3.88671875" style="7818" customWidth="1"/>
    <col min="8954" max="8954" width="38.109375" style="7818" customWidth="1"/>
    <col min="8955" max="8955" width="11.44140625" style="7818" customWidth="1"/>
    <col min="8956" max="8956" width="15" style="7818" customWidth="1"/>
    <col min="8957" max="8957" width="16.109375" style="7818" customWidth="1"/>
    <col min="8958" max="8958" width="15.109375" style="7818" customWidth="1"/>
    <col min="8959" max="8959" width="16.109375" style="7818" customWidth="1"/>
    <col min="8960" max="8960" width="14.44140625" style="7818" bestFit="1" customWidth="1"/>
    <col min="8961" max="9208" width="9.109375" style="7818"/>
    <col min="9209" max="9209" width="3.88671875" style="7818" customWidth="1"/>
    <col min="9210" max="9210" width="38.109375" style="7818" customWidth="1"/>
    <col min="9211" max="9211" width="11.44140625" style="7818" customWidth="1"/>
    <col min="9212" max="9212" width="15" style="7818" customWidth="1"/>
    <col min="9213" max="9213" width="16.109375" style="7818" customWidth="1"/>
    <col min="9214" max="9214" width="15.109375" style="7818" customWidth="1"/>
    <col min="9215" max="9215" width="16.109375" style="7818" customWidth="1"/>
    <col min="9216" max="9216" width="14.44140625" style="7818" bestFit="1" customWidth="1"/>
    <col min="9217" max="9464" width="9.109375" style="7818"/>
    <col min="9465" max="9465" width="3.88671875" style="7818" customWidth="1"/>
    <col min="9466" max="9466" width="38.109375" style="7818" customWidth="1"/>
    <col min="9467" max="9467" width="11.44140625" style="7818" customWidth="1"/>
    <col min="9468" max="9468" width="15" style="7818" customWidth="1"/>
    <col min="9469" max="9469" width="16.109375" style="7818" customWidth="1"/>
    <col min="9470" max="9470" width="15.109375" style="7818" customWidth="1"/>
    <col min="9471" max="9471" width="16.109375" style="7818" customWidth="1"/>
    <col min="9472" max="9472" width="14.44140625" style="7818" bestFit="1" customWidth="1"/>
    <col min="9473" max="9720" width="9.109375" style="7818"/>
    <col min="9721" max="9721" width="3.88671875" style="7818" customWidth="1"/>
    <col min="9722" max="9722" width="38.109375" style="7818" customWidth="1"/>
    <col min="9723" max="9723" width="11.44140625" style="7818" customWidth="1"/>
    <col min="9724" max="9724" width="15" style="7818" customWidth="1"/>
    <col min="9725" max="9725" width="16.109375" style="7818" customWidth="1"/>
    <col min="9726" max="9726" width="15.109375" style="7818" customWidth="1"/>
    <col min="9727" max="9727" width="16.109375" style="7818" customWidth="1"/>
    <col min="9728" max="9728" width="14.44140625" style="7818" bestFit="1" customWidth="1"/>
    <col min="9729" max="9976" width="9.109375" style="7818"/>
    <col min="9977" max="9977" width="3.88671875" style="7818" customWidth="1"/>
    <col min="9978" max="9978" width="38.109375" style="7818" customWidth="1"/>
    <col min="9979" max="9979" width="11.44140625" style="7818" customWidth="1"/>
    <col min="9980" max="9980" width="15" style="7818" customWidth="1"/>
    <col min="9981" max="9981" width="16.109375" style="7818" customWidth="1"/>
    <col min="9982" max="9982" width="15.109375" style="7818" customWidth="1"/>
    <col min="9983" max="9983" width="16.109375" style="7818" customWidth="1"/>
    <col min="9984" max="9984" width="14.44140625" style="7818" bestFit="1" customWidth="1"/>
    <col min="9985" max="10232" width="9.109375" style="7818"/>
    <col min="10233" max="10233" width="3.88671875" style="7818" customWidth="1"/>
    <col min="10234" max="10234" width="38.109375" style="7818" customWidth="1"/>
    <col min="10235" max="10235" width="11.44140625" style="7818" customWidth="1"/>
    <col min="10236" max="10236" width="15" style="7818" customWidth="1"/>
    <col min="10237" max="10237" width="16.109375" style="7818" customWidth="1"/>
    <col min="10238" max="10238" width="15.109375" style="7818" customWidth="1"/>
    <col min="10239" max="10239" width="16.109375" style="7818" customWidth="1"/>
    <col min="10240" max="10240" width="14.44140625" style="7818" bestFit="1" customWidth="1"/>
    <col min="10241" max="10488" width="9.109375" style="7818"/>
    <col min="10489" max="10489" width="3.88671875" style="7818" customWidth="1"/>
    <col min="10490" max="10490" width="38.109375" style="7818" customWidth="1"/>
    <col min="10491" max="10491" width="11.44140625" style="7818" customWidth="1"/>
    <col min="10492" max="10492" width="15" style="7818" customWidth="1"/>
    <col min="10493" max="10493" width="16.109375" style="7818" customWidth="1"/>
    <col min="10494" max="10494" width="15.109375" style="7818" customWidth="1"/>
    <col min="10495" max="10495" width="16.109375" style="7818" customWidth="1"/>
    <col min="10496" max="10496" width="14.44140625" style="7818" bestFit="1" customWidth="1"/>
    <col min="10497" max="10744" width="9.109375" style="7818"/>
    <col min="10745" max="10745" width="3.88671875" style="7818" customWidth="1"/>
    <col min="10746" max="10746" width="38.109375" style="7818" customWidth="1"/>
    <col min="10747" max="10747" width="11.44140625" style="7818" customWidth="1"/>
    <col min="10748" max="10748" width="15" style="7818" customWidth="1"/>
    <col min="10749" max="10749" width="16.109375" style="7818" customWidth="1"/>
    <col min="10750" max="10750" width="15.109375" style="7818" customWidth="1"/>
    <col min="10751" max="10751" width="16.109375" style="7818" customWidth="1"/>
    <col min="10752" max="10752" width="14.44140625" style="7818" bestFit="1" customWidth="1"/>
    <col min="10753" max="11000" width="9.109375" style="7818"/>
    <col min="11001" max="11001" width="3.88671875" style="7818" customWidth="1"/>
    <col min="11002" max="11002" width="38.109375" style="7818" customWidth="1"/>
    <col min="11003" max="11003" width="11.44140625" style="7818" customWidth="1"/>
    <col min="11004" max="11004" width="15" style="7818" customWidth="1"/>
    <col min="11005" max="11005" width="16.109375" style="7818" customWidth="1"/>
    <col min="11006" max="11006" width="15.109375" style="7818" customWidth="1"/>
    <col min="11007" max="11007" width="16.109375" style="7818" customWidth="1"/>
    <col min="11008" max="11008" width="14.44140625" style="7818" bestFit="1" customWidth="1"/>
    <col min="11009" max="11256" width="9.109375" style="7818"/>
    <col min="11257" max="11257" width="3.88671875" style="7818" customWidth="1"/>
    <col min="11258" max="11258" width="38.109375" style="7818" customWidth="1"/>
    <col min="11259" max="11259" width="11.44140625" style="7818" customWidth="1"/>
    <col min="11260" max="11260" width="15" style="7818" customWidth="1"/>
    <col min="11261" max="11261" width="16.109375" style="7818" customWidth="1"/>
    <col min="11262" max="11262" width="15.109375" style="7818" customWidth="1"/>
    <col min="11263" max="11263" width="16.109375" style="7818" customWidth="1"/>
    <col min="11264" max="11264" width="14.44140625" style="7818" bestFit="1" customWidth="1"/>
    <col min="11265" max="11512" width="9.109375" style="7818"/>
    <col min="11513" max="11513" width="3.88671875" style="7818" customWidth="1"/>
    <col min="11514" max="11514" width="38.109375" style="7818" customWidth="1"/>
    <col min="11515" max="11515" width="11.44140625" style="7818" customWidth="1"/>
    <col min="11516" max="11516" width="15" style="7818" customWidth="1"/>
    <col min="11517" max="11517" width="16.109375" style="7818" customWidth="1"/>
    <col min="11518" max="11518" width="15.109375" style="7818" customWidth="1"/>
    <col min="11519" max="11519" width="16.109375" style="7818" customWidth="1"/>
    <col min="11520" max="11520" width="14.44140625" style="7818" bestFit="1" customWidth="1"/>
    <col min="11521" max="11768" width="9.109375" style="7818"/>
    <col min="11769" max="11769" width="3.88671875" style="7818" customWidth="1"/>
    <col min="11770" max="11770" width="38.109375" style="7818" customWidth="1"/>
    <col min="11771" max="11771" width="11.44140625" style="7818" customWidth="1"/>
    <col min="11772" max="11772" width="15" style="7818" customWidth="1"/>
    <col min="11773" max="11773" width="16.109375" style="7818" customWidth="1"/>
    <col min="11774" max="11774" width="15.109375" style="7818" customWidth="1"/>
    <col min="11775" max="11775" width="16.109375" style="7818" customWidth="1"/>
    <col min="11776" max="11776" width="14.44140625" style="7818" bestFit="1" customWidth="1"/>
    <col min="11777" max="12024" width="9.109375" style="7818"/>
    <col min="12025" max="12025" width="3.88671875" style="7818" customWidth="1"/>
    <col min="12026" max="12026" width="38.109375" style="7818" customWidth="1"/>
    <col min="12027" max="12027" width="11.44140625" style="7818" customWidth="1"/>
    <col min="12028" max="12028" width="15" style="7818" customWidth="1"/>
    <col min="12029" max="12029" width="16.109375" style="7818" customWidth="1"/>
    <col min="12030" max="12030" width="15.109375" style="7818" customWidth="1"/>
    <col min="12031" max="12031" width="16.109375" style="7818" customWidth="1"/>
    <col min="12032" max="12032" width="14.44140625" style="7818" bestFit="1" customWidth="1"/>
    <col min="12033" max="12280" width="9.109375" style="7818"/>
    <col min="12281" max="12281" width="3.88671875" style="7818" customWidth="1"/>
    <col min="12282" max="12282" width="38.109375" style="7818" customWidth="1"/>
    <col min="12283" max="12283" width="11.44140625" style="7818" customWidth="1"/>
    <col min="12284" max="12284" width="15" style="7818" customWidth="1"/>
    <col min="12285" max="12285" width="16.109375" style="7818" customWidth="1"/>
    <col min="12286" max="12286" width="15.109375" style="7818" customWidth="1"/>
    <col min="12287" max="12287" width="16.109375" style="7818" customWidth="1"/>
    <col min="12288" max="12288" width="14.44140625" style="7818" bestFit="1" customWidth="1"/>
    <col min="12289" max="12536" width="9.109375" style="7818"/>
    <col min="12537" max="12537" width="3.88671875" style="7818" customWidth="1"/>
    <col min="12538" max="12538" width="38.109375" style="7818" customWidth="1"/>
    <col min="12539" max="12539" width="11.44140625" style="7818" customWidth="1"/>
    <col min="12540" max="12540" width="15" style="7818" customWidth="1"/>
    <col min="12541" max="12541" width="16.109375" style="7818" customWidth="1"/>
    <col min="12542" max="12542" width="15.109375" style="7818" customWidth="1"/>
    <col min="12543" max="12543" width="16.109375" style="7818" customWidth="1"/>
    <col min="12544" max="12544" width="14.44140625" style="7818" bestFit="1" customWidth="1"/>
    <col min="12545" max="12792" width="9.109375" style="7818"/>
    <col min="12793" max="12793" width="3.88671875" style="7818" customWidth="1"/>
    <col min="12794" max="12794" width="38.109375" style="7818" customWidth="1"/>
    <col min="12795" max="12795" width="11.44140625" style="7818" customWidth="1"/>
    <col min="12796" max="12796" width="15" style="7818" customWidth="1"/>
    <col min="12797" max="12797" width="16.109375" style="7818" customWidth="1"/>
    <col min="12798" max="12798" width="15.109375" style="7818" customWidth="1"/>
    <col min="12799" max="12799" width="16.109375" style="7818" customWidth="1"/>
    <col min="12800" max="12800" width="14.44140625" style="7818" bestFit="1" customWidth="1"/>
    <col min="12801" max="13048" width="9.109375" style="7818"/>
    <col min="13049" max="13049" width="3.88671875" style="7818" customWidth="1"/>
    <col min="13050" max="13050" width="38.109375" style="7818" customWidth="1"/>
    <col min="13051" max="13051" width="11.44140625" style="7818" customWidth="1"/>
    <col min="13052" max="13052" width="15" style="7818" customWidth="1"/>
    <col min="13053" max="13053" width="16.109375" style="7818" customWidth="1"/>
    <col min="13054" max="13054" width="15.109375" style="7818" customWidth="1"/>
    <col min="13055" max="13055" width="16.109375" style="7818" customWidth="1"/>
    <col min="13056" max="13056" width="14.44140625" style="7818" bestFit="1" customWidth="1"/>
    <col min="13057" max="13304" width="9.109375" style="7818"/>
    <col min="13305" max="13305" width="3.88671875" style="7818" customWidth="1"/>
    <col min="13306" max="13306" width="38.109375" style="7818" customWidth="1"/>
    <col min="13307" max="13307" width="11.44140625" style="7818" customWidth="1"/>
    <col min="13308" max="13308" width="15" style="7818" customWidth="1"/>
    <col min="13309" max="13309" width="16.109375" style="7818" customWidth="1"/>
    <col min="13310" max="13310" width="15.109375" style="7818" customWidth="1"/>
    <col min="13311" max="13311" width="16.109375" style="7818" customWidth="1"/>
    <col min="13312" max="13312" width="14.44140625" style="7818" bestFit="1" customWidth="1"/>
    <col min="13313" max="13560" width="9.109375" style="7818"/>
    <col min="13561" max="13561" width="3.88671875" style="7818" customWidth="1"/>
    <col min="13562" max="13562" width="38.109375" style="7818" customWidth="1"/>
    <col min="13563" max="13563" width="11.44140625" style="7818" customWidth="1"/>
    <col min="13564" max="13564" width="15" style="7818" customWidth="1"/>
    <col min="13565" max="13565" width="16.109375" style="7818" customWidth="1"/>
    <col min="13566" max="13566" width="15.109375" style="7818" customWidth="1"/>
    <col min="13567" max="13567" width="16.109375" style="7818" customWidth="1"/>
    <col min="13568" max="13568" width="14.44140625" style="7818" bestFit="1" customWidth="1"/>
    <col min="13569" max="13816" width="9.109375" style="7818"/>
    <col min="13817" max="13817" width="3.88671875" style="7818" customWidth="1"/>
    <col min="13818" max="13818" width="38.109375" style="7818" customWidth="1"/>
    <col min="13819" max="13819" width="11.44140625" style="7818" customWidth="1"/>
    <col min="13820" max="13820" width="15" style="7818" customWidth="1"/>
    <col min="13821" max="13821" width="16.109375" style="7818" customWidth="1"/>
    <col min="13822" max="13822" width="15.109375" style="7818" customWidth="1"/>
    <col min="13823" max="13823" width="16.109375" style="7818" customWidth="1"/>
    <col min="13824" max="13824" width="14.44140625" style="7818" bestFit="1" customWidth="1"/>
    <col min="13825" max="14072" width="9.109375" style="7818"/>
    <col min="14073" max="14073" width="3.88671875" style="7818" customWidth="1"/>
    <col min="14074" max="14074" width="38.109375" style="7818" customWidth="1"/>
    <col min="14075" max="14075" width="11.44140625" style="7818" customWidth="1"/>
    <col min="14076" max="14076" width="15" style="7818" customWidth="1"/>
    <col min="14077" max="14077" width="16.109375" style="7818" customWidth="1"/>
    <col min="14078" max="14078" width="15.109375" style="7818" customWidth="1"/>
    <col min="14079" max="14079" width="16.109375" style="7818" customWidth="1"/>
    <col min="14080" max="14080" width="14.44140625" style="7818" bestFit="1" customWidth="1"/>
    <col min="14081" max="14328" width="9.109375" style="7818"/>
    <col min="14329" max="14329" width="3.88671875" style="7818" customWidth="1"/>
    <col min="14330" max="14330" width="38.109375" style="7818" customWidth="1"/>
    <col min="14331" max="14331" width="11.44140625" style="7818" customWidth="1"/>
    <col min="14332" max="14332" width="15" style="7818" customWidth="1"/>
    <col min="14333" max="14333" width="16.109375" style="7818" customWidth="1"/>
    <col min="14334" max="14334" width="15.109375" style="7818" customWidth="1"/>
    <col min="14335" max="14335" width="16.109375" style="7818" customWidth="1"/>
    <col min="14336" max="14336" width="14.44140625" style="7818" bestFit="1" customWidth="1"/>
    <col min="14337" max="14584" width="9.109375" style="7818"/>
    <col min="14585" max="14585" width="3.88671875" style="7818" customWidth="1"/>
    <col min="14586" max="14586" width="38.109375" style="7818" customWidth="1"/>
    <col min="14587" max="14587" width="11.44140625" style="7818" customWidth="1"/>
    <col min="14588" max="14588" width="15" style="7818" customWidth="1"/>
    <col min="14589" max="14589" width="16.109375" style="7818" customWidth="1"/>
    <col min="14590" max="14590" width="15.109375" style="7818" customWidth="1"/>
    <col min="14591" max="14591" width="16.109375" style="7818" customWidth="1"/>
    <col min="14592" max="14592" width="14.44140625" style="7818" bestFit="1" customWidth="1"/>
    <col min="14593" max="14840" width="9.109375" style="7818"/>
    <col min="14841" max="14841" width="3.88671875" style="7818" customWidth="1"/>
    <col min="14842" max="14842" width="38.109375" style="7818" customWidth="1"/>
    <col min="14843" max="14843" width="11.44140625" style="7818" customWidth="1"/>
    <col min="14844" max="14844" width="15" style="7818" customWidth="1"/>
    <col min="14845" max="14845" width="16.109375" style="7818" customWidth="1"/>
    <col min="14846" max="14846" width="15.109375" style="7818" customWidth="1"/>
    <col min="14847" max="14847" width="16.109375" style="7818" customWidth="1"/>
    <col min="14848" max="14848" width="14.44140625" style="7818" bestFit="1" customWidth="1"/>
    <col min="14849" max="15096" width="9.109375" style="7818"/>
    <col min="15097" max="15097" width="3.88671875" style="7818" customWidth="1"/>
    <col min="15098" max="15098" width="38.109375" style="7818" customWidth="1"/>
    <col min="15099" max="15099" width="11.44140625" style="7818" customWidth="1"/>
    <col min="15100" max="15100" width="15" style="7818" customWidth="1"/>
    <col min="15101" max="15101" width="16.109375" style="7818" customWidth="1"/>
    <col min="15102" max="15102" width="15.109375" style="7818" customWidth="1"/>
    <col min="15103" max="15103" width="16.109375" style="7818" customWidth="1"/>
    <col min="15104" max="15104" width="14.44140625" style="7818" bestFit="1" customWidth="1"/>
    <col min="15105" max="15352" width="9.109375" style="7818"/>
    <col min="15353" max="15353" width="3.88671875" style="7818" customWidth="1"/>
    <col min="15354" max="15354" width="38.109375" style="7818" customWidth="1"/>
    <col min="15355" max="15355" width="11.44140625" style="7818" customWidth="1"/>
    <col min="15356" max="15356" width="15" style="7818" customWidth="1"/>
    <col min="15357" max="15357" width="16.109375" style="7818" customWidth="1"/>
    <col min="15358" max="15358" width="15.109375" style="7818" customWidth="1"/>
    <col min="15359" max="15359" width="16.109375" style="7818" customWidth="1"/>
    <col min="15360" max="15360" width="14.44140625" style="7818" bestFit="1" customWidth="1"/>
    <col min="15361" max="15608" width="9.109375" style="7818"/>
    <col min="15609" max="15609" width="3.88671875" style="7818" customWidth="1"/>
    <col min="15610" max="15610" width="38.109375" style="7818" customWidth="1"/>
    <col min="15611" max="15611" width="11.44140625" style="7818" customWidth="1"/>
    <col min="15612" max="15612" width="15" style="7818" customWidth="1"/>
    <col min="15613" max="15613" width="16.109375" style="7818" customWidth="1"/>
    <col min="15614" max="15614" width="15.109375" style="7818" customWidth="1"/>
    <col min="15615" max="15615" width="16.109375" style="7818" customWidth="1"/>
    <col min="15616" max="15616" width="14.44140625" style="7818" bestFit="1" customWidth="1"/>
    <col min="15617" max="15864" width="9.109375" style="7818"/>
    <col min="15865" max="15865" width="3.88671875" style="7818" customWidth="1"/>
    <col min="15866" max="15866" width="38.109375" style="7818" customWidth="1"/>
    <col min="15867" max="15867" width="11.44140625" style="7818" customWidth="1"/>
    <col min="15868" max="15868" width="15" style="7818" customWidth="1"/>
    <col min="15869" max="15869" width="16.109375" style="7818" customWidth="1"/>
    <col min="15870" max="15870" width="15.109375" style="7818" customWidth="1"/>
    <col min="15871" max="15871" width="16.109375" style="7818" customWidth="1"/>
    <col min="15872" max="15872" width="14.44140625" style="7818" bestFit="1" customWidth="1"/>
    <col min="15873" max="16120" width="9.109375" style="7818"/>
    <col min="16121" max="16121" width="3.88671875" style="7818" customWidth="1"/>
    <col min="16122" max="16122" width="38.109375" style="7818" customWidth="1"/>
    <col min="16123" max="16123" width="11.44140625" style="7818" customWidth="1"/>
    <col min="16124" max="16124" width="15" style="7818" customWidth="1"/>
    <col min="16125" max="16125" width="16.109375" style="7818" customWidth="1"/>
    <col min="16126" max="16126" width="15.109375" style="7818" customWidth="1"/>
    <col min="16127" max="16127" width="16.109375" style="7818" customWidth="1"/>
    <col min="16128" max="16128" width="14.44140625" style="7818" bestFit="1" customWidth="1"/>
    <col min="16129" max="16384" width="9.109375" style="7818"/>
  </cols>
  <sheetData>
    <row r="1" spans="1:12" ht="15" customHeight="1">
      <c r="A1" s="14728" t="s">
        <v>1</v>
      </c>
      <c r="B1" s="14728"/>
      <c r="C1" s="14728"/>
      <c r="D1" s="14728"/>
      <c r="E1" s="14728"/>
      <c r="F1" s="14728"/>
      <c r="G1" s="14728"/>
      <c r="H1" s="14728"/>
      <c r="I1" s="14728"/>
      <c r="J1" s="14728"/>
    </row>
    <row r="2" spans="1:12" ht="15" customHeight="1">
      <c r="A2" s="7817"/>
      <c r="B2" s="8005"/>
      <c r="C2" s="7965"/>
      <c r="D2" s="7966"/>
      <c r="E2" s="9505"/>
      <c r="F2" s="9506"/>
      <c r="G2" s="7819"/>
      <c r="H2" s="7967"/>
      <c r="I2" s="7966"/>
      <c r="J2" s="14732"/>
    </row>
    <row r="3" spans="1:12" ht="15" customHeight="1">
      <c r="A3" s="7817" t="s">
        <v>2</v>
      </c>
      <c r="B3" s="7819"/>
      <c r="C3" s="7968" t="s">
        <v>10070</v>
      </c>
      <c r="D3" s="7819"/>
      <c r="E3" s="8014"/>
      <c r="F3" s="9482"/>
      <c r="G3" s="7819"/>
      <c r="H3" s="7969"/>
      <c r="I3" s="7819"/>
      <c r="J3" s="14732"/>
    </row>
    <row r="4" spans="1:12" ht="15" customHeight="1">
      <c r="A4" s="7309" t="s">
        <v>7</v>
      </c>
      <c r="B4" s="7309"/>
      <c r="C4" s="7309" t="s">
        <v>8</v>
      </c>
      <c r="D4" s="7309"/>
      <c r="E4" s="8015"/>
      <c r="F4" s="9490"/>
      <c r="G4" s="7817"/>
      <c r="H4" s="7860"/>
      <c r="I4" s="7309"/>
      <c r="J4" s="14732"/>
    </row>
    <row r="5" spans="1:12" ht="15" customHeight="1" thickBot="1">
      <c r="A5" s="7970"/>
      <c r="B5" s="8006"/>
      <c r="C5" s="7971"/>
      <c r="D5" s="7970"/>
      <c r="E5" s="8016"/>
      <c r="F5" s="9483"/>
      <c r="G5" s="7970"/>
      <c r="H5" s="7972"/>
      <c r="I5" s="7973"/>
      <c r="J5" s="7970"/>
    </row>
    <row r="6" spans="1:12" ht="15" customHeight="1">
      <c r="A6" s="12139"/>
      <c r="B6" s="12140"/>
      <c r="C6" s="12141" t="s">
        <v>9</v>
      </c>
      <c r="D6" s="12142" t="s">
        <v>10</v>
      </c>
      <c r="E6" s="14188" t="s">
        <v>10711</v>
      </c>
      <c r="F6" s="14189"/>
      <c r="G6" s="14190"/>
      <c r="H6" s="12143" t="s">
        <v>9985</v>
      </c>
      <c r="I6" s="11230"/>
      <c r="J6" s="12144" t="s">
        <v>12</v>
      </c>
    </row>
    <row r="7" spans="1:12" ht="15" customHeight="1">
      <c r="A7" s="11131"/>
      <c r="B7" s="8007" t="s">
        <v>13</v>
      </c>
      <c r="C7" s="14729" t="s">
        <v>14</v>
      </c>
      <c r="D7" s="12145" t="s">
        <v>15</v>
      </c>
      <c r="E7" s="9502" t="s">
        <v>10709</v>
      </c>
      <c r="F7" s="11083" t="s">
        <v>10710</v>
      </c>
      <c r="G7" s="14191" t="s">
        <v>458</v>
      </c>
      <c r="H7" s="12146"/>
      <c r="I7" s="11233"/>
      <c r="J7" s="12147" t="s">
        <v>16</v>
      </c>
    </row>
    <row r="8" spans="1:12" ht="15" customHeight="1" thickBot="1">
      <c r="A8" s="12148"/>
      <c r="B8" s="12149"/>
      <c r="C8" s="14730"/>
      <c r="D8" s="7984">
        <v>2017</v>
      </c>
      <c r="E8" s="9467" t="s">
        <v>457</v>
      </c>
      <c r="F8" s="11076" t="s">
        <v>456</v>
      </c>
      <c r="G8" s="14192"/>
      <c r="H8" s="7974">
        <v>2018</v>
      </c>
      <c r="I8" s="7975"/>
      <c r="J8" s="12150">
        <v>2019</v>
      </c>
    </row>
    <row r="9" spans="1:12" ht="15" customHeight="1">
      <c r="A9" s="12151" t="s">
        <v>17</v>
      </c>
      <c r="B9" s="7309" t="s">
        <v>18</v>
      </c>
      <c r="C9" s="12152"/>
      <c r="D9" s="12153"/>
      <c r="E9" s="11132"/>
      <c r="F9" s="11488"/>
      <c r="G9" s="12153"/>
      <c r="H9" s="11193"/>
      <c r="I9" s="12153"/>
      <c r="J9" s="12154"/>
    </row>
    <row r="10" spans="1:12" ht="15" customHeight="1">
      <c r="A10" s="11131"/>
      <c r="B10" s="7309" t="s">
        <v>19</v>
      </c>
      <c r="C10" s="12152"/>
      <c r="D10" s="12153"/>
      <c r="E10" s="11132"/>
      <c r="F10" s="11488"/>
      <c r="G10" s="12153"/>
      <c r="H10" s="11193"/>
      <c r="I10" s="12153"/>
      <c r="J10" s="12154"/>
    </row>
    <row r="11" spans="1:12" ht="15" customHeight="1">
      <c r="A11" s="11131"/>
      <c r="B11" s="7309" t="s">
        <v>20</v>
      </c>
      <c r="C11" s="12152">
        <v>50101010</v>
      </c>
      <c r="D11" s="12155">
        <f>'WS-PS 2017'!B7</f>
        <v>8288054.8399999999</v>
      </c>
      <c r="E11" s="11164">
        <f>'WS-PS ACTUAL JUNE 2018'!B12</f>
        <v>4559959.63</v>
      </c>
      <c r="F11" s="11671">
        <f>G11-E11</f>
        <v>6389944.3700000001</v>
      </c>
      <c r="G11" s="12156">
        <v>10949904</v>
      </c>
      <c r="H11" s="12156"/>
      <c r="I11" s="12156"/>
      <c r="J11" s="12057">
        <f>K11</f>
        <v>10547028</v>
      </c>
      <c r="K11" s="7310">
        <f>'staffing-PA'!F70</f>
        <v>10547028</v>
      </c>
      <c r="L11" s="7841">
        <f>'staffing-PA'!B70</f>
        <v>55</v>
      </c>
    </row>
    <row r="12" spans="1:12" ht="15" customHeight="1">
      <c r="A12" s="11131"/>
      <c r="B12" s="7309" t="s">
        <v>279</v>
      </c>
      <c r="C12" s="12152">
        <v>50101020</v>
      </c>
      <c r="D12" s="11492">
        <f>'WS-PS 2017'!D7</f>
        <v>509162</v>
      </c>
      <c r="E12" s="11132">
        <f>'WS-PS ACTUAL JUNE 2018'!C12</f>
        <v>138317</v>
      </c>
      <c r="F12" s="11671">
        <f t="shared" ref="F12:F29" si="0">G12-E12</f>
        <v>653683</v>
      </c>
      <c r="G12" s="11492">
        <v>792000</v>
      </c>
      <c r="H12" s="11193"/>
      <c r="I12" s="11492"/>
      <c r="J12" s="12057">
        <f t="shared" ref="J12:J29" si="1">K12</f>
        <v>1322640</v>
      </c>
      <c r="K12" s="7310">
        <v>1322640</v>
      </c>
      <c r="L12" s="7976">
        <v>15</v>
      </c>
    </row>
    <row r="13" spans="1:12" ht="15" customHeight="1">
      <c r="A13" s="11131"/>
      <c r="B13" s="7309" t="s">
        <v>21</v>
      </c>
      <c r="C13" s="12152">
        <v>50102010</v>
      </c>
      <c r="D13" s="11492">
        <f>'WS-PS 2017'!F7</f>
        <v>1326653.55</v>
      </c>
      <c r="E13" s="11132">
        <f>'WS-PS ACTUAL JUNE 2018'!D12</f>
        <v>646247.01</v>
      </c>
      <c r="F13" s="11671">
        <f t="shared" si="0"/>
        <v>1009752.99</v>
      </c>
      <c r="G13" s="11492">
        <v>1656000</v>
      </c>
      <c r="H13" s="11193"/>
      <c r="I13" s="11492"/>
      <c r="J13" s="12057">
        <f t="shared" si="1"/>
        <v>1680000</v>
      </c>
      <c r="K13" s="7310">
        <f>24000*L13</f>
        <v>1680000</v>
      </c>
      <c r="L13" s="7841">
        <f>SUM(L11:L12)</f>
        <v>70</v>
      </c>
    </row>
    <row r="14" spans="1:12" ht="15" customHeight="1">
      <c r="A14" s="11131"/>
      <c r="B14" s="7309" t="s">
        <v>280</v>
      </c>
      <c r="C14" s="12152">
        <v>50102020</v>
      </c>
      <c r="D14" s="11492">
        <f>'WS-PS 2017'!G7</f>
        <v>34000</v>
      </c>
      <c r="E14" s="11132">
        <f>'WS-PS ACTUAL JUNE 2018'!E12</f>
        <v>0</v>
      </c>
      <c r="F14" s="11671">
        <f t="shared" si="0"/>
        <v>102000</v>
      </c>
      <c r="G14" s="11492">
        <v>102000</v>
      </c>
      <c r="H14" s="11193"/>
      <c r="I14" s="11492"/>
      <c r="J14" s="12057">
        <f t="shared" si="1"/>
        <v>102000</v>
      </c>
      <c r="K14" s="7310">
        <v>102000</v>
      </c>
    </row>
    <row r="15" spans="1:12" ht="15" hidden="1" customHeight="1">
      <c r="A15" s="11131"/>
      <c r="B15" s="7309" t="s">
        <v>281</v>
      </c>
      <c r="C15" s="12152">
        <v>714</v>
      </c>
      <c r="D15" s="11492"/>
      <c r="E15" s="11132"/>
      <c r="F15" s="11671">
        <f t="shared" si="0"/>
        <v>0</v>
      </c>
      <c r="G15" s="11492">
        <v>0</v>
      </c>
      <c r="H15" s="11193"/>
      <c r="I15" s="11492"/>
      <c r="J15" s="12057">
        <f t="shared" si="1"/>
        <v>0</v>
      </c>
      <c r="K15" s="7799"/>
    </row>
    <row r="16" spans="1:12" ht="15" customHeight="1">
      <c r="A16" s="11131"/>
      <c r="B16" s="7309" t="s">
        <v>22</v>
      </c>
      <c r="C16" s="12152">
        <v>50102030</v>
      </c>
      <c r="D16" s="11492">
        <f>'WS-PS 2017'!I7</f>
        <v>265000</v>
      </c>
      <c r="E16" s="11132">
        <f>'WS-PS ACTUAL JUNE 2018'!G12</f>
        <v>347000</v>
      </c>
      <c r="F16" s="11671">
        <f t="shared" si="0"/>
        <v>-2000</v>
      </c>
      <c r="G16" s="11492">
        <v>345000</v>
      </c>
      <c r="H16" s="11193"/>
      <c r="I16" s="11492"/>
      <c r="J16" s="12057">
        <f t="shared" si="1"/>
        <v>420000</v>
      </c>
      <c r="K16" s="7310">
        <f>6000*L13</f>
        <v>420000</v>
      </c>
    </row>
    <row r="17" spans="1:11" ht="15" customHeight="1">
      <c r="A17" s="11131"/>
      <c r="B17" s="7488" t="s">
        <v>10932</v>
      </c>
      <c r="C17" s="10368">
        <v>50102080</v>
      </c>
      <c r="D17" s="11492">
        <f>'WS-PS 2017'!L7</f>
        <v>325000</v>
      </c>
      <c r="E17" s="11132">
        <f>'WS-PS ACTUAL JUNE 2018'!J12</f>
        <v>0</v>
      </c>
      <c r="F17" s="11671">
        <f t="shared" si="0"/>
        <v>345000</v>
      </c>
      <c r="G17" s="11492">
        <v>345000</v>
      </c>
      <c r="H17" s="11193"/>
      <c r="I17" s="11492"/>
      <c r="J17" s="12057">
        <f t="shared" si="1"/>
        <v>350000</v>
      </c>
      <c r="K17" s="7310">
        <f>5000*L13</f>
        <v>350000</v>
      </c>
    </row>
    <row r="18" spans="1:11" ht="15" customHeight="1">
      <c r="A18" s="11131"/>
      <c r="B18" s="7309" t="s">
        <v>10305</v>
      </c>
      <c r="C18" s="12152">
        <v>50102100</v>
      </c>
      <c r="D18" s="12157">
        <f>'WS-PS 2017'!M7</f>
        <v>374000</v>
      </c>
      <c r="E18" s="11213">
        <f>'WS-PS ACTUAL JUNE 2018'!K12</f>
        <v>0</v>
      </c>
      <c r="F18" s="11671">
        <f>G18-E18</f>
        <v>936000</v>
      </c>
      <c r="G18" s="10370">
        <v>936000</v>
      </c>
      <c r="H18" s="11193"/>
      <c r="I18" s="11492"/>
      <c r="J18" s="12057">
        <f t="shared" si="1"/>
        <v>936000</v>
      </c>
      <c r="K18" s="7310">
        <v>936000</v>
      </c>
    </row>
    <row r="19" spans="1:11" ht="15" customHeight="1">
      <c r="A19" s="11131"/>
      <c r="B19" s="7488" t="s">
        <v>10934</v>
      </c>
      <c r="C19" s="8872">
        <v>50102120</v>
      </c>
      <c r="D19" s="10370">
        <f>'WS-PS 2017'!O7</f>
        <v>35000</v>
      </c>
      <c r="E19" s="11132">
        <f>'WS-PS ACTUAL JUNE 2018'!M12</f>
        <v>0</v>
      </c>
      <c r="F19" s="11671">
        <f>G19-E19</f>
        <v>15000</v>
      </c>
      <c r="G19" s="11492">
        <v>15000</v>
      </c>
      <c r="H19" s="11193"/>
      <c r="I19" s="11492"/>
      <c r="J19" s="12057">
        <f t="shared" si="1"/>
        <v>5000</v>
      </c>
      <c r="K19" s="7310">
        <v>5000</v>
      </c>
    </row>
    <row r="20" spans="1:11" ht="15" customHeight="1">
      <c r="A20" s="11131"/>
      <c r="B20" s="7309" t="s">
        <v>141</v>
      </c>
      <c r="C20" s="12152">
        <v>50102130</v>
      </c>
      <c r="D20" s="11492">
        <f>'WS-PS 2017'!R7</f>
        <v>222296.61</v>
      </c>
      <c r="E20" s="11132">
        <f>'WS-PS ACTUAL JUNE 2018'!N12</f>
        <v>32631.4</v>
      </c>
      <c r="F20" s="11671">
        <f t="shared" si="0"/>
        <v>467368.6</v>
      </c>
      <c r="G20" s="11492">
        <v>500000</v>
      </c>
      <c r="H20" s="11193"/>
      <c r="I20" s="11492"/>
      <c r="J20" s="12057">
        <f t="shared" si="1"/>
        <v>500000</v>
      </c>
      <c r="K20" s="7310">
        <v>500000</v>
      </c>
    </row>
    <row r="21" spans="1:11" ht="15" customHeight="1">
      <c r="A21" s="11131"/>
      <c r="B21" s="7488" t="s">
        <v>10933</v>
      </c>
      <c r="C21" s="8872">
        <v>50102140</v>
      </c>
      <c r="D21" s="12155">
        <f>'WS-PS 2017'!U7+'WS-PS 2017'!S7</f>
        <v>1318664</v>
      </c>
      <c r="E21" s="11164">
        <f>'WS-PS ACTUAL JUNE 2018'!O12</f>
        <v>694138</v>
      </c>
      <c r="F21" s="11671">
        <f>G21-E21</f>
        <v>1262846</v>
      </c>
      <c r="G21" s="12155">
        <v>1956984</v>
      </c>
      <c r="H21" s="12158"/>
      <c r="I21" s="12155"/>
      <c r="J21" s="12057">
        <f t="shared" si="1"/>
        <v>1978278</v>
      </c>
      <c r="K21" s="7310">
        <f>SUM(K11:K12)/12*2</f>
        <v>1978278</v>
      </c>
    </row>
    <row r="22" spans="1:11" ht="15" customHeight="1">
      <c r="A22" s="11131"/>
      <c r="B22" s="7309" t="s">
        <v>26</v>
      </c>
      <c r="C22" s="12152">
        <v>50102150</v>
      </c>
      <c r="D22" s="11492">
        <f>'WS-PS 2017'!T7</f>
        <v>285000</v>
      </c>
      <c r="E22" s="11132">
        <f>'WS-PS ACTUAL JUNE 2018'!Q12</f>
        <v>0</v>
      </c>
      <c r="F22" s="11671">
        <f t="shared" si="0"/>
        <v>345000</v>
      </c>
      <c r="G22" s="11492">
        <v>345000</v>
      </c>
      <c r="H22" s="11193"/>
      <c r="I22" s="11492"/>
      <c r="J22" s="12057">
        <f t="shared" si="1"/>
        <v>350000</v>
      </c>
      <c r="K22" s="7371">
        <f>K17</f>
        <v>350000</v>
      </c>
    </row>
    <row r="23" spans="1:11" ht="15" customHeight="1">
      <c r="A23" s="11131"/>
      <c r="B23" s="7488" t="s">
        <v>11497</v>
      </c>
      <c r="C23" s="11257">
        <v>50102990</v>
      </c>
      <c r="D23" s="11492">
        <v>0</v>
      </c>
      <c r="E23" s="11132">
        <f>'WS-PS ACTUAL JUNE 2018'!R12</f>
        <v>0</v>
      </c>
      <c r="F23" s="11671">
        <f>G23-E23</f>
        <v>562633</v>
      </c>
      <c r="G23" s="11492">
        <v>562633</v>
      </c>
      <c r="H23" s="11193"/>
      <c r="I23" s="11492"/>
      <c r="J23" s="12057">
        <v>0</v>
      </c>
      <c r="K23" s="7310">
        <f>SUM(K11:K12)/12*0.575</f>
        <v>568754.92499999993</v>
      </c>
    </row>
    <row r="24" spans="1:11" ht="15" customHeight="1">
      <c r="A24" s="11131"/>
      <c r="B24" s="7803" t="s">
        <v>11499</v>
      </c>
      <c r="C24" s="11059" t="s">
        <v>11495</v>
      </c>
      <c r="D24" s="11492">
        <f>'WS-PS 2017'!Q7</f>
        <v>0</v>
      </c>
      <c r="E24" s="11132">
        <f>'WS-PS ACTUAL JUNE 2018'!S12</f>
        <v>0</v>
      </c>
      <c r="F24" s="11671">
        <f>G24-E24</f>
        <v>0</v>
      </c>
      <c r="G24" s="11492">
        <v>0</v>
      </c>
      <c r="H24" s="11193"/>
      <c r="I24" s="11492"/>
      <c r="J24" s="12057">
        <f t="shared" si="1"/>
        <v>210000</v>
      </c>
      <c r="K24" s="7310">
        <f>3000*L13</f>
        <v>210000</v>
      </c>
    </row>
    <row r="25" spans="1:11" ht="15" customHeight="1">
      <c r="A25" s="11131"/>
      <c r="B25" s="11518" t="s">
        <v>59</v>
      </c>
      <c r="C25" s="8872">
        <v>50103010</v>
      </c>
      <c r="D25" s="11492">
        <f>'WS-PS 2017'!V7</f>
        <v>1045345.08</v>
      </c>
      <c r="E25" s="11132">
        <f>'WS-PS ACTUAL JUNE 2018'!T12</f>
        <v>565262.71</v>
      </c>
      <c r="F25" s="11671">
        <f t="shared" si="0"/>
        <v>843766.29</v>
      </c>
      <c r="G25" s="11492">
        <v>1409029</v>
      </c>
      <c r="H25" s="11193"/>
      <c r="I25" s="11492"/>
      <c r="J25" s="12057">
        <f t="shared" si="1"/>
        <v>1424360.16</v>
      </c>
      <c r="K25" s="11720">
        <f>SUM(K11:K12)*12%</f>
        <v>1424360.16</v>
      </c>
    </row>
    <row r="26" spans="1:11" ht="15" customHeight="1">
      <c r="A26" s="11131"/>
      <c r="B26" s="7803" t="s">
        <v>28</v>
      </c>
      <c r="C26" s="8872">
        <v>50103020</v>
      </c>
      <c r="D26" s="11492">
        <f>'WS-PS 2017'!W7</f>
        <v>66000</v>
      </c>
      <c r="E26" s="11132">
        <f>'WS-PS ACTUAL JUNE 2018'!U12</f>
        <v>32669.08</v>
      </c>
      <c r="F26" s="11671">
        <f t="shared" si="0"/>
        <v>50130.92</v>
      </c>
      <c r="G26" s="11492">
        <v>82800</v>
      </c>
      <c r="H26" s="11193"/>
      <c r="I26" s="11492"/>
      <c r="J26" s="12057">
        <f t="shared" si="1"/>
        <v>84000</v>
      </c>
      <c r="K26" s="7310">
        <f>1200*L13</f>
        <v>84000</v>
      </c>
    </row>
    <row r="27" spans="1:11" ht="15" customHeight="1">
      <c r="A27" s="11131"/>
      <c r="B27" s="7803" t="s">
        <v>29</v>
      </c>
      <c r="C27" s="8872">
        <v>50103030</v>
      </c>
      <c r="D27" s="11492">
        <f>'WS-PS 2017'!X7</f>
        <v>102162.5</v>
      </c>
      <c r="E27" s="11132">
        <f>'WS-PS ACTUAL JUNE 2018'!V12</f>
        <v>62733.26</v>
      </c>
      <c r="F27" s="11671">
        <f t="shared" si="0"/>
        <v>185066.74</v>
      </c>
      <c r="G27" s="11492">
        <v>247800</v>
      </c>
      <c r="H27" s="11193"/>
      <c r="I27" s="11492"/>
      <c r="J27" s="12057">
        <v>141054.54000000007</v>
      </c>
      <c r="K27" s="7310">
        <f>3600*L13</f>
        <v>252000</v>
      </c>
    </row>
    <row r="28" spans="1:11" ht="15" customHeight="1">
      <c r="A28" s="11131"/>
      <c r="B28" s="7803" t="s">
        <v>30</v>
      </c>
      <c r="C28" s="8872">
        <v>50103040</v>
      </c>
      <c r="D28" s="11492">
        <f>'WS-PS 2017'!Y7</f>
        <v>63659.46</v>
      </c>
      <c r="E28" s="11132">
        <f>'WS-PS ACTUAL JUNE 2018'!W12</f>
        <v>31984.12</v>
      </c>
      <c r="F28" s="11671">
        <f t="shared" si="0"/>
        <v>50815.880000000005</v>
      </c>
      <c r="G28" s="11492">
        <v>82800</v>
      </c>
      <c r="H28" s="11193"/>
      <c r="I28" s="11492"/>
      <c r="J28" s="12057">
        <f t="shared" si="1"/>
        <v>84000</v>
      </c>
      <c r="K28" s="7310">
        <f>K26</f>
        <v>84000</v>
      </c>
    </row>
    <row r="29" spans="1:11" ht="15" customHeight="1">
      <c r="A29" s="11131"/>
      <c r="B29" s="7488" t="s">
        <v>5025</v>
      </c>
      <c r="C29" s="11258">
        <v>50104990</v>
      </c>
      <c r="D29" s="10370">
        <f>'WS-PS 2017'!Z7</f>
        <v>1250000</v>
      </c>
      <c r="E29" s="11132"/>
      <c r="F29" s="11671">
        <f t="shared" si="0"/>
        <v>0</v>
      </c>
      <c r="G29" s="11492">
        <v>0</v>
      </c>
      <c r="H29" s="11193"/>
      <c r="I29" s="11492"/>
      <c r="J29" s="12057">
        <f t="shared" si="1"/>
        <v>0</v>
      </c>
    </row>
    <row r="30" spans="1:11" ht="15" customHeight="1" thickBot="1">
      <c r="A30" s="12148"/>
      <c r="B30" s="8011" t="s">
        <v>37</v>
      </c>
      <c r="C30" s="12159"/>
      <c r="D30" s="12160">
        <f>SUM(D10:D29)</f>
        <v>15509998.040000001</v>
      </c>
      <c r="E30" s="11187">
        <f>SUM(E10:E29)</f>
        <v>7110942.21</v>
      </c>
      <c r="F30" s="11187">
        <f>SUM(F10:F29)</f>
        <v>13217007.790000001</v>
      </c>
      <c r="G30" s="12160">
        <f>SUM(G10:G29)</f>
        <v>20327950</v>
      </c>
      <c r="H30" s="12161"/>
      <c r="I30" s="12162"/>
      <c r="J30" s="12163">
        <f>SUM(J10:J29)</f>
        <v>20134360.699999999</v>
      </c>
      <c r="K30" s="12138">
        <f>SUM(K11:K29)</f>
        <v>20814061.085000001</v>
      </c>
    </row>
    <row r="31" spans="1:11" ht="15" customHeight="1">
      <c r="A31" s="7993"/>
      <c r="B31" s="8010"/>
      <c r="C31" s="7994"/>
      <c r="D31" s="7995"/>
      <c r="E31" s="8017"/>
      <c r="F31" s="9508"/>
      <c r="G31" s="7995"/>
      <c r="H31" s="7996"/>
      <c r="I31" s="7995"/>
      <c r="J31" s="7995"/>
    </row>
    <row r="32" spans="1:11" ht="15" customHeight="1">
      <c r="A32" s="7309"/>
      <c r="B32" s="8009"/>
      <c r="C32" s="7982"/>
      <c r="D32" s="7997"/>
      <c r="E32" s="8018"/>
      <c r="F32" s="9485"/>
      <c r="G32" s="7997"/>
      <c r="H32" s="7998"/>
      <c r="I32" s="7997"/>
      <c r="J32" s="7997"/>
    </row>
    <row r="33" spans="1:12" ht="15" customHeight="1">
      <c r="A33" s="7309"/>
      <c r="B33" s="8009"/>
      <c r="C33" s="7982"/>
      <c r="D33" s="7997"/>
      <c r="E33" s="8018"/>
      <c r="F33" s="9485"/>
      <c r="G33" s="7997"/>
      <c r="H33" s="7998"/>
      <c r="I33" s="7997"/>
      <c r="J33" s="7997"/>
    </row>
    <row r="34" spans="1:12" ht="15" customHeight="1">
      <c r="A34" s="7309"/>
      <c r="B34" s="8009"/>
      <c r="C34" s="7982"/>
      <c r="D34" s="7997"/>
      <c r="E34" s="8018"/>
      <c r="F34" s="9485"/>
      <c r="G34" s="7997"/>
      <c r="H34" s="7998"/>
      <c r="I34" s="7997"/>
      <c r="J34" s="7997"/>
    </row>
    <row r="35" spans="1:12" ht="15" customHeight="1">
      <c r="A35" s="7309"/>
      <c r="B35" s="8009"/>
      <c r="C35" s="7982"/>
      <c r="D35" s="7997"/>
      <c r="E35" s="8018"/>
      <c r="F35" s="9485"/>
      <c r="G35" s="7997"/>
      <c r="H35" s="7998"/>
      <c r="I35" s="7997"/>
      <c r="J35" s="7997"/>
    </row>
    <row r="36" spans="1:12" ht="15" customHeight="1">
      <c r="A36" s="7309"/>
      <c r="B36" s="8009"/>
      <c r="C36" s="7982"/>
      <c r="D36" s="7997"/>
      <c r="E36" s="8018"/>
      <c r="F36" s="9485"/>
      <c r="G36" s="7997"/>
      <c r="H36" s="7998"/>
      <c r="I36" s="7997"/>
      <c r="J36" s="7997"/>
    </row>
    <row r="37" spans="1:12" ht="15" customHeight="1">
      <c r="A37" s="7309"/>
      <c r="B37" s="8009"/>
      <c r="C37" s="7982"/>
      <c r="D37" s="7997"/>
      <c r="E37" s="8018"/>
      <c r="F37" s="9485"/>
      <c r="G37" s="7997"/>
      <c r="H37" s="7998"/>
      <c r="I37" s="7997"/>
      <c r="J37" s="7997"/>
    </row>
    <row r="38" spans="1:12" ht="15" customHeight="1">
      <c r="A38" s="7309"/>
      <c r="B38" s="8009"/>
      <c r="C38" s="7982"/>
      <c r="D38" s="7997"/>
      <c r="E38" s="8018"/>
      <c r="F38" s="9485"/>
      <c r="G38" s="7997"/>
      <c r="H38" s="7998"/>
      <c r="I38" s="7997"/>
      <c r="J38" s="7997"/>
    </row>
    <row r="39" spans="1:12" ht="15" customHeight="1">
      <c r="A39" s="7309"/>
      <c r="B39" s="8009"/>
      <c r="C39" s="7982"/>
      <c r="D39" s="7997"/>
      <c r="E39" s="8018"/>
      <c r="F39" s="9485"/>
      <c r="G39" s="7997"/>
      <c r="H39" s="7998"/>
      <c r="I39" s="7997"/>
      <c r="J39" s="7997"/>
    </row>
    <row r="40" spans="1:12" ht="15" customHeight="1" thickBot="1">
      <c r="A40" s="7973" t="s">
        <v>9699</v>
      </c>
      <c r="B40" s="8011"/>
      <c r="C40" s="7999"/>
      <c r="D40" s="8000"/>
      <c r="E40" s="9509"/>
      <c r="F40" s="9486"/>
      <c r="G40" s="8000"/>
      <c r="H40" s="8001"/>
      <c r="I40" s="8000"/>
      <c r="J40" s="8000"/>
    </row>
    <row r="41" spans="1:12" ht="15" customHeight="1">
      <c r="A41" s="12139"/>
      <c r="B41" s="12140"/>
      <c r="C41" s="12141" t="s">
        <v>9</v>
      </c>
      <c r="D41" s="12142" t="s">
        <v>10</v>
      </c>
      <c r="E41" s="14188" t="s">
        <v>10711</v>
      </c>
      <c r="F41" s="14189"/>
      <c r="G41" s="14190"/>
      <c r="H41" s="12164"/>
      <c r="I41" s="12142"/>
      <c r="J41" s="12144" t="s">
        <v>12</v>
      </c>
    </row>
    <row r="42" spans="1:12" ht="15" customHeight="1">
      <c r="A42" s="11131"/>
      <c r="B42" s="8007" t="s">
        <v>13</v>
      </c>
      <c r="C42" s="14729" t="s">
        <v>14</v>
      </c>
      <c r="D42" s="12145" t="s">
        <v>15</v>
      </c>
      <c r="E42" s="9502" t="s">
        <v>10709</v>
      </c>
      <c r="F42" s="11083" t="s">
        <v>10710</v>
      </c>
      <c r="G42" s="14191" t="s">
        <v>458</v>
      </c>
      <c r="H42" s="12165"/>
      <c r="I42" s="12145"/>
      <c r="J42" s="12147" t="s">
        <v>16</v>
      </c>
    </row>
    <row r="43" spans="1:12" ht="15" customHeight="1" thickBot="1">
      <c r="A43" s="12148"/>
      <c r="B43" s="12149"/>
      <c r="C43" s="14730"/>
      <c r="D43" s="7984">
        <v>2017</v>
      </c>
      <c r="E43" s="9467" t="s">
        <v>457</v>
      </c>
      <c r="F43" s="11076" t="s">
        <v>456</v>
      </c>
      <c r="G43" s="14192"/>
      <c r="H43" s="7983"/>
      <c r="I43" s="7984"/>
      <c r="J43" s="12150">
        <v>2019</v>
      </c>
    </row>
    <row r="44" spans="1:12" ht="15" customHeight="1">
      <c r="A44" s="12151"/>
      <c r="B44" s="7309" t="s">
        <v>38</v>
      </c>
      <c r="C44" s="9504"/>
      <c r="D44" s="12166"/>
      <c r="E44" s="11506"/>
      <c r="F44" s="12167"/>
      <c r="G44" s="12168"/>
      <c r="H44" s="10561"/>
      <c r="I44" s="12169"/>
      <c r="J44" s="12170"/>
    </row>
    <row r="45" spans="1:12" ht="15" customHeight="1">
      <c r="A45" s="12151"/>
      <c r="B45" s="7309" t="s">
        <v>117</v>
      </c>
      <c r="C45" s="12152">
        <v>50201010</v>
      </c>
      <c r="D45" s="12166"/>
      <c r="E45" s="11506">
        <f>'WS-MOOE ACTUAL JUNE 2018'!B13</f>
        <v>0</v>
      </c>
      <c r="F45" s="11671">
        <f t="shared" ref="F45:F79" si="2">G45-E45</f>
        <v>280000</v>
      </c>
      <c r="G45" s="10370">
        <v>280000</v>
      </c>
      <c r="H45" s="10561">
        <v>3240</v>
      </c>
      <c r="I45" s="8799">
        <f>H45/G45</f>
        <v>1.1571428571428571E-2</v>
      </c>
      <c r="J45" s="12171">
        <v>150000</v>
      </c>
      <c r="K45" s="7310">
        <v>20000</v>
      </c>
    </row>
    <row r="46" spans="1:12" ht="15" customHeight="1">
      <c r="A46" s="11131"/>
      <c r="B46" s="7981" t="s">
        <v>10776</v>
      </c>
      <c r="C46" s="10371"/>
      <c r="D46" s="10370">
        <f>'WS-MOOE 2017'!B7</f>
        <v>97776.6</v>
      </c>
      <c r="E46" s="10138"/>
      <c r="F46" s="11671"/>
      <c r="G46" s="12172"/>
      <c r="H46" s="10561"/>
      <c r="I46" s="8799"/>
      <c r="J46" s="12173"/>
      <c r="L46" s="7980"/>
    </row>
    <row r="47" spans="1:12" ht="15" hidden="1" customHeight="1">
      <c r="A47" s="11131"/>
      <c r="B47" s="7309" t="s">
        <v>9139</v>
      </c>
      <c r="C47" s="12152" t="s">
        <v>212</v>
      </c>
      <c r="D47" s="10370">
        <f>'WS-MOOE 2017'!D7</f>
        <v>0</v>
      </c>
      <c r="E47" s="10138"/>
      <c r="F47" s="11671"/>
      <c r="G47" s="10370"/>
      <c r="H47" s="10561"/>
      <c r="I47" s="8799"/>
      <c r="J47" s="12171"/>
      <c r="L47" s="7980"/>
    </row>
    <row r="48" spans="1:12" ht="15" hidden="1" customHeight="1">
      <c r="A48" s="11131" t="s">
        <v>275</v>
      </c>
      <c r="B48" s="7309" t="s">
        <v>9693</v>
      </c>
      <c r="C48" s="12152"/>
      <c r="D48" s="10370"/>
      <c r="E48" s="10138"/>
      <c r="F48" s="11671"/>
      <c r="G48" s="10370"/>
      <c r="H48" s="10561"/>
      <c r="I48" s="8799"/>
      <c r="J48" s="12171"/>
      <c r="K48" s="7860"/>
      <c r="L48" s="7980"/>
    </row>
    <row r="49" spans="1:12" ht="15" customHeight="1">
      <c r="A49" s="11131"/>
      <c r="B49" s="7309" t="s">
        <v>41</v>
      </c>
      <c r="C49" s="12152">
        <v>50202010</v>
      </c>
      <c r="D49" s="10370"/>
      <c r="E49" s="10138">
        <f>'WS-MOOE ACTUAL JUNE 2018'!G13</f>
        <v>8000</v>
      </c>
      <c r="F49" s="11671">
        <f t="shared" si="2"/>
        <v>272000</v>
      </c>
      <c r="G49" s="10370">
        <v>280000</v>
      </c>
      <c r="H49" s="10561">
        <v>171000</v>
      </c>
      <c r="I49" s="8799">
        <f>H49/G49</f>
        <v>0.61071428571428577</v>
      </c>
      <c r="J49" s="12171">
        <v>280000</v>
      </c>
      <c r="K49" s="7860">
        <v>170000</v>
      </c>
      <c r="L49" s="7980"/>
    </row>
    <row r="50" spans="1:12" ht="15" customHeight="1">
      <c r="A50" s="11131"/>
      <c r="B50" s="7981" t="s">
        <v>10776</v>
      </c>
      <c r="C50" s="10371"/>
      <c r="D50" s="10370">
        <f>'WS-MOOE 2017'!H7</f>
        <v>150800</v>
      </c>
      <c r="E50" s="10138"/>
      <c r="F50" s="11671"/>
      <c r="G50" s="12172"/>
      <c r="H50" s="10561"/>
      <c r="I50" s="8799"/>
      <c r="J50" s="12173"/>
      <c r="K50" s="7860"/>
      <c r="L50" s="7980"/>
    </row>
    <row r="51" spans="1:12" ht="15" hidden="1" customHeight="1">
      <c r="A51" s="11131"/>
      <c r="B51" s="7309" t="s">
        <v>9693</v>
      </c>
      <c r="C51" s="12152"/>
      <c r="D51" s="10370">
        <f>'WS-MOOE 2017'!I7</f>
        <v>0</v>
      </c>
      <c r="E51" s="10138"/>
      <c r="F51" s="11671">
        <f t="shared" si="2"/>
        <v>0</v>
      </c>
      <c r="G51" s="10370"/>
      <c r="H51" s="10561"/>
      <c r="I51" s="8799"/>
      <c r="J51" s="12171"/>
      <c r="K51" s="7860"/>
      <c r="L51" s="7980"/>
    </row>
    <row r="52" spans="1:12" ht="15" customHeight="1">
      <c r="A52" s="11131"/>
      <c r="B52" s="7309" t="s">
        <v>42</v>
      </c>
      <c r="C52" s="12152">
        <v>50203010</v>
      </c>
      <c r="D52" s="10370"/>
      <c r="E52" s="10138">
        <f>'WS-MOOE ACTUAL JUNE 2018'!H13</f>
        <v>39581.4</v>
      </c>
      <c r="F52" s="11671">
        <f t="shared" si="2"/>
        <v>660418.6</v>
      </c>
      <c r="G52" s="10370">
        <v>700000</v>
      </c>
      <c r="H52" s="10561">
        <v>282586.90000000002</v>
      </c>
      <c r="I52" s="8799">
        <f>H52/G52</f>
        <v>0.40369557142857149</v>
      </c>
      <c r="J52" s="12171">
        <v>500000</v>
      </c>
      <c r="K52" s="7860"/>
      <c r="L52" s="7980"/>
    </row>
    <row r="53" spans="1:12" ht="15" customHeight="1">
      <c r="A53" s="11131"/>
      <c r="B53" s="7981" t="s">
        <v>10776</v>
      </c>
      <c r="C53" s="10371"/>
      <c r="D53" s="10370">
        <f>'WS-MOOE 2017'!J7</f>
        <v>423867.18</v>
      </c>
      <c r="E53" s="10138"/>
      <c r="F53" s="11671"/>
      <c r="G53" s="12172"/>
      <c r="H53" s="10561"/>
      <c r="I53" s="8799"/>
      <c r="J53" s="12173"/>
      <c r="K53" s="7860"/>
      <c r="L53" s="7980"/>
    </row>
    <row r="54" spans="1:12" ht="15" hidden="1" customHeight="1">
      <c r="A54" s="11131"/>
      <c r="B54" s="7309" t="s">
        <v>10304</v>
      </c>
      <c r="C54" s="12152"/>
      <c r="D54" s="10370">
        <f>'WS-MOOE 2017'!K7</f>
        <v>0</v>
      </c>
      <c r="E54" s="10138"/>
      <c r="F54" s="11671"/>
      <c r="G54" s="10370"/>
      <c r="H54" s="10561"/>
      <c r="I54" s="8799"/>
      <c r="J54" s="12171"/>
      <c r="K54" s="7860"/>
      <c r="L54" s="7980"/>
    </row>
    <row r="55" spans="1:12" ht="15" hidden="1" customHeight="1">
      <c r="A55" s="11131"/>
      <c r="B55" s="7309" t="s">
        <v>10618</v>
      </c>
      <c r="C55" s="12152"/>
      <c r="D55" s="10370"/>
      <c r="E55" s="10138"/>
      <c r="F55" s="11671">
        <f t="shared" si="2"/>
        <v>0</v>
      </c>
      <c r="G55" s="10370"/>
      <c r="H55" s="10561"/>
      <c r="I55" s="8799"/>
      <c r="J55" s="12171"/>
      <c r="K55" s="7860"/>
      <c r="L55" s="7980"/>
    </row>
    <row r="56" spans="1:12" ht="15" hidden="1" customHeight="1">
      <c r="A56" s="11131"/>
      <c r="B56" s="7309" t="s">
        <v>9693</v>
      </c>
      <c r="C56" s="12152"/>
      <c r="D56" s="10370">
        <f>'WS-MOOE 2017'!L7</f>
        <v>0</v>
      </c>
      <c r="E56" s="10138"/>
      <c r="F56" s="11671">
        <f t="shared" si="2"/>
        <v>0</v>
      </c>
      <c r="G56" s="10370"/>
      <c r="H56" s="10561"/>
      <c r="I56" s="8799"/>
      <c r="J56" s="12171"/>
      <c r="K56" s="7860"/>
      <c r="L56" s="7980"/>
    </row>
    <row r="57" spans="1:12" ht="15" customHeight="1">
      <c r="A57" s="11131"/>
      <c r="B57" s="7309" t="s">
        <v>44</v>
      </c>
      <c r="C57" s="12152">
        <v>50203090</v>
      </c>
      <c r="D57" s="10370"/>
      <c r="E57" s="10138">
        <f>'WS-MOOE ACTUAL JUNE 2018'!O13</f>
        <v>0</v>
      </c>
      <c r="F57" s="11671">
        <f t="shared" si="2"/>
        <v>150000</v>
      </c>
      <c r="G57" s="10370">
        <v>150000</v>
      </c>
      <c r="H57" s="12174">
        <v>0</v>
      </c>
      <c r="I57" s="8799">
        <f>H57/G57</f>
        <v>0</v>
      </c>
      <c r="J57" s="12171">
        <v>150000</v>
      </c>
      <c r="K57" s="7860"/>
      <c r="L57" s="7980"/>
    </row>
    <row r="58" spans="1:12" ht="15" customHeight="1">
      <c r="A58" s="11131"/>
      <c r="B58" s="7981" t="s">
        <v>10776</v>
      </c>
      <c r="C58" s="10371"/>
      <c r="D58" s="10370">
        <f>'WS-MOOE 2017'!R7</f>
        <v>6000</v>
      </c>
      <c r="E58" s="10138"/>
      <c r="F58" s="11671">
        <f t="shared" si="2"/>
        <v>0</v>
      </c>
      <c r="G58" s="12172"/>
      <c r="H58" s="10561"/>
      <c r="I58" s="8799"/>
      <c r="J58" s="12173"/>
      <c r="K58" s="7860"/>
      <c r="L58" s="7980"/>
    </row>
    <row r="59" spans="1:12" ht="15" hidden="1" customHeight="1">
      <c r="A59" s="11131"/>
      <c r="B59" s="7309" t="s">
        <v>10304</v>
      </c>
      <c r="C59" s="12152"/>
      <c r="D59" s="10370"/>
      <c r="E59" s="10138"/>
      <c r="F59" s="11671">
        <f t="shared" si="2"/>
        <v>0</v>
      </c>
      <c r="G59" s="10370"/>
      <c r="H59" s="10561"/>
      <c r="I59" s="8799"/>
      <c r="J59" s="12171"/>
      <c r="K59" s="7860"/>
      <c r="L59" s="7980"/>
    </row>
    <row r="60" spans="1:12" ht="15" hidden="1" customHeight="1">
      <c r="A60" s="11131"/>
      <c r="B60" s="7309" t="s">
        <v>9693</v>
      </c>
      <c r="C60" s="12152"/>
      <c r="D60" s="10370">
        <f>'WS-MOOE 2017'!S7</f>
        <v>0</v>
      </c>
      <c r="E60" s="10138"/>
      <c r="F60" s="11671">
        <f t="shared" si="2"/>
        <v>0</v>
      </c>
      <c r="G60" s="10370"/>
      <c r="H60" s="10561"/>
      <c r="I60" s="8799"/>
      <c r="J60" s="12171"/>
      <c r="K60" s="7860"/>
      <c r="L60" s="7980"/>
    </row>
    <row r="61" spans="1:12" ht="15" hidden="1" customHeight="1">
      <c r="A61" s="11131"/>
      <c r="B61" s="7309" t="s">
        <v>45</v>
      </c>
      <c r="C61" s="12152">
        <v>50204010</v>
      </c>
      <c r="D61" s="10370">
        <f>'WS-MOOE 2017'!W7</f>
        <v>0</v>
      </c>
      <c r="E61" s="10138"/>
      <c r="F61" s="11671">
        <f t="shared" si="2"/>
        <v>0</v>
      </c>
      <c r="G61" s="10370">
        <v>0</v>
      </c>
      <c r="H61" s="10561">
        <v>0</v>
      </c>
      <c r="I61" s="8799" t="s">
        <v>9</v>
      </c>
      <c r="J61" s="12171">
        <v>0</v>
      </c>
      <c r="K61" s="7860"/>
      <c r="L61" s="7980"/>
    </row>
    <row r="62" spans="1:12" ht="15" hidden="1" customHeight="1">
      <c r="A62" s="11131"/>
      <c r="B62" s="7309" t="s">
        <v>46</v>
      </c>
      <c r="C62" s="12152">
        <v>50204020</v>
      </c>
      <c r="D62" s="10370">
        <f>'WS-MOOE 2017'!X7</f>
        <v>0</v>
      </c>
      <c r="E62" s="10138"/>
      <c r="F62" s="11671">
        <f t="shared" si="2"/>
        <v>0</v>
      </c>
      <c r="G62" s="10370">
        <v>0</v>
      </c>
      <c r="H62" s="10561" t="s">
        <v>9</v>
      </c>
      <c r="I62" s="8799" t="s">
        <v>9</v>
      </c>
      <c r="J62" s="12171">
        <v>0</v>
      </c>
      <c r="K62" s="7860"/>
      <c r="L62" s="7980"/>
    </row>
    <row r="63" spans="1:12" ht="15" customHeight="1">
      <c r="A63" s="11131"/>
      <c r="B63" s="7309" t="s">
        <v>62</v>
      </c>
      <c r="C63" s="12152">
        <v>50205010</v>
      </c>
      <c r="D63" s="10370">
        <f>'WS-MOOE 2017'!Z7</f>
        <v>205</v>
      </c>
      <c r="E63" s="10138">
        <f>'WS-MOOE ACTUAL JUNE 2018'!U13</f>
        <v>600</v>
      </c>
      <c r="F63" s="11671">
        <f t="shared" si="2"/>
        <v>4400</v>
      </c>
      <c r="G63" s="10370">
        <v>5000</v>
      </c>
      <c r="H63" s="10561">
        <v>0</v>
      </c>
      <c r="I63" s="8799">
        <f>H63/G63</f>
        <v>0</v>
      </c>
      <c r="J63" s="12171">
        <v>5000</v>
      </c>
      <c r="K63" s="7860"/>
      <c r="L63" s="7980"/>
    </row>
    <row r="64" spans="1:12" ht="15" customHeight="1">
      <c r="A64" s="11131"/>
      <c r="B64" s="7803" t="s">
        <v>10950</v>
      </c>
      <c r="C64" s="10371"/>
      <c r="D64" s="10370"/>
      <c r="E64" s="10138"/>
      <c r="F64" s="11671"/>
      <c r="G64" s="10370"/>
      <c r="H64" s="10561"/>
      <c r="I64" s="8799"/>
      <c r="J64" s="12171"/>
      <c r="K64" s="7860"/>
      <c r="L64" s="7980"/>
    </row>
    <row r="65" spans="1:12" ht="15" customHeight="1">
      <c r="A65" s="11131"/>
      <c r="B65" s="7981" t="s">
        <v>10776</v>
      </c>
      <c r="C65" s="10369">
        <v>50205020</v>
      </c>
      <c r="D65" s="10370">
        <f>'WS-MOOE 2017'!AA7+'WS-MOOE 2017'!AC7</f>
        <v>213092.2</v>
      </c>
      <c r="E65" s="10138">
        <f>'WS-MOOE ACTUAL JUNE 2018'!V13</f>
        <v>68959.899999999994</v>
      </c>
      <c r="F65" s="11671">
        <f t="shared" si="2"/>
        <v>155040.1</v>
      </c>
      <c r="G65" s="10370">
        <v>224000</v>
      </c>
      <c r="H65" s="10561">
        <v>133443.95000000001</v>
      </c>
      <c r="I65" s="8799">
        <f>H65/G65</f>
        <v>0.59573191964285721</v>
      </c>
      <c r="J65" s="12171">
        <v>230000</v>
      </c>
      <c r="K65" s="7860"/>
      <c r="L65" s="7980"/>
    </row>
    <row r="66" spans="1:12" ht="15" hidden="1" customHeight="1">
      <c r="A66" s="11131"/>
      <c r="B66" s="7309" t="s">
        <v>9693</v>
      </c>
      <c r="C66" s="12175"/>
      <c r="D66" s="10370">
        <f>'WS-MOOE 2017'!AB7</f>
        <v>0</v>
      </c>
      <c r="E66" s="10138"/>
      <c r="F66" s="11671">
        <f t="shared" si="2"/>
        <v>0</v>
      </c>
      <c r="G66" s="10370">
        <v>0</v>
      </c>
      <c r="H66" s="10561" t="s">
        <v>9</v>
      </c>
      <c r="I66" s="8799" t="s">
        <v>9</v>
      </c>
      <c r="J66" s="12171">
        <v>0</v>
      </c>
      <c r="K66" s="7860"/>
      <c r="L66" s="7980"/>
    </row>
    <row r="67" spans="1:12" ht="15" hidden="1" customHeight="1">
      <c r="A67" s="11131"/>
      <c r="B67" s="7309" t="s">
        <v>185</v>
      </c>
      <c r="C67" s="12175"/>
      <c r="D67" s="10370"/>
      <c r="E67" s="10138"/>
      <c r="F67" s="11671">
        <f t="shared" si="2"/>
        <v>0</v>
      </c>
      <c r="G67" s="10370"/>
      <c r="H67" s="10561" t="s">
        <v>9</v>
      </c>
      <c r="I67" s="8799" t="s">
        <v>9</v>
      </c>
      <c r="J67" s="12171"/>
      <c r="K67" s="7860"/>
      <c r="L67" s="7980"/>
    </row>
    <row r="68" spans="1:12" ht="15" hidden="1" customHeight="1">
      <c r="A68" s="11131"/>
      <c r="B68" s="7981" t="s">
        <v>10776</v>
      </c>
      <c r="C68" s="10369"/>
      <c r="D68" s="10370"/>
      <c r="E68" s="10138"/>
      <c r="F68" s="11671"/>
      <c r="G68" s="12172"/>
      <c r="H68" s="10561"/>
      <c r="I68" s="8799"/>
      <c r="J68" s="12173"/>
      <c r="K68" s="7860"/>
      <c r="L68" s="7980"/>
    </row>
    <row r="69" spans="1:12" ht="15" hidden="1" customHeight="1">
      <c r="A69" s="11131"/>
      <c r="B69" s="7309" t="s">
        <v>9693</v>
      </c>
      <c r="C69" s="10369"/>
      <c r="D69" s="11492">
        <f>'WS-MOOE 2017'!AD7</f>
        <v>0</v>
      </c>
      <c r="E69" s="11132"/>
      <c r="F69" s="11671">
        <f t="shared" si="2"/>
        <v>0</v>
      </c>
      <c r="G69" s="10370"/>
      <c r="H69" s="10561"/>
      <c r="I69" s="8799"/>
      <c r="J69" s="12171"/>
      <c r="L69" s="7980"/>
    </row>
    <row r="70" spans="1:12" ht="15" customHeight="1">
      <c r="A70" s="11131"/>
      <c r="B70" s="7913" t="s">
        <v>197</v>
      </c>
      <c r="C70" s="10369">
        <v>50205030</v>
      </c>
      <c r="D70" s="12176">
        <f>'WS-MOOE 2017'!AE7</f>
        <v>21840</v>
      </c>
      <c r="E70" s="11213">
        <f>'WS-MOOE ACTUAL JUNE 2018'!Z13</f>
        <v>36400</v>
      </c>
      <c r="F70" s="11671">
        <f t="shared" si="2"/>
        <v>53600</v>
      </c>
      <c r="G70" s="10370">
        <v>90000</v>
      </c>
      <c r="H70" s="10561">
        <v>7280</v>
      </c>
      <c r="I70" s="8799">
        <f>H70/G70</f>
        <v>8.0888888888888885E-2</v>
      </c>
      <c r="J70" s="12171">
        <v>50000</v>
      </c>
    </row>
    <row r="71" spans="1:12" ht="15" customHeight="1">
      <c r="A71" s="11131"/>
      <c r="B71" s="7309" t="s">
        <v>10524</v>
      </c>
      <c r="C71" s="10369">
        <v>50299010</v>
      </c>
      <c r="D71" s="12176">
        <f>'WS-MOOE 2017'!BI7</f>
        <v>117153.18</v>
      </c>
      <c r="E71" s="11213">
        <f>'WS-MOOE ACTUAL JUNE 2018'!BB13</f>
        <v>0</v>
      </c>
      <c r="F71" s="11671">
        <f t="shared" si="2"/>
        <v>300000</v>
      </c>
      <c r="G71" s="10370">
        <v>300000</v>
      </c>
      <c r="H71" s="11193" t="s">
        <v>9</v>
      </c>
      <c r="I71" s="8799" t="s">
        <v>9</v>
      </c>
      <c r="J71" s="12171">
        <v>300000</v>
      </c>
    </row>
    <row r="72" spans="1:12" ht="15" customHeight="1">
      <c r="A72" s="11131"/>
      <c r="B72" s="7352" t="s">
        <v>10940</v>
      </c>
      <c r="C72" s="8872">
        <v>50212990</v>
      </c>
      <c r="D72" s="12176"/>
      <c r="E72" s="11213">
        <f>'WS-MOOE ACTUAL JUNE 2018'!AJ13</f>
        <v>250438.44</v>
      </c>
      <c r="F72" s="11671">
        <f t="shared" si="2"/>
        <v>492561.56</v>
      </c>
      <c r="G72" s="10370">
        <v>743000</v>
      </c>
      <c r="H72" s="11193">
        <v>578247.18000000005</v>
      </c>
      <c r="I72" s="8799">
        <f>H72/G72</f>
        <v>0.77826000000000006</v>
      </c>
      <c r="J72" s="12171">
        <v>743000</v>
      </c>
    </row>
    <row r="73" spans="1:12" s="7981" customFormat="1" ht="15" customHeight="1">
      <c r="A73" s="11131"/>
      <c r="B73" s="7981" t="s">
        <v>10776</v>
      </c>
      <c r="C73" s="10369"/>
      <c r="D73" s="11492">
        <f>'WS-MOOE 2017'!AO7</f>
        <v>656850.1</v>
      </c>
      <c r="E73" s="11132"/>
      <c r="F73" s="11671"/>
      <c r="G73" s="12172"/>
      <c r="H73" s="11193"/>
      <c r="I73" s="8799"/>
      <c r="J73" s="12173"/>
      <c r="K73" s="7483"/>
      <c r="L73" s="7980"/>
    </row>
    <row r="74" spans="1:12" s="7981" customFormat="1" ht="15" hidden="1" customHeight="1">
      <c r="A74" s="11131"/>
      <c r="B74" s="8012" t="s">
        <v>9693</v>
      </c>
      <c r="C74" s="10369" t="s">
        <v>10222</v>
      </c>
      <c r="D74" s="11492">
        <f>'WS-MOOE 2017'!AR7</f>
        <v>0</v>
      </c>
      <c r="E74" s="11132"/>
      <c r="F74" s="11671"/>
      <c r="G74" s="10370"/>
      <c r="H74" s="11193"/>
      <c r="I74" s="8799"/>
      <c r="J74" s="12171"/>
      <c r="K74" s="7483"/>
      <c r="L74" s="7980"/>
    </row>
    <row r="75" spans="1:12" s="7981" customFormat="1" ht="15" hidden="1" customHeight="1">
      <c r="A75" s="11131"/>
      <c r="B75" s="7488" t="s">
        <v>10944</v>
      </c>
      <c r="C75" s="11258">
        <v>50211990</v>
      </c>
      <c r="D75" s="11492">
        <f>'WS-MOOE 2017'!AL7</f>
        <v>0</v>
      </c>
      <c r="E75" s="11132"/>
      <c r="F75" s="11671"/>
      <c r="G75" s="10370" t="s">
        <v>9</v>
      </c>
      <c r="H75" s="11193">
        <v>0</v>
      </c>
      <c r="I75" s="8799" t="e">
        <f>H75/G75</f>
        <v>#VALUE!</v>
      </c>
      <c r="J75" s="12171" t="s">
        <v>9</v>
      </c>
      <c r="K75" s="7483"/>
      <c r="L75" s="7980"/>
    </row>
    <row r="76" spans="1:12" ht="15" customHeight="1">
      <c r="A76" s="11131"/>
      <c r="B76" s="8012" t="s">
        <v>11880</v>
      </c>
      <c r="C76" s="10369">
        <v>50212030</v>
      </c>
      <c r="D76" s="11492">
        <f>'WS-MOOE 2017'!AN7</f>
        <v>7295360.5199999996</v>
      </c>
      <c r="E76" s="11132">
        <f>'WS-MOOE ACTUAL JUNE 2018'!AH13</f>
        <v>3366608.82</v>
      </c>
      <c r="F76" s="11671">
        <f t="shared" si="2"/>
        <v>4133391.18</v>
      </c>
      <c r="G76" s="10370">
        <v>7500000</v>
      </c>
      <c r="H76" s="11193">
        <v>5223748.37</v>
      </c>
      <c r="I76" s="8799">
        <f>H76/G76</f>
        <v>0.69649978266666668</v>
      </c>
      <c r="J76" s="12171">
        <v>8000000</v>
      </c>
    </row>
    <row r="77" spans="1:12" ht="15" customHeight="1">
      <c r="A77" s="11131"/>
      <c r="B77" s="11111" t="s">
        <v>10959</v>
      </c>
      <c r="C77" s="10141">
        <v>50213040</v>
      </c>
      <c r="D77" s="11492">
        <f>'WS-MOOE 2017'!AS7</f>
        <v>13811.2</v>
      </c>
      <c r="E77" s="11132">
        <f>'WS-MOOE ACTUAL JUNE 2018'!AN13</f>
        <v>6924.75</v>
      </c>
      <c r="F77" s="11671">
        <f t="shared" si="2"/>
        <v>193075.25</v>
      </c>
      <c r="G77" s="10370">
        <v>200000</v>
      </c>
      <c r="H77" s="11193">
        <v>0</v>
      </c>
      <c r="I77" s="8799">
        <f>H77/G77</f>
        <v>0</v>
      </c>
      <c r="J77" s="12171">
        <v>100000</v>
      </c>
    </row>
    <row r="78" spans="1:12" ht="15" hidden="1" customHeight="1">
      <c r="A78" s="11131"/>
      <c r="B78" s="12177" t="s">
        <v>10776</v>
      </c>
      <c r="C78" s="10369"/>
      <c r="D78" s="11492"/>
      <c r="E78" s="11132"/>
      <c r="F78" s="11671"/>
      <c r="G78" s="10370"/>
      <c r="H78" s="11193"/>
      <c r="I78" s="8799"/>
      <c r="J78" s="12171"/>
    </row>
    <row r="79" spans="1:12" ht="15" customHeight="1">
      <c r="A79" s="11131"/>
      <c r="B79" s="7488" t="s">
        <v>10938</v>
      </c>
      <c r="C79" s="8872">
        <v>50213050</v>
      </c>
      <c r="D79" s="11492">
        <f>'WS-MOOE 2017'!AW7</f>
        <v>25797</v>
      </c>
      <c r="E79" s="11132">
        <f>'WS-MOOE ACTUAL JUNE 2018'!AS13</f>
        <v>12743.75</v>
      </c>
      <c r="F79" s="11671">
        <f t="shared" si="2"/>
        <v>137256.25</v>
      </c>
      <c r="G79" s="10370">
        <v>150000</v>
      </c>
      <c r="H79" s="11193">
        <v>0</v>
      </c>
      <c r="I79" s="8799">
        <f>H79/G79</f>
        <v>0</v>
      </c>
      <c r="J79" s="12171">
        <v>150000</v>
      </c>
    </row>
    <row r="80" spans="1:12" ht="15" hidden="1" customHeight="1" thickBot="1">
      <c r="A80" s="12148"/>
      <c r="B80" s="12178" t="s">
        <v>10776</v>
      </c>
      <c r="C80" s="12179"/>
      <c r="D80" s="12180">
        <f>'WS-MOOE 2017'!AY7</f>
        <v>0</v>
      </c>
      <c r="E80" s="12181"/>
      <c r="F80" s="12182"/>
      <c r="G80" s="12183"/>
      <c r="H80" s="12184"/>
      <c r="I80" s="7573"/>
      <c r="J80" s="12185"/>
    </row>
    <row r="81" spans="1:12" ht="15" customHeight="1">
      <c r="A81" s="11131"/>
      <c r="B81" s="7488" t="s">
        <v>10937</v>
      </c>
      <c r="C81" s="11258">
        <v>50213060</v>
      </c>
      <c r="D81" s="11492">
        <f>'WS-MOOE 2017'!BB7</f>
        <v>0</v>
      </c>
      <c r="E81" s="11132">
        <f>'WS-MOOE ACTUAL JUNE 2018'!AT13</f>
        <v>3000</v>
      </c>
      <c r="F81" s="11671">
        <f>G81-E81</f>
        <v>97000</v>
      </c>
      <c r="G81" s="10370">
        <v>100000</v>
      </c>
      <c r="H81" s="11193">
        <v>0</v>
      </c>
      <c r="I81" s="8799">
        <f>H81/G81</f>
        <v>0</v>
      </c>
      <c r="J81" s="12171">
        <v>100000</v>
      </c>
    </row>
    <row r="82" spans="1:12" ht="15" customHeight="1">
      <c r="A82" s="11131"/>
      <c r="B82" s="7309" t="s">
        <v>72</v>
      </c>
      <c r="C82" s="12152">
        <v>50215020</v>
      </c>
      <c r="D82" s="11492"/>
      <c r="E82" s="11132">
        <f>'WS-MOOE ACTUAL JUNE 2018'!AZ13</f>
        <v>0</v>
      </c>
      <c r="F82" s="11671">
        <f>G82-E82</f>
        <v>50000</v>
      </c>
      <c r="G82" s="10370">
        <v>50000</v>
      </c>
      <c r="H82" s="12187">
        <v>0</v>
      </c>
      <c r="I82" s="8799">
        <f>H82/G82</f>
        <v>0</v>
      </c>
      <c r="J82" s="12171">
        <v>50000</v>
      </c>
    </row>
    <row r="83" spans="1:12" ht="15" customHeight="1">
      <c r="A83" s="11131"/>
      <c r="B83" s="7309" t="s">
        <v>9138</v>
      </c>
      <c r="C83" s="12152">
        <v>50299990</v>
      </c>
      <c r="D83" s="11492"/>
      <c r="E83" s="11132">
        <f>'WS-MOOE ACTUAL JUNE 2018'!BI13</f>
        <v>13138.75</v>
      </c>
      <c r="F83" s="11671">
        <f>G83-E83</f>
        <v>336861.25</v>
      </c>
      <c r="G83" s="10370">
        <v>350000</v>
      </c>
      <c r="H83" s="11193">
        <v>175200</v>
      </c>
      <c r="I83" s="8799">
        <f>H83/G83</f>
        <v>0.50057142857142856</v>
      </c>
      <c r="J83" s="12171">
        <v>300000</v>
      </c>
    </row>
    <row r="84" spans="1:12" ht="15" customHeight="1">
      <c r="A84" s="11131"/>
      <c r="B84" s="7981" t="s">
        <v>10777</v>
      </c>
      <c r="C84" s="12152"/>
      <c r="D84" s="11492">
        <f>'WS-MOOE 2017'!BO7</f>
        <v>48765</v>
      </c>
      <c r="E84" s="11132"/>
      <c r="F84" s="11671"/>
      <c r="G84" s="12172"/>
      <c r="H84" s="11193"/>
      <c r="I84" s="8799"/>
      <c r="J84" s="12173"/>
    </row>
    <row r="85" spans="1:12" ht="15" customHeight="1">
      <c r="A85" s="11131"/>
      <c r="B85" s="7309" t="s">
        <v>9694</v>
      </c>
      <c r="C85" s="12152"/>
      <c r="D85" s="10370">
        <v>0</v>
      </c>
      <c r="E85" s="10138"/>
      <c r="F85" s="12192">
        <f>G85-E85</f>
        <v>20000</v>
      </c>
      <c r="G85" s="10370">
        <v>20000</v>
      </c>
      <c r="H85" s="10561">
        <v>0</v>
      </c>
      <c r="I85" s="10370">
        <f>H85/G85</f>
        <v>0</v>
      </c>
      <c r="J85" s="12171">
        <v>50000</v>
      </c>
      <c r="K85" s="7310">
        <f>SUM(J81:J85)</f>
        <v>500000</v>
      </c>
    </row>
    <row r="86" spans="1:12" s="7981" customFormat="1" ht="15" customHeight="1">
      <c r="A86" s="11131"/>
      <c r="B86" s="7309"/>
      <c r="C86" s="12152"/>
      <c r="D86" s="10370"/>
      <c r="E86" s="10138"/>
      <c r="F86" s="12192"/>
      <c r="G86" s="10370"/>
      <c r="H86" s="10561"/>
      <c r="I86" s="10370"/>
      <c r="J86" s="12171"/>
      <c r="K86" s="7483"/>
      <c r="L86" s="7980"/>
    </row>
    <row r="87" spans="1:12" ht="15" customHeight="1">
      <c r="A87" s="11131"/>
      <c r="B87" s="8009" t="s">
        <v>37</v>
      </c>
      <c r="C87" s="12191"/>
      <c r="D87" s="12188">
        <f t="shared" ref="D87:G87" si="3">SUM(D44:D86)</f>
        <v>9071317.9799999986</v>
      </c>
      <c r="E87" s="12188">
        <f t="shared" si="3"/>
        <v>3806395.8099999996</v>
      </c>
      <c r="F87" s="12188">
        <f t="shared" si="3"/>
        <v>7335604.1900000004</v>
      </c>
      <c r="G87" s="12188">
        <f t="shared" si="3"/>
        <v>11142000</v>
      </c>
      <c r="H87" s="12189">
        <f>SUM(H45:H85)</f>
        <v>6574746.4000000004</v>
      </c>
      <c r="I87" s="12193">
        <f>H87/G87</f>
        <v>0.59008673487704189</v>
      </c>
      <c r="J87" s="12190">
        <f>SUM(J44:J86)</f>
        <v>11158000</v>
      </c>
      <c r="K87" s="10372">
        <f>(J87-G87)/G87</f>
        <v>1.4360078980434393E-3</v>
      </c>
    </row>
    <row r="88" spans="1:12" ht="15" customHeight="1" thickBot="1">
      <c r="A88" s="12148"/>
      <c r="B88" s="8011"/>
      <c r="C88" s="12194"/>
      <c r="D88" s="12160"/>
      <c r="E88" s="12160"/>
      <c r="F88" s="11495"/>
      <c r="G88" s="12160"/>
      <c r="H88" s="11224"/>
      <c r="I88" s="12195"/>
      <c r="J88" s="12163"/>
    </row>
    <row r="89" spans="1:12" ht="15" customHeight="1">
      <c r="A89" s="7309"/>
      <c r="B89" s="8009"/>
      <c r="C89" s="7982"/>
      <c r="D89" s="7997"/>
      <c r="E89" s="7997"/>
      <c r="F89" s="9485"/>
      <c r="G89" s="7997"/>
      <c r="H89" s="7998"/>
      <c r="I89" s="12186"/>
      <c r="J89" s="7997"/>
    </row>
    <row r="90" spans="1:12" ht="15" customHeight="1">
      <c r="A90" s="7309"/>
      <c r="B90" s="8009"/>
      <c r="C90" s="7982"/>
      <c r="D90" s="7997"/>
      <c r="E90" s="7997"/>
      <c r="F90" s="9485"/>
      <c r="G90" s="7997"/>
      <c r="H90" s="7998"/>
      <c r="I90" s="12186"/>
      <c r="J90" s="7997"/>
    </row>
    <row r="91" spans="1:12" ht="15" customHeight="1">
      <c r="A91" s="7309"/>
      <c r="B91" s="8009"/>
      <c r="C91" s="7982"/>
      <c r="D91" s="7997"/>
      <c r="E91" s="7997"/>
      <c r="F91" s="9485"/>
      <c r="G91" s="7997"/>
      <c r="H91" s="7998"/>
      <c r="I91" s="12186"/>
      <c r="J91" s="7997"/>
    </row>
    <row r="92" spans="1:12" ht="15" customHeight="1">
      <c r="A92" s="7309"/>
      <c r="B92" s="8009"/>
      <c r="C92" s="7982"/>
      <c r="D92" s="7997"/>
      <c r="E92" s="7997"/>
      <c r="F92" s="9485"/>
      <c r="G92" s="7997"/>
      <c r="H92" s="7998"/>
      <c r="I92" s="12186"/>
      <c r="J92" s="7997"/>
    </row>
    <row r="93" spans="1:12" ht="15" customHeight="1">
      <c r="A93" s="7309"/>
      <c r="B93" s="8009"/>
      <c r="C93" s="7982"/>
      <c r="D93" s="7997"/>
      <c r="E93" s="7997"/>
      <c r="F93" s="9485"/>
      <c r="G93" s="7997"/>
      <c r="H93" s="7998"/>
      <c r="I93" s="12186"/>
      <c r="J93" s="7997"/>
    </row>
    <row r="94" spans="1:12" ht="15" customHeight="1">
      <c r="A94" s="7309"/>
      <c r="B94" s="8009"/>
      <c r="C94" s="7982"/>
      <c r="D94" s="7997"/>
      <c r="E94" s="7997"/>
      <c r="F94" s="9485"/>
      <c r="G94" s="7997"/>
      <c r="H94" s="7998"/>
      <c r="I94" s="12186"/>
      <c r="J94" s="7997"/>
    </row>
    <row r="95" spans="1:12" ht="15" customHeight="1">
      <c r="A95" s="7309"/>
      <c r="B95" s="8009"/>
      <c r="C95" s="7982"/>
      <c r="D95" s="7997"/>
      <c r="E95" s="7997"/>
      <c r="F95" s="9485"/>
      <c r="G95" s="7997"/>
      <c r="H95" s="7998"/>
      <c r="I95" s="12186"/>
      <c r="J95" s="7997"/>
    </row>
    <row r="96" spans="1:12" ht="15" customHeight="1" thickBot="1">
      <c r="A96" s="7973" t="s">
        <v>10782</v>
      </c>
      <c r="B96" s="8011"/>
      <c r="C96" s="7999"/>
      <c r="D96" s="8000"/>
      <c r="E96" s="9509"/>
      <c r="F96" s="9486"/>
      <c r="G96" s="8000"/>
      <c r="H96" s="8001"/>
      <c r="I96" s="8000"/>
      <c r="J96" s="8000"/>
    </row>
    <row r="97" spans="1:10" ht="15" customHeight="1">
      <c r="A97" s="12139"/>
      <c r="B97" s="12140"/>
      <c r="C97" s="12141" t="s">
        <v>9</v>
      </c>
      <c r="D97" s="12142" t="s">
        <v>10</v>
      </c>
      <c r="E97" s="14188" t="s">
        <v>10711</v>
      </c>
      <c r="F97" s="14189"/>
      <c r="G97" s="14190"/>
      <c r="H97" s="12164"/>
      <c r="I97" s="12142"/>
      <c r="J97" s="12144" t="s">
        <v>12</v>
      </c>
    </row>
    <row r="98" spans="1:10" ht="15" customHeight="1">
      <c r="A98" s="11131"/>
      <c r="B98" s="8007" t="s">
        <v>13</v>
      </c>
      <c r="C98" s="14731" t="s">
        <v>14</v>
      </c>
      <c r="D98" s="13786" t="s">
        <v>15</v>
      </c>
      <c r="E98" s="13781" t="s">
        <v>10709</v>
      </c>
      <c r="F98" s="11083" t="s">
        <v>10710</v>
      </c>
      <c r="G98" s="14191" t="s">
        <v>458</v>
      </c>
      <c r="H98" s="13787"/>
      <c r="I98" s="13786"/>
      <c r="J98" s="12147" t="s">
        <v>16</v>
      </c>
    </row>
    <row r="99" spans="1:10" ht="15" customHeight="1" thickBot="1">
      <c r="A99" s="12148"/>
      <c r="B99" s="8008"/>
      <c r="C99" s="14730"/>
      <c r="D99" s="13788">
        <v>2017</v>
      </c>
      <c r="E99" s="13782" t="s">
        <v>457</v>
      </c>
      <c r="F99" s="9507" t="s">
        <v>456</v>
      </c>
      <c r="G99" s="14192"/>
      <c r="H99" s="13789"/>
      <c r="I99" s="13788"/>
      <c r="J99" s="12150">
        <v>2019</v>
      </c>
    </row>
    <row r="100" spans="1:10" ht="15" customHeight="1">
      <c r="A100" s="11131"/>
      <c r="B100" s="7309"/>
      <c r="C100" s="7977"/>
      <c r="D100" s="7979"/>
      <c r="E100" s="13790"/>
      <c r="F100" s="13791"/>
      <c r="G100" s="13792"/>
      <c r="H100" s="13793"/>
      <c r="I100" s="13792"/>
      <c r="J100" s="13794"/>
    </row>
    <row r="101" spans="1:10" ht="15" customHeight="1">
      <c r="A101" s="12151" t="s">
        <v>51</v>
      </c>
      <c r="B101" s="7309" t="s">
        <v>299</v>
      </c>
      <c r="C101" s="7977"/>
      <c r="D101" s="13795"/>
      <c r="E101" s="13790"/>
      <c r="F101" s="13791"/>
      <c r="G101" s="13792" t="s">
        <v>9</v>
      </c>
      <c r="H101" s="13793"/>
      <c r="I101" s="13792"/>
      <c r="J101" s="13794" t="s">
        <v>9</v>
      </c>
    </row>
    <row r="102" spans="1:10" ht="15" customHeight="1">
      <c r="A102" s="12151"/>
      <c r="B102" s="8009" t="s">
        <v>10390</v>
      </c>
      <c r="C102" s="7977"/>
      <c r="D102" s="13795"/>
      <c r="E102" s="13790"/>
      <c r="F102" s="13791"/>
      <c r="G102" s="13792"/>
      <c r="H102" s="13793"/>
      <c r="I102" s="13792"/>
      <c r="J102" s="13794"/>
    </row>
    <row r="103" spans="1:10" ht="15" customHeight="1">
      <c r="A103" s="12151"/>
      <c r="B103" s="7309" t="s">
        <v>10001</v>
      </c>
      <c r="C103" s="7977">
        <v>50705020</v>
      </c>
      <c r="D103" s="13796">
        <f>'WS-CO 2017'!F6</f>
        <v>69299</v>
      </c>
      <c r="E103" s="13790"/>
      <c r="F103" s="13797">
        <f t="shared" ref="F103:F132" si="4">G103-E103</f>
        <v>500000</v>
      </c>
      <c r="G103" s="13792">
        <v>500000</v>
      </c>
      <c r="H103" s="13793">
        <v>9600</v>
      </c>
      <c r="I103" s="7358">
        <f>H103/G103</f>
        <v>1.9199999999999998E-2</v>
      </c>
      <c r="J103" s="13794">
        <v>215000</v>
      </c>
    </row>
    <row r="104" spans="1:10" ht="15" hidden="1" customHeight="1">
      <c r="A104" s="12151"/>
      <c r="B104" s="7309" t="s">
        <v>10018</v>
      </c>
      <c r="C104" s="7977"/>
      <c r="D104" s="13795"/>
      <c r="E104" s="13790"/>
      <c r="F104" s="13797">
        <f t="shared" si="4"/>
        <v>0</v>
      </c>
      <c r="G104" s="13792"/>
      <c r="H104" s="13793"/>
      <c r="I104" s="13792"/>
      <c r="J104" s="13794"/>
    </row>
    <row r="105" spans="1:10" ht="15" hidden="1" customHeight="1">
      <c r="A105" s="12151"/>
      <c r="B105" s="7309" t="s">
        <v>10019</v>
      </c>
      <c r="C105" s="7977"/>
      <c r="D105" s="13795"/>
      <c r="E105" s="13790"/>
      <c r="F105" s="13797">
        <f t="shared" si="4"/>
        <v>0</v>
      </c>
      <c r="G105" s="13792"/>
      <c r="H105" s="13793"/>
      <c r="I105" s="13792"/>
      <c r="J105" s="13794"/>
    </row>
    <row r="106" spans="1:10" ht="15" hidden="1" customHeight="1">
      <c r="A106" s="12151"/>
      <c r="B106" s="7309" t="s">
        <v>10020</v>
      </c>
      <c r="C106" s="7977"/>
      <c r="D106" s="13795"/>
      <c r="E106" s="13790"/>
      <c r="F106" s="13797">
        <f t="shared" si="4"/>
        <v>0</v>
      </c>
      <c r="G106" s="13792"/>
      <c r="H106" s="13793"/>
      <c r="I106" s="13792"/>
      <c r="J106" s="13794"/>
    </row>
    <row r="107" spans="1:10" ht="15" hidden="1" customHeight="1">
      <c r="A107" s="12151"/>
      <c r="B107" s="7309" t="s">
        <v>10021</v>
      </c>
      <c r="C107" s="7977"/>
      <c r="D107" s="13795"/>
      <c r="E107" s="13790"/>
      <c r="F107" s="13797">
        <f t="shared" si="4"/>
        <v>0</v>
      </c>
      <c r="G107" s="13792"/>
      <c r="H107" s="13793"/>
      <c r="I107" s="13792"/>
      <c r="J107" s="13794"/>
    </row>
    <row r="108" spans="1:10" ht="15" hidden="1" customHeight="1">
      <c r="A108" s="12151"/>
      <c r="B108" s="7309" t="s">
        <v>10022</v>
      </c>
      <c r="C108" s="7977"/>
      <c r="D108" s="13795"/>
      <c r="E108" s="13790"/>
      <c r="F108" s="13797">
        <f t="shared" si="4"/>
        <v>0</v>
      </c>
      <c r="G108" s="13792"/>
      <c r="H108" s="13793"/>
      <c r="I108" s="13792"/>
      <c r="J108" s="13794"/>
    </row>
    <row r="109" spans="1:10" ht="15" hidden="1" customHeight="1">
      <c r="A109" s="12151"/>
      <c r="B109" s="8009" t="s">
        <v>10028</v>
      </c>
      <c r="C109" s="7977"/>
      <c r="D109" s="13793"/>
      <c r="E109" s="13790"/>
      <c r="F109" s="13797"/>
      <c r="G109" s="13792"/>
      <c r="H109" s="13793"/>
      <c r="I109" s="13792"/>
      <c r="J109" s="13794"/>
    </row>
    <row r="110" spans="1:10" ht="15" hidden="1" customHeight="1">
      <c r="A110" s="12151"/>
      <c r="B110" s="7309" t="s">
        <v>10962</v>
      </c>
      <c r="C110" s="7977">
        <v>50705020</v>
      </c>
      <c r="D110" s="13793">
        <f>'WS-CO 2017'!G6</f>
        <v>0</v>
      </c>
      <c r="E110" s="13790"/>
      <c r="F110" s="13797"/>
      <c r="G110" s="13792" t="s">
        <v>9</v>
      </c>
      <c r="H110" s="13793" t="s">
        <v>9</v>
      </c>
      <c r="I110" s="7358" t="e">
        <f>H110/G110</f>
        <v>#VALUE!</v>
      </c>
      <c r="J110" s="13794" t="s">
        <v>9</v>
      </c>
    </row>
    <row r="111" spans="1:10" ht="15" customHeight="1">
      <c r="A111" s="12151"/>
      <c r="B111" s="8009" t="s">
        <v>10390</v>
      </c>
      <c r="C111" s="7977"/>
      <c r="D111" s="13793"/>
      <c r="E111" s="13790"/>
      <c r="F111" s="13797"/>
      <c r="G111" s="13792"/>
      <c r="H111" s="13793"/>
      <c r="I111" s="7358"/>
      <c r="J111" s="13794"/>
    </row>
    <row r="112" spans="1:10" ht="15" customHeight="1">
      <c r="A112" s="12151"/>
      <c r="B112" s="7309" t="s">
        <v>10945</v>
      </c>
      <c r="C112" s="7977">
        <v>50707010</v>
      </c>
      <c r="D112" s="13796">
        <f>'WS-CO 2017'!K6</f>
        <v>15821</v>
      </c>
      <c r="E112" s="13790"/>
      <c r="F112" s="13797">
        <f t="shared" si="4"/>
        <v>150000</v>
      </c>
      <c r="G112" s="13792">
        <v>150000</v>
      </c>
      <c r="H112" s="13793">
        <v>23945</v>
      </c>
      <c r="I112" s="7358">
        <f>H112/G112</f>
        <v>0.15963333333333332</v>
      </c>
      <c r="J112" s="13798"/>
    </row>
    <row r="113" spans="1:10" ht="15" hidden="1" customHeight="1">
      <c r="A113" s="12151"/>
      <c r="B113" s="7309" t="s">
        <v>10023</v>
      </c>
      <c r="C113" s="7977"/>
      <c r="D113" s="13795"/>
      <c r="E113" s="13790"/>
      <c r="F113" s="13797">
        <f t="shared" si="4"/>
        <v>0</v>
      </c>
      <c r="G113" s="13792"/>
      <c r="H113" s="13793"/>
      <c r="I113" s="13792"/>
      <c r="J113" s="13794"/>
    </row>
    <row r="114" spans="1:10" ht="15" hidden="1" customHeight="1">
      <c r="A114" s="12151"/>
      <c r="B114" s="7309" t="s">
        <v>10024</v>
      </c>
      <c r="C114" s="7977"/>
      <c r="D114" s="13795"/>
      <c r="E114" s="13790"/>
      <c r="F114" s="13797">
        <f t="shared" si="4"/>
        <v>0</v>
      </c>
      <c r="G114" s="13792"/>
      <c r="H114" s="13793"/>
      <c r="I114" s="13792"/>
      <c r="J114" s="13794"/>
    </row>
    <row r="115" spans="1:10" ht="15" hidden="1" customHeight="1">
      <c r="A115" s="12151"/>
      <c r="B115" s="7309" t="s">
        <v>10025</v>
      </c>
      <c r="C115" s="7977"/>
      <c r="D115" s="13795"/>
      <c r="E115" s="13790"/>
      <c r="F115" s="13797">
        <f t="shared" si="4"/>
        <v>0</v>
      </c>
      <c r="G115" s="13792"/>
      <c r="H115" s="13793"/>
      <c r="I115" s="13792"/>
      <c r="J115" s="13794"/>
    </row>
    <row r="116" spans="1:10" ht="15" hidden="1" customHeight="1">
      <c r="A116" s="12151"/>
      <c r="B116" s="7309" t="s">
        <v>10026</v>
      </c>
      <c r="C116" s="7977"/>
      <c r="D116" s="13795"/>
      <c r="E116" s="13790"/>
      <c r="F116" s="13797">
        <f t="shared" si="4"/>
        <v>0</v>
      </c>
      <c r="G116" s="13792"/>
      <c r="H116" s="13793"/>
      <c r="I116" s="13792"/>
      <c r="J116" s="13794"/>
    </row>
    <row r="117" spans="1:10" ht="15" hidden="1" customHeight="1">
      <c r="A117" s="12151"/>
      <c r="B117" s="7309" t="s">
        <v>10027</v>
      </c>
      <c r="C117" s="7977"/>
      <c r="D117" s="13795"/>
      <c r="E117" s="13790"/>
      <c r="F117" s="13797">
        <f t="shared" si="4"/>
        <v>0</v>
      </c>
      <c r="G117" s="13792"/>
      <c r="H117" s="13793"/>
      <c r="I117" s="13792"/>
      <c r="J117" s="13794"/>
    </row>
    <row r="118" spans="1:10" ht="15" hidden="1" customHeight="1">
      <c r="A118" s="12151"/>
      <c r="B118" s="7309" t="s">
        <v>10029</v>
      </c>
      <c r="C118" s="7977"/>
      <c r="D118" s="13793"/>
      <c r="E118" s="13790"/>
      <c r="F118" s="13797">
        <f t="shared" si="4"/>
        <v>0</v>
      </c>
      <c r="G118" s="13792"/>
      <c r="H118" s="13793"/>
      <c r="I118" s="13792"/>
      <c r="J118" s="13794"/>
    </row>
    <row r="119" spans="1:10" ht="15" hidden="1" customHeight="1">
      <c r="A119" s="12151"/>
      <c r="B119" s="7309" t="s">
        <v>10030</v>
      </c>
      <c r="C119" s="7977"/>
      <c r="D119" s="13793"/>
      <c r="E119" s="13790"/>
      <c r="F119" s="13797">
        <f t="shared" si="4"/>
        <v>0</v>
      </c>
      <c r="G119" s="13792"/>
      <c r="H119" s="13793"/>
      <c r="I119" s="13792"/>
      <c r="J119" s="13794"/>
    </row>
    <row r="120" spans="1:10" ht="15" hidden="1" customHeight="1">
      <c r="A120" s="12151"/>
      <c r="B120" s="7309" t="s">
        <v>10031</v>
      </c>
      <c r="C120" s="7977"/>
      <c r="D120" s="13793"/>
      <c r="E120" s="13790"/>
      <c r="F120" s="13797">
        <f t="shared" si="4"/>
        <v>0</v>
      </c>
      <c r="G120" s="13792"/>
      <c r="H120" s="13793"/>
      <c r="I120" s="13792"/>
      <c r="J120" s="13794"/>
    </row>
    <row r="121" spans="1:10" ht="15" hidden="1" customHeight="1">
      <c r="A121" s="12151"/>
      <c r="B121" s="7309" t="s">
        <v>10032</v>
      </c>
      <c r="C121" s="7977"/>
      <c r="D121" s="13793"/>
      <c r="E121" s="13790"/>
      <c r="F121" s="13797">
        <f t="shared" si="4"/>
        <v>0</v>
      </c>
      <c r="G121" s="13792"/>
      <c r="H121" s="13793"/>
      <c r="I121" s="13792"/>
      <c r="J121" s="13794"/>
    </row>
    <row r="122" spans="1:10" ht="15" hidden="1" customHeight="1">
      <c r="A122" s="12151"/>
      <c r="B122" s="7309" t="s">
        <v>10022</v>
      </c>
      <c r="C122" s="7977"/>
      <c r="D122" s="13793"/>
      <c r="E122" s="13790"/>
      <c r="F122" s="13797">
        <f t="shared" si="4"/>
        <v>0</v>
      </c>
      <c r="G122" s="13792"/>
      <c r="H122" s="13793"/>
      <c r="I122" s="13792"/>
      <c r="J122" s="13794"/>
    </row>
    <row r="123" spans="1:10" ht="15" hidden="1" customHeight="1">
      <c r="A123" s="12151"/>
      <c r="B123" s="7309" t="s">
        <v>10034</v>
      </c>
      <c r="C123" s="7977"/>
      <c r="D123" s="13793"/>
      <c r="E123" s="13790"/>
      <c r="F123" s="13797">
        <f t="shared" si="4"/>
        <v>0</v>
      </c>
      <c r="G123" s="13792"/>
      <c r="H123" s="13793"/>
      <c r="I123" s="13792"/>
      <c r="J123" s="13794"/>
    </row>
    <row r="124" spans="1:10" ht="15" hidden="1" customHeight="1">
      <c r="A124" s="12151"/>
      <c r="B124" s="7309" t="s">
        <v>162</v>
      </c>
      <c r="C124" s="7977">
        <v>50707010</v>
      </c>
      <c r="D124" s="13793"/>
      <c r="E124" s="13790"/>
      <c r="F124" s="13797">
        <f t="shared" si="4"/>
        <v>0</v>
      </c>
      <c r="G124" s="13792">
        <v>0</v>
      </c>
      <c r="H124" s="13799">
        <v>0</v>
      </c>
      <c r="I124" s="7358" t="e">
        <f>H124/G124</f>
        <v>#DIV/0!</v>
      </c>
      <c r="J124" s="13794">
        <v>0</v>
      </c>
    </row>
    <row r="125" spans="1:10" ht="15" hidden="1" customHeight="1">
      <c r="A125" s="12151"/>
      <c r="B125" s="7309" t="s">
        <v>10025</v>
      </c>
      <c r="C125" s="7977"/>
      <c r="D125" s="13793"/>
      <c r="E125" s="13790"/>
      <c r="F125" s="13797">
        <f t="shared" si="4"/>
        <v>0</v>
      </c>
      <c r="G125" s="13792"/>
      <c r="H125" s="13793"/>
      <c r="I125" s="13792"/>
      <c r="J125" s="13794"/>
    </row>
    <row r="126" spans="1:10" ht="15" hidden="1" customHeight="1">
      <c r="A126" s="12151"/>
      <c r="B126" s="7309" t="s">
        <v>10033</v>
      </c>
      <c r="C126" s="7977"/>
      <c r="D126" s="13793"/>
      <c r="E126" s="13790"/>
      <c r="F126" s="13797">
        <f t="shared" si="4"/>
        <v>0</v>
      </c>
      <c r="G126" s="13792"/>
      <c r="H126" s="13793"/>
      <c r="I126" s="13792"/>
      <c r="J126" s="13794"/>
    </row>
    <row r="127" spans="1:10" ht="15" hidden="1" customHeight="1">
      <c r="A127" s="12151"/>
      <c r="B127" s="7309" t="s">
        <v>4813</v>
      </c>
      <c r="C127" s="7977"/>
      <c r="D127" s="13793">
        <f>'WS-CO 2017'!J6</f>
        <v>0</v>
      </c>
      <c r="E127" s="13790"/>
      <c r="F127" s="13797"/>
      <c r="G127" s="13792"/>
      <c r="H127" s="13793"/>
      <c r="I127" s="13792"/>
      <c r="J127" s="13794"/>
    </row>
    <row r="128" spans="1:10" ht="15" hidden="1" customHeight="1">
      <c r="A128" s="11131"/>
      <c r="B128" s="8009" t="s">
        <v>1723</v>
      </c>
      <c r="C128" s="7977"/>
      <c r="D128" s="7979"/>
      <c r="E128" s="13790"/>
      <c r="F128" s="13797"/>
      <c r="G128" s="13792"/>
      <c r="H128" s="13793"/>
      <c r="I128" s="13792"/>
      <c r="J128" s="13794"/>
    </row>
    <row r="129" spans="1:12" s="7981" customFormat="1" ht="15" hidden="1" customHeight="1">
      <c r="A129" s="11131"/>
      <c r="B129" s="7309" t="s">
        <v>9695</v>
      </c>
      <c r="C129" s="13800"/>
      <c r="D129" s="7979"/>
      <c r="E129" s="13790"/>
      <c r="F129" s="13797">
        <f t="shared" si="4"/>
        <v>0</v>
      </c>
      <c r="G129" s="13792"/>
      <c r="H129" s="13793"/>
      <c r="I129" s="7358"/>
      <c r="J129" s="13794"/>
      <c r="K129" s="7483"/>
      <c r="L129" s="7980"/>
    </row>
    <row r="130" spans="1:12" s="7981" customFormat="1" ht="15" hidden="1" customHeight="1">
      <c r="A130" s="11131"/>
      <c r="B130" s="7309" t="s">
        <v>9696</v>
      </c>
      <c r="C130" s="13800"/>
      <c r="D130" s="7979"/>
      <c r="E130" s="13790"/>
      <c r="F130" s="13797">
        <f t="shared" si="4"/>
        <v>0</v>
      </c>
      <c r="G130" s="13792"/>
      <c r="H130" s="13793"/>
      <c r="I130" s="7358"/>
      <c r="J130" s="13794"/>
      <c r="K130" s="7483"/>
      <c r="L130" s="7980"/>
    </row>
    <row r="131" spans="1:12" s="7981" customFormat="1" ht="15" hidden="1" customHeight="1">
      <c r="A131" s="11131"/>
      <c r="B131" s="7309" t="s">
        <v>9697</v>
      </c>
      <c r="C131" s="13800">
        <v>221</v>
      </c>
      <c r="D131" s="7979"/>
      <c r="E131" s="13790"/>
      <c r="F131" s="13797">
        <f t="shared" si="4"/>
        <v>0</v>
      </c>
      <c r="G131" s="13792">
        <v>0</v>
      </c>
      <c r="H131" s="13793"/>
      <c r="I131" s="7358"/>
      <c r="J131" s="13794">
        <v>0</v>
      </c>
      <c r="K131" s="7483"/>
      <c r="L131" s="7980"/>
    </row>
    <row r="132" spans="1:12" s="7981" customFormat="1" ht="15" hidden="1" customHeight="1">
      <c r="A132" s="11131"/>
      <c r="B132" s="7309" t="s">
        <v>9698</v>
      </c>
      <c r="C132" s="13800"/>
      <c r="D132" s="7979"/>
      <c r="E132" s="13790"/>
      <c r="F132" s="13797">
        <f t="shared" si="4"/>
        <v>0</v>
      </c>
      <c r="G132" s="13792"/>
      <c r="H132" s="13793"/>
      <c r="I132" s="7358"/>
      <c r="J132" s="13794"/>
      <c r="K132" s="7483"/>
      <c r="L132" s="7980"/>
    </row>
    <row r="133" spans="1:12" ht="15" customHeight="1">
      <c r="A133" s="12151"/>
      <c r="B133" s="7488" t="s">
        <v>10963</v>
      </c>
      <c r="C133" s="8777">
        <v>50705030</v>
      </c>
      <c r="D133" s="13793">
        <f>'WS-CO 2017'!H6</f>
        <v>94845</v>
      </c>
      <c r="E133" s="13790"/>
      <c r="F133" s="13797"/>
      <c r="G133" s="13792" t="s">
        <v>9</v>
      </c>
      <c r="H133" s="13793">
        <v>49940</v>
      </c>
      <c r="I133" s="13792"/>
      <c r="J133" s="13794">
        <v>110000</v>
      </c>
    </row>
    <row r="134" spans="1:12" s="7981" customFormat="1" ht="15" customHeight="1">
      <c r="A134" s="11131"/>
      <c r="B134" s="7309"/>
      <c r="C134" s="13800"/>
      <c r="D134" s="13801"/>
      <c r="E134" s="13802"/>
      <c r="F134" s="9510"/>
      <c r="G134" s="7986"/>
      <c r="H134" s="7985"/>
      <c r="I134" s="7986"/>
      <c r="J134" s="13803"/>
      <c r="K134" s="7483"/>
      <c r="L134" s="7980"/>
    </row>
    <row r="135" spans="1:12" ht="15" customHeight="1">
      <c r="A135" s="11131"/>
      <c r="B135" s="8009" t="s">
        <v>37</v>
      </c>
      <c r="C135" s="13800"/>
      <c r="D135" s="7987">
        <f>SUM(D101:D134)</f>
        <v>179965</v>
      </c>
      <c r="E135" s="13804">
        <f>SUM(E101:E134)</f>
        <v>0</v>
      </c>
      <c r="F135" s="13805">
        <f>SUM(F101:F134)</f>
        <v>650000</v>
      </c>
      <c r="G135" s="12188">
        <f>SUM(G101:G134)</f>
        <v>650000</v>
      </c>
      <c r="H135" s="12188">
        <f>SUM(H101:H134)</f>
        <v>83485</v>
      </c>
      <c r="I135" s="7987"/>
      <c r="J135" s="13806">
        <f>SUM(J101:J134)</f>
        <v>325000</v>
      </c>
      <c r="K135" s="10372">
        <f>(J135-G135)/G135</f>
        <v>-0.5</v>
      </c>
      <c r="L135" s="7841">
        <v>325000</v>
      </c>
    </row>
    <row r="136" spans="1:12" ht="15" customHeight="1">
      <c r="A136" s="11131"/>
      <c r="B136" s="8009"/>
      <c r="C136" s="13800"/>
      <c r="D136" s="13807"/>
      <c r="E136" s="13808"/>
      <c r="F136" s="13809"/>
      <c r="G136" s="13810"/>
      <c r="H136" s="13811"/>
      <c r="I136" s="13812"/>
      <c r="J136" s="13813"/>
    </row>
    <row r="137" spans="1:12" ht="15" customHeight="1">
      <c r="A137" s="13814">
        <v>3</v>
      </c>
      <c r="B137" s="7309" t="s">
        <v>302</v>
      </c>
      <c r="C137" s="13800"/>
      <c r="D137" s="13815"/>
      <c r="E137" s="13816"/>
      <c r="F137" s="13817"/>
      <c r="G137" s="7978"/>
      <c r="H137" s="13793"/>
      <c r="I137" s="13792"/>
      <c r="J137" s="13794"/>
    </row>
    <row r="138" spans="1:12" ht="15" customHeight="1">
      <c r="A138" s="13814"/>
      <c r="B138" s="7309"/>
      <c r="C138" s="13800"/>
      <c r="D138" s="13815"/>
      <c r="E138" s="13816"/>
      <c r="F138" s="13817"/>
      <c r="G138" s="7978"/>
      <c r="H138" s="13793"/>
      <c r="I138" s="13792"/>
      <c r="J138" s="13794"/>
    </row>
    <row r="139" spans="1:12" s="7820" customFormat="1" ht="15" customHeight="1">
      <c r="A139" s="11134"/>
      <c r="B139" s="8009" t="s">
        <v>37</v>
      </c>
      <c r="C139" s="13818"/>
      <c r="D139" s="12188">
        <f>SUM(D138:D138)</f>
        <v>0</v>
      </c>
      <c r="E139" s="13819">
        <f>SUM(E138:E138)</f>
        <v>0</v>
      </c>
      <c r="F139" s="13820">
        <f>SUM(F138:F138)</f>
        <v>0</v>
      </c>
      <c r="G139" s="12188">
        <f>SUM(G138:G138)</f>
        <v>0</v>
      </c>
      <c r="H139" s="12189"/>
      <c r="I139" s="12188"/>
      <c r="J139" s="12190">
        <f>SUM(J138:J138)</f>
        <v>0</v>
      </c>
      <c r="K139" s="7502"/>
      <c r="L139" s="7988"/>
    </row>
    <row r="140" spans="1:12" ht="15" customHeight="1">
      <c r="A140" s="11131"/>
      <c r="B140" s="7309"/>
      <c r="C140" s="13800"/>
      <c r="D140" s="13815"/>
      <c r="E140" s="13816"/>
      <c r="F140" s="13821"/>
      <c r="G140" s="7978"/>
      <c r="H140" s="7758"/>
      <c r="I140" s="7978"/>
      <c r="J140" s="12171"/>
    </row>
    <row r="141" spans="1:12" ht="15" customHeight="1" thickBot="1">
      <c r="A141" s="13822"/>
      <c r="B141" s="13823" t="s">
        <v>132</v>
      </c>
      <c r="C141" s="13824"/>
      <c r="D141" s="12160">
        <f>(D30+D87+D135+D139)</f>
        <v>24761281.02</v>
      </c>
      <c r="E141" s="12160">
        <f>(E30+E87+E135+E139)</f>
        <v>10917338.02</v>
      </c>
      <c r="F141" s="11224">
        <f>(F30+F87+F135+F139)</f>
        <v>21202611.98</v>
      </c>
      <c r="G141" s="12160">
        <f>(G30+G87+G135+G139)</f>
        <v>32119950</v>
      </c>
      <c r="H141" s="11224">
        <f>H135+H87</f>
        <v>6658231.4000000004</v>
      </c>
      <c r="I141" s="13825">
        <f>H141/G141</f>
        <v>0.20729270749176137</v>
      </c>
      <c r="J141" s="12163">
        <f>(J30+J87+J135+J139)</f>
        <v>31617360.699999999</v>
      </c>
      <c r="K141" s="10372">
        <f>(J141-G141)/G141</f>
        <v>-1.5647262838204938E-2</v>
      </c>
    </row>
    <row r="142" spans="1:12" s="7333" customFormat="1" ht="15" customHeight="1">
      <c r="A142" s="7812" t="s">
        <v>4763</v>
      </c>
      <c r="B142" s="7812"/>
      <c r="C142" s="7813"/>
      <c r="D142" s="7812"/>
      <c r="E142" s="9511"/>
      <c r="F142" s="9512"/>
      <c r="H142" s="7989"/>
      <c r="I142" s="7812"/>
      <c r="K142" s="7505"/>
      <c r="L142" s="7842"/>
    </row>
    <row r="143" spans="1:12" s="7333" customFormat="1" ht="15" customHeight="1">
      <c r="A143" s="7812"/>
      <c r="B143" s="7812"/>
      <c r="C143" s="7813"/>
      <c r="D143" s="7812"/>
      <c r="E143" s="9511"/>
      <c r="F143" s="9512"/>
      <c r="H143" s="7989"/>
      <c r="I143" s="7812"/>
      <c r="K143" s="7505"/>
      <c r="L143" s="7842"/>
    </row>
    <row r="144" spans="1:12" ht="15" hidden="1" customHeight="1">
      <c r="B144" s="7761" t="s">
        <v>3483</v>
      </c>
      <c r="C144" s="10870" t="s">
        <v>3484</v>
      </c>
      <c r="E144" s="7762"/>
      <c r="F144" s="9459" t="s">
        <v>10666</v>
      </c>
      <c r="H144" s="7990"/>
      <c r="I144" s="7761"/>
      <c r="J144" s="7817"/>
    </row>
    <row r="145" spans="1:12" s="7820" customFormat="1" ht="15" hidden="1" customHeight="1">
      <c r="A145" s="7761"/>
      <c r="B145" s="7761"/>
      <c r="D145" s="10870"/>
      <c r="E145" s="7764"/>
      <c r="F145" s="9493"/>
      <c r="G145" s="7339"/>
      <c r="H145" s="7990"/>
      <c r="I145" s="7761"/>
      <c r="J145" s="7819"/>
      <c r="K145" s="7502"/>
      <c r="L145" s="7988"/>
    </row>
    <row r="146" spans="1:12" s="7820" customFormat="1" ht="15" hidden="1" customHeight="1">
      <c r="A146" s="7761"/>
      <c r="B146" s="7761"/>
      <c r="D146" s="10870"/>
      <c r="E146" s="7764"/>
      <c r="F146" s="9493"/>
      <c r="G146" s="7339"/>
      <c r="H146" s="7990"/>
      <c r="I146" s="7761"/>
      <c r="J146" s="7819"/>
      <c r="K146" s="7502"/>
      <c r="L146" s="7988"/>
    </row>
    <row r="147" spans="1:12" s="7820" customFormat="1" ht="15" hidden="1" customHeight="1">
      <c r="A147" s="7761"/>
      <c r="B147" s="7761"/>
      <c r="D147" s="10870"/>
      <c r="E147" s="7764"/>
      <c r="F147" s="9493"/>
      <c r="G147" s="7339"/>
      <c r="H147" s="7990"/>
      <c r="I147" s="7761"/>
      <c r="J147" s="7819"/>
      <c r="K147" s="7502"/>
      <c r="L147" s="7988"/>
    </row>
    <row r="148" spans="1:12" ht="15" hidden="1" customHeight="1">
      <c r="B148" s="12632" t="s">
        <v>9161</v>
      </c>
      <c r="D148" s="14304" t="s">
        <v>12059</v>
      </c>
      <c r="E148" s="14304"/>
      <c r="G148" s="7342" t="s">
        <v>10667</v>
      </c>
      <c r="H148" s="7969"/>
      <c r="I148" s="7765"/>
      <c r="J148" s="7817"/>
    </row>
    <row r="149" spans="1:12" ht="15" hidden="1" customHeight="1">
      <c r="B149" s="10878" t="s">
        <v>10451</v>
      </c>
      <c r="D149" s="7821" t="s">
        <v>3486</v>
      </c>
      <c r="E149" s="7762"/>
      <c r="G149" s="7344" t="s">
        <v>10668</v>
      </c>
      <c r="H149" s="7761"/>
      <c r="I149" s="7761"/>
      <c r="J149" s="7761"/>
    </row>
    <row r="150" spans="1:12" ht="15" customHeight="1">
      <c r="A150" s="7817"/>
      <c r="B150" s="7819"/>
      <c r="C150" s="10876"/>
      <c r="D150" s="7819"/>
      <c r="E150" s="8014"/>
      <c r="F150" s="9482"/>
      <c r="G150" s="7817"/>
      <c r="H150" s="7969"/>
      <c r="I150" s="7819"/>
      <c r="J150" s="7817"/>
    </row>
    <row r="151" spans="1:12" ht="15" customHeight="1">
      <c r="A151" s="7817"/>
      <c r="B151" s="7817"/>
      <c r="C151" s="7965"/>
      <c r="D151" s="7817"/>
      <c r="E151" s="7684"/>
      <c r="F151" s="9481"/>
      <c r="G151" s="7817"/>
      <c r="H151" s="7990">
        <f>J141-G141</f>
        <v>-502589.30000000075</v>
      </c>
      <c r="I151" s="7286">
        <f>H151/G141</f>
        <v>-1.5647262838204938E-2</v>
      </c>
      <c r="J151" s="7817"/>
    </row>
    <row r="152" spans="1:12" ht="15" customHeight="1">
      <c r="G152" s="7991"/>
      <c r="I152" s="7992"/>
      <c r="J152" s="7991"/>
    </row>
  </sheetData>
  <mergeCells count="12">
    <mergeCell ref="D148:E148"/>
    <mergeCell ref="A1:J1"/>
    <mergeCell ref="C7:C8"/>
    <mergeCell ref="C98:C99"/>
    <mergeCell ref="E97:G97"/>
    <mergeCell ref="G98:G99"/>
    <mergeCell ref="E6:G6"/>
    <mergeCell ref="G7:G8"/>
    <mergeCell ref="E41:G41"/>
    <mergeCell ref="C42:C43"/>
    <mergeCell ref="G42:G43"/>
    <mergeCell ref="J2:J4"/>
  </mergeCells>
  <printOptions horizontalCentered="1" gridLinesSet="0"/>
  <pageMargins left="0.25" right="0.25" top="0.5" bottom="0.25" header="0.25" footer="0.25"/>
  <pageSetup paperSize="119" firstPageNumber="17" orientation="landscape" useFirstPageNumber="1" r:id="rId1"/>
  <headerFooter alignWithMargins="0"/>
</worksheet>
</file>

<file path=xl/worksheets/sheet79.xml><?xml version="1.0" encoding="utf-8"?>
<worksheet xmlns="http://schemas.openxmlformats.org/spreadsheetml/2006/main" xmlns:r="http://schemas.openxmlformats.org/officeDocument/2006/relationships">
  <sheetPr codeName="Sheet116">
    <tabColor rgb="FFFF3399"/>
  </sheetPr>
  <dimension ref="A1:E30"/>
  <sheetViews>
    <sheetView topLeftCell="A4" workbookViewId="0">
      <selection activeCell="D20" sqref="D20"/>
    </sheetView>
  </sheetViews>
  <sheetFormatPr defaultColWidth="9.109375" defaultRowHeight="14.4"/>
  <cols>
    <col min="1" max="1" width="40.88671875" style="818" customWidth="1"/>
    <col min="2" max="2" width="14.109375" style="889" customWidth="1"/>
    <col min="3" max="3" width="14.44140625" style="889" customWidth="1"/>
    <col min="4" max="4" width="13" style="889" customWidth="1"/>
    <col min="5" max="5" width="14.88671875" style="889" customWidth="1"/>
    <col min="6" max="16384" width="9.109375" style="818"/>
  </cols>
  <sheetData>
    <row r="1" spans="1:5" s="881" customFormat="1" ht="28.5" customHeight="1">
      <c r="A1" s="881" t="s">
        <v>3426</v>
      </c>
      <c r="B1" s="884"/>
      <c r="C1" s="884"/>
      <c r="D1" s="884"/>
      <c r="E1" s="884"/>
    </row>
    <row r="2" spans="1:5" s="946" customFormat="1" ht="27" customHeight="1">
      <c r="A2" s="946" t="s">
        <v>4963</v>
      </c>
      <c r="B2" s="952"/>
      <c r="C2" s="952"/>
      <c r="D2" s="952"/>
      <c r="E2" s="952"/>
    </row>
    <row r="3" spans="1:5" s="881" customFormat="1">
      <c r="A3" s="14733" t="s">
        <v>3427</v>
      </c>
      <c r="B3" s="14735" t="s">
        <v>18</v>
      </c>
      <c r="C3" s="14735"/>
      <c r="D3" s="14735"/>
      <c r="E3" s="14736" t="s">
        <v>220</v>
      </c>
    </row>
    <row r="4" spans="1:5" s="1027" customFormat="1" ht="28.8">
      <c r="A4" s="14734"/>
      <c r="B4" s="4991" t="s">
        <v>2151</v>
      </c>
      <c r="C4" s="4991" t="s">
        <v>1973</v>
      </c>
      <c r="D4" s="4991" t="s">
        <v>52</v>
      </c>
      <c r="E4" s="14737"/>
    </row>
    <row r="5" spans="1:5" s="882" customFormat="1">
      <c r="A5" s="4374"/>
      <c r="B5" s="4992"/>
      <c r="C5" s="4992"/>
      <c r="D5" s="4992"/>
      <c r="E5" s="4992"/>
    </row>
    <row r="6" spans="1:5" s="881" customFormat="1">
      <c r="A6" s="3638" t="s">
        <v>2048</v>
      </c>
      <c r="B6" s="4993">
        <v>18296255</v>
      </c>
      <c r="C6" s="4993">
        <f>'lbpf 3-PADMO'!J87</f>
        <v>11158000</v>
      </c>
      <c r="D6" s="4993">
        <f>'lbpf 3-PADMO'!J135</f>
        <v>325000</v>
      </c>
      <c r="E6" s="4993">
        <f>SUM(B6:D6)</f>
        <v>29779255</v>
      </c>
    </row>
    <row r="7" spans="1:5" s="881" customFormat="1">
      <c r="A7" s="3638" t="s">
        <v>9931</v>
      </c>
      <c r="B7" s="4993"/>
      <c r="C7" s="4993"/>
      <c r="D7" s="4993"/>
      <c r="E7" s="4993"/>
    </row>
    <row r="8" spans="1:5" s="881" customFormat="1">
      <c r="A8" s="3638"/>
      <c r="B8" s="4993"/>
      <c r="C8" s="4993"/>
      <c r="D8" s="4993"/>
      <c r="E8" s="4993"/>
    </row>
    <row r="9" spans="1:5" s="1130" customFormat="1">
      <c r="A9" s="3646" t="s">
        <v>9932</v>
      </c>
      <c r="B9" s="2527"/>
      <c r="C9" s="2527"/>
      <c r="D9" s="2527"/>
      <c r="E9" s="2527"/>
    </row>
    <row r="10" spans="1:5">
      <c r="A10" s="3646" t="s">
        <v>9933</v>
      </c>
      <c r="B10" s="2387"/>
      <c r="C10" s="2387"/>
      <c r="D10" s="2387"/>
      <c r="E10" s="2387">
        <f>SUM(B10:D10)</f>
        <v>0</v>
      </c>
    </row>
    <row r="11" spans="1:5">
      <c r="A11" s="3646" t="s">
        <v>9934</v>
      </c>
      <c r="B11" s="2387"/>
      <c r="C11" s="2387"/>
      <c r="D11" s="2387"/>
      <c r="E11" s="2387"/>
    </row>
    <row r="12" spans="1:5">
      <c r="A12" s="3646" t="s">
        <v>9935</v>
      </c>
      <c r="B12" s="2387"/>
      <c r="C12" s="2387"/>
      <c r="D12" s="2387"/>
      <c r="E12" s="2387"/>
    </row>
    <row r="13" spans="1:5">
      <c r="A13" s="3646" t="s">
        <v>9936</v>
      </c>
      <c r="B13" s="2387"/>
      <c r="C13" s="2387"/>
      <c r="D13" s="2387"/>
      <c r="E13" s="2387"/>
    </row>
    <row r="14" spans="1:5">
      <c r="A14" s="3646"/>
      <c r="B14" s="2387"/>
      <c r="C14" s="2387"/>
      <c r="D14" s="2387"/>
      <c r="E14" s="2387"/>
    </row>
    <row r="15" spans="1:5">
      <c r="A15" s="3646"/>
      <c r="B15" s="2387"/>
      <c r="C15" s="2387"/>
      <c r="D15" s="2387"/>
      <c r="E15" s="2387"/>
    </row>
    <row r="16" spans="1:5">
      <c r="A16" s="3646"/>
      <c r="B16" s="2387"/>
      <c r="C16" s="2387"/>
      <c r="D16" s="2387"/>
      <c r="E16" s="2387"/>
    </row>
    <row r="17" spans="1:5">
      <c r="A17" s="4994"/>
      <c r="B17" s="4863"/>
      <c r="C17" s="4863"/>
      <c r="D17" s="4863"/>
      <c r="E17" s="4863"/>
    </row>
    <row r="18" spans="1:5" s="881" customFormat="1">
      <c r="A18" s="3638" t="s">
        <v>3429</v>
      </c>
      <c r="B18" s="4993"/>
      <c r="C18" s="4993"/>
      <c r="D18" s="4993"/>
      <c r="E18" s="4993">
        <f>SUM(B18:D18)</f>
        <v>0</v>
      </c>
    </row>
    <row r="19" spans="1:5">
      <c r="A19" s="3638"/>
      <c r="B19" s="2387"/>
      <c r="C19" s="2387"/>
      <c r="D19" s="2387"/>
      <c r="E19" s="2387"/>
    </row>
    <row r="20" spans="1:5">
      <c r="A20" s="4995"/>
      <c r="B20" s="2387"/>
      <c r="C20" s="2387"/>
      <c r="D20" s="3646"/>
      <c r="E20" s="4996"/>
    </row>
    <row r="21" spans="1:5">
      <c r="A21" s="3646"/>
      <c r="B21" s="2387"/>
      <c r="C21" s="2387"/>
      <c r="D21" s="2387"/>
      <c r="E21" s="2387"/>
    </row>
    <row r="22" spans="1:5">
      <c r="A22" s="3646"/>
      <c r="B22" s="2387"/>
      <c r="C22" s="2387"/>
      <c r="D22" s="2387"/>
      <c r="E22" s="2387"/>
    </row>
    <row r="23" spans="1:5">
      <c r="A23" s="3646"/>
      <c r="B23" s="2387"/>
      <c r="C23" s="2387"/>
      <c r="D23" s="2387"/>
      <c r="E23" s="2387">
        <f>SUM(B23:D23)</f>
        <v>0</v>
      </c>
    </row>
    <row r="24" spans="1:5">
      <c r="A24" s="3646"/>
      <c r="B24" s="2387"/>
      <c r="C24" s="2387"/>
      <c r="D24" s="2387"/>
      <c r="E24" s="2387"/>
    </row>
    <row r="25" spans="1:5">
      <c r="A25" s="3646"/>
      <c r="B25" s="2387"/>
      <c r="C25" s="2387"/>
      <c r="D25" s="2387"/>
      <c r="E25" s="2387"/>
    </row>
    <row r="26" spans="1:5">
      <c r="A26" s="3646"/>
      <c r="B26" s="2387"/>
      <c r="C26" s="2387"/>
      <c r="D26" s="2387"/>
      <c r="E26" s="2387"/>
    </row>
    <row r="27" spans="1:5">
      <c r="A27" s="3646"/>
      <c r="B27" s="2387"/>
      <c r="C27" s="2387"/>
      <c r="D27" s="2387"/>
      <c r="E27" s="2387"/>
    </row>
    <row r="28" spans="1:5">
      <c r="A28" s="3646"/>
      <c r="B28" s="2387"/>
      <c r="C28" s="2387"/>
      <c r="D28" s="2387"/>
      <c r="E28" s="2387"/>
    </row>
    <row r="29" spans="1:5">
      <c r="A29" s="3646"/>
      <c r="B29" s="2387"/>
      <c r="C29" s="2387"/>
      <c r="D29" s="2387"/>
      <c r="E29" s="2387"/>
    </row>
    <row r="30" spans="1:5" s="881" customFormat="1">
      <c r="A30" s="4997" t="s">
        <v>2850</v>
      </c>
      <c r="B30" s="4998">
        <f>SUM(B6:B29)</f>
        <v>18296255</v>
      </c>
      <c r="C30" s="4998">
        <f>SUM(C6:C29)</f>
        <v>11158000</v>
      </c>
      <c r="D30" s="4998">
        <f>SUM(D6:D29)</f>
        <v>325000</v>
      </c>
      <c r="E30" s="4998">
        <f>SUM(E6:E29)</f>
        <v>29779255</v>
      </c>
    </row>
  </sheetData>
  <mergeCells count="3">
    <mergeCell ref="A3:A4"/>
    <mergeCell ref="B3:D3"/>
    <mergeCell ref="E3:E4"/>
  </mergeCells>
  <pageMargins left="0.5" right="0.25" top="0.75" bottom="0.75" header="0.3" footer="0.3"/>
  <pageSetup paperSize="119" orientation="portrait" verticalDpi="300" r:id="rId1"/>
</worksheet>
</file>

<file path=xl/worksheets/sheet8.xml><?xml version="1.0" encoding="utf-8"?>
<worksheet xmlns="http://schemas.openxmlformats.org/spreadsheetml/2006/main" xmlns:r="http://schemas.openxmlformats.org/officeDocument/2006/relationships">
  <sheetPr codeName="Sheet23"/>
  <dimension ref="A1:H70"/>
  <sheetViews>
    <sheetView showGridLines="0" topLeftCell="D10" workbookViewId="0">
      <selection activeCell="A38" sqref="A38:XFD43"/>
    </sheetView>
  </sheetViews>
  <sheetFormatPr defaultRowHeight="13.8"/>
  <cols>
    <col min="1" max="1" width="3.88671875" style="2" customWidth="1"/>
    <col min="2" max="2" width="44.109375" style="2" customWidth="1"/>
    <col min="3" max="3" width="10.109375" style="2" customWidth="1"/>
    <col min="4" max="4" width="11.88671875" style="2" customWidth="1"/>
    <col min="5" max="5" width="12.44140625" style="2" customWidth="1"/>
    <col min="6" max="6" width="16.109375" style="107" customWidth="1"/>
    <col min="7" max="7" width="9.109375" style="2"/>
    <col min="8" max="8" width="10.109375" style="2" bestFit="1" customWidth="1"/>
    <col min="9" max="256" width="9.109375" style="2"/>
    <col min="257" max="257" width="3.88671875" style="2" customWidth="1"/>
    <col min="258" max="258" width="37.109375" style="2" customWidth="1"/>
    <col min="259" max="259" width="15.88671875" style="2" customWidth="1"/>
    <col min="260" max="260" width="13.44140625" style="2" customWidth="1"/>
    <col min="261" max="261" width="14.109375" style="2" customWidth="1"/>
    <col min="262" max="262" width="16.44140625" style="2" customWidth="1"/>
    <col min="263" max="512" width="9.109375" style="2"/>
    <col min="513" max="513" width="3.88671875" style="2" customWidth="1"/>
    <col min="514" max="514" width="37.109375" style="2" customWidth="1"/>
    <col min="515" max="515" width="15.88671875" style="2" customWidth="1"/>
    <col min="516" max="516" width="13.44140625" style="2" customWidth="1"/>
    <col min="517" max="517" width="14.109375" style="2" customWidth="1"/>
    <col min="518" max="518" width="16.44140625" style="2" customWidth="1"/>
    <col min="519" max="768" width="9.109375" style="2"/>
    <col min="769" max="769" width="3.88671875" style="2" customWidth="1"/>
    <col min="770" max="770" width="37.109375" style="2" customWidth="1"/>
    <col min="771" max="771" width="15.88671875" style="2" customWidth="1"/>
    <col min="772" max="772" width="13.44140625" style="2" customWidth="1"/>
    <col min="773" max="773" width="14.109375" style="2" customWidth="1"/>
    <col min="774" max="774" width="16.44140625" style="2" customWidth="1"/>
    <col min="775" max="1024" width="9.109375" style="2"/>
    <col min="1025" max="1025" width="3.88671875" style="2" customWidth="1"/>
    <col min="1026" max="1026" width="37.109375" style="2" customWidth="1"/>
    <col min="1027" max="1027" width="15.88671875" style="2" customWidth="1"/>
    <col min="1028" max="1028" width="13.44140625" style="2" customWidth="1"/>
    <col min="1029" max="1029" width="14.109375" style="2" customWidth="1"/>
    <col min="1030" max="1030" width="16.44140625" style="2" customWidth="1"/>
    <col min="1031" max="1280" width="9.109375" style="2"/>
    <col min="1281" max="1281" width="3.88671875" style="2" customWidth="1"/>
    <col min="1282" max="1282" width="37.109375" style="2" customWidth="1"/>
    <col min="1283" max="1283" width="15.88671875" style="2" customWidth="1"/>
    <col min="1284" max="1284" width="13.44140625" style="2" customWidth="1"/>
    <col min="1285" max="1285" width="14.109375" style="2" customWidth="1"/>
    <col min="1286" max="1286" width="16.44140625" style="2" customWidth="1"/>
    <col min="1287" max="1536" width="9.109375" style="2"/>
    <col min="1537" max="1537" width="3.88671875" style="2" customWidth="1"/>
    <col min="1538" max="1538" width="37.109375" style="2" customWidth="1"/>
    <col min="1539" max="1539" width="15.88671875" style="2" customWidth="1"/>
    <col min="1540" max="1540" width="13.44140625" style="2" customWidth="1"/>
    <col min="1541" max="1541" width="14.109375" style="2" customWidth="1"/>
    <col min="1542" max="1542" width="16.44140625" style="2" customWidth="1"/>
    <col min="1543" max="1792" width="9.109375" style="2"/>
    <col min="1793" max="1793" width="3.88671875" style="2" customWidth="1"/>
    <col min="1794" max="1794" width="37.109375" style="2" customWidth="1"/>
    <col min="1795" max="1795" width="15.88671875" style="2" customWidth="1"/>
    <col min="1796" max="1796" width="13.44140625" style="2" customWidth="1"/>
    <col min="1797" max="1797" width="14.109375" style="2" customWidth="1"/>
    <col min="1798" max="1798" width="16.44140625" style="2" customWidth="1"/>
    <col min="1799" max="2048" width="9.109375" style="2"/>
    <col min="2049" max="2049" width="3.88671875" style="2" customWidth="1"/>
    <col min="2050" max="2050" width="37.109375" style="2" customWidth="1"/>
    <col min="2051" max="2051" width="15.88671875" style="2" customWidth="1"/>
    <col min="2052" max="2052" width="13.44140625" style="2" customWidth="1"/>
    <col min="2053" max="2053" width="14.109375" style="2" customWidth="1"/>
    <col min="2054" max="2054" width="16.44140625" style="2" customWidth="1"/>
    <col min="2055" max="2304" width="9.109375" style="2"/>
    <col min="2305" max="2305" width="3.88671875" style="2" customWidth="1"/>
    <col min="2306" max="2306" width="37.109375" style="2" customWidth="1"/>
    <col min="2307" max="2307" width="15.88671875" style="2" customWidth="1"/>
    <col min="2308" max="2308" width="13.44140625" style="2" customWidth="1"/>
    <col min="2309" max="2309" width="14.109375" style="2" customWidth="1"/>
    <col min="2310" max="2310" width="16.44140625" style="2" customWidth="1"/>
    <col min="2311" max="2560" width="9.109375" style="2"/>
    <col min="2561" max="2561" width="3.88671875" style="2" customWidth="1"/>
    <col min="2562" max="2562" width="37.109375" style="2" customWidth="1"/>
    <col min="2563" max="2563" width="15.88671875" style="2" customWidth="1"/>
    <col min="2564" max="2564" width="13.44140625" style="2" customWidth="1"/>
    <col min="2565" max="2565" width="14.109375" style="2" customWidth="1"/>
    <col min="2566" max="2566" width="16.44140625" style="2" customWidth="1"/>
    <col min="2567" max="2816" width="9.109375" style="2"/>
    <col min="2817" max="2817" width="3.88671875" style="2" customWidth="1"/>
    <col min="2818" max="2818" width="37.109375" style="2" customWidth="1"/>
    <col min="2819" max="2819" width="15.88671875" style="2" customWidth="1"/>
    <col min="2820" max="2820" width="13.44140625" style="2" customWidth="1"/>
    <col min="2821" max="2821" width="14.109375" style="2" customWidth="1"/>
    <col min="2822" max="2822" width="16.44140625" style="2" customWidth="1"/>
    <col min="2823" max="3072" width="9.109375" style="2"/>
    <col min="3073" max="3073" width="3.88671875" style="2" customWidth="1"/>
    <col min="3074" max="3074" width="37.109375" style="2" customWidth="1"/>
    <col min="3075" max="3075" width="15.88671875" style="2" customWidth="1"/>
    <col min="3076" max="3076" width="13.44140625" style="2" customWidth="1"/>
    <col min="3077" max="3077" width="14.109375" style="2" customWidth="1"/>
    <col min="3078" max="3078" width="16.44140625" style="2" customWidth="1"/>
    <col min="3079" max="3328" width="9.109375" style="2"/>
    <col min="3329" max="3329" width="3.88671875" style="2" customWidth="1"/>
    <col min="3330" max="3330" width="37.109375" style="2" customWidth="1"/>
    <col min="3331" max="3331" width="15.88671875" style="2" customWidth="1"/>
    <col min="3332" max="3332" width="13.44140625" style="2" customWidth="1"/>
    <col min="3333" max="3333" width="14.109375" style="2" customWidth="1"/>
    <col min="3334" max="3334" width="16.44140625" style="2" customWidth="1"/>
    <col min="3335" max="3584" width="9.109375" style="2"/>
    <col min="3585" max="3585" width="3.88671875" style="2" customWidth="1"/>
    <col min="3586" max="3586" width="37.109375" style="2" customWidth="1"/>
    <col min="3587" max="3587" width="15.88671875" style="2" customWidth="1"/>
    <col min="3588" max="3588" width="13.44140625" style="2" customWidth="1"/>
    <col min="3589" max="3589" width="14.109375" style="2" customWidth="1"/>
    <col min="3590" max="3590" width="16.44140625" style="2" customWidth="1"/>
    <col min="3591" max="3840" width="9.109375" style="2"/>
    <col min="3841" max="3841" width="3.88671875" style="2" customWidth="1"/>
    <col min="3842" max="3842" width="37.109375" style="2" customWidth="1"/>
    <col min="3843" max="3843" width="15.88671875" style="2" customWidth="1"/>
    <col min="3844" max="3844" width="13.44140625" style="2" customWidth="1"/>
    <col min="3845" max="3845" width="14.109375" style="2" customWidth="1"/>
    <col min="3846" max="3846" width="16.44140625" style="2" customWidth="1"/>
    <col min="3847" max="4096" width="9.109375" style="2"/>
    <col min="4097" max="4097" width="3.88671875" style="2" customWidth="1"/>
    <col min="4098" max="4098" width="37.109375" style="2" customWidth="1"/>
    <col min="4099" max="4099" width="15.88671875" style="2" customWidth="1"/>
    <col min="4100" max="4100" width="13.44140625" style="2" customWidth="1"/>
    <col min="4101" max="4101" width="14.109375" style="2" customWidth="1"/>
    <col min="4102" max="4102" width="16.44140625" style="2" customWidth="1"/>
    <col min="4103" max="4352" width="9.109375" style="2"/>
    <col min="4353" max="4353" width="3.88671875" style="2" customWidth="1"/>
    <col min="4354" max="4354" width="37.109375" style="2" customWidth="1"/>
    <col min="4355" max="4355" width="15.88671875" style="2" customWidth="1"/>
    <col min="4356" max="4356" width="13.44140625" style="2" customWidth="1"/>
    <col min="4357" max="4357" width="14.109375" style="2" customWidth="1"/>
    <col min="4358" max="4358" width="16.44140625" style="2" customWidth="1"/>
    <col min="4359" max="4608" width="9.109375" style="2"/>
    <col min="4609" max="4609" width="3.88671875" style="2" customWidth="1"/>
    <col min="4610" max="4610" width="37.109375" style="2" customWidth="1"/>
    <col min="4611" max="4611" width="15.88671875" style="2" customWidth="1"/>
    <col min="4612" max="4612" width="13.44140625" style="2" customWidth="1"/>
    <col min="4613" max="4613" width="14.109375" style="2" customWidth="1"/>
    <col min="4614" max="4614" width="16.44140625" style="2" customWidth="1"/>
    <col min="4615" max="4864" width="9.109375" style="2"/>
    <col min="4865" max="4865" width="3.88671875" style="2" customWidth="1"/>
    <col min="4866" max="4866" width="37.109375" style="2" customWidth="1"/>
    <col min="4867" max="4867" width="15.88671875" style="2" customWidth="1"/>
    <col min="4868" max="4868" width="13.44140625" style="2" customWidth="1"/>
    <col min="4869" max="4869" width="14.109375" style="2" customWidth="1"/>
    <col min="4870" max="4870" width="16.44140625" style="2" customWidth="1"/>
    <col min="4871" max="5120" width="9.109375" style="2"/>
    <col min="5121" max="5121" width="3.88671875" style="2" customWidth="1"/>
    <col min="5122" max="5122" width="37.109375" style="2" customWidth="1"/>
    <col min="5123" max="5123" width="15.88671875" style="2" customWidth="1"/>
    <col min="5124" max="5124" width="13.44140625" style="2" customWidth="1"/>
    <col min="5125" max="5125" width="14.109375" style="2" customWidth="1"/>
    <col min="5126" max="5126" width="16.44140625" style="2" customWidth="1"/>
    <col min="5127" max="5376" width="9.109375" style="2"/>
    <col min="5377" max="5377" width="3.88671875" style="2" customWidth="1"/>
    <col min="5378" max="5378" width="37.109375" style="2" customWidth="1"/>
    <col min="5379" max="5379" width="15.88671875" style="2" customWidth="1"/>
    <col min="5380" max="5380" width="13.44140625" style="2" customWidth="1"/>
    <col min="5381" max="5381" width="14.109375" style="2" customWidth="1"/>
    <col min="5382" max="5382" width="16.44140625" style="2" customWidth="1"/>
    <col min="5383" max="5632" width="9.109375" style="2"/>
    <col min="5633" max="5633" width="3.88671875" style="2" customWidth="1"/>
    <col min="5634" max="5634" width="37.109375" style="2" customWidth="1"/>
    <col min="5635" max="5635" width="15.88671875" style="2" customWidth="1"/>
    <col min="5636" max="5636" width="13.44140625" style="2" customWidth="1"/>
    <col min="5637" max="5637" width="14.109375" style="2" customWidth="1"/>
    <col min="5638" max="5638" width="16.44140625" style="2" customWidth="1"/>
    <col min="5639" max="5888" width="9.109375" style="2"/>
    <col min="5889" max="5889" width="3.88671875" style="2" customWidth="1"/>
    <col min="5890" max="5890" width="37.109375" style="2" customWidth="1"/>
    <col min="5891" max="5891" width="15.88671875" style="2" customWidth="1"/>
    <col min="5892" max="5892" width="13.44140625" style="2" customWidth="1"/>
    <col min="5893" max="5893" width="14.109375" style="2" customWidth="1"/>
    <col min="5894" max="5894" width="16.44140625" style="2" customWidth="1"/>
    <col min="5895" max="6144" width="9.109375" style="2"/>
    <col min="6145" max="6145" width="3.88671875" style="2" customWidth="1"/>
    <col min="6146" max="6146" width="37.109375" style="2" customWidth="1"/>
    <col min="6147" max="6147" width="15.88671875" style="2" customWidth="1"/>
    <col min="6148" max="6148" width="13.44140625" style="2" customWidth="1"/>
    <col min="6149" max="6149" width="14.109375" style="2" customWidth="1"/>
    <col min="6150" max="6150" width="16.44140625" style="2" customWidth="1"/>
    <col min="6151" max="6400" width="9.109375" style="2"/>
    <col min="6401" max="6401" width="3.88671875" style="2" customWidth="1"/>
    <col min="6402" max="6402" width="37.109375" style="2" customWidth="1"/>
    <col min="6403" max="6403" width="15.88671875" style="2" customWidth="1"/>
    <col min="6404" max="6404" width="13.44140625" style="2" customWidth="1"/>
    <col min="6405" max="6405" width="14.109375" style="2" customWidth="1"/>
    <col min="6406" max="6406" width="16.44140625" style="2" customWidth="1"/>
    <col min="6407" max="6656" width="9.109375" style="2"/>
    <col min="6657" max="6657" width="3.88671875" style="2" customWidth="1"/>
    <col min="6658" max="6658" width="37.109375" style="2" customWidth="1"/>
    <col min="6659" max="6659" width="15.88671875" style="2" customWidth="1"/>
    <col min="6660" max="6660" width="13.44140625" style="2" customWidth="1"/>
    <col min="6661" max="6661" width="14.109375" style="2" customWidth="1"/>
    <col min="6662" max="6662" width="16.44140625" style="2" customWidth="1"/>
    <col min="6663" max="6912" width="9.109375" style="2"/>
    <col min="6913" max="6913" width="3.88671875" style="2" customWidth="1"/>
    <col min="6914" max="6914" width="37.109375" style="2" customWidth="1"/>
    <col min="6915" max="6915" width="15.88671875" style="2" customWidth="1"/>
    <col min="6916" max="6916" width="13.44140625" style="2" customWidth="1"/>
    <col min="6917" max="6917" width="14.109375" style="2" customWidth="1"/>
    <col min="6918" max="6918" width="16.44140625" style="2" customWidth="1"/>
    <col min="6919" max="7168" width="9.109375" style="2"/>
    <col min="7169" max="7169" width="3.88671875" style="2" customWidth="1"/>
    <col min="7170" max="7170" width="37.109375" style="2" customWidth="1"/>
    <col min="7171" max="7171" width="15.88671875" style="2" customWidth="1"/>
    <col min="7172" max="7172" width="13.44140625" style="2" customWidth="1"/>
    <col min="7173" max="7173" width="14.109375" style="2" customWidth="1"/>
    <col min="7174" max="7174" width="16.44140625" style="2" customWidth="1"/>
    <col min="7175" max="7424" width="9.109375" style="2"/>
    <col min="7425" max="7425" width="3.88671875" style="2" customWidth="1"/>
    <col min="7426" max="7426" width="37.109375" style="2" customWidth="1"/>
    <col min="7427" max="7427" width="15.88671875" style="2" customWidth="1"/>
    <col min="7428" max="7428" width="13.44140625" style="2" customWidth="1"/>
    <col min="7429" max="7429" width="14.109375" style="2" customWidth="1"/>
    <col min="7430" max="7430" width="16.44140625" style="2" customWidth="1"/>
    <col min="7431" max="7680" width="9.109375" style="2"/>
    <col min="7681" max="7681" width="3.88671875" style="2" customWidth="1"/>
    <col min="7682" max="7682" width="37.109375" style="2" customWidth="1"/>
    <col min="7683" max="7683" width="15.88671875" style="2" customWidth="1"/>
    <col min="7684" max="7684" width="13.44140625" style="2" customWidth="1"/>
    <col min="7685" max="7685" width="14.109375" style="2" customWidth="1"/>
    <col min="7686" max="7686" width="16.44140625" style="2" customWidth="1"/>
    <col min="7687" max="7936" width="9.109375" style="2"/>
    <col min="7937" max="7937" width="3.88671875" style="2" customWidth="1"/>
    <col min="7938" max="7938" width="37.109375" style="2" customWidth="1"/>
    <col min="7939" max="7939" width="15.88671875" style="2" customWidth="1"/>
    <col min="7940" max="7940" width="13.44140625" style="2" customWidth="1"/>
    <col min="7941" max="7941" width="14.109375" style="2" customWidth="1"/>
    <col min="7942" max="7942" width="16.44140625" style="2" customWidth="1"/>
    <col min="7943" max="8192" width="9.109375" style="2"/>
    <col min="8193" max="8193" width="3.88671875" style="2" customWidth="1"/>
    <col min="8194" max="8194" width="37.109375" style="2" customWidth="1"/>
    <col min="8195" max="8195" width="15.88671875" style="2" customWidth="1"/>
    <col min="8196" max="8196" width="13.44140625" style="2" customWidth="1"/>
    <col min="8197" max="8197" width="14.109375" style="2" customWidth="1"/>
    <col min="8198" max="8198" width="16.44140625" style="2" customWidth="1"/>
    <col min="8199" max="8448" width="9.109375" style="2"/>
    <col min="8449" max="8449" width="3.88671875" style="2" customWidth="1"/>
    <col min="8450" max="8450" width="37.109375" style="2" customWidth="1"/>
    <col min="8451" max="8451" width="15.88671875" style="2" customWidth="1"/>
    <col min="8452" max="8452" width="13.44140625" style="2" customWidth="1"/>
    <col min="8453" max="8453" width="14.109375" style="2" customWidth="1"/>
    <col min="8454" max="8454" width="16.44140625" style="2" customWidth="1"/>
    <col min="8455" max="8704" width="9.109375" style="2"/>
    <col min="8705" max="8705" width="3.88671875" style="2" customWidth="1"/>
    <col min="8706" max="8706" width="37.109375" style="2" customWidth="1"/>
    <col min="8707" max="8707" width="15.88671875" style="2" customWidth="1"/>
    <col min="8708" max="8708" width="13.44140625" style="2" customWidth="1"/>
    <col min="8709" max="8709" width="14.109375" style="2" customWidth="1"/>
    <col min="8710" max="8710" width="16.44140625" style="2" customWidth="1"/>
    <col min="8711" max="8960" width="9.109375" style="2"/>
    <col min="8961" max="8961" width="3.88671875" style="2" customWidth="1"/>
    <col min="8962" max="8962" width="37.109375" style="2" customWidth="1"/>
    <col min="8963" max="8963" width="15.88671875" style="2" customWidth="1"/>
    <col min="8964" max="8964" width="13.44140625" style="2" customWidth="1"/>
    <col min="8965" max="8965" width="14.109375" style="2" customWidth="1"/>
    <col min="8966" max="8966" width="16.44140625" style="2" customWidth="1"/>
    <col min="8967" max="9216" width="9.109375" style="2"/>
    <col min="9217" max="9217" width="3.88671875" style="2" customWidth="1"/>
    <col min="9218" max="9218" width="37.109375" style="2" customWidth="1"/>
    <col min="9219" max="9219" width="15.88671875" style="2" customWidth="1"/>
    <col min="9220" max="9220" width="13.44140625" style="2" customWidth="1"/>
    <col min="9221" max="9221" width="14.109375" style="2" customWidth="1"/>
    <col min="9222" max="9222" width="16.44140625" style="2" customWidth="1"/>
    <col min="9223" max="9472" width="9.109375" style="2"/>
    <col min="9473" max="9473" width="3.88671875" style="2" customWidth="1"/>
    <col min="9474" max="9474" width="37.109375" style="2" customWidth="1"/>
    <col min="9475" max="9475" width="15.88671875" style="2" customWidth="1"/>
    <col min="9476" max="9476" width="13.44140625" style="2" customWidth="1"/>
    <col min="9477" max="9477" width="14.109375" style="2" customWidth="1"/>
    <col min="9478" max="9478" width="16.44140625" style="2" customWidth="1"/>
    <col min="9479" max="9728" width="9.109375" style="2"/>
    <col min="9729" max="9729" width="3.88671875" style="2" customWidth="1"/>
    <col min="9730" max="9730" width="37.109375" style="2" customWidth="1"/>
    <col min="9731" max="9731" width="15.88671875" style="2" customWidth="1"/>
    <col min="9732" max="9732" width="13.44140625" style="2" customWidth="1"/>
    <col min="9733" max="9733" width="14.109375" style="2" customWidth="1"/>
    <col min="9734" max="9734" width="16.44140625" style="2" customWidth="1"/>
    <col min="9735" max="9984" width="9.109375" style="2"/>
    <col min="9985" max="9985" width="3.88671875" style="2" customWidth="1"/>
    <col min="9986" max="9986" width="37.109375" style="2" customWidth="1"/>
    <col min="9987" max="9987" width="15.88671875" style="2" customWidth="1"/>
    <col min="9988" max="9988" width="13.44140625" style="2" customWidth="1"/>
    <col min="9989" max="9989" width="14.109375" style="2" customWidth="1"/>
    <col min="9990" max="9990" width="16.44140625" style="2" customWidth="1"/>
    <col min="9991" max="10240" width="9.109375" style="2"/>
    <col min="10241" max="10241" width="3.88671875" style="2" customWidth="1"/>
    <col min="10242" max="10242" width="37.109375" style="2" customWidth="1"/>
    <col min="10243" max="10243" width="15.88671875" style="2" customWidth="1"/>
    <col min="10244" max="10244" width="13.44140625" style="2" customWidth="1"/>
    <col min="10245" max="10245" width="14.109375" style="2" customWidth="1"/>
    <col min="10246" max="10246" width="16.44140625" style="2" customWidth="1"/>
    <col min="10247" max="10496" width="9.109375" style="2"/>
    <col min="10497" max="10497" width="3.88671875" style="2" customWidth="1"/>
    <col min="10498" max="10498" width="37.109375" style="2" customWidth="1"/>
    <col min="10499" max="10499" width="15.88671875" style="2" customWidth="1"/>
    <col min="10500" max="10500" width="13.44140625" style="2" customWidth="1"/>
    <col min="10501" max="10501" width="14.109375" style="2" customWidth="1"/>
    <col min="10502" max="10502" width="16.44140625" style="2" customWidth="1"/>
    <col min="10503" max="10752" width="9.109375" style="2"/>
    <col min="10753" max="10753" width="3.88671875" style="2" customWidth="1"/>
    <col min="10754" max="10754" width="37.109375" style="2" customWidth="1"/>
    <col min="10755" max="10755" width="15.88671875" style="2" customWidth="1"/>
    <col min="10756" max="10756" width="13.44140625" style="2" customWidth="1"/>
    <col min="10757" max="10757" width="14.109375" style="2" customWidth="1"/>
    <col min="10758" max="10758" width="16.44140625" style="2" customWidth="1"/>
    <col min="10759" max="11008" width="9.109375" style="2"/>
    <col min="11009" max="11009" width="3.88671875" style="2" customWidth="1"/>
    <col min="11010" max="11010" width="37.109375" style="2" customWidth="1"/>
    <col min="11011" max="11011" width="15.88671875" style="2" customWidth="1"/>
    <col min="11012" max="11012" width="13.44140625" style="2" customWidth="1"/>
    <col min="11013" max="11013" width="14.109375" style="2" customWidth="1"/>
    <col min="11014" max="11014" width="16.44140625" style="2" customWidth="1"/>
    <col min="11015" max="11264" width="9.109375" style="2"/>
    <col min="11265" max="11265" width="3.88671875" style="2" customWidth="1"/>
    <col min="11266" max="11266" width="37.109375" style="2" customWidth="1"/>
    <col min="11267" max="11267" width="15.88671875" style="2" customWidth="1"/>
    <col min="11268" max="11268" width="13.44140625" style="2" customWidth="1"/>
    <col min="11269" max="11269" width="14.109375" style="2" customWidth="1"/>
    <col min="11270" max="11270" width="16.44140625" style="2" customWidth="1"/>
    <col min="11271" max="11520" width="9.109375" style="2"/>
    <col min="11521" max="11521" width="3.88671875" style="2" customWidth="1"/>
    <col min="11522" max="11522" width="37.109375" style="2" customWidth="1"/>
    <col min="11523" max="11523" width="15.88671875" style="2" customWidth="1"/>
    <col min="11524" max="11524" width="13.44140625" style="2" customWidth="1"/>
    <col min="11525" max="11525" width="14.109375" style="2" customWidth="1"/>
    <col min="11526" max="11526" width="16.44140625" style="2" customWidth="1"/>
    <col min="11527" max="11776" width="9.109375" style="2"/>
    <col min="11777" max="11777" width="3.88671875" style="2" customWidth="1"/>
    <col min="11778" max="11778" width="37.109375" style="2" customWidth="1"/>
    <col min="11779" max="11779" width="15.88671875" style="2" customWidth="1"/>
    <col min="11780" max="11780" width="13.44140625" style="2" customWidth="1"/>
    <col min="11781" max="11781" width="14.109375" style="2" customWidth="1"/>
    <col min="11782" max="11782" width="16.44140625" style="2" customWidth="1"/>
    <col min="11783" max="12032" width="9.109375" style="2"/>
    <col min="12033" max="12033" width="3.88671875" style="2" customWidth="1"/>
    <col min="12034" max="12034" width="37.109375" style="2" customWidth="1"/>
    <col min="12035" max="12035" width="15.88671875" style="2" customWidth="1"/>
    <col min="12036" max="12036" width="13.44140625" style="2" customWidth="1"/>
    <col min="12037" max="12037" width="14.109375" style="2" customWidth="1"/>
    <col min="12038" max="12038" width="16.44140625" style="2" customWidth="1"/>
    <col min="12039" max="12288" width="9.109375" style="2"/>
    <col min="12289" max="12289" width="3.88671875" style="2" customWidth="1"/>
    <col min="12290" max="12290" width="37.109375" style="2" customWidth="1"/>
    <col min="12291" max="12291" width="15.88671875" style="2" customWidth="1"/>
    <col min="12292" max="12292" width="13.44140625" style="2" customWidth="1"/>
    <col min="12293" max="12293" width="14.109375" style="2" customWidth="1"/>
    <col min="12294" max="12294" width="16.44140625" style="2" customWidth="1"/>
    <col min="12295" max="12544" width="9.109375" style="2"/>
    <col min="12545" max="12545" width="3.88671875" style="2" customWidth="1"/>
    <col min="12546" max="12546" width="37.109375" style="2" customWidth="1"/>
    <col min="12547" max="12547" width="15.88671875" style="2" customWidth="1"/>
    <col min="12548" max="12548" width="13.44140625" style="2" customWidth="1"/>
    <col min="12549" max="12549" width="14.109375" style="2" customWidth="1"/>
    <col min="12550" max="12550" width="16.44140625" style="2" customWidth="1"/>
    <col min="12551" max="12800" width="9.109375" style="2"/>
    <col min="12801" max="12801" width="3.88671875" style="2" customWidth="1"/>
    <col min="12802" max="12802" width="37.109375" style="2" customWidth="1"/>
    <col min="12803" max="12803" width="15.88671875" style="2" customWidth="1"/>
    <col min="12804" max="12804" width="13.44140625" style="2" customWidth="1"/>
    <col min="12805" max="12805" width="14.109375" style="2" customWidth="1"/>
    <col min="12806" max="12806" width="16.44140625" style="2" customWidth="1"/>
    <col min="12807" max="13056" width="9.109375" style="2"/>
    <col min="13057" max="13057" width="3.88671875" style="2" customWidth="1"/>
    <col min="13058" max="13058" width="37.109375" style="2" customWidth="1"/>
    <col min="13059" max="13059" width="15.88671875" style="2" customWidth="1"/>
    <col min="13060" max="13060" width="13.44140625" style="2" customWidth="1"/>
    <col min="13061" max="13061" width="14.109375" style="2" customWidth="1"/>
    <col min="13062" max="13062" width="16.44140625" style="2" customWidth="1"/>
    <col min="13063" max="13312" width="9.109375" style="2"/>
    <col min="13313" max="13313" width="3.88671875" style="2" customWidth="1"/>
    <col min="13314" max="13314" width="37.109375" style="2" customWidth="1"/>
    <col min="13315" max="13315" width="15.88671875" style="2" customWidth="1"/>
    <col min="13316" max="13316" width="13.44140625" style="2" customWidth="1"/>
    <col min="13317" max="13317" width="14.109375" style="2" customWidth="1"/>
    <col min="13318" max="13318" width="16.44140625" style="2" customWidth="1"/>
    <col min="13319" max="13568" width="9.109375" style="2"/>
    <col min="13569" max="13569" width="3.88671875" style="2" customWidth="1"/>
    <col min="13570" max="13570" width="37.109375" style="2" customWidth="1"/>
    <col min="13571" max="13571" width="15.88671875" style="2" customWidth="1"/>
    <col min="13572" max="13572" width="13.44140625" style="2" customWidth="1"/>
    <col min="13573" max="13573" width="14.109375" style="2" customWidth="1"/>
    <col min="13574" max="13574" width="16.44140625" style="2" customWidth="1"/>
    <col min="13575" max="13824" width="9.109375" style="2"/>
    <col min="13825" max="13825" width="3.88671875" style="2" customWidth="1"/>
    <col min="13826" max="13826" width="37.109375" style="2" customWidth="1"/>
    <col min="13827" max="13827" width="15.88671875" style="2" customWidth="1"/>
    <col min="13828" max="13828" width="13.44140625" style="2" customWidth="1"/>
    <col min="13829" max="13829" width="14.109375" style="2" customWidth="1"/>
    <col min="13830" max="13830" width="16.44140625" style="2" customWidth="1"/>
    <col min="13831" max="14080" width="9.109375" style="2"/>
    <col min="14081" max="14081" width="3.88671875" style="2" customWidth="1"/>
    <col min="14082" max="14082" width="37.109375" style="2" customWidth="1"/>
    <col min="14083" max="14083" width="15.88671875" style="2" customWidth="1"/>
    <col min="14084" max="14084" width="13.44140625" style="2" customWidth="1"/>
    <col min="14085" max="14085" width="14.109375" style="2" customWidth="1"/>
    <col min="14086" max="14086" width="16.44140625" style="2" customWidth="1"/>
    <col min="14087" max="14336" width="9.109375" style="2"/>
    <col min="14337" max="14337" width="3.88671875" style="2" customWidth="1"/>
    <col min="14338" max="14338" width="37.109375" style="2" customWidth="1"/>
    <col min="14339" max="14339" width="15.88671875" style="2" customWidth="1"/>
    <col min="14340" max="14340" width="13.44140625" style="2" customWidth="1"/>
    <col min="14341" max="14341" width="14.109375" style="2" customWidth="1"/>
    <col min="14342" max="14342" width="16.44140625" style="2" customWidth="1"/>
    <col min="14343" max="14592" width="9.109375" style="2"/>
    <col min="14593" max="14593" width="3.88671875" style="2" customWidth="1"/>
    <col min="14594" max="14594" width="37.109375" style="2" customWidth="1"/>
    <col min="14595" max="14595" width="15.88671875" style="2" customWidth="1"/>
    <col min="14596" max="14596" width="13.44140625" style="2" customWidth="1"/>
    <col min="14597" max="14597" width="14.109375" style="2" customWidth="1"/>
    <col min="14598" max="14598" width="16.44140625" style="2" customWidth="1"/>
    <col min="14599" max="14848" width="9.109375" style="2"/>
    <col min="14849" max="14849" width="3.88671875" style="2" customWidth="1"/>
    <col min="14850" max="14850" width="37.109375" style="2" customWidth="1"/>
    <col min="14851" max="14851" width="15.88671875" style="2" customWidth="1"/>
    <col min="14852" max="14852" width="13.44140625" style="2" customWidth="1"/>
    <col min="14853" max="14853" width="14.109375" style="2" customWidth="1"/>
    <col min="14854" max="14854" width="16.44140625" style="2" customWidth="1"/>
    <col min="14855" max="15104" width="9.109375" style="2"/>
    <col min="15105" max="15105" width="3.88671875" style="2" customWidth="1"/>
    <col min="15106" max="15106" width="37.109375" style="2" customWidth="1"/>
    <col min="15107" max="15107" width="15.88671875" style="2" customWidth="1"/>
    <col min="15108" max="15108" width="13.44140625" style="2" customWidth="1"/>
    <col min="15109" max="15109" width="14.109375" style="2" customWidth="1"/>
    <col min="15110" max="15110" width="16.44140625" style="2" customWidth="1"/>
    <col min="15111" max="15360" width="9.109375" style="2"/>
    <col min="15361" max="15361" width="3.88671875" style="2" customWidth="1"/>
    <col min="15362" max="15362" width="37.109375" style="2" customWidth="1"/>
    <col min="15363" max="15363" width="15.88671875" style="2" customWidth="1"/>
    <col min="15364" max="15364" width="13.44140625" style="2" customWidth="1"/>
    <col min="15365" max="15365" width="14.109375" style="2" customWidth="1"/>
    <col min="15366" max="15366" width="16.44140625" style="2" customWidth="1"/>
    <col min="15367" max="15616" width="9.109375" style="2"/>
    <col min="15617" max="15617" width="3.88671875" style="2" customWidth="1"/>
    <col min="15618" max="15618" width="37.109375" style="2" customWidth="1"/>
    <col min="15619" max="15619" width="15.88671875" style="2" customWidth="1"/>
    <col min="15620" max="15620" width="13.44140625" style="2" customWidth="1"/>
    <col min="15621" max="15621" width="14.109375" style="2" customWidth="1"/>
    <col min="15622" max="15622" width="16.44140625" style="2" customWidth="1"/>
    <col min="15623" max="15872" width="9.109375" style="2"/>
    <col min="15873" max="15873" width="3.88671875" style="2" customWidth="1"/>
    <col min="15874" max="15874" width="37.109375" style="2" customWidth="1"/>
    <col min="15875" max="15875" width="15.88671875" style="2" customWidth="1"/>
    <col min="15876" max="15876" width="13.44140625" style="2" customWidth="1"/>
    <col min="15877" max="15877" width="14.109375" style="2" customWidth="1"/>
    <col min="15878" max="15878" width="16.44140625" style="2" customWidth="1"/>
    <col min="15879" max="16128" width="9.109375" style="2"/>
    <col min="16129" max="16129" width="3.88671875" style="2" customWidth="1"/>
    <col min="16130" max="16130" width="37.109375" style="2" customWidth="1"/>
    <col min="16131" max="16131" width="15.88671875" style="2" customWidth="1"/>
    <col min="16132" max="16132" width="13.44140625" style="2" customWidth="1"/>
    <col min="16133" max="16133" width="14.109375" style="2" customWidth="1"/>
    <col min="16134" max="16134" width="16.44140625" style="2" customWidth="1"/>
    <col min="16135" max="16384" width="9.109375" style="2"/>
  </cols>
  <sheetData>
    <row r="1" spans="1:8">
      <c r="A1" s="1" t="s">
        <v>0</v>
      </c>
      <c r="B1" s="1"/>
      <c r="C1" s="1"/>
      <c r="F1" s="74"/>
      <c r="G1" s="3"/>
      <c r="H1" s="3"/>
    </row>
    <row r="2" spans="1:8">
      <c r="A2" s="1"/>
      <c r="B2" s="1"/>
      <c r="C2" s="1"/>
      <c r="F2" s="74"/>
      <c r="G2" s="3"/>
      <c r="H2" s="3"/>
    </row>
    <row r="3" spans="1:8">
      <c r="A3" s="24"/>
      <c r="B3" s="1"/>
      <c r="C3" s="1"/>
      <c r="D3" s="1"/>
      <c r="E3" s="1"/>
      <c r="F3" s="74"/>
      <c r="G3" s="3"/>
      <c r="H3" s="3"/>
    </row>
    <row r="4" spans="1:8">
      <c r="A4" s="24"/>
      <c r="B4" s="4" t="s">
        <v>1</v>
      </c>
      <c r="C4" s="5"/>
      <c r="D4" s="5"/>
      <c r="E4" s="5"/>
      <c r="F4" s="75"/>
      <c r="G4" s="3"/>
      <c r="H4" s="3"/>
    </row>
    <row r="5" spans="1:8">
      <c r="A5" s="24"/>
      <c r="B5" s="1"/>
      <c r="C5" s="1"/>
      <c r="D5" s="1"/>
      <c r="E5" s="1"/>
      <c r="F5" s="74"/>
      <c r="G5" s="3"/>
      <c r="H5" s="3"/>
    </row>
    <row r="6" spans="1:8">
      <c r="A6" s="24" t="s">
        <v>2</v>
      </c>
      <c r="B6" s="6"/>
      <c r="C6" s="6" t="s">
        <v>4727</v>
      </c>
      <c r="D6" s="6"/>
      <c r="E6" s="6"/>
      <c r="F6" s="76"/>
      <c r="G6" s="3"/>
      <c r="H6" s="3"/>
    </row>
    <row r="7" spans="1:8">
      <c r="A7" s="24" t="s">
        <v>4</v>
      </c>
      <c r="B7" s="1"/>
      <c r="C7" s="1"/>
      <c r="D7" s="1"/>
      <c r="E7" s="1"/>
      <c r="F7" s="74"/>
      <c r="G7" s="3"/>
      <c r="H7" s="3"/>
    </row>
    <row r="8" spans="1:8">
      <c r="A8" s="24" t="s">
        <v>6</v>
      </c>
      <c r="B8" s="1"/>
      <c r="C8" s="1"/>
      <c r="D8" s="1"/>
      <c r="E8" s="1"/>
      <c r="F8" s="74"/>
      <c r="G8" s="3"/>
      <c r="H8" s="3"/>
    </row>
    <row r="9" spans="1:8">
      <c r="A9" s="77" t="s">
        <v>7</v>
      </c>
      <c r="B9" s="12"/>
      <c r="C9" s="12" t="s">
        <v>8</v>
      </c>
      <c r="D9" s="12"/>
      <c r="E9" s="12"/>
      <c r="F9" s="78"/>
      <c r="G9" s="3"/>
      <c r="H9" s="3"/>
    </row>
    <row r="10" spans="1:8" ht="14.4" thickBot="1">
      <c r="A10" s="79"/>
      <c r="B10" s="7"/>
      <c r="C10" s="7"/>
      <c r="D10" s="7"/>
      <c r="E10" s="7"/>
      <c r="F10" s="80"/>
      <c r="G10" s="3"/>
      <c r="H10" s="3"/>
    </row>
    <row r="11" spans="1:8">
      <c r="A11" s="81"/>
      <c r="B11" s="8"/>
      <c r="C11" s="62" t="s">
        <v>103</v>
      </c>
      <c r="D11" s="9" t="s">
        <v>10</v>
      </c>
      <c r="E11" s="9" t="s">
        <v>11</v>
      </c>
      <c r="F11" s="82" t="s">
        <v>12</v>
      </c>
      <c r="G11" s="3"/>
      <c r="H11" s="3"/>
    </row>
    <row r="12" spans="1:8">
      <c r="A12" s="81"/>
      <c r="B12" s="8" t="s">
        <v>13</v>
      </c>
      <c r="C12" s="62" t="s">
        <v>94</v>
      </c>
      <c r="D12" s="9" t="s">
        <v>15</v>
      </c>
      <c r="E12" s="9" t="s">
        <v>16</v>
      </c>
      <c r="F12" s="82" t="s">
        <v>16</v>
      </c>
      <c r="G12" s="3"/>
      <c r="H12" s="3"/>
    </row>
    <row r="13" spans="1:8" ht="14.4" thickBot="1">
      <c r="A13" s="83"/>
      <c r="B13" s="10"/>
      <c r="C13" s="27"/>
      <c r="D13" s="11">
        <v>2011</v>
      </c>
      <c r="E13" s="11">
        <v>2012</v>
      </c>
      <c r="F13" s="84">
        <v>2013</v>
      </c>
      <c r="G13" s="3"/>
      <c r="H13" s="3"/>
    </row>
    <row r="14" spans="1:8">
      <c r="A14" s="81"/>
      <c r="B14" s="8"/>
      <c r="C14" s="62"/>
      <c r="D14" s="9"/>
      <c r="E14" s="9"/>
      <c r="F14" s="85"/>
      <c r="G14" s="3"/>
      <c r="H14" s="3"/>
    </row>
    <row r="15" spans="1:8">
      <c r="A15" s="86" t="s">
        <v>17</v>
      </c>
      <c r="B15" s="12" t="s">
        <v>18</v>
      </c>
      <c r="C15" s="13"/>
      <c r="D15" s="14"/>
      <c r="E15" s="14"/>
      <c r="F15" s="87"/>
      <c r="G15" s="3"/>
      <c r="H15" s="3"/>
    </row>
    <row r="16" spans="1:8">
      <c r="A16" s="86"/>
      <c r="B16" s="88" t="s">
        <v>19</v>
      </c>
      <c r="C16" s="13"/>
      <c r="D16" s="14"/>
      <c r="E16" s="14"/>
      <c r="F16" s="67"/>
      <c r="G16" s="3"/>
      <c r="H16" s="3"/>
    </row>
    <row r="17" spans="1:8">
      <c r="A17" s="86"/>
      <c r="B17" s="88" t="s">
        <v>56</v>
      </c>
      <c r="C17" s="13">
        <v>701</v>
      </c>
      <c r="D17" s="14"/>
      <c r="E17" s="111"/>
      <c r="F17" s="87"/>
      <c r="G17" s="3"/>
      <c r="H17" s="3"/>
    </row>
    <row r="18" spans="1:8">
      <c r="A18" s="86"/>
      <c r="B18" s="88" t="s">
        <v>58</v>
      </c>
      <c r="C18" s="13">
        <v>711</v>
      </c>
      <c r="D18" s="14"/>
      <c r="E18" s="111"/>
      <c r="F18" s="87"/>
      <c r="G18" s="3"/>
      <c r="H18" s="3"/>
    </row>
    <row r="19" spans="1:8" s="34" customFormat="1">
      <c r="A19" s="38"/>
      <c r="B19" s="37" t="s">
        <v>104</v>
      </c>
      <c r="C19" s="40">
        <v>713</v>
      </c>
      <c r="D19" s="39"/>
      <c r="E19" s="39"/>
      <c r="F19" s="39"/>
      <c r="G19" s="108"/>
      <c r="H19" s="35"/>
    </row>
    <row r="20" spans="1:8" s="34" customFormat="1">
      <c r="A20" s="38"/>
      <c r="B20" s="37" t="s">
        <v>105</v>
      </c>
      <c r="C20" s="40">
        <v>714</v>
      </c>
      <c r="D20" s="39"/>
      <c r="E20" s="39"/>
      <c r="F20" s="39"/>
      <c r="G20" s="35"/>
      <c r="H20" s="35"/>
    </row>
    <row r="21" spans="1:8">
      <c r="A21" s="86"/>
      <c r="B21" s="88" t="s">
        <v>79</v>
      </c>
      <c r="C21" s="13">
        <v>715</v>
      </c>
      <c r="D21" s="14"/>
      <c r="E21" s="111"/>
      <c r="F21" s="87"/>
      <c r="G21" s="3"/>
      <c r="H21" s="3"/>
    </row>
    <row r="22" spans="1:8">
      <c r="A22" s="86"/>
      <c r="B22" s="88" t="s">
        <v>23</v>
      </c>
      <c r="C22" s="13">
        <v>717</v>
      </c>
      <c r="D22" s="14"/>
      <c r="E22" s="111"/>
      <c r="F22" s="87"/>
      <c r="G22" s="3"/>
      <c r="H22" s="3"/>
    </row>
    <row r="23" spans="1:8">
      <c r="A23" s="86"/>
      <c r="B23" s="88" t="s">
        <v>26</v>
      </c>
      <c r="C23" s="13">
        <v>724</v>
      </c>
      <c r="D23" s="14"/>
      <c r="E23" s="111"/>
      <c r="F23" s="87"/>
      <c r="G23" s="3"/>
      <c r="H23" s="3"/>
    </row>
    <row r="24" spans="1:8">
      <c r="A24" s="86"/>
      <c r="B24" s="88" t="s">
        <v>27</v>
      </c>
      <c r="C24" s="13">
        <v>725</v>
      </c>
      <c r="D24" s="14"/>
      <c r="E24" s="111"/>
      <c r="F24" s="87"/>
      <c r="G24" s="3"/>
      <c r="H24" s="3"/>
    </row>
    <row r="25" spans="1:8">
      <c r="A25" s="86"/>
      <c r="B25" s="88" t="s">
        <v>59</v>
      </c>
      <c r="C25" s="13">
        <v>731</v>
      </c>
      <c r="D25" s="14"/>
      <c r="E25" s="111"/>
      <c r="F25" s="87"/>
      <c r="G25" s="3"/>
      <c r="H25" s="3"/>
    </row>
    <row r="26" spans="1:8">
      <c r="A26" s="86"/>
      <c r="B26" s="88" t="s">
        <v>28</v>
      </c>
      <c r="C26" s="13">
        <v>732</v>
      </c>
      <c r="D26" s="14"/>
      <c r="E26" s="111"/>
      <c r="F26" s="87"/>
      <c r="G26" s="3"/>
      <c r="H26" s="3"/>
    </row>
    <row r="27" spans="1:8">
      <c r="A27" s="86"/>
      <c r="B27" s="88" t="s">
        <v>29</v>
      </c>
      <c r="C27" s="13">
        <v>733</v>
      </c>
      <c r="D27" s="14"/>
      <c r="E27" s="111"/>
      <c r="F27" s="87"/>
      <c r="G27" s="3"/>
      <c r="H27" s="3"/>
    </row>
    <row r="28" spans="1:8">
      <c r="A28" s="86"/>
      <c r="B28" s="88" t="s">
        <v>30</v>
      </c>
      <c r="C28" s="13">
        <v>734</v>
      </c>
      <c r="D28" s="14"/>
      <c r="E28" s="111"/>
      <c r="F28" s="87"/>
      <c r="G28" s="3"/>
      <c r="H28" s="3"/>
    </row>
    <row r="29" spans="1:8">
      <c r="A29" s="86"/>
      <c r="B29" s="88" t="s">
        <v>32</v>
      </c>
      <c r="C29" s="13">
        <v>749</v>
      </c>
      <c r="D29" s="14"/>
      <c r="E29" s="111"/>
      <c r="F29" s="87"/>
      <c r="G29" s="3"/>
      <c r="H29" s="3"/>
    </row>
    <row r="30" spans="1:8">
      <c r="A30" s="86"/>
      <c r="B30" s="88" t="s">
        <v>60</v>
      </c>
      <c r="C30" s="15" t="s">
        <v>133</v>
      </c>
      <c r="D30" s="14"/>
      <c r="E30" s="111"/>
      <c r="F30" s="87"/>
      <c r="G30" s="3"/>
      <c r="H30" s="3"/>
    </row>
    <row r="31" spans="1:8" s="25" customFormat="1">
      <c r="A31" s="89"/>
      <c r="B31" s="8" t="s">
        <v>182</v>
      </c>
      <c r="C31" s="90"/>
      <c r="D31" s="91"/>
      <c r="E31" s="872">
        <f>F31</f>
        <v>0</v>
      </c>
      <c r="F31" s="92">
        <f>SUM(F17:F30)</f>
        <v>0</v>
      </c>
      <c r="G31" s="26"/>
      <c r="H31" s="26"/>
    </row>
    <row r="32" spans="1:8">
      <c r="A32" s="86"/>
      <c r="B32" s="12"/>
      <c r="C32" s="13"/>
      <c r="D32" s="14"/>
      <c r="E32" s="14"/>
      <c r="F32" s="87"/>
      <c r="G32" s="3"/>
      <c r="H32" s="3"/>
    </row>
    <row r="33" spans="1:8">
      <c r="A33" s="86"/>
      <c r="B33" s="12" t="s">
        <v>38</v>
      </c>
      <c r="C33" s="15"/>
      <c r="D33" s="30"/>
      <c r="E33" s="16"/>
      <c r="F33" s="87"/>
      <c r="G33" s="3"/>
      <c r="H33" s="3"/>
    </row>
    <row r="34" spans="1:8">
      <c r="A34" s="93"/>
      <c r="B34" s="12" t="s">
        <v>183</v>
      </c>
      <c r="C34" s="15">
        <v>751</v>
      </c>
      <c r="D34" s="16"/>
      <c r="E34" s="87">
        <f>23760+6240</f>
        <v>30000</v>
      </c>
      <c r="F34" s="87">
        <v>30000</v>
      </c>
      <c r="G34" s="3"/>
      <c r="H34" s="3"/>
    </row>
    <row r="35" spans="1:8">
      <c r="A35" s="93"/>
      <c r="B35" s="12" t="s">
        <v>42</v>
      </c>
      <c r="C35" s="15">
        <v>755</v>
      </c>
      <c r="D35" s="16"/>
      <c r="E35" s="87">
        <f>32584.85+17415.15</f>
        <v>50000</v>
      </c>
      <c r="F35" s="87">
        <v>50000</v>
      </c>
      <c r="G35" s="3"/>
      <c r="H35" s="3"/>
    </row>
    <row r="36" spans="1:8">
      <c r="A36" s="1266"/>
      <c r="B36" s="29" t="s">
        <v>62</v>
      </c>
      <c r="C36" s="870">
        <v>771</v>
      </c>
      <c r="D36" s="871"/>
      <c r="E36" s="1033">
        <v>5000</v>
      </c>
      <c r="F36" s="1033">
        <v>5000</v>
      </c>
      <c r="G36" s="3"/>
      <c r="H36" s="3"/>
    </row>
    <row r="37" spans="1:8" s="101" customFormat="1">
      <c r="A37" s="94"/>
      <c r="B37" s="95" t="s">
        <v>184</v>
      </c>
      <c r="C37" s="96">
        <v>772</v>
      </c>
      <c r="D37" s="97"/>
      <c r="E37" s="98">
        <f>13546.16+6453.84</f>
        <v>20000</v>
      </c>
      <c r="F37" s="98">
        <v>20000</v>
      </c>
      <c r="G37" s="99"/>
      <c r="H37" s="100"/>
    </row>
    <row r="38" spans="1:8">
      <c r="A38" s="81"/>
      <c r="B38" s="29" t="s">
        <v>50</v>
      </c>
      <c r="C38" s="15">
        <v>969</v>
      </c>
      <c r="D38" s="17"/>
      <c r="E38" s="102">
        <v>30000</v>
      </c>
      <c r="F38" s="102">
        <v>10000</v>
      </c>
      <c r="G38" s="3"/>
      <c r="H38" s="3"/>
    </row>
    <row r="39" spans="1:8" ht="4.5" customHeight="1">
      <c r="A39" s="81"/>
      <c r="B39" s="12"/>
      <c r="C39" s="15"/>
      <c r="D39" s="30"/>
      <c r="E39" s="16"/>
      <c r="F39" s="87"/>
      <c r="G39" s="3"/>
      <c r="H39" s="3"/>
    </row>
    <row r="40" spans="1:8">
      <c r="A40" s="81"/>
      <c r="B40" s="18" t="s">
        <v>37</v>
      </c>
      <c r="C40" s="15"/>
      <c r="D40" s="19">
        <f>SUM(D34:D38)</f>
        <v>0</v>
      </c>
      <c r="E40" s="19">
        <f>SUM(E34:E38)</f>
        <v>135000</v>
      </c>
      <c r="F40" s="19">
        <f>SUM(F34:F38)</f>
        <v>115000</v>
      </c>
      <c r="G40" s="3"/>
      <c r="H40" s="66"/>
    </row>
    <row r="41" spans="1:8" ht="3.75" customHeight="1">
      <c r="A41" s="81"/>
      <c r="B41" s="12"/>
      <c r="C41" s="15"/>
      <c r="D41" s="32"/>
      <c r="E41" s="17"/>
      <c r="F41" s="102"/>
      <c r="G41" s="3"/>
      <c r="H41" s="3"/>
    </row>
    <row r="42" spans="1:8">
      <c r="A42" s="104" t="s">
        <v>51</v>
      </c>
      <c r="B42" s="12" t="s">
        <v>52</v>
      </c>
      <c r="C42" s="15"/>
      <c r="D42" s="16"/>
      <c r="E42" s="16"/>
      <c r="F42" s="87">
        <v>0</v>
      </c>
      <c r="G42" s="3"/>
      <c r="H42" s="3"/>
    </row>
    <row r="43" spans="1:8">
      <c r="A43" s="81"/>
      <c r="B43" s="12" t="s">
        <v>4728</v>
      </c>
      <c r="C43" s="15">
        <v>221</v>
      </c>
      <c r="D43" s="28"/>
      <c r="E43" s="87">
        <v>20000</v>
      </c>
      <c r="F43" s="87">
        <v>0</v>
      </c>
      <c r="G43" s="3"/>
      <c r="H43" s="3"/>
    </row>
    <row r="44" spans="1:8">
      <c r="A44" s="1267"/>
      <c r="B44" s="12" t="s">
        <v>4730</v>
      </c>
      <c r="C44" s="870">
        <v>223</v>
      </c>
      <c r="D44" s="1037"/>
      <c r="E44" s="1033"/>
      <c r="F44" s="1033">
        <v>45000</v>
      </c>
      <c r="G44" s="3"/>
      <c r="H44" s="3"/>
    </row>
    <row r="45" spans="1:8">
      <c r="A45" s="1267"/>
      <c r="B45" s="12" t="s">
        <v>4729</v>
      </c>
      <c r="C45" s="870"/>
      <c r="D45" s="1037"/>
      <c r="E45" s="1033"/>
      <c r="F45" s="1033">
        <v>70000</v>
      </c>
      <c r="G45" s="3"/>
      <c r="H45" s="3"/>
    </row>
    <row r="46" spans="1:8">
      <c r="A46" s="81"/>
      <c r="B46" s="12" t="s">
        <v>4724</v>
      </c>
      <c r="C46" s="15">
        <v>222</v>
      </c>
      <c r="D46" s="28"/>
      <c r="E46" s="87">
        <v>45000</v>
      </c>
      <c r="F46" s="87">
        <v>0</v>
      </c>
      <c r="G46" s="3"/>
      <c r="H46" s="3"/>
    </row>
    <row r="47" spans="1:8" s="25" customFormat="1">
      <c r="A47" s="114"/>
      <c r="B47" s="18" t="s">
        <v>37</v>
      </c>
      <c r="C47" s="31"/>
      <c r="D47" s="115">
        <f>SUM(D43:D46)</f>
        <v>0</v>
      </c>
      <c r="E47" s="92">
        <f>SUM(E43:E46)</f>
        <v>65000</v>
      </c>
      <c r="F47" s="92">
        <f>SUM(F43:F46)</f>
        <v>115000</v>
      </c>
      <c r="G47" s="26"/>
      <c r="H47" s="26"/>
    </row>
    <row r="48" spans="1:8" ht="18.75" customHeight="1">
      <c r="A48" s="1032" t="s">
        <v>53</v>
      </c>
      <c r="B48" s="12" t="s">
        <v>54</v>
      </c>
      <c r="C48" s="870"/>
      <c r="D48" s="32"/>
      <c r="E48" s="17"/>
      <c r="F48" s="102">
        <v>0</v>
      </c>
      <c r="G48" s="3"/>
      <c r="H48" s="3"/>
    </row>
    <row r="49" spans="1:8">
      <c r="A49" s="1201"/>
      <c r="B49" s="1202" t="s">
        <v>37</v>
      </c>
      <c r="C49" s="1203"/>
      <c r="D49" s="1204"/>
      <c r="E49" s="1200"/>
      <c r="F49" s="1205"/>
      <c r="G49" s="3"/>
      <c r="H49" s="3"/>
    </row>
    <row r="50" spans="1:8">
      <c r="A50" s="81"/>
      <c r="B50" s="18" t="s">
        <v>55</v>
      </c>
      <c r="C50" s="15"/>
      <c r="D50" s="103">
        <f>(D40+D47)</f>
        <v>0</v>
      </c>
      <c r="E50" s="103">
        <f>(E31+E40+E47)</f>
        <v>200000</v>
      </c>
      <c r="F50" s="103">
        <f>(F40+F47+F31+F49)</f>
        <v>230000</v>
      </c>
      <c r="G50" s="3"/>
      <c r="H50" s="3"/>
    </row>
    <row r="51" spans="1:8" ht="5.25" customHeight="1" thickBot="1">
      <c r="A51" s="105"/>
      <c r="B51" s="20"/>
      <c r="C51" s="21"/>
      <c r="D51" s="22"/>
      <c r="E51" s="63"/>
      <c r="F51" s="106"/>
      <c r="G51" s="3"/>
      <c r="H51" s="3"/>
    </row>
    <row r="52" spans="1:8" ht="14.4" thickTop="1">
      <c r="A52" s="24"/>
      <c r="B52" s="1"/>
      <c r="C52" s="1"/>
      <c r="D52" s="1"/>
      <c r="E52" s="1"/>
      <c r="G52" s="3"/>
      <c r="H52" s="3"/>
    </row>
    <row r="53" spans="1:8">
      <c r="A53" s="24"/>
      <c r="B53" s="1"/>
      <c r="C53" s="1"/>
      <c r="D53" s="1"/>
      <c r="E53" s="1"/>
      <c r="G53" s="3"/>
      <c r="H53" s="3"/>
    </row>
    <row r="54" spans="1:8">
      <c r="A54" s="24"/>
      <c r="B54" s="1"/>
      <c r="C54" s="1"/>
      <c r="D54" s="1"/>
      <c r="E54" s="1"/>
      <c r="G54" s="3"/>
      <c r="H54" s="3"/>
    </row>
    <row r="55" spans="1:8">
      <c r="A55" s="24"/>
      <c r="B55" s="1"/>
      <c r="C55" s="1"/>
      <c r="D55" s="1"/>
      <c r="E55" s="1"/>
      <c r="G55" s="3"/>
      <c r="H55" s="3"/>
    </row>
    <row r="56" spans="1:8">
      <c r="A56" s="24"/>
      <c r="B56" s="6"/>
      <c r="C56" s="6"/>
      <c r="D56" s="6"/>
      <c r="E56" s="6"/>
      <c r="G56" s="3"/>
      <c r="H56" s="3"/>
    </row>
    <row r="57" spans="1:8">
      <c r="A57" s="24"/>
      <c r="B57" s="23"/>
      <c r="C57" s="23"/>
      <c r="D57" s="23"/>
      <c r="E57" s="1"/>
      <c r="G57" s="3"/>
      <c r="H57" s="3"/>
    </row>
    <row r="58" spans="1:8">
      <c r="A58" s="24"/>
      <c r="B58" s="1"/>
      <c r="C58" s="1"/>
      <c r="D58" s="1"/>
      <c r="E58" s="1"/>
      <c r="F58" s="74"/>
      <c r="G58" s="3"/>
      <c r="H58" s="3"/>
    </row>
    <row r="69" spans="1:1">
      <c r="A69" s="2" t="s">
        <v>9</v>
      </c>
    </row>
    <row r="70" spans="1:1">
      <c r="A70" s="2" t="s">
        <v>9</v>
      </c>
    </row>
  </sheetData>
  <pageMargins left="0.5" right="0.25" top="0.5" bottom="1.25" header="0.5" footer="0.25"/>
  <pageSetup paperSize="5" firstPageNumber="73" orientation="portrait" useFirstPageNumber="1" verticalDpi="300" r:id="rId1"/>
  <headerFooter alignWithMargins="0"/>
</worksheet>
</file>

<file path=xl/worksheets/sheet80.xml><?xml version="1.0" encoding="utf-8"?>
<worksheet xmlns="http://schemas.openxmlformats.org/spreadsheetml/2006/main" xmlns:r="http://schemas.openxmlformats.org/officeDocument/2006/relationships">
  <sheetPr codeName="Sheet119">
    <tabColor rgb="FFFFFF00"/>
  </sheetPr>
  <dimension ref="A1:I98"/>
  <sheetViews>
    <sheetView showGridLines="0" workbookViewId="0">
      <selection activeCell="F2" sqref="F1:T1048576"/>
    </sheetView>
  </sheetViews>
  <sheetFormatPr defaultRowHeight="12.9" customHeight="1"/>
  <cols>
    <col min="1" max="1" width="40.5546875" style="7001" customWidth="1"/>
    <col min="2" max="2" width="8.5546875" style="7166" customWidth="1"/>
    <col min="3" max="3" width="8.5546875" style="7001" customWidth="1"/>
    <col min="4" max="4" width="14.5546875" style="7001" customWidth="1"/>
    <col min="5" max="5" width="15" style="7001" customWidth="1"/>
    <col min="6" max="6" width="14.5546875" style="7001" customWidth="1"/>
    <col min="7" max="8" width="8.88671875" style="7001" customWidth="1"/>
    <col min="9" max="9" width="13.88671875" style="7001" customWidth="1"/>
    <col min="10" max="19" width="8.88671875" style="7001" customWidth="1"/>
    <col min="20" max="249" width="9.109375" style="7001"/>
    <col min="250" max="250" width="31.109375" style="7001" customWidth="1"/>
    <col min="251" max="251" width="8.88671875" style="7001" customWidth="1"/>
    <col min="252" max="252" width="8.44140625" style="7001" customWidth="1"/>
    <col min="253" max="253" width="9.88671875" style="7001" customWidth="1"/>
    <col min="254" max="254" width="13.88671875" style="7001" customWidth="1"/>
    <col min="255" max="255" width="14.109375" style="7001" customWidth="1"/>
    <col min="256" max="256" width="4.88671875" style="7001" customWidth="1"/>
    <col min="257" max="257" width="6.109375" style="7001" customWidth="1"/>
    <col min="258" max="258" width="7" style="7001" customWidth="1"/>
    <col min="259" max="505" width="9.109375" style="7001"/>
    <col min="506" max="506" width="31.109375" style="7001" customWidth="1"/>
    <col min="507" max="507" width="8.88671875" style="7001" customWidth="1"/>
    <col min="508" max="508" width="8.44140625" style="7001" customWidth="1"/>
    <col min="509" max="509" width="9.88671875" style="7001" customWidth="1"/>
    <col min="510" max="510" width="13.88671875" style="7001" customWidth="1"/>
    <col min="511" max="511" width="14.109375" style="7001" customWidth="1"/>
    <col min="512" max="512" width="4.88671875" style="7001" customWidth="1"/>
    <col min="513" max="513" width="6.109375" style="7001" customWidth="1"/>
    <col min="514" max="514" width="7" style="7001" customWidth="1"/>
    <col min="515" max="761" width="9.109375" style="7001"/>
    <col min="762" max="762" width="31.109375" style="7001" customWidth="1"/>
    <col min="763" max="763" width="8.88671875" style="7001" customWidth="1"/>
    <col min="764" max="764" width="8.44140625" style="7001" customWidth="1"/>
    <col min="765" max="765" width="9.88671875" style="7001" customWidth="1"/>
    <col min="766" max="766" width="13.88671875" style="7001" customWidth="1"/>
    <col min="767" max="767" width="14.109375" style="7001" customWidth="1"/>
    <col min="768" max="768" width="4.88671875" style="7001" customWidth="1"/>
    <col min="769" max="769" width="6.109375" style="7001" customWidth="1"/>
    <col min="770" max="770" width="7" style="7001" customWidth="1"/>
    <col min="771" max="1017" width="9.109375" style="7001"/>
    <col min="1018" max="1018" width="31.109375" style="7001" customWidth="1"/>
    <col min="1019" max="1019" width="8.88671875" style="7001" customWidth="1"/>
    <col min="1020" max="1020" width="8.44140625" style="7001" customWidth="1"/>
    <col min="1021" max="1021" width="9.88671875" style="7001" customWidth="1"/>
    <col min="1022" max="1022" width="13.88671875" style="7001" customWidth="1"/>
    <col min="1023" max="1023" width="14.109375" style="7001" customWidth="1"/>
    <col min="1024" max="1024" width="4.88671875" style="7001" customWidth="1"/>
    <col min="1025" max="1025" width="6.109375" style="7001" customWidth="1"/>
    <col min="1026" max="1026" width="7" style="7001" customWidth="1"/>
    <col min="1027" max="1273" width="9.109375" style="7001"/>
    <col min="1274" max="1274" width="31.109375" style="7001" customWidth="1"/>
    <col min="1275" max="1275" width="8.88671875" style="7001" customWidth="1"/>
    <col min="1276" max="1276" width="8.44140625" style="7001" customWidth="1"/>
    <col min="1277" max="1277" width="9.88671875" style="7001" customWidth="1"/>
    <col min="1278" max="1278" width="13.88671875" style="7001" customWidth="1"/>
    <col min="1279" max="1279" width="14.109375" style="7001" customWidth="1"/>
    <col min="1280" max="1280" width="4.88671875" style="7001" customWidth="1"/>
    <col min="1281" max="1281" width="6.109375" style="7001" customWidth="1"/>
    <col min="1282" max="1282" width="7" style="7001" customWidth="1"/>
    <col min="1283" max="1529" width="9.109375" style="7001"/>
    <col min="1530" max="1530" width="31.109375" style="7001" customWidth="1"/>
    <col min="1531" max="1531" width="8.88671875" style="7001" customWidth="1"/>
    <col min="1532" max="1532" width="8.44140625" style="7001" customWidth="1"/>
    <col min="1533" max="1533" width="9.88671875" style="7001" customWidth="1"/>
    <col min="1534" max="1534" width="13.88671875" style="7001" customWidth="1"/>
    <col min="1535" max="1535" width="14.109375" style="7001" customWidth="1"/>
    <col min="1536" max="1536" width="4.88671875" style="7001" customWidth="1"/>
    <col min="1537" max="1537" width="6.109375" style="7001" customWidth="1"/>
    <col min="1538" max="1538" width="7" style="7001" customWidth="1"/>
    <col min="1539" max="1785" width="9.109375" style="7001"/>
    <col min="1786" max="1786" width="31.109375" style="7001" customWidth="1"/>
    <col min="1787" max="1787" width="8.88671875" style="7001" customWidth="1"/>
    <col min="1788" max="1788" width="8.44140625" style="7001" customWidth="1"/>
    <col min="1789" max="1789" width="9.88671875" style="7001" customWidth="1"/>
    <col min="1790" max="1790" width="13.88671875" style="7001" customWidth="1"/>
    <col min="1791" max="1791" width="14.109375" style="7001" customWidth="1"/>
    <col min="1792" max="1792" width="4.88671875" style="7001" customWidth="1"/>
    <col min="1793" max="1793" width="6.109375" style="7001" customWidth="1"/>
    <col min="1794" max="1794" width="7" style="7001" customWidth="1"/>
    <col min="1795" max="2041" width="9.109375" style="7001"/>
    <col min="2042" max="2042" width="31.109375" style="7001" customWidth="1"/>
    <col min="2043" max="2043" width="8.88671875" style="7001" customWidth="1"/>
    <col min="2044" max="2044" width="8.44140625" style="7001" customWidth="1"/>
    <col min="2045" max="2045" width="9.88671875" style="7001" customWidth="1"/>
    <col min="2046" max="2046" width="13.88671875" style="7001" customWidth="1"/>
    <col min="2047" max="2047" width="14.109375" style="7001" customWidth="1"/>
    <col min="2048" max="2048" width="4.88671875" style="7001" customWidth="1"/>
    <col min="2049" max="2049" width="6.109375" style="7001" customWidth="1"/>
    <col min="2050" max="2050" width="7" style="7001" customWidth="1"/>
    <col min="2051" max="2297" width="9.109375" style="7001"/>
    <col min="2298" max="2298" width="31.109375" style="7001" customWidth="1"/>
    <col min="2299" max="2299" width="8.88671875" style="7001" customWidth="1"/>
    <col min="2300" max="2300" width="8.44140625" style="7001" customWidth="1"/>
    <col min="2301" max="2301" width="9.88671875" style="7001" customWidth="1"/>
    <col min="2302" max="2302" width="13.88671875" style="7001" customWidth="1"/>
    <col min="2303" max="2303" width="14.109375" style="7001" customWidth="1"/>
    <col min="2304" max="2304" width="4.88671875" style="7001" customWidth="1"/>
    <col min="2305" max="2305" width="6.109375" style="7001" customWidth="1"/>
    <col min="2306" max="2306" width="7" style="7001" customWidth="1"/>
    <col min="2307" max="2553" width="9.109375" style="7001"/>
    <col min="2554" max="2554" width="31.109375" style="7001" customWidth="1"/>
    <col min="2555" max="2555" width="8.88671875" style="7001" customWidth="1"/>
    <col min="2556" max="2556" width="8.44140625" style="7001" customWidth="1"/>
    <col min="2557" max="2557" width="9.88671875" style="7001" customWidth="1"/>
    <col min="2558" max="2558" width="13.88671875" style="7001" customWidth="1"/>
    <col min="2559" max="2559" width="14.109375" style="7001" customWidth="1"/>
    <col min="2560" max="2560" width="4.88671875" style="7001" customWidth="1"/>
    <col min="2561" max="2561" width="6.109375" style="7001" customWidth="1"/>
    <col min="2562" max="2562" width="7" style="7001" customWidth="1"/>
    <col min="2563" max="2809" width="9.109375" style="7001"/>
    <col min="2810" max="2810" width="31.109375" style="7001" customWidth="1"/>
    <col min="2811" max="2811" width="8.88671875" style="7001" customWidth="1"/>
    <col min="2812" max="2812" width="8.44140625" style="7001" customWidth="1"/>
    <col min="2813" max="2813" width="9.88671875" style="7001" customWidth="1"/>
    <col min="2814" max="2814" width="13.88671875" style="7001" customWidth="1"/>
    <col min="2815" max="2815" width="14.109375" style="7001" customWidth="1"/>
    <col min="2816" max="2816" width="4.88671875" style="7001" customWidth="1"/>
    <col min="2817" max="2817" width="6.109375" style="7001" customWidth="1"/>
    <col min="2818" max="2818" width="7" style="7001" customWidth="1"/>
    <col min="2819" max="3065" width="9.109375" style="7001"/>
    <col min="3066" max="3066" width="31.109375" style="7001" customWidth="1"/>
    <col min="3067" max="3067" width="8.88671875" style="7001" customWidth="1"/>
    <col min="3068" max="3068" width="8.44140625" style="7001" customWidth="1"/>
    <col min="3069" max="3069" width="9.88671875" style="7001" customWidth="1"/>
    <col min="3070" max="3070" width="13.88671875" style="7001" customWidth="1"/>
    <col min="3071" max="3071" width="14.109375" style="7001" customWidth="1"/>
    <col min="3072" max="3072" width="4.88671875" style="7001" customWidth="1"/>
    <col min="3073" max="3073" width="6.109375" style="7001" customWidth="1"/>
    <col min="3074" max="3074" width="7" style="7001" customWidth="1"/>
    <col min="3075" max="3321" width="9.109375" style="7001"/>
    <col min="3322" max="3322" width="31.109375" style="7001" customWidth="1"/>
    <col min="3323" max="3323" width="8.88671875" style="7001" customWidth="1"/>
    <col min="3324" max="3324" width="8.44140625" style="7001" customWidth="1"/>
    <col min="3325" max="3325" width="9.88671875" style="7001" customWidth="1"/>
    <col min="3326" max="3326" width="13.88671875" style="7001" customWidth="1"/>
    <col min="3327" max="3327" width="14.109375" style="7001" customWidth="1"/>
    <col min="3328" max="3328" width="4.88671875" style="7001" customWidth="1"/>
    <col min="3329" max="3329" width="6.109375" style="7001" customWidth="1"/>
    <col min="3330" max="3330" width="7" style="7001" customWidth="1"/>
    <col min="3331" max="3577" width="9.109375" style="7001"/>
    <col min="3578" max="3578" width="31.109375" style="7001" customWidth="1"/>
    <col min="3579" max="3579" width="8.88671875" style="7001" customWidth="1"/>
    <col min="3580" max="3580" width="8.44140625" style="7001" customWidth="1"/>
    <col min="3581" max="3581" width="9.88671875" style="7001" customWidth="1"/>
    <col min="3582" max="3582" width="13.88671875" style="7001" customWidth="1"/>
    <col min="3583" max="3583" width="14.109375" style="7001" customWidth="1"/>
    <col min="3584" max="3584" width="4.88671875" style="7001" customWidth="1"/>
    <col min="3585" max="3585" width="6.109375" style="7001" customWidth="1"/>
    <col min="3586" max="3586" width="7" style="7001" customWidth="1"/>
    <col min="3587" max="3833" width="9.109375" style="7001"/>
    <col min="3834" max="3834" width="31.109375" style="7001" customWidth="1"/>
    <col min="3835" max="3835" width="8.88671875" style="7001" customWidth="1"/>
    <col min="3836" max="3836" width="8.44140625" style="7001" customWidth="1"/>
    <col min="3837" max="3837" width="9.88671875" style="7001" customWidth="1"/>
    <col min="3838" max="3838" width="13.88671875" style="7001" customWidth="1"/>
    <col min="3839" max="3839" width="14.109375" style="7001" customWidth="1"/>
    <col min="3840" max="3840" width="4.88671875" style="7001" customWidth="1"/>
    <col min="3841" max="3841" width="6.109375" style="7001" customWidth="1"/>
    <col min="3842" max="3842" width="7" style="7001" customWidth="1"/>
    <col min="3843" max="4089" width="9.109375" style="7001"/>
    <col min="4090" max="4090" width="31.109375" style="7001" customWidth="1"/>
    <col min="4091" max="4091" width="8.88671875" style="7001" customWidth="1"/>
    <col min="4092" max="4092" width="8.44140625" style="7001" customWidth="1"/>
    <col min="4093" max="4093" width="9.88671875" style="7001" customWidth="1"/>
    <col min="4094" max="4094" width="13.88671875" style="7001" customWidth="1"/>
    <col min="4095" max="4095" width="14.109375" style="7001" customWidth="1"/>
    <col min="4096" max="4096" width="4.88671875" style="7001" customWidth="1"/>
    <col min="4097" max="4097" width="6.109375" style="7001" customWidth="1"/>
    <col min="4098" max="4098" width="7" style="7001" customWidth="1"/>
    <col min="4099" max="4345" width="9.109375" style="7001"/>
    <col min="4346" max="4346" width="31.109375" style="7001" customWidth="1"/>
    <col min="4347" max="4347" width="8.88671875" style="7001" customWidth="1"/>
    <col min="4348" max="4348" width="8.44140625" style="7001" customWidth="1"/>
    <col min="4349" max="4349" width="9.88671875" style="7001" customWidth="1"/>
    <col min="4350" max="4350" width="13.88671875" style="7001" customWidth="1"/>
    <col min="4351" max="4351" width="14.109375" style="7001" customWidth="1"/>
    <col min="4352" max="4352" width="4.88671875" style="7001" customWidth="1"/>
    <col min="4353" max="4353" width="6.109375" style="7001" customWidth="1"/>
    <col min="4354" max="4354" width="7" style="7001" customWidth="1"/>
    <col min="4355" max="4601" width="9.109375" style="7001"/>
    <col min="4602" max="4602" width="31.109375" style="7001" customWidth="1"/>
    <col min="4603" max="4603" width="8.88671875" style="7001" customWidth="1"/>
    <col min="4604" max="4604" width="8.44140625" style="7001" customWidth="1"/>
    <col min="4605" max="4605" width="9.88671875" style="7001" customWidth="1"/>
    <col min="4606" max="4606" width="13.88671875" style="7001" customWidth="1"/>
    <col min="4607" max="4607" width="14.109375" style="7001" customWidth="1"/>
    <col min="4608" max="4608" width="4.88671875" style="7001" customWidth="1"/>
    <col min="4609" max="4609" width="6.109375" style="7001" customWidth="1"/>
    <col min="4610" max="4610" width="7" style="7001" customWidth="1"/>
    <col min="4611" max="4857" width="9.109375" style="7001"/>
    <col min="4858" max="4858" width="31.109375" style="7001" customWidth="1"/>
    <col min="4859" max="4859" width="8.88671875" style="7001" customWidth="1"/>
    <col min="4860" max="4860" width="8.44140625" style="7001" customWidth="1"/>
    <col min="4861" max="4861" width="9.88671875" style="7001" customWidth="1"/>
    <col min="4862" max="4862" width="13.88671875" style="7001" customWidth="1"/>
    <col min="4863" max="4863" width="14.109375" style="7001" customWidth="1"/>
    <col min="4864" max="4864" width="4.88671875" style="7001" customWidth="1"/>
    <col min="4865" max="4865" width="6.109375" style="7001" customWidth="1"/>
    <col min="4866" max="4866" width="7" style="7001" customWidth="1"/>
    <col min="4867" max="5113" width="9.109375" style="7001"/>
    <col min="5114" max="5114" width="31.109375" style="7001" customWidth="1"/>
    <col min="5115" max="5115" width="8.88671875" style="7001" customWidth="1"/>
    <col min="5116" max="5116" width="8.44140625" style="7001" customWidth="1"/>
    <col min="5117" max="5117" width="9.88671875" style="7001" customWidth="1"/>
    <col min="5118" max="5118" width="13.88671875" style="7001" customWidth="1"/>
    <col min="5119" max="5119" width="14.109375" style="7001" customWidth="1"/>
    <col min="5120" max="5120" width="4.88671875" style="7001" customWidth="1"/>
    <col min="5121" max="5121" width="6.109375" style="7001" customWidth="1"/>
    <col min="5122" max="5122" width="7" style="7001" customWidth="1"/>
    <col min="5123" max="5369" width="9.109375" style="7001"/>
    <col min="5370" max="5370" width="31.109375" style="7001" customWidth="1"/>
    <col min="5371" max="5371" width="8.88671875" style="7001" customWidth="1"/>
    <col min="5372" max="5372" width="8.44140625" style="7001" customWidth="1"/>
    <col min="5373" max="5373" width="9.88671875" style="7001" customWidth="1"/>
    <col min="5374" max="5374" width="13.88671875" style="7001" customWidth="1"/>
    <col min="5375" max="5375" width="14.109375" style="7001" customWidth="1"/>
    <col min="5376" max="5376" width="4.88671875" style="7001" customWidth="1"/>
    <col min="5377" max="5377" width="6.109375" style="7001" customWidth="1"/>
    <col min="5378" max="5378" width="7" style="7001" customWidth="1"/>
    <col min="5379" max="5625" width="9.109375" style="7001"/>
    <col min="5626" max="5626" width="31.109375" style="7001" customWidth="1"/>
    <col min="5627" max="5627" width="8.88671875" style="7001" customWidth="1"/>
    <col min="5628" max="5628" width="8.44140625" style="7001" customWidth="1"/>
    <col min="5629" max="5629" width="9.88671875" style="7001" customWidth="1"/>
    <col min="5630" max="5630" width="13.88671875" style="7001" customWidth="1"/>
    <col min="5631" max="5631" width="14.109375" style="7001" customWidth="1"/>
    <col min="5632" max="5632" width="4.88671875" style="7001" customWidth="1"/>
    <col min="5633" max="5633" width="6.109375" style="7001" customWidth="1"/>
    <col min="5634" max="5634" width="7" style="7001" customWidth="1"/>
    <col min="5635" max="5881" width="9.109375" style="7001"/>
    <col min="5882" max="5882" width="31.109375" style="7001" customWidth="1"/>
    <col min="5883" max="5883" width="8.88671875" style="7001" customWidth="1"/>
    <col min="5884" max="5884" width="8.44140625" style="7001" customWidth="1"/>
    <col min="5885" max="5885" width="9.88671875" style="7001" customWidth="1"/>
    <col min="5886" max="5886" width="13.88671875" style="7001" customWidth="1"/>
    <col min="5887" max="5887" width="14.109375" style="7001" customWidth="1"/>
    <col min="5888" max="5888" width="4.88671875" style="7001" customWidth="1"/>
    <col min="5889" max="5889" width="6.109375" style="7001" customWidth="1"/>
    <col min="5890" max="5890" width="7" style="7001" customWidth="1"/>
    <col min="5891" max="6137" width="9.109375" style="7001"/>
    <col min="6138" max="6138" width="31.109375" style="7001" customWidth="1"/>
    <col min="6139" max="6139" width="8.88671875" style="7001" customWidth="1"/>
    <col min="6140" max="6140" width="8.44140625" style="7001" customWidth="1"/>
    <col min="6141" max="6141" width="9.88671875" style="7001" customWidth="1"/>
    <col min="6142" max="6142" width="13.88671875" style="7001" customWidth="1"/>
    <col min="6143" max="6143" width="14.109375" style="7001" customWidth="1"/>
    <col min="6144" max="6144" width="4.88671875" style="7001" customWidth="1"/>
    <col min="6145" max="6145" width="6.109375" style="7001" customWidth="1"/>
    <col min="6146" max="6146" width="7" style="7001" customWidth="1"/>
    <col min="6147" max="6393" width="9.109375" style="7001"/>
    <col min="6394" max="6394" width="31.109375" style="7001" customWidth="1"/>
    <col min="6395" max="6395" width="8.88671875" style="7001" customWidth="1"/>
    <col min="6396" max="6396" width="8.44140625" style="7001" customWidth="1"/>
    <col min="6397" max="6397" width="9.88671875" style="7001" customWidth="1"/>
    <col min="6398" max="6398" width="13.88671875" style="7001" customWidth="1"/>
    <col min="6399" max="6399" width="14.109375" style="7001" customWidth="1"/>
    <col min="6400" max="6400" width="4.88671875" style="7001" customWidth="1"/>
    <col min="6401" max="6401" width="6.109375" style="7001" customWidth="1"/>
    <col min="6402" max="6402" width="7" style="7001" customWidth="1"/>
    <col min="6403" max="6649" width="9.109375" style="7001"/>
    <col min="6650" max="6650" width="31.109375" style="7001" customWidth="1"/>
    <col min="6651" max="6651" width="8.88671875" style="7001" customWidth="1"/>
    <col min="6652" max="6652" width="8.44140625" style="7001" customWidth="1"/>
    <col min="6653" max="6653" width="9.88671875" style="7001" customWidth="1"/>
    <col min="6654" max="6654" width="13.88671875" style="7001" customWidth="1"/>
    <col min="6655" max="6655" width="14.109375" style="7001" customWidth="1"/>
    <col min="6656" max="6656" width="4.88671875" style="7001" customWidth="1"/>
    <col min="6657" max="6657" width="6.109375" style="7001" customWidth="1"/>
    <col min="6658" max="6658" width="7" style="7001" customWidth="1"/>
    <col min="6659" max="6905" width="9.109375" style="7001"/>
    <col min="6906" max="6906" width="31.109375" style="7001" customWidth="1"/>
    <col min="6907" max="6907" width="8.88671875" style="7001" customWidth="1"/>
    <col min="6908" max="6908" width="8.44140625" style="7001" customWidth="1"/>
    <col min="6909" max="6909" width="9.88671875" style="7001" customWidth="1"/>
    <col min="6910" max="6910" width="13.88671875" style="7001" customWidth="1"/>
    <col min="6911" max="6911" width="14.109375" style="7001" customWidth="1"/>
    <col min="6912" max="6912" width="4.88671875" style="7001" customWidth="1"/>
    <col min="6913" max="6913" width="6.109375" style="7001" customWidth="1"/>
    <col min="6914" max="6914" width="7" style="7001" customWidth="1"/>
    <col min="6915" max="7161" width="9.109375" style="7001"/>
    <col min="7162" max="7162" width="31.109375" style="7001" customWidth="1"/>
    <col min="7163" max="7163" width="8.88671875" style="7001" customWidth="1"/>
    <col min="7164" max="7164" width="8.44140625" style="7001" customWidth="1"/>
    <col min="7165" max="7165" width="9.88671875" style="7001" customWidth="1"/>
    <col min="7166" max="7166" width="13.88671875" style="7001" customWidth="1"/>
    <col min="7167" max="7167" width="14.109375" style="7001" customWidth="1"/>
    <col min="7168" max="7168" width="4.88671875" style="7001" customWidth="1"/>
    <col min="7169" max="7169" width="6.109375" style="7001" customWidth="1"/>
    <col min="7170" max="7170" width="7" style="7001" customWidth="1"/>
    <col min="7171" max="7417" width="9.109375" style="7001"/>
    <col min="7418" max="7418" width="31.109375" style="7001" customWidth="1"/>
    <col min="7419" max="7419" width="8.88671875" style="7001" customWidth="1"/>
    <col min="7420" max="7420" width="8.44140625" style="7001" customWidth="1"/>
    <col min="7421" max="7421" width="9.88671875" style="7001" customWidth="1"/>
    <col min="7422" max="7422" width="13.88671875" style="7001" customWidth="1"/>
    <col min="7423" max="7423" width="14.109375" style="7001" customWidth="1"/>
    <col min="7424" max="7424" width="4.88671875" style="7001" customWidth="1"/>
    <col min="7425" max="7425" width="6.109375" style="7001" customWidth="1"/>
    <col min="7426" max="7426" width="7" style="7001" customWidth="1"/>
    <col min="7427" max="7673" width="9.109375" style="7001"/>
    <col min="7674" max="7674" width="31.109375" style="7001" customWidth="1"/>
    <col min="7675" max="7675" width="8.88671875" style="7001" customWidth="1"/>
    <col min="7676" max="7676" width="8.44140625" style="7001" customWidth="1"/>
    <col min="7677" max="7677" width="9.88671875" style="7001" customWidth="1"/>
    <col min="7678" max="7678" width="13.88671875" style="7001" customWidth="1"/>
    <col min="7679" max="7679" width="14.109375" style="7001" customWidth="1"/>
    <col min="7680" max="7680" width="4.88671875" style="7001" customWidth="1"/>
    <col min="7681" max="7681" width="6.109375" style="7001" customWidth="1"/>
    <col min="7682" max="7682" width="7" style="7001" customWidth="1"/>
    <col min="7683" max="7929" width="9.109375" style="7001"/>
    <col min="7930" max="7930" width="31.109375" style="7001" customWidth="1"/>
    <col min="7931" max="7931" width="8.88671875" style="7001" customWidth="1"/>
    <col min="7932" max="7932" width="8.44140625" style="7001" customWidth="1"/>
    <col min="7933" max="7933" width="9.88671875" style="7001" customWidth="1"/>
    <col min="7934" max="7934" width="13.88671875" style="7001" customWidth="1"/>
    <col min="7935" max="7935" width="14.109375" style="7001" customWidth="1"/>
    <col min="7936" max="7936" width="4.88671875" style="7001" customWidth="1"/>
    <col min="7937" max="7937" width="6.109375" style="7001" customWidth="1"/>
    <col min="7938" max="7938" width="7" style="7001" customWidth="1"/>
    <col min="7939" max="8185" width="9.109375" style="7001"/>
    <col min="8186" max="8186" width="31.109375" style="7001" customWidth="1"/>
    <col min="8187" max="8187" width="8.88671875" style="7001" customWidth="1"/>
    <col min="8188" max="8188" width="8.44140625" style="7001" customWidth="1"/>
    <col min="8189" max="8189" width="9.88671875" style="7001" customWidth="1"/>
    <col min="8190" max="8190" width="13.88671875" style="7001" customWidth="1"/>
    <col min="8191" max="8191" width="14.109375" style="7001" customWidth="1"/>
    <col min="8192" max="8192" width="4.88671875" style="7001" customWidth="1"/>
    <col min="8193" max="8193" width="6.109375" style="7001" customWidth="1"/>
    <col min="8194" max="8194" width="7" style="7001" customWidth="1"/>
    <col min="8195" max="8441" width="9.109375" style="7001"/>
    <col min="8442" max="8442" width="31.109375" style="7001" customWidth="1"/>
    <col min="8443" max="8443" width="8.88671875" style="7001" customWidth="1"/>
    <col min="8444" max="8444" width="8.44140625" style="7001" customWidth="1"/>
    <col min="8445" max="8445" width="9.88671875" style="7001" customWidth="1"/>
    <col min="8446" max="8446" width="13.88671875" style="7001" customWidth="1"/>
    <col min="8447" max="8447" width="14.109375" style="7001" customWidth="1"/>
    <col min="8448" max="8448" width="4.88671875" style="7001" customWidth="1"/>
    <col min="8449" max="8449" width="6.109375" style="7001" customWidth="1"/>
    <col min="8450" max="8450" width="7" style="7001" customWidth="1"/>
    <col min="8451" max="8697" width="9.109375" style="7001"/>
    <col min="8698" max="8698" width="31.109375" style="7001" customWidth="1"/>
    <col min="8699" max="8699" width="8.88671875" style="7001" customWidth="1"/>
    <col min="8700" max="8700" width="8.44140625" style="7001" customWidth="1"/>
    <col min="8701" max="8701" width="9.88671875" style="7001" customWidth="1"/>
    <col min="8702" max="8702" width="13.88671875" style="7001" customWidth="1"/>
    <col min="8703" max="8703" width="14.109375" style="7001" customWidth="1"/>
    <col min="8704" max="8704" width="4.88671875" style="7001" customWidth="1"/>
    <col min="8705" max="8705" width="6.109375" style="7001" customWidth="1"/>
    <col min="8706" max="8706" width="7" style="7001" customWidth="1"/>
    <col min="8707" max="8953" width="9.109375" style="7001"/>
    <col min="8954" max="8954" width="31.109375" style="7001" customWidth="1"/>
    <col min="8955" max="8955" width="8.88671875" style="7001" customWidth="1"/>
    <col min="8956" max="8956" width="8.44140625" style="7001" customWidth="1"/>
    <col min="8957" max="8957" width="9.88671875" style="7001" customWidth="1"/>
    <col min="8958" max="8958" width="13.88671875" style="7001" customWidth="1"/>
    <col min="8959" max="8959" width="14.109375" style="7001" customWidth="1"/>
    <col min="8960" max="8960" width="4.88671875" style="7001" customWidth="1"/>
    <col min="8961" max="8961" width="6.109375" style="7001" customWidth="1"/>
    <col min="8962" max="8962" width="7" style="7001" customWidth="1"/>
    <col min="8963" max="9209" width="9.109375" style="7001"/>
    <col min="9210" max="9210" width="31.109375" style="7001" customWidth="1"/>
    <col min="9211" max="9211" width="8.88671875" style="7001" customWidth="1"/>
    <col min="9212" max="9212" width="8.44140625" style="7001" customWidth="1"/>
    <col min="9213" max="9213" width="9.88671875" style="7001" customWidth="1"/>
    <col min="9214" max="9214" width="13.88671875" style="7001" customWidth="1"/>
    <col min="9215" max="9215" width="14.109375" style="7001" customWidth="1"/>
    <col min="9216" max="9216" width="4.88671875" style="7001" customWidth="1"/>
    <col min="9217" max="9217" width="6.109375" style="7001" customWidth="1"/>
    <col min="9218" max="9218" width="7" style="7001" customWidth="1"/>
    <col min="9219" max="9465" width="9.109375" style="7001"/>
    <col min="9466" max="9466" width="31.109375" style="7001" customWidth="1"/>
    <col min="9467" max="9467" width="8.88671875" style="7001" customWidth="1"/>
    <col min="9468" max="9468" width="8.44140625" style="7001" customWidth="1"/>
    <col min="9469" max="9469" width="9.88671875" style="7001" customWidth="1"/>
    <col min="9470" max="9470" width="13.88671875" style="7001" customWidth="1"/>
    <col min="9471" max="9471" width="14.109375" style="7001" customWidth="1"/>
    <col min="9472" max="9472" width="4.88671875" style="7001" customWidth="1"/>
    <col min="9473" max="9473" width="6.109375" style="7001" customWidth="1"/>
    <col min="9474" max="9474" width="7" style="7001" customWidth="1"/>
    <col min="9475" max="9721" width="9.109375" style="7001"/>
    <col min="9722" max="9722" width="31.109375" style="7001" customWidth="1"/>
    <col min="9723" max="9723" width="8.88671875" style="7001" customWidth="1"/>
    <col min="9724" max="9724" width="8.44140625" style="7001" customWidth="1"/>
    <col min="9725" max="9725" width="9.88671875" style="7001" customWidth="1"/>
    <col min="9726" max="9726" width="13.88671875" style="7001" customWidth="1"/>
    <col min="9727" max="9727" width="14.109375" style="7001" customWidth="1"/>
    <col min="9728" max="9728" width="4.88671875" style="7001" customWidth="1"/>
    <col min="9729" max="9729" width="6.109375" style="7001" customWidth="1"/>
    <col min="9730" max="9730" width="7" style="7001" customWidth="1"/>
    <col min="9731" max="9977" width="9.109375" style="7001"/>
    <col min="9978" max="9978" width="31.109375" style="7001" customWidth="1"/>
    <col min="9979" max="9979" width="8.88671875" style="7001" customWidth="1"/>
    <col min="9980" max="9980" width="8.44140625" style="7001" customWidth="1"/>
    <col min="9981" max="9981" width="9.88671875" style="7001" customWidth="1"/>
    <col min="9982" max="9982" width="13.88671875" style="7001" customWidth="1"/>
    <col min="9983" max="9983" width="14.109375" style="7001" customWidth="1"/>
    <col min="9984" max="9984" width="4.88671875" style="7001" customWidth="1"/>
    <col min="9985" max="9985" width="6.109375" style="7001" customWidth="1"/>
    <col min="9986" max="9986" width="7" style="7001" customWidth="1"/>
    <col min="9987" max="10233" width="9.109375" style="7001"/>
    <col min="10234" max="10234" width="31.109375" style="7001" customWidth="1"/>
    <col min="10235" max="10235" width="8.88671875" style="7001" customWidth="1"/>
    <col min="10236" max="10236" width="8.44140625" style="7001" customWidth="1"/>
    <col min="10237" max="10237" width="9.88671875" style="7001" customWidth="1"/>
    <col min="10238" max="10238" width="13.88671875" style="7001" customWidth="1"/>
    <col min="10239" max="10239" width="14.109375" style="7001" customWidth="1"/>
    <col min="10240" max="10240" width="4.88671875" style="7001" customWidth="1"/>
    <col min="10241" max="10241" width="6.109375" style="7001" customWidth="1"/>
    <col min="10242" max="10242" width="7" style="7001" customWidth="1"/>
    <col min="10243" max="10489" width="9.109375" style="7001"/>
    <col min="10490" max="10490" width="31.109375" style="7001" customWidth="1"/>
    <col min="10491" max="10491" width="8.88671875" style="7001" customWidth="1"/>
    <col min="10492" max="10492" width="8.44140625" style="7001" customWidth="1"/>
    <col min="10493" max="10493" width="9.88671875" style="7001" customWidth="1"/>
    <col min="10494" max="10494" width="13.88671875" style="7001" customWidth="1"/>
    <col min="10495" max="10495" width="14.109375" style="7001" customWidth="1"/>
    <col min="10496" max="10496" width="4.88671875" style="7001" customWidth="1"/>
    <col min="10497" max="10497" width="6.109375" style="7001" customWidth="1"/>
    <col min="10498" max="10498" width="7" style="7001" customWidth="1"/>
    <col min="10499" max="10745" width="9.109375" style="7001"/>
    <col min="10746" max="10746" width="31.109375" style="7001" customWidth="1"/>
    <col min="10747" max="10747" width="8.88671875" style="7001" customWidth="1"/>
    <col min="10748" max="10748" width="8.44140625" style="7001" customWidth="1"/>
    <col min="10749" max="10749" width="9.88671875" style="7001" customWidth="1"/>
    <col min="10750" max="10750" width="13.88671875" style="7001" customWidth="1"/>
    <col min="10751" max="10751" width="14.109375" style="7001" customWidth="1"/>
    <col min="10752" max="10752" width="4.88671875" style="7001" customWidth="1"/>
    <col min="10753" max="10753" width="6.109375" style="7001" customWidth="1"/>
    <col min="10754" max="10754" width="7" style="7001" customWidth="1"/>
    <col min="10755" max="11001" width="9.109375" style="7001"/>
    <col min="11002" max="11002" width="31.109375" style="7001" customWidth="1"/>
    <col min="11003" max="11003" width="8.88671875" style="7001" customWidth="1"/>
    <col min="11004" max="11004" width="8.44140625" style="7001" customWidth="1"/>
    <col min="11005" max="11005" width="9.88671875" style="7001" customWidth="1"/>
    <col min="11006" max="11006" width="13.88671875" style="7001" customWidth="1"/>
    <col min="11007" max="11007" width="14.109375" style="7001" customWidth="1"/>
    <col min="11008" max="11008" width="4.88671875" style="7001" customWidth="1"/>
    <col min="11009" max="11009" width="6.109375" style="7001" customWidth="1"/>
    <col min="11010" max="11010" width="7" style="7001" customWidth="1"/>
    <col min="11011" max="11257" width="9.109375" style="7001"/>
    <col min="11258" max="11258" width="31.109375" style="7001" customWidth="1"/>
    <col min="11259" max="11259" width="8.88671875" style="7001" customWidth="1"/>
    <col min="11260" max="11260" width="8.44140625" style="7001" customWidth="1"/>
    <col min="11261" max="11261" width="9.88671875" style="7001" customWidth="1"/>
    <col min="11262" max="11262" width="13.88671875" style="7001" customWidth="1"/>
    <col min="11263" max="11263" width="14.109375" style="7001" customWidth="1"/>
    <col min="11264" max="11264" width="4.88671875" style="7001" customWidth="1"/>
    <col min="11265" max="11265" width="6.109375" style="7001" customWidth="1"/>
    <col min="11266" max="11266" width="7" style="7001" customWidth="1"/>
    <col min="11267" max="11513" width="9.109375" style="7001"/>
    <col min="11514" max="11514" width="31.109375" style="7001" customWidth="1"/>
    <col min="11515" max="11515" width="8.88671875" style="7001" customWidth="1"/>
    <col min="11516" max="11516" width="8.44140625" style="7001" customWidth="1"/>
    <col min="11517" max="11517" width="9.88671875" style="7001" customWidth="1"/>
    <col min="11518" max="11518" width="13.88671875" style="7001" customWidth="1"/>
    <col min="11519" max="11519" width="14.109375" style="7001" customWidth="1"/>
    <col min="11520" max="11520" width="4.88671875" style="7001" customWidth="1"/>
    <col min="11521" max="11521" width="6.109375" style="7001" customWidth="1"/>
    <col min="11522" max="11522" width="7" style="7001" customWidth="1"/>
    <col min="11523" max="11769" width="9.109375" style="7001"/>
    <col min="11770" max="11770" width="31.109375" style="7001" customWidth="1"/>
    <col min="11771" max="11771" width="8.88671875" style="7001" customWidth="1"/>
    <col min="11772" max="11772" width="8.44140625" style="7001" customWidth="1"/>
    <col min="11773" max="11773" width="9.88671875" style="7001" customWidth="1"/>
    <col min="11774" max="11774" width="13.88671875" style="7001" customWidth="1"/>
    <col min="11775" max="11775" width="14.109375" style="7001" customWidth="1"/>
    <col min="11776" max="11776" width="4.88671875" style="7001" customWidth="1"/>
    <col min="11777" max="11777" width="6.109375" style="7001" customWidth="1"/>
    <col min="11778" max="11778" width="7" style="7001" customWidth="1"/>
    <col min="11779" max="12025" width="9.109375" style="7001"/>
    <col min="12026" max="12026" width="31.109375" style="7001" customWidth="1"/>
    <col min="12027" max="12027" width="8.88671875" style="7001" customWidth="1"/>
    <col min="12028" max="12028" width="8.44140625" style="7001" customWidth="1"/>
    <col min="12029" max="12029" width="9.88671875" style="7001" customWidth="1"/>
    <col min="12030" max="12030" width="13.88671875" style="7001" customWidth="1"/>
    <col min="12031" max="12031" width="14.109375" style="7001" customWidth="1"/>
    <col min="12032" max="12032" width="4.88671875" style="7001" customWidth="1"/>
    <col min="12033" max="12033" width="6.109375" style="7001" customWidth="1"/>
    <col min="12034" max="12034" width="7" style="7001" customWidth="1"/>
    <col min="12035" max="12281" width="9.109375" style="7001"/>
    <col min="12282" max="12282" width="31.109375" style="7001" customWidth="1"/>
    <col min="12283" max="12283" width="8.88671875" style="7001" customWidth="1"/>
    <col min="12284" max="12284" width="8.44140625" style="7001" customWidth="1"/>
    <col min="12285" max="12285" width="9.88671875" style="7001" customWidth="1"/>
    <col min="12286" max="12286" width="13.88671875" style="7001" customWidth="1"/>
    <col min="12287" max="12287" width="14.109375" style="7001" customWidth="1"/>
    <col min="12288" max="12288" width="4.88671875" style="7001" customWidth="1"/>
    <col min="12289" max="12289" width="6.109375" style="7001" customWidth="1"/>
    <col min="12290" max="12290" width="7" style="7001" customWidth="1"/>
    <col min="12291" max="12537" width="9.109375" style="7001"/>
    <col min="12538" max="12538" width="31.109375" style="7001" customWidth="1"/>
    <col min="12539" max="12539" width="8.88671875" style="7001" customWidth="1"/>
    <col min="12540" max="12540" width="8.44140625" style="7001" customWidth="1"/>
    <col min="12541" max="12541" width="9.88671875" style="7001" customWidth="1"/>
    <col min="12542" max="12542" width="13.88671875" style="7001" customWidth="1"/>
    <col min="12543" max="12543" width="14.109375" style="7001" customWidth="1"/>
    <col min="12544" max="12544" width="4.88671875" style="7001" customWidth="1"/>
    <col min="12545" max="12545" width="6.109375" style="7001" customWidth="1"/>
    <col min="12546" max="12546" width="7" style="7001" customWidth="1"/>
    <col min="12547" max="12793" width="9.109375" style="7001"/>
    <col min="12794" max="12794" width="31.109375" style="7001" customWidth="1"/>
    <col min="12795" max="12795" width="8.88671875" style="7001" customWidth="1"/>
    <col min="12796" max="12796" width="8.44140625" style="7001" customWidth="1"/>
    <col min="12797" max="12797" width="9.88671875" style="7001" customWidth="1"/>
    <col min="12798" max="12798" width="13.88671875" style="7001" customWidth="1"/>
    <col min="12799" max="12799" width="14.109375" style="7001" customWidth="1"/>
    <col min="12800" max="12800" width="4.88671875" style="7001" customWidth="1"/>
    <col min="12801" max="12801" width="6.109375" style="7001" customWidth="1"/>
    <col min="12802" max="12802" width="7" style="7001" customWidth="1"/>
    <col min="12803" max="13049" width="9.109375" style="7001"/>
    <col min="13050" max="13050" width="31.109375" style="7001" customWidth="1"/>
    <col min="13051" max="13051" width="8.88671875" style="7001" customWidth="1"/>
    <col min="13052" max="13052" width="8.44140625" style="7001" customWidth="1"/>
    <col min="13053" max="13053" width="9.88671875" style="7001" customWidth="1"/>
    <col min="13054" max="13054" width="13.88671875" style="7001" customWidth="1"/>
    <col min="13055" max="13055" width="14.109375" style="7001" customWidth="1"/>
    <col min="13056" max="13056" width="4.88671875" style="7001" customWidth="1"/>
    <col min="13057" max="13057" width="6.109375" style="7001" customWidth="1"/>
    <col min="13058" max="13058" width="7" style="7001" customWidth="1"/>
    <col min="13059" max="13305" width="9.109375" style="7001"/>
    <col min="13306" max="13306" width="31.109375" style="7001" customWidth="1"/>
    <col min="13307" max="13307" width="8.88671875" style="7001" customWidth="1"/>
    <col min="13308" max="13308" width="8.44140625" style="7001" customWidth="1"/>
    <col min="13309" max="13309" width="9.88671875" style="7001" customWidth="1"/>
    <col min="13310" max="13310" width="13.88671875" style="7001" customWidth="1"/>
    <col min="13311" max="13311" width="14.109375" style="7001" customWidth="1"/>
    <col min="13312" max="13312" width="4.88671875" style="7001" customWidth="1"/>
    <col min="13313" max="13313" width="6.109375" style="7001" customWidth="1"/>
    <col min="13314" max="13314" width="7" style="7001" customWidth="1"/>
    <col min="13315" max="13561" width="9.109375" style="7001"/>
    <col min="13562" max="13562" width="31.109375" style="7001" customWidth="1"/>
    <col min="13563" max="13563" width="8.88671875" style="7001" customWidth="1"/>
    <col min="13564" max="13564" width="8.44140625" style="7001" customWidth="1"/>
    <col min="13565" max="13565" width="9.88671875" style="7001" customWidth="1"/>
    <col min="13566" max="13566" width="13.88671875" style="7001" customWidth="1"/>
    <col min="13567" max="13567" width="14.109375" style="7001" customWidth="1"/>
    <col min="13568" max="13568" width="4.88671875" style="7001" customWidth="1"/>
    <col min="13569" max="13569" width="6.109375" style="7001" customWidth="1"/>
    <col min="13570" max="13570" width="7" style="7001" customWidth="1"/>
    <col min="13571" max="13817" width="9.109375" style="7001"/>
    <col min="13818" max="13818" width="31.109375" style="7001" customWidth="1"/>
    <col min="13819" max="13819" width="8.88671875" style="7001" customWidth="1"/>
    <col min="13820" max="13820" width="8.44140625" style="7001" customWidth="1"/>
    <col min="13821" max="13821" width="9.88671875" style="7001" customWidth="1"/>
    <col min="13822" max="13822" width="13.88671875" style="7001" customWidth="1"/>
    <col min="13823" max="13823" width="14.109375" style="7001" customWidth="1"/>
    <col min="13824" max="13824" width="4.88671875" style="7001" customWidth="1"/>
    <col min="13825" max="13825" width="6.109375" style="7001" customWidth="1"/>
    <col min="13826" max="13826" width="7" style="7001" customWidth="1"/>
    <col min="13827" max="14073" width="9.109375" style="7001"/>
    <col min="14074" max="14074" width="31.109375" style="7001" customWidth="1"/>
    <col min="14075" max="14075" width="8.88671875" style="7001" customWidth="1"/>
    <col min="14076" max="14076" width="8.44140625" style="7001" customWidth="1"/>
    <col min="14077" max="14077" width="9.88671875" style="7001" customWidth="1"/>
    <col min="14078" max="14078" width="13.88671875" style="7001" customWidth="1"/>
    <col min="14079" max="14079" width="14.109375" style="7001" customWidth="1"/>
    <col min="14080" max="14080" width="4.88671875" style="7001" customWidth="1"/>
    <col min="14081" max="14081" width="6.109375" style="7001" customWidth="1"/>
    <col min="14082" max="14082" width="7" style="7001" customWidth="1"/>
    <col min="14083" max="14329" width="9.109375" style="7001"/>
    <col min="14330" max="14330" width="31.109375" style="7001" customWidth="1"/>
    <col min="14331" max="14331" width="8.88671875" style="7001" customWidth="1"/>
    <col min="14332" max="14332" width="8.44140625" style="7001" customWidth="1"/>
    <col min="14333" max="14333" width="9.88671875" style="7001" customWidth="1"/>
    <col min="14334" max="14334" width="13.88671875" style="7001" customWidth="1"/>
    <col min="14335" max="14335" width="14.109375" style="7001" customWidth="1"/>
    <col min="14336" max="14336" width="4.88671875" style="7001" customWidth="1"/>
    <col min="14337" max="14337" width="6.109375" style="7001" customWidth="1"/>
    <col min="14338" max="14338" width="7" style="7001" customWidth="1"/>
    <col min="14339" max="14585" width="9.109375" style="7001"/>
    <col min="14586" max="14586" width="31.109375" style="7001" customWidth="1"/>
    <col min="14587" max="14587" width="8.88671875" style="7001" customWidth="1"/>
    <col min="14588" max="14588" width="8.44140625" style="7001" customWidth="1"/>
    <col min="14589" max="14589" width="9.88671875" style="7001" customWidth="1"/>
    <col min="14590" max="14590" width="13.88671875" style="7001" customWidth="1"/>
    <col min="14591" max="14591" width="14.109375" style="7001" customWidth="1"/>
    <col min="14592" max="14592" width="4.88671875" style="7001" customWidth="1"/>
    <col min="14593" max="14593" width="6.109375" style="7001" customWidth="1"/>
    <col min="14594" max="14594" width="7" style="7001" customWidth="1"/>
    <col min="14595" max="14841" width="9.109375" style="7001"/>
    <col min="14842" max="14842" width="31.109375" style="7001" customWidth="1"/>
    <col min="14843" max="14843" width="8.88671875" style="7001" customWidth="1"/>
    <col min="14844" max="14844" width="8.44140625" style="7001" customWidth="1"/>
    <col min="14845" max="14845" width="9.88671875" style="7001" customWidth="1"/>
    <col min="14846" max="14846" width="13.88671875" style="7001" customWidth="1"/>
    <col min="14847" max="14847" width="14.109375" style="7001" customWidth="1"/>
    <col min="14848" max="14848" width="4.88671875" style="7001" customWidth="1"/>
    <col min="14849" max="14849" width="6.109375" style="7001" customWidth="1"/>
    <col min="14850" max="14850" width="7" style="7001" customWidth="1"/>
    <col min="14851" max="15097" width="9.109375" style="7001"/>
    <col min="15098" max="15098" width="31.109375" style="7001" customWidth="1"/>
    <col min="15099" max="15099" width="8.88671875" style="7001" customWidth="1"/>
    <col min="15100" max="15100" width="8.44140625" style="7001" customWidth="1"/>
    <col min="15101" max="15101" width="9.88671875" style="7001" customWidth="1"/>
    <col min="15102" max="15102" width="13.88671875" style="7001" customWidth="1"/>
    <col min="15103" max="15103" width="14.109375" style="7001" customWidth="1"/>
    <col min="15104" max="15104" width="4.88671875" style="7001" customWidth="1"/>
    <col min="15105" max="15105" width="6.109375" style="7001" customWidth="1"/>
    <col min="15106" max="15106" width="7" style="7001" customWidth="1"/>
    <col min="15107" max="15353" width="9.109375" style="7001"/>
    <col min="15354" max="15354" width="31.109375" style="7001" customWidth="1"/>
    <col min="15355" max="15355" width="8.88671875" style="7001" customWidth="1"/>
    <col min="15356" max="15356" width="8.44140625" style="7001" customWidth="1"/>
    <col min="15357" max="15357" width="9.88671875" style="7001" customWidth="1"/>
    <col min="15358" max="15358" width="13.88671875" style="7001" customWidth="1"/>
    <col min="15359" max="15359" width="14.109375" style="7001" customWidth="1"/>
    <col min="15360" max="15360" width="4.88671875" style="7001" customWidth="1"/>
    <col min="15361" max="15361" width="6.109375" style="7001" customWidth="1"/>
    <col min="15362" max="15362" width="7" style="7001" customWidth="1"/>
    <col min="15363" max="15609" width="9.109375" style="7001"/>
    <col min="15610" max="15610" width="31.109375" style="7001" customWidth="1"/>
    <col min="15611" max="15611" width="8.88671875" style="7001" customWidth="1"/>
    <col min="15612" max="15612" width="8.44140625" style="7001" customWidth="1"/>
    <col min="15613" max="15613" width="9.88671875" style="7001" customWidth="1"/>
    <col min="15614" max="15614" width="13.88671875" style="7001" customWidth="1"/>
    <col min="15615" max="15615" width="14.109375" style="7001" customWidth="1"/>
    <col min="15616" max="15616" width="4.88671875" style="7001" customWidth="1"/>
    <col min="15617" max="15617" width="6.109375" style="7001" customWidth="1"/>
    <col min="15618" max="15618" width="7" style="7001" customWidth="1"/>
    <col min="15619" max="15865" width="9.109375" style="7001"/>
    <col min="15866" max="15866" width="31.109375" style="7001" customWidth="1"/>
    <col min="15867" max="15867" width="8.88671875" style="7001" customWidth="1"/>
    <col min="15868" max="15868" width="8.44140625" style="7001" customWidth="1"/>
    <col min="15869" max="15869" width="9.88671875" style="7001" customWidth="1"/>
    <col min="15870" max="15870" width="13.88671875" style="7001" customWidth="1"/>
    <col min="15871" max="15871" width="14.109375" style="7001" customWidth="1"/>
    <col min="15872" max="15872" width="4.88671875" style="7001" customWidth="1"/>
    <col min="15873" max="15873" width="6.109375" style="7001" customWidth="1"/>
    <col min="15874" max="15874" width="7" style="7001" customWidth="1"/>
    <col min="15875" max="16121" width="9.109375" style="7001"/>
    <col min="16122" max="16122" width="31.109375" style="7001" customWidth="1"/>
    <col min="16123" max="16123" width="8.88671875" style="7001" customWidth="1"/>
    <col min="16124" max="16124" width="8.44140625" style="7001" customWidth="1"/>
    <col min="16125" max="16125" width="9.88671875" style="7001" customWidth="1"/>
    <col min="16126" max="16126" width="13.88671875" style="7001" customWidth="1"/>
    <col min="16127" max="16127" width="14.109375" style="7001" customWidth="1"/>
    <col min="16128" max="16128" width="4.88671875" style="7001" customWidth="1"/>
    <col min="16129" max="16129" width="6.109375" style="7001" customWidth="1"/>
    <col min="16130" max="16130" width="7" style="7001" customWidth="1"/>
    <col min="16131" max="16384" width="9.109375" style="7001"/>
  </cols>
  <sheetData>
    <row r="1" spans="1:9" ht="12.9" customHeight="1">
      <c r="A1" s="14395" t="s">
        <v>1032</v>
      </c>
      <c r="B1" s="14395"/>
      <c r="C1" s="14395"/>
      <c r="D1" s="14395"/>
      <c r="E1" s="14395"/>
      <c r="F1" s="14395"/>
    </row>
    <row r="3" spans="1:9" ht="12.9" customHeight="1">
      <c r="A3" s="14580" t="s">
        <v>9131</v>
      </c>
      <c r="B3" s="14580"/>
      <c r="C3" s="14580"/>
      <c r="D3" s="14580"/>
      <c r="E3" s="14580"/>
      <c r="F3" s="14580"/>
    </row>
    <row r="4" spans="1:9" ht="12.9" customHeight="1" thickBot="1"/>
    <row r="5" spans="1:9" s="7163" customFormat="1" ht="12.9" customHeight="1">
      <c r="A5" s="9697" t="s">
        <v>1034</v>
      </c>
      <c r="B5" s="14211" t="s">
        <v>1035</v>
      </c>
      <c r="C5" s="10711" t="s">
        <v>1036</v>
      </c>
      <c r="D5" s="14213" t="s">
        <v>1037</v>
      </c>
      <c r="E5" s="14213"/>
      <c r="F5" s="14214"/>
    </row>
    <row r="6" spans="1:9" s="7163" customFormat="1" ht="12.9" customHeight="1" thickBot="1">
      <c r="A6" s="9698" t="s">
        <v>1038</v>
      </c>
      <c r="B6" s="14738"/>
      <c r="C6" s="10712" t="s">
        <v>1039</v>
      </c>
      <c r="D6" s="9719" t="s">
        <v>10</v>
      </c>
      <c r="E6" s="10712" t="s">
        <v>11</v>
      </c>
      <c r="F6" s="9699" t="s">
        <v>11621</v>
      </c>
    </row>
    <row r="7" spans="1:9" ht="12.9" customHeight="1">
      <c r="A7" s="7231"/>
      <c r="B7" s="9666"/>
      <c r="C7" s="7174"/>
      <c r="D7" s="9665"/>
      <c r="E7" s="7174"/>
      <c r="F7" s="7242"/>
    </row>
    <row r="8" spans="1:9" ht="12.9" customHeight="1">
      <c r="A8" s="7231" t="s">
        <v>806</v>
      </c>
      <c r="B8" s="7172"/>
      <c r="C8" s="7174"/>
      <c r="D8" s="7174"/>
      <c r="E8" s="7174"/>
      <c r="F8" s="7242"/>
    </row>
    <row r="9" spans="1:9" ht="12.9" customHeight="1">
      <c r="A9" s="6230" t="s">
        <v>1041</v>
      </c>
      <c r="B9" s="7172"/>
      <c r="C9" s="7174"/>
      <c r="D9" s="7174"/>
      <c r="E9" s="7174"/>
      <c r="F9" s="7242"/>
    </row>
    <row r="10" spans="1:9" ht="12.9" customHeight="1">
      <c r="A10" s="7231"/>
      <c r="B10" s="7172"/>
      <c r="C10" s="7174"/>
      <c r="D10" s="7174"/>
      <c r="E10" s="7174"/>
      <c r="F10" s="7242"/>
    </row>
    <row r="11" spans="1:9" ht="12.9" customHeight="1">
      <c r="A11" s="7231" t="s">
        <v>10126</v>
      </c>
      <c r="B11" s="7172">
        <v>1</v>
      </c>
      <c r="C11" s="7172">
        <v>26</v>
      </c>
      <c r="D11" s="7177">
        <v>947520</v>
      </c>
      <c r="E11" s="7177">
        <v>1105296</v>
      </c>
      <c r="F11" s="7245">
        <v>1289328</v>
      </c>
      <c r="H11" s="7001">
        <f>SUM(B11)</f>
        <v>1</v>
      </c>
      <c r="I11" s="7164">
        <f>SUM(F11)</f>
        <v>1289328</v>
      </c>
    </row>
    <row r="12" spans="1:9" ht="12.9" customHeight="1">
      <c r="A12" s="7231"/>
      <c r="B12" s="7172"/>
      <c r="C12" s="7172"/>
      <c r="D12" s="7177"/>
      <c r="E12" s="7177"/>
      <c r="F12" s="7245"/>
    </row>
    <row r="13" spans="1:9" ht="12.9" customHeight="1">
      <c r="A13" s="6230" t="s">
        <v>1043</v>
      </c>
      <c r="B13" s="7172"/>
      <c r="C13" s="7172"/>
      <c r="D13" s="7177"/>
      <c r="E13" s="7177"/>
      <c r="F13" s="7245"/>
    </row>
    <row r="14" spans="1:9" ht="12.9" customHeight="1">
      <c r="A14" s="7231"/>
      <c r="B14" s="7172"/>
      <c r="C14" s="7172"/>
      <c r="D14" s="7177"/>
      <c r="E14" s="7177"/>
      <c r="F14" s="7245"/>
    </row>
    <row r="15" spans="1:9" ht="12.9" customHeight="1">
      <c r="A15" s="7231"/>
      <c r="B15" s="7172"/>
      <c r="C15" s="7172"/>
      <c r="D15" s="7177"/>
      <c r="E15" s="7177"/>
      <c r="F15" s="7245"/>
    </row>
    <row r="16" spans="1:9" ht="12.9" customHeight="1">
      <c r="A16" s="6230" t="s">
        <v>1045</v>
      </c>
      <c r="B16" s="7172"/>
      <c r="C16" s="7172"/>
      <c r="D16" s="7177"/>
      <c r="E16" s="7177"/>
      <c r="F16" s="7245"/>
    </row>
    <row r="17" spans="1:9" ht="12.9" customHeight="1">
      <c r="A17" s="6230" t="s">
        <v>1046</v>
      </c>
      <c r="B17" s="7172"/>
      <c r="C17" s="7172"/>
      <c r="D17" s="7177"/>
      <c r="E17" s="7177"/>
      <c r="F17" s="7245"/>
    </row>
    <row r="18" spans="1:9" ht="12.9" customHeight="1">
      <c r="A18" s="7231"/>
      <c r="B18" s="7172"/>
      <c r="C18" s="7172"/>
      <c r="D18" s="7177"/>
      <c r="E18" s="7177"/>
      <c r="F18" s="7245"/>
    </row>
    <row r="19" spans="1:9" ht="12.9" hidden="1" customHeight="1">
      <c r="A19" s="7231" t="s">
        <v>10127</v>
      </c>
      <c r="B19" s="7172">
        <v>0</v>
      </c>
      <c r="C19" s="7172">
        <v>16</v>
      </c>
      <c r="D19" s="7177">
        <v>0</v>
      </c>
      <c r="E19" s="7177">
        <v>0</v>
      </c>
      <c r="F19" s="7245">
        <v>0</v>
      </c>
    </row>
    <row r="20" spans="1:9" ht="12.9" hidden="1" customHeight="1">
      <c r="A20" s="7231" t="s">
        <v>10128</v>
      </c>
      <c r="B20" s="7172">
        <v>0</v>
      </c>
      <c r="C20" s="7172">
        <v>14</v>
      </c>
      <c r="D20" s="7177">
        <v>0</v>
      </c>
      <c r="E20" s="7177">
        <v>0</v>
      </c>
      <c r="F20" s="7245">
        <v>0</v>
      </c>
    </row>
    <row r="21" spans="1:9" ht="12.9" customHeight="1">
      <c r="A21" s="7231"/>
      <c r="B21" s="7172"/>
      <c r="C21" s="7172"/>
      <c r="D21" s="7177"/>
      <c r="E21" s="7177"/>
      <c r="F21" s="7245"/>
      <c r="H21" s="7001">
        <f>SUM(B19:B21)</f>
        <v>0</v>
      </c>
      <c r="I21" s="7164">
        <f>SUM(F19:F21)</f>
        <v>0</v>
      </c>
    </row>
    <row r="22" spans="1:9" ht="12.9" customHeight="1">
      <c r="A22" s="6230" t="s">
        <v>1051</v>
      </c>
      <c r="B22" s="7172"/>
      <c r="C22" s="7172"/>
      <c r="D22" s="7177"/>
      <c r="E22" s="7177"/>
      <c r="F22" s="7245"/>
    </row>
    <row r="23" spans="1:9" ht="12.9" customHeight="1">
      <c r="A23" s="6230"/>
      <c r="B23" s="7172"/>
      <c r="C23" s="7172"/>
      <c r="D23" s="7177"/>
      <c r="E23" s="7177"/>
      <c r="F23" s="7245"/>
    </row>
    <row r="24" spans="1:9" ht="12.9" customHeight="1">
      <c r="A24" s="7231" t="s">
        <v>10129</v>
      </c>
      <c r="B24" s="7172">
        <v>0</v>
      </c>
      <c r="C24" s="7172">
        <v>11</v>
      </c>
      <c r="D24" s="7177">
        <v>238236</v>
      </c>
      <c r="E24" s="7177">
        <v>0</v>
      </c>
      <c r="F24" s="7245">
        <v>0</v>
      </c>
    </row>
    <row r="25" spans="1:9" ht="12.9" customHeight="1">
      <c r="A25" s="7231" t="s">
        <v>10130</v>
      </c>
      <c r="B25" s="7172">
        <v>1</v>
      </c>
      <c r="C25" s="7172">
        <v>11</v>
      </c>
      <c r="D25" s="7177">
        <v>255684</v>
      </c>
      <c r="E25" s="7177">
        <v>264660</v>
      </c>
      <c r="F25" s="7245">
        <v>273948</v>
      </c>
    </row>
    <row r="26" spans="1:9" ht="12.9" customHeight="1">
      <c r="A26" s="7231" t="s">
        <v>10131</v>
      </c>
      <c r="B26" s="7172">
        <v>2</v>
      </c>
      <c r="C26" s="7172">
        <v>8</v>
      </c>
      <c r="D26" s="7177">
        <v>403764</v>
      </c>
      <c r="E26" s="7177">
        <v>206508</v>
      </c>
      <c r="F26" s="7245">
        <v>415272</v>
      </c>
    </row>
    <row r="27" spans="1:9" ht="12.9" customHeight="1">
      <c r="A27" s="7231" t="s">
        <v>10132</v>
      </c>
      <c r="B27" s="7172">
        <v>1</v>
      </c>
      <c r="C27" s="7172">
        <v>5</v>
      </c>
      <c r="D27" s="7177">
        <v>165588</v>
      </c>
      <c r="E27" s="7177">
        <v>171360</v>
      </c>
      <c r="F27" s="7245">
        <v>177324</v>
      </c>
    </row>
    <row r="28" spans="1:9" ht="12.9" customHeight="1">
      <c r="A28" s="7231" t="s">
        <v>10133</v>
      </c>
      <c r="B28" s="7172">
        <v>20</v>
      </c>
      <c r="C28" s="7172">
        <v>3</v>
      </c>
      <c r="D28" s="7177">
        <v>2678676</v>
      </c>
      <c r="E28" s="7177">
        <v>2658804</v>
      </c>
      <c r="F28" s="7245">
        <v>3080640</v>
      </c>
    </row>
    <row r="29" spans="1:9" ht="12.9" customHeight="1">
      <c r="A29" s="7231" t="s">
        <v>10134</v>
      </c>
      <c r="B29" s="7172">
        <v>7</v>
      </c>
      <c r="C29" s="7172">
        <v>6</v>
      </c>
      <c r="D29" s="7177">
        <v>1554216</v>
      </c>
      <c r="E29" s="7177">
        <v>1608024</v>
      </c>
      <c r="F29" s="7245">
        <v>1297308</v>
      </c>
    </row>
    <row r="30" spans="1:9" ht="12.9" hidden="1" customHeight="1">
      <c r="A30" s="7231" t="s">
        <v>10135</v>
      </c>
      <c r="B30" s="7172">
        <v>0</v>
      </c>
      <c r="C30" s="7172">
        <v>2</v>
      </c>
      <c r="D30" s="7177">
        <v>0</v>
      </c>
      <c r="E30" s="7177">
        <v>0</v>
      </c>
      <c r="F30" s="7245">
        <v>0</v>
      </c>
    </row>
    <row r="31" spans="1:9" ht="12.9" customHeight="1">
      <c r="A31" s="7231" t="s">
        <v>10361</v>
      </c>
      <c r="B31" s="7172">
        <v>1</v>
      </c>
      <c r="C31" s="7172">
        <v>4</v>
      </c>
      <c r="D31" s="7177">
        <v>147144</v>
      </c>
      <c r="E31" s="7177">
        <v>153336</v>
      </c>
      <c r="F31" s="7245">
        <v>159792</v>
      </c>
    </row>
    <row r="32" spans="1:9" ht="12.9" customHeight="1">
      <c r="A32" s="7231"/>
      <c r="B32" s="7172"/>
      <c r="C32" s="7172"/>
      <c r="D32" s="7177"/>
      <c r="E32" s="7177"/>
      <c r="F32" s="7245"/>
      <c r="H32" s="7001">
        <f>SUM(B24:B32)</f>
        <v>32</v>
      </c>
      <c r="I32" s="7164">
        <f>SUM(F24:F32)</f>
        <v>5404284</v>
      </c>
    </row>
    <row r="33" spans="1:9" ht="12.9" customHeight="1">
      <c r="A33" s="6230" t="s">
        <v>1054</v>
      </c>
      <c r="B33" s="7172"/>
      <c r="C33" s="7172"/>
      <c r="D33" s="7177"/>
      <c r="E33" s="7177"/>
      <c r="F33" s="7245"/>
    </row>
    <row r="34" spans="1:9" ht="12.9" customHeight="1">
      <c r="A34" s="6230"/>
      <c r="B34" s="7172"/>
      <c r="C34" s="7172"/>
      <c r="D34" s="7177"/>
      <c r="E34" s="7177"/>
      <c r="F34" s="7245"/>
    </row>
    <row r="35" spans="1:9" ht="12.9" customHeight="1">
      <c r="A35" s="7231" t="s">
        <v>10136</v>
      </c>
      <c r="B35" s="7172">
        <v>1</v>
      </c>
      <c r="C35" s="7172">
        <v>18</v>
      </c>
      <c r="D35" s="7177">
        <v>433332</v>
      </c>
      <c r="E35" s="7177">
        <v>462516</v>
      </c>
      <c r="F35" s="7245">
        <v>493680</v>
      </c>
    </row>
    <row r="36" spans="1:9" ht="12.9" hidden="1" customHeight="1">
      <c r="A36" s="7231" t="s">
        <v>10137</v>
      </c>
      <c r="B36" s="7172">
        <v>0</v>
      </c>
      <c r="C36" s="7172">
        <v>15</v>
      </c>
      <c r="D36" s="7177"/>
      <c r="E36" s="7177"/>
      <c r="F36" s="7245"/>
    </row>
    <row r="37" spans="1:9" ht="12.9" customHeight="1">
      <c r="A37" s="7231" t="s">
        <v>10138</v>
      </c>
      <c r="B37" s="7172">
        <v>1</v>
      </c>
      <c r="C37" s="7172">
        <v>14</v>
      </c>
      <c r="D37" s="7178">
        <v>0</v>
      </c>
      <c r="E37" s="7178">
        <v>317928</v>
      </c>
      <c r="F37" s="7246">
        <v>337188</v>
      </c>
    </row>
    <row r="38" spans="1:9" ht="12.9" customHeight="1">
      <c r="A38" s="7231" t="s">
        <v>10139</v>
      </c>
      <c r="B38" s="7172">
        <v>0</v>
      </c>
      <c r="C38" s="7172">
        <v>11</v>
      </c>
      <c r="D38" s="7178">
        <v>235440</v>
      </c>
      <c r="E38" s="7178">
        <v>242148</v>
      </c>
      <c r="F38" s="7245">
        <v>0</v>
      </c>
    </row>
    <row r="39" spans="1:9" ht="12.9" hidden="1" customHeight="1">
      <c r="A39" s="7231" t="s">
        <v>10140</v>
      </c>
      <c r="B39" s="7172">
        <v>0</v>
      </c>
      <c r="C39" s="7172">
        <v>8</v>
      </c>
      <c r="D39" s="7177">
        <v>0</v>
      </c>
      <c r="E39" s="7177">
        <v>0</v>
      </c>
      <c r="F39" s="7245">
        <v>0</v>
      </c>
    </row>
    <row r="40" spans="1:9" ht="12.9" customHeight="1">
      <c r="A40" s="7231" t="s">
        <v>10141</v>
      </c>
      <c r="B40" s="7172">
        <v>1</v>
      </c>
      <c r="C40" s="7172">
        <v>6</v>
      </c>
      <c r="D40" s="7177">
        <v>0</v>
      </c>
      <c r="E40" s="7177">
        <v>344160</v>
      </c>
      <c r="F40" s="7245">
        <f>357696-178164</f>
        <v>179532</v>
      </c>
      <c r="G40" s="13961" t="s">
        <v>12246</v>
      </c>
    </row>
    <row r="41" spans="1:9" ht="12.9" customHeight="1">
      <c r="A41" s="7231" t="s">
        <v>10142</v>
      </c>
      <c r="B41" s="7172">
        <v>1</v>
      </c>
      <c r="C41" s="7172">
        <v>4</v>
      </c>
      <c r="D41" s="7177">
        <v>153768</v>
      </c>
      <c r="E41" s="7177">
        <v>159780</v>
      </c>
      <c r="F41" s="7245">
        <v>166020</v>
      </c>
    </row>
    <row r="42" spans="1:9" ht="12.9" customHeight="1">
      <c r="A42" s="7231" t="s">
        <v>10143</v>
      </c>
      <c r="B42" s="7172">
        <v>4</v>
      </c>
      <c r="C42" s="7172">
        <v>3</v>
      </c>
      <c r="D42" s="7177">
        <v>139068</v>
      </c>
      <c r="E42" s="7177">
        <v>285936</v>
      </c>
      <c r="F42" s="7245">
        <v>599520</v>
      </c>
    </row>
    <row r="43" spans="1:9" ht="12.9" customHeight="1">
      <c r="A43" s="7231" t="s">
        <v>10568</v>
      </c>
      <c r="B43" s="7172">
        <v>2</v>
      </c>
      <c r="C43" s="7172">
        <v>2</v>
      </c>
      <c r="D43" s="7177">
        <v>134940</v>
      </c>
      <c r="E43" s="7177">
        <v>275604</v>
      </c>
      <c r="F43" s="7245">
        <v>288888</v>
      </c>
    </row>
    <row r="44" spans="1:9" ht="12.9" customHeight="1">
      <c r="A44" s="7231" t="s">
        <v>10144</v>
      </c>
      <c r="B44" s="7172">
        <v>7</v>
      </c>
      <c r="C44" s="7172">
        <v>1</v>
      </c>
      <c r="D44" s="7177">
        <v>1102452</v>
      </c>
      <c r="E44" s="7177">
        <v>1037052</v>
      </c>
      <c r="F44" s="7245">
        <v>956772</v>
      </c>
    </row>
    <row r="45" spans="1:9" ht="12.9" customHeight="1" thickBot="1">
      <c r="A45" s="7235"/>
      <c r="B45" s="7180"/>
      <c r="C45" s="7180"/>
      <c r="D45" s="7181"/>
      <c r="E45" s="7181"/>
      <c r="F45" s="7247"/>
      <c r="H45" s="7001">
        <f>SUM(B35:B45)</f>
        <v>17</v>
      </c>
      <c r="I45" s="7164">
        <f>SUM(F35:F45)</f>
        <v>3021600</v>
      </c>
    </row>
    <row r="46" spans="1:9" ht="12.9" customHeight="1" thickBot="1">
      <c r="A46" s="9838" t="s">
        <v>1064</v>
      </c>
      <c r="B46" s="9839">
        <f>SUM(B9:B44)</f>
        <v>50</v>
      </c>
      <c r="C46" s="9839"/>
      <c r="D46" s="10816">
        <f>SUM(D11:D45)</f>
        <v>8589828</v>
      </c>
      <c r="E46" s="10816">
        <f>SUM(E11:E45)</f>
        <v>9293112</v>
      </c>
      <c r="F46" s="10817">
        <f>SUM(F11:F45)</f>
        <v>9715212</v>
      </c>
      <c r="H46" s="6232">
        <f>SUM(H9:H45)</f>
        <v>50</v>
      </c>
    </row>
    <row r="47" spans="1:9" ht="12.9" customHeight="1">
      <c r="A47" s="7248"/>
      <c r="B47" s="9666"/>
      <c r="C47" s="9666"/>
      <c r="D47" s="9720"/>
      <c r="E47" s="9720"/>
      <c r="F47" s="9721"/>
    </row>
    <row r="48" spans="1:9" ht="12.9" customHeight="1">
      <c r="A48" s="6230" t="s">
        <v>1065</v>
      </c>
      <c r="B48" s="7172" t="s">
        <v>9</v>
      </c>
      <c r="C48" s="7172"/>
      <c r="D48" s="7177"/>
      <c r="E48" s="7177"/>
      <c r="F48" s="7245"/>
    </row>
    <row r="49" spans="1:7" ht="12.9" customHeight="1">
      <c r="A49" s="6230"/>
      <c r="B49" s="7172"/>
      <c r="C49" s="7172"/>
      <c r="D49" s="7177"/>
      <c r="E49" s="7177"/>
      <c r="F49" s="7245"/>
    </row>
    <row r="50" spans="1:7" ht="12.9" customHeight="1">
      <c r="A50" s="7231" t="s">
        <v>10136</v>
      </c>
      <c r="B50" s="7172">
        <v>0</v>
      </c>
      <c r="C50" s="7172">
        <v>18</v>
      </c>
      <c r="D50" s="7177">
        <v>0</v>
      </c>
      <c r="E50" s="7177">
        <v>457020</v>
      </c>
      <c r="F50" s="7245">
        <v>0</v>
      </c>
    </row>
    <row r="51" spans="1:7" ht="12.9" hidden="1" customHeight="1">
      <c r="A51" s="7231" t="s">
        <v>10137</v>
      </c>
      <c r="B51" s="7172">
        <v>0</v>
      </c>
      <c r="C51" s="7172">
        <v>15</v>
      </c>
      <c r="D51" s="7177">
        <v>0</v>
      </c>
      <c r="E51" s="7177">
        <v>0</v>
      </c>
      <c r="F51" s="7245">
        <v>0</v>
      </c>
    </row>
    <row r="52" spans="1:7" ht="12.9" hidden="1" customHeight="1">
      <c r="A52" s="7231" t="s">
        <v>10569</v>
      </c>
      <c r="B52" s="7172">
        <v>0</v>
      </c>
      <c r="C52" s="7172">
        <v>15</v>
      </c>
      <c r="D52" s="7177">
        <v>0</v>
      </c>
      <c r="E52" s="7177">
        <v>0</v>
      </c>
      <c r="F52" s="7245">
        <v>0</v>
      </c>
    </row>
    <row r="53" spans="1:7" ht="12.9" hidden="1" customHeight="1">
      <c r="A53" s="7231" t="s">
        <v>10128</v>
      </c>
      <c r="B53" s="7172">
        <v>0</v>
      </c>
      <c r="C53" s="7172">
        <v>14</v>
      </c>
      <c r="D53" s="7178">
        <v>0</v>
      </c>
      <c r="E53" s="7178">
        <v>0</v>
      </c>
      <c r="F53" s="7246">
        <v>0</v>
      </c>
    </row>
    <row r="54" spans="1:7" ht="12.9" customHeight="1">
      <c r="A54" s="7231" t="s">
        <v>10138</v>
      </c>
      <c r="B54" s="7172">
        <v>0</v>
      </c>
      <c r="C54" s="7172">
        <v>14</v>
      </c>
      <c r="D54" s="7177">
        <v>303480</v>
      </c>
      <c r="E54" s="7177">
        <v>0</v>
      </c>
      <c r="F54" s="7245">
        <v>0</v>
      </c>
    </row>
    <row r="55" spans="1:7" ht="12.9" customHeight="1">
      <c r="A55" s="7231" t="s">
        <v>10139</v>
      </c>
      <c r="B55" s="7172">
        <v>1</v>
      </c>
      <c r="C55" s="7172">
        <v>11</v>
      </c>
      <c r="D55" s="7177">
        <v>0</v>
      </c>
      <c r="E55" s="7177">
        <v>0</v>
      </c>
      <c r="F55" s="7245">
        <v>249048</v>
      </c>
    </row>
    <row r="56" spans="1:7" ht="12.9" hidden="1" customHeight="1">
      <c r="A56" s="7231" t="s">
        <v>10570</v>
      </c>
      <c r="B56" s="7172">
        <v>0</v>
      </c>
      <c r="C56" s="7172">
        <v>10</v>
      </c>
      <c r="D56" s="7177">
        <v>0</v>
      </c>
      <c r="E56" s="7177">
        <v>0</v>
      </c>
      <c r="F56" s="7245">
        <v>0</v>
      </c>
    </row>
    <row r="57" spans="1:7" ht="12.9" hidden="1" customHeight="1">
      <c r="A57" s="7231" t="s">
        <v>10571</v>
      </c>
      <c r="B57" s="7172">
        <v>0</v>
      </c>
      <c r="C57" s="7172">
        <v>8</v>
      </c>
      <c r="D57" s="7178">
        <v>0</v>
      </c>
      <c r="E57" s="7178">
        <v>0</v>
      </c>
      <c r="F57" s="7246">
        <v>0</v>
      </c>
    </row>
    <row r="58" spans="1:7" ht="12.9" customHeight="1">
      <c r="A58" s="7231" t="s">
        <v>10134</v>
      </c>
      <c r="B58" s="7172">
        <v>0</v>
      </c>
      <c r="C58" s="7172">
        <v>6</v>
      </c>
      <c r="D58" s="7177">
        <v>0</v>
      </c>
      <c r="E58" s="7177">
        <v>0</v>
      </c>
      <c r="F58" s="7246">
        <v>0</v>
      </c>
      <c r="G58" s="13961" t="s">
        <v>12250</v>
      </c>
    </row>
    <row r="59" spans="1:7" ht="12.9" customHeight="1">
      <c r="A59" s="7231" t="s">
        <v>10141</v>
      </c>
      <c r="B59" s="7172">
        <v>0</v>
      </c>
      <c r="C59" s="7172">
        <v>6</v>
      </c>
      <c r="D59" s="7178">
        <v>166212</v>
      </c>
      <c r="E59" s="7178">
        <v>0</v>
      </c>
      <c r="F59" s="7246">
        <v>0</v>
      </c>
    </row>
    <row r="60" spans="1:7" ht="12.9" customHeight="1">
      <c r="A60" s="7231" t="s">
        <v>10142</v>
      </c>
      <c r="B60" s="7172">
        <v>2</v>
      </c>
      <c r="C60" s="7172">
        <v>4</v>
      </c>
      <c r="D60" s="7178">
        <v>291720</v>
      </c>
      <c r="E60" s="7178">
        <v>304176</v>
      </c>
      <c r="F60" s="7246">
        <v>317136</v>
      </c>
    </row>
    <row r="61" spans="1:7" ht="12.9" hidden="1" customHeight="1">
      <c r="A61" s="7231" t="s">
        <v>10361</v>
      </c>
      <c r="B61" s="7172">
        <v>0</v>
      </c>
      <c r="C61" s="7172">
        <v>4</v>
      </c>
      <c r="D61" s="7177">
        <v>0</v>
      </c>
      <c r="E61" s="7177">
        <v>0</v>
      </c>
      <c r="F61" s="7245">
        <v>0</v>
      </c>
    </row>
    <row r="62" spans="1:7" ht="12.9" customHeight="1">
      <c r="A62" s="7231" t="s">
        <v>10131</v>
      </c>
      <c r="B62" s="7172">
        <v>0</v>
      </c>
      <c r="C62" s="7172">
        <v>8</v>
      </c>
      <c r="D62" s="7177"/>
      <c r="E62" s="7177">
        <v>195384</v>
      </c>
      <c r="F62" s="7246">
        <v>0</v>
      </c>
    </row>
    <row r="63" spans="1:7" ht="12.9" customHeight="1">
      <c r="A63" s="7231" t="s">
        <v>10133</v>
      </c>
      <c r="B63" s="7172">
        <v>0</v>
      </c>
      <c r="C63" s="7172">
        <v>3</v>
      </c>
      <c r="D63" s="7177">
        <v>136644</v>
      </c>
      <c r="E63" s="7177">
        <v>285936</v>
      </c>
      <c r="F63" s="7246">
        <v>0</v>
      </c>
    </row>
    <row r="64" spans="1:7" ht="12.9" customHeight="1">
      <c r="A64" s="7231" t="s">
        <v>10143</v>
      </c>
      <c r="B64" s="7172">
        <v>0</v>
      </c>
      <c r="C64" s="7172">
        <v>3</v>
      </c>
      <c r="D64" s="7177">
        <v>409932</v>
      </c>
      <c r="E64" s="7177">
        <v>285936</v>
      </c>
      <c r="F64" s="7246">
        <v>0</v>
      </c>
    </row>
    <row r="65" spans="1:6" ht="12.9" customHeight="1">
      <c r="A65" s="7231" t="s">
        <v>10568</v>
      </c>
      <c r="B65" s="7172">
        <v>0</v>
      </c>
      <c r="C65" s="7172">
        <v>2</v>
      </c>
      <c r="D65" s="7177">
        <v>128004</v>
      </c>
      <c r="E65" s="7177">
        <v>0</v>
      </c>
      <c r="F65" s="7245">
        <v>0</v>
      </c>
    </row>
    <row r="66" spans="1:6" ht="12.9" customHeight="1">
      <c r="A66" s="7231" t="s">
        <v>10144</v>
      </c>
      <c r="B66" s="7172">
        <v>2</v>
      </c>
      <c r="C66" s="7172">
        <v>1</v>
      </c>
      <c r="D66" s="7177">
        <v>0</v>
      </c>
      <c r="E66" s="7177">
        <v>128340</v>
      </c>
      <c r="F66" s="7245">
        <v>265632</v>
      </c>
    </row>
    <row r="67" spans="1:6" ht="12.9" customHeight="1" thickBot="1">
      <c r="A67" s="7231" t="s">
        <v>9</v>
      </c>
      <c r="B67" s="7172" t="s">
        <v>9</v>
      </c>
      <c r="C67" s="7172"/>
      <c r="D67" s="7177"/>
      <c r="E67" s="7177"/>
      <c r="F67" s="7245"/>
    </row>
    <row r="68" spans="1:6" s="7165" customFormat="1" ht="12.9" customHeight="1" thickBot="1">
      <c r="A68" s="7209" t="s">
        <v>4774</v>
      </c>
      <c r="B68" s="10710">
        <f>SUM(B49:B67)</f>
        <v>5</v>
      </c>
      <c r="C68" s="9661"/>
      <c r="D68" s="9705">
        <f>SUM(D49:D67)</f>
        <v>1435992</v>
      </c>
      <c r="E68" s="9705">
        <f>SUM(E49:E67)</f>
        <v>1656792</v>
      </c>
      <c r="F68" s="9706">
        <f>SUM(F49:F67)</f>
        <v>831816</v>
      </c>
    </row>
    <row r="69" spans="1:6" ht="12.9" customHeight="1" thickBot="1">
      <c r="A69" s="7231"/>
      <c r="B69" s="7172"/>
      <c r="C69" s="7172"/>
      <c r="D69" s="7177"/>
      <c r="E69" s="7177"/>
      <c r="F69" s="7245"/>
    </row>
    <row r="70" spans="1:6" s="7165" customFormat="1" ht="12.9" customHeight="1" thickBot="1">
      <c r="A70" s="9712" t="s">
        <v>1074</v>
      </c>
      <c r="B70" s="10710">
        <f>SUM(B46+B68)</f>
        <v>55</v>
      </c>
      <c r="C70" s="7210"/>
      <c r="D70" s="7226">
        <f>SUM(D46+D68)</f>
        <v>10025820</v>
      </c>
      <c r="E70" s="7226">
        <f>SUM(E46+E68)</f>
        <v>10949904</v>
      </c>
      <c r="F70" s="9713">
        <f>SUM(F46+F68)</f>
        <v>10547028</v>
      </c>
    </row>
    <row r="71" spans="1:6" ht="12.9" customHeight="1">
      <c r="A71" s="9841" t="s">
        <v>9</v>
      </c>
      <c r="B71" s="9842"/>
      <c r="C71" s="9841"/>
      <c r="D71" s="9841"/>
      <c r="E71" s="9841"/>
      <c r="F71" s="9841"/>
    </row>
    <row r="72" spans="1:6" ht="12.9" customHeight="1">
      <c r="A72" s="6330"/>
      <c r="B72" s="6231"/>
      <c r="C72" s="6330"/>
      <c r="D72" s="6330"/>
      <c r="E72" s="6330"/>
      <c r="F72" s="6330"/>
    </row>
    <row r="73" spans="1:6" ht="12.9" customHeight="1">
      <c r="A73" s="6330"/>
      <c r="B73" s="6231"/>
      <c r="C73" s="6330"/>
      <c r="D73" s="6330"/>
      <c r="E73" s="6330"/>
      <c r="F73" s="6330"/>
    </row>
    <row r="74" spans="1:6" ht="12.9" customHeight="1">
      <c r="A74" s="6330"/>
      <c r="B74" s="6231"/>
      <c r="C74" s="6330"/>
      <c r="D74" s="6330"/>
      <c r="E74" s="6330"/>
      <c r="F74" s="6330"/>
    </row>
    <row r="75" spans="1:6" ht="12.9" customHeight="1">
      <c r="A75" s="6330"/>
      <c r="B75" s="6231"/>
      <c r="C75" s="6330"/>
      <c r="D75" s="6330"/>
      <c r="E75" s="6330"/>
      <c r="F75" s="6330"/>
    </row>
    <row r="76" spans="1:6" ht="12.9" customHeight="1">
      <c r="A76" s="6330"/>
      <c r="B76" s="6231"/>
      <c r="C76" s="6330"/>
      <c r="D76" s="6330"/>
      <c r="E76" s="6330"/>
      <c r="F76" s="6330"/>
    </row>
    <row r="77" spans="1:6" ht="12.9" customHeight="1">
      <c r="A77" s="6330"/>
      <c r="B77" s="6231"/>
      <c r="C77" s="6330"/>
      <c r="D77" s="6330"/>
      <c r="E77" s="6330"/>
      <c r="F77" s="6330"/>
    </row>
    <row r="78" spans="1:6" ht="12.9" customHeight="1" thickBot="1">
      <c r="A78" s="6330" t="s">
        <v>9136</v>
      </c>
      <c r="B78" s="10818"/>
      <c r="C78" s="10819"/>
      <c r="D78" s="10819"/>
      <c r="E78" s="10819"/>
      <c r="F78" s="10819"/>
    </row>
    <row r="79" spans="1:6" ht="12.9" customHeight="1">
      <c r="A79" s="9736" t="s">
        <v>1075</v>
      </c>
      <c r="B79" s="7172"/>
      <c r="C79" s="7174"/>
      <c r="D79" s="7174"/>
      <c r="E79" s="7174"/>
      <c r="F79" s="7242"/>
    </row>
    <row r="80" spans="1:6" ht="12.9" customHeight="1">
      <c r="A80" s="6230" t="s">
        <v>1076</v>
      </c>
      <c r="B80" s="7172"/>
      <c r="C80" s="7174"/>
      <c r="D80" s="7174"/>
      <c r="E80" s="7174"/>
      <c r="F80" s="7242"/>
    </row>
    <row r="81" spans="1:7" ht="12.9" customHeight="1">
      <c r="A81" s="7231" t="s">
        <v>1077</v>
      </c>
      <c r="B81" s="7172"/>
      <c r="C81" s="7174"/>
      <c r="D81" s="7174"/>
      <c r="E81" s="7174"/>
      <c r="F81" s="7242"/>
    </row>
    <row r="82" spans="1:7" ht="12.9" customHeight="1">
      <c r="A82" s="7231" t="s">
        <v>1078</v>
      </c>
      <c r="B82" s="7172"/>
      <c r="C82" s="7174"/>
      <c r="D82" s="7174"/>
      <c r="E82" s="7174"/>
      <c r="F82" s="7242"/>
    </row>
    <row r="83" spans="1:7" ht="12.9" customHeight="1">
      <c r="A83" s="7231" t="s">
        <v>1079</v>
      </c>
      <c r="B83" s="7172"/>
      <c r="C83" s="7174"/>
      <c r="D83" s="7174"/>
      <c r="E83" s="7174"/>
      <c r="F83" s="7242"/>
    </row>
    <row r="84" spans="1:7" ht="12.9" customHeight="1">
      <c r="A84" s="7231" t="s">
        <v>10697</v>
      </c>
      <c r="B84" s="7172">
        <v>4</v>
      </c>
      <c r="C84" s="7174"/>
      <c r="D84" s="7174"/>
      <c r="E84" s="7174"/>
      <c r="F84" s="7242"/>
      <c r="G84" s="13961" t="s">
        <v>12247</v>
      </c>
    </row>
    <row r="85" spans="1:7" ht="12.9" customHeight="1">
      <c r="A85" s="7231" t="s">
        <v>10707</v>
      </c>
      <c r="B85" s="7172"/>
      <c r="C85" s="7174"/>
      <c r="D85" s="7174"/>
      <c r="E85" s="7174"/>
      <c r="F85" s="7242"/>
    </row>
    <row r="86" spans="1:7" ht="12.9" customHeight="1">
      <c r="A86" s="7231" t="s">
        <v>1080</v>
      </c>
      <c r="B86" s="7172"/>
      <c r="C86" s="7174"/>
      <c r="D86" s="7174"/>
      <c r="E86" s="7174"/>
      <c r="F86" s="7242"/>
    </row>
    <row r="87" spans="1:7" ht="12.9" customHeight="1">
      <c r="A87" s="7231" t="s">
        <v>1081</v>
      </c>
      <c r="B87" s="7172"/>
      <c r="C87" s="7174"/>
      <c r="D87" s="7174"/>
      <c r="E87" s="7174"/>
      <c r="F87" s="7242"/>
    </row>
    <row r="88" spans="1:7" ht="12.9" customHeight="1">
      <c r="A88" s="7231" t="s">
        <v>1082</v>
      </c>
      <c r="B88" s="7172"/>
      <c r="C88" s="7174"/>
      <c r="D88" s="7174"/>
      <c r="E88" s="7174"/>
      <c r="F88" s="7242"/>
    </row>
    <row r="89" spans="1:7" ht="12.9" customHeight="1" thickBot="1">
      <c r="A89" s="7231"/>
      <c r="B89" s="7172"/>
      <c r="C89" s="7174"/>
      <c r="D89" s="7174"/>
      <c r="E89" s="7174"/>
      <c r="F89" s="7242"/>
    </row>
    <row r="90" spans="1:7" s="7165" customFormat="1" ht="12.9" customHeight="1" thickBot="1">
      <c r="A90" s="7209" t="s">
        <v>1083</v>
      </c>
      <c r="B90" s="9661"/>
      <c r="C90" s="7210"/>
      <c r="D90" s="7210"/>
      <c r="E90" s="7210"/>
      <c r="F90" s="9722"/>
    </row>
    <row r="91" spans="1:7" ht="12.9" customHeight="1">
      <c r="A91" s="7231"/>
      <c r="B91" s="7172"/>
      <c r="C91" s="7174"/>
      <c r="D91" s="7174"/>
      <c r="E91" s="7174"/>
      <c r="F91" s="7242"/>
    </row>
    <row r="92" spans="1:7" ht="12.9" customHeight="1">
      <c r="A92" s="7231" t="s">
        <v>1084</v>
      </c>
      <c r="B92" s="7172"/>
      <c r="C92" s="7174"/>
      <c r="D92" s="7174"/>
      <c r="E92" s="7174"/>
      <c r="F92" s="7242"/>
    </row>
    <row r="93" spans="1:7" ht="12.9" customHeight="1">
      <c r="A93" s="7231" t="s">
        <v>1085</v>
      </c>
      <c r="B93" s="7172"/>
      <c r="C93" s="7174"/>
      <c r="D93" s="7174"/>
      <c r="E93" s="7174"/>
      <c r="F93" s="7242"/>
    </row>
    <row r="94" spans="1:7" ht="12.9" customHeight="1">
      <c r="A94" s="7231"/>
      <c r="B94" s="7172"/>
      <c r="C94" s="7174"/>
      <c r="D94" s="7174"/>
      <c r="E94" s="7174"/>
      <c r="F94" s="7242"/>
    </row>
    <row r="95" spans="1:7" ht="12.9" customHeight="1" thickBot="1">
      <c r="A95" s="7231"/>
      <c r="B95" s="7172"/>
      <c r="C95" s="7174"/>
      <c r="D95" s="7174"/>
      <c r="E95" s="7174"/>
      <c r="F95" s="7242"/>
    </row>
    <row r="96" spans="1:7" s="7165" customFormat="1" ht="12.9" customHeight="1" thickBot="1">
      <c r="A96" s="9712" t="s">
        <v>1086</v>
      </c>
      <c r="B96" s="9661"/>
      <c r="C96" s="7210"/>
      <c r="D96" s="7210"/>
      <c r="E96" s="7210"/>
      <c r="F96" s="9722"/>
    </row>
    <row r="97" spans="1:6" ht="12.9" customHeight="1">
      <c r="A97" s="6330"/>
      <c r="B97" s="6231"/>
      <c r="C97" s="6330"/>
      <c r="D97" s="6330"/>
      <c r="E97" s="6330"/>
      <c r="F97" s="6330"/>
    </row>
    <row r="98" spans="1:6" ht="12.9" customHeight="1">
      <c r="A98" s="6330"/>
      <c r="B98" s="6231"/>
      <c r="C98" s="6330"/>
      <c r="D98" s="6330"/>
      <c r="E98" s="6330"/>
      <c r="F98" s="6330"/>
    </row>
  </sheetData>
  <mergeCells count="4">
    <mergeCell ref="A3:F3"/>
    <mergeCell ref="B5:B6"/>
    <mergeCell ref="D5:F5"/>
    <mergeCell ref="A1:F1"/>
  </mergeCells>
  <printOptions horizontalCentered="1"/>
  <pageMargins left="0.25" right="0.25" top="0.5" bottom="0.5" header="0.3" footer="0.3"/>
  <pageSetup paperSize="119" firstPageNumber="129" orientation="portrait" useFirstPageNumber="1" r:id="rId1"/>
</worksheet>
</file>

<file path=xl/worksheets/sheet81.xml><?xml version="1.0" encoding="utf-8"?>
<worksheet xmlns="http://schemas.openxmlformats.org/spreadsheetml/2006/main" xmlns:r="http://schemas.openxmlformats.org/officeDocument/2006/relationships">
  <sheetPr codeName="Sheet51">
    <tabColor rgb="FFFFFF00"/>
  </sheetPr>
  <dimension ref="A1:H348"/>
  <sheetViews>
    <sheetView showGridLines="0" topLeftCell="A74" workbookViewId="0">
      <selection activeCell="H85" sqref="H85"/>
    </sheetView>
  </sheetViews>
  <sheetFormatPr defaultRowHeight="13.8"/>
  <cols>
    <col min="1" max="1" width="5.88671875" style="3648" customWidth="1"/>
    <col min="2" max="2" width="30" style="3648" customWidth="1"/>
    <col min="3" max="3" width="15.44140625" style="3648" customWidth="1"/>
    <col min="4" max="4" width="24.109375" style="3648" customWidth="1"/>
    <col min="5" max="5" width="16.44140625" style="3648" customWidth="1"/>
    <col min="6" max="6" width="9.109375" style="3648"/>
    <col min="7" max="7" width="8.44140625" style="3648" customWidth="1"/>
    <col min="8" max="247" width="9.109375" style="3648"/>
    <col min="248" max="248" width="5.88671875" style="3648" customWidth="1"/>
    <col min="249" max="249" width="35" style="3648" customWidth="1"/>
    <col min="250" max="250" width="14.44140625" style="3648" customWidth="1"/>
    <col min="251" max="251" width="19.44140625" style="3648" customWidth="1"/>
    <col min="252" max="252" width="17" style="3648" customWidth="1"/>
    <col min="253" max="253" width="7.88671875" style="3648" customWidth="1"/>
    <col min="254" max="254" width="9.88671875" style="3648" customWidth="1"/>
    <col min="255" max="255" width="0" style="3648" hidden="1" customWidth="1"/>
    <col min="256" max="503" width="9.109375" style="3648"/>
    <col min="504" max="504" width="5.88671875" style="3648" customWidth="1"/>
    <col min="505" max="505" width="35" style="3648" customWidth="1"/>
    <col min="506" max="506" width="14.44140625" style="3648" customWidth="1"/>
    <col min="507" max="507" width="19.44140625" style="3648" customWidth="1"/>
    <col min="508" max="508" width="17" style="3648" customWidth="1"/>
    <col min="509" max="509" width="7.88671875" style="3648" customWidth="1"/>
    <col min="510" max="510" width="9.88671875" style="3648" customWidth="1"/>
    <col min="511" max="511" width="0" style="3648" hidden="1" customWidth="1"/>
    <col min="512" max="759" width="9.109375" style="3648"/>
    <col min="760" max="760" width="5.88671875" style="3648" customWidth="1"/>
    <col min="761" max="761" width="35" style="3648" customWidth="1"/>
    <col min="762" max="762" width="14.44140625" style="3648" customWidth="1"/>
    <col min="763" max="763" width="19.44140625" style="3648" customWidth="1"/>
    <col min="764" max="764" width="17" style="3648" customWidth="1"/>
    <col min="765" max="765" width="7.88671875" style="3648" customWidth="1"/>
    <col min="766" max="766" width="9.88671875" style="3648" customWidth="1"/>
    <col min="767" max="767" width="0" style="3648" hidden="1" customWidth="1"/>
    <col min="768" max="1015" width="9.109375" style="3648"/>
    <col min="1016" max="1016" width="5.88671875" style="3648" customWidth="1"/>
    <col min="1017" max="1017" width="35" style="3648" customWidth="1"/>
    <col min="1018" max="1018" width="14.44140625" style="3648" customWidth="1"/>
    <col min="1019" max="1019" width="19.44140625" style="3648" customWidth="1"/>
    <col min="1020" max="1020" width="17" style="3648" customWidth="1"/>
    <col min="1021" max="1021" width="7.88671875" style="3648" customWidth="1"/>
    <col min="1022" max="1022" width="9.88671875" style="3648" customWidth="1"/>
    <col min="1023" max="1023" width="0" style="3648" hidden="1" customWidth="1"/>
    <col min="1024" max="1271" width="9.109375" style="3648"/>
    <col min="1272" max="1272" width="5.88671875" style="3648" customWidth="1"/>
    <col min="1273" max="1273" width="35" style="3648" customWidth="1"/>
    <col min="1274" max="1274" width="14.44140625" style="3648" customWidth="1"/>
    <col min="1275" max="1275" width="19.44140625" style="3648" customWidth="1"/>
    <col min="1276" max="1276" width="17" style="3648" customWidth="1"/>
    <col min="1277" max="1277" width="7.88671875" style="3648" customWidth="1"/>
    <col min="1278" max="1278" width="9.88671875" style="3648" customWidth="1"/>
    <col min="1279" max="1279" width="0" style="3648" hidden="1" customWidth="1"/>
    <col min="1280" max="1527" width="9.109375" style="3648"/>
    <col min="1528" max="1528" width="5.88671875" style="3648" customWidth="1"/>
    <col min="1529" max="1529" width="35" style="3648" customWidth="1"/>
    <col min="1530" max="1530" width="14.44140625" style="3648" customWidth="1"/>
    <col min="1531" max="1531" width="19.44140625" style="3648" customWidth="1"/>
    <col min="1532" max="1532" width="17" style="3648" customWidth="1"/>
    <col min="1533" max="1533" width="7.88671875" style="3648" customWidth="1"/>
    <col min="1534" max="1534" width="9.88671875" style="3648" customWidth="1"/>
    <col min="1535" max="1535" width="0" style="3648" hidden="1" customWidth="1"/>
    <col min="1536" max="1783" width="9.109375" style="3648"/>
    <col min="1784" max="1784" width="5.88671875" style="3648" customWidth="1"/>
    <col min="1785" max="1785" width="35" style="3648" customWidth="1"/>
    <col min="1786" max="1786" width="14.44140625" style="3648" customWidth="1"/>
    <col min="1787" max="1787" width="19.44140625" style="3648" customWidth="1"/>
    <col min="1788" max="1788" width="17" style="3648" customWidth="1"/>
    <col min="1789" max="1789" width="7.88671875" style="3648" customWidth="1"/>
    <col min="1790" max="1790" width="9.88671875" style="3648" customWidth="1"/>
    <col min="1791" max="1791" width="0" style="3648" hidden="1" customWidth="1"/>
    <col min="1792" max="2039" width="9.109375" style="3648"/>
    <col min="2040" max="2040" width="5.88671875" style="3648" customWidth="1"/>
    <col min="2041" max="2041" width="35" style="3648" customWidth="1"/>
    <col min="2042" max="2042" width="14.44140625" style="3648" customWidth="1"/>
    <col min="2043" max="2043" width="19.44140625" style="3648" customWidth="1"/>
    <col min="2044" max="2044" width="17" style="3648" customWidth="1"/>
    <col min="2045" max="2045" width="7.88671875" style="3648" customWidth="1"/>
    <col min="2046" max="2046" width="9.88671875" style="3648" customWidth="1"/>
    <col min="2047" max="2047" width="0" style="3648" hidden="1" customWidth="1"/>
    <col min="2048" max="2295" width="9.109375" style="3648"/>
    <col min="2296" max="2296" width="5.88671875" style="3648" customWidth="1"/>
    <col min="2297" max="2297" width="35" style="3648" customWidth="1"/>
    <col min="2298" max="2298" width="14.44140625" style="3648" customWidth="1"/>
    <col min="2299" max="2299" width="19.44140625" style="3648" customWidth="1"/>
    <col min="2300" max="2300" width="17" style="3648" customWidth="1"/>
    <col min="2301" max="2301" width="7.88671875" style="3648" customWidth="1"/>
    <col min="2302" max="2302" width="9.88671875" style="3648" customWidth="1"/>
    <col min="2303" max="2303" width="0" style="3648" hidden="1" customWidth="1"/>
    <col min="2304" max="2551" width="9.109375" style="3648"/>
    <col min="2552" max="2552" width="5.88671875" style="3648" customWidth="1"/>
    <col min="2553" max="2553" width="35" style="3648" customWidth="1"/>
    <col min="2554" max="2554" width="14.44140625" style="3648" customWidth="1"/>
    <col min="2555" max="2555" width="19.44140625" style="3648" customWidth="1"/>
    <col min="2556" max="2556" width="17" style="3648" customWidth="1"/>
    <col min="2557" max="2557" width="7.88671875" style="3648" customWidth="1"/>
    <col min="2558" max="2558" width="9.88671875" style="3648" customWidth="1"/>
    <col min="2559" max="2559" width="0" style="3648" hidden="1" customWidth="1"/>
    <col min="2560" max="2807" width="9.109375" style="3648"/>
    <col min="2808" max="2808" width="5.88671875" style="3648" customWidth="1"/>
    <col min="2809" max="2809" width="35" style="3648" customWidth="1"/>
    <col min="2810" max="2810" width="14.44140625" style="3648" customWidth="1"/>
    <col min="2811" max="2811" width="19.44140625" style="3648" customWidth="1"/>
    <col min="2812" max="2812" width="17" style="3648" customWidth="1"/>
    <col min="2813" max="2813" width="7.88671875" style="3648" customWidth="1"/>
    <col min="2814" max="2814" width="9.88671875" style="3648" customWidth="1"/>
    <col min="2815" max="2815" width="0" style="3648" hidden="1" customWidth="1"/>
    <col min="2816" max="3063" width="9.109375" style="3648"/>
    <col min="3064" max="3064" width="5.88671875" style="3648" customWidth="1"/>
    <col min="3065" max="3065" width="35" style="3648" customWidth="1"/>
    <col min="3066" max="3066" width="14.44140625" style="3648" customWidth="1"/>
    <col min="3067" max="3067" width="19.44140625" style="3648" customWidth="1"/>
    <col min="3068" max="3068" width="17" style="3648" customWidth="1"/>
    <col min="3069" max="3069" width="7.88671875" style="3648" customWidth="1"/>
    <col min="3070" max="3070" width="9.88671875" style="3648" customWidth="1"/>
    <col min="3071" max="3071" width="0" style="3648" hidden="1" customWidth="1"/>
    <col min="3072" max="3319" width="9.109375" style="3648"/>
    <col min="3320" max="3320" width="5.88671875" style="3648" customWidth="1"/>
    <col min="3321" max="3321" width="35" style="3648" customWidth="1"/>
    <col min="3322" max="3322" width="14.44140625" style="3648" customWidth="1"/>
    <col min="3323" max="3323" width="19.44140625" style="3648" customWidth="1"/>
    <col min="3324" max="3324" width="17" style="3648" customWidth="1"/>
    <col min="3325" max="3325" width="7.88671875" style="3648" customWidth="1"/>
    <col min="3326" max="3326" width="9.88671875" style="3648" customWidth="1"/>
    <col min="3327" max="3327" width="0" style="3648" hidden="1" customWidth="1"/>
    <col min="3328" max="3575" width="9.109375" style="3648"/>
    <col min="3576" max="3576" width="5.88671875" style="3648" customWidth="1"/>
    <col min="3577" max="3577" width="35" style="3648" customWidth="1"/>
    <col min="3578" max="3578" width="14.44140625" style="3648" customWidth="1"/>
    <col min="3579" max="3579" width="19.44140625" style="3648" customWidth="1"/>
    <col min="3580" max="3580" width="17" style="3648" customWidth="1"/>
    <col min="3581" max="3581" width="7.88671875" style="3648" customWidth="1"/>
    <col min="3582" max="3582" width="9.88671875" style="3648" customWidth="1"/>
    <col min="3583" max="3583" width="0" style="3648" hidden="1" customWidth="1"/>
    <col min="3584" max="3831" width="9.109375" style="3648"/>
    <col min="3832" max="3832" width="5.88671875" style="3648" customWidth="1"/>
    <col min="3833" max="3833" width="35" style="3648" customWidth="1"/>
    <col min="3834" max="3834" width="14.44140625" style="3648" customWidth="1"/>
    <col min="3835" max="3835" width="19.44140625" style="3648" customWidth="1"/>
    <col min="3836" max="3836" width="17" style="3648" customWidth="1"/>
    <col min="3837" max="3837" width="7.88671875" style="3648" customWidth="1"/>
    <col min="3838" max="3838" width="9.88671875" style="3648" customWidth="1"/>
    <col min="3839" max="3839" width="0" style="3648" hidden="1" customWidth="1"/>
    <col min="3840" max="4087" width="9.109375" style="3648"/>
    <col min="4088" max="4088" width="5.88671875" style="3648" customWidth="1"/>
    <col min="4089" max="4089" width="35" style="3648" customWidth="1"/>
    <col min="4090" max="4090" width="14.44140625" style="3648" customWidth="1"/>
    <col min="4091" max="4091" width="19.44140625" style="3648" customWidth="1"/>
    <col min="4092" max="4092" width="17" style="3648" customWidth="1"/>
    <col min="4093" max="4093" width="7.88671875" style="3648" customWidth="1"/>
    <col min="4094" max="4094" width="9.88671875" style="3648" customWidth="1"/>
    <col min="4095" max="4095" width="0" style="3648" hidden="1" customWidth="1"/>
    <col min="4096" max="4343" width="9.109375" style="3648"/>
    <col min="4344" max="4344" width="5.88671875" style="3648" customWidth="1"/>
    <col min="4345" max="4345" width="35" style="3648" customWidth="1"/>
    <col min="4346" max="4346" width="14.44140625" style="3648" customWidth="1"/>
    <col min="4347" max="4347" width="19.44140625" style="3648" customWidth="1"/>
    <col min="4348" max="4348" width="17" style="3648" customWidth="1"/>
    <col min="4349" max="4349" width="7.88671875" style="3648" customWidth="1"/>
    <col min="4350" max="4350" width="9.88671875" style="3648" customWidth="1"/>
    <col min="4351" max="4351" width="0" style="3648" hidden="1" customWidth="1"/>
    <col min="4352" max="4599" width="9.109375" style="3648"/>
    <col min="4600" max="4600" width="5.88671875" style="3648" customWidth="1"/>
    <col min="4601" max="4601" width="35" style="3648" customWidth="1"/>
    <col min="4602" max="4602" width="14.44140625" style="3648" customWidth="1"/>
    <col min="4603" max="4603" width="19.44140625" style="3648" customWidth="1"/>
    <col min="4604" max="4604" width="17" style="3648" customWidth="1"/>
    <col min="4605" max="4605" width="7.88671875" style="3648" customWidth="1"/>
    <col min="4606" max="4606" width="9.88671875" style="3648" customWidth="1"/>
    <col min="4607" max="4607" width="0" style="3648" hidden="1" customWidth="1"/>
    <col min="4608" max="4855" width="9.109375" style="3648"/>
    <col min="4856" max="4856" width="5.88671875" style="3648" customWidth="1"/>
    <col min="4857" max="4857" width="35" style="3648" customWidth="1"/>
    <col min="4858" max="4858" width="14.44140625" style="3648" customWidth="1"/>
    <col min="4859" max="4859" width="19.44140625" style="3648" customWidth="1"/>
    <col min="4860" max="4860" width="17" style="3648" customWidth="1"/>
    <col min="4861" max="4861" width="7.88671875" style="3648" customWidth="1"/>
    <col min="4862" max="4862" width="9.88671875" style="3648" customWidth="1"/>
    <col min="4863" max="4863" width="0" style="3648" hidden="1" customWidth="1"/>
    <col min="4864" max="5111" width="9.109375" style="3648"/>
    <col min="5112" max="5112" width="5.88671875" style="3648" customWidth="1"/>
    <col min="5113" max="5113" width="35" style="3648" customWidth="1"/>
    <col min="5114" max="5114" width="14.44140625" style="3648" customWidth="1"/>
    <col min="5115" max="5115" width="19.44140625" style="3648" customWidth="1"/>
    <col min="5116" max="5116" width="17" style="3648" customWidth="1"/>
    <col min="5117" max="5117" width="7.88671875" style="3648" customWidth="1"/>
    <col min="5118" max="5118" width="9.88671875" style="3648" customWidth="1"/>
    <col min="5119" max="5119" width="0" style="3648" hidden="1" customWidth="1"/>
    <col min="5120" max="5367" width="9.109375" style="3648"/>
    <col min="5368" max="5368" width="5.88671875" style="3648" customWidth="1"/>
    <col min="5369" max="5369" width="35" style="3648" customWidth="1"/>
    <col min="5370" max="5370" width="14.44140625" style="3648" customWidth="1"/>
    <col min="5371" max="5371" width="19.44140625" style="3648" customWidth="1"/>
    <col min="5372" max="5372" width="17" style="3648" customWidth="1"/>
    <col min="5373" max="5373" width="7.88671875" style="3648" customWidth="1"/>
    <col min="5374" max="5374" width="9.88671875" style="3648" customWidth="1"/>
    <col min="5375" max="5375" width="0" style="3648" hidden="1" customWidth="1"/>
    <col min="5376" max="5623" width="9.109375" style="3648"/>
    <col min="5624" max="5624" width="5.88671875" style="3648" customWidth="1"/>
    <col min="5625" max="5625" width="35" style="3648" customWidth="1"/>
    <col min="5626" max="5626" width="14.44140625" style="3648" customWidth="1"/>
    <col min="5627" max="5627" width="19.44140625" style="3648" customWidth="1"/>
    <col min="5628" max="5628" width="17" style="3648" customWidth="1"/>
    <col min="5629" max="5629" width="7.88671875" style="3648" customWidth="1"/>
    <col min="5630" max="5630" width="9.88671875" style="3648" customWidth="1"/>
    <col min="5631" max="5631" width="0" style="3648" hidden="1" customWidth="1"/>
    <col min="5632" max="5879" width="9.109375" style="3648"/>
    <col min="5880" max="5880" width="5.88671875" style="3648" customWidth="1"/>
    <col min="5881" max="5881" width="35" style="3648" customWidth="1"/>
    <col min="5882" max="5882" width="14.44140625" style="3648" customWidth="1"/>
    <col min="5883" max="5883" width="19.44140625" style="3648" customWidth="1"/>
    <col min="5884" max="5884" width="17" style="3648" customWidth="1"/>
    <col min="5885" max="5885" width="7.88671875" style="3648" customWidth="1"/>
    <col min="5886" max="5886" width="9.88671875" style="3648" customWidth="1"/>
    <col min="5887" max="5887" width="0" style="3648" hidden="1" customWidth="1"/>
    <col min="5888" max="6135" width="9.109375" style="3648"/>
    <col min="6136" max="6136" width="5.88671875" style="3648" customWidth="1"/>
    <col min="6137" max="6137" width="35" style="3648" customWidth="1"/>
    <col min="6138" max="6138" width="14.44140625" style="3648" customWidth="1"/>
    <col min="6139" max="6139" width="19.44140625" style="3648" customWidth="1"/>
    <col min="6140" max="6140" width="17" style="3648" customWidth="1"/>
    <col min="6141" max="6141" width="7.88671875" style="3648" customWidth="1"/>
    <col min="6142" max="6142" width="9.88671875" style="3648" customWidth="1"/>
    <col min="6143" max="6143" width="0" style="3648" hidden="1" customWidth="1"/>
    <col min="6144" max="6391" width="9.109375" style="3648"/>
    <col min="6392" max="6392" width="5.88671875" style="3648" customWidth="1"/>
    <col min="6393" max="6393" width="35" style="3648" customWidth="1"/>
    <col min="6394" max="6394" width="14.44140625" style="3648" customWidth="1"/>
    <col min="6395" max="6395" width="19.44140625" style="3648" customWidth="1"/>
    <col min="6396" max="6396" width="17" style="3648" customWidth="1"/>
    <col min="6397" max="6397" width="7.88671875" style="3648" customWidth="1"/>
    <col min="6398" max="6398" width="9.88671875" style="3648" customWidth="1"/>
    <col min="6399" max="6399" width="0" style="3648" hidden="1" customWidth="1"/>
    <col min="6400" max="6647" width="9.109375" style="3648"/>
    <col min="6648" max="6648" width="5.88671875" style="3648" customWidth="1"/>
    <col min="6649" max="6649" width="35" style="3648" customWidth="1"/>
    <col min="6650" max="6650" width="14.44140625" style="3648" customWidth="1"/>
    <col min="6651" max="6651" width="19.44140625" style="3648" customWidth="1"/>
    <col min="6652" max="6652" width="17" style="3648" customWidth="1"/>
    <col min="6653" max="6653" width="7.88671875" style="3648" customWidth="1"/>
    <col min="6654" max="6654" width="9.88671875" style="3648" customWidth="1"/>
    <col min="6655" max="6655" width="0" style="3648" hidden="1" customWidth="1"/>
    <col min="6656" max="6903" width="9.109375" style="3648"/>
    <col min="6904" max="6904" width="5.88671875" style="3648" customWidth="1"/>
    <col min="6905" max="6905" width="35" style="3648" customWidth="1"/>
    <col min="6906" max="6906" width="14.44140625" style="3648" customWidth="1"/>
    <col min="6907" max="6907" width="19.44140625" style="3648" customWidth="1"/>
    <col min="6908" max="6908" width="17" style="3648" customWidth="1"/>
    <col min="6909" max="6909" width="7.88671875" style="3648" customWidth="1"/>
    <col min="6910" max="6910" width="9.88671875" style="3648" customWidth="1"/>
    <col min="6911" max="6911" width="0" style="3648" hidden="1" customWidth="1"/>
    <col min="6912" max="7159" width="9.109375" style="3648"/>
    <col min="7160" max="7160" width="5.88671875" style="3648" customWidth="1"/>
    <col min="7161" max="7161" width="35" style="3648" customWidth="1"/>
    <col min="7162" max="7162" width="14.44140625" style="3648" customWidth="1"/>
    <col min="7163" max="7163" width="19.44140625" style="3648" customWidth="1"/>
    <col min="7164" max="7164" width="17" style="3648" customWidth="1"/>
    <col min="7165" max="7165" width="7.88671875" style="3648" customWidth="1"/>
    <col min="7166" max="7166" width="9.88671875" style="3648" customWidth="1"/>
    <col min="7167" max="7167" width="0" style="3648" hidden="1" customWidth="1"/>
    <col min="7168" max="7415" width="9.109375" style="3648"/>
    <col min="7416" max="7416" width="5.88671875" style="3648" customWidth="1"/>
    <col min="7417" max="7417" width="35" style="3648" customWidth="1"/>
    <col min="7418" max="7418" width="14.44140625" style="3648" customWidth="1"/>
    <col min="7419" max="7419" width="19.44140625" style="3648" customWidth="1"/>
    <col min="7420" max="7420" width="17" style="3648" customWidth="1"/>
    <col min="7421" max="7421" width="7.88671875" style="3648" customWidth="1"/>
    <col min="7422" max="7422" width="9.88671875" style="3648" customWidth="1"/>
    <col min="7423" max="7423" width="0" style="3648" hidden="1" customWidth="1"/>
    <col min="7424" max="7671" width="9.109375" style="3648"/>
    <col min="7672" max="7672" width="5.88671875" style="3648" customWidth="1"/>
    <col min="7673" max="7673" width="35" style="3648" customWidth="1"/>
    <col min="7674" max="7674" width="14.44140625" style="3648" customWidth="1"/>
    <col min="7675" max="7675" width="19.44140625" style="3648" customWidth="1"/>
    <col min="7676" max="7676" width="17" style="3648" customWidth="1"/>
    <col min="7677" max="7677" width="7.88671875" style="3648" customWidth="1"/>
    <col min="7678" max="7678" width="9.88671875" style="3648" customWidth="1"/>
    <col min="7679" max="7679" width="0" style="3648" hidden="1" customWidth="1"/>
    <col min="7680" max="7927" width="9.109375" style="3648"/>
    <col min="7928" max="7928" width="5.88671875" style="3648" customWidth="1"/>
    <col min="7929" max="7929" width="35" style="3648" customWidth="1"/>
    <col min="7930" max="7930" width="14.44140625" style="3648" customWidth="1"/>
    <col min="7931" max="7931" width="19.44140625" style="3648" customWidth="1"/>
    <col min="7932" max="7932" width="17" style="3648" customWidth="1"/>
    <col min="7933" max="7933" width="7.88671875" style="3648" customWidth="1"/>
    <col min="7934" max="7934" width="9.88671875" style="3648" customWidth="1"/>
    <col min="7935" max="7935" width="0" style="3648" hidden="1" customWidth="1"/>
    <col min="7936" max="8183" width="9.109375" style="3648"/>
    <col min="8184" max="8184" width="5.88671875" style="3648" customWidth="1"/>
    <col min="8185" max="8185" width="35" style="3648" customWidth="1"/>
    <col min="8186" max="8186" width="14.44140625" style="3648" customWidth="1"/>
    <col min="8187" max="8187" width="19.44140625" style="3648" customWidth="1"/>
    <col min="8188" max="8188" width="17" style="3648" customWidth="1"/>
    <col min="8189" max="8189" width="7.88671875" style="3648" customWidth="1"/>
    <col min="8190" max="8190" width="9.88671875" style="3648" customWidth="1"/>
    <col min="8191" max="8191" width="0" style="3648" hidden="1" customWidth="1"/>
    <col min="8192" max="8439" width="9.109375" style="3648"/>
    <col min="8440" max="8440" width="5.88671875" style="3648" customWidth="1"/>
    <col min="8441" max="8441" width="35" style="3648" customWidth="1"/>
    <col min="8442" max="8442" width="14.44140625" style="3648" customWidth="1"/>
    <col min="8443" max="8443" width="19.44140625" style="3648" customWidth="1"/>
    <col min="8444" max="8444" width="17" style="3648" customWidth="1"/>
    <col min="8445" max="8445" width="7.88671875" style="3648" customWidth="1"/>
    <col min="8446" max="8446" width="9.88671875" style="3648" customWidth="1"/>
    <col min="8447" max="8447" width="0" style="3648" hidden="1" customWidth="1"/>
    <col min="8448" max="8695" width="9.109375" style="3648"/>
    <col min="8696" max="8696" width="5.88671875" style="3648" customWidth="1"/>
    <col min="8697" max="8697" width="35" style="3648" customWidth="1"/>
    <col min="8698" max="8698" width="14.44140625" style="3648" customWidth="1"/>
    <col min="8699" max="8699" width="19.44140625" style="3648" customWidth="1"/>
    <col min="8700" max="8700" width="17" style="3648" customWidth="1"/>
    <col min="8701" max="8701" width="7.88671875" style="3648" customWidth="1"/>
    <col min="8702" max="8702" width="9.88671875" style="3648" customWidth="1"/>
    <col min="8703" max="8703" width="0" style="3648" hidden="1" customWidth="1"/>
    <col min="8704" max="8951" width="9.109375" style="3648"/>
    <col min="8952" max="8952" width="5.88671875" style="3648" customWidth="1"/>
    <col min="8953" max="8953" width="35" style="3648" customWidth="1"/>
    <col min="8954" max="8954" width="14.44140625" style="3648" customWidth="1"/>
    <col min="8955" max="8955" width="19.44140625" style="3648" customWidth="1"/>
    <col min="8956" max="8956" width="17" style="3648" customWidth="1"/>
    <col min="8957" max="8957" width="7.88671875" style="3648" customWidth="1"/>
    <col min="8958" max="8958" width="9.88671875" style="3648" customWidth="1"/>
    <col min="8959" max="8959" width="0" style="3648" hidden="1" customWidth="1"/>
    <col min="8960" max="9207" width="9.109375" style="3648"/>
    <col min="9208" max="9208" width="5.88671875" style="3648" customWidth="1"/>
    <col min="9209" max="9209" width="35" style="3648" customWidth="1"/>
    <col min="9210" max="9210" width="14.44140625" style="3648" customWidth="1"/>
    <col min="9211" max="9211" width="19.44140625" style="3648" customWidth="1"/>
    <col min="9212" max="9212" width="17" style="3648" customWidth="1"/>
    <col min="9213" max="9213" width="7.88671875" style="3648" customWidth="1"/>
    <col min="9214" max="9214" width="9.88671875" style="3648" customWidth="1"/>
    <col min="9215" max="9215" width="0" style="3648" hidden="1" customWidth="1"/>
    <col min="9216" max="9463" width="9.109375" style="3648"/>
    <col min="9464" max="9464" width="5.88671875" style="3648" customWidth="1"/>
    <col min="9465" max="9465" width="35" style="3648" customWidth="1"/>
    <col min="9466" max="9466" width="14.44140625" style="3648" customWidth="1"/>
    <col min="9467" max="9467" width="19.44140625" style="3648" customWidth="1"/>
    <col min="9468" max="9468" width="17" style="3648" customWidth="1"/>
    <col min="9469" max="9469" width="7.88671875" style="3648" customWidth="1"/>
    <col min="9470" max="9470" width="9.88671875" style="3648" customWidth="1"/>
    <col min="9471" max="9471" width="0" style="3648" hidden="1" customWidth="1"/>
    <col min="9472" max="9719" width="9.109375" style="3648"/>
    <col min="9720" max="9720" width="5.88671875" style="3648" customWidth="1"/>
    <col min="9721" max="9721" width="35" style="3648" customWidth="1"/>
    <col min="9722" max="9722" width="14.44140625" style="3648" customWidth="1"/>
    <col min="9723" max="9723" width="19.44140625" style="3648" customWidth="1"/>
    <col min="9724" max="9724" width="17" style="3648" customWidth="1"/>
    <col min="9725" max="9725" width="7.88671875" style="3648" customWidth="1"/>
    <col min="9726" max="9726" width="9.88671875" style="3648" customWidth="1"/>
    <col min="9727" max="9727" width="0" style="3648" hidden="1" customWidth="1"/>
    <col min="9728" max="9975" width="9.109375" style="3648"/>
    <col min="9976" max="9976" width="5.88671875" style="3648" customWidth="1"/>
    <col min="9977" max="9977" width="35" style="3648" customWidth="1"/>
    <col min="9978" max="9978" width="14.44140625" style="3648" customWidth="1"/>
    <col min="9979" max="9979" width="19.44140625" style="3648" customWidth="1"/>
    <col min="9980" max="9980" width="17" style="3648" customWidth="1"/>
    <col min="9981" max="9981" width="7.88671875" style="3648" customWidth="1"/>
    <col min="9982" max="9982" width="9.88671875" style="3648" customWidth="1"/>
    <col min="9983" max="9983" width="0" style="3648" hidden="1" customWidth="1"/>
    <col min="9984" max="10231" width="9.109375" style="3648"/>
    <col min="10232" max="10232" width="5.88671875" style="3648" customWidth="1"/>
    <col min="10233" max="10233" width="35" style="3648" customWidth="1"/>
    <col min="10234" max="10234" width="14.44140625" style="3648" customWidth="1"/>
    <col min="10235" max="10235" width="19.44140625" style="3648" customWidth="1"/>
    <col min="10236" max="10236" width="17" style="3648" customWidth="1"/>
    <col min="10237" max="10237" width="7.88671875" style="3648" customWidth="1"/>
    <col min="10238" max="10238" width="9.88671875" style="3648" customWidth="1"/>
    <col min="10239" max="10239" width="0" style="3648" hidden="1" customWidth="1"/>
    <col min="10240" max="10487" width="9.109375" style="3648"/>
    <col min="10488" max="10488" width="5.88671875" style="3648" customWidth="1"/>
    <col min="10489" max="10489" width="35" style="3648" customWidth="1"/>
    <col min="10490" max="10490" width="14.44140625" style="3648" customWidth="1"/>
    <col min="10491" max="10491" width="19.44140625" style="3648" customWidth="1"/>
    <col min="10492" max="10492" width="17" style="3648" customWidth="1"/>
    <col min="10493" max="10493" width="7.88671875" style="3648" customWidth="1"/>
    <col min="10494" max="10494" width="9.88671875" style="3648" customWidth="1"/>
    <col min="10495" max="10495" width="0" style="3648" hidden="1" customWidth="1"/>
    <col min="10496" max="10743" width="9.109375" style="3648"/>
    <col min="10744" max="10744" width="5.88671875" style="3648" customWidth="1"/>
    <col min="10745" max="10745" width="35" style="3648" customWidth="1"/>
    <col min="10746" max="10746" width="14.44140625" style="3648" customWidth="1"/>
    <col min="10747" max="10747" width="19.44140625" style="3648" customWidth="1"/>
    <col min="10748" max="10748" width="17" style="3648" customWidth="1"/>
    <col min="10749" max="10749" width="7.88671875" style="3648" customWidth="1"/>
    <col min="10750" max="10750" width="9.88671875" style="3648" customWidth="1"/>
    <col min="10751" max="10751" width="0" style="3648" hidden="1" customWidth="1"/>
    <col min="10752" max="10999" width="9.109375" style="3648"/>
    <col min="11000" max="11000" width="5.88671875" style="3648" customWidth="1"/>
    <col min="11001" max="11001" width="35" style="3648" customWidth="1"/>
    <col min="11002" max="11002" width="14.44140625" style="3648" customWidth="1"/>
    <col min="11003" max="11003" width="19.44140625" style="3648" customWidth="1"/>
    <col min="11004" max="11004" width="17" style="3648" customWidth="1"/>
    <col min="11005" max="11005" width="7.88671875" style="3648" customWidth="1"/>
    <col min="11006" max="11006" width="9.88671875" style="3648" customWidth="1"/>
    <col min="11007" max="11007" width="0" style="3648" hidden="1" customWidth="1"/>
    <col min="11008" max="11255" width="9.109375" style="3648"/>
    <col min="11256" max="11256" width="5.88671875" style="3648" customWidth="1"/>
    <col min="11257" max="11257" width="35" style="3648" customWidth="1"/>
    <col min="11258" max="11258" width="14.44140625" style="3648" customWidth="1"/>
    <col min="11259" max="11259" width="19.44140625" style="3648" customWidth="1"/>
    <col min="11260" max="11260" width="17" style="3648" customWidth="1"/>
    <col min="11261" max="11261" width="7.88671875" style="3648" customWidth="1"/>
    <col min="11262" max="11262" width="9.88671875" style="3648" customWidth="1"/>
    <col min="11263" max="11263" width="0" style="3648" hidden="1" customWidth="1"/>
    <col min="11264" max="11511" width="9.109375" style="3648"/>
    <col min="11512" max="11512" width="5.88671875" style="3648" customWidth="1"/>
    <col min="11513" max="11513" width="35" style="3648" customWidth="1"/>
    <col min="11514" max="11514" width="14.44140625" style="3648" customWidth="1"/>
    <col min="11515" max="11515" width="19.44140625" style="3648" customWidth="1"/>
    <col min="11516" max="11516" width="17" style="3648" customWidth="1"/>
    <col min="11517" max="11517" width="7.88671875" style="3648" customWidth="1"/>
    <col min="11518" max="11518" width="9.88671875" style="3648" customWidth="1"/>
    <col min="11519" max="11519" width="0" style="3648" hidden="1" customWidth="1"/>
    <col min="11520" max="11767" width="9.109375" style="3648"/>
    <col min="11768" max="11768" width="5.88671875" style="3648" customWidth="1"/>
    <col min="11769" max="11769" width="35" style="3648" customWidth="1"/>
    <col min="11770" max="11770" width="14.44140625" style="3648" customWidth="1"/>
    <col min="11771" max="11771" width="19.44140625" style="3648" customWidth="1"/>
    <col min="11772" max="11772" width="17" style="3648" customWidth="1"/>
    <col min="11773" max="11773" width="7.88671875" style="3648" customWidth="1"/>
    <col min="11774" max="11774" width="9.88671875" style="3648" customWidth="1"/>
    <col min="11775" max="11775" width="0" style="3648" hidden="1" customWidth="1"/>
    <col min="11776" max="12023" width="9.109375" style="3648"/>
    <col min="12024" max="12024" width="5.88671875" style="3648" customWidth="1"/>
    <col min="12025" max="12025" width="35" style="3648" customWidth="1"/>
    <col min="12026" max="12026" width="14.44140625" style="3648" customWidth="1"/>
    <col min="12027" max="12027" width="19.44140625" style="3648" customWidth="1"/>
    <col min="12028" max="12028" width="17" style="3648" customWidth="1"/>
    <col min="12029" max="12029" width="7.88671875" style="3648" customWidth="1"/>
    <col min="12030" max="12030" width="9.88671875" style="3648" customWidth="1"/>
    <col min="12031" max="12031" width="0" style="3648" hidden="1" customWidth="1"/>
    <col min="12032" max="12279" width="9.109375" style="3648"/>
    <col min="12280" max="12280" width="5.88671875" style="3648" customWidth="1"/>
    <col min="12281" max="12281" width="35" style="3648" customWidth="1"/>
    <col min="12282" max="12282" width="14.44140625" style="3648" customWidth="1"/>
    <col min="12283" max="12283" width="19.44140625" style="3648" customWidth="1"/>
    <col min="12284" max="12284" width="17" style="3648" customWidth="1"/>
    <col min="12285" max="12285" width="7.88671875" style="3648" customWidth="1"/>
    <col min="12286" max="12286" width="9.88671875" style="3648" customWidth="1"/>
    <col min="12287" max="12287" width="0" style="3648" hidden="1" customWidth="1"/>
    <col min="12288" max="12535" width="9.109375" style="3648"/>
    <col min="12536" max="12536" width="5.88671875" style="3648" customWidth="1"/>
    <col min="12537" max="12537" width="35" style="3648" customWidth="1"/>
    <col min="12538" max="12538" width="14.44140625" style="3648" customWidth="1"/>
    <col min="12539" max="12539" width="19.44140625" style="3648" customWidth="1"/>
    <col min="12540" max="12540" width="17" style="3648" customWidth="1"/>
    <col min="12541" max="12541" width="7.88671875" style="3648" customWidth="1"/>
    <col min="12542" max="12542" width="9.88671875" style="3648" customWidth="1"/>
    <col min="12543" max="12543" width="0" style="3648" hidden="1" customWidth="1"/>
    <col min="12544" max="12791" width="9.109375" style="3648"/>
    <col min="12792" max="12792" width="5.88671875" style="3648" customWidth="1"/>
    <col min="12793" max="12793" width="35" style="3648" customWidth="1"/>
    <col min="12794" max="12794" width="14.44140625" style="3648" customWidth="1"/>
    <col min="12795" max="12795" width="19.44140625" style="3648" customWidth="1"/>
    <col min="12796" max="12796" width="17" style="3648" customWidth="1"/>
    <col min="12797" max="12797" width="7.88671875" style="3648" customWidth="1"/>
    <col min="12798" max="12798" width="9.88671875" style="3648" customWidth="1"/>
    <col min="12799" max="12799" width="0" style="3648" hidden="1" customWidth="1"/>
    <col min="12800" max="13047" width="9.109375" style="3648"/>
    <col min="13048" max="13048" width="5.88671875" style="3648" customWidth="1"/>
    <col min="13049" max="13049" width="35" style="3648" customWidth="1"/>
    <col min="13050" max="13050" width="14.44140625" style="3648" customWidth="1"/>
    <col min="13051" max="13051" width="19.44140625" style="3648" customWidth="1"/>
    <col min="13052" max="13052" width="17" style="3648" customWidth="1"/>
    <col min="13053" max="13053" width="7.88671875" style="3648" customWidth="1"/>
    <col min="13054" max="13054" width="9.88671875" style="3648" customWidth="1"/>
    <col min="13055" max="13055" width="0" style="3648" hidden="1" customWidth="1"/>
    <col min="13056" max="13303" width="9.109375" style="3648"/>
    <col min="13304" max="13304" width="5.88671875" style="3648" customWidth="1"/>
    <col min="13305" max="13305" width="35" style="3648" customWidth="1"/>
    <col min="13306" max="13306" width="14.44140625" style="3648" customWidth="1"/>
    <col min="13307" max="13307" width="19.44140625" style="3648" customWidth="1"/>
    <col min="13308" max="13308" width="17" style="3648" customWidth="1"/>
    <col min="13309" max="13309" width="7.88671875" style="3648" customWidth="1"/>
    <col min="13310" max="13310" width="9.88671875" style="3648" customWidth="1"/>
    <col min="13311" max="13311" width="0" style="3648" hidden="1" customWidth="1"/>
    <col min="13312" max="13559" width="9.109375" style="3648"/>
    <col min="13560" max="13560" width="5.88671875" style="3648" customWidth="1"/>
    <col min="13561" max="13561" width="35" style="3648" customWidth="1"/>
    <col min="13562" max="13562" width="14.44140625" style="3648" customWidth="1"/>
    <col min="13563" max="13563" width="19.44140625" style="3648" customWidth="1"/>
    <col min="13564" max="13564" width="17" style="3648" customWidth="1"/>
    <col min="13565" max="13565" width="7.88671875" style="3648" customWidth="1"/>
    <col min="13566" max="13566" width="9.88671875" style="3648" customWidth="1"/>
    <col min="13567" max="13567" width="0" style="3648" hidden="1" customWidth="1"/>
    <col min="13568" max="13815" width="9.109375" style="3648"/>
    <col min="13816" max="13816" width="5.88671875" style="3648" customWidth="1"/>
    <col min="13817" max="13817" width="35" style="3648" customWidth="1"/>
    <col min="13818" max="13818" width="14.44140625" style="3648" customWidth="1"/>
    <col min="13819" max="13819" width="19.44140625" style="3648" customWidth="1"/>
    <col min="13820" max="13820" width="17" style="3648" customWidth="1"/>
    <col min="13821" max="13821" width="7.88671875" style="3648" customWidth="1"/>
    <col min="13822" max="13822" width="9.88671875" style="3648" customWidth="1"/>
    <col min="13823" max="13823" width="0" style="3648" hidden="1" customWidth="1"/>
    <col min="13824" max="14071" width="9.109375" style="3648"/>
    <col min="14072" max="14072" width="5.88671875" style="3648" customWidth="1"/>
    <col min="14073" max="14073" width="35" style="3648" customWidth="1"/>
    <col min="14074" max="14074" width="14.44140625" style="3648" customWidth="1"/>
    <col min="14075" max="14075" width="19.44140625" style="3648" customWidth="1"/>
    <col min="14076" max="14076" width="17" style="3648" customWidth="1"/>
    <col min="14077" max="14077" width="7.88671875" style="3648" customWidth="1"/>
    <col min="14078" max="14078" width="9.88671875" style="3648" customWidth="1"/>
    <col min="14079" max="14079" width="0" style="3648" hidden="1" customWidth="1"/>
    <col min="14080" max="14327" width="9.109375" style="3648"/>
    <col min="14328" max="14328" width="5.88671875" style="3648" customWidth="1"/>
    <col min="14329" max="14329" width="35" style="3648" customWidth="1"/>
    <col min="14330" max="14330" width="14.44140625" style="3648" customWidth="1"/>
    <col min="14331" max="14331" width="19.44140625" style="3648" customWidth="1"/>
    <col min="14332" max="14332" width="17" style="3648" customWidth="1"/>
    <col min="14333" max="14333" width="7.88671875" style="3648" customWidth="1"/>
    <col min="14334" max="14334" width="9.88671875" style="3648" customWidth="1"/>
    <col min="14335" max="14335" width="0" style="3648" hidden="1" customWidth="1"/>
    <col min="14336" max="14583" width="9.109375" style="3648"/>
    <col min="14584" max="14584" width="5.88671875" style="3648" customWidth="1"/>
    <col min="14585" max="14585" width="35" style="3648" customWidth="1"/>
    <col min="14586" max="14586" width="14.44140625" style="3648" customWidth="1"/>
    <col min="14587" max="14587" width="19.44140625" style="3648" customWidth="1"/>
    <col min="14588" max="14588" width="17" style="3648" customWidth="1"/>
    <col min="14589" max="14589" width="7.88671875" style="3648" customWidth="1"/>
    <col min="14590" max="14590" width="9.88671875" style="3648" customWidth="1"/>
    <col min="14591" max="14591" width="0" style="3648" hidden="1" customWidth="1"/>
    <col min="14592" max="14839" width="9.109375" style="3648"/>
    <col min="14840" max="14840" width="5.88671875" style="3648" customWidth="1"/>
    <col min="14841" max="14841" width="35" style="3648" customWidth="1"/>
    <col min="14842" max="14842" width="14.44140625" style="3648" customWidth="1"/>
    <col min="14843" max="14843" width="19.44140625" style="3648" customWidth="1"/>
    <col min="14844" max="14844" width="17" style="3648" customWidth="1"/>
    <col min="14845" max="14845" width="7.88671875" style="3648" customWidth="1"/>
    <col min="14846" max="14846" width="9.88671875" style="3648" customWidth="1"/>
    <col min="14847" max="14847" width="0" style="3648" hidden="1" customWidth="1"/>
    <col min="14848" max="15095" width="9.109375" style="3648"/>
    <col min="15096" max="15096" width="5.88671875" style="3648" customWidth="1"/>
    <col min="15097" max="15097" width="35" style="3648" customWidth="1"/>
    <col min="15098" max="15098" width="14.44140625" style="3648" customWidth="1"/>
    <col min="15099" max="15099" width="19.44140625" style="3648" customWidth="1"/>
    <col min="15100" max="15100" width="17" style="3648" customWidth="1"/>
    <col min="15101" max="15101" width="7.88671875" style="3648" customWidth="1"/>
    <col min="15102" max="15102" width="9.88671875" style="3648" customWidth="1"/>
    <col min="15103" max="15103" width="0" style="3648" hidden="1" customWidth="1"/>
    <col min="15104" max="15351" width="9.109375" style="3648"/>
    <col min="15352" max="15352" width="5.88671875" style="3648" customWidth="1"/>
    <col min="15353" max="15353" width="35" style="3648" customWidth="1"/>
    <col min="15354" max="15354" width="14.44140625" style="3648" customWidth="1"/>
    <col min="15355" max="15355" width="19.44140625" style="3648" customWidth="1"/>
    <col min="15356" max="15356" width="17" style="3648" customWidth="1"/>
    <col min="15357" max="15357" width="7.88671875" style="3648" customWidth="1"/>
    <col min="15358" max="15358" width="9.88671875" style="3648" customWidth="1"/>
    <col min="15359" max="15359" width="0" style="3648" hidden="1" customWidth="1"/>
    <col min="15360" max="15607" width="9.109375" style="3648"/>
    <col min="15608" max="15608" width="5.88671875" style="3648" customWidth="1"/>
    <col min="15609" max="15609" width="35" style="3648" customWidth="1"/>
    <col min="15610" max="15610" width="14.44140625" style="3648" customWidth="1"/>
    <col min="15611" max="15611" width="19.44140625" style="3648" customWidth="1"/>
    <col min="15612" max="15612" width="17" style="3648" customWidth="1"/>
    <col min="15613" max="15613" width="7.88671875" style="3648" customWidth="1"/>
    <col min="15614" max="15614" width="9.88671875" style="3648" customWidth="1"/>
    <col min="15615" max="15615" width="0" style="3648" hidden="1" customWidth="1"/>
    <col min="15616" max="15863" width="9.109375" style="3648"/>
    <col min="15864" max="15864" width="5.88671875" style="3648" customWidth="1"/>
    <col min="15865" max="15865" width="35" style="3648" customWidth="1"/>
    <col min="15866" max="15866" width="14.44140625" style="3648" customWidth="1"/>
    <col min="15867" max="15867" width="19.44140625" style="3648" customWidth="1"/>
    <col min="15868" max="15868" width="17" style="3648" customWidth="1"/>
    <col min="15869" max="15869" width="7.88671875" style="3648" customWidth="1"/>
    <col min="15870" max="15870" width="9.88671875" style="3648" customWidth="1"/>
    <col min="15871" max="15871" width="0" style="3648" hidden="1" customWidth="1"/>
    <col min="15872" max="16119" width="9.109375" style="3648"/>
    <col min="16120" max="16120" width="5.88671875" style="3648" customWidth="1"/>
    <col min="16121" max="16121" width="35" style="3648" customWidth="1"/>
    <col min="16122" max="16122" width="14.44140625" style="3648" customWidth="1"/>
    <col min="16123" max="16123" width="19.44140625" style="3648" customWidth="1"/>
    <col min="16124" max="16124" width="17" style="3648" customWidth="1"/>
    <col min="16125" max="16125" width="7.88671875" style="3648" customWidth="1"/>
    <col min="16126" max="16126" width="9.88671875" style="3648" customWidth="1"/>
    <col min="16127" max="16127" width="0" style="3648" hidden="1" customWidth="1"/>
    <col min="16128" max="16384" width="9.109375" style="3648"/>
  </cols>
  <sheetData>
    <row r="1" spans="1:8" ht="15.6">
      <c r="A1" s="14705" t="s">
        <v>2138</v>
      </c>
      <c r="B1" s="14705"/>
      <c r="C1" s="14705"/>
      <c r="D1" s="14705"/>
      <c r="E1" s="14705"/>
      <c r="F1" s="14705"/>
      <c r="G1" s="14705"/>
      <c r="H1" s="3647"/>
    </row>
    <row r="3" spans="1:8" s="487" customFormat="1">
      <c r="A3" s="2538" t="s">
        <v>4993</v>
      </c>
    </row>
    <row r="4" spans="1:8" s="487" customFormat="1">
      <c r="A4" s="2538" t="s">
        <v>4778</v>
      </c>
    </row>
    <row r="7" spans="1:8" ht="15.75" customHeight="1">
      <c r="A7" s="3605" t="s">
        <v>8466</v>
      </c>
    </row>
    <row r="8" spans="1:8" s="3698" customFormat="1" ht="49.5" customHeight="1">
      <c r="A8" s="14753" t="s">
        <v>9941</v>
      </c>
      <c r="B8" s="14753"/>
      <c r="C8" s="14753"/>
      <c r="D8" s="14753"/>
      <c r="E8" s="14753"/>
      <c r="F8" s="14753"/>
      <c r="G8" s="14753"/>
    </row>
    <row r="9" spans="1:8" ht="15.75" customHeight="1">
      <c r="A9" s="1140"/>
    </row>
    <row r="10" spans="1:8" ht="15" customHeight="1">
      <c r="A10" s="1140" t="s">
        <v>8467</v>
      </c>
    </row>
    <row r="11" spans="1:8" ht="14.25" customHeight="1">
      <c r="A11" s="3352" t="s">
        <v>9424</v>
      </c>
    </row>
    <row r="12" spans="1:8" ht="15.75" customHeight="1">
      <c r="A12" s="3352" t="s">
        <v>9425</v>
      </c>
    </row>
    <row r="13" spans="1:8" ht="15.75" customHeight="1">
      <c r="A13" s="3352" t="s">
        <v>9426</v>
      </c>
    </row>
    <row r="14" spans="1:8" s="3649" customFormat="1" ht="15.75" customHeight="1">
      <c r="A14" s="3352" t="s">
        <v>9427</v>
      </c>
    </row>
    <row r="15" spans="1:8" ht="15.75" customHeight="1">
      <c r="A15" s="3352" t="s">
        <v>9428</v>
      </c>
    </row>
    <row r="16" spans="1:8" ht="15.75" customHeight="1">
      <c r="A16" s="3352" t="s">
        <v>9429</v>
      </c>
    </row>
    <row r="17" spans="1:7" ht="20.100000000000001" customHeight="1">
      <c r="A17" s="1140" t="s">
        <v>9943</v>
      </c>
    </row>
    <row r="18" spans="1:7" ht="20.100000000000001" customHeight="1">
      <c r="A18" s="1140"/>
    </row>
    <row r="19" spans="1:7" ht="20.100000000000001" customHeight="1">
      <c r="A19" s="3605" t="s">
        <v>2364</v>
      </c>
    </row>
    <row r="20" spans="1:7" s="3650" customFormat="1" ht="16.5" customHeight="1">
      <c r="A20" s="3352" t="s">
        <v>9479</v>
      </c>
      <c r="D20" s="3648"/>
    </row>
    <row r="21" spans="1:7" s="3650" customFormat="1" ht="16.5" customHeight="1">
      <c r="A21" s="3352"/>
      <c r="B21" s="3651" t="s">
        <v>9942</v>
      </c>
      <c r="D21" s="3648"/>
    </row>
    <row r="22" spans="1:7" s="3650" customFormat="1" ht="16.5" customHeight="1">
      <c r="A22" s="3352" t="s">
        <v>9430</v>
      </c>
      <c r="D22" s="3648"/>
    </row>
    <row r="23" spans="1:7" s="3650" customFormat="1" ht="16.5" customHeight="1">
      <c r="A23" s="3352" t="s">
        <v>9431</v>
      </c>
      <c r="D23" s="3648"/>
    </row>
    <row r="24" spans="1:7" s="3650" customFormat="1" ht="16.5" customHeight="1">
      <c r="A24" s="3352" t="s">
        <v>9432</v>
      </c>
      <c r="D24" s="3648"/>
    </row>
    <row r="25" spans="1:7" ht="24.75" customHeight="1"/>
    <row r="26" spans="1:7" ht="15" customHeight="1" thickBot="1"/>
    <row r="27" spans="1:7" s="2537" customFormat="1" ht="30" customHeight="1" thickBot="1">
      <c r="A27" s="3703" t="s">
        <v>2550</v>
      </c>
      <c r="B27" s="3428" t="s">
        <v>9485</v>
      </c>
      <c r="C27" s="3428" t="s">
        <v>1763</v>
      </c>
      <c r="D27" s="2539" t="s">
        <v>2029</v>
      </c>
      <c r="E27" s="3428" t="s">
        <v>2030</v>
      </c>
      <c r="F27" s="14741" t="s">
        <v>2031</v>
      </c>
      <c r="G27" s="14742"/>
    </row>
    <row r="28" spans="1:7" ht="34.5" customHeight="1" thickBot="1">
      <c r="A28" s="1980"/>
      <c r="B28" s="3654" t="s">
        <v>8468</v>
      </c>
      <c r="C28" s="3654"/>
      <c r="D28" s="3655"/>
      <c r="E28" s="3656"/>
      <c r="F28" s="3656"/>
      <c r="G28" s="3656"/>
    </row>
    <row r="29" spans="1:7" ht="18.75" customHeight="1" thickBot="1">
      <c r="A29" s="3653"/>
      <c r="B29" s="3657" t="s">
        <v>8469</v>
      </c>
      <c r="C29" s="3654"/>
      <c r="D29" s="3655"/>
      <c r="E29" s="3656"/>
      <c r="F29" s="3656"/>
      <c r="G29" s="3656"/>
    </row>
    <row r="30" spans="1:7" ht="53.25" customHeight="1">
      <c r="A30" s="14745"/>
      <c r="B30" s="3658" t="s">
        <v>9480</v>
      </c>
      <c r="C30" s="14747" t="s">
        <v>8471</v>
      </c>
      <c r="D30" s="14749" t="s">
        <v>9433</v>
      </c>
      <c r="E30" s="3658" t="s">
        <v>8472</v>
      </c>
      <c r="F30" s="14751">
        <v>41640</v>
      </c>
      <c r="G30" s="14751">
        <v>41944</v>
      </c>
    </row>
    <row r="31" spans="1:7" ht="66" customHeight="1" thickBot="1">
      <c r="A31" s="14746"/>
      <c r="B31" s="3655" t="s">
        <v>8470</v>
      </c>
      <c r="C31" s="14748"/>
      <c r="D31" s="14750"/>
      <c r="E31" s="3655" t="s">
        <v>8473</v>
      </c>
      <c r="F31" s="14752"/>
      <c r="G31" s="14752"/>
    </row>
    <row r="32" spans="1:7" ht="18.75" customHeight="1" thickBot="1">
      <c r="A32" s="3653"/>
      <c r="B32" s="3657" t="s">
        <v>8474</v>
      </c>
      <c r="C32" s="3659"/>
      <c r="D32" s="3660"/>
      <c r="E32" s="3656"/>
      <c r="F32" s="3656"/>
      <c r="G32" s="3656"/>
    </row>
    <row r="33" spans="1:7" ht="42.75" customHeight="1">
      <c r="A33" s="14745"/>
      <c r="B33" s="14749" t="s">
        <v>8475</v>
      </c>
      <c r="C33" s="14756">
        <v>50000</v>
      </c>
      <c r="D33" s="3658" t="s">
        <v>9434</v>
      </c>
      <c r="E33" s="3658" t="s">
        <v>8476</v>
      </c>
      <c r="F33" s="14751">
        <v>41640</v>
      </c>
      <c r="G33" s="14751">
        <v>41944</v>
      </c>
    </row>
    <row r="34" spans="1:7" ht="42.75" customHeight="1">
      <c r="A34" s="14754"/>
      <c r="B34" s="14755"/>
      <c r="C34" s="14757"/>
      <c r="D34" s="3658" t="s">
        <v>9435</v>
      </c>
      <c r="E34" s="3658" t="s">
        <v>8477</v>
      </c>
      <c r="F34" s="14759"/>
      <c r="G34" s="14759"/>
    </row>
    <row r="35" spans="1:7" ht="28.5" customHeight="1">
      <c r="A35" s="14754"/>
      <c r="B35" s="14755"/>
      <c r="C35" s="14757"/>
      <c r="D35" s="3658" t="s">
        <v>9436</v>
      </c>
      <c r="E35" s="3658" t="s">
        <v>8478</v>
      </c>
      <c r="F35" s="14759"/>
      <c r="G35" s="14759"/>
    </row>
    <row r="36" spans="1:7" ht="28.5" customHeight="1">
      <c r="A36" s="14754"/>
      <c r="B36" s="14755"/>
      <c r="C36" s="14757"/>
      <c r="D36" s="3658" t="s">
        <v>9437</v>
      </c>
      <c r="E36" s="3658" t="s">
        <v>8479</v>
      </c>
      <c r="F36" s="14759"/>
      <c r="G36" s="14759"/>
    </row>
    <row r="37" spans="1:7" ht="15.75" customHeight="1">
      <c r="A37" s="14754"/>
      <c r="B37" s="14755"/>
      <c r="C37" s="14757"/>
      <c r="D37" s="3658"/>
      <c r="E37" s="3658" t="s">
        <v>8480</v>
      </c>
      <c r="F37" s="14759"/>
      <c r="G37" s="14759"/>
    </row>
    <row r="38" spans="1:7" ht="15.75" customHeight="1" thickBot="1">
      <c r="A38" s="14746"/>
      <c r="B38" s="14750"/>
      <c r="C38" s="14758"/>
      <c r="D38" s="3655"/>
      <c r="E38" s="3655" t="s">
        <v>8481</v>
      </c>
      <c r="F38" s="14752"/>
      <c r="G38" s="14752"/>
    </row>
    <row r="39" spans="1:7" ht="15.75" customHeight="1">
      <c r="A39" s="3705"/>
      <c r="B39" s="3706"/>
      <c r="C39" s="3707"/>
      <c r="D39" s="3706"/>
      <c r="E39" s="3706"/>
      <c r="F39" s="3708"/>
      <c r="G39" s="3708"/>
    </row>
    <row r="40" spans="1:7" ht="15.75" customHeight="1">
      <c r="A40" s="3709"/>
      <c r="B40" s="1657"/>
      <c r="C40" s="3710"/>
      <c r="D40" s="1657"/>
      <c r="E40" s="1657"/>
      <c r="F40" s="3711"/>
      <c r="G40" s="3711"/>
    </row>
    <row r="41" spans="1:7" ht="15.75" customHeight="1">
      <c r="A41" s="3709"/>
      <c r="B41" s="1657"/>
      <c r="C41" s="3710"/>
      <c r="D41" s="1657"/>
      <c r="E41" s="1657"/>
      <c r="F41" s="3711"/>
      <c r="G41" s="3711"/>
    </row>
    <row r="42" spans="1:7" ht="15.75" customHeight="1">
      <c r="A42" s="3709"/>
      <c r="B42" s="1657"/>
      <c r="C42" s="3710"/>
      <c r="D42" s="1657"/>
      <c r="E42" s="1657"/>
      <c r="F42" s="3711"/>
      <c r="G42" s="3711"/>
    </row>
    <row r="43" spans="1:7" ht="15.75" customHeight="1">
      <c r="A43" s="3709"/>
      <c r="B43" s="1657"/>
      <c r="C43" s="3710"/>
      <c r="D43" s="1657"/>
      <c r="E43" s="1657"/>
      <c r="F43" s="3711"/>
      <c r="G43" s="3711"/>
    </row>
    <row r="44" spans="1:7" ht="15.75" customHeight="1">
      <c r="A44" s="3709"/>
      <c r="B44" s="1657"/>
      <c r="C44" s="3710"/>
      <c r="D44" s="1657"/>
      <c r="E44" s="1657"/>
      <c r="F44" s="3711"/>
      <c r="G44" s="3711"/>
    </row>
    <row r="45" spans="1:7" ht="15.75" customHeight="1">
      <c r="A45" s="3709"/>
      <c r="B45" s="1657"/>
      <c r="C45" s="3710"/>
      <c r="D45" s="1657"/>
      <c r="E45" s="1657"/>
      <c r="F45" s="3711"/>
      <c r="G45" s="3711"/>
    </row>
    <row r="46" spans="1:7" s="3667" customFormat="1" ht="15.75" customHeight="1" thickBot="1">
      <c r="A46" s="3709"/>
      <c r="B46" s="3712"/>
      <c r="C46" s="3713"/>
      <c r="D46" s="3712"/>
      <c r="E46" s="3712"/>
      <c r="F46" s="3714"/>
      <c r="G46" s="3714"/>
    </row>
    <row r="47" spans="1:7" s="2537" customFormat="1" ht="30" customHeight="1" thickBot="1">
      <c r="A47" s="3703" t="s">
        <v>2550</v>
      </c>
      <c r="B47" s="3428" t="s">
        <v>9485</v>
      </c>
      <c r="C47" s="3428" t="s">
        <v>1763</v>
      </c>
      <c r="D47" s="2539" t="s">
        <v>2029</v>
      </c>
      <c r="E47" s="3428" t="s">
        <v>2030</v>
      </c>
      <c r="F47" s="14741" t="s">
        <v>2031</v>
      </c>
      <c r="G47" s="14742"/>
    </row>
    <row r="48" spans="1:7" ht="52.5" customHeight="1">
      <c r="A48" s="14745"/>
      <c r="B48" s="14749" t="s">
        <v>8482</v>
      </c>
      <c r="C48" s="14756">
        <v>120000</v>
      </c>
      <c r="D48" s="3661" t="s">
        <v>8483</v>
      </c>
      <c r="E48" s="14749" t="s">
        <v>8486</v>
      </c>
      <c r="F48" s="3662">
        <v>41760</v>
      </c>
      <c r="G48" s="14745"/>
    </row>
    <row r="49" spans="1:7" ht="32.25" customHeight="1">
      <c r="A49" s="14754"/>
      <c r="B49" s="14755"/>
      <c r="C49" s="14757"/>
      <c r="D49" s="3661" t="s">
        <v>8484</v>
      </c>
      <c r="E49" s="14755"/>
      <c r="F49" s="14754" t="s">
        <v>8702</v>
      </c>
      <c r="G49" s="14754"/>
    </row>
    <row r="50" spans="1:7" ht="42.75" customHeight="1" thickBot="1">
      <c r="A50" s="14746"/>
      <c r="B50" s="14750"/>
      <c r="C50" s="14758"/>
      <c r="D50" s="3660" t="s">
        <v>8485</v>
      </c>
      <c r="E50" s="14750"/>
      <c r="F50" s="14746"/>
      <c r="G50" s="14746"/>
    </row>
    <row r="51" spans="1:7" ht="18" customHeight="1" thickBot="1">
      <c r="A51" s="3653"/>
      <c r="B51" s="3657" t="s">
        <v>2063</v>
      </c>
      <c r="C51" s="3659"/>
      <c r="D51" s="3660"/>
      <c r="E51" s="3656"/>
      <c r="F51" s="3656"/>
      <c r="G51" s="3656"/>
    </row>
    <row r="52" spans="1:7" ht="23.25" customHeight="1">
      <c r="A52" s="14745"/>
      <c r="B52" s="14749" t="s">
        <v>8487</v>
      </c>
      <c r="C52" s="14756">
        <v>10000</v>
      </c>
      <c r="D52" s="3658" t="s">
        <v>8488</v>
      </c>
      <c r="E52" s="14749" t="s">
        <v>8491</v>
      </c>
      <c r="F52" s="14751">
        <v>41640</v>
      </c>
      <c r="G52" s="14751">
        <v>41974</v>
      </c>
    </row>
    <row r="53" spans="1:7" ht="12.75" customHeight="1">
      <c r="A53" s="14754"/>
      <c r="B53" s="14755"/>
      <c r="C53" s="14757"/>
      <c r="D53" s="3658" t="s">
        <v>8489</v>
      </c>
      <c r="E53" s="14755"/>
      <c r="F53" s="14759"/>
      <c r="G53" s="14759"/>
    </row>
    <row r="54" spans="1:7" ht="20.25" customHeight="1" thickBot="1">
      <c r="A54" s="14746"/>
      <c r="B54" s="14750"/>
      <c r="C54" s="14758"/>
      <c r="D54" s="3655" t="s">
        <v>8490</v>
      </c>
      <c r="E54" s="14750"/>
      <c r="F54" s="14752"/>
      <c r="G54" s="14752"/>
    </row>
    <row r="55" spans="1:7" s="3650" customFormat="1" ht="45" customHeight="1">
      <c r="A55" s="14745"/>
      <c r="B55" s="14749" t="s">
        <v>8492</v>
      </c>
      <c r="C55" s="14756">
        <v>100000</v>
      </c>
      <c r="D55" s="3658" t="s">
        <v>8493</v>
      </c>
      <c r="E55" s="3658" t="s">
        <v>8498</v>
      </c>
      <c r="F55" s="14751">
        <v>41640</v>
      </c>
      <c r="G55" s="14751">
        <v>41974</v>
      </c>
    </row>
    <row r="56" spans="1:7" s="3650" customFormat="1" ht="30.75" customHeight="1">
      <c r="A56" s="14754"/>
      <c r="B56" s="14755"/>
      <c r="C56" s="14757"/>
      <c r="D56" s="3658" t="s">
        <v>8494</v>
      </c>
      <c r="E56" s="3658" t="s">
        <v>8499</v>
      </c>
      <c r="F56" s="14759"/>
      <c r="G56" s="14759"/>
    </row>
    <row r="57" spans="1:7" s="3650" customFormat="1" ht="15.75" customHeight="1">
      <c r="A57" s="14754"/>
      <c r="B57" s="14755"/>
      <c r="C57" s="14757"/>
      <c r="D57" s="3658" t="s">
        <v>8495</v>
      </c>
      <c r="E57" s="3658" t="s">
        <v>8500</v>
      </c>
      <c r="F57" s="14759"/>
      <c r="G57" s="14759"/>
    </row>
    <row r="58" spans="1:7" s="3650" customFormat="1" ht="14.25" customHeight="1">
      <c r="A58" s="14754"/>
      <c r="B58" s="14755"/>
      <c r="C58" s="14757"/>
      <c r="D58" s="3658" t="s">
        <v>8496</v>
      </c>
      <c r="E58" s="3658" t="s">
        <v>8501</v>
      </c>
      <c r="F58" s="14759"/>
      <c r="G58" s="14759"/>
    </row>
    <row r="59" spans="1:7" ht="18" customHeight="1">
      <c r="A59" s="14754"/>
      <c r="B59" s="14755"/>
      <c r="C59" s="14757"/>
      <c r="D59" s="3658" t="s">
        <v>8497</v>
      </c>
      <c r="E59" s="3658" t="s">
        <v>8502</v>
      </c>
      <c r="F59" s="14759"/>
      <c r="G59" s="14759"/>
    </row>
    <row r="60" spans="1:7" ht="18" customHeight="1" thickBot="1">
      <c r="A60" s="14746"/>
      <c r="B60" s="14750"/>
      <c r="C60" s="14758"/>
      <c r="D60" s="3660"/>
      <c r="E60" s="3655" t="s">
        <v>8503</v>
      </c>
      <c r="F60" s="14752"/>
      <c r="G60" s="14752"/>
    </row>
    <row r="61" spans="1:7" ht="19.5" customHeight="1">
      <c r="A61" s="14745"/>
      <c r="B61" s="14749" t="s">
        <v>8504</v>
      </c>
      <c r="C61" s="14756">
        <v>5000</v>
      </c>
      <c r="D61" s="3658" t="s">
        <v>8505</v>
      </c>
      <c r="E61" s="14762" t="s">
        <v>8509</v>
      </c>
      <c r="F61" s="14751">
        <v>41640</v>
      </c>
      <c r="G61" s="14751">
        <v>41974</v>
      </c>
    </row>
    <row r="62" spans="1:7" ht="33.75" customHeight="1">
      <c r="A62" s="14754"/>
      <c r="B62" s="14755"/>
      <c r="C62" s="14757"/>
      <c r="D62" s="3658" t="s">
        <v>8506</v>
      </c>
      <c r="E62" s="14763"/>
      <c r="F62" s="14759"/>
      <c r="G62" s="14759"/>
    </row>
    <row r="63" spans="1:7" ht="30" customHeight="1">
      <c r="A63" s="14754"/>
      <c r="B63" s="14755"/>
      <c r="C63" s="14757"/>
      <c r="D63" s="3658" t="s">
        <v>8507</v>
      </c>
      <c r="E63" s="14763"/>
      <c r="F63" s="14759"/>
      <c r="G63" s="14759"/>
    </row>
    <row r="64" spans="1:7" ht="31.5" customHeight="1" thickBot="1">
      <c r="A64" s="14746"/>
      <c r="B64" s="14750"/>
      <c r="C64" s="14758"/>
      <c r="D64" s="3655" t="s">
        <v>8508</v>
      </c>
      <c r="E64" s="14764"/>
      <c r="F64" s="14752"/>
      <c r="G64" s="14752"/>
    </row>
    <row r="65" spans="1:7" ht="18.75" customHeight="1" thickBot="1">
      <c r="A65" s="3653"/>
      <c r="B65" s="3657" t="s">
        <v>2066</v>
      </c>
      <c r="C65" s="3659"/>
      <c r="D65" s="3660"/>
      <c r="E65" s="3656"/>
      <c r="F65" s="3656"/>
      <c r="G65" s="3656"/>
    </row>
    <row r="66" spans="1:7" ht="73.5" customHeight="1">
      <c r="A66" s="14745"/>
      <c r="B66" s="14749" t="s">
        <v>8510</v>
      </c>
      <c r="C66" s="14756">
        <v>10000</v>
      </c>
      <c r="D66" s="14760" t="s">
        <v>8511</v>
      </c>
      <c r="E66" s="14749" t="s">
        <v>8512</v>
      </c>
      <c r="F66" s="14751">
        <v>41640</v>
      </c>
      <c r="G66" s="14751">
        <v>41974</v>
      </c>
    </row>
    <row r="67" spans="1:7" ht="5.25" customHeight="1" thickBot="1">
      <c r="A67" s="14746"/>
      <c r="B67" s="14750"/>
      <c r="C67" s="14758"/>
      <c r="D67" s="14761"/>
      <c r="E67" s="14750"/>
      <c r="F67" s="14752"/>
      <c r="G67" s="14752"/>
    </row>
    <row r="68" spans="1:7" ht="32.25" customHeight="1" thickBot="1">
      <c r="A68" s="3653"/>
      <c r="B68" s="3655" t="s">
        <v>8513</v>
      </c>
      <c r="C68" s="3663">
        <v>5000</v>
      </c>
      <c r="D68" s="3660" t="s">
        <v>8514</v>
      </c>
      <c r="E68" s="3655" t="s">
        <v>8515</v>
      </c>
      <c r="F68" s="3664">
        <v>41640</v>
      </c>
      <c r="G68" s="3664">
        <v>41974</v>
      </c>
    </row>
    <row r="69" spans="1:7" ht="33.75" customHeight="1" thickBot="1">
      <c r="A69" s="3653"/>
      <c r="B69" s="3655" t="s">
        <v>8516</v>
      </c>
      <c r="C69" s="3663">
        <v>10000</v>
      </c>
      <c r="D69" s="3660" t="s">
        <v>8517</v>
      </c>
      <c r="E69" s="3655" t="s">
        <v>8518</v>
      </c>
      <c r="F69" s="3656"/>
      <c r="G69" s="3656"/>
    </row>
    <row r="70" spans="1:7" ht="30" customHeight="1">
      <c r="A70" s="14745"/>
      <c r="B70" s="14749" t="s">
        <v>8519</v>
      </c>
      <c r="C70" s="14745" t="s">
        <v>1133</v>
      </c>
      <c r="D70" s="3661" t="s">
        <v>8520</v>
      </c>
      <c r="E70" s="14749" t="s">
        <v>8522</v>
      </c>
      <c r="F70" s="14751">
        <v>41640</v>
      </c>
      <c r="G70" s="14751">
        <v>41974</v>
      </c>
    </row>
    <row r="71" spans="1:7" ht="30" customHeight="1" thickBot="1">
      <c r="A71" s="14746"/>
      <c r="B71" s="14750"/>
      <c r="C71" s="14746"/>
      <c r="D71" s="3660" t="s">
        <v>8521</v>
      </c>
      <c r="E71" s="14750"/>
      <c r="F71" s="14752"/>
      <c r="G71" s="14752"/>
    </row>
    <row r="72" spans="1:7" ht="33" customHeight="1" thickBot="1">
      <c r="A72" s="3653"/>
      <c r="B72" s="3655" t="s">
        <v>8523</v>
      </c>
      <c r="C72" s="3663">
        <v>10000</v>
      </c>
      <c r="D72" s="3660" t="s">
        <v>8524</v>
      </c>
      <c r="E72" s="3655" t="s">
        <v>8525</v>
      </c>
      <c r="F72" s="3664">
        <v>41640</v>
      </c>
      <c r="G72" s="3664">
        <v>41974</v>
      </c>
    </row>
    <row r="73" spans="1:7" s="3665" customFormat="1" ht="15.75" customHeight="1" thickBot="1">
      <c r="A73" s="3653"/>
      <c r="B73" s="3657" t="s">
        <v>2067</v>
      </c>
      <c r="C73" s="3659"/>
      <c r="D73" s="3660"/>
      <c r="E73" s="3656"/>
      <c r="F73" s="3656"/>
      <c r="G73" s="3656"/>
    </row>
    <row r="74" spans="1:7" s="3651" customFormat="1" ht="30.75" customHeight="1">
      <c r="A74" s="14745"/>
      <c r="B74" s="14749" t="s">
        <v>8526</v>
      </c>
      <c r="C74" s="14756">
        <v>10000</v>
      </c>
      <c r="D74" s="3661" t="s">
        <v>8527</v>
      </c>
      <c r="E74" s="3658" t="s">
        <v>2068</v>
      </c>
      <c r="F74" s="14751">
        <v>41640</v>
      </c>
      <c r="G74" s="14751">
        <v>41974</v>
      </c>
    </row>
    <row r="75" spans="1:7" s="3651" customFormat="1" ht="43.5" customHeight="1">
      <c r="A75" s="14754"/>
      <c r="B75" s="14755"/>
      <c r="C75" s="14757"/>
      <c r="D75" s="3661" t="s">
        <v>8528</v>
      </c>
      <c r="E75" s="3658" t="s">
        <v>8530</v>
      </c>
      <c r="F75" s="14759"/>
      <c r="G75" s="14759"/>
    </row>
    <row r="76" spans="1:7" s="3651" customFormat="1" ht="19.5" customHeight="1">
      <c r="A76" s="14754"/>
      <c r="B76" s="14755"/>
      <c r="C76" s="14757"/>
      <c r="D76" s="14743" t="s">
        <v>8529</v>
      </c>
      <c r="E76" s="3658" t="s">
        <v>8531</v>
      </c>
      <c r="F76" s="14759"/>
      <c r="G76" s="14759"/>
    </row>
    <row r="77" spans="1:7" s="3651" customFormat="1" ht="43.5" customHeight="1" thickBot="1">
      <c r="A77" s="14746"/>
      <c r="B77" s="14750"/>
      <c r="C77" s="14758"/>
      <c r="D77" s="14744"/>
      <c r="E77" s="3655" t="s">
        <v>8532</v>
      </c>
      <c r="F77" s="14752"/>
      <c r="G77" s="14752"/>
    </row>
    <row r="78" spans="1:7" s="3651" customFormat="1" ht="24.75" customHeight="1">
      <c r="A78" s="3705"/>
      <c r="B78" s="3706"/>
      <c r="C78" s="3707"/>
      <c r="D78" s="3715"/>
      <c r="E78" s="3706"/>
      <c r="F78" s="3708"/>
      <c r="G78" s="3708"/>
    </row>
    <row r="79" spans="1:7" s="3651" customFormat="1" ht="24.75" customHeight="1">
      <c r="A79" s="3709"/>
      <c r="B79" s="1657"/>
      <c r="C79" s="3710"/>
      <c r="D79" s="3716"/>
      <c r="E79" s="1657"/>
      <c r="F79" s="3711"/>
      <c r="G79" s="3711"/>
    </row>
    <row r="80" spans="1:7" s="3651" customFormat="1" ht="24.75" customHeight="1" thickBot="1">
      <c r="A80" s="3717"/>
      <c r="B80" s="3712"/>
      <c r="C80" s="3713"/>
      <c r="D80" s="3718"/>
      <c r="E80" s="3712"/>
      <c r="F80" s="3714"/>
      <c r="G80" s="3714"/>
    </row>
    <row r="81" spans="1:7" s="2537" customFormat="1" ht="30" customHeight="1" thickBot="1">
      <c r="A81" s="3703" t="s">
        <v>2550</v>
      </c>
      <c r="B81" s="3428" t="s">
        <v>9485</v>
      </c>
      <c r="C81" s="3428" t="s">
        <v>1763</v>
      </c>
      <c r="D81" s="2539" t="s">
        <v>2029</v>
      </c>
      <c r="E81" s="3428" t="s">
        <v>2030</v>
      </c>
      <c r="F81" s="14741" t="s">
        <v>2031</v>
      </c>
      <c r="G81" s="14742"/>
    </row>
    <row r="82" spans="1:7" ht="33" customHeight="1" thickBot="1">
      <c r="A82" s="3653"/>
      <c r="B82" s="3657" t="s">
        <v>8533</v>
      </c>
      <c r="C82" s="3666"/>
      <c r="D82" s="3660"/>
      <c r="E82" s="3660"/>
      <c r="F82" s="3656"/>
      <c r="G82" s="3656"/>
    </row>
    <row r="83" spans="1:7" ht="29.25" customHeight="1">
      <c r="A83" s="14745"/>
      <c r="B83" s="14749" t="s">
        <v>8534</v>
      </c>
      <c r="C83" s="14756">
        <v>1700000</v>
      </c>
      <c r="D83" s="3658" t="s">
        <v>8535</v>
      </c>
      <c r="E83" s="3661" t="s">
        <v>8537</v>
      </c>
      <c r="F83" s="14751">
        <v>41640</v>
      </c>
      <c r="G83" s="14751">
        <v>41974</v>
      </c>
    </row>
    <row r="84" spans="1:7" ht="21.75" customHeight="1">
      <c r="A84" s="14754"/>
      <c r="B84" s="14755"/>
      <c r="C84" s="14757"/>
      <c r="D84" s="3658" t="s">
        <v>8536</v>
      </c>
      <c r="E84" s="3661" t="s">
        <v>6134</v>
      </c>
      <c r="F84" s="14759"/>
      <c r="G84" s="14759"/>
    </row>
    <row r="85" spans="1:7" ht="36.75" customHeight="1">
      <c r="A85" s="14754"/>
      <c r="B85" s="14755"/>
      <c r="C85" s="14757"/>
      <c r="D85" s="3658"/>
      <c r="E85" s="3661" t="s">
        <v>8538</v>
      </c>
      <c r="F85" s="14759"/>
      <c r="G85" s="14759"/>
    </row>
    <row r="86" spans="1:7" ht="63.75" customHeight="1">
      <c r="A86" s="14754"/>
      <c r="B86" s="14755"/>
      <c r="C86" s="14757"/>
      <c r="D86" s="3661"/>
      <c r="E86" s="3661" t="s">
        <v>8539</v>
      </c>
      <c r="F86" s="14759"/>
      <c r="G86" s="14759"/>
    </row>
    <row r="87" spans="1:7" ht="6" customHeight="1" thickBot="1">
      <c r="A87" s="14746"/>
      <c r="B87" s="14750"/>
      <c r="C87" s="14758"/>
      <c r="D87" s="3655"/>
      <c r="E87" s="3660"/>
      <c r="F87" s="14752"/>
      <c r="G87" s="14752"/>
    </row>
    <row r="88" spans="1:7" ht="45" customHeight="1">
      <c r="A88" s="14745"/>
      <c r="B88" s="14749" t="s">
        <v>8540</v>
      </c>
      <c r="C88" s="14756">
        <v>250000</v>
      </c>
      <c r="D88" s="14760" t="s">
        <v>8541</v>
      </c>
      <c r="E88" s="3661" t="s">
        <v>8542</v>
      </c>
      <c r="F88" s="14751">
        <v>41640</v>
      </c>
      <c r="G88" s="14751">
        <v>41974</v>
      </c>
    </row>
    <row r="89" spans="1:7" ht="33" customHeight="1">
      <c r="A89" s="14754"/>
      <c r="B89" s="14755"/>
      <c r="C89" s="14757"/>
      <c r="D89" s="14765"/>
      <c r="E89" s="3661" t="s">
        <v>8543</v>
      </c>
      <c r="F89" s="14759"/>
      <c r="G89" s="14759"/>
    </row>
    <row r="90" spans="1:7" ht="51.75" customHeight="1" thickBot="1">
      <c r="A90" s="14746"/>
      <c r="B90" s="14750"/>
      <c r="C90" s="14758"/>
      <c r="D90" s="14761"/>
      <c r="E90" s="3660" t="s">
        <v>8544</v>
      </c>
      <c r="F90" s="14752"/>
      <c r="G90" s="14752"/>
    </row>
    <row r="91" spans="1:7" ht="42.75" customHeight="1">
      <c r="A91" s="14745"/>
      <c r="B91" s="14749" t="s">
        <v>8545</v>
      </c>
      <c r="C91" s="14756">
        <v>50000</v>
      </c>
      <c r="D91" s="14749" t="s">
        <v>8546</v>
      </c>
      <c r="E91" s="3661" t="s">
        <v>8542</v>
      </c>
      <c r="F91" s="14751">
        <v>41821</v>
      </c>
      <c r="G91" s="14751">
        <v>41974</v>
      </c>
    </row>
    <row r="92" spans="1:7" ht="29.25" customHeight="1">
      <c r="A92" s="14754"/>
      <c r="B92" s="14755"/>
      <c r="C92" s="14757"/>
      <c r="D92" s="14755"/>
      <c r="E92" s="3661" t="s">
        <v>8543</v>
      </c>
      <c r="F92" s="14759"/>
      <c r="G92" s="14759"/>
    </row>
    <row r="93" spans="1:7" ht="47.25" customHeight="1" thickBot="1">
      <c r="A93" s="14746"/>
      <c r="B93" s="14750"/>
      <c r="C93" s="14758"/>
      <c r="D93" s="14750"/>
      <c r="E93" s="3660" t="s">
        <v>8544</v>
      </c>
      <c r="F93" s="14752"/>
      <c r="G93" s="14752"/>
    </row>
    <row r="94" spans="1:7" ht="46.5" customHeight="1">
      <c r="A94" s="14745"/>
      <c r="B94" s="14749" t="s">
        <v>8547</v>
      </c>
      <c r="C94" s="14756">
        <v>60000</v>
      </c>
      <c r="D94" s="14760" t="s">
        <v>8548</v>
      </c>
      <c r="E94" s="3661" t="s">
        <v>8549</v>
      </c>
      <c r="F94" s="14751">
        <v>41730</v>
      </c>
      <c r="G94" s="14751">
        <v>41791</v>
      </c>
    </row>
    <row r="95" spans="1:7" ht="32.25" customHeight="1" thickBot="1">
      <c r="A95" s="14746"/>
      <c r="B95" s="14750"/>
      <c r="C95" s="14758"/>
      <c r="D95" s="14761"/>
      <c r="E95" s="3660" t="s">
        <v>8550</v>
      </c>
      <c r="F95" s="14752"/>
      <c r="G95" s="14752"/>
    </row>
    <row r="96" spans="1:7" ht="46.5" customHeight="1">
      <c r="A96" s="14745"/>
      <c r="B96" s="14749" t="s">
        <v>8551</v>
      </c>
      <c r="C96" s="14756">
        <v>75000</v>
      </c>
      <c r="D96" s="14760" t="s">
        <v>8552</v>
      </c>
      <c r="E96" s="3661" t="s">
        <v>8553</v>
      </c>
      <c r="F96" s="14751">
        <v>41883</v>
      </c>
      <c r="G96" s="14751">
        <v>41944</v>
      </c>
    </row>
    <row r="97" spans="1:7" ht="36" customHeight="1">
      <c r="A97" s="14754"/>
      <c r="B97" s="14755"/>
      <c r="C97" s="14757"/>
      <c r="D97" s="14765"/>
      <c r="E97" s="3661" t="s">
        <v>8554</v>
      </c>
      <c r="F97" s="14759"/>
      <c r="G97" s="14759"/>
    </row>
    <row r="98" spans="1:7" ht="33.75" customHeight="1" thickBot="1">
      <c r="A98" s="14746"/>
      <c r="B98" s="14750"/>
      <c r="C98" s="14758"/>
      <c r="D98" s="14761"/>
      <c r="E98" s="3660" t="s">
        <v>2064</v>
      </c>
      <c r="F98" s="14752"/>
      <c r="G98" s="14752"/>
    </row>
    <row r="99" spans="1:7" s="3667" customFormat="1" ht="17.25" customHeight="1">
      <c r="A99" s="14745"/>
      <c r="B99" s="14749" t="s">
        <v>8555</v>
      </c>
      <c r="C99" s="14756">
        <v>20000</v>
      </c>
      <c r="D99" s="3661" t="s">
        <v>8556</v>
      </c>
      <c r="E99" s="3661" t="s">
        <v>8558</v>
      </c>
      <c r="F99" s="14751">
        <v>41730</v>
      </c>
      <c r="G99" s="14751">
        <v>41883</v>
      </c>
    </row>
    <row r="100" spans="1:7" s="3667" customFormat="1" ht="21" customHeight="1">
      <c r="A100" s="14754"/>
      <c r="B100" s="14755"/>
      <c r="C100" s="14757"/>
      <c r="D100" s="3661" t="s">
        <v>8557</v>
      </c>
      <c r="E100" s="3661" t="s">
        <v>8559</v>
      </c>
      <c r="F100" s="14759"/>
      <c r="G100" s="14759"/>
    </row>
    <row r="101" spans="1:7" s="3667" customFormat="1" ht="45.75" customHeight="1" thickBot="1">
      <c r="A101" s="14746"/>
      <c r="B101" s="14750"/>
      <c r="C101" s="14758"/>
      <c r="D101" s="3655"/>
      <c r="E101" s="3660" t="s">
        <v>8560</v>
      </c>
      <c r="F101" s="14752"/>
      <c r="G101" s="14752"/>
    </row>
    <row r="102" spans="1:7" s="3667" customFormat="1" ht="15.75" customHeight="1">
      <c r="A102" s="14745"/>
      <c r="B102" s="14749" t="s">
        <v>8561</v>
      </c>
      <c r="C102" s="14756">
        <v>20000</v>
      </c>
      <c r="D102" s="14760" t="s">
        <v>8562</v>
      </c>
      <c r="E102" s="3668"/>
      <c r="F102" s="14751">
        <v>41640</v>
      </c>
      <c r="G102" s="14751">
        <v>41671</v>
      </c>
    </row>
    <row r="103" spans="1:7" s="3650" customFormat="1" ht="15" customHeight="1">
      <c r="A103" s="14754"/>
      <c r="B103" s="14755"/>
      <c r="C103" s="14757"/>
      <c r="D103" s="14765"/>
      <c r="E103" s="3661" t="s">
        <v>8563</v>
      </c>
      <c r="F103" s="14759"/>
      <c r="G103" s="14759"/>
    </row>
    <row r="104" spans="1:7" s="3650" customFormat="1" ht="16.5" customHeight="1" thickBot="1">
      <c r="A104" s="14746"/>
      <c r="B104" s="14750"/>
      <c r="C104" s="14758"/>
      <c r="D104" s="14761"/>
      <c r="E104" s="3660" t="s">
        <v>8564</v>
      </c>
      <c r="F104" s="14752"/>
      <c r="G104" s="14752"/>
    </row>
    <row r="105" spans="1:7" s="3650" customFormat="1" ht="32.25" customHeight="1" thickBot="1">
      <c r="A105" s="3669"/>
      <c r="B105" s="3670" t="s">
        <v>8565</v>
      </c>
      <c r="C105" s="3671">
        <v>25000</v>
      </c>
      <c r="D105" s="3672" t="s">
        <v>8566</v>
      </c>
      <c r="E105" s="3672" t="s">
        <v>2064</v>
      </c>
      <c r="F105" s="3673">
        <v>41974</v>
      </c>
      <c r="G105" s="3669"/>
    </row>
    <row r="106" spans="1:7" s="3650" customFormat="1" ht="32.25" customHeight="1">
      <c r="A106" s="3705"/>
      <c r="B106" s="3706"/>
      <c r="C106" s="3707"/>
      <c r="D106" s="3719"/>
      <c r="E106" s="3719"/>
      <c r="F106" s="3708"/>
      <c r="G106" s="3705"/>
    </row>
    <row r="107" spans="1:7" s="3650" customFormat="1" ht="32.25" customHeight="1">
      <c r="A107" s="3709"/>
      <c r="B107" s="1657"/>
      <c r="C107" s="3710"/>
      <c r="D107" s="3720"/>
      <c r="E107" s="3720"/>
      <c r="F107" s="3711"/>
      <c r="G107" s="3709"/>
    </row>
    <row r="108" spans="1:7" s="3650" customFormat="1" ht="21.75" customHeight="1">
      <c r="A108" s="3709"/>
      <c r="B108" s="1657"/>
      <c r="C108" s="3710"/>
      <c r="D108" s="3720"/>
      <c r="E108" s="3720"/>
      <c r="F108" s="3711"/>
      <c r="G108" s="3709"/>
    </row>
    <row r="109" spans="1:7" s="3650" customFormat="1" ht="21.75" customHeight="1">
      <c r="A109" s="3709"/>
      <c r="B109" s="1657"/>
      <c r="C109" s="3710"/>
      <c r="D109" s="3720"/>
      <c r="E109" s="3720"/>
      <c r="F109" s="3711"/>
      <c r="G109" s="3709"/>
    </row>
    <row r="110" spans="1:7" s="3650" customFormat="1" ht="16.5" customHeight="1" thickBot="1">
      <c r="A110" s="3717"/>
      <c r="B110" s="3712"/>
      <c r="C110" s="3713"/>
      <c r="D110" s="3721"/>
      <c r="E110" s="3721"/>
      <c r="F110" s="3714"/>
      <c r="G110" s="3717"/>
    </row>
    <row r="111" spans="1:7" s="2537" customFormat="1" ht="30" customHeight="1" thickBot="1">
      <c r="A111" s="3703" t="s">
        <v>2550</v>
      </c>
      <c r="B111" s="3428" t="s">
        <v>9485</v>
      </c>
      <c r="C111" s="3428" t="s">
        <v>1763</v>
      </c>
      <c r="D111" s="2539" t="s">
        <v>2029</v>
      </c>
      <c r="E111" s="3428" t="s">
        <v>2030</v>
      </c>
      <c r="F111" s="14741" t="s">
        <v>2031</v>
      </c>
      <c r="G111" s="14742"/>
    </row>
    <row r="112" spans="1:7" ht="44.25" customHeight="1">
      <c r="A112" s="14745"/>
      <c r="B112" s="14749" t="s">
        <v>8567</v>
      </c>
      <c r="C112" s="14756">
        <v>10000</v>
      </c>
      <c r="D112" s="3674" t="s">
        <v>8568</v>
      </c>
      <c r="E112" s="3674" t="s">
        <v>8571</v>
      </c>
      <c r="F112" s="14745" t="s">
        <v>9481</v>
      </c>
      <c r="G112" s="14745"/>
    </row>
    <row r="113" spans="1:7" ht="29.25" customHeight="1">
      <c r="A113" s="14754"/>
      <c r="B113" s="14755"/>
      <c r="C113" s="14757"/>
      <c r="D113" s="3661" t="s">
        <v>8569</v>
      </c>
      <c r="E113" s="3661" t="s">
        <v>2064</v>
      </c>
      <c r="F113" s="14754"/>
      <c r="G113" s="14754"/>
    </row>
    <row r="114" spans="1:7" ht="49.5" customHeight="1" thickBot="1">
      <c r="A114" s="14746"/>
      <c r="B114" s="14750"/>
      <c r="C114" s="14758"/>
      <c r="D114" s="3660" t="s">
        <v>8570</v>
      </c>
      <c r="E114" s="3660" t="s">
        <v>8572</v>
      </c>
      <c r="F114" s="14746"/>
      <c r="G114" s="14746"/>
    </row>
    <row r="115" spans="1:7" ht="34.5" customHeight="1" thickBot="1">
      <c r="A115" s="3653"/>
      <c r="B115" s="3657" t="s">
        <v>8573</v>
      </c>
      <c r="C115" s="3659"/>
      <c r="D115" s="3660"/>
      <c r="E115" s="3660"/>
      <c r="F115" s="3656"/>
      <c r="G115" s="3656"/>
    </row>
    <row r="116" spans="1:7" ht="45.75" customHeight="1" thickBot="1">
      <c r="A116" s="3653"/>
      <c r="B116" s="3657" t="s">
        <v>8574</v>
      </c>
      <c r="C116" s="3659"/>
      <c r="D116" s="3660"/>
      <c r="E116" s="3660"/>
      <c r="F116" s="3656"/>
      <c r="G116" s="3656"/>
    </row>
    <row r="117" spans="1:7" ht="35.25" customHeight="1" thickBot="1">
      <c r="A117" s="3653"/>
      <c r="B117" s="3655" t="s">
        <v>8575</v>
      </c>
      <c r="C117" s="3663">
        <v>100000</v>
      </c>
      <c r="D117" s="3660" t="s">
        <v>8576</v>
      </c>
      <c r="E117" s="3660" t="s">
        <v>8577</v>
      </c>
      <c r="F117" s="3656" t="s">
        <v>8578</v>
      </c>
      <c r="G117" s="3656" t="s">
        <v>8579</v>
      </c>
    </row>
    <row r="118" spans="1:7" ht="19.5" customHeight="1">
      <c r="A118" s="14745"/>
      <c r="B118" s="14749" t="s">
        <v>8580</v>
      </c>
      <c r="C118" s="14756">
        <v>50000</v>
      </c>
      <c r="D118" s="14749" t="s">
        <v>9438</v>
      </c>
      <c r="E118" s="3661" t="s">
        <v>3561</v>
      </c>
      <c r="F118" s="14745" t="s">
        <v>8578</v>
      </c>
      <c r="G118" s="14745" t="s">
        <v>8582</v>
      </c>
    </row>
    <row r="119" spans="1:7" ht="16.5" customHeight="1" thickBot="1">
      <c r="A119" s="14746"/>
      <c r="B119" s="14750"/>
      <c r="C119" s="14758"/>
      <c r="D119" s="14750"/>
      <c r="E119" s="3660" t="s">
        <v>8581</v>
      </c>
      <c r="F119" s="14746"/>
      <c r="G119" s="14746"/>
    </row>
    <row r="120" spans="1:7" ht="32.25" customHeight="1" thickBot="1">
      <c r="A120" s="3653"/>
      <c r="B120" s="3657" t="s">
        <v>8583</v>
      </c>
      <c r="C120" s="3659"/>
      <c r="D120" s="3660"/>
      <c r="E120" s="3660"/>
      <c r="F120" s="3656"/>
      <c r="G120" s="3656"/>
    </row>
    <row r="121" spans="1:7" ht="33.75" customHeight="1" thickBot="1">
      <c r="A121" s="3653"/>
      <c r="B121" s="3655" t="s">
        <v>8584</v>
      </c>
      <c r="C121" s="3663">
        <v>250000</v>
      </c>
      <c r="D121" s="3675" t="s">
        <v>8585</v>
      </c>
      <c r="E121" s="3660" t="s">
        <v>8586</v>
      </c>
      <c r="F121" s="3664">
        <v>41821</v>
      </c>
      <c r="G121" s="3664">
        <v>41974</v>
      </c>
    </row>
    <row r="122" spans="1:7" ht="47.25" customHeight="1" thickBot="1">
      <c r="A122" s="3653"/>
      <c r="B122" s="3655" t="s">
        <v>8587</v>
      </c>
      <c r="C122" s="3656" t="s">
        <v>1133</v>
      </c>
      <c r="D122" s="3655" t="s">
        <v>8588</v>
      </c>
      <c r="E122" s="3655" t="s">
        <v>3562</v>
      </c>
      <c r="F122" s="3664">
        <v>41640</v>
      </c>
      <c r="G122" s="3664">
        <v>41974</v>
      </c>
    </row>
    <row r="123" spans="1:7" ht="30" customHeight="1" thickBot="1">
      <c r="A123" s="3653"/>
      <c r="B123" s="3657" t="s">
        <v>8589</v>
      </c>
      <c r="C123" s="3663">
        <v>30000</v>
      </c>
      <c r="D123" s="3660"/>
      <c r="E123" s="3656"/>
      <c r="F123" s="3656"/>
      <c r="G123" s="3656"/>
    </row>
    <row r="124" spans="1:7" ht="40.5" customHeight="1" thickBot="1">
      <c r="A124" s="3653"/>
      <c r="B124" s="3655" t="s">
        <v>8590</v>
      </c>
      <c r="C124" s="3656" t="s">
        <v>1133</v>
      </c>
      <c r="D124" s="3675" t="s">
        <v>8591</v>
      </c>
      <c r="E124" s="3655" t="s">
        <v>8592</v>
      </c>
      <c r="F124" s="3664">
        <v>41640</v>
      </c>
      <c r="G124" s="3664">
        <v>41974</v>
      </c>
    </row>
    <row r="125" spans="1:7" ht="34.5" customHeight="1" thickBot="1">
      <c r="A125" s="3653"/>
      <c r="B125" s="3655" t="s">
        <v>8593</v>
      </c>
      <c r="C125" s="3656" t="s">
        <v>1133</v>
      </c>
      <c r="D125" s="3675" t="s">
        <v>8594</v>
      </c>
      <c r="E125" s="3655" t="s">
        <v>8595</v>
      </c>
      <c r="F125" s="3664">
        <v>41640</v>
      </c>
      <c r="G125" s="3664">
        <v>41974</v>
      </c>
    </row>
    <row r="126" spans="1:7" ht="50.25" customHeight="1" thickBot="1">
      <c r="A126" s="3653"/>
      <c r="B126" s="3655" t="s">
        <v>8596</v>
      </c>
      <c r="C126" s="3656" t="s">
        <v>1133</v>
      </c>
      <c r="D126" s="3655" t="s">
        <v>9439</v>
      </c>
      <c r="E126" s="3655" t="s">
        <v>8597</v>
      </c>
      <c r="F126" s="3664">
        <v>41640</v>
      </c>
      <c r="G126" s="3664">
        <v>41974</v>
      </c>
    </row>
    <row r="127" spans="1:7" ht="30" customHeight="1" thickBot="1">
      <c r="A127" s="3653"/>
      <c r="B127" s="3657" t="s">
        <v>8598</v>
      </c>
      <c r="C127" s="3663">
        <v>262500</v>
      </c>
      <c r="D127" s="3660"/>
      <c r="E127" s="3660"/>
      <c r="F127" s="3656"/>
      <c r="G127" s="3656"/>
    </row>
    <row r="128" spans="1:7" ht="29.25" customHeight="1">
      <c r="A128" s="14745"/>
      <c r="B128" s="14749" t="s">
        <v>8599</v>
      </c>
      <c r="C128" s="14747"/>
      <c r="D128" s="3661" t="s">
        <v>8600</v>
      </c>
      <c r="E128" s="14749" t="s">
        <v>8602</v>
      </c>
      <c r="F128" s="14751">
        <v>41640</v>
      </c>
      <c r="G128" s="14751">
        <v>41974</v>
      </c>
    </row>
    <row r="129" spans="1:7" ht="26.25" customHeight="1" thickBot="1">
      <c r="A129" s="14746"/>
      <c r="B129" s="14750"/>
      <c r="C129" s="14748"/>
      <c r="D129" s="3660" t="s">
        <v>8601</v>
      </c>
      <c r="E129" s="14750"/>
      <c r="F129" s="14752"/>
      <c r="G129" s="14752"/>
    </row>
    <row r="130" spans="1:7" ht="21" customHeight="1" thickBot="1">
      <c r="A130" s="3653"/>
      <c r="B130" s="3657" t="s">
        <v>8603</v>
      </c>
      <c r="C130" s="3676"/>
      <c r="D130" s="3660"/>
      <c r="E130" s="3660"/>
      <c r="F130" s="3656"/>
      <c r="G130" s="3656"/>
    </row>
    <row r="131" spans="1:7" ht="28.5" customHeight="1">
      <c r="A131" s="14745"/>
      <c r="B131" s="14749" t="s">
        <v>8604</v>
      </c>
      <c r="C131" s="14756">
        <v>10000</v>
      </c>
      <c r="D131" s="3658" t="s">
        <v>9440</v>
      </c>
      <c r="E131" s="14749" t="s">
        <v>1823</v>
      </c>
      <c r="F131" s="14751">
        <v>41640</v>
      </c>
      <c r="G131" s="14751">
        <v>41974</v>
      </c>
    </row>
    <row r="132" spans="1:7" ht="37.5" customHeight="1">
      <c r="A132" s="14754"/>
      <c r="B132" s="14755"/>
      <c r="C132" s="14757"/>
      <c r="D132" s="3658" t="s">
        <v>9441</v>
      </c>
      <c r="E132" s="14755"/>
      <c r="F132" s="14759"/>
      <c r="G132" s="14759"/>
    </row>
    <row r="133" spans="1:7" s="3649" customFormat="1" ht="13.5" customHeight="1">
      <c r="A133" s="14754"/>
      <c r="B133" s="14755"/>
      <c r="C133" s="14757"/>
      <c r="D133" s="3658" t="s">
        <v>9442</v>
      </c>
      <c r="E133" s="14755"/>
      <c r="F133" s="14759"/>
      <c r="G133" s="14759"/>
    </row>
    <row r="134" spans="1:7" s="3649" customFormat="1" ht="18" customHeight="1" thickBot="1">
      <c r="A134" s="14746"/>
      <c r="B134" s="14750"/>
      <c r="C134" s="14758"/>
      <c r="D134" s="3655" t="s">
        <v>9443</v>
      </c>
      <c r="E134" s="14750"/>
      <c r="F134" s="14752"/>
      <c r="G134" s="14752"/>
    </row>
    <row r="135" spans="1:7" ht="34.5" customHeight="1" thickBot="1">
      <c r="A135" s="3653"/>
      <c r="B135" s="3655" t="s">
        <v>8605</v>
      </c>
      <c r="C135" s="3676"/>
      <c r="D135" s="3660" t="s">
        <v>9444</v>
      </c>
      <c r="E135" s="3655" t="s">
        <v>8606</v>
      </c>
      <c r="F135" s="3664">
        <v>41640</v>
      </c>
      <c r="G135" s="3664">
        <v>41974</v>
      </c>
    </row>
    <row r="136" spans="1:7" ht="53.25" customHeight="1" thickBot="1">
      <c r="A136" s="3653"/>
      <c r="B136" s="3657" t="s">
        <v>8607</v>
      </c>
      <c r="C136" s="3677"/>
      <c r="D136" s="3660"/>
      <c r="E136" s="3660"/>
      <c r="F136" s="3656"/>
      <c r="G136" s="3656"/>
    </row>
    <row r="137" spans="1:7" ht="24.75" customHeight="1">
      <c r="A137" s="3705"/>
      <c r="B137" s="3722"/>
      <c r="C137" s="3723"/>
      <c r="D137" s="3719"/>
      <c r="E137" s="3719"/>
      <c r="F137" s="3705"/>
      <c r="G137" s="3705"/>
    </row>
    <row r="138" spans="1:7" ht="24.75" customHeight="1">
      <c r="A138" s="3709"/>
      <c r="B138" s="3724"/>
      <c r="C138" s="3725"/>
      <c r="D138" s="3720"/>
      <c r="E138" s="3720"/>
      <c r="F138" s="3709"/>
      <c r="G138" s="3709"/>
    </row>
    <row r="139" spans="1:7" ht="24.75" customHeight="1">
      <c r="A139" s="3709"/>
      <c r="B139" s="3724"/>
      <c r="C139" s="3725"/>
      <c r="D139" s="3720"/>
      <c r="E139" s="3720"/>
      <c r="F139" s="3709"/>
      <c r="G139" s="3709"/>
    </row>
    <row r="140" spans="1:7" ht="24.75" customHeight="1" thickBot="1">
      <c r="A140" s="3717"/>
      <c r="B140" s="3726"/>
      <c r="C140" s="3727"/>
      <c r="D140" s="3721"/>
      <c r="E140" s="3721"/>
      <c r="F140" s="3717"/>
      <c r="G140" s="3717"/>
    </row>
    <row r="141" spans="1:7" s="2537" customFormat="1" ht="30" customHeight="1" thickBot="1">
      <c r="A141" s="3703" t="s">
        <v>2550</v>
      </c>
      <c r="B141" s="3428" t="s">
        <v>9485</v>
      </c>
      <c r="C141" s="3428" t="s">
        <v>1763</v>
      </c>
      <c r="D141" s="2539" t="s">
        <v>2029</v>
      </c>
      <c r="E141" s="3428" t="s">
        <v>2030</v>
      </c>
      <c r="F141" s="14741" t="s">
        <v>2031</v>
      </c>
      <c r="G141" s="14742"/>
    </row>
    <row r="142" spans="1:7" ht="50.25" customHeight="1" thickBot="1">
      <c r="A142" s="3669"/>
      <c r="B142" s="3678" t="s">
        <v>8608</v>
      </c>
      <c r="C142" s="3679"/>
      <c r="D142" s="3672"/>
      <c r="E142" s="3672"/>
      <c r="F142" s="3669"/>
      <c r="G142" s="3669"/>
    </row>
    <row r="143" spans="1:7" ht="44.25" customHeight="1" thickBot="1">
      <c r="A143" s="3669"/>
      <c r="B143" s="3672" t="s">
        <v>8609</v>
      </c>
      <c r="C143" s="3671">
        <v>100000</v>
      </c>
      <c r="D143" s="3672" t="s">
        <v>9445</v>
      </c>
      <c r="E143" s="3672"/>
      <c r="F143" s="3673">
        <v>41821</v>
      </c>
      <c r="G143" s="3669"/>
    </row>
    <row r="144" spans="1:7" ht="46.5" customHeight="1" thickBot="1">
      <c r="A144" s="3680"/>
      <c r="B144" s="3681" t="s">
        <v>8610</v>
      </c>
      <c r="C144" s="3682" t="s">
        <v>1133</v>
      </c>
      <c r="D144" s="3687" t="s">
        <v>9446</v>
      </c>
      <c r="E144" s="3682"/>
      <c r="F144" s="3683">
        <v>41640</v>
      </c>
      <c r="G144" s="3683">
        <v>41974</v>
      </c>
    </row>
    <row r="145" spans="1:7" s="3650" customFormat="1" ht="19.5" customHeight="1" thickBot="1">
      <c r="A145" s="3653"/>
      <c r="B145" s="3655" t="s">
        <v>8611</v>
      </c>
      <c r="C145" s="3656" t="s">
        <v>1133</v>
      </c>
      <c r="D145" s="3660" t="s">
        <v>9447</v>
      </c>
      <c r="E145" s="3655" t="s">
        <v>8612</v>
      </c>
      <c r="F145" s="3664">
        <v>41640</v>
      </c>
      <c r="G145" s="3664">
        <v>41974</v>
      </c>
    </row>
    <row r="146" spans="1:7" s="3650" customFormat="1" ht="46.5" customHeight="1" thickBot="1">
      <c r="A146" s="3653"/>
      <c r="B146" s="3655" t="s">
        <v>8613</v>
      </c>
      <c r="C146" s="3656" t="s">
        <v>1133</v>
      </c>
      <c r="D146" s="3660" t="s">
        <v>9448</v>
      </c>
      <c r="E146" s="3676" t="s">
        <v>8614</v>
      </c>
      <c r="F146" s="3664">
        <v>41640</v>
      </c>
      <c r="G146" s="3664">
        <v>41974</v>
      </c>
    </row>
    <row r="147" spans="1:7" s="3650" customFormat="1" ht="31.5" customHeight="1" thickBot="1">
      <c r="A147" s="3653"/>
      <c r="B147" s="3655" t="s">
        <v>8615</v>
      </c>
      <c r="C147" s="3656" t="s">
        <v>1133</v>
      </c>
      <c r="D147" s="3660" t="s">
        <v>9449</v>
      </c>
      <c r="E147" s="3655" t="s">
        <v>8616</v>
      </c>
      <c r="F147" s="3664">
        <v>41640</v>
      </c>
      <c r="G147" s="3664">
        <v>41974</v>
      </c>
    </row>
    <row r="148" spans="1:7" s="3650" customFormat="1" ht="36.75" customHeight="1" thickBot="1">
      <c r="A148" s="3653"/>
      <c r="B148" s="3655" t="s">
        <v>8617</v>
      </c>
      <c r="C148" s="3656" t="s">
        <v>1133</v>
      </c>
      <c r="D148" s="3660" t="s">
        <v>9450</v>
      </c>
      <c r="E148" s="3656"/>
      <c r="F148" s="3664">
        <v>41640</v>
      </c>
      <c r="G148" s="3664">
        <v>41974</v>
      </c>
    </row>
    <row r="149" spans="1:7" ht="33" customHeight="1" thickBot="1">
      <c r="A149" s="3653"/>
      <c r="B149" s="3655" t="s">
        <v>8618</v>
      </c>
      <c r="C149" s="3656" t="s">
        <v>1133</v>
      </c>
      <c r="D149" s="3660" t="s">
        <v>9451</v>
      </c>
      <c r="E149" s="3656"/>
      <c r="F149" s="3664">
        <v>41640</v>
      </c>
      <c r="G149" s="3664">
        <v>41974</v>
      </c>
    </row>
    <row r="150" spans="1:7" ht="33" customHeight="1" thickBot="1">
      <c r="A150" s="3653"/>
      <c r="B150" s="3655" t="s">
        <v>8619</v>
      </c>
      <c r="C150" s="3656" t="s">
        <v>1133</v>
      </c>
      <c r="D150" s="3660" t="s">
        <v>9452</v>
      </c>
      <c r="E150" s="3655" t="s">
        <v>8620</v>
      </c>
      <c r="F150" s="3664">
        <v>41640</v>
      </c>
      <c r="G150" s="3664">
        <v>41974</v>
      </c>
    </row>
    <row r="151" spans="1:7" ht="31.5" customHeight="1" thickBot="1">
      <c r="A151" s="3653"/>
      <c r="B151" s="3655" t="s">
        <v>8621</v>
      </c>
      <c r="C151" s="3676"/>
      <c r="D151" s="3660"/>
      <c r="E151" s="3660"/>
      <c r="F151" s="3664">
        <v>41640</v>
      </c>
      <c r="G151" s="3664">
        <v>41974</v>
      </c>
    </row>
    <row r="152" spans="1:7" ht="31.5" customHeight="1" thickBot="1">
      <c r="A152" s="3653"/>
      <c r="B152" s="3655" t="s">
        <v>8622</v>
      </c>
      <c r="C152" s="3676"/>
      <c r="D152" s="3660"/>
      <c r="E152" s="3656"/>
      <c r="F152" s="3664">
        <v>41640</v>
      </c>
      <c r="G152" s="3664">
        <v>41974</v>
      </c>
    </row>
    <row r="153" spans="1:7" ht="32.25" customHeight="1">
      <c r="A153" s="14745"/>
      <c r="B153" s="14766" t="s">
        <v>8623</v>
      </c>
      <c r="C153" s="1942">
        <v>400000</v>
      </c>
      <c r="D153" s="3700" t="s">
        <v>6932</v>
      </c>
      <c r="E153" s="14745"/>
      <c r="F153" s="14745"/>
      <c r="G153" s="14745"/>
    </row>
    <row r="154" spans="1:7" ht="30.75" customHeight="1" thickBot="1">
      <c r="A154" s="14746"/>
      <c r="B154" s="14767"/>
      <c r="C154" s="3663">
        <v>150000</v>
      </c>
      <c r="D154" s="3701" t="s">
        <v>554</v>
      </c>
      <c r="E154" s="14746"/>
      <c r="F154" s="14746"/>
      <c r="G154" s="14746"/>
    </row>
    <row r="155" spans="1:7" ht="30" customHeight="1" thickBot="1">
      <c r="A155" s="3653"/>
      <c r="B155" s="3655" t="s">
        <v>8624</v>
      </c>
      <c r="C155" s="3676"/>
      <c r="D155" s="3660" t="s">
        <v>9453</v>
      </c>
      <c r="E155" s="3656"/>
      <c r="F155" s="3664">
        <v>41640</v>
      </c>
      <c r="G155" s="3664">
        <v>41974</v>
      </c>
    </row>
    <row r="156" spans="1:7" ht="44.25" customHeight="1" thickBot="1">
      <c r="A156" s="3653"/>
      <c r="B156" s="3655" t="s">
        <v>8625</v>
      </c>
      <c r="C156" s="3676"/>
      <c r="D156" s="3660" t="s">
        <v>9454</v>
      </c>
      <c r="E156" s="3656"/>
      <c r="F156" s="3664">
        <v>41640</v>
      </c>
      <c r="G156" s="3664">
        <v>41974</v>
      </c>
    </row>
    <row r="157" spans="1:7" ht="32.25" customHeight="1" thickBot="1">
      <c r="A157" s="3653"/>
      <c r="B157" s="3655" t="s">
        <v>8626</v>
      </c>
      <c r="C157" s="3676"/>
      <c r="D157" s="3660" t="s">
        <v>9454</v>
      </c>
      <c r="E157" s="3656"/>
      <c r="F157" s="3656"/>
      <c r="G157" s="3656"/>
    </row>
    <row r="158" spans="1:7" ht="32.25" customHeight="1" thickBot="1">
      <c r="A158" s="3653"/>
      <c r="B158" s="3655" t="s">
        <v>8627</v>
      </c>
      <c r="C158" s="3676"/>
      <c r="D158" s="3660" t="s">
        <v>9455</v>
      </c>
      <c r="E158" s="3656"/>
      <c r="F158" s="3664">
        <v>41791</v>
      </c>
      <c r="G158" s="3664">
        <v>41883</v>
      </c>
    </row>
    <row r="159" spans="1:7" ht="31.5" customHeight="1">
      <c r="A159" s="14745"/>
      <c r="B159" s="3658" t="s">
        <v>8628</v>
      </c>
      <c r="C159" s="14762"/>
      <c r="D159" s="14760" t="s">
        <v>9456</v>
      </c>
      <c r="E159" s="14745"/>
      <c r="F159" s="14751">
        <v>41640</v>
      </c>
      <c r="G159" s="14751">
        <v>41974</v>
      </c>
    </row>
    <row r="160" spans="1:7" ht="14.25" customHeight="1">
      <c r="A160" s="14754"/>
      <c r="B160" s="3658" t="s">
        <v>8629</v>
      </c>
      <c r="C160" s="14763"/>
      <c r="D160" s="14765"/>
      <c r="E160" s="14754"/>
      <c r="F160" s="14759"/>
      <c r="G160" s="14759"/>
    </row>
    <row r="161" spans="1:7" ht="30" customHeight="1" thickBot="1">
      <c r="A161" s="14746"/>
      <c r="B161" s="3655" t="s">
        <v>8630</v>
      </c>
      <c r="C161" s="14764"/>
      <c r="D161" s="14761"/>
      <c r="E161" s="14746"/>
      <c r="F161" s="14752"/>
      <c r="G161" s="14752"/>
    </row>
    <row r="162" spans="1:7" ht="32.25" customHeight="1" thickBot="1">
      <c r="A162" s="3653"/>
      <c r="B162" s="3655" t="s">
        <v>8631</v>
      </c>
      <c r="C162" s="3676"/>
      <c r="D162" s="3660"/>
      <c r="E162" s="3660" t="s">
        <v>8632</v>
      </c>
      <c r="F162" s="3656"/>
      <c r="G162" s="3664">
        <v>41974</v>
      </c>
    </row>
    <row r="163" spans="1:7" ht="45" customHeight="1" thickBot="1">
      <c r="A163" s="3653"/>
      <c r="B163" s="3655" t="s">
        <v>8633</v>
      </c>
      <c r="C163" s="3676"/>
      <c r="D163" s="3660"/>
      <c r="E163" s="3660" t="s">
        <v>8634</v>
      </c>
      <c r="F163" s="3656" t="s">
        <v>8635</v>
      </c>
      <c r="G163" s="3656"/>
    </row>
    <row r="164" spans="1:7" ht="32.25" customHeight="1" thickBot="1">
      <c r="A164" s="3653"/>
      <c r="B164" s="3655" t="s">
        <v>8636</v>
      </c>
      <c r="C164" s="3676"/>
      <c r="D164" s="3660"/>
      <c r="E164" s="3660" t="s">
        <v>8637</v>
      </c>
      <c r="F164" s="3656" t="s">
        <v>8635</v>
      </c>
      <c r="G164" s="3656"/>
    </row>
    <row r="165" spans="1:7" ht="14.25" customHeight="1">
      <c r="A165" s="3706"/>
      <c r="B165" s="3729"/>
      <c r="C165" s="3730"/>
      <c r="D165" s="3719"/>
      <c r="F165" s="3705"/>
      <c r="G165" s="3705"/>
    </row>
    <row r="166" spans="1:7" ht="24" customHeight="1">
      <c r="A166" s="1657"/>
      <c r="B166" s="3731"/>
      <c r="C166" s="3732"/>
      <c r="D166" s="3720"/>
      <c r="E166" s="1657"/>
      <c r="F166" s="3709"/>
      <c r="G166" s="3709"/>
    </row>
    <row r="167" spans="1:7" ht="24" customHeight="1">
      <c r="A167" s="1657"/>
      <c r="B167" s="3731"/>
      <c r="C167" s="3732"/>
      <c r="D167" s="3720"/>
      <c r="E167" s="1657"/>
      <c r="F167" s="3709"/>
      <c r="G167" s="3709"/>
    </row>
    <row r="168" spans="1:7" ht="24" customHeight="1">
      <c r="A168" s="1657"/>
      <c r="B168" s="3731"/>
      <c r="C168" s="3732"/>
      <c r="D168" s="3720"/>
      <c r="E168" s="1657"/>
      <c r="F168" s="3709"/>
      <c r="G168" s="3709"/>
    </row>
    <row r="169" spans="1:7" ht="24" customHeight="1">
      <c r="A169" s="1657"/>
      <c r="B169" s="3731"/>
      <c r="C169" s="3732"/>
      <c r="D169" s="3720"/>
      <c r="E169" s="1657"/>
      <c r="F169" s="3709"/>
      <c r="G169" s="3709"/>
    </row>
    <row r="170" spans="1:7" ht="24" customHeight="1" thickBot="1">
      <c r="A170" s="3712"/>
      <c r="B170" s="3733"/>
      <c r="C170" s="3734"/>
      <c r="D170" s="3721"/>
      <c r="E170" s="3712"/>
      <c r="F170" s="3717"/>
      <c r="G170" s="3717"/>
    </row>
    <row r="171" spans="1:7" s="2537" customFormat="1" ht="30" customHeight="1" thickBot="1">
      <c r="A171" s="3703" t="s">
        <v>2550</v>
      </c>
      <c r="B171" s="3428" t="s">
        <v>9485</v>
      </c>
      <c r="C171" s="3428" t="s">
        <v>1763</v>
      </c>
      <c r="D171" s="2539" t="s">
        <v>2029</v>
      </c>
      <c r="E171" s="3428" t="s">
        <v>2030</v>
      </c>
      <c r="F171" s="14741" t="s">
        <v>2031</v>
      </c>
      <c r="G171" s="14742"/>
    </row>
    <row r="172" spans="1:7" ht="15.75" customHeight="1">
      <c r="A172" s="3704"/>
      <c r="B172" s="3684" t="s">
        <v>8638</v>
      </c>
      <c r="C172" s="1942">
        <v>50000</v>
      </c>
      <c r="D172" s="3728"/>
      <c r="E172" s="14739" t="s">
        <v>8640</v>
      </c>
      <c r="F172" s="3685"/>
      <c r="G172" s="3685"/>
    </row>
    <row r="173" spans="1:7" ht="47.25" customHeight="1" thickBot="1">
      <c r="A173" s="2013"/>
      <c r="B173" s="3658" t="s">
        <v>8639</v>
      </c>
      <c r="C173" s="3658"/>
      <c r="D173" s="3701"/>
      <c r="E173" s="14740"/>
      <c r="F173" s="3662">
        <v>41640</v>
      </c>
      <c r="G173" s="3662">
        <v>41974</v>
      </c>
    </row>
    <row r="174" spans="1:7" ht="62.25" customHeight="1" thickBot="1">
      <c r="A174" s="3680"/>
      <c r="B174" s="3681" t="s">
        <v>8641</v>
      </c>
      <c r="C174" s="3686"/>
      <c r="D174" s="3687" t="s">
        <v>9457</v>
      </c>
      <c r="E174" s="3687"/>
      <c r="F174" s="3683">
        <v>41640</v>
      </c>
      <c r="G174" s="3683">
        <v>41974</v>
      </c>
    </row>
    <row r="175" spans="1:7" ht="23.25" customHeight="1" thickBot="1">
      <c r="A175" s="3669"/>
      <c r="B175" s="3678" t="s">
        <v>8642</v>
      </c>
      <c r="C175" s="3679"/>
      <c r="D175" s="3672"/>
      <c r="E175" s="3669"/>
      <c r="F175" s="3669"/>
      <c r="G175" s="3669"/>
    </row>
    <row r="176" spans="1:7" ht="46.5" customHeight="1" thickBot="1">
      <c r="A176" s="3680"/>
      <c r="B176" s="3681" t="s">
        <v>8643</v>
      </c>
      <c r="C176" s="3688">
        <v>50000</v>
      </c>
      <c r="D176" s="3687" t="s">
        <v>9458</v>
      </c>
      <c r="E176" s="3687" t="s">
        <v>8644</v>
      </c>
      <c r="F176" s="3683">
        <v>41640</v>
      </c>
      <c r="G176" s="3683">
        <v>41974</v>
      </c>
    </row>
    <row r="177" spans="1:7" ht="36.75" customHeight="1" thickBot="1">
      <c r="A177" s="3653"/>
      <c r="B177" s="3655" t="s">
        <v>8645</v>
      </c>
      <c r="C177" s="3656" t="s">
        <v>1133</v>
      </c>
      <c r="D177" s="3660" t="s">
        <v>9459</v>
      </c>
      <c r="E177" s="3660" t="s">
        <v>8644</v>
      </c>
      <c r="F177" s="3664">
        <v>41640</v>
      </c>
      <c r="G177" s="3664">
        <v>41974</v>
      </c>
    </row>
    <row r="178" spans="1:7" ht="21" customHeight="1" thickBot="1">
      <c r="A178" s="3680"/>
      <c r="B178" s="3689" t="s">
        <v>8646</v>
      </c>
      <c r="C178" s="3690"/>
      <c r="D178" s="3691"/>
      <c r="E178" s="3680"/>
      <c r="F178" s="3680"/>
      <c r="G178" s="3680"/>
    </row>
    <row r="179" spans="1:7" ht="30.75" customHeight="1" thickBot="1">
      <c r="A179" s="3653"/>
      <c r="B179" s="3655" t="s">
        <v>8647</v>
      </c>
      <c r="C179" s="3663">
        <v>10000</v>
      </c>
      <c r="D179" s="3660" t="s">
        <v>9460</v>
      </c>
      <c r="E179" s="3655" t="s">
        <v>6184</v>
      </c>
      <c r="F179" s="3664">
        <v>41640</v>
      </c>
      <c r="G179" s="3664">
        <v>41974</v>
      </c>
    </row>
    <row r="180" spans="1:7" s="3698" customFormat="1" ht="30.75" customHeight="1" thickBot="1">
      <c r="A180" s="3695"/>
      <c r="B180" s="3696" t="s">
        <v>8648</v>
      </c>
      <c r="C180" s="3695" t="s">
        <v>1133</v>
      </c>
      <c r="D180" s="3697"/>
      <c r="E180" s="3695"/>
      <c r="F180" s="3695"/>
      <c r="G180" s="3695"/>
    </row>
    <row r="181" spans="1:7" ht="45.75" customHeight="1" thickBot="1">
      <c r="A181" s="3680"/>
      <c r="B181" s="3681" t="s">
        <v>8649</v>
      </c>
      <c r="C181" s="3688">
        <v>2000000</v>
      </c>
      <c r="D181" s="3687" t="s">
        <v>9461</v>
      </c>
      <c r="E181" s="3682" t="s">
        <v>8650</v>
      </c>
      <c r="F181" s="3683">
        <v>41640</v>
      </c>
      <c r="G181" s="3682"/>
    </row>
    <row r="182" spans="1:7" ht="31.5" customHeight="1" thickBot="1">
      <c r="A182" s="3653"/>
      <c r="B182" s="3655" t="s">
        <v>8651</v>
      </c>
      <c r="C182" s="3656" t="s">
        <v>1133</v>
      </c>
      <c r="D182" s="3660" t="s">
        <v>9462</v>
      </c>
      <c r="E182" s="3655" t="s">
        <v>8652</v>
      </c>
      <c r="F182" s="3664">
        <v>41640</v>
      </c>
      <c r="G182" s="3664">
        <v>41974</v>
      </c>
    </row>
    <row r="183" spans="1:7" ht="6.75" customHeight="1">
      <c r="A183" s="14745"/>
      <c r="B183" s="3692"/>
      <c r="C183" s="14768">
        <v>3526244</v>
      </c>
      <c r="D183" s="14760"/>
      <c r="E183" s="14770"/>
      <c r="F183" s="14745"/>
      <c r="G183" s="14745"/>
    </row>
    <row r="184" spans="1:7" ht="31.5" customHeight="1" thickBot="1">
      <c r="A184" s="14746"/>
      <c r="B184" s="3657" t="s">
        <v>8653</v>
      </c>
      <c r="C184" s="14769"/>
      <c r="D184" s="14761"/>
      <c r="E184" s="14771"/>
      <c r="F184" s="14746"/>
      <c r="G184" s="14746"/>
    </row>
    <row r="185" spans="1:7" ht="34.5" customHeight="1" thickBot="1">
      <c r="A185" s="3653"/>
      <c r="B185" s="3657" t="s">
        <v>8654</v>
      </c>
      <c r="C185" s="3663">
        <v>200000</v>
      </c>
      <c r="D185" s="3660"/>
      <c r="E185" s="3656"/>
      <c r="F185" s="3656"/>
      <c r="G185" s="3656"/>
    </row>
    <row r="186" spans="1:7" ht="48" customHeight="1" thickBot="1">
      <c r="A186" s="3653"/>
      <c r="B186" s="3655" t="s">
        <v>8655</v>
      </c>
      <c r="C186" s="3656" t="s">
        <v>1133</v>
      </c>
      <c r="D186" s="3655" t="s">
        <v>9463</v>
      </c>
      <c r="E186" s="3655" t="s">
        <v>3563</v>
      </c>
      <c r="F186" s="3664">
        <v>41640</v>
      </c>
      <c r="G186" s="3664">
        <v>41974</v>
      </c>
    </row>
    <row r="187" spans="1:7" ht="3" customHeight="1">
      <c r="A187" s="14745"/>
      <c r="B187" s="3658"/>
      <c r="C187" s="14745" t="s">
        <v>1133</v>
      </c>
      <c r="D187" s="14760" t="s">
        <v>9464</v>
      </c>
      <c r="E187" s="3658"/>
      <c r="F187" s="3685"/>
      <c r="G187" s="3685"/>
    </row>
    <row r="188" spans="1:7" ht="29.25" customHeight="1" thickBot="1">
      <c r="A188" s="14746"/>
      <c r="B188" s="3655" t="s">
        <v>8656</v>
      </c>
      <c r="C188" s="14746"/>
      <c r="D188" s="14761"/>
      <c r="E188" s="3655" t="s">
        <v>3564</v>
      </c>
      <c r="F188" s="3664">
        <v>41640</v>
      </c>
      <c r="G188" s="3664">
        <v>41974</v>
      </c>
    </row>
    <row r="189" spans="1:7" ht="33.75" customHeight="1" thickBot="1">
      <c r="A189" s="3653"/>
      <c r="B189" s="3655" t="s">
        <v>8657</v>
      </c>
      <c r="C189" s="3656" t="s">
        <v>1133</v>
      </c>
      <c r="D189" s="3660" t="s">
        <v>9465</v>
      </c>
      <c r="E189" s="3660" t="s">
        <v>8658</v>
      </c>
      <c r="F189" s="3656" t="s">
        <v>8635</v>
      </c>
      <c r="G189" s="3656"/>
    </row>
    <row r="190" spans="1:7" ht="15" customHeight="1">
      <c r="A190" s="14745"/>
      <c r="B190" s="3658" t="s">
        <v>8659</v>
      </c>
      <c r="C190" s="14745" t="s">
        <v>1133</v>
      </c>
      <c r="D190" s="14760" t="s">
        <v>9466</v>
      </c>
      <c r="E190" s="14762" t="s">
        <v>8660</v>
      </c>
      <c r="F190" s="14751">
        <v>41640</v>
      </c>
      <c r="G190" s="14751">
        <v>41974</v>
      </c>
    </row>
    <row r="191" spans="1:7" ht="18.75" customHeight="1" thickBot="1">
      <c r="A191" s="14746"/>
      <c r="B191" s="3655" t="s">
        <v>6151</v>
      </c>
      <c r="C191" s="14746"/>
      <c r="D191" s="14761"/>
      <c r="E191" s="14764"/>
      <c r="F191" s="14752"/>
      <c r="G191" s="14752"/>
    </row>
    <row r="192" spans="1:7" ht="34.5" customHeight="1" thickBot="1">
      <c r="A192" s="3653"/>
      <c r="B192" s="3655" t="s">
        <v>8661</v>
      </c>
      <c r="C192" s="3656" t="s">
        <v>1133</v>
      </c>
      <c r="D192" s="3660" t="s">
        <v>9467</v>
      </c>
      <c r="E192" s="3655" t="s">
        <v>8662</v>
      </c>
      <c r="F192" s="3664">
        <v>41640</v>
      </c>
      <c r="G192" s="3664">
        <v>41974</v>
      </c>
    </row>
    <row r="193" spans="1:7" ht="15" customHeight="1">
      <c r="A193" s="14745"/>
      <c r="B193" s="3658" t="s">
        <v>8663</v>
      </c>
      <c r="C193" s="14745" t="s">
        <v>1133</v>
      </c>
      <c r="D193" s="14749"/>
      <c r="E193" s="2015" t="s">
        <v>3565</v>
      </c>
      <c r="F193" s="14751">
        <v>41640</v>
      </c>
      <c r="G193" s="14751">
        <v>41974</v>
      </c>
    </row>
    <row r="194" spans="1:7" ht="16.5" customHeight="1">
      <c r="A194" s="14754"/>
      <c r="B194" s="3658" t="s">
        <v>8664</v>
      </c>
      <c r="C194" s="14754"/>
      <c r="D194" s="14755"/>
      <c r="E194" s="2015" t="s">
        <v>8666</v>
      </c>
      <c r="F194" s="14759"/>
      <c r="G194" s="14759"/>
    </row>
    <row r="195" spans="1:7" s="3667" customFormat="1" ht="18.75" customHeight="1" thickBot="1">
      <c r="A195" s="14746"/>
      <c r="B195" s="3655" t="s">
        <v>8665</v>
      </c>
      <c r="C195" s="14746"/>
      <c r="D195" s="14750"/>
      <c r="E195" s="3656"/>
      <c r="F195" s="14752"/>
      <c r="G195" s="14752"/>
    </row>
    <row r="196" spans="1:7" s="3667" customFormat="1" ht="63" customHeight="1" thickBot="1">
      <c r="A196" s="3653"/>
      <c r="B196" s="3655" t="s">
        <v>8667</v>
      </c>
      <c r="C196" s="3656" t="s">
        <v>1133</v>
      </c>
      <c r="D196" s="3660" t="s">
        <v>9468</v>
      </c>
      <c r="E196" s="3660" t="s">
        <v>8668</v>
      </c>
      <c r="F196" s="3664">
        <v>41640</v>
      </c>
      <c r="G196" s="3664">
        <v>41974</v>
      </c>
    </row>
    <row r="197" spans="1:7" s="3667" customFormat="1" ht="20.25" customHeight="1" thickBot="1">
      <c r="A197" s="3653"/>
      <c r="B197" s="3657" t="s">
        <v>8669</v>
      </c>
      <c r="C197" s="3663">
        <v>50000</v>
      </c>
      <c r="D197" s="3660"/>
      <c r="E197" s="3656"/>
      <c r="F197" s="3656"/>
      <c r="G197" s="3656"/>
    </row>
    <row r="198" spans="1:7" s="3667" customFormat="1" ht="17.25" customHeight="1" thickBot="1">
      <c r="A198" s="3653"/>
      <c r="B198" s="3655" t="s">
        <v>8670</v>
      </c>
      <c r="C198" s="3656" t="s">
        <v>1133</v>
      </c>
      <c r="D198" s="3660"/>
      <c r="E198" s="3655" t="s">
        <v>8671</v>
      </c>
      <c r="F198" s="3664">
        <v>41640</v>
      </c>
      <c r="G198" s="3664">
        <v>41974</v>
      </c>
    </row>
    <row r="199" spans="1:7" s="3667" customFormat="1" ht="63" customHeight="1" thickBot="1">
      <c r="A199" s="3653"/>
      <c r="B199" s="3655" t="s">
        <v>8672</v>
      </c>
      <c r="C199" s="3656" t="s">
        <v>1133</v>
      </c>
      <c r="D199" s="3660" t="s">
        <v>9469</v>
      </c>
      <c r="E199" s="3655" t="s">
        <v>8673</v>
      </c>
      <c r="F199" s="3664">
        <v>41640</v>
      </c>
      <c r="G199" s="3664">
        <v>41974</v>
      </c>
    </row>
    <row r="200" spans="1:7" s="3667" customFormat="1" ht="21.75" customHeight="1">
      <c r="A200" s="3705"/>
      <c r="B200" s="3706"/>
      <c r="C200" s="3705"/>
      <c r="D200" s="3719"/>
      <c r="E200" s="3706"/>
      <c r="F200" s="3708"/>
      <c r="G200" s="3708"/>
    </row>
    <row r="201" spans="1:7" s="3667" customFormat="1" ht="21.75" customHeight="1">
      <c r="A201" s="3709"/>
      <c r="B201" s="1657"/>
      <c r="C201" s="3709"/>
      <c r="D201" s="3720"/>
      <c r="E201" s="1657"/>
      <c r="F201" s="3711"/>
      <c r="G201" s="3711"/>
    </row>
    <row r="202" spans="1:7" s="3667" customFormat="1" ht="21.75" customHeight="1" thickBot="1">
      <c r="A202" s="3717"/>
      <c r="B202" s="3712"/>
      <c r="C202" s="3717"/>
      <c r="D202" s="3721"/>
      <c r="E202" s="3712"/>
      <c r="F202" s="3714"/>
      <c r="G202" s="3714"/>
    </row>
    <row r="203" spans="1:7" s="2537" customFormat="1" ht="30" customHeight="1" thickBot="1">
      <c r="A203" s="3703" t="s">
        <v>2550</v>
      </c>
      <c r="B203" s="3428" t="s">
        <v>9485</v>
      </c>
      <c r="C203" s="3428" t="s">
        <v>1763</v>
      </c>
      <c r="D203" s="2539" t="s">
        <v>2029</v>
      </c>
      <c r="E203" s="3428" t="s">
        <v>2030</v>
      </c>
      <c r="F203" s="14741" t="s">
        <v>2031</v>
      </c>
      <c r="G203" s="14742"/>
    </row>
    <row r="204" spans="1:7" s="3650" customFormat="1" ht="18" customHeight="1" thickBot="1">
      <c r="A204" s="3653"/>
      <c r="B204" s="3657" t="s">
        <v>3600</v>
      </c>
      <c r="C204" s="3656" t="s">
        <v>1133</v>
      </c>
      <c r="D204" s="3660"/>
      <c r="E204" s="3660"/>
      <c r="F204" s="3656"/>
      <c r="G204" s="3656"/>
    </row>
    <row r="205" spans="1:7" s="3650" customFormat="1" ht="16.5" customHeight="1" thickBot="1">
      <c r="A205" s="3653"/>
      <c r="B205" s="3655" t="s">
        <v>8674</v>
      </c>
      <c r="C205" s="3656" t="s">
        <v>1133</v>
      </c>
      <c r="D205" s="3660" t="s">
        <v>9470</v>
      </c>
      <c r="E205" s="3660" t="s">
        <v>8675</v>
      </c>
      <c r="F205" s="3664">
        <v>41640</v>
      </c>
      <c r="G205" s="3656"/>
    </row>
    <row r="206" spans="1:7" s="3650" customFormat="1" ht="33.75" customHeight="1" thickBot="1">
      <c r="A206" s="3653"/>
      <c r="B206" s="3655" t="s">
        <v>8676</v>
      </c>
      <c r="C206" s="3656" t="s">
        <v>1133</v>
      </c>
      <c r="D206" s="3660" t="s">
        <v>9471</v>
      </c>
      <c r="E206" s="3655" t="s">
        <v>8677</v>
      </c>
      <c r="F206" s="3664">
        <v>41640</v>
      </c>
      <c r="G206" s="3664">
        <v>41974</v>
      </c>
    </row>
    <row r="207" spans="1:7" s="3650" customFormat="1" ht="13.5" customHeight="1">
      <c r="A207" s="14745"/>
      <c r="B207" s="14749" t="s">
        <v>8678</v>
      </c>
      <c r="C207" s="14745" t="s">
        <v>1133</v>
      </c>
      <c r="D207" s="14760" t="s">
        <v>9472</v>
      </c>
      <c r="E207" s="3661" t="s">
        <v>8679</v>
      </c>
      <c r="F207" s="14751">
        <v>41640</v>
      </c>
      <c r="G207" s="14751">
        <v>41974</v>
      </c>
    </row>
    <row r="208" spans="1:7" ht="33.75" customHeight="1" thickBot="1">
      <c r="A208" s="14746"/>
      <c r="B208" s="14750"/>
      <c r="C208" s="14746"/>
      <c r="D208" s="14761"/>
      <c r="E208" s="3660" t="s">
        <v>9482</v>
      </c>
      <c r="F208" s="14752"/>
      <c r="G208" s="14752"/>
    </row>
    <row r="209" spans="1:7" ht="21" customHeight="1" thickBot="1">
      <c r="A209" s="3680"/>
      <c r="B209" s="3652" t="s">
        <v>720</v>
      </c>
      <c r="C209" s="3688">
        <f>'lbpf 3-PHRMD'!J55</f>
        <v>997500</v>
      </c>
      <c r="D209" s="3691"/>
      <c r="E209" s="3680"/>
      <c r="F209" s="3680"/>
      <c r="G209" s="3680"/>
    </row>
    <row r="210" spans="1:7" ht="23.25" customHeight="1" thickBot="1">
      <c r="A210" s="3653"/>
      <c r="B210" s="3655" t="s">
        <v>8680</v>
      </c>
      <c r="C210" s="3656" t="s">
        <v>1133</v>
      </c>
      <c r="D210" s="3660" t="s">
        <v>9473</v>
      </c>
      <c r="E210" s="3660" t="s">
        <v>3566</v>
      </c>
      <c r="F210" s="3664">
        <v>41640</v>
      </c>
      <c r="G210" s="3664">
        <v>41760</v>
      </c>
    </row>
    <row r="211" spans="1:7" ht="85.5" customHeight="1" thickBot="1">
      <c r="A211" s="3653"/>
      <c r="B211" s="3655" t="s">
        <v>8681</v>
      </c>
      <c r="C211" s="3656" t="s">
        <v>1133</v>
      </c>
      <c r="D211" s="3660" t="s">
        <v>9474</v>
      </c>
      <c r="E211" s="3660" t="s">
        <v>8703</v>
      </c>
      <c r="F211" s="3656" t="s">
        <v>8682</v>
      </c>
      <c r="G211" s="3656"/>
    </row>
    <row r="212" spans="1:7" ht="30" customHeight="1" thickBot="1">
      <c r="A212" s="3653"/>
      <c r="B212" s="3655" t="s">
        <v>8683</v>
      </c>
      <c r="C212" s="3656" t="s">
        <v>1133</v>
      </c>
      <c r="D212" s="3660" t="s">
        <v>9475</v>
      </c>
      <c r="E212" s="3660" t="s">
        <v>1901</v>
      </c>
      <c r="F212" s="3664">
        <v>41640</v>
      </c>
      <c r="G212" s="3664">
        <v>41974</v>
      </c>
    </row>
    <row r="213" spans="1:7" ht="36" customHeight="1" thickBot="1">
      <c r="A213" s="3653"/>
      <c r="B213" s="3657" t="s">
        <v>8684</v>
      </c>
      <c r="C213" s="3659"/>
      <c r="D213" s="3660"/>
      <c r="E213" s="3660"/>
      <c r="F213" s="3656"/>
      <c r="G213" s="3656"/>
    </row>
    <row r="214" spans="1:7" ht="42.75" customHeight="1" thickBot="1">
      <c r="A214" s="3653"/>
      <c r="B214" s="3655" t="s">
        <v>8685</v>
      </c>
      <c r="C214" s="3656" t="s">
        <v>1133</v>
      </c>
      <c r="D214" s="3660" t="s">
        <v>9476</v>
      </c>
      <c r="E214" s="3660" t="s">
        <v>8686</v>
      </c>
      <c r="F214" s="3664">
        <v>41640</v>
      </c>
      <c r="G214" s="3664">
        <v>41974</v>
      </c>
    </row>
    <row r="215" spans="1:7" ht="15" customHeight="1">
      <c r="A215" s="14745"/>
      <c r="B215" s="3658" t="s">
        <v>8687</v>
      </c>
      <c r="C215" s="14745" t="s">
        <v>1133</v>
      </c>
      <c r="D215" s="14760" t="s">
        <v>9477</v>
      </c>
      <c r="E215" s="14760" t="s">
        <v>3567</v>
      </c>
      <c r="F215" s="14751">
        <v>41640</v>
      </c>
      <c r="G215" s="14751">
        <v>41974</v>
      </c>
    </row>
    <row r="216" spans="1:7" ht="20.25" customHeight="1" thickBot="1">
      <c r="A216" s="14746"/>
      <c r="B216" s="3655" t="s">
        <v>8688</v>
      </c>
      <c r="C216" s="14746"/>
      <c r="D216" s="14761"/>
      <c r="E216" s="14761"/>
      <c r="F216" s="14752"/>
      <c r="G216" s="14752"/>
    </row>
    <row r="217" spans="1:7" ht="36" customHeight="1" thickBot="1">
      <c r="A217" s="3680"/>
      <c r="B217" s="3693" t="s">
        <v>8689</v>
      </c>
      <c r="C217" s="3690"/>
      <c r="D217" s="3691"/>
      <c r="E217" s="3694"/>
      <c r="F217" s="3680"/>
      <c r="G217" s="3680"/>
    </row>
    <row r="218" spans="1:7" ht="29.25" customHeight="1" thickBot="1">
      <c r="A218" s="3653"/>
      <c r="B218" s="3655" t="s">
        <v>8690</v>
      </c>
      <c r="C218" s="3663">
        <v>80000</v>
      </c>
      <c r="D218" s="3660"/>
      <c r="E218" s="3660" t="s">
        <v>3590</v>
      </c>
      <c r="F218" s="3664">
        <v>41640</v>
      </c>
      <c r="G218" s="3664">
        <v>41974</v>
      </c>
    </row>
    <row r="219" spans="1:7" ht="29.25" customHeight="1" thickBot="1">
      <c r="A219" s="3653"/>
      <c r="B219" s="3655" t="s">
        <v>8691</v>
      </c>
      <c r="C219" s="3663">
        <v>80000</v>
      </c>
      <c r="D219" s="3660"/>
      <c r="E219" s="3660" t="s">
        <v>8692</v>
      </c>
      <c r="F219" s="3664">
        <v>41821</v>
      </c>
      <c r="G219" s="3656"/>
    </row>
    <row r="220" spans="1:7" ht="12.75" customHeight="1">
      <c r="A220" s="14745"/>
      <c r="B220" s="3658" t="s">
        <v>4823</v>
      </c>
      <c r="C220" s="14756">
        <v>80000</v>
      </c>
      <c r="D220" s="14760"/>
      <c r="E220" s="14760" t="s">
        <v>8694</v>
      </c>
      <c r="F220" s="14751">
        <v>41974</v>
      </c>
      <c r="G220" s="14745"/>
    </row>
    <row r="221" spans="1:7" ht="26.25" customHeight="1" thickBot="1">
      <c r="A221" s="14746"/>
      <c r="B221" s="3655" t="s">
        <v>8693</v>
      </c>
      <c r="C221" s="14758"/>
      <c r="D221" s="14761"/>
      <c r="E221" s="14761"/>
      <c r="F221" s="14752"/>
      <c r="G221" s="14746"/>
    </row>
    <row r="222" spans="1:7" ht="35.25" customHeight="1" thickBot="1">
      <c r="A222" s="3653"/>
      <c r="B222" s="3655" t="s">
        <v>8695</v>
      </c>
      <c r="C222" s="3663">
        <v>80000</v>
      </c>
      <c r="D222" s="3660"/>
      <c r="E222" s="3660" t="s">
        <v>8696</v>
      </c>
      <c r="F222" s="3664">
        <v>41699</v>
      </c>
      <c r="G222" s="3656"/>
    </row>
    <row r="223" spans="1:7" ht="20.25" customHeight="1" thickBot="1">
      <c r="A223" s="3653"/>
      <c r="B223" s="3655" t="s">
        <v>8697</v>
      </c>
      <c r="C223" s="3659"/>
      <c r="D223" s="3660"/>
      <c r="E223" s="3660" t="s">
        <v>7472</v>
      </c>
      <c r="F223" s="3664">
        <v>41760</v>
      </c>
      <c r="G223" s="3656"/>
    </row>
    <row r="224" spans="1:7" ht="30.75" customHeight="1" thickBot="1">
      <c r="A224" s="3653"/>
      <c r="B224" s="3655" t="s">
        <v>8698</v>
      </c>
      <c r="C224" s="3663">
        <v>500000</v>
      </c>
      <c r="D224" s="3660" t="s">
        <v>9478</v>
      </c>
      <c r="E224" s="3660" t="s">
        <v>8699</v>
      </c>
      <c r="F224" s="3664">
        <v>41883</v>
      </c>
      <c r="G224" s="3656"/>
    </row>
    <row r="225" spans="1:7" ht="150" customHeight="1">
      <c r="A225" s="14745"/>
      <c r="B225" s="14749" t="s">
        <v>8700</v>
      </c>
      <c r="C225" s="14756">
        <v>1948000</v>
      </c>
      <c r="D225" s="14760"/>
      <c r="E225" s="14760" t="s">
        <v>8701</v>
      </c>
      <c r="F225" s="14751">
        <v>41640</v>
      </c>
      <c r="G225" s="14745"/>
    </row>
    <row r="226" spans="1:7" ht="21.75" customHeight="1" thickBot="1">
      <c r="A226" s="14746"/>
      <c r="B226" s="14750"/>
      <c r="C226" s="14758"/>
      <c r="D226" s="14761"/>
      <c r="E226" s="14761"/>
      <c r="F226" s="14752"/>
      <c r="G226" s="14746"/>
    </row>
    <row r="227" spans="1:7" ht="19.5" customHeight="1" thickBot="1">
      <c r="A227" s="3653"/>
      <c r="B227" s="3657" t="s">
        <v>220</v>
      </c>
      <c r="C227" s="3699">
        <f>SUM(C29:C226)</f>
        <v>13544244</v>
      </c>
      <c r="D227" s="3660"/>
      <c r="E227" s="3660"/>
      <c r="F227" s="3656"/>
      <c r="G227" s="3656"/>
    </row>
    <row r="228" spans="1:7" ht="19.5" customHeight="1"/>
    <row r="229" spans="1:7" ht="19.5" customHeight="1">
      <c r="C229" s="3702">
        <f>12882744-C227</f>
        <v>-661500</v>
      </c>
    </row>
    <row r="230" spans="1:7" ht="19.5" customHeight="1"/>
    <row r="231" spans="1:7" ht="16.5" customHeight="1"/>
    <row r="232" spans="1:7" ht="19.5" customHeight="1"/>
    <row r="233" spans="1:7" ht="13.5" customHeight="1"/>
    <row r="234" spans="1:7" ht="15.75" customHeight="1"/>
    <row r="235" spans="1:7" ht="15" customHeight="1"/>
    <row r="236" spans="1:7" ht="18.75" customHeight="1"/>
    <row r="237" spans="1:7" ht="13.5" customHeight="1"/>
    <row r="238" spans="1:7" ht="15" customHeight="1"/>
    <row r="239" spans="1:7" ht="15" customHeight="1"/>
    <row r="240" spans="1:7" ht="27" customHeight="1"/>
    <row r="241" ht="16.5" customHeight="1"/>
    <row r="242" ht="15" customHeight="1"/>
    <row r="243" ht="15.75" customHeight="1"/>
    <row r="244" ht="15.75" customHeight="1"/>
    <row r="245" ht="15.75" customHeight="1"/>
    <row r="246" ht="15" customHeight="1"/>
    <row r="247" ht="15.75" customHeight="1"/>
    <row r="248" ht="15.75" customHeight="1"/>
    <row r="249" ht="19.5" customHeight="1"/>
    <row r="250" ht="30.75" customHeight="1"/>
    <row r="251" s="3667" customFormat="1" ht="15.75" customHeight="1"/>
    <row r="252" s="3667" customFormat="1" ht="15.75" customHeight="1"/>
    <row r="253" s="3667" customFormat="1" ht="15.75" customHeight="1"/>
    <row r="254" s="3667" customFormat="1" ht="15.75" customHeight="1"/>
    <row r="255" s="3667" customFormat="1" ht="15.75" customHeight="1"/>
    <row r="256" ht="15.75" customHeight="1"/>
    <row r="257" spans="4:4" s="3650" customFormat="1" ht="15" customHeight="1">
      <c r="D257" s="3648"/>
    </row>
    <row r="258" spans="4:4" s="3650" customFormat="1" ht="12.75" customHeight="1">
      <c r="D258" s="3648"/>
    </row>
    <row r="259" spans="4:4" s="3650" customFormat="1" ht="12" customHeight="1">
      <c r="D259" s="3648"/>
    </row>
    <row r="260" spans="4:4" s="3650" customFormat="1" ht="14.25" customHeight="1">
      <c r="D260" s="3648"/>
    </row>
    <row r="261" spans="4:4" ht="14.25" customHeight="1"/>
    <row r="262" spans="4:4" ht="14.25" customHeight="1"/>
    <row r="263" spans="4:4" ht="13.5" customHeight="1"/>
    <row r="264" spans="4:4" ht="28.5" customHeight="1"/>
    <row r="265" spans="4:4" ht="15.75" customHeight="1"/>
    <row r="266" spans="4:4" ht="18" customHeight="1"/>
    <row r="267" spans="4:4" ht="15" customHeight="1"/>
    <row r="268" spans="4:4" ht="29.25" customHeight="1"/>
    <row r="269" spans="4:4" ht="30" customHeight="1"/>
    <row r="270" spans="4:4" ht="15" customHeight="1"/>
    <row r="271" spans="4:4" ht="28.5" customHeight="1"/>
    <row r="272" spans="4:4" ht="29.25" customHeight="1"/>
    <row r="273" s="3649" customFormat="1" ht="17.25" customHeight="1"/>
    <row r="274" ht="15" customHeight="1"/>
    <row r="275" ht="30.75" customHeight="1"/>
    <row r="276" ht="13.5" customHeight="1"/>
    <row r="277" ht="18" customHeight="1"/>
    <row r="278" ht="18" customHeight="1"/>
    <row r="279" ht="27.75" customHeight="1"/>
    <row r="280" ht="27.75" customHeight="1"/>
    <row r="281" ht="16.5" customHeight="1"/>
    <row r="282" ht="26.25" customHeight="1"/>
    <row r="283" ht="13.5" customHeight="1"/>
    <row r="284" ht="15.75" customHeight="1"/>
    <row r="285" ht="14.25" customHeight="1"/>
    <row r="286" ht="18" customHeight="1"/>
    <row r="287" ht="15" customHeight="1"/>
    <row r="288" ht="14.25" customHeight="1"/>
    <row r="289" ht="16.5" customHeight="1"/>
    <row r="290" ht="15.75" customHeight="1"/>
    <row r="291" ht="14.25" customHeight="1"/>
    <row r="292" ht="15" customHeight="1"/>
    <row r="293" ht="18" customHeight="1"/>
    <row r="294" ht="18" customHeight="1"/>
    <row r="295" ht="16.5" customHeight="1"/>
    <row r="296" ht="29.25" customHeight="1"/>
    <row r="297" ht="15" customHeight="1"/>
    <row r="298" ht="18" customHeight="1"/>
    <row r="299" ht="15" customHeight="1"/>
    <row r="300" ht="25.5" customHeight="1"/>
    <row r="301" ht="15" customHeight="1"/>
    <row r="302" ht="30" customHeight="1"/>
    <row r="303" ht="15" customHeight="1"/>
    <row r="304" ht="25.5" customHeight="1"/>
    <row r="305" spans="4:4" s="3667" customFormat="1" ht="10.5" customHeight="1"/>
    <row r="306" spans="4:4" s="3667" customFormat="1" ht="15.75" customHeight="1"/>
    <row r="307" spans="4:4" s="3667" customFormat="1" ht="13.5" customHeight="1"/>
    <row r="308" spans="4:4" s="3667" customFormat="1" ht="13.5" customHeight="1"/>
    <row r="309" spans="4:4" ht="13.5" customHeight="1"/>
    <row r="310" spans="4:4" s="3650" customFormat="1" ht="15" customHeight="1">
      <c r="D310" s="3648"/>
    </row>
    <row r="311" spans="4:4" s="3650" customFormat="1" ht="12.75" customHeight="1">
      <c r="D311" s="3648"/>
    </row>
    <row r="312" spans="4:4" s="3650" customFormat="1" ht="12" customHeight="1">
      <c r="D312" s="3648"/>
    </row>
    <row r="313" spans="4:4" s="3650" customFormat="1" ht="14.25" customHeight="1">
      <c r="D313" s="3648"/>
    </row>
    <row r="314" spans="4:4" ht="16.5" customHeight="1"/>
    <row r="315" spans="4:4" ht="31.5" customHeight="1"/>
    <row r="316" spans="4:4" ht="16.5" customHeight="1"/>
    <row r="317" spans="4:4" ht="16.5" customHeight="1"/>
    <row r="318" spans="4:4" ht="16.5" customHeight="1"/>
    <row r="319" spans="4:4" ht="24.75" customHeight="1"/>
    <row r="320" spans="4:4" ht="21" customHeight="1"/>
    <row r="321" ht="20.25" customHeight="1"/>
    <row r="322" ht="12.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33.75" customHeight="1"/>
    <row r="333" ht="14.25" customHeight="1"/>
    <row r="334" ht="13.5" customHeight="1"/>
    <row r="335" ht="15.75" customHeight="1"/>
    <row r="336" ht="26.25" customHeight="1"/>
    <row r="339" ht="15" customHeight="1"/>
    <row r="340" ht="15" customHeight="1"/>
    <row r="341" ht="15" customHeight="1"/>
    <row r="342" ht="15" customHeight="1"/>
    <row r="343" ht="15" customHeight="1"/>
    <row r="344" ht="30" customHeight="1"/>
    <row r="345" ht="28.5" customHeight="1"/>
    <row r="346" ht="30" customHeight="1"/>
    <row r="347" ht="15" customHeight="1"/>
    <row r="348" ht="19.5" customHeight="1"/>
  </sheetData>
  <mergeCells count="181">
    <mergeCell ref="G220:G221"/>
    <mergeCell ref="A225:A226"/>
    <mergeCell ref="B225:B226"/>
    <mergeCell ref="C225:C226"/>
    <mergeCell ref="D225:D226"/>
    <mergeCell ref="E225:E226"/>
    <mergeCell ref="F225:F226"/>
    <mergeCell ref="G225:G226"/>
    <mergeCell ref="A220:A221"/>
    <mergeCell ref="C220:C221"/>
    <mergeCell ref="D220:D221"/>
    <mergeCell ref="E220:E221"/>
    <mergeCell ref="F220:F221"/>
    <mergeCell ref="E183:E184"/>
    <mergeCell ref="F183:F184"/>
    <mergeCell ref="G215:G216"/>
    <mergeCell ref="A215:A216"/>
    <mergeCell ref="C215:C216"/>
    <mergeCell ref="D215:D216"/>
    <mergeCell ref="E215:E216"/>
    <mergeCell ref="F215:F216"/>
    <mergeCell ref="G207:G208"/>
    <mergeCell ref="A207:A208"/>
    <mergeCell ref="B207:B208"/>
    <mergeCell ref="C207:C208"/>
    <mergeCell ref="D207:D208"/>
    <mergeCell ref="F207:F208"/>
    <mergeCell ref="F203:G203"/>
    <mergeCell ref="G159:G161"/>
    <mergeCell ref="A159:A161"/>
    <mergeCell ref="C159:C161"/>
    <mergeCell ref="D159:D161"/>
    <mergeCell ref="E159:E161"/>
    <mergeCell ref="F159:F161"/>
    <mergeCell ref="A193:A195"/>
    <mergeCell ref="C193:C195"/>
    <mergeCell ref="D193:D195"/>
    <mergeCell ref="F193:F195"/>
    <mergeCell ref="G193:G195"/>
    <mergeCell ref="G183:G184"/>
    <mergeCell ref="A187:A188"/>
    <mergeCell ref="C187:C188"/>
    <mergeCell ref="D187:D188"/>
    <mergeCell ref="A190:A191"/>
    <mergeCell ref="C190:C191"/>
    <mergeCell ref="D190:D191"/>
    <mergeCell ref="E190:E191"/>
    <mergeCell ref="F190:F191"/>
    <mergeCell ref="G190:G191"/>
    <mergeCell ref="A183:A184"/>
    <mergeCell ref="C183:C184"/>
    <mergeCell ref="D183:D184"/>
    <mergeCell ref="A153:A154"/>
    <mergeCell ref="B153:B154"/>
    <mergeCell ref="E153:E154"/>
    <mergeCell ref="F153:F154"/>
    <mergeCell ref="G153:G154"/>
    <mergeCell ref="G131:G134"/>
    <mergeCell ref="A131:A134"/>
    <mergeCell ref="B131:B134"/>
    <mergeCell ref="C131:C134"/>
    <mergeCell ref="E131:E134"/>
    <mergeCell ref="F131:F134"/>
    <mergeCell ref="G118:G119"/>
    <mergeCell ref="A128:A129"/>
    <mergeCell ref="B128:B129"/>
    <mergeCell ref="C128:C129"/>
    <mergeCell ref="E128:E129"/>
    <mergeCell ref="F128:F129"/>
    <mergeCell ref="G128:G129"/>
    <mergeCell ref="A118:A119"/>
    <mergeCell ref="B118:B119"/>
    <mergeCell ref="C118:C119"/>
    <mergeCell ref="D118:D119"/>
    <mergeCell ref="F118:F119"/>
    <mergeCell ref="A112:A114"/>
    <mergeCell ref="B112:B114"/>
    <mergeCell ref="C112:C114"/>
    <mergeCell ref="F112:F114"/>
    <mergeCell ref="G112:G114"/>
    <mergeCell ref="G102:G104"/>
    <mergeCell ref="A102:A104"/>
    <mergeCell ref="B102:B104"/>
    <mergeCell ref="C102:C104"/>
    <mergeCell ref="D102:D104"/>
    <mergeCell ref="F102:F104"/>
    <mergeCell ref="A99:A101"/>
    <mergeCell ref="B99:B101"/>
    <mergeCell ref="C99:C101"/>
    <mergeCell ref="F99:F101"/>
    <mergeCell ref="G99:G101"/>
    <mergeCell ref="G94:G95"/>
    <mergeCell ref="A96:A98"/>
    <mergeCell ref="B96:B98"/>
    <mergeCell ref="C96:C98"/>
    <mergeCell ref="D96:D98"/>
    <mergeCell ref="F96:F98"/>
    <mergeCell ref="G96:G98"/>
    <mergeCell ref="A94:A95"/>
    <mergeCell ref="B94:B95"/>
    <mergeCell ref="C94:C95"/>
    <mergeCell ref="D94:D95"/>
    <mergeCell ref="F94:F95"/>
    <mergeCell ref="G88:G90"/>
    <mergeCell ref="A91:A93"/>
    <mergeCell ref="B91:B93"/>
    <mergeCell ref="C91:C93"/>
    <mergeCell ref="D91:D93"/>
    <mergeCell ref="F91:F93"/>
    <mergeCell ref="G91:G93"/>
    <mergeCell ref="A88:A90"/>
    <mergeCell ref="B88:B90"/>
    <mergeCell ref="C88:C90"/>
    <mergeCell ref="D88:D90"/>
    <mergeCell ref="F88:F90"/>
    <mergeCell ref="A83:A87"/>
    <mergeCell ref="B83:B87"/>
    <mergeCell ref="C83:C87"/>
    <mergeCell ref="F83:F87"/>
    <mergeCell ref="G83:G87"/>
    <mergeCell ref="G70:G71"/>
    <mergeCell ref="A74:A77"/>
    <mergeCell ref="B74:B77"/>
    <mergeCell ref="C74:C77"/>
    <mergeCell ref="F74:F77"/>
    <mergeCell ref="G74:G77"/>
    <mergeCell ref="A70:A71"/>
    <mergeCell ref="B70:B71"/>
    <mergeCell ref="C70:C71"/>
    <mergeCell ref="E70:E71"/>
    <mergeCell ref="F70:F71"/>
    <mergeCell ref="G61:G64"/>
    <mergeCell ref="A66:A67"/>
    <mergeCell ref="B66:B67"/>
    <mergeCell ref="C66:C67"/>
    <mergeCell ref="D66:D67"/>
    <mergeCell ref="E66:E67"/>
    <mergeCell ref="F66:F67"/>
    <mergeCell ref="G66:G67"/>
    <mergeCell ref="A61:A64"/>
    <mergeCell ref="B61:B64"/>
    <mergeCell ref="C61:C64"/>
    <mergeCell ref="E61:E64"/>
    <mergeCell ref="F61:F64"/>
    <mergeCell ref="F33:F38"/>
    <mergeCell ref="G33:G38"/>
    <mergeCell ref="G52:G54"/>
    <mergeCell ref="A55:A60"/>
    <mergeCell ref="B55:B60"/>
    <mergeCell ref="C55:C60"/>
    <mergeCell ref="F55:F60"/>
    <mergeCell ref="G55:G60"/>
    <mergeCell ref="A52:A54"/>
    <mergeCell ref="B52:B54"/>
    <mergeCell ref="C52:C54"/>
    <mergeCell ref="E52:E54"/>
    <mergeCell ref="F52:F54"/>
    <mergeCell ref="E172:E173"/>
    <mergeCell ref="A1:G1"/>
    <mergeCell ref="F47:G47"/>
    <mergeCell ref="F81:G81"/>
    <mergeCell ref="D76:D77"/>
    <mergeCell ref="F111:G111"/>
    <mergeCell ref="F141:G141"/>
    <mergeCell ref="F171:G171"/>
    <mergeCell ref="F27:G27"/>
    <mergeCell ref="A30:A31"/>
    <mergeCell ref="C30:C31"/>
    <mergeCell ref="D30:D31"/>
    <mergeCell ref="F30:F31"/>
    <mergeCell ref="G30:G31"/>
    <mergeCell ref="A8:G8"/>
    <mergeCell ref="A48:A50"/>
    <mergeCell ref="B48:B50"/>
    <mergeCell ref="C48:C50"/>
    <mergeCell ref="E48:E50"/>
    <mergeCell ref="G48:G50"/>
    <mergeCell ref="F49:F50"/>
    <mergeCell ref="A33:A38"/>
    <mergeCell ref="B33:B38"/>
    <mergeCell ref="C33:C38"/>
  </mergeCells>
  <pageMargins left="0.5" right="0.25" top="0.75" bottom="0.5" header="0.5" footer="0.25"/>
  <pageSetup paperSize="119" scale="90" firstPageNumber="120" orientation="portrait" useFirstPageNumber="1" verticalDpi="300" r:id="rId1"/>
</worksheet>
</file>

<file path=xl/worksheets/sheet82.xml><?xml version="1.0" encoding="utf-8"?>
<worksheet xmlns="http://schemas.openxmlformats.org/spreadsheetml/2006/main" xmlns:r="http://schemas.openxmlformats.org/officeDocument/2006/relationships">
  <sheetPr codeName="Sheet52">
    <tabColor theme="8" tint="-0.249977111117893"/>
  </sheetPr>
  <dimension ref="A1:L117"/>
  <sheetViews>
    <sheetView showGridLines="0" workbookViewId="0">
      <selection activeCell="J2" sqref="J1:S1048576"/>
    </sheetView>
  </sheetViews>
  <sheetFormatPr defaultRowHeight="15" customHeight="1"/>
  <cols>
    <col min="1" max="1" width="3.88671875" style="7942" customWidth="1"/>
    <col min="2" max="2" width="55.5546875" style="7942" customWidth="1"/>
    <col min="3" max="3" width="12.5546875" style="9304" customWidth="1"/>
    <col min="4" max="7" width="15.5546875" style="7952" customWidth="1"/>
    <col min="8" max="8" width="13.44140625" style="7952" hidden="1" customWidth="1"/>
    <col min="9" max="9" width="9" style="10506" hidden="1" customWidth="1"/>
    <col min="10" max="10" width="15.5546875" style="7952" customWidth="1"/>
    <col min="11" max="11" width="16.33203125" style="7942" customWidth="1"/>
    <col min="12" max="12" width="6.5546875" style="10241" customWidth="1"/>
    <col min="13" max="18" width="8.88671875" style="7942" customWidth="1"/>
    <col min="19" max="237" width="9.109375" style="7942"/>
    <col min="238" max="238" width="3.88671875" style="7942" customWidth="1"/>
    <col min="239" max="239" width="36.109375" style="7942" customWidth="1"/>
    <col min="240" max="240" width="12" style="7942" customWidth="1"/>
    <col min="241" max="241" width="16.44140625" style="7942" customWidth="1"/>
    <col min="242" max="243" width="16.109375" style="7942" customWidth="1"/>
    <col min="244" max="244" width="11.88671875" style="7942" bestFit="1" customWidth="1"/>
    <col min="245" max="493" width="9.109375" style="7942"/>
    <col min="494" max="494" width="3.88671875" style="7942" customWidth="1"/>
    <col min="495" max="495" width="36.109375" style="7942" customWidth="1"/>
    <col min="496" max="496" width="12" style="7942" customWidth="1"/>
    <col min="497" max="497" width="16.44140625" style="7942" customWidth="1"/>
    <col min="498" max="499" width="16.109375" style="7942" customWidth="1"/>
    <col min="500" max="500" width="11.88671875" style="7942" bestFit="1" customWidth="1"/>
    <col min="501" max="749" width="9.109375" style="7942"/>
    <col min="750" max="750" width="3.88671875" style="7942" customWidth="1"/>
    <col min="751" max="751" width="36.109375" style="7942" customWidth="1"/>
    <col min="752" max="752" width="12" style="7942" customWidth="1"/>
    <col min="753" max="753" width="16.44140625" style="7942" customWidth="1"/>
    <col min="754" max="755" width="16.109375" style="7942" customWidth="1"/>
    <col min="756" max="756" width="11.88671875" style="7942" bestFit="1" customWidth="1"/>
    <col min="757" max="1005" width="9.109375" style="7942"/>
    <col min="1006" max="1006" width="3.88671875" style="7942" customWidth="1"/>
    <col min="1007" max="1007" width="36.109375" style="7942" customWidth="1"/>
    <col min="1008" max="1008" width="12" style="7942" customWidth="1"/>
    <col min="1009" max="1009" width="16.44140625" style="7942" customWidth="1"/>
    <col min="1010" max="1011" width="16.109375" style="7942" customWidth="1"/>
    <col min="1012" max="1012" width="11.88671875" style="7942" bestFit="1" customWidth="1"/>
    <col min="1013" max="1261" width="9.109375" style="7942"/>
    <col min="1262" max="1262" width="3.88671875" style="7942" customWidth="1"/>
    <col min="1263" max="1263" width="36.109375" style="7942" customWidth="1"/>
    <col min="1264" max="1264" width="12" style="7942" customWidth="1"/>
    <col min="1265" max="1265" width="16.44140625" style="7942" customWidth="1"/>
    <col min="1266" max="1267" width="16.109375" style="7942" customWidth="1"/>
    <col min="1268" max="1268" width="11.88671875" style="7942" bestFit="1" customWidth="1"/>
    <col min="1269" max="1517" width="9.109375" style="7942"/>
    <col min="1518" max="1518" width="3.88671875" style="7942" customWidth="1"/>
    <col min="1519" max="1519" width="36.109375" style="7942" customWidth="1"/>
    <col min="1520" max="1520" width="12" style="7942" customWidth="1"/>
    <col min="1521" max="1521" width="16.44140625" style="7942" customWidth="1"/>
    <col min="1522" max="1523" width="16.109375" style="7942" customWidth="1"/>
    <col min="1524" max="1524" width="11.88671875" style="7942" bestFit="1" customWidth="1"/>
    <col min="1525" max="1773" width="9.109375" style="7942"/>
    <col min="1774" max="1774" width="3.88671875" style="7942" customWidth="1"/>
    <col min="1775" max="1775" width="36.109375" style="7942" customWidth="1"/>
    <col min="1776" max="1776" width="12" style="7942" customWidth="1"/>
    <col min="1777" max="1777" width="16.44140625" style="7942" customWidth="1"/>
    <col min="1778" max="1779" width="16.109375" style="7942" customWidth="1"/>
    <col min="1780" max="1780" width="11.88671875" style="7942" bestFit="1" customWidth="1"/>
    <col min="1781" max="2029" width="9.109375" style="7942"/>
    <col min="2030" max="2030" width="3.88671875" style="7942" customWidth="1"/>
    <col min="2031" max="2031" width="36.109375" style="7942" customWidth="1"/>
    <col min="2032" max="2032" width="12" style="7942" customWidth="1"/>
    <col min="2033" max="2033" width="16.44140625" style="7942" customWidth="1"/>
    <col min="2034" max="2035" width="16.109375" style="7942" customWidth="1"/>
    <col min="2036" max="2036" width="11.88671875" style="7942" bestFit="1" customWidth="1"/>
    <col min="2037" max="2285" width="9.109375" style="7942"/>
    <col min="2286" max="2286" width="3.88671875" style="7942" customWidth="1"/>
    <col min="2287" max="2287" width="36.109375" style="7942" customWidth="1"/>
    <col min="2288" max="2288" width="12" style="7942" customWidth="1"/>
    <col min="2289" max="2289" width="16.44140625" style="7942" customWidth="1"/>
    <col min="2290" max="2291" width="16.109375" style="7942" customWidth="1"/>
    <col min="2292" max="2292" width="11.88671875" style="7942" bestFit="1" customWidth="1"/>
    <col min="2293" max="2541" width="9.109375" style="7942"/>
    <col min="2542" max="2542" width="3.88671875" style="7942" customWidth="1"/>
    <col min="2543" max="2543" width="36.109375" style="7942" customWidth="1"/>
    <col min="2544" max="2544" width="12" style="7942" customWidth="1"/>
    <col min="2545" max="2545" width="16.44140625" style="7942" customWidth="1"/>
    <col min="2546" max="2547" width="16.109375" style="7942" customWidth="1"/>
    <col min="2548" max="2548" width="11.88671875" style="7942" bestFit="1" customWidth="1"/>
    <col min="2549" max="2797" width="9.109375" style="7942"/>
    <col min="2798" max="2798" width="3.88671875" style="7942" customWidth="1"/>
    <col min="2799" max="2799" width="36.109375" style="7942" customWidth="1"/>
    <col min="2800" max="2800" width="12" style="7942" customWidth="1"/>
    <col min="2801" max="2801" width="16.44140625" style="7942" customWidth="1"/>
    <col min="2802" max="2803" width="16.109375" style="7942" customWidth="1"/>
    <col min="2804" max="2804" width="11.88671875" style="7942" bestFit="1" customWidth="1"/>
    <col min="2805" max="3053" width="9.109375" style="7942"/>
    <col min="3054" max="3054" width="3.88671875" style="7942" customWidth="1"/>
    <col min="3055" max="3055" width="36.109375" style="7942" customWidth="1"/>
    <col min="3056" max="3056" width="12" style="7942" customWidth="1"/>
    <col min="3057" max="3057" width="16.44140625" style="7942" customWidth="1"/>
    <col min="3058" max="3059" width="16.109375" style="7942" customWidth="1"/>
    <col min="3060" max="3060" width="11.88671875" style="7942" bestFit="1" customWidth="1"/>
    <col min="3061" max="3309" width="9.109375" style="7942"/>
    <col min="3310" max="3310" width="3.88671875" style="7942" customWidth="1"/>
    <col min="3311" max="3311" width="36.109375" style="7942" customWidth="1"/>
    <col min="3312" max="3312" width="12" style="7942" customWidth="1"/>
    <col min="3313" max="3313" width="16.44140625" style="7942" customWidth="1"/>
    <col min="3314" max="3315" width="16.109375" style="7942" customWidth="1"/>
    <col min="3316" max="3316" width="11.88671875" style="7942" bestFit="1" customWidth="1"/>
    <col min="3317" max="3565" width="9.109375" style="7942"/>
    <col min="3566" max="3566" width="3.88671875" style="7942" customWidth="1"/>
    <col min="3567" max="3567" width="36.109375" style="7942" customWidth="1"/>
    <col min="3568" max="3568" width="12" style="7942" customWidth="1"/>
    <col min="3569" max="3569" width="16.44140625" style="7942" customWidth="1"/>
    <col min="3570" max="3571" width="16.109375" style="7942" customWidth="1"/>
    <col min="3572" max="3572" width="11.88671875" style="7942" bestFit="1" customWidth="1"/>
    <col min="3573" max="3821" width="9.109375" style="7942"/>
    <col min="3822" max="3822" width="3.88671875" style="7942" customWidth="1"/>
    <col min="3823" max="3823" width="36.109375" style="7942" customWidth="1"/>
    <col min="3824" max="3824" width="12" style="7942" customWidth="1"/>
    <col min="3825" max="3825" width="16.44140625" style="7942" customWidth="1"/>
    <col min="3826" max="3827" width="16.109375" style="7942" customWidth="1"/>
    <col min="3828" max="3828" width="11.88671875" style="7942" bestFit="1" customWidth="1"/>
    <col min="3829" max="4077" width="9.109375" style="7942"/>
    <col min="4078" max="4078" width="3.88671875" style="7942" customWidth="1"/>
    <col min="4079" max="4079" width="36.109375" style="7942" customWidth="1"/>
    <col min="4080" max="4080" width="12" style="7942" customWidth="1"/>
    <col min="4081" max="4081" width="16.44140625" style="7942" customWidth="1"/>
    <col min="4082" max="4083" width="16.109375" style="7942" customWidth="1"/>
    <col min="4084" max="4084" width="11.88671875" style="7942" bestFit="1" customWidth="1"/>
    <col min="4085" max="4333" width="9.109375" style="7942"/>
    <col min="4334" max="4334" width="3.88671875" style="7942" customWidth="1"/>
    <col min="4335" max="4335" width="36.109375" style="7942" customWidth="1"/>
    <col min="4336" max="4336" width="12" style="7942" customWidth="1"/>
    <col min="4337" max="4337" width="16.44140625" style="7942" customWidth="1"/>
    <col min="4338" max="4339" width="16.109375" style="7942" customWidth="1"/>
    <col min="4340" max="4340" width="11.88671875" style="7942" bestFit="1" customWidth="1"/>
    <col min="4341" max="4589" width="9.109375" style="7942"/>
    <col min="4590" max="4590" width="3.88671875" style="7942" customWidth="1"/>
    <col min="4591" max="4591" width="36.109375" style="7942" customWidth="1"/>
    <col min="4592" max="4592" width="12" style="7942" customWidth="1"/>
    <col min="4593" max="4593" width="16.44140625" style="7942" customWidth="1"/>
    <col min="4594" max="4595" width="16.109375" style="7942" customWidth="1"/>
    <col min="4596" max="4596" width="11.88671875" style="7942" bestFit="1" customWidth="1"/>
    <col min="4597" max="4845" width="9.109375" style="7942"/>
    <col min="4846" max="4846" width="3.88671875" style="7942" customWidth="1"/>
    <col min="4847" max="4847" width="36.109375" style="7942" customWidth="1"/>
    <col min="4848" max="4848" width="12" style="7942" customWidth="1"/>
    <col min="4849" max="4849" width="16.44140625" style="7942" customWidth="1"/>
    <col min="4850" max="4851" width="16.109375" style="7942" customWidth="1"/>
    <col min="4852" max="4852" width="11.88671875" style="7942" bestFit="1" customWidth="1"/>
    <col min="4853" max="5101" width="9.109375" style="7942"/>
    <col min="5102" max="5102" width="3.88671875" style="7942" customWidth="1"/>
    <col min="5103" max="5103" width="36.109375" style="7942" customWidth="1"/>
    <col min="5104" max="5104" width="12" style="7942" customWidth="1"/>
    <col min="5105" max="5105" width="16.44140625" style="7942" customWidth="1"/>
    <col min="5106" max="5107" width="16.109375" style="7942" customWidth="1"/>
    <col min="5108" max="5108" width="11.88671875" style="7942" bestFit="1" customWidth="1"/>
    <col min="5109" max="5357" width="9.109375" style="7942"/>
    <col min="5358" max="5358" width="3.88671875" style="7942" customWidth="1"/>
    <col min="5359" max="5359" width="36.109375" style="7942" customWidth="1"/>
    <col min="5360" max="5360" width="12" style="7942" customWidth="1"/>
    <col min="5361" max="5361" width="16.44140625" style="7942" customWidth="1"/>
    <col min="5362" max="5363" width="16.109375" style="7942" customWidth="1"/>
    <col min="5364" max="5364" width="11.88671875" style="7942" bestFit="1" customWidth="1"/>
    <col min="5365" max="5613" width="9.109375" style="7942"/>
    <col min="5614" max="5614" width="3.88671875" style="7942" customWidth="1"/>
    <col min="5615" max="5615" width="36.109375" style="7942" customWidth="1"/>
    <col min="5616" max="5616" width="12" style="7942" customWidth="1"/>
    <col min="5617" max="5617" width="16.44140625" style="7942" customWidth="1"/>
    <col min="5618" max="5619" width="16.109375" style="7942" customWidth="1"/>
    <col min="5620" max="5620" width="11.88671875" style="7942" bestFit="1" customWidth="1"/>
    <col min="5621" max="5869" width="9.109375" style="7942"/>
    <col min="5870" max="5870" width="3.88671875" style="7942" customWidth="1"/>
    <col min="5871" max="5871" width="36.109375" style="7942" customWidth="1"/>
    <col min="5872" max="5872" width="12" style="7942" customWidth="1"/>
    <col min="5873" max="5873" width="16.44140625" style="7942" customWidth="1"/>
    <col min="5874" max="5875" width="16.109375" style="7942" customWidth="1"/>
    <col min="5876" max="5876" width="11.88671875" style="7942" bestFit="1" customWidth="1"/>
    <col min="5877" max="6125" width="9.109375" style="7942"/>
    <col min="6126" max="6126" width="3.88671875" style="7942" customWidth="1"/>
    <col min="6127" max="6127" width="36.109375" style="7942" customWidth="1"/>
    <col min="6128" max="6128" width="12" style="7942" customWidth="1"/>
    <col min="6129" max="6129" width="16.44140625" style="7942" customWidth="1"/>
    <col min="6130" max="6131" width="16.109375" style="7942" customWidth="1"/>
    <col min="6132" max="6132" width="11.88671875" style="7942" bestFit="1" customWidth="1"/>
    <col min="6133" max="6381" width="9.109375" style="7942"/>
    <col min="6382" max="6382" width="3.88671875" style="7942" customWidth="1"/>
    <col min="6383" max="6383" width="36.109375" style="7942" customWidth="1"/>
    <col min="6384" max="6384" width="12" style="7942" customWidth="1"/>
    <col min="6385" max="6385" width="16.44140625" style="7942" customWidth="1"/>
    <col min="6386" max="6387" width="16.109375" style="7942" customWidth="1"/>
    <col min="6388" max="6388" width="11.88671875" style="7942" bestFit="1" customWidth="1"/>
    <col min="6389" max="6637" width="9.109375" style="7942"/>
    <col min="6638" max="6638" width="3.88671875" style="7942" customWidth="1"/>
    <col min="6639" max="6639" width="36.109375" style="7942" customWidth="1"/>
    <col min="6640" max="6640" width="12" style="7942" customWidth="1"/>
    <col min="6641" max="6641" width="16.44140625" style="7942" customWidth="1"/>
    <col min="6642" max="6643" width="16.109375" style="7942" customWidth="1"/>
    <col min="6644" max="6644" width="11.88671875" style="7942" bestFit="1" customWidth="1"/>
    <col min="6645" max="6893" width="9.109375" style="7942"/>
    <col min="6894" max="6894" width="3.88671875" style="7942" customWidth="1"/>
    <col min="6895" max="6895" width="36.109375" style="7942" customWidth="1"/>
    <col min="6896" max="6896" width="12" style="7942" customWidth="1"/>
    <col min="6897" max="6897" width="16.44140625" style="7942" customWidth="1"/>
    <col min="6898" max="6899" width="16.109375" style="7942" customWidth="1"/>
    <col min="6900" max="6900" width="11.88671875" style="7942" bestFit="1" customWidth="1"/>
    <col min="6901" max="7149" width="9.109375" style="7942"/>
    <col min="7150" max="7150" width="3.88671875" style="7942" customWidth="1"/>
    <col min="7151" max="7151" width="36.109375" style="7942" customWidth="1"/>
    <col min="7152" max="7152" width="12" style="7942" customWidth="1"/>
    <col min="7153" max="7153" width="16.44140625" style="7942" customWidth="1"/>
    <col min="7154" max="7155" width="16.109375" style="7942" customWidth="1"/>
    <col min="7156" max="7156" width="11.88671875" style="7942" bestFit="1" customWidth="1"/>
    <col min="7157" max="7405" width="9.109375" style="7942"/>
    <col min="7406" max="7406" width="3.88671875" style="7942" customWidth="1"/>
    <col min="7407" max="7407" width="36.109375" style="7942" customWidth="1"/>
    <col min="7408" max="7408" width="12" style="7942" customWidth="1"/>
    <col min="7409" max="7409" width="16.44140625" style="7942" customWidth="1"/>
    <col min="7410" max="7411" width="16.109375" style="7942" customWidth="1"/>
    <col min="7412" max="7412" width="11.88671875" style="7942" bestFit="1" customWidth="1"/>
    <col min="7413" max="7661" width="9.109375" style="7942"/>
    <col min="7662" max="7662" width="3.88671875" style="7942" customWidth="1"/>
    <col min="7663" max="7663" width="36.109375" style="7942" customWidth="1"/>
    <col min="7664" max="7664" width="12" style="7942" customWidth="1"/>
    <col min="7665" max="7665" width="16.44140625" style="7942" customWidth="1"/>
    <col min="7666" max="7667" width="16.109375" style="7942" customWidth="1"/>
    <col min="7668" max="7668" width="11.88671875" style="7942" bestFit="1" customWidth="1"/>
    <col min="7669" max="7917" width="9.109375" style="7942"/>
    <col min="7918" max="7918" width="3.88671875" style="7942" customWidth="1"/>
    <col min="7919" max="7919" width="36.109375" style="7942" customWidth="1"/>
    <col min="7920" max="7920" width="12" style="7942" customWidth="1"/>
    <col min="7921" max="7921" width="16.44140625" style="7942" customWidth="1"/>
    <col min="7922" max="7923" width="16.109375" style="7942" customWidth="1"/>
    <col min="7924" max="7924" width="11.88671875" style="7942" bestFit="1" customWidth="1"/>
    <col min="7925" max="8173" width="9.109375" style="7942"/>
    <col min="8174" max="8174" width="3.88671875" style="7942" customWidth="1"/>
    <col min="8175" max="8175" width="36.109375" style="7942" customWidth="1"/>
    <col min="8176" max="8176" width="12" style="7942" customWidth="1"/>
    <col min="8177" max="8177" width="16.44140625" style="7942" customWidth="1"/>
    <col min="8178" max="8179" width="16.109375" style="7942" customWidth="1"/>
    <col min="8180" max="8180" width="11.88671875" style="7942" bestFit="1" customWidth="1"/>
    <col min="8181" max="8429" width="9.109375" style="7942"/>
    <col min="8430" max="8430" width="3.88671875" style="7942" customWidth="1"/>
    <col min="8431" max="8431" width="36.109375" style="7942" customWidth="1"/>
    <col min="8432" max="8432" width="12" style="7942" customWidth="1"/>
    <col min="8433" max="8433" width="16.44140625" style="7942" customWidth="1"/>
    <col min="8434" max="8435" width="16.109375" style="7942" customWidth="1"/>
    <col min="8436" max="8436" width="11.88671875" style="7942" bestFit="1" customWidth="1"/>
    <col min="8437" max="8685" width="9.109375" style="7942"/>
    <col min="8686" max="8686" width="3.88671875" style="7942" customWidth="1"/>
    <col min="8687" max="8687" width="36.109375" style="7942" customWidth="1"/>
    <col min="8688" max="8688" width="12" style="7942" customWidth="1"/>
    <col min="8689" max="8689" width="16.44140625" style="7942" customWidth="1"/>
    <col min="8690" max="8691" width="16.109375" style="7942" customWidth="1"/>
    <col min="8692" max="8692" width="11.88671875" style="7942" bestFit="1" customWidth="1"/>
    <col min="8693" max="8941" width="9.109375" style="7942"/>
    <col min="8942" max="8942" width="3.88671875" style="7942" customWidth="1"/>
    <col min="8943" max="8943" width="36.109375" style="7942" customWidth="1"/>
    <col min="8944" max="8944" width="12" style="7942" customWidth="1"/>
    <col min="8945" max="8945" width="16.44140625" style="7942" customWidth="1"/>
    <col min="8946" max="8947" width="16.109375" style="7942" customWidth="1"/>
    <col min="8948" max="8948" width="11.88671875" style="7942" bestFit="1" customWidth="1"/>
    <col min="8949" max="9197" width="9.109375" style="7942"/>
    <col min="9198" max="9198" width="3.88671875" style="7942" customWidth="1"/>
    <col min="9199" max="9199" width="36.109375" style="7942" customWidth="1"/>
    <col min="9200" max="9200" width="12" style="7942" customWidth="1"/>
    <col min="9201" max="9201" width="16.44140625" style="7942" customWidth="1"/>
    <col min="9202" max="9203" width="16.109375" style="7942" customWidth="1"/>
    <col min="9204" max="9204" width="11.88671875" style="7942" bestFit="1" customWidth="1"/>
    <col min="9205" max="9453" width="9.109375" style="7942"/>
    <col min="9454" max="9454" width="3.88671875" style="7942" customWidth="1"/>
    <col min="9455" max="9455" width="36.109375" style="7942" customWidth="1"/>
    <col min="9456" max="9456" width="12" style="7942" customWidth="1"/>
    <col min="9457" max="9457" width="16.44140625" style="7942" customWidth="1"/>
    <col min="9458" max="9459" width="16.109375" style="7942" customWidth="1"/>
    <col min="9460" max="9460" width="11.88671875" style="7942" bestFit="1" customWidth="1"/>
    <col min="9461" max="9709" width="9.109375" style="7942"/>
    <col min="9710" max="9710" width="3.88671875" style="7942" customWidth="1"/>
    <col min="9711" max="9711" width="36.109375" style="7942" customWidth="1"/>
    <col min="9712" max="9712" width="12" style="7942" customWidth="1"/>
    <col min="9713" max="9713" width="16.44140625" style="7942" customWidth="1"/>
    <col min="9714" max="9715" width="16.109375" style="7942" customWidth="1"/>
    <col min="9716" max="9716" width="11.88671875" style="7942" bestFit="1" customWidth="1"/>
    <col min="9717" max="9965" width="9.109375" style="7942"/>
    <col min="9966" max="9966" width="3.88671875" style="7942" customWidth="1"/>
    <col min="9967" max="9967" width="36.109375" style="7942" customWidth="1"/>
    <col min="9968" max="9968" width="12" style="7942" customWidth="1"/>
    <col min="9969" max="9969" width="16.44140625" style="7942" customWidth="1"/>
    <col min="9970" max="9971" width="16.109375" style="7942" customWidth="1"/>
    <col min="9972" max="9972" width="11.88671875" style="7942" bestFit="1" customWidth="1"/>
    <col min="9973" max="10221" width="9.109375" style="7942"/>
    <col min="10222" max="10222" width="3.88671875" style="7942" customWidth="1"/>
    <col min="10223" max="10223" width="36.109375" style="7942" customWidth="1"/>
    <col min="10224" max="10224" width="12" style="7942" customWidth="1"/>
    <col min="10225" max="10225" width="16.44140625" style="7942" customWidth="1"/>
    <col min="10226" max="10227" width="16.109375" style="7942" customWidth="1"/>
    <col min="10228" max="10228" width="11.88671875" style="7942" bestFit="1" customWidth="1"/>
    <col min="10229" max="10477" width="9.109375" style="7942"/>
    <col min="10478" max="10478" width="3.88671875" style="7942" customWidth="1"/>
    <col min="10479" max="10479" width="36.109375" style="7942" customWidth="1"/>
    <col min="10480" max="10480" width="12" style="7942" customWidth="1"/>
    <col min="10481" max="10481" width="16.44140625" style="7942" customWidth="1"/>
    <col min="10482" max="10483" width="16.109375" style="7942" customWidth="1"/>
    <col min="10484" max="10484" width="11.88671875" style="7942" bestFit="1" customWidth="1"/>
    <col min="10485" max="10733" width="9.109375" style="7942"/>
    <col min="10734" max="10734" width="3.88671875" style="7942" customWidth="1"/>
    <col min="10735" max="10735" width="36.109375" style="7942" customWidth="1"/>
    <col min="10736" max="10736" width="12" style="7942" customWidth="1"/>
    <col min="10737" max="10737" width="16.44140625" style="7942" customWidth="1"/>
    <col min="10738" max="10739" width="16.109375" style="7942" customWidth="1"/>
    <col min="10740" max="10740" width="11.88671875" style="7942" bestFit="1" customWidth="1"/>
    <col min="10741" max="10989" width="9.109375" style="7942"/>
    <col min="10990" max="10990" width="3.88671875" style="7942" customWidth="1"/>
    <col min="10991" max="10991" width="36.109375" style="7942" customWidth="1"/>
    <col min="10992" max="10992" width="12" style="7942" customWidth="1"/>
    <col min="10993" max="10993" width="16.44140625" style="7942" customWidth="1"/>
    <col min="10994" max="10995" width="16.109375" style="7942" customWidth="1"/>
    <col min="10996" max="10996" width="11.88671875" style="7942" bestFit="1" customWidth="1"/>
    <col min="10997" max="11245" width="9.109375" style="7942"/>
    <col min="11246" max="11246" width="3.88671875" style="7942" customWidth="1"/>
    <col min="11247" max="11247" width="36.109375" style="7942" customWidth="1"/>
    <col min="11248" max="11248" width="12" style="7942" customWidth="1"/>
    <col min="11249" max="11249" width="16.44140625" style="7942" customWidth="1"/>
    <col min="11250" max="11251" width="16.109375" style="7942" customWidth="1"/>
    <col min="11252" max="11252" width="11.88671875" style="7942" bestFit="1" customWidth="1"/>
    <col min="11253" max="11501" width="9.109375" style="7942"/>
    <col min="11502" max="11502" width="3.88671875" style="7942" customWidth="1"/>
    <col min="11503" max="11503" width="36.109375" style="7942" customWidth="1"/>
    <col min="11504" max="11504" width="12" style="7942" customWidth="1"/>
    <col min="11505" max="11505" width="16.44140625" style="7942" customWidth="1"/>
    <col min="11506" max="11507" width="16.109375" style="7942" customWidth="1"/>
    <col min="11508" max="11508" width="11.88671875" style="7942" bestFit="1" customWidth="1"/>
    <col min="11509" max="11757" width="9.109375" style="7942"/>
    <col min="11758" max="11758" width="3.88671875" style="7942" customWidth="1"/>
    <col min="11759" max="11759" width="36.109375" style="7942" customWidth="1"/>
    <col min="11760" max="11760" width="12" style="7942" customWidth="1"/>
    <col min="11761" max="11761" width="16.44140625" style="7942" customWidth="1"/>
    <col min="11762" max="11763" width="16.109375" style="7942" customWidth="1"/>
    <col min="11764" max="11764" width="11.88671875" style="7942" bestFit="1" customWidth="1"/>
    <col min="11765" max="12013" width="9.109375" style="7942"/>
    <col min="12014" max="12014" width="3.88671875" style="7942" customWidth="1"/>
    <col min="12015" max="12015" width="36.109375" style="7942" customWidth="1"/>
    <col min="12016" max="12016" width="12" style="7942" customWidth="1"/>
    <col min="12017" max="12017" width="16.44140625" style="7942" customWidth="1"/>
    <col min="12018" max="12019" width="16.109375" style="7942" customWidth="1"/>
    <col min="12020" max="12020" width="11.88671875" style="7942" bestFit="1" customWidth="1"/>
    <col min="12021" max="12269" width="9.109375" style="7942"/>
    <col min="12270" max="12270" width="3.88671875" style="7942" customWidth="1"/>
    <col min="12271" max="12271" width="36.109375" style="7942" customWidth="1"/>
    <col min="12272" max="12272" width="12" style="7942" customWidth="1"/>
    <col min="12273" max="12273" width="16.44140625" style="7942" customWidth="1"/>
    <col min="12274" max="12275" width="16.109375" style="7942" customWidth="1"/>
    <col min="12276" max="12276" width="11.88671875" style="7942" bestFit="1" customWidth="1"/>
    <col min="12277" max="12525" width="9.109375" style="7942"/>
    <col min="12526" max="12526" width="3.88671875" style="7942" customWidth="1"/>
    <col min="12527" max="12527" width="36.109375" style="7942" customWidth="1"/>
    <col min="12528" max="12528" width="12" style="7942" customWidth="1"/>
    <col min="12529" max="12529" width="16.44140625" style="7942" customWidth="1"/>
    <col min="12530" max="12531" width="16.109375" style="7942" customWidth="1"/>
    <col min="12532" max="12532" width="11.88671875" style="7942" bestFit="1" customWidth="1"/>
    <col min="12533" max="12781" width="9.109375" style="7942"/>
    <col min="12782" max="12782" width="3.88671875" style="7942" customWidth="1"/>
    <col min="12783" max="12783" width="36.109375" style="7942" customWidth="1"/>
    <col min="12784" max="12784" width="12" style="7942" customWidth="1"/>
    <col min="12785" max="12785" width="16.44140625" style="7942" customWidth="1"/>
    <col min="12786" max="12787" width="16.109375" style="7942" customWidth="1"/>
    <col min="12788" max="12788" width="11.88671875" style="7942" bestFit="1" customWidth="1"/>
    <col min="12789" max="13037" width="9.109375" style="7942"/>
    <col min="13038" max="13038" width="3.88671875" style="7942" customWidth="1"/>
    <col min="13039" max="13039" width="36.109375" style="7942" customWidth="1"/>
    <col min="13040" max="13040" width="12" style="7942" customWidth="1"/>
    <col min="13041" max="13041" width="16.44140625" style="7942" customWidth="1"/>
    <col min="13042" max="13043" width="16.109375" style="7942" customWidth="1"/>
    <col min="13044" max="13044" width="11.88671875" style="7942" bestFit="1" customWidth="1"/>
    <col min="13045" max="13293" width="9.109375" style="7942"/>
    <col min="13294" max="13294" width="3.88671875" style="7942" customWidth="1"/>
    <col min="13295" max="13295" width="36.109375" style="7942" customWidth="1"/>
    <col min="13296" max="13296" width="12" style="7942" customWidth="1"/>
    <col min="13297" max="13297" width="16.44140625" style="7942" customWidth="1"/>
    <col min="13298" max="13299" width="16.109375" style="7942" customWidth="1"/>
    <col min="13300" max="13300" width="11.88671875" style="7942" bestFit="1" customWidth="1"/>
    <col min="13301" max="13549" width="9.109375" style="7942"/>
    <col min="13550" max="13550" width="3.88671875" style="7942" customWidth="1"/>
    <col min="13551" max="13551" width="36.109375" style="7942" customWidth="1"/>
    <col min="13552" max="13552" width="12" style="7942" customWidth="1"/>
    <col min="13553" max="13553" width="16.44140625" style="7942" customWidth="1"/>
    <col min="13554" max="13555" width="16.109375" style="7942" customWidth="1"/>
    <col min="13556" max="13556" width="11.88671875" style="7942" bestFit="1" customWidth="1"/>
    <col min="13557" max="13805" width="9.109375" style="7942"/>
    <col min="13806" max="13806" width="3.88671875" style="7942" customWidth="1"/>
    <col min="13807" max="13807" width="36.109375" style="7942" customWidth="1"/>
    <col min="13808" max="13808" width="12" style="7942" customWidth="1"/>
    <col min="13809" max="13809" width="16.44140625" style="7942" customWidth="1"/>
    <col min="13810" max="13811" width="16.109375" style="7942" customWidth="1"/>
    <col min="13812" max="13812" width="11.88671875" style="7942" bestFit="1" customWidth="1"/>
    <col min="13813" max="14061" width="9.109375" style="7942"/>
    <col min="14062" max="14062" width="3.88671875" style="7942" customWidth="1"/>
    <col min="14063" max="14063" width="36.109375" style="7942" customWidth="1"/>
    <col min="14064" max="14064" width="12" style="7942" customWidth="1"/>
    <col min="14065" max="14065" width="16.44140625" style="7942" customWidth="1"/>
    <col min="14066" max="14067" width="16.109375" style="7942" customWidth="1"/>
    <col min="14068" max="14068" width="11.88671875" style="7942" bestFit="1" customWidth="1"/>
    <col min="14069" max="14317" width="9.109375" style="7942"/>
    <col min="14318" max="14318" width="3.88671875" style="7942" customWidth="1"/>
    <col min="14319" max="14319" width="36.109375" style="7942" customWidth="1"/>
    <col min="14320" max="14320" width="12" style="7942" customWidth="1"/>
    <col min="14321" max="14321" width="16.44140625" style="7942" customWidth="1"/>
    <col min="14322" max="14323" width="16.109375" style="7942" customWidth="1"/>
    <col min="14324" max="14324" width="11.88671875" style="7942" bestFit="1" customWidth="1"/>
    <col min="14325" max="14573" width="9.109375" style="7942"/>
    <col min="14574" max="14574" width="3.88671875" style="7942" customWidth="1"/>
    <col min="14575" max="14575" width="36.109375" style="7942" customWidth="1"/>
    <col min="14576" max="14576" width="12" style="7942" customWidth="1"/>
    <col min="14577" max="14577" width="16.44140625" style="7942" customWidth="1"/>
    <col min="14578" max="14579" width="16.109375" style="7942" customWidth="1"/>
    <col min="14580" max="14580" width="11.88671875" style="7942" bestFit="1" customWidth="1"/>
    <col min="14581" max="14829" width="9.109375" style="7942"/>
    <col min="14830" max="14830" width="3.88671875" style="7942" customWidth="1"/>
    <col min="14831" max="14831" width="36.109375" style="7942" customWidth="1"/>
    <col min="14832" max="14832" width="12" style="7942" customWidth="1"/>
    <col min="14833" max="14833" width="16.44140625" style="7942" customWidth="1"/>
    <col min="14834" max="14835" width="16.109375" style="7942" customWidth="1"/>
    <col min="14836" max="14836" width="11.88671875" style="7942" bestFit="1" customWidth="1"/>
    <col min="14837" max="15085" width="9.109375" style="7942"/>
    <col min="15086" max="15086" width="3.88671875" style="7942" customWidth="1"/>
    <col min="15087" max="15087" width="36.109375" style="7942" customWidth="1"/>
    <col min="15088" max="15088" width="12" style="7942" customWidth="1"/>
    <col min="15089" max="15089" width="16.44140625" style="7942" customWidth="1"/>
    <col min="15090" max="15091" width="16.109375" style="7942" customWidth="1"/>
    <col min="15092" max="15092" width="11.88671875" style="7942" bestFit="1" customWidth="1"/>
    <col min="15093" max="15341" width="9.109375" style="7942"/>
    <col min="15342" max="15342" width="3.88671875" style="7942" customWidth="1"/>
    <col min="15343" max="15343" width="36.109375" style="7942" customWidth="1"/>
    <col min="15344" max="15344" width="12" style="7942" customWidth="1"/>
    <col min="15345" max="15345" width="16.44140625" style="7942" customWidth="1"/>
    <col min="15346" max="15347" width="16.109375" style="7942" customWidth="1"/>
    <col min="15348" max="15348" width="11.88671875" style="7942" bestFit="1" customWidth="1"/>
    <col min="15349" max="15597" width="9.109375" style="7942"/>
    <col min="15598" max="15598" width="3.88671875" style="7942" customWidth="1"/>
    <col min="15599" max="15599" width="36.109375" style="7942" customWidth="1"/>
    <col min="15600" max="15600" width="12" style="7942" customWidth="1"/>
    <col min="15601" max="15601" width="16.44140625" style="7942" customWidth="1"/>
    <col min="15602" max="15603" width="16.109375" style="7942" customWidth="1"/>
    <col min="15604" max="15604" width="11.88671875" style="7942" bestFit="1" customWidth="1"/>
    <col min="15605" max="15853" width="9.109375" style="7942"/>
    <col min="15854" max="15854" width="3.88671875" style="7942" customWidth="1"/>
    <col min="15855" max="15855" width="36.109375" style="7942" customWidth="1"/>
    <col min="15856" max="15856" width="12" style="7942" customWidth="1"/>
    <col min="15857" max="15857" width="16.44140625" style="7942" customWidth="1"/>
    <col min="15858" max="15859" width="16.109375" style="7942" customWidth="1"/>
    <col min="15860" max="15860" width="11.88671875" style="7942" bestFit="1" customWidth="1"/>
    <col min="15861" max="16109" width="9.109375" style="7942"/>
    <col min="16110" max="16110" width="3.88671875" style="7942" customWidth="1"/>
    <col min="16111" max="16111" width="36.109375" style="7942" customWidth="1"/>
    <col min="16112" max="16112" width="12" style="7942" customWidth="1"/>
    <col min="16113" max="16113" width="16.44140625" style="7942" customWidth="1"/>
    <col min="16114" max="16115" width="16.109375" style="7942" customWidth="1"/>
    <col min="16116" max="16116" width="11.88671875" style="7942" bestFit="1" customWidth="1"/>
    <col min="16117" max="16384" width="9.109375" style="7942"/>
  </cols>
  <sheetData>
    <row r="1" spans="1:12" ht="15" customHeight="1">
      <c r="A1" s="14772" t="s">
        <v>1</v>
      </c>
      <c r="B1" s="14772"/>
      <c r="C1" s="14772"/>
      <c r="D1" s="14772"/>
      <c r="E1" s="14772"/>
      <c r="F1" s="14772"/>
      <c r="G1" s="14772"/>
      <c r="H1" s="14772"/>
      <c r="I1" s="14772"/>
      <c r="J1" s="14772"/>
    </row>
    <row r="2" spans="1:12" ht="15" customHeight="1">
      <c r="A2" s="7943"/>
      <c r="B2" s="7943"/>
      <c r="C2" s="9294"/>
      <c r="D2" s="7944"/>
      <c r="E2" s="7944"/>
      <c r="F2" s="7944"/>
      <c r="G2" s="7944"/>
      <c r="H2" s="7944"/>
      <c r="I2" s="10500"/>
      <c r="J2" s="7944"/>
    </row>
    <row r="3" spans="1:12" ht="15" customHeight="1">
      <c r="A3" s="7943" t="s">
        <v>10778</v>
      </c>
      <c r="B3" s="7945"/>
      <c r="C3" s="9295" t="s">
        <v>4779</v>
      </c>
      <c r="D3" s="7946"/>
      <c r="E3" s="7946"/>
      <c r="F3" s="7946"/>
      <c r="G3" s="7946"/>
      <c r="H3" s="7946"/>
      <c r="I3" s="10501"/>
      <c r="J3" s="7946"/>
    </row>
    <row r="4" spans="1:12" ht="15" customHeight="1">
      <c r="A4" s="7943" t="s">
        <v>10779</v>
      </c>
      <c r="B4" s="7943"/>
      <c r="C4" s="9296" t="s">
        <v>10780</v>
      </c>
      <c r="D4" s="7944"/>
      <c r="E4" s="7944"/>
      <c r="F4" s="7944"/>
      <c r="G4" s="9431"/>
      <c r="H4" s="7283"/>
      <c r="I4" s="10500"/>
      <c r="J4" s="14775"/>
    </row>
    <row r="5" spans="1:12" s="7732" customFormat="1" ht="15" customHeight="1">
      <c r="A5" s="7730" t="s">
        <v>10781</v>
      </c>
      <c r="B5" s="7730"/>
      <c r="C5" s="9297" t="s">
        <v>8</v>
      </c>
      <c r="D5" s="8002"/>
      <c r="E5" s="8002"/>
      <c r="F5" s="8002"/>
      <c r="G5" s="7364"/>
      <c r="H5" s="8002"/>
      <c r="I5" s="10502"/>
      <c r="J5" s="14775"/>
      <c r="L5" s="10125"/>
    </row>
    <row r="6" spans="1:12" s="7732" customFormat="1" ht="15" customHeight="1" thickBot="1">
      <c r="A6" s="8004"/>
      <c r="B6" s="8004"/>
      <c r="C6" s="9298"/>
      <c r="D6" s="7947"/>
      <c r="E6" s="7947"/>
      <c r="F6" s="7947"/>
      <c r="G6" s="7393"/>
      <c r="H6" s="7947"/>
      <c r="I6" s="10503"/>
      <c r="J6" s="7393"/>
      <c r="L6" s="10125"/>
    </row>
    <row r="7" spans="1:12" ht="15" customHeight="1">
      <c r="A7" s="12197"/>
      <c r="B7" s="12198"/>
      <c r="C7" s="9300" t="s">
        <v>9</v>
      </c>
      <c r="D7" s="7963" t="s">
        <v>10</v>
      </c>
      <c r="E7" s="14188" t="s">
        <v>10711</v>
      </c>
      <c r="F7" s="14189"/>
      <c r="G7" s="14190"/>
      <c r="H7" s="11769" t="s">
        <v>9985</v>
      </c>
      <c r="I7" s="7964"/>
      <c r="J7" s="12199" t="s">
        <v>12</v>
      </c>
    </row>
    <row r="8" spans="1:12" ht="15" customHeight="1">
      <c r="A8" s="12200"/>
      <c r="B8" s="7949" t="s">
        <v>13</v>
      </c>
      <c r="C8" s="14773" t="s">
        <v>14</v>
      </c>
      <c r="D8" s="12201" t="s">
        <v>15</v>
      </c>
      <c r="E8" s="9502" t="s">
        <v>10709</v>
      </c>
      <c r="F8" s="9503" t="s">
        <v>10710</v>
      </c>
      <c r="G8" s="14191" t="s">
        <v>458</v>
      </c>
      <c r="H8" s="8118" t="s">
        <v>11747</v>
      </c>
      <c r="I8" s="12202"/>
      <c r="J8" s="12203" t="s">
        <v>16</v>
      </c>
    </row>
    <row r="9" spans="1:12" ht="15" customHeight="1" thickBot="1">
      <c r="A9" s="12204"/>
      <c r="B9" s="8204"/>
      <c r="C9" s="14774"/>
      <c r="D9" s="12205">
        <v>2017</v>
      </c>
      <c r="E9" s="9467" t="s">
        <v>457</v>
      </c>
      <c r="F9" s="11661" t="s">
        <v>456</v>
      </c>
      <c r="G9" s="14192"/>
      <c r="H9" s="7496">
        <v>2018</v>
      </c>
      <c r="I9" s="7950"/>
      <c r="J9" s="12206">
        <v>2019</v>
      </c>
    </row>
    <row r="10" spans="1:12" ht="15" customHeight="1">
      <c r="A10" s="12207" t="s">
        <v>17</v>
      </c>
      <c r="B10" s="7951" t="s">
        <v>18</v>
      </c>
      <c r="C10" s="12208"/>
      <c r="D10" s="12209"/>
      <c r="E10" s="12209"/>
      <c r="F10" s="12209"/>
      <c r="G10" s="12209"/>
      <c r="H10" s="12209"/>
      <c r="I10" s="12210"/>
      <c r="J10" s="12211"/>
    </row>
    <row r="11" spans="1:12" ht="15" customHeight="1">
      <c r="A11" s="12200"/>
      <c r="B11" s="7951" t="s">
        <v>19</v>
      </c>
      <c r="C11" s="12208"/>
      <c r="D11" s="12209"/>
      <c r="E11" s="12209"/>
      <c r="F11" s="12209"/>
      <c r="G11" s="12209"/>
      <c r="H11" s="12209"/>
      <c r="I11" s="12210"/>
      <c r="J11" s="12211"/>
    </row>
    <row r="12" spans="1:12" ht="15" customHeight="1">
      <c r="A12" s="12200"/>
      <c r="B12" s="7951" t="s">
        <v>20</v>
      </c>
      <c r="C12" s="12208">
        <v>50101010</v>
      </c>
      <c r="D12" s="12212">
        <f>'WS-PS 2017'!B13</f>
        <v>4879060.53</v>
      </c>
      <c r="E12" s="12212">
        <f>'WS-PS ACTUAL JUNE 2018'!B13</f>
        <v>3085379.39</v>
      </c>
      <c r="F12" s="12212">
        <f>G12-E12</f>
        <v>4543884.6099999994</v>
      </c>
      <c r="G12" s="12212">
        <v>7629264</v>
      </c>
      <c r="H12" s="12212"/>
      <c r="I12" s="12213"/>
      <c r="J12" s="12214">
        <f>K12</f>
        <v>9696720</v>
      </c>
      <c r="K12" s="12196">
        <f>'staffing-hrmo'!F52</f>
        <v>9696720</v>
      </c>
      <c r="L12" s="10241">
        <f>'staffing-hrmo'!B52</f>
        <v>34</v>
      </c>
    </row>
    <row r="13" spans="1:12" ht="15" customHeight="1">
      <c r="A13" s="12200"/>
      <c r="B13" s="7951" t="s">
        <v>21</v>
      </c>
      <c r="C13" s="12208">
        <v>50102010</v>
      </c>
      <c r="D13" s="12209">
        <f>'WS-PS 2017'!F13</f>
        <v>446479.18</v>
      </c>
      <c r="E13" s="12209">
        <f>'WS-PS ACTUAL JUNE 2018'!D13</f>
        <v>278278.99</v>
      </c>
      <c r="F13" s="12212">
        <f t="shared" ref="F13:F27" si="0">G13-E13</f>
        <v>417721.01</v>
      </c>
      <c r="G13" s="12209">
        <v>696000</v>
      </c>
      <c r="H13" s="12209"/>
      <c r="I13" s="12210"/>
      <c r="J13" s="12214">
        <f t="shared" ref="J13:J27" si="1">K13</f>
        <v>816000</v>
      </c>
      <c r="K13" s="7310">
        <f>24000*L12</f>
        <v>816000</v>
      </c>
    </row>
    <row r="14" spans="1:12" ht="15" customHeight="1">
      <c r="A14" s="12200"/>
      <c r="B14" s="7951" t="s">
        <v>104</v>
      </c>
      <c r="C14" s="12208">
        <v>50102020</v>
      </c>
      <c r="D14" s="12209">
        <f>'WS-PS 2017'!G13</f>
        <v>99875</v>
      </c>
      <c r="E14" s="12209">
        <f>'WS-PS ACTUAL JUNE 2018'!E13</f>
        <v>42500</v>
      </c>
      <c r="F14" s="12212">
        <f t="shared" si="0"/>
        <v>59500</v>
      </c>
      <c r="G14" s="12209">
        <v>102000</v>
      </c>
      <c r="H14" s="12209"/>
      <c r="I14" s="12210"/>
      <c r="J14" s="12214">
        <f t="shared" si="1"/>
        <v>102000</v>
      </c>
      <c r="K14" s="7310">
        <v>102000</v>
      </c>
    </row>
    <row r="15" spans="1:12" ht="15" customHeight="1">
      <c r="A15" s="12200"/>
      <c r="B15" s="7951" t="s">
        <v>105</v>
      </c>
      <c r="C15" s="12208">
        <v>50102030</v>
      </c>
      <c r="D15" s="12209">
        <f>'WS-PS 2017'!H13</f>
        <v>99875</v>
      </c>
      <c r="E15" s="12209">
        <f>'WS-PS ACTUAL JUNE 2018'!F13</f>
        <v>42500</v>
      </c>
      <c r="F15" s="12212">
        <f t="shared" si="0"/>
        <v>59500</v>
      </c>
      <c r="G15" s="12209">
        <v>102000</v>
      </c>
      <c r="H15" s="12209"/>
      <c r="I15" s="12210"/>
      <c r="J15" s="12214">
        <f t="shared" si="1"/>
        <v>102000</v>
      </c>
      <c r="K15" s="7310">
        <v>102000</v>
      </c>
    </row>
    <row r="16" spans="1:12" ht="15" customHeight="1">
      <c r="A16" s="12200"/>
      <c r="B16" s="7951" t="s">
        <v>22</v>
      </c>
      <c r="C16" s="12208">
        <v>50102040</v>
      </c>
      <c r="D16" s="12209">
        <f>'WS-PS 2017'!I13</f>
        <v>95000</v>
      </c>
      <c r="E16" s="12209">
        <f>'WS-PS ACTUAL JUNE 2018'!G13</f>
        <v>121000</v>
      </c>
      <c r="F16" s="12212">
        <f t="shared" si="0"/>
        <v>24000</v>
      </c>
      <c r="G16" s="12209">
        <v>145000</v>
      </c>
      <c r="H16" s="12209"/>
      <c r="I16" s="12210"/>
      <c r="J16" s="12214">
        <f t="shared" si="1"/>
        <v>204000</v>
      </c>
      <c r="K16" s="7310">
        <f>6000*L12</f>
        <v>204000</v>
      </c>
    </row>
    <row r="17" spans="1:12" ht="15" customHeight="1">
      <c r="A17" s="12200"/>
      <c r="B17" s="7488" t="s">
        <v>10932</v>
      </c>
      <c r="C17" s="10368">
        <v>50102080</v>
      </c>
      <c r="D17" s="12209">
        <f>'WS-PS 2017'!L13</f>
        <v>95000</v>
      </c>
      <c r="E17" s="12209">
        <f>'WS-PS ACTUAL JUNE 2018'!J13</f>
        <v>0</v>
      </c>
      <c r="F17" s="12212">
        <f t="shared" si="0"/>
        <v>145000</v>
      </c>
      <c r="G17" s="12209">
        <v>145000</v>
      </c>
      <c r="H17" s="12209"/>
      <c r="I17" s="12210"/>
      <c r="J17" s="12214">
        <f t="shared" si="1"/>
        <v>170000</v>
      </c>
      <c r="K17" s="7310">
        <f>5000*L12</f>
        <v>170000</v>
      </c>
    </row>
    <row r="18" spans="1:12" ht="15" customHeight="1">
      <c r="A18" s="12200"/>
      <c r="B18" s="7488" t="s">
        <v>10934</v>
      </c>
      <c r="C18" s="8872">
        <v>50102120</v>
      </c>
      <c r="D18" s="12209">
        <f>'WS-PS 2017'!O13</f>
        <v>25000</v>
      </c>
      <c r="E18" s="12209">
        <f>'WS-PS ACTUAL JUNE 2018'!M13</f>
        <v>15000</v>
      </c>
      <c r="F18" s="12212">
        <f>G18-E18</f>
        <v>10000</v>
      </c>
      <c r="G18" s="12209">
        <v>25000</v>
      </c>
      <c r="H18" s="12209"/>
      <c r="I18" s="12210"/>
      <c r="J18" s="12214">
        <f t="shared" si="1"/>
        <v>10000</v>
      </c>
      <c r="K18" s="7915">
        <v>10000</v>
      </c>
    </row>
    <row r="19" spans="1:12" ht="15" customHeight="1">
      <c r="A19" s="12200"/>
      <c r="B19" s="7488" t="s">
        <v>10933</v>
      </c>
      <c r="C19" s="8872">
        <v>50102140</v>
      </c>
      <c r="D19" s="12215">
        <f>'WS-PS 2017'!U13+'WS-PS 2017'!S13</f>
        <v>828667</v>
      </c>
      <c r="E19" s="12209">
        <f>'WS-PS ACTUAL JUNE 2018'!O13</f>
        <v>490025</v>
      </c>
      <c r="F19" s="12212">
        <f t="shared" si="0"/>
        <v>781519</v>
      </c>
      <c r="G19" s="12216">
        <v>1271544</v>
      </c>
      <c r="H19" s="12216"/>
      <c r="I19" s="12217"/>
      <c r="J19" s="12214">
        <f t="shared" si="1"/>
        <v>1616120</v>
      </c>
      <c r="K19" s="7310">
        <f>SUM(K11:K12)/12*2</f>
        <v>1616120</v>
      </c>
    </row>
    <row r="20" spans="1:12" ht="15" customHeight="1">
      <c r="A20" s="12200"/>
      <c r="B20" s="7951" t="s">
        <v>26</v>
      </c>
      <c r="C20" s="12208">
        <v>50102150</v>
      </c>
      <c r="D20" s="11378">
        <f>'WS-PS 2017'!T13</f>
        <v>95000</v>
      </c>
      <c r="E20" s="11379">
        <f>'WS-PS ACTUAL JUNE 2018'!Q13</f>
        <v>0</v>
      </c>
      <c r="F20" s="12212">
        <f>G20-E20</f>
        <v>145000</v>
      </c>
      <c r="G20" s="12209">
        <v>145000</v>
      </c>
      <c r="H20" s="12209"/>
      <c r="I20" s="12210"/>
      <c r="J20" s="12214">
        <f t="shared" si="1"/>
        <v>170000</v>
      </c>
      <c r="K20" s="7371">
        <f>K17</f>
        <v>170000</v>
      </c>
    </row>
    <row r="21" spans="1:12" ht="15" customHeight="1">
      <c r="A21" s="12200"/>
      <c r="B21" s="7488" t="s">
        <v>11497</v>
      </c>
      <c r="C21" s="11257">
        <v>50102990</v>
      </c>
      <c r="D21" s="12215">
        <v>0</v>
      </c>
      <c r="E21" s="12209">
        <f>'WS-PS ACTUAL JUNE 2018'!R13</f>
        <v>0</v>
      </c>
      <c r="F21" s="12212">
        <f>G21-E21</f>
        <v>365569</v>
      </c>
      <c r="G21" s="12209">
        <v>365569</v>
      </c>
      <c r="H21" s="12209"/>
      <c r="I21" s="12210"/>
      <c r="J21" s="12214">
        <v>0</v>
      </c>
      <c r="K21" s="7310">
        <f>K12/12*0.575</f>
        <v>464634.49999999994</v>
      </c>
    </row>
    <row r="22" spans="1:12" ht="15" customHeight="1">
      <c r="A22" s="12200"/>
      <c r="B22" s="7803" t="s">
        <v>11499</v>
      </c>
      <c r="C22" s="11059" t="s">
        <v>11495</v>
      </c>
      <c r="D22" s="12215">
        <f>'WS-PS 2017'!Q13</f>
        <v>0</v>
      </c>
      <c r="E22" s="12209">
        <f>'WS-PS ACTUAL JUNE 2018'!S13</f>
        <v>0</v>
      </c>
      <c r="F22" s="12212">
        <f>G22-E22</f>
        <v>0</v>
      </c>
      <c r="G22" s="12209">
        <v>0</v>
      </c>
      <c r="H22" s="12209"/>
      <c r="I22" s="12210"/>
      <c r="J22" s="12214">
        <f t="shared" si="1"/>
        <v>102000</v>
      </c>
      <c r="K22" s="7310">
        <f>3000*L12</f>
        <v>102000</v>
      </c>
    </row>
    <row r="23" spans="1:12" ht="15" customHeight="1">
      <c r="A23" s="12200"/>
      <c r="B23" s="11518" t="s">
        <v>59</v>
      </c>
      <c r="C23" s="8872">
        <v>50103010</v>
      </c>
      <c r="D23" s="12218">
        <f>'WS-PS 2017'!V13</f>
        <v>585487.25</v>
      </c>
      <c r="E23" s="12216">
        <f>'WS-PS ACTUAL JUNE 2018'!T13</f>
        <v>370245.53</v>
      </c>
      <c r="F23" s="12212">
        <f t="shared" si="0"/>
        <v>545266.47</v>
      </c>
      <c r="G23" s="12209">
        <v>915512</v>
      </c>
      <c r="H23" s="12209"/>
      <c r="I23" s="12210"/>
      <c r="J23" s="12214">
        <f t="shared" si="1"/>
        <v>1163606.3999999999</v>
      </c>
      <c r="K23" s="11720">
        <f>SUM(K11:K12)*12%</f>
        <v>1163606.3999999999</v>
      </c>
    </row>
    <row r="24" spans="1:12" ht="15" customHeight="1">
      <c r="A24" s="12200"/>
      <c r="B24" s="7803" t="s">
        <v>28</v>
      </c>
      <c r="C24" s="8872">
        <v>50103020</v>
      </c>
      <c r="D24" s="12215">
        <f>'WS-PS 2017'!W13</f>
        <v>22900</v>
      </c>
      <c r="E24" s="12209">
        <f>'WS-PS ACTUAL JUNE 2018'!U13</f>
        <v>14100</v>
      </c>
      <c r="F24" s="12212">
        <f t="shared" si="0"/>
        <v>20700</v>
      </c>
      <c r="G24" s="12209">
        <v>34800</v>
      </c>
      <c r="H24" s="12209"/>
      <c r="I24" s="12210"/>
      <c r="J24" s="12214">
        <f t="shared" si="1"/>
        <v>40800</v>
      </c>
      <c r="K24" s="7310">
        <f>1200*L12</f>
        <v>40800</v>
      </c>
    </row>
    <row r="25" spans="1:12" ht="15" customHeight="1">
      <c r="A25" s="12200"/>
      <c r="B25" s="7803" t="s">
        <v>29</v>
      </c>
      <c r="C25" s="8872">
        <v>50103030</v>
      </c>
      <c r="D25" s="12209">
        <f>'WS-PS 2017'!X13</f>
        <v>51325</v>
      </c>
      <c r="E25" s="12209">
        <f>'WS-PS ACTUAL JUNE 2018'!V13</f>
        <v>38888.379999999997</v>
      </c>
      <c r="F25" s="12212">
        <f t="shared" si="0"/>
        <v>31311.620000000003</v>
      </c>
      <c r="G25" s="12209">
        <v>70200</v>
      </c>
      <c r="H25" s="12209"/>
      <c r="I25" s="12210"/>
      <c r="J25" s="12214">
        <v>112354.77</v>
      </c>
      <c r="K25" s="7310">
        <f>3600*L12</f>
        <v>122400</v>
      </c>
    </row>
    <row r="26" spans="1:12" ht="15" customHeight="1">
      <c r="A26" s="12200"/>
      <c r="B26" s="7803" t="s">
        <v>30</v>
      </c>
      <c r="C26" s="8872">
        <v>50103040</v>
      </c>
      <c r="D26" s="12209">
        <f>'WS-PS 2017'!Y13</f>
        <v>22739.66</v>
      </c>
      <c r="E26" s="12209">
        <f>'WS-PS ACTUAL JUNE 2018'!W13</f>
        <v>14158.44</v>
      </c>
      <c r="F26" s="12212">
        <f t="shared" si="0"/>
        <v>20641.559999999998</v>
      </c>
      <c r="G26" s="12209">
        <v>34800</v>
      </c>
      <c r="H26" s="12209"/>
      <c r="I26" s="12210"/>
      <c r="J26" s="12214">
        <f t="shared" si="1"/>
        <v>40800</v>
      </c>
      <c r="K26" s="7310">
        <f>K24</f>
        <v>40800</v>
      </c>
    </row>
    <row r="27" spans="1:12" ht="15" customHeight="1">
      <c r="A27" s="12200"/>
      <c r="B27" s="7488" t="s">
        <v>5025</v>
      </c>
      <c r="C27" s="11258">
        <v>50104990</v>
      </c>
      <c r="D27" s="12209">
        <f>'WS-PS 2017'!Z13</f>
        <v>475000</v>
      </c>
      <c r="E27" s="12209"/>
      <c r="F27" s="12212">
        <f t="shared" si="0"/>
        <v>0</v>
      </c>
      <c r="G27" s="12209">
        <v>0</v>
      </c>
      <c r="H27" s="12209"/>
      <c r="I27" s="12210"/>
      <c r="J27" s="12214">
        <f t="shared" si="1"/>
        <v>0</v>
      </c>
    </row>
    <row r="28" spans="1:12" ht="15" customHeight="1">
      <c r="A28" s="12200"/>
      <c r="B28" s="12219"/>
      <c r="C28" s="12220" t="s">
        <v>9</v>
      </c>
      <c r="D28" s="12209" t="s">
        <v>9</v>
      </c>
      <c r="E28" s="12209"/>
      <c r="F28" s="12209"/>
      <c r="G28" s="12209"/>
      <c r="H28" s="12209"/>
      <c r="I28" s="12210"/>
      <c r="J28" s="12211"/>
    </row>
    <row r="29" spans="1:12" s="7351" customFormat="1" ht="15" customHeight="1" thickBot="1">
      <c r="A29" s="11235"/>
      <c r="B29" s="7391" t="s">
        <v>37</v>
      </c>
      <c r="C29" s="11754"/>
      <c r="D29" s="9428">
        <f>SUM(D11:D28)</f>
        <v>7821408.6200000001</v>
      </c>
      <c r="E29" s="9428">
        <f>SUM(E11:E28)</f>
        <v>4512075.7300000004</v>
      </c>
      <c r="F29" s="9428">
        <f>SUM(F11:F28)</f>
        <v>7169613.2699999986</v>
      </c>
      <c r="G29" s="11300">
        <f>SUM(G11:G28)</f>
        <v>11681689</v>
      </c>
      <c r="H29" s="11300"/>
      <c r="I29" s="12221"/>
      <c r="J29" s="11301">
        <f>SUM(J11:J28)</f>
        <v>14346401.17</v>
      </c>
      <c r="K29" s="11748">
        <f>SUM(K12:K28)</f>
        <v>14821080.9</v>
      </c>
      <c r="L29" s="7383"/>
    </row>
    <row r="30" spans="1:12" s="7351" customFormat="1" ht="15" customHeight="1">
      <c r="A30" s="7958"/>
      <c r="B30" s="7959"/>
      <c r="C30" s="9299"/>
      <c r="D30" s="7961"/>
      <c r="E30" s="7961"/>
      <c r="F30" s="7961"/>
      <c r="G30" s="7961"/>
      <c r="H30" s="7961"/>
      <c r="I30" s="10504"/>
      <c r="J30" s="7961"/>
      <c r="L30" s="7383"/>
    </row>
    <row r="31" spans="1:12" s="7351" customFormat="1" ht="15" customHeight="1">
      <c r="A31" s="7352"/>
      <c r="B31" s="7361"/>
      <c r="C31" s="8789"/>
      <c r="D31" s="7364"/>
      <c r="E31" s="7364"/>
      <c r="F31" s="7364"/>
      <c r="G31" s="7364"/>
      <c r="H31" s="7364"/>
      <c r="I31" s="10492"/>
      <c r="J31" s="7364"/>
      <c r="L31" s="7383"/>
    </row>
    <row r="32" spans="1:12" s="7351" customFormat="1" ht="15" customHeight="1">
      <c r="A32" s="7352"/>
      <c r="B32" s="7361"/>
      <c r="C32" s="8789"/>
      <c r="D32" s="7364"/>
      <c r="E32" s="7364"/>
      <c r="F32" s="7364"/>
      <c r="G32" s="7364"/>
      <c r="H32" s="7364"/>
      <c r="I32" s="10492"/>
      <c r="J32" s="7364"/>
      <c r="L32" s="7383"/>
    </row>
    <row r="33" spans="1:12" s="7351" customFormat="1" ht="15" customHeight="1">
      <c r="A33" s="7352"/>
      <c r="B33" s="7361"/>
      <c r="C33" s="8789"/>
      <c r="D33" s="7364"/>
      <c r="E33" s="7364"/>
      <c r="F33" s="7364"/>
      <c r="G33" s="7364"/>
      <c r="H33" s="7364"/>
      <c r="I33" s="10492"/>
      <c r="J33" s="7364"/>
      <c r="L33" s="7383"/>
    </row>
    <row r="34" spans="1:12" s="7351" customFormat="1" ht="15" customHeight="1">
      <c r="A34" s="7352"/>
      <c r="B34" s="7361"/>
      <c r="C34" s="8789"/>
      <c r="D34" s="7364"/>
      <c r="E34" s="7364"/>
      <c r="F34" s="7364"/>
      <c r="G34" s="7364"/>
      <c r="H34" s="7364"/>
      <c r="I34" s="10492"/>
      <c r="J34" s="7364"/>
      <c r="L34" s="7383"/>
    </row>
    <row r="35" spans="1:12" s="7351" customFormat="1" ht="15" customHeight="1">
      <c r="A35" s="7352"/>
      <c r="B35" s="7361"/>
      <c r="C35" s="8789"/>
      <c r="D35" s="7364"/>
      <c r="E35" s="7364"/>
      <c r="F35" s="7364"/>
      <c r="G35" s="7364"/>
      <c r="H35" s="7364"/>
      <c r="I35" s="10492"/>
      <c r="J35" s="7364"/>
      <c r="L35" s="7383"/>
    </row>
    <row r="36" spans="1:12" s="7351" customFormat="1" ht="15" customHeight="1">
      <c r="A36" s="7352"/>
      <c r="B36" s="7361"/>
      <c r="C36" s="8789"/>
      <c r="D36" s="7364"/>
      <c r="E36" s="7364"/>
      <c r="F36" s="7364"/>
      <c r="G36" s="7364"/>
      <c r="H36" s="7364"/>
      <c r="I36" s="10492"/>
      <c r="J36" s="7364"/>
      <c r="L36" s="7383"/>
    </row>
    <row r="37" spans="1:12" s="7351" customFormat="1" ht="15" customHeight="1">
      <c r="A37" s="7352"/>
      <c r="B37" s="7361"/>
      <c r="C37" s="8789"/>
      <c r="D37" s="7364"/>
      <c r="E37" s="7364"/>
      <c r="F37" s="7364"/>
      <c r="G37" s="7364"/>
      <c r="H37" s="7364"/>
      <c r="I37" s="10492"/>
      <c r="J37" s="7364"/>
      <c r="L37" s="7383"/>
    </row>
    <row r="38" spans="1:12" s="7351" customFormat="1" ht="15" customHeight="1" thickBot="1">
      <c r="A38" s="7390" t="s">
        <v>4667</v>
      </c>
      <c r="B38" s="7391"/>
      <c r="C38" s="8796"/>
      <c r="D38" s="7393"/>
      <c r="E38" s="7393"/>
      <c r="F38" s="7393"/>
      <c r="G38" s="7393"/>
      <c r="H38" s="7393"/>
      <c r="I38" s="10493"/>
      <c r="J38" s="7393"/>
      <c r="L38" s="7383"/>
    </row>
    <row r="39" spans="1:12" ht="15" customHeight="1">
      <c r="A39" s="12197"/>
      <c r="B39" s="12198"/>
      <c r="C39" s="9300" t="s">
        <v>9</v>
      </c>
      <c r="D39" s="9501" t="s">
        <v>10</v>
      </c>
      <c r="E39" s="14188" t="s">
        <v>10711</v>
      </c>
      <c r="F39" s="14189"/>
      <c r="G39" s="14190"/>
      <c r="H39" s="7963"/>
      <c r="I39" s="7964"/>
      <c r="J39" s="12199" t="s">
        <v>12</v>
      </c>
    </row>
    <row r="40" spans="1:12" ht="15" customHeight="1">
      <c r="A40" s="12200"/>
      <c r="B40" s="7949" t="s">
        <v>13</v>
      </c>
      <c r="C40" s="14773" t="s">
        <v>14</v>
      </c>
      <c r="D40" s="12222" t="s">
        <v>15</v>
      </c>
      <c r="E40" s="9502" t="s">
        <v>10709</v>
      </c>
      <c r="F40" s="9503" t="s">
        <v>10710</v>
      </c>
      <c r="G40" s="14191" t="s">
        <v>458</v>
      </c>
      <c r="H40" s="12201"/>
      <c r="I40" s="12202"/>
      <c r="J40" s="12203" t="s">
        <v>16</v>
      </c>
    </row>
    <row r="41" spans="1:12" ht="15" customHeight="1" thickBot="1">
      <c r="A41" s="12204"/>
      <c r="B41" s="8204"/>
      <c r="C41" s="14774"/>
      <c r="D41" s="12223">
        <v>2017</v>
      </c>
      <c r="E41" s="9467" t="s">
        <v>457</v>
      </c>
      <c r="F41" s="11661" t="s">
        <v>456</v>
      </c>
      <c r="G41" s="14192"/>
      <c r="H41" s="12205"/>
      <c r="I41" s="7918"/>
      <c r="J41" s="12206">
        <v>2019</v>
      </c>
    </row>
    <row r="42" spans="1:12" ht="15" customHeight="1">
      <c r="A42" s="12207"/>
      <c r="B42" s="7951" t="s">
        <v>38</v>
      </c>
      <c r="C42" s="12208"/>
      <c r="D42" s="12224"/>
      <c r="E42" s="12224"/>
      <c r="F42" s="12224"/>
      <c r="G42" s="12209"/>
      <c r="H42" s="12209"/>
      <c r="I42" s="12210"/>
      <c r="J42" s="12211"/>
    </row>
    <row r="43" spans="1:12" ht="15" customHeight="1">
      <c r="A43" s="12200"/>
      <c r="B43" s="7951" t="s">
        <v>39</v>
      </c>
      <c r="C43" s="12208">
        <v>50201010</v>
      </c>
      <c r="D43" s="12209">
        <f>'WS-MOOE 2017'!B13</f>
        <v>110495</v>
      </c>
      <c r="E43" s="12209">
        <f>'WS-MOOE ACTUAL JUNE 2018'!B14</f>
        <v>119949.5</v>
      </c>
      <c r="F43" s="12212">
        <f t="shared" ref="F43:F63" si="2">G43-E43</f>
        <v>80050.5</v>
      </c>
      <c r="G43" s="8800">
        <v>200000</v>
      </c>
      <c r="H43" s="8800">
        <v>149180.5</v>
      </c>
      <c r="I43" s="12225">
        <f t="shared" ref="I43:I63" si="3">H43/G43</f>
        <v>0.74590250000000002</v>
      </c>
      <c r="J43" s="11882">
        <v>210000</v>
      </c>
    </row>
    <row r="44" spans="1:12" ht="15" customHeight="1">
      <c r="A44" s="12200"/>
      <c r="B44" s="7951" t="s">
        <v>41</v>
      </c>
      <c r="C44" s="12208">
        <v>50202010</v>
      </c>
      <c r="D44" s="12209">
        <f>'WS-MOOE 2017'!H13</f>
        <v>312545</v>
      </c>
      <c r="E44" s="12209">
        <f>'WS-MOOE ACTUAL JUNE 2018'!G14</f>
        <v>50200</v>
      </c>
      <c r="F44" s="12212">
        <f t="shared" si="2"/>
        <v>449800</v>
      </c>
      <c r="G44" s="8800">
        <v>500000</v>
      </c>
      <c r="H44" s="8800">
        <v>246520</v>
      </c>
      <c r="I44" s="12225">
        <f t="shared" si="3"/>
        <v>0.49303999999999998</v>
      </c>
      <c r="J44" s="11882">
        <v>525000</v>
      </c>
    </row>
    <row r="45" spans="1:12" ht="15" customHeight="1">
      <c r="A45" s="12200"/>
      <c r="B45" s="7951" t="s">
        <v>42</v>
      </c>
      <c r="C45" s="12208">
        <v>50203010</v>
      </c>
      <c r="D45" s="12209">
        <f>'WS-MOOE 2017'!J13</f>
        <v>523384.25</v>
      </c>
      <c r="E45" s="12209">
        <f>'WS-MOOE ACTUAL JUNE 2018'!H14</f>
        <v>153543.4</v>
      </c>
      <c r="F45" s="12212">
        <f t="shared" si="2"/>
        <v>621456.6</v>
      </c>
      <c r="G45" s="8800">
        <v>775000</v>
      </c>
      <c r="H45" s="8800">
        <v>639322.77</v>
      </c>
      <c r="I45" s="12225">
        <f t="shared" si="3"/>
        <v>0.82493260645161293</v>
      </c>
      <c r="J45" s="11882">
        <v>1200000</v>
      </c>
    </row>
    <row r="46" spans="1:12" ht="15" customHeight="1">
      <c r="A46" s="12200"/>
      <c r="B46" s="7951" t="s">
        <v>44</v>
      </c>
      <c r="C46" s="12208">
        <v>50203090</v>
      </c>
      <c r="D46" s="12209">
        <f>'WS-MOOE 2017'!R13</f>
        <v>34115</v>
      </c>
      <c r="E46" s="12209">
        <f>'WS-MOOE ACTUAL JUNE 2018'!O14</f>
        <v>0</v>
      </c>
      <c r="F46" s="12212">
        <f t="shared" si="2"/>
        <v>100000</v>
      </c>
      <c r="G46" s="8800">
        <v>100000</v>
      </c>
      <c r="H46" s="8800">
        <v>108953</v>
      </c>
      <c r="I46" s="12225">
        <f t="shared" si="3"/>
        <v>1.0895300000000001</v>
      </c>
      <c r="J46" s="11882">
        <v>120000</v>
      </c>
    </row>
    <row r="47" spans="1:12" ht="15" customHeight="1">
      <c r="A47" s="12200"/>
      <c r="B47" s="7951" t="s">
        <v>9981</v>
      </c>
      <c r="C47" s="12208">
        <v>50203110</v>
      </c>
      <c r="D47" s="12209">
        <f>'WS-MOOE 2017'!U13</f>
        <v>0</v>
      </c>
      <c r="E47" s="12209">
        <f>'WS-MOOE ACTUAL JUNE 2018'!Q14</f>
        <v>0</v>
      </c>
      <c r="F47" s="12212">
        <f t="shared" si="2"/>
        <v>10000</v>
      </c>
      <c r="G47" s="8800">
        <v>10000</v>
      </c>
      <c r="H47" s="8800">
        <v>0</v>
      </c>
      <c r="I47" s="12225">
        <f t="shared" si="3"/>
        <v>0</v>
      </c>
      <c r="J47" s="11882">
        <v>10000</v>
      </c>
    </row>
    <row r="48" spans="1:12" ht="15" customHeight="1">
      <c r="A48" s="12200"/>
      <c r="B48" s="7951" t="s">
        <v>45</v>
      </c>
      <c r="C48" s="12208">
        <v>50204010</v>
      </c>
      <c r="D48" s="12209">
        <f>'WS-MOOE 2017'!W13</f>
        <v>0</v>
      </c>
      <c r="E48" s="12209">
        <f>'WS-MOOE ACTUAL JUNE 2018'!R14</f>
        <v>1120</v>
      </c>
      <c r="F48" s="12212">
        <f t="shared" si="2"/>
        <v>8880</v>
      </c>
      <c r="G48" s="8800">
        <v>10000</v>
      </c>
      <c r="H48" s="8800">
        <v>1627.97</v>
      </c>
      <c r="I48" s="12225">
        <f t="shared" si="3"/>
        <v>0.162797</v>
      </c>
      <c r="J48" s="11882">
        <v>0</v>
      </c>
    </row>
    <row r="49" spans="1:12" ht="15" customHeight="1">
      <c r="A49" s="12200"/>
      <c r="B49" s="7951" t="s">
        <v>46</v>
      </c>
      <c r="C49" s="12208">
        <v>50204020</v>
      </c>
      <c r="D49" s="12209">
        <f>'WS-MOOE 2017'!X13</f>
        <v>0</v>
      </c>
      <c r="E49" s="12209">
        <f>'WS-MOOE ACTUAL JUNE 2018'!S14</f>
        <v>49324.639999999999</v>
      </c>
      <c r="F49" s="12212">
        <f t="shared" si="2"/>
        <v>70675.360000000001</v>
      </c>
      <c r="G49" s="8800">
        <v>120000</v>
      </c>
      <c r="H49" s="8800">
        <v>126392.98</v>
      </c>
      <c r="I49" s="12225">
        <f t="shared" si="3"/>
        <v>1.0532748333333333</v>
      </c>
      <c r="J49" s="11882">
        <v>0</v>
      </c>
    </row>
    <row r="50" spans="1:12" ht="15" customHeight="1">
      <c r="A50" s="12200"/>
      <c r="B50" s="7951" t="s">
        <v>125</v>
      </c>
      <c r="C50" s="12208">
        <v>50205010</v>
      </c>
      <c r="D50" s="12209">
        <f>'WS-MOOE 2017'!Z13</f>
        <v>3690</v>
      </c>
      <c r="E50" s="12209">
        <f>'WS-MOOE ACTUAL JUNE 2018'!U14</f>
        <v>1250</v>
      </c>
      <c r="F50" s="12212">
        <f t="shared" si="2"/>
        <v>5750</v>
      </c>
      <c r="G50" s="8800">
        <v>7000</v>
      </c>
      <c r="H50" s="8800">
        <v>1250</v>
      </c>
      <c r="I50" s="12225">
        <f t="shared" si="3"/>
        <v>0.17857142857142858</v>
      </c>
      <c r="J50" s="11882">
        <v>7000</v>
      </c>
    </row>
    <row r="51" spans="1:12" ht="15" customHeight="1">
      <c r="A51" s="12200"/>
      <c r="B51" s="7803" t="s">
        <v>11762</v>
      </c>
      <c r="C51" s="12208">
        <v>50205020</v>
      </c>
      <c r="D51" s="12209">
        <f>'WS-MOOE 2017'!AA13+'WS-MOOE 2017'!AC13</f>
        <v>52946.94</v>
      </c>
      <c r="E51" s="12209">
        <f>'WS-MOOE ACTUAL JUNE 2018'!V14</f>
        <v>23089.95</v>
      </c>
      <c r="F51" s="12212">
        <f t="shared" si="2"/>
        <v>56910.05</v>
      </c>
      <c r="G51" s="8800">
        <v>80000</v>
      </c>
      <c r="H51" s="8800">
        <v>30207.94</v>
      </c>
      <c r="I51" s="12225">
        <f t="shared" si="3"/>
        <v>0.37759925</v>
      </c>
      <c r="J51" s="11882">
        <v>80000</v>
      </c>
    </row>
    <row r="52" spans="1:12" ht="15" hidden="1" customHeight="1">
      <c r="A52" s="12200"/>
      <c r="B52" s="7951" t="s">
        <v>126</v>
      </c>
      <c r="C52" s="12208"/>
      <c r="D52" s="12209"/>
      <c r="E52" s="12209"/>
      <c r="F52" s="12212">
        <f t="shared" si="2"/>
        <v>0</v>
      </c>
      <c r="G52" s="8800"/>
      <c r="H52" s="8800"/>
      <c r="I52" s="12225" t="e">
        <f t="shared" si="3"/>
        <v>#DIV/0!</v>
      </c>
      <c r="J52" s="11882"/>
    </row>
    <row r="53" spans="1:12" ht="15" customHeight="1">
      <c r="A53" s="12200"/>
      <c r="B53" s="7951" t="s">
        <v>136</v>
      </c>
      <c r="C53" s="12208">
        <v>50205030</v>
      </c>
      <c r="D53" s="12209">
        <f>'WS-MOOE 2017'!AE13</f>
        <v>2974.99</v>
      </c>
      <c r="E53" s="12209">
        <f>'WS-MOOE ACTUAL JUNE 2018'!Z14</f>
        <v>0</v>
      </c>
      <c r="F53" s="12212">
        <f t="shared" si="2"/>
        <v>25000</v>
      </c>
      <c r="G53" s="8800">
        <v>25000</v>
      </c>
      <c r="H53" s="8800">
        <v>0</v>
      </c>
      <c r="I53" s="12225">
        <f t="shared" si="3"/>
        <v>0</v>
      </c>
      <c r="J53" s="11882">
        <v>0</v>
      </c>
    </row>
    <row r="54" spans="1:12" ht="15" customHeight="1">
      <c r="A54" s="12200"/>
      <c r="B54" s="7951" t="s">
        <v>10960</v>
      </c>
      <c r="C54" s="12208">
        <v>50206010</v>
      </c>
      <c r="D54" s="12209">
        <f>'WS-MOOE 2017'!AI13</f>
        <v>368066.5</v>
      </c>
      <c r="E54" s="12209">
        <f>'WS-MOOE ACTUAL JUNE 2018'!AA14</f>
        <v>42400</v>
      </c>
      <c r="F54" s="12212">
        <f t="shared" si="2"/>
        <v>257600</v>
      </c>
      <c r="G54" s="8800">
        <v>300000</v>
      </c>
      <c r="H54" s="8800">
        <v>262650</v>
      </c>
      <c r="I54" s="12225">
        <f t="shared" si="3"/>
        <v>0.87549999999999994</v>
      </c>
      <c r="J54" s="11882">
        <v>315000</v>
      </c>
    </row>
    <row r="55" spans="1:12" ht="15" customHeight="1">
      <c r="A55" s="12200"/>
      <c r="B55" s="7352" t="s">
        <v>10940</v>
      </c>
      <c r="C55" s="8872">
        <v>50212990</v>
      </c>
      <c r="D55" s="12209">
        <f>'WS-MOOE 2017'!AO13</f>
        <v>1015807.08</v>
      </c>
      <c r="E55" s="12209">
        <f>'WS-MOOE ACTUAL JUNE 2018'!AJ14</f>
        <v>379502.46</v>
      </c>
      <c r="F55" s="12212">
        <f t="shared" si="2"/>
        <v>570497.54</v>
      </c>
      <c r="G55" s="8800">
        <v>950000</v>
      </c>
      <c r="H55" s="8800">
        <v>698377.8</v>
      </c>
      <c r="I55" s="12225">
        <f t="shared" si="3"/>
        <v>0.73513452631578957</v>
      </c>
      <c r="J55" s="11882">
        <v>997500</v>
      </c>
    </row>
    <row r="56" spans="1:12" ht="15" hidden="1" customHeight="1">
      <c r="A56" s="12200"/>
      <c r="B56" s="7951" t="s">
        <v>109</v>
      </c>
      <c r="C56" s="12208"/>
      <c r="D56" s="12209">
        <f>'WS-MOOE 2017'!AY13</f>
        <v>0</v>
      </c>
      <c r="E56" s="12209"/>
      <c r="F56" s="12212">
        <f t="shared" si="2"/>
        <v>0</v>
      </c>
      <c r="G56" s="8800"/>
      <c r="H56" s="8800"/>
      <c r="I56" s="12225" t="e">
        <f t="shared" si="3"/>
        <v>#DIV/0!</v>
      </c>
      <c r="J56" s="11882"/>
    </row>
    <row r="57" spans="1:12" ht="15" customHeight="1">
      <c r="A57" s="12200"/>
      <c r="B57" s="7488" t="s">
        <v>10938</v>
      </c>
      <c r="C57" s="8872">
        <v>50213050</v>
      </c>
      <c r="D57" s="12209">
        <f>'WS-MOOE 2017'!AW13</f>
        <v>2225</v>
      </c>
      <c r="E57" s="12209">
        <f>'WS-MOOE ACTUAL JUNE 2018'!AS14</f>
        <v>18700</v>
      </c>
      <c r="F57" s="12212">
        <f t="shared" si="2"/>
        <v>61300</v>
      </c>
      <c r="G57" s="8800">
        <v>80000</v>
      </c>
      <c r="H57" s="8800">
        <v>69694</v>
      </c>
      <c r="I57" s="12225">
        <f t="shared" si="3"/>
        <v>0.87117500000000003</v>
      </c>
      <c r="J57" s="11882">
        <v>80000</v>
      </c>
    </row>
    <row r="58" spans="1:12" ht="15" customHeight="1">
      <c r="A58" s="12200"/>
      <c r="B58" s="7488" t="s">
        <v>10937</v>
      </c>
      <c r="C58" s="11258">
        <v>50213060</v>
      </c>
      <c r="D58" s="12209">
        <f>'WS-MOOE 2017'!BB13</f>
        <v>3098</v>
      </c>
      <c r="E58" s="12209">
        <f>'WS-MOOE ACTUAL JUNE 2018'!AT14</f>
        <v>11290</v>
      </c>
      <c r="F58" s="12212">
        <f t="shared" si="2"/>
        <v>38710</v>
      </c>
      <c r="G58" s="8800">
        <v>50000</v>
      </c>
      <c r="H58" s="8800">
        <v>31857.85</v>
      </c>
      <c r="I58" s="12225">
        <f t="shared" si="3"/>
        <v>0.63715699999999997</v>
      </c>
      <c r="J58" s="11882">
        <v>52500</v>
      </c>
    </row>
    <row r="59" spans="1:12" ht="15" customHeight="1">
      <c r="A59" s="12200"/>
      <c r="B59" s="7951" t="s">
        <v>72</v>
      </c>
      <c r="C59" s="12208">
        <v>50215020</v>
      </c>
      <c r="D59" s="12209">
        <f>'WS-MOOE 2017'!BH13</f>
        <v>2250</v>
      </c>
      <c r="E59" s="12209">
        <f>'WS-MOOE ACTUAL JUNE 2018'!AZ14</f>
        <v>0</v>
      </c>
      <c r="F59" s="12212">
        <f t="shared" si="2"/>
        <v>3000</v>
      </c>
      <c r="G59" s="8800">
        <v>3000</v>
      </c>
      <c r="H59" s="8800">
        <v>0</v>
      </c>
      <c r="I59" s="12225">
        <f t="shared" si="3"/>
        <v>0</v>
      </c>
      <c r="J59" s="11882">
        <v>3150</v>
      </c>
    </row>
    <row r="60" spans="1:12" ht="15" customHeight="1">
      <c r="A60" s="12200"/>
      <c r="B60" s="7951" t="s">
        <v>127</v>
      </c>
      <c r="C60" s="12208">
        <v>50299010</v>
      </c>
      <c r="D60" s="12209">
        <f>'WS-MOOE 2017'!BI13</f>
        <v>0</v>
      </c>
      <c r="E60" s="12209">
        <f>'WS-MOOE ACTUAL JUNE 2018'!BB14</f>
        <v>0</v>
      </c>
      <c r="F60" s="12212">
        <f>G60-E60</f>
        <v>20000</v>
      </c>
      <c r="G60" s="8800">
        <v>20000</v>
      </c>
      <c r="H60" s="8800">
        <v>0</v>
      </c>
      <c r="I60" s="12225">
        <f>H60/G60</f>
        <v>0</v>
      </c>
      <c r="J60" s="11882">
        <v>0</v>
      </c>
    </row>
    <row r="61" spans="1:12" ht="15" customHeight="1">
      <c r="A61" s="12200"/>
      <c r="B61" s="7951" t="s">
        <v>10961</v>
      </c>
      <c r="C61" s="12208">
        <v>50299020</v>
      </c>
      <c r="D61" s="12209">
        <f>'WS-MOOE 2017'!BJ13</f>
        <v>0</v>
      </c>
      <c r="E61" s="12209">
        <f>'WS-MOOE ACTUAL JUNE 2018'!BC14</f>
        <v>0</v>
      </c>
      <c r="F61" s="12212">
        <f>G61-E61</f>
        <v>15000</v>
      </c>
      <c r="G61" s="8800">
        <v>15000</v>
      </c>
      <c r="H61" s="8800">
        <v>0</v>
      </c>
      <c r="I61" s="12225">
        <f>H61/G61</f>
        <v>0</v>
      </c>
      <c r="J61" s="11882">
        <v>15000</v>
      </c>
    </row>
    <row r="62" spans="1:12" ht="15" customHeight="1">
      <c r="A62" s="12200"/>
      <c r="B62" s="7951" t="s">
        <v>128</v>
      </c>
      <c r="C62" s="12208">
        <v>50299070</v>
      </c>
      <c r="D62" s="12209">
        <f>'WS-MOOE 2017'!BL13</f>
        <v>0</v>
      </c>
      <c r="E62" s="12209">
        <f>'WS-MOOE ACTUAL JUNE 2018'!BF14</f>
        <v>0</v>
      </c>
      <c r="F62" s="12212">
        <f>G62-E62</f>
        <v>8000</v>
      </c>
      <c r="G62" s="8800">
        <v>8000</v>
      </c>
      <c r="H62" s="8800">
        <v>0</v>
      </c>
      <c r="I62" s="12225">
        <f>H62/G62</f>
        <v>0</v>
      </c>
      <c r="J62" s="11882">
        <v>8000</v>
      </c>
    </row>
    <row r="63" spans="1:12" s="7732" customFormat="1" ht="15" customHeight="1">
      <c r="A63" s="12226"/>
      <c r="B63" s="7730" t="s">
        <v>73</v>
      </c>
      <c r="C63" s="11762">
        <v>50299990</v>
      </c>
      <c r="D63" s="11474">
        <f>'WS-MOOE 2017'!BO13</f>
        <v>700834.5</v>
      </c>
      <c r="E63" s="11474">
        <f>'WS-MOOE ACTUAL JUNE 2018'!BI14</f>
        <v>1350</v>
      </c>
      <c r="F63" s="12212">
        <f t="shared" si="2"/>
        <v>398650</v>
      </c>
      <c r="G63" s="12227">
        <v>400000</v>
      </c>
      <c r="H63" s="12227">
        <v>351350</v>
      </c>
      <c r="I63" s="12225">
        <f t="shared" si="3"/>
        <v>0.87837500000000002</v>
      </c>
      <c r="J63" s="12228">
        <v>420000</v>
      </c>
      <c r="L63" s="10125"/>
    </row>
    <row r="64" spans="1:12" s="7732" customFormat="1" ht="15" customHeight="1">
      <c r="A64" s="12226"/>
      <c r="B64" s="7730"/>
      <c r="C64" s="11762"/>
      <c r="D64" s="12229"/>
      <c r="E64" s="11474"/>
      <c r="F64" s="12212"/>
      <c r="G64" s="12227"/>
      <c r="H64" s="12230"/>
      <c r="I64" s="12231"/>
      <c r="J64" s="12228"/>
      <c r="L64" s="10125"/>
    </row>
    <row r="65" spans="1:12" s="7351" customFormat="1" ht="15" customHeight="1" thickBot="1">
      <c r="A65" s="11235"/>
      <c r="B65" s="7391" t="s">
        <v>37</v>
      </c>
      <c r="C65" s="11754"/>
      <c r="D65" s="9428">
        <f>SUM(D43:D63)</f>
        <v>3132432.26</v>
      </c>
      <c r="E65" s="9428">
        <f>SUM(E43:E63)</f>
        <v>851719.95000000007</v>
      </c>
      <c r="F65" s="9428">
        <f>SUM(F43:F63)</f>
        <v>2801280.0500000003</v>
      </c>
      <c r="G65" s="9428">
        <f>SUM(G43:G63)</f>
        <v>3653000</v>
      </c>
      <c r="H65" s="11300">
        <f>SUM(H43:H63)</f>
        <v>2717384.81</v>
      </c>
      <c r="I65" s="12221">
        <f>H65/G65</f>
        <v>0.74387758280865046</v>
      </c>
      <c r="J65" s="11450">
        <f>SUM(J43:J63)</f>
        <v>4043150</v>
      </c>
      <c r="K65" s="10372">
        <f>(J65-G65)/G65</f>
        <v>0.1068026279770052</v>
      </c>
      <c r="L65" s="7383"/>
    </row>
    <row r="66" spans="1:12" s="7351" customFormat="1" ht="15" customHeight="1">
      <c r="A66" s="7352"/>
      <c r="B66" s="7361"/>
      <c r="C66" s="8789"/>
      <c r="D66" s="7364"/>
      <c r="E66" s="7364"/>
      <c r="F66" s="7364"/>
      <c r="G66" s="7364"/>
      <c r="H66" s="7364"/>
      <c r="I66" s="10492"/>
      <c r="J66" s="7364"/>
      <c r="L66" s="7383"/>
    </row>
    <row r="67" spans="1:12" s="7351" customFormat="1" ht="15" customHeight="1">
      <c r="A67" s="7352"/>
      <c r="B67" s="7361"/>
      <c r="C67" s="8789"/>
      <c r="D67" s="7364"/>
      <c r="E67" s="7364"/>
      <c r="F67" s="7364"/>
      <c r="G67" s="7364"/>
      <c r="H67" s="7364"/>
      <c r="I67" s="10492"/>
      <c r="J67" s="7364"/>
      <c r="L67" s="7383"/>
    </row>
    <row r="68" spans="1:12" s="7351" customFormat="1" ht="15" customHeight="1">
      <c r="A68" s="7352"/>
      <c r="B68" s="7361"/>
      <c r="C68" s="8789"/>
      <c r="D68" s="7364"/>
      <c r="E68" s="7364"/>
      <c r="F68" s="7364"/>
      <c r="G68" s="7364"/>
      <c r="H68" s="7364"/>
      <c r="I68" s="10492"/>
      <c r="J68" s="7364"/>
      <c r="L68" s="7383"/>
    </row>
    <row r="69" spans="1:12" s="7351" customFormat="1" ht="15" customHeight="1">
      <c r="A69" s="7352"/>
      <c r="B69" s="7361"/>
      <c r="C69" s="8789"/>
      <c r="D69" s="7364"/>
      <c r="E69" s="7364"/>
      <c r="F69" s="7364"/>
      <c r="G69" s="7364"/>
      <c r="H69" s="7364"/>
      <c r="I69" s="10492"/>
      <c r="J69" s="7364"/>
      <c r="L69" s="7383"/>
    </row>
    <row r="70" spans="1:12" s="7351" customFormat="1" ht="15" customHeight="1">
      <c r="A70" s="7352"/>
      <c r="B70" s="7361"/>
      <c r="C70" s="8789"/>
      <c r="D70" s="7364"/>
      <c r="E70" s="7364"/>
      <c r="F70" s="7364"/>
      <c r="G70" s="7364"/>
      <c r="H70" s="7364"/>
      <c r="I70" s="10492"/>
      <c r="J70" s="7364"/>
      <c r="L70" s="7383"/>
    </row>
    <row r="71" spans="1:12" s="7351" customFormat="1" ht="15" customHeight="1">
      <c r="A71" s="7352"/>
      <c r="B71" s="7361"/>
      <c r="C71" s="8789"/>
      <c r="D71" s="7364"/>
      <c r="E71" s="7364"/>
      <c r="F71" s="7364"/>
      <c r="G71" s="7364"/>
      <c r="H71" s="7364"/>
      <c r="I71" s="10492"/>
      <c r="J71" s="7364"/>
      <c r="L71" s="7383"/>
    </row>
    <row r="72" spans="1:12" s="7351" customFormat="1" ht="15" customHeight="1">
      <c r="A72" s="7352"/>
      <c r="B72" s="7361"/>
      <c r="C72" s="8789"/>
      <c r="D72" s="7364"/>
      <c r="E72" s="7364"/>
      <c r="F72" s="7364"/>
      <c r="G72" s="7364"/>
      <c r="H72" s="7364"/>
      <c r="I72" s="10492"/>
      <c r="J72" s="7364"/>
      <c r="L72" s="7383"/>
    </row>
    <row r="73" spans="1:12" s="7351" customFormat="1" ht="15" customHeight="1">
      <c r="A73" s="7352"/>
      <c r="B73" s="7361"/>
      <c r="C73" s="8789"/>
      <c r="D73" s="7364"/>
      <c r="E73" s="7364"/>
      <c r="F73" s="7364"/>
      <c r="G73" s="7364"/>
      <c r="H73" s="7364"/>
      <c r="I73" s="10492"/>
      <c r="J73" s="7364"/>
      <c r="L73" s="7383"/>
    </row>
    <row r="74" spans="1:12" s="7351" customFormat="1" ht="15" customHeight="1">
      <c r="A74" s="7352"/>
      <c r="B74" s="7361"/>
      <c r="C74" s="8789"/>
      <c r="D74" s="7364"/>
      <c r="E74" s="7364"/>
      <c r="F74" s="7364"/>
      <c r="G74" s="7364"/>
      <c r="H74" s="7364"/>
      <c r="I74" s="10492"/>
      <c r="J74" s="7364"/>
      <c r="L74" s="7383"/>
    </row>
    <row r="75" spans="1:12" s="7351" customFormat="1" ht="15" customHeight="1">
      <c r="A75" s="7352"/>
      <c r="B75" s="7361"/>
      <c r="C75" s="8789"/>
      <c r="D75" s="7364"/>
      <c r="E75" s="7364"/>
      <c r="F75" s="7364"/>
      <c r="G75" s="7364"/>
      <c r="H75" s="7364"/>
      <c r="I75" s="10492"/>
      <c r="J75" s="7364"/>
      <c r="L75" s="7383"/>
    </row>
    <row r="76" spans="1:12" s="7351" customFormat="1" ht="15" customHeight="1">
      <c r="A76" s="7352"/>
      <c r="B76" s="7361"/>
      <c r="C76" s="8789"/>
      <c r="D76" s="7364"/>
      <c r="E76" s="7364"/>
      <c r="F76" s="7364"/>
      <c r="G76" s="7364"/>
      <c r="H76" s="7364"/>
      <c r="I76" s="10492"/>
      <c r="J76" s="7364"/>
      <c r="L76" s="7383"/>
    </row>
    <row r="77" spans="1:12" s="7351" customFormat="1" ht="15" customHeight="1" thickBot="1">
      <c r="A77" s="7352" t="s">
        <v>10775</v>
      </c>
      <c r="B77" s="7361"/>
      <c r="C77" s="8789"/>
      <c r="D77" s="7364"/>
      <c r="E77" s="7364"/>
      <c r="F77" s="7364"/>
      <c r="G77" s="7364"/>
      <c r="H77" s="7364"/>
      <c r="I77" s="10492"/>
      <c r="J77" s="7364"/>
      <c r="L77" s="7383"/>
    </row>
    <row r="78" spans="1:12" ht="15" customHeight="1">
      <c r="A78" s="12197"/>
      <c r="B78" s="12198"/>
      <c r="C78" s="9300" t="s">
        <v>9</v>
      </c>
      <c r="D78" s="9501" t="s">
        <v>10</v>
      </c>
      <c r="E78" s="14188" t="s">
        <v>10711</v>
      </c>
      <c r="F78" s="14189"/>
      <c r="G78" s="14190"/>
      <c r="H78" s="7963"/>
      <c r="I78" s="7964"/>
      <c r="J78" s="12199" t="s">
        <v>12</v>
      </c>
    </row>
    <row r="79" spans="1:12" ht="15" customHeight="1">
      <c r="A79" s="12200"/>
      <c r="B79" s="7949" t="s">
        <v>13</v>
      </c>
      <c r="C79" s="14773" t="s">
        <v>14</v>
      </c>
      <c r="D79" s="12222" t="s">
        <v>15</v>
      </c>
      <c r="E79" s="9502" t="s">
        <v>10709</v>
      </c>
      <c r="F79" s="9503" t="s">
        <v>10710</v>
      </c>
      <c r="G79" s="14191" t="s">
        <v>458</v>
      </c>
      <c r="H79" s="12201"/>
      <c r="I79" s="12202"/>
      <c r="J79" s="12203" t="s">
        <v>16</v>
      </c>
    </row>
    <row r="80" spans="1:12" ht="15" customHeight="1" thickBot="1">
      <c r="A80" s="12204"/>
      <c r="B80" s="8204"/>
      <c r="C80" s="14774"/>
      <c r="D80" s="12223">
        <v>2017</v>
      </c>
      <c r="E80" s="9467" t="s">
        <v>457</v>
      </c>
      <c r="F80" s="11661" t="s">
        <v>456</v>
      </c>
      <c r="G80" s="14192"/>
      <c r="H80" s="12205"/>
      <c r="I80" s="7918"/>
      <c r="J80" s="12206">
        <v>2019</v>
      </c>
    </row>
    <row r="81" spans="1:12" s="7954" customFormat="1" ht="15" customHeight="1">
      <c r="A81" s="12200"/>
      <c r="B81" s="7949"/>
      <c r="C81" s="12232"/>
      <c r="D81" s="12201"/>
      <c r="E81" s="12201"/>
      <c r="F81" s="12201"/>
      <c r="G81" s="12201"/>
      <c r="H81" s="12201"/>
      <c r="I81" s="12202"/>
      <c r="J81" s="12203"/>
      <c r="L81" s="10249"/>
    </row>
    <row r="82" spans="1:12" s="7351" customFormat="1" ht="15" customHeight="1">
      <c r="A82" s="11869" t="s">
        <v>129</v>
      </c>
      <c r="B82" s="7361" t="s">
        <v>9332</v>
      </c>
      <c r="C82" s="8872"/>
      <c r="D82" s="11252"/>
      <c r="E82" s="11252"/>
      <c r="F82" s="11252"/>
      <c r="G82" s="11252"/>
      <c r="H82" s="11252"/>
      <c r="I82" s="12233"/>
      <c r="J82" s="11269"/>
      <c r="L82" s="7383"/>
    </row>
    <row r="83" spans="1:12" s="7351" customFormat="1" ht="15" customHeight="1">
      <c r="A83" s="11869"/>
      <c r="B83" s="7361"/>
      <c r="C83" s="8872"/>
      <c r="D83" s="11252"/>
      <c r="E83" s="11252"/>
      <c r="F83" s="11252"/>
      <c r="G83" s="11252"/>
      <c r="H83" s="11252"/>
      <c r="I83" s="12233"/>
      <c r="J83" s="11269"/>
      <c r="L83" s="7383"/>
    </row>
    <row r="84" spans="1:12" s="7351" customFormat="1" ht="15" hidden="1" customHeight="1">
      <c r="A84" s="11869"/>
      <c r="B84" s="7352" t="s">
        <v>11526</v>
      </c>
      <c r="C84" s="8872">
        <v>50704990</v>
      </c>
      <c r="D84" s="11252"/>
      <c r="E84" s="11252"/>
      <c r="F84" s="11252"/>
      <c r="G84" s="11252"/>
      <c r="H84" s="11252"/>
      <c r="I84" s="12233"/>
      <c r="J84" s="11269"/>
      <c r="L84" s="7383"/>
    </row>
    <row r="85" spans="1:12" s="7732" customFormat="1" ht="15" customHeight="1">
      <c r="A85" s="11472"/>
      <c r="B85" s="7309" t="s">
        <v>10001</v>
      </c>
      <c r="C85" s="12234">
        <v>50705020</v>
      </c>
      <c r="D85" s="11474">
        <f>'WS-CO 2017'!F12</f>
        <v>249833</v>
      </c>
      <c r="E85" s="11474"/>
      <c r="F85" s="12212">
        <f t="shared" ref="F85:F91" si="4">G85-E85</f>
        <v>0</v>
      </c>
      <c r="G85" s="11474">
        <v>0</v>
      </c>
      <c r="H85" s="11474"/>
      <c r="I85" s="12225"/>
      <c r="J85" s="11475">
        <v>150000</v>
      </c>
      <c r="L85" s="10125"/>
    </row>
    <row r="86" spans="1:12" s="7732" customFormat="1" ht="15" hidden="1" customHeight="1">
      <c r="A86" s="11472"/>
      <c r="B86" s="7730" t="s">
        <v>10580</v>
      </c>
      <c r="C86" s="11762">
        <v>221</v>
      </c>
      <c r="D86" s="11474"/>
      <c r="E86" s="11474"/>
      <c r="F86" s="12212">
        <f t="shared" si="4"/>
        <v>0</v>
      </c>
      <c r="G86" s="11474"/>
      <c r="H86" s="11474"/>
      <c r="I86" s="12225"/>
      <c r="J86" s="11475"/>
      <c r="L86" s="10125"/>
    </row>
    <row r="87" spans="1:12" s="7732" customFormat="1" ht="15" customHeight="1">
      <c r="A87" s="11472"/>
      <c r="B87" s="7309" t="s">
        <v>10945</v>
      </c>
      <c r="C87" s="12234">
        <v>50707010</v>
      </c>
      <c r="D87" s="11474">
        <f>'WS-CO 2017'!K12</f>
        <v>29950</v>
      </c>
      <c r="E87" s="11474"/>
      <c r="F87" s="12212">
        <f t="shared" si="4"/>
        <v>0</v>
      </c>
      <c r="G87" s="11474">
        <v>0</v>
      </c>
      <c r="H87" s="11474"/>
      <c r="I87" s="12225"/>
      <c r="J87" s="11475">
        <v>0</v>
      </c>
      <c r="L87" s="10125"/>
    </row>
    <row r="88" spans="1:12" s="7732" customFormat="1" ht="15" hidden="1" customHeight="1">
      <c r="A88" s="11472"/>
      <c r="B88" s="7955" t="s">
        <v>10231</v>
      </c>
      <c r="C88" s="11762"/>
      <c r="D88" s="11474">
        <v>0</v>
      </c>
      <c r="E88" s="11474"/>
      <c r="F88" s="12212">
        <f t="shared" si="4"/>
        <v>0</v>
      </c>
      <c r="G88" s="11474">
        <v>0</v>
      </c>
      <c r="H88" s="11474"/>
      <c r="I88" s="12225" t="e">
        <f>H88/G88</f>
        <v>#DIV/0!</v>
      </c>
      <c r="J88" s="11475">
        <v>0</v>
      </c>
      <c r="L88" s="10125"/>
    </row>
    <row r="89" spans="1:12" s="7732" customFormat="1" ht="15" customHeight="1">
      <c r="A89" s="11472"/>
      <c r="B89" s="11280" t="s">
        <v>10964</v>
      </c>
      <c r="C89" s="8872">
        <v>50706010</v>
      </c>
      <c r="D89" s="11474">
        <f>'WS-CO 2017'!J12</f>
        <v>0</v>
      </c>
      <c r="E89" s="11474"/>
      <c r="F89" s="12212">
        <f t="shared" si="4"/>
        <v>90000</v>
      </c>
      <c r="G89" s="11474">
        <v>90000</v>
      </c>
      <c r="H89" s="11474">
        <v>70000</v>
      </c>
      <c r="I89" s="12225">
        <f>H89/G89</f>
        <v>0.77777777777777779</v>
      </c>
      <c r="J89" s="11475">
        <v>0</v>
      </c>
      <c r="L89" s="10125"/>
    </row>
    <row r="90" spans="1:12" s="7732" customFormat="1" ht="15" hidden="1" customHeight="1">
      <c r="A90" s="11472"/>
      <c r="B90" s="7955" t="s">
        <v>10284</v>
      </c>
      <c r="C90" s="11762"/>
      <c r="D90" s="11474"/>
      <c r="E90" s="11474"/>
      <c r="F90" s="12212">
        <f t="shared" si="4"/>
        <v>0</v>
      </c>
      <c r="G90" s="11474">
        <v>0</v>
      </c>
      <c r="H90" s="11474"/>
      <c r="I90" s="12225" t="e">
        <f>H90/G90</f>
        <v>#DIV/0!</v>
      </c>
      <c r="J90" s="11475">
        <v>0</v>
      </c>
      <c r="L90" s="10125"/>
    </row>
    <row r="91" spans="1:12" s="7732" customFormat="1" ht="15" customHeight="1">
      <c r="A91" s="11472"/>
      <c r="B91" s="7488" t="s">
        <v>10963</v>
      </c>
      <c r="C91" s="10144">
        <v>50705030</v>
      </c>
      <c r="D91" s="11474"/>
      <c r="E91" s="11474"/>
      <c r="F91" s="12212">
        <f t="shared" si="4"/>
        <v>300000</v>
      </c>
      <c r="G91" s="11474">
        <v>300000</v>
      </c>
      <c r="H91" s="11474">
        <v>300000</v>
      </c>
      <c r="I91" s="12225">
        <f>H91/G91</f>
        <v>1</v>
      </c>
      <c r="J91" s="11475">
        <v>0</v>
      </c>
      <c r="L91" s="10125"/>
    </row>
    <row r="92" spans="1:12" s="7732" customFormat="1" ht="15" customHeight="1">
      <c r="A92" s="11472"/>
      <c r="B92" s="7488"/>
      <c r="C92" s="10144"/>
      <c r="D92" s="11474"/>
      <c r="E92" s="11474"/>
      <c r="F92" s="11474"/>
      <c r="G92" s="11474"/>
      <c r="H92" s="11474"/>
      <c r="I92" s="12225"/>
      <c r="J92" s="11475"/>
      <c r="L92" s="10125"/>
    </row>
    <row r="93" spans="1:12" s="7351" customFormat="1" ht="15" customHeight="1">
      <c r="A93" s="11241"/>
      <c r="B93" s="7361" t="s">
        <v>37</v>
      </c>
      <c r="C93" s="8872"/>
      <c r="D93" s="9538">
        <f>SUM(D82:D91)</f>
        <v>279783</v>
      </c>
      <c r="E93" s="9538">
        <f>SUM(E82:E91)</f>
        <v>0</v>
      </c>
      <c r="F93" s="9538">
        <f>SUM(F82:F91)</f>
        <v>390000</v>
      </c>
      <c r="G93" s="9538">
        <f>SUM(G82:G91)</f>
        <v>390000</v>
      </c>
      <c r="H93" s="9538">
        <f>SUM(H82:H91)</f>
        <v>370000</v>
      </c>
      <c r="I93" s="12235"/>
      <c r="J93" s="11761">
        <f>SUM(J82:J91)</f>
        <v>150000</v>
      </c>
      <c r="K93" s="10372">
        <f>(J93-G93)/G93</f>
        <v>-0.61538461538461542</v>
      </c>
      <c r="L93" s="7383"/>
    </row>
    <row r="94" spans="1:12" s="7351" customFormat="1" ht="15" customHeight="1">
      <c r="A94" s="11241"/>
      <c r="B94" s="7361"/>
      <c r="C94" s="8872"/>
      <c r="D94" s="11283"/>
      <c r="E94" s="11284"/>
      <c r="F94" s="11284"/>
      <c r="G94" s="11284"/>
      <c r="H94" s="11284"/>
      <c r="I94" s="12236"/>
      <c r="J94" s="11286"/>
      <c r="L94" s="7383"/>
    </row>
    <row r="95" spans="1:12" s="7374" customFormat="1" ht="15" customHeight="1">
      <c r="A95" s="11869" t="s">
        <v>130</v>
      </c>
      <c r="B95" s="7361" t="s">
        <v>131</v>
      </c>
      <c r="C95" s="11536"/>
      <c r="D95" s="8873"/>
      <c r="E95" s="11272"/>
      <c r="F95" s="11272"/>
      <c r="G95" s="11272"/>
      <c r="H95" s="11272"/>
      <c r="I95" s="11108"/>
      <c r="J95" s="11529"/>
      <c r="L95" s="7839"/>
    </row>
    <row r="96" spans="1:12" s="7374" customFormat="1" ht="15" customHeight="1">
      <c r="A96" s="11869"/>
      <c r="B96" s="7361"/>
      <c r="C96" s="11536"/>
      <c r="D96" s="8873"/>
      <c r="E96" s="11272"/>
      <c r="F96" s="11272"/>
      <c r="G96" s="11272"/>
      <c r="H96" s="11272"/>
      <c r="I96" s="11108"/>
      <c r="J96" s="11529"/>
      <c r="L96" s="7839"/>
    </row>
    <row r="97" spans="1:12" s="7351" customFormat="1" ht="15" customHeight="1">
      <c r="A97" s="11232"/>
      <c r="B97" s="11242" t="s">
        <v>3290</v>
      </c>
      <c r="C97" s="8872">
        <v>1997</v>
      </c>
      <c r="D97" s="8869">
        <v>449450</v>
      </c>
      <c r="E97" s="11252">
        <v>285825</v>
      </c>
      <c r="F97" s="12212">
        <f>G97-E97</f>
        <v>1714175</v>
      </c>
      <c r="G97" s="11252">
        <v>2000000</v>
      </c>
      <c r="H97" s="11252">
        <v>1921600.98</v>
      </c>
      <c r="I97" s="12233">
        <f>H97/G97</f>
        <v>0.96080049000000001</v>
      </c>
      <c r="J97" s="11269">
        <v>2000000</v>
      </c>
      <c r="L97" s="7383"/>
    </row>
    <row r="98" spans="1:12" s="7355" customFormat="1" ht="15" customHeight="1">
      <c r="A98" s="11232"/>
      <c r="B98" s="7352"/>
      <c r="C98" s="8872"/>
      <c r="D98" s="10486"/>
      <c r="E98" s="7956"/>
      <c r="F98" s="7956"/>
      <c r="G98" s="7956"/>
      <c r="H98" s="7956"/>
      <c r="I98" s="10494"/>
      <c r="J98" s="11287"/>
      <c r="L98" s="8069"/>
    </row>
    <row r="99" spans="1:12" s="7351" customFormat="1" ht="15" customHeight="1">
      <c r="A99" s="11237"/>
      <c r="B99" s="7361" t="s">
        <v>1374</v>
      </c>
      <c r="C99" s="8872"/>
      <c r="D99" s="7362">
        <f>D97</f>
        <v>449450</v>
      </c>
      <c r="E99" s="7362">
        <f>E97</f>
        <v>285825</v>
      </c>
      <c r="F99" s="7362">
        <f>F97</f>
        <v>1714175</v>
      </c>
      <c r="G99" s="7362">
        <f>G97</f>
        <v>2000000</v>
      </c>
      <c r="H99" s="7362">
        <f>SUM(H97)</f>
        <v>1921600.98</v>
      </c>
      <c r="I99" s="12237"/>
      <c r="J99" s="12238">
        <f>J97</f>
        <v>2000000</v>
      </c>
      <c r="L99" s="7383"/>
    </row>
    <row r="100" spans="1:12" s="7355" customFormat="1" ht="15" customHeight="1">
      <c r="A100" s="11237"/>
      <c r="B100" s="7361"/>
      <c r="C100" s="8872"/>
      <c r="D100" s="8873"/>
      <c r="E100" s="8873"/>
      <c r="F100" s="8873"/>
      <c r="G100" s="8873"/>
      <c r="H100" s="8873"/>
      <c r="I100" s="12024"/>
      <c r="J100" s="11460"/>
      <c r="L100" s="8069"/>
    </row>
    <row r="101" spans="1:12" s="7355" customFormat="1" ht="15" customHeight="1">
      <c r="A101" s="11237"/>
      <c r="B101" s="7361"/>
      <c r="C101" s="8872"/>
      <c r="D101" s="8873"/>
      <c r="E101" s="8873"/>
      <c r="F101" s="8873"/>
      <c r="G101" s="8873"/>
      <c r="H101" s="8873"/>
      <c r="I101" s="12024"/>
      <c r="J101" s="11460"/>
      <c r="L101" s="8069"/>
    </row>
    <row r="102" spans="1:12" s="7355" customFormat="1" ht="15" customHeight="1">
      <c r="A102" s="11237"/>
      <c r="B102" s="7361"/>
      <c r="C102" s="8872"/>
      <c r="D102" s="7362"/>
      <c r="E102" s="7362"/>
      <c r="F102" s="7362"/>
      <c r="G102" s="7362"/>
      <c r="H102" s="7362"/>
      <c r="I102" s="12237"/>
      <c r="J102" s="12238"/>
      <c r="L102" s="8069"/>
    </row>
    <row r="103" spans="1:12" s="7351" customFormat="1" ht="15" customHeight="1" thickBot="1">
      <c r="A103" s="11297"/>
      <c r="B103" s="11298" t="s">
        <v>132</v>
      </c>
      <c r="C103" s="11776"/>
      <c r="D103" s="7736">
        <f>(D29+D65+D93+D99)</f>
        <v>11683073.879999999</v>
      </c>
      <c r="E103" s="7736">
        <f>(E29+E65+E93+E99)</f>
        <v>5649620.6800000006</v>
      </c>
      <c r="F103" s="7736">
        <f>(F29+F65+F93+F99)</f>
        <v>12075068.319999998</v>
      </c>
      <c r="G103" s="7736">
        <f>(G29+G65+G93+G99)</f>
        <v>17724689</v>
      </c>
      <c r="H103" s="7736"/>
      <c r="I103" s="7497"/>
      <c r="J103" s="11759">
        <f>(J29+J65+J93+J99)</f>
        <v>20539551.170000002</v>
      </c>
      <c r="K103" s="10372">
        <f>(J103-G103)/G103</f>
        <v>0.15881024315856834</v>
      </c>
      <c r="L103" s="7383"/>
    </row>
    <row r="104" spans="1:12" s="7925" customFormat="1" ht="15" customHeight="1">
      <c r="A104" s="7926" t="s">
        <v>4763</v>
      </c>
      <c r="B104" s="7926"/>
      <c r="C104" s="9301"/>
      <c r="D104" s="7928"/>
      <c r="E104" s="7928"/>
      <c r="F104" s="7928"/>
      <c r="G104" s="7929"/>
      <c r="H104" s="7928"/>
      <c r="I104" s="10505"/>
      <c r="J104" s="7929"/>
      <c r="L104" s="10250"/>
    </row>
    <row r="105" spans="1:12" s="7925" customFormat="1" ht="15" customHeight="1">
      <c r="A105" s="7926"/>
      <c r="B105" s="7926"/>
      <c r="C105" s="9301"/>
      <c r="D105" s="7928"/>
      <c r="E105" s="7928"/>
      <c r="F105" s="7928"/>
      <c r="G105" s="7929"/>
      <c r="H105" s="7928"/>
      <c r="I105" s="10505"/>
      <c r="J105" s="7929"/>
      <c r="L105" s="10250"/>
    </row>
    <row r="106" spans="1:12" ht="15" hidden="1" customHeight="1">
      <c r="B106" s="7761" t="s">
        <v>3483</v>
      </c>
      <c r="C106" s="10870" t="s">
        <v>3484</v>
      </c>
      <c r="D106" s="7942"/>
      <c r="E106" s="7762"/>
      <c r="F106" s="9459" t="s">
        <v>10666</v>
      </c>
      <c r="G106" s="7942"/>
      <c r="H106" s="7763"/>
      <c r="I106" s="8106"/>
      <c r="J106" s="7762"/>
    </row>
    <row r="107" spans="1:12" ht="15" hidden="1" customHeight="1">
      <c r="A107" s="7761"/>
      <c r="B107" s="7761"/>
      <c r="C107" s="9302"/>
      <c r="D107" s="10870"/>
      <c r="E107" s="7764"/>
      <c r="F107" s="7764"/>
      <c r="G107" s="7339"/>
      <c r="H107" s="7763"/>
      <c r="I107" s="8106"/>
      <c r="J107" s="7764"/>
    </row>
    <row r="108" spans="1:12" s="7957" customFormat="1" ht="15" hidden="1" customHeight="1">
      <c r="A108" s="7761"/>
      <c r="B108" s="7761"/>
      <c r="C108" s="9303"/>
      <c r="D108" s="10870"/>
      <c r="E108" s="7762"/>
      <c r="F108" s="7762"/>
      <c r="G108" s="7339"/>
      <c r="H108" s="7763"/>
      <c r="I108" s="8106"/>
      <c r="J108" s="7762"/>
      <c r="L108" s="10251"/>
    </row>
    <row r="109" spans="1:12" ht="15" hidden="1" customHeight="1">
      <c r="A109" s="14166" t="s">
        <v>9162</v>
      </c>
      <c r="B109" s="14166"/>
      <c r="C109" s="9302"/>
      <c r="D109" s="14304" t="s">
        <v>12059</v>
      </c>
      <c r="E109" s="14304"/>
      <c r="F109" s="7762"/>
      <c r="G109" s="7342" t="s">
        <v>10667</v>
      </c>
      <c r="H109" s="7933"/>
      <c r="I109" s="10501"/>
      <c r="J109" s="7762"/>
    </row>
    <row r="110" spans="1:12" ht="15" hidden="1" customHeight="1">
      <c r="A110" s="14168" t="s">
        <v>10112</v>
      </c>
      <c r="B110" s="14168"/>
      <c r="C110" s="9302"/>
      <c r="D110" s="7821" t="s">
        <v>10347</v>
      </c>
      <c r="E110" s="7762"/>
      <c r="F110" s="7762"/>
      <c r="G110" s="7344" t="s">
        <v>10668</v>
      </c>
      <c r="H110" s="7763"/>
      <c r="I110" s="10871"/>
      <c r="J110" s="7763"/>
    </row>
    <row r="111" spans="1:12" ht="15" customHeight="1">
      <c r="A111" s="7943"/>
      <c r="B111" s="7943"/>
      <c r="C111" s="9294"/>
      <c r="D111" s="7944"/>
      <c r="E111" s="7944"/>
      <c r="F111" s="7944"/>
      <c r="G111" s="7944"/>
      <c r="H111" s="7944"/>
      <c r="I111" s="10500"/>
      <c r="J111" s="7944"/>
    </row>
    <row r="112" spans="1:12" ht="15" customHeight="1">
      <c r="A112" s="7943"/>
      <c r="B112" s="7943"/>
      <c r="C112" s="9294"/>
      <c r="D112" s="7944"/>
      <c r="E112" s="7944"/>
      <c r="F112" s="7944"/>
      <c r="G112" s="7944"/>
      <c r="H112" s="7944"/>
      <c r="I112" s="10500"/>
      <c r="J112" s="7944"/>
    </row>
    <row r="113" spans="1:10" ht="15" hidden="1" customHeight="1">
      <c r="A113" s="7943"/>
      <c r="B113" s="7943"/>
      <c r="C113" s="9294"/>
      <c r="D113" s="7944"/>
      <c r="E113" s="7944"/>
      <c r="F113" s="7944"/>
      <c r="G113" s="7944">
        <f>G103-C103</f>
        <v>17724689</v>
      </c>
      <c r="H113" s="7944"/>
      <c r="I113" s="10500"/>
      <c r="J113" s="7944">
        <f>J103-G103</f>
        <v>2814862.1700000018</v>
      </c>
    </row>
    <row r="114" spans="1:10" ht="15" hidden="1" customHeight="1">
      <c r="G114" s="7936" t="e">
        <f>G113/C103</f>
        <v>#DIV/0!</v>
      </c>
      <c r="J114" s="7936">
        <f>J113/G103</f>
        <v>0.15881024315856834</v>
      </c>
    </row>
    <row r="117" spans="1:10" ht="15" customHeight="1">
      <c r="H117" s="7936"/>
    </row>
  </sheetData>
  <mergeCells count="14">
    <mergeCell ref="A1:J1"/>
    <mergeCell ref="C8:C9"/>
    <mergeCell ref="C79:C80"/>
    <mergeCell ref="A109:B109"/>
    <mergeCell ref="A110:B110"/>
    <mergeCell ref="C40:C41"/>
    <mergeCell ref="E39:G39"/>
    <mergeCell ref="G40:G41"/>
    <mergeCell ref="E7:G7"/>
    <mergeCell ref="G8:G9"/>
    <mergeCell ref="E78:G78"/>
    <mergeCell ref="G79:G80"/>
    <mergeCell ref="D109:E109"/>
    <mergeCell ref="J4:J5"/>
  </mergeCells>
  <printOptions horizontalCentered="1" gridLinesSet="0"/>
  <pageMargins left="0.25" right="0.25" top="0.5" bottom="0.25" header="0.25" footer="0.25"/>
  <pageSetup paperSize="119" firstPageNumber="127" orientation="landscape" useFirstPageNumber="1" r:id="rId1"/>
  <headerFooter alignWithMargins="0"/>
</worksheet>
</file>

<file path=xl/worksheets/sheet83.xml><?xml version="1.0" encoding="utf-8"?>
<worksheet xmlns="http://schemas.openxmlformats.org/spreadsheetml/2006/main" xmlns:r="http://schemas.openxmlformats.org/officeDocument/2006/relationships">
  <sheetPr codeName="Sheet122">
    <tabColor rgb="FFFFFF00"/>
  </sheetPr>
  <dimension ref="A1:F21"/>
  <sheetViews>
    <sheetView topLeftCell="A10" workbookViewId="0">
      <selection activeCell="H13" sqref="H13"/>
    </sheetView>
  </sheetViews>
  <sheetFormatPr defaultColWidth="9.109375" defaultRowHeight="14.4"/>
  <cols>
    <col min="1" max="1" width="32.109375" style="818" customWidth="1"/>
    <col min="2" max="3" width="12.109375" style="889" customWidth="1"/>
    <col min="4" max="6" width="13.109375" style="889" customWidth="1"/>
    <col min="7" max="16384" width="9.109375" style="818"/>
  </cols>
  <sheetData>
    <row r="1" spans="1:6" s="881" customFormat="1" ht="40.5" customHeight="1">
      <c r="A1" s="881" t="s">
        <v>3426</v>
      </c>
      <c r="B1" s="884"/>
      <c r="C1" s="884"/>
      <c r="D1" s="884"/>
      <c r="E1" s="884"/>
      <c r="F1" s="884"/>
    </row>
    <row r="2" spans="1:6" s="881" customFormat="1" ht="18.75" customHeight="1">
      <c r="A2" s="881" t="s">
        <v>4779</v>
      </c>
      <c r="B2" s="884"/>
      <c r="C2" s="884"/>
      <c r="D2" s="884"/>
      <c r="E2" s="884"/>
      <c r="F2" s="884"/>
    </row>
    <row r="3" spans="1:6" s="881" customFormat="1" ht="18.75" customHeight="1">
      <c r="B3" s="884"/>
      <c r="C3" s="884"/>
      <c r="D3" s="884"/>
      <c r="E3" s="884"/>
      <c r="F3" s="884"/>
    </row>
    <row r="4" spans="1:6" s="881" customFormat="1">
      <c r="A4" s="14205" t="s">
        <v>3427</v>
      </c>
      <c r="B4" s="14207" t="s">
        <v>18</v>
      </c>
      <c r="C4" s="14207"/>
      <c r="D4" s="14776"/>
      <c r="E4" s="1576"/>
      <c r="F4" s="14208" t="s">
        <v>220</v>
      </c>
    </row>
    <row r="5" spans="1:6" s="1027" customFormat="1" ht="28.8">
      <c r="A5" s="14206"/>
      <c r="B5" s="1002" t="s">
        <v>2151</v>
      </c>
      <c r="C5" s="1002" t="s">
        <v>1973</v>
      </c>
      <c r="D5" s="1002" t="s">
        <v>52</v>
      </c>
      <c r="E5" s="1575" t="s">
        <v>3445</v>
      </c>
      <c r="F5" s="14209"/>
    </row>
    <row r="6" spans="1:6" s="1027" customFormat="1">
      <c r="A6" s="1552"/>
      <c r="B6" s="1562"/>
      <c r="C6" s="1562"/>
      <c r="D6" s="1562"/>
      <c r="E6" s="1562"/>
      <c r="F6" s="1553"/>
    </row>
    <row r="7" spans="1:6" s="1580" customFormat="1" ht="13.8">
      <c r="A7" s="1577" t="s">
        <v>2048</v>
      </c>
      <c r="B7" s="1578"/>
      <c r="C7" s="1578"/>
      <c r="D7" s="1578"/>
      <c r="E7" s="1579"/>
      <c r="F7" s="1578"/>
    </row>
    <row r="8" spans="1:6" s="1580" customFormat="1" ht="13.8">
      <c r="A8" s="5201"/>
      <c r="B8" s="5202"/>
      <c r="C8" s="5202"/>
      <c r="D8" s="5202"/>
      <c r="E8" s="5203"/>
      <c r="F8" s="5202"/>
    </row>
    <row r="9" spans="1:6" s="1584" customFormat="1">
      <c r="A9" s="2540" t="s">
        <v>8704</v>
      </c>
      <c r="B9" s="2064">
        <f>'lbpf 3-PHRMD'!J29</f>
        <v>14346401.17</v>
      </c>
      <c r="C9" s="2025"/>
      <c r="D9" s="2025"/>
      <c r="F9" s="2064">
        <f>SUM(B9:D9)</f>
        <v>14346401.17</v>
      </c>
    </row>
    <row r="10" spans="1:6" s="1584" customFormat="1">
      <c r="A10" s="2540"/>
      <c r="B10" s="2025"/>
      <c r="C10" s="2025"/>
      <c r="D10" s="2025"/>
      <c r="F10" s="2025"/>
    </row>
    <row r="11" spans="1:6" s="1584" customFormat="1">
      <c r="A11" s="2540" t="s">
        <v>5748</v>
      </c>
      <c r="B11" s="2025"/>
      <c r="C11" s="2064">
        <f>'lbpf 3-PHRMD'!J65</f>
        <v>4043150</v>
      </c>
      <c r="D11" s="2025"/>
      <c r="F11" s="2064">
        <f>SUM(C11:D11)</f>
        <v>4043150</v>
      </c>
    </row>
    <row r="12" spans="1:6" s="1584" customFormat="1">
      <c r="A12" s="2540"/>
      <c r="B12" s="2025"/>
      <c r="C12" s="2025"/>
      <c r="D12" s="2025"/>
      <c r="F12" s="2025"/>
    </row>
    <row r="13" spans="1:6" s="1584" customFormat="1">
      <c r="A13" s="2540" t="s">
        <v>5749</v>
      </c>
      <c r="B13" s="2025"/>
      <c r="C13" s="2025"/>
      <c r="D13" s="2064"/>
      <c r="E13" s="3735">
        <f>'lbpf 3-PHRMD'!J99</f>
        <v>2000000</v>
      </c>
      <c r="F13" s="2064">
        <f>SUM(B13:E13)</f>
        <v>2000000</v>
      </c>
    </row>
    <row r="14" spans="1:6" s="1584" customFormat="1">
      <c r="A14" s="2540"/>
      <c r="B14" s="2025"/>
      <c r="C14" s="2025"/>
      <c r="D14" s="2064"/>
      <c r="E14" s="3735"/>
      <c r="F14" s="2064"/>
    </row>
    <row r="15" spans="1:6" s="1584" customFormat="1">
      <c r="A15" s="2540"/>
      <c r="B15" s="2025"/>
      <c r="C15" s="2025"/>
      <c r="D15" s="2064"/>
      <c r="E15" s="3735"/>
      <c r="F15" s="2064"/>
    </row>
    <row r="16" spans="1:6" s="1584" customFormat="1">
      <c r="A16" s="2540"/>
      <c r="B16" s="2025"/>
      <c r="C16" s="2025"/>
      <c r="D16" s="2064"/>
      <c r="E16" s="3735"/>
      <c r="F16" s="2064"/>
    </row>
    <row r="17" spans="1:6" s="1584" customFormat="1">
      <c r="A17" s="2540"/>
      <c r="B17" s="2025"/>
      <c r="C17" s="2025"/>
      <c r="D17" s="2064"/>
      <c r="E17" s="3735"/>
      <c r="F17" s="2064"/>
    </row>
    <row r="18" spans="1:6" s="1584" customFormat="1">
      <c r="A18" s="2540"/>
      <c r="B18" s="2025"/>
      <c r="C18" s="2025"/>
      <c r="D18" s="2064"/>
      <c r="E18" s="3735"/>
      <c r="F18" s="2064"/>
    </row>
    <row r="19" spans="1:6" s="1584" customFormat="1">
      <c r="A19" s="2540"/>
      <c r="B19" s="2025"/>
      <c r="C19" s="2025"/>
      <c r="D19" s="2064"/>
      <c r="E19" s="3735"/>
      <c r="F19" s="2064"/>
    </row>
    <row r="20" spans="1:6" s="1584" customFormat="1" ht="13.8">
      <c r="A20" s="1581"/>
      <c r="B20" s="1582"/>
      <c r="C20" s="1582"/>
      <c r="D20" s="1582"/>
      <c r="E20" s="1583"/>
      <c r="F20" s="1582"/>
    </row>
    <row r="21" spans="1:6" s="1580" customFormat="1" ht="28.5" customHeight="1">
      <c r="A21" s="1585" t="s">
        <v>2850</v>
      </c>
      <c r="B21" s="1586">
        <f>SUM(B7:B20)</f>
        <v>14346401.17</v>
      </c>
      <c r="C21" s="1586">
        <f>SUM(C7:C20)</f>
        <v>4043150</v>
      </c>
      <c r="D21" s="1586">
        <f>SUM(D7:D20)</f>
        <v>0</v>
      </c>
      <c r="E21" s="1586">
        <f>SUM(E7:E20)</f>
        <v>2000000</v>
      </c>
      <c r="F21" s="1586">
        <f>SUM(F7:F20)</f>
        <v>20389551.170000002</v>
      </c>
    </row>
  </sheetData>
  <mergeCells count="3">
    <mergeCell ref="A4:A5"/>
    <mergeCell ref="B4:D4"/>
    <mergeCell ref="F4:F5"/>
  </mergeCells>
  <printOptions horizontalCentered="1"/>
  <pageMargins left="0.5" right="0.25" top="0.75" bottom="0.5" header="0.3" footer="0.25"/>
  <pageSetup paperSize="119" firstPageNumber="129" orientation="portrait" useFirstPageNumber="1" verticalDpi="300" r:id="rId1"/>
</worksheet>
</file>

<file path=xl/worksheets/sheet84.xml><?xml version="1.0" encoding="utf-8"?>
<worksheet xmlns="http://schemas.openxmlformats.org/spreadsheetml/2006/main" xmlns:r="http://schemas.openxmlformats.org/officeDocument/2006/relationships">
  <sheetPr codeName="Sheet53">
    <tabColor rgb="FFFFFF00"/>
  </sheetPr>
  <dimension ref="A1:I80"/>
  <sheetViews>
    <sheetView showGridLines="0" workbookViewId="0">
      <selection activeCell="F2" sqref="F1:R1048576"/>
    </sheetView>
  </sheetViews>
  <sheetFormatPr defaultRowHeight="12.9" customHeight="1"/>
  <cols>
    <col min="1" max="1" width="40.5546875" style="7165" customWidth="1"/>
    <col min="2" max="3" width="8.5546875" style="7165" customWidth="1"/>
    <col min="4" max="6" width="14.5546875" style="7165" customWidth="1"/>
    <col min="7" max="8" width="8.88671875" style="7165" customWidth="1"/>
    <col min="9" max="9" width="13.88671875" style="7165" customWidth="1"/>
    <col min="10" max="17" width="8.88671875" style="7165" customWidth="1"/>
    <col min="18" max="234" width="9.109375" style="7165"/>
    <col min="235" max="235" width="33.88671875" style="7165" customWidth="1"/>
    <col min="236" max="236" width="8.44140625" style="7165" customWidth="1"/>
    <col min="237" max="237" width="9.109375" style="7165"/>
    <col min="238" max="238" width="10.109375" style="7165" customWidth="1"/>
    <col min="239" max="239" width="13.88671875" style="7165" customWidth="1"/>
    <col min="240" max="240" width="15.44140625" style="7165" customWidth="1"/>
    <col min="241" max="490" width="9.109375" style="7165"/>
    <col min="491" max="491" width="33.88671875" style="7165" customWidth="1"/>
    <col min="492" max="492" width="8.44140625" style="7165" customWidth="1"/>
    <col min="493" max="493" width="9.109375" style="7165"/>
    <col min="494" max="494" width="10.109375" style="7165" customWidth="1"/>
    <col min="495" max="495" width="13.88671875" style="7165" customWidth="1"/>
    <col min="496" max="496" width="15.44140625" style="7165" customWidth="1"/>
    <col min="497" max="746" width="9.109375" style="7165"/>
    <col min="747" max="747" width="33.88671875" style="7165" customWidth="1"/>
    <col min="748" max="748" width="8.44140625" style="7165" customWidth="1"/>
    <col min="749" max="749" width="9.109375" style="7165"/>
    <col min="750" max="750" width="10.109375" style="7165" customWidth="1"/>
    <col min="751" max="751" width="13.88671875" style="7165" customWidth="1"/>
    <col min="752" max="752" width="15.44140625" style="7165" customWidth="1"/>
    <col min="753" max="1002" width="9.109375" style="7165"/>
    <col min="1003" max="1003" width="33.88671875" style="7165" customWidth="1"/>
    <col min="1004" max="1004" width="8.44140625" style="7165" customWidth="1"/>
    <col min="1005" max="1005" width="9.109375" style="7165"/>
    <col min="1006" max="1006" width="10.109375" style="7165" customWidth="1"/>
    <col min="1007" max="1007" width="13.88671875" style="7165" customWidth="1"/>
    <col min="1008" max="1008" width="15.44140625" style="7165" customWidth="1"/>
    <col min="1009" max="1258" width="9.109375" style="7165"/>
    <col min="1259" max="1259" width="33.88671875" style="7165" customWidth="1"/>
    <col min="1260" max="1260" width="8.44140625" style="7165" customWidth="1"/>
    <col min="1261" max="1261" width="9.109375" style="7165"/>
    <col min="1262" max="1262" width="10.109375" style="7165" customWidth="1"/>
    <col min="1263" max="1263" width="13.88671875" style="7165" customWidth="1"/>
    <col min="1264" max="1264" width="15.44140625" style="7165" customWidth="1"/>
    <col min="1265" max="1514" width="9.109375" style="7165"/>
    <col min="1515" max="1515" width="33.88671875" style="7165" customWidth="1"/>
    <col min="1516" max="1516" width="8.44140625" style="7165" customWidth="1"/>
    <col min="1517" max="1517" width="9.109375" style="7165"/>
    <col min="1518" max="1518" width="10.109375" style="7165" customWidth="1"/>
    <col min="1519" max="1519" width="13.88671875" style="7165" customWidth="1"/>
    <col min="1520" max="1520" width="15.44140625" style="7165" customWidth="1"/>
    <col min="1521" max="1770" width="9.109375" style="7165"/>
    <col min="1771" max="1771" width="33.88671875" style="7165" customWidth="1"/>
    <col min="1772" max="1772" width="8.44140625" style="7165" customWidth="1"/>
    <col min="1773" max="1773" width="9.109375" style="7165"/>
    <col min="1774" max="1774" width="10.109375" style="7165" customWidth="1"/>
    <col min="1775" max="1775" width="13.88671875" style="7165" customWidth="1"/>
    <col min="1776" max="1776" width="15.44140625" style="7165" customWidth="1"/>
    <col min="1777" max="2026" width="9.109375" style="7165"/>
    <col min="2027" max="2027" width="33.88671875" style="7165" customWidth="1"/>
    <col min="2028" max="2028" width="8.44140625" style="7165" customWidth="1"/>
    <col min="2029" max="2029" width="9.109375" style="7165"/>
    <col min="2030" max="2030" width="10.109375" style="7165" customWidth="1"/>
    <col min="2031" max="2031" width="13.88671875" style="7165" customWidth="1"/>
    <col min="2032" max="2032" width="15.44140625" style="7165" customWidth="1"/>
    <col min="2033" max="2282" width="9.109375" style="7165"/>
    <col min="2283" max="2283" width="33.88671875" style="7165" customWidth="1"/>
    <col min="2284" max="2284" width="8.44140625" style="7165" customWidth="1"/>
    <col min="2285" max="2285" width="9.109375" style="7165"/>
    <col min="2286" max="2286" width="10.109375" style="7165" customWidth="1"/>
    <col min="2287" max="2287" width="13.88671875" style="7165" customWidth="1"/>
    <col min="2288" max="2288" width="15.44140625" style="7165" customWidth="1"/>
    <col min="2289" max="2538" width="9.109375" style="7165"/>
    <col min="2539" max="2539" width="33.88671875" style="7165" customWidth="1"/>
    <col min="2540" max="2540" width="8.44140625" style="7165" customWidth="1"/>
    <col min="2541" max="2541" width="9.109375" style="7165"/>
    <col min="2542" max="2542" width="10.109375" style="7165" customWidth="1"/>
    <col min="2543" max="2543" width="13.88671875" style="7165" customWidth="1"/>
    <col min="2544" max="2544" width="15.44140625" style="7165" customWidth="1"/>
    <col min="2545" max="2794" width="9.109375" style="7165"/>
    <col min="2795" max="2795" width="33.88671875" style="7165" customWidth="1"/>
    <col min="2796" max="2796" width="8.44140625" style="7165" customWidth="1"/>
    <col min="2797" max="2797" width="9.109375" style="7165"/>
    <col min="2798" max="2798" width="10.109375" style="7165" customWidth="1"/>
    <col min="2799" max="2799" width="13.88671875" style="7165" customWidth="1"/>
    <col min="2800" max="2800" width="15.44140625" style="7165" customWidth="1"/>
    <col min="2801" max="3050" width="9.109375" style="7165"/>
    <col min="3051" max="3051" width="33.88671875" style="7165" customWidth="1"/>
    <col min="3052" max="3052" width="8.44140625" style="7165" customWidth="1"/>
    <col min="3053" max="3053" width="9.109375" style="7165"/>
    <col min="3054" max="3054" width="10.109375" style="7165" customWidth="1"/>
    <col min="3055" max="3055" width="13.88671875" style="7165" customWidth="1"/>
    <col min="3056" max="3056" width="15.44140625" style="7165" customWidth="1"/>
    <col min="3057" max="3306" width="9.109375" style="7165"/>
    <col min="3307" max="3307" width="33.88671875" style="7165" customWidth="1"/>
    <col min="3308" max="3308" width="8.44140625" style="7165" customWidth="1"/>
    <col min="3309" max="3309" width="9.109375" style="7165"/>
    <col min="3310" max="3310" width="10.109375" style="7165" customWidth="1"/>
    <col min="3311" max="3311" width="13.88671875" style="7165" customWidth="1"/>
    <col min="3312" max="3312" width="15.44140625" style="7165" customWidth="1"/>
    <col min="3313" max="3562" width="9.109375" style="7165"/>
    <col min="3563" max="3563" width="33.88671875" style="7165" customWidth="1"/>
    <col min="3564" max="3564" width="8.44140625" style="7165" customWidth="1"/>
    <col min="3565" max="3565" width="9.109375" style="7165"/>
    <col min="3566" max="3566" width="10.109375" style="7165" customWidth="1"/>
    <col min="3567" max="3567" width="13.88671875" style="7165" customWidth="1"/>
    <col min="3568" max="3568" width="15.44140625" style="7165" customWidth="1"/>
    <col min="3569" max="3818" width="9.109375" style="7165"/>
    <col min="3819" max="3819" width="33.88671875" style="7165" customWidth="1"/>
    <col min="3820" max="3820" width="8.44140625" style="7165" customWidth="1"/>
    <col min="3821" max="3821" width="9.109375" style="7165"/>
    <col min="3822" max="3822" width="10.109375" style="7165" customWidth="1"/>
    <col min="3823" max="3823" width="13.88671875" style="7165" customWidth="1"/>
    <col min="3824" max="3824" width="15.44140625" style="7165" customWidth="1"/>
    <col min="3825" max="4074" width="9.109375" style="7165"/>
    <col min="4075" max="4075" width="33.88671875" style="7165" customWidth="1"/>
    <col min="4076" max="4076" width="8.44140625" style="7165" customWidth="1"/>
    <col min="4077" max="4077" width="9.109375" style="7165"/>
    <col min="4078" max="4078" width="10.109375" style="7165" customWidth="1"/>
    <col min="4079" max="4079" width="13.88671875" style="7165" customWidth="1"/>
    <col min="4080" max="4080" width="15.44140625" style="7165" customWidth="1"/>
    <col min="4081" max="4330" width="9.109375" style="7165"/>
    <col min="4331" max="4331" width="33.88671875" style="7165" customWidth="1"/>
    <col min="4332" max="4332" width="8.44140625" style="7165" customWidth="1"/>
    <col min="4333" max="4333" width="9.109375" style="7165"/>
    <col min="4334" max="4334" width="10.109375" style="7165" customWidth="1"/>
    <col min="4335" max="4335" width="13.88671875" style="7165" customWidth="1"/>
    <col min="4336" max="4336" width="15.44140625" style="7165" customWidth="1"/>
    <col min="4337" max="4586" width="9.109375" style="7165"/>
    <col min="4587" max="4587" width="33.88671875" style="7165" customWidth="1"/>
    <col min="4588" max="4588" width="8.44140625" style="7165" customWidth="1"/>
    <col min="4589" max="4589" width="9.109375" style="7165"/>
    <col min="4590" max="4590" width="10.109375" style="7165" customWidth="1"/>
    <col min="4591" max="4591" width="13.88671875" style="7165" customWidth="1"/>
    <col min="4592" max="4592" width="15.44140625" style="7165" customWidth="1"/>
    <col min="4593" max="4842" width="9.109375" style="7165"/>
    <col min="4843" max="4843" width="33.88671875" style="7165" customWidth="1"/>
    <col min="4844" max="4844" width="8.44140625" style="7165" customWidth="1"/>
    <col min="4845" max="4845" width="9.109375" style="7165"/>
    <col min="4846" max="4846" width="10.109375" style="7165" customWidth="1"/>
    <col min="4847" max="4847" width="13.88671875" style="7165" customWidth="1"/>
    <col min="4848" max="4848" width="15.44140625" style="7165" customWidth="1"/>
    <col min="4849" max="5098" width="9.109375" style="7165"/>
    <col min="5099" max="5099" width="33.88671875" style="7165" customWidth="1"/>
    <col min="5100" max="5100" width="8.44140625" style="7165" customWidth="1"/>
    <col min="5101" max="5101" width="9.109375" style="7165"/>
    <col min="5102" max="5102" width="10.109375" style="7165" customWidth="1"/>
    <col min="5103" max="5103" width="13.88671875" style="7165" customWidth="1"/>
    <col min="5104" max="5104" width="15.44140625" style="7165" customWidth="1"/>
    <col min="5105" max="5354" width="9.109375" style="7165"/>
    <col min="5355" max="5355" width="33.88671875" style="7165" customWidth="1"/>
    <col min="5356" max="5356" width="8.44140625" style="7165" customWidth="1"/>
    <col min="5357" max="5357" width="9.109375" style="7165"/>
    <col min="5358" max="5358" width="10.109375" style="7165" customWidth="1"/>
    <col min="5359" max="5359" width="13.88671875" style="7165" customWidth="1"/>
    <col min="5360" max="5360" width="15.44140625" style="7165" customWidth="1"/>
    <col min="5361" max="5610" width="9.109375" style="7165"/>
    <col min="5611" max="5611" width="33.88671875" style="7165" customWidth="1"/>
    <col min="5612" max="5612" width="8.44140625" style="7165" customWidth="1"/>
    <col min="5613" max="5613" width="9.109375" style="7165"/>
    <col min="5614" max="5614" width="10.109375" style="7165" customWidth="1"/>
    <col min="5615" max="5615" width="13.88671875" style="7165" customWidth="1"/>
    <col min="5616" max="5616" width="15.44140625" style="7165" customWidth="1"/>
    <col min="5617" max="5866" width="9.109375" style="7165"/>
    <col min="5867" max="5867" width="33.88671875" style="7165" customWidth="1"/>
    <col min="5868" max="5868" width="8.44140625" style="7165" customWidth="1"/>
    <col min="5869" max="5869" width="9.109375" style="7165"/>
    <col min="5870" max="5870" width="10.109375" style="7165" customWidth="1"/>
    <col min="5871" max="5871" width="13.88671875" style="7165" customWidth="1"/>
    <col min="5872" max="5872" width="15.44140625" style="7165" customWidth="1"/>
    <col min="5873" max="6122" width="9.109375" style="7165"/>
    <col min="6123" max="6123" width="33.88671875" style="7165" customWidth="1"/>
    <col min="6124" max="6124" width="8.44140625" style="7165" customWidth="1"/>
    <col min="6125" max="6125" width="9.109375" style="7165"/>
    <col min="6126" max="6126" width="10.109375" style="7165" customWidth="1"/>
    <col min="6127" max="6127" width="13.88671875" style="7165" customWidth="1"/>
    <col min="6128" max="6128" width="15.44140625" style="7165" customWidth="1"/>
    <col min="6129" max="6378" width="9.109375" style="7165"/>
    <col min="6379" max="6379" width="33.88671875" style="7165" customWidth="1"/>
    <col min="6380" max="6380" width="8.44140625" style="7165" customWidth="1"/>
    <col min="6381" max="6381" width="9.109375" style="7165"/>
    <col min="6382" max="6382" width="10.109375" style="7165" customWidth="1"/>
    <col min="6383" max="6383" width="13.88671875" style="7165" customWidth="1"/>
    <col min="6384" max="6384" width="15.44140625" style="7165" customWidth="1"/>
    <col min="6385" max="6634" width="9.109375" style="7165"/>
    <col min="6635" max="6635" width="33.88671875" style="7165" customWidth="1"/>
    <col min="6636" max="6636" width="8.44140625" style="7165" customWidth="1"/>
    <col min="6637" max="6637" width="9.109375" style="7165"/>
    <col min="6638" max="6638" width="10.109375" style="7165" customWidth="1"/>
    <col min="6639" max="6639" width="13.88671875" style="7165" customWidth="1"/>
    <col min="6640" max="6640" width="15.44140625" style="7165" customWidth="1"/>
    <col min="6641" max="6890" width="9.109375" style="7165"/>
    <col min="6891" max="6891" width="33.88671875" style="7165" customWidth="1"/>
    <col min="6892" max="6892" width="8.44140625" style="7165" customWidth="1"/>
    <col min="6893" max="6893" width="9.109375" style="7165"/>
    <col min="6894" max="6894" width="10.109375" style="7165" customWidth="1"/>
    <col min="6895" max="6895" width="13.88671875" style="7165" customWidth="1"/>
    <col min="6896" max="6896" width="15.44140625" style="7165" customWidth="1"/>
    <col min="6897" max="7146" width="9.109375" style="7165"/>
    <col min="7147" max="7147" width="33.88671875" style="7165" customWidth="1"/>
    <col min="7148" max="7148" width="8.44140625" style="7165" customWidth="1"/>
    <col min="7149" max="7149" width="9.109375" style="7165"/>
    <col min="7150" max="7150" width="10.109375" style="7165" customWidth="1"/>
    <col min="7151" max="7151" width="13.88671875" style="7165" customWidth="1"/>
    <col min="7152" max="7152" width="15.44140625" style="7165" customWidth="1"/>
    <col min="7153" max="7402" width="9.109375" style="7165"/>
    <col min="7403" max="7403" width="33.88671875" style="7165" customWidth="1"/>
    <col min="7404" max="7404" width="8.44140625" style="7165" customWidth="1"/>
    <col min="7405" max="7405" width="9.109375" style="7165"/>
    <col min="7406" max="7406" width="10.109375" style="7165" customWidth="1"/>
    <col min="7407" max="7407" width="13.88671875" style="7165" customWidth="1"/>
    <col min="7408" max="7408" width="15.44140625" style="7165" customWidth="1"/>
    <col min="7409" max="7658" width="9.109375" style="7165"/>
    <col min="7659" max="7659" width="33.88671875" style="7165" customWidth="1"/>
    <col min="7660" max="7660" width="8.44140625" style="7165" customWidth="1"/>
    <col min="7661" max="7661" width="9.109375" style="7165"/>
    <col min="7662" max="7662" width="10.109375" style="7165" customWidth="1"/>
    <col min="7663" max="7663" width="13.88671875" style="7165" customWidth="1"/>
    <col min="7664" max="7664" width="15.44140625" style="7165" customWidth="1"/>
    <col min="7665" max="7914" width="9.109375" style="7165"/>
    <col min="7915" max="7915" width="33.88671875" style="7165" customWidth="1"/>
    <col min="7916" max="7916" width="8.44140625" style="7165" customWidth="1"/>
    <col min="7917" max="7917" width="9.109375" style="7165"/>
    <col min="7918" max="7918" width="10.109375" style="7165" customWidth="1"/>
    <col min="7919" max="7919" width="13.88671875" style="7165" customWidth="1"/>
    <col min="7920" max="7920" width="15.44140625" style="7165" customWidth="1"/>
    <col min="7921" max="8170" width="9.109375" style="7165"/>
    <col min="8171" max="8171" width="33.88671875" style="7165" customWidth="1"/>
    <col min="8172" max="8172" width="8.44140625" style="7165" customWidth="1"/>
    <col min="8173" max="8173" width="9.109375" style="7165"/>
    <col min="8174" max="8174" width="10.109375" style="7165" customWidth="1"/>
    <col min="8175" max="8175" width="13.88671875" style="7165" customWidth="1"/>
    <col min="8176" max="8176" width="15.44140625" style="7165" customWidth="1"/>
    <col min="8177" max="8426" width="9.109375" style="7165"/>
    <col min="8427" max="8427" width="33.88671875" style="7165" customWidth="1"/>
    <col min="8428" max="8428" width="8.44140625" style="7165" customWidth="1"/>
    <col min="8429" max="8429" width="9.109375" style="7165"/>
    <col min="8430" max="8430" width="10.109375" style="7165" customWidth="1"/>
    <col min="8431" max="8431" width="13.88671875" style="7165" customWidth="1"/>
    <col min="8432" max="8432" width="15.44140625" style="7165" customWidth="1"/>
    <col min="8433" max="8682" width="9.109375" style="7165"/>
    <col min="8683" max="8683" width="33.88671875" style="7165" customWidth="1"/>
    <col min="8684" max="8684" width="8.44140625" style="7165" customWidth="1"/>
    <col min="8685" max="8685" width="9.109375" style="7165"/>
    <col min="8686" max="8686" width="10.109375" style="7165" customWidth="1"/>
    <col min="8687" max="8687" width="13.88671875" style="7165" customWidth="1"/>
    <col min="8688" max="8688" width="15.44140625" style="7165" customWidth="1"/>
    <col min="8689" max="8938" width="9.109375" style="7165"/>
    <col min="8939" max="8939" width="33.88671875" style="7165" customWidth="1"/>
    <col min="8940" max="8940" width="8.44140625" style="7165" customWidth="1"/>
    <col min="8941" max="8941" width="9.109375" style="7165"/>
    <col min="8942" max="8942" width="10.109375" style="7165" customWidth="1"/>
    <col min="8943" max="8943" width="13.88671875" style="7165" customWidth="1"/>
    <col min="8944" max="8944" width="15.44140625" style="7165" customWidth="1"/>
    <col min="8945" max="9194" width="9.109375" style="7165"/>
    <col min="9195" max="9195" width="33.88671875" style="7165" customWidth="1"/>
    <col min="9196" max="9196" width="8.44140625" style="7165" customWidth="1"/>
    <col min="9197" max="9197" width="9.109375" style="7165"/>
    <col min="9198" max="9198" width="10.109375" style="7165" customWidth="1"/>
    <col min="9199" max="9199" width="13.88671875" style="7165" customWidth="1"/>
    <col min="9200" max="9200" width="15.44140625" style="7165" customWidth="1"/>
    <col min="9201" max="9450" width="9.109375" style="7165"/>
    <col min="9451" max="9451" width="33.88671875" style="7165" customWidth="1"/>
    <col min="9452" max="9452" width="8.44140625" style="7165" customWidth="1"/>
    <col min="9453" max="9453" width="9.109375" style="7165"/>
    <col min="9454" max="9454" width="10.109375" style="7165" customWidth="1"/>
    <col min="9455" max="9455" width="13.88671875" style="7165" customWidth="1"/>
    <col min="9456" max="9456" width="15.44140625" style="7165" customWidth="1"/>
    <col min="9457" max="9706" width="9.109375" style="7165"/>
    <col min="9707" max="9707" width="33.88671875" style="7165" customWidth="1"/>
    <col min="9708" max="9708" width="8.44140625" style="7165" customWidth="1"/>
    <col min="9709" max="9709" width="9.109375" style="7165"/>
    <col min="9710" max="9710" width="10.109375" style="7165" customWidth="1"/>
    <col min="9711" max="9711" width="13.88671875" style="7165" customWidth="1"/>
    <col min="9712" max="9712" width="15.44140625" style="7165" customWidth="1"/>
    <col min="9713" max="9962" width="9.109375" style="7165"/>
    <col min="9963" max="9963" width="33.88671875" style="7165" customWidth="1"/>
    <col min="9964" max="9964" width="8.44140625" style="7165" customWidth="1"/>
    <col min="9965" max="9965" width="9.109375" style="7165"/>
    <col min="9966" max="9966" width="10.109375" style="7165" customWidth="1"/>
    <col min="9967" max="9967" width="13.88671875" style="7165" customWidth="1"/>
    <col min="9968" max="9968" width="15.44140625" style="7165" customWidth="1"/>
    <col min="9969" max="10218" width="9.109375" style="7165"/>
    <col min="10219" max="10219" width="33.88671875" style="7165" customWidth="1"/>
    <col min="10220" max="10220" width="8.44140625" style="7165" customWidth="1"/>
    <col min="10221" max="10221" width="9.109375" style="7165"/>
    <col min="10222" max="10222" width="10.109375" style="7165" customWidth="1"/>
    <col min="10223" max="10223" width="13.88671875" style="7165" customWidth="1"/>
    <col min="10224" max="10224" width="15.44140625" style="7165" customWidth="1"/>
    <col min="10225" max="10474" width="9.109375" style="7165"/>
    <col min="10475" max="10475" width="33.88671875" style="7165" customWidth="1"/>
    <col min="10476" max="10476" width="8.44140625" style="7165" customWidth="1"/>
    <col min="10477" max="10477" width="9.109375" style="7165"/>
    <col min="10478" max="10478" width="10.109375" style="7165" customWidth="1"/>
    <col min="10479" max="10479" width="13.88671875" style="7165" customWidth="1"/>
    <col min="10480" max="10480" width="15.44140625" style="7165" customWidth="1"/>
    <col min="10481" max="10730" width="9.109375" style="7165"/>
    <col min="10731" max="10731" width="33.88671875" style="7165" customWidth="1"/>
    <col min="10732" max="10732" width="8.44140625" style="7165" customWidth="1"/>
    <col min="10733" max="10733" width="9.109375" style="7165"/>
    <col min="10734" max="10734" width="10.109375" style="7165" customWidth="1"/>
    <col min="10735" max="10735" width="13.88671875" style="7165" customWidth="1"/>
    <col min="10736" max="10736" width="15.44140625" style="7165" customWidth="1"/>
    <col min="10737" max="10986" width="9.109375" style="7165"/>
    <col min="10987" max="10987" width="33.88671875" style="7165" customWidth="1"/>
    <col min="10988" max="10988" width="8.44140625" style="7165" customWidth="1"/>
    <col min="10989" max="10989" width="9.109375" style="7165"/>
    <col min="10990" max="10990" width="10.109375" style="7165" customWidth="1"/>
    <col min="10991" max="10991" width="13.88671875" style="7165" customWidth="1"/>
    <col min="10992" max="10992" width="15.44140625" style="7165" customWidth="1"/>
    <col min="10993" max="11242" width="9.109375" style="7165"/>
    <col min="11243" max="11243" width="33.88671875" style="7165" customWidth="1"/>
    <col min="11244" max="11244" width="8.44140625" style="7165" customWidth="1"/>
    <col min="11245" max="11245" width="9.109375" style="7165"/>
    <col min="11246" max="11246" width="10.109375" style="7165" customWidth="1"/>
    <col min="11247" max="11247" width="13.88671875" style="7165" customWidth="1"/>
    <col min="11248" max="11248" width="15.44140625" style="7165" customWidth="1"/>
    <col min="11249" max="11498" width="9.109375" style="7165"/>
    <col min="11499" max="11499" width="33.88671875" style="7165" customWidth="1"/>
    <col min="11500" max="11500" width="8.44140625" style="7165" customWidth="1"/>
    <col min="11501" max="11501" width="9.109375" style="7165"/>
    <col min="11502" max="11502" width="10.109375" style="7165" customWidth="1"/>
    <col min="11503" max="11503" width="13.88671875" style="7165" customWidth="1"/>
    <col min="11504" max="11504" width="15.44140625" style="7165" customWidth="1"/>
    <col min="11505" max="11754" width="9.109375" style="7165"/>
    <col min="11755" max="11755" width="33.88671875" style="7165" customWidth="1"/>
    <col min="11756" max="11756" width="8.44140625" style="7165" customWidth="1"/>
    <col min="11757" max="11757" width="9.109375" style="7165"/>
    <col min="11758" max="11758" width="10.109375" style="7165" customWidth="1"/>
    <col min="11759" max="11759" width="13.88671875" style="7165" customWidth="1"/>
    <col min="11760" max="11760" width="15.44140625" style="7165" customWidth="1"/>
    <col min="11761" max="12010" width="9.109375" style="7165"/>
    <col min="12011" max="12011" width="33.88671875" style="7165" customWidth="1"/>
    <col min="12012" max="12012" width="8.44140625" style="7165" customWidth="1"/>
    <col min="12013" max="12013" width="9.109375" style="7165"/>
    <col min="12014" max="12014" width="10.109375" style="7165" customWidth="1"/>
    <col min="12015" max="12015" width="13.88671875" style="7165" customWidth="1"/>
    <col min="12016" max="12016" width="15.44140625" style="7165" customWidth="1"/>
    <col min="12017" max="12266" width="9.109375" style="7165"/>
    <col min="12267" max="12267" width="33.88671875" style="7165" customWidth="1"/>
    <col min="12268" max="12268" width="8.44140625" style="7165" customWidth="1"/>
    <col min="12269" max="12269" width="9.109375" style="7165"/>
    <col min="12270" max="12270" width="10.109375" style="7165" customWidth="1"/>
    <col min="12271" max="12271" width="13.88671875" style="7165" customWidth="1"/>
    <col min="12272" max="12272" width="15.44140625" style="7165" customWidth="1"/>
    <col min="12273" max="12522" width="9.109375" style="7165"/>
    <col min="12523" max="12523" width="33.88671875" style="7165" customWidth="1"/>
    <col min="12524" max="12524" width="8.44140625" style="7165" customWidth="1"/>
    <col min="12525" max="12525" width="9.109375" style="7165"/>
    <col min="12526" max="12526" width="10.109375" style="7165" customWidth="1"/>
    <col min="12527" max="12527" width="13.88671875" style="7165" customWidth="1"/>
    <col min="12528" max="12528" width="15.44140625" style="7165" customWidth="1"/>
    <col min="12529" max="12778" width="9.109375" style="7165"/>
    <col min="12779" max="12779" width="33.88671875" style="7165" customWidth="1"/>
    <col min="12780" max="12780" width="8.44140625" style="7165" customWidth="1"/>
    <col min="12781" max="12781" width="9.109375" style="7165"/>
    <col min="12782" max="12782" width="10.109375" style="7165" customWidth="1"/>
    <col min="12783" max="12783" width="13.88671875" style="7165" customWidth="1"/>
    <col min="12784" max="12784" width="15.44140625" style="7165" customWidth="1"/>
    <col min="12785" max="13034" width="9.109375" style="7165"/>
    <col min="13035" max="13035" width="33.88671875" style="7165" customWidth="1"/>
    <col min="13036" max="13036" width="8.44140625" style="7165" customWidth="1"/>
    <col min="13037" max="13037" width="9.109375" style="7165"/>
    <col min="13038" max="13038" width="10.109375" style="7165" customWidth="1"/>
    <col min="13039" max="13039" width="13.88671875" style="7165" customWidth="1"/>
    <col min="13040" max="13040" width="15.44140625" style="7165" customWidth="1"/>
    <col min="13041" max="13290" width="9.109375" style="7165"/>
    <col min="13291" max="13291" width="33.88671875" style="7165" customWidth="1"/>
    <col min="13292" max="13292" width="8.44140625" style="7165" customWidth="1"/>
    <col min="13293" max="13293" width="9.109375" style="7165"/>
    <col min="13294" max="13294" width="10.109375" style="7165" customWidth="1"/>
    <col min="13295" max="13295" width="13.88671875" style="7165" customWidth="1"/>
    <col min="13296" max="13296" width="15.44140625" style="7165" customWidth="1"/>
    <col min="13297" max="13546" width="9.109375" style="7165"/>
    <col min="13547" max="13547" width="33.88671875" style="7165" customWidth="1"/>
    <col min="13548" max="13548" width="8.44140625" style="7165" customWidth="1"/>
    <col min="13549" max="13549" width="9.109375" style="7165"/>
    <col min="13550" max="13550" width="10.109375" style="7165" customWidth="1"/>
    <col min="13551" max="13551" width="13.88671875" style="7165" customWidth="1"/>
    <col min="13552" max="13552" width="15.44140625" style="7165" customWidth="1"/>
    <col min="13553" max="13802" width="9.109375" style="7165"/>
    <col min="13803" max="13803" width="33.88671875" style="7165" customWidth="1"/>
    <col min="13804" max="13804" width="8.44140625" style="7165" customWidth="1"/>
    <col min="13805" max="13805" width="9.109375" style="7165"/>
    <col min="13806" max="13806" width="10.109375" style="7165" customWidth="1"/>
    <col min="13807" max="13807" width="13.88671875" style="7165" customWidth="1"/>
    <col min="13808" max="13808" width="15.44140625" style="7165" customWidth="1"/>
    <col min="13809" max="14058" width="9.109375" style="7165"/>
    <col min="14059" max="14059" width="33.88671875" style="7165" customWidth="1"/>
    <col min="14060" max="14060" width="8.44140625" style="7165" customWidth="1"/>
    <col min="14061" max="14061" width="9.109375" style="7165"/>
    <col min="14062" max="14062" width="10.109375" style="7165" customWidth="1"/>
    <col min="14063" max="14063" width="13.88671875" style="7165" customWidth="1"/>
    <col min="14064" max="14064" width="15.44140625" style="7165" customWidth="1"/>
    <col min="14065" max="14314" width="9.109375" style="7165"/>
    <col min="14315" max="14315" width="33.88671875" style="7165" customWidth="1"/>
    <col min="14316" max="14316" width="8.44140625" style="7165" customWidth="1"/>
    <col min="14317" max="14317" width="9.109375" style="7165"/>
    <col min="14318" max="14318" width="10.109375" style="7165" customWidth="1"/>
    <col min="14319" max="14319" width="13.88671875" style="7165" customWidth="1"/>
    <col min="14320" max="14320" width="15.44140625" style="7165" customWidth="1"/>
    <col min="14321" max="14570" width="9.109375" style="7165"/>
    <col min="14571" max="14571" width="33.88671875" style="7165" customWidth="1"/>
    <col min="14572" max="14572" width="8.44140625" style="7165" customWidth="1"/>
    <col min="14573" max="14573" width="9.109375" style="7165"/>
    <col min="14574" max="14574" width="10.109375" style="7165" customWidth="1"/>
    <col min="14575" max="14575" width="13.88671875" style="7165" customWidth="1"/>
    <col min="14576" max="14576" width="15.44140625" style="7165" customWidth="1"/>
    <col min="14577" max="14826" width="9.109375" style="7165"/>
    <col min="14827" max="14827" width="33.88671875" style="7165" customWidth="1"/>
    <col min="14828" max="14828" width="8.44140625" style="7165" customWidth="1"/>
    <col min="14829" max="14829" width="9.109375" style="7165"/>
    <col min="14830" max="14830" width="10.109375" style="7165" customWidth="1"/>
    <col min="14831" max="14831" width="13.88671875" style="7165" customWidth="1"/>
    <col min="14832" max="14832" width="15.44140625" style="7165" customWidth="1"/>
    <col min="14833" max="15082" width="9.109375" style="7165"/>
    <col min="15083" max="15083" width="33.88671875" style="7165" customWidth="1"/>
    <col min="15084" max="15084" width="8.44140625" style="7165" customWidth="1"/>
    <col min="15085" max="15085" width="9.109375" style="7165"/>
    <col min="15086" max="15086" width="10.109375" style="7165" customWidth="1"/>
    <col min="15087" max="15087" width="13.88671875" style="7165" customWidth="1"/>
    <col min="15088" max="15088" width="15.44140625" style="7165" customWidth="1"/>
    <col min="15089" max="15338" width="9.109375" style="7165"/>
    <col min="15339" max="15339" width="33.88671875" style="7165" customWidth="1"/>
    <col min="15340" max="15340" width="8.44140625" style="7165" customWidth="1"/>
    <col min="15341" max="15341" width="9.109375" style="7165"/>
    <col min="15342" max="15342" width="10.109375" style="7165" customWidth="1"/>
    <col min="15343" max="15343" width="13.88671875" style="7165" customWidth="1"/>
    <col min="15344" max="15344" width="15.44140625" style="7165" customWidth="1"/>
    <col min="15345" max="15594" width="9.109375" style="7165"/>
    <col min="15595" max="15595" width="33.88671875" style="7165" customWidth="1"/>
    <col min="15596" max="15596" width="8.44140625" style="7165" customWidth="1"/>
    <col min="15597" max="15597" width="9.109375" style="7165"/>
    <col min="15598" max="15598" width="10.109375" style="7165" customWidth="1"/>
    <col min="15599" max="15599" width="13.88671875" style="7165" customWidth="1"/>
    <col min="15600" max="15600" width="15.44140625" style="7165" customWidth="1"/>
    <col min="15601" max="15850" width="9.109375" style="7165"/>
    <col min="15851" max="15851" width="33.88671875" style="7165" customWidth="1"/>
    <col min="15852" max="15852" width="8.44140625" style="7165" customWidth="1"/>
    <col min="15853" max="15853" width="9.109375" style="7165"/>
    <col min="15854" max="15854" width="10.109375" style="7165" customWidth="1"/>
    <col min="15855" max="15855" width="13.88671875" style="7165" customWidth="1"/>
    <col min="15856" max="15856" width="15.44140625" style="7165" customWidth="1"/>
    <col min="15857" max="16106" width="9.109375" style="7165"/>
    <col min="16107" max="16107" width="33.88671875" style="7165" customWidth="1"/>
    <col min="16108" max="16108" width="8.44140625" style="7165" customWidth="1"/>
    <col min="16109" max="16109" width="9.109375" style="7165"/>
    <col min="16110" max="16110" width="10.109375" style="7165" customWidth="1"/>
    <col min="16111" max="16111" width="13.88671875" style="7165" customWidth="1"/>
    <col min="16112" max="16112" width="15.44140625" style="7165" customWidth="1"/>
    <col min="16113" max="16384" width="9.109375" style="7165"/>
  </cols>
  <sheetData>
    <row r="1" spans="1:9" ht="12.9" customHeight="1">
      <c r="A1" s="14215" t="s">
        <v>1087</v>
      </c>
      <c r="B1" s="14215"/>
      <c r="C1" s="14215"/>
      <c r="D1" s="14215"/>
      <c r="E1" s="14215"/>
      <c r="F1" s="14215"/>
    </row>
    <row r="3" spans="1:9" ht="12.9" customHeight="1">
      <c r="A3" s="7163" t="s">
        <v>4780</v>
      </c>
    </row>
    <row r="4" spans="1:9" ht="12.9" customHeight="1" thickBot="1"/>
    <row r="5" spans="1:9" ht="12.9" customHeight="1" thickBot="1">
      <c r="A5" s="9697" t="s">
        <v>842</v>
      </c>
      <c r="B5" s="10711" t="s">
        <v>1035</v>
      </c>
      <c r="C5" s="10711" t="s">
        <v>1036</v>
      </c>
      <c r="D5" s="14700" t="s">
        <v>1037</v>
      </c>
      <c r="E5" s="14700"/>
      <c r="F5" s="14701"/>
    </row>
    <row r="6" spans="1:9" ht="12.9" customHeight="1" thickBot="1">
      <c r="A6" s="9698" t="s">
        <v>1088</v>
      </c>
      <c r="B6" s="9772" t="s">
        <v>9</v>
      </c>
      <c r="C6" s="9772" t="s">
        <v>1039</v>
      </c>
      <c r="D6" s="9772" t="s">
        <v>10</v>
      </c>
      <c r="E6" s="9772" t="s">
        <v>11</v>
      </c>
      <c r="F6" s="9773" t="s">
        <v>11621</v>
      </c>
    </row>
    <row r="7" spans="1:9" ht="12.9" customHeight="1">
      <c r="A7" s="9700"/>
      <c r="B7" s="10716"/>
      <c r="C7" s="10753"/>
      <c r="D7" s="10716"/>
      <c r="E7" s="10753"/>
      <c r="F7" s="7214"/>
    </row>
    <row r="8" spans="1:9" ht="12.9" customHeight="1">
      <c r="A8" s="9702" t="s">
        <v>806</v>
      </c>
      <c r="B8" s="10753"/>
      <c r="C8" s="10753"/>
      <c r="D8" s="10753"/>
      <c r="E8" s="10753"/>
      <c r="F8" s="7214"/>
    </row>
    <row r="9" spans="1:9" ht="12.9" customHeight="1">
      <c r="A9" s="7209" t="s">
        <v>1089</v>
      </c>
      <c r="B9" s="10765"/>
      <c r="C9" s="10765"/>
      <c r="D9" s="10765"/>
      <c r="E9" s="10765"/>
      <c r="F9" s="7215"/>
    </row>
    <row r="10" spans="1:9" ht="12.9" customHeight="1">
      <c r="A10" s="7207" t="s">
        <v>3400</v>
      </c>
      <c r="B10" s="10753">
        <v>1</v>
      </c>
      <c r="C10" s="10753">
        <v>26</v>
      </c>
      <c r="D10" s="10754">
        <v>960468</v>
      </c>
      <c r="E10" s="10754">
        <v>1121856</v>
      </c>
      <c r="F10" s="7216">
        <v>1331760</v>
      </c>
      <c r="H10" s="7165">
        <f>SUM(B10)</f>
        <v>1</v>
      </c>
      <c r="I10" s="7198">
        <f>SUM(F10)</f>
        <v>1331760</v>
      </c>
    </row>
    <row r="11" spans="1:9" ht="12.9" customHeight="1">
      <c r="A11" s="7207"/>
      <c r="B11" s="10765"/>
      <c r="C11" s="10765"/>
      <c r="D11" s="10765"/>
      <c r="E11" s="10765"/>
      <c r="F11" s="7215"/>
    </row>
    <row r="12" spans="1:9" ht="12.9" customHeight="1">
      <c r="A12" s="7209" t="s">
        <v>1091</v>
      </c>
      <c r="B12" s="10765"/>
      <c r="C12" s="10765"/>
      <c r="D12" s="10765"/>
      <c r="E12" s="10765"/>
      <c r="F12" s="7215"/>
    </row>
    <row r="13" spans="1:9" ht="12.9" customHeight="1">
      <c r="A13" s="7207" t="s">
        <v>1092</v>
      </c>
      <c r="B13" s="10765"/>
      <c r="C13" s="10765"/>
      <c r="D13" s="10765"/>
      <c r="E13" s="10765"/>
      <c r="F13" s="7215"/>
    </row>
    <row r="14" spans="1:9" ht="12.9" customHeight="1">
      <c r="A14" s="7207" t="s">
        <v>1138</v>
      </c>
      <c r="B14" s="10753"/>
      <c r="C14" s="10753"/>
      <c r="D14" s="10754"/>
      <c r="E14" s="10754"/>
      <c r="F14" s="7216"/>
    </row>
    <row r="15" spans="1:9" ht="12.9" customHeight="1">
      <c r="A15" s="7207"/>
      <c r="B15" s="10753" t="s">
        <v>9</v>
      </c>
      <c r="C15" s="10753" t="s">
        <v>9</v>
      </c>
      <c r="D15" s="10754"/>
      <c r="E15" s="10754"/>
      <c r="F15" s="7216"/>
    </row>
    <row r="16" spans="1:9" ht="12.9" customHeight="1">
      <c r="A16" s="7209" t="s">
        <v>1093</v>
      </c>
      <c r="B16" s="10753"/>
      <c r="C16" s="10753"/>
      <c r="D16" s="10754"/>
      <c r="E16" s="10754"/>
      <c r="F16" s="7216"/>
    </row>
    <row r="17" spans="1:6" ht="12.9" hidden="1" customHeight="1">
      <c r="A17" s="7207" t="s">
        <v>1179</v>
      </c>
      <c r="B17" s="10753">
        <v>0</v>
      </c>
      <c r="C17" s="10753">
        <v>6</v>
      </c>
      <c r="D17" s="10754"/>
      <c r="E17" s="10754"/>
      <c r="F17" s="7216"/>
    </row>
    <row r="18" spans="1:6" ht="12.9" hidden="1" customHeight="1">
      <c r="A18" s="7207" t="s">
        <v>1180</v>
      </c>
      <c r="B18" s="10753">
        <v>0</v>
      </c>
      <c r="C18" s="10753">
        <v>8</v>
      </c>
      <c r="D18" s="10754"/>
      <c r="E18" s="10754"/>
      <c r="F18" s="7216"/>
    </row>
    <row r="19" spans="1:6" ht="12.9" customHeight="1">
      <c r="A19" s="7207"/>
      <c r="B19" s="10753"/>
      <c r="C19" s="10753"/>
      <c r="D19" s="10754"/>
      <c r="E19" s="10754"/>
      <c r="F19" s="7216"/>
    </row>
    <row r="20" spans="1:6" ht="12.9" customHeight="1">
      <c r="A20" s="7209" t="s">
        <v>1094</v>
      </c>
      <c r="B20" s="10765"/>
      <c r="C20" s="10765"/>
      <c r="D20" s="10765"/>
      <c r="E20" s="10765"/>
      <c r="F20" s="7215"/>
    </row>
    <row r="21" spans="1:6" ht="12.9" customHeight="1">
      <c r="A21" s="7207" t="s">
        <v>1181</v>
      </c>
      <c r="B21" s="10753">
        <v>0</v>
      </c>
      <c r="C21" s="10753">
        <v>22</v>
      </c>
      <c r="D21" s="10754"/>
      <c r="E21" s="10754"/>
      <c r="F21" s="7216"/>
    </row>
    <row r="22" spans="1:6" ht="12.9" customHeight="1">
      <c r="A22" s="7207" t="s">
        <v>1182</v>
      </c>
      <c r="B22" s="10753">
        <v>3</v>
      </c>
      <c r="C22" s="10753">
        <v>18</v>
      </c>
      <c r="D22" s="10754">
        <v>882036</v>
      </c>
      <c r="E22" s="10754">
        <v>947712</v>
      </c>
      <c r="F22" s="7216">
        <v>1506048</v>
      </c>
    </row>
    <row r="23" spans="1:6" ht="12.9" customHeight="1">
      <c r="A23" s="7207" t="s">
        <v>1183</v>
      </c>
      <c r="B23" s="10753">
        <v>3</v>
      </c>
      <c r="C23" s="10753">
        <v>15</v>
      </c>
      <c r="D23" s="10754">
        <v>673212</v>
      </c>
      <c r="E23" s="10754">
        <v>1056984</v>
      </c>
      <c r="F23" s="7216">
        <v>1117440</v>
      </c>
    </row>
    <row r="24" spans="1:6" ht="12.9" customHeight="1">
      <c r="A24" s="7207" t="s">
        <v>8462</v>
      </c>
      <c r="B24" s="10753">
        <v>0</v>
      </c>
      <c r="C24" s="10753">
        <v>14</v>
      </c>
      <c r="D24" s="10754">
        <v>306876</v>
      </c>
      <c r="E24" s="10754">
        <v>325464</v>
      </c>
      <c r="F24" s="7216">
        <v>0</v>
      </c>
    </row>
    <row r="25" spans="1:6" ht="12.9" customHeight="1">
      <c r="A25" s="7207" t="s">
        <v>1184</v>
      </c>
      <c r="B25" s="10753">
        <v>2</v>
      </c>
      <c r="C25" s="10753">
        <v>11</v>
      </c>
      <c r="D25" s="10754">
        <v>473676</v>
      </c>
      <c r="E25" s="10754">
        <v>490488</v>
      </c>
      <c r="F25" s="7216">
        <v>504912</v>
      </c>
    </row>
    <row r="26" spans="1:6" ht="12.9" customHeight="1">
      <c r="A26" s="7207" t="s">
        <v>1185</v>
      </c>
      <c r="B26" s="10753">
        <v>1</v>
      </c>
      <c r="C26" s="10753">
        <v>10</v>
      </c>
      <c r="D26" s="10806">
        <v>220620</v>
      </c>
      <c r="E26" s="10806">
        <v>226596</v>
      </c>
      <c r="F26" s="9704">
        <v>232728</v>
      </c>
    </row>
    <row r="27" spans="1:6" ht="12.9" customHeight="1">
      <c r="A27" s="7207" t="s">
        <v>1186</v>
      </c>
      <c r="B27" s="10753">
        <v>3</v>
      </c>
      <c r="C27" s="10753">
        <v>8</v>
      </c>
      <c r="D27" s="10754">
        <v>394464</v>
      </c>
      <c r="E27" s="10754">
        <v>405624</v>
      </c>
      <c r="F27" s="7216">
        <v>618192</v>
      </c>
    </row>
    <row r="28" spans="1:6" ht="12.9" customHeight="1">
      <c r="A28" s="7207" t="s">
        <v>1193</v>
      </c>
      <c r="B28" s="10753">
        <v>1</v>
      </c>
      <c r="C28" s="10753">
        <v>7</v>
      </c>
      <c r="D28" s="10754">
        <v>177420</v>
      </c>
      <c r="E28" s="10754">
        <v>184560</v>
      </c>
      <c r="F28" s="7216">
        <v>190308</v>
      </c>
    </row>
    <row r="29" spans="1:6" ht="12.9" customHeight="1">
      <c r="A29" s="7207" t="s">
        <v>1188</v>
      </c>
      <c r="B29" s="10753">
        <v>5</v>
      </c>
      <c r="C29" s="10753">
        <v>4</v>
      </c>
      <c r="D29" s="10754">
        <v>155124</v>
      </c>
      <c r="E29" s="10754">
        <v>161088</v>
      </c>
      <c r="F29" s="7216">
        <v>809016</v>
      </c>
    </row>
    <row r="30" spans="1:6" ht="12.9" hidden="1" customHeight="1">
      <c r="A30" s="7207" t="s">
        <v>1189</v>
      </c>
      <c r="B30" s="10753">
        <v>0</v>
      </c>
      <c r="C30" s="10753">
        <v>3</v>
      </c>
      <c r="D30" s="10806">
        <v>0</v>
      </c>
      <c r="E30" s="10806">
        <v>0</v>
      </c>
      <c r="F30" s="9704">
        <v>0</v>
      </c>
    </row>
    <row r="31" spans="1:6" ht="12.9" customHeight="1">
      <c r="A31" s="7207" t="s">
        <v>1190</v>
      </c>
      <c r="B31" s="10753">
        <v>3</v>
      </c>
      <c r="C31" s="10753">
        <v>2</v>
      </c>
      <c r="D31" s="10754">
        <v>136140</v>
      </c>
      <c r="E31" s="10754">
        <v>142368</v>
      </c>
      <c r="F31" s="7216">
        <v>431148</v>
      </c>
    </row>
    <row r="32" spans="1:6" ht="12.9" customHeight="1">
      <c r="A32" s="7207" t="s">
        <v>1191</v>
      </c>
      <c r="B32" s="10753">
        <v>3</v>
      </c>
      <c r="C32" s="10753">
        <v>1</v>
      </c>
      <c r="D32" s="10754">
        <v>604404</v>
      </c>
      <c r="E32" s="10754">
        <v>637296</v>
      </c>
      <c r="F32" s="7216">
        <v>406296</v>
      </c>
    </row>
    <row r="33" spans="1:9" ht="12.9" customHeight="1">
      <c r="A33" s="7207" t="s">
        <v>9</v>
      </c>
      <c r="B33" s="10753"/>
      <c r="C33" s="10753"/>
      <c r="D33" s="10754"/>
      <c r="E33" s="10754"/>
      <c r="F33" s="7216"/>
    </row>
    <row r="34" spans="1:9" ht="12.9" customHeight="1">
      <c r="A34" s="7209" t="s">
        <v>1098</v>
      </c>
      <c r="B34" s="9613">
        <f>SUM(B10:B32)</f>
        <v>25</v>
      </c>
      <c r="C34" s="9662"/>
      <c r="D34" s="9723">
        <f>SUM(D9:D32)</f>
        <v>4984440</v>
      </c>
      <c r="E34" s="9723">
        <f>SUM(E9:E32)</f>
        <v>5700036</v>
      </c>
      <c r="F34" s="9724">
        <f>SUM(F9:F32)</f>
        <v>7147848</v>
      </c>
      <c r="H34" s="7165">
        <f>SUM(B22:B32)</f>
        <v>24</v>
      </c>
      <c r="I34" s="7198">
        <f>SUM(F22:F32)</f>
        <v>5816088</v>
      </c>
    </row>
    <row r="35" spans="1:9" ht="12.9" customHeight="1">
      <c r="A35" s="7207"/>
      <c r="B35" s="10765"/>
      <c r="C35" s="10765"/>
      <c r="D35" s="10754"/>
      <c r="E35" s="10754"/>
      <c r="F35" s="7216"/>
    </row>
    <row r="36" spans="1:9" ht="12.9" customHeight="1">
      <c r="A36" s="7209" t="s">
        <v>1099</v>
      </c>
      <c r="B36" s="10760" t="s">
        <v>9</v>
      </c>
      <c r="C36" s="10765"/>
      <c r="D36" s="10754"/>
      <c r="E36" s="10754"/>
      <c r="F36" s="7216"/>
    </row>
    <row r="37" spans="1:9" ht="12.9" hidden="1" customHeight="1">
      <c r="A37" s="7207" t="s">
        <v>3400</v>
      </c>
      <c r="B37" s="10753">
        <v>0</v>
      </c>
      <c r="C37" s="10753">
        <v>26</v>
      </c>
      <c r="D37" s="10754">
        <v>0</v>
      </c>
      <c r="E37" s="10754">
        <v>0</v>
      </c>
      <c r="F37" s="7216">
        <v>0</v>
      </c>
    </row>
    <row r="38" spans="1:9" ht="12.9" customHeight="1">
      <c r="A38" s="7207" t="s">
        <v>9148</v>
      </c>
      <c r="B38" s="10753">
        <v>2</v>
      </c>
      <c r="C38" s="10753">
        <v>22</v>
      </c>
      <c r="D38" s="10754">
        <v>633396</v>
      </c>
      <c r="E38" s="10754">
        <v>704604</v>
      </c>
      <c r="F38" s="7216">
        <f>783828*B38</f>
        <v>1567656</v>
      </c>
    </row>
    <row r="39" spans="1:9" ht="12.9" hidden="1" customHeight="1">
      <c r="A39" s="7207" t="s">
        <v>1192</v>
      </c>
      <c r="B39" s="10753">
        <v>0</v>
      </c>
      <c r="C39" s="10753">
        <v>18</v>
      </c>
      <c r="D39" s="10754"/>
      <c r="E39" s="10754"/>
      <c r="F39" s="7216"/>
    </row>
    <row r="40" spans="1:9" ht="12.9" hidden="1" customHeight="1">
      <c r="A40" s="7207" t="s">
        <v>1183</v>
      </c>
      <c r="B40" s="10753">
        <v>0</v>
      </c>
      <c r="C40" s="10753">
        <v>15</v>
      </c>
      <c r="D40" s="10806">
        <v>0</v>
      </c>
      <c r="E40" s="10806">
        <v>0</v>
      </c>
      <c r="F40" s="9704">
        <v>0</v>
      </c>
    </row>
    <row r="41" spans="1:9" ht="12.9" hidden="1" customHeight="1">
      <c r="A41" s="7207" t="s">
        <v>1184</v>
      </c>
      <c r="B41" s="10753">
        <v>0</v>
      </c>
      <c r="C41" s="10753">
        <v>11</v>
      </c>
      <c r="D41" s="10754">
        <v>0</v>
      </c>
      <c r="E41" s="10754">
        <v>0</v>
      </c>
      <c r="F41" s="7216">
        <v>0</v>
      </c>
    </row>
    <row r="42" spans="1:9" ht="12.9" hidden="1" customHeight="1">
      <c r="A42" s="7207" t="s">
        <v>10145</v>
      </c>
      <c r="B42" s="10753">
        <v>0</v>
      </c>
      <c r="C42" s="10753">
        <v>10</v>
      </c>
      <c r="D42" s="10754">
        <v>0</v>
      </c>
      <c r="E42" s="10754">
        <v>0</v>
      </c>
      <c r="F42" s="7216">
        <v>0</v>
      </c>
    </row>
    <row r="43" spans="1:9" ht="12.9" customHeight="1">
      <c r="A43" s="7207" t="s">
        <v>1186</v>
      </c>
      <c r="B43" s="10753">
        <v>0</v>
      </c>
      <c r="C43" s="10753">
        <v>8</v>
      </c>
      <c r="D43" s="10754">
        <v>189816</v>
      </c>
      <c r="E43" s="10754">
        <v>195384</v>
      </c>
      <c r="F43" s="7216">
        <v>0</v>
      </c>
    </row>
    <row r="44" spans="1:9" ht="12.9" hidden="1" customHeight="1">
      <c r="A44" s="7207" t="s">
        <v>1193</v>
      </c>
      <c r="B44" s="10753">
        <v>0</v>
      </c>
      <c r="C44" s="10753">
        <v>7</v>
      </c>
      <c r="D44" s="10754">
        <v>0</v>
      </c>
      <c r="E44" s="10754">
        <v>0</v>
      </c>
      <c r="F44" s="7216">
        <v>0</v>
      </c>
    </row>
    <row r="45" spans="1:9" ht="12.9" hidden="1" customHeight="1">
      <c r="A45" s="7207" t="s">
        <v>1187</v>
      </c>
      <c r="B45" s="10753">
        <v>0</v>
      </c>
      <c r="C45" s="10753">
        <v>6</v>
      </c>
      <c r="D45" s="10754">
        <v>0</v>
      </c>
      <c r="E45" s="10754">
        <v>0</v>
      </c>
      <c r="F45" s="7216">
        <v>0</v>
      </c>
    </row>
    <row r="46" spans="1:9" ht="12.9" customHeight="1">
      <c r="A46" s="7207" t="s">
        <v>1188</v>
      </c>
      <c r="B46" s="10753">
        <v>2</v>
      </c>
      <c r="C46" s="10753">
        <v>4</v>
      </c>
      <c r="D46" s="10754">
        <v>1021020</v>
      </c>
      <c r="E46" s="10754">
        <v>760440</v>
      </c>
      <c r="F46" s="7216">
        <v>317136</v>
      </c>
    </row>
    <row r="47" spans="1:9" ht="12.9" customHeight="1">
      <c r="A47" s="7207" t="s">
        <v>11287</v>
      </c>
      <c r="B47" s="10753">
        <v>0</v>
      </c>
      <c r="C47" s="10753">
        <v>2</v>
      </c>
      <c r="D47" s="10754"/>
      <c r="E47" s="10754">
        <v>268800</v>
      </c>
      <c r="F47" s="7216">
        <v>0</v>
      </c>
    </row>
    <row r="48" spans="1:9" ht="12.9" customHeight="1">
      <c r="A48" s="7207" t="s">
        <v>1191</v>
      </c>
      <c r="B48" s="10753">
        <v>5</v>
      </c>
      <c r="C48" s="10753">
        <v>1</v>
      </c>
      <c r="D48" s="10754"/>
      <c r="E48" s="10754"/>
      <c r="F48" s="7216">
        <f>132816*B48</f>
        <v>664080</v>
      </c>
    </row>
    <row r="49" spans="1:6" ht="12.9" customHeight="1">
      <c r="A49" s="7207"/>
      <c r="B49" s="10753"/>
      <c r="C49" s="10753"/>
      <c r="D49" s="10754"/>
      <c r="E49" s="10754"/>
      <c r="F49" s="7216"/>
    </row>
    <row r="50" spans="1:6" ht="12.9" customHeight="1">
      <c r="A50" s="7209" t="s">
        <v>4774</v>
      </c>
      <c r="B50" s="9613">
        <f>SUM(B37:B49)</f>
        <v>9</v>
      </c>
      <c r="C50" s="9662"/>
      <c r="D50" s="9627">
        <f>SUM(D37:D49)</f>
        <v>1844232</v>
      </c>
      <c r="E50" s="9627">
        <f>SUM(E37:E49)</f>
        <v>1929228</v>
      </c>
      <c r="F50" s="7203">
        <f>SUM(F37:F49)</f>
        <v>2548872</v>
      </c>
    </row>
    <row r="51" spans="1:6" ht="12.9" customHeight="1" thickBot="1">
      <c r="A51" s="9717"/>
      <c r="B51" s="9772"/>
      <c r="C51" s="10820"/>
      <c r="D51" s="9792"/>
      <c r="E51" s="9792"/>
      <c r="F51" s="9793"/>
    </row>
    <row r="52" spans="1:6" ht="12.9" customHeight="1" thickBot="1">
      <c r="A52" s="10422" t="s">
        <v>1101</v>
      </c>
      <c r="B52" s="10725">
        <f>SUM(B34+B50)</f>
        <v>34</v>
      </c>
      <c r="C52" s="10414"/>
      <c r="D52" s="10419">
        <f>SUM(D34+D50)</f>
        <v>6828672</v>
      </c>
      <c r="E52" s="10419">
        <f>SUM(E34+E50)</f>
        <v>7629264</v>
      </c>
      <c r="F52" s="10420">
        <f>SUM(F34+F50)</f>
        <v>9696720</v>
      </c>
    </row>
    <row r="53" spans="1:6" ht="12.9" customHeight="1">
      <c r="A53" s="7207" t="s">
        <v>1075</v>
      </c>
      <c r="B53" s="10765"/>
      <c r="C53" s="10765"/>
      <c r="D53" s="10765"/>
      <c r="E53" s="10765"/>
      <c r="F53" s="7215"/>
    </row>
    <row r="54" spans="1:6" ht="12.9" customHeight="1">
      <c r="A54" s="7207" t="s">
        <v>1102</v>
      </c>
      <c r="B54" s="10753"/>
      <c r="C54" s="10765"/>
      <c r="D54" s="10765"/>
      <c r="E54" s="10765"/>
      <c r="F54" s="7215"/>
    </row>
    <row r="55" spans="1:6" ht="12.9" customHeight="1">
      <c r="A55" s="7207" t="s">
        <v>1103</v>
      </c>
      <c r="B55" s="10753">
        <v>4</v>
      </c>
      <c r="C55" s="10765"/>
      <c r="D55" s="10765"/>
      <c r="E55" s="10765"/>
      <c r="F55" s="7215"/>
    </row>
    <row r="56" spans="1:6" ht="12.9" customHeight="1">
      <c r="A56" s="7207" t="s">
        <v>1078</v>
      </c>
      <c r="B56" s="10753"/>
      <c r="C56" s="10765"/>
      <c r="D56" s="10765"/>
      <c r="E56" s="10765"/>
      <c r="F56" s="7215"/>
    </row>
    <row r="57" spans="1:6" ht="12.9" customHeight="1">
      <c r="A57" s="7231" t="s">
        <v>10707</v>
      </c>
      <c r="B57" s="10753">
        <v>2</v>
      </c>
      <c r="C57" s="10765"/>
      <c r="D57" s="10765"/>
      <c r="E57" s="10765"/>
      <c r="F57" s="7215"/>
    </row>
    <row r="58" spans="1:6" ht="12.9" customHeight="1">
      <c r="A58" s="7231" t="s">
        <v>10697</v>
      </c>
      <c r="B58" s="10753">
        <v>1</v>
      </c>
      <c r="C58" s="10765"/>
      <c r="D58" s="10765"/>
      <c r="E58" s="10765"/>
      <c r="F58" s="7215"/>
    </row>
    <row r="59" spans="1:6" ht="12.9" customHeight="1">
      <c r="A59" s="7207" t="s">
        <v>1080</v>
      </c>
      <c r="B59" s="10765"/>
      <c r="C59" s="10765"/>
      <c r="D59" s="10765"/>
      <c r="E59" s="10765"/>
      <c r="F59" s="7215"/>
    </row>
    <row r="60" spans="1:6" ht="12.9" customHeight="1">
      <c r="A60" s="7207" t="s">
        <v>1104</v>
      </c>
      <c r="B60" s="10765"/>
      <c r="C60" s="10765"/>
      <c r="D60" s="10765"/>
      <c r="E60" s="10765"/>
      <c r="F60" s="7215"/>
    </row>
    <row r="61" spans="1:6" ht="12.9" customHeight="1">
      <c r="A61" s="7207" t="s">
        <v>1105</v>
      </c>
      <c r="B61" s="10765"/>
      <c r="C61" s="10765"/>
      <c r="D61" s="10765"/>
      <c r="E61" s="10765"/>
      <c r="F61" s="7215"/>
    </row>
    <row r="62" spans="1:6" s="7163" customFormat="1" ht="12.9" customHeight="1">
      <c r="A62" s="7209" t="s">
        <v>1083</v>
      </c>
      <c r="B62" s="9662"/>
      <c r="C62" s="9662"/>
      <c r="D62" s="9662"/>
      <c r="E62" s="9662"/>
      <c r="F62" s="9663"/>
    </row>
    <row r="63" spans="1:6" ht="12.9" customHeight="1">
      <c r="A63" s="7207"/>
      <c r="B63" s="10765"/>
      <c r="C63" s="10765"/>
      <c r="D63" s="10765"/>
      <c r="E63" s="10765"/>
      <c r="F63" s="7215"/>
    </row>
    <row r="64" spans="1:6" ht="12.9" customHeight="1">
      <c r="A64" s="7207" t="s">
        <v>1106</v>
      </c>
      <c r="B64" s="10765"/>
      <c r="C64" s="10765"/>
      <c r="D64" s="10765"/>
      <c r="E64" s="10765"/>
      <c r="F64" s="7215"/>
    </row>
    <row r="65" spans="1:6" ht="12.9" customHeight="1" thickBot="1">
      <c r="A65" s="7207"/>
      <c r="B65" s="10765"/>
      <c r="C65" s="10765"/>
      <c r="D65" s="10765"/>
      <c r="E65" s="10765"/>
      <c r="F65" s="7215"/>
    </row>
    <row r="66" spans="1:6" ht="12.9" customHeight="1">
      <c r="A66" s="9715"/>
      <c r="B66" s="9624"/>
      <c r="C66" s="9624"/>
      <c r="D66" s="9624"/>
      <c r="E66" s="9624"/>
      <c r="F66" s="9716"/>
    </row>
    <row r="67" spans="1:6" s="7163" customFormat="1" ht="12.9" customHeight="1">
      <c r="A67" s="7209" t="s">
        <v>1086</v>
      </c>
      <c r="B67" s="10770"/>
      <c r="C67" s="10770"/>
      <c r="D67" s="10770"/>
      <c r="E67" s="10770"/>
      <c r="F67" s="9664"/>
    </row>
    <row r="68" spans="1:6" ht="12.9" customHeight="1" thickBot="1">
      <c r="A68" s="9709"/>
      <c r="B68" s="9634"/>
      <c r="C68" s="9634"/>
      <c r="D68" s="9634"/>
      <c r="E68" s="9634"/>
      <c r="F68" s="9753"/>
    </row>
    <row r="69" spans="1:6" ht="12.9" customHeight="1">
      <c r="A69" s="7199"/>
      <c r="B69" s="7199"/>
      <c r="C69" s="7199"/>
      <c r="D69" s="7199"/>
      <c r="E69" s="7199"/>
      <c r="F69" s="7199"/>
    </row>
    <row r="70" spans="1:6" ht="12.9" customHeight="1">
      <c r="A70" s="7199"/>
      <c r="B70" s="7199"/>
      <c r="C70" s="7199"/>
      <c r="D70" s="7199"/>
      <c r="E70" s="7199"/>
      <c r="F70" s="7199"/>
    </row>
    <row r="71" spans="1:6" ht="12.9" customHeight="1">
      <c r="A71" s="7199"/>
      <c r="B71" s="7199"/>
      <c r="C71" s="7199"/>
      <c r="D71" s="7199"/>
      <c r="E71" s="7199"/>
      <c r="F71" s="7199"/>
    </row>
    <row r="72" spans="1:6" ht="12.9" customHeight="1">
      <c r="A72" s="7199"/>
      <c r="B72" s="7199"/>
      <c r="C72" s="7199"/>
      <c r="D72" s="7199"/>
      <c r="E72" s="7199"/>
      <c r="F72" s="7199"/>
    </row>
    <row r="73" spans="1:6" ht="12.9" customHeight="1">
      <c r="A73" s="7199"/>
      <c r="B73" s="7199"/>
      <c r="C73" s="7199"/>
      <c r="D73" s="7199"/>
      <c r="E73" s="7199"/>
      <c r="F73" s="7199"/>
    </row>
    <row r="74" spans="1:6" ht="12.9" customHeight="1">
      <c r="A74" s="7199"/>
      <c r="B74" s="7199"/>
      <c r="C74" s="7199"/>
      <c r="D74" s="7199"/>
      <c r="E74" s="7199"/>
      <c r="F74" s="7199"/>
    </row>
    <row r="75" spans="1:6" ht="12.9" customHeight="1">
      <c r="A75" s="7199"/>
      <c r="B75" s="7199"/>
      <c r="C75" s="7199"/>
      <c r="D75" s="7199"/>
      <c r="E75" s="7199"/>
      <c r="F75" s="7199"/>
    </row>
    <row r="76" spans="1:6" ht="12.9" customHeight="1">
      <c r="A76" s="7199"/>
      <c r="B76" s="7199"/>
      <c r="C76" s="7199"/>
      <c r="D76" s="7199"/>
      <c r="E76" s="7199"/>
      <c r="F76" s="7199"/>
    </row>
    <row r="77" spans="1:6" ht="12.9" customHeight="1">
      <c r="A77" s="7199"/>
      <c r="B77" s="7199"/>
      <c r="C77" s="7199"/>
      <c r="D77" s="7199"/>
      <c r="E77" s="7199"/>
      <c r="F77" s="7199"/>
    </row>
    <row r="78" spans="1:6" ht="12.9" customHeight="1">
      <c r="A78" s="7199"/>
      <c r="B78" s="7199"/>
      <c r="C78" s="7199"/>
      <c r="D78" s="7199"/>
      <c r="E78" s="7199"/>
      <c r="F78" s="7199"/>
    </row>
    <row r="79" spans="1:6" ht="12.9" customHeight="1">
      <c r="A79" s="7199"/>
      <c r="B79" s="7199"/>
      <c r="C79" s="7199"/>
      <c r="D79" s="7199"/>
      <c r="E79" s="7199"/>
      <c r="F79" s="7199"/>
    </row>
    <row r="80" spans="1:6" ht="12.9" customHeight="1">
      <c r="A80" s="7199"/>
      <c r="B80" s="7199"/>
      <c r="C80" s="7199"/>
      <c r="D80" s="7199"/>
      <c r="E80" s="7199"/>
      <c r="F80" s="7199"/>
    </row>
  </sheetData>
  <mergeCells count="2">
    <mergeCell ref="D5:F5"/>
    <mergeCell ref="A1:F1"/>
  </mergeCells>
  <pageMargins left="0.25" right="0.25" top="0.5" bottom="0.5" header="0.3" footer="0.3"/>
  <pageSetup paperSize="119" firstPageNumber="140" orientation="portrait" useFirstPageNumber="1" r:id="rId1"/>
  <headerFooter alignWithMargins="0"/>
</worksheet>
</file>

<file path=xl/worksheets/sheet85.xml><?xml version="1.0" encoding="utf-8"?>
<worksheet xmlns="http://schemas.openxmlformats.org/spreadsheetml/2006/main" xmlns:r="http://schemas.openxmlformats.org/officeDocument/2006/relationships">
  <sheetPr codeName="Sheet123">
    <tabColor rgb="FFFFFF00"/>
  </sheetPr>
  <dimension ref="A1:AE957"/>
  <sheetViews>
    <sheetView topLeftCell="A223" workbookViewId="0">
      <selection activeCell="A230" sqref="A230:XFD230"/>
    </sheetView>
  </sheetViews>
  <sheetFormatPr defaultRowHeight="13.8"/>
  <cols>
    <col min="1" max="1" width="4.44140625" style="5302" customWidth="1"/>
    <col min="2" max="2" width="29.88671875" style="5219" customWidth="1"/>
    <col min="3" max="3" width="12.44140625" style="5220" customWidth="1"/>
    <col min="4" max="4" width="29.44140625" style="5221" customWidth="1"/>
    <col min="5" max="5" width="17.109375" style="5221" customWidth="1"/>
    <col min="6" max="6" width="7" style="5219" customWidth="1"/>
    <col min="7" max="7" width="8.88671875" style="5219" customWidth="1"/>
    <col min="8" max="8" width="1" style="5219" customWidth="1"/>
    <col min="9" max="9" width="9.109375" style="3738"/>
    <col min="10" max="10" width="19.44140625" style="3742" customWidth="1"/>
    <col min="11" max="11" width="14" style="3738" bestFit="1" customWidth="1"/>
    <col min="12" max="16" width="19.109375" style="3738" customWidth="1"/>
    <col min="17" max="17" width="19.44140625" style="3738" customWidth="1"/>
    <col min="18" max="18" width="14" style="3740" customWidth="1"/>
    <col min="19" max="19" width="11.109375" style="3738" customWidth="1"/>
    <col min="20" max="20" width="15.44140625" style="3740" customWidth="1"/>
    <col min="21" max="31" width="9.109375" style="3738"/>
    <col min="32" max="256" width="9.109375" style="5219"/>
    <col min="257" max="257" width="4.44140625" style="5219" customWidth="1"/>
    <col min="258" max="258" width="32.44140625" style="5219" customWidth="1"/>
    <col min="259" max="259" width="13.88671875" style="5219" customWidth="1"/>
    <col min="260" max="260" width="17.88671875" style="5219" customWidth="1"/>
    <col min="261" max="261" width="13.88671875" style="5219" customWidth="1"/>
    <col min="262" max="262" width="8.44140625" style="5219" customWidth="1"/>
    <col min="263" max="263" width="9.88671875" style="5219" customWidth="1"/>
    <col min="264" max="264" width="0.44140625" style="5219" customWidth="1"/>
    <col min="265" max="265" width="9.109375" style="5219"/>
    <col min="266" max="266" width="19.44140625" style="5219" customWidth="1"/>
    <col min="267" max="267" width="14" style="5219" bestFit="1" customWidth="1"/>
    <col min="268" max="272" width="19.109375" style="5219" customWidth="1"/>
    <col min="273" max="273" width="19.44140625" style="5219" customWidth="1"/>
    <col min="274" max="274" width="14" style="5219" customWidth="1"/>
    <col min="275" max="275" width="11.109375" style="5219" customWidth="1"/>
    <col min="276" max="276" width="15.44140625" style="5219" customWidth="1"/>
    <col min="277" max="512" width="9.109375" style="5219"/>
    <col min="513" max="513" width="4.44140625" style="5219" customWidth="1"/>
    <col min="514" max="514" width="32.44140625" style="5219" customWidth="1"/>
    <col min="515" max="515" width="13.88671875" style="5219" customWidth="1"/>
    <col min="516" max="516" width="17.88671875" style="5219" customWidth="1"/>
    <col min="517" max="517" width="13.88671875" style="5219" customWidth="1"/>
    <col min="518" max="518" width="8.44140625" style="5219" customWidth="1"/>
    <col min="519" max="519" width="9.88671875" style="5219" customWidth="1"/>
    <col min="520" max="520" width="0.44140625" style="5219" customWidth="1"/>
    <col min="521" max="521" width="9.109375" style="5219"/>
    <col min="522" max="522" width="19.44140625" style="5219" customWidth="1"/>
    <col min="523" max="523" width="14" style="5219" bestFit="1" customWidth="1"/>
    <col min="524" max="528" width="19.109375" style="5219" customWidth="1"/>
    <col min="529" max="529" width="19.44140625" style="5219" customWidth="1"/>
    <col min="530" max="530" width="14" style="5219" customWidth="1"/>
    <col min="531" max="531" width="11.109375" style="5219" customWidth="1"/>
    <col min="532" max="532" width="15.44140625" style="5219" customWidth="1"/>
    <col min="533" max="768" width="9.109375" style="5219"/>
    <col min="769" max="769" width="4.44140625" style="5219" customWidth="1"/>
    <col min="770" max="770" width="32.44140625" style="5219" customWidth="1"/>
    <col min="771" max="771" width="13.88671875" style="5219" customWidth="1"/>
    <col min="772" max="772" width="17.88671875" style="5219" customWidth="1"/>
    <col min="773" max="773" width="13.88671875" style="5219" customWidth="1"/>
    <col min="774" max="774" width="8.44140625" style="5219" customWidth="1"/>
    <col min="775" max="775" width="9.88671875" style="5219" customWidth="1"/>
    <col min="776" max="776" width="0.44140625" style="5219" customWidth="1"/>
    <col min="777" max="777" width="9.109375" style="5219"/>
    <col min="778" max="778" width="19.44140625" style="5219" customWidth="1"/>
    <col min="779" max="779" width="14" style="5219" bestFit="1" customWidth="1"/>
    <col min="780" max="784" width="19.109375" style="5219" customWidth="1"/>
    <col min="785" max="785" width="19.44140625" style="5219" customWidth="1"/>
    <col min="786" max="786" width="14" style="5219" customWidth="1"/>
    <col min="787" max="787" width="11.109375" style="5219" customWidth="1"/>
    <col min="788" max="788" width="15.44140625" style="5219" customWidth="1"/>
    <col min="789" max="1024" width="9.109375" style="5219"/>
    <col min="1025" max="1025" width="4.44140625" style="5219" customWidth="1"/>
    <col min="1026" max="1026" width="32.44140625" style="5219" customWidth="1"/>
    <col min="1027" max="1027" width="13.88671875" style="5219" customWidth="1"/>
    <col min="1028" max="1028" width="17.88671875" style="5219" customWidth="1"/>
    <col min="1029" max="1029" width="13.88671875" style="5219" customWidth="1"/>
    <col min="1030" max="1030" width="8.44140625" style="5219" customWidth="1"/>
    <col min="1031" max="1031" width="9.88671875" style="5219" customWidth="1"/>
    <col min="1032" max="1032" width="0.44140625" style="5219" customWidth="1"/>
    <col min="1033" max="1033" width="9.109375" style="5219"/>
    <col min="1034" max="1034" width="19.44140625" style="5219" customWidth="1"/>
    <col min="1035" max="1035" width="14" style="5219" bestFit="1" customWidth="1"/>
    <col min="1036" max="1040" width="19.109375" style="5219" customWidth="1"/>
    <col min="1041" max="1041" width="19.44140625" style="5219" customWidth="1"/>
    <col min="1042" max="1042" width="14" style="5219" customWidth="1"/>
    <col min="1043" max="1043" width="11.109375" style="5219" customWidth="1"/>
    <col min="1044" max="1044" width="15.44140625" style="5219" customWidth="1"/>
    <col min="1045" max="1280" width="9.109375" style="5219"/>
    <col min="1281" max="1281" width="4.44140625" style="5219" customWidth="1"/>
    <col min="1282" max="1282" width="32.44140625" style="5219" customWidth="1"/>
    <col min="1283" max="1283" width="13.88671875" style="5219" customWidth="1"/>
    <col min="1284" max="1284" width="17.88671875" style="5219" customWidth="1"/>
    <col min="1285" max="1285" width="13.88671875" style="5219" customWidth="1"/>
    <col min="1286" max="1286" width="8.44140625" style="5219" customWidth="1"/>
    <col min="1287" max="1287" width="9.88671875" style="5219" customWidth="1"/>
    <col min="1288" max="1288" width="0.44140625" style="5219" customWidth="1"/>
    <col min="1289" max="1289" width="9.109375" style="5219"/>
    <col min="1290" max="1290" width="19.44140625" style="5219" customWidth="1"/>
    <col min="1291" max="1291" width="14" style="5219" bestFit="1" customWidth="1"/>
    <col min="1292" max="1296" width="19.109375" style="5219" customWidth="1"/>
    <col min="1297" max="1297" width="19.44140625" style="5219" customWidth="1"/>
    <col min="1298" max="1298" width="14" style="5219" customWidth="1"/>
    <col min="1299" max="1299" width="11.109375" style="5219" customWidth="1"/>
    <col min="1300" max="1300" width="15.44140625" style="5219" customWidth="1"/>
    <col min="1301" max="1536" width="9.109375" style="5219"/>
    <col min="1537" max="1537" width="4.44140625" style="5219" customWidth="1"/>
    <col min="1538" max="1538" width="32.44140625" style="5219" customWidth="1"/>
    <col min="1539" max="1539" width="13.88671875" style="5219" customWidth="1"/>
    <col min="1540" max="1540" width="17.88671875" style="5219" customWidth="1"/>
    <col min="1541" max="1541" width="13.88671875" style="5219" customWidth="1"/>
    <col min="1542" max="1542" width="8.44140625" style="5219" customWidth="1"/>
    <col min="1543" max="1543" width="9.88671875" style="5219" customWidth="1"/>
    <col min="1544" max="1544" width="0.44140625" style="5219" customWidth="1"/>
    <col min="1545" max="1545" width="9.109375" style="5219"/>
    <col min="1546" max="1546" width="19.44140625" style="5219" customWidth="1"/>
    <col min="1547" max="1547" width="14" style="5219" bestFit="1" customWidth="1"/>
    <col min="1548" max="1552" width="19.109375" style="5219" customWidth="1"/>
    <col min="1553" max="1553" width="19.44140625" style="5219" customWidth="1"/>
    <col min="1554" max="1554" width="14" style="5219" customWidth="1"/>
    <col min="1555" max="1555" width="11.109375" style="5219" customWidth="1"/>
    <col min="1556" max="1556" width="15.44140625" style="5219" customWidth="1"/>
    <col min="1557" max="1792" width="9.109375" style="5219"/>
    <col min="1793" max="1793" width="4.44140625" style="5219" customWidth="1"/>
    <col min="1794" max="1794" width="32.44140625" style="5219" customWidth="1"/>
    <col min="1795" max="1795" width="13.88671875" style="5219" customWidth="1"/>
    <col min="1796" max="1796" width="17.88671875" style="5219" customWidth="1"/>
    <col min="1797" max="1797" width="13.88671875" style="5219" customWidth="1"/>
    <col min="1798" max="1798" width="8.44140625" style="5219" customWidth="1"/>
    <col min="1799" max="1799" width="9.88671875" style="5219" customWidth="1"/>
    <col min="1800" max="1800" width="0.44140625" style="5219" customWidth="1"/>
    <col min="1801" max="1801" width="9.109375" style="5219"/>
    <col min="1802" max="1802" width="19.44140625" style="5219" customWidth="1"/>
    <col min="1803" max="1803" width="14" style="5219" bestFit="1" customWidth="1"/>
    <col min="1804" max="1808" width="19.109375" style="5219" customWidth="1"/>
    <col min="1809" max="1809" width="19.44140625" style="5219" customWidth="1"/>
    <col min="1810" max="1810" width="14" style="5219" customWidth="1"/>
    <col min="1811" max="1811" width="11.109375" style="5219" customWidth="1"/>
    <col min="1812" max="1812" width="15.44140625" style="5219" customWidth="1"/>
    <col min="1813" max="2048" width="9.109375" style="5219"/>
    <col min="2049" max="2049" width="4.44140625" style="5219" customWidth="1"/>
    <col min="2050" max="2050" width="32.44140625" style="5219" customWidth="1"/>
    <col min="2051" max="2051" width="13.88671875" style="5219" customWidth="1"/>
    <col min="2052" max="2052" width="17.88671875" style="5219" customWidth="1"/>
    <col min="2053" max="2053" width="13.88671875" style="5219" customWidth="1"/>
    <col min="2054" max="2054" width="8.44140625" style="5219" customWidth="1"/>
    <col min="2055" max="2055" width="9.88671875" style="5219" customWidth="1"/>
    <col min="2056" max="2056" width="0.44140625" style="5219" customWidth="1"/>
    <col min="2057" max="2057" width="9.109375" style="5219"/>
    <col min="2058" max="2058" width="19.44140625" style="5219" customWidth="1"/>
    <col min="2059" max="2059" width="14" style="5219" bestFit="1" customWidth="1"/>
    <col min="2060" max="2064" width="19.109375" style="5219" customWidth="1"/>
    <col min="2065" max="2065" width="19.44140625" style="5219" customWidth="1"/>
    <col min="2066" max="2066" width="14" style="5219" customWidth="1"/>
    <col min="2067" max="2067" width="11.109375" style="5219" customWidth="1"/>
    <col min="2068" max="2068" width="15.44140625" style="5219" customWidth="1"/>
    <col min="2069" max="2304" width="9.109375" style="5219"/>
    <col min="2305" max="2305" width="4.44140625" style="5219" customWidth="1"/>
    <col min="2306" max="2306" width="32.44140625" style="5219" customWidth="1"/>
    <col min="2307" max="2307" width="13.88671875" style="5219" customWidth="1"/>
    <col min="2308" max="2308" width="17.88671875" style="5219" customWidth="1"/>
    <col min="2309" max="2309" width="13.88671875" style="5219" customWidth="1"/>
    <col min="2310" max="2310" width="8.44140625" style="5219" customWidth="1"/>
    <col min="2311" max="2311" width="9.88671875" style="5219" customWidth="1"/>
    <col min="2312" max="2312" width="0.44140625" style="5219" customWidth="1"/>
    <col min="2313" max="2313" width="9.109375" style="5219"/>
    <col min="2314" max="2314" width="19.44140625" style="5219" customWidth="1"/>
    <col min="2315" max="2315" width="14" style="5219" bestFit="1" customWidth="1"/>
    <col min="2316" max="2320" width="19.109375" style="5219" customWidth="1"/>
    <col min="2321" max="2321" width="19.44140625" style="5219" customWidth="1"/>
    <col min="2322" max="2322" width="14" style="5219" customWidth="1"/>
    <col min="2323" max="2323" width="11.109375" style="5219" customWidth="1"/>
    <col min="2324" max="2324" width="15.44140625" style="5219" customWidth="1"/>
    <col min="2325" max="2560" width="9.109375" style="5219"/>
    <col min="2561" max="2561" width="4.44140625" style="5219" customWidth="1"/>
    <col min="2562" max="2562" width="32.44140625" style="5219" customWidth="1"/>
    <col min="2563" max="2563" width="13.88671875" style="5219" customWidth="1"/>
    <col min="2564" max="2564" width="17.88671875" style="5219" customWidth="1"/>
    <col min="2565" max="2565" width="13.88671875" style="5219" customWidth="1"/>
    <col min="2566" max="2566" width="8.44140625" style="5219" customWidth="1"/>
    <col min="2567" max="2567" width="9.88671875" style="5219" customWidth="1"/>
    <col min="2568" max="2568" width="0.44140625" style="5219" customWidth="1"/>
    <col min="2569" max="2569" width="9.109375" style="5219"/>
    <col min="2570" max="2570" width="19.44140625" style="5219" customWidth="1"/>
    <col min="2571" max="2571" width="14" style="5219" bestFit="1" customWidth="1"/>
    <col min="2572" max="2576" width="19.109375" style="5219" customWidth="1"/>
    <col min="2577" max="2577" width="19.44140625" style="5219" customWidth="1"/>
    <col min="2578" max="2578" width="14" style="5219" customWidth="1"/>
    <col min="2579" max="2579" width="11.109375" style="5219" customWidth="1"/>
    <col min="2580" max="2580" width="15.44140625" style="5219" customWidth="1"/>
    <col min="2581" max="2816" width="9.109375" style="5219"/>
    <col min="2817" max="2817" width="4.44140625" style="5219" customWidth="1"/>
    <col min="2818" max="2818" width="32.44140625" style="5219" customWidth="1"/>
    <col min="2819" max="2819" width="13.88671875" style="5219" customWidth="1"/>
    <col min="2820" max="2820" width="17.88671875" style="5219" customWidth="1"/>
    <col min="2821" max="2821" width="13.88671875" style="5219" customWidth="1"/>
    <col min="2822" max="2822" width="8.44140625" style="5219" customWidth="1"/>
    <col min="2823" max="2823" width="9.88671875" style="5219" customWidth="1"/>
    <col min="2824" max="2824" width="0.44140625" style="5219" customWidth="1"/>
    <col min="2825" max="2825" width="9.109375" style="5219"/>
    <col min="2826" max="2826" width="19.44140625" style="5219" customWidth="1"/>
    <col min="2827" max="2827" width="14" style="5219" bestFit="1" customWidth="1"/>
    <col min="2828" max="2832" width="19.109375" style="5219" customWidth="1"/>
    <col min="2833" max="2833" width="19.44140625" style="5219" customWidth="1"/>
    <col min="2834" max="2834" width="14" style="5219" customWidth="1"/>
    <col min="2835" max="2835" width="11.109375" style="5219" customWidth="1"/>
    <col min="2836" max="2836" width="15.44140625" style="5219" customWidth="1"/>
    <col min="2837" max="3072" width="9.109375" style="5219"/>
    <col min="3073" max="3073" width="4.44140625" style="5219" customWidth="1"/>
    <col min="3074" max="3074" width="32.44140625" style="5219" customWidth="1"/>
    <col min="3075" max="3075" width="13.88671875" style="5219" customWidth="1"/>
    <col min="3076" max="3076" width="17.88671875" style="5219" customWidth="1"/>
    <col min="3077" max="3077" width="13.88671875" style="5219" customWidth="1"/>
    <col min="3078" max="3078" width="8.44140625" style="5219" customWidth="1"/>
    <col min="3079" max="3079" width="9.88671875" style="5219" customWidth="1"/>
    <col min="3080" max="3080" width="0.44140625" style="5219" customWidth="1"/>
    <col min="3081" max="3081" width="9.109375" style="5219"/>
    <col min="3082" max="3082" width="19.44140625" style="5219" customWidth="1"/>
    <col min="3083" max="3083" width="14" style="5219" bestFit="1" customWidth="1"/>
    <col min="3084" max="3088" width="19.109375" style="5219" customWidth="1"/>
    <col min="3089" max="3089" width="19.44140625" style="5219" customWidth="1"/>
    <col min="3090" max="3090" width="14" style="5219" customWidth="1"/>
    <col min="3091" max="3091" width="11.109375" style="5219" customWidth="1"/>
    <col min="3092" max="3092" width="15.44140625" style="5219" customWidth="1"/>
    <col min="3093" max="3328" width="9.109375" style="5219"/>
    <col min="3329" max="3329" width="4.44140625" style="5219" customWidth="1"/>
    <col min="3330" max="3330" width="32.44140625" style="5219" customWidth="1"/>
    <col min="3331" max="3331" width="13.88671875" style="5219" customWidth="1"/>
    <col min="3332" max="3332" width="17.88671875" style="5219" customWidth="1"/>
    <col min="3333" max="3333" width="13.88671875" style="5219" customWidth="1"/>
    <col min="3334" max="3334" width="8.44140625" style="5219" customWidth="1"/>
    <col min="3335" max="3335" width="9.88671875" style="5219" customWidth="1"/>
    <col min="3336" max="3336" width="0.44140625" style="5219" customWidth="1"/>
    <col min="3337" max="3337" width="9.109375" style="5219"/>
    <col min="3338" max="3338" width="19.44140625" style="5219" customWidth="1"/>
    <col min="3339" max="3339" width="14" style="5219" bestFit="1" customWidth="1"/>
    <col min="3340" max="3344" width="19.109375" style="5219" customWidth="1"/>
    <col min="3345" max="3345" width="19.44140625" style="5219" customWidth="1"/>
    <col min="3346" max="3346" width="14" style="5219" customWidth="1"/>
    <col min="3347" max="3347" width="11.109375" style="5219" customWidth="1"/>
    <col min="3348" max="3348" width="15.44140625" style="5219" customWidth="1"/>
    <col min="3349" max="3584" width="9.109375" style="5219"/>
    <col min="3585" max="3585" width="4.44140625" style="5219" customWidth="1"/>
    <col min="3586" max="3586" width="32.44140625" style="5219" customWidth="1"/>
    <col min="3587" max="3587" width="13.88671875" style="5219" customWidth="1"/>
    <col min="3588" max="3588" width="17.88671875" style="5219" customWidth="1"/>
    <col min="3589" max="3589" width="13.88671875" style="5219" customWidth="1"/>
    <col min="3590" max="3590" width="8.44140625" style="5219" customWidth="1"/>
    <col min="3591" max="3591" width="9.88671875" style="5219" customWidth="1"/>
    <col min="3592" max="3592" width="0.44140625" style="5219" customWidth="1"/>
    <col min="3593" max="3593" width="9.109375" style="5219"/>
    <col min="3594" max="3594" width="19.44140625" style="5219" customWidth="1"/>
    <col min="3595" max="3595" width="14" style="5219" bestFit="1" customWidth="1"/>
    <col min="3596" max="3600" width="19.109375" style="5219" customWidth="1"/>
    <col min="3601" max="3601" width="19.44140625" style="5219" customWidth="1"/>
    <col min="3602" max="3602" width="14" style="5219" customWidth="1"/>
    <col min="3603" max="3603" width="11.109375" style="5219" customWidth="1"/>
    <col min="3604" max="3604" width="15.44140625" style="5219" customWidth="1"/>
    <col min="3605" max="3840" width="9.109375" style="5219"/>
    <col min="3841" max="3841" width="4.44140625" style="5219" customWidth="1"/>
    <col min="3842" max="3842" width="32.44140625" style="5219" customWidth="1"/>
    <col min="3843" max="3843" width="13.88671875" style="5219" customWidth="1"/>
    <col min="3844" max="3844" width="17.88671875" style="5219" customWidth="1"/>
    <col min="3845" max="3845" width="13.88671875" style="5219" customWidth="1"/>
    <col min="3846" max="3846" width="8.44140625" style="5219" customWidth="1"/>
    <col min="3847" max="3847" width="9.88671875" style="5219" customWidth="1"/>
    <col min="3848" max="3848" width="0.44140625" style="5219" customWidth="1"/>
    <col min="3849" max="3849" width="9.109375" style="5219"/>
    <col min="3850" max="3850" width="19.44140625" style="5219" customWidth="1"/>
    <col min="3851" max="3851" width="14" style="5219" bestFit="1" customWidth="1"/>
    <col min="3852" max="3856" width="19.109375" style="5219" customWidth="1"/>
    <col min="3857" max="3857" width="19.44140625" style="5219" customWidth="1"/>
    <col min="3858" max="3858" width="14" style="5219" customWidth="1"/>
    <col min="3859" max="3859" width="11.109375" style="5219" customWidth="1"/>
    <col min="3860" max="3860" width="15.44140625" style="5219" customWidth="1"/>
    <col min="3861" max="4096" width="9.109375" style="5219"/>
    <col min="4097" max="4097" width="4.44140625" style="5219" customWidth="1"/>
    <col min="4098" max="4098" width="32.44140625" style="5219" customWidth="1"/>
    <col min="4099" max="4099" width="13.88671875" style="5219" customWidth="1"/>
    <col min="4100" max="4100" width="17.88671875" style="5219" customWidth="1"/>
    <col min="4101" max="4101" width="13.88671875" style="5219" customWidth="1"/>
    <col min="4102" max="4102" width="8.44140625" style="5219" customWidth="1"/>
    <col min="4103" max="4103" width="9.88671875" style="5219" customWidth="1"/>
    <col min="4104" max="4104" width="0.44140625" style="5219" customWidth="1"/>
    <col min="4105" max="4105" width="9.109375" style="5219"/>
    <col min="4106" max="4106" width="19.44140625" style="5219" customWidth="1"/>
    <col min="4107" max="4107" width="14" style="5219" bestFit="1" customWidth="1"/>
    <col min="4108" max="4112" width="19.109375" style="5219" customWidth="1"/>
    <col min="4113" max="4113" width="19.44140625" style="5219" customWidth="1"/>
    <col min="4114" max="4114" width="14" style="5219" customWidth="1"/>
    <col min="4115" max="4115" width="11.109375" style="5219" customWidth="1"/>
    <col min="4116" max="4116" width="15.44140625" style="5219" customWidth="1"/>
    <col min="4117" max="4352" width="9.109375" style="5219"/>
    <col min="4353" max="4353" width="4.44140625" style="5219" customWidth="1"/>
    <col min="4354" max="4354" width="32.44140625" style="5219" customWidth="1"/>
    <col min="4355" max="4355" width="13.88671875" style="5219" customWidth="1"/>
    <col min="4356" max="4356" width="17.88671875" style="5219" customWidth="1"/>
    <col min="4357" max="4357" width="13.88671875" style="5219" customWidth="1"/>
    <col min="4358" max="4358" width="8.44140625" style="5219" customWidth="1"/>
    <col min="4359" max="4359" width="9.88671875" style="5219" customWidth="1"/>
    <col min="4360" max="4360" width="0.44140625" style="5219" customWidth="1"/>
    <col min="4361" max="4361" width="9.109375" style="5219"/>
    <col min="4362" max="4362" width="19.44140625" style="5219" customWidth="1"/>
    <col min="4363" max="4363" width="14" style="5219" bestFit="1" customWidth="1"/>
    <col min="4364" max="4368" width="19.109375" style="5219" customWidth="1"/>
    <col min="4369" max="4369" width="19.44140625" style="5219" customWidth="1"/>
    <col min="4370" max="4370" width="14" style="5219" customWidth="1"/>
    <col min="4371" max="4371" width="11.109375" style="5219" customWidth="1"/>
    <col min="4372" max="4372" width="15.44140625" style="5219" customWidth="1"/>
    <col min="4373" max="4608" width="9.109375" style="5219"/>
    <col min="4609" max="4609" width="4.44140625" style="5219" customWidth="1"/>
    <col min="4610" max="4610" width="32.44140625" style="5219" customWidth="1"/>
    <col min="4611" max="4611" width="13.88671875" style="5219" customWidth="1"/>
    <col min="4612" max="4612" width="17.88671875" style="5219" customWidth="1"/>
    <col min="4613" max="4613" width="13.88671875" style="5219" customWidth="1"/>
    <col min="4614" max="4614" width="8.44140625" style="5219" customWidth="1"/>
    <col min="4615" max="4615" width="9.88671875" style="5219" customWidth="1"/>
    <col min="4616" max="4616" width="0.44140625" style="5219" customWidth="1"/>
    <col min="4617" max="4617" width="9.109375" style="5219"/>
    <col min="4618" max="4618" width="19.44140625" style="5219" customWidth="1"/>
    <col min="4619" max="4619" width="14" style="5219" bestFit="1" customWidth="1"/>
    <col min="4620" max="4624" width="19.109375" style="5219" customWidth="1"/>
    <col min="4625" max="4625" width="19.44140625" style="5219" customWidth="1"/>
    <col min="4626" max="4626" width="14" style="5219" customWidth="1"/>
    <col min="4627" max="4627" width="11.109375" style="5219" customWidth="1"/>
    <col min="4628" max="4628" width="15.44140625" style="5219" customWidth="1"/>
    <col min="4629" max="4864" width="9.109375" style="5219"/>
    <col min="4865" max="4865" width="4.44140625" style="5219" customWidth="1"/>
    <col min="4866" max="4866" width="32.44140625" style="5219" customWidth="1"/>
    <col min="4867" max="4867" width="13.88671875" style="5219" customWidth="1"/>
    <col min="4868" max="4868" width="17.88671875" style="5219" customWidth="1"/>
    <col min="4869" max="4869" width="13.88671875" style="5219" customWidth="1"/>
    <col min="4870" max="4870" width="8.44140625" style="5219" customWidth="1"/>
    <col min="4871" max="4871" width="9.88671875" style="5219" customWidth="1"/>
    <col min="4872" max="4872" width="0.44140625" style="5219" customWidth="1"/>
    <col min="4873" max="4873" width="9.109375" style="5219"/>
    <col min="4874" max="4874" width="19.44140625" style="5219" customWidth="1"/>
    <col min="4875" max="4875" width="14" style="5219" bestFit="1" customWidth="1"/>
    <col min="4876" max="4880" width="19.109375" style="5219" customWidth="1"/>
    <col min="4881" max="4881" width="19.44140625" style="5219" customWidth="1"/>
    <col min="4882" max="4882" width="14" style="5219" customWidth="1"/>
    <col min="4883" max="4883" width="11.109375" style="5219" customWidth="1"/>
    <col min="4884" max="4884" width="15.44140625" style="5219" customWidth="1"/>
    <col min="4885" max="5120" width="9.109375" style="5219"/>
    <col min="5121" max="5121" width="4.44140625" style="5219" customWidth="1"/>
    <col min="5122" max="5122" width="32.44140625" style="5219" customWidth="1"/>
    <col min="5123" max="5123" width="13.88671875" style="5219" customWidth="1"/>
    <col min="5124" max="5124" width="17.88671875" style="5219" customWidth="1"/>
    <col min="5125" max="5125" width="13.88671875" style="5219" customWidth="1"/>
    <col min="5126" max="5126" width="8.44140625" style="5219" customWidth="1"/>
    <col min="5127" max="5127" width="9.88671875" style="5219" customWidth="1"/>
    <col min="5128" max="5128" width="0.44140625" style="5219" customWidth="1"/>
    <col min="5129" max="5129" width="9.109375" style="5219"/>
    <col min="5130" max="5130" width="19.44140625" style="5219" customWidth="1"/>
    <col min="5131" max="5131" width="14" style="5219" bestFit="1" customWidth="1"/>
    <col min="5132" max="5136" width="19.109375" style="5219" customWidth="1"/>
    <col min="5137" max="5137" width="19.44140625" style="5219" customWidth="1"/>
    <col min="5138" max="5138" width="14" style="5219" customWidth="1"/>
    <col min="5139" max="5139" width="11.109375" style="5219" customWidth="1"/>
    <col min="5140" max="5140" width="15.44140625" style="5219" customWidth="1"/>
    <col min="5141" max="5376" width="9.109375" style="5219"/>
    <col min="5377" max="5377" width="4.44140625" style="5219" customWidth="1"/>
    <col min="5378" max="5378" width="32.44140625" style="5219" customWidth="1"/>
    <col min="5379" max="5379" width="13.88671875" style="5219" customWidth="1"/>
    <col min="5380" max="5380" width="17.88671875" style="5219" customWidth="1"/>
    <col min="5381" max="5381" width="13.88671875" style="5219" customWidth="1"/>
    <col min="5382" max="5382" width="8.44140625" style="5219" customWidth="1"/>
    <col min="5383" max="5383" width="9.88671875" style="5219" customWidth="1"/>
    <col min="5384" max="5384" width="0.44140625" style="5219" customWidth="1"/>
    <col min="5385" max="5385" width="9.109375" style="5219"/>
    <col min="5386" max="5386" width="19.44140625" style="5219" customWidth="1"/>
    <col min="5387" max="5387" width="14" style="5219" bestFit="1" customWidth="1"/>
    <col min="5388" max="5392" width="19.109375" style="5219" customWidth="1"/>
    <col min="5393" max="5393" width="19.44140625" style="5219" customWidth="1"/>
    <col min="5394" max="5394" width="14" style="5219" customWidth="1"/>
    <col min="5395" max="5395" width="11.109375" style="5219" customWidth="1"/>
    <col min="5396" max="5396" width="15.44140625" style="5219" customWidth="1"/>
    <col min="5397" max="5632" width="9.109375" style="5219"/>
    <col min="5633" max="5633" width="4.44140625" style="5219" customWidth="1"/>
    <col min="5634" max="5634" width="32.44140625" style="5219" customWidth="1"/>
    <col min="5635" max="5635" width="13.88671875" style="5219" customWidth="1"/>
    <col min="5636" max="5636" width="17.88671875" style="5219" customWidth="1"/>
    <col min="5637" max="5637" width="13.88671875" style="5219" customWidth="1"/>
    <col min="5638" max="5638" width="8.44140625" style="5219" customWidth="1"/>
    <col min="5639" max="5639" width="9.88671875" style="5219" customWidth="1"/>
    <col min="5640" max="5640" width="0.44140625" style="5219" customWidth="1"/>
    <col min="5641" max="5641" width="9.109375" style="5219"/>
    <col min="5642" max="5642" width="19.44140625" style="5219" customWidth="1"/>
    <col min="5643" max="5643" width="14" style="5219" bestFit="1" customWidth="1"/>
    <col min="5644" max="5648" width="19.109375" style="5219" customWidth="1"/>
    <col min="5649" max="5649" width="19.44140625" style="5219" customWidth="1"/>
    <col min="5650" max="5650" width="14" style="5219" customWidth="1"/>
    <col min="5651" max="5651" width="11.109375" style="5219" customWidth="1"/>
    <col min="5652" max="5652" width="15.44140625" style="5219" customWidth="1"/>
    <col min="5653" max="5888" width="9.109375" style="5219"/>
    <col min="5889" max="5889" width="4.44140625" style="5219" customWidth="1"/>
    <col min="5890" max="5890" width="32.44140625" style="5219" customWidth="1"/>
    <col min="5891" max="5891" width="13.88671875" style="5219" customWidth="1"/>
    <col min="5892" max="5892" width="17.88671875" style="5219" customWidth="1"/>
    <col min="5893" max="5893" width="13.88671875" style="5219" customWidth="1"/>
    <col min="5894" max="5894" width="8.44140625" style="5219" customWidth="1"/>
    <col min="5895" max="5895" width="9.88671875" style="5219" customWidth="1"/>
    <col min="5896" max="5896" width="0.44140625" style="5219" customWidth="1"/>
    <col min="5897" max="5897" width="9.109375" style="5219"/>
    <col min="5898" max="5898" width="19.44140625" style="5219" customWidth="1"/>
    <col min="5899" max="5899" width="14" style="5219" bestFit="1" customWidth="1"/>
    <col min="5900" max="5904" width="19.109375" style="5219" customWidth="1"/>
    <col min="5905" max="5905" width="19.44140625" style="5219" customWidth="1"/>
    <col min="5906" max="5906" width="14" style="5219" customWidth="1"/>
    <col min="5907" max="5907" width="11.109375" style="5219" customWidth="1"/>
    <col min="5908" max="5908" width="15.44140625" style="5219" customWidth="1"/>
    <col min="5909" max="6144" width="9.109375" style="5219"/>
    <col min="6145" max="6145" width="4.44140625" style="5219" customWidth="1"/>
    <col min="6146" max="6146" width="32.44140625" style="5219" customWidth="1"/>
    <col min="6147" max="6147" width="13.88671875" style="5219" customWidth="1"/>
    <col min="6148" max="6148" width="17.88671875" style="5219" customWidth="1"/>
    <col min="6149" max="6149" width="13.88671875" style="5219" customWidth="1"/>
    <col min="6150" max="6150" width="8.44140625" style="5219" customWidth="1"/>
    <col min="6151" max="6151" width="9.88671875" style="5219" customWidth="1"/>
    <col min="6152" max="6152" width="0.44140625" style="5219" customWidth="1"/>
    <col min="6153" max="6153" width="9.109375" style="5219"/>
    <col min="6154" max="6154" width="19.44140625" style="5219" customWidth="1"/>
    <col min="6155" max="6155" width="14" style="5219" bestFit="1" customWidth="1"/>
    <col min="6156" max="6160" width="19.109375" style="5219" customWidth="1"/>
    <col min="6161" max="6161" width="19.44140625" style="5219" customWidth="1"/>
    <col min="6162" max="6162" width="14" style="5219" customWidth="1"/>
    <col min="6163" max="6163" width="11.109375" style="5219" customWidth="1"/>
    <col min="6164" max="6164" width="15.44140625" style="5219" customWidth="1"/>
    <col min="6165" max="6400" width="9.109375" style="5219"/>
    <col min="6401" max="6401" width="4.44140625" style="5219" customWidth="1"/>
    <col min="6402" max="6402" width="32.44140625" style="5219" customWidth="1"/>
    <col min="6403" max="6403" width="13.88671875" style="5219" customWidth="1"/>
    <col min="6404" max="6404" width="17.88671875" style="5219" customWidth="1"/>
    <col min="6405" max="6405" width="13.88671875" style="5219" customWidth="1"/>
    <col min="6406" max="6406" width="8.44140625" style="5219" customWidth="1"/>
    <col min="6407" max="6407" width="9.88671875" style="5219" customWidth="1"/>
    <col min="6408" max="6408" width="0.44140625" style="5219" customWidth="1"/>
    <col min="6409" max="6409" width="9.109375" style="5219"/>
    <col min="6410" max="6410" width="19.44140625" style="5219" customWidth="1"/>
    <col min="6411" max="6411" width="14" style="5219" bestFit="1" customWidth="1"/>
    <col min="6412" max="6416" width="19.109375" style="5219" customWidth="1"/>
    <col min="6417" max="6417" width="19.44140625" style="5219" customWidth="1"/>
    <col min="6418" max="6418" width="14" style="5219" customWidth="1"/>
    <col min="6419" max="6419" width="11.109375" style="5219" customWidth="1"/>
    <col min="6420" max="6420" width="15.44140625" style="5219" customWidth="1"/>
    <col min="6421" max="6656" width="9.109375" style="5219"/>
    <col min="6657" max="6657" width="4.44140625" style="5219" customWidth="1"/>
    <col min="6658" max="6658" width="32.44140625" style="5219" customWidth="1"/>
    <col min="6659" max="6659" width="13.88671875" style="5219" customWidth="1"/>
    <col min="6660" max="6660" width="17.88671875" style="5219" customWidth="1"/>
    <col min="6661" max="6661" width="13.88671875" style="5219" customWidth="1"/>
    <col min="6662" max="6662" width="8.44140625" style="5219" customWidth="1"/>
    <col min="6663" max="6663" width="9.88671875" style="5219" customWidth="1"/>
    <col min="6664" max="6664" width="0.44140625" style="5219" customWidth="1"/>
    <col min="6665" max="6665" width="9.109375" style="5219"/>
    <col min="6666" max="6666" width="19.44140625" style="5219" customWidth="1"/>
    <col min="6667" max="6667" width="14" style="5219" bestFit="1" customWidth="1"/>
    <col min="6668" max="6672" width="19.109375" style="5219" customWidth="1"/>
    <col min="6673" max="6673" width="19.44140625" style="5219" customWidth="1"/>
    <col min="6674" max="6674" width="14" style="5219" customWidth="1"/>
    <col min="6675" max="6675" width="11.109375" style="5219" customWidth="1"/>
    <col min="6676" max="6676" width="15.44140625" style="5219" customWidth="1"/>
    <col min="6677" max="6912" width="9.109375" style="5219"/>
    <col min="6913" max="6913" width="4.44140625" style="5219" customWidth="1"/>
    <col min="6914" max="6914" width="32.44140625" style="5219" customWidth="1"/>
    <col min="6915" max="6915" width="13.88671875" style="5219" customWidth="1"/>
    <col min="6916" max="6916" width="17.88671875" style="5219" customWidth="1"/>
    <col min="6917" max="6917" width="13.88671875" style="5219" customWidth="1"/>
    <col min="6918" max="6918" width="8.44140625" style="5219" customWidth="1"/>
    <col min="6919" max="6919" width="9.88671875" style="5219" customWidth="1"/>
    <col min="6920" max="6920" width="0.44140625" style="5219" customWidth="1"/>
    <col min="6921" max="6921" width="9.109375" style="5219"/>
    <col min="6922" max="6922" width="19.44140625" style="5219" customWidth="1"/>
    <col min="6923" max="6923" width="14" style="5219" bestFit="1" customWidth="1"/>
    <col min="6924" max="6928" width="19.109375" style="5219" customWidth="1"/>
    <col min="6929" max="6929" width="19.44140625" style="5219" customWidth="1"/>
    <col min="6930" max="6930" width="14" style="5219" customWidth="1"/>
    <col min="6931" max="6931" width="11.109375" style="5219" customWidth="1"/>
    <col min="6932" max="6932" width="15.44140625" style="5219" customWidth="1"/>
    <col min="6933" max="7168" width="9.109375" style="5219"/>
    <col min="7169" max="7169" width="4.44140625" style="5219" customWidth="1"/>
    <col min="7170" max="7170" width="32.44140625" style="5219" customWidth="1"/>
    <col min="7171" max="7171" width="13.88671875" style="5219" customWidth="1"/>
    <col min="7172" max="7172" width="17.88671875" style="5219" customWidth="1"/>
    <col min="7173" max="7173" width="13.88671875" style="5219" customWidth="1"/>
    <col min="7174" max="7174" width="8.44140625" style="5219" customWidth="1"/>
    <col min="7175" max="7175" width="9.88671875" style="5219" customWidth="1"/>
    <col min="7176" max="7176" width="0.44140625" style="5219" customWidth="1"/>
    <col min="7177" max="7177" width="9.109375" style="5219"/>
    <col min="7178" max="7178" width="19.44140625" style="5219" customWidth="1"/>
    <col min="7179" max="7179" width="14" style="5219" bestFit="1" customWidth="1"/>
    <col min="7180" max="7184" width="19.109375" style="5219" customWidth="1"/>
    <col min="7185" max="7185" width="19.44140625" style="5219" customWidth="1"/>
    <col min="7186" max="7186" width="14" style="5219" customWidth="1"/>
    <col min="7187" max="7187" width="11.109375" style="5219" customWidth="1"/>
    <col min="7188" max="7188" width="15.44140625" style="5219" customWidth="1"/>
    <col min="7189" max="7424" width="9.109375" style="5219"/>
    <col min="7425" max="7425" width="4.44140625" style="5219" customWidth="1"/>
    <col min="7426" max="7426" width="32.44140625" style="5219" customWidth="1"/>
    <col min="7427" max="7427" width="13.88671875" style="5219" customWidth="1"/>
    <col min="7428" max="7428" width="17.88671875" style="5219" customWidth="1"/>
    <col min="7429" max="7429" width="13.88671875" style="5219" customWidth="1"/>
    <col min="7430" max="7430" width="8.44140625" style="5219" customWidth="1"/>
    <col min="7431" max="7431" width="9.88671875" style="5219" customWidth="1"/>
    <col min="7432" max="7432" width="0.44140625" style="5219" customWidth="1"/>
    <col min="7433" max="7433" width="9.109375" style="5219"/>
    <col min="7434" max="7434" width="19.44140625" style="5219" customWidth="1"/>
    <col min="7435" max="7435" width="14" style="5219" bestFit="1" customWidth="1"/>
    <col min="7436" max="7440" width="19.109375" style="5219" customWidth="1"/>
    <col min="7441" max="7441" width="19.44140625" style="5219" customWidth="1"/>
    <col min="7442" max="7442" width="14" style="5219" customWidth="1"/>
    <col min="7443" max="7443" width="11.109375" style="5219" customWidth="1"/>
    <col min="7444" max="7444" width="15.44140625" style="5219" customWidth="1"/>
    <col min="7445" max="7680" width="9.109375" style="5219"/>
    <col min="7681" max="7681" width="4.44140625" style="5219" customWidth="1"/>
    <col min="7682" max="7682" width="32.44140625" style="5219" customWidth="1"/>
    <col min="7683" max="7683" width="13.88671875" style="5219" customWidth="1"/>
    <col min="7684" max="7684" width="17.88671875" style="5219" customWidth="1"/>
    <col min="7685" max="7685" width="13.88671875" style="5219" customWidth="1"/>
    <col min="7686" max="7686" width="8.44140625" style="5219" customWidth="1"/>
    <col min="7687" max="7687" width="9.88671875" style="5219" customWidth="1"/>
    <col min="7688" max="7688" width="0.44140625" style="5219" customWidth="1"/>
    <col min="7689" max="7689" width="9.109375" style="5219"/>
    <col min="7690" max="7690" width="19.44140625" style="5219" customWidth="1"/>
    <col min="7691" max="7691" width="14" style="5219" bestFit="1" customWidth="1"/>
    <col min="7692" max="7696" width="19.109375" style="5219" customWidth="1"/>
    <col min="7697" max="7697" width="19.44140625" style="5219" customWidth="1"/>
    <col min="7698" max="7698" width="14" style="5219" customWidth="1"/>
    <col min="7699" max="7699" width="11.109375" style="5219" customWidth="1"/>
    <col min="7700" max="7700" width="15.44140625" style="5219" customWidth="1"/>
    <col min="7701" max="7936" width="9.109375" style="5219"/>
    <col min="7937" max="7937" width="4.44140625" style="5219" customWidth="1"/>
    <col min="7938" max="7938" width="32.44140625" style="5219" customWidth="1"/>
    <col min="7939" max="7939" width="13.88671875" style="5219" customWidth="1"/>
    <col min="7940" max="7940" width="17.88671875" style="5219" customWidth="1"/>
    <col min="7941" max="7941" width="13.88671875" style="5219" customWidth="1"/>
    <col min="7942" max="7942" width="8.44140625" style="5219" customWidth="1"/>
    <col min="7943" max="7943" width="9.88671875" style="5219" customWidth="1"/>
    <col min="7944" max="7944" width="0.44140625" style="5219" customWidth="1"/>
    <col min="7945" max="7945" width="9.109375" style="5219"/>
    <col min="7946" max="7946" width="19.44140625" style="5219" customWidth="1"/>
    <col min="7947" max="7947" width="14" style="5219" bestFit="1" customWidth="1"/>
    <col min="7948" max="7952" width="19.109375" style="5219" customWidth="1"/>
    <col min="7953" max="7953" width="19.44140625" style="5219" customWidth="1"/>
    <col min="7954" max="7954" width="14" style="5219" customWidth="1"/>
    <col min="7955" max="7955" width="11.109375" style="5219" customWidth="1"/>
    <col min="7956" max="7956" width="15.44140625" style="5219" customWidth="1"/>
    <col min="7957" max="8192" width="9.109375" style="5219"/>
    <col min="8193" max="8193" width="4.44140625" style="5219" customWidth="1"/>
    <col min="8194" max="8194" width="32.44140625" style="5219" customWidth="1"/>
    <col min="8195" max="8195" width="13.88671875" style="5219" customWidth="1"/>
    <col min="8196" max="8196" width="17.88671875" style="5219" customWidth="1"/>
    <col min="8197" max="8197" width="13.88671875" style="5219" customWidth="1"/>
    <col min="8198" max="8198" width="8.44140625" style="5219" customWidth="1"/>
    <col min="8199" max="8199" width="9.88671875" style="5219" customWidth="1"/>
    <col min="8200" max="8200" width="0.44140625" style="5219" customWidth="1"/>
    <col min="8201" max="8201" width="9.109375" style="5219"/>
    <col min="8202" max="8202" width="19.44140625" style="5219" customWidth="1"/>
    <col min="8203" max="8203" width="14" style="5219" bestFit="1" customWidth="1"/>
    <col min="8204" max="8208" width="19.109375" style="5219" customWidth="1"/>
    <col min="8209" max="8209" width="19.44140625" style="5219" customWidth="1"/>
    <col min="8210" max="8210" width="14" style="5219" customWidth="1"/>
    <col min="8211" max="8211" width="11.109375" style="5219" customWidth="1"/>
    <col min="8212" max="8212" width="15.44140625" style="5219" customWidth="1"/>
    <col min="8213" max="8448" width="9.109375" style="5219"/>
    <col min="8449" max="8449" width="4.44140625" style="5219" customWidth="1"/>
    <col min="8450" max="8450" width="32.44140625" style="5219" customWidth="1"/>
    <col min="8451" max="8451" width="13.88671875" style="5219" customWidth="1"/>
    <col min="8452" max="8452" width="17.88671875" style="5219" customWidth="1"/>
    <col min="8453" max="8453" width="13.88671875" style="5219" customWidth="1"/>
    <col min="8454" max="8454" width="8.44140625" style="5219" customWidth="1"/>
    <col min="8455" max="8455" width="9.88671875" style="5219" customWidth="1"/>
    <col min="8456" max="8456" width="0.44140625" style="5219" customWidth="1"/>
    <col min="8457" max="8457" width="9.109375" style="5219"/>
    <col min="8458" max="8458" width="19.44140625" style="5219" customWidth="1"/>
    <col min="8459" max="8459" width="14" style="5219" bestFit="1" customWidth="1"/>
    <col min="8460" max="8464" width="19.109375" style="5219" customWidth="1"/>
    <col min="8465" max="8465" width="19.44140625" style="5219" customWidth="1"/>
    <col min="8466" max="8466" width="14" style="5219" customWidth="1"/>
    <col min="8467" max="8467" width="11.109375" style="5219" customWidth="1"/>
    <col min="8468" max="8468" width="15.44140625" style="5219" customWidth="1"/>
    <col min="8469" max="8704" width="9.109375" style="5219"/>
    <col min="8705" max="8705" width="4.44140625" style="5219" customWidth="1"/>
    <col min="8706" max="8706" width="32.44140625" style="5219" customWidth="1"/>
    <col min="8707" max="8707" width="13.88671875" style="5219" customWidth="1"/>
    <col min="8708" max="8708" width="17.88671875" style="5219" customWidth="1"/>
    <col min="8709" max="8709" width="13.88671875" style="5219" customWidth="1"/>
    <col min="8710" max="8710" width="8.44140625" style="5219" customWidth="1"/>
    <col min="8711" max="8711" width="9.88671875" style="5219" customWidth="1"/>
    <col min="8712" max="8712" width="0.44140625" style="5219" customWidth="1"/>
    <col min="8713" max="8713" width="9.109375" style="5219"/>
    <col min="8714" max="8714" width="19.44140625" style="5219" customWidth="1"/>
    <col min="8715" max="8715" width="14" style="5219" bestFit="1" customWidth="1"/>
    <col min="8716" max="8720" width="19.109375" style="5219" customWidth="1"/>
    <col min="8721" max="8721" width="19.44140625" style="5219" customWidth="1"/>
    <col min="8722" max="8722" width="14" style="5219" customWidth="1"/>
    <col min="8723" max="8723" width="11.109375" style="5219" customWidth="1"/>
    <col min="8724" max="8724" width="15.44140625" style="5219" customWidth="1"/>
    <col min="8725" max="8960" width="9.109375" style="5219"/>
    <col min="8961" max="8961" width="4.44140625" style="5219" customWidth="1"/>
    <col min="8962" max="8962" width="32.44140625" style="5219" customWidth="1"/>
    <col min="8963" max="8963" width="13.88671875" style="5219" customWidth="1"/>
    <col min="8964" max="8964" width="17.88671875" style="5219" customWidth="1"/>
    <col min="8965" max="8965" width="13.88671875" style="5219" customWidth="1"/>
    <col min="8966" max="8966" width="8.44140625" style="5219" customWidth="1"/>
    <col min="8967" max="8967" width="9.88671875" style="5219" customWidth="1"/>
    <col min="8968" max="8968" width="0.44140625" style="5219" customWidth="1"/>
    <col min="8969" max="8969" width="9.109375" style="5219"/>
    <col min="8970" max="8970" width="19.44140625" style="5219" customWidth="1"/>
    <col min="8971" max="8971" width="14" style="5219" bestFit="1" customWidth="1"/>
    <col min="8972" max="8976" width="19.109375" style="5219" customWidth="1"/>
    <col min="8977" max="8977" width="19.44140625" style="5219" customWidth="1"/>
    <col min="8978" max="8978" width="14" style="5219" customWidth="1"/>
    <col min="8979" max="8979" width="11.109375" style="5219" customWidth="1"/>
    <col min="8980" max="8980" width="15.44140625" style="5219" customWidth="1"/>
    <col min="8981" max="9216" width="9.109375" style="5219"/>
    <col min="9217" max="9217" width="4.44140625" style="5219" customWidth="1"/>
    <col min="9218" max="9218" width="32.44140625" style="5219" customWidth="1"/>
    <col min="9219" max="9219" width="13.88671875" style="5219" customWidth="1"/>
    <col min="9220" max="9220" width="17.88671875" style="5219" customWidth="1"/>
    <col min="9221" max="9221" width="13.88671875" style="5219" customWidth="1"/>
    <col min="9222" max="9222" width="8.44140625" style="5219" customWidth="1"/>
    <col min="9223" max="9223" width="9.88671875" style="5219" customWidth="1"/>
    <col min="9224" max="9224" width="0.44140625" style="5219" customWidth="1"/>
    <col min="9225" max="9225" width="9.109375" style="5219"/>
    <col min="9226" max="9226" width="19.44140625" style="5219" customWidth="1"/>
    <col min="9227" max="9227" width="14" style="5219" bestFit="1" customWidth="1"/>
    <col min="9228" max="9232" width="19.109375" style="5219" customWidth="1"/>
    <col min="9233" max="9233" width="19.44140625" style="5219" customWidth="1"/>
    <col min="9234" max="9234" width="14" style="5219" customWidth="1"/>
    <col min="9235" max="9235" width="11.109375" style="5219" customWidth="1"/>
    <col min="9236" max="9236" width="15.44140625" style="5219" customWidth="1"/>
    <col min="9237" max="9472" width="9.109375" style="5219"/>
    <col min="9473" max="9473" width="4.44140625" style="5219" customWidth="1"/>
    <col min="9474" max="9474" width="32.44140625" style="5219" customWidth="1"/>
    <col min="9475" max="9475" width="13.88671875" style="5219" customWidth="1"/>
    <col min="9476" max="9476" width="17.88671875" style="5219" customWidth="1"/>
    <col min="9477" max="9477" width="13.88671875" style="5219" customWidth="1"/>
    <col min="9478" max="9478" width="8.44140625" style="5219" customWidth="1"/>
    <col min="9479" max="9479" width="9.88671875" style="5219" customWidth="1"/>
    <col min="9480" max="9480" width="0.44140625" style="5219" customWidth="1"/>
    <col min="9481" max="9481" width="9.109375" style="5219"/>
    <col min="9482" max="9482" width="19.44140625" style="5219" customWidth="1"/>
    <col min="9483" max="9483" width="14" style="5219" bestFit="1" customWidth="1"/>
    <col min="9484" max="9488" width="19.109375" style="5219" customWidth="1"/>
    <col min="9489" max="9489" width="19.44140625" style="5219" customWidth="1"/>
    <col min="9490" max="9490" width="14" style="5219" customWidth="1"/>
    <col min="9491" max="9491" width="11.109375" style="5219" customWidth="1"/>
    <col min="9492" max="9492" width="15.44140625" style="5219" customWidth="1"/>
    <col min="9493" max="9728" width="9.109375" style="5219"/>
    <col min="9729" max="9729" width="4.44140625" style="5219" customWidth="1"/>
    <col min="9730" max="9730" width="32.44140625" style="5219" customWidth="1"/>
    <col min="9731" max="9731" width="13.88671875" style="5219" customWidth="1"/>
    <col min="9732" max="9732" width="17.88671875" style="5219" customWidth="1"/>
    <col min="9733" max="9733" width="13.88671875" style="5219" customWidth="1"/>
    <col min="9734" max="9734" width="8.44140625" style="5219" customWidth="1"/>
    <col min="9735" max="9735" width="9.88671875" style="5219" customWidth="1"/>
    <col min="9736" max="9736" width="0.44140625" style="5219" customWidth="1"/>
    <col min="9737" max="9737" width="9.109375" style="5219"/>
    <col min="9738" max="9738" width="19.44140625" style="5219" customWidth="1"/>
    <col min="9739" max="9739" width="14" style="5219" bestFit="1" customWidth="1"/>
    <col min="9740" max="9744" width="19.109375" style="5219" customWidth="1"/>
    <col min="9745" max="9745" width="19.44140625" style="5219" customWidth="1"/>
    <col min="9746" max="9746" width="14" style="5219" customWidth="1"/>
    <col min="9747" max="9747" width="11.109375" style="5219" customWidth="1"/>
    <col min="9748" max="9748" width="15.44140625" style="5219" customWidth="1"/>
    <col min="9749" max="9984" width="9.109375" style="5219"/>
    <col min="9985" max="9985" width="4.44140625" style="5219" customWidth="1"/>
    <col min="9986" max="9986" width="32.44140625" style="5219" customWidth="1"/>
    <col min="9987" max="9987" width="13.88671875" style="5219" customWidth="1"/>
    <col min="9988" max="9988" width="17.88671875" style="5219" customWidth="1"/>
    <col min="9989" max="9989" width="13.88671875" style="5219" customWidth="1"/>
    <col min="9990" max="9990" width="8.44140625" style="5219" customWidth="1"/>
    <col min="9991" max="9991" width="9.88671875" style="5219" customWidth="1"/>
    <col min="9992" max="9992" width="0.44140625" style="5219" customWidth="1"/>
    <col min="9993" max="9993" width="9.109375" style="5219"/>
    <col min="9994" max="9994" width="19.44140625" style="5219" customWidth="1"/>
    <col min="9995" max="9995" width="14" style="5219" bestFit="1" customWidth="1"/>
    <col min="9996" max="10000" width="19.109375" style="5219" customWidth="1"/>
    <col min="10001" max="10001" width="19.44140625" style="5219" customWidth="1"/>
    <col min="10002" max="10002" width="14" style="5219" customWidth="1"/>
    <col min="10003" max="10003" width="11.109375" style="5219" customWidth="1"/>
    <col min="10004" max="10004" width="15.44140625" style="5219" customWidth="1"/>
    <col min="10005" max="10240" width="9.109375" style="5219"/>
    <col min="10241" max="10241" width="4.44140625" style="5219" customWidth="1"/>
    <col min="10242" max="10242" width="32.44140625" style="5219" customWidth="1"/>
    <col min="10243" max="10243" width="13.88671875" style="5219" customWidth="1"/>
    <col min="10244" max="10244" width="17.88671875" style="5219" customWidth="1"/>
    <col min="10245" max="10245" width="13.88671875" style="5219" customWidth="1"/>
    <col min="10246" max="10246" width="8.44140625" style="5219" customWidth="1"/>
    <col min="10247" max="10247" width="9.88671875" style="5219" customWidth="1"/>
    <col min="10248" max="10248" width="0.44140625" style="5219" customWidth="1"/>
    <col min="10249" max="10249" width="9.109375" style="5219"/>
    <col min="10250" max="10250" width="19.44140625" style="5219" customWidth="1"/>
    <col min="10251" max="10251" width="14" style="5219" bestFit="1" customWidth="1"/>
    <col min="10252" max="10256" width="19.109375" style="5219" customWidth="1"/>
    <col min="10257" max="10257" width="19.44140625" style="5219" customWidth="1"/>
    <col min="10258" max="10258" width="14" style="5219" customWidth="1"/>
    <col min="10259" max="10259" width="11.109375" style="5219" customWidth="1"/>
    <col min="10260" max="10260" width="15.44140625" style="5219" customWidth="1"/>
    <col min="10261" max="10496" width="9.109375" style="5219"/>
    <col min="10497" max="10497" width="4.44140625" style="5219" customWidth="1"/>
    <col min="10498" max="10498" width="32.44140625" style="5219" customWidth="1"/>
    <col min="10499" max="10499" width="13.88671875" style="5219" customWidth="1"/>
    <col min="10500" max="10500" width="17.88671875" style="5219" customWidth="1"/>
    <col min="10501" max="10501" width="13.88671875" style="5219" customWidth="1"/>
    <col min="10502" max="10502" width="8.44140625" style="5219" customWidth="1"/>
    <col min="10503" max="10503" width="9.88671875" style="5219" customWidth="1"/>
    <col min="10504" max="10504" width="0.44140625" style="5219" customWidth="1"/>
    <col min="10505" max="10505" width="9.109375" style="5219"/>
    <col min="10506" max="10506" width="19.44140625" style="5219" customWidth="1"/>
    <col min="10507" max="10507" width="14" style="5219" bestFit="1" customWidth="1"/>
    <col min="10508" max="10512" width="19.109375" style="5219" customWidth="1"/>
    <col min="10513" max="10513" width="19.44140625" style="5219" customWidth="1"/>
    <col min="10514" max="10514" width="14" style="5219" customWidth="1"/>
    <col min="10515" max="10515" width="11.109375" style="5219" customWidth="1"/>
    <col min="10516" max="10516" width="15.44140625" style="5219" customWidth="1"/>
    <col min="10517" max="10752" width="9.109375" style="5219"/>
    <col min="10753" max="10753" width="4.44140625" style="5219" customWidth="1"/>
    <col min="10754" max="10754" width="32.44140625" style="5219" customWidth="1"/>
    <col min="10755" max="10755" width="13.88671875" style="5219" customWidth="1"/>
    <col min="10756" max="10756" width="17.88671875" style="5219" customWidth="1"/>
    <col min="10757" max="10757" width="13.88671875" style="5219" customWidth="1"/>
    <col min="10758" max="10758" width="8.44140625" style="5219" customWidth="1"/>
    <col min="10759" max="10759" width="9.88671875" style="5219" customWidth="1"/>
    <col min="10760" max="10760" width="0.44140625" style="5219" customWidth="1"/>
    <col min="10761" max="10761" width="9.109375" style="5219"/>
    <col min="10762" max="10762" width="19.44140625" style="5219" customWidth="1"/>
    <col min="10763" max="10763" width="14" style="5219" bestFit="1" customWidth="1"/>
    <col min="10764" max="10768" width="19.109375" style="5219" customWidth="1"/>
    <col min="10769" max="10769" width="19.44140625" style="5219" customWidth="1"/>
    <col min="10770" max="10770" width="14" style="5219" customWidth="1"/>
    <col min="10771" max="10771" width="11.109375" style="5219" customWidth="1"/>
    <col min="10772" max="10772" width="15.44140625" style="5219" customWidth="1"/>
    <col min="10773" max="11008" width="9.109375" style="5219"/>
    <col min="11009" max="11009" width="4.44140625" style="5219" customWidth="1"/>
    <col min="11010" max="11010" width="32.44140625" style="5219" customWidth="1"/>
    <col min="11011" max="11011" width="13.88671875" style="5219" customWidth="1"/>
    <col min="11012" max="11012" width="17.88671875" style="5219" customWidth="1"/>
    <col min="11013" max="11013" width="13.88671875" style="5219" customWidth="1"/>
    <col min="11014" max="11014" width="8.44140625" style="5219" customWidth="1"/>
    <col min="11015" max="11015" width="9.88671875" style="5219" customWidth="1"/>
    <col min="11016" max="11016" width="0.44140625" style="5219" customWidth="1"/>
    <col min="11017" max="11017" width="9.109375" style="5219"/>
    <col min="11018" max="11018" width="19.44140625" style="5219" customWidth="1"/>
    <col min="11019" max="11019" width="14" style="5219" bestFit="1" customWidth="1"/>
    <col min="11020" max="11024" width="19.109375" style="5219" customWidth="1"/>
    <col min="11025" max="11025" width="19.44140625" style="5219" customWidth="1"/>
    <col min="11026" max="11026" width="14" style="5219" customWidth="1"/>
    <col min="11027" max="11027" width="11.109375" style="5219" customWidth="1"/>
    <col min="11028" max="11028" width="15.44140625" style="5219" customWidth="1"/>
    <col min="11029" max="11264" width="9.109375" style="5219"/>
    <col min="11265" max="11265" width="4.44140625" style="5219" customWidth="1"/>
    <col min="11266" max="11266" width="32.44140625" style="5219" customWidth="1"/>
    <col min="11267" max="11267" width="13.88671875" style="5219" customWidth="1"/>
    <col min="11268" max="11268" width="17.88671875" style="5219" customWidth="1"/>
    <col min="11269" max="11269" width="13.88671875" style="5219" customWidth="1"/>
    <col min="11270" max="11270" width="8.44140625" style="5219" customWidth="1"/>
    <col min="11271" max="11271" width="9.88671875" style="5219" customWidth="1"/>
    <col min="11272" max="11272" width="0.44140625" style="5219" customWidth="1"/>
    <col min="11273" max="11273" width="9.109375" style="5219"/>
    <col min="11274" max="11274" width="19.44140625" style="5219" customWidth="1"/>
    <col min="11275" max="11275" width="14" style="5219" bestFit="1" customWidth="1"/>
    <col min="11276" max="11280" width="19.109375" style="5219" customWidth="1"/>
    <col min="11281" max="11281" width="19.44140625" style="5219" customWidth="1"/>
    <col min="11282" max="11282" width="14" style="5219" customWidth="1"/>
    <col min="11283" max="11283" width="11.109375" style="5219" customWidth="1"/>
    <col min="11284" max="11284" width="15.44140625" style="5219" customWidth="1"/>
    <col min="11285" max="11520" width="9.109375" style="5219"/>
    <col min="11521" max="11521" width="4.44140625" style="5219" customWidth="1"/>
    <col min="11522" max="11522" width="32.44140625" style="5219" customWidth="1"/>
    <col min="11523" max="11523" width="13.88671875" style="5219" customWidth="1"/>
    <col min="11524" max="11524" width="17.88671875" style="5219" customWidth="1"/>
    <col min="11525" max="11525" width="13.88671875" style="5219" customWidth="1"/>
    <col min="11526" max="11526" width="8.44140625" style="5219" customWidth="1"/>
    <col min="11527" max="11527" width="9.88671875" style="5219" customWidth="1"/>
    <col min="11528" max="11528" width="0.44140625" style="5219" customWidth="1"/>
    <col min="11529" max="11529" width="9.109375" style="5219"/>
    <col min="11530" max="11530" width="19.44140625" style="5219" customWidth="1"/>
    <col min="11531" max="11531" width="14" style="5219" bestFit="1" customWidth="1"/>
    <col min="11532" max="11536" width="19.109375" style="5219" customWidth="1"/>
    <col min="11537" max="11537" width="19.44140625" style="5219" customWidth="1"/>
    <col min="11538" max="11538" width="14" style="5219" customWidth="1"/>
    <col min="11539" max="11539" width="11.109375" style="5219" customWidth="1"/>
    <col min="11540" max="11540" width="15.44140625" style="5219" customWidth="1"/>
    <col min="11541" max="11776" width="9.109375" style="5219"/>
    <col min="11777" max="11777" width="4.44140625" style="5219" customWidth="1"/>
    <col min="11778" max="11778" width="32.44140625" style="5219" customWidth="1"/>
    <col min="11779" max="11779" width="13.88671875" style="5219" customWidth="1"/>
    <col min="11780" max="11780" width="17.88671875" style="5219" customWidth="1"/>
    <col min="11781" max="11781" width="13.88671875" style="5219" customWidth="1"/>
    <col min="11782" max="11782" width="8.44140625" style="5219" customWidth="1"/>
    <col min="11783" max="11783" width="9.88671875" style="5219" customWidth="1"/>
    <col min="11784" max="11784" width="0.44140625" style="5219" customWidth="1"/>
    <col min="11785" max="11785" width="9.109375" style="5219"/>
    <col min="11786" max="11786" width="19.44140625" style="5219" customWidth="1"/>
    <col min="11787" max="11787" width="14" style="5219" bestFit="1" customWidth="1"/>
    <col min="11788" max="11792" width="19.109375" style="5219" customWidth="1"/>
    <col min="11793" max="11793" width="19.44140625" style="5219" customWidth="1"/>
    <col min="11794" max="11794" width="14" style="5219" customWidth="1"/>
    <col min="11795" max="11795" width="11.109375" style="5219" customWidth="1"/>
    <col min="11796" max="11796" width="15.44140625" style="5219" customWidth="1"/>
    <col min="11797" max="12032" width="9.109375" style="5219"/>
    <col min="12033" max="12033" width="4.44140625" style="5219" customWidth="1"/>
    <col min="12034" max="12034" width="32.44140625" style="5219" customWidth="1"/>
    <col min="12035" max="12035" width="13.88671875" style="5219" customWidth="1"/>
    <col min="12036" max="12036" width="17.88671875" style="5219" customWidth="1"/>
    <col min="12037" max="12037" width="13.88671875" style="5219" customWidth="1"/>
    <col min="12038" max="12038" width="8.44140625" style="5219" customWidth="1"/>
    <col min="12039" max="12039" width="9.88671875" style="5219" customWidth="1"/>
    <col min="12040" max="12040" width="0.44140625" style="5219" customWidth="1"/>
    <col min="12041" max="12041" width="9.109375" style="5219"/>
    <col min="12042" max="12042" width="19.44140625" style="5219" customWidth="1"/>
    <col min="12043" max="12043" width="14" style="5219" bestFit="1" customWidth="1"/>
    <col min="12044" max="12048" width="19.109375" style="5219" customWidth="1"/>
    <col min="12049" max="12049" width="19.44140625" style="5219" customWidth="1"/>
    <col min="12050" max="12050" width="14" style="5219" customWidth="1"/>
    <col min="12051" max="12051" width="11.109375" style="5219" customWidth="1"/>
    <col min="12052" max="12052" width="15.44140625" style="5219" customWidth="1"/>
    <col min="12053" max="12288" width="9.109375" style="5219"/>
    <col min="12289" max="12289" width="4.44140625" style="5219" customWidth="1"/>
    <col min="12290" max="12290" width="32.44140625" style="5219" customWidth="1"/>
    <col min="12291" max="12291" width="13.88671875" style="5219" customWidth="1"/>
    <col min="12292" max="12292" width="17.88671875" style="5219" customWidth="1"/>
    <col min="12293" max="12293" width="13.88671875" style="5219" customWidth="1"/>
    <col min="12294" max="12294" width="8.44140625" style="5219" customWidth="1"/>
    <col min="12295" max="12295" width="9.88671875" style="5219" customWidth="1"/>
    <col min="12296" max="12296" width="0.44140625" style="5219" customWidth="1"/>
    <col min="12297" max="12297" width="9.109375" style="5219"/>
    <col min="12298" max="12298" width="19.44140625" style="5219" customWidth="1"/>
    <col min="12299" max="12299" width="14" style="5219" bestFit="1" customWidth="1"/>
    <col min="12300" max="12304" width="19.109375" style="5219" customWidth="1"/>
    <col min="12305" max="12305" width="19.44140625" style="5219" customWidth="1"/>
    <col min="12306" max="12306" width="14" style="5219" customWidth="1"/>
    <col min="12307" max="12307" width="11.109375" style="5219" customWidth="1"/>
    <col min="12308" max="12308" width="15.44140625" style="5219" customWidth="1"/>
    <col min="12309" max="12544" width="9.109375" style="5219"/>
    <col min="12545" max="12545" width="4.44140625" style="5219" customWidth="1"/>
    <col min="12546" max="12546" width="32.44140625" style="5219" customWidth="1"/>
    <col min="12547" max="12547" width="13.88671875" style="5219" customWidth="1"/>
    <col min="12548" max="12548" width="17.88671875" style="5219" customWidth="1"/>
    <col min="12549" max="12549" width="13.88671875" style="5219" customWidth="1"/>
    <col min="12550" max="12550" width="8.44140625" style="5219" customWidth="1"/>
    <col min="12551" max="12551" width="9.88671875" style="5219" customWidth="1"/>
    <col min="12552" max="12552" width="0.44140625" style="5219" customWidth="1"/>
    <col min="12553" max="12553" width="9.109375" style="5219"/>
    <col min="12554" max="12554" width="19.44140625" style="5219" customWidth="1"/>
    <col min="12555" max="12555" width="14" style="5219" bestFit="1" customWidth="1"/>
    <col min="12556" max="12560" width="19.109375" style="5219" customWidth="1"/>
    <col min="12561" max="12561" width="19.44140625" style="5219" customWidth="1"/>
    <col min="12562" max="12562" width="14" style="5219" customWidth="1"/>
    <col min="12563" max="12563" width="11.109375" style="5219" customWidth="1"/>
    <col min="12564" max="12564" width="15.44140625" style="5219" customWidth="1"/>
    <col min="12565" max="12800" width="9.109375" style="5219"/>
    <col min="12801" max="12801" width="4.44140625" style="5219" customWidth="1"/>
    <col min="12802" max="12802" width="32.44140625" style="5219" customWidth="1"/>
    <col min="12803" max="12803" width="13.88671875" style="5219" customWidth="1"/>
    <col min="12804" max="12804" width="17.88671875" style="5219" customWidth="1"/>
    <col min="12805" max="12805" width="13.88671875" style="5219" customWidth="1"/>
    <col min="12806" max="12806" width="8.44140625" style="5219" customWidth="1"/>
    <col min="12807" max="12807" width="9.88671875" style="5219" customWidth="1"/>
    <col min="12808" max="12808" width="0.44140625" style="5219" customWidth="1"/>
    <col min="12809" max="12809" width="9.109375" style="5219"/>
    <col min="12810" max="12810" width="19.44140625" style="5219" customWidth="1"/>
    <col min="12811" max="12811" width="14" style="5219" bestFit="1" customWidth="1"/>
    <col min="12812" max="12816" width="19.109375" style="5219" customWidth="1"/>
    <col min="12817" max="12817" width="19.44140625" style="5219" customWidth="1"/>
    <col min="12818" max="12818" width="14" style="5219" customWidth="1"/>
    <col min="12819" max="12819" width="11.109375" style="5219" customWidth="1"/>
    <col min="12820" max="12820" width="15.44140625" style="5219" customWidth="1"/>
    <col min="12821" max="13056" width="9.109375" style="5219"/>
    <col min="13057" max="13057" width="4.44140625" style="5219" customWidth="1"/>
    <col min="13058" max="13058" width="32.44140625" style="5219" customWidth="1"/>
    <col min="13059" max="13059" width="13.88671875" style="5219" customWidth="1"/>
    <col min="13060" max="13060" width="17.88671875" style="5219" customWidth="1"/>
    <col min="13061" max="13061" width="13.88671875" style="5219" customWidth="1"/>
    <col min="13062" max="13062" width="8.44140625" style="5219" customWidth="1"/>
    <col min="13063" max="13063" width="9.88671875" style="5219" customWidth="1"/>
    <col min="13064" max="13064" width="0.44140625" style="5219" customWidth="1"/>
    <col min="13065" max="13065" width="9.109375" style="5219"/>
    <col min="13066" max="13066" width="19.44140625" style="5219" customWidth="1"/>
    <col min="13067" max="13067" width="14" style="5219" bestFit="1" customWidth="1"/>
    <col min="13068" max="13072" width="19.109375" style="5219" customWidth="1"/>
    <col min="13073" max="13073" width="19.44140625" style="5219" customWidth="1"/>
    <col min="13074" max="13074" width="14" style="5219" customWidth="1"/>
    <col min="13075" max="13075" width="11.109375" style="5219" customWidth="1"/>
    <col min="13076" max="13076" width="15.44140625" style="5219" customWidth="1"/>
    <col min="13077" max="13312" width="9.109375" style="5219"/>
    <col min="13313" max="13313" width="4.44140625" style="5219" customWidth="1"/>
    <col min="13314" max="13314" width="32.44140625" style="5219" customWidth="1"/>
    <col min="13315" max="13315" width="13.88671875" style="5219" customWidth="1"/>
    <col min="13316" max="13316" width="17.88671875" style="5219" customWidth="1"/>
    <col min="13317" max="13317" width="13.88671875" style="5219" customWidth="1"/>
    <col min="13318" max="13318" width="8.44140625" style="5219" customWidth="1"/>
    <col min="13319" max="13319" width="9.88671875" style="5219" customWidth="1"/>
    <col min="13320" max="13320" width="0.44140625" style="5219" customWidth="1"/>
    <col min="13321" max="13321" width="9.109375" style="5219"/>
    <col min="13322" max="13322" width="19.44140625" style="5219" customWidth="1"/>
    <col min="13323" max="13323" width="14" style="5219" bestFit="1" customWidth="1"/>
    <col min="13324" max="13328" width="19.109375" style="5219" customWidth="1"/>
    <col min="13329" max="13329" width="19.44140625" style="5219" customWidth="1"/>
    <col min="13330" max="13330" width="14" style="5219" customWidth="1"/>
    <col min="13331" max="13331" width="11.109375" style="5219" customWidth="1"/>
    <col min="13332" max="13332" width="15.44140625" style="5219" customWidth="1"/>
    <col min="13333" max="13568" width="9.109375" style="5219"/>
    <col min="13569" max="13569" width="4.44140625" style="5219" customWidth="1"/>
    <col min="13570" max="13570" width="32.44140625" style="5219" customWidth="1"/>
    <col min="13571" max="13571" width="13.88671875" style="5219" customWidth="1"/>
    <col min="13572" max="13572" width="17.88671875" style="5219" customWidth="1"/>
    <col min="13573" max="13573" width="13.88671875" style="5219" customWidth="1"/>
    <col min="13574" max="13574" width="8.44140625" style="5219" customWidth="1"/>
    <col min="13575" max="13575" width="9.88671875" style="5219" customWidth="1"/>
    <col min="13576" max="13576" width="0.44140625" style="5219" customWidth="1"/>
    <col min="13577" max="13577" width="9.109375" style="5219"/>
    <col min="13578" max="13578" width="19.44140625" style="5219" customWidth="1"/>
    <col min="13579" max="13579" width="14" style="5219" bestFit="1" customWidth="1"/>
    <col min="13580" max="13584" width="19.109375" style="5219" customWidth="1"/>
    <col min="13585" max="13585" width="19.44140625" style="5219" customWidth="1"/>
    <col min="13586" max="13586" width="14" style="5219" customWidth="1"/>
    <col min="13587" max="13587" width="11.109375" style="5219" customWidth="1"/>
    <col min="13588" max="13588" width="15.44140625" style="5219" customWidth="1"/>
    <col min="13589" max="13824" width="9.109375" style="5219"/>
    <col min="13825" max="13825" width="4.44140625" style="5219" customWidth="1"/>
    <col min="13826" max="13826" width="32.44140625" style="5219" customWidth="1"/>
    <col min="13827" max="13827" width="13.88671875" style="5219" customWidth="1"/>
    <col min="13828" max="13828" width="17.88671875" style="5219" customWidth="1"/>
    <col min="13829" max="13829" width="13.88671875" style="5219" customWidth="1"/>
    <col min="13830" max="13830" width="8.44140625" style="5219" customWidth="1"/>
    <col min="13831" max="13831" width="9.88671875" style="5219" customWidth="1"/>
    <col min="13832" max="13832" width="0.44140625" style="5219" customWidth="1"/>
    <col min="13833" max="13833" width="9.109375" style="5219"/>
    <col min="13834" max="13834" width="19.44140625" style="5219" customWidth="1"/>
    <col min="13835" max="13835" width="14" style="5219" bestFit="1" customWidth="1"/>
    <col min="13836" max="13840" width="19.109375" style="5219" customWidth="1"/>
    <col min="13841" max="13841" width="19.44140625" style="5219" customWidth="1"/>
    <col min="13842" max="13842" width="14" style="5219" customWidth="1"/>
    <col min="13843" max="13843" width="11.109375" style="5219" customWidth="1"/>
    <col min="13844" max="13844" width="15.44140625" style="5219" customWidth="1"/>
    <col min="13845" max="14080" width="9.109375" style="5219"/>
    <col min="14081" max="14081" width="4.44140625" style="5219" customWidth="1"/>
    <col min="14082" max="14082" width="32.44140625" style="5219" customWidth="1"/>
    <col min="14083" max="14083" width="13.88671875" style="5219" customWidth="1"/>
    <col min="14084" max="14084" width="17.88671875" style="5219" customWidth="1"/>
    <col min="14085" max="14085" width="13.88671875" style="5219" customWidth="1"/>
    <col min="14086" max="14086" width="8.44140625" style="5219" customWidth="1"/>
    <col min="14087" max="14087" width="9.88671875" style="5219" customWidth="1"/>
    <col min="14088" max="14088" width="0.44140625" style="5219" customWidth="1"/>
    <col min="14089" max="14089" width="9.109375" style="5219"/>
    <col min="14090" max="14090" width="19.44140625" style="5219" customWidth="1"/>
    <col min="14091" max="14091" width="14" style="5219" bestFit="1" customWidth="1"/>
    <col min="14092" max="14096" width="19.109375" style="5219" customWidth="1"/>
    <col min="14097" max="14097" width="19.44140625" style="5219" customWidth="1"/>
    <col min="14098" max="14098" width="14" style="5219" customWidth="1"/>
    <col min="14099" max="14099" width="11.109375" style="5219" customWidth="1"/>
    <col min="14100" max="14100" width="15.44140625" style="5219" customWidth="1"/>
    <col min="14101" max="14336" width="9.109375" style="5219"/>
    <col min="14337" max="14337" width="4.44140625" style="5219" customWidth="1"/>
    <col min="14338" max="14338" width="32.44140625" style="5219" customWidth="1"/>
    <col min="14339" max="14339" width="13.88671875" style="5219" customWidth="1"/>
    <col min="14340" max="14340" width="17.88671875" style="5219" customWidth="1"/>
    <col min="14341" max="14341" width="13.88671875" style="5219" customWidth="1"/>
    <col min="14342" max="14342" width="8.44140625" style="5219" customWidth="1"/>
    <col min="14343" max="14343" width="9.88671875" style="5219" customWidth="1"/>
    <col min="14344" max="14344" width="0.44140625" style="5219" customWidth="1"/>
    <col min="14345" max="14345" width="9.109375" style="5219"/>
    <col min="14346" max="14346" width="19.44140625" style="5219" customWidth="1"/>
    <col min="14347" max="14347" width="14" style="5219" bestFit="1" customWidth="1"/>
    <col min="14348" max="14352" width="19.109375" style="5219" customWidth="1"/>
    <col min="14353" max="14353" width="19.44140625" style="5219" customWidth="1"/>
    <col min="14354" max="14354" width="14" style="5219" customWidth="1"/>
    <col min="14355" max="14355" width="11.109375" style="5219" customWidth="1"/>
    <col min="14356" max="14356" width="15.44140625" style="5219" customWidth="1"/>
    <col min="14357" max="14592" width="9.109375" style="5219"/>
    <col min="14593" max="14593" width="4.44140625" style="5219" customWidth="1"/>
    <col min="14594" max="14594" width="32.44140625" style="5219" customWidth="1"/>
    <col min="14595" max="14595" width="13.88671875" style="5219" customWidth="1"/>
    <col min="14596" max="14596" width="17.88671875" style="5219" customWidth="1"/>
    <col min="14597" max="14597" width="13.88671875" style="5219" customWidth="1"/>
    <col min="14598" max="14598" width="8.44140625" style="5219" customWidth="1"/>
    <col min="14599" max="14599" width="9.88671875" style="5219" customWidth="1"/>
    <col min="14600" max="14600" width="0.44140625" style="5219" customWidth="1"/>
    <col min="14601" max="14601" width="9.109375" style="5219"/>
    <col min="14602" max="14602" width="19.44140625" style="5219" customWidth="1"/>
    <col min="14603" max="14603" width="14" style="5219" bestFit="1" customWidth="1"/>
    <col min="14604" max="14608" width="19.109375" style="5219" customWidth="1"/>
    <col min="14609" max="14609" width="19.44140625" style="5219" customWidth="1"/>
    <col min="14610" max="14610" width="14" style="5219" customWidth="1"/>
    <col min="14611" max="14611" width="11.109375" style="5219" customWidth="1"/>
    <col min="14612" max="14612" width="15.44140625" style="5219" customWidth="1"/>
    <col min="14613" max="14848" width="9.109375" style="5219"/>
    <col min="14849" max="14849" width="4.44140625" style="5219" customWidth="1"/>
    <col min="14850" max="14850" width="32.44140625" style="5219" customWidth="1"/>
    <col min="14851" max="14851" width="13.88671875" style="5219" customWidth="1"/>
    <col min="14852" max="14852" width="17.88671875" style="5219" customWidth="1"/>
    <col min="14853" max="14853" width="13.88671875" style="5219" customWidth="1"/>
    <col min="14854" max="14854" width="8.44140625" style="5219" customWidth="1"/>
    <col min="14855" max="14855" width="9.88671875" style="5219" customWidth="1"/>
    <col min="14856" max="14856" width="0.44140625" style="5219" customWidth="1"/>
    <col min="14857" max="14857" width="9.109375" style="5219"/>
    <col min="14858" max="14858" width="19.44140625" style="5219" customWidth="1"/>
    <col min="14859" max="14859" width="14" style="5219" bestFit="1" customWidth="1"/>
    <col min="14860" max="14864" width="19.109375" style="5219" customWidth="1"/>
    <col min="14865" max="14865" width="19.44140625" style="5219" customWidth="1"/>
    <col min="14866" max="14866" width="14" style="5219" customWidth="1"/>
    <col min="14867" max="14867" width="11.109375" style="5219" customWidth="1"/>
    <col min="14868" max="14868" width="15.44140625" style="5219" customWidth="1"/>
    <col min="14869" max="15104" width="9.109375" style="5219"/>
    <col min="15105" max="15105" width="4.44140625" style="5219" customWidth="1"/>
    <col min="15106" max="15106" width="32.44140625" style="5219" customWidth="1"/>
    <col min="15107" max="15107" width="13.88671875" style="5219" customWidth="1"/>
    <col min="15108" max="15108" width="17.88671875" style="5219" customWidth="1"/>
    <col min="15109" max="15109" width="13.88671875" style="5219" customWidth="1"/>
    <col min="15110" max="15110" width="8.44140625" style="5219" customWidth="1"/>
    <col min="15111" max="15111" width="9.88671875" style="5219" customWidth="1"/>
    <col min="15112" max="15112" width="0.44140625" style="5219" customWidth="1"/>
    <col min="15113" max="15113" width="9.109375" style="5219"/>
    <col min="15114" max="15114" width="19.44140625" style="5219" customWidth="1"/>
    <col min="15115" max="15115" width="14" style="5219" bestFit="1" customWidth="1"/>
    <col min="15116" max="15120" width="19.109375" style="5219" customWidth="1"/>
    <col min="15121" max="15121" width="19.44140625" style="5219" customWidth="1"/>
    <col min="15122" max="15122" width="14" style="5219" customWidth="1"/>
    <col min="15123" max="15123" width="11.109375" style="5219" customWidth="1"/>
    <col min="15124" max="15124" width="15.44140625" style="5219" customWidth="1"/>
    <col min="15125" max="15360" width="9.109375" style="5219"/>
    <col min="15361" max="15361" width="4.44140625" style="5219" customWidth="1"/>
    <col min="15362" max="15362" width="32.44140625" style="5219" customWidth="1"/>
    <col min="15363" max="15363" width="13.88671875" style="5219" customWidth="1"/>
    <col min="15364" max="15364" width="17.88671875" style="5219" customWidth="1"/>
    <col min="15365" max="15365" width="13.88671875" style="5219" customWidth="1"/>
    <col min="15366" max="15366" width="8.44140625" style="5219" customWidth="1"/>
    <col min="15367" max="15367" width="9.88671875" style="5219" customWidth="1"/>
    <col min="15368" max="15368" width="0.44140625" style="5219" customWidth="1"/>
    <col min="15369" max="15369" width="9.109375" style="5219"/>
    <col min="15370" max="15370" width="19.44140625" style="5219" customWidth="1"/>
    <col min="15371" max="15371" width="14" style="5219" bestFit="1" customWidth="1"/>
    <col min="15372" max="15376" width="19.109375" style="5219" customWidth="1"/>
    <col min="15377" max="15377" width="19.44140625" style="5219" customWidth="1"/>
    <col min="15378" max="15378" width="14" style="5219" customWidth="1"/>
    <col min="15379" max="15379" width="11.109375" style="5219" customWidth="1"/>
    <col min="15380" max="15380" width="15.44140625" style="5219" customWidth="1"/>
    <col min="15381" max="15616" width="9.109375" style="5219"/>
    <col min="15617" max="15617" width="4.44140625" style="5219" customWidth="1"/>
    <col min="15618" max="15618" width="32.44140625" style="5219" customWidth="1"/>
    <col min="15619" max="15619" width="13.88671875" style="5219" customWidth="1"/>
    <col min="15620" max="15620" width="17.88671875" style="5219" customWidth="1"/>
    <col min="15621" max="15621" width="13.88671875" style="5219" customWidth="1"/>
    <col min="15622" max="15622" width="8.44140625" style="5219" customWidth="1"/>
    <col min="15623" max="15623" width="9.88671875" style="5219" customWidth="1"/>
    <col min="15624" max="15624" width="0.44140625" style="5219" customWidth="1"/>
    <col min="15625" max="15625" width="9.109375" style="5219"/>
    <col min="15626" max="15626" width="19.44140625" style="5219" customWidth="1"/>
    <col min="15627" max="15627" width="14" style="5219" bestFit="1" customWidth="1"/>
    <col min="15628" max="15632" width="19.109375" style="5219" customWidth="1"/>
    <col min="15633" max="15633" width="19.44140625" style="5219" customWidth="1"/>
    <col min="15634" max="15634" width="14" style="5219" customWidth="1"/>
    <col min="15635" max="15635" width="11.109375" style="5219" customWidth="1"/>
    <col min="15636" max="15636" width="15.44140625" style="5219" customWidth="1"/>
    <col min="15637" max="15872" width="9.109375" style="5219"/>
    <col min="15873" max="15873" width="4.44140625" style="5219" customWidth="1"/>
    <col min="15874" max="15874" width="32.44140625" style="5219" customWidth="1"/>
    <col min="15875" max="15875" width="13.88671875" style="5219" customWidth="1"/>
    <col min="15876" max="15876" width="17.88671875" style="5219" customWidth="1"/>
    <col min="15877" max="15877" width="13.88671875" style="5219" customWidth="1"/>
    <col min="15878" max="15878" width="8.44140625" style="5219" customWidth="1"/>
    <col min="15879" max="15879" width="9.88671875" style="5219" customWidth="1"/>
    <col min="15880" max="15880" width="0.44140625" style="5219" customWidth="1"/>
    <col min="15881" max="15881" width="9.109375" style="5219"/>
    <col min="15882" max="15882" width="19.44140625" style="5219" customWidth="1"/>
    <col min="15883" max="15883" width="14" style="5219" bestFit="1" customWidth="1"/>
    <col min="15884" max="15888" width="19.109375" style="5219" customWidth="1"/>
    <col min="15889" max="15889" width="19.44140625" style="5219" customWidth="1"/>
    <col min="15890" max="15890" width="14" style="5219" customWidth="1"/>
    <col min="15891" max="15891" width="11.109375" style="5219" customWidth="1"/>
    <col min="15892" max="15892" width="15.44140625" style="5219" customWidth="1"/>
    <col min="15893" max="16128" width="9.109375" style="5219"/>
    <col min="16129" max="16129" width="4.44140625" style="5219" customWidth="1"/>
    <col min="16130" max="16130" width="32.44140625" style="5219" customWidth="1"/>
    <col min="16131" max="16131" width="13.88671875" style="5219" customWidth="1"/>
    <col min="16132" max="16132" width="17.88671875" style="5219" customWidth="1"/>
    <col min="16133" max="16133" width="13.88671875" style="5219" customWidth="1"/>
    <col min="16134" max="16134" width="8.44140625" style="5219" customWidth="1"/>
    <col min="16135" max="16135" width="9.88671875" style="5219" customWidth="1"/>
    <col min="16136" max="16136" width="0.44140625" style="5219" customWidth="1"/>
    <col min="16137" max="16137" width="9.109375" style="5219"/>
    <col min="16138" max="16138" width="19.44140625" style="5219" customWidth="1"/>
    <col min="16139" max="16139" width="14" style="5219" bestFit="1" customWidth="1"/>
    <col min="16140" max="16144" width="19.109375" style="5219" customWidth="1"/>
    <col min="16145" max="16145" width="19.44140625" style="5219" customWidth="1"/>
    <col min="16146" max="16146" width="14" style="5219" customWidth="1"/>
    <col min="16147" max="16147" width="11.109375" style="5219" customWidth="1"/>
    <col min="16148" max="16148" width="15.44140625" style="5219" customWidth="1"/>
    <col min="16149" max="16384" width="9.109375" style="5219"/>
  </cols>
  <sheetData>
    <row r="1" spans="1:31" s="5204" customFormat="1" ht="16.8">
      <c r="A1" s="14789" t="s">
        <v>1801</v>
      </c>
      <c r="B1" s="14789"/>
      <c r="C1" s="14789"/>
      <c r="D1" s="14789"/>
      <c r="E1" s="14789"/>
      <c r="F1" s="14789"/>
      <c r="G1" s="14789"/>
      <c r="I1" s="5205"/>
      <c r="J1" s="5206"/>
      <c r="K1" s="5205"/>
      <c r="L1" s="5205"/>
      <c r="M1" s="5205"/>
      <c r="N1" s="5205"/>
      <c r="O1" s="5205"/>
      <c r="P1" s="5205"/>
      <c r="Q1" s="5205"/>
      <c r="R1" s="5207"/>
      <c r="S1" s="5205"/>
      <c r="T1" s="5207"/>
      <c r="U1" s="5205"/>
      <c r="V1" s="5205"/>
      <c r="W1" s="5205"/>
      <c r="X1" s="5205"/>
      <c r="Y1" s="5205"/>
      <c r="Z1" s="5205"/>
      <c r="AA1" s="5205"/>
      <c r="AB1" s="5205"/>
      <c r="AC1" s="5205"/>
      <c r="AD1" s="5205"/>
      <c r="AE1" s="5205"/>
    </row>
    <row r="2" spans="1:31" s="5204" customFormat="1" ht="16.8">
      <c r="A2" s="5208"/>
      <c r="B2" s="5209"/>
      <c r="C2" s="5210"/>
      <c r="D2" s="5209"/>
      <c r="E2" s="5209"/>
      <c r="F2" s="5209"/>
      <c r="G2" s="5209"/>
      <c r="I2" s="5205"/>
      <c r="J2" s="5206"/>
      <c r="K2" s="5205"/>
      <c r="L2" s="5205"/>
      <c r="M2" s="5205"/>
      <c r="N2" s="5205"/>
      <c r="O2" s="5205"/>
      <c r="P2" s="5205"/>
      <c r="Q2" s="5205"/>
      <c r="R2" s="5207"/>
      <c r="S2" s="5205"/>
      <c r="T2" s="5207"/>
      <c r="U2" s="5205"/>
      <c r="V2" s="5205"/>
      <c r="W2" s="5205"/>
      <c r="X2" s="5205"/>
      <c r="Y2" s="5205"/>
      <c r="Z2" s="5205"/>
      <c r="AA2" s="5205"/>
      <c r="AB2" s="5205"/>
      <c r="AC2" s="5205"/>
      <c r="AD2" s="5205"/>
      <c r="AE2" s="5205"/>
    </row>
    <row r="3" spans="1:31" s="5204" customFormat="1" ht="16.8">
      <c r="A3" s="5208" t="s">
        <v>9916</v>
      </c>
      <c r="B3" s="5209"/>
      <c r="C3" s="5210"/>
      <c r="D3" s="5209"/>
      <c r="E3" s="5209"/>
      <c r="F3" s="5209"/>
      <c r="G3" s="5209"/>
      <c r="I3" s="5205"/>
      <c r="J3" s="5206"/>
      <c r="K3" s="5205"/>
      <c r="L3" s="5205"/>
      <c r="M3" s="5205"/>
      <c r="N3" s="5205"/>
      <c r="O3" s="5205"/>
      <c r="P3" s="5205"/>
      <c r="Q3" s="5205"/>
      <c r="R3" s="5207"/>
      <c r="S3" s="5205"/>
      <c r="T3" s="5207"/>
      <c r="U3" s="5205"/>
      <c r="V3" s="5205"/>
      <c r="W3" s="5205"/>
      <c r="X3" s="5205"/>
      <c r="Y3" s="5205"/>
      <c r="Z3" s="5205"/>
      <c r="AA3" s="5205"/>
      <c r="AB3" s="5205"/>
      <c r="AC3" s="5205"/>
      <c r="AD3" s="5205"/>
      <c r="AE3" s="5205"/>
    </row>
    <row r="4" spans="1:31" s="5204" customFormat="1" ht="16.8">
      <c r="A4" s="5208" t="s">
        <v>9917</v>
      </c>
      <c r="B4" s="5209"/>
      <c r="C4" s="5210"/>
      <c r="D4" s="5209"/>
      <c r="E4" s="5209"/>
      <c r="F4" s="5209"/>
      <c r="G4" s="5209"/>
      <c r="I4" s="5205"/>
      <c r="J4" s="5206"/>
      <c r="K4" s="5205"/>
      <c r="L4" s="5205"/>
      <c r="M4" s="5205"/>
      <c r="N4" s="5205"/>
      <c r="O4" s="5205"/>
      <c r="P4" s="5205"/>
      <c r="Q4" s="5205"/>
      <c r="R4" s="5207"/>
      <c r="S4" s="5205"/>
      <c r="T4" s="5207"/>
      <c r="U4" s="5205"/>
      <c r="V4" s="5205"/>
      <c r="W4" s="5205"/>
      <c r="X4" s="5205"/>
      <c r="Y4" s="5205"/>
      <c r="Z4" s="5205"/>
      <c r="AA4" s="5205"/>
      <c r="AB4" s="5205"/>
      <c r="AC4" s="5205"/>
      <c r="AD4" s="5205"/>
      <c r="AE4" s="5205"/>
    </row>
    <row r="5" spans="1:31" s="5214" customFormat="1">
      <c r="A5" s="5211"/>
      <c r="B5" s="5212"/>
      <c r="C5" s="5213"/>
      <c r="D5" s="5212"/>
      <c r="E5" s="5212"/>
      <c r="F5" s="5212"/>
      <c r="G5" s="5212"/>
      <c r="I5" s="5215"/>
      <c r="J5" s="5216"/>
      <c r="K5" s="5215"/>
      <c r="L5" s="5215"/>
      <c r="M5" s="5215"/>
      <c r="N5" s="5215"/>
      <c r="O5" s="5215"/>
      <c r="P5" s="5215"/>
      <c r="Q5" s="5215"/>
      <c r="R5" s="5217"/>
      <c r="S5" s="5215"/>
      <c r="T5" s="5217"/>
      <c r="U5" s="5215"/>
      <c r="V5" s="5215"/>
      <c r="W5" s="5215"/>
      <c r="X5" s="5215"/>
      <c r="Y5" s="5215"/>
      <c r="Z5" s="5215"/>
      <c r="AA5" s="5215"/>
      <c r="AB5" s="5215"/>
      <c r="AC5" s="5215"/>
      <c r="AD5" s="5215"/>
      <c r="AE5" s="5215"/>
    </row>
    <row r="6" spans="1:31" s="5214" customFormat="1">
      <c r="A6" s="5211" t="s">
        <v>2684</v>
      </c>
      <c r="B6" s="5212"/>
      <c r="C6" s="5213"/>
      <c r="D6" s="5212"/>
      <c r="E6" s="5212"/>
      <c r="F6" s="5212"/>
      <c r="G6" s="5212"/>
      <c r="I6" s="5215"/>
      <c r="J6" s="5216"/>
      <c r="K6" s="5215"/>
      <c r="L6" s="5215"/>
      <c r="M6" s="5215"/>
      <c r="N6" s="5215"/>
      <c r="O6" s="5215"/>
      <c r="P6" s="5215"/>
      <c r="Q6" s="5215"/>
      <c r="R6" s="5217"/>
      <c r="S6" s="5215"/>
      <c r="T6" s="5217"/>
      <c r="U6" s="5215"/>
      <c r="V6" s="5215"/>
      <c r="W6" s="5215"/>
      <c r="X6" s="5215"/>
      <c r="Y6" s="5215"/>
      <c r="Z6" s="5215"/>
      <c r="AA6" s="5215"/>
      <c r="AB6" s="5215"/>
      <c r="AC6" s="5215"/>
      <c r="AD6" s="5215"/>
      <c r="AE6" s="5215"/>
    </row>
    <row r="7" spans="1:31" s="5214" customFormat="1" ht="6" customHeight="1">
      <c r="A7" s="5211"/>
      <c r="B7" s="5212"/>
      <c r="C7" s="5213"/>
      <c r="D7" s="5212"/>
      <c r="E7" s="5212"/>
      <c r="F7" s="5212"/>
      <c r="G7" s="5212"/>
      <c r="I7" s="5215"/>
      <c r="J7" s="5216"/>
      <c r="K7" s="5215"/>
      <c r="L7" s="5215"/>
      <c r="M7" s="5215"/>
      <c r="N7" s="5215"/>
      <c r="O7" s="5215"/>
      <c r="P7" s="5215"/>
      <c r="Q7" s="5215"/>
      <c r="R7" s="5217"/>
      <c r="S7" s="5215"/>
      <c r="T7" s="5217"/>
      <c r="U7" s="5215"/>
      <c r="V7" s="5215"/>
      <c r="W7" s="5215"/>
      <c r="X7" s="5215"/>
      <c r="Y7" s="5215"/>
      <c r="Z7" s="5215"/>
      <c r="AA7" s="5215"/>
      <c r="AB7" s="5215"/>
      <c r="AC7" s="5215"/>
      <c r="AD7" s="5215"/>
      <c r="AE7" s="5215"/>
    </row>
    <row r="8" spans="1:31" s="5214" customFormat="1" ht="69.75" customHeight="1">
      <c r="A8" s="5211"/>
      <c r="B8" s="14779" t="s">
        <v>2685</v>
      </c>
      <c r="C8" s="14779"/>
      <c r="D8" s="14779"/>
      <c r="E8" s="14779"/>
      <c r="F8" s="14779"/>
      <c r="G8" s="14779"/>
      <c r="I8" s="5215"/>
      <c r="J8" s="5216"/>
      <c r="K8" s="5215"/>
      <c r="L8" s="5215"/>
      <c r="M8" s="5215"/>
      <c r="N8" s="5215"/>
      <c r="O8" s="5215"/>
      <c r="P8" s="5215"/>
      <c r="Q8" s="5215"/>
      <c r="R8" s="5217"/>
      <c r="S8" s="5215"/>
      <c r="T8" s="5217"/>
      <c r="U8" s="5215"/>
      <c r="V8" s="5215"/>
      <c r="W8" s="5215"/>
      <c r="X8" s="5215"/>
      <c r="Y8" s="5215"/>
      <c r="Z8" s="5215"/>
      <c r="AA8" s="5215"/>
      <c r="AB8" s="5215"/>
      <c r="AC8" s="5215"/>
      <c r="AD8" s="5215"/>
      <c r="AE8" s="5215"/>
    </row>
    <row r="9" spans="1:31" s="5214" customFormat="1" ht="6" customHeight="1">
      <c r="A9" s="5211"/>
      <c r="B9" s="5212"/>
      <c r="C9" s="5213"/>
      <c r="D9" s="5212"/>
      <c r="E9" s="5212"/>
      <c r="F9" s="5212"/>
      <c r="G9" s="5212"/>
      <c r="I9" s="5215"/>
      <c r="J9" s="5216"/>
      <c r="K9" s="5215"/>
      <c r="L9" s="5215"/>
      <c r="M9" s="5215"/>
      <c r="N9" s="5215"/>
      <c r="O9" s="5215"/>
      <c r="P9" s="5215"/>
      <c r="Q9" s="5215"/>
      <c r="R9" s="5217"/>
      <c r="S9" s="5215"/>
      <c r="T9" s="5217"/>
      <c r="U9" s="5215"/>
      <c r="V9" s="5215"/>
      <c r="W9" s="5215"/>
      <c r="X9" s="5215"/>
      <c r="Y9" s="5215"/>
      <c r="Z9" s="5215"/>
      <c r="AA9" s="5215"/>
      <c r="AB9" s="5215"/>
      <c r="AC9" s="5215"/>
      <c r="AD9" s="5215"/>
      <c r="AE9" s="5215"/>
    </row>
    <row r="10" spans="1:31" s="5214" customFormat="1">
      <c r="A10" s="5211" t="s">
        <v>2686</v>
      </c>
      <c r="B10" s="5212"/>
      <c r="C10" s="5213"/>
      <c r="D10" s="5212"/>
      <c r="E10" s="5212"/>
      <c r="F10" s="5212"/>
      <c r="G10" s="5212"/>
      <c r="I10" s="5215"/>
      <c r="J10" s="5216"/>
      <c r="K10" s="5215"/>
      <c r="L10" s="5215"/>
      <c r="M10" s="5215"/>
      <c r="N10" s="5215"/>
      <c r="O10" s="5215"/>
      <c r="P10" s="5215"/>
      <c r="Q10" s="5215"/>
      <c r="R10" s="5217"/>
      <c r="S10" s="5215"/>
      <c r="T10" s="5217"/>
      <c r="U10" s="5215"/>
      <c r="V10" s="5215"/>
      <c r="W10" s="5215"/>
      <c r="X10" s="5215"/>
      <c r="Y10" s="5215"/>
      <c r="Z10" s="5215"/>
      <c r="AA10" s="5215"/>
      <c r="AB10" s="5215"/>
      <c r="AC10" s="5215"/>
      <c r="AD10" s="5215"/>
      <c r="AE10" s="5215"/>
    </row>
    <row r="11" spans="1:31" s="5214" customFormat="1" ht="35.25" customHeight="1">
      <c r="A11" s="5211"/>
      <c r="B11" s="14779" t="s">
        <v>6702</v>
      </c>
      <c r="C11" s="14779"/>
      <c r="D11" s="14779"/>
      <c r="E11" s="14779"/>
      <c r="F11" s="14779"/>
      <c r="G11" s="14779"/>
      <c r="I11" s="5215"/>
      <c r="J11" s="5216"/>
      <c r="K11" s="5215"/>
      <c r="L11" s="5215"/>
      <c r="M11" s="5215"/>
      <c r="N11" s="5215"/>
      <c r="O11" s="5215"/>
      <c r="P11" s="5215"/>
      <c r="Q11" s="5215"/>
      <c r="R11" s="5217"/>
      <c r="S11" s="5215"/>
      <c r="T11" s="5217"/>
      <c r="U11" s="5215"/>
      <c r="V11" s="5215"/>
      <c r="W11" s="5215"/>
      <c r="X11" s="5215"/>
      <c r="Y11" s="5215"/>
      <c r="Z11" s="5215"/>
      <c r="AA11" s="5215"/>
      <c r="AB11" s="5215"/>
      <c r="AC11" s="5215"/>
      <c r="AD11" s="5215"/>
      <c r="AE11" s="5215"/>
    </row>
    <row r="12" spans="1:31" s="5214" customFormat="1" ht="36" customHeight="1">
      <c r="A12" s="5211"/>
      <c r="B12" s="14779" t="s">
        <v>6703</v>
      </c>
      <c r="C12" s="14779"/>
      <c r="D12" s="14779"/>
      <c r="E12" s="14779"/>
      <c r="F12" s="14779"/>
      <c r="G12" s="14779"/>
      <c r="I12" s="5215"/>
      <c r="J12" s="5216"/>
      <c r="K12" s="5215"/>
      <c r="L12" s="5215"/>
      <c r="M12" s="5215"/>
      <c r="N12" s="5215"/>
      <c r="O12" s="5215"/>
      <c r="P12" s="5215"/>
      <c r="Q12" s="5215"/>
      <c r="R12" s="5217"/>
      <c r="S12" s="5215"/>
      <c r="T12" s="5217"/>
      <c r="U12" s="5215"/>
      <c r="V12" s="5215"/>
      <c r="W12" s="5215"/>
      <c r="X12" s="5215"/>
      <c r="Y12" s="5215"/>
      <c r="Z12" s="5215"/>
      <c r="AA12" s="5215"/>
      <c r="AB12" s="5215"/>
      <c r="AC12" s="5215"/>
      <c r="AD12" s="5215"/>
      <c r="AE12" s="5215"/>
    </row>
    <row r="13" spans="1:31" s="5214" customFormat="1" ht="18.75" customHeight="1">
      <c r="A13" s="5211"/>
      <c r="B13" s="14779" t="s">
        <v>6704</v>
      </c>
      <c r="C13" s="14779"/>
      <c r="D13" s="14779"/>
      <c r="E13" s="14779"/>
      <c r="F13" s="14779"/>
      <c r="G13" s="14779"/>
      <c r="I13" s="5215"/>
      <c r="J13" s="5216"/>
      <c r="K13" s="5215"/>
      <c r="L13" s="5215"/>
      <c r="M13" s="5215"/>
      <c r="N13" s="5215"/>
      <c r="O13" s="5215"/>
      <c r="P13" s="5215"/>
      <c r="Q13" s="5215"/>
      <c r="R13" s="5217"/>
      <c r="S13" s="5215"/>
      <c r="T13" s="5217"/>
      <c r="U13" s="5215"/>
      <c r="V13" s="5215"/>
      <c r="W13" s="5215"/>
      <c r="X13" s="5215"/>
      <c r="Y13" s="5215"/>
      <c r="Z13" s="5215"/>
      <c r="AA13" s="5215"/>
      <c r="AB13" s="5215"/>
      <c r="AC13" s="5215"/>
      <c r="AD13" s="5215"/>
      <c r="AE13" s="5215"/>
    </row>
    <row r="14" spans="1:31" s="5214" customFormat="1" ht="37.5" customHeight="1">
      <c r="A14" s="5211"/>
      <c r="B14" s="14779" t="s">
        <v>6705</v>
      </c>
      <c r="C14" s="14779"/>
      <c r="D14" s="14779"/>
      <c r="E14" s="14779"/>
      <c r="F14" s="14779"/>
      <c r="G14" s="14779"/>
      <c r="I14" s="5215"/>
      <c r="J14" s="5216"/>
      <c r="K14" s="5215"/>
      <c r="L14" s="5215"/>
      <c r="M14" s="5215"/>
      <c r="N14" s="5215"/>
      <c r="O14" s="5215"/>
      <c r="P14" s="5215"/>
      <c r="Q14" s="5215"/>
      <c r="R14" s="5217"/>
      <c r="S14" s="5215"/>
      <c r="T14" s="5217"/>
      <c r="U14" s="5215"/>
      <c r="V14" s="5215"/>
      <c r="W14" s="5215"/>
      <c r="X14" s="5215"/>
      <c r="Y14" s="5215"/>
      <c r="Z14" s="5215"/>
      <c r="AA14" s="5215"/>
      <c r="AB14" s="5215"/>
      <c r="AC14" s="5215"/>
      <c r="AD14" s="5215"/>
      <c r="AE14" s="5215"/>
    </row>
    <row r="15" spans="1:31" s="5214" customFormat="1" ht="35.25" customHeight="1">
      <c r="A15" s="5211"/>
      <c r="B15" s="14779" t="s">
        <v>6706</v>
      </c>
      <c r="C15" s="14779"/>
      <c r="D15" s="14779"/>
      <c r="E15" s="14779"/>
      <c r="F15" s="14779"/>
      <c r="G15" s="14779"/>
      <c r="I15" s="5215"/>
      <c r="J15" s="5216"/>
      <c r="K15" s="5215"/>
      <c r="L15" s="5215"/>
      <c r="M15" s="5215"/>
      <c r="N15" s="5215"/>
      <c r="O15" s="5215"/>
      <c r="P15" s="5215"/>
      <c r="Q15" s="5215"/>
      <c r="R15" s="5217"/>
      <c r="S15" s="5215"/>
      <c r="T15" s="5217"/>
      <c r="U15" s="5215"/>
      <c r="V15" s="5215"/>
      <c r="W15" s="5215"/>
      <c r="X15" s="5215"/>
      <c r="Y15" s="5215"/>
      <c r="Z15" s="5215"/>
      <c r="AA15" s="5215"/>
      <c r="AB15" s="5215"/>
      <c r="AC15" s="5215"/>
      <c r="AD15" s="5215"/>
      <c r="AE15" s="5215"/>
    </row>
    <row r="16" spans="1:31" s="5214" customFormat="1" ht="35.25" customHeight="1">
      <c r="A16" s="5211"/>
      <c r="B16" s="14779" t="s">
        <v>6707</v>
      </c>
      <c r="C16" s="14779"/>
      <c r="D16" s="14779"/>
      <c r="E16" s="14779"/>
      <c r="F16" s="14779"/>
      <c r="G16" s="14779"/>
      <c r="I16" s="5215"/>
      <c r="J16" s="5216"/>
      <c r="K16" s="5215"/>
      <c r="L16" s="5215"/>
      <c r="M16" s="5215"/>
      <c r="N16" s="5215"/>
      <c r="O16" s="5215"/>
      <c r="P16" s="5215"/>
      <c r="Q16" s="5215"/>
      <c r="R16" s="5217"/>
      <c r="S16" s="5215"/>
      <c r="T16" s="5217"/>
      <c r="U16" s="5215"/>
      <c r="V16" s="5215"/>
      <c r="W16" s="5215"/>
      <c r="X16" s="5215"/>
      <c r="Y16" s="5215"/>
      <c r="Z16" s="5215"/>
      <c r="AA16" s="5215"/>
      <c r="AB16" s="5215"/>
      <c r="AC16" s="5215"/>
      <c r="AD16" s="5215"/>
      <c r="AE16" s="5215"/>
    </row>
    <row r="17" spans="1:31" s="5214" customFormat="1" ht="36" customHeight="1">
      <c r="A17" s="5211"/>
      <c r="B17" s="14779" t="s">
        <v>6708</v>
      </c>
      <c r="C17" s="14779"/>
      <c r="D17" s="14779"/>
      <c r="E17" s="14779"/>
      <c r="F17" s="14779"/>
      <c r="G17" s="14779"/>
      <c r="I17" s="5215"/>
      <c r="J17" s="5216"/>
      <c r="K17" s="5215"/>
      <c r="L17" s="5215"/>
      <c r="M17" s="5215"/>
      <c r="N17" s="5215"/>
      <c r="O17" s="5215"/>
      <c r="P17" s="5215"/>
      <c r="Q17" s="5215"/>
      <c r="R17" s="5217"/>
      <c r="S17" s="5215"/>
      <c r="T17" s="5217"/>
      <c r="U17" s="5215"/>
      <c r="V17" s="5215"/>
      <c r="W17" s="5215"/>
      <c r="X17" s="5215"/>
      <c r="Y17" s="5215"/>
      <c r="Z17" s="5215"/>
      <c r="AA17" s="5215"/>
      <c r="AB17" s="5215"/>
      <c r="AC17" s="5215"/>
      <c r="AD17" s="5215"/>
      <c r="AE17" s="5215"/>
    </row>
    <row r="18" spans="1:31" s="5214" customFormat="1">
      <c r="A18" s="5211"/>
      <c r="B18" s="5212"/>
      <c r="C18" s="5213"/>
      <c r="D18" s="5212"/>
      <c r="E18" s="5212"/>
      <c r="F18" s="5212"/>
      <c r="G18" s="5212"/>
      <c r="I18" s="5215"/>
      <c r="J18" s="5216"/>
      <c r="K18" s="5215"/>
      <c r="L18" s="5215"/>
      <c r="M18" s="5215"/>
      <c r="N18" s="5215"/>
      <c r="O18" s="5215"/>
      <c r="P18" s="5215"/>
      <c r="Q18" s="5215"/>
      <c r="R18" s="5217"/>
      <c r="S18" s="5215"/>
      <c r="T18" s="5217"/>
      <c r="U18" s="5215"/>
      <c r="V18" s="5215"/>
      <c r="W18" s="5215"/>
      <c r="X18" s="5215"/>
      <c r="Y18" s="5215"/>
      <c r="Z18" s="5215"/>
      <c r="AA18" s="5215"/>
      <c r="AB18" s="5215"/>
      <c r="AC18" s="5215"/>
      <c r="AD18" s="5215"/>
      <c r="AE18" s="5215"/>
    </row>
    <row r="19" spans="1:31" s="5214" customFormat="1">
      <c r="A19" s="5211" t="s">
        <v>2687</v>
      </c>
      <c r="B19" s="5212"/>
      <c r="C19" s="5213"/>
      <c r="D19" s="5212"/>
      <c r="E19" s="5212"/>
      <c r="F19" s="5212"/>
      <c r="G19" s="5212"/>
      <c r="I19" s="5215"/>
      <c r="J19" s="5216"/>
      <c r="K19" s="5215"/>
      <c r="L19" s="5215"/>
      <c r="M19" s="5215"/>
      <c r="N19" s="5215"/>
      <c r="O19" s="5215"/>
      <c r="P19" s="5215"/>
      <c r="Q19" s="5215"/>
      <c r="R19" s="5217"/>
      <c r="S19" s="5215"/>
      <c r="T19" s="5217"/>
      <c r="U19" s="5215"/>
      <c r="V19" s="5215"/>
      <c r="W19" s="5215"/>
      <c r="X19" s="5215"/>
      <c r="Y19" s="5215"/>
      <c r="Z19" s="5215"/>
      <c r="AA19" s="5215"/>
      <c r="AB19" s="5215"/>
      <c r="AC19" s="5215"/>
      <c r="AD19" s="5215"/>
      <c r="AE19" s="5215"/>
    </row>
    <row r="20" spans="1:31">
      <c r="A20" s="5218"/>
      <c r="L20" s="5222" t="s">
        <v>217</v>
      </c>
      <c r="M20" s="14780" t="s">
        <v>1973</v>
      </c>
      <c r="N20" s="14780"/>
      <c r="O20" s="14780"/>
      <c r="P20" s="5222" t="s">
        <v>6518</v>
      </c>
      <c r="Q20" s="5222" t="s">
        <v>6709</v>
      </c>
      <c r="R20" s="5223" t="s">
        <v>220</v>
      </c>
    </row>
    <row r="21" spans="1:31" ht="12.75" customHeight="1">
      <c r="A21" s="14781" t="s">
        <v>2550</v>
      </c>
      <c r="B21" s="14782" t="s">
        <v>2688</v>
      </c>
      <c r="C21" s="14783" t="s">
        <v>1736</v>
      </c>
      <c r="D21" s="14785" t="s">
        <v>1760</v>
      </c>
      <c r="E21" s="14786" t="s">
        <v>1764</v>
      </c>
      <c r="F21" s="14788" t="s">
        <v>2689</v>
      </c>
      <c r="G21" s="14785"/>
      <c r="M21" s="5222" t="s">
        <v>6710</v>
      </c>
      <c r="N21" s="5222" t="s">
        <v>6711</v>
      </c>
      <c r="O21" s="5222" t="s">
        <v>458</v>
      </c>
      <c r="R21" s="3744"/>
    </row>
    <row r="22" spans="1:31" ht="27.6">
      <c r="A22" s="14781"/>
      <c r="B22" s="14782"/>
      <c r="C22" s="14784"/>
      <c r="D22" s="14785"/>
      <c r="E22" s="14787"/>
      <c r="F22" s="5224" t="s">
        <v>2690</v>
      </c>
      <c r="G22" s="5225" t="s">
        <v>2691</v>
      </c>
    </row>
    <row r="23" spans="1:31" ht="5.25" customHeight="1">
      <c r="A23" s="5226"/>
      <c r="B23" s="5227"/>
      <c r="C23" s="5228"/>
      <c r="D23" s="5229"/>
      <c r="E23" s="5230"/>
      <c r="F23" s="5231"/>
      <c r="G23" s="5231"/>
    </row>
    <row r="24" spans="1:31">
      <c r="A24" s="5232"/>
      <c r="B24" s="5233"/>
      <c r="C24" s="5234"/>
      <c r="D24" s="5235"/>
      <c r="E24" s="5235"/>
      <c r="F24" s="5236"/>
      <c r="G24" s="5236"/>
    </row>
    <row r="25" spans="1:31" ht="56.25" customHeight="1">
      <c r="A25" s="5232">
        <v>1</v>
      </c>
      <c r="B25" s="5233" t="s">
        <v>6712</v>
      </c>
      <c r="C25" s="5234">
        <f>R25</f>
        <v>1062265.0848000001</v>
      </c>
      <c r="D25" s="5235" t="s">
        <v>6713</v>
      </c>
      <c r="E25" s="5235" t="s">
        <v>6714</v>
      </c>
      <c r="F25" s="5236" t="s">
        <v>1816</v>
      </c>
      <c r="G25" s="5236" t="s">
        <v>1746</v>
      </c>
      <c r="J25" s="5237">
        <v>0.06</v>
      </c>
      <c r="L25" s="5238">
        <f>J25*$K$236</f>
        <v>889352.28480000002</v>
      </c>
      <c r="M25" s="5238">
        <f>J25*$K$237</f>
        <v>172912.8</v>
      </c>
      <c r="N25" s="5238"/>
      <c r="O25" s="5238">
        <f>M25+N25</f>
        <v>172912.8</v>
      </c>
      <c r="P25" s="5238"/>
      <c r="Q25" s="5238"/>
      <c r="R25" s="5238">
        <f>L25+O25+P25+Q25</f>
        <v>1062265.0848000001</v>
      </c>
    </row>
    <row r="26" spans="1:31">
      <c r="A26" s="5239"/>
      <c r="B26" s="5240"/>
      <c r="C26" s="5241"/>
      <c r="D26" s="5240"/>
      <c r="E26" s="5240"/>
      <c r="F26" s="5242"/>
      <c r="G26" s="5242"/>
      <c r="J26" s="5237"/>
    </row>
    <row r="27" spans="1:31" ht="81.75" customHeight="1">
      <c r="A27" s="5243">
        <v>2</v>
      </c>
      <c r="B27" s="5244" t="s">
        <v>6715</v>
      </c>
      <c r="C27" s="5245">
        <f>R27</f>
        <v>885220.9040000001</v>
      </c>
      <c r="D27" s="5246" t="s">
        <v>6716</v>
      </c>
      <c r="E27" s="5246" t="s">
        <v>6717</v>
      </c>
      <c r="F27" s="5247" t="s">
        <v>1816</v>
      </c>
      <c r="G27" s="5247" t="s">
        <v>6718</v>
      </c>
      <c r="J27" s="5237">
        <v>0.05</v>
      </c>
      <c r="L27" s="5238">
        <f>J27*$K$236</f>
        <v>741126.9040000001</v>
      </c>
      <c r="M27" s="5238">
        <f>J27*$K$237</f>
        <v>144094</v>
      </c>
      <c r="O27" s="5238">
        <f>M27+N27</f>
        <v>144094</v>
      </c>
      <c r="R27" s="5238">
        <f>L27+O27+P27+Q27</f>
        <v>885220.9040000001</v>
      </c>
    </row>
    <row r="28" spans="1:31" ht="119.25" customHeight="1">
      <c r="A28" s="5232"/>
      <c r="B28" s="5235" t="s">
        <v>6719</v>
      </c>
      <c r="C28" s="5234"/>
      <c r="D28" s="5235"/>
      <c r="E28" s="5235"/>
      <c r="F28" s="5236"/>
      <c r="G28" s="5236"/>
      <c r="J28" s="5237"/>
    </row>
    <row r="29" spans="1:31">
      <c r="A29" s="5232"/>
      <c r="B29" s="5235"/>
      <c r="C29" s="5234"/>
      <c r="D29" s="5235"/>
      <c r="E29" s="5235"/>
      <c r="F29" s="5236"/>
      <c r="G29" s="5236"/>
      <c r="J29" s="5237"/>
    </row>
    <row r="30" spans="1:31" ht="69">
      <c r="A30" s="5248">
        <v>3</v>
      </c>
      <c r="B30" s="5249" t="s">
        <v>2692</v>
      </c>
      <c r="C30" s="5250">
        <f>R30</f>
        <v>1185220.9040000001</v>
      </c>
      <c r="D30" s="5251"/>
      <c r="E30" s="5251" t="s">
        <v>2693</v>
      </c>
      <c r="F30" s="5252" t="s">
        <v>1816</v>
      </c>
      <c r="G30" s="5252" t="s">
        <v>2546</v>
      </c>
      <c r="J30" s="5237">
        <v>0.05</v>
      </c>
      <c r="K30" s="5253" t="s">
        <v>6720</v>
      </c>
      <c r="L30" s="5238">
        <f>J30*$K$236</f>
        <v>741126.9040000001</v>
      </c>
      <c r="M30" s="5238">
        <f>J30*$K$237</f>
        <v>144094</v>
      </c>
      <c r="O30" s="5238">
        <f>M30+N30</f>
        <v>144094</v>
      </c>
      <c r="P30" s="5238"/>
      <c r="Q30" s="5238">
        <f>Q248</f>
        <v>300000</v>
      </c>
      <c r="R30" s="5238">
        <f>L30+O30+P30+Q30</f>
        <v>1185220.9040000001</v>
      </c>
    </row>
    <row r="31" spans="1:31">
      <c r="A31" s="5254"/>
      <c r="B31" s="5255"/>
      <c r="C31" s="5256"/>
      <c r="D31" s="5257"/>
      <c r="E31" s="5257"/>
      <c r="F31" s="5258"/>
      <c r="G31" s="5258"/>
      <c r="J31" s="5237"/>
      <c r="K31" s="5253"/>
      <c r="L31" s="5238"/>
      <c r="M31" s="5238"/>
      <c r="O31" s="5238"/>
      <c r="P31" s="5238"/>
      <c r="Q31" s="5238"/>
      <c r="R31" s="5238"/>
    </row>
    <row r="32" spans="1:31">
      <c r="A32" s="5222"/>
      <c r="B32" s="5259"/>
      <c r="C32" s="3736"/>
      <c r="D32" s="5260"/>
      <c r="E32" s="5260"/>
      <c r="F32" s="5261"/>
      <c r="G32" s="5261"/>
      <c r="J32" s="5237"/>
      <c r="K32" s="5253"/>
      <c r="L32" s="5238"/>
      <c r="M32" s="5238"/>
      <c r="O32" s="5238"/>
      <c r="P32" s="5238"/>
      <c r="Q32" s="5238"/>
      <c r="R32" s="5238"/>
    </row>
    <row r="33" spans="1:18">
      <c r="A33" s="5222"/>
      <c r="B33" s="5259"/>
      <c r="C33" s="3736"/>
      <c r="D33" s="5260"/>
      <c r="E33" s="5260"/>
      <c r="F33" s="5261"/>
      <c r="G33" s="5261"/>
      <c r="J33" s="5237"/>
      <c r="K33" s="5253"/>
      <c r="L33" s="5238"/>
      <c r="M33" s="5238"/>
      <c r="O33" s="5238"/>
      <c r="P33" s="5238"/>
      <c r="Q33" s="5238"/>
      <c r="R33" s="5238"/>
    </row>
    <row r="34" spans="1:18">
      <c r="A34" s="5222"/>
      <c r="B34" s="5259"/>
      <c r="C34" s="3736"/>
      <c r="D34" s="5260"/>
      <c r="E34" s="5260"/>
      <c r="F34" s="5261"/>
      <c r="G34" s="5261"/>
      <c r="J34" s="5237"/>
      <c r="K34" s="5253"/>
      <c r="L34" s="5238"/>
      <c r="M34" s="5238"/>
      <c r="O34" s="5238"/>
      <c r="P34" s="5238"/>
      <c r="Q34" s="5238"/>
      <c r="R34" s="5238"/>
    </row>
    <row r="35" spans="1:18">
      <c r="A35" s="5222"/>
      <c r="B35" s="5259"/>
      <c r="C35" s="3736"/>
      <c r="D35" s="5260"/>
      <c r="E35" s="5260"/>
      <c r="F35" s="5261"/>
      <c r="G35" s="5261"/>
      <c r="J35" s="5237"/>
      <c r="K35" s="5253"/>
      <c r="L35" s="5238"/>
      <c r="M35" s="5238"/>
      <c r="O35" s="5238"/>
      <c r="P35" s="5238"/>
      <c r="Q35" s="5238"/>
      <c r="R35" s="5238"/>
    </row>
    <row r="36" spans="1:18">
      <c r="A36" s="5222"/>
      <c r="B36" s="5259"/>
      <c r="C36" s="3736"/>
      <c r="D36" s="5260"/>
      <c r="E36" s="5260"/>
      <c r="F36" s="5261"/>
      <c r="G36" s="5261"/>
      <c r="J36" s="5237"/>
      <c r="K36" s="5253"/>
      <c r="L36" s="5238"/>
      <c r="M36" s="5238"/>
      <c r="O36" s="5238"/>
      <c r="P36" s="5238"/>
      <c r="Q36" s="5238"/>
      <c r="R36" s="5238"/>
    </row>
    <row r="37" spans="1:18">
      <c r="A37" s="5222"/>
      <c r="B37" s="5259"/>
      <c r="C37" s="3736"/>
      <c r="D37" s="5260"/>
      <c r="E37" s="5260"/>
      <c r="F37" s="5261"/>
      <c r="G37" s="5261"/>
      <c r="J37" s="5237"/>
      <c r="K37" s="5253"/>
      <c r="L37" s="5238"/>
      <c r="M37" s="5238"/>
      <c r="O37" s="5238"/>
      <c r="P37" s="5238"/>
      <c r="Q37" s="5238"/>
      <c r="R37" s="5238"/>
    </row>
    <row r="38" spans="1:18">
      <c r="A38" s="5222"/>
      <c r="B38" s="5259"/>
      <c r="C38" s="3736"/>
      <c r="D38" s="5260"/>
      <c r="E38" s="5260"/>
      <c r="F38" s="5261"/>
      <c r="G38" s="5261"/>
      <c r="J38" s="5237"/>
      <c r="K38" s="5253"/>
      <c r="L38" s="5238"/>
      <c r="M38" s="5238"/>
      <c r="O38" s="5238"/>
      <c r="P38" s="5238"/>
      <c r="Q38" s="5238"/>
      <c r="R38" s="5238"/>
    </row>
    <row r="39" spans="1:18" ht="12.75" customHeight="1">
      <c r="A39" s="14781" t="s">
        <v>2550</v>
      </c>
      <c r="B39" s="14782" t="s">
        <v>2688</v>
      </c>
      <c r="C39" s="14783" t="s">
        <v>1736</v>
      </c>
      <c r="D39" s="14785" t="s">
        <v>1760</v>
      </c>
      <c r="E39" s="14786" t="s">
        <v>1764</v>
      </c>
      <c r="F39" s="14788" t="s">
        <v>2689</v>
      </c>
      <c r="G39" s="14785"/>
      <c r="M39" s="5222" t="s">
        <v>6710</v>
      </c>
      <c r="N39" s="5222" t="s">
        <v>6711</v>
      </c>
      <c r="O39" s="5222" t="s">
        <v>458</v>
      </c>
      <c r="R39" s="3744"/>
    </row>
    <row r="40" spans="1:18" ht="27.6">
      <c r="A40" s="14781"/>
      <c r="B40" s="14782"/>
      <c r="C40" s="14784"/>
      <c r="D40" s="14785"/>
      <c r="E40" s="14787"/>
      <c r="F40" s="5224" t="s">
        <v>2690</v>
      </c>
      <c r="G40" s="5225" t="s">
        <v>2691</v>
      </c>
    </row>
    <row r="41" spans="1:18" ht="39" customHeight="1">
      <c r="A41" s="5243"/>
      <c r="B41" s="5246" t="s">
        <v>6721</v>
      </c>
      <c r="C41" s="5245"/>
      <c r="D41" s="5246" t="s">
        <v>6722</v>
      </c>
      <c r="E41" s="5246" t="s">
        <v>6723</v>
      </c>
      <c r="F41" s="5247" t="s">
        <v>1816</v>
      </c>
      <c r="G41" s="5247" t="s">
        <v>2546</v>
      </c>
      <c r="J41" s="5237"/>
    </row>
    <row r="42" spans="1:18" ht="44.25" customHeight="1">
      <c r="A42" s="5232"/>
      <c r="B42" s="5262"/>
      <c r="C42" s="5234"/>
      <c r="D42" s="5235" t="s">
        <v>6724</v>
      </c>
      <c r="E42" s="5235" t="s">
        <v>6725</v>
      </c>
      <c r="F42" s="5263" t="s">
        <v>1816</v>
      </c>
      <c r="G42" s="5263" t="s">
        <v>1816</v>
      </c>
      <c r="J42" s="5237"/>
    </row>
    <row r="43" spans="1:18" ht="69">
      <c r="A43" s="5232"/>
      <c r="B43" s="5262"/>
      <c r="C43" s="5234"/>
      <c r="D43" s="5235" t="s">
        <v>6726</v>
      </c>
      <c r="E43" s="5235" t="s">
        <v>6727</v>
      </c>
      <c r="F43" s="5264" t="s">
        <v>6728</v>
      </c>
      <c r="G43" s="5264" t="s">
        <v>6728</v>
      </c>
      <c r="J43" s="5237"/>
    </row>
    <row r="44" spans="1:18" ht="32.25" customHeight="1">
      <c r="A44" s="5232"/>
      <c r="B44" s="5262"/>
      <c r="C44" s="5234"/>
      <c r="D44" s="5235" t="s">
        <v>6729</v>
      </c>
      <c r="E44" s="5235" t="s">
        <v>6730</v>
      </c>
      <c r="F44" s="5264" t="s">
        <v>1816</v>
      </c>
      <c r="G44" s="5264" t="s">
        <v>1816</v>
      </c>
      <c r="J44" s="5237"/>
    </row>
    <row r="45" spans="1:18" ht="39.75" customHeight="1">
      <c r="A45" s="5232"/>
      <c r="B45" s="5262"/>
      <c r="C45" s="5234"/>
      <c r="D45" s="5235" t="s">
        <v>6731</v>
      </c>
      <c r="E45" s="5235" t="s">
        <v>6732</v>
      </c>
      <c r="F45" s="5264" t="s">
        <v>1816</v>
      </c>
      <c r="G45" s="5264" t="s">
        <v>1816</v>
      </c>
      <c r="J45" s="5237"/>
    </row>
    <row r="46" spans="1:18" ht="42.75" customHeight="1">
      <c r="A46" s="5232"/>
      <c r="B46" s="5262"/>
      <c r="C46" s="5234"/>
      <c r="D46" s="5235" t="s">
        <v>6733</v>
      </c>
      <c r="E46" s="5235" t="s">
        <v>6734</v>
      </c>
      <c r="F46" s="5264" t="s">
        <v>1816</v>
      </c>
      <c r="G46" s="5264" t="s">
        <v>1746</v>
      </c>
      <c r="J46" s="5237"/>
    </row>
    <row r="47" spans="1:18" ht="30.75" customHeight="1">
      <c r="A47" s="5232"/>
      <c r="B47" s="5262"/>
      <c r="C47" s="5234"/>
      <c r="D47" s="5235" t="s">
        <v>6735</v>
      </c>
      <c r="E47" s="5235" t="s">
        <v>6736</v>
      </c>
      <c r="F47" s="5264" t="s">
        <v>1816</v>
      </c>
      <c r="G47" s="5264" t="s">
        <v>1748</v>
      </c>
      <c r="J47" s="5237"/>
    </row>
    <row r="48" spans="1:18" ht="59.25" customHeight="1">
      <c r="A48" s="5232"/>
      <c r="B48" s="5262"/>
      <c r="C48" s="5234"/>
      <c r="D48" s="5235" t="s">
        <v>6737</v>
      </c>
      <c r="E48" s="5235" t="s">
        <v>6738</v>
      </c>
      <c r="F48" s="5263" t="s">
        <v>1816</v>
      </c>
      <c r="G48" s="5263" t="s">
        <v>2546</v>
      </c>
      <c r="J48" s="5237"/>
    </row>
    <row r="49" spans="1:18">
      <c r="A49" s="5232"/>
      <c r="B49" s="5235"/>
      <c r="C49" s="5234"/>
      <c r="D49" s="5235"/>
      <c r="E49" s="5235"/>
      <c r="F49" s="5236"/>
      <c r="G49" s="5236"/>
      <c r="J49" s="5237"/>
    </row>
    <row r="50" spans="1:18" ht="69">
      <c r="A50" s="5232">
        <v>4</v>
      </c>
      <c r="B50" s="5265" t="s">
        <v>6739</v>
      </c>
      <c r="C50" s="5234">
        <f>R50</f>
        <v>4540883.6160000004</v>
      </c>
      <c r="D50" s="5235" t="s">
        <v>6740</v>
      </c>
      <c r="E50" s="5235"/>
      <c r="F50" s="5263"/>
      <c r="G50" s="5263"/>
      <c r="J50" s="5237">
        <v>0.2</v>
      </c>
      <c r="L50" s="5238">
        <f>J50*$K$236</f>
        <v>2964507.6160000004</v>
      </c>
      <c r="M50" s="5238">
        <f>J50*$K$237</f>
        <v>576376</v>
      </c>
      <c r="N50" s="5238">
        <f>T243</f>
        <v>200000</v>
      </c>
      <c r="O50" s="5238">
        <f>M50+N50</f>
        <v>776376</v>
      </c>
      <c r="P50" s="5238"/>
      <c r="Q50" s="5238">
        <f>Q247</f>
        <v>800000</v>
      </c>
      <c r="R50" s="5238">
        <f>L50+O50+P50+Q50</f>
        <v>4540883.6160000004</v>
      </c>
    </row>
    <row r="51" spans="1:18" ht="43.5" customHeight="1">
      <c r="A51" s="5232"/>
      <c r="B51" s="5266" t="s">
        <v>6741</v>
      </c>
      <c r="C51" s="5234"/>
      <c r="D51" s="5235" t="s">
        <v>6742</v>
      </c>
      <c r="E51" s="5235" t="s">
        <v>6743</v>
      </c>
      <c r="F51" s="5263" t="s">
        <v>1816</v>
      </c>
      <c r="G51" s="5263" t="s">
        <v>2546</v>
      </c>
      <c r="J51" s="5237"/>
    </row>
    <row r="52" spans="1:18" ht="42" customHeight="1">
      <c r="A52" s="5232"/>
      <c r="B52" s="5266"/>
      <c r="C52" s="5234"/>
      <c r="D52" s="5235" t="s">
        <v>6744</v>
      </c>
      <c r="E52" s="5235" t="s">
        <v>6745</v>
      </c>
      <c r="F52" s="5263" t="s">
        <v>1816</v>
      </c>
      <c r="G52" s="5263" t="s">
        <v>2546</v>
      </c>
    </row>
    <row r="53" spans="1:18" ht="27.6">
      <c r="A53" s="5232"/>
      <c r="B53" s="5265"/>
      <c r="C53" s="5234"/>
      <c r="D53" s="5235" t="s">
        <v>6746</v>
      </c>
      <c r="E53" s="5235" t="s">
        <v>6747</v>
      </c>
      <c r="F53" s="5263" t="s">
        <v>1816</v>
      </c>
      <c r="G53" s="5263" t="s">
        <v>2546</v>
      </c>
      <c r="J53" s="5237"/>
    </row>
    <row r="54" spans="1:18" ht="41.4">
      <c r="A54" s="5232"/>
      <c r="B54" s="5266" t="s">
        <v>6748</v>
      </c>
      <c r="C54" s="5234"/>
      <c r="D54" s="5235" t="s">
        <v>6749</v>
      </c>
      <c r="E54" s="5235" t="s">
        <v>6750</v>
      </c>
      <c r="F54" s="5263" t="s">
        <v>1816</v>
      </c>
      <c r="G54" s="5263" t="s">
        <v>2546</v>
      </c>
      <c r="J54" s="5237"/>
    </row>
    <row r="55" spans="1:18" ht="30" customHeight="1">
      <c r="A55" s="5232"/>
      <c r="B55" s="5265"/>
      <c r="C55" s="5234"/>
      <c r="D55" s="5235" t="s">
        <v>6751</v>
      </c>
      <c r="E55" s="5235" t="s">
        <v>6752</v>
      </c>
      <c r="F55" s="5263" t="s">
        <v>1816</v>
      </c>
      <c r="G55" s="5263" t="s">
        <v>2546</v>
      </c>
      <c r="J55" s="5237"/>
    </row>
    <row r="56" spans="1:18" ht="41.4">
      <c r="A56" s="5232"/>
      <c r="B56" s="5266" t="s">
        <v>6753</v>
      </c>
      <c r="C56" s="5234"/>
      <c r="D56" s="5235" t="s">
        <v>6754</v>
      </c>
      <c r="E56" s="5235" t="s">
        <v>6755</v>
      </c>
      <c r="F56" s="5263" t="s">
        <v>1816</v>
      </c>
      <c r="G56" s="5263" t="s">
        <v>2546</v>
      </c>
      <c r="J56" s="5237"/>
    </row>
    <row r="57" spans="1:18" ht="55.2">
      <c r="A57" s="5232"/>
      <c r="B57" s="5265"/>
      <c r="C57" s="5234"/>
      <c r="D57" s="5235" t="s">
        <v>6756</v>
      </c>
      <c r="E57" s="5235" t="s">
        <v>6757</v>
      </c>
      <c r="F57" s="5263" t="s">
        <v>1816</v>
      </c>
      <c r="G57" s="5263" t="s">
        <v>2546</v>
      </c>
      <c r="J57" s="5267"/>
    </row>
    <row r="58" spans="1:18" ht="69">
      <c r="A58" s="5248"/>
      <c r="B58" s="5249"/>
      <c r="C58" s="5250"/>
      <c r="D58" s="5251" t="s">
        <v>6758</v>
      </c>
      <c r="E58" s="5251" t="s">
        <v>6759</v>
      </c>
      <c r="F58" s="5252" t="s">
        <v>1816</v>
      </c>
      <c r="G58" s="5252" t="s">
        <v>1748</v>
      </c>
    </row>
    <row r="59" spans="1:18">
      <c r="A59" s="5254"/>
      <c r="B59" s="5255"/>
      <c r="C59" s="5256"/>
      <c r="D59" s="5257"/>
      <c r="E59" s="5257"/>
      <c r="F59" s="5258"/>
      <c r="G59" s="5258"/>
    </row>
    <row r="60" spans="1:18">
      <c r="A60" s="5222"/>
      <c r="B60" s="5259"/>
      <c r="C60" s="3736"/>
      <c r="D60" s="5260"/>
      <c r="E60" s="5260"/>
      <c r="F60" s="5261"/>
      <c r="G60" s="5261"/>
    </row>
    <row r="61" spans="1:18">
      <c r="A61" s="5222"/>
      <c r="B61" s="5259"/>
      <c r="C61" s="3736"/>
      <c r="D61" s="5260"/>
      <c r="E61" s="5260"/>
      <c r="F61" s="5261"/>
      <c r="G61" s="5261"/>
    </row>
    <row r="62" spans="1:18">
      <c r="A62" s="5222"/>
      <c r="B62" s="5259"/>
      <c r="C62" s="3736"/>
      <c r="D62" s="5260"/>
      <c r="E62" s="5260"/>
      <c r="F62" s="5261"/>
      <c r="G62" s="5261"/>
    </row>
    <row r="63" spans="1:18">
      <c r="A63" s="5222"/>
      <c r="B63" s="5259"/>
      <c r="C63" s="3736"/>
      <c r="D63" s="5260"/>
      <c r="E63" s="5260"/>
      <c r="F63" s="5261"/>
      <c r="G63" s="5261"/>
    </row>
    <row r="64" spans="1:18">
      <c r="A64" s="5222"/>
      <c r="B64" s="5259"/>
      <c r="C64" s="3736"/>
      <c r="D64" s="5260"/>
      <c r="E64" s="5260"/>
      <c r="F64" s="5261"/>
      <c r="G64" s="5261"/>
    </row>
    <row r="65" spans="1:18">
      <c r="A65" s="5222"/>
      <c r="B65" s="5259"/>
      <c r="C65" s="3736"/>
      <c r="D65" s="5260"/>
      <c r="E65" s="5260"/>
      <c r="F65" s="5261"/>
      <c r="G65" s="5261"/>
    </row>
    <row r="66" spans="1:18">
      <c r="A66" s="5222"/>
      <c r="B66" s="5259"/>
      <c r="C66" s="3736"/>
      <c r="D66" s="5260"/>
      <c r="E66" s="5260"/>
      <c r="F66" s="5261"/>
      <c r="G66" s="5261"/>
    </row>
    <row r="67" spans="1:18">
      <c r="A67" s="5222"/>
      <c r="B67" s="5259"/>
      <c r="C67" s="3736"/>
      <c r="D67" s="5260"/>
      <c r="E67" s="5260"/>
      <c r="F67" s="5261"/>
      <c r="G67" s="5261"/>
    </row>
    <row r="68" spans="1:18">
      <c r="A68" s="5222"/>
      <c r="B68" s="5259"/>
      <c r="C68" s="3736"/>
      <c r="D68" s="5260"/>
      <c r="E68" s="5260"/>
      <c r="F68" s="5261"/>
      <c r="G68" s="5261"/>
    </row>
    <row r="69" spans="1:18">
      <c r="A69" s="5222"/>
      <c r="B69" s="5259"/>
      <c r="C69" s="3736"/>
      <c r="D69" s="5260"/>
      <c r="E69" s="5260"/>
      <c r="F69" s="5261"/>
      <c r="G69" s="5261"/>
    </row>
    <row r="70" spans="1:18">
      <c r="A70" s="5222"/>
      <c r="B70" s="5259"/>
      <c r="C70" s="3736"/>
      <c r="D70" s="5260"/>
      <c r="E70" s="5260"/>
      <c r="F70" s="5261"/>
      <c r="G70" s="5261"/>
    </row>
    <row r="71" spans="1:18">
      <c r="A71" s="5222"/>
      <c r="B71" s="5259"/>
      <c r="C71" s="3736"/>
      <c r="D71" s="5260"/>
      <c r="E71" s="5260"/>
      <c r="F71" s="5261"/>
      <c r="G71" s="5261"/>
    </row>
    <row r="72" spans="1:18">
      <c r="A72" s="5222"/>
      <c r="B72" s="5259"/>
      <c r="C72" s="3736"/>
      <c r="D72" s="5260"/>
      <c r="E72" s="5260"/>
      <c r="F72" s="5261"/>
      <c r="G72" s="5261"/>
    </row>
    <row r="73" spans="1:18">
      <c r="A73" s="5222"/>
      <c r="B73" s="5259"/>
      <c r="C73" s="3736"/>
      <c r="D73" s="5260"/>
      <c r="E73" s="5260"/>
      <c r="F73" s="5261"/>
      <c r="G73" s="5261"/>
    </row>
    <row r="74" spans="1:18" ht="12.75" customHeight="1">
      <c r="A74" s="14781" t="s">
        <v>2550</v>
      </c>
      <c r="B74" s="14782" t="s">
        <v>2688</v>
      </c>
      <c r="C74" s="14783" t="s">
        <v>1736</v>
      </c>
      <c r="D74" s="14785" t="s">
        <v>1760</v>
      </c>
      <c r="E74" s="14786" t="s">
        <v>1764</v>
      </c>
      <c r="F74" s="14788" t="s">
        <v>2689</v>
      </c>
      <c r="G74" s="14785"/>
      <c r="M74" s="5222" t="s">
        <v>6710</v>
      </c>
      <c r="N74" s="5222" t="s">
        <v>6711</v>
      </c>
      <c r="O74" s="5222" t="s">
        <v>458</v>
      </c>
      <c r="R74" s="3744"/>
    </row>
    <row r="75" spans="1:18" ht="27.6">
      <c r="A75" s="14781"/>
      <c r="B75" s="14782"/>
      <c r="C75" s="14784"/>
      <c r="D75" s="14785"/>
      <c r="E75" s="14787"/>
      <c r="F75" s="5224" t="s">
        <v>2690</v>
      </c>
      <c r="G75" s="5225" t="s">
        <v>2691</v>
      </c>
    </row>
    <row r="76" spans="1:18" ht="55.2">
      <c r="A76" s="5243"/>
      <c r="B76" s="5244"/>
      <c r="C76" s="5245"/>
      <c r="D76" s="5246" t="s">
        <v>6760</v>
      </c>
      <c r="E76" s="5246" t="s">
        <v>6761</v>
      </c>
      <c r="F76" s="5247" t="s">
        <v>1816</v>
      </c>
      <c r="G76" s="5247" t="s">
        <v>2546</v>
      </c>
    </row>
    <row r="77" spans="1:18" ht="55.2">
      <c r="A77" s="5232"/>
      <c r="B77" s="5266" t="s">
        <v>6762</v>
      </c>
      <c r="C77" s="5234"/>
      <c r="D77" s="5235" t="s">
        <v>6763</v>
      </c>
      <c r="E77" s="5235" t="s">
        <v>6764</v>
      </c>
      <c r="F77" s="5263" t="s">
        <v>1816</v>
      </c>
      <c r="G77" s="5263" t="s">
        <v>2546</v>
      </c>
      <c r="J77" s="5237"/>
    </row>
    <row r="78" spans="1:18" ht="55.2">
      <c r="A78" s="5232"/>
      <c r="B78" s="5265"/>
      <c r="C78" s="5234"/>
      <c r="D78" s="5235" t="s">
        <v>6765</v>
      </c>
      <c r="E78" s="5235" t="s">
        <v>6766</v>
      </c>
      <c r="F78" s="5263" t="s">
        <v>1816</v>
      </c>
      <c r="G78" s="5263" t="s">
        <v>2546</v>
      </c>
      <c r="J78" s="5268"/>
    </row>
    <row r="79" spans="1:18" ht="42" customHeight="1">
      <c r="A79" s="5232"/>
      <c r="B79" s="5266"/>
      <c r="C79" s="5234"/>
      <c r="D79" s="5235" t="s">
        <v>6767</v>
      </c>
      <c r="E79" s="5235" t="s">
        <v>6768</v>
      </c>
      <c r="F79" s="5263" t="s">
        <v>1816</v>
      </c>
      <c r="G79" s="5263" t="s">
        <v>2546</v>
      </c>
      <c r="J79" s="5237"/>
      <c r="K79" s="5260"/>
    </row>
    <row r="80" spans="1:18" ht="55.5" customHeight="1">
      <c r="A80" s="5248"/>
      <c r="B80" s="5269"/>
      <c r="C80" s="5250"/>
      <c r="D80" s="5251" t="s">
        <v>6769</v>
      </c>
      <c r="E80" s="5251" t="s">
        <v>6770</v>
      </c>
      <c r="F80" s="5263" t="s">
        <v>1816</v>
      </c>
      <c r="G80" s="5263" t="s">
        <v>2546</v>
      </c>
      <c r="J80" s="5237"/>
      <c r="K80" s="5260"/>
    </row>
    <row r="81" spans="1:18" ht="44.25" customHeight="1">
      <c r="A81" s="5248"/>
      <c r="B81" s="5269" t="s">
        <v>6771</v>
      </c>
      <c r="C81" s="5250"/>
      <c r="D81" s="5251" t="s">
        <v>6772</v>
      </c>
      <c r="E81" s="5251" t="s">
        <v>6773</v>
      </c>
      <c r="F81" s="5263" t="s">
        <v>1816</v>
      </c>
      <c r="G81" s="5263" t="s">
        <v>2546</v>
      </c>
      <c r="J81" s="5237"/>
      <c r="K81" s="5260"/>
    </row>
    <row r="82" spans="1:18" ht="80.25" customHeight="1">
      <c r="A82" s="5248"/>
      <c r="B82" s="5269" t="s">
        <v>6774</v>
      </c>
      <c r="C82" s="5250"/>
      <c r="D82" s="5251" t="s">
        <v>6775</v>
      </c>
      <c r="E82" s="5251" t="s">
        <v>9487</v>
      </c>
      <c r="F82" s="5263" t="s">
        <v>1816</v>
      </c>
      <c r="G82" s="5263" t="s">
        <v>2546</v>
      </c>
      <c r="J82" s="5237"/>
      <c r="K82" s="5260"/>
    </row>
    <row r="83" spans="1:18">
      <c r="A83" s="5232"/>
      <c r="B83" s="5235"/>
      <c r="C83" s="5234"/>
      <c r="D83" s="5235"/>
      <c r="E83" s="5235"/>
      <c r="F83" s="5236"/>
      <c r="G83" s="5236"/>
      <c r="J83" s="5237"/>
      <c r="O83" s="5238"/>
    </row>
    <row r="84" spans="1:18" ht="55.2">
      <c r="A84" s="5232">
        <v>5</v>
      </c>
      <c r="B84" s="5265" t="s">
        <v>6776</v>
      </c>
      <c r="C84" s="5234">
        <f>R84</f>
        <v>1062265.0848000001</v>
      </c>
      <c r="D84" s="5235"/>
      <c r="E84" s="5235" t="s">
        <v>6777</v>
      </c>
      <c r="F84" s="5263" t="s">
        <v>1816</v>
      </c>
      <c r="G84" s="5263" t="s">
        <v>2546</v>
      </c>
      <c r="J84" s="5237">
        <v>0.06</v>
      </c>
      <c r="L84" s="5238">
        <f>J84*$K$236</f>
        <v>889352.28480000002</v>
      </c>
      <c r="M84" s="5238">
        <f>J84*$K$237</f>
        <v>172912.8</v>
      </c>
      <c r="O84" s="5238">
        <f>M84+N84</f>
        <v>172912.8</v>
      </c>
      <c r="R84" s="5238">
        <f>L84+O84+P84+Q84</f>
        <v>1062265.0848000001</v>
      </c>
    </row>
    <row r="85" spans="1:18">
      <c r="A85" s="5232"/>
      <c r="B85" s="5265"/>
      <c r="C85" s="5234"/>
      <c r="D85" s="5235" t="s">
        <v>6778</v>
      </c>
      <c r="E85" s="5235" t="s">
        <v>6779</v>
      </c>
      <c r="F85" s="5263" t="s">
        <v>1816</v>
      </c>
      <c r="G85" s="5263" t="s">
        <v>2546</v>
      </c>
      <c r="J85" s="5237"/>
    </row>
    <row r="86" spans="1:18" ht="27.6">
      <c r="A86" s="5232"/>
      <c r="B86" s="5266"/>
      <c r="C86" s="5234"/>
      <c r="D86" s="5266" t="s">
        <v>6780</v>
      </c>
      <c r="E86" s="5266" t="s">
        <v>6781</v>
      </c>
      <c r="F86" s="5263" t="s">
        <v>1816</v>
      </c>
      <c r="G86" s="5263" t="s">
        <v>2546</v>
      </c>
      <c r="J86" s="5270"/>
    </row>
    <row r="87" spans="1:18" ht="27.6">
      <c r="A87" s="5232"/>
      <c r="B87" s="5266"/>
      <c r="C87" s="5234"/>
      <c r="D87" s="5266" t="s">
        <v>6782</v>
      </c>
      <c r="E87" s="5266" t="s">
        <v>6783</v>
      </c>
      <c r="F87" s="5263" t="s">
        <v>1816</v>
      </c>
      <c r="G87" s="5263" t="s">
        <v>2546</v>
      </c>
      <c r="J87" s="5237"/>
    </row>
    <row r="88" spans="1:18" ht="27.6">
      <c r="A88" s="5232"/>
      <c r="B88" s="5266"/>
      <c r="C88" s="5234"/>
      <c r="D88" s="5266" t="s">
        <v>6784</v>
      </c>
      <c r="E88" s="5266" t="s">
        <v>6785</v>
      </c>
      <c r="F88" s="5263" t="s">
        <v>1816</v>
      </c>
      <c r="G88" s="5263" t="s">
        <v>2546</v>
      </c>
      <c r="J88" s="5237"/>
    </row>
    <row r="89" spans="1:18" ht="27.6">
      <c r="A89" s="5232"/>
      <c r="B89" s="5266"/>
      <c r="C89" s="5234"/>
      <c r="D89" s="5266" t="s">
        <v>6786</v>
      </c>
      <c r="E89" s="5235" t="s">
        <v>6787</v>
      </c>
      <c r="F89" s="5271" t="s">
        <v>6788</v>
      </c>
      <c r="G89" s="5271" t="s">
        <v>6788</v>
      </c>
      <c r="J89" s="5237"/>
    </row>
    <row r="90" spans="1:18">
      <c r="A90" s="5232"/>
      <c r="B90" s="5266"/>
      <c r="C90" s="5234"/>
      <c r="D90" s="5266" t="s">
        <v>6789</v>
      </c>
      <c r="E90" s="5235" t="s">
        <v>6790</v>
      </c>
      <c r="F90" s="5263" t="s">
        <v>1816</v>
      </c>
      <c r="G90" s="5263" t="s">
        <v>2546</v>
      </c>
      <c r="J90" s="5237"/>
    </row>
    <row r="91" spans="1:18" ht="27.6">
      <c r="A91" s="5232"/>
      <c r="B91" s="5266"/>
      <c r="C91" s="5234"/>
      <c r="D91" s="5266" t="s">
        <v>3569</v>
      </c>
      <c r="E91" s="5235" t="s">
        <v>6791</v>
      </c>
      <c r="F91" s="5263" t="s">
        <v>1816</v>
      </c>
      <c r="G91" s="5263" t="s">
        <v>1746</v>
      </c>
      <c r="J91" s="5237"/>
    </row>
    <row r="92" spans="1:18" ht="30" customHeight="1">
      <c r="A92" s="5232"/>
      <c r="B92" s="5266"/>
      <c r="C92" s="5234"/>
      <c r="D92" s="5266" t="s">
        <v>6792</v>
      </c>
      <c r="E92" s="5235" t="s">
        <v>6793</v>
      </c>
      <c r="F92" s="5263" t="s">
        <v>1816</v>
      </c>
      <c r="G92" s="5263" t="s">
        <v>2546</v>
      </c>
      <c r="J92" s="5237"/>
    </row>
    <row r="93" spans="1:18" ht="27.75" customHeight="1">
      <c r="A93" s="5232"/>
      <c r="B93" s="5266"/>
      <c r="C93" s="5234"/>
      <c r="D93" s="5266" t="s">
        <v>6794</v>
      </c>
      <c r="E93" s="5235" t="s">
        <v>6795</v>
      </c>
      <c r="F93" s="5263" t="s">
        <v>1816</v>
      </c>
      <c r="G93" s="5263" t="s">
        <v>2546</v>
      </c>
      <c r="J93" s="5237"/>
    </row>
    <row r="94" spans="1:18">
      <c r="A94" s="5232"/>
      <c r="B94" s="5266"/>
      <c r="C94" s="5234"/>
      <c r="D94" s="5266" t="s">
        <v>6796</v>
      </c>
      <c r="E94" s="5266" t="s">
        <v>6797</v>
      </c>
      <c r="F94" s="5263" t="s">
        <v>1816</v>
      </c>
      <c r="G94" s="5263" t="s">
        <v>2546</v>
      </c>
      <c r="J94" s="5237"/>
    </row>
    <row r="95" spans="1:18">
      <c r="A95" s="5232"/>
      <c r="B95" s="5262"/>
      <c r="C95" s="5234"/>
      <c r="D95" s="5235" t="s">
        <v>6798</v>
      </c>
      <c r="E95" s="5235" t="s">
        <v>6799</v>
      </c>
      <c r="F95" s="5263" t="s">
        <v>1816</v>
      </c>
      <c r="G95" s="5263" t="s">
        <v>2546</v>
      </c>
      <c r="J95" s="5237"/>
    </row>
    <row r="96" spans="1:18">
      <c r="A96" s="5232"/>
      <c r="B96" s="5262"/>
      <c r="C96" s="5234"/>
      <c r="D96" s="5235"/>
      <c r="E96" s="5235"/>
      <c r="F96" s="5263"/>
      <c r="G96" s="5263"/>
      <c r="J96" s="5237"/>
    </row>
    <row r="97" spans="1:18" ht="45.75" customHeight="1">
      <c r="A97" s="5248">
        <v>6</v>
      </c>
      <c r="B97" s="5249" t="s">
        <v>3570</v>
      </c>
      <c r="C97" s="5250">
        <f>R97</f>
        <v>1262265.0848000001</v>
      </c>
      <c r="D97" s="5269" t="s">
        <v>6800</v>
      </c>
      <c r="E97" s="5269" t="s">
        <v>6801</v>
      </c>
      <c r="F97" s="5252" t="s">
        <v>1816</v>
      </c>
      <c r="G97" s="5252" t="s">
        <v>1748</v>
      </c>
      <c r="J97" s="5237">
        <v>0.06</v>
      </c>
      <c r="L97" s="5238">
        <f>J97*$K$236</f>
        <v>889352.28480000002</v>
      </c>
      <c r="M97" s="5238">
        <f>J97*$K$237</f>
        <v>172912.8</v>
      </c>
      <c r="O97" s="5238">
        <f>M97+N97</f>
        <v>172912.8</v>
      </c>
      <c r="P97" s="5238"/>
      <c r="Q97" s="5238">
        <f>Q251</f>
        <v>200000</v>
      </c>
      <c r="R97" s="5238">
        <f>L97+O97+P97+Q97</f>
        <v>1262265.0848000001</v>
      </c>
    </row>
    <row r="98" spans="1:18">
      <c r="A98" s="5254"/>
      <c r="B98" s="5255"/>
      <c r="C98" s="5256"/>
      <c r="D98" s="5272"/>
      <c r="E98" s="5272"/>
      <c r="F98" s="5258"/>
      <c r="G98" s="5258"/>
      <c r="J98" s="5237"/>
      <c r="L98" s="5238"/>
      <c r="M98" s="5238"/>
      <c r="O98" s="5238"/>
      <c r="P98" s="5238"/>
      <c r="Q98" s="5238"/>
      <c r="R98" s="5238"/>
    </row>
    <row r="99" spans="1:18">
      <c r="A99" s="5222"/>
      <c r="B99" s="5259"/>
      <c r="C99" s="3736"/>
      <c r="D99" s="5273"/>
      <c r="E99" s="5273"/>
      <c r="F99" s="5261"/>
      <c r="G99" s="5261"/>
      <c r="J99" s="5237"/>
      <c r="L99" s="5238"/>
      <c r="M99" s="5238"/>
      <c r="O99" s="5238"/>
      <c r="P99" s="5238"/>
      <c r="Q99" s="5238"/>
      <c r="R99" s="5238"/>
    </row>
    <row r="100" spans="1:18">
      <c r="A100" s="5222"/>
      <c r="B100" s="5259"/>
      <c r="C100" s="3736"/>
      <c r="D100" s="5273"/>
      <c r="E100" s="5273"/>
      <c r="F100" s="5261"/>
      <c r="G100" s="5261"/>
      <c r="J100" s="5237"/>
      <c r="L100" s="5238"/>
      <c r="M100" s="5238"/>
      <c r="O100" s="5238"/>
      <c r="P100" s="5238"/>
      <c r="Q100" s="5238"/>
      <c r="R100" s="5238"/>
    </row>
    <row r="101" spans="1:18">
      <c r="A101" s="5222"/>
      <c r="B101" s="5259"/>
      <c r="C101" s="3736"/>
      <c r="D101" s="5273"/>
      <c r="E101" s="5273"/>
      <c r="F101" s="5261"/>
      <c r="G101" s="5261"/>
      <c r="J101" s="5237"/>
      <c r="L101" s="5238"/>
      <c r="M101" s="5238"/>
      <c r="O101" s="5238"/>
      <c r="P101" s="5238"/>
      <c r="Q101" s="5238"/>
      <c r="R101" s="5238"/>
    </row>
    <row r="102" spans="1:18">
      <c r="A102" s="5222"/>
      <c r="B102" s="5259"/>
      <c r="C102" s="3736"/>
      <c r="D102" s="5273"/>
      <c r="E102" s="5273"/>
      <c r="F102" s="5261"/>
      <c r="G102" s="5261"/>
      <c r="J102" s="5237"/>
      <c r="L102" s="5238"/>
      <c r="M102" s="5238"/>
      <c r="O102" s="5238"/>
      <c r="P102" s="5238"/>
      <c r="Q102" s="5238"/>
      <c r="R102" s="5238"/>
    </row>
    <row r="103" spans="1:18">
      <c r="A103" s="5222"/>
      <c r="B103" s="5259"/>
      <c r="C103" s="3736"/>
      <c r="D103" s="5273"/>
      <c r="E103" s="5273"/>
      <c r="F103" s="5261"/>
      <c r="G103" s="5261"/>
      <c r="J103" s="5237"/>
      <c r="L103" s="5238"/>
      <c r="M103" s="5238"/>
      <c r="O103" s="5238"/>
      <c r="P103" s="5238"/>
      <c r="Q103" s="5238"/>
      <c r="R103" s="5238"/>
    </row>
    <row r="104" spans="1:18">
      <c r="A104" s="5222"/>
      <c r="B104" s="5259"/>
      <c r="C104" s="3736"/>
      <c r="D104" s="5273"/>
      <c r="E104" s="5273"/>
      <c r="F104" s="5261"/>
      <c r="G104" s="5261"/>
      <c r="J104" s="5237"/>
      <c r="L104" s="5238"/>
      <c r="M104" s="5238"/>
      <c r="O104" s="5238"/>
      <c r="P104" s="5238"/>
      <c r="Q104" s="5238"/>
      <c r="R104" s="5238"/>
    </row>
    <row r="105" spans="1:18">
      <c r="A105" s="5222"/>
      <c r="B105" s="5259"/>
      <c r="C105" s="3736"/>
      <c r="D105" s="5273"/>
      <c r="E105" s="5273"/>
      <c r="F105" s="5261"/>
      <c r="G105" s="5261"/>
      <c r="J105" s="5237"/>
      <c r="L105" s="5238"/>
      <c r="M105" s="5238"/>
      <c r="O105" s="5238"/>
      <c r="P105" s="5238"/>
      <c r="Q105" s="5238"/>
      <c r="R105" s="5238"/>
    </row>
    <row r="106" spans="1:18">
      <c r="A106" s="5222"/>
      <c r="B106" s="5259"/>
      <c r="C106" s="3736"/>
      <c r="D106" s="5273"/>
      <c r="E106" s="5273"/>
      <c r="F106" s="5261"/>
      <c r="G106" s="5261"/>
      <c r="J106" s="5237"/>
      <c r="L106" s="5238"/>
      <c r="M106" s="5238"/>
      <c r="O106" s="5238"/>
      <c r="P106" s="5238"/>
      <c r="Q106" s="5238"/>
      <c r="R106" s="5238"/>
    </row>
    <row r="107" spans="1:18">
      <c r="A107" s="5222"/>
      <c r="B107" s="5259"/>
      <c r="C107" s="3736"/>
      <c r="D107" s="5273"/>
      <c r="E107" s="5273"/>
      <c r="F107" s="5261"/>
      <c r="G107" s="5261"/>
      <c r="J107" s="5237"/>
      <c r="L107" s="5238"/>
      <c r="M107" s="5238"/>
      <c r="O107" s="5238"/>
      <c r="P107" s="5238"/>
      <c r="Q107" s="5238"/>
      <c r="R107" s="5238"/>
    </row>
    <row r="108" spans="1:18">
      <c r="A108" s="5222"/>
      <c r="B108" s="5259"/>
      <c r="C108" s="3736"/>
      <c r="D108" s="5273"/>
      <c r="E108" s="5273"/>
      <c r="F108" s="5261"/>
      <c r="G108" s="5261"/>
      <c r="J108" s="5237"/>
      <c r="L108" s="5238"/>
      <c r="M108" s="5238"/>
      <c r="O108" s="5238"/>
      <c r="P108" s="5238"/>
      <c r="Q108" s="5238"/>
      <c r="R108" s="5238"/>
    </row>
    <row r="109" spans="1:18">
      <c r="A109" s="5222"/>
      <c r="B109" s="5259"/>
      <c r="C109" s="3736"/>
      <c r="D109" s="5273"/>
      <c r="E109" s="5273"/>
      <c r="F109" s="5261"/>
      <c r="G109" s="5261"/>
      <c r="J109" s="5237"/>
      <c r="L109" s="5238"/>
      <c r="M109" s="5238"/>
      <c r="O109" s="5238"/>
      <c r="P109" s="5238"/>
      <c r="Q109" s="5238"/>
      <c r="R109" s="5238"/>
    </row>
    <row r="110" spans="1:18">
      <c r="A110" s="5222"/>
      <c r="B110" s="5259"/>
      <c r="C110" s="3736"/>
      <c r="D110" s="5273"/>
      <c r="E110" s="5273"/>
      <c r="F110" s="5261"/>
      <c r="G110" s="5261"/>
      <c r="J110" s="5237"/>
      <c r="L110" s="5238"/>
      <c r="M110" s="5238"/>
      <c r="O110" s="5238"/>
      <c r="P110" s="5238"/>
      <c r="Q110" s="5238"/>
      <c r="R110" s="5238"/>
    </row>
    <row r="111" spans="1:18">
      <c r="A111" s="5222"/>
      <c r="B111" s="5259"/>
      <c r="C111" s="3736"/>
      <c r="D111" s="5273"/>
      <c r="E111" s="5273"/>
      <c r="F111" s="5261"/>
      <c r="G111" s="5261"/>
      <c r="J111" s="5237"/>
      <c r="L111" s="5238"/>
      <c r="M111" s="5238"/>
      <c r="O111" s="5238"/>
      <c r="P111" s="5238"/>
      <c r="Q111" s="5238"/>
      <c r="R111" s="5238"/>
    </row>
    <row r="112" spans="1:18">
      <c r="A112" s="5274"/>
      <c r="B112" s="5275"/>
      <c r="C112" s="5276"/>
      <c r="D112" s="5277"/>
      <c r="E112" s="5277"/>
      <c r="F112" s="5278"/>
      <c r="G112" s="5278"/>
      <c r="J112" s="5237"/>
      <c r="L112" s="5238"/>
      <c r="M112" s="5238"/>
      <c r="O112" s="5238"/>
      <c r="P112" s="5238"/>
      <c r="Q112" s="5238"/>
      <c r="R112" s="5238"/>
    </row>
    <row r="113" spans="1:19" ht="12.75" customHeight="1">
      <c r="A113" s="14781" t="s">
        <v>2550</v>
      </c>
      <c r="B113" s="14782" t="s">
        <v>2688</v>
      </c>
      <c r="C113" s="14783" t="s">
        <v>1736</v>
      </c>
      <c r="D113" s="14785" t="s">
        <v>1760</v>
      </c>
      <c r="E113" s="14786" t="s">
        <v>1764</v>
      </c>
      <c r="F113" s="14788" t="s">
        <v>2689</v>
      </c>
      <c r="G113" s="14785"/>
      <c r="M113" s="5222" t="s">
        <v>6710</v>
      </c>
      <c r="N113" s="5222" t="s">
        <v>6711</v>
      </c>
      <c r="O113" s="5222" t="s">
        <v>458</v>
      </c>
      <c r="R113" s="3744"/>
    </row>
    <row r="114" spans="1:19" ht="27.6">
      <c r="A114" s="14781"/>
      <c r="B114" s="14782"/>
      <c r="C114" s="14784"/>
      <c r="D114" s="14785"/>
      <c r="E114" s="14787"/>
      <c r="F114" s="5224" t="s">
        <v>2690</v>
      </c>
      <c r="G114" s="5225" t="s">
        <v>2691</v>
      </c>
    </row>
    <row r="115" spans="1:19" ht="174.75" customHeight="1">
      <c r="A115" s="5279"/>
      <c r="B115" s="5246" t="s">
        <v>6802</v>
      </c>
      <c r="C115" s="5245"/>
      <c r="D115" s="5246"/>
      <c r="E115" s="5246"/>
      <c r="F115" s="5280"/>
      <c r="G115" s="5280"/>
      <c r="J115" s="5237"/>
    </row>
    <row r="116" spans="1:19">
      <c r="A116" s="5281"/>
      <c r="B116" s="5235"/>
      <c r="C116" s="5234"/>
      <c r="D116" s="5235"/>
      <c r="E116" s="5235"/>
      <c r="F116" s="5236"/>
      <c r="G116" s="5236"/>
      <c r="J116" s="5237"/>
    </row>
    <row r="117" spans="1:19" ht="71.25" customHeight="1">
      <c r="A117" s="5232">
        <v>7</v>
      </c>
      <c r="B117" s="5265" t="s">
        <v>6803</v>
      </c>
      <c r="C117" s="5234">
        <f>R117</f>
        <v>1885220.9040000001</v>
      </c>
      <c r="D117" s="5235" t="s">
        <v>6804</v>
      </c>
      <c r="E117" s="5235" t="s">
        <v>6805</v>
      </c>
      <c r="F117" s="5263" t="s">
        <v>1816</v>
      </c>
      <c r="G117" s="5263" t="s">
        <v>2546</v>
      </c>
      <c r="J117" s="5237">
        <v>0.05</v>
      </c>
      <c r="K117" s="5253" t="s">
        <v>6720</v>
      </c>
      <c r="L117" s="5238">
        <f>J117*$K$236</f>
        <v>741126.9040000001</v>
      </c>
      <c r="M117" s="5238">
        <f>J117*$K$237</f>
        <v>144094</v>
      </c>
      <c r="O117" s="5238">
        <f>M117+N117</f>
        <v>144094</v>
      </c>
      <c r="P117" s="5238"/>
      <c r="Q117" s="5238">
        <f>Q253</f>
        <v>1000000</v>
      </c>
      <c r="R117" s="5238">
        <f>L117+O117+P117+Q117</f>
        <v>1885220.9040000001</v>
      </c>
      <c r="S117" s="5238"/>
    </row>
    <row r="118" spans="1:19" ht="131.25" customHeight="1">
      <c r="A118" s="5281"/>
      <c r="B118" s="5235" t="s">
        <v>6806</v>
      </c>
      <c r="C118" s="5234"/>
      <c r="D118" s="5235"/>
      <c r="E118" s="5235"/>
      <c r="F118" s="5236"/>
      <c r="G118" s="5236"/>
      <c r="J118" s="5237"/>
    </row>
    <row r="119" spans="1:19">
      <c r="A119" s="5232"/>
      <c r="B119" s="5262"/>
      <c r="C119" s="5234"/>
      <c r="D119" s="5235"/>
      <c r="E119" s="5235"/>
      <c r="F119" s="5236"/>
      <c r="G119" s="5236"/>
      <c r="J119" s="5237"/>
    </row>
    <row r="120" spans="1:19" ht="56.25" customHeight="1">
      <c r="A120" s="5232">
        <v>8</v>
      </c>
      <c r="B120" s="5265" t="s">
        <v>6807</v>
      </c>
      <c r="C120" s="5234">
        <f>R120</f>
        <v>985220.9040000001</v>
      </c>
      <c r="D120" s="5235"/>
      <c r="E120" s="5235" t="s">
        <v>6808</v>
      </c>
      <c r="F120" s="5263"/>
      <c r="G120" s="5263"/>
      <c r="J120" s="5237">
        <v>0.05</v>
      </c>
      <c r="L120" s="5238">
        <f>J120*$K$236</f>
        <v>741126.9040000001</v>
      </c>
      <c r="M120" s="5238">
        <f>J120*$K$237</f>
        <v>144094</v>
      </c>
      <c r="N120" s="5238">
        <f>T236</f>
        <v>100000</v>
      </c>
      <c r="O120" s="5238">
        <f>M120+N120</f>
        <v>244094</v>
      </c>
      <c r="R120" s="5238">
        <f>L120+O120+P120+Q120</f>
        <v>985220.9040000001</v>
      </c>
    </row>
    <row r="121" spans="1:19" ht="91.5" customHeight="1">
      <c r="A121" s="5232"/>
      <c r="B121" s="5266" t="s">
        <v>6809</v>
      </c>
      <c r="C121" s="5234"/>
      <c r="D121" s="5235" t="s">
        <v>6810</v>
      </c>
      <c r="E121" s="5235" t="s">
        <v>6811</v>
      </c>
      <c r="F121" s="5263" t="s">
        <v>1816</v>
      </c>
      <c r="G121" s="5263" t="s">
        <v>2546</v>
      </c>
      <c r="J121" s="5270"/>
    </row>
    <row r="122" spans="1:19" ht="96.6">
      <c r="A122" s="5232"/>
      <c r="B122" s="5266" t="s">
        <v>6812</v>
      </c>
      <c r="C122" s="5234"/>
      <c r="D122" s="5235" t="s">
        <v>6813</v>
      </c>
      <c r="E122" s="5235" t="s">
        <v>6814</v>
      </c>
      <c r="F122" s="5263" t="s">
        <v>1816</v>
      </c>
      <c r="G122" s="5263" t="s">
        <v>2546</v>
      </c>
      <c r="J122" s="5237"/>
    </row>
    <row r="123" spans="1:19" ht="91.5" customHeight="1">
      <c r="A123" s="5232"/>
      <c r="B123" s="5266" t="s">
        <v>6815</v>
      </c>
      <c r="C123" s="5234"/>
      <c r="D123" s="5235" t="s">
        <v>6816</v>
      </c>
      <c r="E123" s="5235" t="s">
        <v>6817</v>
      </c>
      <c r="F123" s="5263" t="s">
        <v>1816</v>
      </c>
      <c r="G123" s="5263" t="s">
        <v>2546</v>
      </c>
      <c r="J123" s="5237"/>
    </row>
    <row r="124" spans="1:19" ht="41.4">
      <c r="A124" s="5248"/>
      <c r="B124" s="5269" t="s">
        <v>6818</v>
      </c>
      <c r="C124" s="5250"/>
      <c r="D124" s="5251" t="s">
        <v>6819</v>
      </c>
      <c r="E124" s="5251" t="s">
        <v>6820</v>
      </c>
      <c r="F124" s="5252" t="s">
        <v>1816</v>
      </c>
      <c r="G124" s="5252" t="s">
        <v>2546</v>
      </c>
      <c r="J124" s="5237"/>
    </row>
    <row r="125" spans="1:19">
      <c r="A125" s="5254"/>
      <c r="B125" s="5272"/>
      <c r="C125" s="5256"/>
      <c r="D125" s="5257"/>
      <c r="E125" s="5257"/>
      <c r="F125" s="5258"/>
      <c r="G125" s="5258"/>
      <c r="J125" s="5237"/>
    </row>
    <row r="126" spans="1:19">
      <c r="A126" s="5222"/>
      <c r="B126" s="5273"/>
      <c r="C126" s="3736"/>
      <c r="D126" s="5260"/>
      <c r="E126" s="5260"/>
      <c r="F126" s="5261"/>
      <c r="G126" s="5261"/>
      <c r="J126" s="5237"/>
    </row>
    <row r="127" spans="1:19">
      <c r="A127" s="5222"/>
      <c r="B127" s="5273"/>
      <c r="C127" s="3736"/>
      <c r="D127" s="5260"/>
      <c r="E127" s="5260"/>
      <c r="F127" s="5261"/>
      <c r="G127" s="5261"/>
      <c r="J127" s="5237"/>
    </row>
    <row r="128" spans="1:19">
      <c r="A128" s="5222"/>
      <c r="B128" s="5273"/>
      <c r="C128" s="3736"/>
      <c r="D128" s="5260"/>
      <c r="E128" s="5260"/>
      <c r="F128" s="5261"/>
      <c r="G128" s="5261"/>
      <c r="J128" s="5237"/>
    </row>
    <row r="129" spans="1:18">
      <c r="A129" s="5222"/>
      <c r="B129" s="5273"/>
      <c r="C129" s="3736"/>
      <c r="D129" s="5260"/>
      <c r="E129" s="5260"/>
      <c r="F129" s="5261"/>
      <c r="G129" s="5261"/>
      <c r="J129" s="5237"/>
    </row>
    <row r="130" spans="1:18">
      <c r="A130" s="5222"/>
      <c r="B130" s="5273"/>
      <c r="C130" s="3736"/>
      <c r="D130" s="5260"/>
      <c r="E130" s="5260"/>
      <c r="F130" s="5261"/>
      <c r="G130" s="5261"/>
      <c r="J130" s="5237"/>
    </row>
    <row r="131" spans="1:18">
      <c r="A131" s="5222"/>
      <c r="B131" s="5273"/>
      <c r="C131" s="3736"/>
      <c r="D131" s="5260"/>
      <c r="E131" s="5260"/>
      <c r="F131" s="5261"/>
      <c r="G131" s="5261"/>
      <c r="J131" s="5237"/>
    </row>
    <row r="132" spans="1:18">
      <c r="A132" s="5222"/>
      <c r="B132" s="5273"/>
      <c r="C132" s="3736"/>
      <c r="D132" s="5260"/>
      <c r="E132" s="5260"/>
      <c r="F132" s="5261"/>
      <c r="G132" s="5261"/>
      <c r="J132" s="5237"/>
    </row>
    <row r="133" spans="1:18">
      <c r="A133" s="5222"/>
      <c r="B133" s="5273"/>
      <c r="C133" s="3736"/>
      <c r="D133" s="5260"/>
      <c r="E133" s="5260"/>
      <c r="F133" s="5261"/>
      <c r="G133" s="5261"/>
      <c r="J133" s="5237"/>
    </row>
    <row r="134" spans="1:18">
      <c r="A134" s="5222"/>
      <c r="B134" s="5273"/>
      <c r="C134" s="3736"/>
      <c r="D134" s="5260"/>
      <c r="E134" s="5260"/>
      <c r="F134" s="5261"/>
      <c r="G134" s="5261"/>
      <c r="J134" s="5237"/>
    </row>
    <row r="135" spans="1:18">
      <c r="A135" s="5222"/>
      <c r="B135" s="5273"/>
      <c r="C135" s="3736"/>
      <c r="D135" s="5260"/>
      <c r="E135" s="5260"/>
      <c r="F135" s="5261"/>
      <c r="G135" s="5261"/>
      <c r="J135" s="5237"/>
    </row>
    <row r="136" spans="1:18">
      <c r="A136" s="5274"/>
      <c r="B136" s="5277"/>
      <c r="C136" s="5276"/>
      <c r="D136" s="5282"/>
      <c r="E136" s="5282"/>
      <c r="F136" s="5278"/>
      <c r="G136" s="5278"/>
      <c r="J136" s="5237"/>
    </row>
    <row r="137" spans="1:18" ht="12.75" customHeight="1">
      <c r="A137" s="14781" t="s">
        <v>2550</v>
      </c>
      <c r="B137" s="14782" t="s">
        <v>2688</v>
      </c>
      <c r="C137" s="14783" t="s">
        <v>1736</v>
      </c>
      <c r="D137" s="14785" t="s">
        <v>1760</v>
      </c>
      <c r="E137" s="14786" t="s">
        <v>1764</v>
      </c>
      <c r="F137" s="14788" t="s">
        <v>2689</v>
      </c>
      <c r="G137" s="14785"/>
      <c r="M137" s="5222" t="s">
        <v>6710</v>
      </c>
      <c r="N137" s="5222" t="s">
        <v>6711</v>
      </c>
      <c r="O137" s="5222" t="s">
        <v>458</v>
      </c>
      <c r="R137" s="3744"/>
    </row>
    <row r="138" spans="1:18" ht="27.6">
      <c r="A138" s="14781"/>
      <c r="B138" s="14782"/>
      <c r="C138" s="14784"/>
      <c r="D138" s="14785"/>
      <c r="E138" s="14787"/>
      <c r="F138" s="5224" t="s">
        <v>2690</v>
      </c>
      <c r="G138" s="5225" t="s">
        <v>2691</v>
      </c>
    </row>
    <row r="139" spans="1:18" ht="41.4">
      <c r="A139" s="5243"/>
      <c r="B139" s="5283" t="s">
        <v>6821</v>
      </c>
      <c r="C139" s="5245"/>
      <c r="D139" s="5246" t="s">
        <v>6822</v>
      </c>
      <c r="E139" s="5246" t="s">
        <v>6823</v>
      </c>
      <c r="F139" s="5247" t="s">
        <v>1816</v>
      </c>
      <c r="G139" s="5247" t="s">
        <v>2546</v>
      </c>
      <c r="J139" s="5237"/>
    </row>
    <row r="140" spans="1:18">
      <c r="A140" s="5232"/>
      <c r="B140" s="5266"/>
      <c r="C140" s="5234"/>
      <c r="D140" s="5235"/>
      <c r="E140" s="5235"/>
      <c r="F140" s="5263"/>
      <c r="G140" s="5263"/>
      <c r="J140" s="5237"/>
    </row>
    <row r="141" spans="1:18" ht="27.6">
      <c r="A141" s="5232">
        <v>9</v>
      </c>
      <c r="B141" s="5265" t="s">
        <v>6824</v>
      </c>
      <c r="C141" s="5234"/>
      <c r="D141" s="5235"/>
      <c r="E141" s="5235"/>
      <c r="F141" s="5263"/>
      <c r="G141" s="5263"/>
      <c r="J141" s="5237">
        <v>0.05</v>
      </c>
      <c r="L141" s="5238">
        <f>J141*$K$236</f>
        <v>741126.9040000001</v>
      </c>
      <c r="M141" s="5238">
        <f>J141*$K$237</f>
        <v>144094</v>
      </c>
      <c r="N141" s="5238"/>
      <c r="O141" s="5238">
        <f>M141+N141</f>
        <v>144094</v>
      </c>
      <c r="R141" s="5238">
        <f>L141+O141+P141+Q141</f>
        <v>885220.9040000001</v>
      </c>
    </row>
    <row r="142" spans="1:18" ht="41.4">
      <c r="A142" s="5232"/>
      <c r="B142" s="5266" t="s">
        <v>6825</v>
      </c>
      <c r="C142" s="5234"/>
      <c r="D142" s="5235" t="s">
        <v>6826</v>
      </c>
      <c r="E142" s="5235" t="s">
        <v>6827</v>
      </c>
      <c r="F142" s="5263" t="s">
        <v>1816</v>
      </c>
      <c r="G142" s="5263" t="s">
        <v>2546</v>
      </c>
      <c r="J142" s="5284"/>
    </row>
    <row r="143" spans="1:18" ht="41.4">
      <c r="A143" s="5232"/>
      <c r="B143" s="5266" t="s">
        <v>6828</v>
      </c>
      <c r="C143" s="5234"/>
      <c r="D143" s="5235" t="s">
        <v>6829</v>
      </c>
      <c r="E143" s="5235" t="s">
        <v>6827</v>
      </c>
      <c r="F143" s="5263" t="s">
        <v>1816</v>
      </c>
      <c r="G143" s="5263" t="s">
        <v>2546</v>
      </c>
      <c r="J143" s="5237"/>
    </row>
    <row r="144" spans="1:18" ht="42.75" customHeight="1">
      <c r="A144" s="5232"/>
      <c r="B144" s="5266" t="s">
        <v>6830</v>
      </c>
      <c r="C144" s="5234"/>
      <c r="D144" s="5235" t="s">
        <v>6831</v>
      </c>
      <c r="E144" s="5235" t="s">
        <v>6827</v>
      </c>
      <c r="F144" s="5263" t="s">
        <v>1816</v>
      </c>
      <c r="G144" s="5263" t="s">
        <v>2546</v>
      </c>
      <c r="J144" s="5237"/>
    </row>
    <row r="145" spans="1:18">
      <c r="A145" s="5232"/>
      <c r="B145" s="5235"/>
      <c r="C145" s="5234"/>
      <c r="D145" s="5235"/>
      <c r="E145" s="5235"/>
      <c r="F145" s="5236"/>
      <c r="G145" s="5236"/>
      <c r="J145" s="5237"/>
    </row>
    <row r="146" spans="1:18" ht="69">
      <c r="A146" s="5232">
        <v>10</v>
      </c>
      <c r="B146" s="5265" t="s">
        <v>6832</v>
      </c>
      <c r="C146" s="5234">
        <f>R146</f>
        <v>2121353.4464000002</v>
      </c>
      <c r="D146" s="5235"/>
      <c r="E146" s="5235" t="s">
        <v>6833</v>
      </c>
      <c r="F146" s="5263" t="s">
        <v>1816</v>
      </c>
      <c r="G146" s="5263" t="s">
        <v>2546</v>
      </c>
      <c r="J146" s="5237">
        <v>0.08</v>
      </c>
      <c r="L146" s="5238">
        <f>J146*$K$236</f>
        <v>1185803.0464000001</v>
      </c>
      <c r="M146" s="5238">
        <f>J146*$K$237</f>
        <v>230550.39999999999</v>
      </c>
      <c r="N146" s="5238">
        <f>T241+T242</f>
        <v>205000</v>
      </c>
      <c r="O146" s="5238">
        <f>M146+N146</f>
        <v>435550.4</v>
      </c>
      <c r="P146" s="5238"/>
      <c r="Q146" s="5238">
        <f>Q249</f>
        <v>500000</v>
      </c>
      <c r="R146" s="5238">
        <f>L146+O146+P146+Q146</f>
        <v>2121353.4464000002</v>
      </c>
    </row>
    <row r="147" spans="1:18">
      <c r="A147" s="5232"/>
      <c r="B147" s="5262"/>
      <c r="C147" s="5234"/>
      <c r="D147" s="5285"/>
      <c r="E147" s="5235"/>
      <c r="F147" s="5236"/>
      <c r="G147" s="5236"/>
      <c r="J147" s="5237"/>
    </row>
    <row r="148" spans="1:18" ht="125.25" customHeight="1">
      <c r="A148" s="5232"/>
      <c r="B148" s="5235" t="s">
        <v>6834</v>
      </c>
      <c r="C148" s="5234"/>
      <c r="D148" s="5285" t="s">
        <v>6835</v>
      </c>
      <c r="E148" s="5235"/>
      <c r="F148" s="5263"/>
      <c r="G148" s="5263"/>
      <c r="J148" s="5237"/>
      <c r="K148" s="5253" t="s">
        <v>6720</v>
      </c>
    </row>
    <row r="149" spans="1:18">
      <c r="A149" s="5232"/>
      <c r="B149" s="5262"/>
      <c r="C149" s="5234"/>
      <c r="D149" s="5235"/>
      <c r="E149" s="5235"/>
      <c r="F149" s="5236"/>
      <c r="G149" s="5236"/>
      <c r="J149" s="5237"/>
    </row>
    <row r="150" spans="1:18" ht="83.25" customHeight="1">
      <c r="A150" s="5232">
        <v>11</v>
      </c>
      <c r="B150" s="5265" t="s">
        <v>6836</v>
      </c>
      <c r="C150" s="5234">
        <f>R150</f>
        <v>2089309.2656</v>
      </c>
      <c r="D150" s="5235" t="s">
        <v>6837</v>
      </c>
      <c r="E150" s="5235" t="s">
        <v>6838</v>
      </c>
      <c r="F150" s="5263" t="s">
        <v>1816</v>
      </c>
      <c r="G150" s="5263" t="s">
        <v>2546</v>
      </c>
      <c r="J150" s="5237">
        <v>7.0000000000000007E-2</v>
      </c>
      <c r="L150" s="5238">
        <f>J150*$K$236</f>
        <v>1037577.6656000001</v>
      </c>
      <c r="M150" s="5238">
        <f>J150*$K$237</f>
        <v>201731.6</v>
      </c>
      <c r="O150" s="5238">
        <f>M150+N150</f>
        <v>201731.6</v>
      </c>
      <c r="P150" s="5238"/>
      <c r="Q150" s="5238">
        <f>Q250+Q252</f>
        <v>850000</v>
      </c>
      <c r="R150" s="5238">
        <f>L150+O150+P150+Q150</f>
        <v>2089309.2656</v>
      </c>
    </row>
    <row r="151" spans="1:18" ht="42" customHeight="1">
      <c r="A151" s="5232"/>
      <c r="B151" s="5265"/>
      <c r="C151" s="5234"/>
      <c r="D151" s="5235" t="s">
        <v>6839</v>
      </c>
      <c r="E151" s="5235" t="s">
        <v>6840</v>
      </c>
      <c r="F151" s="5263" t="s">
        <v>1816</v>
      </c>
      <c r="G151" s="5263" t="s">
        <v>2546</v>
      </c>
      <c r="J151" s="5237"/>
      <c r="L151" s="5238"/>
      <c r="M151" s="5238"/>
      <c r="O151" s="5238"/>
    </row>
    <row r="152" spans="1:18" ht="148.5" customHeight="1">
      <c r="A152" s="5232"/>
      <c r="B152" s="5265"/>
      <c r="C152" s="5234"/>
      <c r="D152" s="5235" t="s">
        <v>6841</v>
      </c>
      <c r="E152" s="5235" t="s">
        <v>6841</v>
      </c>
      <c r="F152" s="5263" t="s">
        <v>1816</v>
      </c>
      <c r="G152" s="5263" t="s">
        <v>2546</v>
      </c>
      <c r="J152" s="5270"/>
      <c r="K152" s="5253" t="s">
        <v>6720</v>
      </c>
    </row>
    <row r="153" spans="1:18" ht="42" customHeight="1">
      <c r="A153" s="5248"/>
      <c r="B153" s="5269" t="s">
        <v>6842</v>
      </c>
      <c r="C153" s="5250"/>
      <c r="D153" s="5251" t="s">
        <v>6843</v>
      </c>
      <c r="E153" s="5251" t="s">
        <v>6844</v>
      </c>
      <c r="F153" s="5252" t="s">
        <v>1816</v>
      </c>
      <c r="G153" s="5252" t="s">
        <v>2546</v>
      </c>
      <c r="J153" s="5270"/>
    </row>
    <row r="154" spans="1:18" ht="12.75" customHeight="1">
      <c r="A154" s="5254"/>
      <c r="B154" s="5272"/>
      <c r="C154" s="5256"/>
      <c r="D154" s="5257"/>
      <c r="E154" s="5257"/>
      <c r="F154" s="5258"/>
      <c r="G154" s="5258"/>
      <c r="J154" s="5270"/>
    </row>
    <row r="155" spans="1:18" ht="12.75" customHeight="1">
      <c r="A155" s="5222"/>
      <c r="B155" s="5273"/>
      <c r="C155" s="3736"/>
      <c r="D155" s="5260"/>
      <c r="E155" s="5260"/>
      <c r="F155" s="5261"/>
      <c r="G155" s="5261"/>
      <c r="J155" s="5270"/>
    </row>
    <row r="156" spans="1:18" ht="12.75" customHeight="1">
      <c r="A156" s="5222"/>
      <c r="B156" s="5273"/>
      <c r="C156" s="3736"/>
      <c r="D156" s="5260"/>
      <c r="E156" s="5260"/>
      <c r="F156" s="5261"/>
      <c r="G156" s="5261"/>
      <c r="J156" s="5270"/>
    </row>
    <row r="157" spans="1:18" ht="12.75" customHeight="1">
      <c r="A157" s="5222"/>
      <c r="B157" s="5273"/>
      <c r="C157" s="3736"/>
      <c r="D157" s="5260"/>
      <c r="E157" s="5260"/>
      <c r="F157" s="5261"/>
      <c r="G157" s="5261"/>
      <c r="J157" s="5270"/>
    </row>
    <row r="158" spans="1:18" ht="12.75" customHeight="1">
      <c r="A158" s="5222"/>
      <c r="B158" s="5273"/>
      <c r="C158" s="3736"/>
      <c r="D158" s="5260"/>
      <c r="E158" s="5260"/>
      <c r="F158" s="5261"/>
      <c r="G158" s="5261"/>
      <c r="J158" s="5270"/>
    </row>
    <row r="159" spans="1:18" ht="12.75" customHeight="1">
      <c r="A159" s="5222"/>
      <c r="B159" s="5273"/>
      <c r="C159" s="3736"/>
      <c r="D159" s="5260"/>
      <c r="E159" s="5260"/>
      <c r="F159" s="5261"/>
      <c r="G159" s="5261"/>
      <c r="J159" s="5270"/>
    </row>
    <row r="160" spans="1:18" ht="12.75" customHeight="1">
      <c r="A160" s="5222"/>
      <c r="B160" s="5273"/>
      <c r="C160" s="3736"/>
      <c r="D160" s="5260"/>
      <c r="E160" s="5260"/>
      <c r="F160" s="5261"/>
      <c r="G160" s="5261"/>
      <c r="J160" s="5270"/>
    </row>
    <row r="161" spans="1:18" ht="12.75" customHeight="1">
      <c r="A161" s="5222"/>
      <c r="B161" s="5273"/>
      <c r="C161" s="3736"/>
      <c r="D161" s="5260"/>
      <c r="E161" s="5260"/>
      <c r="F161" s="5261"/>
      <c r="G161" s="5261"/>
      <c r="J161" s="5270"/>
    </row>
    <row r="162" spans="1:18" ht="12.75" customHeight="1">
      <c r="A162" s="5222"/>
      <c r="B162" s="5273"/>
      <c r="C162" s="3736"/>
      <c r="D162" s="5260"/>
      <c r="E162" s="5260"/>
      <c r="F162" s="5261"/>
      <c r="G162" s="5261"/>
      <c r="J162" s="5270"/>
    </row>
    <row r="163" spans="1:18" ht="12.75" customHeight="1">
      <c r="A163" s="5222"/>
      <c r="B163" s="5273"/>
      <c r="C163" s="3736"/>
      <c r="D163" s="5260"/>
      <c r="E163" s="5260"/>
      <c r="F163" s="5261"/>
      <c r="G163" s="5261"/>
      <c r="J163" s="5270"/>
    </row>
    <row r="164" spans="1:18" ht="12.75" customHeight="1">
      <c r="A164" s="5222"/>
      <c r="B164" s="5273"/>
      <c r="C164" s="3736"/>
      <c r="D164" s="5260"/>
      <c r="E164" s="5260"/>
      <c r="F164" s="5261"/>
      <c r="G164" s="5261"/>
      <c r="J164" s="5270"/>
    </row>
    <row r="165" spans="1:18" ht="12.75" customHeight="1">
      <c r="A165" s="5222"/>
      <c r="B165" s="5273"/>
      <c r="C165" s="3736"/>
      <c r="D165" s="5260"/>
      <c r="E165" s="5260"/>
      <c r="F165" s="5261"/>
      <c r="G165" s="5261"/>
      <c r="J165" s="5270"/>
    </row>
    <row r="166" spans="1:18" ht="12.75" customHeight="1">
      <c r="A166" s="5222"/>
      <c r="B166" s="5273"/>
      <c r="C166" s="3736"/>
      <c r="D166" s="5260"/>
      <c r="E166" s="5260"/>
      <c r="F166" s="5261"/>
      <c r="G166" s="5261"/>
      <c r="J166" s="5270"/>
    </row>
    <row r="167" spans="1:18" ht="12.75" customHeight="1">
      <c r="A167" s="5222"/>
      <c r="B167" s="5273"/>
      <c r="C167" s="3736"/>
      <c r="D167" s="5260"/>
      <c r="E167" s="5260"/>
      <c r="F167" s="5261"/>
      <c r="G167" s="5261"/>
      <c r="J167" s="5270"/>
    </row>
    <row r="168" spans="1:18">
      <c r="A168" s="5222"/>
      <c r="B168" s="5273"/>
      <c r="C168" s="3736"/>
      <c r="D168" s="3738"/>
      <c r="E168" s="5260"/>
      <c r="F168" s="5261"/>
      <c r="G168" s="5261"/>
      <c r="J168" s="5237"/>
      <c r="K168" s="5219"/>
    </row>
    <row r="169" spans="1:18" ht="12.75" customHeight="1">
      <c r="A169" s="14781" t="s">
        <v>2550</v>
      </c>
      <c r="B169" s="14782" t="s">
        <v>2688</v>
      </c>
      <c r="C169" s="14783" t="s">
        <v>1736</v>
      </c>
      <c r="D169" s="14785" t="s">
        <v>1760</v>
      </c>
      <c r="E169" s="14786" t="s">
        <v>1764</v>
      </c>
      <c r="F169" s="14788" t="s">
        <v>2689</v>
      </c>
      <c r="G169" s="14785"/>
      <c r="M169" s="5222" t="s">
        <v>6710</v>
      </c>
      <c r="N169" s="5222" t="s">
        <v>6711</v>
      </c>
      <c r="O169" s="5222" t="s">
        <v>458</v>
      </c>
      <c r="R169" s="3744"/>
    </row>
    <row r="170" spans="1:18" ht="27.6">
      <c r="A170" s="14781"/>
      <c r="B170" s="14782"/>
      <c r="C170" s="14784"/>
      <c r="D170" s="14785"/>
      <c r="E170" s="14787"/>
      <c r="F170" s="5224" t="s">
        <v>2690</v>
      </c>
      <c r="G170" s="5225" t="s">
        <v>2691</v>
      </c>
    </row>
    <row r="171" spans="1:18" ht="321" customHeight="1">
      <c r="A171" s="5286"/>
      <c r="B171" s="5287"/>
      <c r="C171" s="5288"/>
      <c r="D171" s="5289" t="s">
        <v>9500</v>
      </c>
      <c r="E171" s="5290"/>
      <c r="F171" s="5291"/>
      <c r="G171" s="5291"/>
      <c r="J171" s="5237"/>
    </row>
    <row r="172" spans="1:18" ht="84" customHeight="1">
      <c r="A172" s="5243"/>
      <c r="B172" s="5292"/>
      <c r="C172" s="5245"/>
      <c r="D172" s="5293" t="s">
        <v>9501</v>
      </c>
      <c r="E172" s="5246"/>
      <c r="F172" s="5280"/>
      <c r="G172" s="5280"/>
      <c r="J172" s="5237"/>
      <c r="L172" s="5238"/>
    </row>
    <row r="173" spans="1:18" ht="42.75" customHeight="1">
      <c r="A173" s="5232">
        <v>12</v>
      </c>
      <c r="B173" s="5265" t="s">
        <v>3571</v>
      </c>
      <c r="C173" s="5234">
        <f>R173</f>
        <v>733132.54240000003</v>
      </c>
      <c r="D173" s="5235"/>
      <c r="E173" s="5235" t="s">
        <v>2703</v>
      </c>
      <c r="F173" s="5263" t="s">
        <v>1816</v>
      </c>
      <c r="G173" s="5263" t="s">
        <v>2546</v>
      </c>
      <c r="J173" s="5237">
        <v>0.03</v>
      </c>
      <c r="L173" s="5238">
        <f>J173*$K$236</f>
        <v>444676.14240000001</v>
      </c>
      <c r="M173" s="5238">
        <f>J173*$K$237</f>
        <v>86456.4</v>
      </c>
      <c r="O173" s="5238">
        <f>M173+N173</f>
        <v>86456.4</v>
      </c>
      <c r="P173" s="5238">
        <f>K238</f>
        <v>202000</v>
      </c>
      <c r="R173" s="5238">
        <f>L173+O173+P173+Q173</f>
        <v>733132.54240000003</v>
      </c>
    </row>
    <row r="174" spans="1:18" ht="41.25" customHeight="1">
      <c r="A174" s="5232"/>
      <c r="B174" s="5266" t="s">
        <v>6845</v>
      </c>
      <c r="C174" s="5234"/>
      <c r="D174" s="5235" t="s">
        <v>9502</v>
      </c>
      <c r="E174" s="5235" t="s">
        <v>6846</v>
      </c>
      <c r="F174" s="5263" t="s">
        <v>1816</v>
      </c>
      <c r="G174" s="5263" t="s">
        <v>1748</v>
      </c>
      <c r="J174" s="5270"/>
    </row>
    <row r="175" spans="1:18" ht="28.5" customHeight="1">
      <c r="A175" s="5232"/>
      <c r="B175" s="5266" t="s">
        <v>6847</v>
      </c>
      <c r="C175" s="5234"/>
      <c r="D175" s="5235"/>
      <c r="E175" s="5235" t="s">
        <v>6848</v>
      </c>
      <c r="F175" s="5263" t="s">
        <v>1816</v>
      </c>
      <c r="G175" s="5263" t="s">
        <v>1746</v>
      </c>
      <c r="J175" s="5237"/>
    </row>
    <row r="176" spans="1:18" ht="54" customHeight="1">
      <c r="A176" s="5232"/>
      <c r="B176" s="5266" t="s">
        <v>6849</v>
      </c>
      <c r="C176" s="5234"/>
      <c r="D176" s="5235" t="s">
        <v>9503</v>
      </c>
      <c r="E176" s="5235" t="s">
        <v>6850</v>
      </c>
      <c r="F176" s="5263" t="s">
        <v>1816</v>
      </c>
      <c r="G176" s="5263" t="s">
        <v>2546</v>
      </c>
      <c r="J176" s="5237"/>
    </row>
    <row r="177" spans="1:18" ht="81.75" customHeight="1">
      <c r="A177" s="5232"/>
      <c r="B177" s="5266" t="s">
        <v>6851</v>
      </c>
      <c r="C177" s="5234"/>
      <c r="D177" s="5235" t="s">
        <v>6852</v>
      </c>
      <c r="E177" s="5235" t="s">
        <v>6853</v>
      </c>
      <c r="F177" s="5263" t="s">
        <v>1816</v>
      </c>
      <c r="G177" s="5263" t="s">
        <v>2546</v>
      </c>
      <c r="H177" s="5294"/>
      <c r="J177" s="5237"/>
    </row>
    <row r="178" spans="1:18" ht="54.75" customHeight="1">
      <c r="A178" s="5232"/>
      <c r="B178" s="5266" t="s">
        <v>6854</v>
      </c>
      <c r="C178" s="5234"/>
      <c r="D178" s="5235" t="s">
        <v>6855</v>
      </c>
      <c r="E178" s="5235" t="s">
        <v>6856</v>
      </c>
      <c r="F178" s="5263" t="s">
        <v>1816</v>
      </c>
      <c r="G178" s="5263" t="s">
        <v>2546</v>
      </c>
      <c r="H178" s="3738"/>
      <c r="J178" s="5237"/>
    </row>
    <row r="179" spans="1:18" ht="30" customHeight="1">
      <c r="A179" s="5232"/>
      <c r="B179" s="5266" t="s">
        <v>6857</v>
      </c>
      <c r="C179" s="5234"/>
      <c r="D179" s="5235" t="s">
        <v>6858</v>
      </c>
      <c r="E179" s="5235" t="s">
        <v>6859</v>
      </c>
      <c r="F179" s="5263" t="s">
        <v>1816</v>
      </c>
      <c r="G179" s="5263" t="s">
        <v>2546</v>
      </c>
      <c r="J179" s="5237"/>
    </row>
    <row r="180" spans="1:18" ht="33.75" customHeight="1">
      <c r="A180" s="5248"/>
      <c r="B180" s="5269" t="s">
        <v>6860</v>
      </c>
      <c r="C180" s="5250"/>
      <c r="D180" s="5251" t="s">
        <v>2694</v>
      </c>
      <c r="E180" s="5251" t="s">
        <v>6861</v>
      </c>
      <c r="F180" s="5252" t="s">
        <v>1816</v>
      </c>
      <c r="G180" s="5252" t="s">
        <v>2546</v>
      </c>
      <c r="J180" s="5237"/>
    </row>
    <row r="181" spans="1:18" ht="18" customHeight="1">
      <c r="A181" s="5254"/>
      <c r="B181" s="5272"/>
      <c r="C181" s="5256"/>
      <c r="D181" s="5257"/>
      <c r="E181" s="5257"/>
      <c r="F181" s="5258"/>
      <c r="G181" s="5258"/>
      <c r="J181" s="5237"/>
    </row>
    <row r="182" spans="1:18" ht="18" customHeight="1">
      <c r="A182" s="5222"/>
      <c r="B182" s="5273"/>
      <c r="C182" s="3736"/>
      <c r="D182" s="5260"/>
      <c r="E182" s="5260"/>
      <c r="F182" s="5261"/>
      <c r="G182" s="5261"/>
      <c r="J182" s="5237"/>
    </row>
    <row r="183" spans="1:18" ht="18" customHeight="1">
      <c r="A183" s="5222"/>
      <c r="B183" s="5273"/>
      <c r="C183" s="3736"/>
      <c r="D183" s="5260"/>
      <c r="E183" s="5260"/>
      <c r="F183" s="5261"/>
      <c r="G183" s="5261"/>
      <c r="J183" s="5237"/>
    </row>
    <row r="184" spans="1:18" ht="18" customHeight="1">
      <c r="A184" s="5222"/>
      <c r="B184" s="5273"/>
      <c r="C184" s="3736"/>
      <c r="D184" s="5260"/>
      <c r="E184" s="5260"/>
      <c r="F184" s="5261"/>
      <c r="G184" s="5261"/>
      <c r="J184" s="5237"/>
    </row>
    <row r="185" spans="1:18" ht="18" customHeight="1">
      <c r="A185" s="5222"/>
      <c r="B185" s="5273"/>
      <c r="C185" s="3736"/>
      <c r="D185" s="5260"/>
      <c r="E185" s="5260"/>
      <c r="F185" s="5261"/>
      <c r="G185" s="5261"/>
      <c r="J185" s="5237"/>
    </row>
    <row r="186" spans="1:18" ht="18" customHeight="1">
      <c r="A186" s="5222"/>
      <c r="B186" s="5273"/>
      <c r="C186" s="3736"/>
      <c r="D186" s="5260"/>
      <c r="E186" s="5260"/>
      <c r="F186" s="5261"/>
      <c r="G186" s="5261"/>
      <c r="J186" s="5237"/>
    </row>
    <row r="187" spans="1:18" ht="18" customHeight="1">
      <c r="A187" s="5222"/>
      <c r="B187" s="5273"/>
      <c r="C187" s="3736"/>
      <c r="D187" s="5260"/>
      <c r="E187" s="5260"/>
      <c r="F187" s="5261"/>
      <c r="G187" s="5261"/>
      <c r="J187" s="5237"/>
    </row>
    <row r="188" spans="1:18" ht="18" customHeight="1">
      <c r="A188" s="5222"/>
      <c r="B188" s="5273"/>
      <c r="C188" s="3736"/>
      <c r="D188" s="5260"/>
      <c r="E188" s="5260"/>
      <c r="F188" s="5261"/>
      <c r="G188" s="5261"/>
      <c r="J188" s="5237"/>
    </row>
    <row r="189" spans="1:18" ht="17.25" customHeight="1">
      <c r="A189" s="5274"/>
      <c r="B189" s="5277"/>
      <c r="C189" s="5276"/>
      <c r="D189" s="5282"/>
      <c r="E189" s="5282"/>
      <c r="F189" s="5278"/>
      <c r="G189" s="5278"/>
      <c r="J189" s="5237"/>
    </row>
    <row r="190" spans="1:18" ht="12.75" customHeight="1">
      <c r="A190" s="14781" t="s">
        <v>2550</v>
      </c>
      <c r="B190" s="14782" t="s">
        <v>2688</v>
      </c>
      <c r="C190" s="14783" t="s">
        <v>1736</v>
      </c>
      <c r="D190" s="14785" t="s">
        <v>1760</v>
      </c>
      <c r="E190" s="14786" t="s">
        <v>1764</v>
      </c>
      <c r="F190" s="14788" t="s">
        <v>2689</v>
      </c>
      <c r="G190" s="14785"/>
      <c r="M190" s="5222" t="s">
        <v>6710</v>
      </c>
      <c r="N190" s="5222" t="s">
        <v>6711</v>
      </c>
      <c r="O190" s="5222" t="s">
        <v>458</v>
      </c>
      <c r="R190" s="3744"/>
    </row>
    <row r="191" spans="1:18" ht="27.6">
      <c r="A191" s="14781"/>
      <c r="B191" s="14782"/>
      <c r="C191" s="14784"/>
      <c r="D191" s="14785"/>
      <c r="E191" s="14787"/>
      <c r="F191" s="5224" t="s">
        <v>2690</v>
      </c>
      <c r="G191" s="5225" t="s">
        <v>2691</v>
      </c>
    </row>
    <row r="192" spans="1:18" ht="86.25" customHeight="1">
      <c r="A192" s="5243"/>
      <c r="B192" s="5283" t="s">
        <v>6862</v>
      </c>
      <c r="C192" s="5295"/>
      <c r="D192" s="5246" t="s">
        <v>6863</v>
      </c>
      <c r="E192" s="5246" t="s">
        <v>6864</v>
      </c>
      <c r="F192" s="5247" t="s">
        <v>1816</v>
      </c>
      <c r="G192" s="5247" t="s">
        <v>2546</v>
      </c>
      <c r="J192" s="5237"/>
      <c r="K192" s="5253" t="s">
        <v>6865</v>
      </c>
    </row>
    <row r="193" spans="1:18">
      <c r="A193" s="5239"/>
      <c r="B193" s="5240"/>
      <c r="C193" s="5241"/>
      <c r="D193" s="5240"/>
      <c r="E193" s="5240"/>
      <c r="F193" s="5296"/>
      <c r="G193" s="5296"/>
      <c r="J193" s="5237"/>
    </row>
    <row r="194" spans="1:18">
      <c r="A194" s="5243"/>
      <c r="B194" s="5246"/>
      <c r="C194" s="5245"/>
      <c r="D194" s="5246"/>
      <c r="E194" s="5246"/>
      <c r="F194" s="5247"/>
      <c r="G194" s="5247"/>
      <c r="J194" s="5237"/>
    </row>
    <row r="195" spans="1:18" ht="29.25" customHeight="1">
      <c r="A195" s="5232">
        <v>13</v>
      </c>
      <c r="B195" s="5297" t="s">
        <v>3572</v>
      </c>
      <c r="C195" s="5234">
        <f>R195</f>
        <v>3373795.2544</v>
      </c>
      <c r="D195" s="5235"/>
      <c r="E195" s="5235" t="s">
        <v>2697</v>
      </c>
      <c r="F195" s="5263" t="s">
        <v>1816</v>
      </c>
      <c r="G195" s="5263" t="s">
        <v>2546</v>
      </c>
      <c r="J195" s="5237">
        <v>0.18</v>
      </c>
      <c r="L195" s="5238">
        <f>J195*$K$236</f>
        <v>2668056.8544000001</v>
      </c>
      <c r="M195" s="5238">
        <f>J195*$K$237</f>
        <v>518738.39999999997</v>
      </c>
      <c r="N195" s="5238">
        <f>T237+T238+T239</f>
        <v>187000</v>
      </c>
      <c r="O195" s="5238">
        <f>M195+N195</f>
        <v>705738.39999999991</v>
      </c>
      <c r="R195" s="5238">
        <f>L195+O195+P195+Q195</f>
        <v>3373795.2544</v>
      </c>
    </row>
    <row r="196" spans="1:18" ht="57.75" customHeight="1">
      <c r="A196" s="5232"/>
      <c r="B196" s="5266" t="s">
        <v>6866</v>
      </c>
      <c r="C196" s="5234"/>
      <c r="D196" s="5235" t="s">
        <v>2695</v>
      </c>
      <c r="E196" s="5235"/>
      <c r="F196" s="5263"/>
      <c r="G196" s="5263"/>
      <c r="J196" s="5237"/>
    </row>
    <row r="197" spans="1:18" ht="60" customHeight="1">
      <c r="A197" s="5232"/>
      <c r="B197" s="5266" t="s">
        <v>6867</v>
      </c>
      <c r="C197" s="5234"/>
      <c r="D197" s="5235" t="s">
        <v>6868</v>
      </c>
      <c r="E197" s="5235"/>
      <c r="F197" s="5263"/>
      <c r="G197" s="5263"/>
      <c r="J197" s="5270"/>
    </row>
    <row r="198" spans="1:18" ht="88.5" customHeight="1">
      <c r="A198" s="5232"/>
      <c r="B198" s="5266" t="s">
        <v>6869</v>
      </c>
      <c r="C198" s="5234"/>
      <c r="D198" s="5235" t="s">
        <v>6870</v>
      </c>
      <c r="E198" s="5235"/>
      <c r="F198" s="5263"/>
      <c r="G198" s="5263"/>
      <c r="J198" s="5237"/>
    </row>
    <row r="199" spans="1:18" ht="60" customHeight="1">
      <c r="A199" s="5232"/>
      <c r="B199" s="5235"/>
      <c r="C199" s="5234"/>
      <c r="D199" s="5235" t="s">
        <v>6871</v>
      </c>
      <c r="E199" s="5235"/>
      <c r="F199" s="5263"/>
      <c r="G199" s="5263"/>
      <c r="J199" s="5237"/>
    </row>
    <row r="200" spans="1:18" ht="57" customHeight="1">
      <c r="A200" s="5232"/>
      <c r="B200" s="5266" t="s">
        <v>6872</v>
      </c>
      <c r="C200" s="5234"/>
      <c r="D200" s="5235" t="s">
        <v>6873</v>
      </c>
      <c r="E200" s="5235"/>
      <c r="F200" s="5263"/>
      <c r="G200" s="5263"/>
      <c r="J200" s="5237"/>
    </row>
    <row r="201" spans="1:18" ht="81.75" customHeight="1">
      <c r="A201" s="5248"/>
      <c r="B201" s="5251"/>
      <c r="C201" s="5250"/>
      <c r="D201" s="5251" t="s">
        <v>2696</v>
      </c>
      <c r="E201" s="5251"/>
      <c r="F201" s="5298"/>
      <c r="G201" s="5298"/>
      <c r="J201" s="5237"/>
    </row>
    <row r="202" spans="1:18" ht="84" customHeight="1">
      <c r="A202" s="5243"/>
      <c r="B202" s="5283" t="s">
        <v>6874</v>
      </c>
      <c r="C202" s="5245"/>
      <c r="D202" s="5246" t="s">
        <v>6875</v>
      </c>
      <c r="E202" s="5246"/>
      <c r="F202" s="5247"/>
      <c r="G202" s="5247"/>
      <c r="J202" s="5284"/>
    </row>
    <row r="203" spans="1:18" ht="44.25" customHeight="1">
      <c r="A203" s="5232"/>
      <c r="B203" s="5266"/>
      <c r="C203" s="5234"/>
      <c r="D203" s="5235" t="s">
        <v>2698</v>
      </c>
      <c r="E203" s="5235"/>
      <c r="F203" s="5263"/>
      <c r="G203" s="5263"/>
      <c r="J203" s="5237"/>
    </row>
    <row r="204" spans="1:18" ht="72" customHeight="1">
      <c r="A204" s="5232"/>
      <c r="B204" s="5266" t="s">
        <v>6876</v>
      </c>
      <c r="C204" s="5234"/>
      <c r="D204" s="5235" t="s">
        <v>2699</v>
      </c>
      <c r="E204" s="5235"/>
      <c r="F204" s="5263"/>
      <c r="G204" s="5263"/>
      <c r="J204" s="5237"/>
    </row>
    <row r="205" spans="1:18" ht="18.75" customHeight="1">
      <c r="A205" s="5254"/>
      <c r="B205" s="5257"/>
      <c r="C205" s="5256"/>
      <c r="D205" s="5257"/>
      <c r="E205" s="5257"/>
      <c r="F205" s="5299"/>
      <c r="G205" s="5299"/>
      <c r="J205" s="5237"/>
    </row>
    <row r="206" spans="1:18" ht="18.75" customHeight="1">
      <c r="A206" s="5222"/>
      <c r="B206" s="5260"/>
      <c r="C206" s="3736"/>
      <c r="D206" s="5260"/>
      <c r="E206" s="5260"/>
      <c r="F206" s="3742"/>
      <c r="G206" s="3742"/>
      <c r="J206" s="5237"/>
    </row>
    <row r="207" spans="1:18" ht="18.75" customHeight="1">
      <c r="A207" s="5222"/>
      <c r="B207" s="5260"/>
      <c r="C207" s="3736"/>
      <c r="D207" s="5260"/>
      <c r="E207" s="5260"/>
      <c r="F207" s="3742"/>
      <c r="G207" s="3742"/>
      <c r="J207" s="5237"/>
    </row>
    <row r="208" spans="1:18" ht="18.75" customHeight="1">
      <c r="A208" s="5222"/>
      <c r="B208" s="5260"/>
      <c r="C208" s="3736"/>
      <c r="D208" s="5260"/>
      <c r="E208" s="5260"/>
      <c r="F208" s="3742"/>
      <c r="G208" s="3742"/>
      <c r="J208" s="5237"/>
    </row>
    <row r="209" spans="1:18" ht="18.75" customHeight="1">
      <c r="A209" s="5222"/>
      <c r="B209" s="5260"/>
      <c r="C209" s="3736"/>
      <c r="D209" s="5260"/>
      <c r="E209" s="5260"/>
      <c r="F209" s="3742"/>
      <c r="G209" s="3742"/>
      <c r="J209" s="5237"/>
    </row>
    <row r="210" spans="1:18" ht="18.75" customHeight="1">
      <c r="A210" s="5222"/>
      <c r="B210" s="5260"/>
      <c r="C210" s="3736"/>
      <c r="D210" s="5260"/>
      <c r="E210" s="5260"/>
      <c r="F210" s="3742"/>
      <c r="G210" s="3742"/>
      <c r="J210" s="5237"/>
    </row>
    <row r="211" spans="1:18" ht="18.75" customHeight="1">
      <c r="A211" s="5222"/>
      <c r="B211" s="5260"/>
      <c r="C211" s="3736"/>
      <c r="D211" s="5260"/>
      <c r="E211" s="5260"/>
      <c r="F211" s="3742"/>
      <c r="G211" s="3742"/>
      <c r="J211" s="5237"/>
    </row>
    <row r="212" spans="1:18" ht="18.75" customHeight="1">
      <c r="A212" s="5222"/>
      <c r="B212" s="5260"/>
      <c r="C212" s="3736"/>
      <c r="D212" s="5260"/>
      <c r="E212" s="5260"/>
      <c r="F212" s="3742"/>
      <c r="G212" s="3742"/>
      <c r="J212" s="5237"/>
    </row>
    <row r="213" spans="1:18" ht="18.75" customHeight="1">
      <c r="A213" s="5222"/>
      <c r="B213" s="5260"/>
      <c r="C213" s="3736"/>
      <c r="D213" s="5260"/>
      <c r="E213" s="5260"/>
      <c r="F213" s="3742"/>
      <c r="G213" s="3742"/>
      <c r="J213" s="5237"/>
    </row>
    <row r="214" spans="1:18" ht="18.75" customHeight="1">
      <c r="A214" s="5274"/>
      <c r="B214" s="5282"/>
      <c r="C214" s="5276"/>
      <c r="D214" s="5282"/>
      <c r="E214" s="5282"/>
      <c r="F214" s="5300"/>
      <c r="G214" s="5300"/>
      <c r="J214" s="5237"/>
    </row>
    <row r="215" spans="1:18" ht="12.75" customHeight="1">
      <c r="A215" s="14781" t="s">
        <v>2550</v>
      </c>
      <c r="B215" s="14782" t="s">
        <v>2688</v>
      </c>
      <c r="C215" s="14783" t="s">
        <v>1736</v>
      </c>
      <c r="D215" s="14785" t="s">
        <v>1760</v>
      </c>
      <c r="E215" s="14786" t="s">
        <v>1764</v>
      </c>
      <c r="F215" s="14788" t="s">
        <v>2689</v>
      </c>
      <c r="G215" s="14785"/>
      <c r="M215" s="5222" t="s">
        <v>6710</v>
      </c>
      <c r="N215" s="5222" t="s">
        <v>6711</v>
      </c>
      <c r="O215" s="5222" t="s">
        <v>458</v>
      </c>
      <c r="R215" s="3744"/>
    </row>
    <row r="216" spans="1:18" ht="27.6">
      <c r="A216" s="14781"/>
      <c r="B216" s="14782"/>
      <c r="C216" s="14784"/>
      <c r="D216" s="14785"/>
      <c r="E216" s="14787"/>
      <c r="F216" s="5224" t="s">
        <v>2690</v>
      </c>
      <c r="G216" s="5225" t="s">
        <v>2691</v>
      </c>
    </row>
    <row r="217" spans="1:18" ht="45" customHeight="1">
      <c r="A217" s="5232"/>
      <c r="B217" s="5266"/>
      <c r="C217" s="5234"/>
      <c r="D217" s="5235" t="s">
        <v>2700</v>
      </c>
      <c r="E217" s="5235"/>
      <c r="F217" s="5263"/>
      <c r="G217" s="5263"/>
      <c r="J217" s="5237"/>
    </row>
    <row r="218" spans="1:18" ht="71.25" customHeight="1">
      <c r="A218" s="5232"/>
      <c r="B218" s="5266" t="s">
        <v>6877</v>
      </c>
      <c r="C218" s="5234"/>
      <c r="D218" s="5235" t="s">
        <v>2701</v>
      </c>
      <c r="E218" s="5235"/>
      <c r="F218" s="5263"/>
      <c r="G218" s="5263"/>
      <c r="J218" s="5284"/>
    </row>
    <row r="219" spans="1:18" ht="41.25" customHeight="1">
      <c r="A219" s="5232"/>
      <c r="B219" s="5266" t="s">
        <v>6878</v>
      </c>
      <c r="C219" s="5234"/>
      <c r="D219" s="5235" t="s">
        <v>6879</v>
      </c>
      <c r="E219" s="5235"/>
      <c r="F219" s="5263"/>
      <c r="G219" s="5263"/>
      <c r="J219" s="5237"/>
    </row>
    <row r="220" spans="1:18" ht="70.5" customHeight="1">
      <c r="A220" s="5232"/>
      <c r="B220" s="5266" t="s">
        <v>6880</v>
      </c>
      <c r="C220" s="5234"/>
      <c r="D220" s="5235" t="s">
        <v>6881</v>
      </c>
      <c r="E220" s="5235"/>
      <c r="F220" s="5263"/>
      <c r="G220" s="5263"/>
      <c r="J220" s="5237"/>
    </row>
    <row r="221" spans="1:18" ht="30" customHeight="1">
      <c r="A221" s="5232"/>
      <c r="B221" s="5266" t="s">
        <v>6882</v>
      </c>
      <c r="C221" s="5234"/>
      <c r="D221" s="5235" t="s">
        <v>2702</v>
      </c>
      <c r="E221" s="5235"/>
      <c r="F221" s="5263"/>
      <c r="G221" s="5263"/>
      <c r="J221" s="5237"/>
    </row>
    <row r="222" spans="1:18" ht="51" customHeight="1">
      <c r="A222" s="5248"/>
      <c r="B222" s="5269" t="s">
        <v>6883</v>
      </c>
      <c r="C222" s="5250"/>
      <c r="D222" s="5251" t="s">
        <v>6884</v>
      </c>
      <c r="E222" s="5251"/>
      <c r="F222" s="5252"/>
      <c r="G222" s="5252"/>
      <c r="J222" s="5237"/>
    </row>
    <row r="223" spans="1:18" ht="60" customHeight="1">
      <c r="A223" s="5232"/>
      <c r="B223" s="5266" t="s">
        <v>6885</v>
      </c>
      <c r="C223" s="5234"/>
      <c r="D223" s="5235" t="s">
        <v>6886</v>
      </c>
      <c r="E223" s="5235"/>
      <c r="F223" s="5263"/>
      <c r="G223" s="5263"/>
      <c r="J223" s="5237"/>
    </row>
    <row r="224" spans="1:18" ht="47.25" customHeight="1">
      <c r="A224" s="5239"/>
      <c r="B224" s="5240" t="s">
        <v>6887</v>
      </c>
      <c r="C224" s="5241"/>
      <c r="D224" s="5240" t="s">
        <v>6888</v>
      </c>
      <c r="E224" s="5240"/>
      <c r="F224" s="5296"/>
      <c r="G224" s="5296"/>
      <c r="J224" s="5237"/>
    </row>
    <row r="225" spans="1:31" ht="48" customHeight="1">
      <c r="A225" s="5243"/>
      <c r="B225" s="5246" t="s">
        <v>6889</v>
      </c>
      <c r="C225" s="5245"/>
      <c r="D225" s="5246" t="s">
        <v>6890</v>
      </c>
      <c r="E225" s="5246"/>
      <c r="F225" s="5247"/>
      <c r="G225" s="5247"/>
      <c r="J225" s="5237"/>
    </row>
    <row r="226" spans="1:31">
      <c r="A226" s="5232"/>
      <c r="B226" s="5262"/>
      <c r="C226" s="5234"/>
      <c r="D226" s="5235"/>
      <c r="E226" s="5235"/>
      <c r="F226" s="5236"/>
      <c r="G226" s="5236"/>
      <c r="J226" s="5237"/>
    </row>
    <row r="227" spans="1:31" ht="29.25" customHeight="1">
      <c r="A227" s="5232">
        <v>14</v>
      </c>
      <c r="B227" s="5265" t="s">
        <v>6891</v>
      </c>
      <c r="C227" s="5234">
        <f>R227</f>
        <v>177044.1808</v>
      </c>
      <c r="D227" s="5235"/>
      <c r="E227" s="5235"/>
      <c r="F227" s="5263" t="s">
        <v>1816</v>
      </c>
      <c r="G227" s="5263" t="s">
        <v>2546</v>
      </c>
      <c r="J227" s="5237">
        <v>0.01</v>
      </c>
      <c r="L227" s="5238">
        <f>J227*$K$236</f>
        <v>148225.38080000001</v>
      </c>
      <c r="M227" s="5238">
        <f>J227*$K$237</f>
        <v>28818.799999999999</v>
      </c>
      <c r="O227" s="5238">
        <f>M227+N227</f>
        <v>28818.799999999999</v>
      </c>
      <c r="R227" s="5238">
        <f>L227+O227+P227+Q227</f>
        <v>177044.1808</v>
      </c>
    </row>
    <row r="228" spans="1:31" ht="70.5" customHeight="1">
      <c r="A228" s="5232"/>
      <c r="B228" s="5266" t="s">
        <v>6892</v>
      </c>
      <c r="C228" s="5234"/>
      <c r="D228" s="5235" t="s">
        <v>6893</v>
      </c>
      <c r="E228" s="5235" t="s">
        <v>6894</v>
      </c>
      <c r="F228" s="5263"/>
      <c r="G228" s="5263"/>
      <c r="J228" s="5237"/>
    </row>
    <row r="229" spans="1:31">
      <c r="A229" s="5281"/>
      <c r="B229" s="5262"/>
      <c r="C229" s="5301"/>
      <c r="D229" s="5235"/>
      <c r="E229" s="5235"/>
      <c r="F229" s="5262"/>
      <c r="G229" s="5262"/>
    </row>
    <row r="230" spans="1:31" s="5322" customFormat="1" ht="29.25" customHeight="1">
      <c r="A230" s="5316"/>
      <c r="B230" s="5317" t="s">
        <v>220</v>
      </c>
      <c r="C230" s="5318">
        <f>SUM(C18:C227)</f>
        <v>21363197.175999999</v>
      </c>
      <c r="D230" s="5319"/>
      <c r="E230" s="5320"/>
      <c r="F230" s="5321"/>
      <c r="G230" s="5321"/>
      <c r="I230" s="5323"/>
      <c r="J230" s="5324"/>
      <c r="K230" s="5323"/>
      <c r="L230" s="5323"/>
      <c r="M230" s="5323"/>
      <c r="N230" s="5323"/>
      <c r="O230" s="5323"/>
      <c r="P230" s="5323"/>
      <c r="Q230" s="5323"/>
      <c r="R230" s="5325"/>
      <c r="S230" s="5323"/>
      <c r="T230" s="5325"/>
      <c r="U230" s="5323"/>
      <c r="V230" s="5323"/>
      <c r="W230" s="5323"/>
      <c r="X230" s="5323"/>
      <c r="Y230" s="5323"/>
      <c r="Z230" s="5323"/>
      <c r="AA230" s="5323"/>
      <c r="AB230" s="5323"/>
      <c r="AC230" s="5323"/>
      <c r="AD230" s="5323"/>
      <c r="AE230" s="5323"/>
    </row>
    <row r="231" spans="1:31">
      <c r="C231" s="5303"/>
      <c r="D231" s="5304"/>
      <c r="J231" s="5237">
        <f>SUM(J24:J227)</f>
        <v>1</v>
      </c>
      <c r="L231" s="5238">
        <f t="shared" ref="L231:R231" si="0">SUM(L25:L230)</f>
        <v>14822538.08</v>
      </c>
      <c r="M231" s="5238">
        <f t="shared" si="0"/>
        <v>2881879.9999999995</v>
      </c>
      <c r="N231" s="5238">
        <f t="shared" si="0"/>
        <v>692000</v>
      </c>
      <c r="O231" s="5238">
        <f t="shared" si="0"/>
        <v>3573880</v>
      </c>
      <c r="P231" s="5238">
        <f t="shared" si="0"/>
        <v>202000</v>
      </c>
      <c r="Q231" s="5238">
        <f t="shared" si="0"/>
        <v>3650000</v>
      </c>
      <c r="R231" s="5238">
        <f t="shared" si="0"/>
        <v>22248418.079999998</v>
      </c>
    </row>
    <row r="232" spans="1:31" hidden="1">
      <c r="B232" s="5305" t="s">
        <v>3483</v>
      </c>
      <c r="C232" s="5306" t="s">
        <v>6304</v>
      </c>
      <c r="D232" s="5307"/>
      <c r="E232" s="5219"/>
    </row>
    <row r="233" spans="1:31" hidden="1">
      <c r="B233" s="5305"/>
      <c r="C233" s="5306"/>
      <c r="D233" s="5219"/>
      <c r="E233" s="5219"/>
    </row>
    <row r="234" spans="1:31" hidden="1">
      <c r="B234" s="5305"/>
      <c r="C234" s="5308"/>
      <c r="D234" s="5219"/>
      <c r="E234" s="5219"/>
      <c r="M234" s="3739" t="s">
        <v>6895</v>
      </c>
      <c r="N234" s="3739"/>
      <c r="O234" s="3739"/>
      <c r="R234" s="3744"/>
      <c r="T234" s="3744"/>
    </row>
    <row r="235" spans="1:31" hidden="1">
      <c r="B235" s="5221"/>
      <c r="D235" s="5220"/>
      <c r="E235" s="5220"/>
      <c r="R235" s="3744"/>
      <c r="T235" s="3744"/>
    </row>
    <row r="236" spans="1:31" hidden="1">
      <c r="B236" s="5309" t="s">
        <v>6896</v>
      </c>
      <c r="D236" s="14777" t="s">
        <v>5182</v>
      </c>
      <c r="E236" s="14777"/>
      <c r="J236" s="5310" t="s">
        <v>217</v>
      </c>
      <c r="K236" s="5311">
        <v>14822538.08</v>
      </c>
      <c r="M236" s="5312" t="s">
        <v>11438</v>
      </c>
      <c r="N236" s="5312"/>
      <c r="O236" s="5312"/>
      <c r="Q236" s="3744"/>
      <c r="R236" s="3744"/>
      <c r="T236" s="3744">
        <v>100000</v>
      </c>
      <c r="V236" s="3738" t="s">
        <v>6897</v>
      </c>
    </row>
    <row r="237" spans="1:31" hidden="1">
      <c r="B237" s="5313" t="s">
        <v>6898</v>
      </c>
      <c r="D237" s="14778" t="s">
        <v>737</v>
      </c>
      <c r="E237" s="14778"/>
      <c r="J237" s="5310" t="s">
        <v>6899</v>
      </c>
      <c r="K237" s="5311">
        <v>2881880</v>
      </c>
      <c r="M237" s="5312" t="s">
        <v>11439</v>
      </c>
      <c r="N237" s="5312"/>
      <c r="O237" s="5312"/>
      <c r="Q237" s="3744"/>
      <c r="R237" s="3744"/>
      <c r="T237" s="3744">
        <v>80000</v>
      </c>
      <c r="V237" s="3738" t="s">
        <v>6900</v>
      </c>
    </row>
    <row r="238" spans="1:31" hidden="1">
      <c r="J238" s="5310" t="s">
        <v>52</v>
      </c>
      <c r="K238" s="5311">
        <v>202000</v>
      </c>
      <c r="M238" s="5312" t="s">
        <v>11440</v>
      </c>
      <c r="N238" s="5312"/>
      <c r="O238" s="5312"/>
      <c r="Q238" s="3744"/>
      <c r="R238" s="3744"/>
      <c r="T238" s="3744">
        <v>100000</v>
      </c>
      <c r="V238" s="3738" t="s">
        <v>6900</v>
      </c>
    </row>
    <row r="239" spans="1:31" hidden="1">
      <c r="J239" s="5310"/>
      <c r="M239" s="5312" t="s">
        <v>11441</v>
      </c>
      <c r="N239" s="5312"/>
      <c r="O239" s="5312"/>
      <c r="R239" s="3744"/>
      <c r="T239" s="3744">
        <v>7000</v>
      </c>
      <c r="V239" s="3738" t="s">
        <v>6900</v>
      </c>
    </row>
    <row r="240" spans="1:31" hidden="1">
      <c r="B240" s="5314"/>
      <c r="J240" s="5310" t="s">
        <v>458</v>
      </c>
      <c r="K240" s="5315">
        <f>SUM(K236:K238)</f>
        <v>17906418.079999998</v>
      </c>
      <c r="M240" s="5312"/>
      <c r="N240" s="5312"/>
      <c r="O240" s="5312"/>
      <c r="R240" s="3744"/>
      <c r="T240" s="3744"/>
    </row>
    <row r="241" spans="1:22" hidden="1">
      <c r="B241" s="14778" t="s">
        <v>3537</v>
      </c>
      <c r="C241" s="14778"/>
      <c r="D241" s="14778"/>
      <c r="E241" s="14778"/>
      <c r="F241" s="14778"/>
      <c r="M241" s="5312" t="s">
        <v>11442</v>
      </c>
      <c r="N241" s="5312"/>
      <c r="O241" s="5312"/>
      <c r="R241" s="3744"/>
      <c r="T241" s="3744">
        <v>160000</v>
      </c>
      <c r="V241" s="3738" t="s">
        <v>6901</v>
      </c>
    </row>
    <row r="242" spans="1:22" hidden="1">
      <c r="M242" s="5312" t="s">
        <v>11443</v>
      </c>
      <c r="N242" s="5312"/>
      <c r="O242" s="5312"/>
      <c r="R242" s="3744"/>
      <c r="T242" s="3744">
        <v>45000</v>
      </c>
      <c r="V242" s="3738" t="s">
        <v>6901</v>
      </c>
    </row>
    <row r="243" spans="1:22" hidden="1">
      <c r="J243" s="3742" t="s">
        <v>5032</v>
      </c>
      <c r="K243" s="3741">
        <f>K237+T244</f>
        <v>3573880</v>
      </c>
      <c r="M243" s="5312" t="s">
        <v>11444</v>
      </c>
      <c r="N243" s="5312"/>
      <c r="O243" s="5312"/>
      <c r="R243" s="3744"/>
      <c r="T243" s="3744">
        <v>200000</v>
      </c>
      <c r="V243" s="3738" t="s">
        <v>6902</v>
      </c>
    </row>
    <row r="244" spans="1:22" hidden="1">
      <c r="M244" s="5312" t="s">
        <v>182</v>
      </c>
      <c r="N244" s="5312"/>
      <c r="O244" s="5312"/>
      <c r="R244" s="3744"/>
      <c r="T244" s="5311">
        <f>SUM(T235:T243)</f>
        <v>692000</v>
      </c>
    </row>
    <row r="245" spans="1:22" hidden="1">
      <c r="B245" s="14777" t="s">
        <v>5050</v>
      </c>
      <c r="C245" s="14777"/>
      <c r="D245" s="14777"/>
      <c r="E245" s="14777"/>
      <c r="F245" s="14777"/>
      <c r="J245" s="5222" t="s">
        <v>6903</v>
      </c>
    </row>
    <row r="246" spans="1:22" hidden="1">
      <c r="B246" s="14778" t="s">
        <v>3486</v>
      </c>
      <c r="C246" s="14778"/>
      <c r="D246" s="14778"/>
      <c r="E246" s="14778"/>
      <c r="F246" s="14778"/>
    </row>
    <row r="247" spans="1:22" hidden="1">
      <c r="C247" s="5219"/>
      <c r="D247" s="5219"/>
      <c r="E247" s="5219"/>
      <c r="J247" s="5267" t="s">
        <v>11445</v>
      </c>
      <c r="Q247" s="3741">
        <v>800000</v>
      </c>
    </row>
    <row r="248" spans="1:22" s="3738" customFormat="1" hidden="1">
      <c r="A248" s="3739"/>
      <c r="J248" s="5267" t="s">
        <v>11446</v>
      </c>
      <c r="Q248" s="3741">
        <v>300000</v>
      </c>
      <c r="R248" s="3740"/>
      <c r="T248" s="3740"/>
    </row>
    <row r="249" spans="1:22" s="3738" customFormat="1" hidden="1">
      <c r="A249" s="3739"/>
      <c r="J249" s="5267" t="s">
        <v>4676</v>
      </c>
      <c r="Q249" s="3741">
        <v>500000</v>
      </c>
      <c r="R249" s="3740"/>
      <c r="T249" s="3740"/>
    </row>
    <row r="250" spans="1:22" s="3738" customFormat="1">
      <c r="A250" s="3739"/>
      <c r="J250" s="5267" t="s">
        <v>11447</v>
      </c>
      <c r="Q250" s="3741">
        <v>700000</v>
      </c>
      <c r="R250" s="3740"/>
      <c r="T250" s="3740"/>
    </row>
    <row r="251" spans="1:22" s="3738" customFormat="1">
      <c r="A251" s="3739"/>
      <c r="J251" s="5267" t="s">
        <v>4678</v>
      </c>
      <c r="Q251" s="3741">
        <v>200000</v>
      </c>
      <c r="R251" s="3740"/>
      <c r="T251" s="3740"/>
    </row>
    <row r="252" spans="1:22" s="3738" customFormat="1">
      <c r="A252" s="3739"/>
      <c r="J252" s="5267" t="s">
        <v>4679</v>
      </c>
      <c r="Q252" s="3741">
        <v>150000</v>
      </c>
      <c r="R252" s="3740"/>
      <c r="T252" s="3740"/>
    </row>
    <row r="253" spans="1:22" s="3738" customFormat="1">
      <c r="A253" s="3739"/>
      <c r="J253" s="5267" t="s">
        <v>11448</v>
      </c>
      <c r="Q253" s="3741">
        <v>1000000</v>
      </c>
      <c r="R253" s="3740"/>
      <c r="T253" s="3740"/>
    </row>
    <row r="254" spans="1:22" s="3738" customFormat="1">
      <c r="A254" s="3739"/>
      <c r="J254" s="5312" t="s">
        <v>2087</v>
      </c>
      <c r="K254" s="3739"/>
      <c r="L254" s="3739"/>
      <c r="M254" s="3739"/>
      <c r="N254" s="3739"/>
      <c r="O254" s="3739"/>
      <c r="P254" s="3739"/>
      <c r="Q254" s="5315">
        <f>SUM(Q247:Q253)</f>
        <v>3650000</v>
      </c>
      <c r="R254" s="3740"/>
      <c r="T254" s="3740"/>
    </row>
    <row r="255" spans="1:22" s="3738" customFormat="1">
      <c r="A255" s="3739"/>
      <c r="J255" s="5267"/>
      <c r="R255" s="3740"/>
      <c r="T255" s="3740"/>
    </row>
    <row r="256" spans="1:22" s="3738" customFormat="1">
      <c r="A256" s="3739"/>
      <c r="J256" s="5222" t="s">
        <v>220</v>
      </c>
      <c r="Q256" s="5315">
        <f>K240+T244+Q254</f>
        <v>22248418.079999998</v>
      </c>
      <c r="R256" s="3740"/>
      <c r="S256" s="3741"/>
      <c r="T256" s="3740"/>
    </row>
    <row r="257" spans="1:20" s="3738" customFormat="1">
      <c r="A257" s="3739"/>
      <c r="J257" s="3742"/>
      <c r="R257" s="3740"/>
      <c r="T257" s="3740"/>
    </row>
    <row r="258" spans="1:20" s="3738" customFormat="1">
      <c r="A258" s="3739"/>
      <c r="J258" s="3742"/>
      <c r="R258" s="3740"/>
      <c r="T258" s="3740"/>
    </row>
    <row r="259" spans="1:20" s="3738" customFormat="1">
      <c r="A259" s="3739"/>
      <c r="J259" s="5312" t="s">
        <v>6904</v>
      </c>
      <c r="K259" s="3739"/>
      <c r="L259" s="3739"/>
      <c r="M259" s="3739"/>
      <c r="N259" s="3739"/>
      <c r="O259" s="3739"/>
      <c r="P259" s="3739"/>
      <c r="Q259" s="5315">
        <v>22248418.079999998</v>
      </c>
      <c r="R259" s="3740"/>
      <c r="S259" s="3743">
        <f>R231-Q259</f>
        <v>0</v>
      </c>
      <c r="T259" s="3740"/>
    </row>
    <row r="260" spans="1:20" s="3738" customFormat="1">
      <c r="A260" s="3739"/>
      <c r="J260" s="3742"/>
      <c r="R260" s="3740"/>
      <c r="T260" s="3740"/>
    </row>
    <row r="261" spans="1:20" s="3738" customFormat="1">
      <c r="A261" s="3739"/>
      <c r="C261" s="3736"/>
      <c r="D261" s="3744"/>
      <c r="J261" s="3745" t="s">
        <v>3130</v>
      </c>
      <c r="K261" s="3746"/>
      <c r="L261" s="3746"/>
      <c r="M261" s="3746"/>
      <c r="N261" s="3746"/>
      <c r="O261" s="3746"/>
      <c r="P261" s="3746"/>
      <c r="Q261" s="3743">
        <f>Q256-Q259</f>
        <v>0</v>
      </c>
      <c r="R261" s="3740"/>
      <c r="S261" s="3745" t="s">
        <v>3130</v>
      </c>
      <c r="T261" s="3740"/>
    </row>
    <row r="262" spans="1:20" s="3738" customFormat="1">
      <c r="A262" s="3739"/>
      <c r="C262" s="3736"/>
      <c r="D262" s="3744"/>
      <c r="J262" s="3742"/>
      <c r="R262" s="3740"/>
      <c r="T262" s="3740"/>
    </row>
    <row r="263" spans="1:20" s="3738" customFormat="1">
      <c r="A263" s="3739"/>
      <c r="C263" s="3736"/>
      <c r="D263" s="3744"/>
      <c r="J263" s="3742"/>
      <c r="R263" s="3740"/>
      <c r="T263" s="3740"/>
    </row>
    <row r="264" spans="1:20" s="3738" customFormat="1">
      <c r="A264" s="3739"/>
      <c r="C264" s="3736"/>
      <c r="D264" s="3744"/>
      <c r="J264" s="3742"/>
      <c r="R264" s="3740"/>
      <c r="T264" s="3740"/>
    </row>
    <row r="265" spans="1:20" s="3738" customFormat="1">
      <c r="A265" s="3739"/>
      <c r="C265" s="3736"/>
      <c r="D265" s="3744"/>
      <c r="J265" s="3742"/>
      <c r="R265" s="3740"/>
      <c r="T265" s="3740"/>
    </row>
    <row r="266" spans="1:20" s="3738" customFormat="1">
      <c r="A266" s="3739"/>
      <c r="C266" s="3736"/>
      <c r="D266" s="3744"/>
      <c r="J266" s="3742"/>
      <c r="R266" s="3740"/>
      <c r="T266" s="3740"/>
    </row>
    <row r="267" spans="1:20" s="3738" customFormat="1">
      <c r="A267" s="3739"/>
      <c r="C267" s="3736"/>
      <c r="D267" s="3744"/>
      <c r="J267" s="3742"/>
      <c r="R267" s="3740"/>
      <c r="T267" s="3740"/>
    </row>
    <row r="268" spans="1:20" s="3738" customFormat="1">
      <c r="A268" s="3739"/>
      <c r="C268" s="3736"/>
      <c r="D268" s="3744"/>
      <c r="J268" s="3742"/>
      <c r="R268" s="3740"/>
      <c r="T268" s="3740"/>
    </row>
    <row r="269" spans="1:20" s="3738" customFormat="1">
      <c r="A269" s="3739"/>
      <c r="C269" s="3736"/>
      <c r="D269" s="3744"/>
      <c r="J269" s="3742"/>
      <c r="R269" s="3740"/>
      <c r="T269" s="3740"/>
    </row>
    <row r="270" spans="1:20" s="3738" customFormat="1">
      <c r="A270" s="3739"/>
      <c r="C270" s="3736"/>
      <c r="D270" s="3744"/>
      <c r="J270" s="3742"/>
      <c r="R270" s="3740"/>
      <c r="T270" s="3740"/>
    </row>
    <row r="271" spans="1:20" s="3738" customFormat="1">
      <c r="A271" s="3739"/>
      <c r="C271" s="3736"/>
      <c r="D271" s="3744"/>
      <c r="J271" s="3742"/>
      <c r="R271" s="3740"/>
      <c r="T271" s="3740"/>
    </row>
    <row r="272" spans="1:20" s="3738" customFormat="1">
      <c r="A272" s="3739"/>
      <c r="C272" s="3736"/>
      <c r="D272" s="3744"/>
      <c r="J272" s="3742"/>
      <c r="R272" s="3740"/>
      <c r="T272" s="3740"/>
    </row>
    <row r="273" spans="1:20" s="3738" customFormat="1">
      <c r="A273" s="3739"/>
      <c r="C273" s="3736"/>
      <c r="D273" s="3744"/>
      <c r="J273" s="3742"/>
      <c r="R273" s="3740"/>
      <c r="T273" s="3740"/>
    </row>
    <row r="274" spans="1:20" s="3738" customFormat="1">
      <c r="A274" s="3739"/>
      <c r="C274" s="3736"/>
      <c r="D274" s="3744"/>
      <c r="J274" s="3742"/>
      <c r="R274" s="3740"/>
      <c r="T274" s="3740"/>
    </row>
    <row r="275" spans="1:20" s="3738" customFormat="1">
      <c r="A275" s="3739"/>
      <c r="C275" s="3736"/>
      <c r="D275" s="3744"/>
      <c r="J275" s="3742"/>
      <c r="R275" s="3740"/>
      <c r="T275" s="3740"/>
    </row>
    <row r="276" spans="1:20" s="3738" customFormat="1">
      <c r="A276" s="3739"/>
      <c r="C276" s="3736"/>
      <c r="D276" s="3744"/>
      <c r="J276" s="3742"/>
      <c r="R276" s="3740"/>
      <c r="T276" s="3740"/>
    </row>
    <row r="277" spans="1:20" s="3738" customFormat="1">
      <c r="A277" s="3739"/>
      <c r="C277" s="3736"/>
      <c r="D277" s="3744"/>
      <c r="J277" s="3742"/>
      <c r="R277" s="3740"/>
      <c r="T277" s="3740"/>
    </row>
    <row r="278" spans="1:20" s="3738" customFormat="1">
      <c r="A278" s="3739"/>
      <c r="C278" s="3736"/>
      <c r="D278" s="3744"/>
      <c r="J278" s="3742"/>
      <c r="R278" s="3740"/>
      <c r="T278" s="3740"/>
    </row>
    <row r="279" spans="1:20" s="3738" customFormat="1">
      <c r="A279" s="3739"/>
      <c r="C279" s="3736"/>
      <c r="D279" s="3744"/>
      <c r="J279" s="3742"/>
      <c r="R279" s="3740"/>
      <c r="T279" s="3740"/>
    </row>
    <row r="280" spans="1:20" s="3738" customFormat="1">
      <c r="A280" s="3739"/>
      <c r="C280" s="3736"/>
      <c r="D280" s="3744"/>
      <c r="J280" s="3742"/>
      <c r="R280" s="3740"/>
      <c r="T280" s="3740"/>
    </row>
    <row r="281" spans="1:20" s="3738" customFormat="1">
      <c r="A281" s="3739"/>
      <c r="C281" s="3736"/>
      <c r="D281" s="3744"/>
      <c r="J281" s="3742"/>
      <c r="R281" s="3740"/>
      <c r="T281" s="3740"/>
    </row>
    <row r="282" spans="1:20" s="3738" customFormat="1">
      <c r="A282" s="3739"/>
      <c r="C282" s="3736"/>
      <c r="D282" s="3744"/>
      <c r="J282" s="3742"/>
      <c r="R282" s="3740"/>
      <c r="T282" s="3740"/>
    </row>
    <row r="283" spans="1:20" s="3738" customFormat="1">
      <c r="A283" s="3739"/>
      <c r="C283" s="3736"/>
      <c r="D283" s="3744"/>
      <c r="J283" s="3742"/>
      <c r="R283" s="3740"/>
      <c r="T283" s="3740"/>
    </row>
    <row r="284" spans="1:20" s="3738" customFormat="1">
      <c r="A284" s="3739"/>
      <c r="C284" s="3736"/>
      <c r="D284" s="3744"/>
      <c r="J284" s="3742"/>
      <c r="R284" s="3740"/>
      <c r="T284" s="3740"/>
    </row>
    <row r="285" spans="1:20" s="3738" customFormat="1">
      <c r="A285" s="3739"/>
      <c r="C285" s="3736"/>
      <c r="D285" s="3744"/>
      <c r="J285" s="3742"/>
      <c r="R285" s="3740"/>
      <c r="T285" s="3740"/>
    </row>
    <row r="286" spans="1:20" s="3738" customFormat="1">
      <c r="A286" s="3739"/>
      <c r="C286" s="3736"/>
      <c r="D286" s="3744"/>
      <c r="J286" s="3742"/>
      <c r="R286" s="3740"/>
      <c r="T286" s="3740"/>
    </row>
    <row r="287" spans="1:20" s="3738" customFormat="1">
      <c r="A287" s="3739"/>
      <c r="C287" s="3736"/>
      <c r="D287" s="3744"/>
      <c r="J287" s="3742"/>
      <c r="R287" s="3740"/>
      <c r="T287" s="3740"/>
    </row>
    <row r="288" spans="1:20" s="3738" customFormat="1">
      <c r="A288" s="3739"/>
      <c r="C288" s="3736"/>
      <c r="D288" s="3744"/>
      <c r="J288" s="3742"/>
      <c r="R288" s="3740"/>
      <c r="T288" s="3740"/>
    </row>
    <row r="289" spans="1:20" s="3738" customFormat="1">
      <c r="A289" s="3739"/>
      <c r="C289" s="3736"/>
      <c r="D289" s="3744"/>
      <c r="J289" s="3742"/>
      <c r="R289" s="3740"/>
      <c r="T289" s="3740"/>
    </row>
    <row r="290" spans="1:20" s="3738" customFormat="1">
      <c r="A290" s="3739"/>
      <c r="C290" s="3736"/>
      <c r="D290" s="3744"/>
      <c r="J290" s="3742"/>
      <c r="R290" s="3740"/>
      <c r="T290" s="3740"/>
    </row>
    <row r="291" spans="1:20" s="3738" customFormat="1">
      <c r="A291" s="3739"/>
      <c r="C291" s="3736"/>
      <c r="D291" s="3744"/>
      <c r="J291" s="3742"/>
      <c r="R291" s="3740"/>
      <c r="T291" s="3740"/>
    </row>
    <row r="292" spans="1:20" s="3738" customFormat="1">
      <c r="A292" s="3739"/>
      <c r="C292" s="3736"/>
      <c r="D292" s="3744"/>
      <c r="J292" s="3742"/>
      <c r="R292" s="3740"/>
      <c r="T292" s="3740"/>
    </row>
    <row r="293" spans="1:20" s="3738" customFormat="1">
      <c r="A293" s="3739"/>
      <c r="C293" s="3736"/>
      <c r="D293" s="3744"/>
      <c r="J293" s="3742"/>
      <c r="R293" s="3740"/>
      <c r="T293" s="3740"/>
    </row>
    <row r="294" spans="1:20" s="3738" customFormat="1">
      <c r="A294" s="3739"/>
      <c r="C294" s="3736"/>
      <c r="D294" s="3744"/>
      <c r="J294" s="3742"/>
      <c r="R294" s="3740"/>
      <c r="T294" s="3740"/>
    </row>
    <row r="295" spans="1:20" s="3738" customFormat="1">
      <c r="A295" s="3739"/>
      <c r="C295" s="3736"/>
      <c r="D295" s="3744"/>
      <c r="J295" s="3742"/>
      <c r="R295" s="3740"/>
      <c r="T295" s="3740"/>
    </row>
    <row r="296" spans="1:20" s="3738" customFormat="1">
      <c r="A296" s="3739"/>
      <c r="C296" s="3736"/>
      <c r="D296" s="3744"/>
      <c r="J296" s="3742"/>
      <c r="R296" s="3740"/>
      <c r="T296" s="3740"/>
    </row>
    <row r="297" spans="1:20" s="3738" customFormat="1">
      <c r="A297" s="3739"/>
      <c r="C297" s="3736"/>
      <c r="D297" s="3744"/>
      <c r="J297" s="3742"/>
      <c r="R297" s="3740"/>
      <c r="T297" s="3740"/>
    </row>
    <row r="298" spans="1:20" s="3738" customFormat="1">
      <c r="A298" s="3739"/>
      <c r="C298" s="3736"/>
      <c r="D298" s="3744"/>
      <c r="J298" s="3742"/>
      <c r="R298" s="3740"/>
      <c r="T298" s="3740"/>
    </row>
    <row r="299" spans="1:20" s="3738" customFormat="1">
      <c r="A299" s="3739"/>
      <c r="C299" s="3736"/>
      <c r="D299" s="3744"/>
      <c r="J299" s="3742"/>
      <c r="R299" s="3740"/>
      <c r="T299" s="3740"/>
    </row>
    <row r="300" spans="1:20" s="3738" customFormat="1">
      <c r="A300" s="3739"/>
      <c r="C300" s="3736"/>
      <c r="D300" s="3744"/>
      <c r="J300" s="3742"/>
      <c r="R300" s="3740"/>
      <c r="T300" s="3740"/>
    </row>
    <row r="301" spans="1:20" s="3738" customFormat="1">
      <c r="A301" s="3739"/>
      <c r="C301" s="3736"/>
      <c r="D301" s="3744"/>
      <c r="J301" s="3742"/>
      <c r="R301" s="3740"/>
      <c r="T301" s="3740"/>
    </row>
    <row r="302" spans="1:20" s="3738" customFormat="1">
      <c r="A302" s="3739"/>
      <c r="C302" s="3736"/>
      <c r="D302" s="3744"/>
      <c r="J302" s="3742"/>
      <c r="R302" s="3740"/>
      <c r="T302" s="3740"/>
    </row>
    <row r="303" spans="1:20" s="3738" customFormat="1">
      <c r="A303" s="3739"/>
      <c r="C303" s="3736"/>
      <c r="D303" s="3744"/>
      <c r="J303" s="3742"/>
      <c r="R303" s="3740"/>
      <c r="T303" s="3740"/>
    </row>
    <row r="304" spans="1:20" s="3738" customFormat="1">
      <c r="A304" s="3739"/>
      <c r="C304" s="3736"/>
      <c r="D304" s="3744"/>
      <c r="J304" s="3742"/>
      <c r="R304" s="3740"/>
      <c r="T304" s="3740"/>
    </row>
    <row r="305" spans="1:20" s="3738" customFormat="1">
      <c r="A305" s="3739"/>
      <c r="C305" s="3736"/>
      <c r="D305" s="3744"/>
      <c r="J305" s="3742"/>
      <c r="R305" s="3740"/>
      <c r="T305" s="3740"/>
    </row>
    <row r="306" spans="1:20" s="3738" customFormat="1">
      <c r="A306" s="3739"/>
      <c r="C306" s="3736"/>
      <c r="D306" s="3744"/>
      <c r="J306" s="3742"/>
      <c r="R306" s="3740"/>
      <c r="T306" s="3740"/>
    </row>
    <row r="307" spans="1:20" s="3738" customFormat="1">
      <c r="A307" s="3739"/>
      <c r="C307" s="3736"/>
      <c r="D307" s="3744"/>
      <c r="J307" s="3742"/>
      <c r="R307" s="3740"/>
      <c r="T307" s="3740"/>
    </row>
    <row r="308" spans="1:20" s="3738" customFormat="1">
      <c r="A308" s="3739"/>
      <c r="C308" s="3736"/>
      <c r="D308" s="3744"/>
      <c r="J308" s="3742"/>
      <c r="R308" s="3740"/>
      <c r="T308" s="3740"/>
    </row>
    <row r="309" spans="1:20" s="3738" customFormat="1">
      <c r="A309" s="3739"/>
      <c r="C309" s="3736"/>
      <c r="D309" s="3744"/>
      <c r="J309" s="3742"/>
      <c r="R309" s="3740"/>
      <c r="T309" s="3740"/>
    </row>
    <row r="310" spans="1:20" s="3738" customFormat="1">
      <c r="A310" s="3739"/>
      <c r="C310" s="3736"/>
      <c r="D310" s="3744"/>
      <c r="J310" s="3742"/>
      <c r="R310" s="3740"/>
      <c r="T310" s="3740"/>
    </row>
    <row r="311" spans="1:20" s="3738" customFormat="1">
      <c r="A311" s="3739"/>
      <c r="C311" s="3736"/>
      <c r="D311" s="3744"/>
      <c r="J311" s="3742"/>
      <c r="R311" s="3740"/>
      <c r="T311" s="3740"/>
    </row>
    <row r="312" spans="1:20" s="3738" customFormat="1">
      <c r="A312" s="3739"/>
      <c r="C312" s="3736"/>
      <c r="D312" s="3744"/>
      <c r="J312" s="3742"/>
      <c r="R312" s="3740"/>
      <c r="T312" s="3740"/>
    </row>
    <row r="313" spans="1:20" s="3738" customFormat="1">
      <c r="A313" s="3739"/>
      <c r="C313" s="3736"/>
      <c r="D313" s="3744"/>
      <c r="J313" s="3742"/>
      <c r="R313" s="3740"/>
      <c r="T313" s="3740"/>
    </row>
    <row r="314" spans="1:20" s="3738" customFormat="1">
      <c r="A314" s="3739"/>
      <c r="C314" s="3736"/>
      <c r="D314" s="3744"/>
      <c r="J314" s="3742"/>
      <c r="R314" s="3740"/>
      <c r="T314" s="3740"/>
    </row>
    <row r="315" spans="1:20" s="3738" customFormat="1">
      <c r="A315" s="3739"/>
      <c r="C315" s="3736"/>
      <c r="D315" s="3744"/>
      <c r="J315" s="3742"/>
      <c r="R315" s="3740"/>
      <c r="T315" s="3740"/>
    </row>
    <row r="316" spans="1:20" s="3738" customFormat="1">
      <c r="A316" s="3739"/>
      <c r="C316" s="3736"/>
      <c r="D316" s="3744"/>
      <c r="J316" s="3742"/>
      <c r="R316" s="3740"/>
      <c r="T316" s="3740"/>
    </row>
    <row r="317" spans="1:20" s="3738" customFormat="1">
      <c r="A317" s="3739"/>
      <c r="C317" s="3736"/>
      <c r="D317" s="3744"/>
      <c r="J317" s="3742"/>
      <c r="R317" s="3740"/>
      <c r="T317" s="3740"/>
    </row>
    <row r="318" spans="1:20" s="3738" customFormat="1">
      <c r="A318" s="3739"/>
      <c r="C318" s="3736"/>
      <c r="D318" s="3744"/>
      <c r="J318" s="3742"/>
      <c r="R318" s="3740"/>
      <c r="T318" s="3740"/>
    </row>
    <row r="319" spans="1:20" s="3738" customFormat="1">
      <c r="A319" s="3739"/>
      <c r="C319" s="3736"/>
      <c r="D319" s="3744"/>
      <c r="J319" s="3742"/>
      <c r="R319" s="3740"/>
      <c r="T319" s="3740"/>
    </row>
    <row r="320" spans="1:20" s="3738" customFormat="1">
      <c r="A320" s="3739"/>
      <c r="C320" s="3736"/>
      <c r="D320" s="3744"/>
      <c r="J320" s="3742"/>
      <c r="R320" s="3740"/>
      <c r="T320" s="3740"/>
    </row>
    <row r="321" spans="1:20" s="3738" customFormat="1">
      <c r="A321" s="3739"/>
      <c r="C321" s="3736"/>
      <c r="D321" s="3744"/>
      <c r="J321" s="3742"/>
      <c r="R321" s="3740"/>
      <c r="T321" s="3740"/>
    </row>
    <row r="322" spans="1:20" s="3738" customFormat="1">
      <c r="A322" s="3739"/>
      <c r="C322" s="3736"/>
      <c r="D322" s="3744"/>
      <c r="J322" s="3742"/>
      <c r="R322" s="3740"/>
      <c r="T322" s="3740"/>
    </row>
    <row r="323" spans="1:20" s="3738" customFormat="1">
      <c r="A323" s="3739"/>
      <c r="C323" s="3736"/>
      <c r="D323" s="3744"/>
      <c r="J323" s="3742"/>
      <c r="R323" s="3740"/>
      <c r="T323" s="3740"/>
    </row>
    <row r="324" spans="1:20" s="3738" customFormat="1">
      <c r="A324" s="3739"/>
      <c r="C324" s="3736"/>
      <c r="D324" s="3744"/>
      <c r="J324" s="3742"/>
      <c r="R324" s="3740"/>
      <c r="T324" s="3740"/>
    </row>
    <row r="325" spans="1:20" s="3738" customFormat="1">
      <c r="A325" s="3739"/>
      <c r="C325" s="3736"/>
      <c r="D325" s="3744"/>
      <c r="J325" s="3742"/>
      <c r="R325" s="3740"/>
      <c r="T325" s="3740"/>
    </row>
    <row r="326" spans="1:20" s="3738" customFormat="1">
      <c r="A326" s="3739"/>
      <c r="C326" s="3736"/>
      <c r="D326" s="3744"/>
      <c r="J326" s="3742"/>
      <c r="R326" s="3740"/>
      <c r="T326" s="3740"/>
    </row>
    <row r="327" spans="1:20" s="3738" customFormat="1">
      <c r="A327" s="3739"/>
      <c r="C327" s="3736"/>
      <c r="D327" s="3744"/>
      <c r="J327" s="3742"/>
      <c r="R327" s="3740"/>
      <c r="T327" s="3740"/>
    </row>
    <row r="328" spans="1:20" s="3738" customFormat="1">
      <c r="A328" s="3739"/>
      <c r="C328" s="3736"/>
      <c r="D328" s="3744"/>
      <c r="J328" s="3742"/>
      <c r="R328" s="3740"/>
      <c r="T328" s="3740"/>
    </row>
    <row r="329" spans="1:20" s="3738" customFormat="1">
      <c r="A329" s="3739"/>
      <c r="C329" s="3736"/>
      <c r="D329" s="3744"/>
      <c r="J329" s="3742"/>
      <c r="R329" s="3740"/>
      <c r="T329" s="3740"/>
    </row>
    <row r="330" spans="1:20" s="3738" customFormat="1">
      <c r="A330" s="3739"/>
      <c r="C330" s="3736"/>
      <c r="D330" s="3744"/>
      <c r="J330" s="3742"/>
      <c r="R330" s="3740"/>
      <c r="T330" s="3740"/>
    </row>
    <row r="331" spans="1:20" s="3738" customFormat="1">
      <c r="A331" s="3739"/>
      <c r="C331" s="3736"/>
      <c r="D331" s="3744"/>
      <c r="J331" s="3742"/>
      <c r="R331" s="3740"/>
      <c r="T331" s="3740"/>
    </row>
    <row r="332" spans="1:20" s="3738" customFormat="1">
      <c r="A332" s="3739"/>
      <c r="C332" s="3736"/>
      <c r="D332" s="3744"/>
      <c r="J332" s="3742"/>
      <c r="R332" s="3740"/>
      <c r="T332" s="3740"/>
    </row>
    <row r="333" spans="1:20" s="3738" customFormat="1">
      <c r="A333" s="3739"/>
      <c r="C333" s="3736"/>
      <c r="D333" s="3744"/>
      <c r="J333" s="3742"/>
      <c r="R333" s="3740"/>
      <c r="T333" s="3740"/>
    </row>
    <row r="334" spans="1:20" s="3738" customFormat="1">
      <c r="A334" s="3739"/>
      <c r="C334" s="3736"/>
      <c r="D334" s="3744"/>
      <c r="J334" s="3742"/>
      <c r="R334" s="3740"/>
      <c r="T334" s="3740"/>
    </row>
    <row r="335" spans="1:20" s="3738" customFormat="1">
      <c r="A335" s="3739"/>
      <c r="C335" s="3736"/>
      <c r="D335" s="3744"/>
      <c r="J335" s="3742"/>
      <c r="R335" s="3740"/>
      <c r="T335" s="3740"/>
    </row>
    <row r="336" spans="1:20" s="3738" customFormat="1">
      <c r="A336" s="3739"/>
      <c r="C336" s="3736"/>
      <c r="D336" s="3744"/>
      <c r="J336" s="3742"/>
      <c r="R336" s="3740"/>
      <c r="T336" s="3740"/>
    </row>
    <row r="337" spans="1:20" s="3738" customFormat="1">
      <c r="A337" s="3739"/>
      <c r="C337" s="3736"/>
      <c r="D337" s="3744"/>
      <c r="J337" s="3742"/>
      <c r="R337" s="3740"/>
      <c r="T337" s="3740"/>
    </row>
    <row r="338" spans="1:20" s="3738" customFormat="1">
      <c r="A338" s="3739"/>
      <c r="C338" s="3736"/>
      <c r="D338" s="3744"/>
      <c r="J338" s="3742"/>
      <c r="R338" s="3740"/>
      <c r="T338" s="3740"/>
    </row>
    <row r="339" spans="1:20" s="3738" customFormat="1">
      <c r="A339" s="3739"/>
      <c r="C339" s="3736"/>
      <c r="D339" s="3744"/>
      <c r="J339" s="3742"/>
      <c r="R339" s="3740"/>
      <c r="T339" s="3740"/>
    </row>
    <row r="340" spans="1:20" s="3738" customFormat="1">
      <c r="A340" s="3739"/>
      <c r="C340" s="3736"/>
      <c r="D340" s="3744"/>
      <c r="J340" s="3742"/>
      <c r="R340" s="3740"/>
      <c r="T340" s="3740"/>
    </row>
    <row r="341" spans="1:20" s="3738" customFormat="1">
      <c r="A341" s="3739"/>
      <c r="C341" s="3736"/>
      <c r="D341" s="3744"/>
      <c r="J341" s="3742"/>
      <c r="R341" s="3740"/>
      <c r="T341" s="3740"/>
    </row>
    <row r="342" spans="1:20" s="3738" customFormat="1">
      <c r="A342" s="3739"/>
      <c r="C342" s="3736"/>
      <c r="D342" s="3744"/>
      <c r="J342" s="3742"/>
      <c r="R342" s="3740"/>
      <c r="T342" s="3740"/>
    </row>
    <row r="343" spans="1:20" s="3738" customFormat="1">
      <c r="A343" s="3739"/>
      <c r="C343" s="3736"/>
      <c r="D343" s="3744"/>
      <c r="J343" s="3742"/>
      <c r="R343" s="3740"/>
      <c r="T343" s="3740"/>
    </row>
    <row r="344" spans="1:20" s="3738" customFormat="1">
      <c r="A344" s="3739"/>
      <c r="C344" s="3736"/>
      <c r="D344" s="3744"/>
      <c r="J344" s="3742"/>
      <c r="R344" s="3740"/>
      <c r="T344" s="3740"/>
    </row>
    <row r="345" spans="1:20" s="3738" customFormat="1">
      <c r="A345" s="3739"/>
      <c r="C345" s="3736"/>
      <c r="D345" s="3744"/>
      <c r="J345" s="3742"/>
      <c r="R345" s="3740"/>
      <c r="T345" s="3740"/>
    </row>
    <row r="346" spans="1:20" s="3738" customFormat="1">
      <c r="A346" s="3739"/>
      <c r="C346" s="3736"/>
      <c r="D346" s="3744"/>
      <c r="J346" s="3742"/>
      <c r="R346" s="3740"/>
      <c r="T346" s="3740"/>
    </row>
    <row r="347" spans="1:20" s="3738" customFormat="1">
      <c r="A347" s="3739"/>
      <c r="C347" s="3736"/>
      <c r="D347" s="3744"/>
      <c r="J347" s="3742"/>
      <c r="R347" s="3740"/>
      <c r="T347" s="3740"/>
    </row>
    <row r="348" spans="1:20" s="3738" customFormat="1">
      <c r="A348" s="3739"/>
      <c r="C348" s="3736"/>
      <c r="D348" s="3744"/>
      <c r="J348" s="3742"/>
      <c r="R348" s="3740"/>
      <c r="T348" s="3740"/>
    </row>
    <row r="349" spans="1:20" s="3738" customFormat="1">
      <c r="A349" s="3739"/>
      <c r="C349" s="3736"/>
      <c r="D349" s="3744"/>
      <c r="J349" s="3742"/>
      <c r="R349" s="3740"/>
      <c r="T349" s="3740"/>
    </row>
    <row r="350" spans="1:20" s="3738" customFormat="1">
      <c r="A350" s="3739"/>
      <c r="C350" s="3736"/>
      <c r="D350" s="3744"/>
      <c r="J350" s="3742"/>
      <c r="R350" s="3740"/>
      <c r="T350" s="3740"/>
    </row>
    <row r="351" spans="1:20" s="3738" customFormat="1">
      <c r="A351" s="3739"/>
      <c r="C351" s="3736"/>
      <c r="D351" s="3744"/>
      <c r="J351" s="3742"/>
      <c r="R351" s="3740"/>
      <c r="T351" s="3740"/>
    </row>
    <row r="352" spans="1:20" s="3738" customFormat="1">
      <c r="A352" s="3739"/>
      <c r="C352" s="3736"/>
      <c r="D352" s="3744"/>
      <c r="J352" s="3742"/>
      <c r="R352" s="3740"/>
      <c r="T352" s="3740"/>
    </row>
    <row r="353" spans="1:20" s="3738" customFormat="1">
      <c r="A353" s="3739"/>
      <c r="C353" s="3736"/>
      <c r="D353" s="3744"/>
      <c r="J353" s="3742"/>
      <c r="R353" s="3740"/>
      <c r="T353" s="3740"/>
    </row>
    <row r="354" spans="1:20" s="3738" customFormat="1">
      <c r="A354" s="3739"/>
      <c r="C354" s="3736"/>
      <c r="D354" s="3744"/>
      <c r="J354" s="3742"/>
      <c r="R354" s="3740"/>
      <c r="T354" s="3740"/>
    </row>
    <row r="355" spans="1:20" s="3738" customFormat="1">
      <c r="A355" s="3739"/>
      <c r="C355" s="3736"/>
      <c r="D355" s="3744"/>
      <c r="J355" s="3742"/>
      <c r="R355" s="3740"/>
      <c r="T355" s="3740"/>
    </row>
    <row r="356" spans="1:20" s="3738" customFormat="1">
      <c r="A356" s="3739"/>
      <c r="C356" s="3736"/>
      <c r="D356" s="3744"/>
      <c r="J356" s="3742"/>
      <c r="R356" s="3740"/>
      <c r="T356" s="3740"/>
    </row>
    <row r="357" spans="1:20" s="3738" customFormat="1">
      <c r="A357" s="3739"/>
      <c r="C357" s="3736"/>
      <c r="D357" s="3744"/>
      <c r="J357" s="3742"/>
      <c r="R357" s="3740"/>
      <c r="T357" s="3740"/>
    </row>
    <row r="358" spans="1:20" s="3738" customFormat="1">
      <c r="A358" s="3739"/>
      <c r="C358" s="3736"/>
      <c r="D358" s="3744"/>
      <c r="J358" s="3742"/>
      <c r="R358" s="3740"/>
      <c r="T358" s="3740"/>
    </row>
    <row r="359" spans="1:20" s="3738" customFormat="1">
      <c r="A359" s="3739"/>
      <c r="C359" s="3736"/>
      <c r="D359" s="3744"/>
      <c r="J359" s="3742"/>
      <c r="R359" s="3740"/>
      <c r="T359" s="3740"/>
    </row>
    <row r="360" spans="1:20" s="3738" customFormat="1">
      <c r="A360" s="3739"/>
      <c r="C360" s="3736"/>
      <c r="D360" s="3744"/>
      <c r="J360" s="3742"/>
      <c r="R360" s="3740"/>
      <c r="T360" s="3740"/>
    </row>
    <row r="361" spans="1:20" s="3738" customFormat="1">
      <c r="A361" s="3739"/>
      <c r="C361" s="3736"/>
      <c r="D361" s="3744"/>
      <c r="J361" s="3742"/>
      <c r="R361" s="3740"/>
      <c r="T361" s="3740"/>
    </row>
    <row r="362" spans="1:20" s="3738" customFormat="1">
      <c r="A362" s="3739"/>
      <c r="C362" s="3736"/>
      <c r="D362" s="3744"/>
      <c r="J362" s="3742"/>
      <c r="R362" s="3740"/>
      <c r="T362" s="3740"/>
    </row>
    <row r="363" spans="1:20" s="3738" customFormat="1">
      <c r="A363" s="3739"/>
      <c r="C363" s="3736"/>
      <c r="D363" s="3744"/>
      <c r="J363" s="3742"/>
      <c r="R363" s="3740"/>
      <c r="T363" s="3740"/>
    </row>
    <row r="364" spans="1:20" s="3738" customFormat="1">
      <c r="A364" s="3739"/>
      <c r="C364" s="3736"/>
      <c r="D364" s="3744"/>
      <c r="J364" s="3742"/>
      <c r="R364" s="3740"/>
      <c r="T364" s="3740"/>
    </row>
    <row r="365" spans="1:20" s="3738" customFormat="1">
      <c r="A365" s="3739"/>
      <c r="C365" s="3736"/>
      <c r="D365" s="3744"/>
      <c r="J365" s="3742"/>
      <c r="R365" s="3740"/>
      <c r="T365" s="3740"/>
    </row>
    <row r="366" spans="1:20" s="3738" customFormat="1">
      <c r="A366" s="3739"/>
      <c r="C366" s="3736"/>
      <c r="D366" s="3744"/>
      <c r="J366" s="3742"/>
      <c r="R366" s="3740"/>
      <c r="T366" s="3740"/>
    </row>
    <row r="367" spans="1:20" s="3738" customFormat="1">
      <c r="A367" s="3739"/>
      <c r="C367" s="3736"/>
      <c r="D367" s="3744"/>
      <c r="J367" s="3742"/>
      <c r="R367" s="3740"/>
      <c r="T367" s="3740"/>
    </row>
    <row r="368" spans="1:20" s="3738" customFormat="1">
      <c r="A368" s="3739"/>
      <c r="C368" s="3736"/>
      <c r="D368" s="3744"/>
      <c r="J368" s="3742"/>
      <c r="R368" s="3740"/>
      <c r="T368" s="3740"/>
    </row>
    <row r="369" spans="1:20" s="3738" customFormat="1">
      <c r="A369" s="3739"/>
      <c r="C369" s="3736"/>
      <c r="D369" s="3744"/>
      <c r="J369" s="3742"/>
      <c r="R369" s="3740"/>
      <c r="T369" s="3740"/>
    </row>
    <row r="370" spans="1:20" s="3738" customFormat="1">
      <c r="A370" s="3739"/>
      <c r="C370" s="3736"/>
      <c r="D370" s="3744"/>
      <c r="J370" s="3742"/>
      <c r="R370" s="3740"/>
      <c r="T370" s="3740"/>
    </row>
    <row r="371" spans="1:20" s="3738" customFormat="1">
      <c r="A371" s="3739"/>
      <c r="C371" s="3736"/>
      <c r="D371" s="3744"/>
      <c r="J371" s="3742"/>
      <c r="R371" s="3740"/>
      <c r="T371" s="3740"/>
    </row>
    <row r="372" spans="1:20" s="3738" customFormat="1">
      <c r="A372" s="3739"/>
      <c r="C372" s="3736"/>
      <c r="D372" s="3744"/>
      <c r="J372" s="3742"/>
      <c r="R372" s="3740"/>
      <c r="T372" s="3740"/>
    </row>
    <row r="373" spans="1:20" s="3738" customFormat="1">
      <c r="A373" s="3739"/>
      <c r="C373" s="3736"/>
      <c r="D373" s="3744"/>
      <c r="J373" s="3742"/>
      <c r="R373" s="3740"/>
      <c r="T373" s="3740"/>
    </row>
    <row r="374" spans="1:20" s="3738" customFormat="1">
      <c r="A374" s="3739"/>
      <c r="C374" s="3736"/>
      <c r="D374" s="3744"/>
      <c r="J374" s="3742"/>
      <c r="R374" s="3740"/>
      <c r="T374" s="3740"/>
    </row>
    <row r="375" spans="1:20" s="3738" customFormat="1">
      <c r="A375" s="3739"/>
      <c r="C375" s="3736"/>
      <c r="D375" s="3744"/>
      <c r="J375" s="3742"/>
      <c r="R375" s="3740"/>
      <c r="T375" s="3740"/>
    </row>
    <row r="376" spans="1:20" s="3738" customFormat="1">
      <c r="A376" s="3739"/>
      <c r="C376" s="3736"/>
      <c r="D376" s="3744"/>
      <c r="J376" s="3742"/>
      <c r="R376" s="3740"/>
      <c r="T376" s="3740"/>
    </row>
    <row r="377" spans="1:20" s="3738" customFormat="1">
      <c r="A377" s="3739"/>
      <c r="C377" s="3736"/>
      <c r="D377" s="3744"/>
      <c r="J377" s="3742"/>
      <c r="R377" s="3740"/>
      <c r="T377" s="3740"/>
    </row>
    <row r="378" spans="1:20" s="3738" customFormat="1">
      <c r="A378" s="3739"/>
      <c r="C378" s="3736"/>
      <c r="D378" s="3744"/>
      <c r="J378" s="3742"/>
      <c r="R378" s="3740"/>
      <c r="T378" s="3740"/>
    </row>
    <row r="379" spans="1:20" s="3738" customFormat="1">
      <c r="A379" s="3739"/>
      <c r="C379" s="3736"/>
      <c r="D379" s="3744"/>
      <c r="J379" s="3742"/>
      <c r="R379" s="3740"/>
      <c r="T379" s="3740"/>
    </row>
    <row r="380" spans="1:20" s="3738" customFormat="1">
      <c r="A380" s="3739"/>
      <c r="C380" s="3736"/>
      <c r="D380" s="3744"/>
      <c r="J380" s="3742"/>
      <c r="R380" s="3740"/>
      <c r="T380" s="3740"/>
    </row>
    <row r="381" spans="1:20" s="3738" customFormat="1">
      <c r="A381" s="3739"/>
      <c r="C381" s="3736"/>
      <c r="D381" s="3744"/>
      <c r="J381" s="3742"/>
      <c r="R381" s="3740"/>
      <c r="T381" s="3740"/>
    </row>
    <row r="382" spans="1:20" s="3738" customFormat="1">
      <c r="A382" s="3739"/>
      <c r="C382" s="3736"/>
      <c r="D382" s="3744"/>
      <c r="J382" s="3742"/>
      <c r="R382" s="3740"/>
      <c r="T382" s="3740"/>
    </row>
    <row r="383" spans="1:20" s="3738" customFormat="1">
      <c r="A383" s="3739"/>
      <c r="C383" s="3736"/>
      <c r="D383" s="3744"/>
      <c r="J383" s="3742"/>
      <c r="R383" s="3740"/>
      <c r="T383" s="3740"/>
    </row>
    <row r="384" spans="1:20" s="3738" customFormat="1">
      <c r="A384" s="3739"/>
      <c r="C384" s="3736"/>
      <c r="D384" s="3744"/>
      <c r="J384" s="3742"/>
      <c r="R384" s="3740"/>
      <c r="T384" s="3740"/>
    </row>
    <row r="385" spans="1:20" s="3738" customFormat="1">
      <c r="A385" s="3739"/>
      <c r="C385" s="3736"/>
      <c r="D385" s="3744"/>
      <c r="J385" s="3742"/>
      <c r="R385" s="3740"/>
      <c r="T385" s="3740"/>
    </row>
    <row r="386" spans="1:20" s="3738" customFormat="1">
      <c r="A386" s="3739"/>
      <c r="C386" s="3736"/>
      <c r="D386" s="3744"/>
      <c r="J386" s="3742"/>
      <c r="R386" s="3740"/>
      <c r="T386" s="3740"/>
    </row>
    <row r="387" spans="1:20" s="3738" customFormat="1">
      <c r="A387" s="3739"/>
      <c r="C387" s="3736"/>
      <c r="D387" s="3744"/>
      <c r="J387" s="3742"/>
      <c r="R387" s="3740"/>
      <c r="T387" s="3740"/>
    </row>
    <row r="388" spans="1:20" s="3738" customFormat="1">
      <c r="A388" s="3739"/>
      <c r="C388" s="3736"/>
      <c r="D388" s="3744"/>
      <c r="J388" s="3742"/>
      <c r="R388" s="3740"/>
      <c r="T388" s="3740"/>
    </row>
    <row r="389" spans="1:20" s="3738" customFormat="1">
      <c r="A389" s="3739"/>
      <c r="C389" s="3736"/>
      <c r="D389" s="3744"/>
      <c r="J389" s="3742"/>
      <c r="R389" s="3740"/>
      <c r="T389" s="3740"/>
    </row>
    <row r="390" spans="1:20" s="3738" customFormat="1">
      <c r="A390" s="3739"/>
      <c r="C390" s="3736"/>
      <c r="D390" s="3744"/>
      <c r="J390" s="3742"/>
      <c r="R390" s="3740"/>
      <c r="T390" s="3740"/>
    </row>
    <row r="391" spans="1:20" s="3738" customFormat="1">
      <c r="A391" s="3739"/>
      <c r="C391" s="3736"/>
      <c r="D391" s="3744"/>
      <c r="J391" s="3742"/>
      <c r="R391" s="3740"/>
      <c r="T391" s="3740"/>
    </row>
    <row r="392" spans="1:20" s="3738" customFormat="1">
      <c r="A392" s="3739"/>
      <c r="C392" s="3736"/>
      <c r="D392" s="3744"/>
      <c r="J392" s="3742"/>
      <c r="R392" s="3740"/>
      <c r="T392" s="3740"/>
    </row>
    <row r="393" spans="1:20" s="3738" customFormat="1">
      <c r="A393" s="3739"/>
      <c r="C393" s="3736"/>
      <c r="D393" s="3744"/>
      <c r="J393" s="3742"/>
      <c r="R393" s="3740"/>
      <c r="T393" s="3740"/>
    </row>
    <row r="394" spans="1:20" s="3738" customFormat="1">
      <c r="A394" s="3739"/>
      <c r="C394" s="3736"/>
      <c r="D394" s="3744"/>
      <c r="J394" s="3742"/>
      <c r="R394" s="3740"/>
      <c r="T394" s="3740"/>
    </row>
    <row r="395" spans="1:20" s="3738" customFormat="1">
      <c r="A395" s="3739"/>
      <c r="C395" s="3736"/>
      <c r="D395" s="3744"/>
      <c r="J395" s="3742"/>
      <c r="R395" s="3740"/>
      <c r="T395" s="3740"/>
    </row>
    <row r="396" spans="1:20" s="3738" customFormat="1">
      <c r="A396" s="3739"/>
      <c r="C396" s="3736"/>
      <c r="D396" s="3744"/>
      <c r="J396" s="3742"/>
      <c r="R396" s="3740"/>
      <c r="T396" s="3740"/>
    </row>
    <row r="397" spans="1:20" s="3738" customFormat="1">
      <c r="A397" s="3739"/>
      <c r="C397" s="3736"/>
      <c r="D397" s="3744"/>
      <c r="J397" s="3742"/>
      <c r="R397" s="3740"/>
      <c r="T397" s="3740"/>
    </row>
    <row r="398" spans="1:20" s="3738" customFormat="1">
      <c r="A398" s="3739"/>
      <c r="C398" s="3736"/>
      <c r="D398" s="3744"/>
      <c r="J398" s="3742"/>
      <c r="R398" s="3740"/>
      <c r="T398" s="3740"/>
    </row>
    <row r="399" spans="1:20" s="3738" customFormat="1">
      <c r="A399" s="3739"/>
      <c r="C399" s="3736"/>
      <c r="D399" s="3744"/>
      <c r="J399" s="3742"/>
      <c r="R399" s="3740"/>
      <c r="T399" s="3740"/>
    </row>
    <row r="400" spans="1:20" s="3738" customFormat="1">
      <c r="A400" s="3739"/>
      <c r="C400" s="3736"/>
      <c r="D400" s="3744"/>
      <c r="J400" s="3742"/>
      <c r="R400" s="3740"/>
      <c r="T400" s="3740"/>
    </row>
    <row r="401" spans="1:20" s="3738" customFormat="1">
      <c r="A401" s="3739"/>
      <c r="C401" s="3736"/>
      <c r="D401" s="3744"/>
      <c r="J401" s="3742"/>
      <c r="R401" s="3740"/>
      <c r="T401" s="3740"/>
    </row>
    <row r="402" spans="1:20" s="3738" customFormat="1">
      <c r="A402" s="3739"/>
      <c r="C402" s="3736"/>
      <c r="D402" s="3744"/>
      <c r="J402" s="3742"/>
      <c r="R402" s="3740"/>
      <c r="T402" s="3740"/>
    </row>
    <row r="403" spans="1:20" s="3738" customFormat="1">
      <c r="A403" s="3739"/>
      <c r="C403" s="3736"/>
      <c r="D403" s="3744"/>
      <c r="J403" s="3742"/>
      <c r="R403" s="3740"/>
      <c r="T403" s="3740"/>
    </row>
    <row r="404" spans="1:20" s="3738" customFormat="1">
      <c r="A404" s="3739"/>
      <c r="C404" s="3736"/>
      <c r="D404" s="3744"/>
      <c r="J404" s="3742"/>
      <c r="R404" s="3740"/>
      <c r="T404" s="3740"/>
    </row>
    <row r="405" spans="1:20" s="3738" customFormat="1">
      <c r="A405" s="3739"/>
      <c r="C405" s="3736"/>
      <c r="D405" s="3744"/>
      <c r="J405" s="3742"/>
      <c r="R405" s="3740"/>
      <c r="T405" s="3740"/>
    </row>
    <row r="406" spans="1:20" s="3738" customFormat="1">
      <c r="A406" s="3739"/>
      <c r="C406" s="3736"/>
      <c r="D406" s="3744"/>
      <c r="J406" s="3742"/>
      <c r="R406" s="3740"/>
      <c r="T406" s="3740"/>
    </row>
    <row r="407" spans="1:20" s="3738" customFormat="1">
      <c r="A407" s="3739"/>
      <c r="C407" s="3737"/>
      <c r="J407" s="3742"/>
      <c r="R407" s="3740"/>
      <c r="T407" s="3740"/>
    </row>
    <row r="408" spans="1:20" s="3738" customFormat="1">
      <c r="A408" s="3739"/>
      <c r="C408" s="3737"/>
      <c r="J408" s="3742"/>
      <c r="R408" s="3740"/>
      <c r="T408" s="3740"/>
    </row>
    <row r="409" spans="1:20" s="3738" customFormat="1">
      <c r="A409" s="3739"/>
      <c r="C409" s="3737"/>
      <c r="J409" s="3742"/>
      <c r="R409" s="3740"/>
      <c r="T409" s="3740"/>
    </row>
    <row r="410" spans="1:20" s="3738" customFormat="1">
      <c r="A410" s="3739"/>
      <c r="C410" s="3737"/>
      <c r="J410" s="3742"/>
      <c r="R410" s="3740"/>
      <c r="T410" s="3740"/>
    </row>
    <row r="411" spans="1:20" s="3738" customFormat="1">
      <c r="A411" s="3739"/>
      <c r="C411" s="3737"/>
      <c r="J411" s="3742"/>
      <c r="R411" s="3740"/>
      <c r="T411" s="3740"/>
    </row>
    <row r="412" spans="1:20" s="3738" customFormat="1">
      <c r="A412" s="3739"/>
      <c r="C412" s="3737"/>
      <c r="J412" s="3742"/>
      <c r="R412" s="3740"/>
      <c r="T412" s="3740"/>
    </row>
    <row r="413" spans="1:20" s="3738" customFormat="1">
      <c r="A413" s="3739"/>
      <c r="C413" s="3737"/>
      <c r="J413" s="3742"/>
      <c r="R413" s="3740"/>
      <c r="T413" s="3740"/>
    </row>
    <row r="414" spans="1:20" s="3738" customFormat="1">
      <c r="A414" s="3739"/>
      <c r="C414" s="3737"/>
      <c r="J414" s="3742"/>
      <c r="R414" s="3740"/>
      <c r="T414" s="3740"/>
    </row>
    <row r="415" spans="1:20" s="3738" customFormat="1">
      <c r="A415" s="3739"/>
      <c r="C415" s="3737"/>
      <c r="J415" s="3742"/>
      <c r="R415" s="3740"/>
      <c r="T415" s="3740"/>
    </row>
    <row r="416" spans="1:20" s="3738" customFormat="1">
      <c r="A416" s="3739"/>
      <c r="C416" s="3737"/>
      <c r="J416" s="3742"/>
      <c r="R416" s="3740"/>
      <c r="T416" s="3740"/>
    </row>
    <row r="417" spans="1:20" s="3738" customFormat="1">
      <c r="A417" s="3739"/>
      <c r="C417" s="3737"/>
      <c r="J417" s="3742"/>
      <c r="R417" s="3740"/>
      <c r="T417" s="3740"/>
    </row>
    <row r="418" spans="1:20" s="3738" customFormat="1">
      <c r="A418" s="3739"/>
      <c r="C418" s="3737"/>
      <c r="J418" s="3742"/>
      <c r="R418" s="3740"/>
      <c r="T418" s="3740"/>
    </row>
    <row r="419" spans="1:20" s="3738" customFormat="1">
      <c r="A419" s="3739"/>
      <c r="C419" s="3737"/>
      <c r="J419" s="3742"/>
      <c r="R419" s="3740"/>
      <c r="T419" s="3740"/>
    </row>
    <row r="420" spans="1:20" s="3738" customFormat="1">
      <c r="A420" s="3739"/>
      <c r="C420" s="3737"/>
      <c r="J420" s="3742"/>
      <c r="R420" s="3740"/>
      <c r="T420" s="3740"/>
    </row>
    <row r="421" spans="1:20" s="3738" customFormat="1">
      <c r="A421" s="3739"/>
      <c r="C421" s="3737"/>
      <c r="J421" s="3742"/>
      <c r="R421" s="3740"/>
      <c r="T421" s="3740"/>
    </row>
    <row r="422" spans="1:20" s="3738" customFormat="1">
      <c r="A422" s="3739"/>
      <c r="C422" s="3737"/>
      <c r="J422" s="3742"/>
      <c r="R422" s="3740"/>
      <c r="T422" s="3740"/>
    </row>
    <row r="423" spans="1:20" s="3738" customFormat="1">
      <c r="A423" s="3739"/>
      <c r="C423" s="3737"/>
      <c r="J423" s="3742"/>
      <c r="R423" s="3740"/>
      <c r="T423" s="3740"/>
    </row>
    <row r="424" spans="1:20" s="3738" customFormat="1">
      <c r="A424" s="3739"/>
      <c r="C424" s="3737"/>
      <c r="J424" s="3742"/>
      <c r="R424" s="3740"/>
      <c r="T424" s="3740"/>
    </row>
    <row r="425" spans="1:20" s="3738" customFormat="1">
      <c r="A425" s="3739"/>
      <c r="C425" s="3737"/>
      <c r="J425" s="3742"/>
      <c r="R425" s="3740"/>
      <c r="T425" s="3740"/>
    </row>
    <row r="426" spans="1:20" s="3738" customFormat="1">
      <c r="A426" s="3739"/>
      <c r="C426" s="3737"/>
      <c r="J426" s="3742"/>
      <c r="R426" s="3740"/>
      <c r="T426" s="3740"/>
    </row>
    <row r="427" spans="1:20" s="3738" customFormat="1">
      <c r="A427" s="3739"/>
      <c r="C427" s="3737"/>
      <c r="J427" s="3742"/>
      <c r="R427" s="3740"/>
      <c r="T427" s="3740"/>
    </row>
    <row r="428" spans="1:20" s="3738" customFormat="1">
      <c r="A428" s="3739"/>
      <c r="C428" s="3737"/>
      <c r="J428" s="3742"/>
      <c r="R428" s="3740"/>
      <c r="T428" s="3740"/>
    </row>
    <row r="429" spans="1:20" s="3738" customFormat="1">
      <c r="A429" s="3739"/>
      <c r="C429" s="3737"/>
      <c r="J429" s="3742"/>
      <c r="R429" s="3740"/>
      <c r="T429" s="3740"/>
    </row>
    <row r="430" spans="1:20" s="3738" customFormat="1">
      <c r="A430" s="3739"/>
      <c r="C430" s="3737"/>
      <c r="J430" s="3742"/>
      <c r="R430" s="3740"/>
      <c r="T430" s="3740"/>
    </row>
    <row r="431" spans="1:20" s="3738" customFormat="1">
      <c r="A431" s="3739"/>
      <c r="C431" s="3737"/>
      <c r="J431" s="3742"/>
      <c r="R431" s="3740"/>
      <c r="T431" s="3740"/>
    </row>
    <row r="432" spans="1:20" s="3738" customFormat="1">
      <c r="A432" s="3739"/>
      <c r="C432" s="3737"/>
      <c r="J432" s="3742"/>
      <c r="R432" s="3740"/>
      <c r="T432" s="3740"/>
    </row>
    <row r="433" spans="1:20" s="3738" customFormat="1">
      <c r="A433" s="3739"/>
      <c r="C433" s="3737"/>
      <c r="J433" s="3742"/>
      <c r="R433" s="3740"/>
      <c r="T433" s="3740"/>
    </row>
    <row r="434" spans="1:20" s="3738" customFormat="1">
      <c r="A434" s="3739"/>
      <c r="C434" s="3737"/>
      <c r="J434" s="3742"/>
      <c r="R434" s="3740"/>
      <c r="T434" s="3740"/>
    </row>
    <row r="435" spans="1:20" s="3738" customFormat="1">
      <c r="A435" s="3739"/>
      <c r="C435" s="3737"/>
      <c r="J435" s="3742"/>
      <c r="R435" s="3740"/>
      <c r="T435" s="3740"/>
    </row>
    <row r="436" spans="1:20" s="3738" customFormat="1">
      <c r="A436" s="3739"/>
      <c r="C436" s="3737"/>
      <c r="J436" s="3742"/>
      <c r="R436" s="3740"/>
      <c r="T436" s="3740"/>
    </row>
    <row r="437" spans="1:20" s="3738" customFormat="1">
      <c r="A437" s="3739"/>
      <c r="C437" s="3737"/>
      <c r="J437" s="3742"/>
      <c r="R437" s="3740"/>
      <c r="T437" s="3740"/>
    </row>
    <row r="438" spans="1:20" s="3738" customFormat="1">
      <c r="A438" s="3739"/>
      <c r="C438" s="3737"/>
      <c r="J438" s="3742"/>
      <c r="R438" s="3740"/>
      <c r="T438" s="3740"/>
    </row>
    <row r="439" spans="1:20" s="3738" customFormat="1">
      <c r="A439" s="3739"/>
      <c r="C439" s="3737"/>
      <c r="J439" s="3742"/>
      <c r="R439" s="3740"/>
      <c r="T439" s="3740"/>
    </row>
    <row r="440" spans="1:20" s="3738" customFormat="1">
      <c r="A440" s="3739"/>
      <c r="C440" s="3737"/>
      <c r="J440" s="3742"/>
      <c r="R440" s="3740"/>
      <c r="T440" s="3740"/>
    </row>
    <row r="441" spans="1:20" s="3738" customFormat="1">
      <c r="A441" s="3739"/>
      <c r="C441" s="3737"/>
      <c r="J441" s="3742"/>
      <c r="R441" s="3740"/>
      <c r="T441" s="3740"/>
    </row>
    <row r="442" spans="1:20" s="3738" customFormat="1">
      <c r="A442" s="3739"/>
      <c r="C442" s="3737"/>
      <c r="J442" s="3742"/>
      <c r="R442" s="3740"/>
      <c r="T442" s="3740"/>
    </row>
    <row r="443" spans="1:20" s="3738" customFormat="1">
      <c r="A443" s="3739"/>
      <c r="C443" s="3737"/>
      <c r="J443" s="3742"/>
      <c r="R443" s="3740"/>
      <c r="T443" s="3740"/>
    </row>
    <row r="444" spans="1:20" s="3738" customFormat="1">
      <c r="A444" s="3739"/>
      <c r="C444" s="3737"/>
      <c r="J444" s="3742"/>
      <c r="R444" s="3740"/>
      <c r="T444" s="3740"/>
    </row>
    <row r="445" spans="1:20" s="3738" customFormat="1">
      <c r="A445" s="3739"/>
      <c r="C445" s="3737"/>
      <c r="J445" s="3742"/>
      <c r="R445" s="3740"/>
      <c r="T445" s="3740"/>
    </row>
    <row r="446" spans="1:20" s="3738" customFormat="1">
      <c r="A446" s="3739"/>
      <c r="C446" s="3737"/>
      <c r="J446" s="3742"/>
      <c r="R446" s="3740"/>
      <c r="T446" s="3740"/>
    </row>
    <row r="447" spans="1:20" s="3738" customFormat="1">
      <c r="A447" s="3739"/>
      <c r="C447" s="3737"/>
      <c r="J447" s="3742"/>
      <c r="R447" s="3740"/>
      <c r="T447" s="3740"/>
    </row>
    <row r="448" spans="1:20" s="3738" customFormat="1">
      <c r="A448" s="3739"/>
      <c r="C448" s="3737"/>
      <c r="J448" s="3742"/>
      <c r="R448" s="3740"/>
      <c r="T448" s="3740"/>
    </row>
    <row r="449" spans="1:20" s="3738" customFormat="1">
      <c r="A449" s="3739"/>
      <c r="C449" s="3737"/>
      <c r="J449" s="3742"/>
      <c r="R449" s="3740"/>
      <c r="T449" s="3740"/>
    </row>
    <row r="450" spans="1:20" s="3738" customFormat="1">
      <c r="A450" s="3739"/>
      <c r="C450" s="3737"/>
      <c r="J450" s="3742"/>
      <c r="R450" s="3740"/>
      <c r="T450" s="3740"/>
    </row>
    <row r="451" spans="1:20" s="3738" customFormat="1">
      <c r="A451" s="3739"/>
      <c r="C451" s="3737"/>
      <c r="J451" s="3742"/>
      <c r="R451" s="3740"/>
      <c r="T451" s="3740"/>
    </row>
    <row r="452" spans="1:20" s="3738" customFormat="1">
      <c r="A452" s="3739"/>
      <c r="C452" s="3737"/>
      <c r="J452" s="3742"/>
      <c r="R452" s="3740"/>
      <c r="T452" s="3740"/>
    </row>
    <row r="453" spans="1:20" s="3738" customFormat="1">
      <c r="A453" s="3739"/>
      <c r="C453" s="3737"/>
      <c r="J453" s="3742"/>
      <c r="R453" s="3740"/>
      <c r="T453" s="3740"/>
    </row>
    <row r="454" spans="1:20" s="3738" customFormat="1">
      <c r="A454" s="3739"/>
      <c r="C454" s="3737"/>
      <c r="J454" s="3742"/>
      <c r="R454" s="3740"/>
      <c r="T454" s="3740"/>
    </row>
    <row r="455" spans="1:20" s="3738" customFormat="1">
      <c r="A455" s="3739"/>
      <c r="C455" s="3737"/>
      <c r="J455" s="3742"/>
      <c r="R455" s="3740"/>
      <c r="T455" s="3740"/>
    </row>
    <row r="456" spans="1:20" s="3738" customFormat="1">
      <c r="A456" s="3739"/>
      <c r="C456" s="3737"/>
      <c r="J456" s="3742"/>
      <c r="R456" s="3740"/>
      <c r="T456" s="3740"/>
    </row>
    <row r="457" spans="1:20" s="3738" customFormat="1">
      <c r="A457" s="3739"/>
      <c r="C457" s="3737"/>
      <c r="J457" s="3742"/>
      <c r="R457" s="3740"/>
      <c r="T457" s="3740"/>
    </row>
    <row r="458" spans="1:20" s="3738" customFormat="1">
      <c r="A458" s="3739"/>
      <c r="C458" s="3737"/>
      <c r="J458" s="3742"/>
      <c r="R458" s="3740"/>
      <c r="T458" s="3740"/>
    </row>
    <row r="459" spans="1:20" s="3738" customFormat="1">
      <c r="A459" s="3739"/>
      <c r="C459" s="3737"/>
      <c r="J459" s="3742"/>
      <c r="R459" s="3740"/>
      <c r="T459" s="3740"/>
    </row>
    <row r="460" spans="1:20" s="3738" customFormat="1">
      <c r="A460" s="3739"/>
      <c r="C460" s="3737"/>
      <c r="J460" s="3742"/>
      <c r="R460" s="3740"/>
      <c r="T460" s="3740"/>
    </row>
    <row r="461" spans="1:20" s="3738" customFormat="1">
      <c r="A461" s="3739"/>
      <c r="C461" s="3737"/>
      <c r="J461" s="3742"/>
      <c r="R461" s="3740"/>
      <c r="T461" s="3740"/>
    </row>
    <row r="462" spans="1:20" s="3738" customFormat="1">
      <c r="A462" s="3739"/>
      <c r="C462" s="3737"/>
      <c r="J462" s="3742"/>
      <c r="R462" s="3740"/>
      <c r="T462" s="3740"/>
    </row>
    <row r="463" spans="1:20" s="3738" customFormat="1">
      <c r="A463" s="3739"/>
      <c r="C463" s="3737"/>
      <c r="J463" s="3742"/>
      <c r="R463" s="3740"/>
      <c r="T463" s="3740"/>
    </row>
    <row r="464" spans="1:20" s="3738" customFormat="1">
      <c r="A464" s="3739"/>
      <c r="C464" s="3737"/>
      <c r="J464" s="3742"/>
      <c r="R464" s="3740"/>
      <c r="T464" s="3740"/>
    </row>
    <row r="465" spans="1:20" s="3738" customFormat="1">
      <c r="A465" s="3739"/>
      <c r="C465" s="3737"/>
      <c r="J465" s="3742"/>
      <c r="R465" s="3740"/>
      <c r="T465" s="3740"/>
    </row>
    <row r="466" spans="1:20" s="3738" customFormat="1">
      <c r="A466" s="3739"/>
      <c r="C466" s="3737"/>
      <c r="J466" s="3742"/>
      <c r="R466" s="3740"/>
      <c r="T466" s="3740"/>
    </row>
    <row r="467" spans="1:20" s="3738" customFormat="1">
      <c r="A467" s="3739"/>
      <c r="C467" s="3737"/>
      <c r="J467" s="3742"/>
      <c r="R467" s="3740"/>
      <c r="T467" s="3740"/>
    </row>
    <row r="468" spans="1:20" s="3738" customFormat="1">
      <c r="A468" s="3739"/>
      <c r="C468" s="3737"/>
      <c r="J468" s="3742"/>
      <c r="R468" s="3740"/>
      <c r="T468" s="3740"/>
    </row>
    <row r="469" spans="1:20" s="3738" customFormat="1">
      <c r="A469" s="3739"/>
      <c r="C469" s="3737"/>
      <c r="J469" s="3742"/>
      <c r="R469" s="3740"/>
      <c r="T469" s="3740"/>
    </row>
    <row r="470" spans="1:20" s="3738" customFormat="1">
      <c r="A470" s="3739"/>
      <c r="C470" s="3737"/>
      <c r="J470" s="3742"/>
      <c r="R470" s="3740"/>
      <c r="T470" s="3740"/>
    </row>
    <row r="471" spans="1:20" s="3738" customFormat="1">
      <c r="A471" s="3739"/>
      <c r="C471" s="3737"/>
      <c r="J471" s="3742"/>
      <c r="R471" s="3740"/>
      <c r="T471" s="3740"/>
    </row>
    <row r="472" spans="1:20" s="3738" customFormat="1">
      <c r="A472" s="3739"/>
      <c r="C472" s="3737"/>
      <c r="J472" s="3742"/>
      <c r="R472" s="3740"/>
      <c r="T472" s="3740"/>
    </row>
    <row r="473" spans="1:20" s="3738" customFormat="1">
      <c r="A473" s="3739"/>
      <c r="C473" s="3737"/>
      <c r="J473" s="3742"/>
      <c r="R473" s="3740"/>
      <c r="T473" s="3740"/>
    </row>
    <row r="474" spans="1:20" s="3738" customFormat="1">
      <c r="A474" s="3739"/>
      <c r="C474" s="3737"/>
      <c r="J474" s="3742"/>
      <c r="R474" s="3740"/>
      <c r="T474" s="3740"/>
    </row>
    <row r="475" spans="1:20" s="3738" customFormat="1">
      <c r="A475" s="3739"/>
      <c r="C475" s="3737"/>
      <c r="J475" s="3742"/>
      <c r="R475" s="3740"/>
      <c r="T475" s="3740"/>
    </row>
    <row r="476" spans="1:20" s="3738" customFormat="1">
      <c r="A476" s="3739"/>
      <c r="C476" s="3737"/>
      <c r="J476" s="3742"/>
      <c r="R476" s="3740"/>
      <c r="T476" s="3740"/>
    </row>
    <row r="477" spans="1:20" s="3738" customFormat="1">
      <c r="A477" s="3739"/>
      <c r="C477" s="3737"/>
      <c r="J477" s="3742"/>
      <c r="R477" s="3740"/>
      <c r="T477" s="3740"/>
    </row>
    <row r="478" spans="1:20" s="3738" customFormat="1">
      <c r="A478" s="3739"/>
      <c r="C478" s="3737"/>
      <c r="J478" s="3742"/>
      <c r="R478" s="3740"/>
      <c r="T478" s="3740"/>
    </row>
    <row r="479" spans="1:20" s="3738" customFormat="1">
      <c r="A479" s="3739"/>
      <c r="C479" s="3737"/>
      <c r="J479" s="3742"/>
      <c r="R479" s="3740"/>
      <c r="T479" s="3740"/>
    </row>
    <row r="480" spans="1:20" s="3738" customFormat="1">
      <c r="A480" s="3739"/>
      <c r="C480" s="3737"/>
      <c r="J480" s="3742"/>
      <c r="R480" s="3740"/>
      <c r="T480" s="3740"/>
    </row>
    <row r="481" spans="1:20" s="3738" customFormat="1">
      <c r="A481" s="3739"/>
      <c r="C481" s="3737"/>
      <c r="J481" s="3742"/>
      <c r="R481" s="3740"/>
      <c r="T481" s="3740"/>
    </row>
    <row r="482" spans="1:20" s="3738" customFormat="1">
      <c r="A482" s="3739"/>
      <c r="C482" s="3737"/>
      <c r="J482" s="3742"/>
      <c r="R482" s="3740"/>
      <c r="T482" s="3740"/>
    </row>
    <row r="483" spans="1:20" s="3738" customFormat="1">
      <c r="A483" s="3739"/>
      <c r="C483" s="3737"/>
      <c r="J483" s="3742"/>
      <c r="R483" s="3740"/>
      <c r="T483" s="3740"/>
    </row>
    <row r="484" spans="1:20" s="3738" customFormat="1">
      <c r="A484" s="3739"/>
      <c r="C484" s="3737"/>
      <c r="J484" s="3742"/>
      <c r="R484" s="3740"/>
      <c r="T484" s="3740"/>
    </row>
    <row r="485" spans="1:20" s="3738" customFormat="1">
      <c r="A485" s="3739"/>
      <c r="C485" s="3737"/>
      <c r="J485" s="3742"/>
      <c r="R485" s="3740"/>
      <c r="T485" s="3740"/>
    </row>
    <row r="486" spans="1:20" s="3738" customFormat="1">
      <c r="A486" s="3739"/>
      <c r="C486" s="3737"/>
      <c r="J486" s="3742"/>
      <c r="R486" s="3740"/>
      <c r="T486" s="3740"/>
    </row>
    <row r="487" spans="1:20" s="3738" customFormat="1">
      <c r="A487" s="3739"/>
      <c r="C487" s="3737"/>
      <c r="J487" s="3742"/>
      <c r="R487" s="3740"/>
      <c r="T487" s="3740"/>
    </row>
    <row r="488" spans="1:20" s="3738" customFormat="1">
      <c r="A488" s="3739"/>
      <c r="C488" s="3737"/>
      <c r="J488" s="3742"/>
      <c r="R488" s="3740"/>
      <c r="T488" s="3740"/>
    </row>
    <row r="489" spans="1:20" s="3738" customFormat="1">
      <c r="A489" s="3739"/>
      <c r="C489" s="3737"/>
      <c r="J489" s="3742"/>
      <c r="R489" s="3740"/>
      <c r="T489" s="3740"/>
    </row>
    <row r="490" spans="1:20" s="3738" customFormat="1">
      <c r="A490" s="3739"/>
      <c r="C490" s="3737"/>
      <c r="J490" s="3742"/>
      <c r="R490" s="3740"/>
      <c r="T490" s="3740"/>
    </row>
    <row r="491" spans="1:20" s="3738" customFormat="1">
      <c r="A491" s="3739"/>
      <c r="C491" s="3737"/>
      <c r="J491" s="3742"/>
      <c r="R491" s="3740"/>
      <c r="T491" s="3740"/>
    </row>
    <row r="492" spans="1:20" s="3738" customFormat="1">
      <c r="A492" s="3739"/>
      <c r="C492" s="3737"/>
      <c r="J492" s="3742"/>
      <c r="R492" s="3740"/>
      <c r="T492" s="3740"/>
    </row>
    <row r="493" spans="1:20" s="3738" customFormat="1">
      <c r="A493" s="3739"/>
      <c r="C493" s="3737"/>
      <c r="J493" s="3742"/>
      <c r="R493" s="3740"/>
      <c r="T493" s="3740"/>
    </row>
    <row r="494" spans="1:20" s="3738" customFormat="1">
      <c r="A494" s="3739"/>
      <c r="C494" s="3737"/>
      <c r="J494" s="3742"/>
      <c r="R494" s="3740"/>
      <c r="T494" s="3740"/>
    </row>
    <row r="495" spans="1:20" s="3738" customFormat="1">
      <c r="A495" s="3739"/>
      <c r="C495" s="3737"/>
      <c r="J495" s="3742"/>
      <c r="R495" s="3740"/>
      <c r="T495" s="3740"/>
    </row>
    <row r="496" spans="1:20" s="3738" customFormat="1">
      <c r="A496" s="3739"/>
      <c r="C496" s="3737"/>
      <c r="J496" s="3742"/>
      <c r="R496" s="3740"/>
      <c r="T496" s="3740"/>
    </row>
    <row r="497" spans="1:20" s="3738" customFormat="1">
      <c r="A497" s="3739"/>
      <c r="C497" s="3737"/>
      <c r="J497" s="3742"/>
      <c r="R497" s="3740"/>
      <c r="T497" s="3740"/>
    </row>
    <row r="498" spans="1:20" s="3738" customFormat="1">
      <c r="A498" s="3739"/>
      <c r="C498" s="3737"/>
      <c r="J498" s="3742"/>
      <c r="R498" s="3740"/>
      <c r="T498" s="3740"/>
    </row>
    <row r="499" spans="1:20" s="3738" customFormat="1">
      <c r="A499" s="3739"/>
      <c r="C499" s="3737"/>
      <c r="J499" s="3742"/>
      <c r="R499" s="3740"/>
      <c r="T499" s="3740"/>
    </row>
    <row r="500" spans="1:20" s="3738" customFormat="1">
      <c r="A500" s="3739"/>
      <c r="C500" s="3737"/>
      <c r="J500" s="3742"/>
      <c r="R500" s="3740"/>
      <c r="T500" s="3740"/>
    </row>
    <row r="501" spans="1:20" s="3738" customFormat="1">
      <c r="A501" s="3739"/>
      <c r="C501" s="3737"/>
      <c r="J501" s="3742"/>
      <c r="R501" s="3740"/>
      <c r="T501" s="3740"/>
    </row>
    <row r="502" spans="1:20" s="3738" customFormat="1">
      <c r="A502" s="3739"/>
      <c r="C502" s="3737"/>
      <c r="J502" s="3742"/>
      <c r="R502" s="3740"/>
      <c r="T502" s="3740"/>
    </row>
    <row r="503" spans="1:20" s="3738" customFormat="1">
      <c r="A503" s="3739"/>
      <c r="C503" s="3737"/>
      <c r="J503" s="3742"/>
      <c r="R503" s="3740"/>
      <c r="T503" s="3740"/>
    </row>
    <row r="504" spans="1:20" s="3738" customFormat="1">
      <c r="A504" s="3739"/>
      <c r="C504" s="3737"/>
      <c r="J504" s="3742"/>
      <c r="R504" s="3740"/>
      <c r="T504" s="3740"/>
    </row>
    <row r="505" spans="1:20" s="3738" customFormat="1">
      <c r="A505" s="3739"/>
      <c r="C505" s="3737"/>
      <c r="J505" s="3742"/>
      <c r="R505" s="3740"/>
      <c r="T505" s="3740"/>
    </row>
    <row r="506" spans="1:20" s="3738" customFormat="1">
      <c r="A506" s="3739"/>
      <c r="C506" s="3737"/>
      <c r="J506" s="3742"/>
      <c r="R506" s="3740"/>
      <c r="T506" s="3740"/>
    </row>
    <row r="507" spans="1:20" s="3738" customFormat="1">
      <c r="A507" s="3739"/>
      <c r="C507" s="3737"/>
      <c r="J507" s="3742"/>
      <c r="R507" s="3740"/>
      <c r="T507" s="3740"/>
    </row>
    <row r="508" spans="1:20" s="3738" customFormat="1">
      <c r="A508" s="3739"/>
      <c r="C508" s="3737"/>
      <c r="J508" s="3742"/>
      <c r="R508" s="3740"/>
      <c r="T508" s="3740"/>
    </row>
    <row r="509" spans="1:20" s="3738" customFormat="1">
      <c r="A509" s="3739"/>
      <c r="C509" s="3737"/>
      <c r="J509" s="3742"/>
      <c r="R509" s="3740"/>
      <c r="T509" s="3740"/>
    </row>
    <row r="510" spans="1:20" s="3738" customFormat="1">
      <c r="A510" s="3739"/>
      <c r="C510" s="3737"/>
      <c r="J510" s="3742"/>
      <c r="R510" s="3740"/>
      <c r="T510" s="3740"/>
    </row>
    <row r="511" spans="1:20" s="3738" customFormat="1">
      <c r="A511" s="3739"/>
      <c r="C511" s="3737"/>
      <c r="J511" s="3742"/>
      <c r="R511" s="3740"/>
      <c r="T511" s="3740"/>
    </row>
    <row r="512" spans="1:20" s="3738" customFormat="1">
      <c r="A512" s="3739"/>
      <c r="C512" s="3737"/>
      <c r="J512" s="3742"/>
      <c r="R512" s="3740"/>
      <c r="T512" s="3740"/>
    </row>
    <row r="513" spans="1:20" s="3738" customFormat="1">
      <c r="A513" s="3739"/>
      <c r="C513" s="3737"/>
      <c r="J513" s="3742"/>
      <c r="R513" s="3740"/>
      <c r="T513" s="3740"/>
    </row>
    <row r="514" spans="1:20" s="3738" customFormat="1">
      <c r="A514" s="3739"/>
      <c r="C514" s="3737"/>
      <c r="J514" s="3742"/>
      <c r="R514" s="3740"/>
      <c r="T514" s="3740"/>
    </row>
    <row r="515" spans="1:20" s="3738" customFormat="1">
      <c r="A515" s="3739"/>
      <c r="C515" s="3737"/>
      <c r="J515" s="3742"/>
      <c r="R515" s="3740"/>
      <c r="T515" s="3740"/>
    </row>
    <row r="516" spans="1:20" s="3738" customFormat="1">
      <c r="A516" s="3739"/>
      <c r="C516" s="3737"/>
      <c r="J516" s="3742"/>
      <c r="R516" s="3740"/>
      <c r="T516" s="3740"/>
    </row>
    <row r="517" spans="1:20" s="3738" customFormat="1">
      <c r="A517" s="3739"/>
      <c r="C517" s="3737"/>
      <c r="J517" s="3742"/>
      <c r="R517" s="3740"/>
      <c r="T517" s="3740"/>
    </row>
    <row r="518" spans="1:20" s="3738" customFormat="1">
      <c r="A518" s="3739"/>
      <c r="C518" s="3737"/>
      <c r="J518" s="3742"/>
      <c r="R518" s="3740"/>
      <c r="T518" s="3740"/>
    </row>
    <row r="519" spans="1:20" s="3738" customFormat="1">
      <c r="A519" s="3739"/>
      <c r="C519" s="3737"/>
      <c r="J519" s="3742"/>
      <c r="R519" s="3740"/>
      <c r="T519" s="3740"/>
    </row>
    <row r="520" spans="1:20" s="3738" customFormat="1">
      <c r="A520" s="3739"/>
      <c r="C520" s="3737"/>
      <c r="J520" s="3742"/>
      <c r="R520" s="3740"/>
      <c r="T520" s="3740"/>
    </row>
    <row r="521" spans="1:20" s="3738" customFormat="1">
      <c r="A521" s="3739"/>
      <c r="C521" s="3737"/>
      <c r="J521" s="3742"/>
      <c r="R521" s="3740"/>
      <c r="T521" s="3740"/>
    </row>
    <row r="522" spans="1:20" s="3738" customFormat="1">
      <c r="A522" s="3739"/>
      <c r="C522" s="3737"/>
      <c r="J522" s="3742"/>
      <c r="R522" s="3740"/>
      <c r="T522" s="3740"/>
    </row>
    <row r="523" spans="1:20" s="3738" customFormat="1">
      <c r="A523" s="3739"/>
      <c r="C523" s="3737"/>
      <c r="J523" s="3742"/>
      <c r="R523" s="3740"/>
      <c r="T523" s="3740"/>
    </row>
    <row r="524" spans="1:20" s="3738" customFormat="1">
      <c r="A524" s="3739"/>
      <c r="C524" s="3737"/>
      <c r="J524" s="3742"/>
      <c r="R524" s="3740"/>
      <c r="T524" s="3740"/>
    </row>
    <row r="525" spans="1:20" s="3738" customFormat="1">
      <c r="A525" s="3739"/>
      <c r="C525" s="3737"/>
      <c r="J525" s="3742"/>
      <c r="R525" s="3740"/>
      <c r="T525" s="3740"/>
    </row>
    <row r="526" spans="1:20" s="3738" customFormat="1">
      <c r="A526" s="3739"/>
      <c r="C526" s="3737"/>
      <c r="J526" s="3742"/>
      <c r="R526" s="3740"/>
      <c r="T526" s="3740"/>
    </row>
    <row r="527" spans="1:20" s="3738" customFormat="1">
      <c r="A527" s="3739"/>
      <c r="C527" s="3737"/>
      <c r="J527" s="3742"/>
      <c r="R527" s="3740"/>
      <c r="T527" s="3740"/>
    </row>
    <row r="528" spans="1:20" s="3738" customFormat="1">
      <c r="A528" s="3739"/>
      <c r="C528" s="3737"/>
      <c r="J528" s="3742"/>
      <c r="R528" s="3740"/>
      <c r="T528" s="3740"/>
    </row>
    <row r="529" spans="1:20" s="3738" customFormat="1">
      <c r="A529" s="3739"/>
      <c r="C529" s="3737"/>
      <c r="J529" s="3742"/>
      <c r="R529" s="3740"/>
      <c r="T529" s="3740"/>
    </row>
    <row r="530" spans="1:20" s="3738" customFormat="1">
      <c r="A530" s="3739"/>
      <c r="C530" s="3737"/>
      <c r="J530" s="3742"/>
      <c r="R530" s="3740"/>
      <c r="T530" s="3740"/>
    </row>
    <row r="531" spans="1:20" s="3738" customFormat="1">
      <c r="A531" s="3739"/>
      <c r="C531" s="3737"/>
      <c r="J531" s="3742"/>
      <c r="R531" s="3740"/>
      <c r="T531" s="3740"/>
    </row>
    <row r="532" spans="1:20" s="3738" customFormat="1">
      <c r="A532" s="3739"/>
      <c r="C532" s="3737"/>
      <c r="J532" s="3742"/>
      <c r="R532" s="3740"/>
      <c r="T532" s="3740"/>
    </row>
    <row r="533" spans="1:20" s="3738" customFormat="1">
      <c r="A533" s="3739"/>
      <c r="C533" s="3737"/>
      <c r="J533" s="3742"/>
      <c r="R533" s="3740"/>
      <c r="T533" s="3740"/>
    </row>
    <row r="534" spans="1:20" s="3738" customFormat="1">
      <c r="A534" s="3739"/>
      <c r="C534" s="3737"/>
      <c r="J534" s="3742"/>
      <c r="R534" s="3740"/>
      <c r="T534" s="3740"/>
    </row>
    <row r="535" spans="1:20" s="3738" customFormat="1">
      <c r="A535" s="3739"/>
      <c r="C535" s="3737"/>
      <c r="J535" s="3742"/>
      <c r="R535" s="3740"/>
      <c r="T535" s="3740"/>
    </row>
    <row r="536" spans="1:20" s="3738" customFormat="1">
      <c r="A536" s="3739"/>
      <c r="C536" s="3737"/>
      <c r="J536" s="3742"/>
      <c r="R536" s="3740"/>
      <c r="T536" s="3740"/>
    </row>
    <row r="537" spans="1:20" s="3738" customFormat="1">
      <c r="A537" s="3739"/>
      <c r="C537" s="3737"/>
      <c r="J537" s="3742"/>
      <c r="R537" s="3740"/>
      <c r="T537" s="3740"/>
    </row>
    <row r="538" spans="1:20" s="3738" customFormat="1">
      <c r="A538" s="3739"/>
      <c r="C538" s="3737"/>
      <c r="J538" s="3742"/>
      <c r="R538" s="3740"/>
      <c r="T538" s="3740"/>
    </row>
    <row r="539" spans="1:20" s="3738" customFormat="1">
      <c r="A539" s="3739"/>
      <c r="C539" s="3737"/>
      <c r="J539" s="3742"/>
      <c r="R539" s="3740"/>
      <c r="T539" s="3740"/>
    </row>
    <row r="540" spans="1:20" s="3738" customFormat="1">
      <c r="A540" s="3739"/>
      <c r="C540" s="3737"/>
      <c r="J540" s="3742"/>
      <c r="R540" s="3740"/>
      <c r="T540" s="3740"/>
    </row>
    <row r="541" spans="1:20" s="3738" customFormat="1">
      <c r="A541" s="3739"/>
      <c r="C541" s="3737"/>
      <c r="J541" s="3742"/>
      <c r="R541" s="3740"/>
      <c r="T541" s="3740"/>
    </row>
    <row r="542" spans="1:20" s="3738" customFormat="1">
      <c r="A542" s="3739"/>
      <c r="C542" s="3737"/>
      <c r="J542" s="3742"/>
      <c r="R542" s="3740"/>
      <c r="T542" s="3740"/>
    </row>
    <row r="543" spans="1:20" s="3738" customFormat="1">
      <c r="A543" s="3739"/>
      <c r="C543" s="3737"/>
      <c r="J543" s="3742"/>
      <c r="R543" s="3740"/>
      <c r="T543" s="3740"/>
    </row>
    <row r="544" spans="1:20" s="3738" customFormat="1">
      <c r="A544" s="3739"/>
      <c r="C544" s="3737"/>
      <c r="J544" s="3742"/>
      <c r="R544" s="3740"/>
      <c r="T544" s="3740"/>
    </row>
    <row r="545" spans="1:20" s="3738" customFormat="1">
      <c r="A545" s="3739"/>
      <c r="C545" s="3737"/>
      <c r="J545" s="3742"/>
      <c r="R545" s="3740"/>
      <c r="T545" s="3740"/>
    </row>
    <row r="546" spans="1:20" s="3738" customFormat="1">
      <c r="A546" s="3739"/>
      <c r="C546" s="3737"/>
      <c r="J546" s="3742"/>
      <c r="R546" s="3740"/>
      <c r="T546" s="3740"/>
    </row>
    <row r="547" spans="1:20" s="3738" customFormat="1">
      <c r="A547" s="3739"/>
      <c r="C547" s="3737"/>
      <c r="J547" s="3742"/>
      <c r="R547" s="3740"/>
      <c r="T547" s="3740"/>
    </row>
    <row r="548" spans="1:20" s="3738" customFormat="1">
      <c r="A548" s="3739"/>
      <c r="C548" s="3737"/>
      <c r="J548" s="3742"/>
      <c r="R548" s="3740"/>
      <c r="T548" s="3740"/>
    </row>
    <row r="549" spans="1:20" s="3738" customFormat="1">
      <c r="A549" s="3739"/>
      <c r="C549" s="3737"/>
      <c r="J549" s="3742"/>
      <c r="R549" s="3740"/>
      <c r="T549" s="3740"/>
    </row>
    <row r="550" spans="1:20" s="3738" customFormat="1">
      <c r="A550" s="3739"/>
      <c r="C550" s="3737"/>
      <c r="J550" s="3742"/>
      <c r="R550" s="3740"/>
      <c r="T550" s="3740"/>
    </row>
    <row r="551" spans="1:20" s="3738" customFormat="1">
      <c r="A551" s="3739"/>
      <c r="C551" s="3737"/>
      <c r="J551" s="3742"/>
      <c r="R551" s="3740"/>
      <c r="T551" s="3740"/>
    </row>
    <row r="552" spans="1:20" s="3738" customFormat="1">
      <c r="A552" s="3739"/>
      <c r="C552" s="3737"/>
      <c r="J552" s="3742"/>
      <c r="R552" s="3740"/>
      <c r="T552" s="3740"/>
    </row>
    <row r="553" spans="1:20" s="3738" customFormat="1">
      <c r="A553" s="3739"/>
      <c r="C553" s="3737"/>
      <c r="J553" s="3742"/>
      <c r="R553" s="3740"/>
      <c r="T553" s="3740"/>
    </row>
    <row r="554" spans="1:20" s="3738" customFormat="1">
      <c r="A554" s="3739"/>
      <c r="C554" s="3737"/>
      <c r="J554" s="3742"/>
      <c r="R554" s="3740"/>
      <c r="T554" s="3740"/>
    </row>
    <row r="555" spans="1:20" s="3738" customFormat="1">
      <c r="A555" s="3739"/>
      <c r="C555" s="3737"/>
      <c r="J555" s="3742"/>
      <c r="R555" s="3740"/>
      <c r="T555" s="3740"/>
    </row>
    <row r="556" spans="1:20" s="3738" customFormat="1">
      <c r="A556" s="3739"/>
      <c r="C556" s="3737"/>
      <c r="J556" s="3742"/>
      <c r="R556" s="3740"/>
      <c r="T556" s="3740"/>
    </row>
    <row r="557" spans="1:20" s="3738" customFormat="1">
      <c r="A557" s="3739"/>
      <c r="C557" s="3737"/>
      <c r="J557" s="3742"/>
      <c r="R557" s="3740"/>
      <c r="T557" s="3740"/>
    </row>
    <row r="558" spans="1:20" s="3738" customFormat="1">
      <c r="A558" s="3739"/>
      <c r="C558" s="3737"/>
      <c r="J558" s="3742"/>
      <c r="R558" s="3740"/>
      <c r="T558" s="3740"/>
    </row>
    <row r="559" spans="1:20" s="3738" customFormat="1">
      <c r="A559" s="3739"/>
      <c r="C559" s="3737"/>
      <c r="J559" s="3742"/>
      <c r="R559" s="3740"/>
      <c r="T559" s="3740"/>
    </row>
    <row r="560" spans="1:20" s="3738" customFormat="1">
      <c r="A560" s="3739"/>
      <c r="C560" s="3737"/>
      <c r="J560" s="3742"/>
      <c r="R560" s="3740"/>
      <c r="T560" s="3740"/>
    </row>
    <row r="561" spans="1:20" s="3738" customFormat="1">
      <c r="A561" s="3739"/>
      <c r="C561" s="3737"/>
      <c r="J561" s="3742"/>
      <c r="R561" s="3740"/>
      <c r="T561" s="3740"/>
    </row>
    <row r="562" spans="1:20" s="3738" customFormat="1">
      <c r="A562" s="3739"/>
      <c r="C562" s="3737"/>
      <c r="J562" s="3742"/>
      <c r="R562" s="3740"/>
      <c r="T562" s="3740"/>
    </row>
    <row r="563" spans="1:20" s="3738" customFormat="1">
      <c r="A563" s="3739"/>
      <c r="C563" s="3737"/>
      <c r="J563" s="3742"/>
      <c r="R563" s="3740"/>
      <c r="T563" s="3740"/>
    </row>
    <row r="564" spans="1:20" s="3738" customFormat="1">
      <c r="A564" s="3739"/>
      <c r="C564" s="3737"/>
      <c r="J564" s="3742"/>
      <c r="R564" s="3740"/>
      <c r="T564" s="3740"/>
    </row>
    <row r="565" spans="1:20" s="3738" customFormat="1">
      <c r="A565" s="3739"/>
      <c r="C565" s="3737"/>
      <c r="J565" s="3742"/>
      <c r="R565" s="3740"/>
      <c r="T565" s="3740"/>
    </row>
    <row r="566" spans="1:20" s="3738" customFormat="1">
      <c r="A566" s="3739"/>
      <c r="C566" s="3737"/>
      <c r="J566" s="3742"/>
      <c r="R566" s="3740"/>
      <c r="T566" s="3740"/>
    </row>
    <row r="567" spans="1:20" s="3738" customFormat="1">
      <c r="A567" s="3739"/>
      <c r="C567" s="3737"/>
      <c r="J567" s="3742"/>
      <c r="R567" s="3740"/>
      <c r="T567" s="3740"/>
    </row>
    <row r="568" spans="1:20" s="3738" customFormat="1">
      <c r="A568" s="3739"/>
      <c r="C568" s="3737"/>
      <c r="J568" s="3742"/>
      <c r="R568" s="3740"/>
      <c r="T568" s="3740"/>
    </row>
    <row r="569" spans="1:20" s="3738" customFormat="1">
      <c r="A569" s="3739"/>
      <c r="C569" s="3737"/>
      <c r="J569" s="3742"/>
      <c r="R569" s="3740"/>
      <c r="T569" s="3740"/>
    </row>
    <row r="570" spans="1:20" s="3738" customFormat="1">
      <c r="A570" s="3739"/>
      <c r="C570" s="3737"/>
      <c r="J570" s="3742"/>
      <c r="R570" s="3740"/>
      <c r="T570" s="3740"/>
    </row>
    <row r="571" spans="1:20" s="3738" customFormat="1">
      <c r="A571" s="3739"/>
      <c r="C571" s="3737"/>
      <c r="J571" s="3742"/>
      <c r="R571" s="3740"/>
      <c r="T571" s="3740"/>
    </row>
    <row r="572" spans="1:20" s="3738" customFormat="1">
      <c r="A572" s="3739"/>
      <c r="C572" s="3737"/>
      <c r="J572" s="3742"/>
      <c r="R572" s="3740"/>
      <c r="T572" s="3740"/>
    </row>
    <row r="573" spans="1:20" s="3738" customFormat="1">
      <c r="A573" s="3739"/>
      <c r="C573" s="3737"/>
      <c r="J573" s="3742"/>
      <c r="R573" s="3740"/>
      <c r="T573" s="3740"/>
    </row>
    <row r="574" spans="1:20" s="3738" customFormat="1">
      <c r="A574" s="3739"/>
      <c r="C574" s="3737"/>
      <c r="J574" s="3742"/>
      <c r="R574" s="3740"/>
      <c r="T574" s="3740"/>
    </row>
    <row r="575" spans="1:20" s="3738" customFormat="1">
      <c r="A575" s="3739"/>
      <c r="C575" s="3737"/>
      <c r="J575" s="3742"/>
      <c r="R575" s="3740"/>
      <c r="T575" s="3740"/>
    </row>
    <row r="576" spans="1:20" s="3738" customFormat="1">
      <c r="A576" s="3739"/>
      <c r="C576" s="3737"/>
      <c r="J576" s="3742"/>
      <c r="R576" s="3740"/>
      <c r="T576" s="3740"/>
    </row>
    <row r="577" spans="1:20" s="3738" customFormat="1">
      <c r="A577" s="3739"/>
      <c r="C577" s="3737"/>
      <c r="J577" s="3742"/>
      <c r="R577" s="3740"/>
      <c r="T577" s="3740"/>
    </row>
    <row r="578" spans="1:20" s="3738" customFormat="1">
      <c r="A578" s="3739"/>
      <c r="C578" s="3737"/>
      <c r="J578" s="3742"/>
      <c r="R578" s="3740"/>
      <c r="T578" s="3740"/>
    </row>
    <row r="579" spans="1:20" s="3738" customFormat="1">
      <c r="A579" s="3739"/>
      <c r="C579" s="3737"/>
      <c r="J579" s="3742"/>
      <c r="R579" s="3740"/>
      <c r="T579" s="3740"/>
    </row>
    <row r="580" spans="1:20" s="3738" customFormat="1">
      <c r="A580" s="3739"/>
      <c r="C580" s="3737"/>
      <c r="J580" s="3742"/>
      <c r="R580" s="3740"/>
      <c r="T580" s="3740"/>
    </row>
    <row r="581" spans="1:20" s="3738" customFormat="1">
      <c r="A581" s="3739"/>
      <c r="C581" s="3737"/>
      <c r="J581" s="3742"/>
      <c r="R581" s="3740"/>
      <c r="T581" s="3740"/>
    </row>
    <row r="582" spans="1:20" s="3738" customFormat="1">
      <c r="A582" s="3739"/>
      <c r="C582" s="3737"/>
      <c r="J582" s="3742"/>
      <c r="R582" s="3740"/>
      <c r="T582" s="3740"/>
    </row>
    <row r="583" spans="1:20" s="3738" customFormat="1">
      <c r="A583" s="3739"/>
      <c r="C583" s="3737"/>
      <c r="J583" s="3742"/>
      <c r="R583" s="3740"/>
      <c r="T583" s="3740"/>
    </row>
    <row r="584" spans="1:20" s="3738" customFormat="1">
      <c r="A584" s="3739"/>
      <c r="C584" s="3737"/>
      <c r="J584" s="3742"/>
      <c r="R584" s="3740"/>
      <c r="T584" s="3740"/>
    </row>
    <row r="585" spans="1:20" s="3738" customFormat="1">
      <c r="A585" s="3739"/>
      <c r="C585" s="3737"/>
      <c r="J585" s="3742"/>
      <c r="R585" s="3740"/>
      <c r="T585" s="3740"/>
    </row>
    <row r="586" spans="1:20" s="3738" customFormat="1">
      <c r="A586" s="3739"/>
      <c r="C586" s="3737"/>
      <c r="J586" s="3742"/>
      <c r="R586" s="3740"/>
      <c r="T586" s="3740"/>
    </row>
    <row r="587" spans="1:20" s="3738" customFormat="1">
      <c r="A587" s="3739"/>
      <c r="C587" s="3737"/>
      <c r="J587" s="3742"/>
      <c r="R587" s="3740"/>
      <c r="T587" s="3740"/>
    </row>
    <row r="588" spans="1:20" s="3738" customFormat="1">
      <c r="A588" s="3739"/>
      <c r="C588" s="3737"/>
      <c r="J588" s="3742"/>
      <c r="R588" s="3740"/>
      <c r="T588" s="3740"/>
    </row>
    <row r="589" spans="1:20" s="3738" customFormat="1">
      <c r="A589" s="3739"/>
      <c r="C589" s="3737"/>
      <c r="J589" s="3742"/>
      <c r="R589" s="3740"/>
      <c r="T589" s="3740"/>
    </row>
    <row r="590" spans="1:20" s="3738" customFormat="1">
      <c r="A590" s="3739"/>
      <c r="C590" s="3737"/>
      <c r="J590" s="3742"/>
      <c r="R590" s="3740"/>
      <c r="T590" s="3740"/>
    </row>
    <row r="591" spans="1:20" s="3738" customFormat="1">
      <c r="A591" s="3739"/>
      <c r="C591" s="3737"/>
      <c r="J591" s="3742"/>
      <c r="R591" s="3740"/>
      <c r="T591" s="3740"/>
    </row>
    <row r="592" spans="1:20" s="3738" customFormat="1">
      <c r="A592" s="3739"/>
      <c r="C592" s="3737"/>
      <c r="J592" s="3742"/>
      <c r="R592" s="3740"/>
      <c r="T592" s="3740"/>
    </row>
    <row r="593" spans="1:20" s="3738" customFormat="1">
      <c r="A593" s="3739"/>
      <c r="C593" s="3737"/>
      <c r="J593" s="3742"/>
      <c r="R593" s="3740"/>
      <c r="T593" s="3740"/>
    </row>
    <row r="594" spans="1:20" s="3738" customFormat="1">
      <c r="A594" s="3739"/>
      <c r="C594" s="3737"/>
      <c r="J594" s="3742"/>
      <c r="R594" s="3740"/>
      <c r="T594" s="3740"/>
    </row>
    <row r="595" spans="1:20" s="3738" customFormat="1">
      <c r="A595" s="3739"/>
      <c r="C595" s="3737"/>
      <c r="J595" s="3742"/>
      <c r="R595" s="3740"/>
      <c r="T595" s="3740"/>
    </row>
    <row r="596" spans="1:20" s="3738" customFormat="1">
      <c r="A596" s="3739"/>
      <c r="C596" s="3737"/>
      <c r="J596" s="3742"/>
      <c r="R596" s="3740"/>
      <c r="T596" s="3740"/>
    </row>
    <row r="597" spans="1:20" s="3738" customFormat="1">
      <c r="A597" s="3739"/>
      <c r="C597" s="3737"/>
      <c r="J597" s="3742"/>
      <c r="R597" s="3740"/>
      <c r="T597" s="3740"/>
    </row>
    <row r="598" spans="1:20" s="3738" customFormat="1">
      <c r="A598" s="3739"/>
      <c r="C598" s="3737"/>
      <c r="J598" s="3742"/>
      <c r="R598" s="3740"/>
      <c r="T598" s="3740"/>
    </row>
    <row r="599" spans="1:20" s="3738" customFormat="1">
      <c r="A599" s="3739"/>
      <c r="C599" s="3737"/>
      <c r="J599" s="3742"/>
      <c r="R599" s="3740"/>
      <c r="T599" s="3740"/>
    </row>
    <row r="600" spans="1:20" s="3738" customFormat="1">
      <c r="A600" s="3739"/>
      <c r="C600" s="3737"/>
      <c r="J600" s="3742"/>
      <c r="R600" s="3740"/>
      <c r="T600" s="3740"/>
    </row>
    <row r="601" spans="1:20" s="3738" customFormat="1">
      <c r="A601" s="3739"/>
      <c r="C601" s="3737"/>
      <c r="J601" s="3742"/>
      <c r="R601" s="3740"/>
      <c r="T601" s="3740"/>
    </row>
    <row r="602" spans="1:20" s="3738" customFormat="1">
      <c r="A602" s="3739"/>
      <c r="C602" s="3737"/>
      <c r="J602" s="3742"/>
      <c r="R602" s="3740"/>
      <c r="T602" s="3740"/>
    </row>
    <row r="603" spans="1:20" s="3738" customFormat="1">
      <c r="A603" s="3739"/>
      <c r="C603" s="3737"/>
      <c r="J603" s="3742"/>
      <c r="R603" s="3740"/>
      <c r="T603" s="3740"/>
    </row>
    <row r="604" spans="1:20" s="3738" customFormat="1">
      <c r="A604" s="3739"/>
      <c r="C604" s="3737"/>
      <c r="J604" s="3742"/>
      <c r="R604" s="3740"/>
      <c r="T604" s="3740"/>
    </row>
    <row r="605" spans="1:20" s="3738" customFormat="1">
      <c r="A605" s="3739"/>
      <c r="C605" s="3737"/>
      <c r="J605" s="3742"/>
      <c r="R605" s="3740"/>
      <c r="T605" s="3740"/>
    </row>
    <row r="606" spans="1:20" s="3738" customFormat="1">
      <c r="A606" s="3739"/>
      <c r="C606" s="3737"/>
      <c r="J606" s="3742"/>
      <c r="R606" s="3740"/>
      <c r="T606" s="3740"/>
    </row>
    <row r="607" spans="1:20" s="3738" customFormat="1">
      <c r="A607" s="3739"/>
      <c r="C607" s="3737"/>
      <c r="J607" s="3742"/>
      <c r="R607" s="3740"/>
      <c r="T607" s="3740"/>
    </row>
    <row r="608" spans="1:20" s="3738" customFormat="1">
      <c r="A608" s="3739"/>
      <c r="C608" s="3737"/>
      <c r="J608" s="3742"/>
      <c r="R608" s="3740"/>
      <c r="T608" s="3740"/>
    </row>
    <row r="609" spans="1:20" s="3738" customFormat="1">
      <c r="A609" s="3739"/>
      <c r="C609" s="3737"/>
      <c r="J609" s="3742"/>
      <c r="R609" s="3740"/>
      <c r="T609" s="3740"/>
    </row>
    <row r="610" spans="1:20" s="3738" customFormat="1">
      <c r="A610" s="3739"/>
      <c r="C610" s="3737"/>
      <c r="J610" s="3742"/>
      <c r="R610" s="3740"/>
      <c r="T610" s="3740"/>
    </row>
    <row r="611" spans="1:20" s="3738" customFormat="1">
      <c r="A611" s="3739"/>
      <c r="C611" s="3737"/>
      <c r="J611" s="3742"/>
      <c r="R611" s="3740"/>
      <c r="T611" s="3740"/>
    </row>
    <row r="612" spans="1:20" s="3738" customFormat="1">
      <c r="A612" s="3739"/>
      <c r="C612" s="3737"/>
      <c r="J612" s="3742"/>
      <c r="R612" s="3740"/>
      <c r="T612" s="3740"/>
    </row>
    <row r="613" spans="1:20" s="3738" customFormat="1">
      <c r="A613" s="3739"/>
      <c r="C613" s="3737"/>
      <c r="J613" s="3742"/>
      <c r="R613" s="3740"/>
      <c r="T613" s="3740"/>
    </row>
    <row r="614" spans="1:20" s="3738" customFormat="1">
      <c r="A614" s="3739"/>
      <c r="C614" s="3737"/>
      <c r="J614" s="3742"/>
      <c r="R614" s="3740"/>
      <c r="T614" s="3740"/>
    </row>
    <row r="615" spans="1:20" s="3738" customFormat="1">
      <c r="A615" s="3739"/>
      <c r="C615" s="3737"/>
      <c r="J615" s="3742"/>
      <c r="R615" s="3740"/>
      <c r="T615" s="3740"/>
    </row>
    <row r="616" spans="1:20" s="3738" customFormat="1">
      <c r="A616" s="3739"/>
      <c r="C616" s="3737"/>
      <c r="J616" s="3742"/>
      <c r="R616" s="3740"/>
      <c r="T616" s="3740"/>
    </row>
    <row r="617" spans="1:20" s="3738" customFormat="1">
      <c r="A617" s="3739"/>
      <c r="C617" s="3737"/>
      <c r="J617" s="3742"/>
      <c r="R617" s="3740"/>
      <c r="T617" s="3740"/>
    </row>
    <row r="618" spans="1:20" s="3738" customFormat="1">
      <c r="A618" s="3739"/>
      <c r="C618" s="3737"/>
      <c r="J618" s="3742"/>
      <c r="R618" s="3740"/>
      <c r="T618" s="3740"/>
    </row>
    <row r="619" spans="1:20" s="3738" customFormat="1">
      <c r="A619" s="3739"/>
      <c r="C619" s="3737"/>
      <c r="J619" s="3742"/>
      <c r="R619" s="3740"/>
      <c r="T619" s="3740"/>
    </row>
    <row r="620" spans="1:20" s="3738" customFormat="1">
      <c r="A620" s="3739"/>
      <c r="C620" s="3737"/>
      <c r="J620" s="3742"/>
      <c r="R620" s="3740"/>
      <c r="T620" s="3740"/>
    </row>
    <row r="621" spans="1:20" s="3738" customFormat="1">
      <c r="A621" s="3739"/>
      <c r="C621" s="3737"/>
      <c r="J621" s="3742"/>
      <c r="R621" s="3740"/>
      <c r="T621" s="3740"/>
    </row>
    <row r="622" spans="1:20" s="3738" customFormat="1">
      <c r="A622" s="3739"/>
      <c r="C622" s="3737"/>
      <c r="J622" s="3742"/>
      <c r="R622" s="3740"/>
      <c r="T622" s="3740"/>
    </row>
    <row r="623" spans="1:20" s="3738" customFormat="1">
      <c r="A623" s="3739"/>
      <c r="C623" s="3737"/>
      <c r="J623" s="3742"/>
      <c r="R623" s="3740"/>
      <c r="T623" s="3740"/>
    </row>
    <row r="624" spans="1:20" s="3738" customFormat="1">
      <c r="A624" s="3739"/>
      <c r="C624" s="3737"/>
      <c r="J624" s="3742"/>
      <c r="R624" s="3740"/>
      <c r="T624" s="3740"/>
    </row>
    <row r="625" spans="1:20" s="3738" customFormat="1">
      <c r="A625" s="3739"/>
      <c r="C625" s="3737"/>
      <c r="J625" s="3742"/>
      <c r="R625" s="3740"/>
      <c r="T625" s="3740"/>
    </row>
    <row r="626" spans="1:20" s="3738" customFormat="1">
      <c r="A626" s="3739"/>
      <c r="C626" s="3737"/>
      <c r="J626" s="3742"/>
      <c r="R626" s="3740"/>
      <c r="T626" s="3740"/>
    </row>
    <row r="627" spans="1:20" s="3738" customFormat="1">
      <c r="A627" s="3739"/>
      <c r="C627" s="3737"/>
      <c r="J627" s="3742"/>
      <c r="R627" s="3740"/>
      <c r="T627" s="3740"/>
    </row>
    <row r="628" spans="1:20" s="3738" customFormat="1">
      <c r="A628" s="3739"/>
      <c r="C628" s="3737"/>
      <c r="J628" s="3742"/>
      <c r="R628" s="3740"/>
      <c r="T628" s="3740"/>
    </row>
    <row r="629" spans="1:20" s="3738" customFormat="1">
      <c r="A629" s="3739"/>
      <c r="C629" s="3737"/>
      <c r="J629" s="3742"/>
      <c r="R629" s="3740"/>
      <c r="T629" s="3740"/>
    </row>
    <row r="630" spans="1:20" s="3738" customFormat="1">
      <c r="A630" s="3739"/>
      <c r="C630" s="3737"/>
      <c r="J630" s="3742"/>
      <c r="R630" s="3740"/>
      <c r="T630" s="3740"/>
    </row>
    <row r="631" spans="1:20" s="3738" customFormat="1">
      <c r="A631" s="3739"/>
      <c r="C631" s="3737"/>
      <c r="J631" s="3742"/>
      <c r="R631" s="3740"/>
      <c r="T631" s="3740"/>
    </row>
    <row r="632" spans="1:20" s="3738" customFormat="1">
      <c r="A632" s="3739"/>
      <c r="C632" s="3737"/>
      <c r="J632" s="3742"/>
      <c r="R632" s="3740"/>
      <c r="T632" s="3740"/>
    </row>
    <row r="633" spans="1:20" s="3738" customFormat="1">
      <c r="A633" s="3739"/>
      <c r="C633" s="3737"/>
      <c r="J633" s="3742"/>
      <c r="R633" s="3740"/>
      <c r="T633" s="3740"/>
    </row>
    <row r="634" spans="1:20" s="3738" customFormat="1">
      <c r="A634" s="3739"/>
      <c r="C634" s="3737"/>
      <c r="J634" s="3742"/>
      <c r="R634" s="3740"/>
      <c r="T634" s="3740"/>
    </row>
    <row r="635" spans="1:20" s="3738" customFormat="1">
      <c r="A635" s="3739"/>
      <c r="C635" s="3737"/>
      <c r="J635" s="3742"/>
      <c r="R635" s="3740"/>
      <c r="T635" s="3740"/>
    </row>
    <row r="636" spans="1:20" s="3738" customFormat="1">
      <c r="A636" s="3739"/>
      <c r="C636" s="3737"/>
      <c r="J636" s="3742"/>
      <c r="R636" s="3740"/>
      <c r="T636" s="3740"/>
    </row>
    <row r="637" spans="1:20" s="3738" customFormat="1">
      <c r="A637" s="3739"/>
      <c r="C637" s="3737"/>
      <c r="J637" s="3742"/>
      <c r="R637" s="3740"/>
      <c r="T637" s="3740"/>
    </row>
    <row r="638" spans="1:20" s="3738" customFormat="1">
      <c r="A638" s="3739"/>
      <c r="C638" s="3737"/>
      <c r="J638" s="3742"/>
      <c r="R638" s="3740"/>
      <c r="T638" s="3740"/>
    </row>
    <row r="639" spans="1:20" s="3738" customFormat="1">
      <c r="A639" s="3739"/>
      <c r="C639" s="3737"/>
      <c r="J639" s="3742"/>
      <c r="R639" s="3740"/>
      <c r="T639" s="3740"/>
    </row>
    <row r="640" spans="1:20" s="3738" customFormat="1">
      <c r="A640" s="3739"/>
      <c r="C640" s="3737"/>
      <c r="J640" s="3742"/>
      <c r="R640" s="3740"/>
      <c r="T640" s="3740"/>
    </row>
    <row r="641" spans="1:20" s="3738" customFormat="1">
      <c r="A641" s="3739"/>
      <c r="C641" s="3737"/>
      <c r="J641" s="3742"/>
      <c r="R641" s="3740"/>
      <c r="T641" s="3740"/>
    </row>
    <row r="642" spans="1:20" s="3738" customFormat="1">
      <c r="A642" s="3739"/>
      <c r="C642" s="3737"/>
      <c r="J642" s="3742"/>
      <c r="R642" s="3740"/>
      <c r="T642" s="3740"/>
    </row>
    <row r="643" spans="1:20" s="3738" customFormat="1">
      <c r="A643" s="3739"/>
      <c r="C643" s="3737"/>
      <c r="J643" s="3742"/>
      <c r="R643" s="3740"/>
      <c r="T643" s="3740"/>
    </row>
    <row r="644" spans="1:20" s="3738" customFormat="1">
      <c r="A644" s="3739"/>
      <c r="C644" s="3737"/>
      <c r="J644" s="3742"/>
      <c r="R644" s="3740"/>
      <c r="T644" s="3740"/>
    </row>
    <row r="645" spans="1:20" s="3738" customFormat="1">
      <c r="A645" s="3739"/>
      <c r="C645" s="3737"/>
      <c r="J645" s="3742"/>
      <c r="R645" s="3740"/>
      <c r="T645" s="3740"/>
    </row>
    <row r="646" spans="1:20" s="3738" customFormat="1">
      <c r="A646" s="3739"/>
      <c r="C646" s="3737"/>
      <c r="J646" s="3742"/>
      <c r="R646" s="3740"/>
      <c r="T646" s="3740"/>
    </row>
    <row r="647" spans="1:20" s="3738" customFormat="1">
      <c r="A647" s="3739"/>
      <c r="C647" s="3737"/>
      <c r="J647" s="3742"/>
      <c r="R647" s="3740"/>
      <c r="T647" s="3740"/>
    </row>
    <row r="648" spans="1:20" s="3738" customFormat="1">
      <c r="A648" s="3739"/>
      <c r="C648" s="3737"/>
      <c r="J648" s="3742"/>
      <c r="R648" s="3740"/>
      <c r="T648" s="3740"/>
    </row>
    <row r="649" spans="1:20" s="3738" customFormat="1">
      <c r="A649" s="3739"/>
      <c r="C649" s="3737"/>
      <c r="J649" s="3742"/>
      <c r="R649" s="3740"/>
      <c r="T649" s="3740"/>
    </row>
    <row r="650" spans="1:20" s="3738" customFormat="1">
      <c r="A650" s="3739"/>
      <c r="C650" s="3737"/>
      <c r="J650" s="3742"/>
      <c r="R650" s="3740"/>
      <c r="T650" s="3740"/>
    </row>
    <row r="651" spans="1:20" s="3738" customFormat="1">
      <c r="A651" s="3739"/>
      <c r="C651" s="3737"/>
      <c r="J651" s="3742"/>
      <c r="R651" s="3740"/>
      <c r="T651" s="3740"/>
    </row>
    <row r="652" spans="1:20" s="3738" customFormat="1">
      <c r="A652" s="3739"/>
      <c r="C652" s="3737"/>
      <c r="J652" s="3742"/>
      <c r="R652" s="3740"/>
      <c r="T652" s="3740"/>
    </row>
    <row r="653" spans="1:20" s="3738" customFormat="1">
      <c r="A653" s="3739"/>
      <c r="C653" s="3737"/>
      <c r="J653" s="3742"/>
      <c r="R653" s="3740"/>
      <c r="T653" s="3740"/>
    </row>
    <row r="654" spans="1:20" s="3738" customFormat="1">
      <c r="A654" s="3739"/>
      <c r="C654" s="3737"/>
      <c r="J654" s="3742"/>
      <c r="R654" s="3740"/>
      <c r="T654" s="3740"/>
    </row>
    <row r="655" spans="1:20" s="3738" customFormat="1">
      <c r="A655" s="3739"/>
      <c r="C655" s="3737"/>
      <c r="J655" s="3742"/>
      <c r="R655" s="3740"/>
      <c r="T655" s="3740"/>
    </row>
    <row r="656" spans="1:20" s="3738" customFormat="1">
      <c r="A656" s="3739"/>
      <c r="C656" s="3737"/>
      <c r="J656" s="3742"/>
      <c r="R656" s="3740"/>
      <c r="T656" s="3740"/>
    </row>
    <row r="657" spans="1:20" s="3738" customFormat="1">
      <c r="A657" s="3739"/>
      <c r="C657" s="3737"/>
      <c r="J657" s="3742"/>
      <c r="R657" s="3740"/>
      <c r="T657" s="3740"/>
    </row>
    <row r="658" spans="1:20" s="3738" customFormat="1">
      <c r="A658" s="3739"/>
      <c r="C658" s="3737"/>
      <c r="J658" s="3742"/>
      <c r="R658" s="3740"/>
      <c r="T658" s="3740"/>
    </row>
    <row r="659" spans="1:20" s="3738" customFormat="1">
      <c r="A659" s="3739"/>
      <c r="C659" s="3737"/>
      <c r="J659" s="3742"/>
      <c r="R659" s="3740"/>
      <c r="T659" s="3740"/>
    </row>
    <row r="660" spans="1:20" s="3738" customFormat="1">
      <c r="A660" s="3739"/>
      <c r="C660" s="3737"/>
      <c r="J660" s="3742"/>
      <c r="R660" s="3740"/>
      <c r="T660" s="3740"/>
    </row>
    <row r="661" spans="1:20" s="3738" customFormat="1">
      <c r="A661" s="3739"/>
      <c r="C661" s="3737"/>
      <c r="J661" s="3742"/>
      <c r="R661" s="3740"/>
      <c r="T661" s="3740"/>
    </row>
    <row r="662" spans="1:20" s="3738" customFormat="1">
      <c r="A662" s="3739"/>
      <c r="C662" s="3737"/>
      <c r="J662" s="3742"/>
      <c r="R662" s="3740"/>
      <c r="T662" s="3740"/>
    </row>
    <row r="663" spans="1:20" s="3738" customFormat="1">
      <c r="A663" s="3739"/>
      <c r="C663" s="3737"/>
      <c r="J663" s="3742"/>
      <c r="R663" s="3740"/>
      <c r="T663" s="3740"/>
    </row>
    <row r="664" spans="1:20" s="3738" customFormat="1">
      <c r="A664" s="3739"/>
      <c r="C664" s="3737"/>
      <c r="J664" s="3742"/>
      <c r="R664" s="3740"/>
      <c r="T664" s="3740"/>
    </row>
    <row r="665" spans="1:20" s="3738" customFormat="1">
      <c r="A665" s="3739"/>
      <c r="C665" s="3737"/>
      <c r="J665" s="3742"/>
      <c r="R665" s="3740"/>
      <c r="T665" s="3740"/>
    </row>
    <row r="666" spans="1:20" s="3738" customFormat="1">
      <c r="A666" s="3739"/>
      <c r="C666" s="3737"/>
      <c r="J666" s="3742"/>
      <c r="R666" s="3740"/>
      <c r="T666" s="3740"/>
    </row>
    <row r="667" spans="1:20" s="3738" customFormat="1">
      <c r="A667" s="3739"/>
      <c r="C667" s="3737"/>
      <c r="J667" s="3742"/>
      <c r="R667" s="3740"/>
      <c r="T667" s="3740"/>
    </row>
    <row r="668" spans="1:20" s="3738" customFormat="1">
      <c r="A668" s="3739"/>
      <c r="C668" s="3737"/>
      <c r="J668" s="3742"/>
      <c r="R668" s="3740"/>
      <c r="T668" s="3740"/>
    </row>
    <row r="669" spans="1:20" s="3738" customFormat="1">
      <c r="A669" s="3739"/>
      <c r="C669" s="3737"/>
      <c r="J669" s="3742"/>
      <c r="R669" s="3740"/>
      <c r="T669" s="3740"/>
    </row>
    <row r="670" spans="1:20" s="3738" customFormat="1">
      <c r="A670" s="3739"/>
      <c r="C670" s="3737"/>
      <c r="J670" s="3742"/>
      <c r="R670" s="3740"/>
      <c r="T670" s="3740"/>
    </row>
    <row r="671" spans="1:20" s="3738" customFormat="1">
      <c r="A671" s="3739"/>
      <c r="C671" s="3737"/>
      <c r="J671" s="3742"/>
      <c r="R671" s="3740"/>
      <c r="T671" s="3740"/>
    </row>
    <row r="672" spans="1:20" s="3738" customFormat="1">
      <c r="A672" s="3739"/>
      <c r="C672" s="3737"/>
      <c r="J672" s="3742"/>
      <c r="R672" s="3740"/>
      <c r="T672" s="3740"/>
    </row>
    <row r="673" spans="1:20" s="3738" customFormat="1">
      <c r="A673" s="3739"/>
      <c r="C673" s="3737"/>
      <c r="J673" s="3742"/>
      <c r="R673" s="3740"/>
      <c r="T673" s="3740"/>
    </row>
    <row r="674" spans="1:20" s="3738" customFormat="1">
      <c r="A674" s="3739"/>
      <c r="C674" s="3737"/>
      <c r="J674" s="3742"/>
      <c r="R674" s="3740"/>
      <c r="T674" s="3740"/>
    </row>
    <row r="675" spans="1:20" s="3738" customFormat="1">
      <c r="A675" s="3739"/>
      <c r="C675" s="3737"/>
      <c r="J675" s="3742"/>
      <c r="R675" s="3740"/>
      <c r="T675" s="3740"/>
    </row>
    <row r="676" spans="1:20" s="3738" customFormat="1">
      <c r="A676" s="3739"/>
      <c r="C676" s="3737"/>
      <c r="J676" s="3742"/>
      <c r="R676" s="3740"/>
      <c r="T676" s="3740"/>
    </row>
    <row r="677" spans="1:20" s="3738" customFormat="1">
      <c r="A677" s="3739"/>
      <c r="C677" s="3737"/>
      <c r="J677" s="3742"/>
      <c r="R677" s="3740"/>
      <c r="T677" s="3740"/>
    </row>
    <row r="678" spans="1:20" s="3738" customFormat="1">
      <c r="A678" s="3739"/>
      <c r="C678" s="3737"/>
      <c r="J678" s="3742"/>
      <c r="R678" s="3740"/>
      <c r="T678" s="3740"/>
    </row>
    <row r="679" spans="1:20" s="3738" customFormat="1">
      <c r="A679" s="3739"/>
      <c r="C679" s="3737"/>
      <c r="J679" s="3742"/>
      <c r="R679" s="3740"/>
      <c r="T679" s="3740"/>
    </row>
    <row r="680" spans="1:20" s="3738" customFormat="1">
      <c r="A680" s="3739"/>
      <c r="C680" s="3737"/>
      <c r="J680" s="3742"/>
      <c r="R680" s="3740"/>
      <c r="T680" s="3740"/>
    </row>
    <row r="681" spans="1:20" s="3738" customFormat="1">
      <c r="A681" s="3739"/>
      <c r="C681" s="3737"/>
      <c r="J681" s="3742"/>
      <c r="R681" s="3740"/>
      <c r="T681" s="3740"/>
    </row>
    <row r="682" spans="1:20" s="3738" customFormat="1">
      <c r="A682" s="3739"/>
      <c r="C682" s="3737"/>
      <c r="J682" s="3742"/>
      <c r="R682" s="3740"/>
      <c r="T682" s="3740"/>
    </row>
    <row r="683" spans="1:20" s="3738" customFormat="1">
      <c r="A683" s="3739"/>
      <c r="C683" s="3737"/>
      <c r="J683" s="3742"/>
      <c r="R683" s="3740"/>
      <c r="T683" s="3740"/>
    </row>
    <row r="684" spans="1:20" s="3738" customFormat="1">
      <c r="A684" s="3739"/>
      <c r="C684" s="3737"/>
      <c r="J684" s="3742"/>
      <c r="R684" s="3740"/>
      <c r="T684" s="3740"/>
    </row>
    <row r="685" spans="1:20" s="3738" customFormat="1">
      <c r="A685" s="3739"/>
      <c r="C685" s="3737"/>
      <c r="J685" s="3742"/>
      <c r="R685" s="3740"/>
      <c r="T685" s="3740"/>
    </row>
    <row r="686" spans="1:20" s="3738" customFormat="1">
      <c r="A686" s="3739"/>
      <c r="C686" s="3737"/>
      <c r="J686" s="3742"/>
      <c r="R686" s="3740"/>
      <c r="T686" s="3740"/>
    </row>
    <row r="687" spans="1:20" s="3738" customFormat="1">
      <c r="A687" s="3739"/>
      <c r="C687" s="3737"/>
      <c r="J687" s="3742"/>
      <c r="R687" s="3740"/>
      <c r="T687" s="3740"/>
    </row>
    <row r="688" spans="1:20" s="3738" customFormat="1">
      <c r="A688" s="3739"/>
      <c r="C688" s="3737"/>
      <c r="J688" s="3742"/>
      <c r="R688" s="3740"/>
      <c r="T688" s="3740"/>
    </row>
    <row r="689" spans="1:20" s="3738" customFormat="1">
      <c r="A689" s="3739"/>
      <c r="C689" s="3737"/>
      <c r="J689" s="3742"/>
      <c r="R689" s="3740"/>
      <c r="T689" s="3740"/>
    </row>
    <row r="690" spans="1:20" s="3738" customFormat="1">
      <c r="A690" s="3739"/>
      <c r="C690" s="3737"/>
      <c r="J690" s="3742"/>
      <c r="R690" s="3740"/>
      <c r="T690" s="3740"/>
    </row>
    <row r="691" spans="1:20" s="3738" customFormat="1">
      <c r="A691" s="3739"/>
      <c r="C691" s="3737"/>
      <c r="J691" s="3742"/>
      <c r="R691" s="3740"/>
      <c r="T691" s="3740"/>
    </row>
    <row r="692" spans="1:20" s="3738" customFormat="1">
      <c r="A692" s="3739"/>
      <c r="C692" s="3737"/>
      <c r="J692" s="3742"/>
      <c r="R692" s="3740"/>
      <c r="T692" s="3740"/>
    </row>
    <row r="693" spans="1:20" s="3738" customFormat="1">
      <c r="A693" s="3739"/>
      <c r="C693" s="3737"/>
      <c r="J693" s="3742"/>
      <c r="R693" s="3740"/>
      <c r="T693" s="3740"/>
    </row>
    <row r="694" spans="1:20" s="3738" customFormat="1">
      <c r="A694" s="3739"/>
      <c r="C694" s="3737"/>
      <c r="J694" s="3742"/>
      <c r="R694" s="3740"/>
      <c r="T694" s="3740"/>
    </row>
    <row r="695" spans="1:20" s="3738" customFormat="1">
      <c r="A695" s="3739"/>
      <c r="C695" s="3737"/>
      <c r="J695" s="3742"/>
      <c r="R695" s="3740"/>
      <c r="T695" s="3740"/>
    </row>
    <row r="696" spans="1:20" s="3738" customFormat="1">
      <c r="A696" s="3739"/>
      <c r="C696" s="3737"/>
      <c r="J696" s="3742"/>
      <c r="R696" s="3740"/>
      <c r="T696" s="3740"/>
    </row>
    <row r="697" spans="1:20" s="3738" customFormat="1">
      <c r="A697" s="3739"/>
      <c r="C697" s="3737"/>
      <c r="J697" s="3742"/>
      <c r="R697" s="3740"/>
      <c r="T697" s="3740"/>
    </row>
    <row r="698" spans="1:20" s="3738" customFormat="1">
      <c r="A698" s="3739"/>
      <c r="C698" s="3737"/>
      <c r="J698" s="3742"/>
      <c r="R698" s="3740"/>
      <c r="T698" s="3740"/>
    </row>
    <row r="699" spans="1:20" s="3738" customFormat="1">
      <c r="A699" s="3739"/>
      <c r="C699" s="3737"/>
      <c r="J699" s="3742"/>
      <c r="R699" s="3740"/>
      <c r="T699" s="3740"/>
    </row>
    <row r="700" spans="1:20" s="3738" customFormat="1">
      <c r="A700" s="3739"/>
      <c r="C700" s="3737"/>
      <c r="J700" s="3742"/>
      <c r="R700" s="3740"/>
      <c r="T700" s="3740"/>
    </row>
    <row r="701" spans="1:20" s="3738" customFormat="1">
      <c r="A701" s="3739"/>
      <c r="C701" s="3737"/>
      <c r="J701" s="3742"/>
      <c r="R701" s="3740"/>
      <c r="T701" s="3740"/>
    </row>
    <row r="702" spans="1:20" s="3738" customFormat="1">
      <c r="A702" s="3739"/>
      <c r="C702" s="3737"/>
      <c r="J702" s="3742"/>
      <c r="R702" s="3740"/>
      <c r="T702" s="3740"/>
    </row>
    <row r="703" spans="1:20" s="3738" customFormat="1">
      <c r="A703" s="3739"/>
      <c r="C703" s="3737"/>
      <c r="J703" s="3742"/>
      <c r="R703" s="3740"/>
      <c r="T703" s="3740"/>
    </row>
    <row r="704" spans="1:20" s="3738" customFormat="1">
      <c r="A704" s="3739"/>
      <c r="C704" s="3737"/>
      <c r="J704" s="3742"/>
      <c r="R704" s="3740"/>
      <c r="T704" s="3740"/>
    </row>
    <row r="705" spans="1:20" s="3738" customFormat="1">
      <c r="A705" s="3739"/>
      <c r="C705" s="3737"/>
      <c r="J705" s="3742"/>
      <c r="R705" s="3740"/>
      <c r="T705" s="3740"/>
    </row>
    <row r="706" spans="1:20" s="3738" customFormat="1">
      <c r="A706" s="3739"/>
      <c r="C706" s="3737"/>
      <c r="J706" s="3742"/>
      <c r="R706" s="3740"/>
      <c r="T706" s="3740"/>
    </row>
    <row r="707" spans="1:20" s="3738" customFormat="1">
      <c r="A707" s="3739"/>
      <c r="C707" s="3737"/>
      <c r="J707" s="3742"/>
      <c r="R707" s="3740"/>
      <c r="T707" s="3740"/>
    </row>
    <row r="708" spans="1:20" s="3738" customFormat="1">
      <c r="A708" s="3739"/>
      <c r="C708" s="3737"/>
      <c r="J708" s="3742"/>
      <c r="R708" s="3740"/>
      <c r="T708" s="3740"/>
    </row>
    <row r="709" spans="1:20" s="3738" customFormat="1">
      <c r="A709" s="3739"/>
      <c r="C709" s="3737"/>
      <c r="J709" s="3742"/>
      <c r="R709" s="3740"/>
      <c r="T709" s="3740"/>
    </row>
    <row r="710" spans="1:20" s="3738" customFormat="1">
      <c r="A710" s="3739"/>
      <c r="C710" s="3737"/>
      <c r="J710" s="3742"/>
      <c r="R710" s="3740"/>
      <c r="T710" s="3740"/>
    </row>
    <row r="711" spans="1:20" s="3738" customFormat="1">
      <c r="A711" s="3739"/>
      <c r="C711" s="3737"/>
      <c r="J711" s="3742"/>
      <c r="R711" s="3740"/>
      <c r="T711" s="3740"/>
    </row>
    <row r="712" spans="1:20" s="3738" customFormat="1">
      <c r="A712" s="3739"/>
      <c r="C712" s="3737"/>
      <c r="J712" s="3742"/>
      <c r="R712" s="3740"/>
      <c r="T712" s="3740"/>
    </row>
    <row r="713" spans="1:20" s="3738" customFormat="1">
      <c r="A713" s="3739"/>
      <c r="C713" s="3737"/>
      <c r="J713" s="3742"/>
      <c r="R713" s="3740"/>
      <c r="T713" s="3740"/>
    </row>
    <row r="714" spans="1:20" s="3738" customFormat="1">
      <c r="A714" s="3739"/>
      <c r="C714" s="3737"/>
      <c r="J714" s="3742"/>
      <c r="R714" s="3740"/>
      <c r="T714" s="3740"/>
    </row>
    <row r="715" spans="1:20" s="3738" customFormat="1">
      <c r="A715" s="3739"/>
      <c r="C715" s="3737"/>
      <c r="J715" s="3742"/>
      <c r="R715" s="3740"/>
      <c r="T715" s="3740"/>
    </row>
    <row r="716" spans="1:20" s="3738" customFormat="1">
      <c r="A716" s="3739"/>
      <c r="C716" s="3737"/>
      <c r="J716" s="3742"/>
      <c r="R716" s="3740"/>
      <c r="T716" s="3740"/>
    </row>
    <row r="717" spans="1:20" s="3738" customFormat="1">
      <c r="A717" s="3739"/>
      <c r="C717" s="3737"/>
      <c r="J717" s="3742"/>
      <c r="R717" s="3740"/>
      <c r="T717" s="3740"/>
    </row>
    <row r="718" spans="1:20" s="3738" customFormat="1">
      <c r="A718" s="3739"/>
      <c r="C718" s="3737"/>
      <c r="J718" s="3742"/>
      <c r="R718" s="3740"/>
      <c r="T718" s="3740"/>
    </row>
    <row r="719" spans="1:20" s="3738" customFormat="1">
      <c r="A719" s="3739"/>
      <c r="C719" s="3737"/>
      <c r="J719" s="3742"/>
      <c r="R719" s="3740"/>
      <c r="T719" s="3740"/>
    </row>
    <row r="720" spans="1:20" s="3738" customFormat="1">
      <c r="A720" s="3739"/>
      <c r="C720" s="3737"/>
      <c r="J720" s="3742"/>
      <c r="R720" s="3740"/>
      <c r="T720" s="3740"/>
    </row>
    <row r="721" spans="1:20" s="3738" customFormat="1">
      <c r="A721" s="3739"/>
      <c r="C721" s="3737"/>
      <c r="J721" s="3742"/>
      <c r="R721" s="3740"/>
      <c r="T721" s="3740"/>
    </row>
    <row r="722" spans="1:20" s="3738" customFormat="1">
      <c r="A722" s="3739"/>
      <c r="C722" s="3737"/>
      <c r="J722" s="3742"/>
      <c r="R722" s="3740"/>
      <c r="T722" s="3740"/>
    </row>
    <row r="723" spans="1:20" s="3738" customFormat="1">
      <c r="A723" s="3739"/>
      <c r="C723" s="3737"/>
      <c r="J723" s="3742"/>
      <c r="R723" s="3740"/>
      <c r="T723" s="3740"/>
    </row>
    <row r="724" spans="1:20" s="3738" customFormat="1">
      <c r="A724" s="3739"/>
      <c r="C724" s="3737"/>
      <c r="J724" s="3742"/>
      <c r="R724" s="3740"/>
      <c r="T724" s="3740"/>
    </row>
    <row r="725" spans="1:20" s="3738" customFormat="1">
      <c r="A725" s="3739"/>
      <c r="C725" s="3737"/>
      <c r="J725" s="3742"/>
      <c r="R725" s="3740"/>
      <c r="T725" s="3740"/>
    </row>
    <row r="726" spans="1:20" s="3738" customFormat="1">
      <c r="A726" s="3739"/>
      <c r="C726" s="3737"/>
      <c r="J726" s="3742"/>
      <c r="R726" s="3740"/>
      <c r="T726" s="3740"/>
    </row>
    <row r="727" spans="1:20" s="3738" customFormat="1">
      <c r="A727" s="3739"/>
      <c r="C727" s="3737"/>
      <c r="J727" s="3742"/>
      <c r="R727" s="3740"/>
      <c r="T727" s="3740"/>
    </row>
    <row r="728" spans="1:20" s="3738" customFormat="1">
      <c r="A728" s="3739"/>
      <c r="C728" s="3737"/>
      <c r="J728" s="3742"/>
      <c r="R728" s="3740"/>
      <c r="T728" s="3740"/>
    </row>
    <row r="729" spans="1:20" s="3738" customFormat="1">
      <c r="A729" s="3739"/>
      <c r="C729" s="3737"/>
      <c r="J729" s="3742"/>
      <c r="R729" s="3740"/>
      <c r="T729" s="3740"/>
    </row>
    <row r="730" spans="1:20" s="3738" customFormat="1">
      <c r="A730" s="3739"/>
      <c r="C730" s="3737"/>
      <c r="J730" s="3742"/>
      <c r="R730" s="3740"/>
      <c r="T730" s="3740"/>
    </row>
    <row r="731" spans="1:20" s="3738" customFormat="1">
      <c r="A731" s="3739"/>
      <c r="C731" s="3737"/>
      <c r="J731" s="3742"/>
      <c r="R731" s="3740"/>
      <c r="T731" s="3740"/>
    </row>
    <row r="732" spans="1:20" s="3738" customFormat="1">
      <c r="A732" s="3739"/>
      <c r="C732" s="3737"/>
      <c r="J732" s="3742"/>
      <c r="R732" s="3740"/>
      <c r="T732" s="3740"/>
    </row>
    <row r="733" spans="1:20" s="3738" customFormat="1">
      <c r="A733" s="3739"/>
      <c r="C733" s="3737"/>
      <c r="J733" s="3742"/>
      <c r="R733" s="3740"/>
      <c r="T733" s="3740"/>
    </row>
    <row r="734" spans="1:20" s="3738" customFormat="1">
      <c r="A734" s="3739"/>
      <c r="C734" s="3737"/>
      <c r="J734" s="3742"/>
      <c r="R734" s="3740"/>
      <c r="T734" s="3740"/>
    </row>
    <row r="735" spans="1:20" s="3738" customFormat="1">
      <c r="A735" s="3739"/>
      <c r="C735" s="3737"/>
      <c r="J735" s="3742"/>
      <c r="R735" s="3740"/>
      <c r="T735" s="3740"/>
    </row>
    <row r="736" spans="1:20" s="3738" customFormat="1">
      <c r="A736" s="3739"/>
      <c r="C736" s="3737"/>
      <c r="J736" s="3742"/>
      <c r="R736" s="3740"/>
      <c r="T736" s="3740"/>
    </row>
    <row r="737" spans="1:20" s="3738" customFormat="1">
      <c r="A737" s="3739"/>
      <c r="C737" s="3737"/>
      <c r="J737" s="3742"/>
      <c r="R737" s="3740"/>
      <c r="T737" s="3740"/>
    </row>
    <row r="738" spans="1:20" s="3738" customFormat="1">
      <c r="A738" s="3739"/>
      <c r="C738" s="3737"/>
      <c r="J738" s="3742"/>
      <c r="R738" s="3740"/>
      <c r="T738" s="3740"/>
    </row>
    <row r="739" spans="1:20" s="3738" customFormat="1">
      <c r="A739" s="3739"/>
      <c r="C739" s="3737"/>
      <c r="J739" s="3742"/>
      <c r="R739" s="3740"/>
      <c r="T739" s="3740"/>
    </row>
    <row r="740" spans="1:20" s="3738" customFormat="1">
      <c r="A740" s="3739"/>
      <c r="C740" s="3737"/>
      <c r="J740" s="3742"/>
      <c r="R740" s="3740"/>
      <c r="T740" s="3740"/>
    </row>
    <row r="741" spans="1:20" s="3738" customFormat="1">
      <c r="A741" s="3739"/>
      <c r="C741" s="3737"/>
      <c r="J741" s="3742"/>
      <c r="R741" s="3740"/>
      <c r="T741" s="3740"/>
    </row>
    <row r="742" spans="1:20" s="3738" customFormat="1">
      <c r="A742" s="3739"/>
      <c r="C742" s="3737"/>
      <c r="J742" s="3742"/>
      <c r="R742" s="3740"/>
      <c r="T742" s="3740"/>
    </row>
    <row r="743" spans="1:20" s="3738" customFormat="1">
      <c r="A743" s="3739"/>
      <c r="C743" s="3737"/>
      <c r="J743" s="3742"/>
      <c r="R743" s="3740"/>
      <c r="T743" s="3740"/>
    </row>
    <row r="744" spans="1:20" s="3738" customFormat="1">
      <c r="A744" s="3739"/>
      <c r="C744" s="3737"/>
      <c r="J744" s="3742"/>
      <c r="R744" s="3740"/>
      <c r="T744" s="3740"/>
    </row>
    <row r="745" spans="1:20" s="3738" customFormat="1">
      <c r="A745" s="3739"/>
      <c r="C745" s="3737"/>
      <c r="J745" s="3742"/>
      <c r="R745" s="3740"/>
      <c r="T745" s="3740"/>
    </row>
    <row r="746" spans="1:20" s="3738" customFormat="1">
      <c r="A746" s="3739"/>
      <c r="C746" s="3737"/>
      <c r="J746" s="3742"/>
      <c r="R746" s="3740"/>
      <c r="T746" s="3740"/>
    </row>
    <row r="747" spans="1:20" s="3738" customFormat="1">
      <c r="A747" s="3739"/>
      <c r="C747" s="3737"/>
      <c r="J747" s="3742"/>
      <c r="R747" s="3740"/>
      <c r="T747" s="3740"/>
    </row>
    <row r="748" spans="1:20" s="3738" customFormat="1">
      <c r="A748" s="3739"/>
      <c r="C748" s="3737"/>
      <c r="J748" s="3742"/>
      <c r="R748" s="3740"/>
      <c r="T748" s="3740"/>
    </row>
    <row r="749" spans="1:20" s="3738" customFormat="1">
      <c r="A749" s="3739"/>
      <c r="C749" s="3737"/>
      <c r="J749" s="3742"/>
      <c r="R749" s="3740"/>
      <c r="T749" s="3740"/>
    </row>
    <row r="750" spans="1:20" s="3738" customFormat="1">
      <c r="A750" s="3739"/>
      <c r="C750" s="3737"/>
      <c r="J750" s="3742"/>
      <c r="R750" s="3740"/>
      <c r="T750" s="3740"/>
    </row>
    <row r="751" spans="1:20" s="3738" customFormat="1">
      <c r="A751" s="3739"/>
      <c r="C751" s="3737"/>
      <c r="J751" s="3742"/>
      <c r="R751" s="3740"/>
      <c r="T751" s="3740"/>
    </row>
    <row r="752" spans="1:20" s="3738" customFormat="1">
      <c r="A752" s="3739"/>
      <c r="C752" s="3737"/>
      <c r="J752" s="3742"/>
      <c r="R752" s="3740"/>
      <c r="T752" s="3740"/>
    </row>
    <row r="753" spans="1:20" s="3738" customFormat="1">
      <c r="A753" s="3739"/>
      <c r="C753" s="3737"/>
      <c r="J753" s="3742"/>
      <c r="R753" s="3740"/>
      <c r="T753" s="3740"/>
    </row>
    <row r="754" spans="1:20" s="3738" customFormat="1">
      <c r="A754" s="3739"/>
      <c r="C754" s="3737"/>
      <c r="J754" s="3742"/>
      <c r="R754" s="3740"/>
      <c r="T754" s="3740"/>
    </row>
    <row r="755" spans="1:20" s="3738" customFormat="1">
      <c r="A755" s="3739"/>
      <c r="C755" s="3737"/>
      <c r="J755" s="3742"/>
      <c r="R755" s="3740"/>
      <c r="T755" s="3740"/>
    </row>
    <row r="756" spans="1:20" s="3738" customFormat="1">
      <c r="A756" s="3739"/>
      <c r="C756" s="3737"/>
      <c r="J756" s="3742"/>
      <c r="R756" s="3740"/>
      <c r="T756" s="3740"/>
    </row>
    <row r="757" spans="1:20" s="3738" customFormat="1">
      <c r="A757" s="3739"/>
      <c r="C757" s="3737"/>
      <c r="J757" s="3742"/>
      <c r="R757" s="3740"/>
      <c r="T757" s="3740"/>
    </row>
    <row r="758" spans="1:20" s="3738" customFormat="1">
      <c r="A758" s="3739"/>
      <c r="C758" s="3737"/>
      <c r="J758" s="3742"/>
      <c r="R758" s="3740"/>
      <c r="T758" s="3740"/>
    </row>
    <row r="759" spans="1:20" s="3738" customFormat="1">
      <c r="A759" s="3739"/>
      <c r="C759" s="3737"/>
      <c r="J759" s="3742"/>
      <c r="R759" s="3740"/>
      <c r="T759" s="3740"/>
    </row>
    <row r="760" spans="1:20" s="3738" customFormat="1">
      <c r="A760" s="3739"/>
      <c r="C760" s="3737"/>
      <c r="J760" s="3742"/>
      <c r="R760" s="3740"/>
      <c r="T760" s="3740"/>
    </row>
    <row r="761" spans="1:20" s="3738" customFormat="1">
      <c r="A761" s="3739"/>
      <c r="C761" s="3737"/>
      <c r="J761" s="3742"/>
      <c r="R761" s="3740"/>
      <c r="T761" s="3740"/>
    </row>
    <row r="762" spans="1:20" s="3738" customFormat="1">
      <c r="A762" s="3739"/>
      <c r="C762" s="3737"/>
      <c r="J762" s="3742"/>
      <c r="R762" s="3740"/>
      <c r="T762" s="3740"/>
    </row>
    <row r="763" spans="1:20" s="3738" customFormat="1">
      <c r="A763" s="3739"/>
      <c r="C763" s="3737"/>
      <c r="J763" s="3742"/>
      <c r="R763" s="3740"/>
      <c r="T763" s="3740"/>
    </row>
    <row r="764" spans="1:20" s="3738" customFormat="1">
      <c r="A764" s="3739"/>
      <c r="C764" s="3737"/>
      <c r="J764" s="3742"/>
      <c r="R764" s="3740"/>
      <c r="T764" s="3740"/>
    </row>
    <row r="765" spans="1:20" s="3738" customFormat="1">
      <c r="A765" s="3739"/>
      <c r="C765" s="3737"/>
      <c r="J765" s="3742"/>
      <c r="R765" s="3740"/>
      <c r="T765" s="3740"/>
    </row>
    <row r="766" spans="1:20" s="3738" customFormat="1">
      <c r="A766" s="3739"/>
      <c r="C766" s="3737"/>
      <c r="J766" s="3742"/>
      <c r="R766" s="3740"/>
      <c r="T766" s="3740"/>
    </row>
    <row r="767" spans="1:20" s="3738" customFormat="1">
      <c r="A767" s="3739"/>
      <c r="C767" s="3737"/>
      <c r="J767" s="3742"/>
      <c r="R767" s="3740"/>
      <c r="T767" s="3740"/>
    </row>
    <row r="768" spans="1:20" s="3738" customFormat="1">
      <c r="A768" s="3739"/>
      <c r="C768" s="3737"/>
      <c r="J768" s="3742"/>
      <c r="R768" s="3740"/>
      <c r="T768" s="3740"/>
    </row>
    <row r="769" spans="1:20" s="3738" customFormat="1">
      <c r="A769" s="3739"/>
      <c r="C769" s="3737"/>
      <c r="J769" s="3742"/>
      <c r="R769" s="3740"/>
      <c r="T769" s="3740"/>
    </row>
    <row r="770" spans="1:20" s="3738" customFormat="1">
      <c r="A770" s="3739"/>
      <c r="C770" s="3737"/>
      <c r="J770" s="3742"/>
      <c r="R770" s="3740"/>
      <c r="T770" s="3740"/>
    </row>
    <row r="771" spans="1:20" s="3738" customFormat="1">
      <c r="A771" s="3739"/>
      <c r="C771" s="3737"/>
      <c r="J771" s="3742"/>
      <c r="R771" s="3740"/>
      <c r="T771" s="3740"/>
    </row>
    <row r="772" spans="1:20" s="3738" customFormat="1">
      <c r="A772" s="3739"/>
      <c r="C772" s="3737"/>
      <c r="J772" s="3742"/>
      <c r="R772" s="3740"/>
      <c r="T772" s="3740"/>
    </row>
    <row r="773" spans="1:20" s="3738" customFormat="1">
      <c r="A773" s="3739"/>
      <c r="C773" s="3737"/>
      <c r="J773" s="3742"/>
      <c r="R773" s="3740"/>
      <c r="T773" s="3740"/>
    </row>
    <row r="774" spans="1:20" s="3738" customFormat="1">
      <c r="A774" s="3739"/>
      <c r="C774" s="3737"/>
      <c r="J774" s="3742"/>
      <c r="R774" s="3740"/>
      <c r="T774" s="3740"/>
    </row>
    <row r="775" spans="1:20" s="3738" customFormat="1">
      <c r="A775" s="3739"/>
      <c r="C775" s="3737"/>
      <c r="J775" s="3742"/>
      <c r="R775" s="3740"/>
      <c r="T775" s="3740"/>
    </row>
    <row r="776" spans="1:20" s="3738" customFormat="1">
      <c r="A776" s="3739"/>
      <c r="C776" s="3737"/>
      <c r="J776" s="3742"/>
      <c r="R776" s="3740"/>
      <c r="T776" s="3740"/>
    </row>
    <row r="777" spans="1:20" s="3738" customFormat="1">
      <c r="A777" s="3739"/>
      <c r="C777" s="3737"/>
      <c r="J777" s="3742"/>
      <c r="R777" s="3740"/>
      <c r="T777" s="3740"/>
    </row>
    <row r="778" spans="1:20" s="3738" customFormat="1">
      <c r="A778" s="3739"/>
      <c r="C778" s="3737"/>
      <c r="J778" s="3742"/>
      <c r="R778" s="3740"/>
      <c r="T778" s="3740"/>
    </row>
    <row r="779" spans="1:20" s="3738" customFormat="1">
      <c r="A779" s="3739"/>
      <c r="C779" s="3737"/>
      <c r="J779" s="3742"/>
      <c r="R779" s="3740"/>
      <c r="T779" s="3740"/>
    </row>
    <row r="780" spans="1:20" s="3738" customFormat="1">
      <c r="A780" s="3739"/>
      <c r="C780" s="3737"/>
      <c r="J780" s="3742"/>
      <c r="R780" s="3740"/>
      <c r="T780" s="3740"/>
    </row>
    <row r="781" spans="1:20" s="3738" customFormat="1">
      <c r="A781" s="3739"/>
      <c r="C781" s="3737"/>
      <c r="J781" s="3742"/>
      <c r="R781" s="3740"/>
      <c r="T781" s="3740"/>
    </row>
    <row r="782" spans="1:20" s="3738" customFormat="1">
      <c r="A782" s="3739"/>
      <c r="C782" s="3737"/>
      <c r="J782" s="3742"/>
      <c r="R782" s="3740"/>
      <c r="T782" s="3740"/>
    </row>
    <row r="783" spans="1:20" s="3738" customFormat="1">
      <c r="A783" s="3739"/>
      <c r="C783" s="3737"/>
      <c r="J783" s="3742"/>
      <c r="R783" s="3740"/>
      <c r="T783" s="3740"/>
    </row>
    <row r="784" spans="1:20" s="3738" customFormat="1">
      <c r="A784" s="3739"/>
      <c r="C784" s="3737"/>
      <c r="J784" s="3742"/>
      <c r="R784" s="3740"/>
      <c r="T784" s="3740"/>
    </row>
    <row r="785" spans="1:20" s="3738" customFormat="1">
      <c r="A785" s="3739"/>
      <c r="C785" s="3737"/>
      <c r="J785" s="3742"/>
      <c r="R785" s="3740"/>
      <c r="T785" s="3740"/>
    </row>
    <row r="786" spans="1:20" s="3738" customFormat="1">
      <c r="A786" s="3739"/>
      <c r="C786" s="3737"/>
      <c r="J786" s="3742"/>
      <c r="R786" s="3740"/>
      <c r="T786" s="3740"/>
    </row>
    <row r="787" spans="1:20" s="3738" customFormat="1">
      <c r="A787" s="3739"/>
      <c r="C787" s="3737"/>
      <c r="J787" s="3742"/>
      <c r="R787" s="3740"/>
      <c r="T787" s="3740"/>
    </row>
    <row r="788" spans="1:20" s="3738" customFormat="1">
      <c r="A788" s="3739"/>
      <c r="C788" s="3737"/>
      <c r="J788" s="3742"/>
      <c r="R788" s="3740"/>
      <c r="T788" s="3740"/>
    </row>
    <row r="789" spans="1:20" s="3738" customFormat="1">
      <c r="A789" s="3739"/>
      <c r="C789" s="3737"/>
      <c r="J789" s="3742"/>
      <c r="R789" s="3740"/>
      <c r="T789" s="3740"/>
    </row>
    <row r="790" spans="1:20" s="3738" customFormat="1">
      <c r="A790" s="3739"/>
      <c r="C790" s="3737"/>
      <c r="J790" s="3742"/>
      <c r="R790" s="3740"/>
      <c r="T790" s="3740"/>
    </row>
    <row r="791" spans="1:20" s="3738" customFormat="1">
      <c r="A791" s="3739"/>
      <c r="C791" s="3737"/>
      <c r="J791" s="3742"/>
      <c r="R791" s="3740"/>
      <c r="T791" s="3740"/>
    </row>
    <row r="792" spans="1:20" s="3738" customFormat="1">
      <c r="A792" s="3739"/>
      <c r="C792" s="3737"/>
      <c r="J792" s="3742"/>
      <c r="R792" s="3740"/>
      <c r="T792" s="3740"/>
    </row>
    <row r="793" spans="1:20" s="3738" customFormat="1">
      <c r="A793" s="3739"/>
      <c r="C793" s="3737"/>
      <c r="J793" s="3742"/>
      <c r="R793" s="3740"/>
      <c r="T793" s="3740"/>
    </row>
    <row r="794" spans="1:20" s="3738" customFormat="1">
      <c r="A794" s="3739"/>
      <c r="C794" s="3737"/>
      <c r="J794" s="3742"/>
      <c r="R794" s="3740"/>
      <c r="T794" s="3740"/>
    </row>
    <row r="795" spans="1:20" s="3738" customFormat="1">
      <c r="A795" s="3739"/>
      <c r="C795" s="3737"/>
      <c r="J795" s="3742"/>
      <c r="R795" s="3740"/>
      <c r="T795" s="3740"/>
    </row>
    <row r="796" spans="1:20" s="3738" customFormat="1">
      <c r="A796" s="3739"/>
      <c r="C796" s="3737"/>
      <c r="J796" s="3742"/>
      <c r="R796" s="3740"/>
      <c r="T796" s="3740"/>
    </row>
    <row r="797" spans="1:20" s="3738" customFormat="1">
      <c r="A797" s="3739"/>
      <c r="C797" s="3737"/>
      <c r="J797" s="3742"/>
      <c r="R797" s="3740"/>
      <c r="T797" s="3740"/>
    </row>
    <row r="798" spans="1:20" s="3738" customFormat="1">
      <c r="A798" s="3739"/>
      <c r="C798" s="3737"/>
      <c r="J798" s="3742"/>
      <c r="R798" s="3740"/>
      <c r="T798" s="3740"/>
    </row>
    <row r="799" spans="1:20" s="3738" customFormat="1">
      <c r="A799" s="3739"/>
      <c r="C799" s="3737"/>
      <c r="J799" s="3742"/>
      <c r="R799" s="3740"/>
      <c r="T799" s="3740"/>
    </row>
    <row r="800" spans="1:20" s="3738" customFormat="1">
      <c r="A800" s="3739"/>
      <c r="C800" s="3737"/>
      <c r="J800" s="3742"/>
      <c r="R800" s="3740"/>
      <c r="T800" s="3740"/>
    </row>
    <row r="801" spans="1:20" s="3738" customFormat="1">
      <c r="A801" s="3739"/>
      <c r="C801" s="3737"/>
      <c r="J801" s="3742"/>
      <c r="R801" s="3740"/>
      <c r="T801" s="3740"/>
    </row>
    <row r="802" spans="1:20" s="3738" customFormat="1">
      <c r="A802" s="3739"/>
      <c r="C802" s="3737"/>
      <c r="J802" s="3742"/>
      <c r="R802" s="3740"/>
      <c r="T802" s="3740"/>
    </row>
    <row r="803" spans="1:20" s="3738" customFormat="1">
      <c r="A803" s="3739"/>
      <c r="C803" s="3737"/>
      <c r="J803" s="3742"/>
      <c r="R803" s="3740"/>
      <c r="T803" s="3740"/>
    </row>
    <row r="804" spans="1:20" s="3738" customFormat="1">
      <c r="A804" s="3739"/>
      <c r="C804" s="3737"/>
      <c r="J804" s="3742"/>
      <c r="R804" s="3740"/>
      <c r="T804" s="3740"/>
    </row>
    <row r="805" spans="1:20" s="3738" customFormat="1">
      <c r="A805" s="3739"/>
      <c r="C805" s="3737"/>
      <c r="J805" s="3742"/>
      <c r="R805" s="3740"/>
      <c r="T805" s="3740"/>
    </row>
    <row r="806" spans="1:20" s="3738" customFormat="1">
      <c r="A806" s="3739"/>
      <c r="C806" s="3737"/>
      <c r="J806" s="3742"/>
      <c r="R806" s="3740"/>
      <c r="T806" s="3740"/>
    </row>
    <row r="807" spans="1:20" s="3738" customFormat="1">
      <c r="A807" s="3739"/>
      <c r="C807" s="3737"/>
      <c r="J807" s="3742"/>
      <c r="R807" s="3740"/>
      <c r="T807" s="3740"/>
    </row>
    <row r="808" spans="1:20" s="3738" customFormat="1">
      <c r="A808" s="3739"/>
      <c r="C808" s="3737"/>
      <c r="J808" s="3742"/>
      <c r="R808" s="3740"/>
      <c r="T808" s="3740"/>
    </row>
    <row r="809" spans="1:20" s="3738" customFormat="1">
      <c r="A809" s="3739"/>
      <c r="C809" s="3737"/>
      <c r="J809" s="3742"/>
      <c r="R809" s="3740"/>
      <c r="T809" s="3740"/>
    </row>
    <row r="810" spans="1:20" s="3738" customFormat="1">
      <c r="A810" s="3739"/>
      <c r="C810" s="3737"/>
      <c r="J810" s="3742"/>
      <c r="R810" s="3740"/>
      <c r="T810" s="3740"/>
    </row>
    <row r="811" spans="1:20" s="3738" customFormat="1">
      <c r="A811" s="3739"/>
      <c r="C811" s="3737"/>
      <c r="J811" s="3742"/>
      <c r="R811" s="3740"/>
      <c r="T811" s="3740"/>
    </row>
    <row r="812" spans="1:20" s="3738" customFormat="1">
      <c r="A812" s="3739"/>
      <c r="C812" s="3737"/>
      <c r="J812" s="3742"/>
      <c r="R812" s="3740"/>
      <c r="T812" s="3740"/>
    </row>
    <row r="813" spans="1:20" s="3738" customFormat="1">
      <c r="A813" s="3739"/>
      <c r="C813" s="3737"/>
      <c r="J813" s="3742"/>
      <c r="R813" s="3740"/>
      <c r="T813" s="3740"/>
    </row>
    <row r="814" spans="1:20" s="3738" customFormat="1">
      <c r="A814" s="3739"/>
      <c r="C814" s="3737"/>
      <c r="J814" s="3742"/>
      <c r="R814" s="3740"/>
      <c r="T814" s="3740"/>
    </row>
    <row r="815" spans="1:20" s="3738" customFormat="1">
      <c r="A815" s="3739"/>
      <c r="C815" s="3737"/>
      <c r="J815" s="3742"/>
      <c r="R815" s="3740"/>
      <c r="T815" s="3740"/>
    </row>
    <row r="816" spans="1:20" s="3738" customFormat="1">
      <c r="A816" s="3739"/>
      <c r="C816" s="3737"/>
      <c r="J816" s="3742"/>
      <c r="R816" s="3740"/>
      <c r="T816" s="3740"/>
    </row>
    <row r="817" spans="1:20" s="3738" customFormat="1">
      <c r="A817" s="3739"/>
      <c r="C817" s="3737"/>
      <c r="J817" s="3742"/>
      <c r="R817" s="3740"/>
      <c r="T817" s="3740"/>
    </row>
    <row r="818" spans="1:20" s="3738" customFormat="1">
      <c r="A818" s="3739"/>
      <c r="C818" s="3737"/>
      <c r="J818" s="3742"/>
      <c r="R818" s="3740"/>
      <c r="T818" s="3740"/>
    </row>
    <row r="819" spans="1:20" s="3738" customFormat="1">
      <c r="A819" s="3739"/>
      <c r="C819" s="3737"/>
      <c r="J819" s="3742"/>
      <c r="R819" s="3740"/>
      <c r="T819" s="3740"/>
    </row>
    <row r="820" spans="1:20" s="3738" customFormat="1">
      <c r="A820" s="3739"/>
      <c r="C820" s="3737"/>
      <c r="J820" s="3742"/>
      <c r="R820" s="3740"/>
      <c r="T820" s="3740"/>
    </row>
    <row r="821" spans="1:20" s="3738" customFormat="1">
      <c r="A821" s="3739"/>
      <c r="C821" s="3737"/>
      <c r="J821" s="3742"/>
      <c r="R821" s="3740"/>
      <c r="T821" s="3740"/>
    </row>
    <row r="822" spans="1:20" s="3738" customFormat="1">
      <c r="A822" s="3739"/>
      <c r="C822" s="3737"/>
      <c r="J822" s="3742"/>
      <c r="R822" s="3740"/>
      <c r="T822" s="3740"/>
    </row>
    <row r="823" spans="1:20" s="3738" customFormat="1">
      <c r="A823" s="3739"/>
      <c r="C823" s="3737"/>
      <c r="J823" s="3742"/>
      <c r="R823" s="3740"/>
      <c r="T823" s="3740"/>
    </row>
    <row r="824" spans="1:20" s="3738" customFormat="1">
      <c r="A824" s="3739"/>
      <c r="C824" s="3737"/>
      <c r="J824" s="3742"/>
      <c r="R824" s="3740"/>
      <c r="T824" s="3740"/>
    </row>
    <row r="825" spans="1:20" s="3738" customFormat="1">
      <c r="A825" s="3739"/>
      <c r="C825" s="3737"/>
      <c r="J825" s="3742"/>
      <c r="R825" s="3740"/>
      <c r="T825" s="3740"/>
    </row>
    <row r="826" spans="1:20" s="3738" customFormat="1">
      <c r="A826" s="3739"/>
      <c r="C826" s="3737"/>
      <c r="J826" s="3742"/>
      <c r="R826" s="3740"/>
      <c r="T826" s="3740"/>
    </row>
    <row r="827" spans="1:20" s="3738" customFormat="1">
      <c r="A827" s="3739"/>
      <c r="C827" s="3737"/>
      <c r="J827" s="3742"/>
      <c r="R827" s="3740"/>
      <c r="T827" s="3740"/>
    </row>
    <row r="828" spans="1:20" s="3738" customFormat="1">
      <c r="A828" s="3739"/>
      <c r="C828" s="3737"/>
      <c r="J828" s="3742"/>
      <c r="R828" s="3740"/>
      <c r="T828" s="3740"/>
    </row>
    <row r="829" spans="1:20" s="3738" customFormat="1">
      <c r="A829" s="3739"/>
      <c r="C829" s="3737"/>
      <c r="J829" s="3742"/>
      <c r="R829" s="3740"/>
      <c r="T829" s="3740"/>
    </row>
    <row r="830" spans="1:20" s="3738" customFormat="1">
      <c r="A830" s="3739"/>
      <c r="C830" s="3737"/>
      <c r="J830" s="3742"/>
      <c r="R830" s="3740"/>
      <c r="T830" s="3740"/>
    </row>
    <row r="831" spans="1:20" s="3738" customFormat="1">
      <c r="A831" s="3739"/>
      <c r="C831" s="3737"/>
      <c r="J831" s="3742"/>
      <c r="R831" s="3740"/>
      <c r="T831" s="3740"/>
    </row>
    <row r="832" spans="1:20" s="3738" customFormat="1">
      <c r="A832" s="3739"/>
      <c r="C832" s="3737"/>
      <c r="J832" s="3742"/>
      <c r="R832" s="3740"/>
      <c r="T832" s="3740"/>
    </row>
    <row r="833" spans="1:20" s="3738" customFormat="1">
      <c r="A833" s="3739"/>
      <c r="C833" s="3737"/>
      <c r="J833" s="3742"/>
      <c r="R833" s="3740"/>
      <c r="T833" s="3740"/>
    </row>
    <row r="834" spans="1:20" s="3738" customFormat="1">
      <c r="A834" s="3739"/>
      <c r="C834" s="3737"/>
      <c r="J834" s="3742"/>
      <c r="R834" s="3740"/>
      <c r="T834" s="3740"/>
    </row>
    <row r="835" spans="1:20" s="3738" customFormat="1">
      <c r="A835" s="3739"/>
      <c r="C835" s="3737"/>
      <c r="J835" s="3742"/>
      <c r="R835" s="3740"/>
      <c r="T835" s="3740"/>
    </row>
    <row r="836" spans="1:20" s="3738" customFormat="1">
      <c r="A836" s="3739"/>
      <c r="C836" s="3737"/>
      <c r="J836" s="3742"/>
      <c r="R836" s="3740"/>
      <c r="T836" s="3740"/>
    </row>
    <row r="837" spans="1:20" s="3738" customFormat="1">
      <c r="A837" s="3739"/>
      <c r="C837" s="3737"/>
      <c r="J837" s="3742"/>
      <c r="R837" s="3740"/>
      <c r="T837" s="3740"/>
    </row>
    <row r="838" spans="1:20" s="3738" customFormat="1">
      <c r="A838" s="3739"/>
      <c r="C838" s="3737"/>
      <c r="J838" s="3742"/>
      <c r="R838" s="3740"/>
      <c r="T838" s="3740"/>
    </row>
    <row r="839" spans="1:20" s="3738" customFormat="1">
      <c r="A839" s="3739"/>
      <c r="C839" s="3737"/>
      <c r="J839" s="3742"/>
      <c r="R839" s="3740"/>
      <c r="T839" s="3740"/>
    </row>
    <row r="840" spans="1:20" s="3738" customFormat="1">
      <c r="A840" s="3739"/>
      <c r="C840" s="3737"/>
      <c r="J840" s="3742"/>
      <c r="R840" s="3740"/>
      <c r="T840" s="3740"/>
    </row>
    <row r="841" spans="1:20" s="3738" customFormat="1">
      <c r="A841" s="3739"/>
      <c r="C841" s="3737"/>
      <c r="J841" s="3742"/>
      <c r="R841" s="3740"/>
      <c r="T841" s="3740"/>
    </row>
    <row r="842" spans="1:20" s="3738" customFormat="1">
      <c r="A842" s="3739"/>
      <c r="C842" s="3737"/>
      <c r="J842" s="3742"/>
      <c r="R842" s="3740"/>
      <c r="T842" s="3740"/>
    </row>
    <row r="843" spans="1:20" s="3738" customFormat="1">
      <c r="A843" s="3739"/>
      <c r="C843" s="3737"/>
      <c r="J843" s="3742"/>
      <c r="R843" s="3740"/>
      <c r="T843" s="3740"/>
    </row>
    <row r="844" spans="1:20" s="3738" customFormat="1">
      <c r="A844" s="3739"/>
      <c r="C844" s="3737"/>
      <c r="J844" s="3742"/>
      <c r="R844" s="3740"/>
      <c r="T844" s="3740"/>
    </row>
    <row r="845" spans="1:20" s="3738" customFormat="1">
      <c r="A845" s="3739"/>
      <c r="C845" s="3737"/>
      <c r="J845" s="3742"/>
      <c r="R845" s="3740"/>
      <c r="T845" s="3740"/>
    </row>
    <row r="846" spans="1:20" s="3738" customFormat="1">
      <c r="A846" s="3739"/>
      <c r="C846" s="3737"/>
      <c r="J846" s="3742"/>
      <c r="R846" s="3740"/>
      <c r="T846" s="3740"/>
    </row>
    <row r="847" spans="1:20" s="3738" customFormat="1">
      <c r="A847" s="3739"/>
      <c r="C847" s="3737"/>
      <c r="J847" s="3742"/>
      <c r="R847" s="3740"/>
      <c r="T847" s="3740"/>
    </row>
    <row r="848" spans="1:20" s="3738" customFormat="1">
      <c r="A848" s="3739"/>
      <c r="C848" s="3737"/>
      <c r="J848" s="3742"/>
      <c r="R848" s="3740"/>
      <c r="T848" s="3740"/>
    </row>
    <row r="849" spans="1:20" s="3738" customFormat="1">
      <c r="A849" s="3739"/>
      <c r="C849" s="3737"/>
      <c r="J849" s="3742"/>
      <c r="R849" s="3740"/>
      <c r="T849" s="3740"/>
    </row>
    <row r="850" spans="1:20" s="3738" customFormat="1">
      <c r="A850" s="3739"/>
      <c r="C850" s="3737"/>
      <c r="J850" s="3742"/>
      <c r="R850" s="3740"/>
      <c r="T850" s="3740"/>
    </row>
    <row r="851" spans="1:20" s="3738" customFormat="1">
      <c r="A851" s="3739"/>
      <c r="C851" s="3737"/>
      <c r="J851" s="3742"/>
      <c r="R851" s="3740"/>
      <c r="T851" s="3740"/>
    </row>
    <row r="852" spans="1:20" s="3738" customFormat="1">
      <c r="A852" s="3739"/>
      <c r="C852" s="3737"/>
      <c r="J852" s="3742"/>
      <c r="R852" s="3740"/>
      <c r="T852" s="3740"/>
    </row>
    <row r="853" spans="1:20" s="3738" customFormat="1">
      <c r="A853" s="3739"/>
      <c r="C853" s="3737"/>
      <c r="J853" s="3742"/>
      <c r="R853" s="3740"/>
      <c r="T853" s="3740"/>
    </row>
    <row r="854" spans="1:20" s="3738" customFormat="1">
      <c r="A854" s="3739"/>
      <c r="C854" s="3737"/>
      <c r="J854" s="3742"/>
      <c r="R854" s="3740"/>
      <c r="T854" s="3740"/>
    </row>
    <row r="855" spans="1:20" s="3738" customFormat="1">
      <c r="A855" s="3739"/>
      <c r="C855" s="3737"/>
      <c r="J855" s="3742"/>
      <c r="R855" s="3740"/>
      <c r="T855" s="3740"/>
    </row>
    <row r="856" spans="1:20" s="3738" customFormat="1">
      <c r="A856" s="3739"/>
      <c r="C856" s="3737"/>
      <c r="J856" s="3742"/>
      <c r="R856" s="3740"/>
      <c r="T856" s="3740"/>
    </row>
    <row r="857" spans="1:20" s="3738" customFormat="1">
      <c r="A857" s="3739"/>
      <c r="C857" s="3737"/>
      <c r="J857" s="3742"/>
      <c r="R857" s="3740"/>
      <c r="T857" s="3740"/>
    </row>
    <row r="858" spans="1:20" s="3738" customFormat="1">
      <c r="A858" s="3739"/>
      <c r="C858" s="3737"/>
      <c r="J858" s="3742"/>
      <c r="R858" s="3740"/>
      <c r="T858" s="3740"/>
    </row>
    <row r="859" spans="1:20" s="3738" customFormat="1">
      <c r="A859" s="3739"/>
      <c r="C859" s="3737"/>
      <c r="J859" s="3742"/>
      <c r="R859" s="3740"/>
      <c r="T859" s="3740"/>
    </row>
    <row r="860" spans="1:20" s="3738" customFormat="1">
      <c r="A860" s="3739"/>
      <c r="C860" s="3737"/>
      <c r="J860" s="3742"/>
      <c r="R860" s="3740"/>
      <c r="T860" s="3740"/>
    </row>
    <row r="861" spans="1:20" s="3738" customFormat="1">
      <c r="A861" s="3739"/>
      <c r="C861" s="3737"/>
      <c r="J861" s="3742"/>
      <c r="R861" s="3740"/>
      <c r="T861" s="3740"/>
    </row>
    <row r="862" spans="1:20" s="3738" customFormat="1">
      <c r="A862" s="3739"/>
      <c r="C862" s="3737"/>
      <c r="J862" s="3742"/>
      <c r="R862" s="3740"/>
      <c r="T862" s="3740"/>
    </row>
    <row r="863" spans="1:20" s="3738" customFormat="1">
      <c r="A863" s="3739"/>
      <c r="C863" s="3737"/>
      <c r="J863" s="3742"/>
      <c r="R863" s="3740"/>
      <c r="T863" s="3740"/>
    </row>
    <row r="864" spans="1:20" s="3738" customFormat="1">
      <c r="A864" s="3739"/>
      <c r="C864" s="3737"/>
      <c r="J864" s="3742"/>
      <c r="R864" s="3740"/>
      <c r="T864" s="3740"/>
    </row>
    <row r="865" spans="1:20" s="3738" customFormat="1">
      <c r="A865" s="3739"/>
      <c r="C865" s="3737"/>
      <c r="J865" s="3742"/>
      <c r="R865" s="3740"/>
      <c r="T865" s="3740"/>
    </row>
    <row r="866" spans="1:20" s="3738" customFormat="1">
      <c r="A866" s="3739"/>
      <c r="C866" s="3737"/>
      <c r="J866" s="3742"/>
      <c r="R866" s="3740"/>
      <c r="T866" s="3740"/>
    </row>
    <row r="867" spans="1:20" s="3738" customFormat="1">
      <c r="A867" s="3739"/>
      <c r="C867" s="3737"/>
      <c r="J867" s="3742"/>
      <c r="R867" s="3740"/>
      <c r="T867" s="3740"/>
    </row>
    <row r="868" spans="1:20" s="3738" customFormat="1">
      <c r="A868" s="3739"/>
      <c r="C868" s="3737"/>
      <c r="J868" s="3742"/>
      <c r="R868" s="3740"/>
      <c r="T868" s="3740"/>
    </row>
    <row r="869" spans="1:20" s="3738" customFormat="1">
      <c r="A869" s="3739"/>
      <c r="C869" s="3737"/>
      <c r="J869" s="3742"/>
      <c r="R869" s="3740"/>
      <c r="T869" s="3740"/>
    </row>
    <row r="870" spans="1:20" s="3738" customFormat="1">
      <c r="A870" s="3739"/>
      <c r="C870" s="3737"/>
      <c r="J870" s="3742"/>
      <c r="R870" s="3740"/>
      <c r="T870" s="3740"/>
    </row>
    <row r="871" spans="1:20" s="3738" customFormat="1">
      <c r="A871" s="3739"/>
      <c r="C871" s="3737"/>
      <c r="J871" s="3742"/>
      <c r="R871" s="3740"/>
      <c r="T871" s="3740"/>
    </row>
    <row r="872" spans="1:20" s="3738" customFormat="1">
      <c r="A872" s="3739"/>
      <c r="C872" s="3737"/>
      <c r="J872" s="3742"/>
      <c r="R872" s="3740"/>
      <c r="T872" s="3740"/>
    </row>
    <row r="873" spans="1:20" s="3738" customFormat="1">
      <c r="A873" s="3739"/>
      <c r="C873" s="3737"/>
      <c r="J873" s="3742"/>
      <c r="R873" s="3740"/>
      <c r="T873" s="3740"/>
    </row>
    <row r="874" spans="1:20" s="3738" customFormat="1">
      <c r="A874" s="3739"/>
      <c r="C874" s="3737"/>
      <c r="J874" s="3742"/>
      <c r="R874" s="3740"/>
      <c r="T874" s="3740"/>
    </row>
    <row r="875" spans="1:20" s="3738" customFormat="1">
      <c r="A875" s="3739"/>
      <c r="C875" s="3737"/>
      <c r="J875" s="3742"/>
      <c r="R875" s="3740"/>
      <c r="T875" s="3740"/>
    </row>
    <row r="876" spans="1:20" s="3738" customFormat="1">
      <c r="A876" s="3739"/>
      <c r="C876" s="3737"/>
      <c r="J876" s="3742"/>
      <c r="R876" s="3740"/>
      <c r="T876" s="3740"/>
    </row>
    <row r="877" spans="1:20" s="3738" customFormat="1">
      <c r="A877" s="3739"/>
      <c r="C877" s="3737"/>
      <c r="J877" s="3742"/>
      <c r="R877" s="3740"/>
      <c r="T877" s="3740"/>
    </row>
    <row r="878" spans="1:20" s="3738" customFormat="1">
      <c r="A878" s="3739"/>
      <c r="C878" s="3737"/>
      <c r="J878" s="3742"/>
      <c r="R878" s="3740"/>
      <c r="T878" s="3740"/>
    </row>
    <row r="879" spans="1:20" s="3738" customFormat="1">
      <c r="A879" s="3739"/>
      <c r="C879" s="3737"/>
      <c r="J879" s="3742"/>
      <c r="R879" s="3740"/>
      <c r="T879" s="3740"/>
    </row>
    <row r="880" spans="1:20" s="3738" customFormat="1">
      <c r="A880" s="3739"/>
      <c r="C880" s="3737"/>
      <c r="J880" s="3742"/>
      <c r="R880" s="3740"/>
      <c r="T880" s="3740"/>
    </row>
    <row r="881" spans="1:20" s="3738" customFormat="1">
      <c r="A881" s="3739"/>
      <c r="C881" s="3737"/>
      <c r="J881" s="3742"/>
      <c r="R881" s="3740"/>
      <c r="T881" s="3740"/>
    </row>
    <row r="882" spans="1:20" s="3738" customFormat="1">
      <c r="A882" s="3739"/>
      <c r="C882" s="3737"/>
      <c r="J882" s="3742"/>
      <c r="R882" s="3740"/>
      <c r="T882" s="3740"/>
    </row>
    <row r="883" spans="1:20" s="3738" customFormat="1">
      <c r="A883" s="3739"/>
      <c r="C883" s="3737"/>
      <c r="J883" s="3742"/>
      <c r="R883" s="3740"/>
      <c r="T883" s="3740"/>
    </row>
    <row r="884" spans="1:20" s="3738" customFormat="1">
      <c r="A884" s="3739"/>
      <c r="C884" s="3737"/>
      <c r="J884" s="3742"/>
      <c r="R884" s="3740"/>
      <c r="T884" s="3740"/>
    </row>
    <row r="885" spans="1:20" s="3738" customFormat="1">
      <c r="A885" s="3739"/>
      <c r="C885" s="3737"/>
      <c r="J885" s="3742"/>
      <c r="R885" s="3740"/>
      <c r="T885" s="3740"/>
    </row>
    <row r="886" spans="1:20" s="3738" customFormat="1">
      <c r="A886" s="3739"/>
      <c r="C886" s="3737"/>
      <c r="J886" s="3742"/>
      <c r="R886" s="3740"/>
      <c r="T886" s="3740"/>
    </row>
    <row r="887" spans="1:20" s="3738" customFormat="1">
      <c r="A887" s="3739"/>
      <c r="C887" s="3737"/>
      <c r="J887" s="3742"/>
      <c r="R887" s="3740"/>
      <c r="T887" s="3740"/>
    </row>
    <row r="888" spans="1:20" s="3738" customFormat="1">
      <c r="A888" s="3739"/>
      <c r="C888" s="3737"/>
      <c r="J888" s="3742"/>
      <c r="R888" s="3740"/>
      <c r="T888" s="3740"/>
    </row>
    <row r="889" spans="1:20" s="3738" customFormat="1">
      <c r="A889" s="3739"/>
      <c r="C889" s="3737"/>
      <c r="J889" s="3742"/>
      <c r="R889" s="3740"/>
      <c r="T889" s="3740"/>
    </row>
    <row r="890" spans="1:20" s="3738" customFormat="1">
      <c r="A890" s="3739"/>
      <c r="C890" s="3737"/>
      <c r="J890" s="3742"/>
      <c r="R890" s="3740"/>
      <c r="T890" s="3740"/>
    </row>
    <row r="891" spans="1:20" s="3738" customFormat="1">
      <c r="A891" s="3739"/>
      <c r="C891" s="3737"/>
      <c r="J891" s="3742"/>
      <c r="R891" s="3740"/>
      <c r="T891" s="3740"/>
    </row>
    <row r="892" spans="1:20" s="3738" customFormat="1">
      <c r="A892" s="3739"/>
      <c r="C892" s="3737"/>
      <c r="J892" s="3742"/>
      <c r="R892" s="3740"/>
      <c r="T892" s="3740"/>
    </row>
    <row r="893" spans="1:20" s="3738" customFormat="1">
      <c r="A893" s="3739"/>
      <c r="C893" s="3737"/>
      <c r="J893" s="3742"/>
      <c r="R893" s="3740"/>
      <c r="T893" s="3740"/>
    </row>
    <row r="894" spans="1:20" s="3738" customFormat="1">
      <c r="A894" s="3739"/>
      <c r="C894" s="3737"/>
      <c r="J894" s="3742"/>
      <c r="R894" s="3740"/>
      <c r="T894" s="3740"/>
    </row>
    <row r="895" spans="1:20" s="3738" customFormat="1">
      <c r="A895" s="3739"/>
      <c r="C895" s="3737"/>
      <c r="J895" s="3742"/>
      <c r="R895" s="3740"/>
      <c r="T895" s="3740"/>
    </row>
    <row r="896" spans="1:20" s="3738" customFormat="1">
      <c r="A896" s="3739"/>
      <c r="C896" s="3737"/>
      <c r="J896" s="3742"/>
      <c r="R896" s="3740"/>
      <c r="T896" s="3740"/>
    </row>
    <row r="897" spans="1:20" s="3738" customFormat="1">
      <c r="A897" s="3739"/>
      <c r="C897" s="3737"/>
      <c r="J897" s="3742"/>
      <c r="R897" s="3740"/>
      <c r="T897" s="3740"/>
    </row>
    <row r="898" spans="1:20" s="3738" customFormat="1">
      <c r="A898" s="3739"/>
      <c r="C898" s="3737"/>
      <c r="J898" s="3742"/>
      <c r="R898" s="3740"/>
      <c r="T898" s="3740"/>
    </row>
    <row r="899" spans="1:20" s="3738" customFormat="1">
      <c r="A899" s="3739"/>
      <c r="C899" s="3737"/>
      <c r="J899" s="3742"/>
      <c r="R899" s="3740"/>
      <c r="T899" s="3740"/>
    </row>
    <row r="900" spans="1:20" s="3738" customFormat="1">
      <c r="A900" s="3739"/>
      <c r="C900" s="3737"/>
      <c r="J900" s="3742"/>
      <c r="R900" s="3740"/>
      <c r="T900" s="3740"/>
    </row>
    <row r="901" spans="1:20" s="3738" customFormat="1">
      <c r="A901" s="3739"/>
      <c r="C901" s="3737"/>
      <c r="J901" s="3742"/>
      <c r="R901" s="3740"/>
      <c r="T901" s="3740"/>
    </row>
    <row r="902" spans="1:20" s="3738" customFormat="1">
      <c r="A902" s="3739"/>
      <c r="C902" s="3737"/>
      <c r="J902" s="3742"/>
      <c r="R902" s="3740"/>
      <c r="T902" s="3740"/>
    </row>
    <row r="903" spans="1:20" s="3738" customFormat="1">
      <c r="A903" s="3739"/>
      <c r="C903" s="3737"/>
      <c r="J903" s="3742"/>
      <c r="R903" s="3740"/>
      <c r="T903" s="3740"/>
    </row>
    <row r="904" spans="1:20" s="3738" customFormat="1">
      <c r="A904" s="3739"/>
      <c r="C904" s="3737"/>
      <c r="J904" s="3742"/>
      <c r="R904" s="3740"/>
      <c r="T904" s="3740"/>
    </row>
    <row r="905" spans="1:20" s="3738" customFormat="1">
      <c r="A905" s="3739"/>
      <c r="C905" s="3737"/>
      <c r="J905" s="3742"/>
      <c r="R905" s="3740"/>
      <c r="T905" s="3740"/>
    </row>
    <row r="906" spans="1:20" s="3738" customFormat="1">
      <c r="A906" s="3739"/>
      <c r="C906" s="3737"/>
      <c r="J906" s="3742"/>
      <c r="R906" s="3740"/>
      <c r="T906" s="3740"/>
    </row>
    <row r="907" spans="1:20" s="3738" customFormat="1">
      <c r="A907" s="3739"/>
      <c r="C907" s="3737"/>
      <c r="J907" s="3742"/>
      <c r="R907" s="3740"/>
      <c r="T907" s="3740"/>
    </row>
    <row r="908" spans="1:20" s="3738" customFormat="1">
      <c r="A908" s="3739"/>
      <c r="C908" s="3737"/>
      <c r="J908" s="3742"/>
      <c r="R908" s="3740"/>
      <c r="T908" s="3740"/>
    </row>
    <row r="909" spans="1:20" s="3738" customFormat="1">
      <c r="A909" s="3739"/>
      <c r="C909" s="3737"/>
      <c r="J909" s="3742"/>
      <c r="R909" s="3740"/>
      <c r="T909" s="3740"/>
    </row>
    <row r="910" spans="1:20" s="3738" customFormat="1">
      <c r="A910" s="3739"/>
      <c r="C910" s="3737"/>
      <c r="J910" s="3742"/>
      <c r="R910" s="3740"/>
      <c r="T910" s="3740"/>
    </row>
    <row r="911" spans="1:20" s="3738" customFormat="1">
      <c r="A911" s="3739"/>
      <c r="C911" s="3737"/>
      <c r="J911" s="3742"/>
      <c r="R911" s="3740"/>
      <c r="T911" s="3740"/>
    </row>
    <row r="912" spans="1:20" s="3738" customFormat="1">
      <c r="A912" s="3739"/>
      <c r="C912" s="3737"/>
      <c r="J912" s="3742"/>
      <c r="R912" s="3740"/>
      <c r="T912" s="3740"/>
    </row>
    <row r="913" spans="1:20" s="3738" customFormat="1">
      <c r="A913" s="3739"/>
      <c r="C913" s="3737"/>
      <c r="J913" s="3742"/>
      <c r="R913" s="3740"/>
      <c r="T913" s="3740"/>
    </row>
    <row r="914" spans="1:20" s="3738" customFormat="1">
      <c r="A914" s="3739"/>
      <c r="C914" s="3737"/>
      <c r="J914" s="3742"/>
      <c r="R914" s="3740"/>
      <c r="T914" s="3740"/>
    </row>
    <row r="915" spans="1:20" s="3738" customFormat="1">
      <c r="A915" s="3739"/>
      <c r="C915" s="3737"/>
      <c r="J915" s="3742"/>
      <c r="R915" s="3740"/>
      <c r="T915" s="3740"/>
    </row>
    <row r="916" spans="1:20" s="3738" customFormat="1">
      <c r="A916" s="3739"/>
      <c r="C916" s="3737"/>
      <c r="J916" s="3742"/>
      <c r="R916" s="3740"/>
      <c r="T916" s="3740"/>
    </row>
    <row r="917" spans="1:20" s="3738" customFormat="1">
      <c r="A917" s="3739"/>
      <c r="C917" s="3737"/>
      <c r="J917" s="3742"/>
      <c r="R917" s="3740"/>
      <c r="T917" s="3740"/>
    </row>
    <row r="918" spans="1:20" s="3738" customFormat="1">
      <c r="A918" s="3739"/>
      <c r="C918" s="3737"/>
      <c r="J918" s="3742"/>
      <c r="R918" s="3740"/>
      <c r="T918" s="3740"/>
    </row>
    <row r="919" spans="1:20" s="3738" customFormat="1">
      <c r="A919" s="3739"/>
      <c r="C919" s="3737"/>
      <c r="J919" s="3742"/>
      <c r="R919" s="3740"/>
      <c r="T919" s="3740"/>
    </row>
    <row r="920" spans="1:20" s="3738" customFormat="1">
      <c r="A920" s="3739"/>
      <c r="C920" s="3737"/>
      <c r="J920" s="3742"/>
      <c r="R920" s="3740"/>
      <c r="T920" s="3740"/>
    </row>
    <row r="921" spans="1:20" s="3738" customFormat="1">
      <c r="A921" s="3739"/>
      <c r="C921" s="3737"/>
      <c r="J921" s="3742"/>
      <c r="R921" s="3740"/>
      <c r="T921" s="3740"/>
    </row>
    <row r="922" spans="1:20" s="3738" customFormat="1">
      <c r="A922" s="3739"/>
      <c r="C922" s="3737"/>
      <c r="J922" s="3742"/>
      <c r="R922" s="3740"/>
      <c r="T922" s="3740"/>
    </row>
    <row r="923" spans="1:20" s="3738" customFormat="1">
      <c r="A923" s="3739"/>
      <c r="C923" s="3737"/>
      <c r="J923" s="3742"/>
      <c r="R923" s="3740"/>
      <c r="T923" s="3740"/>
    </row>
    <row r="924" spans="1:20" s="3738" customFormat="1">
      <c r="A924" s="3739"/>
      <c r="C924" s="3737"/>
      <c r="J924" s="3742"/>
      <c r="R924" s="3740"/>
      <c r="T924" s="3740"/>
    </row>
    <row r="925" spans="1:20" s="3738" customFormat="1">
      <c r="A925" s="3739"/>
      <c r="C925" s="3737"/>
      <c r="J925" s="3742"/>
      <c r="R925" s="3740"/>
      <c r="T925" s="3740"/>
    </row>
    <row r="926" spans="1:20" s="3738" customFormat="1">
      <c r="A926" s="3739"/>
      <c r="C926" s="3737"/>
      <c r="J926" s="3742"/>
      <c r="R926" s="3740"/>
      <c r="T926" s="3740"/>
    </row>
    <row r="927" spans="1:20" s="3738" customFormat="1">
      <c r="A927" s="3739"/>
      <c r="C927" s="3737"/>
      <c r="J927" s="3742"/>
      <c r="R927" s="3740"/>
      <c r="T927" s="3740"/>
    </row>
    <row r="928" spans="1:20" s="3738" customFormat="1">
      <c r="A928" s="3739"/>
      <c r="C928" s="3737"/>
      <c r="J928" s="3742"/>
      <c r="R928" s="3740"/>
      <c r="T928" s="3740"/>
    </row>
    <row r="929" spans="1:20" s="3738" customFormat="1">
      <c r="A929" s="3739"/>
      <c r="C929" s="3737"/>
      <c r="J929" s="3742"/>
      <c r="R929" s="3740"/>
      <c r="T929" s="3740"/>
    </row>
    <row r="930" spans="1:20" s="3738" customFormat="1">
      <c r="A930" s="3739"/>
      <c r="C930" s="3737"/>
      <c r="J930" s="3742"/>
      <c r="R930" s="3740"/>
      <c r="T930" s="3740"/>
    </row>
    <row r="931" spans="1:20" s="3738" customFormat="1">
      <c r="A931" s="3739"/>
      <c r="C931" s="3737"/>
      <c r="J931" s="3742"/>
      <c r="R931" s="3740"/>
      <c r="T931" s="3740"/>
    </row>
    <row r="932" spans="1:20" s="3738" customFormat="1">
      <c r="A932" s="3739"/>
      <c r="C932" s="3737"/>
      <c r="J932" s="3742"/>
      <c r="R932" s="3740"/>
      <c r="T932" s="3740"/>
    </row>
    <row r="933" spans="1:20" s="3738" customFormat="1">
      <c r="A933" s="3739"/>
      <c r="C933" s="3737"/>
      <c r="J933" s="3742"/>
      <c r="R933" s="3740"/>
      <c r="T933" s="3740"/>
    </row>
    <row r="934" spans="1:20" s="3738" customFormat="1">
      <c r="A934" s="3739"/>
      <c r="C934" s="3737"/>
      <c r="J934" s="3742"/>
      <c r="R934" s="3740"/>
      <c r="T934" s="3740"/>
    </row>
    <row r="935" spans="1:20" s="3738" customFormat="1">
      <c r="A935" s="3739"/>
      <c r="C935" s="3737"/>
      <c r="J935" s="3742"/>
      <c r="R935" s="3740"/>
      <c r="T935" s="3740"/>
    </row>
    <row r="936" spans="1:20" s="3738" customFormat="1">
      <c r="A936" s="3739"/>
      <c r="C936" s="3737"/>
      <c r="J936" s="3742"/>
      <c r="R936" s="3740"/>
      <c r="T936" s="3740"/>
    </row>
    <row r="937" spans="1:20" s="3738" customFormat="1">
      <c r="A937" s="3739"/>
      <c r="C937" s="3737"/>
      <c r="J937" s="3742"/>
      <c r="R937" s="3740"/>
      <c r="T937" s="3740"/>
    </row>
    <row r="938" spans="1:20" s="3738" customFormat="1">
      <c r="A938" s="3739"/>
      <c r="C938" s="3737"/>
      <c r="J938" s="3742"/>
      <c r="R938" s="3740"/>
      <c r="T938" s="3740"/>
    </row>
    <row r="939" spans="1:20" s="3738" customFormat="1">
      <c r="A939" s="3739"/>
      <c r="C939" s="3737"/>
      <c r="J939" s="3742"/>
      <c r="R939" s="3740"/>
      <c r="T939" s="3740"/>
    </row>
    <row r="940" spans="1:20" s="3738" customFormat="1">
      <c r="A940" s="3739"/>
      <c r="C940" s="3737"/>
      <c r="J940" s="3742"/>
      <c r="R940" s="3740"/>
      <c r="T940" s="3740"/>
    </row>
    <row r="941" spans="1:20" s="3738" customFormat="1">
      <c r="A941" s="3739"/>
      <c r="C941" s="3737"/>
      <c r="J941" s="3742"/>
      <c r="R941" s="3740"/>
      <c r="T941" s="3740"/>
    </row>
    <row r="942" spans="1:20" s="3738" customFormat="1">
      <c r="A942" s="3739"/>
      <c r="C942" s="3737"/>
      <c r="J942" s="3742"/>
      <c r="R942" s="3740"/>
      <c r="T942" s="3740"/>
    </row>
    <row r="943" spans="1:20" s="3738" customFormat="1">
      <c r="A943" s="3739"/>
      <c r="C943" s="3737"/>
      <c r="J943" s="3742"/>
      <c r="R943" s="3740"/>
      <c r="T943" s="3740"/>
    </row>
    <row r="944" spans="1:20" s="3738" customFormat="1">
      <c r="A944" s="3739"/>
      <c r="C944" s="3737"/>
      <c r="J944" s="3742"/>
      <c r="R944" s="3740"/>
      <c r="T944" s="3740"/>
    </row>
    <row r="945" spans="1:20" s="3738" customFormat="1">
      <c r="A945" s="3739"/>
      <c r="C945" s="3737"/>
      <c r="J945" s="3742"/>
      <c r="R945" s="3740"/>
      <c r="T945" s="3740"/>
    </row>
    <row r="946" spans="1:20" s="3738" customFormat="1">
      <c r="A946" s="3739"/>
      <c r="C946" s="3737"/>
      <c r="J946" s="3742"/>
      <c r="R946" s="3740"/>
      <c r="T946" s="3740"/>
    </row>
    <row r="947" spans="1:20" s="3738" customFormat="1">
      <c r="A947" s="3739"/>
      <c r="C947" s="3737"/>
      <c r="J947" s="3742"/>
      <c r="R947" s="3740"/>
      <c r="T947" s="3740"/>
    </row>
    <row r="948" spans="1:20" s="3738" customFormat="1">
      <c r="A948" s="3739"/>
      <c r="C948" s="3737"/>
      <c r="J948" s="3742"/>
      <c r="R948" s="3740"/>
      <c r="T948" s="3740"/>
    </row>
    <row r="949" spans="1:20" s="3738" customFormat="1">
      <c r="A949" s="3739"/>
      <c r="C949" s="3737"/>
      <c r="J949" s="3742"/>
      <c r="R949" s="3740"/>
      <c r="T949" s="3740"/>
    </row>
    <row r="950" spans="1:20" s="3738" customFormat="1">
      <c r="A950" s="3739"/>
      <c r="C950" s="3737"/>
      <c r="J950" s="3742"/>
      <c r="R950" s="3740"/>
      <c r="T950" s="3740"/>
    </row>
    <row r="951" spans="1:20" s="3738" customFormat="1">
      <c r="A951" s="3739"/>
      <c r="C951" s="3737"/>
      <c r="J951" s="3742"/>
      <c r="R951" s="3740"/>
      <c r="T951" s="3740"/>
    </row>
    <row r="952" spans="1:20" s="3738" customFormat="1">
      <c r="A952" s="3739"/>
      <c r="C952" s="3737"/>
      <c r="J952" s="3742"/>
      <c r="R952" s="3740"/>
      <c r="T952" s="3740"/>
    </row>
    <row r="953" spans="1:20" s="3738" customFormat="1">
      <c r="A953" s="3739"/>
      <c r="C953" s="3737"/>
      <c r="J953" s="3742"/>
      <c r="R953" s="3740"/>
      <c r="T953" s="3740"/>
    </row>
    <row r="954" spans="1:20" s="3738" customFormat="1">
      <c r="A954" s="3739"/>
      <c r="C954" s="3737"/>
      <c r="J954" s="3742"/>
      <c r="R954" s="3740"/>
      <c r="T954" s="3740"/>
    </row>
    <row r="955" spans="1:20" s="3738" customFormat="1">
      <c r="A955" s="3739"/>
      <c r="C955" s="3737"/>
      <c r="J955" s="3742"/>
      <c r="R955" s="3740"/>
      <c r="T955" s="3740"/>
    </row>
    <row r="956" spans="1:20" s="3738" customFormat="1">
      <c r="A956" s="3739"/>
      <c r="C956" s="3737"/>
      <c r="J956" s="3742"/>
      <c r="R956" s="3740"/>
      <c r="T956" s="3740"/>
    </row>
    <row r="957" spans="1:20" s="3738" customFormat="1">
      <c r="A957" s="3739"/>
      <c r="C957" s="3737"/>
      <c r="J957" s="3742"/>
      <c r="R957" s="3740"/>
      <c r="T957" s="3740"/>
    </row>
  </sheetData>
  <mergeCells count="63">
    <mergeCell ref="F215:G215"/>
    <mergeCell ref="A215:A216"/>
    <mergeCell ref="B215:B216"/>
    <mergeCell ref="C215:C216"/>
    <mergeCell ref="D215:D216"/>
    <mergeCell ref="E215:E216"/>
    <mergeCell ref="F169:G169"/>
    <mergeCell ref="A190:A191"/>
    <mergeCell ref="B190:B191"/>
    <mergeCell ref="C190:C191"/>
    <mergeCell ref="D190:D191"/>
    <mergeCell ref="E190:E191"/>
    <mergeCell ref="F190:G190"/>
    <mergeCell ref="A169:A170"/>
    <mergeCell ref="B169:B170"/>
    <mergeCell ref="C169:C170"/>
    <mergeCell ref="D169:D170"/>
    <mergeCell ref="E169:E170"/>
    <mergeCell ref="F113:G113"/>
    <mergeCell ref="A137:A138"/>
    <mergeCell ref="B137:B138"/>
    <mergeCell ref="C137:C138"/>
    <mergeCell ref="D137:D138"/>
    <mergeCell ref="E137:E138"/>
    <mergeCell ref="F137:G137"/>
    <mergeCell ref="A113:A114"/>
    <mergeCell ref="B113:B114"/>
    <mergeCell ref="C113:C114"/>
    <mergeCell ref="D113:D114"/>
    <mergeCell ref="E113:E114"/>
    <mergeCell ref="F39:G39"/>
    <mergeCell ref="A74:A75"/>
    <mergeCell ref="B74:B75"/>
    <mergeCell ref="C74:C75"/>
    <mergeCell ref="D74:D75"/>
    <mergeCell ref="E74:E75"/>
    <mergeCell ref="F74:G74"/>
    <mergeCell ref="A39:A40"/>
    <mergeCell ref="B39:B40"/>
    <mergeCell ref="C39:C40"/>
    <mergeCell ref="D39:D40"/>
    <mergeCell ref="E39:E40"/>
    <mergeCell ref="B14:G14"/>
    <mergeCell ref="A1:G1"/>
    <mergeCell ref="B8:G8"/>
    <mergeCell ref="B11:G11"/>
    <mergeCell ref="B12:G12"/>
    <mergeCell ref="B13:G13"/>
    <mergeCell ref="B15:G15"/>
    <mergeCell ref="B16:G16"/>
    <mergeCell ref="B17:G17"/>
    <mergeCell ref="M20:O20"/>
    <mergeCell ref="A21:A22"/>
    <mergeCell ref="B21:B22"/>
    <mergeCell ref="C21:C22"/>
    <mergeCell ref="D21:D22"/>
    <mergeCell ref="E21:E22"/>
    <mergeCell ref="F21:G21"/>
    <mergeCell ref="D236:E236"/>
    <mergeCell ref="D237:E237"/>
    <mergeCell ref="B241:F241"/>
    <mergeCell ref="B245:F245"/>
    <mergeCell ref="B246:F246"/>
  </mergeCells>
  <pageMargins left="0.5" right="0.25" top="0.75" bottom="0.5" header="0.23" footer="0.25"/>
  <pageSetup paperSize="119" scale="90" orientation="portrait" r:id="rId1"/>
  <headerFooter alignWithMargins="0"/>
</worksheet>
</file>

<file path=xl/worksheets/sheet86.xml><?xml version="1.0" encoding="utf-8"?>
<worksheet xmlns="http://schemas.openxmlformats.org/spreadsheetml/2006/main" xmlns:r="http://schemas.openxmlformats.org/officeDocument/2006/relationships">
  <sheetPr codeName="Sheet56">
    <tabColor theme="8" tint="-0.249977111117893"/>
  </sheetPr>
  <dimension ref="A1:M117"/>
  <sheetViews>
    <sheetView showGridLines="0" workbookViewId="0">
      <selection activeCell="J2" sqref="J1:Q1048576"/>
    </sheetView>
  </sheetViews>
  <sheetFormatPr defaultRowHeight="15" customHeight="1"/>
  <cols>
    <col min="1" max="1" width="3.88671875" style="7900" customWidth="1"/>
    <col min="2" max="2" width="55.5546875" style="7900" customWidth="1"/>
    <col min="3" max="3" width="12.5546875" style="9312" customWidth="1"/>
    <col min="4" max="7" width="15.5546875" style="7914" customWidth="1"/>
    <col min="8" max="8" width="13.88671875" style="7914" hidden="1" customWidth="1"/>
    <col min="9" max="9" width="9" style="10506" hidden="1" customWidth="1"/>
    <col min="10" max="10" width="15.5546875" style="7914" customWidth="1"/>
    <col min="11" max="11" width="17" style="7900" customWidth="1"/>
    <col min="12" max="12" width="5.5546875" style="7900" customWidth="1"/>
    <col min="13" max="16" width="8.88671875" style="7900" customWidth="1"/>
    <col min="17" max="255" width="9.109375" style="7900"/>
    <col min="256" max="256" width="3.88671875" style="7900" customWidth="1"/>
    <col min="257" max="257" width="40.44140625" style="7900" customWidth="1"/>
    <col min="258" max="258" width="9.88671875" style="7900" customWidth="1"/>
    <col min="259" max="259" width="14.109375" style="7900" customWidth="1"/>
    <col min="260" max="260" width="16.44140625" style="7900" customWidth="1"/>
    <col min="261" max="261" width="16.109375" style="7900" customWidth="1"/>
    <col min="262" max="511" width="9.109375" style="7900"/>
    <col min="512" max="512" width="3.88671875" style="7900" customWidth="1"/>
    <col min="513" max="513" width="40.44140625" style="7900" customWidth="1"/>
    <col min="514" max="514" width="9.88671875" style="7900" customWidth="1"/>
    <col min="515" max="515" width="14.109375" style="7900" customWidth="1"/>
    <col min="516" max="516" width="16.44140625" style="7900" customWidth="1"/>
    <col min="517" max="517" width="16.109375" style="7900" customWidth="1"/>
    <col min="518" max="767" width="9.109375" style="7900"/>
    <col min="768" max="768" width="3.88671875" style="7900" customWidth="1"/>
    <col min="769" max="769" width="40.44140625" style="7900" customWidth="1"/>
    <col min="770" max="770" width="9.88671875" style="7900" customWidth="1"/>
    <col min="771" max="771" width="14.109375" style="7900" customWidth="1"/>
    <col min="772" max="772" width="16.44140625" style="7900" customWidth="1"/>
    <col min="773" max="773" width="16.109375" style="7900" customWidth="1"/>
    <col min="774" max="1023" width="9.109375" style="7900"/>
    <col min="1024" max="1024" width="3.88671875" style="7900" customWidth="1"/>
    <col min="1025" max="1025" width="40.44140625" style="7900" customWidth="1"/>
    <col min="1026" max="1026" width="9.88671875" style="7900" customWidth="1"/>
    <col min="1027" max="1027" width="14.109375" style="7900" customWidth="1"/>
    <col min="1028" max="1028" width="16.44140625" style="7900" customWidth="1"/>
    <col min="1029" max="1029" width="16.109375" style="7900" customWidth="1"/>
    <col min="1030" max="1279" width="9.109375" style="7900"/>
    <col min="1280" max="1280" width="3.88671875" style="7900" customWidth="1"/>
    <col min="1281" max="1281" width="40.44140625" style="7900" customWidth="1"/>
    <col min="1282" max="1282" width="9.88671875" style="7900" customWidth="1"/>
    <col min="1283" max="1283" width="14.109375" style="7900" customWidth="1"/>
    <col min="1284" max="1284" width="16.44140625" style="7900" customWidth="1"/>
    <col min="1285" max="1285" width="16.109375" style="7900" customWidth="1"/>
    <col min="1286" max="1535" width="9.109375" style="7900"/>
    <col min="1536" max="1536" width="3.88671875" style="7900" customWidth="1"/>
    <col min="1537" max="1537" width="40.44140625" style="7900" customWidth="1"/>
    <col min="1538" max="1538" width="9.88671875" style="7900" customWidth="1"/>
    <col min="1539" max="1539" width="14.109375" style="7900" customWidth="1"/>
    <col min="1540" max="1540" width="16.44140625" style="7900" customWidth="1"/>
    <col min="1541" max="1541" width="16.109375" style="7900" customWidth="1"/>
    <col min="1542" max="1791" width="9.109375" style="7900"/>
    <col min="1792" max="1792" width="3.88671875" style="7900" customWidth="1"/>
    <col min="1793" max="1793" width="40.44140625" style="7900" customWidth="1"/>
    <col min="1794" max="1794" width="9.88671875" style="7900" customWidth="1"/>
    <col min="1795" max="1795" width="14.109375" style="7900" customWidth="1"/>
    <col min="1796" max="1796" width="16.44140625" style="7900" customWidth="1"/>
    <col min="1797" max="1797" width="16.109375" style="7900" customWidth="1"/>
    <col min="1798" max="2047" width="9.109375" style="7900"/>
    <col min="2048" max="2048" width="3.88671875" style="7900" customWidth="1"/>
    <col min="2049" max="2049" width="40.44140625" style="7900" customWidth="1"/>
    <col min="2050" max="2050" width="9.88671875" style="7900" customWidth="1"/>
    <col min="2051" max="2051" width="14.109375" style="7900" customWidth="1"/>
    <col min="2052" max="2052" width="16.44140625" style="7900" customWidth="1"/>
    <col min="2053" max="2053" width="16.109375" style="7900" customWidth="1"/>
    <col min="2054" max="2303" width="9.109375" style="7900"/>
    <col min="2304" max="2304" width="3.88671875" style="7900" customWidth="1"/>
    <col min="2305" max="2305" width="40.44140625" style="7900" customWidth="1"/>
    <col min="2306" max="2306" width="9.88671875" style="7900" customWidth="1"/>
    <col min="2307" max="2307" width="14.109375" style="7900" customWidth="1"/>
    <col min="2308" max="2308" width="16.44140625" style="7900" customWidth="1"/>
    <col min="2309" max="2309" width="16.109375" style="7900" customWidth="1"/>
    <col min="2310" max="2559" width="9.109375" style="7900"/>
    <col min="2560" max="2560" width="3.88671875" style="7900" customWidth="1"/>
    <col min="2561" max="2561" width="40.44140625" style="7900" customWidth="1"/>
    <col min="2562" max="2562" width="9.88671875" style="7900" customWidth="1"/>
    <col min="2563" max="2563" width="14.109375" style="7900" customWidth="1"/>
    <col min="2564" max="2564" width="16.44140625" style="7900" customWidth="1"/>
    <col min="2565" max="2565" width="16.109375" style="7900" customWidth="1"/>
    <col min="2566" max="2815" width="9.109375" style="7900"/>
    <col min="2816" max="2816" width="3.88671875" style="7900" customWidth="1"/>
    <col min="2817" max="2817" width="40.44140625" style="7900" customWidth="1"/>
    <col min="2818" max="2818" width="9.88671875" style="7900" customWidth="1"/>
    <col min="2819" max="2819" width="14.109375" style="7900" customWidth="1"/>
    <col min="2820" max="2820" width="16.44140625" style="7900" customWidth="1"/>
    <col min="2821" max="2821" width="16.109375" style="7900" customWidth="1"/>
    <col min="2822" max="3071" width="9.109375" style="7900"/>
    <col min="3072" max="3072" width="3.88671875" style="7900" customWidth="1"/>
    <col min="3073" max="3073" width="40.44140625" style="7900" customWidth="1"/>
    <col min="3074" max="3074" width="9.88671875" style="7900" customWidth="1"/>
    <col min="3075" max="3075" width="14.109375" style="7900" customWidth="1"/>
    <col min="3076" max="3076" width="16.44140625" style="7900" customWidth="1"/>
    <col min="3077" max="3077" width="16.109375" style="7900" customWidth="1"/>
    <col min="3078" max="3327" width="9.109375" style="7900"/>
    <col min="3328" max="3328" width="3.88671875" style="7900" customWidth="1"/>
    <col min="3329" max="3329" width="40.44140625" style="7900" customWidth="1"/>
    <col min="3330" max="3330" width="9.88671875" style="7900" customWidth="1"/>
    <col min="3331" max="3331" width="14.109375" style="7900" customWidth="1"/>
    <col min="3332" max="3332" width="16.44140625" style="7900" customWidth="1"/>
    <col min="3333" max="3333" width="16.109375" style="7900" customWidth="1"/>
    <col min="3334" max="3583" width="9.109375" style="7900"/>
    <col min="3584" max="3584" width="3.88671875" style="7900" customWidth="1"/>
    <col min="3585" max="3585" width="40.44140625" style="7900" customWidth="1"/>
    <col min="3586" max="3586" width="9.88671875" style="7900" customWidth="1"/>
    <col min="3587" max="3587" width="14.109375" style="7900" customWidth="1"/>
    <col min="3588" max="3588" width="16.44140625" style="7900" customWidth="1"/>
    <col min="3589" max="3589" width="16.109375" style="7900" customWidth="1"/>
    <col min="3590" max="3839" width="9.109375" style="7900"/>
    <col min="3840" max="3840" width="3.88671875" style="7900" customWidth="1"/>
    <col min="3841" max="3841" width="40.44140625" style="7900" customWidth="1"/>
    <col min="3842" max="3842" width="9.88671875" style="7900" customWidth="1"/>
    <col min="3843" max="3843" width="14.109375" style="7900" customWidth="1"/>
    <col min="3844" max="3844" width="16.44140625" style="7900" customWidth="1"/>
    <col min="3845" max="3845" width="16.109375" style="7900" customWidth="1"/>
    <col min="3846" max="4095" width="9.109375" style="7900"/>
    <col min="4096" max="4096" width="3.88671875" style="7900" customWidth="1"/>
    <col min="4097" max="4097" width="40.44140625" style="7900" customWidth="1"/>
    <col min="4098" max="4098" width="9.88671875" style="7900" customWidth="1"/>
    <col min="4099" max="4099" width="14.109375" style="7900" customWidth="1"/>
    <col min="4100" max="4100" width="16.44140625" style="7900" customWidth="1"/>
    <col min="4101" max="4101" width="16.109375" style="7900" customWidth="1"/>
    <col min="4102" max="4351" width="9.109375" style="7900"/>
    <col min="4352" max="4352" width="3.88671875" style="7900" customWidth="1"/>
    <col min="4353" max="4353" width="40.44140625" style="7900" customWidth="1"/>
    <col min="4354" max="4354" width="9.88671875" style="7900" customWidth="1"/>
    <col min="4355" max="4355" width="14.109375" style="7900" customWidth="1"/>
    <col min="4356" max="4356" width="16.44140625" style="7900" customWidth="1"/>
    <col min="4357" max="4357" width="16.109375" style="7900" customWidth="1"/>
    <col min="4358" max="4607" width="9.109375" style="7900"/>
    <col min="4608" max="4608" width="3.88671875" style="7900" customWidth="1"/>
    <col min="4609" max="4609" width="40.44140625" style="7900" customWidth="1"/>
    <col min="4610" max="4610" width="9.88671875" style="7900" customWidth="1"/>
    <col min="4611" max="4611" width="14.109375" style="7900" customWidth="1"/>
    <col min="4612" max="4612" width="16.44140625" style="7900" customWidth="1"/>
    <col min="4613" max="4613" width="16.109375" style="7900" customWidth="1"/>
    <col min="4614" max="4863" width="9.109375" style="7900"/>
    <col min="4864" max="4864" width="3.88671875" style="7900" customWidth="1"/>
    <col min="4865" max="4865" width="40.44140625" style="7900" customWidth="1"/>
    <col min="4866" max="4866" width="9.88671875" style="7900" customWidth="1"/>
    <col min="4867" max="4867" width="14.109375" style="7900" customWidth="1"/>
    <col min="4868" max="4868" width="16.44140625" style="7900" customWidth="1"/>
    <col min="4869" max="4869" width="16.109375" style="7900" customWidth="1"/>
    <col min="4870" max="5119" width="9.109375" style="7900"/>
    <col min="5120" max="5120" width="3.88671875" style="7900" customWidth="1"/>
    <col min="5121" max="5121" width="40.44140625" style="7900" customWidth="1"/>
    <col min="5122" max="5122" width="9.88671875" style="7900" customWidth="1"/>
    <col min="5123" max="5123" width="14.109375" style="7900" customWidth="1"/>
    <col min="5124" max="5124" width="16.44140625" style="7900" customWidth="1"/>
    <col min="5125" max="5125" width="16.109375" style="7900" customWidth="1"/>
    <col min="5126" max="5375" width="9.109375" style="7900"/>
    <col min="5376" max="5376" width="3.88671875" style="7900" customWidth="1"/>
    <col min="5377" max="5377" width="40.44140625" style="7900" customWidth="1"/>
    <col min="5378" max="5378" width="9.88671875" style="7900" customWidth="1"/>
    <col min="5379" max="5379" width="14.109375" style="7900" customWidth="1"/>
    <col min="5380" max="5380" width="16.44140625" style="7900" customWidth="1"/>
    <col min="5381" max="5381" width="16.109375" style="7900" customWidth="1"/>
    <col min="5382" max="5631" width="9.109375" style="7900"/>
    <col min="5632" max="5632" width="3.88671875" style="7900" customWidth="1"/>
    <col min="5633" max="5633" width="40.44140625" style="7900" customWidth="1"/>
    <col min="5634" max="5634" width="9.88671875" style="7900" customWidth="1"/>
    <col min="5635" max="5635" width="14.109375" style="7900" customWidth="1"/>
    <col min="5636" max="5636" width="16.44140625" style="7900" customWidth="1"/>
    <col min="5637" max="5637" width="16.109375" style="7900" customWidth="1"/>
    <col min="5638" max="5887" width="9.109375" style="7900"/>
    <col min="5888" max="5888" width="3.88671875" style="7900" customWidth="1"/>
    <col min="5889" max="5889" width="40.44140625" style="7900" customWidth="1"/>
    <col min="5890" max="5890" width="9.88671875" style="7900" customWidth="1"/>
    <col min="5891" max="5891" width="14.109375" style="7900" customWidth="1"/>
    <col min="5892" max="5892" width="16.44140625" style="7900" customWidth="1"/>
    <col min="5893" max="5893" width="16.109375" style="7900" customWidth="1"/>
    <col min="5894" max="6143" width="9.109375" style="7900"/>
    <col min="6144" max="6144" width="3.88671875" style="7900" customWidth="1"/>
    <col min="6145" max="6145" width="40.44140625" style="7900" customWidth="1"/>
    <col min="6146" max="6146" width="9.88671875" style="7900" customWidth="1"/>
    <col min="6147" max="6147" width="14.109375" style="7900" customWidth="1"/>
    <col min="6148" max="6148" width="16.44140625" style="7900" customWidth="1"/>
    <col min="6149" max="6149" width="16.109375" style="7900" customWidth="1"/>
    <col min="6150" max="6399" width="9.109375" style="7900"/>
    <col min="6400" max="6400" width="3.88671875" style="7900" customWidth="1"/>
    <col min="6401" max="6401" width="40.44140625" style="7900" customWidth="1"/>
    <col min="6402" max="6402" width="9.88671875" style="7900" customWidth="1"/>
    <col min="6403" max="6403" width="14.109375" style="7900" customWidth="1"/>
    <col min="6404" max="6404" width="16.44140625" style="7900" customWidth="1"/>
    <col min="6405" max="6405" width="16.109375" style="7900" customWidth="1"/>
    <col min="6406" max="6655" width="9.109375" style="7900"/>
    <col min="6656" max="6656" width="3.88671875" style="7900" customWidth="1"/>
    <col min="6657" max="6657" width="40.44140625" style="7900" customWidth="1"/>
    <col min="6658" max="6658" width="9.88671875" style="7900" customWidth="1"/>
    <col min="6659" max="6659" width="14.109375" style="7900" customWidth="1"/>
    <col min="6660" max="6660" width="16.44140625" style="7900" customWidth="1"/>
    <col min="6661" max="6661" width="16.109375" style="7900" customWidth="1"/>
    <col min="6662" max="6911" width="9.109375" style="7900"/>
    <col min="6912" max="6912" width="3.88671875" style="7900" customWidth="1"/>
    <col min="6913" max="6913" width="40.44140625" style="7900" customWidth="1"/>
    <col min="6914" max="6914" width="9.88671875" style="7900" customWidth="1"/>
    <col min="6915" max="6915" width="14.109375" style="7900" customWidth="1"/>
    <col min="6916" max="6916" width="16.44140625" style="7900" customWidth="1"/>
    <col min="6917" max="6917" width="16.109375" style="7900" customWidth="1"/>
    <col min="6918" max="7167" width="9.109375" style="7900"/>
    <col min="7168" max="7168" width="3.88671875" style="7900" customWidth="1"/>
    <col min="7169" max="7169" width="40.44140625" style="7900" customWidth="1"/>
    <col min="7170" max="7170" width="9.88671875" style="7900" customWidth="1"/>
    <col min="7171" max="7171" width="14.109375" style="7900" customWidth="1"/>
    <col min="7172" max="7172" width="16.44140625" style="7900" customWidth="1"/>
    <col min="7173" max="7173" width="16.109375" style="7900" customWidth="1"/>
    <col min="7174" max="7423" width="9.109375" style="7900"/>
    <col min="7424" max="7424" width="3.88671875" style="7900" customWidth="1"/>
    <col min="7425" max="7425" width="40.44140625" style="7900" customWidth="1"/>
    <col min="7426" max="7426" width="9.88671875" style="7900" customWidth="1"/>
    <col min="7427" max="7427" width="14.109375" style="7900" customWidth="1"/>
    <col min="7428" max="7428" width="16.44140625" style="7900" customWidth="1"/>
    <col min="7429" max="7429" width="16.109375" style="7900" customWidth="1"/>
    <col min="7430" max="7679" width="9.109375" style="7900"/>
    <col min="7680" max="7680" width="3.88671875" style="7900" customWidth="1"/>
    <col min="7681" max="7681" width="40.44140625" style="7900" customWidth="1"/>
    <col min="7682" max="7682" width="9.88671875" style="7900" customWidth="1"/>
    <col min="7683" max="7683" width="14.109375" style="7900" customWidth="1"/>
    <col min="7684" max="7684" width="16.44140625" style="7900" customWidth="1"/>
    <col min="7685" max="7685" width="16.109375" style="7900" customWidth="1"/>
    <col min="7686" max="7935" width="9.109375" style="7900"/>
    <col min="7936" max="7936" width="3.88671875" style="7900" customWidth="1"/>
    <col min="7937" max="7937" width="40.44140625" style="7900" customWidth="1"/>
    <col min="7938" max="7938" width="9.88671875" style="7900" customWidth="1"/>
    <col min="7939" max="7939" width="14.109375" style="7900" customWidth="1"/>
    <col min="7940" max="7940" width="16.44140625" style="7900" customWidth="1"/>
    <col min="7941" max="7941" width="16.109375" style="7900" customWidth="1"/>
    <col min="7942" max="8191" width="9.109375" style="7900"/>
    <col min="8192" max="8192" width="3.88671875" style="7900" customWidth="1"/>
    <col min="8193" max="8193" width="40.44140625" style="7900" customWidth="1"/>
    <col min="8194" max="8194" width="9.88671875" style="7900" customWidth="1"/>
    <col min="8195" max="8195" width="14.109375" style="7900" customWidth="1"/>
    <col min="8196" max="8196" width="16.44140625" style="7900" customWidth="1"/>
    <col min="8197" max="8197" width="16.109375" style="7900" customWidth="1"/>
    <col min="8198" max="8447" width="9.109375" style="7900"/>
    <col min="8448" max="8448" width="3.88671875" style="7900" customWidth="1"/>
    <col min="8449" max="8449" width="40.44140625" style="7900" customWidth="1"/>
    <col min="8450" max="8450" width="9.88671875" style="7900" customWidth="1"/>
    <col min="8451" max="8451" width="14.109375" style="7900" customWidth="1"/>
    <col min="8452" max="8452" width="16.44140625" style="7900" customWidth="1"/>
    <col min="8453" max="8453" width="16.109375" style="7900" customWidth="1"/>
    <col min="8454" max="8703" width="9.109375" style="7900"/>
    <col min="8704" max="8704" width="3.88671875" style="7900" customWidth="1"/>
    <col min="8705" max="8705" width="40.44140625" style="7900" customWidth="1"/>
    <col min="8706" max="8706" width="9.88671875" style="7900" customWidth="1"/>
    <col min="8707" max="8707" width="14.109375" style="7900" customWidth="1"/>
    <col min="8708" max="8708" width="16.44140625" style="7900" customWidth="1"/>
    <col min="8709" max="8709" width="16.109375" style="7900" customWidth="1"/>
    <col min="8710" max="8959" width="9.109375" style="7900"/>
    <col min="8960" max="8960" width="3.88671875" style="7900" customWidth="1"/>
    <col min="8961" max="8961" width="40.44140625" style="7900" customWidth="1"/>
    <col min="8962" max="8962" width="9.88671875" style="7900" customWidth="1"/>
    <col min="8963" max="8963" width="14.109375" style="7900" customWidth="1"/>
    <col min="8964" max="8964" width="16.44140625" style="7900" customWidth="1"/>
    <col min="8965" max="8965" width="16.109375" style="7900" customWidth="1"/>
    <col min="8966" max="9215" width="9.109375" style="7900"/>
    <col min="9216" max="9216" width="3.88671875" style="7900" customWidth="1"/>
    <col min="9217" max="9217" width="40.44140625" style="7900" customWidth="1"/>
    <col min="9218" max="9218" width="9.88671875" style="7900" customWidth="1"/>
    <col min="9219" max="9219" width="14.109375" style="7900" customWidth="1"/>
    <col min="9220" max="9220" width="16.44140625" style="7900" customWidth="1"/>
    <col min="9221" max="9221" width="16.109375" style="7900" customWidth="1"/>
    <col min="9222" max="9471" width="9.109375" style="7900"/>
    <col min="9472" max="9472" width="3.88671875" style="7900" customWidth="1"/>
    <col min="9473" max="9473" width="40.44140625" style="7900" customWidth="1"/>
    <col min="9474" max="9474" width="9.88671875" style="7900" customWidth="1"/>
    <col min="9475" max="9475" width="14.109375" style="7900" customWidth="1"/>
    <col min="9476" max="9476" width="16.44140625" style="7900" customWidth="1"/>
    <col min="9477" max="9477" width="16.109375" style="7900" customWidth="1"/>
    <col min="9478" max="9727" width="9.109375" style="7900"/>
    <col min="9728" max="9728" width="3.88671875" style="7900" customWidth="1"/>
    <col min="9729" max="9729" width="40.44140625" style="7900" customWidth="1"/>
    <col min="9730" max="9730" width="9.88671875" style="7900" customWidth="1"/>
    <col min="9731" max="9731" width="14.109375" style="7900" customWidth="1"/>
    <col min="9732" max="9732" width="16.44140625" style="7900" customWidth="1"/>
    <col min="9733" max="9733" width="16.109375" style="7900" customWidth="1"/>
    <col min="9734" max="9983" width="9.109375" style="7900"/>
    <col min="9984" max="9984" width="3.88671875" style="7900" customWidth="1"/>
    <col min="9985" max="9985" width="40.44140625" style="7900" customWidth="1"/>
    <col min="9986" max="9986" width="9.88671875" style="7900" customWidth="1"/>
    <col min="9987" max="9987" width="14.109375" style="7900" customWidth="1"/>
    <col min="9988" max="9988" width="16.44140625" style="7900" customWidth="1"/>
    <col min="9989" max="9989" width="16.109375" style="7900" customWidth="1"/>
    <col min="9990" max="10239" width="9.109375" style="7900"/>
    <col min="10240" max="10240" width="3.88671875" style="7900" customWidth="1"/>
    <col min="10241" max="10241" width="40.44140625" style="7900" customWidth="1"/>
    <col min="10242" max="10242" width="9.88671875" style="7900" customWidth="1"/>
    <col min="10243" max="10243" width="14.109375" style="7900" customWidth="1"/>
    <col min="10244" max="10244" width="16.44140625" style="7900" customWidth="1"/>
    <col min="10245" max="10245" width="16.109375" style="7900" customWidth="1"/>
    <col min="10246" max="10495" width="9.109375" style="7900"/>
    <col min="10496" max="10496" width="3.88671875" style="7900" customWidth="1"/>
    <col min="10497" max="10497" width="40.44140625" style="7900" customWidth="1"/>
    <col min="10498" max="10498" width="9.88671875" style="7900" customWidth="1"/>
    <col min="10499" max="10499" width="14.109375" style="7900" customWidth="1"/>
    <col min="10500" max="10500" width="16.44140625" style="7900" customWidth="1"/>
    <col min="10501" max="10501" width="16.109375" style="7900" customWidth="1"/>
    <col min="10502" max="10751" width="9.109375" style="7900"/>
    <col min="10752" max="10752" width="3.88671875" style="7900" customWidth="1"/>
    <col min="10753" max="10753" width="40.44140625" style="7900" customWidth="1"/>
    <col min="10754" max="10754" width="9.88671875" style="7900" customWidth="1"/>
    <col min="10755" max="10755" width="14.109375" style="7900" customWidth="1"/>
    <col min="10756" max="10756" width="16.44140625" style="7900" customWidth="1"/>
    <col min="10757" max="10757" width="16.109375" style="7900" customWidth="1"/>
    <col min="10758" max="11007" width="9.109375" style="7900"/>
    <col min="11008" max="11008" width="3.88671875" style="7900" customWidth="1"/>
    <col min="11009" max="11009" width="40.44140625" style="7900" customWidth="1"/>
    <col min="11010" max="11010" width="9.88671875" style="7900" customWidth="1"/>
    <col min="11011" max="11011" width="14.109375" style="7900" customWidth="1"/>
    <col min="11012" max="11012" width="16.44140625" style="7900" customWidth="1"/>
    <col min="11013" max="11013" width="16.109375" style="7900" customWidth="1"/>
    <col min="11014" max="11263" width="9.109375" style="7900"/>
    <col min="11264" max="11264" width="3.88671875" style="7900" customWidth="1"/>
    <col min="11265" max="11265" width="40.44140625" style="7900" customWidth="1"/>
    <col min="11266" max="11266" width="9.88671875" style="7900" customWidth="1"/>
    <col min="11267" max="11267" width="14.109375" style="7900" customWidth="1"/>
    <col min="11268" max="11268" width="16.44140625" style="7900" customWidth="1"/>
    <col min="11269" max="11269" width="16.109375" style="7900" customWidth="1"/>
    <col min="11270" max="11519" width="9.109375" style="7900"/>
    <col min="11520" max="11520" width="3.88671875" style="7900" customWidth="1"/>
    <col min="11521" max="11521" width="40.44140625" style="7900" customWidth="1"/>
    <col min="11522" max="11522" width="9.88671875" style="7900" customWidth="1"/>
    <col min="11523" max="11523" width="14.109375" style="7900" customWidth="1"/>
    <col min="11524" max="11524" width="16.44140625" style="7900" customWidth="1"/>
    <col min="11525" max="11525" width="16.109375" style="7900" customWidth="1"/>
    <col min="11526" max="11775" width="9.109375" style="7900"/>
    <col min="11776" max="11776" width="3.88671875" style="7900" customWidth="1"/>
    <col min="11777" max="11777" width="40.44140625" style="7900" customWidth="1"/>
    <col min="11778" max="11778" width="9.88671875" style="7900" customWidth="1"/>
    <col min="11779" max="11779" width="14.109375" style="7900" customWidth="1"/>
    <col min="11780" max="11780" width="16.44140625" style="7900" customWidth="1"/>
    <col min="11781" max="11781" width="16.109375" style="7900" customWidth="1"/>
    <col min="11782" max="12031" width="9.109375" style="7900"/>
    <col min="12032" max="12032" width="3.88671875" style="7900" customWidth="1"/>
    <col min="12033" max="12033" width="40.44140625" style="7900" customWidth="1"/>
    <col min="12034" max="12034" width="9.88671875" style="7900" customWidth="1"/>
    <col min="12035" max="12035" width="14.109375" style="7900" customWidth="1"/>
    <col min="12036" max="12036" width="16.44140625" style="7900" customWidth="1"/>
    <col min="12037" max="12037" width="16.109375" style="7900" customWidth="1"/>
    <col min="12038" max="12287" width="9.109375" style="7900"/>
    <col min="12288" max="12288" width="3.88671875" style="7900" customWidth="1"/>
    <col min="12289" max="12289" width="40.44140625" style="7900" customWidth="1"/>
    <col min="12290" max="12290" width="9.88671875" style="7900" customWidth="1"/>
    <col min="12291" max="12291" width="14.109375" style="7900" customWidth="1"/>
    <col min="12292" max="12292" width="16.44140625" style="7900" customWidth="1"/>
    <col min="12293" max="12293" width="16.109375" style="7900" customWidth="1"/>
    <col min="12294" max="12543" width="9.109375" style="7900"/>
    <col min="12544" max="12544" width="3.88671875" style="7900" customWidth="1"/>
    <col min="12545" max="12545" width="40.44140625" style="7900" customWidth="1"/>
    <col min="12546" max="12546" width="9.88671875" style="7900" customWidth="1"/>
    <col min="12547" max="12547" width="14.109375" style="7900" customWidth="1"/>
    <col min="12548" max="12548" width="16.44140625" style="7900" customWidth="1"/>
    <col min="12549" max="12549" width="16.109375" style="7900" customWidth="1"/>
    <col min="12550" max="12799" width="9.109375" style="7900"/>
    <col min="12800" max="12800" width="3.88671875" style="7900" customWidth="1"/>
    <col min="12801" max="12801" width="40.44140625" style="7900" customWidth="1"/>
    <col min="12802" max="12802" width="9.88671875" style="7900" customWidth="1"/>
    <col min="12803" max="12803" width="14.109375" style="7900" customWidth="1"/>
    <col min="12804" max="12804" width="16.44140625" style="7900" customWidth="1"/>
    <col min="12805" max="12805" width="16.109375" style="7900" customWidth="1"/>
    <col min="12806" max="13055" width="9.109375" style="7900"/>
    <col min="13056" max="13056" width="3.88671875" style="7900" customWidth="1"/>
    <col min="13057" max="13057" width="40.44140625" style="7900" customWidth="1"/>
    <col min="13058" max="13058" width="9.88671875" style="7900" customWidth="1"/>
    <col min="13059" max="13059" width="14.109375" style="7900" customWidth="1"/>
    <col min="13060" max="13060" width="16.44140625" style="7900" customWidth="1"/>
    <col min="13061" max="13061" width="16.109375" style="7900" customWidth="1"/>
    <col min="13062" max="13311" width="9.109375" style="7900"/>
    <col min="13312" max="13312" width="3.88671875" style="7900" customWidth="1"/>
    <col min="13313" max="13313" width="40.44140625" style="7900" customWidth="1"/>
    <col min="13314" max="13314" width="9.88671875" style="7900" customWidth="1"/>
    <col min="13315" max="13315" width="14.109375" style="7900" customWidth="1"/>
    <col min="13316" max="13316" width="16.44140625" style="7900" customWidth="1"/>
    <col min="13317" max="13317" width="16.109375" style="7900" customWidth="1"/>
    <col min="13318" max="13567" width="9.109375" style="7900"/>
    <col min="13568" max="13568" width="3.88671875" style="7900" customWidth="1"/>
    <col min="13569" max="13569" width="40.44140625" style="7900" customWidth="1"/>
    <col min="13570" max="13570" width="9.88671875" style="7900" customWidth="1"/>
    <col min="13571" max="13571" width="14.109375" style="7900" customWidth="1"/>
    <col min="13572" max="13572" width="16.44140625" style="7900" customWidth="1"/>
    <col min="13573" max="13573" width="16.109375" style="7900" customWidth="1"/>
    <col min="13574" max="13823" width="9.109375" style="7900"/>
    <col min="13824" max="13824" width="3.88671875" style="7900" customWidth="1"/>
    <col min="13825" max="13825" width="40.44140625" style="7900" customWidth="1"/>
    <col min="13826" max="13826" width="9.88671875" style="7900" customWidth="1"/>
    <col min="13827" max="13827" width="14.109375" style="7900" customWidth="1"/>
    <col min="13828" max="13828" width="16.44140625" style="7900" customWidth="1"/>
    <col min="13829" max="13829" width="16.109375" style="7900" customWidth="1"/>
    <col min="13830" max="14079" width="9.109375" style="7900"/>
    <col min="14080" max="14080" width="3.88671875" style="7900" customWidth="1"/>
    <col min="14081" max="14081" width="40.44140625" style="7900" customWidth="1"/>
    <col min="14082" max="14082" width="9.88671875" style="7900" customWidth="1"/>
    <col min="14083" max="14083" width="14.109375" style="7900" customWidth="1"/>
    <col min="14084" max="14084" width="16.44140625" style="7900" customWidth="1"/>
    <col min="14085" max="14085" width="16.109375" style="7900" customWidth="1"/>
    <col min="14086" max="14335" width="9.109375" style="7900"/>
    <col min="14336" max="14336" width="3.88671875" style="7900" customWidth="1"/>
    <col min="14337" max="14337" width="40.44140625" style="7900" customWidth="1"/>
    <col min="14338" max="14338" width="9.88671875" style="7900" customWidth="1"/>
    <col min="14339" max="14339" width="14.109375" style="7900" customWidth="1"/>
    <col min="14340" max="14340" width="16.44140625" style="7900" customWidth="1"/>
    <col min="14341" max="14341" width="16.109375" style="7900" customWidth="1"/>
    <col min="14342" max="14591" width="9.109375" style="7900"/>
    <col min="14592" max="14592" width="3.88671875" style="7900" customWidth="1"/>
    <col min="14593" max="14593" width="40.44140625" style="7900" customWidth="1"/>
    <col min="14594" max="14594" width="9.88671875" style="7900" customWidth="1"/>
    <col min="14595" max="14595" width="14.109375" style="7900" customWidth="1"/>
    <col min="14596" max="14596" width="16.44140625" style="7900" customWidth="1"/>
    <col min="14597" max="14597" width="16.109375" style="7900" customWidth="1"/>
    <col min="14598" max="14847" width="9.109375" style="7900"/>
    <col min="14848" max="14848" width="3.88671875" style="7900" customWidth="1"/>
    <col min="14849" max="14849" width="40.44140625" style="7900" customWidth="1"/>
    <col min="14850" max="14850" width="9.88671875" style="7900" customWidth="1"/>
    <col min="14851" max="14851" width="14.109375" style="7900" customWidth="1"/>
    <col min="14852" max="14852" width="16.44140625" style="7900" customWidth="1"/>
    <col min="14853" max="14853" width="16.109375" style="7900" customWidth="1"/>
    <col min="14854" max="15103" width="9.109375" style="7900"/>
    <col min="15104" max="15104" width="3.88671875" style="7900" customWidth="1"/>
    <col min="15105" max="15105" width="40.44140625" style="7900" customWidth="1"/>
    <col min="15106" max="15106" width="9.88671875" style="7900" customWidth="1"/>
    <col min="15107" max="15107" width="14.109375" style="7900" customWidth="1"/>
    <col min="15108" max="15108" width="16.44140625" style="7900" customWidth="1"/>
    <col min="15109" max="15109" width="16.109375" style="7900" customWidth="1"/>
    <col min="15110" max="15359" width="9.109375" style="7900"/>
    <col min="15360" max="15360" width="3.88671875" style="7900" customWidth="1"/>
    <col min="15361" max="15361" width="40.44140625" style="7900" customWidth="1"/>
    <col min="15362" max="15362" width="9.88671875" style="7900" customWidth="1"/>
    <col min="15363" max="15363" width="14.109375" style="7900" customWidth="1"/>
    <col min="15364" max="15364" width="16.44140625" style="7900" customWidth="1"/>
    <col min="15365" max="15365" width="16.109375" style="7900" customWidth="1"/>
    <col min="15366" max="15615" width="9.109375" style="7900"/>
    <col min="15616" max="15616" width="3.88671875" style="7900" customWidth="1"/>
    <col min="15617" max="15617" width="40.44140625" style="7900" customWidth="1"/>
    <col min="15618" max="15618" width="9.88671875" style="7900" customWidth="1"/>
    <col min="15619" max="15619" width="14.109375" style="7900" customWidth="1"/>
    <col min="15620" max="15620" width="16.44140625" style="7900" customWidth="1"/>
    <col min="15621" max="15621" width="16.109375" style="7900" customWidth="1"/>
    <col min="15622" max="15871" width="9.109375" style="7900"/>
    <col min="15872" max="15872" width="3.88671875" style="7900" customWidth="1"/>
    <col min="15873" max="15873" width="40.44140625" style="7900" customWidth="1"/>
    <col min="15874" max="15874" width="9.88671875" style="7900" customWidth="1"/>
    <col min="15875" max="15875" width="14.109375" style="7900" customWidth="1"/>
    <col min="15876" max="15876" width="16.44140625" style="7900" customWidth="1"/>
    <col min="15877" max="15877" width="16.109375" style="7900" customWidth="1"/>
    <col min="15878" max="16127" width="9.109375" style="7900"/>
    <col min="16128" max="16128" width="3.88671875" style="7900" customWidth="1"/>
    <col min="16129" max="16129" width="40.44140625" style="7900" customWidth="1"/>
    <col min="16130" max="16130" width="9.88671875" style="7900" customWidth="1"/>
    <col min="16131" max="16131" width="14.109375" style="7900" customWidth="1"/>
    <col min="16132" max="16132" width="16.44140625" style="7900" customWidth="1"/>
    <col min="16133" max="16133" width="16.109375" style="7900" customWidth="1"/>
    <col min="16134" max="16384" width="9.109375" style="7900"/>
  </cols>
  <sheetData>
    <row r="1" spans="1:12" ht="15" customHeight="1">
      <c r="A1" s="14790" t="s">
        <v>1</v>
      </c>
      <c r="B1" s="14790"/>
      <c r="C1" s="14790"/>
      <c r="D1" s="14790"/>
      <c r="E1" s="14790"/>
      <c r="F1" s="14790"/>
      <c r="G1" s="14790"/>
      <c r="H1" s="14790"/>
      <c r="I1" s="14790"/>
      <c r="J1" s="14790"/>
    </row>
    <row r="2" spans="1:12" ht="15" customHeight="1">
      <c r="A2" s="7901"/>
      <c r="B2" s="7902"/>
      <c r="C2" s="9305"/>
      <c r="D2" s="7903"/>
      <c r="E2" s="7903"/>
      <c r="F2" s="7903"/>
      <c r="G2" s="7903"/>
      <c r="H2" s="7903"/>
      <c r="I2" s="10500"/>
      <c r="J2" s="7903"/>
    </row>
    <row r="3" spans="1:12" ht="15" customHeight="1">
      <c r="A3" s="7901" t="s">
        <v>10770</v>
      </c>
      <c r="B3" s="7904"/>
      <c r="C3" s="9306" t="s">
        <v>10771</v>
      </c>
      <c r="D3" s="7905"/>
      <c r="E3" s="7905"/>
      <c r="F3" s="7905"/>
      <c r="G3" s="14792"/>
      <c r="H3" s="7905"/>
      <c r="I3" s="10501"/>
      <c r="J3" s="14791"/>
    </row>
    <row r="4" spans="1:12" ht="15" customHeight="1">
      <c r="A4" s="7901" t="s">
        <v>10772</v>
      </c>
      <c r="B4" s="7901"/>
      <c r="C4" s="9305" t="s">
        <v>10773</v>
      </c>
      <c r="D4" s="7906"/>
      <c r="E4" s="7906"/>
      <c r="F4" s="7906"/>
      <c r="G4" s="14792"/>
      <c r="H4" s="7906"/>
      <c r="I4" s="10500"/>
      <c r="J4" s="14791"/>
    </row>
    <row r="5" spans="1:12" ht="15" customHeight="1">
      <c r="A5" s="7901" t="s">
        <v>10774</v>
      </c>
      <c r="B5" s="7901"/>
      <c r="C5" s="9305" t="s">
        <v>8</v>
      </c>
      <c r="D5" s="7906"/>
      <c r="E5" s="7906"/>
      <c r="F5" s="7906"/>
      <c r="G5" s="7905"/>
      <c r="H5" s="7283"/>
      <c r="I5" s="10500"/>
      <c r="J5" s="14794"/>
    </row>
    <row r="6" spans="1:12" ht="15" customHeight="1" thickBot="1">
      <c r="A6" s="7907"/>
      <c r="B6" s="7907"/>
      <c r="C6" s="9307"/>
      <c r="D6" s="7908"/>
      <c r="E6" s="7909"/>
      <c r="F6" s="7909"/>
      <c r="G6" s="7908"/>
      <c r="H6" s="7909"/>
      <c r="I6" s="10508"/>
      <c r="J6" s="14795"/>
    </row>
    <row r="7" spans="1:12" ht="15" customHeight="1">
      <c r="A7" s="12241"/>
      <c r="B7" s="12242"/>
      <c r="C7" s="12243" t="s">
        <v>9</v>
      </c>
      <c r="D7" s="12244" t="s">
        <v>10</v>
      </c>
      <c r="E7" s="14188" t="s">
        <v>10711</v>
      </c>
      <c r="F7" s="14189"/>
      <c r="G7" s="14190"/>
      <c r="H7" s="11769" t="s">
        <v>9985</v>
      </c>
      <c r="I7" s="9462"/>
      <c r="J7" s="11330" t="s">
        <v>12</v>
      </c>
    </row>
    <row r="8" spans="1:12" ht="15" customHeight="1">
      <c r="A8" s="11374"/>
      <c r="B8" s="7910" t="s">
        <v>13</v>
      </c>
      <c r="C8" s="12245" t="s">
        <v>93</v>
      </c>
      <c r="D8" s="12246" t="s">
        <v>15</v>
      </c>
      <c r="E8" s="9502" t="s">
        <v>10709</v>
      </c>
      <c r="F8" s="9503" t="s">
        <v>10710</v>
      </c>
      <c r="G8" s="14191" t="s">
        <v>458</v>
      </c>
      <c r="H8" s="8118" t="s">
        <v>11747</v>
      </c>
      <c r="I8" s="11108"/>
      <c r="J8" s="11333" t="s">
        <v>16</v>
      </c>
    </row>
    <row r="9" spans="1:12" ht="15" customHeight="1" thickBot="1">
      <c r="A9" s="12247"/>
      <c r="B9" s="12248"/>
      <c r="C9" s="12249" t="s">
        <v>94</v>
      </c>
      <c r="D9" s="7917">
        <v>2017</v>
      </c>
      <c r="E9" s="9467" t="s">
        <v>457</v>
      </c>
      <c r="F9" s="11661" t="s">
        <v>456</v>
      </c>
      <c r="G9" s="14192"/>
      <c r="H9" s="7496">
        <v>2018</v>
      </c>
      <c r="I9" s="7303"/>
      <c r="J9" s="11337">
        <v>2019</v>
      </c>
    </row>
    <row r="10" spans="1:12" s="7912" customFormat="1" ht="15" customHeight="1">
      <c r="A10" s="12250" t="s">
        <v>17</v>
      </c>
      <c r="B10" s="7911" t="s">
        <v>18</v>
      </c>
      <c r="C10" s="12245"/>
      <c r="D10" s="12251"/>
      <c r="E10" s="12251"/>
      <c r="F10" s="12251"/>
      <c r="G10" s="12251"/>
      <c r="H10" s="12251"/>
      <c r="I10" s="12202"/>
      <c r="J10" s="12252"/>
    </row>
    <row r="11" spans="1:12" ht="15" customHeight="1">
      <c r="A11" s="11374"/>
      <c r="B11" s="7913" t="s">
        <v>19</v>
      </c>
      <c r="C11" s="10152"/>
      <c r="D11" s="11375"/>
      <c r="E11" s="11375"/>
      <c r="F11" s="11375"/>
      <c r="G11" s="11375"/>
      <c r="H11" s="11375"/>
      <c r="I11" s="12210"/>
      <c r="J11" s="11377"/>
    </row>
    <row r="12" spans="1:12" ht="15" customHeight="1">
      <c r="A12" s="11374"/>
      <c r="B12" s="7913" t="s">
        <v>20</v>
      </c>
      <c r="C12" s="10152">
        <v>50101010</v>
      </c>
      <c r="D12" s="12253">
        <f>'WS-PS 2017'!B14</f>
        <v>9234777.3900000006</v>
      </c>
      <c r="E12" s="12253">
        <f>'WS-PS ACTUAL JUNE 2018'!B14</f>
        <v>5209073.0599999996</v>
      </c>
      <c r="F12" s="11375">
        <f t="shared" ref="F12:F27" si="0">G12-E12</f>
        <v>7294842.9400000004</v>
      </c>
      <c r="G12" s="12253">
        <v>12503916</v>
      </c>
      <c r="H12" s="12253"/>
      <c r="I12" s="12213"/>
      <c r="J12" s="12254">
        <f>K12</f>
        <v>13046676</v>
      </c>
      <c r="K12" s="12239">
        <f>'staffing-ppdo'!F65</f>
        <v>13046676</v>
      </c>
      <c r="L12" s="7932">
        <f>'staffing-ppdo'!B65</f>
        <v>38</v>
      </c>
    </row>
    <row r="13" spans="1:12" ht="15" customHeight="1">
      <c r="A13" s="11374"/>
      <c r="B13" s="7913" t="s">
        <v>21</v>
      </c>
      <c r="C13" s="10152">
        <v>50102010</v>
      </c>
      <c r="D13" s="11375">
        <f>'WS-PS 2017'!F14</f>
        <v>657727.29</v>
      </c>
      <c r="E13" s="11375">
        <f>'WS-PS ACTUAL JUNE 2018'!D14</f>
        <v>374613.66</v>
      </c>
      <c r="F13" s="11375">
        <f t="shared" si="0"/>
        <v>585386.34000000008</v>
      </c>
      <c r="G13" s="11375">
        <v>960000</v>
      </c>
      <c r="H13" s="11375"/>
      <c r="I13" s="12210"/>
      <c r="J13" s="12254">
        <f t="shared" ref="J13:J27" si="1">K13</f>
        <v>912000</v>
      </c>
      <c r="K13" s="7310">
        <f>24000*L12</f>
        <v>912000</v>
      </c>
    </row>
    <row r="14" spans="1:12" ht="15" customHeight="1">
      <c r="A14" s="11374"/>
      <c r="B14" s="7913" t="s">
        <v>104</v>
      </c>
      <c r="C14" s="10152">
        <v>50102020</v>
      </c>
      <c r="D14" s="11375">
        <f>'WS-PS 2017'!G14</f>
        <v>93500</v>
      </c>
      <c r="E14" s="11375">
        <f>'WS-PS ACTUAL JUNE 2018'!E14</f>
        <v>42500</v>
      </c>
      <c r="F14" s="11375">
        <f t="shared" si="0"/>
        <v>59500</v>
      </c>
      <c r="G14" s="11375">
        <v>102000</v>
      </c>
      <c r="H14" s="11375"/>
      <c r="I14" s="12210"/>
      <c r="J14" s="12254">
        <f t="shared" si="1"/>
        <v>102000</v>
      </c>
      <c r="K14" s="7310">
        <v>102000</v>
      </c>
    </row>
    <row r="15" spans="1:12" ht="15" customHeight="1">
      <c r="A15" s="11374"/>
      <c r="B15" s="7913" t="s">
        <v>105</v>
      </c>
      <c r="C15" s="10152">
        <v>50102030</v>
      </c>
      <c r="D15" s="11375">
        <f>'WS-PS 2017'!H14</f>
        <v>93500</v>
      </c>
      <c r="E15" s="11375">
        <f>'WS-PS ACTUAL JUNE 2018'!F14</f>
        <v>42500</v>
      </c>
      <c r="F15" s="11375">
        <f t="shared" si="0"/>
        <v>59500</v>
      </c>
      <c r="G15" s="11375">
        <v>102000</v>
      </c>
      <c r="H15" s="11375"/>
      <c r="I15" s="12210"/>
      <c r="J15" s="12254">
        <f t="shared" si="1"/>
        <v>102000</v>
      </c>
      <c r="K15" s="7310">
        <v>102000</v>
      </c>
    </row>
    <row r="16" spans="1:12" ht="15" customHeight="1">
      <c r="A16" s="11374"/>
      <c r="B16" s="7913" t="s">
        <v>22</v>
      </c>
      <c r="C16" s="10152">
        <v>50102040</v>
      </c>
      <c r="D16" s="11375">
        <f>'WS-PS 2017'!I14</f>
        <v>130000</v>
      </c>
      <c r="E16" s="11375">
        <f>'WS-PS ACTUAL JUNE 2018'!G14</f>
        <v>182000</v>
      </c>
      <c r="F16" s="11375">
        <f t="shared" si="0"/>
        <v>18000</v>
      </c>
      <c r="G16" s="11375">
        <v>200000</v>
      </c>
      <c r="H16" s="11375"/>
      <c r="I16" s="12210"/>
      <c r="J16" s="12254">
        <f t="shared" si="1"/>
        <v>228000</v>
      </c>
      <c r="K16" s="7310">
        <f>6000*L12</f>
        <v>228000</v>
      </c>
    </row>
    <row r="17" spans="1:11" ht="15" customHeight="1">
      <c r="A17" s="11374"/>
      <c r="B17" s="7488" t="s">
        <v>10932</v>
      </c>
      <c r="C17" s="10368">
        <v>50102080</v>
      </c>
      <c r="D17" s="11375">
        <f>'WS-PS 2017'!L14</f>
        <v>142000</v>
      </c>
      <c r="E17" s="11375">
        <f>'WS-PS ACTUAL JUNE 2018'!J14</f>
        <v>0</v>
      </c>
      <c r="F17" s="11375">
        <f t="shared" si="0"/>
        <v>200000</v>
      </c>
      <c r="G17" s="11375">
        <v>200000</v>
      </c>
      <c r="H17" s="11375"/>
      <c r="I17" s="12210"/>
      <c r="J17" s="12254">
        <f t="shared" si="1"/>
        <v>190000</v>
      </c>
      <c r="K17" s="7310">
        <f>5000*L12</f>
        <v>190000</v>
      </c>
    </row>
    <row r="18" spans="1:11" ht="15" customHeight="1">
      <c r="A18" s="11374"/>
      <c r="B18" s="7488" t="s">
        <v>10934</v>
      </c>
      <c r="C18" s="8872">
        <v>50102120</v>
      </c>
      <c r="D18" s="11375">
        <f>'WS-PS 2017'!O14</f>
        <v>35000</v>
      </c>
      <c r="E18" s="11375">
        <f>'WS-PS ACTUAL JUNE 2018'!M14</f>
        <v>5000</v>
      </c>
      <c r="F18" s="11375">
        <f>G18-E18</f>
        <v>10000</v>
      </c>
      <c r="G18" s="11375">
        <v>15000</v>
      </c>
      <c r="H18" s="11375"/>
      <c r="I18" s="12210"/>
      <c r="J18" s="12254">
        <f t="shared" si="1"/>
        <v>30000</v>
      </c>
      <c r="K18" s="7915">
        <v>30000</v>
      </c>
    </row>
    <row r="19" spans="1:11" ht="15" customHeight="1">
      <c r="A19" s="11374"/>
      <c r="B19" s="7488" t="s">
        <v>10933</v>
      </c>
      <c r="C19" s="8872">
        <v>50102140</v>
      </c>
      <c r="D19" s="11358">
        <f>'WS-PS 2017'!U14+'WS-PS 2017'!S14</f>
        <v>1458487</v>
      </c>
      <c r="E19" s="11375">
        <f>'WS-PS ACTUAL JUNE 2018'!O14</f>
        <v>845101</v>
      </c>
      <c r="F19" s="11375">
        <f t="shared" si="0"/>
        <v>1238885</v>
      </c>
      <c r="G19" s="12255">
        <v>2083986</v>
      </c>
      <c r="H19" s="12255"/>
      <c r="I19" s="12217"/>
      <c r="J19" s="12254">
        <f t="shared" si="1"/>
        <v>2174446</v>
      </c>
      <c r="K19" s="7310">
        <f>SUM(K11:K12)/12*2</f>
        <v>2174446</v>
      </c>
    </row>
    <row r="20" spans="1:11" ht="15" customHeight="1">
      <c r="A20" s="11374"/>
      <c r="B20" s="7913" t="s">
        <v>26</v>
      </c>
      <c r="C20" s="10152">
        <v>50102150</v>
      </c>
      <c r="D20" s="11349">
        <f>'WS-PS 2017'!T14</f>
        <v>135000</v>
      </c>
      <c r="E20" s="11345">
        <f>'WS-PS ACTUAL JUNE 2018'!Q14</f>
        <v>0</v>
      </c>
      <c r="F20" s="11375">
        <f>G20-E20</f>
        <v>200000</v>
      </c>
      <c r="G20" s="11375">
        <v>200000</v>
      </c>
      <c r="H20" s="11375"/>
      <c r="I20" s="12210"/>
      <c r="J20" s="12254">
        <f t="shared" si="1"/>
        <v>190000</v>
      </c>
      <c r="K20" s="7371">
        <f>K17</f>
        <v>190000</v>
      </c>
    </row>
    <row r="21" spans="1:11" ht="15" customHeight="1">
      <c r="A21" s="11374"/>
      <c r="B21" s="7488" t="s">
        <v>11497</v>
      </c>
      <c r="C21" s="11257">
        <v>50102990</v>
      </c>
      <c r="D21" s="11375">
        <v>0</v>
      </c>
      <c r="E21" s="11375">
        <f>'WS-PS ACTUAL JUNE 2018'!R14</f>
        <v>0</v>
      </c>
      <c r="F21" s="11375">
        <f>G21-E21</f>
        <v>599146</v>
      </c>
      <c r="G21" s="11375">
        <v>599146</v>
      </c>
      <c r="H21" s="11375"/>
      <c r="I21" s="12210"/>
      <c r="J21" s="12254">
        <v>0</v>
      </c>
      <c r="K21" s="7310">
        <f>K12/12*0.575</f>
        <v>625153.22499999998</v>
      </c>
    </row>
    <row r="22" spans="1:11" ht="15" customHeight="1">
      <c r="A22" s="11374"/>
      <c r="B22" s="7803" t="s">
        <v>11499</v>
      </c>
      <c r="C22" s="11059" t="s">
        <v>11495</v>
      </c>
      <c r="D22" s="11375">
        <f>'WS-PS 2017'!Q14</f>
        <v>0</v>
      </c>
      <c r="E22" s="11375">
        <f>'WS-PS ACTUAL JUNE 2018'!S14</f>
        <v>0</v>
      </c>
      <c r="F22" s="11375">
        <f>G22-E22</f>
        <v>0</v>
      </c>
      <c r="G22" s="11375">
        <v>0</v>
      </c>
      <c r="H22" s="11375"/>
      <c r="I22" s="12210"/>
      <c r="J22" s="12254">
        <f t="shared" si="1"/>
        <v>114000</v>
      </c>
      <c r="K22" s="7310">
        <f>3000*L12</f>
        <v>114000</v>
      </c>
    </row>
    <row r="23" spans="1:11" ht="15" customHeight="1">
      <c r="A23" s="11374"/>
      <c r="B23" s="11518" t="s">
        <v>59</v>
      </c>
      <c r="C23" s="8872">
        <v>50103010</v>
      </c>
      <c r="D23" s="12256">
        <f>'WS-PS 2017'!V14</f>
        <v>1108173.28</v>
      </c>
      <c r="E23" s="12255">
        <f>'WS-PS ACTUAL JUNE 2018'!T14</f>
        <v>625088.77</v>
      </c>
      <c r="F23" s="11375">
        <f t="shared" si="0"/>
        <v>875381.23</v>
      </c>
      <c r="G23" s="11375">
        <v>1500470</v>
      </c>
      <c r="H23" s="11375"/>
      <c r="I23" s="12210"/>
      <c r="J23" s="12254">
        <f t="shared" si="1"/>
        <v>1565601.1199999999</v>
      </c>
      <c r="K23" s="11720">
        <f>SUM(K11:K12)*12%</f>
        <v>1565601.1199999999</v>
      </c>
    </row>
    <row r="24" spans="1:11" ht="15" customHeight="1">
      <c r="A24" s="11374"/>
      <c r="B24" s="7803" t="s">
        <v>28</v>
      </c>
      <c r="C24" s="8872">
        <v>50103020</v>
      </c>
      <c r="D24" s="11358">
        <f>'WS-PS 2017'!W14</f>
        <v>32900</v>
      </c>
      <c r="E24" s="11375">
        <f>'WS-PS ACTUAL JUNE 2018'!U14</f>
        <v>18769.77</v>
      </c>
      <c r="F24" s="11375">
        <f t="shared" si="0"/>
        <v>29230.23</v>
      </c>
      <c r="G24" s="11375">
        <v>48000</v>
      </c>
      <c r="H24" s="11375"/>
      <c r="I24" s="12210"/>
      <c r="J24" s="12254">
        <f t="shared" si="1"/>
        <v>45600</v>
      </c>
      <c r="K24" s="7310">
        <f>1200*L12</f>
        <v>45600</v>
      </c>
    </row>
    <row r="25" spans="1:11" ht="15" customHeight="1">
      <c r="A25" s="11374"/>
      <c r="B25" s="7803" t="s">
        <v>29</v>
      </c>
      <c r="C25" s="8872">
        <v>50103030</v>
      </c>
      <c r="D25" s="11375">
        <f>'WS-PS 2017'!X14</f>
        <v>87525</v>
      </c>
      <c r="E25" s="11375">
        <f>'WS-PS ACTUAL JUNE 2018'!V14</f>
        <v>61923.93</v>
      </c>
      <c r="F25" s="11375">
        <f t="shared" si="0"/>
        <v>70076.070000000007</v>
      </c>
      <c r="G25" s="11375">
        <v>132000</v>
      </c>
      <c r="H25" s="11375"/>
      <c r="I25" s="12210"/>
      <c r="J25" s="12254">
        <v>147911.93999999997</v>
      </c>
      <c r="K25" s="7310">
        <f>3600*L12</f>
        <v>136800</v>
      </c>
    </row>
    <row r="26" spans="1:11" ht="15" customHeight="1">
      <c r="A26" s="11374"/>
      <c r="B26" s="7803" t="s">
        <v>30</v>
      </c>
      <c r="C26" s="8872">
        <v>50103040</v>
      </c>
      <c r="D26" s="11375">
        <f>'WS-PS 2017'!Y14</f>
        <v>32900</v>
      </c>
      <c r="E26" s="11375">
        <f>'WS-PS ACTUAL JUNE 2018'!W14</f>
        <v>18800</v>
      </c>
      <c r="F26" s="11375">
        <f t="shared" si="0"/>
        <v>29200</v>
      </c>
      <c r="G26" s="11375">
        <v>48000</v>
      </c>
      <c r="H26" s="11375"/>
      <c r="I26" s="12210"/>
      <c r="J26" s="12254">
        <f t="shared" si="1"/>
        <v>45600</v>
      </c>
      <c r="K26" s="7310">
        <f>K24</f>
        <v>45600</v>
      </c>
    </row>
    <row r="27" spans="1:11" ht="15" customHeight="1">
      <c r="A27" s="11374"/>
      <c r="B27" s="7488" t="s">
        <v>5025</v>
      </c>
      <c r="C27" s="11258">
        <v>50104990</v>
      </c>
      <c r="D27" s="11375">
        <f>'WS-PS 2017'!Z14</f>
        <v>675000</v>
      </c>
      <c r="E27" s="11375"/>
      <c r="F27" s="11375">
        <f t="shared" si="0"/>
        <v>0</v>
      </c>
      <c r="G27" s="11375">
        <v>0</v>
      </c>
      <c r="H27" s="11375"/>
      <c r="I27" s="12210"/>
      <c r="J27" s="12254">
        <f t="shared" si="1"/>
        <v>0</v>
      </c>
    </row>
    <row r="28" spans="1:11" ht="15" customHeight="1">
      <c r="A28" s="11374"/>
      <c r="B28" s="7913"/>
      <c r="C28" s="10152" t="s">
        <v>9</v>
      </c>
      <c r="D28" s="12257" t="s">
        <v>9</v>
      </c>
      <c r="E28" s="12257"/>
      <c r="F28" s="12257"/>
      <c r="G28" s="12257"/>
      <c r="H28" s="12257"/>
      <c r="I28" s="12258"/>
      <c r="J28" s="12259"/>
    </row>
    <row r="29" spans="1:11" ht="15" customHeight="1" thickBot="1">
      <c r="A29" s="12247"/>
      <c r="B29" s="12260" t="s">
        <v>37</v>
      </c>
      <c r="C29" s="12261"/>
      <c r="D29" s="12262">
        <f>SUM(D11:D28)</f>
        <v>13916489.959999999</v>
      </c>
      <c r="E29" s="12262">
        <f>SUM(E11:E28)</f>
        <v>7425370.1899999995</v>
      </c>
      <c r="F29" s="12262">
        <f>SUM(F11:F28)</f>
        <v>11269147.810000002</v>
      </c>
      <c r="G29" s="12263">
        <f>SUM(G11:G28)</f>
        <v>18694518</v>
      </c>
      <c r="H29" s="12263"/>
      <c r="I29" s="12264"/>
      <c r="J29" s="12265">
        <f>SUM(J11:J28)</f>
        <v>18893835.060000002</v>
      </c>
      <c r="K29" s="12240">
        <f>SUM(K12:K28)</f>
        <v>19507876.345000003</v>
      </c>
    </row>
    <row r="30" spans="1:11" ht="15" customHeight="1">
      <c r="A30" s="7938"/>
      <c r="B30" s="7939"/>
      <c r="C30" s="9308"/>
      <c r="D30" s="7940"/>
      <c r="E30" s="7940"/>
      <c r="F30" s="7940"/>
      <c r="G30" s="7940"/>
      <c r="H30" s="7940"/>
      <c r="I30" s="10509"/>
      <c r="J30" s="7940"/>
    </row>
    <row r="31" spans="1:11" ht="15" customHeight="1">
      <c r="A31" s="7913"/>
      <c r="B31" s="7911"/>
      <c r="C31" s="9309"/>
      <c r="D31" s="7937"/>
      <c r="E31" s="7937"/>
      <c r="F31" s="7937"/>
      <c r="G31" s="7937"/>
      <c r="H31" s="7937"/>
      <c r="I31" s="10510"/>
      <c r="J31" s="7937"/>
    </row>
    <row r="32" spans="1:11" ht="15" customHeight="1">
      <c r="A32" s="7913"/>
      <c r="B32" s="7911"/>
      <c r="C32" s="9309"/>
      <c r="D32" s="7937"/>
      <c r="E32" s="7937"/>
      <c r="F32" s="7937"/>
      <c r="G32" s="7937"/>
      <c r="H32" s="7937"/>
      <c r="I32" s="10510"/>
      <c r="J32" s="7937"/>
    </row>
    <row r="33" spans="1:11" ht="15" customHeight="1">
      <c r="A33" s="7913"/>
      <c r="B33" s="7911"/>
      <c r="C33" s="9309"/>
      <c r="D33" s="7937"/>
      <c r="E33" s="7937"/>
      <c r="F33" s="7937"/>
      <c r="G33" s="7937"/>
      <c r="H33" s="7937"/>
      <c r="I33" s="10510"/>
      <c r="J33" s="7937"/>
    </row>
    <row r="34" spans="1:11" ht="15" customHeight="1">
      <c r="A34" s="7913"/>
      <c r="B34" s="7911"/>
      <c r="C34" s="9309"/>
      <c r="D34" s="7937"/>
      <c r="E34" s="7937"/>
      <c r="F34" s="7937"/>
      <c r="G34" s="7937"/>
      <c r="H34" s="7937"/>
      <c r="I34" s="10510"/>
      <c r="J34" s="7937"/>
    </row>
    <row r="35" spans="1:11" ht="15" customHeight="1">
      <c r="A35" s="7913"/>
      <c r="B35" s="7911"/>
      <c r="C35" s="9309"/>
      <c r="D35" s="7937"/>
      <c r="E35" s="7937"/>
      <c r="F35" s="7937"/>
      <c r="G35" s="7937"/>
      <c r="H35" s="7937"/>
      <c r="I35" s="10510"/>
      <c r="J35" s="7937"/>
    </row>
    <row r="36" spans="1:11" ht="15" customHeight="1">
      <c r="A36" s="7913"/>
      <c r="B36" s="7911"/>
      <c r="C36" s="9309"/>
      <c r="D36" s="7937"/>
      <c r="E36" s="7937"/>
      <c r="F36" s="7937"/>
      <c r="G36" s="7937"/>
      <c r="H36" s="7937"/>
      <c r="I36" s="10510"/>
      <c r="J36" s="7937"/>
    </row>
    <row r="37" spans="1:11" ht="15" customHeight="1">
      <c r="A37" s="7913"/>
      <c r="B37" s="7911"/>
      <c r="C37" s="9309"/>
      <c r="D37" s="7937"/>
      <c r="E37" s="7937"/>
      <c r="F37" s="7937"/>
      <c r="G37" s="7937"/>
      <c r="H37" s="7937"/>
      <c r="I37" s="10510"/>
      <c r="J37" s="7937"/>
    </row>
    <row r="38" spans="1:11" s="7837" customFormat="1" ht="15" customHeight="1" thickBot="1">
      <c r="A38" s="7941" t="s">
        <v>198</v>
      </c>
      <c r="B38" s="7941"/>
      <c r="C38" s="9310"/>
      <c r="D38" s="7916"/>
      <c r="E38" s="7916"/>
      <c r="F38" s="7916"/>
      <c r="G38" s="7916"/>
      <c r="H38" s="7916"/>
      <c r="I38" s="10490"/>
      <c r="J38" s="7916"/>
    </row>
    <row r="39" spans="1:11" ht="15" customHeight="1">
      <c r="A39" s="12241"/>
      <c r="B39" s="12242"/>
      <c r="C39" s="12243"/>
      <c r="D39" s="12244" t="s">
        <v>10</v>
      </c>
      <c r="E39" s="14188" t="s">
        <v>10711</v>
      </c>
      <c r="F39" s="14189"/>
      <c r="G39" s="14190"/>
      <c r="H39" s="12244"/>
      <c r="I39" s="7964"/>
      <c r="J39" s="11330" t="s">
        <v>12</v>
      </c>
    </row>
    <row r="40" spans="1:11" ht="15" customHeight="1">
      <c r="A40" s="11374"/>
      <c r="B40" s="7910" t="s">
        <v>13</v>
      </c>
      <c r="C40" s="12245" t="s">
        <v>93</v>
      </c>
      <c r="D40" s="12246" t="s">
        <v>15</v>
      </c>
      <c r="E40" s="9502" t="s">
        <v>10709</v>
      </c>
      <c r="F40" s="9503" t="s">
        <v>10710</v>
      </c>
      <c r="G40" s="14191" t="s">
        <v>458</v>
      </c>
      <c r="H40" s="12246"/>
      <c r="I40" s="12202"/>
      <c r="J40" s="11333" t="s">
        <v>16</v>
      </c>
    </row>
    <row r="41" spans="1:11" ht="15" customHeight="1" thickBot="1">
      <c r="A41" s="12247"/>
      <c r="B41" s="12248"/>
      <c r="C41" s="12249" t="s">
        <v>94</v>
      </c>
      <c r="D41" s="7917">
        <v>2017</v>
      </c>
      <c r="E41" s="9467" t="s">
        <v>457</v>
      </c>
      <c r="F41" s="11661" t="s">
        <v>456</v>
      </c>
      <c r="G41" s="14192"/>
      <c r="H41" s="7917"/>
      <c r="I41" s="7918"/>
      <c r="J41" s="11337">
        <v>2019</v>
      </c>
    </row>
    <row r="42" spans="1:11" ht="15" customHeight="1">
      <c r="A42" s="11374"/>
      <c r="B42" s="7910"/>
      <c r="C42" s="12245"/>
      <c r="D42" s="11342"/>
      <c r="E42" s="11123"/>
      <c r="F42" s="11123"/>
      <c r="G42" s="11123"/>
      <c r="H42" s="11342"/>
      <c r="I42" s="12202"/>
      <c r="J42" s="11343"/>
    </row>
    <row r="43" spans="1:11" s="7912" customFormat="1" ht="15" customHeight="1">
      <c r="A43" s="12250"/>
      <c r="B43" s="7911" t="s">
        <v>38</v>
      </c>
      <c r="C43" s="12245"/>
      <c r="D43" s="12266"/>
      <c r="E43" s="12266"/>
      <c r="F43" s="12266"/>
      <c r="G43" s="12251"/>
      <c r="H43" s="12251"/>
      <c r="I43" s="12202"/>
      <c r="J43" s="12252"/>
    </row>
    <row r="44" spans="1:11" ht="15" customHeight="1">
      <c r="A44" s="11374"/>
      <c r="B44" s="7913" t="s">
        <v>10267</v>
      </c>
      <c r="C44" s="10152">
        <v>50201010</v>
      </c>
      <c r="D44" s="11375">
        <f>'WS-MOOE 2017'!B14</f>
        <v>441496.99</v>
      </c>
      <c r="E44" s="11375">
        <f>'WS-MOOE ACTUAL JUNE 2018'!B15</f>
        <v>137803.88</v>
      </c>
      <c r="F44" s="11375">
        <f>G44-E44</f>
        <v>312196.12</v>
      </c>
      <c r="G44" s="11375">
        <v>450000</v>
      </c>
      <c r="H44" s="11375">
        <v>195677.88</v>
      </c>
      <c r="I44" s="12210">
        <f t="shared" ref="I44:I63" si="2">H44/G44</f>
        <v>0.43483973333333337</v>
      </c>
      <c r="J44" s="11377">
        <v>450000</v>
      </c>
    </row>
    <row r="45" spans="1:11" ht="15" customHeight="1">
      <c r="A45" s="11374"/>
      <c r="B45" s="7913" t="s">
        <v>41</v>
      </c>
      <c r="C45" s="10152">
        <v>50202010</v>
      </c>
      <c r="D45" s="11375">
        <f>'WS-MOOE 2017'!H14</f>
        <v>111490</v>
      </c>
      <c r="E45" s="11375">
        <f>'WS-MOOE ACTUAL JUNE 2018'!G15</f>
        <v>0</v>
      </c>
      <c r="F45" s="11375">
        <f t="shared" ref="F45:F63" si="3">G45-E45</f>
        <v>300000</v>
      </c>
      <c r="G45" s="11375">
        <v>300000</v>
      </c>
      <c r="H45" s="11375">
        <v>135000</v>
      </c>
      <c r="I45" s="12210">
        <f t="shared" si="2"/>
        <v>0.45</v>
      </c>
      <c r="J45" s="11377">
        <v>368000</v>
      </c>
    </row>
    <row r="46" spans="1:11" ht="15" customHeight="1">
      <c r="A46" s="11374"/>
      <c r="B46" s="7913" t="s">
        <v>42</v>
      </c>
      <c r="C46" s="10152">
        <v>50203010</v>
      </c>
      <c r="D46" s="11375">
        <f>'WS-MOOE 2017'!J14</f>
        <v>274487.65000000002</v>
      </c>
      <c r="E46" s="11375">
        <f>'WS-MOOE ACTUAL JUNE 2018'!H15</f>
        <v>39684.800000000003</v>
      </c>
      <c r="F46" s="11375">
        <f t="shared" si="3"/>
        <v>410315.2</v>
      </c>
      <c r="G46" s="11375">
        <v>450000</v>
      </c>
      <c r="H46" s="11375">
        <v>344429.9</v>
      </c>
      <c r="I46" s="12210">
        <f t="shared" si="2"/>
        <v>0.76539977777777779</v>
      </c>
      <c r="J46" s="11377">
        <v>460000</v>
      </c>
    </row>
    <row r="47" spans="1:11" ht="15" customHeight="1">
      <c r="A47" s="11374"/>
      <c r="B47" s="7913" t="s">
        <v>44</v>
      </c>
      <c r="C47" s="10152">
        <v>50203090</v>
      </c>
      <c r="D47" s="11375">
        <f>'WS-MOOE 2017'!R14</f>
        <v>156495.01</v>
      </c>
      <c r="E47" s="11375">
        <f>'WS-MOOE ACTUAL JUNE 2018'!O15</f>
        <v>89713.81</v>
      </c>
      <c r="F47" s="11375">
        <f t="shared" si="3"/>
        <v>360286.19</v>
      </c>
      <c r="G47" s="11375">
        <v>450000</v>
      </c>
      <c r="H47" s="11375">
        <v>286113.81</v>
      </c>
      <c r="I47" s="12210">
        <f t="shared" si="2"/>
        <v>0.63580846666666668</v>
      </c>
      <c r="J47" s="11377">
        <v>450000</v>
      </c>
    </row>
    <row r="48" spans="1:11" ht="15" customHeight="1">
      <c r="A48" s="11374"/>
      <c r="B48" s="7913" t="s">
        <v>46</v>
      </c>
      <c r="C48" s="10152">
        <v>50204020</v>
      </c>
      <c r="D48" s="11375">
        <f>'WS-MOOE 2017'!X14</f>
        <v>470000</v>
      </c>
      <c r="E48" s="11375">
        <f>'WS-MOOE ACTUAL JUNE 2018'!S15</f>
        <v>174351.06</v>
      </c>
      <c r="F48" s="11375">
        <f t="shared" si="3"/>
        <v>295648.94</v>
      </c>
      <c r="G48" s="11375">
        <v>470000</v>
      </c>
      <c r="H48" s="11375">
        <v>230343.42</v>
      </c>
      <c r="I48" s="12210">
        <f t="shared" si="2"/>
        <v>0.49009238297872343</v>
      </c>
      <c r="J48" s="11348">
        <v>0</v>
      </c>
      <c r="K48" s="8904">
        <v>480000</v>
      </c>
    </row>
    <row r="49" spans="1:11" ht="15" customHeight="1">
      <c r="A49" s="11374"/>
      <c r="B49" s="7913" t="s">
        <v>165</v>
      </c>
      <c r="C49" s="10152">
        <v>50205010</v>
      </c>
      <c r="D49" s="11375">
        <f>'WS-MOOE 2017'!Z14</f>
        <v>10399</v>
      </c>
      <c r="E49" s="11375">
        <f>'WS-MOOE ACTUAL JUNE 2018'!U15</f>
        <v>3297</v>
      </c>
      <c r="F49" s="11375">
        <f t="shared" si="3"/>
        <v>8703</v>
      </c>
      <c r="G49" s="11375">
        <v>12000</v>
      </c>
      <c r="H49" s="11375">
        <v>3297</v>
      </c>
      <c r="I49" s="12210">
        <f t="shared" si="2"/>
        <v>0.27474999999999999</v>
      </c>
      <c r="J49" s="11377">
        <v>12000</v>
      </c>
    </row>
    <row r="50" spans="1:11" ht="15" customHeight="1">
      <c r="A50" s="11374"/>
      <c r="B50" s="7803" t="s">
        <v>10950</v>
      </c>
      <c r="C50" s="10152">
        <v>50205020</v>
      </c>
      <c r="D50" s="11375">
        <f>'WS-MOOE 2017'!AA14+'WS-MOOE 2017'!AC14</f>
        <v>151105.53</v>
      </c>
      <c r="E50" s="11375">
        <f>'WS-MOOE ACTUAL JUNE 2018'!V15</f>
        <v>59079.05</v>
      </c>
      <c r="F50" s="11375">
        <f t="shared" si="3"/>
        <v>110920.95</v>
      </c>
      <c r="G50" s="11375">
        <v>170000</v>
      </c>
      <c r="H50" s="11375">
        <v>81026.42</v>
      </c>
      <c r="I50" s="12210">
        <f t="shared" si="2"/>
        <v>0.47662599999999999</v>
      </c>
      <c r="J50" s="11377">
        <v>185000</v>
      </c>
    </row>
    <row r="51" spans="1:11" ht="15" hidden="1" customHeight="1">
      <c r="A51" s="11374"/>
      <c r="B51" s="7913" t="s">
        <v>196</v>
      </c>
      <c r="C51" s="10152"/>
      <c r="D51" s="11375"/>
      <c r="E51" s="11375"/>
      <c r="F51" s="11375">
        <f t="shared" si="3"/>
        <v>0</v>
      </c>
      <c r="G51" s="11375"/>
      <c r="H51" s="11375"/>
      <c r="I51" s="12210" t="e">
        <f t="shared" si="2"/>
        <v>#DIV/0!</v>
      </c>
      <c r="J51" s="11377"/>
    </row>
    <row r="52" spans="1:11" ht="15" customHeight="1">
      <c r="A52" s="11374"/>
      <c r="B52" s="7913" t="s">
        <v>197</v>
      </c>
      <c r="C52" s="10152">
        <v>50205030</v>
      </c>
      <c r="D52" s="11375">
        <f>'WS-MOOE 2017'!AE14</f>
        <v>125478.72</v>
      </c>
      <c r="E52" s="11375">
        <f>'WS-MOOE ACTUAL JUNE 2018'!Z15</f>
        <v>61171.17</v>
      </c>
      <c r="F52" s="11375">
        <f t="shared" si="3"/>
        <v>73828.83</v>
      </c>
      <c r="G52" s="11375">
        <v>135000</v>
      </c>
      <c r="H52" s="11375">
        <v>88383.82</v>
      </c>
      <c r="I52" s="12210">
        <f t="shared" si="2"/>
        <v>0.65469496296296303</v>
      </c>
      <c r="J52" s="11377">
        <v>184716</v>
      </c>
    </row>
    <row r="53" spans="1:11" ht="15" hidden="1" customHeight="1">
      <c r="A53" s="11374"/>
      <c r="B53" s="7913" t="s">
        <v>114</v>
      </c>
      <c r="C53" s="10152">
        <v>781</v>
      </c>
      <c r="D53" s="11375">
        <f>'WS-MOOE 2017'!BJ14</f>
        <v>0</v>
      </c>
      <c r="E53" s="11375"/>
      <c r="F53" s="11375">
        <f t="shared" si="3"/>
        <v>0</v>
      </c>
      <c r="G53" s="11375">
        <v>0</v>
      </c>
      <c r="H53" s="11375"/>
      <c r="I53" s="12210" t="e">
        <f t="shared" si="2"/>
        <v>#DIV/0!</v>
      </c>
      <c r="J53" s="11377">
        <v>0</v>
      </c>
    </row>
    <row r="54" spans="1:11" ht="15" hidden="1" customHeight="1">
      <c r="A54" s="11374"/>
      <c r="B54" s="7913" t="s">
        <v>100</v>
      </c>
      <c r="C54" s="10152">
        <v>50299030</v>
      </c>
      <c r="D54" s="11375">
        <f>'WS-MOOE 2017'!BK14</f>
        <v>0</v>
      </c>
      <c r="E54" s="11375">
        <f>'WS-MOOE ACTUAL JUNE 2018'!BE15</f>
        <v>0</v>
      </c>
      <c r="F54" s="11375">
        <f t="shared" si="3"/>
        <v>0</v>
      </c>
      <c r="G54" s="11375">
        <v>0</v>
      </c>
      <c r="H54" s="11375"/>
      <c r="I54" s="12210"/>
      <c r="J54" s="11377">
        <v>0</v>
      </c>
    </row>
    <row r="55" spans="1:11" ht="15" customHeight="1">
      <c r="A55" s="11374"/>
      <c r="B55" s="7488" t="s">
        <v>10944</v>
      </c>
      <c r="C55" s="11258">
        <v>50211990</v>
      </c>
      <c r="D55" s="11375">
        <f>'WS-MOOE 2017'!AO14</f>
        <v>777795.3</v>
      </c>
      <c r="E55" s="11375">
        <f>'WS-MOOE ACTUAL JUNE 2018'!AF15</f>
        <v>75000</v>
      </c>
      <c r="F55" s="11375">
        <f t="shared" si="3"/>
        <v>105000</v>
      </c>
      <c r="G55" s="11375">
        <v>180000</v>
      </c>
      <c r="H55" s="11375">
        <v>180000</v>
      </c>
      <c r="I55" s="12210">
        <f>H55/G55</f>
        <v>1</v>
      </c>
      <c r="J55" s="11377">
        <v>180000</v>
      </c>
    </row>
    <row r="56" spans="1:11" ht="15" customHeight="1">
      <c r="A56" s="11374"/>
      <c r="B56" s="7352" t="s">
        <v>10940</v>
      </c>
      <c r="C56" s="8872">
        <v>50212990</v>
      </c>
      <c r="D56" s="11375">
        <f>'WS-MOOE 2017'!AL14</f>
        <v>180000</v>
      </c>
      <c r="E56" s="11375">
        <f>'WS-MOOE ACTUAL JUNE 2018'!AJ15</f>
        <v>206633.54</v>
      </c>
      <c r="F56" s="11375">
        <f t="shared" si="3"/>
        <v>553366.46</v>
      </c>
      <c r="G56" s="11375">
        <v>760000</v>
      </c>
      <c r="H56" s="11375">
        <v>451532.86</v>
      </c>
      <c r="I56" s="12210">
        <f>H56/G56</f>
        <v>0.59412218421052632</v>
      </c>
      <c r="J56" s="11377">
        <v>823680</v>
      </c>
    </row>
    <row r="57" spans="1:11" ht="15" customHeight="1">
      <c r="A57" s="11374"/>
      <c r="B57" s="7488" t="s">
        <v>10959</v>
      </c>
      <c r="C57" s="10377">
        <v>50213040</v>
      </c>
      <c r="D57" s="11375">
        <f>'WS-MOOE 2017'!AS14</f>
        <v>4000</v>
      </c>
      <c r="E57" s="11375">
        <f>'WS-MOOE ACTUAL JUNE 2018'!AN15</f>
        <v>4075</v>
      </c>
      <c r="F57" s="11375">
        <f t="shared" si="3"/>
        <v>15925</v>
      </c>
      <c r="G57" s="11375">
        <v>20000</v>
      </c>
      <c r="H57" s="11375">
        <v>4075</v>
      </c>
      <c r="I57" s="12210">
        <f t="shared" si="2"/>
        <v>0.20374999999999999</v>
      </c>
      <c r="J57" s="11377">
        <v>20000</v>
      </c>
    </row>
    <row r="58" spans="1:11" ht="15" hidden="1" customHeight="1">
      <c r="A58" s="11374"/>
      <c r="B58" s="7913" t="s">
        <v>115</v>
      </c>
      <c r="C58" s="10152"/>
      <c r="D58" s="11375"/>
      <c r="E58" s="11375"/>
      <c r="F58" s="11375">
        <f t="shared" si="3"/>
        <v>0</v>
      </c>
      <c r="G58" s="11375"/>
      <c r="H58" s="11375"/>
      <c r="I58" s="12210" t="e">
        <f t="shared" si="2"/>
        <v>#DIV/0!</v>
      </c>
      <c r="J58" s="11377"/>
    </row>
    <row r="59" spans="1:11" ht="15" customHeight="1">
      <c r="A59" s="11374"/>
      <c r="B59" s="7488" t="s">
        <v>10938</v>
      </c>
      <c r="C59" s="8872">
        <v>50213050</v>
      </c>
      <c r="D59" s="11375">
        <f>'WS-MOOE 2017'!AW14</f>
        <v>113571</v>
      </c>
      <c r="E59" s="11375">
        <f>'WS-MOOE ACTUAL JUNE 2018'!AS15</f>
        <v>44937</v>
      </c>
      <c r="F59" s="11375">
        <f t="shared" si="3"/>
        <v>155063</v>
      </c>
      <c r="G59" s="11375">
        <v>200000</v>
      </c>
      <c r="H59" s="11375">
        <v>78135</v>
      </c>
      <c r="I59" s="12210">
        <f t="shared" si="2"/>
        <v>0.39067499999999999</v>
      </c>
      <c r="J59" s="11377">
        <v>200000</v>
      </c>
    </row>
    <row r="60" spans="1:11" ht="15" customHeight="1">
      <c r="A60" s="11374"/>
      <c r="B60" s="7488" t="s">
        <v>10937</v>
      </c>
      <c r="C60" s="11258">
        <v>50213060</v>
      </c>
      <c r="D60" s="11375">
        <f>'WS-MOOE 2017'!BB14</f>
        <v>137238.88</v>
      </c>
      <c r="E60" s="11375">
        <f>'WS-MOOE ACTUAL JUNE 2018'!AT15</f>
        <v>58690</v>
      </c>
      <c r="F60" s="11375">
        <f t="shared" si="3"/>
        <v>221310</v>
      </c>
      <c r="G60" s="11375">
        <v>280000</v>
      </c>
      <c r="H60" s="11375">
        <v>223300</v>
      </c>
      <c r="I60" s="12210">
        <f t="shared" si="2"/>
        <v>0.79749999999999999</v>
      </c>
      <c r="J60" s="11377">
        <v>280000</v>
      </c>
    </row>
    <row r="61" spans="1:11" ht="15" customHeight="1">
      <c r="A61" s="11374"/>
      <c r="B61" s="7913" t="s">
        <v>72</v>
      </c>
      <c r="C61" s="10152">
        <v>50215020</v>
      </c>
      <c r="D61" s="11375">
        <f>'WS-MOOE 2017'!BH14</f>
        <v>450</v>
      </c>
      <c r="E61" s="11375">
        <f>'WS-MOOE ACTUAL JUNE 2018'!AZ15</f>
        <v>2550</v>
      </c>
      <c r="F61" s="11375">
        <f t="shared" si="3"/>
        <v>4450</v>
      </c>
      <c r="G61" s="11375">
        <v>7000</v>
      </c>
      <c r="H61" s="11375">
        <v>2550</v>
      </c>
      <c r="I61" s="12210">
        <f t="shared" si="2"/>
        <v>0.36428571428571427</v>
      </c>
      <c r="J61" s="11377">
        <v>7000</v>
      </c>
    </row>
    <row r="62" spans="1:11" ht="15" customHeight="1">
      <c r="A62" s="11374"/>
      <c r="B62" s="7951" t="s">
        <v>128</v>
      </c>
      <c r="C62" s="12208">
        <v>50299070</v>
      </c>
      <c r="D62" s="11375">
        <f>'WS-MOOE 2017'!BL14</f>
        <v>8250</v>
      </c>
      <c r="E62" s="11375">
        <f>'WS-MOOE ACTUAL JUNE 2018'!BF15</f>
        <v>3575</v>
      </c>
      <c r="F62" s="11375">
        <f>G62-E62</f>
        <v>6425</v>
      </c>
      <c r="G62" s="11375">
        <v>10000</v>
      </c>
      <c r="H62" s="11375">
        <v>5070</v>
      </c>
      <c r="I62" s="12210">
        <v>0</v>
      </c>
      <c r="J62" s="11377">
        <v>10000</v>
      </c>
    </row>
    <row r="63" spans="1:11" ht="15" customHeight="1">
      <c r="A63" s="11374"/>
      <c r="B63" s="7913" t="s">
        <v>152</v>
      </c>
      <c r="C63" s="10152">
        <v>50299990</v>
      </c>
      <c r="D63" s="11375">
        <f>'WS-MOOE 2017'!BO14</f>
        <v>264395.2</v>
      </c>
      <c r="E63" s="11375">
        <f>'WS-MOOE ACTUAL JUNE 2018'!BI15</f>
        <v>32903.5</v>
      </c>
      <c r="F63" s="11375">
        <f t="shared" si="3"/>
        <v>647096.5</v>
      </c>
      <c r="G63" s="11375">
        <v>680000</v>
      </c>
      <c r="H63" s="11375">
        <v>159761.5</v>
      </c>
      <c r="I63" s="12210">
        <f t="shared" si="2"/>
        <v>0.23494338235294118</v>
      </c>
      <c r="J63" s="11377">
        <v>630000</v>
      </c>
    </row>
    <row r="64" spans="1:11" ht="15" customHeight="1">
      <c r="A64" s="11374"/>
      <c r="B64" s="7913" t="s">
        <v>11524</v>
      </c>
      <c r="C64" s="10152"/>
      <c r="D64" s="11375"/>
      <c r="E64" s="11375"/>
      <c r="F64" s="11375"/>
      <c r="G64" s="11375"/>
      <c r="H64" s="11375"/>
      <c r="I64" s="12210"/>
      <c r="J64" s="11377">
        <v>50000</v>
      </c>
      <c r="K64" s="7914"/>
    </row>
    <row r="65" spans="1:11" ht="15" hidden="1" customHeight="1">
      <c r="A65" s="11374"/>
      <c r="B65" s="7919"/>
      <c r="C65" s="10152"/>
      <c r="D65" s="11375"/>
      <c r="E65" s="11375"/>
      <c r="F65" s="11375"/>
      <c r="G65" s="11375"/>
      <c r="H65" s="11375"/>
      <c r="I65" s="12210"/>
      <c r="J65" s="11377"/>
    </row>
    <row r="66" spans="1:11" ht="15" hidden="1" customHeight="1">
      <c r="A66" s="11374"/>
      <c r="B66" s="7913"/>
      <c r="C66" s="10152"/>
      <c r="D66" s="11375"/>
      <c r="E66" s="11375"/>
      <c r="F66" s="11375"/>
      <c r="G66" s="11375"/>
      <c r="H66" s="11375"/>
      <c r="I66" s="12210"/>
      <c r="J66" s="11377">
        <v>0</v>
      </c>
    </row>
    <row r="67" spans="1:11" ht="15" hidden="1" customHeight="1">
      <c r="A67" s="11374"/>
      <c r="B67" s="7913"/>
      <c r="C67" s="10152"/>
      <c r="D67" s="11358"/>
      <c r="E67" s="11358"/>
      <c r="F67" s="11375"/>
      <c r="G67" s="11358"/>
      <c r="H67" s="11358"/>
      <c r="I67" s="12210"/>
      <c r="J67" s="12267">
        <v>0</v>
      </c>
    </row>
    <row r="68" spans="1:11" ht="15" customHeight="1">
      <c r="A68" s="11374"/>
      <c r="B68" s="7913"/>
      <c r="C68" s="10152"/>
      <c r="D68" s="12268"/>
      <c r="E68" s="12269"/>
      <c r="F68" s="12269"/>
      <c r="G68" s="12269"/>
      <c r="H68" s="12269"/>
      <c r="I68" s="12258"/>
      <c r="J68" s="12270"/>
    </row>
    <row r="69" spans="1:11" s="7837" customFormat="1" ht="15" customHeight="1">
      <c r="A69" s="11152"/>
      <c r="B69" s="7920" t="s">
        <v>37</v>
      </c>
      <c r="C69" s="11257"/>
      <c r="D69" s="11204">
        <f>SUM(D43:D68)</f>
        <v>3226653.2800000003</v>
      </c>
      <c r="E69" s="11204">
        <f>SUM(E43:E68)</f>
        <v>993464.81</v>
      </c>
      <c r="F69" s="11204">
        <f>SUM(F43:F68)</f>
        <v>3580535.19</v>
      </c>
      <c r="G69" s="11204">
        <f>SUM(G43:G68)</f>
        <v>4574000</v>
      </c>
      <c r="H69" s="11204">
        <f>SUM(H44:H58,H59:H67)</f>
        <v>2468696.61</v>
      </c>
      <c r="I69" s="12235">
        <f>H69/G69</f>
        <v>0.53972378880629646</v>
      </c>
      <c r="J69" s="12290">
        <f>SUM(J43:J68)</f>
        <v>4310396</v>
      </c>
      <c r="K69" s="10391">
        <f>(J69-G69)/G69</f>
        <v>-5.7630957586357674E-2</v>
      </c>
    </row>
    <row r="70" spans="1:11" ht="15" customHeight="1">
      <c r="A70" s="11374"/>
      <c r="B70" s="7913"/>
      <c r="C70" s="10152"/>
      <c r="D70" s="12278"/>
      <c r="E70" s="12278"/>
      <c r="F70" s="12278"/>
      <c r="G70" s="12278"/>
      <c r="H70" s="12278"/>
      <c r="I70" s="12279"/>
      <c r="J70" s="12280"/>
    </row>
    <row r="71" spans="1:11" s="7912" customFormat="1" ht="15" customHeight="1">
      <c r="A71" s="12250" t="s">
        <v>51</v>
      </c>
      <c r="B71" s="7911" t="s">
        <v>199</v>
      </c>
      <c r="C71" s="12245"/>
      <c r="D71" s="12281"/>
      <c r="E71" s="12281"/>
      <c r="F71" s="12281"/>
      <c r="G71" s="12281"/>
      <c r="H71" s="12281"/>
      <c r="I71" s="12282"/>
      <c r="J71" s="12283"/>
    </row>
    <row r="72" spans="1:11" ht="15" customHeight="1">
      <c r="A72" s="12275"/>
      <c r="B72" s="7810" t="s">
        <v>176</v>
      </c>
      <c r="C72" s="10377">
        <v>50705020</v>
      </c>
      <c r="D72" s="12284">
        <f>'WS-CO 2017'!F13</f>
        <v>0</v>
      </c>
      <c r="E72" s="12284"/>
      <c r="F72" s="12284"/>
      <c r="G72" s="12284">
        <v>0</v>
      </c>
      <c r="H72" s="12284">
        <v>0</v>
      </c>
      <c r="I72" s="12279" t="e">
        <f>H72/G72</f>
        <v>#DIV/0!</v>
      </c>
      <c r="J72" s="12285">
        <v>0</v>
      </c>
    </row>
    <row r="73" spans="1:11" ht="15" customHeight="1">
      <c r="A73" s="12275"/>
      <c r="B73" s="7810" t="s">
        <v>12241</v>
      </c>
      <c r="C73" s="10377">
        <v>50707010</v>
      </c>
      <c r="D73" s="12284">
        <f>'WS-CO 2017'!K13</f>
        <v>58100</v>
      </c>
      <c r="E73" s="12284"/>
      <c r="F73" s="11358">
        <f>G73-E73</f>
        <v>42000</v>
      </c>
      <c r="G73" s="12284">
        <v>42000</v>
      </c>
      <c r="H73" s="12284">
        <v>42000</v>
      </c>
      <c r="I73" s="12279">
        <f>H73/G73</f>
        <v>1</v>
      </c>
      <c r="J73" s="12285">
        <v>0</v>
      </c>
    </row>
    <row r="74" spans="1:11" ht="15" customHeight="1">
      <c r="A74" s="12275"/>
      <c r="B74" s="7488" t="s">
        <v>10947</v>
      </c>
      <c r="C74" s="10144">
        <v>50705030</v>
      </c>
      <c r="D74" s="12284">
        <f>'WS-CO 2017'!H13</f>
        <v>46800</v>
      </c>
      <c r="E74" s="12284"/>
      <c r="F74" s="11358">
        <f>G74-E74</f>
        <v>190090</v>
      </c>
      <c r="G74" s="12284">
        <v>190090</v>
      </c>
      <c r="H74" s="12284">
        <v>190090</v>
      </c>
      <c r="I74" s="12279">
        <f>H74/G74</f>
        <v>1</v>
      </c>
      <c r="J74" s="12285">
        <v>251800</v>
      </c>
    </row>
    <row r="75" spans="1:11" ht="15" hidden="1" customHeight="1">
      <c r="A75" s="12275"/>
      <c r="B75" s="7913" t="s">
        <v>3345</v>
      </c>
      <c r="C75" s="10152">
        <v>224</v>
      </c>
      <c r="D75" s="12284">
        <f>'WS-CO 2017'!J13</f>
        <v>0</v>
      </c>
      <c r="E75" s="12284"/>
      <c r="F75" s="12284"/>
      <c r="G75" s="12284">
        <v>0</v>
      </c>
      <c r="H75" s="12284"/>
      <c r="I75" s="12279"/>
      <c r="J75" s="12285">
        <v>0</v>
      </c>
    </row>
    <row r="76" spans="1:11" ht="15" customHeight="1">
      <c r="A76" s="12275"/>
      <c r="B76" s="7913"/>
      <c r="C76" s="10152"/>
      <c r="D76" s="12276"/>
      <c r="E76" s="12276"/>
      <c r="F76" s="12276"/>
      <c r="G76" s="12276"/>
      <c r="H76" s="12276"/>
      <c r="I76" s="12286"/>
      <c r="J76" s="12287"/>
    </row>
    <row r="77" spans="1:11" s="7837" customFormat="1" ht="15" customHeight="1">
      <c r="A77" s="11158"/>
      <c r="B77" s="7920" t="s">
        <v>37</v>
      </c>
      <c r="C77" s="11257"/>
      <c r="D77" s="11204">
        <f>SUM(D72:D75)</f>
        <v>104900</v>
      </c>
      <c r="E77" s="11204">
        <f>SUM(E72:E75)</f>
        <v>0</v>
      </c>
      <c r="F77" s="11204">
        <f>SUM(F72:F75)</f>
        <v>232090</v>
      </c>
      <c r="G77" s="11204">
        <f>SUM(G71:G75)</f>
        <v>232090</v>
      </c>
      <c r="H77" s="11204">
        <f>SUM(H71:H75)</f>
        <v>232090</v>
      </c>
      <c r="I77" s="12235"/>
      <c r="J77" s="12290">
        <f>SUM(J71:J76)</f>
        <v>251800</v>
      </c>
      <c r="K77" s="10391">
        <f>(J77-G77)/G77</f>
        <v>8.4923951915205312E-2</v>
      </c>
    </row>
    <row r="78" spans="1:11" s="7837" customFormat="1" ht="15" customHeight="1" thickBot="1">
      <c r="A78" s="12277"/>
      <c r="B78" s="11172"/>
      <c r="C78" s="12271"/>
      <c r="D78" s="12288"/>
      <c r="E78" s="12288"/>
      <c r="F78" s="12288"/>
      <c r="G78" s="12288"/>
      <c r="H78" s="12288"/>
      <c r="I78" s="7497"/>
      <c r="J78" s="12289"/>
      <c r="K78" s="10391"/>
    </row>
    <row r="79" spans="1:11" s="7837" customFormat="1" ht="15" customHeight="1">
      <c r="A79" s="12291"/>
      <c r="B79" s="12292"/>
      <c r="C79" s="12293"/>
      <c r="D79" s="12294"/>
      <c r="E79" s="12294"/>
      <c r="F79" s="12294"/>
      <c r="G79" s="12294"/>
      <c r="H79" s="12294"/>
      <c r="I79" s="12295"/>
      <c r="J79" s="12294"/>
      <c r="K79" s="10391"/>
    </row>
    <row r="80" spans="1:11" s="7837" customFormat="1" ht="15" customHeight="1">
      <c r="A80" s="12272"/>
      <c r="B80" s="7920"/>
      <c r="C80" s="12273"/>
      <c r="D80" s="8156"/>
      <c r="E80" s="8156"/>
      <c r="F80" s="8156"/>
      <c r="G80" s="8156"/>
      <c r="H80" s="8156"/>
      <c r="I80" s="10492"/>
      <c r="J80" s="8156"/>
      <c r="K80" s="10391"/>
    </row>
    <row r="81" spans="1:11" s="7837" customFormat="1" ht="15" customHeight="1">
      <c r="A81" s="12272"/>
      <c r="B81" s="7920"/>
      <c r="C81" s="12273"/>
      <c r="D81" s="8156"/>
      <c r="E81" s="8156"/>
      <c r="F81" s="8156"/>
      <c r="G81" s="8156"/>
      <c r="H81" s="8156"/>
      <c r="I81" s="10492"/>
      <c r="J81" s="8156"/>
      <c r="K81" s="10391"/>
    </row>
    <row r="82" spans="1:11" s="7837" customFormat="1" ht="15" customHeight="1">
      <c r="A82" s="12272"/>
      <c r="B82" s="7920"/>
      <c r="C82" s="12273"/>
      <c r="D82" s="8156"/>
      <c r="E82" s="8156"/>
      <c r="F82" s="8156"/>
      <c r="G82" s="8156"/>
      <c r="H82" s="8156"/>
      <c r="I82" s="10492"/>
      <c r="J82" s="8156"/>
      <c r="K82" s="10391"/>
    </row>
    <row r="83" spans="1:11" s="7837" customFormat="1" ht="15" customHeight="1" thickBot="1">
      <c r="A83" s="7941" t="s">
        <v>10906</v>
      </c>
      <c r="B83" s="7941"/>
      <c r="C83" s="9310"/>
      <c r="D83" s="7916"/>
      <c r="E83" s="7916"/>
      <c r="F83" s="7916"/>
      <c r="G83" s="7916"/>
      <c r="H83" s="7916"/>
      <c r="I83" s="10490"/>
      <c r="J83" s="7916"/>
    </row>
    <row r="84" spans="1:11" ht="15" customHeight="1" thickBot="1">
      <c r="A84" s="12241"/>
      <c r="B84" s="12296"/>
      <c r="C84" s="12243"/>
      <c r="D84" s="12297" t="s">
        <v>10</v>
      </c>
      <c r="E84" s="14793" t="s">
        <v>10711</v>
      </c>
      <c r="F84" s="14793"/>
      <c r="G84" s="14793"/>
      <c r="H84" s="12298"/>
      <c r="I84" s="12299"/>
      <c r="J84" s="12300" t="s">
        <v>12</v>
      </c>
    </row>
    <row r="85" spans="1:11" ht="15" customHeight="1" thickBot="1">
      <c r="A85" s="11374"/>
      <c r="B85" s="12301" t="s">
        <v>13</v>
      </c>
      <c r="C85" s="12245" t="s">
        <v>93</v>
      </c>
      <c r="D85" s="12302" t="s">
        <v>15</v>
      </c>
      <c r="E85" s="9463" t="s">
        <v>10709</v>
      </c>
      <c r="F85" s="9463" t="s">
        <v>10710</v>
      </c>
      <c r="G85" s="14793" t="s">
        <v>458</v>
      </c>
      <c r="H85" s="12298"/>
      <c r="I85" s="12299"/>
      <c r="J85" s="12303" t="s">
        <v>16</v>
      </c>
    </row>
    <row r="86" spans="1:11" ht="15" customHeight="1" thickBot="1">
      <c r="A86" s="12247"/>
      <c r="B86" s="12304"/>
      <c r="C86" s="12249" t="s">
        <v>94</v>
      </c>
      <c r="D86" s="12305">
        <v>2016</v>
      </c>
      <c r="E86" s="9467" t="s">
        <v>457</v>
      </c>
      <c r="F86" s="9467" t="s">
        <v>456</v>
      </c>
      <c r="G86" s="14793"/>
      <c r="H86" s="12306"/>
      <c r="I86" s="12299"/>
      <c r="J86" s="11337">
        <v>2019</v>
      </c>
    </row>
    <row r="87" spans="1:11" ht="15" customHeight="1">
      <c r="A87" s="12275"/>
      <c r="B87" s="7913"/>
      <c r="C87" s="10152"/>
      <c r="D87" s="12307"/>
      <c r="E87" s="12308"/>
      <c r="F87" s="12308"/>
      <c r="G87" s="12308"/>
      <c r="H87" s="12308"/>
      <c r="I87" s="12309"/>
      <c r="J87" s="12310"/>
    </row>
    <row r="88" spans="1:11" ht="15" customHeight="1">
      <c r="A88" s="12250" t="s">
        <v>53</v>
      </c>
      <c r="B88" s="7911" t="s">
        <v>54</v>
      </c>
      <c r="C88" s="10152"/>
      <c r="D88" s="11358"/>
      <c r="E88" s="11375"/>
      <c r="F88" s="11375"/>
      <c r="G88" s="11375"/>
      <c r="H88" s="11375"/>
      <c r="I88" s="12210"/>
      <c r="J88" s="11377"/>
    </row>
    <row r="89" spans="1:11" ht="15" customHeight="1">
      <c r="A89" s="12250"/>
      <c r="B89" s="7911"/>
      <c r="C89" s="10152"/>
      <c r="D89" s="11375"/>
      <c r="E89" s="11375"/>
      <c r="F89" s="11375"/>
      <c r="G89" s="11375"/>
      <c r="H89" s="11375"/>
      <c r="I89" s="12210"/>
      <c r="J89" s="11377"/>
    </row>
    <row r="90" spans="1:11" ht="15" customHeight="1">
      <c r="A90" s="12250"/>
      <c r="B90" s="7921" t="s">
        <v>6350</v>
      </c>
      <c r="C90" s="10152"/>
      <c r="D90" s="11375"/>
      <c r="E90" s="11375"/>
      <c r="F90" s="11375"/>
      <c r="G90" s="11375"/>
      <c r="H90" s="11375"/>
      <c r="I90" s="12210"/>
      <c r="J90" s="11377"/>
    </row>
    <row r="91" spans="1:11" s="7922" customFormat="1" ht="15" customHeight="1">
      <c r="A91" s="12275"/>
      <c r="B91" s="7913" t="s">
        <v>6351</v>
      </c>
      <c r="C91" s="10152">
        <v>69909</v>
      </c>
      <c r="D91" s="11375">
        <v>104707</v>
      </c>
      <c r="E91" s="11375">
        <v>57851.06</v>
      </c>
      <c r="F91" s="11375">
        <f t="shared" ref="F91:F101" si="4">G91-E91</f>
        <v>212148.94</v>
      </c>
      <c r="G91" s="12311">
        <v>270000</v>
      </c>
      <c r="H91" s="12311">
        <v>164811.06</v>
      </c>
      <c r="I91" s="12210">
        <f>H91/G91</f>
        <v>0.61041133333333331</v>
      </c>
      <c r="J91" s="12274">
        <v>270000</v>
      </c>
    </row>
    <row r="92" spans="1:11" ht="15" customHeight="1">
      <c r="A92" s="12275"/>
      <c r="B92" s="7913" t="s">
        <v>6352</v>
      </c>
      <c r="C92" s="10152">
        <v>19914</v>
      </c>
      <c r="D92" s="11375">
        <v>42000</v>
      </c>
      <c r="E92" s="11375">
        <v>0</v>
      </c>
      <c r="F92" s="11375">
        <f t="shared" si="4"/>
        <v>300000</v>
      </c>
      <c r="G92" s="12311">
        <v>300000</v>
      </c>
      <c r="H92" s="12311">
        <v>107500</v>
      </c>
      <c r="I92" s="12210">
        <f t="shared" ref="I92:I101" si="5">H92/G92</f>
        <v>0.35833333333333334</v>
      </c>
      <c r="J92" s="12274">
        <v>300000</v>
      </c>
    </row>
    <row r="93" spans="1:11" ht="15" customHeight="1">
      <c r="A93" s="11374"/>
      <c r="B93" s="7913" t="s">
        <v>6353</v>
      </c>
      <c r="C93" s="10152">
        <v>799916</v>
      </c>
      <c r="D93" s="12312">
        <v>604728.75</v>
      </c>
      <c r="E93" s="12312">
        <v>98670</v>
      </c>
      <c r="F93" s="11375">
        <f t="shared" si="4"/>
        <v>701330</v>
      </c>
      <c r="G93" s="12312">
        <v>800000</v>
      </c>
      <c r="H93" s="12312">
        <v>560240</v>
      </c>
      <c r="I93" s="12210">
        <f t="shared" si="5"/>
        <v>0.70030000000000003</v>
      </c>
      <c r="J93" s="12313">
        <v>800000</v>
      </c>
    </row>
    <row r="94" spans="1:11" ht="15" customHeight="1">
      <c r="A94" s="11374"/>
      <c r="B94" s="7913" t="s">
        <v>6354</v>
      </c>
      <c r="C94" s="10152">
        <v>19916</v>
      </c>
      <c r="D94" s="12312">
        <v>33560</v>
      </c>
      <c r="E94" s="12312">
        <v>0</v>
      </c>
      <c r="F94" s="11375">
        <f t="shared" si="4"/>
        <v>100000</v>
      </c>
      <c r="G94" s="12312">
        <v>100000</v>
      </c>
      <c r="H94" s="12312">
        <v>86800</v>
      </c>
      <c r="I94" s="12210">
        <f t="shared" si="5"/>
        <v>0.86799999999999999</v>
      </c>
      <c r="J94" s="12313">
        <v>100000</v>
      </c>
    </row>
    <row r="95" spans="1:11" ht="15" customHeight="1">
      <c r="A95" s="11374"/>
      <c r="B95" s="7913" t="s">
        <v>9982</v>
      </c>
      <c r="C95" s="10152">
        <v>19919</v>
      </c>
      <c r="D95" s="12311">
        <v>110936</v>
      </c>
      <c r="E95" s="12311">
        <v>0</v>
      </c>
      <c r="F95" s="11375">
        <f t="shared" si="4"/>
        <v>250000</v>
      </c>
      <c r="G95" s="12312">
        <v>250000</v>
      </c>
      <c r="H95" s="12312">
        <v>156895</v>
      </c>
      <c r="I95" s="12210">
        <f t="shared" si="5"/>
        <v>0.62758000000000003</v>
      </c>
      <c r="J95" s="12313">
        <v>250000</v>
      </c>
    </row>
    <row r="96" spans="1:11" ht="15" customHeight="1">
      <c r="A96" s="11374"/>
      <c r="B96" s="7913" t="s">
        <v>11240</v>
      </c>
      <c r="C96" s="10152">
        <v>19915</v>
      </c>
      <c r="D96" s="12311"/>
      <c r="E96" s="12311">
        <v>0</v>
      </c>
      <c r="F96" s="11375">
        <f t="shared" si="4"/>
        <v>200000</v>
      </c>
      <c r="G96" s="12312">
        <v>200000</v>
      </c>
      <c r="H96" s="12312">
        <v>144000</v>
      </c>
      <c r="I96" s="12210">
        <f t="shared" si="5"/>
        <v>0.72</v>
      </c>
      <c r="J96" s="12313">
        <v>0</v>
      </c>
    </row>
    <row r="97" spans="1:13" ht="15" customHeight="1">
      <c r="A97" s="11374"/>
      <c r="B97" s="7913" t="s">
        <v>11525</v>
      </c>
      <c r="C97" s="10152"/>
      <c r="D97" s="12311"/>
      <c r="E97" s="12311"/>
      <c r="F97" s="11375"/>
      <c r="G97" s="12312"/>
      <c r="H97" s="12312"/>
      <c r="I97" s="12210"/>
      <c r="J97" s="12313">
        <v>250000</v>
      </c>
    </row>
    <row r="98" spans="1:13" ht="15" hidden="1" customHeight="1">
      <c r="A98" s="11374"/>
      <c r="B98" s="7921" t="s">
        <v>6349</v>
      </c>
      <c r="C98" s="10152"/>
      <c r="D98" s="12311"/>
      <c r="E98" s="12311"/>
      <c r="F98" s="11375"/>
      <c r="G98" s="12312"/>
      <c r="H98" s="12312"/>
      <c r="I98" s="12210"/>
      <c r="J98" s="12313"/>
    </row>
    <row r="99" spans="1:13" ht="15" hidden="1" customHeight="1">
      <c r="A99" s="11374"/>
      <c r="B99" s="7913" t="s">
        <v>6355</v>
      </c>
      <c r="C99" s="10152">
        <v>19915</v>
      </c>
      <c r="D99" s="12312"/>
      <c r="E99" s="12312"/>
      <c r="F99" s="11375">
        <f t="shared" si="4"/>
        <v>0</v>
      </c>
      <c r="G99" s="12312">
        <v>0</v>
      </c>
      <c r="H99" s="12312"/>
      <c r="I99" s="12210" t="e">
        <f t="shared" si="5"/>
        <v>#DIV/0!</v>
      </c>
      <c r="J99" s="12313">
        <v>0</v>
      </c>
      <c r="K99" s="7913"/>
      <c r="L99" s="8811"/>
      <c r="M99" s="7922"/>
    </row>
    <row r="100" spans="1:13" ht="15" hidden="1" customHeight="1">
      <c r="A100" s="11374"/>
      <c r="B100" s="7921" t="s">
        <v>6348</v>
      </c>
      <c r="C100" s="10152"/>
      <c r="D100" s="12311"/>
      <c r="E100" s="12311"/>
      <c r="F100" s="11375"/>
      <c r="G100" s="12312"/>
      <c r="H100" s="12312"/>
      <c r="I100" s="12210"/>
      <c r="J100" s="12313"/>
    </row>
    <row r="101" spans="1:13" ht="15" hidden="1" customHeight="1">
      <c r="A101" s="12275"/>
      <c r="B101" s="7913" t="s">
        <v>6356</v>
      </c>
      <c r="C101" s="10152">
        <v>899923</v>
      </c>
      <c r="D101" s="11375"/>
      <c r="E101" s="11375"/>
      <c r="F101" s="11375">
        <f t="shared" si="4"/>
        <v>0</v>
      </c>
      <c r="G101" s="12311">
        <v>0</v>
      </c>
      <c r="H101" s="12311"/>
      <c r="I101" s="12210" t="e">
        <f t="shared" si="5"/>
        <v>#DIV/0!</v>
      </c>
      <c r="J101" s="12274">
        <v>0</v>
      </c>
    </row>
    <row r="102" spans="1:13" ht="15" customHeight="1">
      <c r="A102" s="11374"/>
      <c r="B102" s="7913"/>
      <c r="C102" s="10152"/>
      <c r="D102" s="12311"/>
      <c r="E102" s="12311"/>
      <c r="F102" s="12311"/>
      <c r="G102" s="12312"/>
      <c r="H102" s="12311"/>
      <c r="I102" s="12210"/>
      <c r="J102" s="12313"/>
    </row>
    <row r="103" spans="1:13" s="7924" customFormat="1" ht="15" customHeight="1">
      <c r="A103" s="12314"/>
      <c r="B103" s="7923" t="s">
        <v>182</v>
      </c>
      <c r="C103" s="12315"/>
      <c r="D103" s="12316">
        <f>SUM(D91:D102)</f>
        <v>895931.75</v>
      </c>
      <c r="E103" s="12316">
        <f>SUM(E91:E102)</f>
        <v>156521.06</v>
      </c>
      <c r="F103" s="12316">
        <f>SUM(F91:F102)</f>
        <v>1763478.94</v>
      </c>
      <c r="G103" s="11215">
        <f>SUM(G91:G102)</f>
        <v>1920000</v>
      </c>
      <c r="H103" s="11215">
        <f>SUM(H91:H102)</f>
        <v>1220246.06</v>
      </c>
      <c r="I103" s="12317"/>
      <c r="J103" s="11216">
        <f>SUM(J91:J102)</f>
        <v>1970000</v>
      </c>
      <c r="K103" s="10372">
        <f>(J103-G103)/G103</f>
        <v>2.6041666666666668E-2</v>
      </c>
    </row>
    <row r="104" spans="1:13" ht="15" customHeight="1">
      <c r="A104" s="11374"/>
      <c r="B104" s="7913"/>
      <c r="C104" s="10152"/>
      <c r="D104" s="12311"/>
      <c r="E104" s="12311"/>
      <c r="F104" s="12311"/>
      <c r="G104" s="12312"/>
      <c r="H104" s="12311"/>
      <c r="I104" s="12210"/>
      <c r="J104" s="12313"/>
    </row>
    <row r="105" spans="1:13" s="7837" customFormat="1" ht="15" customHeight="1" thickBot="1">
      <c r="A105" s="11222"/>
      <c r="B105" s="11223" t="s">
        <v>55</v>
      </c>
      <c r="C105" s="12318"/>
      <c r="D105" s="11226">
        <f>(D29+D69+D77+D103)</f>
        <v>18143974.989999998</v>
      </c>
      <c r="E105" s="11226">
        <f>(E29+E69+E77+E103)</f>
        <v>8575356.0600000005</v>
      </c>
      <c r="F105" s="11226">
        <f>(F29+F69+F77+F103)</f>
        <v>16845251.940000001</v>
      </c>
      <c r="G105" s="11188">
        <f>(G29+G69+G77+G103)</f>
        <v>25420608</v>
      </c>
      <c r="H105" s="11226"/>
      <c r="I105" s="12221"/>
      <c r="J105" s="11189">
        <f>(J29+J69+J77+J103)</f>
        <v>25426031.060000002</v>
      </c>
      <c r="K105" s="10372">
        <f>(J105-G105)/G105</f>
        <v>2.1333321374541412E-4</v>
      </c>
    </row>
    <row r="106" spans="1:13" s="7925" customFormat="1" ht="15" customHeight="1">
      <c r="A106" s="7926" t="s">
        <v>4763</v>
      </c>
      <c r="B106" s="7926"/>
      <c r="C106" s="9301"/>
      <c r="D106" s="7928"/>
      <c r="E106" s="7928"/>
      <c r="F106" s="7928"/>
      <c r="G106" s="7929"/>
      <c r="H106" s="7928"/>
      <c r="I106" s="10505"/>
      <c r="J106" s="7929"/>
    </row>
    <row r="107" spans="1:13" s="7925" customFormat="1" ht="15" customHeight="1">
      <c r="A107" s="7926"/>
      <c r="B107" s="7926"/>
      <c r="C107" s="9301"/>
      <c r="D107" s="7928"/>
      <c r="E107" s="7928"/>
      <c r="F107" s="7928"/>
      <c r="G107" s="7929"/>
      <c r="H107" s="7928"/>
      <c r="I107" s="10505"/>
      <c r="J107" s="7929"/>
    </row>
    <row r="108" spans="1:13" ht="15" hidden="1" customHeight="1">
      <c r="A108" s="7761" t="s">
        <v>10769</v>
      </c>
      <c r="B108" s="7761"/>
      <c r="C108" s="9292" t="s">
        <v>3484</v>
      </c>
      <c r="E108" s="7762"/>
      <c r="F108" s="9459" t="s">
        <v>10666</v>
      </c>
      <c r="G108" s="7900"/>
      <c r="H108" s="7763"/>
      <c r="I108" s="8106"/>
      <c r="J108" s="7762"/>
    </row>
    <row r="109" spans="1:13" s="7912" customFormat="1" ht="15" hidden="1" customHeight="1">
      <c r="A109" s="7761"/>
      <c r="B109" s="7761"/>
      <c r="C109" s="9311"/>
      <c r="D109" s="7764"/>
      <c r="E109" s="7764"/>
      <c r="F109" s="7764"/>
      <c r="G109" s="7339"/>
      <c r="H109" s="7763"/>
      <c r="I109" s="8106"/>
      <c r="J109" s="7764"/>
    </row>
    <row r="110" spans="1:13" s="7912" customFormat="1" ht="15" hidden="1" customHeight="1">
      <c r="A110" s="7761"/>
      <c r="B110" s="7761"/>
      <c r="C110" s="9311"/>
      <c r="D110" s="7764"/>
      <c r="E110" s="7764"/>
      <c r="F110" s="7764"/>
      <c r="G110" s="7339"/>
      <c r="H110" s="7763"/>
      <c r="I110" s="8106"/>
      <c r="J110" s="7764"/>
    </row>
    <row r="111" spans="1:13" s="7912" customFormat="1" ht="15" hidden="1" customHeight="1">
      <c r="A111" s="7761"/>
      <c r="B111" s="7761"/>
      <c r="C111" s="9311"/>
      <c r="D111" s="7764"/>
      <c r="E111" s="7764"/>
      <c r="F111" s="7764"/>
      <c r="G111" s="7339"/>
      <c r="H111" s="7763"/>
      <c r="I111" s="8106"/>
      <c r="J111" s="7764"/>
    </row>
    <row r="112" spans="1:13" ht="15" hidden="1" customHeight="1">
      <c r="A112" s="7931" t="s">
        <v>10669</v>
      </c>
      <c r="B112" s="7931" t="s">
        <v>12069</v>
      </c>
      <c r="D112" s="10874" t="s">
        <v>12059</v>
      </c>
      <c r="E112" s="7765"/>
      <c r="F112" s="7762"/>
      <c r="G112" s="7342" t="s">
        <v>10667</v>
      </c>
      <c r="H112" s="7933"/>
      <c r="I112" s="10501"/>
      <c r="J112" s="7762"/>
    </row>
    <row r="113" spans="1:10" ht="15" hidden="1" customHeight="1">
      <c r="A113" s="7767"/>
      <c r="B113" s="7799" t="s">
        <v>12070</v>
      </c>
      <c r="D113" s="10870" t="s">
        <v>3486</v>
      </c>
      <c r="E113" s="7762"/>
      <c r="F113" s="7762"/>
      <c r="G113" s="7344" t="s">
        <v>10668</v>
      </c>
      <c r="H113" s="7763"/>
      <c r="I113" s="10871"/>
      <c r="J113" s="7763"/>
    </row>
    <row r="115" spans="1:10" ht="15" customHeight="1">
      <c r="G115" s="7936"/>
      <c r="J115" s="7936"/>
    </row>
    <row r="117" spans="1:10" ht="15" customHeight="1">
      <c r="H117" s="7936"/>
    </row>
  </sheetData>
  <mergeCells count="10">
    <mergeCell ref="A1:J1"/>
    <mergeCell ref="J3:J4"/>
    <mergeCell ref="G3:G4"/>
    <mergeCell ref="E84:G84"/>
    <mergeCell ref="G85:G86"/>
    <mergeCell ref="E7:G7"/>
    <mergeCell ref="G8:G9"/>
    <mergeCell ref="E39:G39"/>
    <mergeCell ref="G40:G41"/>
    <mergeCell ref="J5:J6"/>
  </mergeCells>
  <printOptions horizontalCentered="1" gridLinesSet="0"/>
  <pageMargins left="0.25" right="0.25" top="0.5" bottom="0.25" header="0.25" footer="0.25"/>
  <pageSetup paperSize="119" firstPageNumber="142" orientation="landscape" useFirstPageNumber="1" r:id="rId1"/>
  <headerFooter alignWithMargins="0"/>
</worksheet>
</file>

<file path=xl/worksheets/sheet87.xml><?xml version="1.0" encoding="utf-8"?>
<worksheet xmlns="http://schemas.openxmlformats.org/spreadsheetml/2006/main" xmlns:r="http://schemas.openxmlformats.org/officeDocument/2006/relationships">
  <sheetPr codeName="Sheet126">
    <tabColor rgb="FFFFFF00"/>
  </sheetPr>
  <dimension ref="A1:AC765"/>
  <sheetViews>
    <sheetView topLeftCell="A31" workbookViewId="0">
      <selection activeCell="C37" sqref="C37"/>
    </sheetView>
  </sheetViews>
  <sheetFormatPr defaultRowHeight="13.2"/>
  <cols>
    <col min="1" max="1" width="4.44140625" style="2281" customWidth="1"/>
    <col min="2" max="2" width="28.109375" style="2282" customWidth="1"/>
    <col min="3" max="3" width="14.109375" style="2282" customWidth="1"/>
    <col min="4" max="4" width="13" style="2282" customWidth="1"/>
    <col min="5" max="5" width="13.88671875" style="2282" customWidth="1"/>
    <col min="6" max="6" width="14" style="2282" customWidth="1"/>
    <col min="7" max="7" width="13.88671875" style="2282" customWidth="1"/>
    <col min="8" max="8" width="0.44140625" style="2282" customWidth="1"/>
    <col min="9" max="9" width="9.109375" style="2286"/>
    <col min="10" max="10" width="15" style="2287" customWidth="1"/>
    <col min="11" max="11" width="14" style="2288" bestFit="1" customWidth="1"/>
    <col min="12" max="12" width="9.109375" style="2288"/>
    <col min="13" max="13" width="16.88671875" style="2288" bestFit="1" customWidth="1"/>
    <col min="14" max="14" width="9.109375" style="2288"/>
    <col min="15" max="15" width="17.44140625" style="2288" customWidth="1"/>
    <col min="16" max="29" width="9.109375" style="2288"/>
    <col min="30" max="256" width="9.109375" style="2282"/>
    <col min="257" max="257" width="4.44140625" style="2282" customWidth="1"/>
    <col min="258" max="258" width="28.109375" style="2282" customWidth="1"/>
    <col min="259" max="259" width="14.109375" style="2282" customWidth="1"/>
    <col min="260" max="260" width="13" style="2282" customWidth="1"/>
    <col min="261" max="261" width="13.88671875" style="2282" customWidth="1"/>
    <col min="262" max="262" width="14" style="2282" customWidth="1"/>
    <col min="263" max="263" width="13.88671875" style="2282" customWidth="1"/>
    <col min="264" max="264" width="0.44140625" style="2282" customWidth="1"/>
    <col min="265" max="265" width="9.109375" style="2282"/>
    <col min="266" max="266" width="15" style="2282" customWidth="1"/>
    <col min="267" max="267" width="14" style="2282" bestFit="1" customWidth="1"/>
    <col min="268" max="268" width="9.109375" style="2282"/>
    <col min="269" max="269" width="16.88671875" style="2282" bestFit="1" customWidth="1"/>
    <col min="270" max="270" width="9.109375" style="2282"/>
    <col min="271" max="271" width="17.44140625" style="2282" customWidth="1"/>
    <col min="272" max="512" width="9.109375" style="2282"/>
    <col min="513" max="513" width="4.44140625" style="2282" customWidth="1"/>
    <col min="514" max="514" width="28.109375" style="2282" customWidth="1"/>
    <col min="515" max="515" width="14.109375" style="2282" customWidth="1"/>
    <col min="516" max="516" width="13" style="2282" customWidth="1"/>
    <col min="517" max="517" width="13.88671875" style="2282" customWidth="1"/>
    <col min="518" max="518" width="14" style="2282" customWidth="1"/>
    <col min="519" max="519" width="13.88671875" style="2282" customWidth="1"/>
    <col min="520" max="520" width="0.44140625" style="2282" customWidth="1"/>
    <col min="521" max="521" width="9.109375" style="2282"/>
    <col min="522" max="522" width="15" style="2282" customWidth="1"/>
    <col min="523" max="523" width="14" style="2282" bestFit="1" customWidth="1"/>
    <col min="524" max="524" width="9.109375" style="2282"/>
    <col min="525" max="525" width="16.88671875" style="2282" bestFit="1" customWidth="1"/>
    <col min="526" max="526" width="9.109375" style="2282"/>
    <col min="527" max="527" width="17.44140625" style="2282" customWidth="1"/>
    <col min="528" max="768" width="9.109375" style="2282"/>
    <col min="769" max="769" width="4.44140625" style="2282" customWidth="1"/>
    <col min="770" max="770" width="28.109375" style="2282" customWidth="1"/>
    <col min="771" max="771" width="14.109375" style="2282" customWidth="1"/>
    <col min="772" max="772" width="13" style="2282" customWidth="1"/>
    <col min="773" max="773" width="13.88671875" style="2282" customWidth="1"/>
    <col min="774" max="774" width="14" style="2282" customWidth="1"/>
    <col min="775" max="775" width="13.88671875" style="2282" customWidth="1"/>
    <col min="776" max="776" width="0.44140625" style="2282" customWidth="1"/>
    <col min="777" max="777" width="9.109375" style="2282"/>
    <col min="778" max="778" width="15" style="2282" customWidth="1"/>
    <col min="779" max="779" width="14" style="2282" bestFit="1" customWidth="1"/>
    <col min="780" max="780" width="9.109375" style="2282"/>
    <col min="781" max="781" width="16.88671875" style="2282" bestFit="1" customWidth="1"/>
    <col min="782" max="782" width="9.109375" style="2282"/>
    <col min="783" max="783" width="17.44140625" style="2282" customWidth="1"/>
    <col min="784" max="1024" width="9.109375" style="2282"/>
    <col min="1025" max="1025" width="4.44140625" style="2282" customWidth="1"/>
    <col min="1026" max="1026" width="28.109375" style="2282" customWidth="1"/>
    <col min="1027" max="1027" width="14.109375" style="2282" customWidth="1"/>
    <col min="1028" max="1028" width="13" style="2282" customWidth="1"/>
    <col min="1029" max="1029" width="13.88671875" style="2282" customWidth="1"/>
    <col min="1030" max="1030" width="14" style="2282" customWidth="1"/>
    <col min="1031" max="1031" width="13.88671875" style="2282" customWidth="1"/>
    <col min="1032" max="1032" width="0.44140625" style="2282" customWidth="1"/>
    <col min="1033" max="1033" width="9.109375" style="2282"/>
    <col min="1034" max="1034" width="15" style="2282" customWidth="1"/>
    <col min="1035" max="1035" width="14" style="2282" bestFit="1" customWidth="1"/>
    <col min="1036" max="1036" width="9.109375" style="2282"/>
    <col min="1037" max="1037" width="16.88671875" style="2282" bestFit="1" customWidth="1"/>
    <col min="1038" max="1038" width="9.109375" style="2282"/>
    <col min="1039" max="1039" width="17.44140625" style="2282" customWidth="1"/>
    <col min="1040" max="1280" width="9.109375" style="2282"/>
    <col min="1281" max="1281" width="4.44140625" style="2282" customWidth="1"/>
    <col min="1282" max="1282" width="28.109375" style="2282" customWidth="1"/>
    <col min="1283" max="1283" width="14.109375" style="2282" customWidth="1"/>
    <col min="1284" max="1284" width="13" style="2282" customWidth="1"/>
    <col min="1285" max="1285" width="13.88671875" style="2282" customWidth="1"/>
    <col min="1286" max="1286" width="14" style="2282" customWidth="1"/>
    <col min="1287" max="1287" width="13.88671875" style="2282" customWidth="1"/>
    <col min="1288" max="1288" width="0.44140625" style="2282" customWidth="1"/>
    <col min="1289" max="1289" width="9.109375" style="2282"/>
    <col min="1290" max="1290" width="15" style="2282" customWidth="1"/>
    <col min="1291" max="1291" width="14" style="2282" bestFit="1" customWidth="1"/>
    <col min="1292" max="1292" width="9.109375" style="2282"/>
    <col min="1293" max="1293" width="16.88671875" style="2282" bestFit="1" customWidth="1"/>
    <col min="1294" max="1294" width="9.109375" style="2282"/>
    <col min="1295" max="1295" width="17.44140625" style="2282" customWidth="1"/>
    <col min="1296" max="1536" width="9.109375" style="2282"/>
    <col min="1537" max="1537" width="4.44140625" style="2282" customWidth="1"/>
    <col min="1538" max="1538" width="28.109375" style="2282" customWidth="1"/>
    <col min="1539" max="1539" width="14.109375" style="2282" customWidth="1"/>
    <col min="1540" max="1540" width="13" style="2282" customWidth="1"/>
    <col min="1541" max="1541" width="13.88671875" style="2282" customWidth="1"/>
    <col min="1542" max="1542" width="14" style="2282" customWidth="1"/>
    <col min="1543" max="1543" width="13.88671875" style="2282" customWidth="1"/>
    <col min="1544" max="1544" width="0.44140625" style="2282" customWidth="1"/>
    <col min="1545" max="1545" width="9.109375" style="2282"/>
    <col min="1546" max="1546" width="15" style="2282" customWidth="1"/>
    <col min="1547" max="1547" width="14" style="2282" bestFit="1" customWidth="1"/>
    <col min="1548" max="1548" width="9.109375" style="2282"/>
    <col min="1549" max="1549" width="16.88671875" style="2282" bestFit="1" customWidth="1"/>
    <col min="1550" max="1550" width="9.109375" style="2282"/>
    <col min="1551" max="1551" width="17.44140625" style="2282" customWidth="1"/>
    <col min="1552" max="1792" width="9.109375" style="2282"/>
    <col min="1793" max="1793" width="4.44140625" style="2282" customWidth="1"/>
    <col min="1794" max="1794" width="28.109375" style="2282" customWidth="1"/>
    <col min="1795" max="1795" width="14.109375" style="2282" customWidth="1"/>
    <col min="1796" max="1796" width="13" style="2282" customWidth="1"/>
    <col min="1797" max="1797" width="13.88671875" style="2282" customWidth="1"/>
    <col min="1798" max="1798" width="14" style="2282" customWidth="1"/>
    <col min="1799" max="1799" width="13.88671875" style="2282" customWidth="1"/>
    <col min="1800" max="1800" width="0.44140625" style="2282" customWidth="1"/>
    <col min="1801" max="1801" width="9.109375" style="2282"/>
    <col min="1802" max="1802" width="15" style="2282" customWidth="1"/>
    <col min="1803" max="1803" width="14" style="2282" bestFit="1" customWidth="1"/>
    <col min="1804" max="1804" width="9.109375" style="2282"/>
    <col min="1805" max="1805" width="16.88671875" style="2282" bestFit="1" customWidth="1"/>
    <col min="1806" max="1806" width="9.109375" style="2282"/>
    <col min="1807" max="1807" width="17.44140625" style="2282" customWidth="1"/>
    <col min="1808" max="2048" width="9.109375" style="2282"/>
    <col min="2049" max="2049" width="4.44140625" style="2282" customWidth="1"/>
    <col min="2050" max="2050" width="28.109375" style="2282" customWidth="1"/>
    <col min="2051" max="2051" width="14.109375" style="2282" customWidth="1"/>
    <col min="2052" max="2052" width="13" style="2282" customWidth="1"/>
    <col min="2053" max="2053" width="13.88671875" style="2282" customWidth="1"/>
    <col min="2054" max="2054" width="14" style="2282" customWidth="1"/>
    <col min="2055" max="2055" width="13.88671875" style="2282" customWidth="1"/>
    <col min="2056" max="2056" width="0.44140625" style="2282" customWidth="1"/>
    <col min="2057" max="2057" width="9.109375" style="2282"/>
    <col min="2058" max="2058" width="15" style="2282" customWidth="1"/>
    <col min="2059" max="2059" width="14" style="2282" bestFit="1" customWidth="1"/>
    <col min="2060" max="2060" width="9.109375" style="2282"/>
    <col min="2061" max="2061" width="16.88671875" style="2282" bestFit="1" customWidth="1"/>
    <col min="2062" max="2062" width="9.109375" style="2282"/>
    <col min="2063" max="2063" width="17.44140625" style="2282" customWidth="1"/>
    <col min="2064" max="2304" width="9.109375" style="2282"/>
    <col min="2305" max="2305" width="4.44140625" style="2282" customWidth="1"/>
    <col min="2306" max="2306" width="28.109375" style="2282" customWidth="1"/>
    <col min="2307" max="2307" width="14.109375" style="2282" customWidth="1"/>
    <col min="2308" max="2308" width="13" style="2282" customWidth="1"/>
    <col min="2309" max="2309" width="13.88671875" style="2282" customWidth="1"/>
    <col min="2310" max="2310" width="14" style="2282" customWidth="1"/>
    <col min="2311" max="2311" width="13.88671875" style="2282" customWidth="1"/>
    <col min="2312" max="2312" width="0.44140625" style="2282" customWidth="1"/>
    <col min="2313" max="2313" width="9.109375" style="2282"/>
    <col min="2314" max="2314" width="15" style="2282" customWidth="1"/>
    <col min="2315" max="2315" width="14" style="2282" bestFit="1" customWidth="1"/>
    <col min="2316" max="2316" width="9.109375" style="2282"/>
    <col min="2317" max="2317" width="16.88671875" style="2282" bestFit="1" customWidth="1"/>
    <col min="2318" max="2318" width="9.109375" style="2282"/>
    <col min="2319" max="2319" width="17.44140625" style="2282" customWidth="1"/>
    <col min="2320" max="2560" width="9.109375" style="2282"/>
    <col min="2561" max="2561" width="4.44140625" style="2282" customWidth="1"/>
    <col min="2562" max="2562" width="28.109375" style="2282" customWidth="1"/>
    <col min="2563" max="2563" width="14.109375" style="2282" customWidth="1"/>
    <col min="2564" max="2564" width="13" style="2282" customWidth="1"/>
    <col min="2565" max="2565" width="13.88671875" style="2282" customWidth="1"/>
    <col min="2566" max="2566" width="14" style="2282" customWidth="1"/>
    <col min="2567" max="2567" width="13.88671875" style="2282" customWidth="1"/>
    <col min="2568" max="2568" width="0.44140625" style="2282" customWidth="1"/>
    <col min="2569" max="2569" width="9.109375" style="2282"/>
    <col min="2570" max="2570" width="15" style="2282" customWidth="1"/>
    <col min="2571" max="2571" width="14" style="2282" bestFit="1" customWidth="1"/>
    <col min="2572" max="2572" width="9.109375" style="2282"/>
    <col min="2573" max="2573" width="16.88671875" style="2282" bestFit="1" customWidth="1"/>
    <col min="2574" max="2574" width="9.109375" style="2282"/>
    <col min="2575" max="2575" width="17.44140625" style="2282" customWidth="1"/>
    <col min="2576" max="2816" width="9.109375" style="2282"/>
    <col min="2817" max="2817" width="4.44140625" style="2282" customWidth="1"/>
    <col min="2818" max="2818" width="28.109375" style="2282" customWidth="1"/>
    <col min="2819" max="2819" width="14.109375" style="2282" customWidth="1"/>
    <col min="2820" max="2820" width="13" style="2282" customWidth="1"/>
    <col min="2821" max="2821" width="13.88671875" style="2282" customWidth="1"/>
    <col min="2822" max="2822" width="14" style="2282" customWidth="1"/>
    <col min="2823" max="2823" width="13.88671875" style="2282" customWidth="1"/>
    <col min="2824" max="2824" width="0.44140625" style="2282" customWidth="1"/>
    <col min="2825" max="2825" width="9.109375" style="2282"/>
    <col min="2826" max="2826" width="15" style="2282" customWidth="1"/>
    <col min="2827" max="2827" width="14" style="2282" bestFit="1" customWidth="1"/>
    <col min="2828" max="2828" width="9.109375" style="2282"/>
    <col min="2829" max="2829" width="16.88671875" style="2282" bestFit="1" customWidth="1"/>
    <col min="2830" max="2830" width="9.109375" style="2282"/>
    <col min="2831" max="2831" width="17.44140625" style="2282" customWidth="1"/>
    <col min="2832" max="3072" width="9.109375" style="2282"/>
    <col min="3073" max="3073" width="4.44140625" style="2282" customWidth="1"/>
    <col min="3074" max="3074" width="28.109375" style="2282" customWidth="1"/>
    <col min="3075" max="3075" width="14.109375" style="2282" customWidth="1"/>
    <col min="3076" max="3076" width="13" style="2282" customWidth="1"/>
    <col min="3077" max="3077" width="13.88671875" style="2282" customWidth="1"/>
    <col min="3078" max="3078" width="14" style="2282" customWidth="1"/>
    <col min="3079" max="3079" width="13.88671875" style="2282" customWidth="1"/>
    <col min="3080" max="3080" width="0.44140625" style="2282" customWidth="1"/>
    <col min="3081" max="3081" width="9.109375" style="2282"/>
    <col min="3082" max="3082" width="15" style="2282" customWidth="1"/>
    <col min="3083" max="3083" width="14" style="2282" bestFit="1" customWidth="1"/>
    <col min="3084" max="3084" width="9.109375" style="2282"/>
    <col min="3085" max="3085" width="16.88671875" style="2282" bestFit="1" customWidth="1"/>
    <col min="3086" max="3086" width="9.109375" style="2282"/>
    <col min="3087" max="3087" width="17.44140625" style="2282" customWidth="1"/>
    <col min="3088" max="3328" width="9.109375" style="2282"/>
    <col min="3329" max="3329" width="4.44140625" style="2282" customWidth="1"/>
    <col min="3330" max="3330" width="28.109375" style="2282" customWidth="1"/>
    <col min="3331" max="3331" width="14.109375" style="2282" customWidth="1"/>
    <col min="3332" max="3332" width="13" style="2282" customWidth="1"/>
    <col min="3333" max="3333" width="13.88671875" style="2282" customWidth="1"/>
    <col min="3334" max="3334" width="14" style="2282" customWidth="1"/>
    <col min="3335" max="3335" width="13.88671875" style="2282" customWidth="1"/>
    <col min="3336" max="3336" width="0.44140625" style="2282" customWidth="1"/>
    <col min="3337" max="3337" width="9.109375" style="2282"/>
    <col min="3338" max="3338" width="15" style="2282" customWidth="1"/>
    <col min="3339" max="3339" width="14" style="2282" bestFit="1" customWidth="1"/>
    <col min="3340" max="3340" width="9.109375" style="2282"/>
    <col min="3341" max="3341" width="16.88671875" style="2282" bestFit="1" customWidth="1"/>
    <col min="3342" max="3342" width="9.109375" style="2282"/>
    <col min="3343" max="3343" width="17.44140625" style="2282" customWidth="1"/>
    <col min="3344" max="3584" width="9.109375" style="2282"/>
    <col min="3585" max="3585" width="4.44140625" style="2282" customWidth="1"/>
    <col min="3586" max="3586" width="28.109375" style="2282" customWidth="1"/>
    <col min="3587" max="3587" width="14.109375" style="2282" customWidth="1"/>
    <col min="3588" max="3588" width="13" style="2282" customWidth="1"/>
    <col min="3589" max="3589" width="13.88671875" style="2282" customWidth="1"/>
    <col min="3590" max="3590" width="14" style="2282" customWidth="1"/>
    <col min="3591" max="3591" width="13.88671875" style="2282" customWidth="1"/>
    <col min="3592" max="3592" width="0.44140625" style="2282" customWidth="1"/>
    <col min="3593" max="3593" width="9.109375" style="2282"/>
    <col min="3594" max="3594" width="15" style="2282" customWidth="1"/>
    <col min="3595" max="3595" width="14" style="2282" bestFit="1" customWidth="1"/>
    <col min="3596" max="3596" width="9.109375" style="2282"/>
    <col min="3597" max="3597" width="16.88671875" style="2282" bestFit="1" customWidth="1"/>
    <col min="3598" max="3598" width="9.109375" style="2282"/>
    <col min="3599" max="3599" width="17.44140625" style="2282" customWidth="1"/>
    <col min="3600" max="3840" width="9.109375" style="2282"/>
    <col min="3841" max="3841" width="4.44140625" style="2282" customWidth="1"/>
    <col min="3842" max="3842" width="28.109375" style="2282" customWidth="1"/>
    <col min="3843" max="3843" width="14.109375" style="2282" customWidth="1"/>
    <col min="3844" max="3844" width="13" style="2282" customWidth="1"/>
    <col min="3845" max="3845" width="13.88671875" style="2282" customWidth="1"/>
    <col min="3846" max="3846" width="14" style="2282" customWidth="1"/>
    <col min="3847" max="3847" width="13.88671875" style="2282" customWidth="1"/>
    <col min="3848" max="3848" width="0.44140625" style="2282" customWidth="1"/>
    <col min="3849" max="3849" width="9.109375" style="2282"/>
    <col min="3850" max="3850" width="15" style="2282" customWidth="1"/>
    <col min="3851" max="3851" width="14" style="2282" bestFit="1" customWidth="1"/>
    <col min="3852" max="3852" width="9.109375" style="2282"/>
    <col min="3853" max="3853" width="16.88671875" style="2282" bestFit="1" customWidth="1"/>
    <col min="3854" max="3854" width="9.109375" style="2282"/>
    <col min="3855" max="3855" width="17.44140625" style="2282" customWidth="1"/>
    <col min="3856" max="4096" width="9.109375" style="2282"/>
    <col min="4097" max="4097" width="4.44140625" style="2282" customWidth="1"/>
    <col min="4098" max="4098" width="28.109375" style="2282" customWidth="1"/>
    <col min="4099" max="4099" width="14.109375" style="2282" customWidth="1"/>
    <col min="4100" max="4100" width="13" style="2282" customWidth="1"/>
    <col min="4101" max="4101" width="13.88671875" style="2282" customWidth="1"/>
    <col min="4102" max="4102" width="14" style="2282" customWidth="1"/>
    <col min="4103" max="4103" width="13.88671875" style="2282" customWidth="1"/>
    <col min="4104" max="4104" width="0.44140625" style="2282" customWidth="1"/>
    <col min="4105" max="4105" width="9.109375" style="2282"/>
    <col min="4106" max="4106" width="15" style="2282" customWidth="1"/>
    <col min="4107" max="4107" width="14" style="2282" bestFit="1" customWidth="1"/>
    <col min="4108" max="4108" width="9.109375" style="2282"/>
    <col min="4109" max="4109" width="16.88671875" style="2282" bestFit="1" customWidth="1"/>
    <col min="4110" max="4110" width="9.109375" style="2282"/>
    <col min="4111" max="4111" width="17.44140625" style="2282" customWidth="1"/>
    <col min="4112" max="4352" width="9.109375" style="2282"/>
    <col min="4353" max="4353" width="4.44140625" style="2282" customWidth="1"/>
    <col min="4354" max="4354" width="28.109375" style="2282" customWidth="1"/>
    <col min="4355" max="4355" width="14.109375" style="2282" customWidth="1"/>
    <col min="4356" max="4356" width="13" style="2282" customWidth="1"/>
    <col min="4357" max="4357" width="13.88671875" style="2282" customWidth="1"/>
    <col min="4358" max="4358" width="14" style="2282" customWidth="1"/>
    <col min="4359" max="4359" width="13.88671875" style="2282" customWidth="1"/>
    <col min="4360" max="4360" width="0.44140625" style="2282" customWidth="1"/>
    <col min="4361" max="4361" width="9.109375" style="2282"/>
    <col min="4362" max="4362" width="15" style="2282" customWidth="1"/>
    <col min="4363" max="4363" width="14" style="2282" bestFit="1" customWidth="1"/>
    <col min="4364" max="4364" width="9.109375" style="2282"/>
    <col min="4365" max="4365" width="16.88671875" style="2282" bestFit="1" customWidth="1"/>
    <col min="4366" max="4366" width="9.109375" style="2282"/>
    <col min="4367" max="4367" width="17.44140625" style="2282" customWidth="1"/>
    <col min="4368" max="4608" width="9.109375" style="2282"/>
    <col min="4609" max="4609" width="4.44140625" style="2282" customWidth="1"/>
    <col min="4610" max="4610" width="28.109375" style="2282" customWidth="1"/>
    <col min="4611" max="4611" width="14.109375" style="2282" customWidth="1"/>
    <col min="4612" max="4612" width="13" style="2282" customWidth="1"/>
    <col min="4613" max="4613" width="13.88671875" style="2282" customWidth="1"/>
    <col min="4614" max="4614" width="14" style="2282" customWidth="1"/>
    <col min="4615" max="4615" width="13.88671875" style="2282" customWidth="1"/>
    <col min="4616" max="4616" width="0.44140625" style="2282" customWidth="1"/>
    <col min="4617" max="4617" width="9.109375" style="2282"/>
    <col min="4618" max="4618" width="15" style="2282" customWidth="1"/>
    <col min="4619" max="4619" width="14" style="2282" bestFit="1" customWidth="1"/>
    <col min="4620" max="4620" width="9.109375" style="2282"/>
    <col min="4621" max="4621" width="16.88671875" style="2282" bestFit="1" customWidth="1"/>
    <col min="4622" max="4622" width="9.109375" style="2282"/>
    <col min="4623" max="4623" width="17.44140625" style="2282" customWidth="1"/>
    <col min="4624" max="4864" width="9.109375" style="2282"/>
    <col min="4865" max="4865" width="4.44140625" style="2282" customWidth="1"/>
    <col min="4866" max="4866" width="28.109375" style="2282" customWidth="1"/>
    <col min="4867" max="4867" width="14.109375" style="2282" customWidth="1"/>
    <col min="4868" max="4868" width="13" style="2282" customWidth="1"/>
    <col min="4869" max="4869" width="13.88671875" style="2282" customWidth="1"/>
    <col min="4870" max="4870" width="14" style="2282" customWidth="1"/>
    <col min="4871" max="4871" width="13.88671875" style="2282" customWidth="1"/>
    <col min="4872" max="4872" width="0.44140625" style="2282" customWidth="1"/>
    <col min="4873" max="4873" width="9.109375" style="2282"/>
    <col min="4874" max="4874" width="15" style="2282" customWidth="1"/>
    <col min="4875" max="4875" width="14" style="2282" bestFit="1" customWidth="1"/>
    <col min="4876" max="4876" width="9.109375" style="2282"/>
    <col min="4877" max="4877" width="16.88671875" style="2282" bestFit="1" customWidth="1"/>
    <col min="4878" max="4878" width="9.109375" style="2282"/>
    <col min="4879" max="4879" width="17.44140625" style="2282" customWidth="1"/>
    <col min="4880" max="5120" width="9.109375" style="2282"/>
    <col min="5121" max="5121" width="4.44140625" style="2282" customWidth="1"/>
    <col min="5122" max="5122" width="28.109375" style="2282" customWidth="1"/>
    <col min="5123" max="5123" width="14.109375" style="2282" customWidth="1"/>
    <col min="5124" max="5124" width="13" style="2282" customWidth="1"/>
    <col min="5125" max="5125" width="13.88671875" style="2282" customWidth="1"/>
    <col min="5126" max="5126" width="14" style="2282" customWidth="1"/>
    <col min="5127" max="5127" width="13.88671875" style="2282" customWidth="1"/>
    <col min="5128" max="5128" width="0.44140625" style="2282" customWidth="1"/>
    <col min="5129" max="5129" width="9.109375" style="2282"/>
    <col min="5130" max="5130" width="15" style="2282" customWidth="1"/>
    <col min="5131" max="5131" width="14" style="2282" bestFit="1" customWidth="1"/>
    <col min="5132" max="5132" width="9.109375" style="2282"/>
    <col min="5133" max="5133" width="16.88671875" style="2282" bestFit="1" customWidth="1"/>
    <col min="5134" max="5134" width="9.109375" style="2282"/>
    <col min="5135" max="5135" width="17.44140625" style="2282" customWidth="1"/>
    <col min="5136" max="5376" width="9.109375" style="2282"/>
    <col min="5377" max="5377" width="4.44140625" style="2282" customWidth="1"/>
    <col min="5378" max="5378" width="28.109375" style="2282" customWidth="1"/>
    <col min="5379" max="5379" width="14.109375" style="2282" customWidth="1"/>
    <col min="5380" max="5380" width="13" style="2282" customWidth="1"/>
    <col min="5381" max="5381" width="13.88671875" style="2282" customWidth="1"/>
    <col min="5382" max="5382" width="14" style="2282" customWidth="1"/>
    <col min="5383" max="5383" width="13.88671875" style="2282" customWidth="1"/>
    <col min="5384" max="5384" width="0.44140625" style="2282" customWidth="1"/>
    <col min="5385" max="5385" width="9.109375" style="2282"/>
    <col min="5386" max="5386" width="15" style="2282" customWidth="1"/>
    <col min="5387" max="5387" width="14" style="2282" bestFit="1" customWidth="1"/>
    <col min="5388" max="5388" width="9.109375" style="2282"/>
    <col min="5389" max="5389" width="16.88671875" style="2282" bestFit="1" customWidth="1"/>
    <col min="5390" max="5390" width="9.109375" style="2282"/>
    <col min="5391" max="5391" width="17.44140625" style="2282" customWidth="1"/>
    <col min="5392" max="5632" width="9.109375" style="2282"/>
    <col min="5633" max="5633" width="4.44140625" style="2282" customWidth="1"/>
    <col min="5634" max="5634" width="28.109375" style="2282" customWidth="1"/>
    <col min="5635" max="5635" width="14.109375" style="2282" customWidth="1"/>
    <col min="5636" max="5636" width="13" style="2282" customWidth="1"/>
    <col min="5637" max="5637" width="13.88671875" style="2282" customWidth="1"/>
    <col min="5638" max="5638" width="14" style="2282" customWidth="1"/>
    <col min="5639" max="5639" width="13.88671875" style="2282" customWidth="1"/>
    <col min="5640" max="5640" width="0.44140625" style="2282" customWidth="1"/>
    <col min="5641" max="5641" width="9.109375" style="2282"/>
    <col min="5642" max="5642" width="15" style="2282" customWidth="1"/>
    <col min="5643" max="5643" width="14" style="2282" bestFit="1" customWidth="1"/>
    <col min="5644" max="5644" width="9.109375" style="2282"/>
    <col min="5645" max="5645" width="16.88671875" style="2282" bestFit="1" customWidth="1"/>
    <col min="5646" max="5646" width="9.109375" style="2282"/>
    <col min="5647" max="5647" width="17.44140625" style="2282" customWidth="1"/>
    <col min="5648" max="5888" width="9.109375" style="2282"/>
    <col min="5889" max="5889" width="4.44140625" style="2282" customWidth="1"/>
    <col min="5890" max="5890" width="28.109375" style="2282" customWidth="1"/>
    <col min="5891" max="5891" width="14.109375" style="2282" customWidth="1"/>
    <col min="5892" max="5892" width="13" style="2282" customWidth="1"/>
    <col min="5893" max="5893" width="13.88671875" style="2282" customWidth="1"/>
    <col min="5894" max="5894" width="14" style="2282" customWidth="1"/>
    <col min="5895" max="5895" width="13.88671875" style="2282" customWidth="1"/>
    <col min="5896" max="5896" width="0.44140625" style="2282" customWidth="1"/>
    <col min="5897" max="5897" width="9.109375" style="2282"/>
    <col min="5898" max="5898" width="15" style="2282" customWidth="1"/>
    <col min="5899" max="5899" width="14" style="2282" bestFit="1" customWidth="1"/>
    <col min="5900" max="5900" width="9.109375" style="2282"/>
    <col min="5901" max="5901" width="16.88671875" style="2282" bestFit="1" customWidth="1"/>
    <col min="5902" max="5902" width="9.109375" style="2282"/>
    <col min="5903" max="5903" width="17.44140625" style="2282" customWidth="1"/>
    <col min="5904" max="6144" width="9.109375" style="2282"/>
    <col min="6145" max="6145" width="4.44140625" style="2282" customWidth="1"/>
    <col min="6146" max="6146" width="28.109375" style="2282" customWidth="1"/>
    <col min="6147" max="6147" width="14.109375" style="2282" customWidth="1"/>
    <col min="6148" max="6148" width="13" style="2282" customWidth="1"/>
    <col min="6149" max="6149" width="13.88671875" style="2282" customWidth="1"/>
    <col min="6150" max="6150" width="14" style="2282" customWidth="1"/>
    <col min="6151" max="6151" width="13.88671875" style="2282" customWidth="1"/>
    <col min="6152" max="6152" width="0.44140625" style="2282" customWidth="1"/>
    <col min="6153" max="6153" width="9.109375" style="2282"/>
    <col min="6154" max="6154" width="15" style="2282" customWidth="1"/>
    <col min="6155" max="6155" width="14" style="2282" bestFit="1" customWidth="1"/>
    <col min="6156" max="6156" width="9.109375" style="2282"/>
    <col min="6157" max="6157" width="16.88671875" style="2282" bestFit="1" customWidth="1"/>
    <col min="6158" max="6158" width="9.109375" style="2282"/>
    <col min="6159" max="6159" width="17.44140625" style="2282" customWidth="1"/>
    <col min="6160" max="6400" width="9.109375" style="2282"/>
    <col min="6401" max="6401" width="4.44140625" style="2282" customWidth="1"/>
    <col min="6402" max="6402" width="28.109375" style="2282" customWidth="1"/>
    <col min="6403" max="6403" width="14.109375" style="2282" customWidth="1"/>
    <col min="6404" max="6404" width="13" style="2282" customWidth="1"/>
    <col min="6405" max="6405" width="13.88671875" style="2282" customWidth="1"/>
    <col min="6406" max="6406" width="14" style="2282" customWidth="1"/>
    <col min="6407" max="6407" width="13.88671875" style="2282" customWidth="1"/>
    <col min="6408" max="6408" width="0.44140625" style="2282" customWidth="1"/>
    <col min="6409" max="6409" width="9.109375" style="2282"/>
    <col min="6410" max="6410" width="15" style="2282" customWidth="1"/>
    <col min="6411" max="6411" width="14" style="2282" bestFit="1" customWidth="1"/>
    <col min="6412" max="6412" width="9.109375" style="2282"/>
    <col min="6413" max="6413" width="16.88671875" style="2282" bestFit="1" customWidth="1"/>
    <col min="6414" max="6414" width="9.109375" style="2282"/>
    <col min="6415" max="6415" width="17.44140625" style="2282" customWidth="1"/>
    <col min="6416" max="6656" width="9.109375" style="2282"/>
    <col min="6657" max="6657" width="4.44140625" style="2282" customWidth="1"/>
    <col min="6658" max="6658" width="28.109375" style="2282" customWidth="1"/>
    <col min="6659" max="6659" width="14.109375" style="2282" customWidth="1"/>
    <col min="6660" max="6660" width="13" style="2282" customWidth="1"/>
    <col min="6661" max="6661" width="13.88671875" style="2282" customWidth="1"/>
    <col min="6662" max="6662" width="14" style="2282" customWidth="1"/>
    <col min="6663" max="6663" width="13.88671875" style="2282" customWidth="1"/>
    <col min="6664" max="6664" width="0.44140625" style="2282" customWidth="1"/>
    <col min="6665" max="6665" width="9.109375" style="2282"/>
    <col min="6666" max="6666" width="15" style="2282" customWidth="1"/>
    <col min="6667" max="6667" width="14" style="2282" bestFit="1" customWidth="1"/>
    <col min="6668" max="6668" width="9.109375" style="2282"/>
    <col min="6669" max="6669" width="16.88671875" style="2282" bestFit="1" customWidth="1"/>
    <col min="6670" max="6670" width="9.109375" style="2282"/>
    <col min="6671" max="6671" width="17.44140625" style="2282" customWidth="1"/>
    <col min="6672" max="6912" width="9.109375" style="2282"/>
    <col min="6913" max="6913" width="4.44140625" style="2282" customWidth="1"/>
    <col min="6914" max="6914" width="28.109375" style="2282" customWidth="1"/>
    <col min="6915" max="6915" width="14.109375" style="2282" customWidth="1"/>
    <col min="6916" max="6916" width="13" style="2282" customWidth="1"/>
    <col min="6917" max="6917" width="13.88671875" style="2282" customWidth="1"/>
    <col min="6918" max="6918" width="14" style="2282" customWidth="1"/>
    <col min="6919" max="6919" width="13.88671875" style="2282" customWidth="1"/>
    <col min="6920" max="6920" width="0.44140625" style="2282" customWidth="1"/>
    <col min="6921" max="6921" width="9.109375" style="2282"/>
    <col min="6922" max="6922" width="15" style="2282" customWidth="1"/>
    <col min="6923" max="6923" width="14" style="2282" bestFit="1" customWidth="1"/>
    <col min="6924" max="6924" width="9.109375" style="2282"/>
    <col min="6925" max="6925" width="16.88671875" style="2282" bestFit="1" customWidth="1"/>
    <col min="6926" max="6926" width="9.109375" style="2282"/>
    <col min="6927" max="6927" width="17.44140625" style="2282" customWidth="1"/>
    <col min="6928" max="7168" width="9.109375" style="2282"/>
    <col min="7169" max="7169" width="4.44140625" style="2282" customWidth="1"/>
    <col min="7170" max="7170" width="28.109375" style="2282" customWidth="1"/>
    <col min="7171" max="7171" width="14.109375" style="2282" customWidth="1"/>
    <col min="7172" max="7172" width="13" style="2282" customWidth="1"/>
    <col min="7173" max="7173" width="13.88671875" style="2282" customWidth="1"/>
    <col min="7174" max="7174" width="14" style="2282" customWidth="1"/>
    <col min="7175" max="7175" width="13.88671875" style="2282" customWidth="1"/>
    <col min="7176" max="7176" width="0.44140625" style="2282" customWidth="1"/>
    <col min="7177" max="7177" width="9.109375" style="2282"/>
    <col min="7178" max="7178" width="15" style="2282" customWidth="1"/>
    <col min="7179" max="7179" width="14" style="2282" bestFit="1" customWidth="1"/>
    <col min="7180" max="7180" width="9.109375" style="2282"/>
    <col min="7181" max="7181" width="16.88671875" style="2282" bestFit="1" customWidth="1"/>
    <col min="7182" max="7182" width="9.109375" style="2282"/>
    <col min="7183" max="7183" width="17.44140625" style="2282" customWidth="1"/>
    <col min="7184" max="7424" width="9.109375" style="2282"/>
    <col min="7425" max="7425" width="4.44140625" style="2282" customWidth="1"/>
    <col min="7426" max="7426" width="28.109375" style="2282" customWidth="1"/>
    <col min="7427" max="7427" width="14.109375" style="2282" customWidth="1"/>
    <col min="7428" max="7428" width="13" style="2282" customWidth="1"/>
    <col min="7429" max="7429" width="13.88671875" style="2282" customWidth="1"/>
    <col min="7430" max="7430" width="14" style="2282" customWidth="1"/>
    <col min="7431" max="7431" width="13.88671875" style="2282" customWidth="1"/>
    <col min="7432" max="7432" width="0.44140625" style="2282" customWidth="1"/>
    <col min="7433" max="7433" width="9.109375" style="2282"/>
    <col min="7434" max="7434" width="15" style="2282" customWidth="1"/>
    <col min="7435" max="7435" width="14" style="2282" bestFit="1" customWidth="1"/>
    <col min="7436" max="7436" width="9.109375" style="2282"/>
    <col min="7437" max="7437" width="16.88671875" style="2282" bestFit="1" customWidth="1"/>
    <col min="7438" max="7438" width="9.109375" style="2282"/>
    <col min="7439" max="7439" width="17.44140625" style="2282" customWidth="1"/>
    <col min="7440" max="7680" width="9.109375" style="2282"/>
    <col min="7681" max="7681" width="4.44140625" style="2282" customWidth="1"/>
    <col min="7682" max="7682" width="28.109375" style="2282" customWidth="1"/>
    <col min="7683" max="7683" width="14.109375" style="2282" customWidth="1"/>
    <col min="7684" max="7684" width="13" style="2282" customWidth="1"/>
    <col min="7685" max="7685" width="13.88671875" style="2282" customWidth="1"/>
    <col min="7686" max="7686" width="14" style="2282" customWidth="1"/>
    <col min="7687" max="7687" width="13.88671875" style="2282" customWidth="1"/>
    <col min="7688" max="7688" width="0.44140625" style="2282" customWidth="1"/>
    <col min="7689" max="7689" width="9.109375" style="2282"/>
    <col min="7690" max="7690" width="15" style="2282" customWidth="1"/>
    <col min="7691" max="7691" width="14" style="2282" bestFit="1" customWidth="1"/>
    <col min="7692" max="7692" width="9.109375" style="2282"/>
    <col min="7693" max="7693" width="16.88671875" style="2282" bestFit="1" customWidth="1"/>
    <col min="7694" max="7694" width="9.109375" style="2282"/>
    <col min="7695" max="7695" width="17.44140625" style="2282" customWidth="1"/>
    <col min="7696" max="7936" width="9.109375" style="2282"/>
    <col min="7937" max="7937" width="4.44140625" style="2282" customWidth="1"/>
    <col min="7938" max="7938" width="28.109375" style="2282" customWidth="1"/>
    <col min="7939" max="7939" width="14.109375" style="2282" customWidth="1"/>
    <col min="7940" max="7940" width="13" style="2282" customWidth="1"/>
    <col min="7941" max="7941" width="13.88671875" style="2282" customWidth="1"/>
    <col min="7942" max="7942" width="14" style="2282" customWidth="1"/>
    <col min="7943" max="7943" width="13.88671875" style="2282" customWidth="1"/>
    <col min="7944" max="7944" width="0.44140625" style="2282" customWidth="1"/>
    <col min="7945" max="7945" width="9.109375" style="2282"/>
    <col min="7946" max="7946" width="15" style="2282" customWidth="1"/>
    <col min="7947" max="7947" width="14" style="2282" bestFit="1" customWidth="1"/>
    <col min="7948" max="7948" width="9.109375" style="2282"/>
    <col min="7949" max="7949" width="16.88671875" style="2282" bestFit="1" customWidth="1"/>
    <col min="7950" max="7950" width="9.109375" style="2282"/>
    <col min="7951" max="7951" width="17.44140625" style="2282" customWidth="1"/>
    <col min="7952" max="8192" width="9.109375" style="2282"/>
    <col min="8193" max="8193" width="4.44140625" style="2282" customWidth="1"/>
    <col min="8194" max="8194" width="28.109375" style="2282" customWidth="1"/>
    <col min="8195" max="8195" width="14.109375" style="2282" customWidth="1"/>
    <col min="8196" max="8196" width="13" style="2282" customWidth="1"/>
    <col min="8197" max="8197" width="13.88671875" style="2282" customWidth="1"/>
    <col min="8198" max="8198" width="14" style="2282" customWidth="1"/>
    <col min="8199" max="8199" width="13.88671875" style="2282" customWidth="1"/>
    <col min="8200" max="8200" width="0.44140625" style="2282" customWidth="1"/>
    <col min="8201" max="8201" width="9.109375" style="2282"/>
    <col min="8202" max="8202" width="15" style="2282" customWidth="1"/>
    <col min="8203" max="8203" width="14" style="2282" bestFit="1" customWidth="1"/>
    <col min="8204" max="8204" width="9.109375" style="2282"/>
    <col min="8205" max="8205" width="16.88671875" style="2282" bestFit="1" customWidth="1"/>
    <col min="8206" max="8206" width="9.109375" style="2282"/>
    <col min="8207" max="8207" width="17.44140625" style="2282" customWidth="1"/>
    <col min="8208" max="8448" width="9.109375" style="2282"/>
    <col min="8449" max="8449" width="4.44140625" style="2282" customWidth="1"/>
    <col min="8450" max="8450" width="28.109375" style="2282" customWidth="1"/>
    <col min="8451" max="8451" width="14.109375" style="2282" customWidth="1"/>
    <col min="8452" max="8452" width="13" style="2282" customWidth="1"/>
    <col min="8453" max="8453" width="13.88671875" style="2282" customWidth="1"/>
    <col min="8454" max="8454" width="14" style="2282" customWidth="1"/>
    <col min="8455" max="8455" width="13.88671875" style="2282" customWidth="1"/>
    <col min="8456" max="8456" width="0.44140625" style="2282" customWidth="1"/>
    <col min="8457" max="8457" width="9.109375" style="2282"/>
    <col min="8458" max="8458" width="15" style="2282" customWidth="1"/>
    <col min="8459" max="8459" width="14" style="2282" bestFit="1" customWidth="1"/>
    <col min="8460" max="8460" width="9.109375" style="2282"/>
    <col min="8461" max="8461" width="16.88671875" style="2282" bestFit="1" customWidth="1"/>
    <col min="8462" max="8462" width="9.109375" style="2282"/>
    <col min="8463" max="8463" width="17.44140625" style="2282" customWidth="1"/>
    <col min="8464" max="8704" width="9.109375" style="2282"/>
    <col min="8705" max="8705" width="4.44140625" style="2282" customWidth="1"/>
    <col min="8706" max="8706" width="28.109375" style="2282" customWidth="1"/>
    <col min="8707" max="8707" width="14.109375" style="2282" customWidth="1"/>
    <col min="8708" max="8708" width="13" style="2282" customWidth="1"/>
    <col min="8709" max="8709" width="13.88671875" style="2282" customWidth="1"/>
    <col min="8710" max="8710" width="14" style="2282" customWidth="1"/>
    <col min="8711" max="8711" width="13.88671875" style="2282" customWidth="1"/>
    <col min="8712" max="8712" width="0.44140625" style="2282" customWidth="1"/>
    <col min="8713" max="8713" width="9.109375" style="2282"/>
    <col min="8714" max="8714" width="15" style="2282" customWidth="1"/>
    <col min="8715" max="8715" width="14" style="2282" bestFit="1" customWidth="1"/>
    <col min="8716" max="8716" width="9.109375" style="2282"/>
    <col min="8717" max="8717" width="16.88671875" style="2282" bestFit="1" customWidth="1"/>
    <col min="8718" max="8718" width="9.109375" style="2282"/>
    <col min="8719" max="8719" width="17.44140625" style="2282" customWidth="1"/>
    <col min="8720" max="8960" width="9.109375" style="2282"/>
    <col min="8961" max="8961" width="4.44140625" style="2282" customWidth="1"/>
    <col min="8962" max="8962" width="28.109375" style="2282" customWidth="1"/>
    <col min="8963" max="8963" width="14.109375" style="2282" customWidth="1"/>
    <col min="8964" max="8964" width="13" style="2282" customWidth="1"/>
    <col min="8965" max="8965" width="13.88671875" style="2282" customWidth="1"/>
    <col min="8966" max="8966" width="14" style="2282" customWidth="1"/>
    <col min="8967" max="8967" width="13.88671875" style="2282" customWidth="1"/>
    <col min="8968" max="8968" width="0.44140625" style="2282" customWidth="1"/>
    <col min="8969" max="8969" width="9.109375" style="2282"/>
    <col min="8970" max="8970" width="15" style="2282" customWidth="1"/>
    <col min="8971" max="8971" width="14" style="2282" bestFit="1" customWidth="1"/>
    <col min="8972" max="8972" width="9.109375" style="2282"/>
    <col min="8973" max="8973" width="16.88671875" style="2282" bestFit="1" customWidth="1"/>
    <col min="8974" max="8974" width="9.109375" style="2282"/>
    <col min="8975" max="8975" width="17.44140625" style="2282" customWidth="1"/>
    <col min="8976" max="9216" width="9.109375" style="2282"/>
    <col min="9217" max="9217" width="4.44140625" style="2282" customWidth="1"/>
    <col min="9218" max="9218" width="28.109375" style="2282" customWidth="1"/>
    <col min="9219" max="9219" width="14.109375" style="2282" customWidth="1"/>
    <col min="9220" max="9220" width="13" style="2282" customWidth="1"/>
    <col min="9221" max="9221" width="13.88671875" style="2282" customWidth="1"/>
    <col min="9222" max="9222" width="14" style="2282" customWidth="1"/>
    <col min="9223" max="9223" width="13.88671875" style="2282" customWidth="1"/>
    <col min="9224" max="9224" width="0.44140625" style="2282" customWidth="1"/>
    <col min="9225" max="9225" width="9.109375" style="2282"/>
    <col min="9226" max="9226" width="15" style="2282" customWidth="1"/>
    <col min="9227" max="9227" width="14" style="2282" bestFit="1" customWidth="1"/>
    <col min="9228" max="9228" width="9.109375" style="2282"/>
    <col min="9229" max="9229" width="16.88671875" style="2282" bestFit="1" customWidth="1"/>
    <col min="9230" max="9230" width="9.109375" style="2282"/>
    <col min="9231" max="9231" width="17.44140625" style="2282" customWidth="1"/>
    <col min="9232" max="9472" width="9.109375" style="2282"/>
    <col min="9473" max="9473" width="4.44140625" style="2282" customWidth="1"/>
    <col min="9474" max="9474" width="28.109375" style="2282" customWidth="1"/>
    <col min="9475" max="9475" width="14.109375" style="2282" customWidth="1"/>
    <col min="9476" max="9476" width="13" style="2282" customWidth="1"/>
    <col min="9477" max="9477" width="13.88671875" style="2282" customWidth="1"/>
    <col min="9478" max="9478" width="14" style="2282" customWidth="1"/>
    <col min="9479" max="9479" width="13.88671875" style="2282" customWidth="1"/>
    <col min="9480" max="9480" width="0.44140625" style="2282" customWidth="1"/>
    <col min="9481" max="9481" width="9.109375" style="2282"/>
    <col min="9482" max="9482" width="15" style="2282" customWidth="1"/>
    <col min="9483" max="9483" width="14" style="2282" bestFit="1" customWidth="1"/>
    <col min="9484" max="9484" width="9.109375" style="2282"/>
    <col min="9485" max="9485" width="16.88671875" style="2282" bestFit="1" customWidth="1"/>
    <col min="9486" max="9486" width="9.109375" style="2282"/>
    <col min="9487" max="9487" width="17.44140625" style="2282" customWidth="1"/>
    <col min="9488" max="9728" width="9.109375" style="2282"/>
    <col min="9729" max="9729" width="4.44140625" style="2282" customWidth="1"/>
    <col min="9730" max="9730" width="28.109375" style="2282" customWidth="1"/>
    <col min="9731" max="9731" width="14.109375" style="2282" customWidth="1"/>
    <col min="9732" max="9732" width="13" style="2282" customWidth="1"/>
    <col min="9733" max="9733" width="13.88671875" style="2282" customWidth="1"/>
    <col min="9734" max="9734" width="14" style="2282" customWidth="1"/>
    <col min="9735" max="9735" width="13.88671875" style="2282" customWidth="1"/>
    <col min="9736" max="9736" width="0.44140625" style="2282" customWidth="1"/>
    <col min="9737" max="9737" width="9.109375" style="2282"/>
    <col min="9738" max="9738" width="15" style="2282" customWidth="1"/>
    <col min="9739" max="9739" width="14" style="2282" bestFit="1" customWidth="1"/>
    <col min="9740" max="9740" width="9.109375" style="2282"/>
    <col min="9741" max="9741" width="16.88671875" style="2282" bestFit="1" customWidth="1"/>
    <col min="9742" max="9742" width="9.109375" style="2282"/>
    <col min="9743" max="9743" width="17.44140625" style="2282" customWidth="1"/>
    <col min="9744" max="9984" width="9.109375" style="2282"/>
    <col min="9985" max="9985" width="4.44140625" style="2282" customWidth="1"/>
    <col min="9986" max="9986" width="28.109375" style="2282" customWidth="1"/>
    <col min="9987" max="9987" width="14.109375" style="2282" customWidth="1"/>
    <col min="9988" max="9988" width="13" style="2282" customWidth="1"/>
    <col min="9989" max="9989" width="13.88671875" style="2282" customWidth="1"/>
    <col min="9990" max="9990" width="14" style="2282" customWidth="1"/>
    <col min="9991" max="9991" width="13.88671875" style="2282" customWidth="1"/>
    <col min="9992" max="9992" width="0.44140625" style="2282" customWidth="1"/>
    <col min="9993" max="9993" width="9.109375" style="2282"/>
    <col min="9994" max="9994" width="15" style="2282" customWidth="1"/>
    <col min="9995" max="9995" width="14" style="2282" bestFit="1" customWidth="1"/>
    <col min="9996" max="9996" width="9.109375" style="2282"/>
    <col min="9997" max="9997" width="16.88671875" style="2282" bestFit="1" customWidth="1"/>
    <col min="9998" max="9998" width="9.109375" style="2282"/>
    <col min="9999" max="9999" width="17.44140625" style="2282" customWidth="1"/>
    <col min="10000" max="10240" width="9.109375" style="2282"/>
    <col min="10241" max="10241" width="4.44140625" style="2282" customWidth="1"/>
    <col min="10242" max="10242" width="28.109375" style="2282" customWidth="1"/>
    <col min="10243" max="10243" width="14.109375" style="2282" customWidth="1"/>
    <col min="10244" max="10244" width="13" style="2282" customWidth="1"/>
    <col min="10245" max="10245" width="13.88671875" style="2282" customWidth="1"/>
    <col min="10246" max="10246" width="14" style="2282" customWidth="1"/>
    <col min="10247" max="10247" width="13.88671875" style="2282" customWidth="1"/>
    <col min="10248" max="10248" width="0.44140625" style="2282" customWidth="1"/>
    <col min="10249" max="10249" width="9.109375" style="2282"/>
    <col min="10250" max="10250" width="15" style="2282" customWidth="1"/>
    <col min="10251" max="10251" width="14" style="2282" bestFit="1" customWidth="1"/>
    <col min="10252" max="10252" width="9.109375" style="2282"/>
    <col min="10253" max="10253" width="16.88671875" style="2282" bestFit="1" customWidth="1"/>
    <col min="10254" max="10254" width="9.109375" style="2282"/>
    <col min="10255" max="10255" width="17.44140625" style="2282" customWidth="1"/>
    <col min="10256" max="10496" width="9.109375" style="2282"/>
    <col min="10497" max="10497" width="4.44140625" style="2282" customWidth="1"/>
    <col min="10498" max="10498" width="28.109375" style="2282" customWidth="1"/>
    <col min="10499" max="10499" width="14.109375" style="2282" customWidth="1"/>
    <col min="10500" max="10500" width="13" style="2282" customWidth="1"/>
    <col min="10501" max="10501" width="13.88671875" style="2282" customWidth="1"/>
    <col min="10502" max="10502" width="14" style="2282" customWidth="1"/>
    <col min="10503" max="10503" width="13.88671875" style="2282" customWidth="1"/>
    <col min="10504" max="10504" width="0.44140625" style="2282" customWidth="1"/>
    <col min="10505" max="10505" width="9.109375" style="2282"/>
    <col min="10506" max="10506" width="15" style="2282" customWidth="1"/>
    <col min="10507" max="10507" width="14" style="2282" bestFit="1" customWidth="1"/>
    <col min="10508" max="10508" width="9.109375" style="2282"/>
    <col min="10509" max="10509" width="16.88671875" style="2282" bestFit="1" customWidth="1"/>
    <col min="10510" max="10510" width="9.109375" style="2282"/>
    <col min="10511" max="10511" width="17.44140625" style="2282" customWidth="1"/>
    <col min="10512" max="10752" width="9.109375" style="2282"/>
    <col min="10753" max="10753" width="4.44140625" style="2282" customWidth="1"/>
    <col min="10754" max="10754" width="28.109375" style="2282" customWidth="1"/>
    <col min="10755" max="10755" width="14.109375" style="2282" customWidth="1"/>
    <col min="10756" max="10756" width="13" style="2282" customWidth="1"/>
    <col min="10757" max="10757" width="13.88671875" style="2282" customWidth="1"/>
    <col min="10758" max="10758" width="14" style="2282" customWidth="1"/>
    <col min="10759" max="10759" width="13.88671875" style="2282" customWidth="1"/>
    <col min="10760" max="10760" width="0.44140625" style="2282" customWidth="1"/>
    <col min="10761" max="10761" width="9.109375" style="2282"/>
    <col min="10762" max="10762" width="15" style="2282" customWidth="1"/>
    <col min="10763" max="10763" width="14" style="2282" bestFit="1" customWidth="1"/>
    <col min="10764" max="10764" width="9.109375" style="2282"/>
    <col min="10765" max="10765" width="16.88671875" style="2282" bestFit="1" customWidth="1"/>
    <col min="10766" max="10766" width="9.109375" style="2282"/>
    <col min="10767" max="10767" width="17.44140625" style="2282" customWidth="1"/>
    <col min="10768" max="11008" width="9.109375" style="2282"/>
    <col min="11009" max="11009" width="4.44140625" style="2282" customWidth="1"/>
    <col min="11010" max="11010" width="28.109375" style="2282" customWidth="1"/>
    <col min="11011" max="11011" width="14.109375" style="2282" customWidth="1"/>
    <col min="11012" max="11012" width="13" style="2282" customWidth="1"/>
    <col min="11013" max="11013" width="13.88671875" style="2282" customWidth="1"/>
    <col min="11014" max="11014" width="14" style="2282" customWidth="1"/>
    <col min="11015" max="11015" width="13.88671875" style="2282" customWidth="1"/>
    <col min="11016" max="11016" width="0.44140625" style="2282" customWidth="1"/>
    <col min="11017" max="11017" width="9.109375" style="2282"/>
    <col min="11018" max="11018" width="15" style="2282" customWidth="1"/>
    <col min="11019" max="11019" width="14" style="2282" bestFit="1" customWidth="1"/>
    <col min="11020" max="11020" width="9.109375" style="2282"/>
    <col min="11021" max="11021" width="16.88671875" style="2282" bestFit="1" customWidth="1"/>
    <col min="11022" max="11022" width="9.109375" style="2282"/>
    <col min="11023" max="11023" width="17.44140625" style="2282" customWidth="1"/>
    <col min="11024" max="11264" width="9.109375" style="2282"/>
    <col min="11265" max="11265" width="4.44140625" style="2282" customWidth="1"/>
    <col min="11266" max="11266" width="28.109375" style="2282" customWidth="1"/>
    <col min="11267" max="11267" width="14.109375" style="2282" customWidth="1"/>
    <col min="11268" max="11268" width="13" style="2282" customWidth="1"/>
    <col min="11269" max="11269" width="13.88671875" style="2282" customWidth="1"/>
    <col min="11270" max="11270" width="14" style="2282" customWidth="1"/>
    <col min="11271" max="11271" width="13.88671875" style="2282" customWidth="1"/>
    <col min="11272" max="11272" width="0.44140625" style="2282" customWidth="1"/>
    <col min="11273" max="11273" width="9.109375" style="2282"/>
    <col min="11274" max="11274" width="15" style="2282" customWidth="1"/>
    <col min="11275" max="11275" width="14" style="2282" bestFit="1" customWidth="1"/>
    <col min="11276" max="11276" width="9.109375" style="2282"/>
    <col min="11277" max="11277" width="16.88671875" style="2282" bestFit="1" customWidth="1"/>
    <col min="11278" max="11278" width="9.109375" style="2282"/>
    <col min="11279" max="11279" width="17.44140625" style="2282" customWidth="1"/>
    <col min="11280" max="11520" width="9.109375" style="2282"/>
    <col min="11521" max="11521" width="4.44140625" style="2282" customWidth="1"/>
    <col min="11522" max="11522" width="28.109375" style="2282" customWidth="1"/>
    <col min="11523" max="11523" width="14.109375" style="2282" customWidth="1"/>
    <col min="11524" max="11524" width="13" style="2282" customWidth="1"/>
    <col min="11525" max="11525" width="13.88671875" style="2282" customWidth="1"/>
    <col min="11526" max="11526" width="14" style="2282" customWidth="1"/>
    <col min="11527" max="11527" width="13.88671875" style="2282" customWidth="1"/>
    <col min="11528" max="11528" width="0.44140625" style="2282" customWidth="1"/>
    <col min="11529" max="11529" width="9.109375" style="2282"/>
    <col min="11530" max="11530" width="15" style="2282" customWidth="1"/>
    <col min="11531" max="11531" width="14" style="2282" bestFit="1" customWidth="1"/>
    <col min="11532" max="11532" width="9.109375" style="2282"/>
    <col min="11533" max="11533" width="16.88671875" style="2282" bestFit="1" customWidth="1"/>
    <col min="11534" max="11534" width="9.109375" style="2282"/>
    <col min="11535" max="11535" width="17.44140625" style="2282" customWidth="1"/>
    <col min="11536" max="11776" width="9.109375" style="2282"/>
    <col min="11777" max="11777" width="4.44140625" style="2282" customWidth="1"/>
    <col min="11778" max="11778" width="28.109375" style="2282" customWidth="1"/>
    <col min="11779" max="11779" width="14.109375" style="2282" customWidth="1"/>
    <col min="11780" max="11780" width="13" style="2282" customWidth="1"/>
    <col min="11781" max="11781" width="13.88671875" style="2282" customWidth="1"/>
    <col min="11782" max="11782" width="14" style="2282" customWidth="1"/>
    <col min="11783" max="11783" width="13.88671875" style="2282" customWidth="1"/>
    <col min="11784" max="11784" width="0.44140625" style="2282" customWidth="1"/>
    <col min="11785" max="11785" width="9.109375" style="2282"/>
    <col min="11786" max="11786" width="15" style="2282" customWidth="1"/>
    <col min="11787" max="11787" width="14" style="2282" bestFit="1" customWidth="1"/>
    <col min="11788" max="11788" width="9.109375" style="2282"/>
    <col min="11789" max="11789" width="16.88671875" style="2282" bestFit="1" customWidth="1"/>
    <col min="11790" max="11790" width="9.109375" style="2282"/>
    <col min="11791" max="11791" width="17.44140625" style="2282" customWidth="1"/>
    <col min="11792" max="12032" width="9.109375" style="2282"/>
    <col min="12033" max="12033" width="4.44140625" style="2282" customWidth="1"/>
    <col min="12034" max="12034" width="28.109375" style="2282" customWidth="1"/>
    <col min="12035" max="12035" width="14.109375" style="2282" customWidth="1"/>
    <col min="12036" max="12036" width="13" style="2282" customWidth="1"/>
    <col min="12037" max="12037" width="13.88671875" style="2282" customWidth="1"/>
    <col min="12038" max="12038" width="14" style="2282" customWidth="1"/>
    <col min="12039" max="12039" width="13.88671875" style="2282" customWidth="1"/>
    <col min="12040" max="12040" width="0.44140625" style="2282" customWidth="1"/>
    <col min="12041" max="12041" width="9.109375" style="2282"/>
    <col min="12042" max="12042" width="15" style="2282" customWidth="1"/>
    <col min="12043" max="12043" width="14" style="2282" bestFit="1" customWidth="1"/>
    <col min="12044" max="12044" width="9.109375" style="2282"/>
    <col min="12045" max="12045" width="16.88671875" style="2282" bestFit="1" customWidth="1"/>
    <col min="12046" max="12046" width="9.109375" style="2282"/>
    <col min="12047" max="12047" width="17.44140625" style="2282" customWidth="1"/>
    <col min="12048" max="12288" width="9.109375" style="2282"/>
    <col min="12289" max="12289" width="4.44140625" style="2282" customWidth="1"/>
    <col min="12290" max="12290" width="28.109375" style="2282" customWidth="1"/>
    <col min="12291" max="12291" width="14.109375" style="2282" customWidth="1"/>
    <col min="12292" max="12292" width="13" style="2282" customWidth="1"/>
    <col min="12293" max="12293" width="13.88671875" style="2282" customWidth="1"/>
    <col min="12294" max="12294" width="14" style="2282" customWidth="1"/>
    <col min="12295" max="12295" width="13.88671875" style="2282" customWidth="1"/>
    <col min="12296" max="12296" width="0.44140625" style="2282" customWidth="1"/>
    <col min="12297" max="12297" width="9.109375" style="2282"/>
    <col min="12298" max="12298" width="15" style="2282" customWidth="1"/>
    <col min="12299" max="12299" width="14" style="2282" bestFit="1" customWidth="1"/>
    <col min="12300" max="12300" width="9.109375" style="2282"/>
    <col min="12301" max="12301" width="16.88671875" style="2282" bestFit="1" customWidth="1"/>
    <col min="12302" max="12302" width="9.109375" style="2282"/>
    <col min="12303" max="12303" width="17.44140625" style="2282" customWidth="1"/>
    <col min="12304" max="12544" width="9.109375" style="2282"/>
    <col min="12545" max="12545" width="4.44140625" style="2282" customWidth="1"/>
    <col min="12546" max="12546" width="28.109375" style="2282" customWidth="1"/>
    <col min="12547" max="12547" width="14.109375" style="2282" customWidth="1"/>
    <col min="12548" max="12548" width="13" style="2282" customWidth="1"/>
    <col min="12549" max="12549" width="13.88671875" style="2282" customWidth="1"/>
    <col min="12550" max="12550" width="14" style="2282" customWidth="1"/>
    <col min="12551" max="12551" width="13.88671875" style="2282" customWidth="1"/>
    <col min="12552" max="12552" width="0.44140625" style="2282" customWidth="1"/>
    <col min="12553" max="12553" width="9.109375" style="2282"/>
    <col min="12554" max="12554" width="15" style="2282" customWidth="1"/>
    <col min="12555" max="12555" width="14" style="2282" bestFit="1" customWidth="1"/>
    <col min="12556" max="12556" width="9.109375" style="2282"/>
    <col min="12557" max="12557" width="16.88671875" style="2282" bestFit="1" customWidth="1"/>
    <col min="12558" max="12558" width="9.109375" style="2282"/>
    <col min="12559" max="12559" width="17.44140625" style="2282" customWidth="1"/>
    <col min="12560" max="12800" width="9.109375" style="2282"/>
    <col min="12801" max="12801" width="4.44140625" style="2282" customWidth="1"/>
    <col min="12802" max="12802" width="28.109375" style="2282" customWidth="1"/>
    <col min="12803" max="12803" width="14.109375" style="2282" customWidth="1"/>
    <col min="12804" max="12804" width="13" style="2282" customWidth="1"/>
    <col min="12805" max="12805" width="13.88671875" style="2282" customWidth="1"/>
    <col min="12806" max="12806" width="14" style="2282" customWidth="1"/>
    <col min="12807" max="12807" width="13.88671875" style="2282" customWidth="1"/>
    <col min="12808" max="12808" width="0.44140625" style="2282" customWidth="1"/>
    <col min="12809" max="12809" width="9.109375" style="2282"/>
    <col min="12810" max="12810" width="15" style="2282" customWidth="1"/>
    <col min="12811" max="12811" width="14" style="2282" bestFit="1" customWidth="1"/>
    <col min="12812" max="12812" width="9.109375" style="2282"/>
    <col min="12813" max="12813" width="16.88671875" style="2282" bestFit="1" customWidth="1"/>
    <col min="12814" max="12814" width="9.109375" style="2282"/>
    <col min="12815" max="12815" width="17.44140625" style="2282" customWidth="1"/>
    <col min="12816" max="13056" width="9.109375" style="2282"/>
    <col min="13057" max="13057" width="4.44140625" style="2282" customWidth="1"/>
    <col min="13058" max="13058" width="28.109375" style="2282" customWidth="1"/>
    <col min="13059" max="13059" width="14.109375" style="2282" customWidth="1"/>
    <col min="13060" max="13060" width="13" style="2282" customWidth="1"/>
    <col min="13061" max="13061" width="13.88671875" style="2282" customWidth="1"/>
    <col min="13062" max="13062" width="14" style="2282" customWidth="1"/>
    <col min="13063" max="13063" width="13.88671875" style="2282" customWidth="1"/>
    <col min="13064" max="13064" width="0.44140625" style="2282" customWidth="1"/>
    <col min="13065" max="13065" width="9.109375" style="2282"/>
    <col min="13066" max="13066" width="15" style="2282" customWidth="1"/>
    <col min="13067" max="13067" width="14" style="2282" bestFit="1" customWidth="1"/>
    <col min="13068" max="13068" width="9.109375" style="2282"/>
    <col min="13069" max="13069" width="16.88671875" style="2282" bestFit="1" customWidth="1"/>
    <col min="13070" max="13070" width="9.109375" style="2282"/>
    <col min="13071" max="13071" width="17.44140625" style="2282" customWidth="1"/>
    <col min="13072" max="13312" width="9.109375" style="2282"/>
    <col min="13313" max="13313" width="4.44140625" style="2282" customWidth="1"/>
    <col min="13314" max="13314" width="28.109375" style="2282" customWidth="1"/>
    <col min="13315" max="13315" width="14.109375" style="2282" customWidth="1"/>
    <col min="13316" max="13316" width="13" style="2282" customWidth="1"/>
    <col min="13317" max="13317" width="13.88671875" style="2282" customWidth="1"/>
    <col min="13318" max="13318" width="14" style="2282" customWidth="1"/>
    <col min="13319" max="13319" width="13.88671875" style="2282" customWidth="1"/>
    <col min="13320" max="13320" width="0.44140625" style="2282" customWidth="1"/>
    <col min="13321" max="13321" width="9.109375" style="2282"/>
    <col min="13322" max="13322" width="15" style="2282" customWidth="1"/>
    <col min="13323" max="13323" width="14" style="2282" bestFit="1" customWidth="1"/>
    <col min="13324" max="13324" width="9.109375" style="2282"/>
    <col min="13325" max="13325" width="16.88671875" style="2282" bestFit="1" customWidth="1"/>
    <col min="13326" max="13326" width="9.109375" style="2282"/>
    <col min="13327" max="13327" width="17.44140625" style="2282" customWidth="1"/>
    <col min="13328" max="13568" width="9.109375" style="2282"/>
    <col min="13569" max="13569" width="4.44140625" style="2282" customWidth="1"/>
    <col min="13570" max="13570" width="28.109375" style="2282" customWidth="1"/>
    <col min="13571" max="13571" width="14.109375" style="2282" customWidth="1"/>
    <col min="13572" max="13572" width="13" style="2282" customWidth="1"/>
    <col min="13573" max="13573" width="13.88671875" style="2282" customWidth="1"/>
    <col min="13574" max="13574" width="14" style="2282" customWidth="1"/>
    <col min="13575" max="13575" width="13.88671875" style="2282" customWidth="1"/>
    <col min="13576" max="13576" width="0.44140625" style="2282" customWidth="1"/>
    <col min="13577" max="13577" width="9.109375" style="2282"/>
    <col min="13578" max="13578" width="15" style="2282" customWidth="1"/>
    <col min="13579" max="13579" width="14" style="2282" bestFit="1" customWidth="1"/>
    <col min="13580" max="13580" width="9.109375" style="2282"/>
    <col min="13581" max="13581" width="16.88671875" style="2282" bestFit="1" customWidth="1"/>
    <col min="13582" max="13582" width="9.109375" style="2282"/>
    <col min="13583" max="13583" width="17.44140625" style="2282" customWidth="1"/>
    <col min="13584" max="13824" width="9.109375" style="2282"/>
    <col min="13825" max="13825" width="4.44140625" style="2282" customWidth="1"/>
    <col min="13826" max="13826" width="28.109375" style="2282" customWidth="1"/>
    <col min="13827" max="13827" width="14.109375" style="2282" customWidth="1"/>
    <col min="13828" max="13828" width="13" style="2282" customWidth="1"/>
    <col min="13829" max="13829" width="13.88671875" style="2282" customWidth="1"/>
    <col min="13830" max="13830" width="14" style="2282" customWidth="1"/>
    <col min="13831" max="13831" width="13.88671875" style="2282" customWidth="1"/>
    <col min="13832" max="13832" width="0.44140625" style="2282" customWidth="1"/>
    <col min="13833" max="13833" width="9.109375" style="2282"/>
    <col min="13834" max="13834" width="15" style="2282" customWidth="1"/>
    <col min="13835" max="13835" width="14" style="2282" bestFit="1" customWidth="1"/>
    <col min="13836" max="13836" width="9.109375" style="2282"/>
    <col min="13837" max="13837" width="16.88671875" style="2282" bestFit="1" customWidth="1"/>
    <col min="13838" max="13838" width="9.109375" style="2282"/>
    <col min="13839" max="13839" width="17.44140625" style="2282" customWidth="1"/>
    <col min="13840" max="14080" width="9.109375" style="2282"/>
    <col min="14081" max="14081" width="4.44140625" style="2282" customWidth="1"/>
    <col min="14082" max="14082" width="28.109375" style="2282" customWidth="1"/>
    <col min="14083" max="14083" width="14.109375" style="2282" customWidth="1"/>
    <col min="14084" max="14084" width="13" style="2282" customWidth="1"/>
    <col min="14085" max="14085" width="13.88671875" style="2282" customWidth="1"/>
    <col min="14086" max="14086" width="14" style="2282" customWidth="1"/>
    <col min="14087" max="14087" width="13.88671875" style="2282" customWidth="1"/>
    <col min="14088" max="14088" width="0.44140625" style="2282" customWidth="1"/>
    <col min="14089" max="14089" width="9.109375" style="2282"/>
    <col min="14090" max="14090" width="15" style="2282" customWidth="1"/>
    <col min="14091" max="14091" width="14" style="2282" bestFit="1" customWidth="1"/>
    <col min="14092" max="14092" width="9.109375" style="2282"/>
    <col min="14093" max="14093" width="16.88671875" style="2282" bestFit="1" customWidth="1"/>
    <col min="14094" max="14094" width="9.109375" style="2282"/>
    <col min="14095" max="14095" width="17.44140625" style="2282" customWidth="1"/>
    <col min="14096" max="14336" width="9.109375" style="2282"/>
    <col min="14337" max="14337" width="4.44140625" style="2282" customWidth="1"/>
    <col min="14338" max="14338" width="28.109375" style="2282" customWidth="1"/>
    <col min="14339" max="14339" width="14.109375" style="2282" customWidth="1"/>
    <col min="14340" max="14340" width="13" style="2282" customWidth="1"/>
    <col min="14341" max="14341" width="13.88671875" style="2282" customWidth="1"/>
    <col min="14342" max="14342" width="14" style="2282" customWidth="1"/>
    <col min="14343" max="14343" width="13.88671875" style="2282" customWidth="1"/>
    <col min="14344" max="14344" width="0.44140625" style="2282" customWidth="1"/>
    <col min="14345" max="14345" width="9.109375" style="2282"/>
    <col min="14346" max="14346" width="15" style="2282" customWidth="1"/>
    <col min="14347" max="14347" width="14" style="2282" bestFit="1" customWidth="1"/>
    <col min="14348" max="14348" width="9.109375" style="2282"/>
    <col min="14349" max="14349" width="16.88671875" style="2282" bestFit="1" customWidth="1"/>
    <col min="14350" max="14350" width="9.109375" style="2282"/>
    <col min="14351" max="14351" width="17.44140625" style="2282" customWidth="1"/>
    <col min="14352" max="14592" width="9.109375" style="2282"/>
    <col min="14593" max="14593" width="4.44140625" style="2282" customWidth="1"/>
    <col min="14594" max="14594" width="28.109375" style="2282" customWidth="1"/>
    <col min="14595" max="14595" width="14.109375" style="2282" customWidth="1"/>
    <col min="14596" max="14596" width="13" style="2282" customWidth="1"/>
    <col min="14597" max="14597" width="13.88671875" style="2282" customWidth="1"/>
    <col min="14598" max="14598" width="14" style="2282" customWidth="1"/>
    <col min="14599" max="14599" width="13.88671875" style="2282" customWidth="1"/>
    <col min="14600" max="14600" width="0.44140625" style="2282" customWidth="1"/>
    <col min="14601" max="14601" width="9.109375" style="2282"/>
    <col min="14602" max="14602" width="15" style="2282" customWidth="1"/>
    <col min="14603" max="14603" width="14" style="2282" bestFit="1" customWidth="1"/>
    <col min="14604" max="14604" width="9.109375" style="2282"/>
    <col min="14605" max="14605" width="16.88671875" style="2282" bestFit="1" customWidth="1"/>
    <col min="14606" max="14606" width="9.109375" style="2282"/>
    <col min="14607" max="14607" width="17.44140625" style="2282" customWidth="1"/>
    <col min="14608" max="14848" width="9.109375" style="2282"/>
    <col min="14849" max="14849" width="4.44140625" style="2282" customWidth="1"/>
    <col min="14850" max="14850" width="28.109375" style="2282" customWidth="1"/>
    <col min="14851" max="14851" width="14.109375" style="2282" customWidth="1"/>
    <col min="14852" max="14852" width="13" style="2282" customWidth="1"/>
    <col min="14853" max="14853" width="13.88671875" style="2282" customWidth="1"/>
    <col min="14854" max="14854" width="14" style="2282" customWidth="1"/>
    <col min="14855" max="14855" width="13.88671875" style="2282" customWidth="1"/>
    <col min="14856" max="14856" width="0.44140625" style="2282" customWidth="1"/>
    <col min="14857" max="14857" width="9.109375" style="2282"/>
    <col min="14858" max="14858" width="15" style="2282" customWidth="1"/>
    <col min="14859" max="14859" width="14" style="2282" bestFit="1" customWidth="1"/>
    <col min="14860" max="14860" width="9.109375" style="2282"/>
    <col min="14861" max="14861" width="16.88671875" style="2282" bestFit="1" customWidth="1"/>
    <col min="14862" max="14862" width="9.109375" style="2282"/>
    <col min="14863" max="14863" width="17.44140625" style="2282" customWidth="1"/>
    <col min="14864" max="15104" width="9.109375" style="2282"/>
    <col min="15105" max="15105" width="4.44140625" style="2282" customWidth="1"/>
    <col min="15106" max="15106" width="28.109375" style="2282" customWidth="1"/>
    <col min="15107" max="15107" width="14.109375" style="2282" customWidth="1"/>
    <col min="15108" max="15108" width="13" style="2282" customWidth="1"/>
    <col min="15109" max="15109" width="13.88671875" style="2282" customWidth="1"/>
    <col min="15110" max="15110" width="14" style="2282" customWidth="1"/>
    <col min="15111" max="15111" width="13.88671875" style="2282" customWidth="1"/>
    <col min="15112" max="15112" width="0.44140625" style="2282" customWidth="1"/>
    <col min="15113" max="15113" width="9.109375" style="2282"/>
    <col min="15114" max="15114" width="15" style="2282" customWidth="1"/>
    <col min="15115" max="15115" width="14" style="2282" bestFit="1" customWidth="1"/>
    <col min="15116" max="15116" width="9.109375" style="2282"/>
    <col min="15117" max="15117" width="16.88671875" style="2282" bestFit="1" customWidth="1"/>
    <col min="15118" max="15118" width="9.109375" style="2282"/>
    <col min="15119" max="15119" width="17.44140625" style="2282" customWidth="1"/>
    <col min="15120" max="15360" width="9.109375" style="2282"/>
    <col min="15361" max="15361" width="4.44140625" style="2282" customWidth="1"/>
    <col min="15362" max="15362" width="28.109375" style="2282" customWidth="1"/>
    <col min="15363" max="15363" width="14.109375" style="2282" customWidth="1"/>
    <col min="15364" max="15364" width="13" style="2282" customWidth="1"/>
    <col min="15365" max="15365" width="13.88671875" style="2282" customWidth="1"/>
    <col min="15366" max="15366" width="14" style="2282" customWidth="1"/>
    <col min="15367" max="15367" width="13.88671875" style="2282" customWidth="1"/>
    <col min="15368" max="15368" width="0.44140625" style="2282" customWidth="1"/>
    <col min="15369" max="15369" width="9.109375" style="2282"/>
    <col min="15370" max="15370" width="15" style="2282" customWidth="1"/>
    <col min="15371" max="15371" width="14" style="2282" bestFit="1" customWidth="1"/>
    <col min="15372" max="15372" width="9.109375" style="2282"/>
    <col min="15373" max="15373" width="16.88671875" style="2282" bestFit="1" customWidth="1"/>
    <col min="15374" max="15374" width="9.109375" style="2282"/>
    <col min="15375" max="15375" width="17.44140625" style="2282" customWidth="1"/>
    <col min="15376" max="15616" width="9.109375" style="2282"/>
    <col min="15617" max="15617" width="4.44140625" style="2282" customWidth="1"/>
    <col min="15618" max="15618" width="28.109375" style="2282" customWidth="1"/>
    <col min="15619" max="15619" width="14.109375" style="2282" customWidth="1"/>
    <col min="15620" max="15620" width="13" style="2282" customWidth="1"/>
    <col min="15621" max="15621" width="13.88671875" style="2282" customWidth="1"/>
    <col min="15622" max="15622" width="14" style="2282" customWidth="1"/>
    <col min="15623" max="15623" width="13.88671875" style="2282" customWidth="1"/>
    <col min="15624" max="15624" width="0.44140625" style="2282" customWidth="1"/>
    <col min="15625" max="15625" width="9.109375" style="2282"/>
    <col min="15626" max="15626" width="15" style="2282" customWidth="1"/>
    <col min="15627" max="15627" width="14" style="2282" bestFit="1" customWidth="1"/>
    <col min="15628" max="15628" width="9.109375" style="2282"/>
    <col min="15629" max="15629" width="16.88671875" style="2282" bestFit="1" customWidth="1"/>
    <col min="15630" max="15630" width="9.109375" style="2282"/>
    <col min="15631" max="15631" width="17.44140625" style="2282" customWidth="1"/>
    <col min="15632" max="15872" width="9.109375" style="2282"/>
    <col min="15873" max="15873" width="4.44140625" style="2282" customWidth="1"/>
    <col min="15874" max="15874" width="28.109375" style="2282" customWidth="1"/>
    <col min="15875" max="15875" width="14.109375" style="2282" customWidth="1"/>
    <col min="15876" max="15876" width="13" style="2282" customWidth="1"/>
    <col min="15877" max="15877" width="13.88671875" style="2282" customWidth="1"/>
    <col min="15878" max="15878" width="14" style="2282" customWidth="1"/>
    <col min="15879" max="15879" width="13.88671875" style="2282" customWidth="1"/>
    <col min="15880" max="15880" width="0.44140625" style="2282" customWidth="1"/>
    <col min="15881" max="15881" width="9.109375" style="2282"/>
    <col min="15882" max="15882" width="15" style="2282" customWidth="1"/>
    <col min="15883" max="15883" width="14" style="2282" bestFit="1" customWidth="1"/>
    <col min="15884" max="15884" width="9.109375" style="2282"/>
    <col min="15885" max="15885" width="16.88671875" style="2282" bestFit="1" customWidth="1"/>
    <col min="15886" max="15886" width="9.109375" style="2282"/>
    <col min="15887" max="15887" width="17.44140625" style="2282" customWidth="1"/>
    <col min="15888" max="16128" width="9.109375" style="2282"/>
    <col min="16129" max="16129" width="4.44140625" style="2282" customWidth="1"/>
    <col min="16130" max="16130" width="28.109375" style="2282" customWidth="1"/>
    <col min="16131" max="16131" width="14.109375" style="2282" customWidth="1"/>
    <col min="16132" max="16132" width="13" style="2282" customWidth="1"/>
    <col min="16133" max="16133" width="13.88671875" style="2282" customWidth="1"/>
    <col min="16134" max="16134" width="14" style="2282" customWidth="1"/>
    <col min="16135" max="16135" width="13.88671875" style="2282" customWidth="1"/>
    <col min="16136" max="16136" width="0.44140625" style="2282" customWidth="1"/>
    <col min="16137" max="16137" width="9.109375" style="2282"/>
    <col min="16138" max="16138" width="15" style="2282" customWidth="1"/>
    <col min="16139" max="16139" width="14" style="2282" bestFit="1" customWidth="1"/>
    <col min="16140" max="16140" width="9.109375" style="2282"/>
    <col min="16141" max="16141" width="16.88671875" style="2282" bestFit="1" customWidth="1"/>
    <col min="16142" max="16142" width="9.109375" style="2282"/>
    <col min="16143" max="16143" width="17.44140625" style="2282" customWidth="1"/>
    <col min="16144" max="16384" width="9.109375" style="2282"/>
  </cols>
  <sheetData>
    <row r="1" spans="1:29" ht="7.5" customHeight="1"/>
    <row r="2" spans="1:29" ht="17.399999999999999">
      <c r="A2" s="14796" t="s">
        <v>6905</v>
      </c>
      <c r="B2" s="14796"/>
      <c r="C2" s="14796"/>
      <c r="D2" s="14796"/>
      <c r="E2" s="14796"/>
      <c r="F2" s="14796"/>
      <c r="G2" s="14796"/>
    </row>
    <row r="3" spans="1:29" ht="18" customHeight="1">
      <c r="A3" s="14797" t="s">
        <v>6701</v>
      </c>
      <c r="B3" s="14797"/>
      <c r="C3" s="14797"/>
      <c r="D3" s="14797"/>
      <c r="E3" s="14797"/>
      <c r="F3" s="14797"/>
      <c r="G3" s="14797"/>
    </row>
    <row r="4" spans="1:29">
      <c r="A4" s="2283"/>
      <c r="B4" s="2284"/>
      <c r="C4" s="2284"/>
      <c r="D4" s="2284"/>
      <c r="E4" s="2284"/>
      <c r="F4" s="2284"/>
      <c r="G4" s="2284"/>
    </row>
    <row r="5" spans="1:29" ht="15.6">
      <c r="A5" s="2303" t="s">
        <v>6906</v>
      </c>
      <c r="B5" s="2284"/>
      <c r="C5" s="2284"/>
      <c r="D5" s="2284"/>
      <c r="E5" s="2284"/>
      <c r="F5" s="2284"/>
      <c r="G5" s="2284"/>
    </row>
    <row r="6" spans="1:29" ht="7.5" customHeight="1">
      <c r="A6" s="2285"/>
      <c r="B6" s="2284"/>
      <c r="C6" s="2284"/>
      <c r="D6" s="2284"/>
      <c r="E6" s="2284"/>
      <c r="F6" s="2284"/>
      <c r="G6" s="2284"/>
    </row>
    <row r="7" spans="1:29" ht="8.25" customHeight="1">
      <c r="A7" s="2289"/>
    </row>
    <row r="8" spans="1:29" ht="12.75" customHeight="1">
      <c r="A8" s="14798" t="s">
        <v>2550</v>
      </c>
      <c r="B8" s="14799" t="s">
        <v>2688</v>
      </c>
      <c r="C8" s="14800" t="s">
        <v>18</v>
      </c>
      <c r="D8" s="14801"/>
      <c r="E8" s="14801"/>
      <c r="F8" s="14802"/>
      <c r="G8" s="2304"/>
    </row>
    <row r="9" spans="1:29" ht="26.4">
      <c r="A9" s="14798"/>
      <c r="B9" s="14799"/>
      <c r="C9" s="2304" t="s">
        <v>2151</v>
      </c>
      <c r="D9" s="2304" t="s">
        <v>1973</v>
      </c>
      <c r="E9" s="2304" t="s">
        <v>52</v>
      </c>
      <c r="F9" s="2304" t="s">
        <v>6903</v>
      </c>
      <c r="G9" s="2304" t="s">
        <v>458</v>
      </c>
    </row>
    <row r="10" spans="1:29" ht="5.25" customHeight="1">
      <c r="A10" s="2305"/>
      <c r="B10" s="2306"/>
      <c r="C10" s="2306"/>
      <c r="D10" s="2306"/>
      <c r="E10" s="2306"/>
      <c r="F10" s="2306"/>
      <c r="G10" s="2306"/>
      <c r="H10" s="2290"/>
    </row>
    <row r="11" spans="1:29" s="712" customFormat="1" ht="26.4">
      <c r="A11" s="2307">
        <v>1</v>
      </c>
      <c r="B11" s="2308" t="s">
        <v>6712</v>
      </c>
      <c r="C11" s="2309">
        <v>889352.28480000002</v>
      </c>
      <c r="D11" s="2309">
        <v>172912.8</v>
      </c>
      <c r="E11" s="2309">
        <v>0</v>
      </c>
      <c r="F11" s="2309">
        <v>0</v>
      </c>
      <c r="G11" s="2309">
        <f>SUM(C11:F11)</f>
        <v>1062265.0848000001</v>
      </c>
      <c r="H11" s="2290"/>
      <c r="I11" s="2310"/>
      <c r="J11" s="2311"/>
      <c r="K11" s="2294"/>
      <c r="L11" s="2294"/>
      <c r="M11" s="2294"/>
      <c r="N11" s="2294"/>
      <c r="O11" s="2294"/>
      <c r="P11" s="2294"/>
      <c r="Q11" s="2294"/>
      <c r="R11" s="2294"/>
      <c r="S11" s="2294"/>
      <c r="T11" s="2294"/>
      <c r="U11" s="2294"/>
      <c r="V11" s="2294"/>
      <c r="W11" s="2294"/>
      <c r="X11" s="2294"/>
      <c r="Y11" s="2294"/>
      <c r="Z11" s="2294"/>
      <c r="AA11" s="2294"/>
      <c r="AB11" s="2294"/>
      <c r="AC11" s="2294"/>
    </row>
    <row r="12" spans="1:29" s="712" customFormat="1">
      <c r="A12" s="2307"/>
      <c r="B12" s="2308"/>
      <c r="C12" s="2309"/>
      <c r="D12" s="2309"/>
      <c r="E12" s="2309"/>
      <c r="F12" s="2309"/>
      <c r="G12" s="2309"/>
      <c r="H12" s="2290"/>
      <c r="I12" s="2310"/>
      <c r="J12" s="2311"/>
      <c r="K12" s="2294"/>
      <c r="L12" s="2294"/>
      <c r="M12" s="2294"/>
      <c r="N12" s="2294"/>
      <c r="O12" s="2294"/>
      <c r="P12" s="2294"/>
      <c r="Q12" s="2294"/>
      <c r="R12" s="2294"/>
      <c r="S12" s="2294"/>
      <c r="T12" s="2294"/>
      <c r="U12" s="2294"/>
      <c r="V12" s="2294"/>
      <c r="W12" s="2294"/>
      <c r="X12" s="2294"/>
      <c r="Y12" s="2294"/>
      <c r="Z12" s="2294"/>
      <c r="AA12" s="2294"/>
      <c r="AB12" s="2294"/>
      <c r="AC12" s="2294"/>
    </row>
    <row r="13" spans="1:29" s="712" customFormat="1" ht="39.6">
      <c r="A13" s="2307">
        <v>2</v>
      </c>
      <c r="B13" s="2312" t="s">
        <v>6715</v>
      </c>
      <c r="C13" s="2309">
        <v>741126.9040000001</v>
      </c>
      <c r="D13" s="2309">
        <v>144094</v>
      </c>
      <c r="E13" s="2309">
        <v>0</v>
      </c>
      <c r="F13" s="2309">
        <v>0</v>
      </c>
      <c r="G13" s="2309">
        <f>SUM(C13:F13)</f>
        <v>885220.9040000001</v>
      </c>
      <c r="H13" s="2290"/>
      <c r="I13" s="2310"/>
      <c r="J13" s="2311"/>
      <c r="K13" s="2294"/>
      <c r="L13" s="2294"/>
      <c r="M13" s="2294"/>
      <c r="N13" s="2294"/>
      <c r="O13" s="2294"/>
      <c r="P13" s="2294"/>
      <c r="Q13" s="2294"/>
      <c r="R13" s="2294"/>
      <c r="S13" s="2294"/>
      <c r="T13" s="2294"/>
      <c r="U13" s="2294"/>
      <c r="V13" s="2294"/>
      <c r="W13" s="2294"/>
      <c r="X13" s="2294"/>
      <c r="Y13" s="2294"/>
      <c r="Z13" s="2294"/>
      <c r="AA13" s="2294"/>
      <c r="AB13" s="2294"/>
      <c r="AC13" s="2294"/>
    </row>
    <row r="14" spans="1:29" s="712" customFormat="1">
      <c r="A14" s="2307"/>
      <c r="B14" s="2308"/>
      <c r="C14" s="2309"/>
      <c r="D14" s="2309"/>
      <c r="E14" s="2309"/>
      <c r="F14" s="2309"/>
      <c r="G14" s="2309"/>
      <c r="H14" s="2290"/>
      <c r="I14" s="2310"/>
      <c r="J14" s="2311"/>
      <c r="K14" s="2294"/>
      <c r="L14" s="2294"/>
      <c r="M14" s="2294"/>
      <c r="N14" s="2294"/>
      <c r="O14" s="2294"/>
      <c r="P14" s="2294"/>
      <c r="Q14" s="2294"/>
      <c r="R14" s="2294"/>
      <c r="S14" s="2294"/>
      <c r="T14" s="2294"/>
      <c r="U14" s="2294"/>
      <c r="V14" s="2294"/>
      <c r="W14" s="2294"/>
      <c r="X14" s="2294"/>
      <c r="Y14" s="2294"/>
      <c r="Z14" s="2294"/>
      <c r="AA14" s="2294"/>
      <c r="AB14" s="2294"/>
      <c r="AC14" s="2294"/>
    </row>
    <row r="15" spans="1:29" s="712" customFormat="1" ht="41.25" customHeight="1">
      <c r="A15" s="2307">
        <v>3</v>
      </c>
      <c r="B15" s="2312" t="s">
        <v>2692</v>
      </c>
      <c r="C15" s="2309">
        <v>741126.9040000001</v>
      </c>
      <c r="D15" s="2309">
        <v>144094</v>
      </c>
      <c r="E15" s="2309">
        <v>0</v>
      </c>
      <c r="F15" s="2309">
        <v>300000</v>
      </c>
      <c r="G15" s="2309">
        <f t="shared" ref="G15:G37" si="0">SUM(C15:F15)</f>
        <v>1185220.9040000001</v>
      </c>
      <c r="H15" s="2290"/>
      <c r="I15" s="2310"/>
      <c r="J15" s="2311"/>
      <c r="K15" s="2294"/>
      <c r="L15" s="2294"/>
      <c r="M15" s="2294"/>
      <c r="N15" s="2294"/>
      <c r="O15" s="2294"/>
      <c r="P15" s="2294"/>
      <c r="Q15" s="2294"/>
      <c r="R15" s="2294"/>
      <c r="S15" s="2294"/>
      <c r="T15" s="2294"/>
      <c r="U15" s="2294"/>
      <c r="V15" s="2294"/>
      <c r="W15" s="2294"/>
      <c r="X15" s="2294"/>
      <c r="Y15" s="2294"/>
      <c r="Z15" s="2294"/>
      <c r="AA15" s="2294"/>
      <c r="AB15" s="2294"/>
      <c r="AC15" s="2294"/>
    </row>
    <row r="16" spans="1:29" s="712" customFormat="1">
      <c r="A16" s="2307"/>
      <c r="B16" s="2312"/>
      <c r="C16" s="2309"/>
      <c r="D16" s="2309"/>
      <c r="E16" s="2309"/>
      <c r="F16" s="2309"/>
      <c r="G16" s="2309"/>
      <c r="H16" s="2290"/>
      <c r="I16" s="2310"/>
      <c r="J16" s="2311"/>
      <c r="K16" s="2294"/>
      <c r="L16" s="2294"/>
      <c r="M16" s="2294"/>
      <c r="N16" s="2294"/>
      <c r="O16" s="2294"/>
      <c r="P16" s="2294"/>
      <c r="Q16" s="2294"/>
      <c r="R16" s="2294"/>
      <c r="S16" s="2294"/>
      <c r="T16" s="2294"/>
      <c r="U16" s="2294"/>
      <c r="V16" s="2294"/>
      <c r="W16" s="2294"/>
      <c r="X16" s="2294"/>
      <c r="Y16" s="2294"/>
      <c r="Z16" s="2294"/>
      <c r="AA16" s="2294"/>
      <c r="AB16" s="2294"/>
      <c r="AC16" s="2294"/>
    </row>
    <row r="17" spans="1:29" s="712" customFormat="1" ht="50.25" customHeight="1">
      <c r="A17" s="2307">
        <v>4</v>
      </c>
      <c r="B17" s="2312" t="s">
        <v>6739</v>
      </c>
      <c r="C17" s="2309">
        <v>2964507.6160000004</v>
      </c>
      <c r="D17" s="2309">
        <v>776376</v>
      </c>
      <c r="E17" s="2309">
        <v>0</v>
      </c>
      <c r="F17" s="2309">
        <v>800000</v>
      </c>
      <c r="G17" s="2309">
        <f t="shared" si="0"/>
        <v>4540883.6160000004</v>
      </c>
      <c r="H17" s="2290"/>
      <c r="I17" s="2310"/>
      <c r="J17" s="2311"/>
      <c r="K17" s="2294"/>
      <c r="L17" s="2294"/>
      <c r="M17" s="2294"/>
      <c r="N17" s="2294"/>
      <c r="O17" s="2294"/>
      <c r="P17" s="2294"/>
      <c r="Q17" s="2294"/>
      <c r="R17" s="2294"/>
      <c r="S17" s="2294"/>
      <c r="T17" s="2294"/>
      <c r="U17" s="2294"/>
      <c r="V17" s="2294"/>
      <c r="W17" s="2294"/>
      <c r="X17" s="2294"/>
      <c r="Y17" s="2294"/>
      <c r="Z17" s="2294"/>
      <c r="AA17" s="2294"/>
      <c r="AB17" s="2294"/>
      <c r="AC17" s="2294"/>
    </row>
    <row r="18" spans="1:29" s="712" customFormat="1">
      <c r="A18" s="2307"/>
      <c r="B18" s="2308"/>
      <c r="C18" s="2309"/>
      <c r="D18" s="2309"/>
      <c r="E18" s="2309"/>
      <c r="F18" s="2309"/>
      <c r="G18" s="2309"/>
      <c r="H18" s="2290"/>
      <c r="I18" s="2310"/>
      <c r="J18" s="2311"/>
      <c r="K18" s="2294"/>
      <c r="L18" s="2294"/>
      <c r="M18" s="2294"/>
      <c r="N18" s="2294"/>
      <c r="O18" s="2294"/>
      <c r="P18" s="2294"/>
      <c r="Q18" s="2294"/>
      <c r="R18" s="2294"/>
      <c r="S18" s="2294"/>
      <c r="T18" s="2294"/>
      <c r="U18" s="2294"/>
      <c r="V18" s="2294"/>
      <c r="W18" s="2294"/>
      <c r="X18" s="2294"/>
      <c r="Y18" s="2294"/>
      <c r="Z18" s="2294"/>
      <c r="AA18" s="2294"/>
      <c r="AB18" s="2294"/>
      <c r="AC18" s="2294"/>
    </row>
    <row r="19" spans="1:29" s="712" customFormat="1" ht="52.8">
      <c r="A19" s="2307">
        <v>5</v>
      </c>
      <c r="B19" s="2312" t="s">
        <v>6776</v>
      </c>
      <c r="C19" s="2309">
        <v>889352.28480000002</v>
      </c>
      <c r="D19" s="2309">
        <v>172912.8</v>
      </c>
      <c r="E19" s="2309">
        <v>0</v>
      </c>
      <c r="F19" s="2309">
        <v>0</v>
      </c>
      <c r="G19" s="2309">
        <f t="shared" si="0"/>
        <v>1062265.0848000001</v>
      </c>
      <c r="H19" s="2290"/>
      <c r="I19" s="2310"/>
      <c r="J19" s="2311"/>
      <c r="K19" s="2294"/>
      <c r="L19" s="2294"/>
      <c r="M19" s="2294"/>
      <c r="N19" s="2294"/>
      <c r="O19" s="2294"/>
      <c r="P19" s="2294"/>
      <c r="Q19" s="2294"/>
      <c r="R19" s="2294"/>
      <c r="S19" s="2294"/>
      <c r="T19" s="2294"/>
      <c r="U19" s="2294"/>
      <c r="V19" s="2294"/>
      <c r="W19" s="2294"/>
      <c r="X19" s="2294"/>
      <c r="Y19" s="2294"/>
      <c r="Z19" s="2294"/>
      <c r="AA19" s="2294"/>
      <c r="AB19" s="2294"/>
      <c r="AC19" s="2294"/>
    </row>
    <row r="20" spans="1:29" s="712" customFormat="1">
      <c r="A20" s="2307"/>
      <c r="B20" s="2308"/>
      <c r="C20" s="2313"/>
      <c r="D20" s="2313"/>
      <c r="E20" s="2313"/>
      <c r="F20" s="2313"/>
      <c r="G20" s="2309"/>
      <c r="H20" s="2290"/>
      <c r="I20" s="2310"/>
      <c r="J20" s="2311"/>
      <c r="K20" s="2294"/>
      <c r="L20" s="2294"/>
      <c r="M20" s="2294"/>
      <c r="N20" s="2294"/>
      <c r="O20" s="2294"/>
      <c r="P20" s="2294"/>
      <c r="Q20" s="2294"/>
      <c r="R20" s="2294"/>
      <c r="S20" s="2294"/>
      <c r="T20" s="2294"/>
      <c r="U20" s="2294"/>
      <c r="V20" s="2294"/>
      <c r="W20" s="2294"/>
      <c r="X20" s="2294"/>
      <c r="Y20" s="2294"/>
      <c r="Z20" s="2294"/>
      <c r="AA20" s="2294"/>
      <c r="AB20" s="2294"/>
      <c r="AC20" s="2294"/>
    </row>
    <row r="21" spans="1:29" s="712" customFormat="1" ht="40.5" customHeight="1">
      <c r="A21" s="2307">
        <v>6</v>
      </c>
      <c r="B21" s="2312" t="s">
        <v>3570</v>
      </c>
      <c r="C21" s="2309">
        <v>889352.28480000002</v>
      </c>
      <c r="D21" s="2309">
        <v>172912.8</v>
      </c>
      <c r="E21" s="2309">
        <v>0</v>
      </c>
      <c r="F21" s="2309">
        <v>200000</v>
      </c>
      <c r="G21" s="2309">
        <f t="shared" si="0"/>
        <v>1262265.0848000001</v>
      </c>
      <c r="H21" s="2290"/>
      <c r="I21" s="2310"/>
      <c r="J21" s="2311"/>
      <c r="K21" s="2294"/>
      <c r="L21" s="2294"/>
      <c r="M21" s="2294"/>
      <c r="N21" s="2294"/>
      <c r="O21" s="2294"/>
      <c r="P21" s="2294"/>
      <c r="Q21" s="2294"/>
      <c r="R21" s="2294"/>
      <c r="S21" s="2294"/>
      <c r="T21" s="2294"/>
      <c r="U21" s="2294"/>
      <c r="V21" s="2294"/>
      <c r="W21" s="2294"/>
      <c r="X21" s="2294"/>
      <c r="Y21" s="2294"/>
      <c r="Z21" s="2294"/>
      <c r="AA21" s="2294"/>
      <c r="AB21" s="2294"/>
      <c r="AC21" s="2294"/>
    </row>
    <row r="22" spans="1:29" s="712" customFormat="1">
      <c r="A22" s="2307"/>
      <c r="B22" s="2308"/>
      <c r="C22" s="2313"/>
      <c r="D22" s="2313"/>
      <c r="E22" s="2313"/>
      <c r="F22" s="2313"/>
      <c r="G22" s="2309"/>
      <c r="H22" s="2290"/>
      <c r="I22" s="2310"/>
      <c r="J22" s="2311"/>
      <c r="K22" s="2294"/>
      <c r="L22" s="2294"/>
      <c r="M22" s="2294"/>
      <c r="N22" s="2294"/>
      <c r="O22" s="2294"/>
      <c r="P22" s="2294"/>
      <c r="Q22" s="2294"/>
      <c r="R22" s="2294"/>
      <c r="S22" s="2294"/>
      <c r="T22" s="2294"/>
      <c r="U22" s="2294"/>
      <c r="V22" s="2294"/>
      <c r="W22" s="2294"/>
      <c r="X22" s="2294"/>
      <c r="Y22" s="2294"/>
      <c r="Z22" s="2294"/>
      <c r="AA22" s="2294"/>
      <c r="AB22" s="2294"/>
      <c r="AC22" s="2294"/>
    </row>
    <row r="23" spans="1:29" s="712" customFormat="1" ht="27.75" customHeight="1">
      <c r="A23" s="2307">
        <v>7</v>
      </c>
      <c r="B23" s="2312" t="s">
        <v>6803</v>
      </c>
      <c r="C23" s="2309">
        <v>741126.9040000001</v>
      </c>
      <c r="D23" s="2309">
        <v>144094</v>
      </c>
      <c r="E23" s="2309">
        <v>0</v>
      </c>
      <c r="F23" s="2309">
        <v>1000000</v>
      </c>
      <c r="G23" s="2309">
        <f t="shared" si="0"/>
        <v>1885220.9040000001</v>
      </c>
      <c r="H23" s="2290"/>
      <c r="I23" s="2310"/>
      <c r="J23" s="2311"/>
      <c r="K23" s="2294"/>
      <c r="L23" s="2294"/>
      <c r="M23" s="2294"/>
      <c r="N23" s="2294"/>
      <c r="O23" s="2294"/>
      <c r="P23" s="2294"/>
      <c r="Q23" s="2294"/>
      <c r="R23" s="2294"/>
      <c r="S23" s="2294"/>
      <c r="T23" s="2294"/>
      <c r="U23" s="2294"/>
      <c r="V23" s="2294"/>
      <c r="W23" s="2294"/>
      <c r="X23" s="2294"/>
      <c r="Y23" s="2294"/>
      <c r="Z23" s="2294"/>
      <c r="AA23" s="2294"/>
      <c r="AB23" s="2294"/>
      <c r="AC23" s="2294"/>
    </row>
    <row r="24" spans="1:29" s="712" customFormat="1">
      <c r="A24" s="2314"/>
      <c r="B24" s="2308"/>
      <c r="C24" s="2315"/>
      <c r="D24" s="2315"/>
      <c r="E24" s="2315"/>
      <c r="F24" s="2315"/>
      <c r="G24" s="2309"/>
      <c r="H24" s="2290"/>
      <c r="I24" s="2310"/>
      <c r="J24" s="2311"/>
      <c r="K24" s="2294"/>
      <c r="L24" s="2294"/>
      <c r="M24" s="2294"/>
      <c r="N24" s="2294"/>
      <c r="O24" s="2294"/>
      <c r="P24" s="2294"/>
      <c r="Q24" s="2294"/>
      <c r="R24" s="2294"/>
      <c r="S24" s="2294"/>
      <c r="T24" s="2294"/>
      <c r="U24" s="2294"/>
      <c r="V24" s="2294"/>
      <c r="W24" s="2294"/>
      <c r="X24" s="2294"/>
      <c r="Y24" s="2294"/>
      <c r="Z24" s="2294"/>
      <c r="AA24" s="2294"/>
      <c r="AB24" s="2294"/>
      <c r="AC24" s="2294"/>
    </row>
    <row r="25" spans="1:29" s="712" customFormat="1" ht="39.75" customHeight="1">
      <c r="A25" s="2307">
        <v>8</v>
      </c>
      <c r="B25" s="2312" t="s">
        <v>6807</v>
      </c>
      <c r="C25" s="2309">
        <v>741126.9040000001</v>
      </c>
      <c r="D25" s="2309">
        <v>244094</v>
      </c>
      <c r="E25" s="2309">
        <v>0</v>
      </c>
      <c r="F25" s="2309">
        <v>0</v>
      </c>
      <c r="G25" s="2309">
        <f t="shared" si="0"/>
        <v>985220.9040000001</v>
      </c>
      <c r="H25" s="2290"/>
      <c r="I25" s="2310"/>
      <c r="J25" s="2311"/>
      <c r="K25" s="2294"/>
      <c r="L25" s="2294"/>
      <c r="M25" s="2294"/>
      <c r="N25" s="2294"/>
      <c r="O25" s="2294"/>
      <c r="P25" s="2294"/>
      <c r="Q25" s="2294"/>
      <c r="R25" s="2294"/>
      <c r="S25" s="2294"/>
      <c r="T25" s="2294"/>
      <c r="U25" s="2294"/>
      <c r="V25" s="2294"/>
      <c r="W25" s="2294"/>
      <c r="X25" s="2294"/>
      <c r="Y25" s="2294"/>
      <c r="Z25" s="2294"/>
      <c r="AA25" s="2294"/>
      <c r="AB25" s="2294"/>
      <c r="AC25" s="2294"/>
    </row>
    <row r="26" spans="1:29" s="712" customFormat="1">
      <c r="A26" s="2307"/>
      <c r="B26" s="2308"/>
      <c r="C26" s="2309"/>
      <c r="D26" s="2309"/>
      <c r="E26" s="2309"/>
      <c r="F26" s="2309"/>
      <c r="G26" s="2309"/>
      <c r="H26" s="2290"/>
      <c r="I26" s="2310"/>
      <c r="J26" s="2311"/>
      <c r="K26" s="2294"/>
      <c r="L26" s="2294"/>
      <c r="M26" s="2294"/>
      <c r="N26" s="2294"/>
      <c r="O26" s="2294"/>
      <c r="P26" s="2294"/>
      <c r="Q26" s="2294"/>
      <c r="R26" s="2294"/>
      <c r="S26" s="2294"/>
      <c r="T26" s="2294"/>
      <c r="U26" s="2294"/>
      <c r="V26" s="2294"/>
      <c r="W26" s="2294"/>
      <c r="X26" s="2294"/>
      <c r="Y26" s="2294"/>
      <c r="Z26" s="2294"/>
      <c r="AA26" s="2294"/>
      <c r="AB26" s="2294"/>
      <c r="AC26" s="2294"/>
    </row>
    <row r="27" spans="1:29" s="712" customFormat="1" ht="29.25" customHeight="1">
      <c r="A27" s="2307">
        <v>9</v>
      </c>
      <c r="B27" s="2312" t="s">
        <v>6824</v>
      </c>
      <c r="C27" s="2309">
        <v>741126.9040000001</v>
      </c>
      <c r="D27" s="2309">
        <v>144094</v>
      </c>
      <c r="E27" s="2309">
        <v>0</v>
      </c>
      <c r="F27" s="2309">
        <v>0</v>
      </c>
      <c r="G27" s="2309">
        <f t="shared" si="0"/>
        <v>885220.9040000001</v>
      </c>
      <c r="H27" s="2290"/>
      <c r="I27" s="2310"/>
      <c r="J27" s="2311"/>
      <c r="K27" s="2294"/>
      <c r="L27" s="2294"/>
      <c r="M27" s="2294"/>
      <c r="N27" s="2294"/>
      <c r="O27" s="2294"/>
      <c r="P27" s="2294"/>
      <c r="Q27" s="2294"/>
      <c r="R27" s="2294"/>
      <c r="S27" s="2294"/>
      <c r="T27" s="2294"/>
      <c r="U27" s="2294"/>
      <c r="V27" s="2294"/>
      <c r="W27" s="2294"/>
      <c r="X27" s="2294"/>
      <c r="Y27" s="2294"/>
      <c r="Z27" s="2294"/>
      <c r="AA27" s="2294"/>
      <c r="AB27" s="2294"/>
      <c r="AC27" s="2294"/>
    </row>
    <row r="28" spans="1:29" s="712" customFormat="1">
      <c r="A28" s="2307"/>
      <c r="B28" s="2308"/>
      <c r="C28" s="2313"/>
      <c r="D28" s="2313"/>
      <c r="E28" s="2313"/>
      <c r="F28" s="2313"/>
      <c r="G28" s="2309"/>
      <c r="H28" s="2290"/>
      <c r="I28" s="2310"/>
      <c r="J28" s="2311"/>
      <c r="K28" s="2294"/>
      <c r="L28" s="2294"/>
      <c r="M28" s="2294"/>
      <c r="N28" s="2294"/>
      <c r="O28" s="2294"/>
      <c r="P28" s="2294"/>
      <c r="Q28" s="2294"/>
      <c r="R28" s="2294"/>
      <c r="S28" s="2294"/>
      <c r="T28" s="2294"/>
      <c r="U28" s="2294"/>
      <c r="V28" s="2294"/>
      <c r="W28" s="2294"/>
      <c r="X28" s="2294"/>
      <c r="Y28" s="2294"/>
      <c r="Z28" s="2294"/>
      <c r="AA28" s="2294"/>
      <c r="AB28" s="2294"/>
      <c r="AC28" s="2294"/>
    </row>
    <row r="29" spans="1:29" s="712" customFormat="1" ht="60" customHeight="1">
      <c r="A29" s="2307">
        <v>10</v>
      </c>
      <c r="B29" s="2312" t="s">
        <v>6832</v>
      </c>
      <c r="C29" s="2309">
        <v>1185803.0464000001</v>
      </c>
      <c r="D29" s="2309">
        <v>435550.4</v>
      </c>
      <c r="E29" s="2309">
        <v>0</v>
      </c>
      <c r="F29" s="2309">
        <v>500000</v>
      </c>
      <c r="G29" s="2309">
        <f t="shared" si="0"/>
        <v>2121353.4464000002</v>
      </c>
      <c r="H29" s="2290"/>
      <c r="I29" s="2310"/>
      <c r="J29" s="2311"/>
      <c r="K29" s="2294"/>
      <c r="L29" s="2294"/>
      <c r="M29" s="2294"/>
      <c r="N29" s="2294"/>
      <c r="O29" s="2294"/>
      <c r="P29" s="2294"/>
      <c r="Q29" s="2294"/>
      <c r="R29" s="2294"/>
      <c r="S29" s="2294"/>
      <c r="T29" s="2294"/>
      <c r="U29" s="2294"/>
      <c r="V29" s="2294"/>
      <c r="W29" s="2294"/>
      <c r="X29" s="2294"/>
      <c r="Y29" s="2294"/>
      <c r="Z29" s="2294"/>
      <c r="AA29" s="2294"/>
      <c r="AB29" s="2294"/>
      <c r="AC29" s="2294"/>
    </row>
    <row r="30" spans="1:29" s="712" customFormat="1">
      <c r="A30" s="2307"/>
      <c r="B30" s="2308"/>
      <c r="C30" s="2309"/>
      <c r="D30" s="2309"/>
      <c r="E30" s="2309"/>
      <c r="F30" s="2309"/>
      <c r="G30" s="2309"/>
      <c r="H30" s="2290"/>
      <c r="I30" s="2310"/>
      <c r="J30" s="2311"/>
      <c r="K30" s="2294"/>
      <c r="L30" s="2294"/>
      <c r="M30" s="2294"/>
      <c r="N30" s="2294"/>
      <c r="O30" s="2294"/>
      <c r="P30" s="2294"/>
      <c r="Q30" s="2294"/>
      <c r="R30" s="2294"/>
      <c r="S30" s="2294"/>
      <c r="T30" s="2294"/>
      <c r="U30" s="2294"/>
      <c r="V30" s="2294"/>
      <c r="W30" s="2294"/>
      <c r="X30" s="2294"/>
      <c r="Y30" s="2294"/>
      <c r="Z30" s="2294"/>
      <c r="AA30" s="2294"/>
      <c r="AB30" s="2294"/>
      <c r="AC30" s="2294"/>
    </row>
    <row r="31" spans="1:29" s="712" customFormat="1" ht="67.5" customHeight="1">
      <c r="A31" s="2307">
        <v>11</v>
      </c>
      <c r="B31" s="2312" t="s">
        <v>6836</v>
      </c>
      <c r="C31" s="2309">
        <v>1037577.6656000001</v>
      </c>
      <c r="D31" s="2309">
        <v>201731.6</v>
      </c>
      <c r="E31" s="2309">
        <v>0</v>
      </c>
      <c r="F31" s="2309">
        <v>850000</v>
      </c>
      <c r="G31" s="2309">
        <f t="shared" si="0"/>
        <v>2089309.2656</v>
      </c>
      <c r="H31" s="2290"/>
      <c r="I31" s="2310"/>
      <c r="J31" s="2311"/>
      <c r="K31" s="2294"/>
      <c r="L31" s="2294"/>
      <c r="M31" s="2294"/>
      <c r="N31" s="2294"/>
      <c r="O31" s="2294"/>
      <c r="P31" s="2294"/>
      <c r="Q31" s="2294"/>
      <c r="R31" s="2294"/>
      <c r="S31" s="2294"/>
      <c r="T31" s="2294"/>
      <c r="U31" s="2294"/>
      <c r="V31" s="2294"/>
      <c r="W31" s="2294"/>
      <c r="X31" s="2294"/>
      <c r="Y31" s="2294"/>
      <c r="Z31" s="2294"/>
      <c r="AA31" s="2294"/>
      <c r="AB31" s="2294"/>
      <c r="AC31" s="2294"/>
    </row>
    <row r="32" spans="1:29" s="712" customFormat="1">
      <c r="A32" s="2307"/>
      <c r="B32" s="2308"/>
      <c r="C32" s="2313"/>
      <c r="D32" s="2313"/>
      <c r="E32" s="2313"/>
      <c r="F32" s="2313"/>
      <c r="G32" s="2309"/>
      <c r="H32" s="2290"/>
      <c r="I32" s="2310"/>
      <c r="J32" s="2311"/>
      <c r="K32" s="2294"/>
      <c r="L32" s="2294"/>
      <c r="M32" s="2294"/>
      <c r="N32" s="2294"/>
      <c r="O32" s="2294"/>
      <c r="P32" s="2294"/>
      <c r="Q32" s="2294"/>
      <c r="R32" s="2294"/>
      <c r="S32" s="2294"/>
      <c r="T32" s="2294"/>
      <c r="U32" s="2294"/>
      <c r="V32" s="2294"/>
      <c r="W32" s="2294"/>
      <c r="X32" s="2294"/>
      <c r="Y32" s="2294"/>
      <c r="Z32" s="2294"/>
      <c r="AA32" s="2294"/>
      <c r="AB32" s="2294"/>
      <c r="AC32" s="2294"/>
    </row>
    <row r="33" spans="1:29" s="712" customFormat="1" ht="26.4">
      <c r="A33" s="2307">
        <v>12</v>
      </c>
      <c r="B33" s="2312" t="s">
        <v>3571</v>
      </c>
      <c r="C33" s="2309">
        <v>444676.14240000001</v>
      </c>
      <c r="D33" s="2309">
        <v>86456.4</v>
      </c>
      <c r="E33" s="2309">
        <v>202000</v>
      </c>
      <c r="F33" s="2309">
        <v>0</v>
      </c>
      <c r="G33" s="2309">
        <f t="shared" si="0"/>
        <v>733132.54240000003</v>
      </c>
      <c r="H33" s="2290"/>
      <c r="I33" s="2310"/>
      <c r="J33" s="2311"/>
      <c r="K33" s="2294"/>
      <c r="L33" s="2294"/>
      <c r="M33" s="2294"/>
      <c r="N33" s="2294"/>
      <c r="O33" s="2294"/>
      <c r="P33" s="2294"/>
      <c r="Q33" s="2294"/>
      <c r="R33" s="2294"/>
      <c r="S33" s="2294"/>
      <c r="T33" s="2294"/>
      <c r="U33" s="2294"/>
      <c r="V33" s="2294"/>
      <c r="W33" s="2294"/>
      <c r="X33" s="2294"/>
      <c r="Y33" s="2294"/>
      <c r="Z33" s="2294"/>
      <c r="AA33" s="2294"/>
      <c r="AB33" s="2294"/>
      <c r="AC33" s="2294"/>
    </row>
    <row r="34" spans="1:29" s="712" customFormat="1">
      <c r="A34" s="2307"/>
      <c r="B34" s="2308"/>
      <c r="C34" s="2309"/>
      <c r="D34" s="2309"/>
      <c r="E34" s="2309"/>
      <c r="F34" s="2309"/>
      <c r="G34" s="2309"/>
      <c r="H34" s="2290"/>
      <c r="I34" s="2310"/>
      <c r="J34" s="2311"/>
      <c r="K34" s="2294"/>
      <c r="L34" s="2294"/>
      <c r="M34" s="2294"/>
      <c r="N34" s="2294"/>
      <c r="O34" s="2294"/>
      <c r="P34" s="2294"/>
      <c r="Q34" s="2294"/>
      <c r="R34" s="2294"/>
      <c r="S34" s="2294"/>
      <c r="T34" s="2294"/>
      <c r="U34" s="2294"/>
      <c r="V34" s="2294"/>
      <c r="W34" s="2294"/>
      <c r="X34" s="2294"/>
      <c r="Y34" s="2294"/>
      <c r="Z34" s="2294"/>
      <c r="AA34" s="2294"/>
      <c r="AB34" s="2294"/>
      <c r="AC34" s="2294"/>
    </row>
    <row r="35" spans="1:29" s="712" customFormat="1" ht="28.5" customHeight="1">
      <c r="A35" s="2307">
        <v>13</v>
      </c>
      <c r="B35" s="2312" t="s">
        <v>3572</v>
      </c>
      <c r="C35" s="2309">
        <v>2668056.8544000001</v>
      </c>
      <c r="D35" s="2309">
        <v>705738.39999999991</v>
      </c>
      <c r="E35" s="2309">
        <v>0</v>
      </c>
      <c r="F35" s="2309">
        <v>0</v>
      </c>
      <c r="G35" s="2309">
        <f t="shared" si="0"/>
        <v>3373795.2544</v>
      </c>
      <c r="H35" s="2290"/>
      <c r="I35" s="2310"/>
      <c r="J35" s="2311"/>
      <c r="K35" s="2294"/>
      <c r="L35" s="2294"/>
      <c r="M35" s="2294"/>
      <c r="N35" s="2294"/>
      <c r="O35" s="2294"/>
      <c r="P35" s="2294"/>
      <c r="Q35" s="2294"/>
      <c r="R35" s="2294"/>
      <c r="S35" s="2294"/>
      <c r="T35" s="2294"/>
      <c r="U35" s="2294"/>
      <c r="V35" s="2294"/>
      <c r="W35" s="2294"/>
      <c r="X35" s="2294"/>
      <c r="Y35" s="2294"/>
      <c r="Z35" s="2294"/>
      <c r="AA35" s="2294"/>
      <c r="AB35" s="2294"/>
      <c r="AC35" s="2294"/>
    </row>
    <row r="36" spans="1:29" s="712" customFormat="1">
      <c r="A36" s="2307"/>
      <c r="B36" s="2308"/>
      <c r="C36" s="2309"/>
      <c r="D36" s="2309"/>
      <c r="E36" s="2309"/>
      <c r="F36" s="2309"/>
      <c r="G36" s="2309"/>
      <c r="H36" s="2290"/>
      <c r="I36" s="2310"/>
      <c r="J36" s="2311"/>
      <c r="K36" s="2294"/>
      <c r="L36" s="2294"/>
      <c r="M36" s="2294"/>
      <c r="N36" s="2294"/>
      <c r="O36" s="2294"/>
      <c r="P36" s="2294"/>
      <c r="Q36" s="2294"/>
      <c r="R36" s="2294"/>
      <c r="S36" s="2294"/>
      <c r="T36" s="2294"/>
      <c r="U36" s="2294"/>
      <c r="V36" s="2294"/>
      <c r="W36" s="2294"/>
      <c r="X36" s="2294"/>
      <c r="Y36" s="2294"/>
      <c r="Z36" s="2294"/>
      <c r="AA36" s="2294"/>
      <c r="AB36" s="2294"/>
      <c r="AC36" s="2294"/>
    </row>
    <row r="37" spans="1:29" s="712" customFormat="1" ht="24.75" customHeight="1">
      <c r="A37" s="2307">
        <v>14</v>
      </c>
      <c r="B37" s="2312" t="s">
        <v>6891</v>
      </c>
      <c r="C37" s="2309">
        <v>148225.38080000001</v>
      </c>
      <c r="D37" s="2309">
        <v>28818.799999999999</v>
      </c>
      <c r="E37" s="2309">
        <v>0</v>
      </c>
      <c r="F37" s="2309">
        <v>0</v>
      </c>
      <c r="G37" s="2309">
        <f t="shared" si="0"/>
        <v>177044.1808</v>
      </c>
      <c r="H37" s="2290"/>
      <c r="I37" s="2310"/>
      <c r="J37" s="2311"/>
      <c r="K37" s="2294"/>
      <c r="L37" s="2294"/>
      <c r="M37" s="2294"/>
      <c r="N37" s="2294"/>
      <c r="O37" s="2294"/>
      <c r="P37" s="2294"/>
      <c r="Q37" s="2294"/>
      <c r="R37" s="2294"/>
      <c r="S37" s="2294"/>
      <c r="T37" s="2294"/>
      <c r="U37" s="2294"/>
      <c r="V37" s="2294"/>
      <c r="W37" s="2294"/>
      <c r="X37" s="2294"/>
      <c r="Y37" s="2294"/>
      <c r="Z37" s="2294"/>
      <c r="AA37" s="2294"/>
      <c r="AB37" s="2294"/>
      <c r="AC37" s="2294"/>
    </row>
    <row r="38" spans="1:29">
      <c r="A38" s="2307"/>
      <c r="B38" s="2312"/>
      <c r="C38" s="2313"/>
      <c r="D38" s="2313"/>
      <c r="E38" s="2313"/>
      <c r="F38" s="2313"/>
      <c r="G38" s="2313"/>
      <c r="H38" s="2290"/>
    </row>
    <row r="39" spans="1:29">
      <c r="A39" s="2307"/>
      <c r="B39" s="2316" t="s">
        <v>220</v>
      </c>
      <c r="C39" s="2317">
        <f>SUM(C11:C38)</f>
        <v>14822538.08</v>
      </c>
      <c r="D39" s="2317">
        <f>SUM(D11:D38)</f>
        <v>3573880</v>
      </c>
      <c r="E39" s="2317">
        <f>SUM(E11:E38)</f>
        <v>202000</v>
      </c>
      <c r="F39" s="2317">
        <f>SUM(F11:F38)</f>
        <v>3650000</v>
      </c>
      <c r="G39" s="2317">
        <f>SUM(G11:G38)</f>
        <v>22248418.079999998</v>
      </c>
      <c r="H39" s="2290"/>
      <c r="J39" s="2318"/>
      <c r="K39" s="2319"/>
    </row>
    <row r="40" spans="1:29">
      <c r="B40" s="712"/>
      <c r="C40" s="712"/>
      <c r="D40" s="712"/>
      <c r="E40" s="712"/>
      <c r="F40" s="712"/>
      <c r="G40" s="712"/>
      <c r="H40" s="2290"/>
    </row>
    <row r="41" spans="1:29" hidden="1">
      <c r="B41" s="2291" t="s">
        <v>3483</v>
      </c>
      <c r="C41" s="2291"/>
      <c r="D41" s="2291"/>
      <c r="E41" s="2291"/>
      <c r="F41" s="2291"/>
      <c r="G41" s="2291"/>
      <c r="H41" s="2290"/>
    </row>
    <row r="42" spans="1:29" hidden="1">
      <c r="B42" s="2291"/>
      <c r="C42" s="2291"/>
      <c r="D42" s="2291"/>
      <c r="E42" s="2291"/>
      <c r="F42" s="2291"/>
      <c r="G42" s="2291"/>
      <c r="H42" s="2290"/>
    </row>
    <row r="43" spans="1:29" hidden="1">
      <c r="B43" s="2292"/>
      <c r="C43" s="2292"/>
      <c r="D43" s="2292"/>
      <c r="E43" s="2292"/>
      <c r="F43" s="2292"/>
      <c r="G43" s="2292"/>
      <c r="H43" s="2290"/>
    </row>
    <row r="44" spans="1:29" hidden="1">
      <c r="B44" s="2293" t="s">
        <v>6896</v>
      </c>
      <c r="C44" s="2293"/>
      <c r="D44" s="2293"/>
      <c r="E44" s="2293"/>
      <c r="F44" s="2293"/>
      <c r="G44" s="2293"/>
      <c r="H44" s="2290"/>
      <c r="M44" s="2298"/>
      <c r="O44" s="2320"/>
    </row>
    <row r="45" spans="1:29" hidden="1">
      <c r="B45" s="2295" t="s">
        <v>6898</v>
      </c>
      <c r="C45" s="2295"/>
      <c r="D45" s="2295"/>
      <c r="E45" s="2295"/>
      <c r="F45" s="2295"/>
      <c r="G45" s="2295"/>
      <c r="H45" s="2290"/>
      <c r="M45" s="2321"/>
      <c r="O45" s="2320"/>
    </row>
    <row r="46" spans="1:29">
      <c r="B46" s="712"/>
      <c r="C46" s="712"/>
      <c r="D46" s="712"/>
      <c r="E46" s="712"/>
      <c r="F46" s="712"/>
      <c r="G46" s="712"/>
      <c r="H46" s="2290"/>
      <c r="O46" s="2320"/>
    </row>
    <row r="47" spans="1:29">
      <c r="B47" s="712"/>
      <c r="C47" s="712"/>
      <c r="D47" s="712"/>
      <c r="E47" s="712"/>
      <c r="F47" s="712"/>
      <c r="G47" s="712"/>
      <c r="H47" s="2290"/>
    </row>
    <row r="48" spans="1:29">
      <c r="B48" s="2297"/>
      <c r="C48" s="2297"/>
      <c r="D48" s="2297"/>
      <c r="E48" s="2297"/>
      <c r="F48" s="2297"/>
      <c r="G48" s="2297"/>
      <c r="H48" s="2290"/>
      <c r="J48" s="2322" t="s">
        <v>217</v>
      </c>
      <c r="K48" s="2323">
        <v>14822538.08</v>
      </c>
    </row>
    <row r="49" spans="1:11">
      <c r="B49" s="2284"/>
      <c r="C49" s="2284"/>
      <c r="D49" s="2284"/>
      <c r="E49" s="2284"/>
      <c r="F49" s="2284"/>
      <c r="G49" s="2284"/>
      <c r="H49" s="2290"/>
      <c r="J49" s="2322" t="s">
        <v>1973</v>
      </c>
      <c r="K49" s="2323">
        <v>3573880</v>
      </c>
    </row>
    <row r="50" spans="1:11">
      <c r="B50" s="712"/>
      <c r="C50" s="712"/>
      <c r="D50" s="712"/>
      <c r="E50" s="712"/>
      <c r="F50" s="712"/>
      <c r="G50" s="712"/>
      <c r="H50" s="2290"/>
      <c r="J50" s="2322" t="s">
        <v>52</v>
      </c>
      <c r="K50" s="2323">
        <v>202000</v>
      </c>
    </row>
    <row r="51" spans="1:11">
      <c r="B51" s="712"/>
      <c r="C51" s="712"/>
      <c r="D51" s="712"/>
      <c r="E51" s="712"/>
      <c r="F51" s="712"/>
      <c r="G51" s="712"/>
      <c r="H51" s="2290"/>
      <c r="J51" s="2322" t="s">
        <v>3445</v>
      </c>
      <c r="K51" s="2321">
        <v>3650000</v>
      </c>
    </row>
    <row r="52" spans="1:11">
      <c r="B52" s="712"/>
      <c r="C52" s="712"/>
      <c r="D52" s="712"/>
      <c r="E52" s="712"/>
      <c r="F52" s="712"/>
      <c r="G52" s="712"/>
      <c r="H52" s="2290"/>
      <c r="J52" s="2322" t="s">
        <v>458</v>
      </c>
      <c r="K52" s="2321">
        <f>SUM(K48:K51)</f>
        <v>22248418.079999998</v>
      </c>
    </row>
    <row r="53" spans="1:11">
      <c r="B53" s="2324"/>
      <c r="C53" s="2324"/>
      <c r="D53" s="2324"/>
      <c r="E53" s="2324"/>
      <c r="F53" s="2324"/>
      <c r="G53" s="2324"/>
      <c r="H53" s="2290"/>
    </row>
    <row r="54" spans="1:11">
      <c r="B54" s="2284"/>
      <c r="C54" s="2284"/>
      <c r="D54" s="2284"/>
      <c r="E54" s="2284"/>
      <c r="F54" s="2284"/>
      <c r="G54" s="2284"/>
      <c r="H54" s="2290"/>
    </row>
    <row r="55" spans="1:11">
      <c r="H55" s="2290"/>
      <c r="J55" s="2325" t="s">
        <v>3130</v>
      </c>
      <c r="K55" s="2326">
        <f>G39-K52</f>
        <v>0</v>
      </c>
    </row>
    <row r="56" spans="1:11" s="2300" customFormat="1">
      <c r="A56" s="2299"/>
      <c r="H56" s="2301"/>
      <c r="J56" s="2302"/>
    </row>
    <row r="57" spans="1:11" s="2300" customFormat="1">
      <c r="A57" s="2299"/>
      <c r="H57" s="2301"/>
      <c r="J57" s="2302"/>
    </row>
    <row r="58" spans="1:11" s="2300" customFormat="1">
      <c r="A58" s="2299"/>
      <c r="H58" s="2301"/>
      <c r="J58" s="2302"/>
    </row>
    <row r="59" spans="1:11" s="2300" customFormat="1">
      <c r="A59" s="2299"/>
      <c r="H59" s="2301"/>
      <c r="J59" s="2302"/>
    </row>
    <row r="60" spans="1:11" s="2300" customFormat="1">
      <c r="A60" s="2299"/>
      <c r="H60" s="2301"/>
      <c r="J60" s="2302"/>
    </row>
    <row r="61" spans="1:11" s="2300" customFormat="1">
      <c r="A61" s="2299"/>
      <c r="H61" s="2301"/>
      <c r="J61" s="2302"/>
    </row>
    <row r="62" spans="1:11" s="2300" customFormat="1">
      <c r="A62" s="2299"/>
      <c r="H62" s="2301"/>
      <c r="J62" s="2302"/>
    </row>
    <row r="63" spans="1:11" s="2300" customFormat="1">
      <c r="A63" s="2299"/>
      <c r="H63" s="2301"/>
      <c r="J63" s="2302"/>
    </row>
    <row r="64" spans="1:11" s="2300" customFormat="1">
      <c r="A64" s="2299"/>
      <c r="J64" s="2302"/>
    </row>
    <row r="65" spans="1:10" s="2300" customFormat="1">
      <c r="A65" s="2299"/>
      <c r="J65" s="2302"/>
    </row>
    <row r="66" spans="1:10" s="2300" customFormat="1">
      <c r="A66" s="2299"/>
      <c r="J66" s="2302"/>
    </row>
    <row r="67" spans="1:10" s="2300" customFormat="1">
      <c r="A67" s="2299"/>
      <c r="J67" s="2302"/>
    </row>
    <row r="68" spans="1:10" s="2300" customFormat="1">
      <c r="A68" s="2299"/>
      <c r="J68" s="2302"/>
    </row>
    <row r="69" spans="1:10" s="2300" customFormat="1">
      <c r="A69" s="2299"/>
      <c r="B69" s="2296"/>
      <c r="C69" s="2296"/>
      <c r="D69" s="2296"/>
      <c r="E69" s="2296"/>
      <c r="F69" s="2296"/>
      <c r="G69" s="2296"/>
      <c r="H69" s="2301"/>
      <c r="J69" s="2302"/>
    </row>
    <row r="70" spans="1:10" s="2300" customFormat="1">
      <c r="A70" s="2299"/>
      <c r="B70" s="2296"/>
      <c r="C70" s="2296"/>
      <c r="D70" s="2296"/>
      <c r="E70" s="2296"/>
      <c r="F70" s="2296"/>
      <c r="G70" s="2296"/>
      <c r="H70" s="2301"/>
      <c r="J70" s="2302"/>
    </row>
    <row r="71" spans="1:10" s="2300" customFormat="1">
      <c r="A71" s="2299"/>
      <c r="B71" s="2296"/>
      <c r="C71" s="2296"/>
      <c r="D71" s="2296"/>
      <c r="E71" s="2296"/>
      <c r="F71" s="2296"/>
      <c r="G71" s="2296"/>
      <c r="H71" s="2301"/>
      <c r="J71" s="2302"/>
    </row>
    <row r="72" spans="1:10" s="2300" customFormat="1">
      <c r="A72" s="2299"/>
      <c r="B72" s="2296"/>
      <c r="C72" s="2296"/>
      <c r="D72" s="2296"/>
      <c r="E72" s="2296"/>
      <c r="F72" s="2296"/>
      <c r="G72" s="2296"/>
      <c r="H72" s="2301"/>
      <c r="J72" s="2302"/>
    </row>
    <row r="73" spans="1:10" s="2300" customFormat="1">
      <c r="A73" s="2299"/>
      <c r="B73" s="2296"/>
      <c r="C73" s="2296"/>
      <c r="D73" s="2296"/>
      <c r="E73" s="2296"/>
      <c r="F73" s="2296"/>
      <c r="G73" s="2296"/>
      <c r="H73" s="2301"/>
      <c r="J73" s="2302"/>
    </row>
    <row r="74" spans="1:10" s="2300" customFormat="1">
      <c r="A74" s="2299"/>
      <c r="B74" s="2296"/>
      <c r="C74" s="2296"/>
      <c r="D74" s="2296"/>
      <c r="E74" s="2296"/>
      <c r="F74" s="2296"/>
      <c r="G74" s="2296"/>
      <c r="H74" s="2301"/>
      <c r="J74" s="2302"/>
    </row>
    <row r="75" spans="1:10" s="2300" customFormat="1">
      <c r="A75" s="2299"/>
      <c r="B75" s="2296"/>
      <c r="C75" s="2296"/>
      <c r="D75" s="2296"/>
      <c r="E75" s="2296"/>
      <c r="F75" s="2296"/>
      <c r="G75" s="2296"/>
      <c r="H75" s="2301"/>
      <c r="J75" s="2302"/>
    </row>
    <row r="76" spans="1:10" s="2300" customFormat="1">
      <c r="A76" s="2299"/>
      <c r="B76" s="2296"/>
      <c r="C76" s="2296"/>
      <c r="D76" s="2296"/>
      <c r="E76" s="2296"/>
      <c r="F76" s="2296"/>
      <c r="G76" s="2296"/>
      <c r="H76" s="2301"/>
      <c r="J76" s="2302"/>
    </row>
    <row r="77" spans="1:10" s="2300" customFormat="1">
      <c r="A77" s="2299"/>
      <c r="B77" s="2296"/>
      <c r="C77" s="2296"/>
      <c r="D77" s="2296"/>
      <c r="E77" s="2296"/>
      <c r="F77" s="2296"/>
      <c r="G77" s="2296"/>
      <c r="H77" s="2301"/>
      <c r="J77" s="2302"/>
    </row>
    <row r="78" spans="1:10" s="2300" customFormat="1">
      <c r="A78" s="2299"/>
      <c r="B78" s="2296"/>
      <c r="C78" s="2296"/>
      <c r="D78" s="2296"/>
      <c r="E78" s="2296"/>
      <c r="F78" s="2296"/>
      <c r="G78" s="2296"/>
      <c r="H78" s="2301"/>
      <c r="J78" s="2302"/>
    </row>
    <row r="79" spans="1:10" s="2300" customFormat="1">
      <c r="A79" s="2299"/>
      <c r="B79" s="2296"/>
      <c r="C79" s="2296"/>
      <c r="D79" s="2296"/>
      <c r="E79" s="2296"/>
      <c r="F79" s="2296"/>
      <c r="G79" s="2296"/>
      <c r="H79" s="2301"/>
      <c r="J79" s="2302"/>
    </row>
    <row r="80" spans="1:10" s="2300" customFormat="1">
      <c r="A80" s="2299"/>
      <c r="B80" s="2296"/>
      <c r="C80" s="2296"/>
      <c r="D80" s="2296"/>
      <c r="E80" s="2296"/>
      <c r="F80" s="2296"/>
      <c r="G80" s="2296"/>
      <c r="H80" s="2301"/>
      <c r="J80" s="2302"/>
    </row>
    <row r="81" spans="1:10" s="2300" customFormat="1">
      <c r="A81" s="2299"/>
      <c r="B81" s="2296"/>
      <c r="C81" s="2296"/>
      <c r="D81" s="2296"/>
      <c r="E81" s="2296"/>
      <c r="F81" s="2296"/>
      <c r="G81" s="2296"/>
      <c r="H81" s="2301"/>
      <c r="J81" s="2302"/>
    </row>
    <row r="82" spans="1:10" s="2300" customFormat="1">
      <c r="A82" s="2299"/>
      <c r="B82" s="2296"/>
      <c r="C82" s="2296"/>
      <c r="D82" s="2296"/>
      <c r="E82" s="2296"/>
      <c r="F82" s="2296"/>
      <c r="G82" s="2296"/>
      <c r="H82" s="2301"/>
      <c r="J82" s="2302"/>
    </row>
    <row r="83" spans="1:10" s="2300" customFormat="1">
      <c r="A83" s="2299"/>
      <c r="B83" s="2296"/>
      <c r="C83" s="2296"/>
      <c r="D83" s="2296"/>
      <c r="E83" s="2296"/>
      <c r="F83" s="2296"/>
      <c r="G83" s="2296"/>
      <c r="H83" s="2301"/>
      <c r="J83" s="2302"/>
    </row>
    <row r="84" spans="1:10" s="2300" customFormat="1">
      <c r="A84" s="2299"/>
      <c r="B84" s="2296"/>
      <c r="C84" s="2296"/>
      <c r="D84" s="2296"/>
      <c r="E84" s="2296"/>
      <c r="F84" s="2296"/>
      <c r="G84" s="2296"/>
      <c r="H84" s="2301"/>
      <c r="J84" s="2302"/>
    </row>
    <row r="85" spans="1:10" s="2300" customFormat="1">
      <c r="A85" s="2299"/>
      <c r="B85" s="2296"/>
      <c r="C85" s="2296"/>
      <c r="D85" s="2296"/>
      <c r="E85" s="2296"/>
      <c r="F85" s="2296"/>
      <c r="G85" s="2296"/>
      <c r="H85" s="2301"/>
      <c r="J85" s="2302"/>
    </row>
    <row r="86" spans="1:10" s="2300" customFormat="1">
      <c r="A86" s="2299"/>
      <c r="B86" s="2296"/>
      <c r="C86" s="2296"/>
      <c r="D86" s="2296"/>
      <c r="E86" s="2296"/>
      <c r="F86" s="2296"/>
      <c r="G86" s="2296"/>
      <c r="H86" s="2301"/>
      <c r="J86" s="2302"/>
    </row>
    <row r="87" spans="1:10" s="2300" customFormat="1">
      <c r="A87" s="2299"/>
      <c r="B87" s="2296"/>
      <c r="C87" s="2296"/>
      <c r="D87" s="2296"/>
      <c r="E87" s="2296"/>
      <c r="F87" s="2296"/>
      <c r="G87" s="2296"/>
      <c r="H87" s="2301"/>
      <c r="J87" s="2302"/>
    </row>
    <row r="88" spans="1:10" s="2300" customFormat="1">
      <c r="A88" s="2299"/>
      <c r="B88" s="2296"/>
      <c r="C88" s="2296"/>
      <c r="D88" s="2296"/>
      <c r="E88" s="2296"/>
      <c r="F88" s="2296"/>
      <c r="G88" s="2296"/>
      <c r="H88" s="2301"/>
      <c r="J88" s="2302"/>
    </row>
    <row r="89" spans="1:10" s="2300" customFormat="1">
      <c r="A89" s="2299"/>
      <c r="B89" s="2296"/>
      <c r="C89" s="2296"/>
      <c r="D89" s="2296"/>
      <c r="E89" s="2296"/>
      <c r="F89" s="2296"/>
      <c r="G89" s="2296"/>
      <c r="H89" s="2301"/>
      <c r="J89" s="2302"/>
    </row>
    <row r="90" spans="1:10" s="2300" customFormat="1">
      <c r="A90" s="2299"/>
      <c r="B90" s="2296"/>
      <c r="C90" s="2296"/>
      <c r="D90" s="2296"/>
      <c r="E90" s="2296"/>
      <c r="F90" s="2296"/>
      <c r="G90" s="2296"/>
      <c r="H90" s="2301"/>
      <c r="J90" s="2302"/>
    </row>
    <row r="91" spans="1:10" s="2300" customFormat="1">
      <c r="A91" s="2299"/>
      <c r="B91" s="2296"/>
      <c r="C91" s="2296"/>
      <c r="D91" s="2296"/>
      <c r="E91" s="2296"/>
      <c r="F91" s="2296"/>
      <c r="G91" s="2296"/>
      <c r="H91" s="2301"/>
      <c r="J91" s="2302"/>
    </row>
    <row r="92" spans="1:10" s="2300" customFormat="1">
      <c r="A92" s="2299"/>
      <c r="B92" s="2296"/>
      <c r="C92" s="2296"/>
      <c r="D92" s="2296"/>
      <c r="E92" s="2296"/>
      <c r="F92" s="2296"/>
      <c r="G92" s="2296"/>
      <c r="H92" s="2301"/>
      <c r="J92" s="2302"/>
    </row>
    <row r="93" spans="1:10" s="2300" customFormat="1">
      <c r="A93" s="2299"/>
      <c r="B93" s="2296"/>
      <c r="C93" s="2296"/>
      <c r="D93" s="2296"/>
      <c r="E93" s="2296"/>
      <c r="F93" s="2296"/>
      <c r="G93" s="2296"/>
      <c r="H93" s="2301"/>
      <c r="J93" s="2302"/>
    </row>
    <row r="94" spans="1:10" s="2300" customFormat="1">
      <c r="A94" s="2299"/>
      <c r="B94" s="2296"/>
      <c r="C94" s="2296"/>
      <c r="D94" s="2296"/>
      <c r="E94" s="2296"/>
      <c r="F94" s="2296"/>
      <c r="G94" s="2296"/>
      <c r="H94" s="2301"/>
      <c r="J94" s="2302"/>
    </row>
    <row r="95" spans="1:10" s="2300" customFormat="1">
      <c r="A95" s="2299"/>
      <c r="B95" s="2296"/>
      <c r="C95" s="2296"/>
      <c r="D95" s="2296"/>
      <c r="E95" s="2296"/>
      <c r="F95" s="2296"/>
      <c r="G95" s="2296"/>
      <c r="H95" s="2301"/>
      <c r="J95" s="2302"/>
    </row>
    <row r="96" spans="1:10" s="2300" customFormat="1">
      <c r="A96" s="2299"/>
      <c r="B96" s="2296"/>
      <c r="C96" s="2296"/>
      <c r="D96" s="2296"/>
      <c r="E96" s="2296"/>
      <c r="F96" s="2296"/>
      <c r="G96" s="2296"/>
      <c r="H96" s="2301"/>
      <c r="J96" s="2302"/>
    </row>
    <row r="97" spans="1:10" s="2300" customFormat="1">
      <c r="A97" s="2299"/>
      <c r="B97" s="2296"/>
      <c r="C97" s="2296"/>
      <c r="D97" s="2296"/>
      <c r="E97" s="2296"/>
      <c r="F97" s="2296"/>
      <c r="G97" s="2296"/>
      <c r="H97" s="2301"/>
      <c r="J97" s="2302"/>
    </row>
    <row r="98" spans="1:10" s="2300" customFormat="1">
      <c r="A98" s="2299"/>
      <c r="B98" s="2296"/>
      <c r="C98" s="2296"/>
      <c r="D98" s="2296"/>
      <c r="E98" s="2296"/>
      <c r="F98" s="2296"/>
      <c r="G98" s="2296"/>
      <c r="H98" s="2301"/>
      <c r="J98" s="2302"/>
    </row>
    <row r="99" spans="1:10" s="2300" customFormat="1">
      <c r="A99" s="2299"/>
      <c r="B99" s="2296"/>
      <c r="C99" s="2296"/>
      <c r="D99" s="2296"/>
      <c r="E99" s="2296"/>
      <c r="F99" s="2296"/>
      <c r="G99" s="2296"/>
      <c r="H99" s="2301"/>
      <c r="J99" s="2302"/>
    </row>
    <row r="100" spans="1:10" s="2300" customFormat="1">
      <c r="A100" s="2299"/>
      <c r="B100" s="2296"/>
      <c r="C100" s="2296"/>
      <c r="D100" s="2296"/>
      <c r="E100" s="2296"/>
      <c r="F100" s="2296"/>
      <c r="G100" s="2296"/>
      <c r="H100" s="2301"/>
      <c r="J100" s="2302"/>
    </row>
    <row r="101" spans="1:10" s="2300" customFormat="1">
      <c r="A101" s="2299"/>
      <c r="B101" s="2296"/>
      <c r="C101" s="2296"/>
      <c r="D101" s="2296"/>
      <c r="E101" s="2296"/>
      <c r="F101" s="2296"/>
      <c r="G101" s="2296"/>
      <c r="H101" s="2301"/>
      <c r="J101" s="2302"/>
    </row>
    <row r="102" spans="1:10" s="2300" customFormat="1">
      <c r="A102" s="2299"/>
      <c r="B102" s="2296"/>
      <c r="C102" s="2296"/>
      <c r="D102" s="2296"/>
      <c r="E102" s="2296"/>
      <c r="F102" s="2296"/>
      <c r="G102" s="2296"/>
      <c r="H102" s="2301"/>
      <c r="J102" s="2302"/>
    </row>
    <row r="103" spans="1:10" s="2300" customFormat="1">
      <c r="A103" s="2299"/>
      <c r="B103" s="2296"/>
      <c r="C103" s="2296"/>
      <c r="D103" s="2296"/>
      <c r="E103" s="2296"/>
      <c r="F103" s="2296"/>
      <c r="G103" s="2296"/>
      <c r="H103" s="2301"/>
      <c r="J103" s="2302"/>
    </row>
    <row r="104" spans="1:10" s="2300" customFormat="1">
      <c r="A104" s="2299"/>
      <c r="B104" s="2296"/>
      <c r="C104" s="2296"/>
      <c r="D104" s="2296"/>
      <c r="E104" s="2296"/>
      <c r="F104" s="2296"/>
      <c r="G104" s="2296"/>
      <c r="H104" s="2301"/>
      <c r="J104" s="2302"/>
    </row>
    <row r="105" spans="1:10" s="2300" customFormat="1">
      <c r="A105" s="2299"/>
      <c r="B105" s="2296"/>
      <c r="C105" s="2296"/>
      <c r="D105" s="2296"/>
      <c r="E105" s="2296"/>
      <c r="F105" s="2296"/>
      <c r="G105" s="2296"/>
      <c r="H105" s="2301"/>
      <c r="J105" s="2302"/>
    </row>
    <row r="106" spans="1:10" s="2300" customFormat="1">
      <c r="A106" s="2299"/>
      <c r="B106" s="2296"/>
      <c r="C106" s="2296"/>
      <c r="D106" s="2296"/>
      <c r="E106" s="2296"/>
      <c r="F106" s="2296"/>
      <c r="G106" s="2296"/>
      <c r="H106" s="2301"/>
      <c r="J106" s="2302"/>
    </row>
    <row r="107" spans="1:10" s="2300" customFormat="1">
      <c r="A107" s="2299"/>
      <c r="B107" s="2296"/>
      <c r="C107" s="2296"/>
      <c r="D107" s="2296"/>
      <c r="E107" s="2296"/>
      <c r="F107" s="2296"/>
      <c r="G107" s="2296"/>
      <c r="H107" s="2301"/>
      <c r="J107" s="2302"/>
    </row>
    <row r="108" spans="1:10" s="2300" customFormat="1">
      <c r="A108" s="2299"/>
      <c r="B108" s="2296"/>
      <c r="C108" s="2296"/>
      <c r="D108" s="2296"/>
      <c r="E108" s="2296"/>
      <c r="F108" s="2296"/>
      <c r="G108" s="2296"/>
      <c r="H108" s="2301"/>
      <c r="J108" s="2302"/>
    </row>
    <row r="109" spans="1:10" s="2300" customFormat="1">
      <c r="A109" s="2299"/>
      <c r="B109" s="2296"/>
      <c r="C109" s="2296"/>
      <c r="D109" s="2296"/>
      <c r="E109" s="2296"/>
      <c r="F109" s="2296"/>
      <c r="G109" s="2296"/>
      <c r="H109" s="2301"/>
      <c r="J109" s="2302"/>
    </row>
    <row r="110" spans="1:10" s="2300" customFormat="1">
      <c r="A110" s="2299"/>
      <c r="B110" s="2296"/>
      <c r="C110" s="2296"/>
      <c r="D110" s="2296"/>
      <c r="E110" s="2296"/>
      <c r="F110" s="2296"/>
      <c r="G110" s="2296"/>
      <c r="H110" s="2301"/>
      <c r="J110" s="2302"/>
    </row>
    <row r="111" spans="1:10" s="2300" customFormat="1">
      <c r="A111" s="2299"/>
      <c r="B111" s="2296"/>
      <c r="C111" s="2296"/>
      <c r="D111" s="2296"/>
      <c r="E111" s="2296"/>
      <c r="F111" s="2296"/>
      <c r="G111" s="2296"/>
      <c r="H111" s="2301"/>
      <c r="J111" s="2302"/>
    </row>
    <row r="112" spans="1:10" s="2300" customFormat="1">
      <c r="A112" s="2299"/>
      <c r="B112" s="2296"/>
      <c r="C112" s="2296"/>
      <c r="D112" s="2296"/>
      <c r="E112" s="2296"/>
      <c r="F112" s="2296"/>
      <c r="G112" s="2296"/>
      <c r="H112" s="2301"/>
      <c r="J112" s="2302"/>
    </row>
    <row r="113" spans="1:10" s="2300" customFormat="1">
      <c r="A113" s="2299"/>
      <c r="B113" s="2296"/>
      <c r="C113" s="2296"/>
      <c r="D113" s="2296"/>
      <c r="E113" s="2296"/>
      <c r="F113" s="2296"/>
      <c r="G113" s="2296"/>
      <c r="H113" s="2301"/>
      <c r="J113" s="2302"/>
    </row>
    <row r="114" spans="1:10" s="2300" customFormat="1">
      <c r="A114" s="2299"/>
      <c r="B114" s="2296"/>
      <c r="C114" s="2296"/>
      <c r="D114" s="2296"/>
      <c r="E114" s="2296"/>
      <c r="F114" s="2296"/>
      <c r="G114" s="2296"/>
      <c r="H114" s="2301"/>
      <c r="J114" s="2302"/>
    </row>
    <row r="115" spans="1:10" s="2300" customFormat="1">
      <c r="A115" s="2299"/>
      <c r="B115" s="2296"/>
      <c r="C115" s="2296"/>
      <c r="D115" s="2296"/>
      <c r="E115" s="2296"/>
      <c r="F115" s="2296"/>
      <c r="G115" s="2296"/>
      <c r="H115" s="2301"/>
      <c r="J115" s="2302"/>
    </row>
    <row r="116" spans="1:10" s="2300" customFormat="1">
      <c r="A116" s="2299"/>
      <c r="B116" s="2296"/>
      <c r="C116" s="2296"/>
      <c r="D116" s="2296"/>
      <c r="E116" s="2296"/>
      <c r="F116" s="2296"/>
      <c r="G116" s="2296"/>
      <c r="H116" s="2301"/>
      <c r="J116" s="2302"/>
    </row>
    <row r="117" spans="1:10" s="2300" customFormat="1">
      <c r="A117" s="2299"/>
      <c r="B117" s="2296"/>
      <c r="C117" s="2296"/>
      <c r="D117" s="2296"/>
      <c r="E117" s="2296"/>
      <c r="F117" s="2296"/>
      <c r="G117" s="2296"/>
      <c r="H117" s="2301"/>
      <c r="J117" s="2302"/>
    </row>
    <row r="118" spans="1:10" s="2300" customFormat="1">
      <c r="A118" s="2299"/>
      <c r="B118" s="2296"/>
      <c r="C118" s="2296"/>
      <c r="D118" s="2296"/>
      <c r="E118" s="2296"/>
      <c r="F118" s="2296"/>
      <c r="G118" s="2296"/>
      <c r="H118" s="2301"/>
      <c r="J118" s="2302"/>
    </row>
    <row r="119" spans="1:10" s="2300" customFormat="1">
      <c r="A119" s="2299"/>
      <c r="B119" s="2296"/>
      <c r="C119" s="2296"/>
      <c r="D119" s="2296"/>
      <c r="E119" s="2296"/>
      <c r="F119" s="2296"/>
      <c r="G119" s="2296"/>
      <c r="H119" s="2301"/>
      <c r="J119" s="2302"/>
    </row>
    <row r="120" spans="1:10" s="2300" customFormat="1">
      <c r="A120" s="2299"/>
      <c r="B120" s="2296"/>
      <c r="C120" s="2296"/>
      <c r="D120" s="2296"/>
      <c r="E120" s="2296"/>
      <c r="F120" s="2296"/>
      <c r="G120" s="2296"/>
      <c r="H120" s="2301"/>
      <c r="J120" s="2302"/>
    </row>
    <row r="121" spans="1:10" s="2300" customFormat="1">
      <c r="A121" s="2299"/>
      <c r="B121" s="2296"/>
      <c r="C121" s="2296"/>
      <c r="D121" s="2296"/>
      <c r="E121" s="2296"/>
      <c r="F121" s="2296"/>
      <c r="G121" s="2296"/>
      <c r="H121" s="2301"/>
      <c r="J121" s="2302"/>
    </row>
    <row r="122" spans="1:10" s="2300" customFormat="1">
      <c r="A122" s="2299"/>
      <c r="B122" s="2296"/>
      <c r="C122" s="2296"/>
      <c r="D122" s="2296"/>
      <c r="E122" s="2296"/>
      <c r="F122" s="2296"/>
      <c r="G122" s="2296"/>
      <c r="H122" s="2301"/>
      <c r="J122" s="2302"/>
    </row>
    <row r="123" spans="1:10" s="2300" customFormat="1">
      <c r="A123" s="2299"/>
      <c r="B123" s="2296"/>
      <c r="C123" s="2296"/>
      <c r="D123" s="2296"/>
      <c r="E123" s="2296"/>
      <c r="F123" s="2296"/>
      <c r="G123" s="2296"/>
      <c r="H123" s="2301"/>
      <c r="J123" s="2302"/>
    </row>
    <row r="124" spans="1:10" s="2300" customFormat="1">
      <c r="A124" s="2299"/>
      <c r="B124" s="2296"/>
      <c r="C124" s="2296"/>
      <c r="D124" s="2296"/>
      <c r="E124" s="2296"/>
      <c r="F124" s="2296"/>
      <c r="G124" s="2296"/>
      <c r="H124" s="2301"/>
      <c r="J124" s="2302"/>
    </row>
    <row r="125" spans="1:10" s="2300" customFormat="1">
      <c r="A125" s="2299"/>
      <c r="B125" s="2296"/>
      <c r="C125" s="2296"/>
      <c r="D125" s="2296"/>
      <c r="E125" s="2296"/>
      <c r="F125" s="2296"/>
      <c r="G125" s="2296"/>
      <c r="H125" s="2301"/>
      <c r="J125" s="2302"/>
    </row>
    <row r="126" spans="1:10" s="2300" customFormat="1">
      <c r="A126" s="2299"/>
      <c r="B126" s="2296"/>
      <c r="C126" s="2296"/>
      <c r="D126" s="2296"/>
      <c r="E126" s="2296"/>
      <c r="F126" s="2296"/>
      <c r="G126" s="2296"/>
      <c r="H126" s="2301"/>
      <c r="J126" s="2302"/>
    </row>
    <row r="127" spans="1:10" s="2300" customFormat="1">
      <c r="A127" s="2299"/>
      <c r="B127" s="2296"/>
      <c r="C127" s="2296"/>
      <c r="D127" s="2296"/>
      <c r="E127" s="2296"/>
      <c r="F127" s="2296"/>
      <c r="G127" s="2296"/>
      <c r="H127" s="2301"/>
      <c r="J127" s="2302"/>
    </row>
    <row r="128" spans="1:10" s="2300" customFormat="1">
      <c r="A128" s="2299"/>
      <c r="B128" s="2296"/>
      <c r="C128" s="2296"/>
      <c r="D128" s="2296"/>
      <c r="E128" s="2296"/>
      <c r="F128" s="2296"/>
      <c r="G128" s="2296"/>
      <c r="H128" s="2301"/>
      <c r="J128" s="2302"/>
    </row>
    <row r="129" spans="1:10" s="2300" customFormat="1">
      <c r="A129" s="2299"/>
      <c r="B129" s="2296"/>
      <c r="C129" s="2296"/>
      <c r="D129" s="2296"/>
      <c r="E129" s="2296"/>
      <c r="F129" s="2296"/>
      <c r="G129" s="2296"/>
      <c r="H129" s="2301"/>
      <c r="J129" s="2302"/>
    </row>
    <row r="130" spans="1:10" s="2300" customFormat="1">
      <c r="A130" s="2299"/>
      <c r="B130" s="2296"/>
      <c r="C130" s="2296"/>
      <c r="D130" s="2296"/>
      <c r="E130" s="2296"/>
      <c r="F130" s="2296"/>
      <c r="G130" s="2296"/>
      <c r="H130" s="2301"/>
      <c r="J130" s="2302"/>
    </row>
    <row r="131" spans="1:10" s="2300" customFormat="1">
      <c r="A131" s="2299"/>
      <c r="B131" s="2296"/>
      <c r="C131" s="2296"/>
      <c r="D131" s="2296"/>
      <c r="E131" s="2296"/>
      <c r="F131" s="2296"/>
      <c r="G131" s="2296"/>
      <c r="H131" s="2301"/>
      <c r="J131" s="2302"/>
    </row>
    <row r="132" spans="1:10" s="2300" customFormat="1">
      <c r="A132" s="2299"/>
      <c r="B132" s="2296"/>
      <c r="C132" s="2296"/>
      <c r="D132" s="2296"/>
      <c r="E132" s="2296"/>
      <c r="F132" s="2296"/>
      <c r="G132" s="2296"/>
      <c r="H132" s="2301"/>
      <c r="J132" s="2302"/>
    </row>
    <row r="133" spans="1:10" s="2300" customFormat="1">
      <c r="A133" s="2299"/>
      <c r="B133" s="2296"/>
      <c r="C133" s="2296"/>
      <c r="D133" s="2296"/>
      <c r="E133" s="2296"/>
      <c r="F133" s="2296"/>
      <c r="G133" s="2296"/>
      <c r="H133" s="2301"/>
      <c r="J133" s="2302"/>
    </row>
    <row r="134" spans="1:10" s="2300" customFormat="1">
      <c r="A134" s="2299"/>
      <c r="B134" s="2296"/>
      <c r="C134" s="2296"/>
      <c r="D134" s="2296"/>
      <c r="E134" s="2296"/>
      <c r="F134" s="2296"/>
      <c r="G134" s="2296"/>
      <c r="H134" s="2301"/>
      <c r="J134" s="2302"/>
    </row>
    <row r="135" spans="1:10" s="2300" customFormat="1">
      <c r="A135" s="2299"/>
      <c r="B135" s="2296"/>
      <c r="C135" s="2296"/>
      <c r="D135" s="2296"/>
      <c r="E135" s="2296"/>
      <c r="F135" s="2296"/>
      <c r="G135" s="2296"/>
      <c r="H135" s="2301"/>
      <c r="J135" s="2302"/>
    </row>
    <row r="136" spans="1:10" s="2300" customFormat="1">
      <c r="A136" s="2299"/>
      <c r="B136" s="2296"/>
      <c r="C136" s="2296"/>
      <c r="D136" s="2296"/>
      <c r="E136" s="2296"/>
      <c r="F136" s="2296"/>
      <c r="G136" s="2296"/>
      <c r="H136" s="2301"/>
      <c r="J136" s="2302"/>
    </row>
    <row r="137" spans="1:10" s="2300" customFormat="1">
      <c r="A137" s="2299"/>
      <c r="B137" s="2296"/>
      <c r="C137" s="2296"/>
      <c r="D137" s="2296"/>
      <c r="E137" s="2296"/>
      <c r="F137" s="2296"/>
      <c r="G137" s="2296"/>
      <c r="H137" s="2301"/>
      <c r="J137" s="2302"/>
    </row>
    <row r="138" spans="1:10" s="2300" customFormat="1">
      <c r="A138" s="2299"/>
      <c r="B138" s="2296"/>
      <c r="C138" s="2296"/>
      <c r="D138" s="2296"/>
      <c r="E138" s="2296"/>
      <c r="F138" s="2296"/>
      <c r="G138" s="2296"/>
      <c r="H138" s="2301"/>
      <c r="J138" s="2302"/>
    </row>
    <row r="139" spans="1:10" s="2300" customFormat="1">
      <c r="A139" s="2299"/>
      <c r="B139" s="2296"/>
      <c r="C139" s="2296"/>
      <c r="D139" s="2296"/>
      <c r="E139" s="2296"/>
      <c r="F139" s="2296"/>
      <c r="G139" s="2296"/>
      <c r="H139" s="2301"/>
      <c r="J139" s="2302"/>
    </row>
    <row r="140" spans="1:10" s="2300" customFormat="1">
      <c r="A140" s="2299"/>
      <c r="B140" s="2296"/>
      <c r="C140" s="2296"/>
      <c r="D140" s="2296"/>
      <c r="E140" s="2296"/>
      <c r="F140" s="2296"/>
      <c r="G140" s="2296"/>
      <c r="H140" s="2301"/>
      <c r="J140" s="2302"/>
    </row>
    <row r="141" spans="1:10" s="2300" customFormat="1">
      <c r="A141" s="2299"/>
      <c r="B141" s="2296"/>
      <c r="C141" s="2296"/>
      <c r="D141" s="2296"/>
      <c r="E141" s="2296"/>
      <c r="F141" s="2296"/>
      <c r="G141" s="2296"/>
      <c r="H141" s="2301"/>
      <c r="J141" s="2302"/>
    </row>
    <row r="142" spans="1:10" s="2300" customFormat="1">
      <c r="A142" s="2299"/>
      <c r="B142" s="2296"/>
      <c r="C142" s="2296"/>
      <c r="D142" s="2296"/>
      <c r="E142" s="2296"/>
      <c r="F142" s="2296"/>
      <c r="G142" s="2296"/>
      <c r="H142" s="2301"/>
      <c r="J142" s="2302"/>
    </row>
    <row r="143" spans="1:10" s="2300" customFormat="1">
      <c r="A143" s="2299"/>
      <c r="B143" s="2296"/>
      <c r="C143" s="2296"/>
      <c r="D143" s="2296"/>
      <c r="E143" s="2296"/>
      <c r="F143" s="2296"/>
      <c r="G143" s="2296"/>
      <c r="H143" s="2301"/>
      <c r="J143" s="2302"/>
    </row>
    <row r="144" spans="1:10" s="2300" customFormat="1">
      <c r="A144" s="2299"/>
      <c r="B144" s="2296"/>
      <c r="C144" s="2296"/>
      <c r="D144" s="2296"/>
      <c r="E144" s="2296"/>
      <c r="F144" s="2296"/>
      <c r="G144" s="2296"/>
      <c r="H144" s="2301"/>
      <c r="J144" s="2302"/>
    </row>
    <row r="145" spans="1:10" s="2300" customFormat="1">
      <c r="A145" s="2299"/>
      <c r="B145" s="2296"/>
      <c r="C145" s="2296"/>
      <c r="D145" s="2296"/>
      <c r="E145" s="2296"/>
      <c r="F145" s="2296"/>
      <c r="G145" s="2296"/>
      <c r="H145" s="2301"/>
      <c r="J145" s="2302"/>
    </row>
    <row r="146" spans="1:10" s="2300" customFormat="1">
      <c r="A146" s="2299"/>
      <c r="B146" s="2296"/>
      <c r="C146" s="2296"/>
      <c r="D146" s="2296"/>
      <c r="E146" s="2296"/>
      <c r="F146" s="2296"/>
      <c r="G146" s="2296"/>
      <c r="H146" s="2301"/>
      <c r="J146" s="2302"/>
    </row>
    <row r="147" spans="1:10" s="2300" customFormat="1">
      <c r="A147" s="2299"/>
      <c r="B147" s="2296"/>
      <c r="C147" s="2296"/>
      <c r="D147" s="2296"/>
      <c r="E147" s="2296"/>
      <c r="F147" s="2296"/>
      <c r="G147" s="2296"/>
      <c r="H147" s="2301"/>
      <c r="J147" s="2302"/>
    </row>
    <row r="148" spans="1:10" s="2300" customFormat="1">
      <c r="A148" s="2299"/>
      <c r="B148" s="2296"/>
      <c r="C148" s="2296"/>
      <c r="D148" s="2296"/>
      <c r="E148" s="2296"/>
      <c r="F148" s="2296"/>
      <c r="G148" s="2296"/>
      <c r="H148" s="2301"/>
      <c r="J148" s="2302"/>
    </row>
    <row r="149" spans="1:10" s="2300" customFormat="1">
      <c r="A149" s="2299"/>
      <c r="B149" s="2296"/>
      <c r="C149" s="2296"/>
      <c r="D149" s="2296"/>
      <c r="E149" s="2296"/>
      <c r="F149" s="2296"/>
      <c r="G149" s="2296"/>
      <c r="H149" s="2301"/>
      <c r="J149" s="2302"/>
    </row>
    <row r="150" spans="1:10" s="2300" customFormat="1">
      <c r="A150" s="2299"/>
      <c r="B150" s="2296"/>
      <c r="C150" s="2296"/>
      <c r="D150" s="2296"/>
      <c r="E150" s="2296"/>
      <c r="F150" s="2296"/>
      <c r="G150" s="2296"/>
      <c r="H150" s="2301"/>
      <c r="J150" s="2302"/>
    </row>
    <row r="151" spans="1:10" s="2300" customFormat="1">
      <c r="A151" s="2299"/>
      <c r="B151" s="2296"/>
      <c r="C151" s="2296"/>
      <c r="D151" s="2296"/>
      <c r="E151" s="2296"/>
      <c r="F151" s="2296"/>
      <c r="G151" s="2296"/>
      <c r="H151" s="2301"/>
      <c r="J151" s="2302"/>
    </row>
    <row r="152" spans="1:10" s="2300" customFormat="1">
      <c r="A152" s="2299"/>
      <c r="B152" s="2296"/>
      <c r="C152" s="2296"/>
      <c r="D152" s="2296"/>
      <c r="E152" s="2296"/>
      <c r="F152" s="2296"/>
      <c r="G152" s="2296"/>
      <c r="H152" s="2301"/>
      <c r="J152" s="2302"/>
    </row>
    <row r="153" spans="1:10" s="2300" customFormat="1">
      <c r="A153" s="2299"/>
      <c r="B153" s="2296"/>
      <c r="C153" s="2296"/>
      <c r="D153" s="2296"/>
      <c r="E153" s="2296"/>
      <c r="F153" s="2296"/>
      <c r="G153" s="2296"/>
      <c r="H153" s="2301"/>
      <c r="J153" s="2302"/>
    </row>
    <row r="154" spans="1:10" s="2300" customFormat="1">
      <c r="A154" s="2299"/>
      <c r="B154" s="2296"/>
      <c r="C154" s="2296"/>
      <c r="D154" s="2296"/>
      <c r="E154" s="2296"/>
      <c r="F154" s="2296"/>
      <c r="G154" s="2296"/>
      <c r="H154" s="2301"/>
      <c r="J154" s="2302"/>
    </row>
    <row r="155" spans="1:10" s="2300" customFormat="1">
      <c r="A155" s="2299"/>
      <c r="B155" s="2296"/>
      <c r="C155" s="2296"/>
      <c r="D155" s="2296"/>
      <c r="E155" s="2296"/>
      <c r="F155" s="2296"/>
      <c r="G155" s="2296"/>
      <c r="H155" s="2301"/>
      <c r="J155" s="2302"/>
    </row>
    <row r="156" spans="1:10" s="2300" customFormat="1">
      <c r="A156" s="2299"/>
      <c r="B156" s="2296"/>
      <c r="C156" s="2296"/>
      <c r="D156" s="2296"/>
      <c r="E156" s="2296"/>
      <c r="F156" s="2296"/>
      <c r="G156" s="2296"/>
      <c r="H156" s="2301"/>
      <c r="J156" s="2302"/>
    </row>
    <row r="157" spans="1:10" s="2300" customFormat="1">
      <c r="A157" s="2299"/>
      <c r="B157" s="2296"/>
      <c r="C157" s="2296"/>
      <c r="D157" s="2296"/>
      <c r="E157" s="2296"/>
      <c r="F157" s="2296"/>
      <c r="G157" s="2296"/>
      <c r="H157" s="2301"/>
      <c r="J157" s="2302"/>
    </row>
    <row r="158" spans="1:10" s="2300" customFormat="1">
      <c r="A158" s="2299"/>
      <c r="B158" s="2296"/>
      <c r="C158" s="2296"/>
      <c r="D158" s="2296"/>
      <c r="E158" s="2296"/>
      <c r="F158" s="2296"/>
      <c r="G158" s="2296"/>
      <c r="H158" s="2301"/>
      <c r="J158" s="2302"/>
    </row>
    <row r="159" spans="1:10" s="2300" customFormat="1">
      <c r="A159" s="2299"/>
      <c r="B159" s="2296"/>
      <c r="C159" s="2296"/>
      <c r="D159" s="2296"/>
      <c r="E159" s="2296"/>
      <c r="F159" s="2296"/>
      <c r="G159" s="2296"/>
      <c r="H159" s="2301"/>
      <c r="J159" s="2302"/>
    </row>
    <row r="160" spans="1:10" s="2300" customFormat="1">
      <c r="A160" s="2299"/>
      <c r="B160" s="2296"/>
      <c r="C160" s="2296"/>
      <c r="D160" s="2296"/>
      <c r="E160" s="2296"/>
      <c r="F160" s="2296"/>
      <c r="G160" s="2296"/>
      <c r="H160" s="2301"/>
      <c r="J160" s="2302"/>
    </row>
    <row r="161" spans="1:10" s="2300" customFormat="1">
      <c r="A161" s="2299"/>
      <c r="B161" s="2296"/>
      <c r="C161" s="2296"/>
      <c r="D161" s="2296"/>
      <c r="E161" s="2296"/>
      <c r="F161" s="2296"/>
      <c r="G161" s="2296"/>
      <c r="H161" s="2301"/>
      <c r="J161" s="2302"/>
    </row>
    <row r="162" spans="1:10" s="2300" customFormat="1">
      <c r="A162" s="2299"/>
      <c r="B162" s="2296"/>
      <c r="C162" s="2296"/>
      <c r="D162" s="2296"/>
      <c r="E162" s="2296"/>
      <c r="F162" s="2296"/>
      <c r="G162" s="2296"/>
      <c r="H162" s="2301"/>
      <c r="J162" s="2302"/>
    </row>
    <row r="163" spans="1:10" s="2300" customFormat="1">
      <c r="A163" s="2299"/>
      <c r="B163" s="2296"/>
      <c r="C163" s="2296"/>
      <c r="D163" s="2296"/>
      <c r="E163" s="2296"/>
      <c r="F163" s="2296"/>
      <c r="G163" s="2296"/>
      <c r="H163" s="2301"/>
      <c r="J163" s="2302"/>
    </row>
    <row r="164" spans="1:10" s="2300" customFormat="1">
      <c r="A164" s="2299"/>
      <c r="B164" s="2296"/>
      <c r="C164" s="2296"/>
      <c r="D164" s="2296"/>
      <c r="E164" s="2296"/>
      <c r="F164" s="2296"/>
      <c r="G164" s="2296"/>
      <c r="H164" s="2301"/>
      <c r="J164" s="2302"/>
    </row>
    <row r="165" spans="1:10" s="2300" customFormat="1">
      <c r="A165" s="2299"/>
      <c r="B165" s="2296"/>
      <c r="C165" s="2296"/>
      <c r="D165" s="2296"/>
      <c r="E165" s="2296"/>
      <c r="F165" s="2296"/>
      <c r="G165" s="2296"/>
      <c r="H165" s="2301"/>
      <c r="J165" s="2302"/>
    </row>
    <row r="166" spans="1:10" s="2300" customFormat="1">
      <c r="A166" s="2299"/>
      <c r="B166" s="2296"/>
      <c r="C166" s="2296"/>
      <c r="D166" s="2296"/>
      <c r="E166" s="2296"/>
      <c r="F166" s="2296"/>
      <c r="G166" s="2296"/>
      <c r="H166" s="2301"/>
      <c r="J166" s="2302"/>
    </row>
    <row r="167" spans="1:10" s="2300" customFormat="1">
      <c r="A167" s="2299"/>
      <c r="B167" s="2296"/>
      <c r="C167" s="2296"/>
      <c r="D167" s="2296"/>
      <c r="E167" s="2296"/>
      <c r="F167" s="2296"/>
      <c r="G167" s="2296"/>
      <c r="H167" s="2301"/>
      <c r="J167" s="2302"/>
    </row>
    <row r="168" spans="1:10" s="2300" customFormat="1">
      <c r="A168" s="2299"/>
      <c r="B168" s="2296"/>
      <c r="C168" s="2296"/>
      <c r="D168" s="2296"/>
      <c r="E168" s="2296"/>
      <c r="F168" s="2296"/>
      <c r="G168" s="2296"/>
      <c r="H168" s="2301"/>
      <c r="J168" s="2302"/>
    </row>
    <row r="169" spans="1:10" s="2300" customFormat="1">
      <c r="A169" s="2299"/>
      <c r="B169" s="2296"/>
      <c r="C169" s="2296"/>
      <c r="D169" s="2296"/>
      <c r="E169" s="2296"/>
      <c r="F169" s="2296"/>
      <c r="G169" s="2296"/>
      <c r="H169" s="2301"/>
      <c r="J169" s="2302"/>
    </row>
    <row r="170" spans="1:10" s="2300" customFormat="1">
      <c r="A170" s="2299"/>
      <c r="B170" s="2296"/>
      <c r="C170" s="2296"/>
      <c r="D170" s="2296"/>
      <c r="E170" s="2296"/>
      <c r="F170" s="2296"/>
      <c r="G170" s="2296"/>
      <c r="H170" s="2301"/>
      <c r="J170" s="2302"/>
    </row>
    <row r="171" spans="1:10" s="2300" customFormat="1">
      <c r="A171" s="2299"/>
      <c r="B171" s="2296"/>
      <c r="C171" s="2296"/>
      <c r="D171" s="2296"/>
      <c r="E171" s="2296"/>
      <c r="F171" s="2296"/>
      <c r="G171" s="2296"/>
      <c r="H171" s="2301"/>
      <c r="J171" s="2302"/>
    </row>
    <row r="172" spans="1:10" s="2300" customFormat="1">
      <c r="A172" s="2299"/>
      <c r="B172" s="2296"/>
      <c r="C172" s="2296"/>
      <c r="D172" s="2296"/>
      <c r="E172" s="2296"/>
      <c r="F172" s="2296"/>
      <c r="G172" s="2296"/>
      <c r="H172" s="2301"/>
      <c r="J172" s="2302"/>
    </row>
    <row r="173" spans="1:10" s="2300" customFormat="1">
      <c r="A173" s="2299"/>
      <c r="B173" s="2296"/>
      <c r="C173" s="2296"/>
      <c r="D173" s="2296"/>
      <c r="E173" s="2296"/>
      <c r="F173" s="2296"/>
      <c r="G173" s="2296"/>
      <c r="H173" s="2301"/>
      <c r="J173" s="2302"/>
    </row>
    <row r="174" spans="1:10" s="2300" customFormat="1">
      <c r="A174" s="2299"/>
      <c r="B174" s="2296"/>
      <c r="C174" s="2296"/>
      <c r="D174" s="2296"/>
      <c r="E174" s="2296"/>
      <c r="F174" s="2296"/>
      <c r="G174" s="2296"/>
      <c r="H174" s="2301"/>
      <c r="J174" s="2302"/>
    </row>
    <row r="175" spans="1:10" s="2300" customFormat="1">
      <c r="A175" s="2299"/>
      <c r="B175" s="2296"/>
      <c r="C175" s="2296"/>
      <c r="D175" s="2296"/>
      <c r="E175" s="2296"/>
      <c r="F175" s="2296"/>
      <c r="G175" s="2296"/>
      <c r="H175" s="2301"/>
      <c r="J175" s="2302"/>
    </row>
    <row r="176" spans="1:10" s="2300" customFormat="1">
      <c r="A176" s="2299"/>
      <c r="B176" s="2296"/>
      <c r="C176" s="2296"/>
      <c r="D176" s="2296"/>
      <c r="E176" s="2296"/>
      <c r="F176" s="2296"/>
      <c r="G176" s="2296"/>
      <c r="H176" s="2301"/>
      <c r="J176" s="2302"/>
    </row>
    <row r="177" spans="1:10" s="2300" customFormat="1">
      <c r="A177" s="2299"/>
      <c r="B177" s="2296"/>
      <c r="C177" s="2296"/>
      <c r="D177" s="2296"/>
      <c r="E177" s="2296"/>
      <c r="F177" s="2296"/>
      <c r="G177" s="2296"/>
      <c r="H177" s="2301"/>
      <c r="J177" s="2302"/>
    </row>
    <row r="178" spans="1:10" s="2300" customFormat="1">
      <c r="A178" s="2299"/>
      <c r="B178" s="2296"/>
      <c r="C178" s="2296"/>
      <c r="D178" s="2296"/>
      <c r="E178" s="2296"/>
      <c r="F178" s="2296"/>
      <c r="G178" s="2296"/>
      <c r="H178" s="2301"/>
      <c r="J178" s="2302"/>
    </row>
    <row r="179" spans="1:10" s="2300" customFormat="1">
      <c r="A179" s="2299"/>
      <c r="B179" s="2296"/>
      <c r="C179" s="2296"/>
      <c r="D179" s="2296"/>
      <c r="E179" s="2296"/>
      <c r="F179" s="2296"/>
      <c r="G179" s="2296"/>
      <c r="H179" s="2301"/>
      <c r="J179" s="2302"/>
    </row>
    <row r="180" spans="1:10" s="2300" customFormat="1">
      <c r="A180" s="2299"/>
      <c r="B180" s="2296"/>
      <c r="C180" s="2296"/>
      <c r="D180" s="2296"/>
      <c r="E180" s="2296"/>
      <c r="F180" s="2296"/>
      <c r="G180" s="2296"/>
      <c r="H180" s="2301"/>
      <c r="J180" s="2302"/>
    </row>
    <row r="181" spans="1:10" s="2300" customFormat="1">
      <c r="A181" s="2299"/>
      <c r="B181" s="2296"/>
      <c r="C181" s="2296"/>
      <c r="D181" s="2296"/>
      <c r="E181" s="2296"/>
      <c r="F181" s="2296"/>
      <c r="G181" s="2296"/>
      <c r="H181" s="2301"/>
      <c r="J181" s="2302"/>
    </row>
    <row r="182" spans="1:10" s="2300" customFormat="1">
      <c r="A182" s="2299"/>
      <c r="B182" s="2296"/>
      <c r="C182" s="2296"/>
      <c r="D182" s="2296"/>
      <c r="E182" s="2296"/>
      <c r="F182" s="2296"/>
      <c r="G182" s="2296"/>
      <c r="H182" s="2301"/>
      <c r="J182" s="2302"/>
    </row>
    <row r="183" spans="1:10" s="2300" customFormat="1">
      <c r="A183" s="2299"/>
      <c r="B183" s="2296"/>
      <c r="C183" s="2296"/>
      <c r="D183" s="2296"/>
      <c r="E183" s="2296"/>
      <c r="F183" s="2296"/>
      <c r="G183" s="2296"/>
      <c r="H183" s="2301"/>
      <c r="J183" s="2302"/>
    </row>
    <row r="184" spans="1:10" s="2300" customFormat="1">
      <c r="A184" s="2299"/>
      <c r="B184" s="2296"/>
      <c r="C184" s="2296"/>
      <c r="D184" s="2296"/>
      <c r="E184" s="2296"/>
      <c r="F184" s="2296"/>
      <c r="G184" s="2296"/>
      <c r="H184" s="2301"/>
      <c r="J184" s="2302"/>
    </row>
    <row r="185" spans="1:10" s="2300" customFormat="1">
      <c r="A185" s="2299"/>
      <c r="B185" s="2296"/>
      <c r="C185" s="2296"/>
      <c r="D185" s="2296"/>
      <c r="E185" s="2296"/>
      <c r="F185" s="2296"/>
      <c r="G185" s="2296"/>
      <c r="H185" s="2301"/>
      <c r="J185" s="2302"/>
    </row>
    <row r="186" spans="1:10" s="2300" customFormat="1">
      <c r="A186" s="2299"/>
      <c r="B186" s="2296"/>
      <c r="C186" s="2296"/>
      <c r="D186" s="2296"/>
      <c r="E186" s="2296"/>
      <c r="F186" s="2296"/>
      <c r="G186" s="2296"/>
      <c r="H186" s="2301"/>
      <c r="J186" s="2302"/>
    </row>
    <row r="187" spans="1:10" s="2300" customFormat="1">
      <c r="A187" s="2299"/>
      <c r="B187" s="2296"/>
      <c r="C187" s="2296"/>
      <c r="D187" s="2296"/>
      <c r="E187" s="2296"/>
      <c r="F187" s="2296"/>
      <c r="G187" s="2296"/>
      <c r="H187" s="2301"/>
      <c r="J187" s="2302"/>
    </row>
    <row r="188" spans="1:10" s="2300" customFormat="1">
      <c r="A188" s="2299"/>
      <c r="B188" s="2296"/>
      <c r="C188" s="2296"/>
      <c r="D188" s="2296"/>
      <c r="E188" s="2296"/>
      <c r="F188" s="2296"/>
      <c r="G188" s="2296"/>
      <c r="H188" s="2301"/>
      <c r="J188" s="2302"/>
    </row>
    <row r="189" spans="1:10" s="2300" customFormat="1">
      <c r="A189" s="2299"/>
      <c r="B189" s="2296"/>
      <c r="C189" s="2296"/>
      <c r="D189" s="2296"/>
      <c r="E189" s="2296"/>
      <c r="F189" s="2296"/>
      <c r="G189" s="2296"/>
      <c r="H189" s="2301"/>
      <c r="J189" s="2302"/>
    </row>
    <row r="190" spans="1:10" s="2300" customFormat="1">
      <c r="A190" s="2299"/>
      <c r="B190" s="2296"/>
      <c r="C190" s="2296"/>
      <c r="D190" s="2296"/>
      <c r="E190" s="2296"/>
      <c r="F190" s="2296"/>
      <c r="G190" s="2296"/>
      <c r="H190" s="2301"/>
      <c r="J190" s="2302"/>
    </row>
    <row r="191" spans="1:10" s="2300" customFormat="1">
      <c r="A191" s="2299"/>
      <c r="B191" s="2296"/>
      <c r="C191" s="2296"/>
      <c r="D191" s="2296"/>
      <c r="E191" s="2296"/>
      <c r="F191" s="2296"/>
      <c r="G191" s="2296"/>
      <c r="H191" s="2301"/>
      <c r="J191" s="2302"/>
    </row>
    <row r="192" spans="1:10" s="2300" customFormat="1">
      <c r="A192" s="2299"/>
      <c r="B192" s="2296"/>
      <c r="C192" s="2296"/>
      <c r="D192" s="2296"/>
      <c r="E192" s="2296"/>
      <c r="F192" s="2296"/>
      <c r="G192" s="2296"/>
      <c r="H192" s="2301"/>
      <c r="J192" s="2302"/>
    </row>
    <row r="193" spans="1:10" s="2300" customFormat="1">
      <c r="A193" s="2299"/>
      <c r="B193" s="2296"/>
      <c r="C193" s="2296"/>
      <c r="D193" s="2296"/>
      <c r="E193" s="2296"/>
      <c r="F193" s="2296"/>
      <c r="G193" s="2296"/>
      <c r="H193" s="2301"/>
      <c r="J193" s="2302"/>
    </row>
    <row r="194" spans="1:10" s="2300" customFormat="1">
      <c r="A194" s="2299"/>
      <c r="B194" s="2296"/>
      <c r="C194" s="2296"/>
      <c r="D194" s="2296"/>
      <c r="E194" s="2296"/>
      <c r="F194" s="2296"/>
      <c r="G194" s="2296"/>
      <c r="H194" s="2301"/>
      <c r="J194" s="2302"/>
    </row>
    <row r="195" spans="1:10" s="2300" customFormat="1">
      <c r="A195" s="2299"/>
      <c r="B195" s="2296"/>
      <c r="C195" s="2296"/>
      <c r="D195" s="2296"/>
      <c r="E195" s="2296"/>
      <c r="F195" s="2296"/>
      <c r="G195" s="2296"/>
      <c r="H195" s="2301"/>
      <c r="J195" s="2302"/>
    </row>
    <row r="196" spans="1:10" s="2300" customFormat="1">
      <c r="A196" s="2299"/>
      <c r="B196" s="2296"/>
      <c r="C196" s="2296"/>
      <c r="D196" s="2296"/>
      <c r="E196" s="2296"/>
      <c r="F196" s="2296"/>
      <c r="G196" s="2296"/>
      <c r="H196" s="2301"/>
      <c r="J196" s="2302"/>
    </row>
    <row r="197" spans="1:10" s="2300" customFormat="1">
      <c r="A197" s="2299"/>
      <c r="B197" s="2296"/>
      <c r="C197" s="2296"/>
      <c r="D197" s="2296"/>
      <c r="E197" s="2296"/>
      <c r="F197" s="2296"/>
      <c r="G197" s="2296"/>
      <c r="H197" s="2301"/>
      <c r="J197" s="2302"/>
    </row>
    <row r="198" spans="1:10" s="2300" customFormat="1">
      <c r="A198" s="2299"/>
      <c r="B198" s="2296"/>
      <c r="C198" s="2296"/>
      <c r="D198" s="2296"/>
      <c r="E198" s="2296"/>
      <c r="F198" s="2296"/>
      <c r="G198" s="2296"/>
      <c r="H198" s="2301"/>
      <c r="J198" s="2302"/>
    </row>
    <row r="199" spans="1:10" s="2300" customFormat="1">
      <c r="A199" s="2299"/>
      <c r="B199" s="2296"/>
      <c r="C199" s="2296"/>
      <c r="D199" s="2296"/>
      <c r="E199" s="2296"/>
      <c r="F199" s="2296"/>
      <c r="G199" s="2296"/>
      <c r="H199" s="2301"/>
      <c r="J199" s="2302"/>
    </row>
    <row r="200" spans="1:10" s="2300" customFormat="1">
      <c r="A200" s="2299"/>
      <c r="B200" s="2296"/>
      <c r="C200" s="2296"/>
      <c r="D200" s="2296"/>
      <c r="E200" s="2296"/>
      <c r="F200" s="2296"/>
      <c r="G200" s="2296"/>
      <c r="H200" s="2301"/>
      <c r="J200" s="2302"/>
    </row>
    <row r="201" spans="1:10" s="2300" customFormat="1">
      <c r="A201" s="2299"/>
      <c r="B201" s="2296"/>
      <c r="C201" s="2296"/>
      <c r="D201" s="2296"/>
      <c r="E201" s="2296"/>
      <c r="F201" s="2296"/>
      <c r="G201" s="2296"/>
      <c r="H201" s="2301"/>
      <c r="J201" s="2302"/>
    </row>
    <row r="202" spans="1:10" s="2300" customFormat="1">
      <c r="A202" s="2299"/>
      <c r="B202" s="2296"/>
      <c r="C202" s="2296"/>
      <c r="D202" s="2296"/>
      <c r="E202" s="2296"/>
      <c r="F202" s="2296"/>
      <c r="G202" s="2296"/>
      <c r="H202" s="2301"/>
      <c r="J202" s="2302"/>
    </row>
    <row r="203" spans="1:10" s="2300" customFormat="1">
      <c r="A203" s="2299"/>
      <c r="B203" s="2296"/>
      <c r="C203" s="2296"/>
      <c r="D203" s="2296"/>
      <c r="E203" s="2296"/>
      <c r="F203" s="2296"/>
      <c r="G203" s="2296"/>
      <c r="H203" s="2301"/>
      <c r="J203" s="2302"/>
    </row>
    <row r="204" spans="1:10" s="2300" customFormat="1">
      <c r="A204" s="2299"/>
      <c r="B204" s="2296"/>
      <c r="C204" s="2296"/>
      <c r="D204" s="2296"/>
      <c r="E204" s="2296"/>
      <c r="F204" s="2296"/>
      <c r="G204" s="2296"/>
      <c r="H204" s="2301"/>
      <c r="J204" s="2302"/>
    </row>
    <row r="205" spans="1:10" s="2300" customFormat="1">
      <c r="A205" s="2299"/>
      <c r="B205" s="2296"/>
      <c r="C205" s="2296"/>
      <c r="D205" s="2296"/>
      <c r="E205" s="2296"/>
      <c r="F205" s="2296"/>
      <c r="G205" s="2296"/>
      <c r="H205" s="2301"/>
      <c r="J205" s="2302"/>
    </row>
    <row r="206" spans="1:10" s="2300" customFormat="1">
      <c r="A206" s="2299"/>
      <c r="B206" s="2296"/>
      <c r="C206" s="2296"/>
      <c r="D206" s="2296"/>
      <c r="E206" s="2296"/>
      <c r="F206" s="2296"/>
      <c r="G206" s="2296"/>
      <c r="H206" s="2301"/>
      <c r="J206" s="2302"/>
    </row>
    <row r="207" spans="1:10" s="2300" customFormat="1">
      <c r="A207" s="2299"/>
      <c r="B207" s="2296"/>
      <c r="C207" s="2296"/>
      <c r="D207" s="2296"/>
      <c r="E207" s="2296"/>
      <c r="F207" s="2296"/>
      <c r="G207" s="2296"/>
      <c r="H207" s="2301"/>
      <c r="J207" s="2302"/>
    </row>
    <row r="208" spans="1:10" s="2300" customFormat="1">
      <c r="A208" s="2299"/>
      <c r="B208" s="2296"/>
      <c r="C208" s="2296"/>
      <c r="D208" s="2296"/>
      <c r="E208" s="2296"/>
      <c r="F208" s="2296"/>
      <c r="G208" s="2296"/>
      <c r="H208" s="2301"/>
      <c r="J208" s="2302"/>
    </row>
    <row r="209" spans="1:10" s="2300" customFormat="1">
      <c r="A209" s="2299"/>
      <c r="B209" s="2296"/>
      <c r="C209" s="2296"/>
      <c r="D209" s="2296"/>
      <c r="E209" s="2296"/>
      <c r="F209" s="2296"/>
      <c r="G209" s="2296"/>
      <c r="H209" s="2301"/>
      <c r="J209" s="2302"/>
    </row>
    <row r="210" spans="1:10" s="2300" customFormat="1">
      <c r="A210" s="2299"/>
      <c r="B210" s="2296"/>
      <c r="C210" s="2296"/>
      <c r="D210" s="2296"/>
      <c r="E210" s="2296"/>
      <c r="F210" s="2296"/>
      <c r="G210" s="2296"/>
      <c r="H210" s="2301"/>
      <c r="J210" s="2302"/>
    </row>
    <row r="211" spans="1:10" s="2300" customFormat="1">
      <c r="A211" s="2299"/>
      <c r="B211" s="2296"/>
      <c r="C211" s="2296"/>
      <c r="D211" s="2296"/>
      <c r="E211" s="2296"/>
      <c r="F211" s="2296"/>
      <c r="G211" s="2296"/>
      <c r="H211" s="2301"/>
      <c r="J211" s="2302"/>
    </row>
    <row r="212" spans="1:10" s="2300" customFormat="1">
      <c r="A212" s="2299"/>
      <c r="B212" s="2296"/>
      <c r="C212" s="2296"/>
      <c r="D212" s="2296"/>
      <c r="E212" s="2296"/>
      <c r="F212" s="2296"/>
      <c r="G212" s="2296"/>
      <c r="H212" s="2301"/>
      <c r="J212" s="2302"/>
    </row>
    <row r="213" spans="1:10" s="2300" customFormat="1">
      <c r="A213" s="2299"/>
      <c r="B213" s="2296"/>
      <c r="C213" s="2296"/>
      <c r="D213" s="2296"/>
      <c r="E213" s="2296"/>
      <c r="F213" s="2296"/>
      <c r="G213" s="2296"/>
      <c r="H213" s="2301"/>
      <c r="J213" s="2302"/>
    </row>
    <row r="214" spans="1:10" s="2300" customFormat="1">
      <c r="A214" s="2299"/>
      <c r="B214" s="2296"/>
      <c r="C214" s="2296"/>
      <c r="D214" s="2296"/>
      <c r="E214" s="2296"/>
      <c r="F214" s="2296"/>
      <c r="G214" s="2296"/>
      <c r="H214" s="2301"/>
      <c r="J214" s="2302"/>
    </row>
    <row r="215" spans="1:10" s="2300" customFormat="1">
      <c r="A215" s="2299"/>
      <c r="J215" s="2302"/>
    </row>
    <row r="216" spans="1:10" s="2300" customFormat="1">
      <c r="A216" s="2299"/>
      <c r="J216" s="2302"/>
    </row>
    <row r="217" spans="1:10" s="2300" customFormat="1">
      <c r="A217" s="2299"/>
      <c r="J217" s="2302"/>
    </row>
    <row r="218" spans="1:10" s="2300" customFormat="1">
      <c r="A218" s="2299"/>
      <c r="J218" s="2302"/>
    </row>
    <row r="219" spans="1:10" s="2300" customFormat="1">
      <c r="A219" s="2299"/>
      <c r="J219" s="2302"/>
    </row>
    <row r="220" spans="1:10" s="2300" customFormat="1">
      <c r="A220" s="2299"/>
      <c r="J220" s="2302"/>
    </row>
    <row r="221" spans="1:10" s="2300" customFormat="1">
      <c r="A221" s="2299"/>
      <c r="J221" s="2302"/>
    </row>
    <row r="222" spans="1:10" s="2300" customFormat="1">
      <c r="A222" s="2299"/>
      <c r="J222" s="2302"/>
    </row>
    <row r="223" spans="1:10" s="2300" customFormat="1">
      <c r="A223" s="2299"/>
      <c r="J223" s="2302"/>
    </row>
    <row r="224" spans="1:10" s="2300" customFormat="1">
      <c r="A224" s="2299"/>
      <c r="J224" s="2302"/>
    </row>
    <row r="225" spans="1:10" s="2300" customFormat="1">
      <c r="A225" s="2299"/>
      <c r="J225" s="2302"/>
    </row>
    <row r="226" spans="1:10" s="2300" customFormat="1">
      <c r="A226" s="2299"/>
      <c r="J226" s="2302"/>
    </row>
    <row r="227" spans="1:10" s="2300" customFormat="1">
      <c r="A227" s="2299"/>
      <c r="J227" s="2302"/>
    </row>
    <row r="228" spans="1:10" s="2300" customFormat="1">
      <c r="A228" s="2299"/>
      <c r="J228" s="2302"/>
    </row>
    <row r="229" spans="1:10" s="2300" customFormat="1">
      <c r="A229" s="2299"/>
      <c r="J229" s="2302"/>
    </row>
    <row r="230" spans="1:10" s="2300" customFormat="1">
      <c r="A230" s="2299"/>
      <c r="J230" s="2302"/>
    </row>
    <row r="231" spans="1:10" s="2300" customFormat="1">
      <c r="A231" s="2299"/>
      <c r="J231" s="2302"/>
    </row>
    <row r="232" spans="1:10" s="2300" customFormat="1">
      <c r="A232" s="2299"/>
      <c r="J232" s="2302"/>
    </row>
    <row r="233" spans="1:10" s="2300" customFormat="1">
      <c r="A233" s="2299"/>
      <c r="J233" s="2302"/>
    </row>
    <row r="234" spans="1:10" s="2300" customFormat="1">
      <c r="A234" s="2299"/>
      <c r="J234" s="2302"/>
    </row>
    <row r="235" spans="1:10" s="2300" customFormat="1">
      <c r="A235" s="2299"/>
      <c r="J235" s="2302"/>
    </row>
    <row r="236" spans="1:10" s="2300" customFormat="1">
      <c r="A236" s="2299"/>
      <c r="J236" s="2302"/>
    </row>
    <row r="237" spans="1:10" s="2300" customFormat="1">
      <c r="A237" s="2299"/>
      <c r="J237" s="2302"/>
    </row>
    <row r="238" spans="1:10" s="2300" customFormat="1">
      <c r="A238" s="2299"/>
      <c r="J238" s="2302"/>
    </row>
    <row r="239" spans="1:10" s="2300" customFormat="1">
      <c r="A239" s="2299"/>
      <c r="J239" s="2302"/>
    </row>
    <row r="240" spans="1:10" s="2300" customFormat="1">
      <c r="A240" s="2299"/>
      <c r="J240" s="2302"/>
    </row>
    <row r="241" spans="1:10" s="2300" customFormat="1">
      <c r="A241" s="2299"/>
      <c r="J241" s="2302"/>
    </row>
    <row r="242" spans="1:10" s="2300" customFormat="1">
      <c r="A242" s="2299"/>
      <c r="J242" s="2302"/>
    </row>
    <row r="243" spans="1:10" s="2300" customFormat="1">
      <c r="A243" s="2299"/>
      <c r="J243" s="2302"/>
    </row>
    <row r="244" spans="1:10" s="2300" customFormat="1">
      <c r="A244" s="2299"/>
      <c r="J244" s="2302"/>
    </row>
    <row r="245" spans="1:10" s="2300" customFormat="1">
      <c r="A245" s="2299"/>
      <c r="J245" s="2302"/>
    </row>
    <row r="246" spans="1:10" s="2300" customFormat="1">
      <c r="A246" s="2299"/>
      <c r="J246" s="2302"/>
    </row>
    <row r="247" spans="1:10" s="2300" customFormat="1">
      <c r="A247" s="2299"/>
      <c r="J247" s="2302"/>
    </row>
    <row r="248" spans="1:10" s="2300" customFormat="1">
      <c r="A248" s="2299"/>
      <c r="J248" s="2302"/>
    </row>
    <row r="249" spans="1:10" s="2300" customFormat="1">
      <c r="A249" s="2299"/>
      <c r="J249" s="2302"/>
    </row>
    <row r="250" spans="1:10" s="2300" customFormat="1">
      <c r="A250" s="2299"/>
      <c r="J250" s="2302"/>
    </row>
    <row r="251" spans="1:10" s="2300" customFormat="1">
      <c r="A251" s="2299"/>
      <c r="J251" s="2302"/>
    </row>
    <row r="252" spans="1:10" s="2300" customFormat="1">
      <c r="A252" s="2299"/>
      <c r="J252" s="2302"/>
    </row>
    <row r="253" spans="1:10" s="2300" customFormat="1">
      <c r="A253" s="2299"/>
      <c r="J253" s="2302"/>
    </row>
    <row r="254" spans="1:10" s="2300" customFormat="1">
      <c r="A254" s="2299"/>
      <c r="J254" s="2302"/>
    </row>
    <row r="255" spans="1:10" s="2300" customFormat="1">
      <c r="A255" s="2299"/>
      <c r="J255" s="2302"/>
    </row>
    <row r="256" spans="1:10" s="2300" customFormat="1">
      <c r="A256" s="2299"/>
      <c r="J256" s="2302"/>
    </row>
    <row r="257" spans="1:10" s="2300" customFormat="1">
      <c r="A257" s="2299"/>
      <c r="J257" s="2302"/>
    </row>
    <row r="258" spans="1:10" s="2300" customFormat="1">
      <c r="A258" s="2299"/>
      <c r="J258" s="2302"/>
    </row>
    <row r="259" spans="1:10" s="2300" customFormat="1">
      <c r="A259" s="2299"/>
      <c r="J259" s="2302"/>
    </row>
    <row r="260" spans="1:10" s="2300" customFormat="1">
      <c r="A260" s="2299"/>
      <c r="J260" s="2302"/>
    </row>
    <row r="261" spans="1:10" s="2300" customFormat="1">
      <c r="A261" s="2299"/>
      <c r="J261" s="2302"/>
    </row>
    <row r="262" spans="1:10" s="2300" customFormat="1">
      <c r="A262" s="2299"/>
      <c r="J262" s="2302"/>
    </row>
    <row r="263" spans="1:10" s="2300" customFormat="1">
      <c r="A263" s="2299"/>
      <c r="J263" s="2302"/>
    </row>
    <row r="264" spans="1:10" s="2300" customFormat="1">
      <c r="A264" s="2299"/>
      <c r="J264" s="2302"/>
    </row>
    <row r="265" spans="1:10" s="2300" customFormat="1">
      <c r="A265" s="2299"/>
      <c r="J265" s="2302"/>
    </row>
    <row r="266" spans="1:10" s="2300" customFormat="1">
      <c r="A266" s="2299"/>
      <c r="J266" s="2302"/>
    </row>
    <row r="267" spans="1:10" s="2300" customFormat="1">
      <c r="A267" s="2299"/>
      <c r="J267" s="2302"/>
    </row>
    <row r="268" spans="1:10" s="2300" customFormat="1">
      <c r="A268" s="2299"/>
      <c r="J268" s="2302"/>
    </row>
    <row r="269" spans="1:10" s="2300" customFormat="1">
      <c r="A269" s="2299"/>
      <c r="J269" s="2302"/>
    </row>
    <row r="270" spans="1:10" s="2300" customFormat="1">
      <c r="A270" s="2299"/>
      <c r="J270" s="2302"/>
    </row>
    <row r="271" spans="1:10" s="2300" customFormat="1">
      <c r="A271" s="2299"/>
      <c r="J271" s="2302"/>
    </row>
    <row r="272" spans="1:10" s="2300" customFormat="1">
      <c r="A272" s="2299"/>
      <c r="J272" s="2302"/>
    </row>
    <row r="273" spans="1:10" s="2300" customFormat="1">
      <c r="A273" s="2299"/>
      <c r="J273" s="2302"/>
    </row>
    <row r="274" spans="1:10" s="2300" customFormat="1">
      <c r="A274" s="2299"/>
      <c r="J274" s="2302"/>
    </row>
    <row r="275" spans="1:10" s="2300" customFormat="1">
      <c r="A275" s="2299"/>
      <c r="J275" s="2302"/>
    </row>
    <row r="276" spans="1:10" s="2300" customFormat="1">
      <c r="A276" s="2299"/>
      <c r="J276" s="2302"/>
    </row>
    <row r="277" spans="1:10" s="2300" customFormat="1">
      <c r="A277" s="2299"/>
      <c r="J277" s="2302"/>
    </row>
    <row r="278" spans="1:10" s="2300" customFormat="1">
      <c r="A278" s="2299"/>
      <c r="J278" s="2302"/>
    </row>
    <row r="279" spans="1:10" s="2300" customFormat="1">
      <c r="A279" s="2299"/>
      <c r="J279" s="2302"/>
    </row>
    <row r="280" spans="1:10" s="2300" customFormat="1">
      <c r="A280" s="2299"/>
      <c r="J280" s="2302"/>
    </row>
    <row r="281" spans="1:10" s="2300" customFormat="1">
      <c r="A281" s="2299"/>
      <c r="J281" s="2302"/>
    </row>
    <row r="282" spans="1:10" s="2300" customFormat="1">
      <c r="A282" s="2299"/>
      <c r="J282" s="2302"/>
    </row>
    <row r="283" spans="1:10" s="2300" customFormat="1">
      <c r="A283" s="2299"/>
      <c r="J283" s="2302"/>
    </row>
    <row r="284" spans="1:10" s="2300" customFormat="1">
      <c r="A284" s="2299"/>
      <c r="J284" s="2302"/>
    </row>
    <row r="285" spans="1:10" s="2300" customFormat="1">
      <c r="A285" s="2299"/>
      <c r="J285" s="2302"/>
    </row>
    <row r="286" spans="1:10" s="2300" customFormat="1">
      <c r="A286" s="2299"/>
      <c r="J286" s="2302"/>
    </row>
    <row r="287" spans="1:10" s="2300" customFormat="1">
      <c r="A287" s="2299"/>
      <c r="J287" s="2302"/>
    </row>
    <row r="288" spans="1:10" s="2300" customFormat="1">
      <c r="A288" s="2299"/>
      <c r="J288" s="2302"/>
    </row>
    <row r="289" spans="1:10" s="2300" customFormat="1">
      <c r="A289" s="2299"/>
      <c r="J289" s="2302"/>
    </row>
    <row r="290" spans="1:10" s="2300" customFormat="1">
      <c r="A290" s="2299"/>
      <c r="J290" s="2302"/>
    </row>
    <row r="291" spans="1:10" s="2300" customFormat="1">
      <c r="A291" s="2299"/>
      <c r="J291" s="2302"/>
    </row>
    <row r="292" spans="1:10" s="2300" customFormat="1">
      <c r="A292" s="2299"/>
      <c r="J292" s="2302"/>
    </row>
    <row r="293" spans="1:10" s="2300" customFormat="1">
      <c r="A293" s="2299"/>
      <c r="J293" s="2302"/>
    </row>
    <row r="294" spans="1:10" s="2300" customFormat="1">
      <c r="A294" s="2299"/>
      <c r="J294" s="2302"/>
    </row>
    <row r="295" spans="1:10" s="2300" customFormat="1">
      <c r="A295" s="2299"/>
      <c r="J295" s="2302"/>
    </row>
    <row r="296" spans="1:10" s="2300" customFormat="1">
      <c r="A296" s="2299"/>
      <c r="J296" s="2302"/>
    </row>
    <row r="297" spans="1:10" s="2300" customFormat="1">
      <c r="A297" s="2299"/>
      <c r="J297" s="2302"/>
    </row>
    <row r="298" spans="1:10" s="2300" customFormat="1">
      <c r="A298" s="2299"/>
      <c r="J298" s="2302"/>
    </row>
    <row r="299" spans="1:10" s="2300" customFormat="1">
      <c r="A299" s="2299"/>
      <c r="J299" s="2302"/>
    </row>
    <row r="300" spans="1:10" s="2300" customFormat="1">
      <c r="A300" s="2299"/>
      <c r="J300" s="2302"/>
    </row>
    <row r="301" spans="1:10" s="2300" customFormat="1">
      <c r="A301" s="2299"/>
      <c r="J301" s="2302"/>
    </row>
    <row r="302" spans="1:10" s="2300" customFormat="1">
      <c r="A302" s="2299"/>
      <c r="J302" s="2302"/>
    </row>
    <row r="303" spans="1:10" s="2300" customFormat="1">
      <c r="A303" s="2299"/>
      <c r="J303" s="2302"/>
    </row>
    <row r="304" spans="1:10" s="2300" customFormat="1">
      <c r="A304" s="2299"/>
      <c r="J304" s="2302"/>
    </row>
    <row r="305" spans="1:10" s="2300" customFormat="1">
      <c r="A305" s="2299"/>
      <c r="J305" s="2302"/>
    </row>
    <row r="306" spans="1:10" s="2300" customFormat="1">
      <c r="A306" s="2299"/>
      <c r="J306" s="2302"/>
    </row>
    <row r="307" spans="1:10" s="2300" customFormat="1">
      <c r="A307" s="2299"/>
      <c r="J307" s="2302"/>
    </row>
    <row r="308" spans="1:10" s="2300" customFormat="1">
      <c r="A308" s="2299"/>
      <c r="J308" s="2302"/>
    </row>
    <row r="309" spans="1:10" s="2300" customFormat="1">
      <c r="A309" s="2299"/>
      <c r="J309" s="2302"/>
    </row>
    <row r="310" spans="1:10" s="2300" customFormat="1">
      <c r="A310" s="2299"/>
      <c r="J310" s="2302"/>
    </row>
    <row r="311" spans="1:10" s="2300" customFormat="1">
      <c r="A311" s="2299"/>
      <c r="J311" s="2302"/>
    </row>
    <row r="312" spans="1:10" s="2300" customFormat="1">
      <c r="A312" s="2299"/>
      <c r="J312" s="2302"/>
    </row>
    <row r="313" spans="1:10" s="2300" customFormat="1">
      <c r="A313" s="2299"/>
      <c r="J313" s="2302"/>
    </row>
    <row r="314" spans="1:10" s="2300" customFormat="1">
      <c r="A314" s="2299"/>
      <c r="J314" s="2302"/>
    </row>
    <row r="315" spans="1:10" s="2300" customFormat="1">
      <c r="A315" s="2299"/>
      <c r="J315" s="2302"/>
    </row>
    <row r="316" spans="1:10" s="2300" customFormat="1">
      <c r="A316" s="2299"/>
      <c r="J316" s="2302"/>
    </row>
    <row r="317" spans="1:10" s="2300" customFormat="1">
      <c r="A317" s="2299"/>
      <c r="J317" s="2302"/>
    </row>
    <row r="318" spans="1:10" s="2300" customFormat="1">
      <c r="A318" s="2299"/>
      <c r="J318" s="2302"/>
    </row>
    <row r="319" spans="1:10" s="2300" customFormat="1">
      <c r="A319" s="2299"/>
      <c r="J319" s="2302"/>
    </row>
    <row r="320" spans="1:10" s="2300" customFormat="1">
      <c r="A320" s="2299"/>
      <c r="J320" s="2302"/>
    </row>
    <row r="321" spans="1:10" s="2300" customFormat="1">
      <c r="A321" s="2299"/>
      <c r="J321" s="2302"/>
    </row>
    <row r="322" spans="1:10" s="2300" customFormat="1">
      <c r="A322" s="2299"/>
      <c r="J322" s="2302"/>
    </row>
    <row r="323" spans="1:10" s="2300" customFormat="1">
      <c r="A323" s="2299"/>
      <c r="J323" s="2302"/>
    </row>
    <row r="324" spans="1:10" s="2300" customFormat="1">
      <c r="A324" s="2299"/>
      <c r="J324" s="2302"/>
    </row>
    <row r="325" spans="1:10" s="2300" customFormat="1">
      <c r="A325" s="2299"/>
      <c r="J325" s="2302"/>
    </row>
    <row r="326" spans="1:10" s="2300" customFormat="1">
      <c r="A326" s="2299"/>
      <c r="J326" s="2302"/>
    </row>
    <row r="327" spans="1:10" s="2300" customFormat="1">
      <c r="A327" s="2299"/>
      <c r="J327" s="2302"/>
    </row>
    <row r="328" spans="1:10" s="2300" customFormat="1">
      <c r="A328" s="2299"/>
      <c r="J328" s="2302"/>
    </row>
    <row r="329" spans="1:10" s="2300" customFormat="1">
      <c r="A329" s="2299"/>
      <c r="J329" s="2302"/>
    </row>
    <row r="330" spans="1:10" s="2300" customFormat="1">
      <c r="A330" s="2299"/>
      <c r="J330" s="2302"/>
    </row>
    <row r="331" spans="1:10" s="2300" customFormat="1">
      <c r="A331" s="2299"/>
      <c r="J331" s="2302"/>
    </row>
    <row r="332" spans="1:10" s="2300" customFormat="1">
      <c r="A332" s="2299"/>
      <c r="J332" s="2302"/>
    </row>
    <row r="333" spans="1:10" s="2300" customFormat="1">
      <c r="A333" s="2299"/>
      <c r="J333" s="2302"/>
    </row>
    <row r="334" spans="1:10" s="2300" customFormat="1">
      <c r="A334" s="2299"/>
      <c r="J334" s="2302"/>
    </row>
    <row r="335" spans="1:10" s="2300" customFormat="1">
      <c r="A335" s="2299"/>
      <c r="J335" s="2302"/>
    </row>
    <row r="336" spans="1:10" s="2300" customFormat="1">
      <c r="A336" s="2299"/>
      <c r="J336" s="2302"/>
    </row>
    <row r="337" spans="1:10" s="2300" customFormat="1">
      <c r="A337" s="2299"/>
      <c r="J337" s="2302"/>
    </row>
    <row r="338" spans="1:10" s="2300" customFormat="1">
      <c r="A338" s="2299"/>
      <c r="J338" s="2302"/>
    </row>
    <row r="339" spans="1:10" s="2300" customFormat="1">
      <c r="A339" s="2299"/>
      <c r="J339" s="2302"/>
    </row>
    <row r="340" spans="1:10" s="2300" customFormat="1">
      <c r="A340" s="2299"/>
      <c r="J340" s="2302"/>
    </row>
    <row r="341" spans="1:10" s="2300" customFormat="1">
      <c r="A341" s="2299"/>
      <c r="J341" s="2302"/>
    </row>
    <row r="342" spans="1:10" s="2300" customFormat="1">
      <c r="A342" s="2299"/>
      <c r="J342" s="2302"/>
    </row>
    <row r="343" spans="1:10" s="2300" customFormat="1">
      <c r="A343" s="2299"/>
      <c r="J343" s="2302"/>
    </row>
    <row r="344" spans="1:10" s="2300" customFormat="1">
      <c r="A344" s="2299"/>
      <c r="J344" s="2302"/>
    </row>
    <row r="345" spans="1:10" s="2300" customFormat="1">
      <c r="A345" s="2299"/>
      <c r="J345" s="2302"/>
    </row>
    <row r="346" spans="1:10" s="2300" customFormat="1">
      <c r="A346" s="2299"/>
      <c r="J346" s="2302"/>
    </row>
    <row r="347" spans="1:10" s="2300" customFormat="1">
      <c r="A347" s="2299"/>
      <c r="J347" s="2302"/>
    </row>
    <row r="348" spans="1:10" s="2300" customFormat="1">
      <c r="A348" s="2299"/>
      <c r="J348" s="2302"/>
    </row>
    <row r="349" spans="1:10" s="2300" customFormat="1">
      <c r="A349" s="2299"/>
      <c r="J349" s="2302"/>
    </row>
    <row r="350" spans="1:10" s="2300" customFormat="1">
      <c r="A350" s="2299"/>
      <c r="J350" s="2302"/>
    </row>
    <row r="351" spans="1:10" s="2300" customFormat="1">
      <c r="A351" s="2299"/>
      <c r="J351" s="2302"/>
    </row>
    <row r="352" spans="1:10" s="2300" customFormat="1">
      <c r="A352" s="2299"/>
      <c r="J352" s="2302"/>
    </row>
    <row r="353" spans="1:10" s="2300" customFormat="1">
      <c r="A353" s="2299"/>
      <c r="J353" s="2302"/>
    </row>
    <row r="354" spans="1:10" s="2300" customFormat="1">
      <c r="A354" s="2299"/>
      <c r="J354" s="2302"/>
    </row>
    <row r="355" spans="1:10" s="2300" customFormat="1">
      <c r="A355" s="2299"/>
      <c r="J355" s="2302"/>
    </row>
    <row r="356" spans="1:10" s="2300" customFormat="1">
      <c r="A356" s="2299"/>
      <c r="J356" s="2302"/>
    </row>
    <row r="357" spans="1:10" s="2300" customFormat="1">
      <c r="A357" s="2299"/>
      <c r="J357" s="2302"/>
    </row>
    <row r="358" spans="1:10" s="2300" customFormat="1">
      <c r="A358" s="2299"/>
      <c r="J358" s="2302"/>
    </row>
    <row r="359" spans="1:10" s="2300" customFormat="1">
      <c r="A359" s="2299"/>
      <c r="J359" s="2302"/>
    </row>
    <row r="360" spans="1:10" s="2300" customFormat="1">
      <c r="A360" s="2299"/>
      <c r="J360" s="2302"/>
    </row>
    <row r="361" spans="1:10" s="2300" customFormat="1">
      <c r="A361" s="2299"/>
      <c r="J361" s="2302"/>
    </row>
    <row r="362" spans="1:10" s="2300" customFormat="1">
      <c r="A362" s="2299"/>
      <c r="J362" s="2302"/>
    </row>
    <row r="363" spans="1:10" s="2300" customFormat="1">
      <c r="A363" s="2299"/>
      <c r="J363" s="2302"/>
    </row>
    <row r="364" spans="1:10" s="2300" customFormat="1">
      <c r="A364" s="2299"/>
      <c r="J364" s="2302"/>
    </row>
    <row r="365" spans="1:10" s="2300" customFormat="1">
      <c r="A365" s="2299"/>
      <c r="J365" s="2302"/>
    </row>
    <row r="366" spans="1:10" s="2300" customFormat="1">
      <c r="A366" s="2299"/>
      <c r="J366" s="2302"/>
    </row>
    <row r="367" spans="1:10" s="2300" customFormat="1">
      <c r="A367" s="2299"/>
      <c r="J367" s="2302"/>
    </row>
    <row r="368" spans="1:10" s="2300" customFormat="1">
      <c r="A368" s="2299"/>
      <c r="J368" s="2302"/>
    </row>
    <row r="369" spans="1:10" s="2300" customFormat="1">
      <c r="A369" s="2299"/>
      <c r="J369" s="2302"/>
    </row>
    <row r="370" spans="1:10" s="2300" customFormat="1">
      <c r="A370" s="2299"/>
      <c r="J370" s="2302"/>
    </row>
    <row r="371" spans="1:10" s="2300" customFormat="1">
      <c r="A371" s="2299"/>
      <c r="J371" s="2302"/>
    </row>
    <row r="372" spans="1:10" s="2300" customFormat="1">
      <c r="A372" s="2299"/>
      <c r="J372" s="2302"/>
    </row>
    <row r="373" spans="1:10" s="2300" customFormat="1">
      <c r="A373" s="2299"/>
      <c r="J373" s="2302"/>
    </row>
    <row r="374" spans="1:10" s="2300" customFormat="1">
      <c r="A374" s="2299"/>
      <c r="J374" s="2302"/>
    </row>
    <row r="375" spans="1:10" s="2300" customFormat="1">
      <c r="A375" s="2299"/>
      <c r="J375" s="2302"/>
    </row>
    <row r="376" spans="1:10" s="2300" customFormat="1">
      <c r="A376" s="2299"/>
      <c r="J376" s="2302"/>
    </row>
    <row r="377" spans="1:10" s="2300" customFormat="1">
      <c r="A377" s="2299"/>
      <c r="J377" s="2302"/>
    </row>
    <row r="378" spans="1:10" s="2300" customFormat="1">
      <c r="A378" s="2299"/>
      <c r="J378" s="2302"/>
    </row>
    <row r="379" spans="1:10" s="2300" customFormat="1">
      <c r="A379" s="2299"/>
      <c r="J379" s="2302"/>
    </row>
    <row r="380" spans="1:10" s="2300" customFormat="1">
      <c r="A380" s="2299"/>
      <c r="J380" s="2302"/>
    </row>
    <row r="381" spans="1:10" s="2300" customFormat="1">
      <c r="A381" s="2299"/>
      <c r="J381" s="2302"/>
    </row>
    <row r="382" spans="1:10" s="2300" customFormat="1">
      <c r="A382" s="2299"/>
      <c r="J382" s="2302"/>
    </row>
    <row r="383" spans="1:10" s="2300" customFormat="1">
      <c r="A383" s="2299"/>
      <c r="J383" s="2302"/>
    </row>
    <row r="384" spans="1:10" s="2300" customFormat="1">
      <c r="A384" s="2299"/>
      <c r="J384" s="2302"/>
    </row>
    <row r="385" spans="1:10" s="2300" customFormat="1">
      <c r="A385" s="2299"/>
      <c r="J385" s="2302"/>
    </row>
    <row r="386" spans="1:10" s="2300" customFormat="1">
      <c r="A386" s="2299"/>
      <c r="J386" s="2302"/>
    </row>
    <row r="387" spans="1:10" s="2300" customFormat="1">
      <c r="A387" s="2299"/>
      <c r="J387" s="2302"/>
    </row>
    <row r="388" spans="1:10" s="2300" customFormat="1">
      <c r="A388" s="2299"/>
      <c r="J388" s="2302"/>
    </row>
    <row r="389" spans="1:10" s="2300" customFormat="1">
      <c r="A389" s="2299"/>
      <c r="J389" s="2302"/>
    </row>
    <row r="390" spans="1:10" s="2300" customFormat="1">
      <c r="A390" s="2299"/>
      <c r="J390" s="2302"/>
    </row>
    <row r="391" spans="1:10" s="2300" customFormat="1">
      <c r="A391" s="2299"/>
      <c r="J391" s="2302"/>
    </row>
    <row r="392" spans="1:10" s="2300" customFormat="1">
      <c r="A392" s="2299"/>
      <c r="J392" s="2302"/>
    </row>
    <row r="393" spans="1:10" s="2300" customFormat="1">
      <c r="A393" s="2299"/>
      <c r="J393" s="2302"/>
    </row>
    <row r="394" spans="1:10" s="2300" customFormat="1">
      <c r="A394" s="2299"/>
      <c r="J394" s="2302"/>
    </row>
    <row r="395" spans="1:10" s="2300" customFormat="1">
      <c r="A395" s="2299"/>
      <c r="J395" s="2302"/>
    </row>
    <row r="396" spans="1:10" s="2300" customFormat="1">
      <c r="A396" s="2299"/>
      <c r="J396" s="2302"/>
    </row>
    <row r="397" spans="1:10" s="2300" customFormat="1">
      <c r="A397" s="2299"/>
      <c r="J397" s="2302"/>
    </row>
    <row r="398" spans="1:10" s="2300" customFormat="1">
      <c r="A398" s="2299"/>
      <c r="J398" s="2302"/>
    </row>
    <row r="399" spans="1:10" s="2300" customFormat="1">
      <c r="A399" s="2299"/>
      <c r="J399" s="2302"/>
    </row>
    <row r="400" spans="1:10" s="2300" customFormat="1">
      <c r="A400" s="2299"/>
      <c r="J400" s="2302"/>
    </row>
    <row r="401" spans="1:10" s="2300" customFormat="1">
      <c r="A401" s="2299"/>
      <c r="J401" s="2302"/>
    </row>
    <row r="402" spans="1:10" s="2300" customFormat="1">
      <c r="A402" s="2299"/>
      <c r="J402" s="2302"/>
    </row>
    <row r="403" spans="1:10" s="2300" customFormat="1">
      <c r="A403" s="2299"/>
      <c r="J403" s="2302"/>
    </row>
    <row r="404" spans="1:10" s="2300" customFormat="1">
      <c r="A404" s="2299"/>
      <c r="J404" s="2302"/>
    </row>
    <row r="405" spans="1:10" s="2300" customFormat="1">
      <c r="A405" s="2299"/>
      <c r="J405" s="2302"/>
    </row>
    <row r="406" spans="1:10" s="2300" customFormat="1">
      <c r="A406" s="2299"/>
      <c r="J406" s="2302"/>
    </row>
    <row r="407" spans="1:10" s="2300" customFormat="1">
      <c r="A407" s="2299"/>
      <c r="J407" s="2302"/>
    </row>
    <row r="408" spans="1:10" s="2300" customFormat="1">
      <c r="A408" s="2299"/>
      <c r="J408" s="2302"/>
    </row>
    <row r="409" spans="1:10" s="2300" customFormat="1">
      <c r="A409" s="2299"/>
      <c r="J409" s="2302"/>
    </row>
    <row r="410" spans="1:10" s="2300" customFormat="1">
      <c r="A410" s="2299"/>
      <c r="J410" s="2302"/>
    </row>
    <row r="411" spans="1:10" s="2300" customFormat="1">
      <c r="A411" s="2299"/>
      <c r="J411" s="2302"/>
    </row>
    <row r="412" spans="1:10" s="2300" customFormat="1">
      <c r="A412" s="2299"/>
      <c r="J412" s="2302"/>
    </row>
    <row r="413" spans="1:10" s="2300" customFormat="1">
      <c r="A413" s="2299"/>
      <c r="J413" s="2302"/>
    </row>
    <row r="414" spans="1:10" s="2300" customFormat="1">
      <c r="A414" s="2299"/>
      <c r="J414" s="2302"/>
    </row>
    <row r="415" spans="1:10" s="2300" customFormat="1">
      <c r="A415" s="2299"/>
      <c r="J415" s="2302"/>
    </row>
    <row r="416" spans="1:10" s="2300" customFormat="1">
      <c r="A416" s="2299"/>
      <c r="J416" s="2302"/>
    </row>
    <row r="417" spans="1:10" s="2300" customFormat="1">
      <c r="A417" s="2299"/>
      <c r="J417" s="2302"/>
    </row>
    <row r="418" spans="1:10" s="2300" customFormat="1">
      <c r="A418" s="2299"/>
      <c r="J418" s="2302"/>
    </row>
    <row r="419" spans="1:10" s="2300" customFormat="1">
      <c r="A419" s="2299"/>
      <c r="J419" s="2302"/>
    </row>
    <row r="420" spans="1:10" s="2300" customFormat="1">
      <c r="A420" s="2299"/>
      <c r="J420" s="2302"/>
    </row>
    <row r="421" spans="1:10" s="2300" customFormat="1">
      <c r="A421" s="2299"/>
      <c r="J421" s="2302"/>
    </row>
    <row r="422" spans="1:10" s="2300" customFormat="1">
      <c r="A422" s="2299"/>
      <c r="J422" s="2302"/>
    </row>
    <row r="423" spans="1:10" s="2300" customFormat="1">
      <c r="A423" s="2299"/>
      <c r="J423" s="2302"/>
    </row>
    <row r="424" spans="1:10" s="2300" customFormat="1">
      <c r="A424" s="2299"/>
      <c r="J424" s="2302"/>
    </row>
    <row r="425" spans="1:10" s="2300" customFormat="1">
      <c r="A425" s="2299"/>
      <c r="J425" s="2302"/>
    </row>
    <row r="426" spans="1:10" s="2300" customFormat="1">
      <c r="A426" s="2299"/>
      <c r="J426" s="2302"/>
    </row>
    <row r="427" spans="1:10" s="2300" customFormat="1">
      <c r="A427" s="2299"/>
      <c r="J427" s="2302"/>
    </row>
    <row r="428" spans="1:10" s="2300" customFormat="1">
      <c r="A428" s="2299"/>
      <c r="J428" s="2302"/>
    </row>
    <row r="429" spans="1:10" s="2300" customFormat="1">
      <c r="A429" s="2299"/>
      <c r="J429" s="2302"/>
    </row>
    <row r="430" spans="1:10" s="2300" customFormat="1">
      <c r="A430" s="2299"/>
      <c r="J430" s="2302"/>
    </row>
    <row r="431" spans="1:10" s="2300" customFormat="1">
      <c r="A431" s="2299"/>
      <c r="J431" s="2302"/>
    </row>
    <row r="432" spans="1:10" s="2300" customFormat="1">
      <c r="A432" s="2299"/>
      <c r="J432" s="2302"/>
    </row>
    <row r="433" spans="1:10" s="2300" customFormat="1">
      <c r="A433" s="2299"/>
      <c r="J433" s="2302"/>
    </row>
    <row r="434" spans="1:10" s="2300" customFormat="1">
      <c r="A434" s="2299"/>
      <c r="J434" s="2302"/>
    </row>
    <row r="435" spans="1:10" s="2300" customFormat="1">
      <c r="A435" s="2299"/>
      <c r="J435" s="2302"/>
    </row>
    <row r="436" spans="1:10" s="2300" customFormat="1">
      <c r="A436" s="2299"/>
      <c r="J436" s="2302"/>
    </row>
    <row r="437" spans="1:10" s="2300" customFormat="1">
      <c r="A437" s="2299"/>
      <c r="J437" s="2302"/>
    </row>
    <row r="438" spans="1:10" s="2300" customFormat="1">
      <c r="A438" s="2299"/>
      <c r="J438" s="2302"/>
    </row>
    <row r="439" spans="1:10" s="2300" customFormat="1">
      <c r="A439" s="2299"/>
      <c r="J439" s="2302"/>
    </row>
    <row r="440" spans="1:10" s="2300" customFormat="1">
      <c r="A440" s="2299"/>
      <c r="J440" s="2302"/>
    </row>
    <row r="441" spans="1:10" s="2300" customFormat="1">
      <c r="A441" s="2299"/>
      <c r="J441" s="2302"/>
    </row>
    <row r="442" spans="1:10" s="2300" customFormat="1">
      <c r="A442" s="2299"/>
      <c r="J442" s="2302"/>
    </row>
    <row r="443" spans="1:10" s="2300" customFormat="1">
      <c r="A443" s="2299"/>
      <c r="J443" s="2302"/>
    </row>
    <row r="444" spans="1:10" s="2300" customFormat="1">
      <c r="A444" s="2299"/>
      <c r="J444" s="2302"/>
    </row>
    <row r="445" spans="1:10" s="2300" customFormat="1">
      <c r="A445" s="2299"/>
      <c r="J445" s="2302"/>
    </row>
    <row r="446" spans="1:10" s="2300" customFormat="1">
      <c r="A446" s="2299"/>
      <c r="J446" s="2302"/>
    </row>
    <row r="447" spans="1:10" s="2300" customFormat="1">
      <c r="A447" s="2299"/>
      <c r="J447" s="2302"/>
    </row>
    <row r="448" spans="1:10" s="2300" customFormat="1">
      <c r="A448" s="2299"/>
      <c r="J448" s="2302"/>
    </row>
    <row r="449" spans="1:10" s="2300" customFormat="1">
      <c r="A449" s="2299"/>
      <c r="J449" s="2302"/>
    </row>
    <row r="450" spans="1:10" s="2300" customFormat="1">
      <c r="A450" s="2299"/>
      <c r="J450" s="2302"/>
    </row>
    <row r="451" spans="1:10" s="2300" customFormat="1">
      <c r="A451" s="2299"/>
      <c r="J451" s="2302"/>
    </row>
    <row r="452" spans="1:10" s="2300" customFormat="1">
      <c r="A452" s="2299"/>
      <c r="J452" s="2302"/>
    </row>
    <row r="453" spans="1:10" s="2300" customFormat="1">
      <c r="A453" s="2299"/>
      <c r="J453" s="2302"/>
    </row>
    <row r="454" spans="1:10" s="2300" customFormat="1">
      <c r="A454" s="2299"/>
      <c r="J454" s="2302"/>
    </row>
    <row r="455" spans="1:10" s="2300" customFormat="1">
      <c r="A455" s="2299"/>
      <c r="J455" s="2302"/>
    </row>
    <row r="456" spans="1:10" s="2300" customFormat="1">
      <c r="A456" s="2299"/>
      <c r="J456" s="2302"/>
    </row>
    <row r="457" spans="1:10" s="2300" customFormat="1">
      <c r="A457" s="2299"/>
      <c r="J457" s="2302"/>
    </row>
    <row r="458" spans="1:10" s="2300" customFormat="1">
      <c r="A458" s="2299"/>
      <c r="J458" s="2302"/>
    </row>
    <row r="459" spans="1:10" s="2300" customFormat="1">
      <c r="A459" s="2299"/>
      <c r="J459" s="2302"/>
    </row>
    <row r="460" spans="1:10" s="2300" customFormat="1">
      <c r="A460" s="2299"/>
      <c r="J460" s="2302"/>
    </row>
    <row r="461" spans="1:10" s="2300" customFormat="1">
      <c r="A461" s="2299"/>
      <c r="J461" s="2302"/>
    </row>
    <row r="462" spans="1:10" s="2300" customFormat="1">
      <c r="A462" s="2299"/>
      <c r="J462" s="2302"/>
    </row>
    <row r="463" spans="1:10" s="2300" customFormat="1">
      <c r="A463" s="2299"/>
      <c r="J463" s="2302"/>
    </row>
    <row r="464" spans="1:10" s="2300" customFormat="1">
      <c r="A464" s="2299"/>
      <c r="J464" s="2302"/>
    </row>
    <row r="465" spans="1:10" s="2300" customFormat="1">
      <c r="A465" s="2299"/>
      <c r="J465" s="2302"/>
    </row>
    <row r="466" spans="1:10" s="2300" customFormat="1">
      <c r="A466" s="2299"/>
      <c r="J466" s="2302"/>
    </row>
    <row r="467" spans="1:10" s="2300" customFormat="1">
      <c r="A467" s="2299"/>
      <c r="J467" s="2302"/>
    </row>
    <row r="468" spans="1:10" s="2300" customFormat="1">
      <c r="A468" s="2299"/>
      <c r="J468" s="2302"/>
    </row>
    <row r="469" spans="1:10" s="2300" customFormat="1">
      <c r="A469" s="2299"/>
      <c r="J469" s="2302"/>
    </row>
    <row r="470" spans="1:10" s="2300" customFormat="1">
      <c r="A470" s="2299"/>
      <c r="J470" s="2302"/>
    </row>
    <row r="471" spans="1:10" s="2300" customFormat="1">
      <c r="A471" s="2299"/>
      <c r="J471" s="2302"/>
    </row>
    <row r="472" spans="1:10" s="2300" customFormat="1">
      <c r="A472" s="2299"/>
      <c r="J472" s="2302"/>
    </row>
    <row r="473" spans="1:10" s="2300" customFormat="1">
      <c r="A473" s="2299"/>
      <c r="J473" s="2302"/>
    </row>
    <row r="474" spans="1:10" s="2300" customFormat="1">
      <c r="A474" s="2299"/>
      <c r="J474" s="2302"/>
    </row>
    <row r="475" spans="1:10" s="2300" customFormat="1">
      <c r="A475" s="2299"/>
      <c r="J475" s="2302"/>
    </row>
    <row r="476" spans="1:10" s="2300" customFormat="1">
      <c r="A476" s="2299"/>
      <c r="J476" s="2302"/>
    </row>
    <row r="477" spans="1:10" s="2300" customFormat="1">
      <c r="A477" s="2299"/>
      <c r="J477" s="2302"/>
    </row>
    <row r="478" spans="1:10" s="2300" customFormat="1">
      <c r="A478" s="2299"/>
      <c r="J478" s="2302"/>
    </row>
    <row r="479" spans="1:10" s="2300" customFormat="1">
      <c r="A479" s="2299"/>
      <c r="J479" s="2302"/>
    </row>
    <row r="480" spans="1:10" s="2300" customFormat="1">
      <c r="A480" s="2299"/>
      <c r="J480" s="2302"/>
    </row>
    <row r="481" spans="1:10" s="2300" customFormat="1">
      <c r="A481" s="2299"/>
      <c r="J481" s="2302"/>
    </row>
    <row r="482" spans="1:10" s="2300" customFormat="1">
      <c r="A482" s="2299"/>
      <c r="J482" s="2302"/>
    </row>
    <row r="483" spans="1:10" s="2300" customFormat="1">
      <c r="A483" s="2299"/>
      <c r="J483" s="2302"/>
    </row>
    <row r="484" spans="1:10" s="2300" customFormat="1">
      <c r="A484" s="2299"/>
      <c r="J484" s="2302"/>
    </row>
    <row r="485" spans="1:10" s="2300" customFormat="1">
      <c r="A485" s="2299"/>
      <c r="J485" s="2302"/>
    </row>
    <row r="486" spans="1:10" s="2300" customFormat="1">
      <c r="A486" s="2299"/>
      <c r="J486" s="2302"/>
    </row>
    <row r="487" spans="1:10" s="2300" customFormat="1">
      <c r="A487" s="2299"/>
      <c r="J487" s="2302"/>
    </row>
    <row r="488" spans="1:10" s="2300" customFormat="1">
      <c r="A488" s="2299"/>
      <c r="J488" s="2302"/>
    </row>
    <row r="489" spans="1:10" s="2300" customFormat="1">
      <c r="A489" s="2299"/>
      <c r="J489" s="2302"/>
    </row>
    <row r="490" spans="1:10" s="2300" customFormat="1">
      <c r="A490" s="2299"/>
      <c r="J490" s="2302"/>
    </row>
    <row r="491" spans="1:10" s="2300" customFormat="1">
      <c r="A491" s="2299"/>
      <c r="J491" s="2302"/>
    </row>
    <row r="492" spans="1:10" s="2300" customFormat="1">
      <c r="A492" s="2299"/>
      <c r="J492" s="2302"/>
    </row>
    <row r="493" spans="1:10" s="2300" customFormat="1">
      <c r="A493" s="2299"/>
      <c r="J493" s="2302"/>
    </row>
    <row r="494" spans="1:10" s="2300" customFormat="1">
      <c r="A494" s="2299"/>
      <c r="J494" s="2302"/>
    </row>
    <row r="495" spans="1:10" s="2300" customFormat="1">
      <c r="A495" s="2299"/>
      <c r="J495" s="2302"/>
    </row>
    <row r="496" spans="1:10" s="2300" customFormat="1">
      <c r="A496" s="2299"/>
      <c r="J496" s="2302"/>
    </row>
    <row r="497" spans="1:10" s="2300" customFormat="1">
      <c r="A497" s="2299"/>
      <c r="J497" s="2302"/>
    </row>
    <row r="498" spans="1:10" s="2300" customFormat="1">
      <c r="A498" s="2299"/>
      <c r="J498" s="2302"/>
    </row>
    <row r="499" spans="1:10" s="2300" customFormat="1">
      <c r="A499" s="2299"/>
      <c r="J499" s="2302"/>
    </row>
    <row r="500" spans="1:10" s="2300" customFormat="1">
      <c r="A500" s="2299"/>
      <c r="J500" s="2302"/>
    </row>
    <row r="501" spans="1:10" s="2300" customFormat="1">
      <c r="A501" s="2299"/>
      <c r="J501" s="2302"/>
    </row>
    <row r="502" spans="1:10" s="2300" customFormat="1">
      <c r="A502" s="2299"/>
      <c r="J502" s="2302"/>
    </row>
    <row r="503" spans="1:10" s="2300" customFormat="1">
      <c r="A503" s="2299"/>
      <c r="J503" s="2302"/>
    </row>
    <row r="504" spans="1:10" s="2300" customFormat="1">
      <c r="A504" s="2299"/>
      <c r="J504" s="2302"/>
    </row>
    <row r="505" spans="1:10" s="2300" customFormat="1">
      <c r="A505" s="2299"/>
      <c r="J505" s="2302"/>
    </row>
    <row r="506" spans="1:10" s="2300" customFormat="1">
      <c r="A506" s="2299"/>
      <c r="J506" s="2302"/>
    </row>
    <row r="507" spans="1:10" s="2300" customFormat="1">
      <c r="A507" s="2299"/>
      <c r="J507" s="2302"/>
    </row>
    <row r="508" spans="1:10" s="2300" customFormat="1">
      <c r="A508" s="2299"/>
      <c r="J508" s="2302"/>
    </row>
    <row r="509" spans="1:10" s="2300" customFormat="1">
      <c r="A509" s="2299"/>
      <c r="J509" s="2302"/>
    </row>
    <row r="510" spans="1:10" s="2300" customFormat="1">
      <c r="A510" s="2299"/>
      <c r="J510" s="2302"/>
    </row>
    <row r="511" spans="1:10" s="2300" customFormat="1">
      <c r="A511" s="2299"/>
      <c r="J511" s="2302"/>
    </row>
    <row r="512" spans="1:10" s="2300" customFormat="1">
      <c r="A512" s="2299"/>
      <c r="J512" s="2302"/>
    </row>
    <row r="513" spans="1:10" s="2300" customFormat="1">
      <c r="A513" s="2299"/>
      <c r="J513" s="2302"/>
    </row>
    <row r="514" spans="1:10" s="2300" customFormat="1">
      <c r="A514" s="2299"/>
      <c r="J514" s="2302"/>
    </row>
    <row r="515" spans="1:10" s="2300" customFormat="1">
      <c r="A515" s="2299"/>
      <c r="J515" s="2302"/>
    </row>
    <row r="516" spans="1:10" s="2300" customFormat="1">
      <c r="A516" s="2299"/>
      <c r="J516" s="2302"/>
    </row>
    <row r="517" spans="1:10" s="2300" customFormat="1">
      <c r="A517" s="2299"/>
      <c r="J517" s="2302"/>
    </row>
    <row r="518" spans="1:10" s="2300" customFormat="1">
      <c r="A518" s="2299"/>
      <c r="J518" s="2302"/>
    </row>
    <row r="519" spans="1:10" s="2300" customFormat="1">
      <c r="A519" s="2299"/>
      <c r="J519" s="2302"/>
    </row>
    <row r="520" spans="1:10" s="2300" customFormat="1">
      <c r="A520" s="2299"/>
      <c r="J520" s="2302"/>
    </row>
    <row r="521" spans="1:10" s="2300" customFormat="1">
      <c r="A521" s="2299"/>
      <c r="J521" s="2302"/>
    </row>
    <row r="522" spans="1:10" s="2300" customFormat="1">
      <c r="A522" s="2299"/>
      <c r="J522" s="2302"/>
    </row>
    <row r="523" spans="1:10" s="2300" customFormat="1">
      <c r="A523" s="2299"/>
      <c r="J523" s="2302"/>
    </row>
    <row r="524" spans="1:10" s="2300" customFormat="1">
      <c r="A524" s="2299"/>
      <c r="J524" s="2302"/>
    </row>
    <row r="525" spans="1:10" s="2300" customFormat="1">
      <c r="A525" s="2299"/>
      <c r="J525" s="2302"/>
    </row>
    <row r="526" spans="1:10" s="2300" customFormat="1">
      <c r="A526" s="2299"/>
      <c r="J526" s="2302"/>
    </row>
    <row r="527" spans="1:10" s="2300" customFormat="1">
      <c r="A527" s="2299"/>
      <c r="J527" s="2302"/>
    </row>
    <row r="528" spans="1:10" s="2300" customFormat="1">
      <c r="A528" s="2299"/>
      <c r="J528" s="2302"/>
    </row>
    <row r="529" spans="1:10" s="2300" customFormat="1">
      <c r="A529" s="2299"/>
      <c r="J529" s="2302"/>
    </row>
    <row r="530" spans="1:10" s="2300" customFormat="1">
      <c r="A530" s="2299"/>
      <c r="J530" s="2302"/>
    </row>
    <row r="531" spans="1:10" s="2300" customFormat="1">
      <c r="A531" s="2299"/>
      <c r="J531" s="2302"/>
    </row>
    <row r="532" spans="1:10" s="2300" customFormat="1">
      <c r="A532" s="2299"/>
      <c r="J532" s="2302"/>
    </row>
    <row r="533" spans="1:10" s="2300" customFormat="1">
      <c r="A533" s="2299"/>
      <c r="J533" s="2302"/>
    </row>
    <row r="534" spans="1:10" s="2300" customFormat="1">
      <c r="A534" s="2299"/>
      <c r="J534" s="2302"/>
    </row>
    <row r="535" spans="1:10" s="2300" customFormat="1">
      <c r="A535" s="2299"/>
      <c r="J535" s="2302"/>
    </row>
    <row r="536" spans="1:10" s="2300" customFormat="1">
      <c r="A536" s="2299"/>
      <c r="J536" s="2302"/>
    </row>
    <row r="537" spans="1:10" s="2300" customFormat="1">
      <c r="A537" s="2299"/>
      <c r="J537" s="2302"/>
    </row>
    <row r="538" spans="1:10" s="2300" customFormat="1">
      <c r="A538" s="2299"/>
      <c r="J538" s="2302"/>
    </row>
    <row r="539" spans="1:10" s="2300" customFormat="1">
      <c r="A539" s="2299"/>
      <c r="J539" s="2302"/>
    </row>
    <row r="540" spans="1:10" s="2300" customFormat="1">
      <c r="A540" s="2299"/>
      <c r="J540" s="2302"/>
    </row>
    <row r="541" spans="1:10" s="2300" customFormat="1">
      <c r="A541" s="2299"/>
      <c r="J541" s="2302"/>
    </row>
    <row r="542" spans="1:10" s="2300" customFormat="1">
      <c r="A542" s="2299"/>
      <c r="J542" s="2302"/>
    </row>
    <row r="543" spans="1:10" s="2300" customFormat="1">
      <c r="A543" s="2299"/>
      <c r="J543" s="2302"/>
    </row>
    <row r="544" spans="1:10" s="2300" customFormat="1">
      <c r="A544" s="2299"/>
      <c r="J544" s="2302"/>
    </row>
    <row r="545" spans="1:10" s="2300" customFormat="1">
      <c r="A545" s="2299"/>
      <c r="J545" s="2302"/>
    </row>
    <row r="546" spans="1:10" s="2300" customFormat="1">
      <c r="A546" s="2299"/>
      <c r="J546" s="2302"/>
    </row>
    <row r="547" spans="1:10" s="2300" customFormat="1">
      <c r="A547" s="2299"/>
      <c r="J547" s="2302"/>
    </row>
    <row r="548" spans="1:10" s="2300" customFormat="1">
      <c r="A548" s="2299"/>
      <c r="J548" s="2302"/>
    </row>
    <row r="549" spans="1:10" s="2300" customFormat="1">
      <c r="A549" s="2299"/>
      <c r="J549" s="2302"/>
    </row>
    <row r="550" spans="1:10" s="2300" customFormat="1">
      <c r="A550" s="2299"/>
      <c r="J550" s="2302"/>
    </row>
    <row r="551" spans="1:10" s="2300" customFormat="1">
      <c r="A551" s="2299"/>
      <c r="J551" s="2302"/>
    </row>
    <row r="552" spans="1:10" s="2300" customFormat="1">
      <c r="A552" s="2299"/>
      <c r="J552" s="2302"/>
    </row>
    <row r="553" spans="1:10" s="2300" customFormat="1">
      <c r="A553" s="2299"/>
      <c r="J553" s="2302"/>
    </row>
    <row r="554" spans="1:10" s="2300" customFormat="1">
      <c r="A554" s="2299"/>
      <c r="J554" s="2302"/>
    </row>
    <row r="555" spans="1:10" s="2300" customFormat="1">
      <c r="A555" s="2299"/>
      <c r="J555" s="2302"/>
    </row>
    <row r="556" spans="1:10" s="2300" customFormat="1">
      <c r="A556" s="2299"/>
      <c r="J556" s="2302"/>
    </row>
    <row r="557" spans="1:10" s="2300" customFormat="1">
      <c r="A557" s="2299"/>
      <c r="J557" s="2302"/>
    </row>
    <row r="558" spans="1:10" s="2300" customFormat="1">
      <c r="A558" s="2299"/>
      <c r="J558" s="2302"/>
    </row>
    <row r="559" spans="1:10" s="2300" customFormat="1">
      <c r="A559" s="2299"/>
      <c r="J559" s="2302"/>
    </row>
    <row r="560" spans="1:10" s="2300" customFormat="1">
      <c r="A560" s="2299"/>
      <c r="J560" s="2302"/>
    </row>
    <row r="561" spans="1:10" s="2300" customFormat="1">
      <c r="A561" s="2299"/>
      <c r="J561" s="2302"/>
    </row>
    <row r="562" spans="1:10" s="2300" customFormat="1">
      <c r="A562" s="2299"/>
      <c r="J562" s="2302"/>
    </row>
    <row r="563" spans="1:10" s="2300" customFormat="1">
      <c r="A563" s="2299"/>
      <c r="J563" s="2302"/>
    </row>
    <row r="564" spans="1:10" s="2300" customFormat="1">
      <c r="A564" s="2299"/>
      <c r="J564" s="2302"/>
    </row>
    <row r="565" spans="1:10" s="2300" customFormat="1">
      <c r="A565" s="2299"/>
      <c r="J565" s="2302"/>
    </row>
    <row r="566" spans="1:10" s="2300" customFormat="1">
      <c r="A566" s="2299"/>
      <c r="J566" s="2302"/>
    </row>
    <row r="567" spans="1:10" s="2300" customFormat="1">
      <c r="A567" s="2299"/>
      <c r="J567" s="2302"/>
    </row>
    <row r="568" spans="1:10" s="2300" customFormat="1">
      <c r="A568" s="2299"/>
      <c r="J568" s="2302"/>
    </row>
    <row r="569" spans="1:10" s="2300" customFormat="1">
      <c r="A569" s="2299"/>
      <c r="J569" s="2302"/>
    </row>
    <row r="570" spans="1:10" s="2300" customFormat="1">
      <c r="A570" s="2299"/>
      <c r="J570" s="2302"/>
    </row>
    <row r="571" spans="1:10" s="2300" customFormat="1">
      <c r="A571" s="2299"/>
      <c r="J571" s="2302"/>
    </row>
    <row r="572" spans="1:10" s="2300" customFormat="1">
      <c r="A572" s="2299"/>
      <c r="J572" s="2302"/>
    </row>
    <row r="573" spans="1:10" s="2300" customFormat="1">
      <c r="A573" s="2299"/>
      <c r="J573" s="2302"/>
    </row>
    <row r="574" spans="1:10" s="2300" customFormat="1">
      <c r="A574" s="2299"/>
      <c r="J574" s="2302"/>
    </row>
    <row r="575" spans="1:10" s="2300" customFormat="1">
      <c r="A575" s="2299"/>
      <c r="J575" s="2302"/>
    </row>
    <row r="576" spans="1:10" s="2300" customFormat="1">
      <c r="A576" s="2299"/>
      <c r="J576" s="2302"/>
    </row>
    <row r="577" spans="1:10" s="2300" customFormat="1">
      <c r="A577" s="2299"/>
      <c r="J577" s="2302"/>
    </row>
    <row r="578" spans="1:10" s="2300" customFormat="1">
      <c r="A578" s="2299"/>
      <c r="J578" s="2302"/>
    </row>
    <row r="579" spans="1:10" s="2300" customFormat="1">
      <c r="A579" s="2299"/>
      <c r="J579" s="2302"/>
    </row>
    <row r="580" spans="1:10" s="2300" customFormat="1">
      <c r="A580" s="2299"/>
      <c r="J580" s="2302"/>
    </row>
    <row r="581" spans="1:10" s="2300" customFormat="1">
      <c r="A581" s="2299"/>
      <c r="J581" s="2302"/>
    </row>
    <row r="582" spans="1:10" s="2300" customFormat="1">
      <c r="A582" s="2299"/>
      <c r="J582" s="2302"/>
    </row>
    <row r="583" spans="1:10" s="2300" customFormat="1">
      <c r="A583" s="2299"/>
      <c r="J583" s="2302"/>
    </row>
    <row r="584" spans="1:10" s="2300" customFormat="1">
      <c r="A584" s="2299"/>
      <c r="J584" s="2302"/>
    </row>
    <row r="585" spans="1:10" s="2300" customFormat="1">
      <c r="A585" s="2299"/>
      <c r="J585" s="2302"/>
    </row>
    <row r="586" spans="1:10" s="2300" customFormat="1">
      <c r="A586" s="2299"/>
      <c r="J586" s="2302"/>
    </row>
    <row r="587" spans="1:10" s="2300" customFormat="1">
      <c r="A587" s="2299"/>
      <c r="J587" s="2302"/>
    </row>
    <row r="588" spans="1:10" s="2300" customFormat="1">
      <c r="A588" s="2299"/>
      <c r="J588" s="2302"/>
    </row>
    <row r="589" spans="1:10" s="2300" customFormat="1">
      <c r="A589" s="2299"/>
      <c r="J589" s="2302"/>
    </row>
    <row r="590" spans="1:10" s="2300" customFormat="1">
      <c r="A590" s="2299"/>
      <c r="J590" s="2302"/>
    </row>
    <row r="591" spans="1:10" s="2300" customFormat="1">
      <c r="A591" s="2299"/>
      <c r="J591" s="2302"/>
    </row>
    <row r="592" spans="1:10" s="2300" customFormat="1">
      <c r="A592" s="2299"/>
      <c r="J592" s="2302"/>
    </row>
    <row r="593" spans="1:10" s="2300" customFormat="1">
      <c r="A593" s="2299"/>
      <c r="J593" s="2302"/>
    </row>
    <row r="594" spans="1:10" s="2300" customFormat="1">
      <c r="A594" s="2299"/>
      <c r="J594" s="2302"/>
    </row>
    <row r="595" spans="1:10" s="2300" customFormat="1">
      <c r="A595" s="2299"/>
      <c r="J595" s="2302"/>
    </row>
    <row r="596" spans="1:10" s="2300" customFormat="1">
      <c r="A596" s="2299"/>
      <c r="J596" s="2302"/>
    </row>
    <row r="597" spans="1:10" s="2300" customFormat="1">
      <c r="A597" s="2299"/>
      <c r="J597" s="2302"/>
    </row>
    <row r="598" spans="1:10" s="2300" customFormat="1">
      <c r="A598" s="2299"/>
      <c r="J598" s="2302"/>
    </row>
    <row r="599" spans="1:10" s="2300" customFormat="1">
      <c r="A599" s="2299"/>
      <c r="J599" s="2302"/>
    </row>
    <row r="600" spans="1:10" s="2300" customFormat="1">
      <c r="A600" s="2299"/>
      <c r="J600" s="2302"/>
    </row>
    <row r="601" spans="1:10" s="2300" customFormat="1">
      <c r="A601" s="2299"/>
      <c r="J601" s="2302"/>
    </row>
    <row r="602" spans="1:10" s="2300" customFormat="1">
      <c r="A602" s="2299"/>
      <c r="J602" s="2302"/>
    </row>
    <row r="603" spans="1:10" s="2300" customFormat="1">
      <c r="A603" s="2299"/>
      <c r="J603" s="2302"/>
    </row>
    <row r="604" spans="1:10" s="2300" customFormat="1">
      <c r="A604" s="2299"/>
      <c r="J604" s="2302"/>
    </row>
    <row r="605" spans="1:10" s="2300" customFormat="1">
      <c r="A605" s="2299"/>
      <c r="J605" s="2302"/>
    </row>
    <row r="606" spans="1:10" s="2300" customFormat="1">
      <c r="A606" s="2299"/>
      <c r="J606" s="2302"/>
    </row>
    <row r="607" spans="1:10" s="2300" customFormat="1">
      <c r="A607" s="2299"/>
      <c r="J607" s="2302"/>
    </row>
    <row r="608" spans="1:10" s="2300" customFormat="1">
      <c r="A608" s="2299"/>
      <c r="J608" s="2302"/>
    </row>
    <row r="609" spans="1:10" s="2300" customFormat="1">
      <c r="A609" s="2299"/>
      <c r="J609" s="2302"/>
    </row>
    <row r="610" spans="1:10" s="2300" customFormat="1">
      <c r="A610" s="2299"/>
      <c r="J610" s="2302"/>
    </row>
    <row r="611" spans="1:10" s="2300" customFormat="1">
      <c r="A611" s="2299"/>
      <c r="J611" s="2302"/>
    </row>
    <row r="612" spans="1:10" s="2300" customFormat="1">
      <c r="A612" s="2299"/>
      <c r="J612" s="2302"/>
    </row>
    <row r="613" spans="1:10" s="2300" customFormat="1">
      <c r="A613" s="2299"/>
      <c r="J613" s="2302"/>
    </row>
    <row r="614" spans="1:10" s="2300" customFormat="1">
      <c r="A614" s="2299"/>
      <c r="J614" s="2302"/>
    </row>
    <row r="615" spans="1:10" s="2300" customFormat="1">
      <c r="A615" s="2299"/>
      <c r="J615" s="2302"/>
    </row>
    <row r="616" spans="1:10" s="2300" customFormat="1">
      <c r="A616" s="2299"/>
      <c r="J616" s="2302"/>
    </row>
    <row r="617" spans="1:10" s="2300" customFormat="1">
      <c r="A617" s="2299"/>
      <c r="J617" s="2302"/>
    </row>
    <row r="618" spans="1:10" s="2300" customFormat="1">
      <c r="A618" s="2299"/>
      <c r="J618" s="2302"/>
    </row>
    <row r="619" spans="1:10" s="2300" customFormat="1">
      <c r="A619" s="2299"/>
      <c r="J619" s="2302"/>
    </row>
    <row r="620" spans="1:10" s="2300" customFormat="1">
      <c r="A620" s="2299"/>
      <c r="J620" s="2302"/>
    </row>
    <row r="621" spans="1:10" s="2300" customFormat="1">
      <c r="A621" s="2299"/>
      <c r="J621" s="2302"/>
    </row>
    <row r="622" spans="1:10" s="2300" customFormat="1">
      <c r="A622" s="2299"/>
      <c r="J622" s="2302"/>
    </row>
    <row r="623" spans="1:10" s="2300" customFormat="1">
      <c r="A623" s="2299"/>
      <c r="J623" s="2302"/>
    </row>
    <row r="624" spans="1:10" s="2300" customFormat="1">
      <c r="A624" s="2299"/>
      <c r="J624" s="2302"/>
    </row>
    <row r="625" spans="1:10" s="2300" customFormat="1">
      <c r="A625" s="2299"/>
      <c r="J625" s="2302"/>
    </row>
    <row r="626" spans="1:10" s="2300" customFormat="1">
      <c r="A626" s="2299"/>
      <c r="J626" s="2302"/>
    </row>
    <row r="627" spans="1:10" s="2300" customFormat="1">
      <c r="A627" s="2299"/>
      <c r="J627" s="2302"/>
    </row>
    <row r="628" spans="1:10" s="2300" customFormat="1">
      <c r="A628" s="2299"/>
      <c r="J628" s="2302"/>
    </row>
    <row r="629" spans="1:10" s="2300" customFormat="1">
      <c r="A629" s="2299"/>
      <c r="J629" s="2302"/>
    </row>
    <row r="630" spans="1:10" s="2300" customFormat="1">
      <c r="A630" s="2299"/>
      <c r="J630" s="2302"/>
    </row>
    <row r="631" spans="1:10" s="2300" customFormat="1">
      <c r="A631" s="2299"/>
      <c r="J631" s="2302"/>
    </row>
    <row r="632" spans="1:10" s="2300" customFormat="1">
      <c r="A632" s="2299"/>
      <c r="J632" s="2302"/>
    </row>
    <row r="633" spans="1:10" s="2300" customFormat="1">
      <c r="A633" s="2299"/>
      <c r="J633" s="2302"/>
    </row>
    <row r="634" spans="1:10" s="2300" customFormat="1">
      <c r="A634" s="2299"/>
      <c r="J634" s="2302"/>
    </row>
    <row r="635" spans="1:10" s="2300" customFormat="1">
      <c r="A635" s="2299"/>
      <c r="J635" s="2302"/>
    </row>
    <row r="636" spans="1:10" s="2300" customFormat="1">
      <c r="A636" s="2299"/>
      <c r="J636" s="2302"/>
    </row>
    <row r="637" spans="1:10" s="2300" customFormat="1">
      <c r="A637" s="2299"/>
      <c r="J637" s="2302"/>
    </row>
    <row r="638" spans="1:10" s="2300" customFormat="1">
      <c r="A638" s="2299"/>
      <c r="J638" s="2302"/>
    </row>
    <row r="639" spans="1:10" s="2300" customFormat="1">
      <c r="A639" s="2299"/>
      <c r="J639" s="2302"/>
    </row>
    <row r="640" spans="1:10" s="2300" customFormat="1">
      <c r="A640" s="2299"/>
      <c r="J640" s="2302"/>
    </row>
    <row r="641" spans="1:10" s="2300" customFormat="1">
      <c r="A641" s="2299"/>
      <c r="J641" s="2302"/>
    </row>
    <row r="642" spans="1:10" s="2300" customFormat="1">
      <c r="A642" s="2299"/>
      <c r="J642" s="2302"/>
    </row>
    <row r="643" spans="1:10" s="2300" customFormat="1">
      <c r="A643" s="2299"/>
      <c r="J643" s="2302"/>
    </row>
    <row r="644" spans="1:10" s="2300" customFormat="1">
      <c r="A644" s="2299"/>
      <c r="J644" s="2302"/>
    </row>
    <row r="645" spans="1:10" s="2300" customFormat="1">
      <c r="A645" s="2299"/>
      <c r="J645" s="2302"/>
    </row>
    <row r="646" spans="1:10" s="2300" customFormat="1">
      <c r="A646" s="2299"/>
      <c r="J646" s="2302"/>
    </row>
    <row r="647" spans="1:10" s="2300" customFormat="1">
      <c r="A647" s="2299"/>
      <c r="J647" s="2302"/>
    </row>
    <row r="648" spans="1:10" s="2300" customFormat="1">
      <c r="A648" s="2299"/>
      <c r="J648" s="2302"/>
    </row>
    <row r="649" spans="1:10" s="2300" customFormat="1">
      <c r="A649" s="2299"/>
      <c r="J649" s="2302"/>
    </row>
    <row r="650" spans="1:10" s="2300" customFormat="1">
      <c r="A650" s="2299"/>
      <c r="J650" s="2302"/>
    </row>
    <row r="651" spans="1:10" s="2300" customFormat="1">
      <c r="A651" s="2299"/>
      <c r="J651" s="2302"/>
    </row>
    <row r="652" spans="1:10" s="2300" customFormat="1">
      <c r="A652" s="2299"/>
      <c r="J652" s="2302"/>
    </row>
    <row r="653" spans="1:10" s="2300" customFormat="1">
      <c r="A653" s="2299"/>
      <c r="J653" s="2302"/>
    </row>
    <row r="654" spans="1:10" s="2300" customFormat="1">
      <c r="A654" s="2299"/>
      <c r="J654" s="2302"/>
    </row>
    <row r="655" spans="1:10" s="2300" customFormat="1">
      <c r="A655" s="2299"/>
      <c r="J655" s="2302"/>
    </row>
    <row r="656" spans="1:10" s="2300" customFormat="1">
      <c r="A656" s="2299"/>
      <c r="J656" s="2302"/>
    </row>
    <row r="657" spans="1:10" s="2300" customFormat="1">
      <c r="A657" s="2299"/>
      <c r="J657" s="2302"/>
    </row>
    <row r="658" spans="1:10" s="2300" customFormat="1">
      <c r="A658" s="2299"/>
      <c r="J658" s="2302"/>
    </row>
    <row r="659" spans="1:10" s="2300" customFormat="1">
      <c r="A659" s="2299"/>
      <c r="J659" s="2302"/>
    </row>
    <row r="660" spans="1:10" s="2300" customFormat="1">
      <c r="A660" s="2299"/>
      <c r="J660" s="2302"/>
    </row>
    <row r="661" spans="1:10" s="2300" customFormat="1">
      <c r="A661" s="2299"/>
      <c r="J661" s="2302"/>
    </row>
    <row r="662" spans="1:10" s="2300" customFormat="1">
      <c r="A662" s="2299"/>
      <c r="J662" s="2302"/>
    </row>
    <row r="663" spans="1:10" s="2300" customFormat="1">
      <c r="A663" s="2299"/>
      <c r="J663" s="2302"/>
    </row>
    <row r="664" spans="1:10" s="2300" customFormat="1">
      <c r="A664" s="2299"/>
      <c r="J664" s="2302"/>
    </row>
    <row r="665" spans="1:10" s="2300" customFormat="1">
      <c r="A665" s="2299"/>
      <c r="J665" s="2302"/>
    </row>
    <row r="666" spans="1:10" s="2300" customFormat="1">
      <c r="A666" s="2299"/>
      <c r="J666" s="2302"/>
    </row>
    <row r="667" spans="1:10" s="2300" customFormat="1">
      <c r="A667" s="2299"/>
      <c r="J667" s="2302"/>
    </row>
    <row r="668" spans="1:10" s="2300" customFormat="1">
      <c r="A668" s="2299"/>
      <c r="J668" s="2302"/>
    </row>
    <row r="669" spans="1:10" s="2300" customFormat="1">
      <c r="A669" s="2299"/>
      <c r="J669" s="2302"/>
    </row>
    <row r="670" spans="1:10" s="2300" customFormat="1">
      <c r="A670" s="2299"/>
      <c r="J670" s="2302"/>
    </row>
    <row r="671" spans="1:10" s="2300" customFormat="1">
      <c r="A671" s="2299"/>
      <c r="J671" s="2302"/>
    </row>
    <row r="672" spans="1:10" s="2300" customFormat="1">
      <c r="A672" s="2299"/>
      <c r="J672" s="2302"/>
    </row>
    <row r="673" spans="1:10" s="2300" customFormat="1">
      <c r="A673" s="2299"/>
      <c r="J673" s="2302"/>
    </row>
    <row r="674" spans="1:10" s="2300" customFormat="1">
      <c r="A674" s="2299"/>
      <c r="J674" s="2302"/>
    </row>
    <row r="675" spans="1:10" s="2300" customFormat="1">
      <c r="A675" s="2299"/>
      <c r="J675" s="2302"/>
    </row>
    <row r="676" spans="1:10" s="2300" customFormat="1">
      <c r="A676" s="2299"/>
      <c r="J676" s="2302"/>
    </row>
    <row r="677" spans="1:10" s="2300" customFormat="1">
      <c r="A677" s="2299"/>
      <c r="J677" s="2302"/>
    </row>
    <row r="678" spans="1:10" s="2300" customFormat="1">
      <c r="A678" s="2299"/>
      <c r="J678" s="2302"/>
    </row>
    <row r="679" spans="1:10" s="2300" customFormat="1">
      <c r="A679" s="2299"/>
      <c r="J679" s="2302"/>
    </row>
    <row r="680" spans="1:10" s="2300" customFormat="1">
      <c r="A680" s="2299"/>
      <c r="J680" s="2302"/>
    </row>
    <row r="681" spans="1:10" s="2300" customFormat="1">
      <c r="A681" s="2299"/>
      <c r="J681" s="2302"/>
    </row>
    <row r="682" spans="1:10" s="2300" customFormat="1">
      <c r="A682" s="2299"/>
      <c r="J682" s="2302"/>
    </row>
    <row r="683" spans="1:10" s="2300" customFormat="1">
      <c r="A683" s="2299"/>
      <c r="J683" s="2302"/>
    </row>
    <row r="684" spans="1:10" s="2300" customFormat="1">
      <c r="A684" s="2299"/>
      <c r="J684" s="2302"/>
    </row>
    <row r="685" spans="1:10" s="2300" customFormat="1">
      <c r="A685" s="2299"/>
      <c r="J685" s="2302"/>
    </row>
    <row r="686" spans="1:10" s="2300" customFormat="1">
      <c r="A686" s="2299"/>
      <c r="J686" s="2302"/>
    </row>
    <row r="687" spans="1:10" s="2300" customFormat="1">
      <c r="A687" s="2299"/>
      <c r="J687" s="2302"/>
    </row>
    <row r="688" spans="1:10" s="2300" customFormat="1">
      <c r="A688" s="2299"/>
      <c r="J688" s="2302"/>
    </row>
    <row r="689" spans="1:10" s="2300" customFormat="1">
      <c r="A689" s="2299"/>
      <c r="J689" s="2302"/>
    </row>
    <row r="690" spans="1:10" s="2300" customFormat="1">
      <c r="A690" s="2299"/>
      <c r="J690" s="2302"/>
    </row>
    <row r="691" spans="1:10" s="2300" customFormat="1">
      <c r="A691" s="2299"/>
      <c r="J691" s="2302"/>
    </row>
    <row r="692" spans="1:10" s="2300" customFormat="1">
      <c r="A692" s="2299"/>
      <c r="J692" s="2302"/>
    </row>
    <row r="693" spans="1:10" s="2300" customFormat="1">
      <c r="A693" s="2299"/>
      <c r="J693" s="2302"/>
    </row>
    <row r="694" spans="1:10" s="2300" customFormat="1">
      <c r="A694" s="2299"/>
      <c r="J694" s="2302"/>
    </row>
    <row r="695" spans="1:10" s="2300" customFormat="1">
      <c r="A695" s="2299"/>
      <c r="J695" s="2302"/>
    </row>
    <row r="696" spans="1:10" s="2300" customFormat="1">
      <c r="A696" s="2299"/>
      <c r="J696" s="2302"/>
    </row>
    <row r="697" spans="1:10" s="2300" customFormat="1">
      <c r="A697" s="2299"/>
      <c r="J697" s="2302"/>
    </row>
    <row r="698" spans="1:10" s="2300" customFormat="1">
      <c r="A698" s="2299"/>
      <c r="J698" s="2302"/>
    </row>
    <row r="699" spans="1:10" s="2300" customFormat="1">
      <c r="A699" s="2299"/>
      <c r="J699" s="2302"/>
    </row>
    <row r="700" spans="1:10" s="2300" customFormat="1">
      <c r="A700" s="2299"/>
      <c r="J700" s="2302"/>
    </row>
    <row r="701" spans="1:10" s="2300" customFormat="1">
      <c r="A701" s="2299"/>
      <c r="J701" s="2302"/>
    </row>
    <row r="702" spans="1:10" s="2300" customFormat="1">
      <c r="A702" s="2299"/>
      <c r="J702" s="2302"/>
    </row>
    <row r="703" spans="1:10" s="2300" customFormat="1">
      <c r="A703" s="2299"/>
      <c r="J703" s="2302"/>
    </row>
    <row r="704" spans="1:10" s="2300" customFormat="1">
      <c r="A704" s="2299"/>
      <c r="J704" s="2302"/>
    </row>
    <row r="705" spans="1:10" s="2300" customFormat="1">
      <c r="A705" s="2299"/>
      <c r="J705" s="2302"/>
    </row>
    <row r="706" spans="1:10" s="2300" customFormat="1">
      <c r="A706" s="2299"/>
      <c r="J706" s="2302"/>
    </row>
    <row r="707" spans="1:10" s="2300" customFormat="1">
      <c r="A707" s="2299"/>
      <c r="J707" s="2302"/>
    </row>
    <row r="708" spans="1:10" s="2300" customFormat="1">
      <c r="A708" s="2299"/>
      <c r="J708" s="2302"/>
    </row>
    <row r="709" spans="1:10" s="2300" customFormat="1">
      <c r="A709" s="2299"/>
      <c r="J709" s="2302"/>
    </row>
    <row r="710" spans="1:10" s="2300" customFormat="1">
      <c r="A710" s="2299"/>
      <c r="J710" s="2302"/>
    </row>
    <row r="711" spans="1:10" s="2300" customFormat="1">
      <c r="A711" s="2299"/>
      <c r="J711" s="2302"/>
    </row>
    <row r="712" spans="1:10" s="2300" customFormat="1">
      <c r="A712" s="2299"/>
      <c r="J712" s="2302"/>
    </row>
    <row r="713" spans="1:10" s="2300" customFormat="1">
      <c r="A713" s="2299"/>
      <c r="J713" s="2302"/>
    </row>
    <row r="714" spans="1:10" s="2300" customFormat="1">
      <c r="A714" s="2299"/>
      <c r="J714" s="2302"/>
    </row>
    <row r="715" spans="1:10" s="2300" customFormat="1">
      <c r="A715" s="2299"/>
      <c r="J715" s="2302"/>
    </row>
    <row r="716" spans="1:10" s="2300" customFormat="1">
      <c r="A716" s="2299"/>
      <c r="J716" s="2302"/>
    </row>
    <row r="717" spans="1:10" s="2300" customFormat="1">
      <c r="A717" s="2299"/>
      <c r="J717" s="2302"/>
    </row>
    <row r="718" spans="1:10" s="2300" customFormat="1">
      <c r="A718" s="2299"/>
      <c r="J718" s="2302"/>
    </row>
    <row r="719" spans="1:10" s="2300" customFormat="1">
      <c r="A719" s="2299"/>
      <c r="J719" s="2302"/>
    </row>
    <row r="720" spans="1:10" s="2300" customFormat="1">
      <c r="A720" s="2299"/>
      <c r="J720" s="2302"/>
    </row>
    <row r="721" spans="1:10" s="2300" customFormat="1">
      <c r="A721" s="2299"/>
      <c r="J721" s="2302"/>
    </row>
    <row r="722" spans="1:10" s="2300" customFormat="1">
      <c r="A722" s="2299"/>
      <c r="J722" s="2302"/>
    </row>
    <row r="723" spans="1:10" s="2300" customFormat="1">
      <c r="A723" s="2299"/>
      <c r="J723" s="2302"/>
    </row>
    <row r="724" spans="1:10" s="2300" customFormat="1">
      <c r="A724" s="2299"/>
      <c r="J724" s="2302"/>
    </row>
    <row r="725" spans="1:10" s="2300" customFormat="1">
      <c r="A725" s="2299"/>
      <c r="J725" s="2302"/>
    </row>
    <row r="726" spans="1:10" s="2300" customFormat="1">
      <c r="A726" s="2299"/>
      <c r="J726" s="2302"/>
    </row>
    <row r="727" spans="1:10" s="2300" customFormat="1">
      <c r="A727" s="2299"/>
      <c r="J727" s="2302"/>
    </row>
    <row r="728" spans="1:10" s="2300" customFormat="1">
      <c r="A728" s="2299"/>
      <c r="J728" s="2302"/>
    </row>
    <row r="729" spans="1:10" s="2300" customFormat="1">
      <c r="A729" s="2299"/>
      <c r="J729" s="2302"/>
    </row>
    <row r="730" spans="1:10" s="2300" customFormat="1">
      <c r="A730" s="2299"/>
      <c r="J730" s="2302"/>
    </row>
    <row r="731" spans="1:10" s="2300" customFormat="1">
      <c r="A731" s="2299"/>
      <c r="J731" s="2302"/>
    </row>
    <row r="732" spans="1:10" s="2300" customFormat="1">
      <c r="A732" s="2299"/>
      <c r="J732" s="2302"/>
    </row>
    <row r="733" spans="1:10" s="2300" customFormat="1">
      <c r="A733" s="2299"/>
      <c r="J733" s="2302"/>
    </row>
    <row r="734" spans="1:10" s="2300" customFormat="1">
      <c r="A734" s="2299"/>
      <c r="J734" s="2302"/>
    </row>
    <row r="735" spans="1:10" s="2300" customFormat="1">
      <c r="A735" s="2299"/>
      <c r="J735" s="2302"/>
    </row>
    <row r="736" spans="1:10" s="2300" customFormat="1">
      <c r="A736" s="2299"/>
      <c r="J736" s="2302"/>
    </row>
    <row r="737" spans="1:10" s="2300" customFormat="1">
      <c r="A737" s="2299"/>
      <c r="J737" s="2302"/>
    </row>
    <row r="738" spans="1:10" s="2300" customFormat="1">
      <c r="A738" s="2299"/>
      <c r="J738" s="2302"/>
    </row>
    <row r="739" spans="1:10" s="2300" customFormat="1">
      <c r="A739" s="2299"/>
      <c r="J739" s="2302"/>
    </row>
    <row r="740" spans="1:10" s="2300" customFormat="1">
      <c r="A740" s="2299"/>
      <c r="J740" s="2302"/>
    </row>
    <row r="741" spans="1:10" s="2300" customFormat="1">
      <c r="A741" s="2299"/>
      <c r="J741" s="2302"/>
    </row>
    <row r="742" spans="1:10" s="2300" customFormat="1">
      <c r="A742" s="2299"/>
      <c r="J742" s="2302"/>
    </row>
    <row r="743" spans="1:10" s="2300" customFormat="1">
      <c r="A743" s="2299"/>
      <c r="J743" s="2302"/>
    </row>
    <row r="744" spans="1:10" s="2300" customFormat="1">
      <c r="A744" s="2299"/>
      <c r="J744" s="2302"/>
    </row>
    <row r="745" spans="1:10" s="2300" customFormat="1">
      <c r="A745" s="2299"/>
      <c r="J745" s="2302"/>
    </row>
    <row r="746" spans="1:10" s="2300" customFormat="1">
      <c r="A746" s="2299"/>
      <c r="J746" s="2302"/>
    </row>
    <row r="747" spans="1:10" s="2300" customFormat="1">
      <c r="A747" s="2299"/>
      <c r="J747" s="2302"/>
    </row>
    <row r="748" spans="1:10" s="2300" customFormat="1">
      <c r="A748" s="2299"/>
      <c r="J748" s="2302"/>
    </row>
    <row r="749" spans="1:10" s="2300" customFormat="1">
      <c r="A749" s="2299"/>
      <c r="J749" s="2302"/>
    </row>
    <row r="750" spans="1:10" s="2300" customFormat="1">
      <c r="A750" s="2299"/>
      <c r="J750" s="2302"/>
    </row>
    <row r="751" spans="1:10" s="2300" customFormat="1">
      <c r="A751" s="2299"/>
      <c r="J751" s="2302"/>
    </row>
    <row r="752" spans="1:10" s="2300" customFormat="1">
      <c r="A752" s="2299"/>
      <c r="J752" s="2302"/>
    </row>
    <row r="753" spans="1:10" s="2300" customFormat="1">
      <c r="A753" s="2299"/>
      <c r="J753" s="2302"/>
    </row>
    <row r="754" spans="1:10" s="2300" customFormat="1">
      <c r="A754" s="2299"/>
      <c r="J754" s="2302"/>
    </row>
    <row r="755" spans="1:10" s="2300" customFormat="1">
      <c r="A755" s="2299"/>
      <c r="J755" s="2302"/>
    </row>
    <row r="756" spans="1:10" s="2300" customFormat="1">
      <c r="A756" s="2299"/>
      <c r="J756" s="2302"/>
    </row>
    <row r="757" spans="1:10" s="2300" customFormat="1">
      <c r="A757" s="2299"/>
      <c r="J757" s="2302"/>
    </row>
    <row r="758" spans="1:10" s="2300" customFormat="1">
      <c r="A758" s="2299"/>
      <c r="J758" s="2302"/>
    </row>
    <row r="759" spans="1:10" s="2300" customFormat="1">
      <c r="A759" s="2299"/>
      <c r="J759" s="2302"/>
    </row>
    <row r="760" spans="1:10" s="2300" customFormat="1">
      <c r="A760" s="2299"/>
      <c r="J760" s="2302"/>
    </row>
    <row r="761" spans="1:10" s="2300" customFormat="1">
      <c r="A761" s="2299"/>
      <c r="J761" s="2302"/>
    </row>
    <row r="762" spans="1:10" s="2300" customFormat="1">
      <c r="A762" s="2299"/>
      <c r="J762" s="2302"/>
    </row>
    <row r="763" spans="1:10" s="2300" customFormat="1">
      <c r="A763" s="2299"/>
      <c r="J763" s="2302"/>
    </row>
    <row r="764" spans="1:10" s="2300" customFormat="1">
      <c r="A764" s="2299"/>
      <c r="J764" s="2302"/>
    </row>
    <row r="765" spans="1:10" s="2300" customFormat="1">
      <c r="A765" s="2299"/>
      <c r="J765" s="2302"/>
    </row>
  </sheetData>
  <mergeCells count="5">
    <mergeCell ref="A2:G2"/>
    <mergeCell ref="A3:G3"/>
    <mergeCell ref="A8:A9"/>
    <mergeCell ref="B8:B9"/>
    <mergeCell ref="C8:F8"/>
  </mergeCells>
  <pageMargins left="0.25" right="0.24" top="0.31" bottom="0.33" header="0.23" footer="0.25"/>
  <pageSetup paperSize="119" orientation="portrait" r:id="rId1"/>
  <headerFooter alignWithMargins="0"/>
</worksheet>
</file>

<file path=xl/worksheets/sheet88.xml><?xml version="1.0" encoding="utf-8"?>
<worksheet xmlns="http://schemas.openxmlformats.org/spreadsheetml/2006/main" xmlns:r="http://schemas.openxmlformats.org/officeDocument/2006/relationships">
  <sheetPr codeName="Sheet57">
    <tabColor rgb="FFFFFF00"/>
  </sheetPr>
  <dimension ref="A1:I90"/>
  <sheetViews>
    <sheetView showGridLines="0" workbookViewId="0">
      <selection activeCell="F2" sqref="F1:M1048576"/>
    </sheetView>
  </sheetViews>
  <sheetFormatPr defaultRowHeight="12.9" customHeight="1"/>
  <cols>
    <col min="1" max="1" width="40.5546875" style="7165" customWidth="1"/>
    <col min="2" max="3" width="8.5546875" style="7165" customWidth="1"/>
    <col min="4" max="6" width="14.5546875" style="7165" customWidth="1"/>
    <col min="7" max="7" width="8.88671875" style="7165" customWidth="1"/>
    <col min="8" max="8" width="19.5546875" style="7165" customWidth="1"/>
    <col min="9" max="9" width="15" style="7165" customWidth="1"/>
    <col min="10" max="12" width="8.88671875" style="7165" customWidth="1"/>
    <col min="13" max="211" width="9.109375" style="7165"/>
    <col min="212" max="212" width="36.88671875" style="7165" customWidth="1"/>
    <col min="213" max="214" width="9.109375" style="7165"/>
    <col min="215" max="215" width="13.109375" style="7165" customWidth="1"/>
    <col min="216" max="216" width="14" style="7165" customWidth="1"/>
    <col min="217" max="217" width="16" style="7165" customWidth="1"/>
    <col min="218" max="218" width="11.109375" style="7165" bestFit="1" customWidth="1"/>
    <col min="219" max="467" width="9.109375" style="7165"/>
    <col min="468" max="468" width="36.88671875" style="7165" customWidth="1"/>
    <col min="469" max="470" width="9.109375" style="7165"/>
    <col min="471" max="471" width="13.109375" style="7165" customWidth="1"/>
    <col min="472" max="472" width="14" style="7165" customWidth="1"/>
    <col min="473" max="473" width="16" style="7165" customWidth="1"/>
    <col min="474" max="474" width="11.109375" style="7165" bestFit="1" customWidth="1"/>
    <col min="475" max="723" width="9.109375" style="7165"/>
    <col min="724" max="724" width="36.88671875" style="7165" customWidth="1"/>
    <col min="725" max="726" width="9.109375" style="7165"/>
    <col min="727" max="727" width="13.109375" style="7165" customWidth="1"/>
    <col min="728" max="728" width="14" style="7165" customWidth="1"/>
    <col min="729" max="729" width="16" style="7165" customWidth="1"/>
    <col min="730" max="730" width="11.109375" style="7165" bestFit="1" customWidth="1"/>
    <col min="731" max="979" width="9.109375" style="7165"/>
    <col min="980" max="980" width="36.88671875" style="7165" customWidth="1"/>
    <col min="981" max="982" width="9.109375" style="7165"/>
    <col min="983" max="983" width="13.109375" style="7165" customWidth="1"/>
    <col min="984" max="984" width="14" style="7165" customWidth="1"/>
    <col min="985" max="985" width="16" style="7165" customWidth="1"/>
    <col min="986" max="986" width="11.109375" style="7165" bestFit="1" customWidth="1"/>
    <col min="987" max="1235" width="9.109375" style="7165"/>
    <col min="1236" max="1236" width="36.88671875" style="7165" customWidth="1"/>
    <col min="1237" max="1238" width="9.109375" style="7165"/>
    <col min="1239" max="1239" width="13.109375" style="7165" customWidth="1"/>
    <col min="1240" max="1240" width="14" style="7165" customWidth="1"/>
    <col min="1241" max="1241" width="16" style="7165" customWidth="1"/>
    <col min="1242" max="1242" width="11.109375" style="7165" bestFit="1" customWidth="1"/>
    <col min="1243" max="1491" width="9.109375" style="7165"/>
    <col min="1492" max="1492" width="36.88671875" style="7165" customWidth="1"/>
    <col min="1493" max="1494" width="9.109375" style="7165"/>
    <col min="1495" max="1495" width="13.109375" style="7165" customWidth="1"/>
    <col min="1496" max="1496" width="14" style="7165" customWidth="1"/>
    <col min="1497" max="1497" width="16" style="7165" customWidth="1"/>
    <col min="1498" max="1498" width="11.109375" style="7165" bestFit="1" customWidth="1"/>
    <col min="1499" max="1747" width="9.109375" style="7165"/>
    <col min="1748" max="1748" width="36.88671875" style="7165" customWidth="1"/>
    <col min="1749" max="1750" width="9.109375" style="7165"/>
    <col min="1751" max="1751" width="13.109375" style="7165" customWidth="1"/>
    <col min="1752" max="1752" width="14" style="7165" customWidth="1"/>
    <col min="1753" max="1753" width="16" style="7165" customWidth="1"/>
    <col min="1754" max="1754" width="11.109375" style="7165" bestFit="1" customWidth="1"/>
    <col min="1755" max="2003" width="9.109375" style="7165"/>
    <col min="2004" max="2004" width="36.88671875" style="7165" customWidth="1"/>
    <col min="2005" max="2006" width="9.109375" style="7165"/>
    <col min="2007" max="2007" width="13.109375" style="7165" customWidth="1"/>
    <col min="2008" max="2008" width="14" style="7165" customWidth="1"/>
    <col min="2009" max="2009" width="16" style="7165" customWidth="1"/>
    <col min="2010" max="2010" width="11.109375" style="7165" bestFit="1" customWidth="1"/>
    <col min="2011" max="2259" width="9.109375" style="7165"/>
    <col min="2260" max="2260" width="36.88671875" style="7165" customWidth="1"/>
    <col min="2261" max="2262" width="9.109375" style="7165"/>
    <col min="2263" max="2263" width="13.109375" style="7165" customWidth="1"/>
    <col min="2264" max="2264" width="14" style="7165" customWidth="1"/>
    <col min="2265" max="2265" width="16" style="7165" customWidth="1"/>
    <col min="2266" max="2266" width="11.109375" style="7165" bestFit="1" customWidth="1"/>
    <col min="2267" max="2515" width="9.109375" style="7165"/>
    <col min="2516" max="2516" width="36.88671875" style="7165" customWidth="1"/>
    <col min="2517" max="2518" width="9.109375" style="7165"/>
    <col min="2519" max="2519" width="13.109375" style="7165" customWidth="1"/>
    <col min="2520" max="2520" width="14" style="7165" customWidth="1"/>
    <col min="2521" max="2521" width="16" style="7165" customWidth="1"/>
    <col min="2522" max="2522" width="11.109375" style="7165" bestFit="1" customWidth="1"/>
    <col min="2523" max="2771" width="9.109375" style="7165"/>
    <col min="2772" max="2772" width="36.88671875" style="7165" customWidth="1"/>
    <col min="2773" max="2774" width="9.109375" style="7165"/>
    <col min="2775" max="2775" width="13.109375" style="7165" customWidth="1"/>
    <col min="2776" max="2776" width="14" style="7165" customWidth="1"/>
    <col min="2777" max="2777" width="16" style="7165" customWidth="1"/>
    <col min="2778" max="2778" width="11.109375" style="7165" bestFit="1" customWidth="1"/>
    <col min="2779" max="3027" width="9.109375" style="7165"/>
    <col min="3028" max="3028" width="36.88671875" style="7165" customWidth="1"/>
    <col min="3029" max="3030" width="9.109375" style="7165"/>
    <col min="3031" max="3031" width="13.109375" style="7165" customWidth="1"/>
    <col min="3032" max="3032" width="14" style="7165" customWidth="1"/>
    <col min="3033" max="3033" width="16" style="7165" customWidth="1"/>
    <col min="3034" max="3034" width="11.109375" style="7165" bestFit="1" customWidth="1"/>
    <col min="3035" max="3283" width="9.109375" style="7165"/>
    <col min="3284" max="3284" width="36.88671875" style="7165" customWidth="1"/>
    <col min="3285" max="3286" width="9.109375" style="7165"/>
    <col min="3287" max="3287" width="13.109375" style="7165" customWidth="1"/>
    <col min="3288" max="3288" width="14" style="7165" customWidth="1"/>
    <col min="3289" max="3289" width="16" style="7165" customWidth="1"/>
    <col min="3290" max="3290" width="11.109375" style="7165" bestFit="1" customWidth="1"/>
    <col min="3291" max="3539" width="9.109375" style="7165"/>
    <col min="3540" max="3540" width="36.88671875" style="7165" customWidth="1"/>
    <col min="3541" max="3542" width="9.109375" style="7165"/>
    <col min="3543" max="3543" width="13.109375" style="7165" customWidth="1"/>
    <col min="3544" max="3544" width="14" style="7165" customWidth="1"/>
    <col min="3545" max="3545" width="16" style="7165" customWidth="1"/>
    <col min="3546" max="3546" width="11.109375" style="7165" bestFit="1" customWidth="1"/>
    <col min="3547" max="3795" width="9.109375" style="7165"/>
    <col min="3796" max="3796" width="36.88671875" style="7165" customWidth="1"/>
    <col min="3797" max="3798" width="9.109375" style="7165"/>
    <col min="3799" max="3799" width="13.109375" style="7165" customWidth="1"/>
    <col min="3800" max="3800" width="14" style="7165" customWidth="1"/>
    <col min="3801" max="3801" width="16" style="7165" customWidth="1"/>
    <col min="3802" max="3802" width="11.109375" style="7165" bestFit="1" customWidth="1"/>
    <col min="3803" max="4051" width="9.109375" style="7165"/>
    <col min="4052" max="4052" width="36.88671875" style="7165" customWidth="1"/>
    <col min="4053" max="4054" width="9.109375" style="7165"/>
    <col min="4055" max="4055" width="13.109375" style="7165" customWidth="1"/>
    <col min="4056" max="4056" width="14" style="7165" customWidth="1"/>
    <col min="4057" max="4057" width="16" style="7165" customWidth="1"/>
    <col min="4058" max="4058" width="11.109375" style="7165" bestFit="1" customWidth="1"/>
    <col min="4059" max="4307" width="9.109375" style="7165"/>
    <col min="4308" max="4308" width="36.88671875" style="7165" customWidth="1"/>
    <col min="4309" max="4310" width="9.109375" style="7165"/>
    <col min="4311" max="4311" width="13.109375" style="7165" customWidth="1"/>
    <col min="4312" max="4312" width="14" style="7165" customWidth="1"/>
    <col min="4313" max="4313" width="16" style="7165" customWidth="1"/>
    <col min="4314" max="4314" width="11.109375" style="7165" bestFit="1" customWidth="1"/>
    <col min="4315" max="4563" width="9.109375" style="7165"/>
    <col min="4564" max="4564" width="36.88671875" style="7165" customWidth="1"/>
    <col min="4565" max="4566" width="9.109375" style="7165"/>
    <col min="4567" max="4567" width="13.109375" style="7165" customWidth="1"/>
    <col min="4568" max="4568" width="14" style="7165" customWidth="1"/>
    <col min="4569" max="4569" width="16" style="7165" customWidth="1"/>
    <col min="4570" max="4570" width="11.109375" style="7165" bestFit="1" customWidth="1"/>
    <col min="4571" max="4819" width="9.109375" style="7165"/>
    <col min="4820" max="4820" width="36.88671875" style="7165" customWidth="1"/>
    <col min="4821" max="4822" width="9.109375" style="7165"/>
    <col min="4823" max="4823" width="13.109375" style="7165" customWidth="1"/>
    <col min="4824" max="4824" width="14" style="7165" customWidth="1"/>
    <col min="4825" max="4825" width="16" style="7165" customWidth="1"/>
    <col min="4826" max="4826" width="11.109375" style="7165" bestFit="1" customWidth="1"/>
    <col min="4827" max="5075" width="9.109375" style="7165"/>
    <col min="5076" max="5076" width="36.88671875" style="7165" customWidth="1"/>
    <col min="5077" max="5078" width="9.109375" style="7165"/>
    <col min="5079" max="5079" width="13.109375" style="7165" customWidth="1"/>
    <col min="5080" max="5080" width="14" style="7165" customWidth="1"/>
    <col min="5081" max="5081" width="16" style="7165" customWidth="1"/>
    <col min="5082" max="5082" width="11.109375" style="7165" bestFit="1" customWidth="1"/>
    <col min="5083" max="5331" width="9.109375" style="7165"/>
    <col min="5332" max="5332" width="36.88671875" style="7165" customWidth="1"/>
    <col min="5333" max="5334" width="9.109375" style="7165"/>
    <col min="5335" max="5335" width="13.109375" style="7165" customWidth="1"/>
    <col min="5336" max="5336" width="14" style="7165" customWidth="1"/>
    <col min="5337" max="5337" width="16" style="7165" customWidth="1"/>
    <col min="5338" max="5338" width="11.109375" style="7165" bestFit="1" customWidth="1"/>
    <col min="5339" max="5587" width="9.109375" style="7165"/>
    <col min="5588" max="5588" width="36.88671875" style="7165" customWidth="1"/>
    <col min="5589" max="5590" width="9.109375" style="7165"/>
    <col min="5591" max="5591" width="13.109375" style="7165" customWidth="1"/>
    <col min="5592" max="5592" width="14" style="7165" customWidth="1"/>
    <col min="5593" max="5593" width="16" style="7165" customWidth="1"/>
    <col min="5594" max="5594" width="11.109375" style="7165" bestFit="1" customWidth="1"/>
    <col min="5595" max="5843" width="9.109375" style="7165"/>
    <col min="5844" max="5844" width="36.88671875" style="7165" customWidth="1"/>
    <col min="5845" max="5846" width="9.109375" style="7165"/>
    <col min="5847" max="5847" width="13.109375" style="7165" customWidth="1"/>
    <col min="5848" max="5848" width="14" style="7165" customWidth="1"/>
    <col min="5849" max="5849" width="16" style="7165" customWidth="1"/>
    <col min="5850" max="5850" width="11.109375" style="7165" bestFit="1" customWidth="1"/>
    <col min="5851" max="6099" width="9.109375" style="7165"/>
    <col min="6100" max="6100" width="36.88671875" style="7165" customWidth="1"/>
    <col min="6101" max="6102" width="9.109375" style="7165"/>
    <col min="6103" max="6103" width="13.109375" style="7165" customWidth="1"/>
    <col min="6104" max="6104" width="14" style="7165" customWidth="1"/>
    <col min="6105" max="6105" width="16" style="7165" customWidth="1"/>
    <col min="6106" max="6106" width="11.109375" style="7165" bestFit="1" customWidth="1"/>
    <col min="6107" max="6355" width="9.109375" style="7165"/>
    <col min="6356" max="6356" width="36.88671875" style="7165" customWidth="1"/>
    <col min="6357" max="6358" width="9.109375" style="7165"/>
    <col min="6359" max="6359" width="13.109375" style="7165" customWidth="1"/>
    <col min="6360" max="6360" width="14" style="7165" customWidth="1"/>
    <col min="6361" max="6361" width="16" style="7165" customWidth="1"/>
    <col min="6362" max="6362" width="11.109375" style="7165" bestFit="1" customWidth="1"/>
    <col min="6363" max="6611" width="9.109375" style="7165"/>
    <col min="6612" max="6612" width="36.88671875" style="7165" customWidth="1"/>
    <col min="6613" max="6614" width="9.109375" style="7165"/>
    <col min="6615" max="6615" width="13.109375" style="7165" customWidth="1"/>
    <col min="6616" max="6616" width="14" style="7165" customWidth="1"/>
    <col min="6617" max="6617" width="16" style="7165" customWidth="1"/>
    <col min="6618" max="6618" width="11.109375" style="7165" bestFit="1" customWidth="1"/>
    <col min="6619" max="6867" width="9.109375" style="7165"/>
    <col min="6868" max="6868" width="36.88671875" style="7165" customWidth="1"/>
    <col min="6869" max="6870" width="9.109375" style="7165"/>
    <col min="6871" max="6871" width="13.109375" style="7165" customWidth="1"/>
    <col min="6872" max="6872" width="14" style="7165" customWidth="1"/>
    <col min="6873" max="6873" width="16" style="7165" customWidth="1"/>
    <col min="6874" max="6874" width="11.109375" style="7165" bestFit="1" customWidth="1"/>
    <col min="6875" max="7123" width="9.109375" style="7165"/>
    <col min="7124" max="7124" width="36.88671875" style="7165" customWidth="1"/>
    <col min="7125" max="7126" width="9.109375" style="7165"/>
    <col min="7127" max="7127" width="13.109375" style="7165" customWidth="1"/>
    <col min="7128" max="7128" width="14" style="7165" customWidth="1"/>
    <col min="7129" max="7129" width="16" style="7165" customWidth="1"/>
    <col min="7130" max="7130" width="11.109375" style="7165" bestFit="1" customWidth="1"/>
    <col min="7131" max="7379" width="9.109375" style="7165"/>
    <col min="7380" max="7380" width="36.88671875" style="7165" customWidth="1"/>
    <col min="7381" max="7382" width="9.109375" style="7165"/>
    <col min="7383" max="7383" width="13.109375" style="7165" customWidth="1"/>
    <col min="7384" max="7384" width="14" style="7165" customWidth="1"/>
    <col min="7385" max="7385" width="16" style="7165" customWidth="1"/>
    <col min="7386" max="7386" width="11.109375" style="7165" bestFit="1" customWidth="1"/>
    <col min="7387" max="7635" width="9.109375" style="7165"/>
    <col min="7636" max="7636" width="36.88671875" style="7165" customWidth="1"/>
    <col min="7637" max="7638" width="9.109375" style="7165"/>
    <col min="7639" max="7639" width="13.109375" style="7165" customWidth="1"/>
    <col min="7640" max="7640" width="14" style="7165" customWidth="1"/>
    <col min="7641" max="7641" width="16" style="7165" customWidth="1"/>
    <col min="7642" max="7642" width="11.109375" style="7165" bestFit="1" customWidth="1"/>
    <col min="7643" max="7891" width="9.109375" style="7165"/>
    <col min="7892" max="7892" width="36.88671875" style="7165" customWidth="1"/>
    <col min="7893" max="7894" width="9.109375" style="7165"/>
    <col min="7895" max="7895" width="13.109375" style="7165" customWidth="1"/>
    <col min="7896" max="7896" width="14" style="7165" customWidth="1"/>
    <col min="7897" max="7897" width="16" style="7165" customWidth="1"/>
    <col min="7898" max="7898" width="11.109375" style="7165" bestFit="1" customWidth="1"/>
    <col min="7899" max="8147" width="9.109375" style="7165"/>
    <col min="8148" max="8148" width="36.88671875" style="7165" customWidth="1"/>
    <col min="8149" max="8150" width="9.109375" style="7165"/>
    <col min="8151" max="8151" width="13.109375" style="7165" customWidth="1"/>
    <col min="8152" max="8152" width="14" style="7165" customWidth="1"/>
    <col min="8153" max="8153" width="16" style="7165" customWidth="1"/>
    <col min="8154" max="8154" width="11.109375" style="7165" bestFit="1" customWidth="1"/>
    <col min="8155" max="8403" width="9.109375" style="7165"/>
    <col min="8404" max="8404" width="36.88671875" style="7165" customWidth="1"/>
    <col min="8405" max="8406" width="9.109375" style="7165"/>
    <col min="8407" max="8407" width="13.109375" style="7165" customWidth="1"/>
    <col min="8408" max="8408" width="14" style="7165" customWidth="1"/>
    <col min="8409" max="8409" width="16" style="7165" customWidth="1"/>
    <col min="8410" max="8410" width="11.109375" style="7165" bestFit="1" customWidth="1"/>
    <col min="8411" max="8659" width="9.109375" style="7165"/>
    <col min="8660" max="8660" width="36.88671875" style="7165" customWidth="1"/>
    <col min="8661" max="8662" width="9.109375" style="7165"/>
    <col min="8663" max="8663" width="13.109375" style="7165" customWidth="1"/>
    <col min="8664" max="8664" width="14" style="7165" customWidth="1"/>
    <col min="8665" max="8665" width="16" style="7165" customWidth="1"/>
    <col min="8666" max="8666" width="11.109375" style="7165" bestFit="1" customWidth="1"/>
    <col min="8667" max="8915" width="9.109375" style="7165"/>
    <col min="8916" max="8916" width="36.88671875" style="7165" customWidth="1"/>
    <col min="8917" max="8918" width="9.109375" style="7165"/>
    <col min="8919" max="8919" width="13.109375" style="7165" customWidth="1"/>
    <col min="8920" max="8920" width="14" style="7165" customWidth="1"/>
    <col min="8921" max="8921" width="16" style="7165" customWidth="1"/>
    <col min="8922" max="8922" width="11.109375" style="7165" bestFit="1" customWidth="1"/>
    <col min="8923" max="9171" width="9.109375" style="7165"/>
    <col min="9172" max="9172" width="36.88671875" style="7165" customWidth="1"/>
    <col min="9173" max="9174" width="9.109375" style="7165"/>
    <col min="9175" max="9175" width="13.109375" style="7165" customWidth="1"/>
    <col min="9176" max="9176" width="14" style="7165" customWidth="1"/>
    <col min="9177" max="9177" width="16" style="7165" customWidth="1"/>
    <col min="9178" max="9178" width="11.109375" style="7165" bestFit="1" customWidth="1"/>
    <col min="9179" max="9427" width="9.109375" style="7165"/>
    <col min="9428" max="9428" width="36.88671875" style="7165" customWidth="1"/>
    <col min="9429" max="9430" width="9.109375" style="7165"/>
    <col min="9431" max="9431" width="13.109375" style="7165" customWidth="1"/>
    <col min="9432" max="9432" width="14" style="7165" customWidth="1"/>
    <col min="9433" max="9433" width="16" style="7165" customWidth="1"/>
    <col min="9434" max="9434" width="11.109375" style="7165" bestFit="1" customWidth="1"/>
    <col min="9435" max="9683" width="9.109375" style="7165"/>
    <col min="9684" max="9684" width="36.88671875" style="7165" customWidth="1"/>
    <col min="9685" max="9686" width="9.109375" style="7165"/>
    <col min="9687" max="9687" width="13.109375" style="7165" customWidth="1"/>
    <col min="9688" max="9688" width="14" style="7165" customWidth="1"/>
    <col min="9689" max="9689" width="16" style="7165" customWidth="1"/>
    <col min="9690" max="9690" width="11.109375" style="7165" bestFit="1" customWidth="1"/>
    <col min="9691" max="9939" width="9.109375" style="7165"/>
    <col min="9940" max="9940" width="36.88671875" style="7165" customWidth="1"/>
    <col min="9941" max="9942" width="9.109375" style="7165"/>
    <col min="9943" max="9943" width="13.109375" style="7165" customWidth="1"/>
    <col min="9944" max="9944" width="14" style="7165" customWidth="1"/>
    <col min="9945" max="9945" width="16" style="7165" customWidth="1"/>
    <col min="9946" max="9946" width="11.109375" style="7165" bestFit="1" customWidth="1"/>
    <col min="9947" max="10195" width="9.109375" style="7165"/>
    <col min="10196" max="10196" width="36.88671875" style="7165" customWidth="1"/>
    <col min="10197" max="10198" width="9.109375" style="7165"/>
    <col min="10199" max="10199" width="13.109375" style="7165" customWidth="1"/>
    <col min="10200" max="10200" width="14" style="7165" customWidth="1"/>
    <col min="10201" max="10201" width="16" style="7165" customWidth="1"/>
    <col min="10202" max="10202" width="11.109375" style="7165" bestFit="1" customWidth="1"/>
    <col min="10203" max="10451" width="9.109375" style="7165"/>
    <col min="10452" max="10452" width="36.88671875" style="7165" customWidth="1"/>
    <col min="10453" max="10454" width="9.109375" style="7165"/>
    <col min="10455" max="10455" width="13.109375" style="7165" customWidth="1"/>
    <col min="10456" max="10456" width="14" style="7165" customWidth="1"/>
    <col min="10457" max="10457" width="16" style="7165" customWidth="1"/>
    <col min="10458" max="10458" width="11.109375" style="7165" bestFit="1" customWidth="1"/>
    <col min="10459" max="10707" width="9.109375" style="7165"/>
    <col min="10708" max="10708" width="36.88671875" style="7165" customWidth="1"/>
    <col min="10709" max="10710" width="9.109375" style="7165"/>
    <col min="10711" max="10711" width="13.109375" style="7165" customWidth="1"/>
    <col min="10712" max="10712" width="14" style="7165" customWidth="1"/>
    <col min="10713" max="10713" width="16" style="7165" customWidth="1"/>
    <col min="10714" max="10714" width="11.109375" style="7165" bestFit="1" customWidth="1"/>
    <col min="10715" max="10963" width="9.109375" style="7165"/>
    <col min="10964" max="10964" width="36.88671875" style="7165" customWidth="1"/>
    <col min="10965" max="10966" width="9.109375" style="7165"/>
    <col min="10967" max="10967" width="13.109375" style="7165" customWidth="1"/>
    <col min="10968" max="10968" width="14" style="7165" customWidth="1"/>
    <col min="10969" max="10969" width="16" style="7165" customWidth="1"/>
    <col min="10970" max="10970" width="11.109375" style="7165" bestFit="1" customWidth="1"/>
    <col min="10971" max="11219" width="9.109375" style="7165"/>
    <col min="11220" max="11220" width="36.88671875" style="7165" customWidth="1"/>
    <col min="11221" max="11222" width="9.109375" style="7165"/>
    <col min="11223" max="11223" width="13.109375" style="7165" customWidth="1"/>
    <col min="11224" max="11224" width="14" style="7165" customWidth="1"/>
    <col min="11225" max="11225" width="16" style="7165" customWidth="1"/>
    <col min="11226" max="11226" width="11.109375" style="7165" bestFit="1" customWidth="1"/>
    <col min="11227" max="11475" width="9.109375" style="7165"/>
    <col min="11476" max="11476" width="36.88671875" style="7165" customWidth="1"/>
    <col min="11477" max="11478" width="9.109375" style="7165"/>
    <col min="11479" max="11479" width="13.109375" style="7165" customWidth="1"/>
    <col min="11480" max="11480" width="14" style="7165" customWidth="1"/>
    <col min="11481" max="11481" width="16" style="7165" customWidth="1"/>
    <col min="11482" max="11482" width="11.109375" style="7165" bestFit="1" customWidth="1"/>
    <col min="11483" max="11731" width="9.109375" style="7165"/>
    <col min="11732" max="11732" width="36.88671875" style="7165" customWidth="1"/>
    <col min="11733" max="11734" width="9.109375" style="7165"/>
    <col min="11735" max="11735" width="13.109375" style="7165" customWidth="1"/>
    <col min="11736" max="11736" width="14" style="7165" customWidth="1"/>
    <col min="11737" max="11737" width="16" style="7165" customWidth="1"/>
    <col min="11738" max="11738" width="11.109375" style="7165" bestFit="1" customWidth="1"/>
    <col min="11739" max="11987" width="9.109375" style="7165"/>
    <col min="11988" max="11988" width="36.88671875" style="7165" customWidth="1"/>
    <col min="11989" max="11990" width="9.109375" style="7165"/>
    <col min="11991" max="11991" width="13.109375" style="7165" customWidth="1"/>
    <col min="11992" max="11992" width="14" style="7165" customWidth="1"/>
    <col min="11993" max="11993" width="16" style="7165" customWidth="1"/>
    <col min="11994" max="11994" width="11.109375" style="7165" bestFit="1" customWidth="1"/>
    <col min="11995" max="12243" width="9.109375" style="7165"/>
    <col min="12244" max="12244" width="36.88671875" style="7165" customWidth="1"/>
    <col min="12245" max="12246" width="9.109375" style="7165"/>
    <col min="12247" max="12247" width="13.109375" style="7165" customWidth="1"/>
    <col min="12248" max="12248" width="14" style="7165" customWidth="1"/>
    <col min="12249" max="12249" width="16" style="7165" customWidth="1"/>
    <col min="12250" max="12250" width="11.109375" style="7165" bestFit="1" customWidth="1"/>
    <col min="12251" max="12499" width="9.109375" style="7165"/>
    <col min="12500" max="12500" width="36.88671875" style="7165" customWidth="1"/>
    <col min="12501" max="12502" width="9.109375" style="7165"/>
    <col min="12503" max="12503" width="13.109375" style="7165" customWidth="1"/>
    <col min="12504" max="12504" width="14" style="7165" customWidth="1"/>
    <col min="12505" max="12505" width="16" style="7165" customWidth="1"/>
    <col min="12506" max="12506" width="11.109375" style="7165" bestFit="1" customWidth="1"/>
    <col min="12507" max="12755" width="9.109375" style="7165"/>
    <col min="12756" max="12756" width="36.88671875" style="7165" customWidth="1"/>
    <col min="12757" max="12758" width="9.109375" style="7165"/>
    <col min="12759" max="12759" width="13.109375" style="7165" customWidth="1"/>
    <col min="12760" max="12760" width="14" style="7165" customWidth="1"/>
    <col min="12761" max="12761" width="16" style="7165" customWidth="1"/>
    <col min="12762" max="12762" width="11.109375" style="7165" bestFit="1" customWidth="1"/>
    <col min="12763" max="13011" width="9.109375" style="7165"/>
    <col min="13012" max="13012" width="36.88671875" style="7165" customWidth="1"/>
    <col min="13013" max="13014" width="9.109375" style="7165"/>
    <col min="13015" max="13015" width="13.109375" style="7165" customWidth="1"/>
    <col min="13016" max="13016" width="14" style="7165" customWidth="1"/>
    <col min="13017" max="13017" width="16" style="7165" customWidth="1"/>
    <col min="13018" max="13018" width="11.109375" style="7165" bestFit="1" customWidth="1"/>
    <col min="13019" max="13267" width="9.109375" style="7165"/>
    <col min="13268" max="13268" width="36.88671875" style="7165" customWidth="1"/>
    <col min="13269" max="13270" width="9.109375" style="7165"/>
    <col min="13271" max="13271" width="13.109375" style="7165" customWidth="1"/>
    <col min="13272" max="13272" width="14" style="7165" customWidth="1"/>
    <col min="13273" max="13273" width="16" style="7165" customWidth="1"/>
    <col min="13274" max="13274" width="11.109375" style="7165" bestFit="1" customWidth="1"/>
    <col min="13275" max="13523" width="9.109375" style="7165"/>
    <col min="13524" max="13524" width="36.88671875" style="7165" customWidth="1"/>
    <col min="13525" max="13526" width="9.109375" style="7165"/>
    <col min="13527" max="13527" width="13.109375" style="7165" customWidth="1"/>
    <col min="13528" max="13528" width="14" style="7165" customWidth="1"/>
    <col min="13529" max="13529" width="16" style="7165" customWidth="1"/>
    <col min="13530" max="13530" width="11.109375" style="7165" bestFit="1" customWidth="1"/>
    <col min="13531" max="13779" width="9.109375" style="7165"/>
    <col min="13780" max="13780" width="36.88671875" style="7165" customWidth="1"/>
    <col min="13781" max="13782" width="9.109375" style="7165"/>
    <col min="13783" max="13783" width="13.109375" style="7165" customWidth="1"/>
    <col min="13784" max="13784" width="14" style="7165" customWidth="1"/>
    <col min="13785" max="13785" width="16" style="7165" customWidth="1"/>
    <col min="13786" max="13786" width="11.109375" style="7165" bestFit="1" customWidth="1"/>
    <col min="13787" max="14035" width="9.109375" style="7165"/>
    <col min="14036" max="14036" width="36.88671875" style="7165" customWidth="1"/>
    <col min="14037" max="14038" width="9.109375" style="7165"/>
    <col min="14039" max="14039" width="13.109375" style="7165" customWidth="1"/>
    <col min="14040" max="14040" width="14" style="7165" customWidth="1"/>
    <col min="14041" max="14041" width="16" style="7165" customWidth="1"/>
    <col min="14042" max="14042" width="11.109375" style="7165" bestFit="1" customWidth="1"/>
    <col min="14043" max="14291" width="9.109375" style="7165"/>
    <col min="14292" max="14292" width="36.88671875" style="7165" customWidth="1"/>
    <col min="14293" max="14294" width="9.109375" style="7165"/>
    <col min="14295" max="14295" width="13.109375" style="7165" customWidth="1"/>
    <col min="14296" max="14296" width="14" style="7165" customWidth="1"/>
    <col min="14297" max="14297" width="16" style="7165" customWidth="1"/>
    <col min="14298" max="14298" width="11.109375" style="7165" bestFit="1" customWidth="1"/>
    <col min="14299" max="14547" width="9.109375" style="7165"/>
    <col min="14548" max="14548" width="36.88671875" style="7165" customWidth="1"/>
    <col min="14549" max="14550" width="9.109375" style="7165"/>
    <col min="14551" max="14551" width="13.109375" style="7165" customWidth="1"/>
    <col min="14552" max="14552" width="14" style="7165" customWidth="1"/>
    <col min="14553" max="14553" width="16" style="7165" customWidth="1"/>
    <col min="14554" max="14554" width="11.109375" style="7165" bestFit="1" customWidth="1"/>
    <col min="14555" max="14803" width="9.109375" style="7165"/>
    <col min="14804" max="14804" width="36.88671875" style="7165" customWidth="1"/>
    <col min="14805" max="14806" width="9.109375" style="7165"/>
    <col min="14807" max="14807" width="13.109375" style="7165" customWidth="1"/>
    <col min="14808" max="14808" width="14" style="7165" customWidth="1"/>
    <col min="14809" max="14809" width="16" style="7165" customWidth="1"/>
    <col min="14810" max="14810" width="11.109375" style="7165" bestFit="1" customWidth="1"/>
    <col min="14811" max="15059" width="9.109375" style="7165"/>
    <col min="15060" max="15060" width="36.88671875" style="7165" customWidth="1"/>
    <col min="15061" max="15062" width="9.109375" style="7165"/>
    <col min="15063" max="15063" width="13.109375" style="7165" customWidth="1"/>
    <col min="15064" max="15064" width="14" style="7165" customWidth="1"/>
    <col min="15065" max="15065" width="16" style="7165" customWidth="1"/>
    <col min="15066" max="15066" width="11.109375" style="7165" bestFit="1" customWidth="1"/>
    <col min="15067" max="15315" width="9.109375" style="7165"/>
    <col min="15316" max="15316" width="36.88671875" style="7165" customWidth="1"/>
    <col min="15317" max="15318" width="9.109375" style="7165"/>
    <col min="15319" max="15319" width="13.109375" style="7165" customWidth="1"/>
    <col min="15320" max="15320" width="14" style="7165" customWidth="1"/>
    <col min="15321" max="15321" width="16" style="7165" customWidth="1"/>
    <col min="15322" max="15322" width="11.109375" style="7165" bestFit="1" customWidth="1"/>
    <col min="15323" max="15571" width="9.109375" style="7165"/>
    <col min="15572" max="15572" width="36.88671875" style="7165" customWidth="1"/>
    <col min="15573" max="15574" width="9.109375" style="7165"/>
    <col min="15575" max="15575" width="13.109375" style="7165" customWidth="1"/>
    <col min="15576" max="15576" width="14" style="7165" customWidth="1"/>
    <col min="15577" max="15577" width="16" style="7165" customWidth="1"/>
    <col min="15578" max="15578" width="11.109375" style="7165" bestFit="1" customWidth="1"/>
    <col min="15579" max="15827" width="9.109375" style="7165"/>
    <col min="15828" max="15828" width="36.88671875" style="7165" customWidth="1"/>
    <col min="15829" max="15830" width="9.109375" style="7165"/>
    <col min="15831" max="15831" width="13.109375" style="7165" customWidth="1"/>
    <col min="15832" max="15832" width="14" style="7165" customWidth="1"/>
    <col min="15833" max="15833" width="16" style="7165" customWidth="1"/>
    <col min="15834" max="15834" width="11.109375" style="7165" bestFit="1" customWidth="1"/>
    <col min="15835" max="16083" width="9.109375" style="7165"/>
    <col min="16084" max="16084" width="36.88671875" style="7165" customWidth="1"/>
    <col min="16085" max="16086" width="9.109375" style="7165"/>
    <col min="16087" max="16087" width="13.109375" style="7165" customWidth="1"/>
    <col min="16088" max="16088" width="14" style="7165" customWidth="1"/>
    <col min="16089" max="16089" width="16" style="7165" customWidth="1"/>
    <col min="16090" max="16090" width="11.109375" style="7165" bestFit="1" customWidth="1"/>
    <col min="16091" max="16384" width="9.109375" style="7165"/>
  </cols>
  <sheetData>
    <row r="1" spans="1:9" ht="12.9" customHeight="1">
      <c r="A1" s="14215" t="s">
        <v>1087</v>
      </c>
      <c r="B1" s="14215"/>
      <c r="C1" s="14215"/>
      <c r="D1" s="14215"/>
      <c r="E1" s="14215"/>
      <c r="F1" s="14215"/>
    </row>
    <row r="2" spans="1:9" ht="12.9" customHeight="1">
      <c r="B2" s="7165" t="s">
        <v>9</v>
      </c>
    </row>
    <row r="3" spans="1:9" ht="12.9" customHeight="1">
      <c r="A3" s="7163" t="s">
        <v>1194</v>
      </c>
    </row>
    <row r="4" spans="1:9" ht="12.9" customHeight="1" thickBot="1"/>
    <row r="5" spans="1:9" ht="12.9" customHeight="1">
      <c r="A5" s="9697" t="s">
        <v>842</v>
      </c>
      <c r="B5" s="10711" t="s">
        <v>1035</v>
      </c>
      <c r="C5" s="10711" t="s">
        <v>1036</v>
      </c>
      <c r="D5" s="14213" t="s">
        <v>1037</v>
      </c>
      <c r="E5" s="14213"/>
      <c r="F5" s="14214"/>
    </row>
    <row r="6" spans="1:9" ht="12.9" customHeight="1" thickBot="1">
      <c r="A6" s="9698" t="s">
        <v>1088</v>
      </c>
      <c r="B6" s="9772" t="s">
        <v>9</v>
      </c>
      <c r="C6" s="9772" t="s">
        <v>1039</v>
      </c>
      <c r="D6" s="9719" t="s">
        <v>10</v>
      </c>
      <c r="E6" s="9772" t="s">
        <v>11</v>
      </c>
      <c r="F6" s="9773" t="s">
        <v>11621</v>
      </c>
    </row>
    <row r="7" spans="1:9" ht="12.9" customHeight="1">
      <c r="A7" s="9702" t="s">
        <v>806</v>
      </c>
      <c r="B7" s="10716"/>
      <c r="C7" s="10716"/>
      <c r="D7" s="10716"/>
      <c r="E7" s="10753"/>
      <c r="F7" s="7214"/>
    </row>
    <row r="8" spans="1:9" ht="12.9" customHeight="1">
      <c r="A8" s="7209" t="s">
        <v>1089</v>
      </c>
      <c r="B8" s="10765"/>
      <c r="C8" s="10765"/>
      <c r="D8" s="10765"/>
      <c r="E8" s="10765"/>
      <c r="F8" s="7215"/>
    </row>
    <row r="9" spans="1:9" ht="12.9" customHeight="1">
      <c r="A9" s="7207" t="s">
        <v>1195</v>
      </c>
      <c r="B9" s="10753">
        <v>1</v>
      </c>
      <c r="C9" s="10753">
        <v>26</v>
      </c>
      <c r="D9" s="10754">
        <v>986880</v>
      </c>
      <c r="E9" s="10754">
        <v>1155744</v>
      </c>
      <c r="F9" s="7216">
        <v>1353492</v>
      </c>
      <c r="H9" s="7165">
        <f>SUM(B9)</f>
        <v>1</v>
      </c>
      <c r="I9" s="7198">
        <f>SUM(F9)</f>
        <v>1353492</v>
      </c>
    </row>
    <row r="10" spans="1:9" ht="12.9" customHeight="1">
      <c r="A10" s="7207"/>
      <c r="B10" s="10765"/>
      <c r="C10" s="10765"/>
      <c r="D10" s="10754"/>
      <c r="E10" s="10754"/>
      <c r="F10" s="7216"/>
    </row>
    <row r="11" spans="1:9" ht="12.9" customHeight="1">
      <c r="A11" s="7209" t="s">
        <v>1091</v>
      </c>
      <c r="B11" s="10765"/>
      <c r="C11" s="10765"/>
      <c r="D11" s="10754"/>
      <c r="E11" s="10754"/>
      <c r="F11" s="7216"/>
    </row>
    <row r="12" spans="1:9" ht="12.9" customHeight="1">
      <c r="A12" s="7209" t="s">
        <v>1092</v>
      </c>
      <c r="B12" s="10765"/>
      <c r="C12" s="10765"/>
      <c r="D12" s="10754"/>
      <c r="E12" s="10754"/>
      <c r="F12" s="7216"/>
    </row>
    <row r="13" spans="1:9" ht="12.9" customHeight="1">
      <c r="A13" s="7207" t="s">
        <v>3401</v>
      </c>
      <c r="B13" s="10753">
        <v>0</v>
      </c>
      <c r="C13" s="10753">
        <v>22</v>
      </c>
      <c r="D13" s="10754">
        <v>642036</v>
      </c>
      <c r="E13" s="10754">
        <v>725892</v>
      </c>
      <c r="F13" s="7216">
        <v>0</v>
      </c>
    </row>
    <row r="14" spans="1:9" ht="12.9" customHeight="1">
      <c r="A14" s="7207" t="s">
        <v>3402</v>
      </c>
      <c r="B14" s="10753">
        <v>0</v>
      </c>
      <c r="C14" s="10753">
        <v>22</v>
      </c>
      <c r="D14" s="10754">
        <v>687096</v>
      </c>
      <c r="E14" s="10754">
        <v>770400</v>
      </c>
      <c r="F14" s="7216">
        <v>0</v>
      </c>
    </row>
    <row r="15" spans="1:9" ht="12.9" customHeight="1">
      <c r="A15" s="7207" t="s">
        <v>1196</v>
      </c>
      <c r="B15" s="10753">
        <v>1</v>
      </c>
      <c r="C15" s="10753">
        <v>22</v>
      </c>
      <c r="D15" s="10754">
        <v>650808</v>
      </c>
      <c r="E15" s="10754">
        <v>725892</v>
      </c>
      <c r="F15" s="7216">
        <v>822840</v>
      </c>
    </row>
    <row r="16" spans="1:9" ht="12.9" customHeight="1">
      <c r="A16" s="7207" t="s">
        <v>10375</v>
      </c>
      <c r="B16" s="10753">
        <v>1</v>
      </c>
      <c r="C16" s="10753">
        <v>22</v>
      </c>
      <c r="D16" s="10754">
        <v>642036</v>
      </c>
      <c r="E16" s="10754">
        <v>715164</v>
      </c>
      <c r="F16" s="7216">
        <v>796620</v>
      </c>
    </row>
    <row r="17" spans="1:9" ht="12.9" hidden="1" customHeight="1">
      <c r="A17" s="7207" t="s">
        <v>1197</v>
      </c>
      <c r="B17" s="10753">
        <v>0</v>
      </c>
      <c r="C17" s="10753">
        <v>18</v>
      </c>
      <c r="D17" s="10754">
        <v>0</v>
      </c>
      <c r="E17" s="10754">
        <v>0</v>
      </c>
      <c r="F17" s="7216">
        <v>0</v>
      </c>
    </row>
    <row r="18" spans="1:9" ht="12.9" customHeight="1">
      <c r="A18" s="7207" t="s">
        <v>1198</v>
      </c>
      <c r="B18" s="10753">
        <v>1</v>
      </c>
      <c r="C18" s="10753">
        <v>18</v>
      </c>
      <c r="D18" s="10754">
        <v>459264</v>
      </c>
      <c r="E18" s="10754">
        <v>496956</v>
      </c>
      <c r="F18" s="7216">
        <v>531528</v>
      </c>
    </row>
    <row r="19" spans="1:9" ht="12.9" customHeight="1">
      <c r="A19" s="7207" t="s">
        <v>1199</v>
      </c>
      <c r="B19" s="10753">
        <v>1</v>
      </c>
      <c r="C19" s="10753">
        <v>18</v>
      </c>
      <c r="D19" s="10754">
        <v>453948</v>
      </c>
      <c r="E19" s="10754">
        <v>491040</v>
      </c>
      <c r="F19" s="7216">
        <v>525024</v>
      </c>
    </row>
    <row r="20" spans="1:9" ht="12.9" customHeight="1">
      <c r="A20" s="7207" t="s">
        <v>10567</v>
      </c>
      <c r="B20" s="10753">
        <v>1</v>
      </c>
      <c r="C20" s="10753">
        <v>18</v>
      </c>
      <c r="D20" s="10754">
        <v>428316</v>
      </c>
      <c r="E20" s="10754">
        <v>457020</v>
      </c>
      <c r="F20" s="7216">
        <v>493680</v>
      </c>
    </row>
    <row r="21" spans="1:9" ht="12.9" customHeight="1">
      <c r="A21" s="7207" t="s">
        <v>1200</v>
      </c>
      <c r="B21" s="10753">
        <v>1</v>
      </c>
      <c r="C21" s="10753">
        <v>16</v>
      </c>
      <c r="D21" s="10754">
        <v>391104</v>
      </c>
      <c r="E21" s="10754">
        <v>414492</v>
      </c>
      <c r="F21" s="7216">
        <v>439272</v>
      </c>
    </row>
    <row r="22" spans="1:9" ht="12.9" customHeight="1">
      <c r="A22" s="7207" t="s">
        <v>1201</v>
      </c>
      <c r="B22" s="10753">
        <v>1</v>
      </c>
      <c r="C22" s="10753">
        <v>15</v>
      </c>
      <c r="D22" s="10754">
        <v>358824</v>
      </c>
      <c r="E22" s="10754">
        <v>378540</v>
      </c>
      <c r="F22" s="7216">
        <v>399348</v>
      </c>
    </row>
    <row r="23" spans="1:9" ht="12.9" customHeight="1">
      <c r="A23" s="7207" t="s">
        <v>1202</v>
      </c>
      <c r="B23" s="10753">
        <v>2</v>
      </c>
      <c r="C23" s="10753">
        <v>15</v>
      </c>
      <c r="D23" s="10806">
        <v>665424</v>
      </c>
      <c r="E23" s="10806">
        <v>704616</v>
      </c>
      <c r="F23" s="9704">
        <v>741816</v>
      </c>
    </row>
    <row r="24" spans="1:9" ht="12.9" customHeight="1">
      <c r="A24" s="7207" t="s">
        <v>1203</v>
      </c>
      <c r="B24" s="10753">
        <v>1</v>
      </c>
      <c r="C24" s="10753">
        <v>12</v>
      </c>
      <c r="D24" s="10754">
        <v>277440</v>
      </c>
      <c r="E24" s="10754">
        <v>288516</v>
      </c>
      <c r="F24" s="7216">
        <v>300036</v>
      </c>
    </row>
    <row r="25" spans="1:9" ht="12.9" customHeight="1">
      <c r="A25" s="7207" t="s">
        <v>1204</v>
      </c>
      <c r="B25" s="10753">
        <v>2</v>
      </c>
      <c r="C25" s="10753">
        <v>11</v>
      </c>
      <c r="D25" s="10754">
        <v>246804</v>
      </c>
      <c r="E25" s="10754">
        <v>484296</v>
      </c>
      <c r="F25" s="7216">
        <v>498096</v>
      </c>
    </row>
    <row r="26" spans="1:9" ht="12.9" customHeight="1">
      <c r="A26" s="7207" t="s">
        <v>1205</v>
      </c>
      <c r="B26" s="10753">
        <v>2</v>
      </c>
      <c r="C26" s="10753">
        <v>11</v>
      </c>
      <c r="D26" s="10754">
        <v>238236</v>
      </c>
      <c r="E26" s="10754">
        <v>245244</v>
      </c>
      <c r="F26" s="7216">
        <v>501504</v>
      </c>
      <c r="H26" s="7165">
        <f>SUM(B13:B28)</f>
        <v>15</v>
      </c>
      <c r="I26" s="7198">
        <f>SUM(F13:F28)</f>
        <v>6298812</v>
      </c>
    </row>
    <row r="27" spans="1:9" ht="12.9" hidden="1" customHeight="1">
      <c r="A27" s="7207" t="s">
        <v>1206</v>
      </c>
      <c r="B27" s="10753">
        <v>0</v>
      </c>
      <c r="C27" s="10753">
        <v>11</v>
      </c>
      <c r="D27" s="10754">
        <v>0</v>
      </c>
      <c r="E27" s="10754">
        <v>0</v>
      </c>
      <c r="F27" s="7216">
        <v>0</v>
      </c>
    </row>
    <row r="28" spans="1:9" ht="12.9" customHeight="1">
      <c r="A28" s="7207" t="s">
        <v>11647</v>
      </c>
      <c r="B28" s="10753">
        <v>1</v>
      </c>
      <c r="C28" s="10753">
        <v>11</v>
      </c>
      <c r="D28" s="10754">
        <v>0</v>
      </c>
      <c r="E28" s="10754">
        <v>0</v>
      </c>
      <c r="F28" s="7216">
        <v>249048</v>
      </c>
    </row>
    <row r="29" spans="1:9" ht="12.9" customHeight="1">
      <c r="A29" s="7207"/>
      <c r="B29" s="10753" t="s">
        <v>9</v>
      </c>
      <c r="C29" s="10753" t="s">
        <v>9</v>
      </c>
      <c r="D29" s="10754"/>
      <c r="E29" s="10754"/>
      <c r="F29" s="7216"/>
    </row>
    <row r="30" spans="1:9" ht="12.9" customHeight="1">
      <c r="A30" s="7209" t="s">
        <v>1093</v>
      </c>
      <c r="B30" s="10753"/>
      <c r="C30" s="10753"/>
      <c r="D30" s="10754"/>
      <c r="E30" s="10754"/>
      <c r="F30" s="7216"/>
    </row>
    <row r="31" spans="1:9" ht="12.9" customHeight="1">
      <c r="A31" s="7207" t="s">
        <v>1207</v>
      </c>
      <c r="B31" s="10753">
        <v>2</v>
      </c>
      <c r="C31" s="10753">
        <v>6</v>
      </c>
      <c r="D31" s="10754">
        <v>169152</v>
      </c>
      <c r="E31" s="10754">
        <v>347016</v>
      </c>
      <c r="F31" s="7216">
        <v>360468</v>
      </c>
    </row>
    <row r="32" spans="1:9" ht="12.9" customHeight="1">
      <c r="A32" s="7207" t="s">
        <v>1208</v>
      </c>
      <c r="B32" s="10753">
        <v>2</v>
      </c>
      <c r="C32" s="10753">
        <v>4</v>
      </c>
      <c r="D32" s="10754">
        <v>155124</v>
      </c>
      <c r="E32" s="10754">
        <v>313176</v>
      </c>
      <c r="F32" s="7216">
        <v>327084</v>
      </c>
    </row>
    <row r="33" spans="1:9" ht="12.9" customHeight="1">
      <c r="A33" s="7207" t="s">
        <v>1209</v>
      </c>
      <c r="B33" s="10753">
        <v>1</v>
      </c>
      <c r="C33" s="10753">
        <v>3</v>
      </c>
      <c r="D33" s="10754">
        <v>144048</v>
      </c>
      <c r="E33" s="10754">
        <v>150204</v>
      </c>
      <c r="F33" s="7216">
        <v>156624</v>
      </c>
    </row>
    <row r="34" spans="1:9" ht="12.9" customHeight="1">
      <c r="A34" s="7207"/>
      <c r="B34" s="10753"/>
      <c r="C34" s="10753"/>
      <c r="D34" s="10754"/>
      <c r="E34" s="10754"/>
      <c r="F34" s="7216"/>
    </row>
    <row r="35" spans="1:9" ht="12.9" customHeight="1">
      <c r="A35" s="7209" t="s">
        <v>1094</v>
      </c>
      <c r="B35" s="10765"/>
      <c r="C35" s="10765"/>
      <c r="D35" s="10765"/>
      <c r="E35" s="10765"/>
      <c r="F35" s="7215"/>
      <c r="H35" s="7165">
        <f>SUM(B31:B33)</f>
        <v>5</v>
      </c>
      <c r="I35" s="7198">
        <f>SUM(F31:F33)</f>
        <v>844176</v>
      </c>
    </row>
    <row r="36" spans="1:9" ht="12.9" customHeight="1">
      <c r="A36" s="7207" t="s">
        <v>1192</v>
      </c>
      <c r="B36" s="10753">
        <v>1</v>
      </c>
      <c r="C36" s="10753">
        <v>18</v>
      </c>
      <c r="D36" s="10754">
        <v>448704</v>
      </c>
      <c r="E36" s="10754">
        <v>485196</v>
      </c>
      <c r="F36" s="7216">
        <v>518604</v>
      </c>
    </row>
    <row r="37" spans="1:9" ht="12.9" customHeight="1">
      <c r="A37" s="7207" t="s">
        <v>1215</v>
      </c>
      <c r="B37" s="10753">
        <v>1</v>
      </c>
      <c r="C37" s="10753">
        <v>10</v>
      </c>
      <c r="D37" s="10754">
        <v>0</v>
      </c>
      <c r="E37" s="10754">
        <v>224616</v>
      </c>
      <c r="F37" s="7216">
        <v>232728</v>
      </c>
    </row>
    <row r="38" spans="1:9" ht="12.9" customHeight="1">
      <c r="A38" s="7207" t="s">
        <v>1217</v>
      </c>
      <c r="B38" s="10753">
        <v>1</v>
      </c>
      <c r="C38" s="10753">
        <v>6</v>
      </c>
      <c r="D38" s="10754">
        <v>0</v>
      </c>
      <c r="E38" s="10754">
        <v>0</v>
      </c>
      <c r="F38" s="7216">
        <v>178164</v>
      </c>
    </row>
    <row r="39" spans="1:9" ht="12.9" customHeight="1">
      <c r="A39" s="7207" t="s">
        <v>1218</v>
      </c>
      <c r="B39" s="10753">
        <v>1</v>
      </c>
      <c r="C39" s="10753">
        <v>4</v>
      </c>
      <c r="D39" s="10754">
        <v>149760</v>
      </c>
      <c r="E39" s="10754">
        <v>155880</v>
      </c>
      <c r="F39" s="7216">
        <v>162252</v>
      </c>
    </row>
    <row r="40" spans="1:9" ht="12.9" customHeight="1">
      <c r="A40" s="7207" t="s">
        <v>10419</v>
      </c>
      <c r="B40" s="10753">
        <v>2</v>
      </c>
      <c r="C40" s="10753">
        <v>3</v>
      </c>
      <c r="D40" s="10754">
        <v>280608</v>
      </c>
      <c r="E40" s="10754">
        <v>293100</v>
      </c>
      <c r="F40" s="7216">
        <v>307320</v>
      </c>
    </row>
    <row r="41" spans="1:9" ht="12.9" customHeight="1">
      <c r="A41" s="7207" t="s">
        <v>4973</v>
      </c>
      <c r="B41" s="10753">
        <v>5</v>
      </c>
      <c r="C41" s="10753">
        <v>1</v>
      </c>
      <c r="D41" s="10754">
        <v>499320</v>
      </c>
      <c r="E41" s="10754">
        <v>524832</v>
      </c>
      <c r="F41" s="7216">
        <v>686736</v>
      </c>
    </row>
    <row r="42" spans="1:9" ht="12.9" customHeight="1">
      <c r="A42" s="7207" t="s">
        <v>9</v>
      </c>
      <c r="B42" s="10753"/>
      <c r="C42" s="10753"/>
      <c r="D42" s="10754"/>
      <c r="E42" s="10754"/>
      <c r="F42" s="7216"/>
      <c r="H42" s="7165">
        <f>SUM(B36:B42)</f>
        <v>11</v>
      </c>
      <c r="I42" s="7198">
        <f>SUM(F36:F41)</f>
        <v>2085804</v>
      </c>
    </row>
    <row r="43" spans="1:9" ht="12.9" customHeight="1">
      <c r="A43" s="7209" t="s">
        <v>1098</v>
      </c>
      <c r="B43" s="9613">
        <f>SUM(B9:B41)</f>
        <v>32</v>
      </c>
      <c r="C43" s="9662"/>
      <c r="D43" s="9619">
        <f>SUM(D9:D42)</f>
        <v>8974932</v>
      </c>
      <c r="E43" s="9619">
        <f>SUM(E9:E42)</f>
        <v>10547832</v>
      </c>
      <c r="F43" s="7221">
        <f>SUM(F9:F42)</f>
        <v>10582284</v>
      </c>
      <c r="H43" s="9613">
        <f>SUM(H9:H42)</f>
        <v>32</v>
      </c>
    </row>
    <row r="44" spans="1:9" ht="12.9" customHeight="1">
      <c r="A44" s="7209"/>
      <c r="B44" s="10760"/>
      <c r="C44" s="10770"/>
      <c r="D44" s="10772"/>
      <c r="E44" s="10772"/>
      <c r="F44" s="9740"/>
    </row>
    <row r="45" spans="1:9" ht="12.9" customHeight="1">
      <c r="A45" s="7207" t="s">
        <v>1099</v>
      </c>
      <c r="B45" s="10760" t="s">
        <v>9</v>
      </c>
      <c r="C45" s="10765"/>
      <c r="D45" s="10765"/>
      <c r="E45" s="10765"/>
      <c r="F45" s="7215"/>
    </row>
    <row r="46" spans="1:9" ht="12.9" hidden="1" customHeight="1">
      <c r="A46" s="7207" t="s">
        <v>1210</v>
      </c>
      <c r="B46" s="10753">
        <v>0</v>
      </c>
      <c r="C46" s="10753">
        <v>22</v>
      </c>
      <c r="D46" s="10754">
        <v>0</v>
      </c>
      <c r="E46" s="10754"/>
      <c r="F46" s="7216"/>
    </row>
    <row r="47" spans="1:9" ht="12.9" hidden="1" customHeight="1">
      <c r="A47" s="7207" t="s">
        <v>1211</v>
      </c>
      <c r="B47" s="10753">
        <v>0</v>
      </c>
      <c r="C47" s="10753">
        <v>22</v>
      </c>
      <c r="D47" s="10754">
        <v>0</v>
      </c>
      <c r="E47" s="10754">
        <v>0</v>
      </c>
      <c r="F47" s="7216">
        <v>0</v>
      </c>
    </row>
    <row r="48" spans="1:9" ht="12.9" customHeight="1">
      <c r="A48" s="7207" t="s">
        <v>1210</v>
      </c>
      <c r="B48" s="10753">
        <v>1</v>
      </c>
      <c r="C48" s="10753">
        <v>22</v>
      </c>
      <c r="D48" s="10754">
        <v>0</v>
      </c>
      <c r="E48" s="10754">
        <v>0</v>
      </c>
      <c r="F48" s="7216">
        <v>783828</v>
      </c>
    </row>
    <row r="49" spans="1:6" ht="12.9" customHeight="1">
      <c r="A49" s="7207" t="s">
        <v>11648</v>
      </c>
      <c r="B49" s="10753">
        <v>1</v>
      </c>
      <c r="C49" s="10753">
        <v>22</v>
      </c>
      <c r="D49" s="10754">
        <v>0</v>
      </c>
      <c r="E49" s="10754">
        <v>0</v>
      </c>
      <c r="F49" s="7216">
        <v>783828</v>
      </c>
    </row>
    <row r="50" spans="1:6" ht="12.9" hidden="1" customHeight="1">
      <c r="A50" s="7207" t="s">
        <v>10376</v>
      </c>
      <c r="B50" s="10753">
        <v>0</v>
      </c>
      <c r="C50" s="10753">
        <v>18</v>
      </c>
      <c r="D50" s="10754">
        <v>0</v>
      </c>
      <c r="E50" s="10754">
        <v>0</v>
      </c>
      <c r="F50" s="7216">
        <v>0</v>
      </c>
    </row>
    <row r="51" spans="1:6" ht="12.9" hidden="1" customHeight="1">
      <c r="A51" s="7207" t="s">
        <v>1212</v>
      </c>
      <c r="B51" s="10753">
        <v>0</v>
      </c>
      <c r="C51" s="10753">
        <v>15</v>
      </c>
      <c r="D51" s="10754">
        <v>0</v>
      </c>
      <c r="E51" s="10754">
        <v>0</v>
      </c>
      <c r="F51" s="7216">
        <v>0</v>
      </c>
    </row>
    <row r="52" spans="1:6" ht="12.9" customHeight="1">
      <c r="A52" s="7207" t="s">
        <v>1412</v>
      </c>
      <c r="B52" s="10753">
        <v>0</v>
      </c>
      <c r="C52" s="10753">
        <v>11</v>
      </c>
      <c r="D52" s="10754">
        <v>235440</v>
      </c>
      <c r="E52" s="10754">
        <v>0</v>
      </c>
      <c r="F52" s="7216">
        <v>0</v>
      </c>
    </row>
    <row r="53" spans="1:6" ht="12.9" customHeight="1">
      <c r="A53" s="7207" t="s">
        <v>1213</v>
      </c>
      <c r="B53" s="10753">
        <v>1</v>
      </c>
      <c r="C53" s="10753">
        <v>11</v>
      </c>
      <c r="D53" s="10754">
        <v>470880</v>
      </c>
      <c r="E53" s="10754">
        <v>484296</v>
      </c>
      <c r="F53" s="7216">
        <v>249048</v>
      </c>
    </row>
    <row r="54" spans="1:6" ht="12.9" customHeight="1">
      <c r="A54" s="7207" t="s">
        <v>10377</v>
      </c>
      <c r="B54" s="10753">
        <v>1</v>
      </c>
      <c r="C54" s="10753">
        <v>11</v>
      </c>
      <c r="D54" s="10754">
        <v>470880</v>
      </c>
      <c r="E54" s="10754">
        <v>484296</v>
      </c>
      <c r="F54" s="7216">
        <v>249048</v>
      </c>
    </row>
    <row r="55" spans="1:6" ht="12.9" customHeight="1">
      <c r="A55" s="7207" t="s">
        <v>1214</v>
      </c>
      <c r="B55" s="10753">
        <v>1</v>
      </c>
      <c r="C55" s="10753">
        <v>11</v>
      </c>
      <c r="D55" s="10766">
        <v>235440</v>
      </c>
      <c r="E55" s="10766">
        <v>242148</v>
      </c>
      <c r="F55" s="6142">
        <v>249048</v>
      </c>
    </row>
    <row r="56" spans="1:6" ht="12.9" customHeight="1">
      <c r="A56" s="7207" t="s">
        <v>1215</v>
      </c>
      <c r="B56" s="10753">
        <v>0</v>
      </c>
      <c r="C56" s="10753">
        <v>10</v>
      </c>
      <c r="D56" s="10754">
        <v>218604</v>
      </c>
      <c r="E56" s="10754">
        <v>0</v>
      </c>
      <c r="F56" s="7216">
        <v>0</v>
      </c>
    </row>
    <row r="57" spans="1:6" ht="12.9" customHeight="1">
      <c r="A57" s="7207" t="s">
        <v>1216</v>
      </c>
      <c r="B57" s="10753">
        <v>0</v>
      </c>
      <c r="C57" s="10753">
        <v>4</v>
      </c>
      <c r="D57" s="10754">
        <v>145860</v>
      </c>
      <c r="E57" s="10754">
        <v>0</v>
      </c>
      <c r="F57" s="7216">
        <v>0</v>
      </c>
    </row>
    <row r="58" spans="1:6" ht="12.9" customHeight="1">
      <c r="A58" s="7207" t="s">
        <v>10378</v>
      </c>
      <c r="B58" s="10753">
        <v>0</v>
      </c>
      <c r="C58" s="10753">
        <v>6</v>
      </c>
      <c r="D58" s="10754">
        <v>166212</v>
      </c>
      <c r="E58" s="10754">
        <v>0</v>
      </c>
      <c r="F58" s="7216">
        <v>0</v>
      </c>
    </row>
    <row r="59" spans="1:6" ht="12.9" customHeight="1">
      <c r="A59" s="7207" t="s">
        <v>1217</v>
      </c>
      <c r="B59" s="10753">
        <v>0</v>
      </c>
      <c r="C59" s="10753">
        <v>6</v>
      </c>
      <c r="D59" s="10754">
        <v>166212</v>
      </c>
      <c r="E59" s="10754">
        <v>172080</v>
      </c>
      <c r="F59" s="7216">
        <v>0</v>
      </c>
    </row>
    <row r="60" spans="1:6" ht="12.9" customHeight="1">
      <c r="A60" s="7207" t="s">
        <v>1218</v>
      </c>
      <c r="B60" s="10753">
        <v>0</v>
      </c>
      <c r="C60" s="10753">
        <v>4</v>
      </c>
      <c r="D60" s="10754">
        <v>291720</v>
      </c>
      <c r="E60" s="10754">
        <v>304176</v>
      </c>
      <c r="F60" s="7216">
        <v>0</v>
      </c>
    </row>
    <row r="61" spans="1:6" ht="12.9" customHeight="1">
      <c r="A61" s="7207" t="s">
        <v>10146</v>
      </c>
      <c r="B61" s="10753">
        <v>1</v>
      </c>
      <c r="C61" s="10753">
        <v>3</v>
      </c>
      <c r="D61" s="10754">
        <v>136644</v>
      </c>
      <c r="E61" s="10754">
        <v>142968</v>
      </c>
      <c r="F61" s="7216">
        <v>149592</v>
      </c>
    </row>
    <row r="62" spans="1:6" s="7199" customFormat="1" ht="12.9" customHeight="1">
      <c r="A62" s="7207" t="s">
        <v>10587</v>
      </c>
      <c r="B62" s="10753">
        <v>0</v>
      </c>
      <c r="C62" s="10753">
        <v>1</v>
      </c>
      <c r="D62" s="10754">
        <v>119772</v>
      </c>
      <c r="E62" s="10754">
        <v>126120</v>
      </c>
      <c r="F62" s="7216">
        <v>0</v>
      </c>
    </row>
    <row r="63" spans="1:6" ht="12.9" customHeight="1">
      <c r="A63" s="7209" t="s">
        <v>4781</v>
      </c>
      <c r="B63" s="9613">
        <f>SUM(B46:B62)</f>
        <v>6</v>
      </c>
      <c r="C63" s="9630"/>
      <c r="D63" s="9668">
        <f>SUM(D46:D62)</f>
        <v>2657664</v>
      </c>
      <c r="E63" s="9668">
        <f>SUM(E46:E62)</f>
        <v>1956084</v>
      </c>
      <c r="F63" s="9669">
        <f>SUM(F46:F62)</f>
        <v>2464392</v>
      </c>
    </row>
    <row r="64" spans="1:6" ht="12.9" customHeight="1" thickBot="1">
      <c r="A64" s="9709"/>
      <c r="B64" s="9772"/>
      <c r="C64" s="9633"/>
      <c r="D64" s="9623"/>
      <c r="E64" s="9623"/>
      <c r="F64" s="9774"/>
    </row>
    <row r="65" spans="1:8" ht="12.9" customHeight="1" thickBot="1">
      <c r="A65" s="10422" t="s">
        <v>1101</v>
      </c>
      <c r="B65" s="10725">
        <f>SUM(B43+B63)</f>
        <v>38</v>
      </c>
      <c r="C65" s="10725"/>
      <c r="D65" s="10419">
        <f>SUM(D43+D63)</f>
        <v>11632596</v>
      </c>
      <c r="E65" s="10419">
        <f>SUM(E43+E63)</f>
        <v>12503916</v>
      </c>
      <c r="F65" s="10420">
        <f>SUM(F43+F63)</f>
        <v>13046676</v>
      </c>
      <c r="H65" s="7198">
        <f>F65-10139460</f>
        <v>2907216</v>
      </c>
    </row>
    <row r="66" spans="1:8" ht="12.9" customHeight="1">
      <c r="A66" s="10821"/>
      <c r="B66" s="10822"/>
      <c r="C66" s="10822"/>
      <c r="D66" s="10823"/>
      <c r="E66" s="10823"/>
      <c r="F66" s="10823"/>
      <c r="H66" s="7198"/>
    </row>
    <row r="67" spans="1:8" ht="12.9" customHeight="1">
      <c r="A67" s="7201"/>
      <c r="B67" s="10824"/>
      <c r="C67" s="10824"/>
      <c r="D67" s="10825"/>
      <c r="E67" s="10825"/>
      <c r="F67" s="10825"/>
      <c r="H67" s="7198"/>
    </row>
    <row r="68" spans="1:8" ht="12.9" customHeight="1">
      <c r="A68" s="7201"/>
      <c r="B68" s="10824"/>
      <c r="C68" s="10824"/>
      <c r="D68" s="10825"/>
      <c r="E68" s="10825"/>
      <c r="F68" s="10825"/>
      <c r="H68" s="7198"/>
    </row>
    <row r="69" spans="1:8" ht="12.9" customHeight="1">
      <c r="A69" s="7201"/>
      <c r="B69" s="10824"/>
      <c r="C69" s="10824"/>
      <c r="D69" s="10825"/>
      <c r="E69" s="10825"/>
      <c r="F69" s="10825"/>
      <c r="H69" s="7198"/>
    </row>
    <row r="70" spans="1:8" ht="12.9" customHeight="1">
      <c r="A70" s="7201"/>
      <c r="B70" s="10824"/>
      <c r="C70" s="10824"/>
      <c r="D70" s="10825"/>
      <c r="E70" s="10825"/>
      <c r="F70" s="10825"/>
      <c r="H70" s="7198"/>
    </row>
    <row r="71" spans="1:8" ht="12.9" customHeight="1">
      <c r="A71" s="7201"/>
      <c r="B71" s="10824"/>
      <c r="C71" s="10824"/>
      <c r="D71" s="10825"/>
      <c r="E71" s="10825"/>
      <c r="F71" s="10825"/>
      <c r="H71" s="7198"/>
    </row>
    <row r="72" spans="1:8" ht="12.9" customHeight="1">
      <c r="A72" s="7201"/>
      <c r="B72" s="10824"/>
      <c r="C72" s="10824"/>
      <c r="D72" s="10825"/>
      <c r="E72" s="10825"/>
      <c r="F72" s="10825"/>
      <c r="H72" s="7198"/>
    </row>
    <row r="73" spans="1:8" ht="12.9" customHeight="1" thickBot="1">
      <c r="A73" s="10730" t="s">
        <v>12046</v>
      </c>
      <c r="B73" s="10826"/>
      <c r="C73" s="10826"/>
      <c r="D73" s="10827"/>
      <c r="E73" s="10827"/>
      <c r="F73" s="10827"/>
      <c r="H73" s="7198"/>
    </row>
    <row r="74" spans="1:8" ht="12.9" customHeight="1">
      <c r="A74" s="7209" t="s">
        <v>1075</v>
      </c>
      <c r="B74" s="10753"/>
      <c r="C74" s="10753"/>
      <c r="D74" s="10754"/>
      <c r="E74" s="10754"/>
      <c r="F74" s="7216"/>
    </row>
    <row r="75" spans="1:8" ht="12.9" customHeight="1">
      <c r="A75" s="7209" t="s">
        <v>1102</v>
      </c>
      <c r="B75" s="10753"/>
      <c r="C75" s="10753"/>
      <c r="D75" s="10754"/>
      <c r="E75" s="10754"/>
      <c r="F75" s="7216"/>
    </row>
    <row r="76" spans="1:8" ht="12.9" customHeight="1">
      <c r="A76" s="7207" t="s">
        <v>1103</v>
      </c>
      <c r="B76" s="10753"/>
      <c r="C76" s="10753"/>
      <c r="D76" s="10754"/>
      <c r="E76" s="10754"/>
      <c r="F76" s="7216"/>
    </row>
    <row r="77" spans="1:8" ht="12.9" customHeight="1">
      <c r="A77" s="7207" t="s">
        <v>1078</v>
      </c>
      <c r="B77" s="10753">
        <v>2</v>
      </c>
      <c r="C77" s="10753"/>
      <c r="D77" s="10754"/>
      <c r="E77" s="10754"/>
      <c r="F77" s="7216"/>
    </row>
    <row r="78" spans="1:8" ht="12.9" customHeight="1">
      <c r="A78" s="7207" t="s">
        <v>1079</v>
      </c>
      <c r="B78" s="10765"/>
      <c r="C78" s="10765"/>
      <c r="D78" s="10754"/>
      <c r="E78" s="10754"/>
      <c r="F78" s="7216"/>
    </row>
    <row r="79" spans="1:8" ht="12.9" customHeight="1">
      <c r="A79" s="7207"/>
      <c r="B79" s="10765"/>
      <c r="C79" s="10765"/>
      <c r="D79" s="10754"/>
      <c r="E79" s="10754"/>
      <c r="F79" s="7216"/>
    </row>
    <row r="80" spans="1:8" ht="12.9" customHeight="1">
      <c r="A80" s="7207" t="s">
        <v>1080</v>
      </c>
      <c r="B80" s="10765"/>
      <c r="C80" s="10765"/>
      <c r="D80" s="10754"/>
      <c r="E80" s="10754"/>
      <c r="F80" s="7216"/>
    </row>
    <row r="81" spans="1:6" ht="12.9" customHeight="1">
      <c r="A81" s="7207" t="s">
        <v>1104</v>
      </c>
      <c r="B81" s="10765"/>
      <c r="C81" s="10765"/>
      <c r="D81" s="10765"/>
      <c r="E81" s="10765"/>
      <c r="F81" s="7215"/>
    </row>
    <row r="82" spans="1:6" ht="12.9" customHeight="1">
      <c r="A82" s="7207" t="s">
        <v>1105</v>
      </c>
      <c r="B82" s="10765"/>
      <c r="C82" s="10765"/>
      <c r="D82" s="10765"/>
      <c r="E82" s="10765"/>
      <c r="F82" s="7215"/>
    </row>
    <row r="83" spans="1:6" ht="12.9" customHeight="1">
      <c r="A83" s="7207"/>
      <c r="B83" s="10765"/>
      <c r="C83" s="10765"/>
      <c r="D83" s="10765"/>
      <c r="E83" s="10765"/>
      <c r="F83" s="7215"/>
    </row>
    <row r="84" spans="1:6" ht="12.9" customHeight="1">
      <c r="A84" s="7209" t="s">
        <v>1083</v>
      </c>
      <c r="B84" s="9631"/>
      <c r="C84" s="9631"/>
      <c r="D84" s="9631"/>
      <c r="E84" s="9631"/>
      <c r="F84" s="9741"/>
    </row>
    <row r="85" spans="1:6" ht="12.9" customHeight="1">
      <c r="A85" s="7207"/>
      <c r="B85" s="10765"/>
      <c r="C85" s="10765"/>
      <c r="D85" s="10765"/>
      <c r="E85" s="10765"/>
      <c r="F85" s="7215"/>
    </row>
    <row r="86" spans="1:6" ht="12.9" customHeight="1">
      <c r="A86" s="7207" t="s">
        <v>1106</v>
      </c>
      <c r="B86" s="10765"/>
      <c r="C86" s="10765"/>
      <c r="D86" s="10765"/>
      <c r="E86" s="10765"/>
      <c r="F86" s="7215"/>
    </row>
    <row r="87" spans="1:6" ht="12.9" customHeight="1" thickBot="1">
      <c r="A87" s="7207"/>
      <c r="B87" s="10765"/>
      <c r="C87" s="10765"/>
      <c r="D87" s="10765"/>
      <c r="E87" s="10765"/>
      <c r="F87" s="7215"/>
    </row>
    <row r="88" spans="1:6" ht="12.9" customHeight="1">
      <c r="A88" s="9715"/>
      <c r="B88" s="9624"/>
      <c r="C88" s="9624"/>
      <c r="D88" s="9624"/>
      <c r="E88" s="9624"/>
      <c r="F88" s="9716"/>
    </row>
    <row r="89" spans="1:6" ht="12.9" customHeight="1">
      <c r="A89" s="7209" t="s">
        <v>1086</v>
      </c>
      <c r="B89" s="10765"/>
      <c r="C89" s="10765"/>
      <c r="D89" s="10765"/>
      <c r="E89" s="10765"/>
      <c r="F89" s="7215"/>
    </row>
    <row r="90" spans="1:6" ht="12.9" customHeight="1" thickBot="1">
      <c r="A90" s="9709"/>
      <c r="B90" s="9634"/>
      <c r="C90" s="9634"/>
      <c r="D90" s="9634"/>
      <c r="E90" s="9634"/>
      <c r="F90" s="9753"/>
    </row>
  </sheetData>
  <mergeCells count="2">
    <mergeCell ref="D5:F5"/>
    <mergeCell ref="A1:F1"/>
  </mergeCells>
  <pageMargins left="0.25" right="0.25" top="0.5" bottom="0.5" header="0.3" footer="0.3"/>
  <pageSetup paperSize="119" firstPageNumber="164" orientation="portrait" useFirstPageNumber="1" r:id="rId1"/>
  <headerFooter alignWithMargins="0"/>
</worksheet>
</file>

<file path=xl/worksheets/sheet89.xml><?xml version="1.0" encoding="utf-8"?>
<worksheet xmlns="http://schemas.openxmlformats.org/spreadsheetml/2006/main" xmlns:r="http://schemas.openxmlformats.org/officeDocument/2006/relationships">
  <sheetPr codeName="Sheet59">
    <tabColor rgb="FFFFFF00"/>
  </sheetPr>
  <dimension ref="A1:G63"/>
  <sheetViews>
    <sheetView showGridLines="0" topLeftCell="A44" workbookViewId="0">
      <selection activeCell="B57" sqref="B57"/>
    </sheetView>
  </sheetViews>
  <sheetFormatPr defaultRowHeight="13.2"/>
  <cols>
    <col min="1" max="1" width="9.109375" style="482"/>
    <col min="2" max="2" width="22.44140625" style="433" customWidth="1"/>
    <col min="3" max="3" width="14.88671875" style="433" customWidth="1"/>
    <col min="4" max="4" width="16.44140625" style="433" customWidth="1"/>
    <col min="5" max="5" width="11.44140625" style="433" customWidth="1"/>
    <col min="6" max="7" width="10.109375" style="433" customWidth="1"/>
    <col min="8" max="221" width="9.109375" style="433"/>
    <col min="222" max="222" width="6.44140625" style="433" customWidth="1"/>
    <col min="223" max="229" width="9.109375" style="433"/>
    <col min="230" max="230" width="10.109375" style="433" customWidth="1"/>
    <col min="231" max="477" width="9.109375" style="433"/>
    <col min="478" max="478" width="6.44140625" style="433" customWidth="1"/>
    <col min="479" max="485" width="9.109375" style="433"/>
    <col min="486" max="486" width="10.109375" style="433" customWidth="1"/>
    <col min="487" max="733" width="9.109375" style="433"/>
    <col min="734" max="734" width="6.44140625" style="433" customWidth="1"/>
    <col min="735" max="741" width="9.109375" style="433"/>
    <col min="742" max="742" width="10.109375" style="433" customWidth="1"/>
    <col min="743" max="989" width="9.109375" style="433"/>
    <col min="990" max="990" width="6.44140625" style="433" customWidth="1"/>
    <col min="991" max="997" width="9.109375" style="433"/>
    <col min="998" max="998" width="10.109375" style="433" customWidth="1"/>
    <col min="999" max="1245" width="9.109375" style="433"/>
    <col min="1246" max="1246" width="6.44140625" style="433" customWidth="1"/>
    <col min="1247" max="1253" width="9.109375" style="433"/>
    <col min="1254" max="1254" width="10.109375" style="433" customWidth="1"/>
    <col min="1255" max="1501" width="9.109375" style="433"/>
    <col min="1502" max="1502" width="6.44140625" style="433" customWidth="1"/>
    <col min="1503" max="1509" width="9.109375" style="433"/>
    <col min="1510" max="1510" width="10.109375" style="433" customWidth="1"/>
    <col min="1511" max="1757" width="9.109375" style="433"/>
    <col min="1758" max="1758" width="6.44140625" style="433" customWidth="1"/>
    <col min="1759" max="1765" width="9.109375" style="433"/>
    <col min="1766" max="1766" width="10.109375" style="433" customWidth="1"/>
    <col min="1767" max="2013" width="9.109375" style="433"/>
    <col min="2014" max="2014" width="6.44140625" style="433" customWidth="1"/>
    <col min="2015" max="2021" width="9.109375" style="433"/>
    <col min="2022" max="2022" width="10.109375" style="433" customWidth="1"/>
    <col min="2023" max="2269" width="9.109375" style="433"/>
    <col min="2270" max="2270" width="6.44140625" style="433" customWidth="1"/>
    <col min="2271" max="2277" width="9.109375" style="433"/>
    <col min="2278" max="2278" width="10.109375" style="433" customWidth="1"/>
    <col min="2279" max="2525" width="9.109375" style="433"/>
    <col min="2526" max="2526" width="6.44140625" style="433" customWidth="1"/>
    <col min="2527" max="2533" width="9.109375" style="433"/>
    <col min="2534" max="2534" width="10.109375" style="433" customWidth="1"/>
    <col min="2535" max="2781" width="9.109375" style="433"/>
    <col min="2782" max="2782" width="6.44140625" style="433" customWidth="1"/>
    <col min="2783" max="2789" width="9.109375" style="433"/>
    <col min="2790" max="2790" width="10.109375" style="433" customWidth="1"/>
    <col min="2791" max="3037" width="9.109375" style="433"/>
    <col min="3038" max="3038" width="6.44140625" style="433" customWidth="1"/>
    <col min="3039" max="3045" width="9.109375" style="433"/>
    <col min="3046" max="3046" width="10.109375" style="433" customWidth="1"/>
    <col min="3047" max="3293" width="9.109375" style="433"/>
    <col min="3294" max="3294" width="6.44140625" style="433" customWidth="1"/>
    <col min="3295" max="3301" width="9.109375" style="433"/>
    <col min="3302" max="3302" width="10.109375" style="433" customWidth="1"/>
    <col min="3303" max="3549" width="9.109375" style="433"/>
    <col min="3550" max="3550" width="6.44140625" style="433" customWidth="1"/>
    <col min="3551" max="3557" width="9.109375" style="433"/>
    <col min="3558" max="3558" width="10.109375" style="433" customWidth="1"/>
    <col min="3559" max="3805" width="9.109375" style="433"/>
    <col min="3806" max="3806" width="6.44140625" style="433" customWidth="1"/>
    <col min="3807" max="3813" width="9.109375" style="433"/>
    <col min="3814" max="3814" width="10.109375" style="433" customWidth="1"/>
    <col min="3815" max="4061" width="9.109375" style="433"/>
    <col min="4062" max="4062" width="6.44140625" style="433" customWidth="1"/>
    <col min="4063" max="4069" width="9.109375" style="433"/>
    <col min="4070" max="4070" width="10.109375" style="433" customWidth="1"/>
    <col min="4071" max="4317" width="9.109375" style="433"/>
    <col min="4318" max="4318" width="6.44140625" style="433" customWidth="1"/>
    <col min="4319" max="4325" width="9.109375" style="433"/>
    <col min="4326" max="4326" width="10.109375" style="433" customWidth="1"/>
    <col min="4327" max="4573" width="9.109375" style="433"/>
    <col min="4574" max="4574" width="6.44140625" style="433" customWidth="1"/>
    <col min="4575" max="4581" width="9.109375" style="433"/>
    <col min="4582" max="4582" width="10.109375" style="433" customWidth="1"/>
    <col min="4583" max="4829" width="9.109375" style="433"/>
    <col min="4830" max="4830" width="6.44140625" style="433" customWidth="1"/>
    <col min="4831" max="4837" width="9.109375" style="433"/>
    <col min="4838" max="4838" width="10.109375" style="433" customWidth="1"/>
    <col min="4839" max="5085" width="9.109375" style="433"/>
    <col min="5086" max="5086" width="6.44140625" style="433" customWidth="1"/>
    <col min="5087" max="5093" width="9.109375" style="433"/>
    <col min="5094" max="5094" width="10.109375" style="433" customWidth="1"/>
    <col min="5095" max="5341" width="9.109375" style="433"/>
    <col min="5342" max="5342" width="6.44140625" style="433" customWidth="1"/>
    <col min="5343" max="5349" width="9.109375" style="433"/>
    <col min="5350" max="5350" width="10.109375" style="433" customWidth="1"/>
    <col min="5351" max="5597" width="9.109375" style="433"/>
    <col min="5598" max="5598" width="6.44140625" style="433" customWidth="1"/>
    <col min="5599" max="5605" width="9.109375" style="433"/>
    <col min="5606" max="5606" width="10.109375" style="433" customWidth="1"/>
    <col min="5607" max="5853" width="9.109375" style="433"/>
    <col min="5854" max="5854" width="6.44140625" style="433" customWidth="1"/>
    <col min="5855" max="5861" width="9.109375" style="433"/>
    <col min="5862" max="5862" width="10.109375" style="433" customWidth="1"/>
    <col min="5863" max="6109" width="9.109375" style="433"/>
    <col min="6110" max="6110" width="6.44140625" style="433" customWidth="1"/>
    <col min="6111" max="6117" width="9.109375" style="433"/>
    <col min="6118" max="6118" width="10.109375" style="433" customWidth="1"/>
    <col min="6119" max="6365" width="9.109375" style="433"/>
    <col min="6366" max="6366" width="6.44140625" style="433" customWidth="1"/>
    <col min="6367" max="6373" width="9.109375" style="433"/>
    <col min="6374" max="6374" width="10.109375" style="433" customWidth="1"/>
    <col min="6375" max="6621" width="9.109375" style="433"/>
    <col min="6622" max="6622" width="6.44140625" style="433" customWidth="1"/>
    <col min="6623" max="6629" width="9.109375" style="433"/>
    <col min="6630" max="6630" width="10.109375" style="433" customWidth="1"/>
    <col min="6631" max="6877" width="9.109375" style="433"/>
    <col min="6878" max="6878" width="6.44140625" style="433" customWidth="1"/>
    <col min="6879" max="6885" width="9.109375" style="433"/>
    <col min="6886" max="6886" width="10.109375" style="433" customWidth="1"/>
    <col min="6887" max="7133" width="9.109375" style="433"/>
    <col min="7134" max="7134" width="6.44140625" style="433" customWidth="1"/>
    <col min="7135" max="7141" width="9.109375" style="433"/>
    <col min="7142" max="7142" width="10.109375" style="433" customWidth="1"/>
    <col min="7143" max="7389" width="9.109375" style="433"/>
    <col min="7390" max="7390" width="6.44140625" style="433" customWidth="1"/>
    <col min="7391" max="7397" width="9.109375" style="433"/>
    <col min="7398" max="7398" width="10.109375" style="433" customWidth="1"/>
    <col min="7399" max="7645" width="9.109375" style="433"/>
    <col min="7646" max="7646" width="6.44140625" style="433" customWidth="1"/>
    <col min="7647" max="7653" width="9.109375" style="433"/>
    <col min="7654" max="7654" width="10.109375" style="433" customWidth="1"/>
    <col min="7655" max="7901" width="9.109375" style="433"/>
    <col min="7902" max="7902" width="6.44140625" style="433" customWidth="1"/>
    <col min="7903" max="7909" width="9.109375" style="433"/>
    <col min="7910" max="7910" width="10.109375" style="433" customWidth="1"/>
    <col min="7911" max="8157" width="9.109375" style="433"/>
    <col min="8158" max="8158" width="6.44140625" style="433" customWidth="1"/>
    <col min="8159" max="8165" width="9.109375" style="433"/>
    <col min="8166" max="8166" width="10.109375" style="433" customWidth="1"/>
    <col min="8167" max="8413" width="9.109375" style="433"/>
    <col min="8414" max="8414" width="6.44140625" style="433" customWidth="1"/>
    <col min="8415" max="8421" width="9.109375" style="433"/>
    <col min="8422" max="8422" width="10.109375" style="433" customWidth="1"/>
    <col min="8423" max="8669" width="9.109375" style="433"/>
    <col min="8670" max="8670" width="6.44140625" style="433" customWidth="1"/>
    <col min="8671" max="8677" width="9.109375" style="433"/>
    <col min="8678" max="8678" width="10.109375" style="433" customWidth="1"/>
    <col min="8679" max="8925" width="9.109375" style="433"/>
    <col min="8926" max="8926" width="6.44140625" style="433" customWidth="1"/>
    <col min="8927" max="8933" width="9.109375" style="433"/>
    <col min="8934" max="8934" width="10.109375" style="433" customWidth="1"/>
    <col min="8935" max="9181" width="9.109375" style="433"/>
    <col min="9182" max="9182" width="6.44140625" style="433" customWidth="1"/>
    <col min="9183" max="9189" width="9.109375" style="433"/>
    <col min="9190" max="9190" width="10.109375" style="433" customWidth="1"/>
    <col min="9191" max="9437" width="9.109375" style="433"/>
    <col min="9438" max="9438" width="6.44140625" style="433" customWidth="1"/>
    <col min="9439" max="9445" width="9.109375" style="433"/>
    <col min="9446" max="9446" width="10.109375" style="433" customWidth="1"/>
    <col min="9447" max="9693" width="9.109375" style="433"/>
    <col min="9694" max="9694" width="6.44140625" style="433" customWidth="1"/>
    <col min="9695" max="9701" width="9.109375" style="433"/>
    <col min="9702" max="9702" width="10.109375" style="433" customWidth="1"/>
    <col min="9703" max="9949" width="9.109375" style="433"/>
    <col min="9950" max="9950" width="6.44140625" style="433" customWidth="1"/>
    <col min="9951" max="9957" width="9.109375" style="433"/>
    <col min="9958" max="9958" width="10.109375" style="433" customWidth="1"/>
    <col min="9959" max="10205" width="9.109375" style="433"/>
    <col min="10206" max="10206" width="6.44140625" style="433" customWidth="1"/>
    <col min="10207" max="10213" width="9.109375" style="433"/>
    <col min="10214" max="10214" width="10.109375" style="433" customWidth="1"/>
    <col min="10215" max="10461" width="9.109375" style="433"/>
    <col min="10462" max="10462" width="6.44140625" style="433" customWidth="1"/>
    <col min="10463" max="10469" width="9.109375" style="433"/>
    <col min="10470" max="10470" width="10.109375" style="433" customWidth="1"/>
    <col min="10471" max="10717" width="9.109375" style="433"/>
    <col min="10718" max="10718" width="6.44140625" style="433" customWidth="1"/>
    <col min="10719" max="10725" width="9.109375" style="433"/>
    <col min="10726" max="10726" width="10.109375" style="433" customWidth="1"/>
    <col min="10727" max="10973" width="9.109375" style="433"/>
    <col min="10974" max="10974" width="6.44140625" style="433" customWidth="1"/>
    <col min="10975" max="10981" width="9.109375" style="433"/>
    <col min="10982" max="10982" width="10.109375" style="433" customWidth="1"/>
    <col min="10983" max="11229" width="9.109375" style="433"/>
    <col min="11230" max="11230" width="6.44140625" style="433" customWidth="1"/>
    <col min="11231" max="11237" width="9.109375" style="433"/>
    <col min="11238" max="11238" width="10.109375" style="433" customWidth="1"/>
    <col min="11239" max="11485" width="9.109375" style="433"/>
    <col min="11486" max="11486" width="6.44140625" style="433" customWidth="1"/>
    <col min="11487" max="11493" width="9.109375" style="433"/>
    <col min="11494" max="11494" width="10.109375" style="433" customWidth="1"/>
    <col min="11495" max="11741" width="9.109375" style="433"/>
    <col min="11742" max="11742" width="6.44140625" style="433" customWidth="1"/>
    <col min="11743" max="11749" width="9.109375" style="433"/>
    <col min="11750" max="11750" width="10.109375" style="433" customWidth="1"/>
    <col min="11751" max="11997" width="9.109375" style="433"/>
    <col min="11998" max="11998" width="6.44140625" style="433" customWidth="1"/>
    <col min="11999" max="12005" width="9.109375" style="433"/>
    <col min="12006" max="12006" width="10.109375" style="433" customWidth="1"/>
    <col min="12007" max="12253" width="9.109375" style="433"/>
    <col min="12254" max="12254" width="6.44140625" style="433" customWidth="1"/>
    <col min="12255" max="12261" width="9.109375" style="433"/>
    <col min="12262" max="12262" width="10.109375" style="433" customWidth="1"/>
    <col min="12263" max="12509" width="9.109375" style="433"/>
    <col min="12510" max="12510" width="6.44140625" style="433" customWidth="1"/>
    <col min="12511" max="12517" width="9.109375" style="433"/>
    <col min="12518" max="12518" width="10.109375" style="433" customWidth="1"/>
    <col min="12519" max="12765" width="9.109375" style="433"/>
    <col min="12766" max="12766" width="6.44140625" style="433" customWidth="1"/>
    <col min="12767" max="12773" width="9.109375" style="433"/>
    <col min="12774" max="12774" width="10.109375" style="433" customWidth="1"/>
    <col min="12775" max="13021" width="9.109375" style="433"/>
    <col min="13022" max="13022" width="6.44140625" style="433" customWidth="1"/>
    <col min="13023" max="13029" width="9.109375" style="433"/>
    <col min="13030" max="13030" width="10.109375" style="433" customWidth="1"/>
    <col min="13031" max="13277" width="9.109375" style="433"/>
    <col min="13278" max="13278" width="6.44140625" style="433" customWidth="1"/>
    <col min="13279" max="13285" width="9.109375" style="433"/>
    <col min="13286" max="13286" width="10.109375" style="433" customWidth="1"/>
    <col min="13287" max="13533" width="9.109375" style="433"/>
    <col min="13534" max="13534" width="6.44140625" style="433" customWidth="1"/>
    <col min="13535" max="13541" width="9.109375" style="433"/>
    <col min="13542" max="13542" width="10.109375" style="433" customWidth="1"/>
    <col min="13543" max="13789" width="9.109375" style="433"/>
    <col min="13790" max="13790" width="6.44140625" style="433" customWidth="1"/>
    <col min="13791" max="13797" width="9.109375" style="433"/>
    <col min="13798" max="13798" width="10.109375" style="433" customWidth="1"/>
    <col min="13799" max="14045" width="9.109375" style="433"/>
    <col min="14046" max="14046" width="6.44140625" style="433" customWidth="1"/>
    <col min="14047" max="14053" width="9.109375" style="433"/>
    <col min="14054" max="14054" width="10.109375" style="433" customWidth="1"/>
    <col min="14055" max="14301" width="9.109375" style="433"/>
    <col min="14302" max="14302" width="6.44140625" style="433" customWidth="1"/>
    <col min="14303" max="14309" width="9.109375" style="433"/>
    <col min="14310" max="14310" width="10.109375" style="433" customWidth="1"/>
    <col min="14311" max="14557" width="9.109375" style="433"/>
    <col min="14558" max="14558" width="6.44140625" style="433" customWidth="1"/>
    <col min="14559" max="14565" width="9.109375" style="433"/>
    <col min="14566" max="14566" width="10.109375" style="433" customWidth="1"/>
    <col min="14567" max="14813" width="9.109375" style="433"/>
    <col min="14814" max="14814" width="6.44140625" style="433" customWidth="1"/>
    <col min="14815" max="14821" width="9.109375" style="433"/>
    <col min="14822" max="14822" width="10.109375" style="433" customWidth="1"/>
    <col min="14823" max="15069" width="9.109375" style="433"/>
    <col min="15070" max="15070" width="6.44140625" style="433" customWidth="1"/>
    <col min="15071" max="15077" width="9.109375" style="433"/>
    <col min="15078" max="15078" width="10.109375" style="433" customWidth="1"/>
    <col min="15079" max="15325" width="9.109375" style="433"/>
    <col min="15326" max="15326" width="6.44140625" style="433" customWidth="1"/>
    <col min="15327" max="15333" width="9.109375" style="433"/>
    <col min="15334" max="15334" width="10.109375" style="433" customWidth="1"/>
    <col min="15335" max="15581" width="9.109375" style="433"/>
    <col min="15582" max="15582" width="6.44140625" style="433" customWidth="1"/>
    <col min="15583" max="15589" width="9.109375" style="433"/>
    <col min="15590" max="15590" width="10.109375" style="433" customWidth="1"/>
    <col min="15591" max="15837" width="9.109375" style="433"/>
    <col min="15838" max="15838" width="6.44140625" style="433" customWidth="1"/>
    <col min="15839" max="15845" width="9.109375" style="433"/>
    <col min="15846" max="15846" width="10.109375" style="433" customWidth="1"/>
    <col min="15847" max="16093" width="9.109375" style="433"/>
    <col min="16094" max="16094" width="6.44140625" style="433" customWidth="1"/>
    <col min="16095" max="16101" width="9.109375" style="433"/>
    <col min="16102" max="16102" width="10.109375" style="433" customWidth="1"/>
    <col min="16103" max="16384" width="9.109375" style="433"/>
  </cols>
  <sheetData>
    <row r="1" spans="1:7" s="373" customFormat="1" ht="15">
      <c r="A1" s="763"/>
    </row>
    <row r="2" spans="1:7" s="373" customFormat="1" ht="15.6">
      <c r="A2" s="14620" t="s">
        <v>1749</v>
      </c>
      <c r="B2" s="14620"/>
      <c r="C2" s="14620"/>
      <c r="D2" s="14620"/>
      <c r="E2" s="14620"/>
      <c r="F2" s="14620"/>
      <c r="G2" s="14620"/>
    </row>
    <row r="3" spans="1:7" s="373" customFormat="1" ht="15.6">
      <c r="A3" s="762"/>
    </row>
    <row r="4" spans="1:7" s="373" customFormat="1" ht="15.6">
      <c r="A4" s="760" t="s">
        <v>2734</v>
      </c>
    </row>
    <row r="5" spans="1:7" s="373" customFormat="1" ht="15.6">
      <c r="A5" s="973" t="s">
        <v>9504</v>
      </c>
      <c r="C5" s="475"/>
    </row>
    <row r="6" spans="1:7" s="373" customFormat="1" ht="13.5" customHeight="1">
      <c r="A6" s="694"/>
    </row>
    <row r="7" spans="1:7" s="373" customFormat="1" ht="20.25" customHeight="1">
      <c r="A7" s="761" t="s">
        <v>2054</v>
      </c>
    </row>
    <row r="8" spans="1:7" s="373" customFormat="1" ht="17.25" customHeight="1">
      <c r="A8" s="761"/>
    </row>
    <row r="9" spans="1:7" s="1140" customFormat="1" ht="81.75" customHeight="1">
      <c r="A9" s="1141">
        <v>1</v>
      </c>
      <c r="B9" s="14622" t="s">
        <v>3032</v>
      </c>
      <c r="C9" s="14622"/>
      <c r="D9" s="14622"/>
      <c r="E9" s="14622"/>
      <c r="F9" s="14622"/>
      <c r="G9" s="14622"/>
    </row>
    <row r="10" spans="1:7" s="1140" customFormat="1" ht="41.25" customHeight="1">
      <c r="A10" s="1141">
        <v>2</v>
      </c>
      <c r="B10" s="14622" t="s">
        <v>3033</v>
      </c>
      <c r="C10" s="14622"/>
      <c r="D10" s="14622"/>
      <c r="E10" s="14622"/>
      <c r="F10" s="14622"/>
      <c r="G10" s="14622"/>
    </row>
    <row r="11" spans="1:7" s="1140" customFormat="1" ht="26.25" customHeight="1">
      <c r="A11" s="1141">
        <v>3</v>
      </c>
      <c r="B11" s="14622" t="s">
        <v>3034</v>
      </c>
      <c r="C11" s="14622"/>
      <c r="D11" s="14622"/>
      <c r="E11" s="14622"/>
      <c r="F11" s="14622"/>
      <c r="G11" s="14622"/>
    </row>
    <row r="12" spans="1:7" s="1140" customFormat="1" ht="55.5" customHeight="1">
      <c r="A12" s="1141">
        <v>4</v>
      </c>
      <c r="B12" s="14622" t="s">
        <v>3035</v>
      </c>
      <c r="C12" s="14622"/>
      <c r="D12" s="14622"/>
      <c r="E12" s="14622"/>
      <c r="F12" s="14622"/>
      <c r="G12" s="14622"/>
    </row>
    <row r="13" spans="1:7" s="1140" customFormat="1" ht="63.75" customHeight="1">
      <c r="A13" s="1141">
        <v>5</v>
      </c>
      <c r="B13" s="14622" t="s">
        <v>3036</v>
      </c>
      <c r="C13" s="14622"/>
      <c r="D13" s="14622"/>
      <c r="E13" s="14622"/>
      <c r="F13" s="14622"/>
      <c r="G13" s="14622"/>
    </row>
    <row r="14" spans="1:7" s="1140" customFormat="1" ht="13.8">
      <c r="A14" s="1327" t="s">
        <v>3042</v>
      </c>
      <c r="B14" s="1310"/>
      <c r="C14" s="1310"/>
      <c r="D14" s="1310"/>
      <c r="E14" s="1310"/>
      <c r="F14" s="1310"/>
      <c r="G14" s="1310"/>
    </row>
    <row r="15" spans="1:7" s="1140" customFormat="1" ht="23.25" customHeight="1">
      <c r="A15" s="1327" t="s">
        <v>3043</v>
      </c>
      <c r="B15" s="1310"/>
      <c r="C15" s="1310"/>
      <c r="D15" s="1310"/>
      <c r="E15" s="1310"/>
      <c r="F15" s="1310"/>
      <c r="G15" s="1310"/>
    </row>
    <row r="16" spans="1:7" s="1140" customFormat="1" ht="54.75" customHeight="1">
      <c r="A16" s="1141">
        <v>6</v>
      </c>
      <c r="B16" s="14622" t="s">
        <v>3555</v>
      </c>
      <c r="C16" s="14622"/>
      <c r="D16" s="14622"/>
      <c r="E16" s="14622"/>
      <c r="F16" s="14622"/>
      <c r="G16" s="14622"/>
    </row>
    <row r="17" spans="1:7" s="1140" customFormat="1" ht="18" customHeight="1">
      <c r="A17" s="1141"/>
      <c r="B17" s="5091"/>
      <c r="C17" s="5091"/>
      <c r="D17" s="5091"/>
      <c r="E17" s="5091"/>
      <c r="F17" s="5091"/>
      <c r="G17" s="5091"/>
    </row>
    <row r="18" spans="1:7" ht="15.6">
      <c r="A18" s="761" t="s">
        <v>1753</v>
      </c>
      <c r="B18" s="681"/>
      <c r="C18" s="681"/>
      <c r="D18" s="681"/>
      <c r="E18" s="681"/>
      <c r="F18" s="681"/>
      <c r="G18" s="681"/>
    </row>
    <row r="19" spans="1:7" ht="15.6">
      <c r="A19" s="762"/>
      <c r="B19" s="681"/>
      <c r="C19" s="681"/>
      <c r="D19" s="681"/>
      <c r="E19" s="681"/>
      <c r="F19" s="681"/>
      <c r="G19" s="681"/>
    </row>
    <row r="20" spans="1:7" s="1140" customFormat="1" ht="34.5" customHeight="1">
      <c r="A20" s="1141">
        <v>1</v>
      </c>
      <c r="B20" s="14622" t="s">
        <v>3037</v>
      </c>
      <c r="C20" s="14622"/>
      <c r="D20" s="14622"/>
      <c r="E20" s="14622"/>
      <c r="F20" s="14622"/>
      <c r="G20" s="14622"/>
    </row>
    <row r="21" spans="1:7" s="1140" customFormat="1" ht="36.75" customHeight="1">
      <c r="A21" s="1141">
        <v>2</v>
      </c>
      <c r="B21" s="14622" t="s">
        <v>3038</v>
      </c>
      <c r="C21" s="14622"/>
      <c r="D21" s="14622"/>
      <c r="E21" s="14622"/>
      <c r="F21" s="14622"/>
      <c r="G21" s="14622"/>
    </row>
    <row r="22" spans="1:7" s="1140" customFormat="1" ht="51.75" customHeight="1">
      <c r="A22" s="1141">
        <v>3</v>
      </c>
      <c r="B22" s="14622" t="s">
        <v>3556</v>
      </c>
      <c r="C22" s="14622"/>
      <c r="D22" s="14622"/>
      <c r="E22" s="14622"/>
      <c r="F22" s="14622"/>
      <c r="G22" s="14622"/>
    </row>
    <row r="23" spans="1:7" s="1140" customFormat="1" ht="53.25" customHeight="1">
      <c r="A23" s="1141">
        <v>4</v>
      </c>
      <c r="B23" s="14622" t="s">
        <v>3039</v>
      </c>
      <c r="C23" s="14622"/>
      <c r="D23" s="14622"/>
      <c r="E23" s="14622"/>
      <c r="F23" s="14622"/>
      <c r="G23" s="14622"/>
    </row>
    <row r="24" spans="1:7" s="1140" customFormat="1" ht="38.25" customHeight="1">
      <c r="A24" s="1141">
        <v>5</v>
      </c>
      <c r="B24" s="14622" t="s">
        <v>3040</v>
      </c>
      <c r="C24" s="14622"/>
      <c r="D24" s="14622"/>
      <c r="E24" s="14622"/>
      <c r="F24" s="14622"/>
      <c r="G24" s="14622"/>
    </row>
    <row r="25" spans="1:7" s="1140" customFormat="1" ht="27" customHeight="1">
      <c r="A25" s="1141">
        <v>6</v>
      </c>
      <c r="B25" s="14619" t="s">
        <v>3041</v>
      </c>
      <c r="C25" s="14619"/>
      <c r="D25" s="14619"/>
      <c r="E25" s="14619"/>
      <c r="F25" s="14619"/>
      <c r="G25" s="14619"/>
    </row>
    <row r="26" spans="1:7" s="1140" customFormat="1" ht="33" customHeight="1">
      <c r="A26" s="1141">
        <v>7</v>
      </c>
      <c r="B26" s="14622" t="s">
        <v>3557</v>
      </c>
      <c r="C26" s="14622"/>
      <c r="D26" s="14622"/>
      <c r="E26" s="14622"/>
      <c r="F26" s="14622"/>
      <c r="G26" s="14622"/>
    </row>
    <row r="28" spans="1:7">
      <c r="A28" s="767"/>
      <c r="B28" s="685"/>
      <c r="C28" s="764"/>
      <c r="D28" s="685"/>
      <c r="E28" s="685"/>
      <c r="F28" s="685"/>
      <c r="G28" s="685"/>
    </row>
    <row r="29" spans="1:7">
      <c r="A29" s="767"/>
      <c r="B29" s="685"/>
      <c r="C29" s="764"/>
      <c r="D29" s="685"/>
      <c r="E29" s="685"/>
      <c r="F29" s="685"/>
      <c r="G29" s="685"/>
    </row>
    <row r="30" spans="1:7">
      <c r="A30" s="767"/>
      <c r="B30" s="685"/>
      <c r="C30" s="764"/>
      <c r="D30" s="685"/>
      <c r="E30" s="685"/>
      <c r="F30" s="685"/>
      <c r="G30" s="685"/>
    </row>
    <row r="31" spans="1:7" s="375" customFormat="1" ht="15.6">
      <c r="A31" s="696" t="s">
        <v>2704</v>
      </c>
      <c r="B31" s="770"/>
      <c r="C31" s="771"/>
      <c r="D31" s="772"/>
      <c r="E31" s="772"/>
      <c r="F31" s="772"/>
      <c r="G31" s="773" t="s">
        <v>9</v>
      </c>
    </row>
    <row r="32" spans="1:7" ht="8.25" customHeight="1" thickBot="1">
      <c r="A32" s="767"/>
      <c r="B32" s="685"/>
      <c r="C32" s="764"/>
      <c r="D32" s="685"/>
      <c r="E32" s="685"/>
      <c r="F32" s="685"/>
      <c r="G32" s="685"/>
    </row>
    <row r="33" spans="1:7" s="1026" customFormat="1" ht="5.25" customHeight="1" thickTop="1">
      <c r="A33" s="1011"/>
      <c r="B33" s="1022"/>
      <c r="C33" s="1023"/>
      <c r="D33" s="1022"/>
      <c r="E33" s="1022"/>
      <c r="F33" s="1024"/>
      <c r="G33" s="1025"/>
    </row>
    <row r="34" spans="1:7" s="1026" customFormat="1">
      <c r="A34" s="1012" t="s">
        <v>1981</v>
      </c>
      <c r="B34" s="1013" t="s">
        <v>2705</v>
      </c>
      <c r="C34" s="1014"/>
      <c r="D34" s="1015" t="s">
        <v>1979</v>
      </c>
      <c r="E34" s="1015"/>
      <c r="F34" s="14803" t="s">
        <v>2706</v>
      </c>
      <c r="G34" s="14804"/>
    </row>
    <row r="35" spans="1:7" s="1026" customFormat="1">
      <c r="A35" s="1012" t="s">
        <v>1977</v>
      </c>
      <c r="B35" s="1013" t="s">
        <v>2707</v>
      </c>
      <c r="C35" s="1014" t="s">
        <v>1736</v>
      </c>
      <c r="D35" s="1013" t="s">
        <v>1804</v>
      </c>
      <c r="E35" s="1013" t="s">
        <v>1764</v>
      </c>
      <c r="F35" s="14805" t="s">
        <v>2708</v>
      </c>
      <c r="G35" s="14806"/>
    </row>
    <row r="36" spans="1:7" s="1026" customFormat="1">
      <c r="A36" s="1017" t="s">
        <v>472</v>
      </c>
      <c r="B36" s="1018" t="s">
        <v>473</v>
      </c>
      <c r="C36" s="1019" t="s">
        <v>474</v>
      </c>
      <c r="D36" s="1020" t="s">
        <v>475</v>
      </c>
      <c r="E36" s="1020" t="s">
        <v>476</v>
      </c>
      <c r="F36" s="1021" t="s">
        <v>2149</v>
      </c>
      <c r="G36" s="1016" t="s">
        <v>2709</v>
      </c>
    </row>
    <row r="37" spans="1:7" ht="4.5" customHeight="1" thickBot="1">
      <c r="A37" s="768"/>
      <c r="B37" s="686"/>
      <c r="C37" s="765"/>
      <c r="D37" s="686"/>
      <c r="E37" s="686"/>
      <c r="F37" s="687"/>
      <c r="G37" s="688"/>
    </row>
    <row r="38" spans="1:7" ht="9.75" customHeight="1" thickTop="1">
      <c r="A38" s="769"/>
      <c r="B38" s="689"/>
      <c r="C38" s="766"/>
      <c r="D38" s="689"/>
      <c r="E38" s="689"/>
      <c r="F38" s="690"/>
      <c r="G38" s="691"/>
    </row>
    <row r="39" spans="1:7" s="1140" customFormat="1" ht="65.25" customHeight="1">
      <c r="A39" s="5096"/>
      <c r="B39" s="5097" t="s">
        <v>2710</v>
      </c>
      <c r="C39" s="5098"/>
      <c r="D39" s="5099" t="s">
        <v>2711</v>
      </c>
      <c r="E39" s="5100" t="s">
        <v>3558</v>
      </c>
      <c r="F39" s="5101" t="s">
        <v>1814</v>
      </c>
      <c r="G39" s="5102" t="s">
        <v>1972</v>
      </c>
    </row>
    <row r="40" spans="1:7" s="1140" customFormat="1" ht="84.75" customHeight="1">
      <c r="A40" s="5103"/>
      <c r="B40" s="5097" t="s">
        <v>3559</v>
      </c>
      <c r="C40" s="5104"/>
      <c r="D40" s="5099" t="s">
        <v>2712</v>
      </c>
      <c r="E40" s="5100" t="s">
        <v>3558</v>
      </c>
      <c r="F40" s="5105" t="s">
        <v>1814</v>
      </c>
      <c r="G40" s="5106" t="s">
        <v>1743</v>
      </c>
    </row>
    <row r="41" spans="1:7" s="1140" customFormat="1" ht="84.75" customHeight="1">
      <c r="A41" s="5103"/>
      <c r="B41" s="5097" t="s">
        <v>2713</v>
      </c>
      <c r="C41" s="5104"/>
      <c r="D41" s="5099" t="s">
        <v>2714</v>
      </c>
      <c r="E41" s="5100" t="s">
        <v>3558</v>
      </c>
      <c r="F41" s="5105" t="s">
        <v>1814</v>
      </c>
      <c r="G41" s="5106" t="s">
        <v>1743</v>
      </c>
    </row>
    <row r="42" spans="1:7" s="1140" customFormat="1" ht="51.75" customHeight="1">
      <c r="A42" s="5103"/>
      <c r="B42" s="5097" t="s">
        <v>2715</v>
      </c>
      <c r="C42" s="5104"/>
      <c r="D42" s="5099" t="s">
        <v>2716</v>
      </c>
      <c r="E42" s="5100" t="s">
        <v>3558</v>
      </c>
      <c r="F42" s="5105" t="s">
        <v>1814</v>
      </c>
      <c r="G42" s="5106" t="s">
        <v>1743</v>
      </c>
    </row>
    <row r="43" spans="1:7" s="1140" customFormat="1" ht="67.5" customHeight="1">
      <c r="A43" s="5103"/>
      <c r="B43" s="5097" t="s">
        <v>2717</v>
      </c>
      <c r="C43" s="5104"/>
      <c r="D43" s="5099" t="s">
        <v>2718</v>
      </c>
      <c r="E43" s="5100" t="s">
        <v>3558</v>
      </c>
      <c r="F43" s="5105" t="s">
        <v>1742</v>
      </c>
      <c r="G43" s="5106" t="s">
        <v>1747</v>
      </c>
    </row>
    <row r="44" spans="1:7" s="1140" customFormat="1" ht="42.75" customHeight="1">
      <c r="A44" s="5103"/>
      <c r="B44" s="5097" t="s">
        <v>2719</v>
      </c>
      <c r="C44" s="5104"/>
      <c r="D44" s="5099" t="s">
        <v>2720</v>
      </c>
      <c r="E44" s="5100" t="s">
        <v>3558</v>
      </c>
      <c r="F44" s="5105" t="s">
        <v>1814</v>
      </c>
      <c r="G44" s="5106" t="s">
        <v>1743</v>
      </c>
    </row>
    <row r="45" spans="1:7" s="1140" customFormat="1" ht="159.75" customHeight="1">
      <c r="A45" s="5103"/>
      <c r="B45" s="5097" t="s">
        <v>2721</v>
      </c>
      <c r="C45" s="5104"/>
      <c r="D45" s="5099" t="s">
        <v>2720</v>
      </c>
      <c r="E45" s="5100" t="s">
        <v>3558</v>
      </c>
      <c r="F45" s="5105" t="s">
        <v>1825</v>
      </c>
      <c r="G45" s="5106" t="s">
        <v>1743</v>
      </c>
    </row>
    <row r="46" spans="1:7" s="1140" customFormat="1" ht="55.5" customHeight="1">
      <c r="A46" s="5103"/>
      <c r="B46" s="5097" t="s">
        <v>2722</v>
      </c>
      <c r="C46" s="5104"/>
      <c r="D46" s="5099" t="s">
        <v>2723</v>
      </c>
      <c r="E46" s="5100" t="s">
        <v>3558</v>
      </c>
      <c r="F46" s="5105" t="s">
        <v>1814</v>
      </c>
      <c r="G46" s="5106" t="s">
        <v>1743</v>
      </c>
    </row>
    <row r="47" spans="1:7" s="1140" customFormat="1" ht="67.5" customHeight="1">
      <c r="A47" s="5103"/>
      <c r="B47" s="5097" t="s">
        <v>2724</v>
      </c>
      <c r="C47" s="5104"/>
      <c r="D47" s="5099" t="s">
        <v>2725</v>
      </c>
      <c r="E47" s="5100" t="s">
        <v>3558</v>
      </c>
      <c r="F47" s="5105" t="s">
        <v>1825</v>
      </c>
      <c r="G47" s="5106" t="s">
        <v>1743</v>
      </c>
    </row>
    <row r="48" spans="1:7" s="1140" customFormat="1" ht="78.75" customHeight="1" thickBot="1">
      <c r="A48" s="5103"/>
      <c r="B48" s="5097" t="s">
        <v>2726</v>
      </c>
      <c r="C48" s="5104"/>
      <c r="D48" s="5099" t="s">
        <v>2720</v>
      </c>
      <c r="E48" s="5100" t="s">
        <v>3558</v>
      </c>
      <c r="F48" s="5105" t="s">
        <v>1814</v>
      </c>
      <c r="G48" s="5106" t="s">
        <v>1743</v>
      </c>
    </row>
    <row r="49" spans="1:7" s="1140" customFormat="1" ht="14.25" customHeight="1" thickTop="1">
      <c r="A49" s="5117"/>
      <c r="B49" s="5118"/>
      <c r="C49" s="5119"/>
      <c r="D49" s="5117"/>
      <c r="E49" s="5120"/>
      <c r="F49" s="5117"/>
      <c r="G49" s="5117"/>
    </row>
    <row r="50" spans="1:7" s="1140" customFormat="1" ht="14.25" customHeight="1">
      <c r="A50" s="5115"/>
      <c r="B50" s="5121"/>
      <c r="C50" s="5122"/>
      <c r="D50" s="5115"/>
      <c r="E50" s="5123"/>
      <c r="F50" s="5115"/>
      <c r="G50" s="5115"/>
    </row>
    <row r="51" spans="1:7" s="1140" customFormat="1" ht="14.25" customHeight="1" thickBot="1">
      <c r="A51" s="5124"/>
      <c r="B51" s="5125"/>
      <c r="C51" s="5126"/>
      <c r="D51" s="5124"/>
      <c r="E51" s="5127"/>
      <c r="F51" s="5124"/>
      <c r="G51" s="5124"/>
    </row>
    <row r="52" spans="1:7" s="1026" customFormat="1" ht="5.25" customHeight="1" thickTop="1">
      <c r="A52" s="1011"/>
      <c r="B52" s="1022"/>
      <c r="C52" s="1023"/>
      <c r="D52" s="1022"/>
      <c r="E52" s="1022"/>
      <c r="F52" s="1024"/>
      <c r="G52" s="1025"/>
    </row>
    <row r="53" spans="1:7" s="1026" customFormat="1">
      <c r="A53" s="1012" t="s">
        <v>1981</v>
      </c>
      <c r="B53" s="1013" t="s">
        <v>2705</v>
      </c>
      <c r="C53" s="1014"/>
      <c r="D53" s="1015" t="s">
        <v>1979</v>
      </c>
      <c r="E53" s="1015"/>
      <c r="F53" s="14803" t="s">
        <v>2706</v>
      </c>
      <c r="G53" s="14804"/>
    </row>
    <row r="54" spans="1:7" s="1026" customFormat="1">
      <c r="A54" s="1012" t="s">
        <v>1977</v>
      </c>
      <c r="B54" s="1013" t="s">
        <v>2707</v>
      </c>
      <c r="C54" s="1014" t="s">
        <v>1736</v>
      </c>
      <c r="D54" s="1013" t="s">
        <v>1804</v>
      </c>
      <c r="E54" s="1013" t="s">
        <v>1764</v>
      </c>
      <c r="F54" s="14805" t="s">
        <v>2708</v>
      </c>
      <c r="G54" s="14806"/>
    </row>
    <row r="55" spans="1:7" s="1026" customFormat="1">
      <c r="A55" s="1017" t="s">
        <v>472</v>
      </c>
      <c r="B55" s="1018" t="s">
        <v>473</v>
      </c>
      <c r="C55" s="1019" t="s">
        <v>474</v>
      </c>
      <c r="D55" s="1020" t="s">
        <v>475</v>
      </c>
      <c r="E55" s="1020" t="s">
        <v>476</v>
      </c>
      <c r="F55" s="1021" t="s">
        <v>2149</v>
      </c>
      <c r="G55" s="5092" t="s">
        <v>2709</v>
      </c>
    </row>
    <row r="56" spans="1:7" ht="4.5" customHeight="1" thickBot="1">
      <c r="A56" s="768"/>
      <c r="B56" s="686"/>
      <c r="C56" s="765"/>
      <c r="D56" s="686"/>
      <c r="E56" s="686"/>
      <c r="F56" s="687"/>
      <c r="G56" s="688"/>
    </row>
    <row r="57" spans="1:7" s="1140" customFormat="1" ht="111.75" customHeight="1" thickTop="1">
      <c r="A57" s="5103"/>
      <c r="B57" s="5097" t="s">
        <v>2727</v>
      </c>
      <c r="C57" s="5104"/>
      <c r="D57" s="5099" t="s">
        <v>2728</v>
      </c>
      <c r="E57" s="5100" t="s">
        <v>3558</v>
      </c>
      <c r="F57" s="5105" t="s">
        <v>1814</v>
      </c>
      <c r="G57" s="5106" t="s">
        <v>1743</v>
      </c>
    </row>
    <row r="58" spans="1:7" s="1140" customFormat="1" ht="85.5" customHeight="1">
      <c r="A58" s="5103"/>
      <c r="B58" s="5107" t="s">
        <v>2729</v>
      </c>
      <c r="C58" s="5104"/>
      <c r="D58" s="5099" t="s">
        <v>2730</v>
      </c>
      <c r="E58" s="5100" t="s">
        <v>3558</v>
      </c>
      <c r="F58" s="5105" t="s">
        <v>1814</v>
      </c>
      <c r="G58" s="5106" t="s">
        <v>1743</v>
      </c>
    </row>
    <row r="59" spans="1:7" s="1140" customFormat="1" ht="81" customHeight="1">
      <c r="A59" s="5096"/>
      <c r="B59" s="5097" t="s">
        <v>2731</v>
      </c>
      <c r="C59" s="5098"/>
      <c r="D59" s="5099" t="s">
        <v>2732</v>
      </c>
      <c r="E59" s="5100" t="s">
        <v>3558</v>
      </c>
      <c r="F59" s="5101" t="s">
        <v>1814</v>
      </c>
      <c r="G59" s="5102" t="s">
        <v>1743</v>
      </c>
    </row>
    <row r="60" spans="1:7" s="1140" customFormat="1" ht="27.6">
      <c r="A60" s="5103"/>
      <c r="B60" s="5097" t="s">
        <v>2733</v>
      </c>
      <c r="C60" s="5104"/>
      <c r="D60" s="5097" t="s">
        <v>2720</v>
      </c>
      <c r="E60" s="5100" t="s">
        <v>3558</v>
      </c>
      <c r="F60" s="5101" t="s">
        <v>1814</v>
      </c>
      <c r="G60" s="5102" t="s">
        <v>1743</v>
      </c>
    </row>
    <row r="61" spans="1:7" s="1140" customFormat="1" ht="13.8">
      <c r="A61" s="5103"/>
      <c r="B61" s="5112"/>
      <c r="C61" s="5113"/>
      <c r="D61" s="5112"/>
      <c r="E61" s="5114"/>
      <c r="F61" s="5116"/>
      <c r="G61" s="5102"/>
    </row>
    <row r="62" spans="1:7" s="1140" customFormat="1" ht="14.4" thickBot="1">
      <c r="A62" s="5108"/>
      <c r="B62" s="5109" t="s">
        <v>220</v>
      </c>
      <c r="C62" s="5110">
        <f>SUM(C38:C60)</f>
        <v>0</v>
      </c>
      <c r="D62" s="5109"/>
      <c r="E62" s="5109"/>
      <c r="F62" s="5109"/>
      <c r="G62" s="5111"/>
    </row>
    <row r="63" spans="1:7" ht="13.8" thickTop="1"/>
  </sheetData>
  <mergeCells count="18">
    <mergeCell ref="B22:G22"/>
    <mergeCell ref="B23:G23"/>
    <mergeCell ref="B24:G24"/>
    <mergeCell ref="B25:G25"/>
    <mergeCell ref="B9:G9"/>
    <mergeCell ref="B10:G10"/>
    <mergeCell ref="B11:G11"/>
    <mergeCell ref="B12:G12"/>
    <mergeCell ref="A2:G2"/>
    <mergeCell ref="B13:G13"/>
    <mergeCell ref="B16:G16"/>
    <mergeCell ref="B20:G20"/>
    <mergeCell ref="B21:G21"/>
    <mergeCell ref="F53:G53"/>
    <mergeCell ref="F54:G54"/>
    <mergeCell ref="F34:G34"/>
    <mergeCell ref="F35:G35"/>
    <mergeCell ref="B26:G26"/>
  </mergeCells>
  <pageMargins left="0.5" right="0.5" top="0.75" bottom="0.5" header="0.5" footer="0.25"/>
  <pageSetup paperSize="119" firstPageNumber="149" orientation="portrait" useFirstPageNumber="1" horizontalDpi="300" verticalDpi="300" r:id="rId1"/>
  <headerFooter alignWithMargins="0"/>
</worksheet>
</file>

<file path=xl/worksheets/sheet9.xml><?xml version="1.0" encoding="utf-8"?>
<worksheet xmlns="http://schemas.openxmlformats.org/spreadsheetml/2006/main" xmlns:r="http://schemas.openxmlformats.org/officeDocument/2006/relationships">
  <sheetPr codeName="Sheet26">
    <tabColor rgb="FFFFFF00"/>
  </sheetPr>
  <dimension ref="A1:H70"/>
  <sheetViews>
    <sheetView showGridLines="0" topLeftCell="A28" workbookViewId="0">
      <selection activeCell="D12" sqref="D12"/>
    </sheetView>
  </sheetViews>
  <sheetFormatPr defaultRowHeight="13.8"/>
  <cols>
    <col min="1" max="1" width="3.88671875" style="2" customWidth="1"/>
    <col min="2" max="2" width="44.109375" style="2" customWidth="1"/>
    <col min="3" max="3" width="9.88671875" style="2" customWidth="1"/>
    <col min="4" max="4" width="11.88671875" style="2" customWidth="1"/>
    <col min="5" max="5" width="12.44140625" style="2" customWidth="1"/>
    <col min="6" max="6" width="15.44140625" style="107" customWidth="1"/>
    <col min="7" max="7" width="9.109375" style="2"/>
    <col min="8" max="8" width="10.109375" style="2" bestFit="1" customWidth="1"/>
    <col min="9" max="256" width="9.109375" style="2"/>
    <col min="257" max="257" width="3.88671875" style="2" customWidth="1"/>
    <col min="258" max="258" width="37.109375" style="2" customWidth="1"/>
    <col min="259" max="259" width="15.88671875" style="2" customWidth="1"/>
    <col min="260" max="260" width="13.44140625" style="2" customWidth="1"/>
    <col min="261" max="261" width="14.109375" style="2" customWidth="1"/>
    <col min="262" max="262" width="16.44140625" style="2" customWidth="1"/>
    <col min="263" max="512" width="9.109375" style="2"/>
    <col min="513" max="513" width="3.88671875" style="2" customWidth="1"/>
    <col min="514" max="514" width="37.109375" style="2" customWidth="1"/>
    <col min="515" max="515" width="15.88671875" style="2" customWidth="1"/>
    <col min="516" max="516" width="13.44140625" style="2" customWidth="1"/>
    <col min="517" max="517" width="14.109375" style="2" customWidth="1"/>
    <col min="518" max="518" width="16.44140625" style="2" customWidth="1"/>
    <col min="519" max="768" width="9.109375" style="2"/>
    <col min="769" max="769" width="3.88671875" style="2" customWidth="1"/>
    <col min="770" max="770" width="37.109375" style="2" customWidth="1"/>
    <col min="771" max="771" width="15.88671875" style="2" customWidth="1"/>
    <col min="772" max="772" width="13.44140625" style="2" customWidth="1"/>
    <col min="773" max="773" width="14.109375" style="2" customWidth="1"/>
    <col min="774" max="774" width="16.44140625" style="2" customWidth="1"/>
    <col min="775" max="1024" width="9.109375" style="2"/>
    <col min="1025" max="1025" width="3.88671875" style="2" customWidth="1"/>
    <col min="1026" max="1026" width="37.109375" style="2" customWidth="1"/>
    <col min="1027" max="1027" width="15.88671875" style="2" customWidth="1"/>
    <col min="1028" max="1028" width="13.44140625" style="2" customWidth="1"/>
    <col min="1029" max="1029" width="14.109375" style="2" customWidth="1"/>
    <col min="1030" max="1030" width="16.44140625" style="2" customWidth="1"/>
    <col min="1031" max="1280" width="9.109375" style="2"/>
    <col min="1281" max="1281" width="3.88671875" style="2" customWidth="1"/>
    <col min="1282" max="1282" width="37.109375" style="2" customWidth="1"/>
    <col min="1283" max="1283" width="15.88671875" style="2" customWidth="1"/>
    <col min="1284" max="1284" width="13.44140625" style="2" customWidth="1"/>
    <col min="1285" max="1285" width="14.109375" style="2" customWidth="1"/>
    <col min="1286" max="1286" width="16.44140625" style="2" customWidth="1"/>
    <col min="1287" max="1536" width="9.109375" style="2"/>
    <col min="1537" max="1537" width="3.88671875" style="2" customWidth="1"/>
    <col min="1538" max="1538" width="37.109375" style="2" customWidth="1"/>
    <col min="1539" max="1539" width="15.88671875" style="2" customWidth="1"/>
    <col min="1540" max="1540" width="13.44140625" style="2" customWidth="1"/>
    <col min="1541" max="1541" width="14.109375" style="2" customWidth="1"/>
    <col min="1542" max="1542" width="16.44140625" style="2" customWidth="1"/>
    <col min="1543" max="1792" width="9.109375" style="2"/>
    <col min="1793" max="1793" width="3.88671875" style="2" customWidth="1"/>
    <col min="1794" max="1794" width="37.109375" style="2" customWidth="1"/>
    <col min="1795" max="1795" width="15.88671875" style="2" customWidth="1"/>
    <col min="1796" max="1796" width="13.44140625" style="2" customWidth="1"/>
    <col min="1797" max="1797" width="14.109375" style="2" customWidth="1"/>
    <col min="1798" max="1798" width="16.44140625" style="2" customWidth="1"/>
    <col min="1799" max="2048" width="9.109375" style="2"/>
    <col min="2049" max="2049" width="3.88671875" style="2" customWidth="1"/>
    <col min="2050" max="2050" width="37.109375" style="2" customWidth="1"/>
    <col min="2051" max="2051" width="15.88671875" style="2" customWidth="1"/>
    <col min="2052" max="2052" width="13.44140625" style="2" customWidth="1"/>
    <col min="2053" max="2053" width="14.109375" style="2" customWidth="1"/>
    <col min="2054" max="2054" width="16.44140625" style="2" customWidth="1"/>
    <col min="2055" max="2304" width="9.109375" style="2"/>
    <col min="2305" max="2305" width="3.88671875" style="2" customWidth="1"/>
    <col min="2306" max="2306" width="37.109375" style="2" customWidth="1"/>
    <col min="2307" max="2307" width="15.88671875" style="2" customWidth="1"/>
    <col min="2308" max="2308" width="13.44140625" style="2" customWidth="1"/>
    <col min="2309" max="2309" width="14.109375" style="2" customWidth="1"/>
    <col min="2310" max="2310" width="16.44140625" style="2" customWidth="1"/>
    <col min="2311" max="2560" width="9.109375" style="2"/>
    <col min="2561" max="2561" width="3.88671875" style="2" customWidth="1"/>
    <col min="2562" max="2562" width="37.109375" style="2" customWidth="1"/>
    <col min="2563" max="2563" width="15.88671875" style="2" customWidth="1"/>
    <col min="2564" max="2564" width="13.44140625" style="2" customWidth="1"/>
    <col min="2565" max="2565" width="14.109375" style="2" customWidth="1"/>
    <col min="2566" max="2566" width="16.44140625" style="2" customWidth="1"/>
    <col min="2567" max="2816" width="9.109375" style="2"/>
    <col min="2817" max="2817" width="3.88671875" style="2" customWidth="1"/>
    <col min="2818" max="2818" width="37.109375" style="2" customWidth="1"/>
    <col min="2819" max="2819" width="15.88671875" style="2" customWidth="1"/>
    <col min="2820" max="2820" width="13.44140625" style="2" customWidth="1"/>
    <col min="2821" max="2821" width="14.109375" style="2" customWidth="1"/>
    <col min="2822" max="2822" width="16.44140625" style="2" customWidth="1"/>
    <col min="2823" max="3072" width="9.109375" style="2"/>
    <col min="3073" max="3073" width="3.88671875" style="2" customWidth="1"/>
    <col min="3074" max="3074" width="37.109375" style="2" customWidth="1"/>
    <col min="3075" max="3075" width="15.88671875" style="2" customWidth="1"/>
    <col min="3076" max="3076" width="13.44140625" style="2" customWidth="1"/>
    <col min="3077" max="3077" width="14.109375" style="2" customWidth="1"/>
    <col min="3078" max="3078" width="16.44140625" style="2" customWidth="1"/>
    <col min="3079" max="3328" width="9.109375" style="2"/>
    <col min="3329" max="3329" width="3.88671875" style="2" customWidth="1"/>
    <col min="3330" max="3330" width="37.109375" style="2" customWidth="1"/>
    <col min="3331" max="3331" width="15.88671875" style="2" customWidth="1"/>
    <col min="3332" max="3332" width="13.44140625" style="2" customWidth="1"/>
    <col min="3333" max="3333" width="14.109375" style="2" customWidth="1"/>
    <col min="3334" max="3334" width="16.44140625" style="2" customWidth="1"/>
    <col min="3335" max="3584" width="9.109375" style="2"/>
    <col min="3585" max="3585" width="3.88671875" style="2" customWidth="1"/>
    <col min="3586" max="3586" width="37.109375" style="2" customWidth="1"/>
    <col min="3587" max="3587" width="15.88671875" style="2" customWidth="1"/>
    <col min="3588" max="3588" width="13.44140625" style="2" customWidth="1"/>
    <col min="3589" max="3589" width="14.109375" style="2" customWidth="1"/>
    <col min="3590" max="3590" width="16.44140625" style="2" customWidth="1"/>
    <col min="3591" max="3840" width="9.109375" style="2"/>
    <col min="3841" max="3841" width="3.88671875" style="2" customWidth="1"/>
    <col min="3842" max="3842" width="37.109375" style="2" customWidth="1"/>
    <col min="3843" max="3843" width="15.88671875" style="2" customWidth="1"/>
    <col min="3844" max="3844" width="13.44140625" style="2" customWidth="1"/>
    <col min="3845" max="3845" width="14.109375" style="2" customWidth="1"/>
    <col min="3846" max="3846" width="16.44140625" style="2" customWidth="1"/>
    <col min="3847" max="4096" width="9.109375" style="2"/>
    <col min="4097" max="4097" width="3.88671875" style="2" customWidth="1"/>
    <col min="4098" max="4098" width="37.109375" style="2" customWidth="1"/>
    <col min="4099" max="4099" width="15.88671875" style="2" customWidth="1"/>
    <col min="4100" max="4100" width="13.44140625" style="2" customWidth="1"/>
    <col min="4101" max="4101" width="14.109375" style="2" customWidth="1"/>
    <col min="4102" max="4102" width="16.44140625" style="2" customWidth="1"/>
    <col min="4103" max="4352" width="9.109375" style="2"/>
    <col min="4353" max="4353" width="3.88671875" style="2" customWidth="1"/>
    <col min="4354" max="4354" width="37.109375" style="2" customWidth="1"/>
    <col min="4355" max="4355" width="15.88671875" style="2" customWidth="1"/>
    <col min="4356" max="4356" width="13.44140625" style="2" customWidth="1"/>
    <col min="4357" max="4357" width="14.109375" style="2" customWidth="1"/>
    <col min="4358" max="4358" width="16.44140625" style="2" customWidth="1"/>
    <col min="4359" max="4608" width="9.109375" style="2"/>
    <col min="4609" max="4609" width="3.88671875" style="2" customWidth="1"/>
    <col min="4610" max="4610" width="37.109375" style="2" customWidth="1"/>
    <col min="4611" max="4611" width="15.88671875" style="2" customWidth="1"/>
    <col min="4612" max="4612" width="13.44140625" style="2" customWidth="1"/>
    <col min="4613" max="4613" width="14.109375" style="2" customWidth="1"/>
    <col min="4614" max="4614" width="16.44140625" style="2" customWidth="1"/>
    <col min="4615" max="4864" width="9.109375" style="2"/>
    <col min="4865" max="4865" width="3.88671875" style="2" customWidth="1"/>
    <col min="4866" max="4866" width="37.109375" style="2" customWidth="1"/>
    <col min="4867" max="4867" width="15.88671875" style="2" customWidth="1"/>
    <col min="4868" max="4868" width="13.44140625" style="2" customWidth="1"/>
    <col min="4869" max="4869" width="14.109375" style="2" customWidth="1"/>
    <col min="4870" max="4870" width="16.44140625" style="2" customWidth="1"/>
    <col min="4871" max="5120" width="9.109375" style="2"/>
    <col min="5121" max="5121" width="3.88671875" style="2" customWidth="1"/>
    <col min="5122" max="5122" width="37.109375" style="2" customWidth="1"/>
    <col min="5123" max="5123" width="15.88671875" style="2" customWidth="1"/>
    <col min="5124" max="5124" width="13.44140625" style="2" customWidth="1"/>
    <col min="5125" max="5125" width="14.109375" style="2" customWidth="1"/>
    <col min="5126" max="5126" width="16.44140625" style="2" customWidth="1"/>
    <col min="5127" max="5376" width="9.109375" style="2"/>
    <col min="5377" max="5377" width="3.88671875" style="2" customWidth="1"/>
    <col min="5378" max="5378" width="37.109375" style="2" customWidth="1"/>
    <col min="5379" max="5379" width="15.88671875" style="2" customWidth="1"/>
    <col min="5380" max="5380" width="13.44140625" style="2" customWidth="1"/>
    <col min="5381" max="5381" width="14.109375" style="2" customWidth="1"/>
    <col min="5382" max="5382" width="16.44140625" style="2" customWidth="1"/>
    <col min="5383" max="5632" width="9.109375" style="2"/>
    <col min="5633" max="5633" width="3.88671875" style="2" customWidth="1"/>
    <col min="5634" max="5634" width="37.109375" style="2" customWidth="1"/>
    <col min="5635" max="5635" width="15.88671875" style="2" customWidth="1"/>
    <col min="5636" max="5636" width="13.44140625" style="2" customWidth="1"/>
    <col min="5637" max="5637" width="14.109375" style="2" customWidth="1"/>
    <col min="5638" max="5638" width="16.44140625" style="2" customWidth="1"/>
    <col min="5639" max="5888" width="9.109375" style="2"/>
    <col min="5889" max="5889" width="3.88671875" style="2" customWidth="1"/>
    <col min="5890" max="5890" width="37.109375" style="2" customWidth="1"/>
    <col min="5891" max="5891" width="15.88671875" style="2" customWidth="1"/>
    <col min="5892" max="5892" width="13.44140625" style="2" customWidth="1"/>
    <col min="5893" max="5893" width="14.109375" style="2" customWidth="1"/>
    <col min="5894" max="5894" width="16.44140625" style="2" customWidth="1"/>
    <col min="5895" max="6144" width="9.109375" style="2"/>
    <col min="6145" max="6145" width="3.88671875" style="2" customWidth="1"/>
    <col min="6146" max="6146" width="37.109375" style="2" customWidth="1"/>
    <col min="6147" max="6147" width="15.88671875" style="2" customWidth="1"/>
    <col min="6148" max="6148" width="13.44140625" style="2" customWidth="1"/>
    <col min="6149" max="6149" width="14.109375" style="2" customWidth="1"/>
    <col min="6150" max="6150" width="16.44140625" style="2" customWidth="1"/>
    <col min="6151" max="6400" width="9.109375" style="2"/>
    <col min="6401" max="6401" width="3.88671875" style="2" customWidth="1"/>
    <col min="6402" max="6402" width="37.109375" style="2" customWidth="1"/>
    <col min="6403" max="6403" width="15.88671875" style="2" customWidth="1"/>
    <col min="6404" max="6404" width="13.44140625" style="2" customWidth="1"/>
    <col min="6405" max="6405" width="14.109375" style="2" customWidth="1"/>
    <col min="6406" max="6406" width="16.44140625" style="2" customWidth="1"/>
    <col min="6407" max="6656" width="9.109375" style="2"/>
    <col min="6657" max="6657" width="3.88671875" style="2" customWidth="1"/>
    <col min="6658" max="6658" width="37.109375" style="2" customWidth="1"/>
    <col min="6659" max="6659" width="15.88671875" style="2" customWidth="1"/>
    <col min="6660" max="6660" width="13.44140625" style="2" customWidth="1"/>
    <col min="6661" max="6661" width="14.109375" style="2" customWidth="1"/>
    <col min="6662" max="6662" width="16.44140625" style="2" customWidth="1"/>
    <col min="6663" max="6912" width="9.109375" style="2"/>
    <col min="6913" max="6913" width="3.88671875" style="2" customWidth="1"/>
    <col min="6914" max="6914" width="37.109375" style="2" customWidth="1"/>
    <col min="6915" max="6915" width="15.88671875" style="2" customWidth="1"/>
    <col min="6916" max="6916" width="13.44140625" style="2" customWidth="1"/>
    <col min="6917" max="6917" width="14.109375" style="2" customWidth="1"/>
    <col min="6918" max="6918" width="16.44140625" style="2" customWidth="1"/>
    <col min="6919" max="7168" width="9.109375" style="2"/>
    <col min="7169" max="7169" width="3.88671875" style="2" customWidth="1"/>
    <col min="7170" max="7170" width="37.109375" style="2" customWidth="1"/>
    <col min="7171" max="7171" width="15.88671875" style="2" customWidth="1"/>
    <col min="7172" max="7172" width="13.44140625" style="2" customWidth="1"/>
    <col min="7173" max="7173" width="14.109375" style="2" customWidth="1"/>
    <col min="7174" max="7174" width="16.44140625" style="2" customWidth="1"/>
    <col min="7175" max="7424" width="9.109375" style="2"/>
    <col min="7425" max="7425" width="3.88671875" style="2" customWidth="1"/>
    <col min="7426" max="7426" width="37.109375" style="2" customWidth="1"/>
    <col min="7427" max="7427" width="15.88671875" style="2" customWidth="1"/>
    <col min="7428" max="7428" width="13.44140625" style="2" customWidth="1"/>
    <col min="7429" max="7429" width="14.109375" style="2" customWidth="1"/>
    <col min="7430" max="7430" width="16.44140625" style="2" customWidth="1"/>
    <col min="7431" max="7680" width="9.109375" style="2"/>
    <col min="7681" max="7681" width="3.88671875" style="2" customWidth="1"/>
    <col min="7682" max="7682" width="37.109375" style="2" customWidth="1"/>
    <col min="7683" max="7683" width="15.88671875" style="2" customWidth="1"/>
    <col min="7684" max="7684" width="13.44140625" style="2" customWidth="1"/>
    <col min="7685" max="7685" width="14.109375" style="2" customWidth="1"/>
    <col min="7686" max="7686" width="16.44140625" style="2" customWidth="1"/>
    <col min="7687" max="7936" width="9.109375" style="2"/>
    <col min="7937" max="7937" width="3.88671875" style="2" customWidth="1"/>
    <col min="7938" max="7938" width="37.109375" style="2" customWidth="1"/>
    <col min="7939" max="7939" width="15.88671875" style="2" customWidth="1"/>
    <col min="7940" max="7940" width="13.44140625" style="2" customWidth="1"/>
    <col min="7941" max="7941" width="14.109375" style="2" customWidth="1"/>
    <col min="7942" max="7942" width="16.44140625" style="2" customWidth="1"/>
    <col min="7943" max="8192" width="9.109375" style="2"/>
    <col min="8193" max="8193" width="3.88671875" style="2" customWidth="1"/>
    <col min="8194" max="8194" width="37.109375" style="2" customWidth="1"/>
    <col min="8195" max="8195" width="15.88671875" style="2" customWidth="1"/>
    <col min="8196" max="8196" width="13.44140625" style="2" customWidth="1"/>
    <col min="8197" max="8197" width="14.109375" style="2" customWidth="1"/>
    <col min="8198" max="8198" width="16.44140625" style="2" customWidth="1"/>
    <col min="8199" max="8448" width="9.109375" style="2"/>
    <col min="8449" max="8449" width="3.88671875" style="2" customWidth="1"/>
    <col min="8450" max="8450" width="37.109375" style="2" customWidth="1"/>
    <col min="8451" max="8451" width="15.88671875" style="2" customWidth="1"/>
    <col min="8452" max="8452" width="13.44140625" style="2" customWidth="1"/>
    <col min="8453" max="8453" width="14.109375" style="2" customWidth="1"/>
    <col min="8454" max="8454" width="16.44140625" style="2" customWidth="1"/>
    <col min="8455" max="8704" width="9.109375" style="2"/>
    <col min="8705" max="8705" width="3.88671875" style="2" customWidth="1"/>
    <col min="8706" max="8706" width="37.109375" style="2" customWidth="1"/>
    <col min="8707" max="8707" width="15.88671875" style="2" customWidth="1"/>
    <col min="8708" max="8708" width="13.44140625" style="2" customWidth="1"/>
    <col min="8709" max="8709" width="14.109375" style="2" customWidth="1"/>
    <col min="8710" max="8710" width="16.44140625" style="2" customWidth="1"/>
    <col min="8711" max="8960" width="9.109375" style="2"/>
    <col min="8961" max="8961" width="3.88671875" style="2" customWidth="1"/>
    <col min="8962" max="8962" width="37.109375" style="2" customWidth="1"/>
    <col min="8963" max="8963" width="15.88671875" style="2" customWidth="1"/>
    <col min="8964" max="8964" width="13.44140625" style="2" customWidth="1"/>
    <col min="8965" max="8965" width="14.109375" style="2" customWidth="1"/>
    <col min="8966" max="8966" width="16.44140625" style="2" customWidth="1"/>
    <col min="8967" max="9216" width="9.109375" style="2"/>
    <col min="9217" max="9217" width="3.88671875" style="2" customWidth="1"/>
    <col min="9218" max="9218" width="37.109375" style="2" customWidth="1"/>
    <col min="9219" max="9219" width="15.88671875" style="2" customWidth="1"/>
    <col min="9220" max="9220" width="13.44140625" style="2" customWidth="1"/>
    <col min="9221" max="9221" width="14.109375" style="2" customWidth="1"/>
    <col min="9222" max="9222" width="16.44140625" style="2" customWidth="1"/>
    <col min="9223" max="9472" width="9.109375" style="2"/>
    <col min="9473" max="9473" width="3.88671875" style="2" customWidth="1"/>
    <col min="9474" max="9474" width="37.109375" style="2" customWidth="1"/>
    <col min="9475" max="9475" width="15.88671875" style="2" customWidth="1"/>
    <col min="9476" max="9476" width="13.44140625" style="2" customWidth="1"/>
    <col min="9477" max="9477" width="14.109375" style="2" customWidth="1"/>
    <col min="9478" max="9478" width="16.44140625" style="2" customWidth="1"/>
    <col min="9479" max="9728" width="9.109375" style="2"/>
    <col min="9729" max="9729" width="3.88671875" style="2" customWidth="1"/>
    <col min="9730" max="9730" width="37.109375" style="2" customWidth="1"/>
    <col min="9731" max="9731" width="15.88671875" style="2" customWidth="1"/>
    <col min="9732" max="9732" width="13.44140625" style="2" customWidth="1"/>
    <col min="9733" max="9733" width="14.109375" style="2" customWidth="1"/>
    <col min="9734" max="9734" width="16.44140625" style="2" customWidth="1"/>
    <col min="9735" max="9984" width="9.109375" style="2"/>
    <col min="9985" max="9985" width="3.88671875" style="2" customWidth="1"/>
    <col min="9986" max="9986" width="37.109375" style="2" customWidth="1"/>
    <col min="9987" max="9987" width="15.88671875" style="2" customWidth="1"/>
    <col min="9988" max="9988" width="13.44140625" style="2" customWidth="1"/>
    <col min="9989" max="9989" width="14.109375" style="2" customWidth="1"/>
    <col min="9990" max="9990" width="16.44140625" style="2" customWidth="1"/>
    <col min="9991" max="10240" width="9.109375" style="2"/>
    <col min="10241" max="10241" width="3.88671875" style="2" customWidth="1"/>
    <col min="10242" max="10242" width="37.109375" style="2" customWidth="1"/>
    <col min="10243" max="10243" width="15.88671875" style="2" customWidth="1"/>
    <col min="10244" max="10244" width="13.44140625" style="2" customWidth="1"/>
    <col min="10245" max="10245" width="14.109375" style="2" customWidth="1"/>
    <col min="10246" max="10246" width="16.44140625" style="2" customWidth="1"/>
    <col min="10247" max="10496" width="9.109375" style="2"/>
    <col min="10497" max="10497" width="3.88671875" style="2" customWidth="1"/>
    <col min="10498" max="10498" width="37.109375" style="2" customWidth="1"/>
    <col min="10499" max="10499" width="15.88671875" style="2" customWidth="1"/>
    <col min="10500" max="10500" width="13.44140625" style="2" customWidth="1"/>
    <col min="10501" max="10501" width="14.109375" style="2" customWidth="1"/>
    <col min="10502" max="10502" width="16.44140625" style="2" customWidth="1"/>
    <col min="10503" max="10752" width="9.109375" style="2"/>
    <col min="10753" max="10753" width="3.88671875" style="2" customWidth="1"/>
    <col min="10754" max="10754" width="37.109375" style="2" customWidth="1"/>
    <col min="10755" max="10755" width="15.88671875" style="2" customWidth="1"/>
    <col min="10756" max="10756" width="13.44140625" style="2" customWidth="1"/>
    <col min="10757" max="10757" width="14.109375" style="2" customWidth="1"/>
    <col min="10758" max="10758" width="16.44140625" style="2" customWidth="1"/>
    <col min="10759" max="11008" width="9.109375" style="2"/>
    <col min="11009" max="11009" width="3.88671875" style="2" customWidth="1"/>
    <col min="11010" max="11010" width="37.109375" style="2" customWidth="1"/>
    <col min="11011" max="11011" width="15.88671875" style="2" customWidth="1"/>
    <col min="11012" max="11012" width="13.44140625" style="2" customWidth="1"/>
    <col min="11013" max="11013" width="14.109375" style="2" customWidth="1"/>
    <col min="11014" max="11014" width="16.44140625" style="2" customWidth="1"/>
    <col min="11015" max="11264" width="9.109375" style="2"/>
    <col min="11265" max="11265" width="3.88671875" style="2" customWidth="1"/>
    <col min="11266" max="11266" width="37.109375" style="2" customWidth="1"/>
    <col min="11267" max="11267" width="15.88671875" style="2" customWidth="1"/>
    <col min="11268" max="11268" width="13.44140625" style="2" customWidth="1"/>
    <col min="11269" max="11269" width="14.109375" style="2" customWidth="1"/>
    <col min="11270" max="11270" width="16.44140625" style="2" customWidth="1"/>
    <col min="11271" max="11520" width="9.109375" style="2"/>
    <col min="11521" max="11521" width="3.88671875" style="2" customWidth="1"/>
    <col min="11522" max="11522" width="37.109375" style="2" customWidth="1"/>
    <col min="11523" max="11523" width="15.88671875" style="2" customWidth="1"/>
    <col min="11524" max="11524" width="13.44140625" style="2" customWidth="1"/>
    <col min="11525" max="11525" width="14.109375" style="2" customWidth="1"/>
    <col min="11526" max="11526" width="16.44140625" style="2" customWidth="1"/>
    <col min="11527" max="11776" width="9.109375" style="2"/>
    <col min="11777" max="11777" width="3.88671875" style="2" customWidth="1"/>
    <col min="11778" max="11778" width="37.109375" style="2" customWidth="1"/>
    <col min="11779" max="11779" width="15.88671875" style="2" customWidth="1"/>
    <col min="11780" max="11780" width="13.44140625" style="2" customWidth="1"/>
    <col min="11781" max="11781" width="14.109375" style="2" customWidth="1"/>
    <col min="11782" max="11782" width="16.44140625" style="2" customWidth="1"/>
    <col min="11783" max="12032" width="9.109375" style="2"/>
    <col min="12033" max="12033" width="3.88671875" style="2" customWidth="1"/>
    <col min="12034" max="12034" width="37.109375" style="2" customWidth="1"/>
    <col min="12035" max="12035" width="15.88671875" style="2" customWidth="1"/>
    <col min="12036" max="12036" width="13.44140625" style="2" customWidth="1"/>
    <col min="12037" max="12037" width="14.109375" style="2" customWidth="1"/>
    <col min="12038" max="12038" width="16.44140625" style="2" customWidth="1"/>
    <col min="12039" max="12288" width="9.109375" style="2"/>
    <col min="12289" max="12289" width="3.88671875" style="2" customWidth="1"/>
    <col min="12290" max="12290" width="37.109375" style="2" customWidth="1"/>
    <col min="12291" max="12291" width="15.88671875" style="2" customWidth="1"/>
    <col min="12292" max="12292" width="13.44140625" style="2" customWidth="1"/>
    <col min="12293" max="12293" width="14.109375" style="2" customWidth="1"/>
    <col min="12294" max="12294" width="16.44140625" style="2" customWidth="1"/>
    <col min="12295" max="12544" width="9.109375" style="2"/>
    <col min="12545" max="12545" width="3.88671875" style="2" customWidth="1"/>
    <col min="12546" max="12546" width="37.109375" style="2" customWidth="1"/>
    <col min="12547" max="12547" width="15.88671875" style="2" customWidth="1"/>
    <col min="12548" max="12548" width="13.44140625" style="2" customWidth="1"/>
    <col min="12549" max="12549" width="14.109375" style="2" customWidth="1"/>
    <col min="12550" max="12550" width="16.44140625" style="2" customWidth="1"/>
    <col min="12551" max="12800" width="9.109375" style="2"/>
    <col min="12801" max="12801" width="3.88671875" style="2" customWidth="1"/>
    <col min="12802" max="12802" width="37.109375" style="2" customWidth="1"/>
    <col min="12803" max="12803" width="15.88671875" style="2" customWidth="1"/>
    <col min="12804" max="12804" width="13.44140625" style="2" customWidth="1"/>
    <col min="12805" max="12805" width="14.109375" style="2" customWidth="1"/>
    <col min="12806" max="12806" width="16.44140625" style="2" customWidth="1"/>
    <col min="12807" max="13056" width="9.109375" style="2"/>
    <col min="13057" max="13057" width="3.88671875" style="2" customWidth="1"/>
    <col min="13058" max="13058" width="37.109375" style="2" customWidth="1"/>
    <col min="13059" max="13059" width="15.88671875" style="2" customWidth="1"/>
    <col min="13060" max="13060" width="13.44140625" style="2" customWidth="1"/>
    <col min="13061" max="13061" width="14.109375" style="2" customWidth="1"/>
    <col min="13062" max="13062" width="16.44140625" style="2" customWidth="1"/>
    <col min="13063" max="13312" width="9.109375" style="2"/>
    <col min="13313" max="13313" width="3.88671875" style="2" customWidth="1"/>
    <col min="13314" max="13314" width="37.109375" style="2" customWidth="1"/>
    <col min="13315" max="13315" width="15.88671875" style="2" customWidth="1"/>
    <col min="13316" max="13316" width="13.44140625" style="2" customWidth="1"/>
    <col min="13317" max="13317" width="14.109375" style="2" customWidth="1"/>
    <col min="13318" max="13318" width="16.44140625" style="2" customWidth="1"/>
    <col min="13319" max="13568" width="9.109375" style="2"/>
    <col min="13569" max="13569" width="3.88671875" style="2" customWidth="1"/>
    <col min="13570" max="13570" width="37.109375" style="2" customWidth="1"/>
    <col min="13571" max="13571" width="15.88671875" style="2" customWidth="1"/>
    <col min="13572" max="13572" width="13.44140625" style="2" customWidth="1"/>
    <col min="13573" max="13573" width="14.109375" style="2" customWidth="1"/>
    <col min="13574" max="13574" width="16.44140625" style="2" customWidth="1"/>
    <col min="13575" max="13824" width="9.109375" style="2"/>
    <col min="13825" max="13825" width="3.88671875" style="2" customWidth="1"/>
    <col min="13826" max="13826" width="37.109375" style="2" customWidth="1"/>
    <col min="13827" max="13827" width="15.88671875" style="2" customWidth="1"/>
    <col min="13828" max="13828" width="13.44140625" style="2" customWidth="1"/>
    <col min="13829" max="13829" width="14.109375" style="2" customWidth="1"/>
    <col min="13830" max="13830" width="16.44140625" style="2" customWidth="1"/>
    <col min="13831" max="14080" width="9.109375" style="2"/>
    <col min="14081" max="14081" width="3.88671875" style="2" customWidth="1"/>
    <col min="14082" max="14082" width="37.109375" style="2" customWidth="1"/>
    <col min="14083" max="14083" width="15.88671875" style="2" customWidth="1"/>
    <col min="14084" max="14084" width="13.44140625" style="2" customWidth="1"/>
    <col min="14085" max="14085" width="14.109375" style="2" customWidth="1"/>
    <col min="14086" max="14086" width="16.44140625" style="2" customWidth="1"/>
    <col min="14087" max="14336" width="9.109375" style="2"/>
    <col min="14337" max="14337" width="3.88671875" style="2" customWidth="1"/>
    <col min="14338" max="14338" width="37.109375" style="2" customWidth="1"/>
    <col min="14339" max="14339" width="15.88671875" style="2" customWidth="1"/>
    <col min="14340" max="14340" width="13.44140625" style="2" customWidth="1"/>
    <col min="14341" max="14341" width="14.109375" style="2" customWidth="1"/>
    <col min="14342" max="14342" width="16.44140625" style="2" customWidth="1"/>
    <col min="14343" max="14592" width="9.109375" style="2"/>
    <col min="14593" max="14593" width="3.88671875" style="2" customWidth="1"/>
    <col min="14594" max="14594" width="37.109375" style="2" customWidth="1"/>
    <col min="14595" max="14595" width="15.88671875" style="2" customWidth="1"/>
    <col min="14596" max="14596" width="13.44140625" style="2" customWidth="1"/>
    <col min="14597" max="14597" width="14.109375" style="2" customWidth="1"/>
    <col min="14598" max="14598" width="16.44140625" style="2" customWidth="1"/>
    <col min="14599" max="14848" width="9.109375" style="2"/>
    <col min="14849" max="14849" width="3.88671875" style="2" customWidth="1"/>
    <col min="14850" max="14850" width="37.109375" style="2" customWidth="1"/>
    <col min="14851" max="14851" width="15.88671875" style="2" customWidth="1"/>
    <col min="14852" max="14852" width="13.44140625" style="2" customWidth="1"/>
    <col min="14853" max="14853" width="14.109375" style="2" customWidth="1"/>
    <col min="14854" max="14854" width="16.44140625" style="2" customWidth="1"/>
    <col min="14855" max="15104" width="9.109375" style="2"/>
    <col min="15105" max="15105" width="3.88671875" style="2" customWidth="1"/>
    <col min="15106" max="15106" width="37.109375" style="2" customWidth="1"/>
    <col min="15107" max="15107" width="15.88671875" style="2" customWidth="1"/>
    <col min="15108" max="15108" width="13.44140625" style="2" customWidth="1"/>
    <col min="15109" max="15109" width="14.109375" style="2" customWidth="1"/>
    <col min="15110" max="15110" width="16.44140625" style="2" customWidth="1"/>
    <col min="15111" max="15360" width="9.109375" style="2"/>
    <col min="15361" max="15361" width="3.88671875" style="2" customWidth="1"/>
    <col min="15362" max="15362" width="37.109375" style="2" customWidth="1"/>
    <col min="15363" max="15363" width="15.88671875" style="2" customWidth="1"/>
    <col min="15364" max="15364" width="13.44140625" style="2" customWidth="1"/>
    <col min="15365" max="15365" width="14.109375" style="2" customWidth="1"/>
    <col min="15366" max="15366" width="16.44140625" style="2" customWidth="1"/>
    <col min="15367" max="15616" width="9.109375" style="2"/>
    <col min="15617" max="15617" width="3.88671875" style="2" customWidth="1"/>
    <col min="15618" max="15618" width="37.109375" style="2" customWidth="1"/>
    <col min="15619" max="15619" width="15.88671875" style="2" customWidth="1"/>
    <col min="15620" max="15620" width="13.44140625" style="2" customWidth="1"/>
    <col min="15621" max="15621" width="14.109375" style="2" customWidth="1"/>
    <col min="15622" max="15622" width="16.44140625" style="2" customWidth="1"/>
    <col min="15623" max="15872" width="9.109375" style="2"/>
    <col min="15873" max="15873" width="3.88671875" style="2" customWidth="1"/>
    <col min="15874" max="15874" width="37.109375" style="2" customWidth="1"/>
    <col min="15875" max="15875" width="15.88671875" style="2" customWidth="1"/>
    <col min="15876" max="15876" width="13.44140625" style="2" customWidth="1"/>
    <col min="15877" max="15877" width="14.109375" style="2" customWidth="1"/>
    <col min="15878" max="15878" width="16.44140625" style="2" customWidth="1"/>
    <col min="15879" max="16128" width="9.109375" style="2"/>
    <col min="16129" max="16129" width="3.88671875" style="2" customWidth="1"/>
    <col min="16130" max="16130" width="37.109375" style="2" customWidth="1"/>
    <col min="16131" max="16131" width="15.88671875" style="2" customWidth="1"/>
    <col min="16132" max="16132" width="13.44140625" style="2" customWidth="1"/>
    <col min="16133" max="16133" width="14.109375" style="2" customWidth="1"/>
    <col min="16134" max="16134" width="16.44140625" style="2" customWidth="1"/>
    <col min="16135" max="16384" width="9.109375" style="2"/>
  </cols>
  <sheetData>
    <row r="1" spans="1:8">
      <c r="A1" s="1" t="s">
        <v>0</v>
      </c>
      <c r="B1" s="1"/>
      <c r="C1" s="1"/>
      <c r="F1" s="74"/>
      <c r="G1" s="3"/>
      <c r="H1" s="3"/>
    </row>
    <row r="2" spans="1:8">
      <c r="A2" s="1"/>
      <c r="B2" s="1"/>
      <c r="C2" s="1"/>
      <c r="F2" s="74"/>
      <c r="G2" s="3"/>
      <c r="H2" s="3"/>
    </row>
    <row r="3" spans="1:8">
      <c r="A3" s="24"/>
      <c r="B3" s="1"/>
      <c r="C3" s="1"/>
      <c r="D3" s="1"/>
      <c r="E3" s="1"/>
      <c r="F3" s="74"/>
      <c r="G3" s="3"/>
      <c r="H3" s="3"/>
    </row>
    <row r="4" spans="1:8">
      <c r="A4" s="24"/>
      <c r="B4" s="4" t="s">
        <v>1</v>
      </c>
      <c r="C4" s="5"/>
      <c r="D4" s="5"/>
      <c r="E4" s="5"/>
      <c r="F4" s="75"/>
      <c r="G4" s="3"/>
      <c r="H4" s="3"/>
    </row>
    <row r="5" spans="1:8">
      <c r="A5" s="24"/>
      <c r="B5" s="1"/>
      <c r="C5" s="1"/>
      <c r="D5" s="1"/>
      <c r="E5" s="1"/>
      <c r="F5" s="74"/>
      <c r="G5" s="3"/>
      <c r="H5" s="3"/>
    </row>
    <row r="6" spans="1:8">
      <c r="A6" s="24" t="s">
        <v>2</v>
      </c>
      <c r="B6" s="6"/>
      <c r="C6" s="6" t="s">
        <v>8859</v>
      </c>
      <c r="D6" s="6"/>
      <c r="E6" s="6"/>
      <c r="F6" s="76"/>
      <c r="G6" s="3"/>
      <c r="H6" s="3"/>
    </row>
    <row r="7" spans="1:8">
      <c r="A7" s="24" t="s">
        <v>4</v>
      </c>
      <c r="B7" s="1"/>
      <c r="C7" s="1"/>
      <c r="D7" s="1"/>
      <c r="E7" s="1"/>
      <c r="F7" s="74"/>
      <c r="G7" s="3"/>
      <c r="H7" s="3"/>
    </row>
    <row r="8" spans="1:8">
      <c r="A8" s="24" t="s">
        <v>6</v>
      </c>
      <c r="B8" s="1"/>
      <c r="C8" s="1"/>
      <c r="D8" s="1"/>
      <c r="E8" s="1"/>
      <c r="F8" s="74"/>
      <c r="G8" s="3"/>
      <c r="H8" s="3"/>
    </row>
    <row r="9" spans="1:8">
      <c r="A9" s="77" t="s">
        <v>7</v>
      </c>
      <c r="B9" s="12"/>
      <c r="C9" s="12" t="s">
        <v>8</v>
      </c>
      <c r="D9" s="12"/>
      <c r="E9" s="12"/>
      <c r="F9" s="78"/>
      <c r="G9" s="3"/>
      <c r="H9" s="3"/>
    </row>
    <row r="10" spans="1:8" ht="14.4" thickBot="1">
      <c r="A10" s="79"/>
      <c r="B10" s="7"/>
      <c r="C10" s="7"/>
      <c r="D10" s="7"/>
      <c r="E10" s="7"/>
      <c r="F10" s="80"/>
      <c r="G10" s="3"/>
      <c r="H10" s="3"/>
    </row>
    <row r="11" spans="1:8">
      <c r="A11" s="81"/>
      <c r="B11" s="8"/>
      <c r="C11" s="62" t="s">
        <v>103</v>
      </c>
      <c r="D11" s="9" t="s">
        <v>10</v>
      </c>
      <c r="E11" s="9" t="s">
        <v>11</v>
      </c>
      <c r="F11" s="82" t="s">
        <v>12</v>
      </c>
      <c r="G11" s="3"/>
      <c r="H11" s="3"/>
    </row>
    <row r="12" spans="1:8">
      <c r="A12" s="81"/>
      <c r="B12" s="8" t="s">
        <v>13</v>
      </c>
      <c r="C12" s="62" t="s">
        <v>94</v>
      </c>
      <c r="D12" s="9"/>
      <c r="E12" s="9" t="s">
        <v>16</v>
      </c>
      <c r="F12" s="82" t="s">
        <v>16</v>
      </c>
      <c r="G12" s="3"/>
      <c r="H12" s="3"/>
    </row>
    <row r="13" spans="1:8" ht="14.4" thickBot="1">
      <c r="A13" s="83"/>
      <c r="B13" s="10"/>
      <c r="C13" s="27"/>
      <c r="D13" s="11">
        <v>2012</v>
      </c>
      <c r="E13" s="84">
        <v>2013</v>
      </c>
      <c r="F13" s="84">
        <v>2014</v>
      </c>
      <c r="G13" s="3"/>
      <c r="H13" s="3"/>
    </row>
    <row r="14" spans="1:8">
      <c r="A14" s="81"/>
      <c r="B14" s="8"/>
      <c r="C14" s="62"/>
      <c r="D14" s="9"/>
      <c r="E14" s="85"/>
      <c r="F14" s="85"/>
      <c r="G14" s="3"/>
      <c r="H14" s="3"/>
    </row>
    <row r="15" spans="1:8">
      <c r="A15" s="86" t="s">
        <v>17</v>
      </c>
      <c r="B15" s="12" t="s">
        <v>18</v>
      </c>
      <c r="C15" s="13"/>
      <c r="D15" s="14"/>
      <c r="E15" s="87"/>
      <c r="F15" s="87"/>
      <c r="G15" s="3"/>
      <c r="H15" s="3"/>
    </row>
    <row r="16" spans="1:8">
      <c r="A16" s="86"/>
      <c r="B16" s="88" t="s">
        <v>19</v>
      </c>
      <c r="C16" s="13"/>
      <c r="D16" s="14"/>
      <c r="E16" s="67"/>
      <c r="F16" s="67"/>
      <c r="G16" s="3"/>
      <c r="H16" s="3"/>
    </row>
    <row r="17" spans="1:8">
      <c r="A17" s="86"/>
      <c r="B17" s="88" t="s">
        <v>56</v>
      </c>
      <c r="C17" s="13">
        <v>701</v>
      </c>
      <c r="D17" s="111"/>
      <c r="E17" s="87"/>
      <c r="F17" s="87"/>
      <c r="G17" s="3"/>
      <c r="H17" s="3"/>
    </row>
    <row r="18" spans="1:8">
      <c r="A18" s="86"/>
      <c r="B18" s="88" t="s">
        <v>58</v>
      </c>
      <c r="C18" s="13">
        <v>711</v>
      </c>
      <c r="D18" s="111"/>
      <c r="E18" s="87"/>
      <c r="F18" s="87"/>
      <c r="G18" s="3"/>
      <c r="H18" s="3"/>
    </row>
    <row r="19" spans="1:8" s="34" customFormat="1">
      <c r="A19" s="38"/>
      <c r="B19" s="37" t="s">
        <v>104</v>
      </c>
      <c r="C19" s="40">
        <v>713</v>
      </c>
      <c r="D19" s="39"/>
      <c r="E19" s="39"/>
      <c r="F19" s="39"/>
      <c r="G19" s="108"/>
      <c r="H19" s="35"/>
    </row>
    <row r="20" spans="1:8" s="34" customFormat="1">
      <c r="A20" s="38"/>
      <c r="B20" s="37" t="s">
        <v>105</v>
      </c>
      <c r="C20" s="40">
        <v>714</v>
      </c>
      <c r="D20" s="39"/>
      <c r="E20" s="39"/>
      <c r="F20" s="39"/>
      <c r="G20" s="35"/>
      <c r="H20" s="35"/>
    </row>
    <row r="21" spans="1:8">
      <c r="A21" s="86"/>
      <c r="B21" s="88" t="s">
        <v>79</v>
      </c>
      <c r="C21" s="13">
        <v>715</v>
      </c>
      <c r="D21" s="111"/>
      <c r="E21" s="87"/>
      <c r="F21" s="87"/>
      <c r="G21" s="3"/>
      <c r="H21" s="3"/>
    </row>
    <row r="22" spans="1:8">
      <c r="A22" s="86"/>
      <c r="B22" s="88" t="s">
        <v>23</v>
      </c>
      <c r="C22" s="13">
        <v>717</v>
      </c>
      <c r="D22" s="111"/>
      <c r="E22" s="87"/>
      <c r="F22" s="87"/>
      <c r="G22" s="3"/>
      <c r="H22" s="3"/>
    </row>
    <row r="23" spans="1:8">
      <c r="A23" s="86"/>
      <c r="B23" s="88" t="s">
        <v>26</v>
      </c>
      <c r="C23" s="13">
        <v>724</v>
      </c>
      <c r="D23" s="111"/>
      <c r="E23" s="87"/>
      <c r="F23" s="87"/>
      <c r="G23" s="3"/>
      <c r="H23" s="3"/>
    </row>
    <row r="24" spans="1:8">
      <c r="A24" s="86"/>
      <c r="B24" s="88" t="s">
        <v>27</v>
      </c>
      <c r="C24" s="13">
        <v>725</v>
      </c>
      <c r="D24" s="111"/>
      <c r="E24" s="87"/>
      <c r="F24" s="87"/>
      <c r="G24" s="3"/>
      <c r="H24" s="3"/>
    </row>
    <row r="25" spans="1:8">
      <c r="A25" s="86"/>
      <c r="B25" s="88" t="s">
        <v>59</v>
      </c>
      <c r="C25" s="13">
        <v>731</v>
      </c>
      <c r="D25" s="111"/>
      <c r="E25" s="87"/>
      <c r="F25" s="87"/>
      <c r="G25" s="3"/>
      <c r="H25" s="3"/>
    </row>
    <row r="26" spans="1:8">
      <c r="A26" s="86"/>
      <c r="B26" s="88" t="s">
        <v>28</v>
      </c>
      <c r="C26" s="13">
        <v>732</v>
      </c>
      <c r="D26" s="111"/>
      <c r="E26" s="87"/>
      <c r="F26" s="87"/>
      <c r="G26" s="3"/>
      <c r="H26" s="3"/>
    </row>
    <row r="27" spans="1:8">
      <c r="A27" s="86"/>
      <c r="B27" s="88" t="s">
        <v>29</v>
      </c>
      <c r="C27" s="13">
        <v>733</v>
      </c>
      <c r="D27" s="111"/>
      <c r="E27" s="87"/>
      <c r="F27" s="87"/>
      <c r="G27" s="3"/>
      <c r="H27" s="3"/>
    </row>
    <row r="28" spans="1:8">
      <c r="A28" s="86"/>
      <c r="B28" s="88" t="s">
        <v>30</v>
      </c>
      <c r="C28" s="13">
        <v>734</v>
      </c>
      <c r="D28" s="111"/>
      <c r="E28" s="87"/>
      <c r="F28" s="87"/>
      <c r="G28" s="3"/>
      <c r="H28" s="3"/>
    </row>
    <row r="29" spans="1:8">
      <c r="A29" s="86"/>
      <c r="B29" s="88" t="s">
        <v>32</v>
      </c>
      <c r="C29" s="13">
        <v>749</v>
      </c>
      <c r="D29" s="111"/>
      <c r="E29" s="87"/>
      <c r="F29" s="87"/>
      <c r="G29" s="3"/>
      <c r="H29" s="3"/>
    </row>
    <row r="30" spans="1:8">
      <c r="A30" s="86"/>
      <c r="B30" s="88" t="s">
        <v>60</v>
      </c>
      <c r="C30" s="15" t="s">
        <v>133</v>
      </c>
      <c r="D30" s="111"/>
      <c r="E30" s="87"/>
      <c r="F30" s="87"/>
      <c r="G30" s="3"/>
      <c r="H30" s="3"/>
    </row>
    <row r="31" spans="1:8" s="25" customFormat="1">
      <c r="A31" s="89"/>
      <c r="B31" s="8" t="s">
        <v>182</v>
      </c>
      <c r="C31" s="90"/>
      <c r="D31" s="872">
        <f>E31</f>
        <v>0</v>
      </c>
      <c r="E31" s="92">
        <f>SUM(E17:E30)</f>
        <v>0</v>
      </c>
      <c r="F31" s="92">
        <f>SUM(F17:F30)</f>
        <v>0</v>
      </c>
      <c r="G31" s="26"/>
      <c r="H31" s="26"/>
    </row>
    <row r="32" spans="1:8">
      <c r="A32" s="86"/>
      <c r="B32" s="12"/>
      <c r="C32" s="13"/>
      <c r="D32" s="14"/>
      <c r="E32" s="87"/>
      <c r="F32" s="87"/>
      <c r="G32" s="3"/>
      <c r="H32" s="3"/>
    </row>
    <row r="33" spans="1:8">
      <c r="A33" s="86"/>
      <c r="B33" s="12" t="s">
        <v>38</v>
      </c>
      <c r="C33" s="15"/>
      <c r="D33" s="16"/>
      <c r="E33" s="87"/>
      <c r="F33" s="87"/>
      <c r="G33" s="3"/>
      <c r="H33" s="3"/>
    </row>
    <row r="34" spans="1:8">
      <c r="A34" s="93"/>
      <c r="B34" s="12" t="s">
        <v>183</v>
      </c>
      <c r="C34" s="15">
        <v>751</v>
      </c>
      <c r="D34" s="87"/>
      <c r="E34" s="87"/>
      <c r="F34" s="87">
        <v>0</v>
      </c>
      <c r="G34" s="3"/>
      <c r="H34" s="3"/>
    </row>
    <row r="35" spans="1:8">
      <c r="A35" s="93"/>
      <c r="B35" s="12" t="s">
        <v>42</v>
      </c>
      <c r="C35" s="15">
        <v>755</v>
      </c>
      <c r="D35" s="87"/>
      <c r="E35" s="87"/>
      <c r="F35" s="87">
        <v>60000</v>
      </c>
      <c r="G35" s="3"/>
      <c r="H35" s="3"/>
    </row>
    <row r="36" spans="1:8">
      <c r="A36" s="1266"/>
      <c r="B36" s="29" t="s">
        <v>62</v>
      </c>
      <c r="C36" s="870">
        <v>771</v>
      </c>
      <c r="D36" s="1033"/>
      <c r="E36" s="1033"/>
      <c r="F36" s="1033">
        <v>0</v>
      </c>
      <c r="G36" s="3"/>
      <c r="H36" s="3"/>
    </row>
    <row r="37" spans="1:8" s="101" customFormat="1">
      <c r="A37" s="94"/>
      <c r="B37" s="95" t="s">
        <v>184</v>
      </c>
      <c r="C37" s="96">
        <v>772</v>
      </c>
      <c r="D37" s="98"/>
      <c r="E37" s="98"/>
      <c r="F37" s="98">
        <v>84000</v>
      </c>
      <c r="G37" s="99"/>
      <c r="H37" s="100"/>
    </row>
    <row r="38" spans="1:8" s="101" customFormat="1">
      <c r="A38" s="2547"/>
      <c r="B38" s="95" t="s">
        <v>185</v>
      </c>
      <c r="C38" s="2548"/>
      <c r="D38" s="2546"/>
      <c r="E38" s="2546"/>
      <c r="F38" s="2546">
        <v>12000</v>
      </c>
      <c r="G38" s="99"/>
      <c r="H38" s="100"/>
    </row>
    <row r="39" spans="1:8" s="101" customFormat="1">
      <c r="A39" s="2547"/>
      <c r="B39" s="95" t="s">
        <v>90</v>
      </c>
      <c r="C39" s="2548"/>
      <c r="D39" s="2546"/>
      <c r="E39" s="2546"/>
      <c r="F39" s="2546">
        <v>498000</v>
      </c>
      <c r="G39" s="99"/>
      <c r="H39" s="100"/>
    </row>
    <row r="40" spans="1:8" s="101" customFormat="1">
      <c r="A40" s="2547"/>
      <c r="B40" s="95" t="s">
        <v>8860</v>
      </c>
      <c r="C40" s="2548"/>
      <c r="D40" s="2546"/>
      <c r="E40" s="2546"/>
      <c r="F40" s="2546">
        <v>507000</v>
      </c>
      <c r="G40" s="99"/>
      <c r="H40" s="100"/>
    </row>
    <row r="41" spans="1:8">
      <c r="A41" s="81"/>
      <c r="B41" s="29" t="s">
        <v>50</v>
      </c>
      <c r="C41" s="15">
        <v>969</v>
      </c>
      <c r="D41" s="102"/>
      <c r="E41" s="102"/>
      <c r="F41" s="102">
        <v>0</v>
      </c>
      <c r="G41" s="3"/>
      <c r="H41" s="3"/>
    </row>
    <row r="42" spans="1:8" ht="4.5" customHeight="1">
      <c r="A42" s="81"/>
      <c r="B42" s="12"/>
      <c r="C42" s="15"/>
      <c r="D42" s="16"/>
      <c r="E42" s="87"/>
      <c r="F42" s="87"/>
      <c r="G42" s="3"/>
      <c r="H42" s="3"/>
    </row>
    <row r="43" spans="1:8">
      <c r="A43" s="81"/>
      <c r="B43" s="18" t="s">
        <v>37</v>
      </c>
      <c r="C43" s="15"/>
      <c r="D43" s="19">
        <f>SUM(D34:D41)</f>
        <v>0</v>
      </c>
      <c r="E43" s="19">
        <f>SUM(E34:E41)</f>
        <v>0</v>
      </c>
      <c r="F43" s="19">
        <f>SUM(F34:F41)</f>
        <v>1161000</v>
      </c>
      <c r="G43" s="3"/>
      <c r="H43" s="66"/>
    </row>
    <row r="44" spans="1:8" ht="3.75" customHeight="1">
      <c r="A44" s="81"/>
      <c r="B44" s="12"/>
      <c r="C44" s="15"/>
      <c r="D44" s="17"/>
      <c r="E44" s="102"/>
      <c r="F44" s="102"/>
      <c r="G44" s="3"/>
      <c r="H44" s="3"/>
    </row>
    <row r="45" spans="1:8">
      <c r="A45" s="104" t="s">
        <v>51</v>
      </c>
      <c r="B45" s="12" t="s">
        <v>52</v>
      </c>
      <c r="C45" s="15"/>
      <c r="D45" s="16"/>
      <c r="E45" s="87">
        <v>0</v>
      </c>
      <c r="F45" s="87">
        <v>0</v>
      </c>
      <c r="G45" s="3"/>
      <c r="H45" s="3"/>
    </row>
    <row r="46" spans="1:8" ht="18" customHeight="1">
      <c r="A46" s="81"/>
      <c r="B46" s="12"/>
      <c r="C46" s="15"/>
      <c r="D46" s="87"/>
      <c r="E46" s="87"/>
      <c r="F46" s="87"/>
      <c r="G46" s="3"/>
      <c r="H46" s="3"/>
    </row>
    <row r="47" spans="1:8" s="25" customFormat="1">
      <c r="A47" s="114"/>
      <c r="B47" s="18" t="s">
        <v>37</v>
      </c>
      <c r="C47" s="31"/>
      <c r="D47" s="92">
        <f>SUM(D46:D46)</f>
        <v>0</v>
      </c>
      <c r="E47" s="92">
        <f>SUM(E46:E46)</f>
        <v>0</v>
      </c>
      <c r="F47" s="92">
        <f>SUM(F46:F46)</f>
        <v>0</v>
      </c>
      <c r="G47" s="26"/>
      <c r="H47" s="26"/>
    </row>
    <row r="48" spans="1:8" ht="18.75" customHeight="1">
      <c r="A48" s="1032" t="s">
        <v>53</v>
      </c>
      <c r="B48" s="12" t="s">
        <v>54</v>
      </c>
      <c r="C48" s="870"/>
      <c r="D48" s="17"/>
      <c r="E48" s="102">
        <v>0</v>
      </c>
      <c r="F48" s="102">
        <v>0</v>
      </c>
      <c r="G48" s="3"/>
      <c r="H48" s="3"/>
    </row>
    <row r="49" spans="1:8">
      <c r="A49" s="1201"/>
      <c r="B49" s="1202" t="s">
        <v>37</v>
      </c>
      <c r="C49" s="1203"/>
      <c r="D49" s="1200"/>
      <c r="E49" s="1205"/>
      <c r="F49" s="1205"/>
      <c r="G49" s="3"/>
      <c r="H49" s="3"/>
    </row>
    <row r="50" spans="1:8">
      <c r="A50" s="81"/>
      <c r="B50" s="18" t="s">
        <v>55</v>
      </c>
      <c r="C50" s="15"/>
      <c r="D50" s="103">
        <f>(D31+D43+D47)</f>
        <v>0</v>
      </c>
      <c r="E50" s="103">
        <f>(E43+E47+E31+E49)</f>
        <v>0</v>
      </c>
      <c r="F50" s="103">
        <f>(F43+F47+F31+F49)</f>
        <v>1161000</v>
      </c>
      <c r="G50" s="3"/>
      <c r="H50" s="3"/>
    </row>
    <row r="51" spans="1:8" ht="5.25" customHeight="1" thickBot="1">
      <c r="A51" s="105"/>
      <c r="B51" s="20"/>
      <c r="C51" s="21"/>
      <c r="D51" s="22"/>
      <c r="E51" s="63"/>
      <c r="F51" s="106"/>
      <c r="G51" s="3"/>
      <c r="H51" s="3"/>
    </row>
    <row r="52" spans="1:8" ht="14.4" thickTop="1">
      <c r="A52" s="24"/>
      <c r="B52" s="1"/>
      <c r="C52" s="1"/>
      <c r="D52" s="1"/>
      <c r="E52" s="1"/>
      <c r="G52" s="3"/>
      <c r="H52" s="3"/>
    </row>
    <row r="53" spans="1:8">
      <c r="A53" s="24"/>
      <c r="B53" s="1"/>
      <c r="C53" s="1"/>
      <c r="D53" s="1"/>
      <c r="E53" s="1"/>
      <c r="G53" s="3"/>
      <c r="H53" s="3"/>
    </row>
    <row r="54" spans="1:8">
      <c r="A54" s="24"/>
      <c r="B54" s="1"/>
      <c r="C54" s="1"/>
      <c r="D54" s="1"/>
      <c r="E54" s="1"/>
      <c r="G54" s="3"/>
      <c r="H54" s="3"/>
    </row>
    <row r="55" spans="1:8">
      <c r="A55" s="24"/>
      <c r="B55" s="1"/>
      <c r="C55" s="1"/>
      <c r="D55" s="1"/>
      <c r="E55" s="1"/>
      <c r="G55" s="3"/>
      <c r="H55" s="3"/>
    </row>
    <row r="56" spans="1:8">
      <c r="A56" s="24"/>
      <c r="B56" s="6"/>
      <c r="C56" s="6"/>
      <c r="D56" s="6"/>
      <c r="E56" s="6"/>
      <c r="G56" s="3"/>
      <c r="H56" s="3"/>
    </row>
    <row r="57" spans="1:8">
      <c r="A57" s="24"/>
      <c r="B57" s="23"/>
      <c r="C57" s="23"/>
      <c r="D57" s="23"/>
      <c r="E57" s="1"/>
      <c r="G57" s="3"/>
      <c r="H57" s="3"/>
    </row>
    <row r="58" spans="1:8">
      <c r="A58" s="24"/>
      <c r="B58" s="1"/>
      <c r="C58" s="1"/>
      <c r="D58" s="1"/>
      <c r="E58" s="1"/>
      <c r="F58" s="74"/>
      <c r="G58" s="3"/>
      <c r="H58" s="3"/>
    </row>
    <row r="69" spans="1:1">
      <c r="A69" s="2" t="s">
        <v>9</v>
      </c>
    </row>
    <row r="70" spans="1:1">
      <c r="A70" s="2" t="s">
        <v>9</v>
      </c>
    </row>
  </sheetData>
  <pageMargins left="0.5" right="0.25" top="0.5" bottom="0.25" header="0.5" footer="0.25"/>
  <pageSetup paperSize="119" firstPageNumber="73" orientation="portrait" useFirstPageNumber="1" verticalDpi="300" r:id="rId1"/>
  <headerFooter alignWithMargins="0"/>
</worksheet>
</file>

<file path=xl/worksheets/sheet90.xml><?xml version="1.0" encoding="utf-8"?>
<worksheet xmlns="http://schemas.openxmlformats.org/spreadsheetml/2006/main" xmlns:r="http://schemas.openxmlformats.org/officeDocument/2006/relationships">
  <sheetPr codeName="Sheet61">
    <tabColor theme="8" tint="-0.249977111117893"/>
  </sheetPr>
  <dimension ref="A1:N160"/>
  <sheetViews>
    <sheetView showGridLines="0" workbookViewId="0">
      <selection activeCell="J2" sqref="J1:N1048576"/>
    </sheetView>
  </sheetViews>
  <sheetFormatPr defaultRowHeight="15" customHeight="1"/>
  <cols>
    <col min="1" max="1" width="3.88671875" style="7275" customWidth="1"/>
    <col min="2" max="2" width="55.5546875" style="7275" customWidth="1"/>
    <col min="3" max="3" width="12.5546875" style="7346" customWidth="1"/>
    <col min="4" max="7" width="15.5546875" style="7347" customWidth="1"/>
    <col min="8" max="8" width="13.5546875" style="7347" hidden="1" customWidth="1"/>
    <col min="9" max="9" width="9.44140625" style="8897" hidden="1" customWidth="1"/>
    <col min="10" max="10" width="15.5546875" style="7347" customWidth="1"/>
    <col min="11" max="11" width="17" style="7347" customWidth="1"/>
    <col min="12" max="12" width="16.88671875" style="7275" customWidth="1"/>
    <col min="13" max="13" width="16.109375" style="7275" customWidth="1"/>
    <col min="14" max="14" width="10.109375" style="7275" bestFit="1" customWidth="1"/>
    <col min="15" max="258" width="9.109375" style="7275"/>
    <col min="259" max="259" width="3.88671875" style="7275" customWidth="1"/>
    <col min="260" max="260" width="44" style="7275" customWidth="1"/>
    <col min="261" max="261" width="10" style="7275" customWidth="1"/>
    <col min="262" max="262" width="14" style="7275" customWidth="1"/>
    <col min="263" max="263" width="13.44140625" style="7275" customWidth="1"/>
    <col min="264" max="264" width="13" style="7275" customWidth="1"/>
    <col min="265" max="514" width="9.109375" style="7275"/>
    <col min="515" max="515" width="3.88671875" style="7275" customWidth="1"/>
    <col min="516" max="516" width="44" style="7275" customWidth="1"/>
    <col min="517" max="517" width="10" style="7275" customWidth="1"/>
    <col min="518" max="518" width="14" style="7275" customWidth="1"/>
    <col min="519" max="519" width="13.44140625" style="7275" customWidth="1"/>
    <col min="520" max="520" width="13" style="7275" customWidth="1"/>
    <col min="521" max="770" width="9.109375" style="7275"/>
    <col min="771" max="771" width="3.88671875" style="7275" customWidth="1"/>
    <col min="772" max="772" width="44" style="7275" customWidth="1"/>
    <col min="773" max="773" width="10" style="7275" customWidth="1"/>
    <col min="774" max="774" width="14" style="7275" customWidth="1"/>
    <col min="775" max="775" width="13.44140625" style="7275" customWidth="1"/>
    <col min="776" max="776" width="13" style="7275" customWidth="1"/>
    <col min="777" max="1026" width="9.109375" style="7275"/>
    <col min="1027" max="1027" width="3.88671875" style="7275" customWidth="1"/>
    <col min="1028" max="1028" width="44" style="7275" customWidth="1"/>
    <col min="1029" max="1029" width="10" style="7275" customWidth="1"/>
    <col min="1030" max="1030" width="14" style="7275" customWidth="1"/>
    <col min="1031" max="1031" width="13.44140625" style="7275" customWidth="1"/>
    <col min="1032" max="1032" width="13" style="7275" customWidth="1"/>
    <col min="1033" max="1282" width="9.109375" style="7275"/>
    <col min="1283" max="1283" width="3.88671875" style="7275" customWidth="1"/>
    <col min="1284" max="1284" width="44" style="7275" customWidth="1"/>
    <col min="1285" max="1285" width="10" style="7275" customWidth="1"/>
    <col min="1286" max="1286" width="14" style="7275" customWidth="1"/>
    <col min="1287" max="1287" width="13.44140625" style="7275" customWidth="1"/>
    <col min="1288" max="1288" width="13" style="7275" customWidth="1"/>
    <col min="1289" max="1538" width="9.109375" style="7275"/>
    <col min="1539" max="1539" width="3.88671875" style="7275" customWidth="1"/>
    <col min="1540" max="1540" width="44" style="7275" customWidth="1"/>
    <col min="1541" max="1541" width="10" style="7275" customWidth="1"/>
    <col min="1542" max="1542" width="14" style="7275" customWidth="1"/>
    <col min="1543" max="1543" width="13.44140625" style="7275" customWidth="1"/>
    <col min="1544" max="1544" width="13" style="7275" customWidth="1"/>
    <col min="1545" max="1794" width="9.109375" style="7275"/>
    <col min="1795" max="1795" width="3.88671875" style="7275" customWidth="1"/>
    <col min="1796" max="1796" width="44" style="7275" customWidth="1"/>
    <col min="1797" max="1797" width="10" style="7275" customWidth="1"/>
    <col min="1798" max="1798" width="14" style="7275" customWidth="1"/>
    <col min="1799" max="1799" width="13.44140625" style="7275" customWidth="1"/>
    <col min="1800" max="1800" width="13" style="7275" customWidth="1"/>
    <col min="1801" max="2050" width="9.109375" style="7275"/>
    <col min="2051" max="2051" width="3.88671875" style="7275" customWidth="1"/>
    <col min="2052" max="2052" width="44" style="7275" customWidth="1"/>
    <col min="2053" max="2053" width="10" style="7275" customWidth="1"/>
    <col min="2054" max="2054" width="14" style="7275" customWidth="1"/>
    <col min="2055" max="2055" width="13.44140625" style="7275" customWidth="1"/>
    <col min="2056" max="2056" width="13" style="7275" customWidth="1"/>
    <col min="2057" max="2306" width="9.109375" style="7275"/>
    <col min="2307" max="2307" width="3.88671875" style="7275" customWidth="1"/>
    <col min="2308" max="2308" width="44" style="7275" customWidth="1"/>
    <col min="2309" max="2309" width="10" style="7275" customWidth="1"/>
    <col min="2310" max="2310" width="14" style="7275" customWidth="1"/>
    <col min="2311" max="2311" width="13.44140625" style="7275" customWidth="1"/>
    <col min="2312" max="2312" width="13" style="7275" customWidth="1"/>
    <col min="2313" max="2562" width="9.109375" style="7275"/>
    <col min="2563" max="2563" width="3.88671875" style="7275" customWidth="1"/>
    <col min="2564" max="2564" width="44" style="7275" customWidth="1"/>
    <col min="2565" max="2565" width="10" style="7275" customWidth="1"/>
    <col min="2566" max="2566" width="14" style="7275" customWidth="1"/>
    <col min="2567" max="2567" width="13.44140625" style="7275" customWidth="1"/>
    <col min="2568" max="2568" width="13" style="7275" customWidth="1"/>
    <col min="2569" max="2818" width="9.109375" style="7275"/>
    <col min="2819" max="2819" width="3.88671875" style="7275" customWidth="1"/>
    <col min="2820" max="2820" width="44" style="7275" customWidth="1"/>
    <col min="2821" max="2821" width="10" style="7275" customWidth="1"/>
    <col min="2822" max="2822" width="14" style="7275" customWidth="1"/>
    <col min="2823" max="2823" width="13.44140625" style="7275" customWidth="1"/>
    <col min="2824" max="2824" width="13" style="7275" customWidth="1"/>
    <col min="2825" max="3074" width="9.109375" style="7275"/>
    <col min="3075" max="3075" width="3.88671875" style="7275" customWidth="1"/>
    <col min="3076" max="3076" width="44" style="7275" customWidth="1"/>
    <col min="3077" max="3077" width="10" style="7275" customWidth="1"/>
    <col min="3078" max="3078" width="14" style="7275" customWidth="1"/>
    <col min="3079" max="3079" width="13.44140625" style="7275" customWidth="1"/>
    <col min="3080" max="3080" width="13" style="7275" customWidth="1"/>
    <col min="3081" max="3330" width="9.109375" style="7275"/>
    <col min="3331" max="3331" width="3.88671875" style="7275" customWidth="1"/>
    <col min="3332" max="3332" width="44" style="7275" customWidth="1"/>
    <col min="3333" max="3333" width="10" style="7275" customWidth="1"/>
    <col min="3334" max="3334" width="14" style="7275" customWidth="1"/>
    <col min="3335" max="3335" width="13.44140625" style="7275" customWidth="1"/>
    <col min="3336" max="3336" width="13" style="7275" customWidth="1"/>
    <col min="3337" max="3586" width="9.109375" style="7275"/>
    <col min="3587" max="3587" width="3.88671875" style="7275" customWidth="1"/>
    <col min="3588" max="3588" width="44" style="7275" customWidth="1"/>
    <col min="3589" max="3589" width="10" style="7275" customWidth="1"/>
    <col min="3590" max="3590" width="14" style="7275" customWidth="1"/>
    <col min="3591" max="3591" width="13.44140625" style="7275" customWidth="1"/>
    <col min="3592" max="3592" width="13" style="7275" customWidth="1"/>
    <col min="3593" max="3842" width="9.109375" style="7275"/>
    <col min="3843" max="3843" width="3.88671875" style="7275" customWidth="1"/>
    <col min="3844" max="3844" width="44" style="7275" customWidth="1"/>
    <col min="3845" max="3845" width="10" style="7275" customWidth="1"/>
    <col min="3846" max="3846" width="14" style="7275" customWidth="1"/>
    <col min="3847" max="3847" width="13.44140625" style="7275" customWidth="1"/>
    <col min="3848" max="3848" width="13" style="7275" customWidth="1"/>
    <col min="3849" max="4098" width="9.109375" style="7275"/>
    <col min="4099" max="4099" width="3.88671875" style="7275" customWidth="1"/>
    <col min="4100" max="4100" width="44" style="7275" customWidth="1"/>
    <col min="4101" max="4101" width="10" style="7275" customWidth="1"/>
    <col min="4102" max="4102" width="14" style="7275" customWidth="1"/>
    <col min="4103" max="4103" width="13.44140625" style="7275" customWidth="1"/>
    <col min="4104" max="4104" width="13" style="7275" customWidth="1"/>
    <col min="4105" max="4354" width="9.109375" style="7275"/>
    <col min="4355" max="4355" width="3.88671875" style="7275" customWidth="1"/>
    <col min="4356" max="4356" width="44" style="7275" customWidth="1"/>
    <col min="4357" max="4357" width="10" style="7275" customWidth="1"/>
    <col min="4358" max="4358" width="14" style="7275" customWidth="1"/>
    <col min="4359" max="4359" width="13.44140625" style="7275" customWidth="1"/>
    <col min="4360" max="4360" width="13" style="7275" customWidth="1"/>
    <col min="4361" max="4610" width="9.109375" style="7275"/>
    <col min="4611" max="4611" width="3.88671875" style="7275" customWidth="1"/>
    <col min="4612" max="4612" width="44" style="7275" customWidth="1"/>
    <col min="4613" max="4613" width="10" style="7275" customWidth="1"/>
    <col min="4614" max="4614" width="14" style="7275" customWidth="1"/>
    <col min="4615" max="4615" width="13.44140625" style="7275" customWidth="1"/>
    <col min="4616" max="4616" width="13" style="7275" customWidth="1"/>
    <col min="4617" max="4866" width="9.109375" style="7275"/>
    <col min="4867" max="4867" width="3.88671875" style="7275" customWidth="1"/>
    <col min="4868" max="4868" width="44" style="7275" customWidth="1"/>
    <col min="4869" max="4869" width="10" style="7275" customWidth="1"/>
    <col min="4870" max="4870" width="14" style="7275" customWidth="1"/>
    <col min="4871" max="4871" width="13.44140625" style="7275" customWidth="1"/>
    <col min="4872" max="4872" width="13" style="7275" customWidth="1"/>
    <col min="4873" max="5122" width="9.109375" style="7275"/>
    <col min="5123" max="5123" width="3.88671875" style="7275" customWidth="1"/>
    <col min="5124" max="5124" width="44" style="7275" customWidth="1"/>
    <col min="5125" max="5125" width="10" style="7275" customWidth="1"/>
    <col min="5126" max="5126" width="14" style="7275" customWidth="1"/>
    <col min="5127" max="5127" width="13.44140625" style="7275" customWidth="1"/>
    <col min="5128" max="5128" width="13" style="7275" customWidth="1"/>
    <col min="5129" max="5378" width="9.109375" style="7275"/>
    <col min="5379" max="5379" width="3.88671875" style="7275" customWidth="1"/>
    <col min="5380" max="5380" width="44" style="7275" customWidth="1"/>
    <col min="5381" max="5381" width="10" style="7275" customWidth="1"/>
    <col min="5382" max="5382" width="14" style="7275" customWidth="1"/>
    <col min="5383" max="5383" width="13.44140625" style="7275" customWidth="1"/>
    <col min="5384" max="5384" width="13" style="7275" customWidth="1"/>
    <col min="5385" max="5634" width="9.109375" style="7275"/>
    <col min="5635" max="5635" width="3.88671875" style="7275" customWidth="1"/>
    <col min="5636" max="5636" width="44" style="7275" customWidth="1"/>
    <col min="5637" max="5637" width="10" style="7275" customWidth="1"/>
    <col min="5638" max="5638" width="14" style="7275" customWidth="1"/>
    <col min="5639" max="5639" width="13.44140625" style="7275" customWidth="1"/>
    <col min="5640" max="5640" width="13" style="7275" customWidth="1"/>
    <col min="5641" max="5890" width="9.109375" style="7275"/>
    <col min="5891" max="5891" width="3.88671875" style="7275" customWidth="1"/>
    <col min="5892" max="5892" width="44" style="7275" customWidth="1"/>
    <col min="5893" max="5893" width="10" style="7275" customWidth="1"/>
    <col min="5894" max="5894" width="14" style="7275" customWidth="1"/>
    <col min="5895" max="5895" width="13.44140625" style="7275" customWidth="1"/>
    <col min="5896" max="5896" width="13" style="7275" customWidth="1"/>
    <col min="5897" max="6146" width="9.109375" style="7275"/>
    <col min="6147" max="6147" width="3.88671875" style="7275" customWidth="1"/>
    <col min="6148" max="6148" width="44" style="7275" customWidth="1"/>
    <col min="6149" max="6149" width="10" style="7275" customWidth="1"/>
    <col min="6150" max="6150" width="14" style="7275" customWidth="1"/>
    <col min="6151" max="6151" width="13.44140625" style="7275" customWidth="1"/>
    <col min="6152" max="6152" width="13" style="7275" customWidth="1"/>
    <col min="6153" max="6402" width="9.109375" style="7275"/>
    <col min="6403" max="6403" width="3.88671875" style="7275" customWidth="1"/>
    <col min="6404" max="6404" width="44" style="7275" customWidth="1"/>
    <col min="6405" max="6405" width="10" style="7275" customWidth="1"/>
    <col min="6406" max="6406" width="14" style="7275" customWidth="1"/>
    <col min="6407" max="6407" width="13.44140625" style="7275" customWidth="1"/>
    <col min="6408" max="6408" width="13" style="7275" customWidth="1"/>
    <col min="6409" max="6658" width="9.109375" style="7275"/>
    <col min="6659" max="6659" width="3.88671875" style="7275" customWidth="1"/>
    <col min="6660" max="6660" width="44" style="7275" customWidth="1"/>
    <col min="6661" max="6661" width="10" style="7275" customWidth="1"/>
    <col min="6662" max="6662" width="14" style="7275" customWidth="1"/>
    <col min="6663" max="6663" width="13.44140625" style="7275" customWidth="1"/>
    <col min="6664" max="6664" width="13" style="7275" customWidth="1"/>
    <col min="6665" max="6914" width="9.109375" style="7275"/>
    <col min="6915" max="6915" width="3.88671875" style="7275" customWidth="1"/>
    <col min="6916" max="6916" width="44" style="7275" customWidth="1"/>
    <col min="6917" max="6917" width="10" style="7275" customWidth="1"/>
    <col min="6918" max="6918" width="14" style="7275" customWidth="1"/>
    <col min="6919" max="6919" width="13.44140625" style="7275" customWidth="1"/>
    <col min="6920" max="6920" width="13" style="7275" customWidth="1"/>
    <col min="6921" max="7170" width="9.109375" style="7275"/>
    <col min="7171" max="7171" width="3.88671875" style="7275" customWidth="1"/>
    <col min="7172" max="7172" width="44" style="7275" customWidth="1"/>
    <col min="7173" max="7173" width="10" style="7275" customWidth="1"/>
    <col min="7174" max="7174" width="14" style="7275" customWidth="1"/>
    <col min="7175" max="7175" width="13.44140625" style="7275" customWidth="1"/>
    <col min="7176" max="7176" width="13" style="7275" customWidth="1"/>
    <col min="7177" max="7426" width="9.109375" style="7275"/>
    <col min="7427" max="7427" width="3.88671875" style="7275" customWidth="1"/>
    <col min="7428" max="7428" width="44" style="7275" customWidth="1"/>
    <col min="7429" max="7429" width="10" style="7275" customWidth="1"/>
    <col min="7430" max="7430" width="14" style="7275" customWidth="1"/>
    <col min="7431" max="7431" width="13.44140625" style="7275" customWidth="1"/>
    <col min="7432" max="7432" width="13" style="7275" customWidth="1"/>
    <col min="7433" max="7682" width="9.109375" style="7275"/>
    <col min="7683" max="7683" width="3.88671875" style="7275" customWidth="1"/>
    <col min="7684" max="7684" width="44" style="7275" customWidth="1"/>
    <col min="7685" max="7685" width="10" style="7275" customWidth="1"/>
    <col min="7686" max="7686" width="14" style="7275" customWidth="1"/>
    <col min="7687" max="7687" width="13.44140625" style="7275" customWidth="1"/>
    <col min="7688" max="7688" width="13" style="7275" customWidth="1"/>
    <col min="7689" max="7938" width="9.109375" style="7275"/>
    <col min="7939" max="7939" width="3.88671875" style="7275" customWidth="1"/>
    <col min="7940" max="7940" width="44" style="7275" customWidth="1"/>
    <col min="7941" max="7941" width="10" style="7275" customWidth="1"/>
    <col min="7942" max="7942" width="14" style="7275" customWidth="1"/>
    <col min="7943" max="7943" width="13.44140625" style="7275" customWidth="1"/>
    <col min="7944" max="7944" width="13" style="7275" customWidth="1"/>
    <col min="7945" max="8194" width="9.109375" style="7275"/>
    <col min="8195" max="8195" width="3.88671875" style="7275" customWidth="1"/>
    <col min="8196" max="8196" width="44" style="7275" customWidth="1"/>
    <col min="8197" max="8197" width="10" style="7275" customWidth="1"/>
    <col min="8198" max="8198" width="14" style="7275" customWidth="1"/>
    <col min="8199" max="8199" width="13.44140625" style="7275" customWidth="1"/>
    <col min="8200" max="8200" width="13" style="7275" customWidth="1"/>
    <col min="8201" max="8450" width="9.109375" style="7275"/>
    <col min="8451" max="8451" width="3.88671875" style="7275" customWidth="1"/>
    <col min="8452" max="8452" width="44" style="7275" customWidth="1"/>
    <col min="8453" max="8453" width="10" style="7275" customWidth="1"/>
    <col min="8454" max="8454" width="14" style="7275" customWidth="1"/>
    <col min="8455" max="8455" width="13.44140625" style="7275" customWidth="1"/>
    <col min="8456" max="8456" width="13" style="7275" customWidth="1"/>
    <col min="8457" max="8706" width="9.109375" style="7275"/>
    <col min="8707" max="8707" width="3.88671875" style="7275" customWidth="1"/>
    <col min="8708" max="8708" width="44" style="7275" customWidth="1"/>
    <col min="8709" max="8709" width="10" style="7275" customWidth="1"/>
    <col min="8710" max="8710" width="14" style="7275" customWidth="1"/>
    <col min="8711" max="8711" width="13.44140625" style="7275" customWidth="1"/>
    <col min="8712" max="8712" width="13" style="7275" customWidth="1"/>
    <col min="8713" max="8962" width="9.109375" style="7275"/>
    <col min="8963" max="8963" width="3.88671875" style="7275" customWidth="1"/>
    <col min="8964" max="8964" width="44" style="7275" customWidth="1"/>
    <col min="8965" max="8965" width="10" style="7275" customWidth="1"/>
    <col min="8966" max="8966" width="14" style="7275" customWidth="1"/>
    <col min="8967" max="8967" width="13.44140625" style="7275" customWidth="1"/>
    <col min="8968" max="8968" width="13" style="7275" customWidth="1"/>
    <col min="8969" max="9218" width="9.109375" style="7275"/>
    <col min="9219" max="9219" width="3.88671875" style="7275" customWidth="1"/>
    <col min="9220" max="9220" width="44" style="7275" customWidth="1"/>
    <col min="9221" max="9221" width="10" style="7275" customWidth="1"/>
    <col min="9222" max="9222" width="14" style="7275" customWidth="1"/>
    <col min="9223" max="9223" width="13.44140625" style="7275" customWidth="1"/>
    <col min="9224" max="9224" width="13" style="7275" customWidth="1"/>
    <col min="9225" max="9474" width="9.109375" style="7275"/>
    <col min="9475" max="9475" width="3.88671875" style="7275" customWidth="1"/>
    <col min="9476" max="9476" width="44" style="7275" customWidth="1"/>
    <col min="9477" max="9477" width="10" style="7275" customWidth="1"/>
    <col min="9478" max="9478" width="14" style="7275" customWidth="1"/>
    <col min="9479" max="9479" width="13.44140625" style="7275" customWidth="1"/>
    <col min="9480" max="9480" width="13" style="7275" customWidth="1"/>
    <col min="9481" max="9730" width="9.109375" style="7275"/>
    <col min="9731" max="9731" width="3.88671875" style="7275" customWidth="1"/>
    <col min="9732" max="9732" width="44" style="7275" customWidth="1"/>
    <col min="9733" max="9733" width="10" style="7275" customWidth="1"/>
    <col min="9734" max="9734" width="14" style="7275" customWidth="1"/>
    <col min="9735" max="9735" width="13.44140625" style="7275" customWidth="1"/>
    <col min="9736" max="9736" width="13" style="7275" customWidth="1"/>
    <col min="9737" max="9986" width="9.109375" style="7275"/>
    <col min="9987" max="9987" width="3.88671875" style="7275" customWidth="1"/>
    <col min="9988" max="9988" width="44" style="7275" customWidth="1"/>
    <col min="9989" max="9989" width="10" style="7275" customWidth="1"/>
    <col min="9990" max="9990" width="14" style="7275" customWidth="1"/>
    <col min="9991" max="9991" width="13.44140625" style="7275" customWidth="1"/>
    <col min="9992" max="9992" width="13" style="7275" customWidth="1"/>
    <col min="9993" max="10242" width="9.109375" style="7275"/>
    <col min="10243" max="10243" width="3.88671875" style="7275" customWidth="1"/>
    <col min="10244" max="10244" width="44" style="7275" customWidth="1"/>
    <col min="10245" max="10245" width="10" style="7275" customWidth="1"/>
    <col min="10246" max="10246" width="14" style="7275" customWidth="1"/>
    <col min="10247" max="10247" width="13.44140625" style="7275" customWidth="1"/>
    <col min="10248" max="10248" width="13" style="7275" customWidth="1"/>
    <col min="10249" max="10498" width="9.109375" style="7275"/>
    <col min="10499" max="10499" width="3.88671875" style="7275" customWidth="1"/>
    <col min="10500" max="10500" width="44" style="7275" customWidth="1"/>
    <col min="10501" max="10501" width="10" style="7275" customWidth="1"/>
    <col min="10502" max="10502" width="14" style="7275" customWidth="1"/>
    <col min="10503" max="10503" width="13.44140625" style="7275" customWidth="1"/>
    <col min="10504" max="10504" width="13" style="7275" customWidth="1"/>
    <col min="10505" max="10754" width="9.109375" style="7275"/>
    <col min="10755" max="10755" width="3.88671875" style="7275" customWidth="1"/>
    <col min="10756" max="10756" width="44" style="7275" customWidth="1"/>
    <col min="10757" max="10757" width="10" style="7275" customWidth="1"/>
    <col min="10758" max="10758" width="14" style="7275" customWidth="1"/>
    <col min="10759" max="10759" width="13.44140625" style="7275" customWidth="1"/>
    <col min="10760" max="10760" width="13" style="7275" customWidth="1"/>
    <col min="10761" max="11010" width="9.109375" style="7275"/>
    <col min="11011" max="11011" width="3.88671875" style="7275" customWidth="1"/>
    <col min="11012" max="11012" width="44" style="7275" customWidth="1"/>
    <col min="11013" max="11013" width="10" style="7275" customWidth="1"/>
    <col min="11014" max="11014" width="14" style="7275" customWidth="1"/>
    <col min="11015" max="11015" width="13.44140625" style="7275" customWidth="1"/>
    <col min="11016" max="11016" width="13" style="7275" customWidth="1"/>
    <col min="11017" max="11266" width="9.109375" style="7275"/>
    <col min="11267" max="11267" width="3.88671875" style="7275" customWidth="1"/>
    <col min="11268" max="11268" width="44" style="7275" customWidth="1"/>
    <col min="11269" max="11269" width="10" style="7275" customWidth="1"/>
    <col min="11270" max="11270" width="14" style="7275" customWidth="1"/>
    <col min="11271" max="11271" width="13.44140625" style="7275" customWidth="1"/>
    <col min="11272" max="11272" width="13" style="7275" customWidth="1"/>
    <col min="11273" max="11522" width="9.109375" style="7275"/>
    <col min="11523" max="11523" width="3.88671875" style="7275" customWidth="1"/>
    <col min="11524" max="11524" width="44" style="7275" customWidth="1"/>
    <col min="11525" max="11525" width="10" style="7275" customWidth="1"/>
    <col min="11526" max="11526" width="14" style="7275" customWidth="1"/>
    <col min="11527" max="11527" width="13.44140625" style="7275" customWidth="1"/>
    <col min="11528" max="11528" width="13" style="7275" customWidth="1"/>
    <col min="11529" max="11778" width="9.109375" style="7275"/>
    <col min="11779" max="11779" width="3.88671875" style="7275" customWidth="1"/>
    <col min="11780" max="11780" width="44" style="7275" customWidth="1"/>
    <col min="11781" max="11781" width="10" style="7275" customWidth="1"/>
    <col min="11782" max="11782" width="14" style="7275" customWidth="1"/>
    <col min="11783" max="11783" width="13.44140625" style="7275" customWidth="1"/>
    <col min="11784" max="11784" width="13" style="7275" customWidth="1"/>
    <col min="11785" max="12034" width="9.109375" style="7275"/>
    <col min="12035" max="12035" width="3.88671875" style="7275" customWidth="1"/>
    <col min="12036" max="12036" width="44" style="7275" customWidth="1"/>
    <col min="12037" max="12037" width="10" style="7275" customWidth="1"/>
    <col min="12038" max="12038" width="14" style="7275" customWidth="1"/>
    <col min="12039" max="12039" width="13.44140625" style="7275" customWidth="1"/>
    <col min="12040" max="12040" width="13" style="7275" customWidth="1"/>
    <col min="12041" max="12290" width="9.109375" style="7275"/>
    <col min="12291" max="12291" width="3.88671875" style="7275" customWidth="1"/>
    <col min="12292" max="12292" width="44" style="7275" customWidth="1"/>
    <col min="12293" max="12293" width="10" style="7275" customWidth="1"/>
    <col min="12294" max="12294" width="14" style="7275" customWidth="1"/>
    <col min="12295" max="12295" width="13.44140625" style="7275" customWidth="1"/>
    <col min="12296" max="12296" width="13" style="7275" customWidth="1"/>
    <col min="12297" max="12546" width="9.109375" style="7275"/>
    <col min="12547" max="12547" width="3.88671875" style="7275" customWidth="1"/>
    <col min="12548" max="12548" width="44" style="7275" customWidth="1"/>
    <col min="12549" max="12549" width="10" style="7275" customWidth="1"/>
    <col min="12550" max="12550" width="14" style="7275" customWidth="1"/>
    <col min="12551" max="12551" width="13.44140625" style="7275" customWidth="1"/>
    <col min="12552" max="12552" width="13" style="7275" customWidth="1"/>
    <col min="12553" max="12802" width="9.109375" style="7275"/>
    <col min="12803" max="12803" width="3.88671875" style="7275" customWidth="1"/>
    <col min="12804" max="12804" width="44" style="7275" customWidth="1"/>
    <col min="12805" max="12805" width="10" style="7275" customWidth="1"/>
    <col min="12806" max="12806" width="14" style="7275" customWidth="1"/>
    <col min="12807" max="12807" width="13.44140625" style="7275" customWidth="1"/>
    <col min="12808" max="12808" width="13" style="7275" customWidth="1"/>
    <col min="12809" max="13058" width="9.109375" style="7275"/>
    <col min="13059" max="13059" width="3.88671875" style="7275" customWidth="1"/>
    <col min="13060" max="13060" width="44" style="7275" customWidth="1"/>
    <col min="13061" max="13061" width="10" style="7275" customWidth="1"/>
    <col min="13062" max="13062" width="14" style="7275" customWidth="1"/>
    <col min="13063" max="13063" width="13.44140625" style="7275" customWidth="1"/>
    <col min="13064" max="13064" width="13" style="7275" customWidth="1"/>
    <col min="13065" max="13314" width="9.109375" style="7275"/>
    <col min="13315" max="13315" width="3.88671875" style="7275" customWidth="1"/>
    <col min="13316" max="13316" width="44" style="7275" customWidth="1"/>
    <col min="13317" max="13317" width="10" style="7275" customWidth="1"/>
    <col min="13318" max="13318" width="14" style="7275" customWidth="1"/>
    <col min="13319" max="13319" width="13.44140625" style="7275" customWidth="1"/>
    <col min="13320" max="13320" width="13" style="7275" customWidth="1"/>
    <col min="13321" max="13570" width="9.109375" style="7275"/>
    <col min="13571" max="13571" width="3.88671875" style="7275" customWidth="1"/>
    <col min="13572" max="13572" width="44" style="7275" customWidth="1"/>
    <col min="13573" max="13573" width="10" style="7275" customWidth="1"/>
    <col min="13574" max="13574" width="14" style="7275" customWidth="1"/>
    <col min="13575" max="13575" width="13.44140625" style="7275" customWidth="1"/>
    <col min="13576" max="13576" width="13" style="7275" customWidth="1"/>
    <col min="13577" max="13826" width="9.109375" style="7275"/>
    <col min="13827" max="13827" width="3.88671875" style="7275" customWidth="1"/>
    <col min="13828" max="13828" width="44" style="7275" customWidth="1"/>
    <col min="13829" max="13829" width="10" style="7275" customWidth="1"/>
    <col min="13830" max="13830" width="14" style="7275" customWidth="1"/>
    <col min="13831" max="13831" width="13.44140625" style="7275" customWidth="1"/>
    <col min="13832" max="13832" width="13" style="7275" customWidth="1"/>
    <col min="13833" max="14082" width="9.109375" style="7275"/>
    <col min="14083" max="14083" width="3.88671875" style="7275" customWidth="1"/>
    <col min="14084" max="14084" width="44" style="7275" customWidth="1"/>
    <col min="14085" max="14085" width="10" style="7275" customWidth="1"/>
    <col min="14086" max="14086" width="14" style="7275" customWidth="1"/>
    <col min="14087" max="14087" width="13.44140625" style="7275" customWidth="1"/>
    <col min="14088" max="14088" width="13" style="7275" customWidth="1"/>
    <col min="14089" max="14338" width="9.109375" style="7275"/>
    <col min="14339" max="14339" width="3.88671875" style="7275" customWidth="1"/>
    <col min="14340" max="14340" width="44" style="7275" customWidth="1"/>
    <col min="14341" max="14341" width="10" style="7275" customWidth="1"/>
    <col min="14342" max="14342" width="14" style="7275" customWidth="1"/>
    <col min="14343" max="14343" width="13.44140625" style="7275" customWidth="1"/>
    <col min="14344" max="14344" width="13" style="7275" customWidth="1"/>
    <col min="14345" max="14594" width="9.109375" style="7275"/>
    <col min="14595" max="14595" width="3.88671875" style="7275" customWidth="1"/>
    <col min="14596" max="14596" width="44" style="7275" customWidth="1"/>
    <col min="14597" max="14597" width="10" style="7275" customWidth="1"/>
    <col min="14598" max="14598" width="14" style="7275" customWidth="1"/>
    <col min="14599" max="14599" width="13.44140625" style="7275" customWidth="1"/>
    <col min="14600" max="14600" width="13" style="7275" customWidth="1"/>
    <col min="14601" max="14850" width="9.109375" style="7275"/>
    <col min="14851" max="14851" width="3.88671875" style="7275" customWidth="1"/>
    <col min="14852" max="14852" width="44" style="7275" customWidth="1"/>
    <col min="14853" max="14853" width="10" style="7275" customWidth="1"/>
    <col min="14854" max="14854" width="14" style="7275" customWidth="1"/>
    <col min="14855" max="14855" width="13.44140625" style="7275" customWidth="1"/>
    <col min="14856" max="14856" width="13" style="7275" customWidth="1"/>
    <col min="14857" max="15106" width="9.109375" style="7275"/>
    <col min="15107" max="15107" width="3.88671875" style="7275" customWidth="1"/>
    <col min="15108" max="15108" width="44" style="7275" customWidth="1"/>
    <col min="15109" max="15109" width="10" style="7275" customWidth="1"/>
    <col min="15110" max="15110" width="14" style="7275" customWidth="1"/>
    <col min="15111" max="15111" width="13.44140625" style="7275" customWidth="1"/>
    <col min="15112" max="15112" width="13" style="7275" customWidth="1"/>
    <col min="15113" max="15362" width="9.109375" style="7275"/>
    <col min="15363" max="15363" width="3.88671875" style="7275" customWidth="1"/>
    <col min="15364" max="15364" width="44" style="7275" customWidth="1"/>
    <col min="15365" max="15365" width="10" style="7275" customWidth="1"/>
    <col min="15366" max="15366" width="14" style="7275" customWidth="1"/>
    <col min="15367" max="15367" width="13.44140625" style="7275" customWidth="1"/>
    <col min="15368" max="15368" width="13" style="7275" customWidth="1"/>
    <col min="15369" max="15618" width="9.109375" style="7275"/>
    <col min="15619" max="15619" width="3.88671875" style="7275" customWidth="1"/>
    <col min="15620" max="15620" width="44" style="7275" customWidth="1"/>
    <col min="15621" max="15621" width="10" style="7275" customWidth="1"/>
    <col min="15622" max="15622" width="14" style="7275" customWidth="1"/>
    <col min="15623" max="15623" width="13.44140625" style="7275" customWidth="1"/>
    <col min="15624" max="15624" width="13" style="7275" customWidth="1"/>
    <col min="15625" max="15874" width="9.109375" style="7275"/>
    <col min="15875" max="15875" width="3.88671875" style="7275" customWidth="1"/>
    <col min="15876" max="15876" width="44" style="7275" customWidth="1"/>
    <col min="15877" max="15877" width="10" style="7275" customWidth="1"/>
    <col min="15878" max="15878" width="14" style="7275" customWidth="1"/>
    <col min="15879" max="15879" width="13.44140625" style="7275" customWidth="1"/>
    <col min="15880" max="15880" width="13" style="7275" customWidth="1"/>
    <col min="15881" max="16130" width="9.109375" style="7275"/>
    <col min="16131" max="16131" width="3.88671875" style="7275" customWidth="1"/>
    <col min="16132" max="16132" width="44" style="7275" customWidth="1"/>
    <col min="16133" max="16133" width="10" style="7275" customWidth="1"/>
    <col min="16134" max="16134" width="14" style="7275" customWidth="1"/>
    <col min="16135" max="16135" width="13.44140625" style="7275" customWidth="1"/>
    <col min="16136" max="16136" width="13" style="7275" customWidth="1"/>
    <col min="16137" max="16384" width="9.109375" style="7275"/>
  </cols>
  <sheetData>
    <row r="1" spans="1:12" ht="15" customHeight="1">
      <c r="A1" s="14807" t="s">
        <v>1</v>
      </c>
      <c r="B1" s="14807"/>
      <c r="C1" s="14807"/>
      <c r="D1" s="14807"/>
      <c r="E1" s="14807"/>
      <c r="F1" s="14807"/>
      <c r="G1" s="14807"/>
      <c r="H1" s="14807"/>
      <c r="I1" s="14807"/>
      <c r="J1" s="14807"/>
      <c r="K1" s="10880"/>
    </row>
    <row r="2" spans="1:12" ht="15" customHeight="1">
      <c r="A2" s="7276"/>
      <c r="B2" s="7277"/>
      <c r="C2" s="7278"/>
      <c r="D2" s="7279"/>
      <c r="E2" s="7279"/>
      <c r="F2" s="7279"/>
      <c r="G2" s="7279"/>
      <c r="H2" s="7279"/>
      <c r="I2" s="8106"/>
      <c r="J2" s="7279"/>
      <c r="K2" s="7279"/>
    </row>
    <row r="3" spans="1:12" ht="15" customHeight="1">
      <c r="A3" s="7276" t="s">
        <v>10762</v>
      </c>
      <c r="B3" s="7281"/>
      <c r="C3" s="7282" t="s">
        <v>10763</v>
      </c>
      <c r="D3" s="7283"/>
      <c r="E3" s="7283"/>
      <c r="F3" s="7283"/>
      <c r="G3" s="14809"/>
      <c r="H3" s="7283"/>
      <c r="I3" s="10488"/>
      <c r="J3" s="14808"/>
      <c r="K3" s="9415"/>
    </row>
    <row r="4" spans="1:12" ht="15" customHeight="1">
      <c r="A4" s="7276" t="s">
        <v>10764</v>
      </c>
      <c r="B4" s="7276"/>
      <c r="C4" s="7278" t="s">
        <v>10765</v>
      </c>
      <c r="D4" s="7285"/>
      <c r="E4" s="7285"/>
      <c r="F4" s="7285"/>
      <c r="G4" s="14809"/>
      <c r="H4" s="7285"/>
      <c r="I4" s="8106"/>
      <c r="J4" s="14808"/>
      <c r="K4" s="9415"/>
    </row>
    <row r="5" spans="1:12" ht="15" customHeight="1">
      <c r="A5" s="7287" t="s">
        <v>10766</v>
      </c>
      <c r="B5" s="7287"/>
      <c r="C5" s="7288" t="s">
        <v>10767</v>
      </c>
      <c r="D5" s="7289"/>
      <c r="E5" s="7289"/>
      <c r="F5" s="7289"/>
      <c r="G5" s="7349"/>
      <c r="H5" s="7289"/>
      <c r="I5" s="10489"/>
      <c r="J5" s="7349"/>
      <c r="K5" s="7349"/>
    </row>
    <row r="6" spans="1:12" s="7314" customFormat="1" ht="15" customHeight="1" thickBot="1">
      <c r="A6" s="7287"/>
      <c r="B6" s="7287"/>
      <c r="C6" s="7288"/>
      <c r="D6" s="7289"/>
      <c r="E6" s="7289"/>
      <c r="F6" s="7289"/>
      <c r="G6" s="7289"/>
      <c r="H6" s="7289"/>
      <c r="I6" s="10489"/>
      <c r="J6" s="7289"/>
      <c r="K6" s="7289"/>
    </row>
    <row r="7" spans="1:12" ht="15" customHeight="1">
      <c r="A7" s="7694"/>
      <c r="B7" s="11658"/>
      <c r="C7" s="9460" t="s">
        <v>9</v>
      </c>
      <c r="D7" s="10868" t="s">
        <v>10</v>
      </c>
      <c r="E7" s="14188" t="s">
        <v>10711</v>
      </c>
      <c r="F7" s="14189"/>
      <c r="G7" s="14190"/>
      <c r="H7" s="11080" t="s">
        <v>9985</v>
      </c>
      <c r="I7" s="9462"/>
      <c r="J7" s="11733" t="s">
        <v>12</v>
      </c>
      <c r="K7" s="10867"/>
    </row>
    <row r="8" spans="1:12" ht="15" customHeight="1">
      <c r="A8" s="7657"/>
      <c r="B8" s="7295" t="s">
        <v>13</v>
      </c>
      <c r="C8" s="11727" t="s">
        <v>93</v>
      </c>
      <c r="D8" s="11123" t="s">
        <v>15</v>
      </c>
      <c r="E8" s="9502" t="s">
        <v>10709</v>
      </c>
      <c r="F8" s="9503" t="s">
        <v>10710</v>
      </c>
      <c r="G8" s="14191" t="s">
        <v>458</v>
      </c>
      <c r="H8" s="11084" t="s">
        <v>11839</v>
      </c>
      <c r="I8" s="11108"/>
      <c r="J8" s="11734" t="s">
        <v>16</v>
      </c>
      <c r="K8" s="10867"/>
    </row>
    <row r="9" spans="1:12" ht="15" customHeight="1" thickBot="1">
      <c r="A9" s="7699"/>
      <c r="B9" s="7897"/>
      <c r="C9" s="11728" t="s">
        <v>94</v>
      </c>
      <c r="D9" s="9455">
        <v>2017</v>
      </c>
      <c r="E9" s="9467" t="s">
        <v>457</v>
      </c>
      <c r="F9" s="11661" t="s">
        <v>456</v>
      </c>
      <c r="G9" s="14192"/>
      <c r="H9" s="7302">
        <v>2018</v>
      </c>
      <c r="I9" s="7322"/>
      <c r="J9" s="11735">
        <v>2019</v>
      </c>
      <c r="K9" s="9351"/>
    </row>
    <row r="10" spans="1:12" ht="15" customHeight="1">
      <c r="A10" s="11663" t="s">
        <v>17</v>
      </c>
      <c r="B10" s="7287" t="s">
        <v>18</v>
      </c>
      <c r="C10" s="10136"/>
      <c r="D10" s="11664"/>
      <c r="E10" s="11664"/>
      <c r="F10" s="11664"/>
      <c r="G10" s="8798"/>
      <c r="H10" s="11664"/>
      <c r="I10" s="12233"/>
      <c r="J10" s="11691"/>
      <c r="K10" s="7289"/>
    </row>
    <row r="11" spans="1:12" ht="15" customHeight="1">
      <c r="A11" s="7657"/>
      <c r="B11" s="7287" t="s">
        <v>19</v>
      </c>
      <c r="C11" s="10136"/>
      <c r="D11" s="11664"/>
      <c r="E11" s="11664"/>
      <c r="F11" s="11664"/>
      <c r="G11" s="8798"/>
      <c r="H11" s="11664"/>
      <c r="I11" s="12233"/>
      <c r="J11" s="11691"/>
      <c r="K11" s="7289"/>
    </row>
    <row r="12" spans="1:12" ht="15" customHeight="1">
      <c r="A12" s="7657"/>
      <c r="B12" s="7287" t="s">
        <v>20</v>
      </c>
      <c r="C12" s="10136">
        <v>50101010</v>
      </c>
      <c r="D12" s="10137">
        <f>'WS-PS 2017'!B15</f>
        <v>12955423.48</v>
      </c>
      <c r="E12" s="10137">
        <f>'WS-PS ACTUAL JUNE 2018'!B15</f>
        <v>7262658.0199999996</v>
      </c>
      <c r="F12" s="10137">
        <f>G12-E12</f>
        <v>9331205.9800000004</v>
      </c>
      <c r="G12" s="10137">
        <v>16593864</v>
      </c>
      <c r="H12" s="10137"/>
      <c r="I12" s="12320"/>
      <c r="J12" s="11843">
        <f>K12</f>
        <v>18686760</v>
      </c>
      <c r="K12" s="11719">
        <f>'staffing-pgso'!F82</f>
        <v>18686760</v>
      </c>
      <c r="L12" s="7346">
        <f>'staffing-pgso'!B82</f>
        <v>86</v>
      </c>
    </row>
    <row r="13" spans="1:12" ht="15" customHeight="1">
      <c r="A13" s="7657"/>
      <c r="B13" s="7287" t="s">
        <v>21</v>
      </c>
      <c r="C13" s="10136">
        <v>50102010</v>
      </c>
      <c r="D13" s="8798">
        <f>'WS-PS 2017'!F15</f>
        <v>1613577.22</v>
      </c>
      <c r="E13" s="8798">
        <f>'WS-PS ACTUAL JUNE 2018'!D15</f>
        <v>819310.02</v>
      </c>
      <c r="F13" s="10137">
        <f t="shared" ref="F13:F28" si="0">G13-E13</f>
        <v>1052689.98</v>
      </c>
      <c r="G13" s="8798">
        <v>1872000</v>
      </c>
      <c r="H13" s="8798"/>
      <c r="I13" s="10576"/>
      <c r="J13" s="11843">
        <f t="shared" ref="J13:J30" si="1">K13</f>
        <v>2064000</v>
      </c>
      <c r="K13" s="7310">
        <f>24000*L12</f>
        <v>2064000</v>
      </c>
    </row>
    <row r="14" spans="1:12" ht="15" customHeight="1">
      <c r="A14" s="7657"/>
      <c r="B14" s="7287" t="s">
        <v>104</v>
      </c>
      <c r="C14" s="10136">
        <v>50102020</v>
      </c>
      <c r="D14" s="12321">
        <f>'WS-PS 2017'!G15</f>
        <v>96625</v>
      </c>
      <c r="E14" s="8798">
        <f>'WS-PS ACTUAL JUNE 2018'!E15</f>
        <v>51625</v>
      </c>
      <c r="F14" s="10137">
        <f t="shared" si="0"/>
        <v>140375</v>
      </c>
      <c r="G14" s="8798">
        <v>192000</v>
      </c>
      <c r="H14" s="8798"/>
      <c r="I14" s="10576"/>
      <c r="J14" s="11843">
        <f t="shared" si="1"/>
        <v>192000</v>
      </c>
      <c r="K14" s="7310">
        <v>192000</v>
      </c>
      <c r="L14" s="7347"/>
    </row>
    <row r="15" spans="1:12" ht="15" customHeight="1">
      <c r="A15" s="7657"/>
      <c r="B15" s="7287" t="s">
        <v>105</v>
      </c>
      <c r="C15" s="10136">
        <v>50102030</v>
      </c>
      <c r="D15" s="12321">
        <f>'WS-PS 2017'!H15</f>
        <v>96625</v>
      </c>
      <c r="E15" s="8798">
        <f>'WS-PS ACTUAL JUNE 2018'!F15</f>
        <v>51625</v>
      </c>
      <c r="F15" s="10137">
        <f t="shared" si="0"/>
        <v>140375</v>
      </c>
      <c r="G15" s="8798">
        <v>192000</v>
      </c>
      <c r="H15" s="8798"/>
      <c r="I15" s="10576"/>
      <c r="J15" s="11843">
        <f t="shared" si="1"/>
        <v>192000</v>
      </c>
      <c r="K15" s="7310">
        <v>192000</v>
      </c>
    </row>
    <row r="16" spans="1:12" ht="15" customHeight="1">
      <c r="A16" s="7657"/>
      <c r="B16" s="7287" t="s">
        <v>22</v>
      </c>
      <c r="C16" s="10136">
        <v>50102040</v>
      </c>
      <c r="D16" s="12321">
        <f>'WS-PS 2017'!I15</f>
        <v>345000</v>
      </c>
      <c r="E16" s="8798">
        <f>'WS-PS ACTUAL JUNE 2018'!G15</f>
        <v>398000</v>
      </c>
      <c r="F16" s="10137">
        <f t="shared" si="0"/>
        <v>-8000</v>
      </c>
      <c r="G16" s="8798">
        <v>390000</v>
      </c>
      <c r="H16" s="8798"/>
      <c r="I16" s="10576"/>
      <c r="J16" s="11843">
        <f t="shared" si="1"/>
        <v>516000</v>
      </c>
      <c r="K16" s="7310">
        <f>6000*L12</f>
        <v>516000</v>
      </c>
    </row>
    <row r="17" spans="1:14" ht="15" customHeight="1">
      <c r="A17" s="7657"/>
      <c r="B17" s="7488" t="s">
        <v>10932</v>
      </c>
      <c r="C17" s="10368">
        <v>50102080</v>
      </c>
      <c r="D17" s="12321">
        <f>'WS-PS 2017'!L15</f>
        <v>330000</v>
      </c>
      <c r="E17" s="8798">
        <f>'WS-PS ACTUAL JUNE 2018'!J15</f>
        <v>0</v>
      </c>
      <c r="F17" s="10137">
        <f t="shared" si="0"/>
        <v>390000</v>
      </c>
      <c r="G17" s="8798">
        <v>390000</v>
      </c>
      <c r="H17" s="8798"/>
      <c r="I17" s="10576"/>
      <c r="J17" s="11843">
        <f t="shared" si="1"/>
        <v>430000</v>
      </c>
      <c r="K17" s="7310">
        <f>5000*L12</f>
        <v>430000</v>
      </c>
    </row>
    <row r="18" spans="1:14" ht="15" customHeight="1">
      <c r="A18" s="7657"/>
      <c r="B18" s="7488" t="s">
        <v>10934</v>
      </c>
      <c r="C18" s="8872">
        <v>50102120</v>
      </c>
      <c r="D18" s="8798">
        <f>'WS-PS 2017'!O15</f>
        <v>60000</v>
      </c>
      <c r="E18" s="8798">
        <f>'WS-PS ACTUAL JUNE 2018'!M15</f>
        <v>20000</v>
      </c>
      <c r="F18" s="10137">
        <f>G18-E18</f>
        <v>30000</v>
      </c>
      <c r="G18" s="8798">
        <v>50000</v>
      </c>
      <c r="H18" s="8798"/>
      <c r="I18" s="10576"/>
      <c r="J18" s="11843">
        <f>K18</f>
        <v>70000</v>
      </c>
      <c r="K18" s="7289">
        <v>70000</v>
      </c>
      <c r="L18" s="7314"/>
      <c r="M18" s="7314"/>
      <c r="N18" s="7314"/>
    </row>
    <row r="19" spans="1:14" ht="15" customHeight="1">
      <c r="A19" s="7657"/>
      <c r="B19" s="7287" t="s">
        <v>171</v>
      </c>
      <c r="C19" s="10136">
        <v>50102130</v>
      </c>
      <c r="D19" s="8870">
        <f>'WS-PS 2017'!R15</f>
        <v>122834.88</v>
      </c>
      <c r="E19" s="8870">
        <f>'WS-PS ACTUAL JUNE 2018'!N15</f>
        <v>47967.88</v>
      </c>
      <c r="F19" s="10137">
        <f t="shared" si="0"/>
        <v>202032.12</v>
      </c>
      <c r="G19" s="8798">
        <v>250000</v>
      </c>
      <c r="H19" s="8798"/>
      <c r="I19" s="10576"/>
      <c r="J19" s="11843">
        <v>250000</v>
      </c>
      <c r="K19" s="7347">
        <v>250000</v>
      </c>
      <c r="L19" s="7314"/>
      <c r="M19" s="7314"/>
      <c r="N19" s="7314"/>
    </row>
    <row r="20" spans="1:14" ht="15" customHeight="1">
      <c r="A20" s="7657"/>
      <c r="B20" s="7488" t="s">
        <v>10933</v>
      </c>
      <c r="C20" s="8872">
        <v>50102140</v>
      </c>
      <c r="D20" s="8798">
        <f>'WS-PS 2017'!U15+'WS-PS 2017'!S15</f>
        <v>2123870.5</v>
      </c>
      <c r="E20" s="8798">
        <f>'WS-PS ACTUAL JUNE 2018'!O15</f>
        <v>1077674.22</v>
      </c>
      <c r="F20" s="10137">
        <f t="shared" si="0"/>
        <v>1687969.78</v>
      </c>
      <c r="G20" s="11844">
        <v>2765644</v>
      </c>
      <c r="H20" s="11730"/>
      <c r="I20" s="12322"/>
      <c r="J20" s="11843">
        <f t="shared" si="1"/>
        <v>3114460</v>
      </c>
      <c r="K20" s="7310">
        <f>SUM(K11:K12)/12*2</f>
        <v>3114460</v>
      </c>
      <c r="L20" s="7314"/>
      <c r="M20" s="7314"/>
      <c r="N20" s="7314"/>
    </row>
    <row r="21" spans="1:14" ht="15" customHeight="1">
      <c r="A21" s="7657"/>
      <c r="B21" s="7287" t="s">
        <v>26</v>
      </c>
      <c r="C21" s="10136">
        <v>50102150</v>
      </c>
      <c r="D21" s="8798">
        <f>'WS-PS 2017'!T15</f>
        <v>338000</v>
      </c>
      <c r="E21" s="7717">
        <f>'WS-PS ACTUAL JUNE 2018'!Q15</f>
        <v>0</v>
      </c>
      <c r="F21" s="10137">
        <f>G21-E21</f>
        <v>390000</v>
      </c>
      <c r="G21" s="8798">
        <v>390000</v>
      </c>
      <c r="H21" s="8798"/>
      <c r="I21" s="10576"/>
      <c r="J21" s="11843">
        <f t="shared" si="1"/>
        <v>430000</v>
      </c>
      <c r="K21" s="7371">
        <f>K17</f>
        <v>430000</v>
      </c>
      <c r="L21" s="7314"/>
      <c r="M21" s="7314"/>
      <c r="N21" s="7314"/>
    </row>
    <row r="22" spans="1:14" ht="15" customHeight="1">
      <c r="A22" s="7657"/>
      <c r="B22" s="7488" t="s">
        <v>11497</v>
      </c>
      <c r="C22" s="11257">
        <v>50102990</v>
      </c>
      <c r="D22" s="7289">
        <v>0</v>
      </c>
      <c r="E22" s="8798">
        <f>'WS-PS ACTUAL JUNE 2018'!R15</f>
        <v>0</v>
      </c>
      <c r="F22" s="10137">
        <f>G22-E22</f>
        <v>795123</v>
      </c>
      <c r="G22" s="8798">
        <v>795123</v>
      </c>
      <c r="H22" s="8798"/>
      <c r="I22" s="10576"/>
      <c r="J22" s="11843">
        <v>0</v>
      </c>
      <c r="K22" s="7310">
        <f>K12/12*0.575</f>
        <v>895407.24999999988</v>
      </c>
      <c r="L22" s="7483"/>
      <c r="M22" s="7314"/>
      <c r="N22" s="7314"/>
    </row>
    <row r="23" spans="1:14" ht="15" customHeight="1">
      <c r="A23" s="7657"/>
      <c r="B23" s="7803" t="s">
        <v>11499</v>
      </c>
      <c r="C23" s="11059" t="s">
        <v>11495</v>
      </c>
      <c r="D23" s="12321">
        <f>'WS-PS 2017'!Q15</f>
        <v>0</v>
      </c>
      <c r="E23" s="8798">
        <f>'WS-PS ACTUAL JUNE 2018'!S15</f>
        <v>0</v>
      </c>
      <c r="F23" s="10137">
        <f>G23-E23</f>
        <v>0</v>
      </c>
      <c r="G23" s="8798">
        <v>0</v>
      </c>
      <c r="H23" s="8798"/>
      <c r="I23" s="10576"/>
      <c r="J23" s="11843">
        <f t="shared" si="1"/>
        <v>258000</v>
      </c>
      <c r="K23" s="7310">
        <f>3000*L12</f>
        <v>258000</v>
      </c>
    </row>
    <row r="24" spans="1:14" ht="15" customHeight="1">
      <c r="A24" s="7657"/>
      <c r="B24" s="11518" t="s">
        <v>59</v>
      </c>
      <c r="C24" s="8872">
        <v>50103010</v>
      </c>
      <c r="D24" s="11844">
        <f>'WS-PS 2017'!V15</f>
        <v>1554650.78</v>
      </c>
      <c r="E24" s="11844">
        <f>'WS-PS ACTUAL JUNE 2018'!T15</f>
        <v>871631.63</v>
      </c>
      <c r="F24" s="10137">
        <f t="shared" si="0"/>
        <v>1119632.3700000001</v>
      </c>
      <c r="G24" s="8798">
        <v>1991264</v>
      </c>
      <c r="H24" s="8798"/>
      <c r="I24" s="10576"/>
      <c r="J24" s="11843">
        <f t="shared" si="1"/>
        <v>2242411.1999999997</v>
      </c>
      <c r="K24" s="11720">
        <f>SUM(K11:K12)*12%</f>
        <v>2242411.1999999997</v>
      </c>
      <c r="L24" s="7314"/>
      <c r="M24" s="7289"/>
      <c r="N24" s="7314"/>
    </row>
    <row r="25" spans="1:14" ht="15" customHeight="1">
      <c r="A25" s="7657"/>
      <c r="B25" s="7803" t="s">
        <v>28</v>
      </c>
      <c r="C25" s="8872">
        <v>50103020</v>
      </c>
      <c r="D25" s="8798">
        <f>'WS-PS 2017'!W15</f>
        <v>81100</v>
      </c>
      <c r="E25" s="8798">
        <f>'WS-PS ACTUAL JUNE 2018'!U15</f>
        <v>41300</v>
      </c>
      <c r="F25" s="10137">
        <f t="shared" si="0"/>
        <v>52300</v>
      </c>
      <c r="G25" s="8798">
        <v>93600</v>
      </c>
      <c r="H25" s="8798"/>
      <c r="I25" s="10576"/>
      <c r="J25" s="11843">
        <f t="shared" si="1"/>
        <v>103200</v>
      </c>
      <c r="K25" s="7310">
        <f>1200*L12</f>
        <v>103200</v>
      </c>
      <c r="L25" s="7314"/>
      <c r="M25" s="7314"/>
      <c r="N25" s="7314"/>
    </row>
    <row r="26" spans="1:14" ht="15" customHeight="1">
      <c r="A26" s="7657"/>
      <c r="B26" s="7803" t="s">
        <v>29</v>
      </c>
      <c r="C26" s="8872">
        <v>50103030</v>
      </c>
      <c r="D26" s="8798">
        <f>'WS-PS 2017'!X15</f>
        <v>144226.5</v>
      </c>
      <c r="E26" s="8798">
        <f>'WS-PS ACTUAL JUNE 2018'!V15</f>
        <v>92627.58</v>
      </c>
      <c r="F26" s="10137">
        <f t="shared" si="0"/>
        <v>188172.41999999998</v>
      </c>
      <c r="G26" s="8798">
        <v>280800</v>
      </c>
      <c r="H26" s="8798"/>
      <c r="I26" s="10576"/>
      <c r="J26" s="11843">
        <v>228086.595</v>
      </c>
      <c r="K26" s="7310">
        <f>3600*L12</f>
        <v>309600</v>
      </c>
      <c r="L26" s="7314"/>
      <c r="M26" s="7314"/>
      <c r="N26" s="7314"/>
    </row>
    <row r="27" spans="1:14" ht="15" customHeight="1">
      <c r="A27" s="7657"/>
      <c r="B27" s="7803" t="s">
        <v>30</v>
      </c>
      <c r="C27" s="8872">
        <v>50103040</v>
      </c>
      <c r="D27" s="8798">
        <f>'WS-PS 2017'!Y15</f>
        <v>80888.14</v>
      </c>
      <c r="E27" s="8798">
        <f>'WS-PS ACTUAL JUNE 2018'!W15</f>
        <v>41218.42</v>
      </c>
      <c r="F27" s="10137">
        <f t="shared" si="0"/>
        <v>52381.58</v>
      </c>
      <c r="G27" s="8798">
        <v>93600</v>
      </c>
      <c r="H27" s="8798"/>
      <c r="I27" s="10576"/>
      <c r="J27" s="11843">
        <f t="shared" si="1"/>
        <v>103200</v>
      </c>
      <c r="K27" s="7310">
        <f>K25</f>
        <v>103200</v>
      </c>
      <c r="L27" s="7314"/>
      <c r="M27" s="7314"/>
      <c r="N27" s="7314"/>
    </row>
    <row r="28" spans="1:14" ht="15" customHeight="1">
      <c r="A28" s="7657"/>
      <c r="B28" s="7488" t="s">
        <v>5025</v>
      </c>
      <c r="C28" s="11258">
        <v>50104990</v>
      </c>
      <c r="D28" s="8798">
        <f>'WS-PS 2017'!Z15</f>
        <v>1670000</v>
      </c>
      <c r="E28" s="8798"/>
      <c r="F28" s="10137">
        <f t="shared" si="0"/>
        <v>0</v>
      </c>
      <c r="G28" s="8798">
        <v>0</v>
      </c>
      <c r="H28" s="8798"/>
      <c r="I28" s="10576"/>
      <c r="J28" s="11843">
        <f t="shared" si="1"/>
        <v>0</v>
      </c>
      <c r="K28" s="7289"/>
    </row>
    <row r="29" spans="1:14" ht="15" customHeight="1">
      <c r="A29" s="7657"/>
      <c r="B29" s="7287"/>
      <c r="C29" s="10136"/>
      <c r="D29" s="8798"/>
      <c r="E29" s="8798"/>
      <c r="F29" s="8798"/>
      <c r="G29" s="8798"/>
      <c r="H29" s="8798"/>
      <c r="I29" s="10576"/>
      <c r="J29" s="11843">
        <f t="shared" si="1"/>
        <v>0</v>
      </c>
      <c r="K29" s="7289"/>
    </row>
    <row r="30" spans="1:14" ht="15" customHeight="1">
      <c r="A30" s="7657"/>
      <c r="B30" s="7287"/>
      <c r="C30" s="10136"/>
      <c r="D30" s="12323"/>
      <c r="E30" s="12324"/>
      <c r="F30" s="12324"/>
      <c r="G30" s="7660"/>
      <c r="H30" s="7660"/>
      <c r="I30" s="12325"/>
      <c r="J30" s="11843">
        <f t="shared" si="1"/>
        <v>0</v>
      </c>
      <c r="K30" s="7289"/>
    </row>
    <row r="31" spans="1:14" ht="15" customHeight="1" thickBot="1">
      <c r="A31" s="7699"/>
      <c r="B31" s="7781" t="s">
        <v>37</v>
      </c>
      <c r="C31" s="11732"/>
      <c r="D31" s="12326">
        <f>SUM(D11:D29)</f>
        <v>21612821.500000004</v>
      </c>
      <c r="E31" s="12326">
        <f>SUM(E11:E29)</f>
        <v>10775637.770000001</v>
      </c>
      <c r="F31" s="12326">
        <f>SUM(F11:F29)</f>
        <v>15564257.23</v>
      </c>
      <c r="G31" s="11673">
        <f>SUM(G11:G30)</f>
        <v>26339895</v>
      </c>
      <c r="H31" s="11673"/>
      <c r="I31" s="12327"/>
      <c r="J31" s="11877">
        <f>SUM(J11:J30)</f>
        <v>28880117.794999998</v>
      </c>
      <c r="K31" s="12319">
        <f>SUM(K12:K29)</f>
        <v>29857038.449999999</v>
      </c>
    </row>
    <row r="32" spans="1:14" ht="15" customHeight="1">
      <c r="A32" s="7688"/>
      <c r="B32" s="7689"/>
      <c r="C32" s="7690"/>
      <c r="D32" s="7691"/>
      <c r="E32" s="7691"/>
      <c r="F32" s="7691"/>
      <c r="G32" s="7796"/>
      <c r="H32" s="7796"/>
      <c r="I32" s="10575"/>
      <c r="J32" s="7796"/>
      <c r="K32" s="7289"/>
    </row>
    <row r="33" spans="1:11" ht="15" customHeight="1">
      <c r="A33" s="7287"/>
      <c r="B33" s="7315"/>
      <c r="C33" s="7288"/>
      <c r="D33" s="7349"/>
      <c r="E33" s="7349"/>
      <c r="F33" s="7349"/>
      <c r="G33" s="7289"/>
      <c r="H33" s="7289"/>
      <c r="I33" s="10489"/>
      <c r="J33" s="7289"/>
      <c r="K33" s="7289"/>
    </row>
    <row r="34" spans="1:11" ht="15" customHeight="1">
      <c r="A34" s="7287"/>
      <c r="B34" s="7315"/>
      <c r="C34" s="7288"/>
      <c r="D34" s="7349"/>
      <c r="E34" s="7349"/>
      <c r="F34" s="7349"/>
      <c r="G34" s="7289"/>
      <c r="H34" s="7289"/>
      <c r="I34" s="10489"/>
      <c r="J34" s="7289"/>
      <c r="K34" s="7289"/>
    </row>
    <row r="35" spans="1:11" ht="15" customHeight="1">
      <c r="A35" s="7287"/>
      <c r="B35" s="7315"/>
      <c r="C35" s="7288"/>
      <c r="D35" s="7349"/>
      <c r="E35" s="7349"/>
      <c r="F35" s="7349"/>
      <c r="G35" s="7289"/>
      <c r="H35" s="7289"/>
      <c r="I35" s="10489"/>
      <c r="J35" s="7289"/>
      <c r="K35" s="7289"/>
    </row>
    <row r="36" spans="1:11" ht="15" customHeight="1">
      <c r="A36" s="7287"/>
      <c r="B36" s="7315"/>
      <c r="C36" s="7288"/>
      <c r="D36" s="7349"/>
      <c r="E36" s="7349"/>
      <c r="F36" s="7349"/>
      <c r="G36" s="7289"/>
      <c r="H36" s="7289"/>
      <c r="I36" s="10489"/>
      <c r="J36" s="7289"/>
      <c r="K36" s="7289"/>
    </row>
    <row r="37" spans="1:11" ht="15" customHeight="1">
      <c r="A37" s="7287"/>
      <c r="B37" s="7315"/>
      <c r="C37" s="7288"/>
      <c r="D37" s="7349"/>
      <c r="E37" s="7349"/>
      <c r="F37" s="7349"/>
      <c r="G37" s="7289"/>
      <c r="H37" s="7289"/>
      <c r="I37" s="10489"/>
      <c r="J37" s="7289"/>
      <c r="K37" s="7289"/>
    </row>
    <row r="38" spans="1:11" ht="15" customHeight="1" thickBot="1">
      <c r="A38" s="7291" t="s">
        <v>175</v>
      </c>
      <c r="B38" s="7291"/>
      <c r="C38" s="7292"/>
      <c r="D38" s="7693"/>
      <c r="E38" s="7693"/>
      <c r="F38" s="7693"/>
      <c r="G38" s="7693"/>
      <c r="H38" s="7693"/>
      <c r="I38" s="10490"/>
      <c r="J38" s="7693"/>
      <c r="K38" s="7669"/>
    </row>
    <row r="39" spans="1:11" ht="15" customHeight="1">
      <c r="A39" s="7694"/>
      <c r="B39" s="11658"/>
      <c r="C39" s="9460"/>
      <c r="D39" s="10868" t="s">
        <v>10</v>
      </c>
      <c r="E39" s="14188" t="s">
        <v>10711</v>
      </c>
      <c r="F39" s="14189"/>
      <c r="G39" s="14190"/>
      <c r="H39" s="11769"/>
      <c r="I39" s="9462"/>
      <c r="J39" s="11733" t="s">
        <v>12</v>
      </c>
      <c r="K39" s="10867"/>
    </row>
    <row r="40" spans="1:11" ht="15" customHeight="1">
      <c r="A40" s="7657"/>
      <c r="B40" s="7295" t="s">
        <v>13</v>
      </c>
      <c r="C40" s="11727" t="s">
        <v>93</v>
      </c>
      <c r="D40" s="11123" t="s">
        <v>15</v>
      </c>
      <c r="E40" s="9502" t="s">
        <v>10709</v>
      </c>
      <c r="F40" s="9503" t="s">
        <v>10710</v>
      </c>
      <c r="G40" s="14191" t="s">
        <v>458</v>
      </c>
      <c r="H40" s="11770"/>
      <c r="I40" s="11108"/>
      <c r="J40" s="11734" t="s">
        <v>16</v>
      </c>
      <c r="K40" s="10867"/>
    </row>
    <row r="41" spans="1:11" ht="15" customHeight="1" thickBot="1">
      <c r="A41" s="7699"/>
      <c r="B41" s="7897"/>
      <c r="C41" s="11728" t="s">
        <v>94</v>
      </c>
      <c r="D41" s="9455">
        <v>2017</v>
      </c>
      <c r="E41" s="9467" t="s">
        <v>457</v>
      </c>
      <c r="F41" s="11661" t="s">
        <v>456</v>
      </c>
      <c r="G41" s="14192"/>
      <c r="H41" s="7496"/>
      <c r="I41" s="7322"/>
      <c r="J41" s="11735">
        <v>2019</v>
      </c>
      <c r="K41" s="9351"/>
    </row>
    <row r="42" spans="1:11" ht="15" customHeight="1">
      <c r="A42" s="7657"/>
      <c r="B42" s="7295"/>
      <c r="C42" s="11727"/>
      <c r="D42" s="11676"/>
      <c r="E42" s="10030"/>
      <c r="F42" s="11123"/>
      <c r="G42" s="10030"/>
      <c r="H42" s="12023"/>
      <c r="I42" s="11108"/>
      <c r="J42" s="11879"/>
      <c r="K42" s="9351"/>
    </row>
    <row r="43" spans="1:11" ht="15" customHeight="1">
      <c r="A43" s="11663"/>
      <c r="B43" s="7287" t="s">
        <v>38</v>
      </c>
      <c r="C43" s="10136"/>
      <c r="D43" s="8798"/>
      <c r="E43" s="8798"/>
      <c r="F43" s="8798"/>
      <c r="G43" s="8798" t="s">
        <v>9</v>
      </c>
      <c r="H43" s="8798"/>
      <c r="I43" s="10576"/>
      <c r="J43" s="11691" t="s">
        <v>9</v>
      </c>
      <c r="K43" s="7289"/>
    </row>
    <row r="44" spans="1:11" ht="15" customHeight="1">
      <c r="A44" s="7657"/>
      <c r="B44" s="7287" t="s">
        <v>39</v>
      </c>
      <c r="C44" s="10136">
        <v>50201010</v>
      </c>
      <c r="D44" s="8798">
        <f>'WS-MOOE 2017'!B15</f>
        <v>344283.56</v>
      </c>
      <c r="E44" s="8798">
        <f>'WS-MOOE ACTUAL JUNE 2018'!B16</f>
        <v>70374.320000000007</v>
      </c>
      <c r="F44" s="10137">
        <f t="shared" ref="F44:F66" si="2">G44-E44</f>
        <v>279625.68</v>
      </c>
      <c r="G44" s="8798">
        <v>350000</v>
      </c>
      <c r="H44" s="8798">
        <v>98727.08</v>
      </c>
      <c r="I44" s="10576">
        <f>H44/G44</f>
        <v>0.28207737142857142</v>
      </c>
      <c r="J44" s="11691">
        <v>575000</v>
      </c>
      <c r="K44" s="7289"/>
    </row>
    <row r="45" spans="1:11" ht="15" customHeight="1">
      <c r="A45" s="7657"/>
      <c r="B45" s="7287" t="s">
        <v>41</v>
      </c>
      <c r="C45" s="10136">
        <v>50202010</v>
      </c>
      <c r="D45" s="8798">
        <f>'WS-MOOE 2017'!H15</f>
        <v>231100</v>
      </c>
      <c r="E45" s="8798">
        <f>'WS-MOOE ACTUAL JUNE 2018'!G16</f>
        <v>8500</v>
      </c>
      <c r="F45" s="10137">
        <f t="shared" si="2"/>
        <v>391500</v>
      </c>
      <c r="G45" s="8798">
        <v>400000</v>
      </c>
      <c r="H45" s="8798">
        <v>28000</v>
      </c>
      <c r="I45" s="10576">
        <f t="shared" ref="I45:I69" si="3">H45/G45</f>
        <v>7.0000000000000007E-2</v>
      </c>
      <c r="J45" s="11691">
        <v>780000</v>
      </c>
      <c r="K45" s="7289"/>
    </row>
    <row r="46" spans="1:11" ht="15" customHeight="1">
      <c r="A46" s="7657"/>
      <c r="B46" s="7287" t="s">
        <v>172</v>
      </c>
      <c r="C46" s="10136">
        <v>50203010</v>
      </c>
      <c r="D46" s="8798">
        <f>'WS-MOOE 2017'!J15</f>
        <v>403423.75</v>
      </c>
      <c r="E46" s="8798">
        <f>'WS-MOOE ACTUAL JUNE 2018'!H16</f>
        <v>135994.1</v>
      </c>
      <c r="F46" s="10137">
        <f t="shared" si="2"/>
        <v>614005.9</v>
      </c>
      <c r="G46" s="8798">
        <v>750000</v>
      </c>
      <c r="H46" s="8798">
        <v>663229.5</v>
      </c>
      <c r="I46" s="10576">
        <f t="shared" si="3"/>
        <v>0.88430600000000004</v>
      </c>
      <c r="J46" s="11691">
        <v>800000</v>
      </c>
      <c r="K46" s="7289"/>
    </row>
    <row r="47" spans="1:11" ht="15" customHeight="1">
      <c r="A47" s="7657"/>
      <c r="B47" s="7287" t="s">
        <v>44</v>
      </c>
      <c r="C47" s="10136">
        <v>50203090</v>
      </c>
      <c r="D47" s="8798">
        <f>'WS-MOOE 2017'!R15</f>
        <v>578027.74</v>
      </c>
      <c r="E47" s="8798">
        <f>'WS-MOOE ACTUAL JUNE 2018'!O16</f>
        <v>0</v>
      </c>
      <c r="F47" s="10137">
        <f t="shared" si="2"/>
        <v>1000000</v>
      </c>
      <c r="G47" s="8798">
        <v>1000000</v>
      </c>
      <c r="H47" s="8798">
        <v>767645.46</v>
      </c>
      <c r="I47" s="10576">
        <f t="shared" si="3"/>
        <v>0.76764546</v>
      </c>
      <c r="J47" s="11691">
        <v>1500000</v>
      </c>
      <c r="K47" s="7289"/>
    </row>
    <row r="48" spans="1:11" ht="15" customHeight="1">
      <c r="A48" s="7657"/>
      <c r="B48" s="7287" t="s">
        <v>45</v>
      </c>
      <c r="C48" s="10136">
        <v>50204010</v>
      </c>
      <c r="D48" s="8798">
        <f>'WS-MOOE 2017'!W15</f>
        <v>117595.6</v>
      </c>
      <c r="E48" s="8798">
        <f>'WS-MOOE ACTUAL JUNE 2018'!R16</f>
        <v>58020.800000000003</v>
      </c>
      <c r="F48" s="10137">
        <f t="shared" si="2"/>
        <v>91979.199999999997</v>
      </c>
      <c r="G48" s="8798">
        <v>150000</v>
      </c>
      <c r="H48" s="8798">
        <v>61853</v>
      </c>
      <c r="I48" s="10576">
        <f t="shared" si="3"/>
        <v>0.41235333333333335</v>
      </c>
      <c r="J48" s="11691">
        <f>2045588-600000</f>
        <v>1445588</v>
      </c>
      <c r="K48" s="11664">
        <v>180000</v>
      </c>
    </row>
    <row r="49" spans="1:12" ht="15" customHeight="1">
      <c r="A49" s="7657"/>
      <c r="B49" s="7287" t="s">
        <v>46</v>
      </c>
      <c r="C49" s="10136">
        <v>50204020</v>
      </c>
      <c r="D49" s="8798">
        <f>'WS-MOOE 2017'!X15</f>
        <v>422660.57</v>
      </c>
      <c r="E49" s="8798">
        <f>'WS-MOOE ACTUAL JUNE 2018'!S16</f>
        <v>169903.56</v>
      </c>
      <c r="F49" s="10137">
        <f t="shared" si="2"/>
        <v>330096.44</v>
      </c>
      <c r="G49" s="8798">
        <v>500000</v>
      </c>
      <c r="H49" s="8798">
        <v>260761.77</v>
      </c>
      <c r="I49" s="10576">
        <f t="shared" si="3"/>
        <v>0.52152354000000001</v>
      </c>
      <c r="J49" s="11691">
        <v>14033530</v>
      </c>
      <c r="K49" s="11664">
        <v>575000</v>
      </c>
    </row>
    <row r="50" spans="1:12" ht="15" customHeight="1">
      <c r="A50" s="7657"/>
      <c r="B50" s="11680" t="s">
        <v>125</v>
      </c>
      <c r="C50" s="10136">
        <v>50205010</v>
      </c>
      <c r="D50" s="8798">
        <f>'WS-MOOE 2017'!Z15</f>
        <v>0</v>
      </c>
      <c r="E50" s="8798">
        <f>'WS-MOOE ACTUAL JUNE 2018'!U16</f>
        <v>0</v>
      </c>
      <c r="F50" s="10137">
        <f t="shared" si="2"/>
        <v>3000</v>
      </c>
      <c r="G50" s="8798">
        <v>3000</v>
      </c>
      <c r="H50" s="8798">
        <v>0</v>
      </c>
      <c r="I50" s="10576">
        <f t="shared" si="3"/>
        <v>0</v>
      </c>
      <c r="J50" s="11691">
        <v>3000</v>
      </c>
      <c r="K50" s="7289"/>
    </row>
    <row r="51" spans="1:12" ht="15" customHeight="1">
      <c r="A51" s="7657"/>
      <c r="B51" s="7803" t="s">
        <v>11847</v>
      </c>
      <c r="C51" s="11353">
        <v>50205020</v>
      </c>
      <c r="D51" s="8798">
        <f>'WS-MOOE 2017'!AA15+'WS-MOOE 2017'!AC15</f>
        <v>96178.16</v>
      </c>
      <c r="E51" s="8798">
        <f>'WS-MOOE ACTUAL JUNE 2018'!V16</f>
        <v>34337.589999999997</v>
      </c>
      <c r="F51" s="10137">
        <f t="shared" si="2"/>
        <v>115662.41</v>
      </c>
      <c r="G51" s="8798">
        <v>150000</v>
      </c>
      <c r="H51" s="8798">
        <v>51595.99</v>
      </c>
      <c r="I51" s="10576">
        <f t="shared" si="3"/>
        <v>0.34397326666666667</v>
      </c>
      <c r="J51" s="11691">
        <v>95000</v>
      </c>
      <c r="K51" s="7289"/>
    </row>
    <row r="52" spans="1:12" ht="15" hidden="1" customHeight="1">
      <c r="A52" s="7657"/>
      <c r="B52" s="11680" t="s">
        <v>89</v>
      </c>
      <c r="C52" s="10136"/>
      <c r="D52" s="8798"/>
      <c r="E52" s="8798"/>
      <c r="F52" s="10137">
        <f t="shared" si="2"/>
        <v>0</v>
      </c>
      <c r="G52" s="8798"/>
      <c r="H52" s="8798"/>
      <c r="I52" s="10576" t="e">
        <f t="shared" si="3"/>
        <v>#DIV/0!</v>
      </c>
      <c r="J52" s="11691"/>
      <c r="K52" s="7289"/>
    </row>
    <row r="53" spans="1:12" ht="15" hidden="1" customHeight="1">
      <c r="A53" s="7657"/>
      <c r="B53" s="11680" t="s">
        <v>202</v>
      </c>
      <c r="C53" s="10136">
        <v>780</v>
      </c>
      <c r="D53" s="8798">
        <f>'WS-MOOE 2017'!BI15</f>
        <v>0</v>
      </c>
      <c r="E53" s="8798"/>
      <c r="F53" s="10137">
        <f t="shared" si="2"/>
        <v>0</v>
      </c>
      <c r="G53" s="8798">
        <v>0</v>
      </c>
      <c r="H53" s="8798"/>
      <c r="I53" s="10576" t="e">
        <f t="shared" si="3"/>
        <v>#DIV/0!</v>
      </c>
      <c r="J53" s="11691">
        <v>0</v>
      </c>
      <c r="K53" s="7289"/>
    </row>
    <row r="54" spans="1:12" ht="15" customHeight="1">
      <c r="A54" s="7657"/>
      <c r="B54" s="7488" t="s">
        <v>10955</v>
      </c>
      <c r="C54" s="11258">
        <v>50211990</v>
      </c>
      <c r="D54" s="8798">
        <f>'WS-MOOE 2017'!AL15</f>
        <v>21577.919999999998</v>
      </c>
      <c r="E54" s="8798">
        <f>'WS-MOOE ACTUAL JUNE 2018'!AF16</f>
        <v>0</v>
      </c>
      <c r="F54" s="10137">
        <f>G54-E54</f>
        <v>200000</v>
      </c>
      <c r="G54" s="8798">
        <v>200000</v>
      </c>
      <c r="H54" s="8798">
        <v>90000</v>
      </c>
      <c r="I54" s="10576">
        <f>H54/G54</f>
        <v>0.45</v>
      </c>
      <c r="J54" s="11691">
        <v>800000</v>
      </c>
      <c r="K54" s="7289" t="s">
        <v>11840</v>
      </c>
      <c r="L54" s="7310">
        <v>435000</v>
      </c>
    </row>
    <row r="55" spans="1:12" ht="15" customHeight="1">
      <c r="A55" s="7657"/>
      <c r="B55" s="8021" t="s">
        <v>10080</v>
      </c>
      <c r="C55" s="10380">
        <v>50212020</v>
      </c>
      <c r="D55" s="8798">
        <f>'WS-MOOE 2017'!AM15</f>
        <v>3061592.61</v>
      </c>
      <c r="E55" s="8798">
        <f>'WS-MOOE ACTUAL JUNE 2018'!AG16</f>
        <v>2129797.2599999998</v>
      </c>
      <c r="F55" s="10137">
        <f>G55-E55</f>
        <v>1870202.7400000002</v>
      </c>
      <c r="G55" s="8798">
        <v>4000000</v>
      </c>
      <c r="H55" s="8798">
        <v>3350514.29</v>
      </c>
      <c r="I55" s="10576">
        <f>H55/G55</f>
        <v>0.8376285725</v>
      </c>
      <c r="J55" s="11691">
        <v>4500000</v>
      </c>
      <c r="K55" s="7289" t="s">
        <v>12011</v>
      </c>
      <c r="L55" s="7310">
        <v>4000000</v>
      </c>
    </row>
    <row r="56" spans="1:12" ht="15" customHeight="1">
      <c r="A56" s="7657"/>
      <c r="B56" s="7352" t="s">
        <v>10956</v>
      </c>
      <c r="C56" s="8872">
        <v>50212990</v>
      </c>
      <c r="D56" s="8798">
        <f>'WS-MOOE 2017'!AO15</f>
        <v>4718036.7300000004</v>
      </c>
      <c r="E56" s="8798">
        <f>'WS-MOOE ACTUAL JUNE 2018'!AJ16</f>
        <v>1448759.12</v>
      </c>
      <c r="F56" s="10137">
        <f t="shared" si="2"/>
        <v>1551240.88</v>
      </c>
      <c r="G56" s="8798">
        <v>3000000</v>
      </c>
      <c r="H56" s="8798">
        <v>2658267.0099999998</v>
      </c>
      <c r="I56" s="10576">
        <f t="shared" si="3"/>
        <v>0.88608900333333329</v>
      </c>
      <c r="J56" s="11691">
        <v>4000000</v>
      </c>
      <c r="K56" s="7289" t="s">
        <v>12012</v>
      </c>
      <c r="L56" s="7310">
        <v>1700000</v>
      </c>
    </row>
    <row r="57" spans="1:12" ht="15" hidden="1" customHeight="1">
      <c r="A57" s="7657"/>
      <c r="B57" s="11680" t="s">
        <v>47</v>
      </c>
      <c r="C57" s="10136">
        <v>797</v>
      </c>
      <c r="D57" s="8798">
        <f>'WS-MOOE 2017'!AN15</f>
        <v>0</v>
      </c>
      <c r="E57" s="8798"/>
      <c r="F57" s="10137">
        <f t="shared" si="2"/>
        <v>0</v>
      </c>
      <c r="G57" s="8798">
        <v>0</v>
      </c>
      <c r="H57" s="8798"/>
      <c r="I57" s="10576"/>
      <c r="J57" s="11691">
        <v>0</v>
      </c>
      <c r="K57" s="7289"/>
    </row>
    <row r="58" spans="1:12" ht="15" customHeight="1">
      <c r="A58" s="7657"/>
      <c r="B58" s="7488" t="s">
        <v>10959</v>
      </c>
      <c r="C58" s="10141">
        <v>50213040</v>
      </c>
      <c r="D58" s="8798">
        <f>'WS-MOOE 2017'!AS15+'WS-MOOE 2017'!AU15</f>
        <v>296882.90999999997</v>
      </c>
      <c r="E58" s="8798">
        <f>'WS-MOOE ACTUAL JUNE 2018'!AN16</f>
        <v>117287.35</v>
      </c>
      <c r="F58" s="10137">
        <f t="shared" si="2"/>
        <v>1082712.6499999999</v>
      </c>
      <c r="G58" s="8798">
        <v>1200000</v>
      </c>
      <c r="H58" s="8798">
        <v>869492.3</v>
      </c>
      <c r="I58" s="10576">
        <f t="shared" si="3"/>
        <v>0.72457691666666668</v>
      </c>
      <c r="J58" s="11691">
        <v>1000000</v>
      </c>
      <c r="K58" s="7289"/>
      <c r="L58" s="7275">
        <v>-300000</v>
      </c>
    </row>
    <row r="59" spans="1:12" ht="15" hidden="1" customHeight="1">
      <c r="A59" s="7657"/>
      <c r="B59" s="11680" t="s">
        <v>6337</v>
      </c>
      <c r="C59" s="10136"/>
      <c r="D59" s="8798"/>
      <c r="E59" s="8798"/>
      <c r="F59" s="10137">
        <f t="shared" si="2"/>
        <v>0</v>
      </c>
      <c r="G59" s="8798"/>
      <c r="H59" s="8798"/>
      <c r="I59" s="10576" t="e">
        <f t="shared" si="3"/>
        <v>#DIV/0!</v>
      </c>
      <c r="J59" s="11691"/>
      <c r="K59" s="7289"/>
    </row>
    <row r="60" spans="1:12" ht="15" hidden="1" customHeight="1">
      <c r="A60" s="7657"/>
      <c r="B60" s="11680" t="s">
        <v>115</v>
      </c>
      <c r="C60" s="10136"/>
      <c r="D60" s="8798"/>
      <c r="E60" s="8798"/>
      <c r="F60" s="10137">
        <f t="shared" si="2"/>
        <v>0</v>
      </c>
      <c r="G60" s="8798"/>
      <c r="H60" s="8798"/>
      <c r="I60" s="10576" t="e">
        <f t="shared" si="3"/>
        <v>#DIV/0!</v>
      </c>
      <c r="J60" s="11691"/>
      <c r="K60" s="7289"/>
    </row>
    <row r="61" spans="1:12" ht="15" customHeight="1">
      <c r="A61" s="7657"/>
      <c r="B61" s="7488" t="s">
        <v>10938</v>
      </c>
      <c r="C61" s="8872">
        <v>50213050</v>
      </c>
      <c r="D61" s="8798">
        <f>'WS-MOOE 2017'!AW15</f>
        <v>187714.15</v>
      </c>
      <c r="E61" s="8798">
        <f>'WS-MOOE ACTUAL JUNE 2018'!AS16</f>
        <v>45033.25</v>
      </c>
      <c r="F61" s="10137">
        <f t="shared" si="2"/>
        <v>404966.75</v>
      </c>
      <c r="G61" s="8798">
        <v>450000</v>
      </c>
      <c r="H61" s="8798">
        <v>399946</v>
      </c>
      <c r="I61" s="10576">
        <f t="shared" si="3"/>
        <v>0.88876888888888894</v>
      </c>
      <c r="J61" s="11691">
        <v>470000</v>
      </c>
      <c r="K61" s="7289"/>
      <c r="L61" s="7275">
        <v>-25000</v>
      </c>
    </row>
    <row r="62" spans="1:12" ht="15" customHeight="1">
      <c r="A62" s="7657"/>
      <c r="B62" s="7488" t="s">
        <v>10937</v>
      </c>
      <c r="C62" s="11258">
        <v>50213060</v>
      </c>
      <c r="D62" s="8798">
        <f>'WS-MOOE 2017'!BB15</f>
        <v>547672.35</v>
      </c>
      <c r="E62" s="8798">
        <f>'WS-MOOE ACTUAL JUNE 2018'!AT16</f>
        <v>62484.7</v>
      </c>
      <c r="F62" s="10137">
        <f t="shared" si="2"/>
        <v>887515.3</v>
      </c>
      <c r="G62" s="8798">
        <v>950000</v>
      </c>
      <c r="H62" s="8798">
        <v>843262.45</v>
      </c>
      <c r="I62" s="10576">
        <f t="shared" si="3"/>
        <v>0.88764468421052622</v>
      </c>
      <c r="J62" s="11691">
        <v>1250000</v>
      </c>
      <c r="K62" s="7289"/>
    </row>
    <row r="63" spans="1:12" ht="15" hidden="1" customHeight="1">
      <c r="A63" s="7657"/>
      <c r="B63" s="11680" t="s">
        <v>174</v>
      </c>
      <c r="C63" s="10136"/>
      <c r="D63" s="8798"/>
      <c r="E63" s="8798"/>
      <c r="F63" s="10137">
        <f t="shared" si="2"/>
        <v>0</v>
      </c>
      <c r="G63" s="8798"/>
      <c r="H63" s="8798"/>
      <c r="I63" s="10576" t="e">
        <f t="shared" si="3"/>
        <v>#DIV/0!</v>
      </c>
      <c r="J63" s="11691"/>
      <c r="K63" s="7289"/>
    </row>
    <row r="64" spans="1:12" ht="15" customHeight="1">
      <c r="A64" s="7657"/>
      <c r="B64" s="11680" t="s">
        <v>72</v>
      </c>
      <c r="C64" s="10136">
        <v>50215020</v>
      </c>
      <c r="D64" s="8798">
        <f>'WS-MOOE 2017'!BH15</f>
        <v>0</v>
      </c>
      <c r="E64" s="8798">
        <f>'WS-MOOE ACTUAL JUNE 2018'!AZ16</f>
        <v>562.5</v>
      </c>
      <c r="F64" s="10137">
        <f t="shared" si="2"/>
        <v>9437.5</v>
      </c>
      <c r="G64" s="8798">
        <v>10000</v>
      </c>
      <c r="H64" s="8798">
        <v>562.5</v>
      </c>
      <c r="I64" s="10576">
        <f t="shared" si="3"/>
        <v>5.6250000000000001E-2</v>
      </c>
      <c r="J64" s="11691">
        <v>10000</v>
      </c>
      <c r="K64" s="7289"/>
    </row>
    <row r="65" spans="1:13" ht="15" customHeight="1">
      <c r="A65" s="7657"/>
      <c r="B65" s="11680" t="s">
        <v>102</v>
      </c>
      <c r="C65" s="10136">
        <v>50216010</v>
      </c>
      <c r="D65" s="8798">
        <f>'WS-MOOE 2017'!BN15</f>
        <v>2215237.3199999998</v>
      </c>
      <c r="E65" s="8798">
        <f>'WS-MOOE ACTUAL JUNE 2018'!BA16</f>
        <v>1413107.76</v>
      </c>
      <c r="F65" s="10137">
        <f t="shared" si="2"/>
        <v>1386892.24</v>
      </c>
      <c r="G65" s="8798">
        <v>2800000</v>
      </c>
      <c r="H65" s="8798">
        <v>2034072.03</v>
      </c>
      <c r="I65" s="10576">
        <f t="shared" si="3"/>
        <v>0.7264542964285714</v>
      </c>
      <c r="J65" s="11691">
        <v>2800000</v>
      </c>
      <c r="K65" s="7289"/>
    </row>
    <row r="66" spans="1:13" ht="15" customHeight="1">
      <c r="A66" s="7657"/>
      <c r="B66" s="11680" t="s">
        <v>73</v>
      </c>
      <c r="C66" s="10136">
        <v>50299990</v>
      </c>
      <c r="D66" s="8798">
        <f>'WS-MOOE 2017'!BO15+'WS-MOOE 2017'!BV15+'WS-MOOE 2017'!BW15</f>
        <v>179710.1</v>
      </c>
      <c r="E66" s="8798">
        <f>'WS-MOOE ACTUAL JUNE 2018'!BI16</f>
        <v>11960.95</v>
      </c>
      <c r="F66" s="10137">
        <f t="shared" si="2"/>
        <v>208039.05</v>
      </c>
      <c r="G66" s="8798">
        <v>220000</v>
      </c>
      <c r="H66" s="8798">
        <v>131294.94</v>
      </c>
      <c r="I66" s="10576">
        <f t="shared" si="3"/>
        <v>0.59679518181818181</v>
      </c>
      <c r="J66" s="11691">
        <v>220000</v>
      </c>
      <c r="K66" s="7289"/>
    </row>
    <row r="67" spans="1:13" ht="15" customHeight="1">
      <c r="A67" s="7657"/>
      <c r="B67" s="11680" t="s">
        <v>11537</v>
      </c>
      <c r="C67" s="10136"/>
      <c r="D67" s="11664"/>
      <c r="E67" s="11664"/>
      <c r="F67" s="11667"/>
      <c r="G67" s="8798"/>
      <c r="H67" s="8798"/>
      <c r="I67" s="10576"/>
      <c r="J67" s="11691">
        <v>700000</v>
      </c>
      <c r="K67" s="7289" t="s">
        <v>10105</v>
      </c>
    </row>
    <row r="68" spans="1:13" ht="15" customHeight="1">
      <c r="A68" s="7657"/>
      <c r="B68" s="11680" t="s">
        <v>11538</v>
      </c>
      <c r="C68" s="10136"/>
      <c r="D68" s="11664"/>
      <c r="E68" s="11664"/>
      <c r="F68" s="11664"/>
      <c r="G68" s="8798"/>
      <c r="H68" s="8798"/>
      <c r="I68" s="10576"/>
      <c r="J68" s="11691">
        <v>150000</v>
      </c>
      <c r="K68" s="7289"/>
      <c r="L68" s="7347">
        <f>SUM(J66:J68)</f>
        <v>1070000</v>
      </c>
    </row>
    <row r="69" spans="1:13" ht="15" customHeight="1" thickBot="1">
      <c r="A69" s="7699"/>
      <c r="B69" s="11681" t="s">
        <v>37</v>
      </c>
      <c r="C69" s="11732"/>
      <c r="D69" s="11673">
        <f>SUM(D44:D66)</f>
        <v>13421693.470000001</v>
      </c>
      <c r="E69" s="11673">
        <f>SUM(E44:E66)</f>
        <v>5706123.2599999998</v>
      </c>
      <c r="F69" s="11673">
        <f>SUM(F44:F66)</f>
        <v>10426876.740000002</v>
      </c>
      <c r="G69" s="11673">
        <f>SUM(G44:G66)</f>
        <v>16133000</v>
      </c>
      <c r="H69" s="11673">
        <f>SUM(H44:H66)</f>
        <v>12309224.319999998</v>
      </c>
      <c r="I69" s="12328">
        <f t="shared" si="3"/>
        <v>0.76298421372342395</v>
      </c>
      <c r="J69" s="11877">
        <f>SUM(J44:J68)</f>
        <v>35132118</v>
      </c>
      <c r="K69" s="10379">
        <f>(J69-G69)/G69</f>
        <v>1.177655612719271</v>
      </c>
      <c r="M69" s="7310">
        <f>G69*1.05</f>
        <v>16939650</v>
      </c>
    </row>
    <row r="70" spans="1:13" ht="15" customHeight="1">
      <c r="A70" s="7287"/>
      <c r="B70" s="7287"/>
      <c r="C70" s="7288"/>
      <c r="D70" s="7669"/>
      <c r="E70" s="7669"/>
      <c r="F70" s="7669"/>
      <c r="G70" s="7669"/>
      <c r="H70" s="7669"/>
      <c r="I70" s="10489"/>
      <c r="J70" s="7669"/>
      <c r="K70" s="7669"/>
    </row>
    <row r="71" spans="1:13" ht="15" customHeight="1">
      <c r="A71" s="7287"/>
      <c r="B71" s="7287"/>
      <c r="C71" s="7288"/>
      <c r="D71" s="7669"/>
      <c r="E71" s="7669"/>
      <c r="F71" s="7669"/>
      <c r="G71" s="7669"/>
      <c r="H71" s="7669"/>
      <c r="I71" s="10489"/>
      <c r="J71" s="7669"/>
      <c r="K71" s="7669"/>
    </row>
    <row r="72" spans="1:13" ht="15" customHeight="1">
      <c r="A72" s="7287"/>
      <c r="B72" s="7287"/>
      <c r="C72" s="7288"/>
      <c r="D72" s="7669"/>
      <c r="E72" s="7669"/>
      <c r="F72" s="7669"/>
      <c r="G72" s="7669"/>
      <c r="H72" s="7669"/>
      <c r="I72" s="10489"/>
      <c r="J72" s="7669"/>
      <c r="K72" s="7669"/>
    </row>
    <row r="73" spans="1:13" ht="15" customHeight="1">
      <c r="A73" s="7287"/>
      <c r="B73" s="7287"/>
      <c r="C73" s="7288"/>
      <c r="D73" s="7669"/>
      <c r="E73" s="7669"/>
      <c r="F73" s="7669"/>
      <c r="G73" s="7669"/>
      <c r="H73" s="7669"/>
      <c r="I73" s="10489"/>
      <c r="J73" s="7669"/>
      <c r="K73" s="7669"/>
    </row>
    <row r="74" spans="1:13" ht="15" customHeight="1">
      <c r="A74" s="7287"/>
      <c r="B74" s="7287"/>
      <c r="C74" s="7288"/>
      <c r="D74" s="7669"/>
      <c r="E74" s="7669"/>
      <c r="F74" s="7669"/>
      <c r="G74" s="7896"/>
      <c r="H74" s="7896">
        <f>J69-G69</f>
        <v>18999118</v>
      </c>
      <c r="I74" s="10577">
        <f>H74/G69</f>
        <v>1.177655612719271</v>
      </c>
      <c r="J74" s="7896"/>
      <c r="K74" s="7896"/>
      <c r="L74" s="7281"/>
    </row>
    <row r="75" spans="1:13" ht="15" customHeight="1">
      <c r="A75" s="7287"/>
      <c r="B75" s="7287"/>
      <c r="C75" s="7288"/>
      <c r="D75" s="7669"/>
      <c r="E75" s="7669"/>
      <c r="F75" s="7669"/>
      <c r="G75" s="7896"/>
      <c r="H75" s="7896"/>
      <c r="I75" s="10577"/>
      <c r="J75" s="7896"/>
      <c r="K75" s="7896"/>
      <c r="L75" s="7281"/>
    </row>
    <row r="76" spans="1:13" ht="15" customHeight="1">
      <c r="A76" s="7287"/>
      <c r="B76" s="7287"/>
      <c r="C76" s="7288"/>
      <c r="D76" s="7669"/>
      <c r="E76" s="7669"/>
      <c r="F76" s="7669"/>
      <c r="G76" s="7896"/>
      <c r="H76" s="7896"/>
      <c r="I76" s="10577"/>
      <c r="J76" s="7896"/>
      <c r="K76" s="7896"/>
      <c r="L76" s="7281"/>
    </row>
    <row r="77" spans="1:13" ht="15" customHeight="1">
      <c r="A77" s="7287"/>
      <c r="B77" s="7287"/>
      <c r="C77" s="7288"/>
      <c r="D77" s="7669"/>
      <c r="E77" s="7669"/>
      <c r="F77" s="7669"/>
      <c r="G77" s="7896"/>
      <c r="H77" s="7896"/>
      <c r="I77" s="10577"/>
      <c r="J77" s="7896"/>
      <c r="K77" s="7896"/>
      <c r="L77" s="7281"/>
    </row>
    <row r="78" spans="1:13" ht="15" customHeight="1">
      <c r="A78" s="7287"/>
      <c r="B78" s="7287"/>
      <c r="C78" s="7288"/>
      <c r="D78" s="7669"/>
      <c r="E78" s="7669"/>
      <c r="F78" s="7669"/>
      <c r="G78" s="7896"/>
      <c r="H78" s="7896"/>
      <c r="I78" s="10577"/>
      <c r="J78" s="7896"/>
      <c r="K78" s="7896"/>
      <c r="L78" s="7281"/>
    </row>
    <row r="79" spans="1:13" ht="15" customHeight="1">
      <c r="A79" s="7287"/>
      <c r="B79" s="7287"/>
      <c r="C79" s="7288"/>
      <c r="D79" s="7669"/>
      <c r="E79" s="7669"/>
      <c r="F79" s="7669"/>
      <c r="G79" s="7896"/>
      <c r="H79" s="7896"/>
      <c r="I79" s="10577"/>
      <c r="J79" s="7896"/>
      <c r="K79" s="7896"/>
      <c r="L79" s="7281"/>
    </row>
    <row r="80" spans="1:13" ht="15" customHeight="1">
      <c r="A80" s="7287"/>
      <c r="B80" s="7287"/>
      <c r="C80" s="7288"/>
      <c r="D80" s="7669"/>
      <c r="E80" s="7669"/>
      <c r="F80" s="7669"/>
      <c r="G80" s="7896"/>
      <c r="H80" s="7896"/>
      <c r="I80" s="10577"/>
      <c r="J80" s="7896"/>
      <c r="K80" s="7896"/>
      <c r="L80" s="7281"/>
    </row>
    <row r="81" spans="1:11" ht="15" customHeight="1" thickBot="1">
      <c r="A81" s="7287" t="s">
        <v>10768</v>
      </c>
      <c r="B81" s="7287"/>
      <c r="C81" s="7288"/>
      <c r="D81" s="7669"/>
      <c r="E81" s="7669"/>
      <c r="F81" s="7669"/>
      <c r="G81" s="7669"/>
      <c r="H81" s="7669"/>
      <c r="I81" s="10489"/>
      <c r="J81" s="7669"/>
      <c r="K81" s="7669"/>
    </row>
    <row r="82" spans="1:11" ht="15" customHeight="1">
      <c r="A82" s="7694"/>
      <c r="B82" s="11658"/>
      <c r="C82" s="9460"/>
      <c r="D82" s="10868" t="s">
        <v>10</v>
      </c>
      <c r="E82" s="14188" t="s">
        <v>10711</v>
      </c>
      <c r="F82" s="14189"/>
      <c r="G82" s="14190"/>
      <c r="H82" s="11769"/>
      <c r="I82" s="9462"/>
      <c r="J82" s="11733" t="s">
        <v>12</v>
      </c>
      <c r="K82" s="10867"/>
    </row>
    <row r="83" spans="1:11" ht="15" customHeight="1">
      <c r="A83" s="7657"/>
      <c r="B83" s="7295" t="s">
        <v>13</v>
      </c>
      <c r="C83" s="11727" t="s">
        <v>93</v>
      </c>
      <c r="D83" s="11123" t="s">
        <v>15</v>
      </c>
      <c r="E83" s="9502" t="s">
        <v>10709</v>
      </c>
      <c r="F83" s="9503" t="s">
        <v>10710</v>
      </c>
      <c r="G83" s="14191" t="s">
        <v>458</v>
      </c>
      <c r="H83" s="11770"/>
      <c r="I83" s="11108"/>
      <c r="J83" s="11734" t="s">
        <v>16</v>
      </c>
      <c r="K83" s="10867"/>
    </row>
    <row r="84" spans="1:11" ht="15" customHeight="1" thickBot="1">
      <c r="A84" s="7699"/>
      <c r="B84" s="7897"/>
      <c r="C84" s="11728" t="s">
        <v>94</v>
      </c>
      <c r="D84" s="9455">
        <v>2017</v>
      </c>
      <c r="E84" s="9467" t="s">
        <v>457</v>
      </c>
      <c r="F84" s="11661" t="s">
        <v>456</v>
      </c>
      <c r="G84" s="14192"/>
      <c r="H84" s="7496"/>
      <c r="I84" s="7322"/>
      <c r="J84" s="11735">
        <v>2019</v>
      </c>
      <c r="K84" s="9351"/>
    </row>
    <row r="85" spans="1:11" ht="15" customHeight="1">
      <c r="A85" s="7657"/>
      <c r="B85" s="7287"/>
      <c r="C85" s="10136"/>
      <c r="D85" s="12329"/>
      <c r="E85" s="12329"/>
      <c r="F85" s="12329"/>
      <c r="G85" s="8798"/>
      <c r="H85" s="11664"/>
      <c r="I85" s="12233"/>
      <c r="J85" s="11691"/>
      <c r="K85" s="7289"/>
    </row>
    <row r="86" spans="1:11" ht="15" customHeight="1">
      <c r="A86" s="11663" t="s">
        <v>51</v>
      </c>
      <c r="B86" s="7287" t="s">
        <v>170</v>
      </c>
      <c r="C86" s="10136"/>
      <c r="D86" s="8798" t="s">
        <v>9</v>
      </c>
      <c r="E86" s="8798"/>
      <c r="F86" s="8798"/>
      <c r="G86" s="8798" t="s">
        <v>9</v>
      </c>
      <c r="H86" s="8798"/>
      <c r="I86" s="10576"/>
      <c r="J86" s="11691" t="s">
        <v>9</v>
      </c>
      <c r="K86" s="7289"/>
    </row>
    <row r="87" spans="1:11" ht="15" customHeight="1">
      <c r="A87" s="11663"/>
      <c r="B87" s="7287"/>
      <c r="C87" s="10136"/>
      <c r="D87" s="8798"/>
      <c r="E87" s="8798"/>
      <c r="F87" s="8798"/>
      <c r="G87" s="8798"/>
      <c r="H87" s="8798"/>
      <c r="I87" s="10576"/>
      <c r="J87" s="11691"/>
      <c r="K87" s="7289"/>
    </row>
    <row r="88" spans="1:11" ht="15" customHeight="1">
      <c r="A88" s="11663"/>
      <c r="B88" s="7287" t="s">
        <v>4822</v>
      </c>
      <c r="C88" s="10136">
        <v>50704990</v>
      </c>
      <c r="D88" s="8798"/>
      <c r="E88" s="8798"/>
      <c r="F88" s="8798"/>
      <c r="G88" s="8798"/>
      <c r="H88" s="8798"/>
      <c r="I88" s="10576"/>
      <c r="J88" s="11691"/>
      <c r="K88" s="7289"/>
    </row>
    <row r="89" spans="1:11" ht="15" hidden="1" customHeight="1">
      <c r="A89" s="11663"/>
      <c r="B89" s="7718" t="s">
        <v>11541</v>
      </c>
      <c r="C89" s="10136"/>
      <c r="D89" s="8798"/>
      <c r="E89" s="8798"/>
      <c r="F89" s="8798"/>
      <c r="G89" s="8798"/>
      <c r="H89" s="8798"/>
      <c r="I89" s="10576"/>
      <c r="J89" s="11691">
        <v>0</v>
      </c>
      <c r="K89" s="7289"/>
    </row>
    <row r="90" spans="1:11" ht="15" customHeight="1">
      <c r="A90" s="11663"/>
      <c r="B90" s="7718" t="s">
        <v>11542</v>
      </c>
      <c r="C90" s="10136"/>
      <c r="D90" s="8798"/>
      <c r="E90" s="8798"/>
      <c r="F90" s="8798"/>
      <c r="G90" s="8798"/>
      <c r="H90" s="8798"/>
      <c r="I90" s="10576"/>
      <c r="J90" s="11691">
        <v>500000</v>
      </c>
      <c r="K90" s="7289"/>
    </row>
    <row r="91" spans="1:11" ht="15" hidden="1" customHeight="1">
      <c r="A91" s="11663"/>
      <c r="B91" s="7718" t="s">
        <v>11543</v>
      </c>
      <c r="C91" s="10136"/>
      <c r="D91" s="8798"/>
      <c r="E91" s="8798"/>
      <c r="F91" s="8798"/>
      <c r="G91" s="8798"/>
      <c r="H91" s="8798"/>
      <c r="I91" s="10576"/>
      <c r="J91" s="11691">
        <v>0</v>
      </c>
      <c r="K91" s="7289" t="s">
        <v>11907</v>
      </c>
    </row>
    <row r="92" spans="1:11" ht="15" hidden="1" customHeight="1">
      <c r="A92" s="11663"/>
      <c r="B92" s="7309" t="s">
        <v>176</v>
      </c>
      <c r="C92" s="12152">
        <v>50705020</v>
      </c>
      <c r="D92" s="8798">
        <f>'WS-CO 2017'!F14</f>
        <v>0</v>
      </c>
      <c r="E92" s="8798"/>
      <c r="F92" s="10137">
        <f>G92-E92</f>
        <v>0</v>
      </c>
      <c r="G92" s="8798"/>
      <c r="H92" s="8798"/>
      <c r="I92" s="10576"/>
      <c r="J92" s="11691"/>
      <c r="K92" s="7289"/>
    </row>
    <row r="93" spans="1:11" ht="15" customHeight="1">
      <c r="A93" s="11663"/>
      <c r="B93" s="7488" t="s">
        <v>10947</v>
      </c>
      <c r="C93" s="10144">
        <v>50705030</v>
      </c>
      <c r="D93" s="8798">
        <f>'WS-CO 2017'!H14</f>
        <v>93857</v>
      </c>
      <c r="E93" s="8798"/>
      <c r="F93" s="10137">
        <f>G93-E93</f>
        <v>0</v>
      </c>
      <c r="G93" s="8798">
        <v>0</v>
      </c>
      <c r="H93" s="8798"/>
      <c r="I93" s="10576"/>
      <c r="J93" s="11691">
        <v>260000</v>
      </c>
      <c r="K93" s="7289"/>
    </row>
    <row r="94" spans="1:11" ht="15" customHeight="1">
      <c r="A94" s="11663"/>
      <c r="B94" s="8021" t="s">
        <v>11065</v>
      </c>
      <c r="C94" s="10380">
        <v>50705990</v>
      </c>
      <c r="D94" s="8798">
        <f>'WS-CO 2017'!I14</f>
        <v>0</v>
      </c>
      <c r="E94" s="8798">
        <f>'WS-CO ACTUAL JUNE 2018'!J15</f>
        <v>83285</v>
      </c>
      <c r="F94" s="10137">
        <f>G94-E94</f>
        <v>66715</v>
      </c>
      <c r="G94" s="8798">
        <v>150000</v>
      </c>
      <c r="H94" s="8798">
        <v>148075</v>
      </c>
      <c r="I94" s="10576">
        <f>H94/G94</f>
        <v>0.98716666666666664</v>
      </c>
      <c r="J94" s="11691"/>
      <c r="K94" s="7289"/>
    </row>
    <row r="95" spans="1:11" ht="15" customHeight="1">
      <c r="A95" s="11663"/>
      <c r="B95" s="8021" t="s">
        <v>11546</v>
      </c>
      <c r="C95" s="10380"/>
      <c r="D95" s="8798"/>
      <c r="E95" s="8798"/>
      <c r="F95" s="10137"/>
      <c r="G95" s="8798"/>
      <c r="H95" s="8798"/>
      <c r="I95" s="10576"/>
      <c r="J95" s="11691">
        <v>2000000</v>
      </c>
      <c r="K95" s="7289"/>
    </row>
    <row r="96" spans="1:11" ht="15" customHeight="1">
      <c r="A96" s="11663"/>
      <c r="B96" s="8021" t="s">
        <v>12200</v>
      </c>
      <c r="C96" s="10380"/>
      <c r="D96" s="8798"/>
      <c r="E96" s="8798"/>
      <c r="F96" s="10137"/>
      <c r="G96" s="8798"/>
      <c r="H96" s="8798"/>
      <c r="I96" s="10576"/>
      <c r="J96" s="11691">
        <v>300000</v>
      </c>
      <c r="K96" s="7289"/>
    </row>
    <row r="97" spans="1:14" ht="15" customHeight="1">
      <c r="A97" s="11663"/>
      <c r="B97" s="7287" t="s">
        <v>4813</v>
      </c>
      <c r="C97" s="8872">
        <v>50706010</v>
      </c>
      <c r="D97" s="8798"/>
      <c r="E97" s="8798"/>
      <c r="F97" s="10137">
        <f>G97-E97</f>
        <v>300000</v>
      </c>
      <c r="G97" s="8798">
        <v>300000</v>
      </c>
      <c r="H97" s="8798">
        <v>300000</v>
      </c>
      <c r="I97" s="10576">
        <f>H97/G97</f>
        <v>1</v>
      </c>
      <c r="J97" s="11691"/>
      <c r="K97" s="7289"/>
      <c r="M97" s="7287"/>
      <c r="N97" s="7289"/>
    </row>
    <row r="98" spans="1:14" ht="15" hidden="1" customHeight="1">
      <c r="A98" s="11663"/>
      <c r="B98" s="7287" t="s">
        <v>11544</v>
      </c>
      <c r="C98" s="8872"/>
      <c r="D98" s="8798"/>
      <c r="E98" s="8798"/>
      <c r="F98" s="10137"/>
      <c r="G98" s="8798"/>
      <c r="H98" s="8798"/>
      <c r="I98" s="10576"/>
      <c r="J98" s="11691"/>
      <c r="K98" s="7289" t="s">
        <v>11845</v>
      </c>
      <c r="M98" s="7287"/>
      <c r="N98" s="7289"/>
    </row>
    <row r="99" spans="1:14" ht="15" hidden="1" customHeight="1">
      <c r="A99" s="11663"/>
      <c r="B99" s="7287" t="s">
        <v>11545</v>
      </c>
      <c r="C99" s="8872"/>
      <c r="D99" s="8798"/>
      <c r="E99" s="8798"/>
      <c r="F99" s="10137"/>
      <c r="G99" s="8798"/>
      <c r="H99" s="8798"/>
      <c r="I99" s="10576"/>
      <c r="J99" s="11691"/>
      <c r="K99" s="7289" t="s">
        <v>11846</v>
      </c>
      <c r="M99" s="7287"/>
      <c r="N99" s="7289"/>
    </row>
    <row r="100" spans="1:14" ht="15" customHeight="1">
      <c r="A100" s="11663"/>
      <c r="B100" s="7287" t="s">
        <v>11905</v>
      </c>
      <c r="C100" s="8872"/>
      <c r="D100" s="8798"/>
      <c r="E100" s="8798"/>
      <c r="F100" s="10137"/>
      <c r="G100" s="8798"/>
      <c r="H100" s="8798"/>
      <c r="I100" s="10576"/>
      <c r="J100" s="11691">
        <v>600000</v>
      </c>
      <c r="K100" s="7289"/>
      <c r="M100" s="7287"/>
      <c r="N100" s="7289"/>
    </row>
    <row r="101" spans="1:14" ht="15" customHeight="1">
      <c r="A101" s="11663"/>
      <c r="B101" s="7810" t="s">
        <v>12241</v>
      </c>
      <c r="C101" s="10141">
        <v>50707010</v>
      </c>
      <c r="D101" s="8798">
        <f>'WS-CO 2017'!K14</f>
        <v>204958.75</v>
      </c>
      <c r="E101" s="8798"/>
      <c r="F101" s="10137">
        <f>G101-E101</f>
        <v>200000</v>
      </c>
      <c r="G101" s="8798">
        <v>200000</v>
      </c>
      <c r="H101" s="8798">
        <v>0</v>
      </c>
      <c r="I101" s="10576">
        <f>H101/G101</f>
        <v>0</v>
      </c>
      <c r="J101" s="11691"/>
      <c r="K101" s="7289"/>
    </row>
    <row r="102" spans="1:14" ht="15" customHeight="1">
      <c r="A102" s="11663"/>
      <c r="B102" s="7718" t="s">
        <v>11539</v>
      </c>
      <c r="C102" s="10136"/>
      <c r="D102" s="8798"/>
      <c r="E102" s="8798"/>
      <c r="F102" s="8798"/>
      <c r="G102" s="8798"/>
      <c r="H102" s="8798"/>
      <c r="I102" s="10576"/>
      <c r="J102" s="11691">
        <v>1000000</v>
      </c>
      <c r="K102" s="7289"/>
    </row>
    <row r="103" spans="1:14" ht="15" customHeight="1">
      <c r="A103" s="11663"/>
      <c r="B103" s="7718" t="s">
        <v>11906</v>
      </c>
      <c r="C103" s="10136"/>
      <c r="D103" s="8798"/>
      <c r="E103" s="8798"/>
      <c r="F103" s="8798"/>
      <c r="G103" s="8798"/>
      <c r="H103" s="8798"/>
      <c r="I103" s="10576"/>
      <c r="J103" s="11691">
        <v>300000</v>
      </c>
      <c r="K103" s="7289"/>
    </row>
    <row r="104" spans="1:14" ht="15" customHeight="1">
      <c r="A104" s="11663"/>
      <c r="B104" s="7718" t="s">
        <v>11540</v>
      </c>
      <c r="C104" s="10136"/>
      <c r="D104" s="8798"/>
      <c r="E104" s="8798"/>
      <c r="F104" s="8798"/>
      <c r="G104" s="8798"/>
      <c r="H104" s="8798"/>
      <c r="I104" s="10576"/>
      <c r="J104" s="11691">
        <v>200000</v>
      </c>
      <c r="K104" s="7289"/>
    </row>
    <row r="105" spans="1:14" ht="15" hidden="1" customHeight="1">
      <c r="A105" s="11663"/>
      <c r="B105" s="7718" t="s">
        <v>11844</v>
      </c>
      <c r="C105" s="10136"/>
      <c r="D105" s="8798"/>
      <c r="E105" s="8798"/>
      <c r="F105" s="10137"/>
      <c r="G105" s="8798"/>
      <c r="H105" s="8798"/>
      <c r="I105" s="10576"/>
      <c r="J105" s="11691"/>
      <c r="K105" s="7289" t="s">
        <v>11848</v>
      </c>
    </row>
    <row r="106" spans="1:14" ht="15" customHeight="1">
      <c r="A106" s="11663"/>
      <c r="B106" s="7315" t="s">
        <v>37</v>
      </c>
      <c r="C106" s="10136"/>
      <c r="D106" s="9465">
        <f>SUM(D86:D105)</f>
        <v>298815.75</v>
      </c>
      <c r="E106" s="9465">
        <f>SUM(E86:E105)</f>
        <v>83285</v>
      </c>
      <c r="F106" s="9465">
        <f>SUM(F86:F105)</f>
        <v>566715</v>
      </c>
      <c r="G106" s="9465">
        <f>SUM(G86:G105)</f>
        <v>650000</v>
      </c>
      <c r="H106" s="9465">
        <f>SUM(H86:H105)</f>
        <v>448075</v>
      </c>
      <c r="I106" s="12235"/>
      <c r="J106" s="11744">
        <f>SUM(J87:J105)</f>
        <v>5160000</v>
      </c>
      <c r="K106" s="10379">
        <f>(J106-G106)/G106</f>
        <v>6.9384615384615387</v>
      </c>
    </row>
    <row r="107" spans="1:14" ht="15" customHeight="1">
      <c r="A107" s="11663"/>
      <c r="B107" s="7315"/>
      <c r="C107" s="10136"/>
      <c r="D107" s="11687"/>
      <c r="E107" s="11687"/>
      <c r="F107" s="11687"/>
      <c r="G107" s="10382"/>
      <c r="H107" s="11687"/>
      <c r="I107" s="11108"/>
      <c r="J107" s="12330"/>
      <c r="K107" s="7349"/>
    </row>
    <row r="108" spans="1:14" ht="15" customHeight="1">
      <c r="A108" s="11663" t="s">
        <v>53</v>
      </c>
      <c r="B108" s="7287" t="s">
        <v>54</v>
      </c>
      <c r="C108" s="10136"/>
      <c r="D108" s="11664"/>
      <c r="E108" s="11664"/>
      <c r="F108" s="11664"/>
      <c r="G108" s="8798"/>
      <c r="H108" s="11664"/>
      <c r="I108" s="12233"/>
      <c r="J108" s="11691"/>
      <c r="K108" s="7289"/>
    </row>
    <row r="109" spans="1:14" ht="15" customHeight="1">
      <c r="A109" s="11663"/>
      <c r="B109" s="7287"/>
      <c r="C109" s="10136"/>
      <c r="D109" s="11664"/>
      <c r="E109" s="11664"/>
      <c r="F109" s="11664"/>
      <c r="G109" s="8798"/>
      <c r="H109" s="11664"/>
      <c r="I109" s="12233"/>
      <c r="J109" s="11691"/>
      <c r="K109" s="7289"/>
    </row>
    <row r="110" spans="1:14" s="7340" customFormat="1" ht="15" customHeight="1">
      <c r="A110" s="11710"/>
      <c r="B110" s="7315" t="s">
        <v>37</v>
      </c>
      <c r="C110" s="11727"/>
      <c r="D110" s="9465">
        <v>0</v>
      </c>
      <c r="E110" s="11712"/>
      <c r="F110" s="11712"/>
      <c r="G110" s="9465">
        <v>0</v>
      </c>
      <c r="H110" s="11712"/>
      <c r="I110" s="12317"/>
      <c r="J110" s="11744">
        <v>0</v>
      </c>
      <c r="K110" s="7349"/>
    </row>
    <row r="111" spans="1:14" s="7340" customFormat="1" ht="15" customHeight="1">
      <c r="A111" s="12331"/>
      <c r="B111" s="7782"/>
      <c r="C111" s="11865"/>
      <c r="D111" s="9465"/>
      <c r="E111" s="11712"/>
      <c r="F111" s="11712"/>
      <c r="G111" s="9465"/>
      <c r="H111" s="11712"/>
      <c r="I111" s="12317"/>
      <c r="J111" s="11744"/>
      <c r="K111" s="7349"/>
    </row>
    <row r="112" spans="1:14" s="7346" customFormat="1" ht="15" customHeight="1" thickBot="1">
      <c r="A112" s="12332"/>
      <c r="B112" s="12333" t="s">
        <v>55</v>
      </c>
      <c r="C112" s="11745"/>
      <c r="D112" s="12334">
        <f>(D31+D69+D106+D110)</f>
        <v>35333330.720000006</v>
      </c>
      <c r="E112" s="12334">
        <f>(E31+E69+E106+E110)</f>
        <v>16565046.030000001</v>
      </c>
      <c r="F112" s="12334">
        <f>(F31+F69+F106+F110)</f>
        <v>26557848.970000003</v>
      </c>
      <c r="G112" s="12334">
        <f>(G31+G69+G106+G110)</f>
        <v>43122895</v>
      </c>
      <c r="H112" s="12334">
        <f>H106+H69</f>
        <v>12757299.319999998</v>
      </c>
      <c r="I112" s="12327">
        <f>H112/G112</f>
        <v>0.29583587372786541</v>
      </c>
      <c r="J112" s="12335">
        <f>(J31+J69+J106+J110)</f>
        <v>69172235.795000002</v>
      </c>
      <c r="K112" s="10379">
        <f>(J112-G112)/G112</f>
        <v>0.60407217082712095</v>
      </c>
    </row>
    <row r="113" spans="1:12" s="7333" customFormat="1" ht="15" customHeight="1">
      <c r="A113" s="7738" t="s">
        <v>4763</v>
      </c>
      <c r="B113" s="7738"/>
      <c r="C113" s="7739"/>
      <c r="D113" s="7740"/>
      <c r="E113" s="7740"/>
      <c r="F113" s="7740"/>
      <c r="G113" s="7741"/>
      <c r="H113" s="7740"/>
      <c r="I113" s="10578"/>
      <c r="J113" s="7741"/>
      <c r="K113" s="7741"/>
      <c r="L113" s="7375"/>
    </row>
    <row r="114" spans="1:12" s="7333" customFormat="1" ht="15" customHeight="1">
      <c r="A114" s="7738"/>
      <c r="B114" s="7738"/>
      <c r="C114" s="7739"/>
      <c r="D114" s="7740"/>
      <c r="E114" s="7740"/>
      <c r="F114" s="7740"/>
      <c r="G114" s="7741"/>
      <c r="H114" s="7740"/>
      <c r="I114" s="10578"/>
      <c r="J114" s="7741"/>
      <c r="K114" s="7741"/>
      <c r="L114" s="7375"/>
    </row>
    <row r="115" spans="1:12" ht="15" hidden="1" customHeight="1">
      <c r="A115" s="7761" t="s">
        <v>3483</v>
      </c>
      <c r="B115" s="7761"/>
      <c r="C115" s="10870" t="s">
        <v>3484</v>
      </c>
      <c r="D115" s="7275"/>
      <c r="E115" s="7762"/>
      <c r="F115" s="9459" t="s">
        <v>10666</v>
      </c>
      <c r="G115" s="7275"/>
      <c r="H115" s="7763"/>
      <c r="I115" s="8106"/>
      <c r="J115" s="7762"/>
      <c r="K115" s="7762"/>
    </row>
    <row r="116" spans="1:12" ht="15" hidden="1" customHeight="1">
      <c r="A116" s="7761"/>
      <c r="B116" s="7761"/>
      <c r="C116" s="7275"/>
      <c r="D116" s="10870"/>
      <c r="E116" s="7764"/>
      <c r="F116" s="7764"/>
      <c r="G116" s="7339"/>
      <c r="H116" s="7763"/>
      <c r="I116" s="8106"/>
      <c r="J116" s="7764"/>
      <c r="K116" s="7764"/>
    </row>
    <row r="117" spans="1:12" s="7340" customFormat="1" ht="15" hidden="1" customHeight="1">
      <c r="A117" s="7761"/>
      <c r="B117" s="7761"/>
      <c r="D117" s="10870"/>
      <c r="E117" s="7762"/>
      <c r="F117" s="7762"/>
      <c r="G117" s="7339"/>
      <c r="H117" s="7763"/>
      <c r="I117" s="8106"/>
      <c r="J117" s="7762"/>
      <c r="K117" s="7762"/>
    </row>
    <row r="118" spans="1:12" ht="15" hidden="1" customHeight="1">
      <c r="A118" s="14167" t="s">
        <v>11282</v>
      </c>
      <c r="B118" s="14167"/>
      <c r="C118" s="7275"/>
      <c r="D118" s="10872" t="s">
        <v>12059</v>
      </c>
      <c r="E118" s="7762"/>
      <c r="F118" s="7762"/>
      <c r="G118" s="7342" t="s">
        <v>10667</v>
      </c>
      <c r="H118" s="7766"/>
      <c r="I118" s="10488"/>
      <c r="J118" s="7762"/>
      <c r="K118" s="7762"/>
    </row>
    <row r="119" spans="1:12" ht="15" hidden="1" customHeight="1">
      <c r="A119" s="14168" t="s">
        <v>11283</v>
      </c>
      <c r="B119" s="14168"/>
      <c r="C119" s="7275"/>
      <c r="D119" s="7821" t="s">
        <v>3486</v>
      </c>
      <c r="E119" s="7762"/>
      <c r="F119" s="7762"/>
      <c r="G119" s="7344" t="s">
        <v>10668</v>
      </c>
      <c r="H119" s="7763"/>
      <c r="I119" s="10579"/>
      <c r="J119" s="7763"/>
      <c r="K119" s="7763"/>
    </row>
    <row r="120" spans="1:12" ht="15" customHeight="1">
      <c r="A120" s="7276"/>
      <c r="B120" s="7276"/>
      <c r="C120" s="7278"/>
      <c r="D120" s="7285"/>
      <c r="E120" s="7285"/>
      <c r="F120" s="7285"/>
      <c r="H120" s="7283">
        <f>J112-G112</f>
        <v>26049340.795000002</v>
      </c>
      <c r="I120" s="10488">
        <f>H120/G112</f>
        <v>0.60407217082712095</v>
      </c>
      <c r="J120" s="8851"/>
      <c r="K120" s="8851"/>
    </row>
    <row r="121" spans="1:12" ht="15" customHeight="1">
      <c r="A121" s="7276"/>
      <c r="B121" s="7276"/>
      <c r="C121" s="7278"/>
      <c r="D121" s="7285"/>
      <c r="E121" s="7285"/>
      <c r="F121" s="7285"/>
      <c r="G121" s="7334"/>
      <c r="H121" s="7285"/>
      <c r="I121" s="8106"/>
      <c r="J121" s="7334"/>
      <c r="K121" s="7334"/>
    </row>
    <row r="122" spans="1:12" ht="15" customHeight="1">
      <c r="A122" s="7276"/>
      <c r="B122" s="7276"/>
      <c r="C122" s="7278"/>
      <c r="D122" s="7285"/>
      <c r="E122" s="7285"/>
      <c r="F122" s="7285"/>
      <c r="G122" s="7285"/>
      <c r="H122" s="7285"/>
      <c r="I122" s="8106"/>
      <c r="J122" s="7285"/>
      <c r="K122" s="7285"/>
    </row>
    <row r="123" spans="1:12" ht="15" customHeight="1">
      <c r="A123" s="7276"/>
      <c r="C123" s="7278"/>
      <c r="D123" s="7285"/>
      <c r="E123" s="7285"/>
      <c r="F123" s="7285"/>
      <c r="G123" s="7285"/>
      <c r="H123" s="7285"/>
      <c r="I123" s="8106"/>
      <c r="J123" s="7285"/>
      <c r="K123" s="7285"/>
    </row>
    <row r="124" spans="1:12" ht="15" customHeight="1">
      <c r="A124" s="7314"/>
      <c r="B124" s="7314"/>
      <c r="C124" s="7898"/>
      <c r="D124" s="7717"/>
      <c r="E124" s="7717"/>
      <c r="F124" s="7717"/>
      <c r="G124" s="7717"/>
      <c r="H124" s="7717"/>
      <c r="I124" s="10580"/>
      <c r="J124" s="7717"/>
      <c r="K124" s="7717"/>
    </row>
    <row r="125" spans="1:12" ht="15" customHeight="1">
      <c r="A125" s="7314"/>
      <c r="B125" s="7314"/>
      <c r="C125" s="7898"/>
      <c r="D125" s="7717"/>
      <c r="E125" s="7717"/>
      <c r="F125" s="7717"/>
      <c r="G125" s="7717"/>
      <c r="H125" s="7717"/>
      <c r="I125" s="10580"/>
      <c r="J125" s="7717"/>
      <c r="K125" s="7717"/>
    </row>
    <row r="126" spans="1:12" ht="15" customHeight="1">
      <c r="A126" s="7314"/>
      <c r="B126" s="7314"/>
      <c r="C126" s="7898"/>
      <c r="D126" s="7717"/>
      <c r="E126" s="7717"/>
      <c r="F126" s="7717"/>
      <c r="G126" s="7717"/>
      <c r="H126" s="7717"/>
      <c r="I126" s="10580"/>
      <c r="J126" s="7717"/>
      <c r="K126" s="7717"/>
    </row>
    <row r="127" spans="1:12" ht="15" customHeight="1">
      <c r="A127" s="7314"/>
      <c r="B127" s="7314"/>
      <c r="C127" s="7898"/>
      <c r="D127" s="7717"/>
      <c r="E127" s="7717"/>
      <c r="F127" s="7717"/>
      <c r="G127" s="7717"/>
      <c r="H127" s="7717"/>
      <c r="I127" s="10580"/>
      <c r="J127" s="7717"/>
      <c r="K127" s="7717"/>
    </row>
    <row r="128" spans="1:12" ht="15" customHeight="1">
      <c r="A128" s="7314"/>
      <c r="B128" s="7314"/>
      <c r="C128" s="7898"/>
      <c r="D128" s="7717"/>
      <c r="E128" s="7717"/>
      <c r="F128" s="7717"/>
      <c r="G128" s="7717"/>
      <c r="H128" s="7717"/>
      <c r="I128" s="10580"/>
      <c r="J128" s="7717"/>
      <c r="K128" s="7717"/>
    </row>
    <row r="129" spans="1:11" ht="15" customHeight="1">
      <c r="A129" s="7314"/>
      <c r="B129" s="7314"/>
      <c r="C129" s="7898"/>
      <c r="D129" s="7717"/>
      <c r="E129" s="7717"/>
      <c r="F129" s="7717"/>
      <c r="G129" s="7717"/>
      <c r="H129" s="7717"/>
      <c r="I129" s="10580"/>
      <c r="J129" s="7717"/>
      <c r="K129" s="7717"/>
    </row>
    <row r="130" spans="1:11" ht="15" customHeight="1">
      <c r="A130" s="7314"/>
      <c r="B130" s="7314"/>
      <c r="C130" s="7898"/>
      <c r="D130" s="7717"/>
      <c r="E130" s="7717"/>
      <c r="F130" s="7717"/>
      <c r="G130" s="7717"/>
      <c r="H130" s="7717"/>
      <c r="I130" s="10580"/>
      <c r="J130" s="7717"/>
      <c r="K130" s="7717"/>
    </row>
    <row r="131" spans="1:11" ht="15" customHeight="1">
      <c r="A131" s="7314"/>
      <c r="B131" s="7314"/>
      <c r="C131" s="7898"/>
      <c r="D131" s="7717"/>
      <c r="E131" s="7717"/>
      <c r="F131" s="7717"/>
      <c r="G131" s="7717"/>
      <c r="H131" s="7717"/>
      <c r="I131" s="10580"/>
      <c r="J131" s="7717"/>
      <c r="K131" s="7717"/>
    </row>
    <row r="132" spans="1:11" ht="15" customHeight="1">
      <c r="A132" s="7314"/>
      <c r="B132" s="7314"/>
      <c r="C132" s="7898"/>
      <c r="D132" s="7717"/>
      <c r="E132" s="7717"/>
      <c r="F132" s="7717"/>
      <c r="G132" s="7717"/>
      <c r="H132" s="7717"/>
      <c r="I132" s="10580"/>
      <c r="J132" s="7717"/>
      <c r="K132" s="7717"/>
    </row>
    <row r="133" spans="1:11" ht="15" customHeight="1">
      <c r="A133" s="7314"/>
      <c r="B133" s="7314"/>
      <c r="C133" s="7898"/>
      <c r="D133" s="7717"/>
      <c r="E133" s="7717"/>
      <c r="F133" s="7717"/>
      <c r="G133" s="7717"/>
      <c r="H133" s="7717"/>
      <c r="I133" s="10580"/>
      <c r="J133" s="7717"/>
      <c r="K133" s="7717"/>
    </row>
    <row r="145" spans="1:1" ht="15" customHeight="1">
      <c r="A145" s="7314"/>
    </row>
    <row r="146" spans="1:1" ht="15" customHeight="1">
      <c r="A146" s="7314"/>
    </row>
    <row r="147" spans="1:1" ht="15" customHeight="1">
      <c r="A147" s="7314"/>
    </row>
    <row r="148" spans="1:1" ht="15" customHeight="1">
      <c r="A148" s="7314"/>
    </row>
    <row r="149" spans="1:1" ht="15" customHeight="1">
      <c r="A149" s="7314"/>
    </row>
    <row r="150" spans="1:1" ht="15" customHeight="1">
      <c r="A150" s="7314"/>
    </row>
    <row r="151" spans="1:1" ht="15" customHeight="1">
      <c r="A151" s="7314"/>
    </row>
    <row r="152" spans="1:1" ht="15" customHeight="1">
      <c r="A152" s="7314"/>
    </row>
    <row r="153" spans="1:1" ht="15" customHeight="1">
      <c r="A153" s="7314"/>
    </row>
    <row r="154" spans="1:1" ht="15" customHeight="1">
      <c r="A154" s="7314"/>
    </row>
    <row r="155" spans="1:1" ht="15" customHeight="1">
      <c r="A155" s="7314"/>
    </row>
    <row r="156" spans="1:1" ht="15" customHeight="1">
      <c r="A156" s="7314"/>
    </row>
    <row r="157" spans="1:1" ht="15" customHeight="1">
      <c r="A157" s="7314"/>
    </row>
    <row r="158" spans="1:1" ht="15" customHeight="1">
      <c r="A158" s="7314"/>
    </row>
    <row r="159" spans="1:1" ht="15" customHeight="1">
      <c r="A159" s="7314"/>
    </row>
    <row r="160" spans="1:1" ht="15" customHeight="1">
      <c r="A160" s="7314"/>
    </row>
  </sheetData>
  <mergeCells count="11">
    <mergeCell ref="A1:J1"/>
    <mergeCell ref="A118:B118"/>
    <mergeCell ref="A119:B119"/>
    <mergeCell ref="J3:J4"/>
    <mergeCell ref="G3:G4"/>
    <mergeCell ref="E82:G82"/>
    <mergeCell ref="G83:G84"/>
    <mergeCell ref="E7:G7"/>
    <mergeCell ref="G8:G9"/>
    <mergeCell ref="E39:G39"/>
    <mergeCell ref="G40:G41"/>
  </mergeCells>
  <printOptions horizontalCentered="1" gridLinesSet="0"/>
  <pageMargins left="0.25" right="0.25" top="0.5" bottom="0.25" header="0.25" footer="0.25"/>
  <pageSetup paperSize="119" firstPageNumber="151" orientation="landscape" useFirstPageNumber="1" r:id="rId1"/>
  <headerFooter alignWithMargins="0"/>
</worksheet>
</file>

<file path=xl/worksheets/sheet91.xml><?xml version="1.0" encoding="utf-8"?>
<worksheet xmlns="http://schemas.openxmlformats.org/spreadsheetml/2006/main" xmlns:r="http://schemas.openxmlformats.org/officeDocument/2006/relationships">
  <sheetPr codeName="Sheet128">
    <tabColor rgb="FFFFFF00"/>
  </sheetPr>
  <dimension ref="A1:E40"/>
  <sheetViews>
    <sheetView topLeftCell="A25" workbookViewId="0">
      <selection activeCell="C31" sqref="C31"/>
    </sheetView>
  </sheetViews>
  <sheetFormatPr defaultColWidth="9.109375" defaultRowHeight="13.8"/>
  <cols>
    <col min="1" max="1" width="43.44140625" style="2231" customWidth="1"/>
    <col min="2" max="2" width="21.88671875" style="2231" customWidth="1"/>
    <col min="3" max="3" width="18.88671875" style="2231" customWidth="1"/>
    <col min="4" max="5" width="17.109375" style="2231" customWidth="1"/>
    <col min="6" max="16384" width="9.109375" style="2231"/>
  </cols>
  <sheetData>
    <row r="1" spans="1:5">
      <c r="A1" s="2230" t="s">
        <v>6361</v>
      </c>
    </row>
    <row r="2" spans="1:5">
      <c r="A2" s="2230"/>
    </row>
    <row r="3" spans="1:5">
      <c r="A3" s="2231" t="s">
        <v>6362</v>
      </c>
    </row>
    <row r="4" spans="1:5" ht="14.4" thickBot="1"/>
    <row r="5" spans="1:5">
      <c r="A5" s="14810" t="s">
        <v>4589</v>
      </c>
      <c r="B5" s="14812" t="s">
        <v>18</v>
      </c>
      <c r="C5" s="14812"/>
      <c r="D5" s="14813" t="s">
        <v>52</v>
      </c>
      <c r="E5" s="14815" t="s">
        <v>458</v>
      </c>
    </row>
    <row r="6" spans="1:5" ht="53.25" customHeight="1">
      <c r="A6" s="14811"/>
      <c r="B6" s="2232" t="s">
        <v>2151</v>
      </c>
      <c r="C6" s="2232" t="s">
        <v>6363</v>
      </c>
      <c r="D6" s="14814"/>
      <c r="E6" s="14816"/>
    </row>
    <row r="7" spans="1:5">
      <c r="A7" s="2233" t="s">
        <v>2048</v>
      </c>
      <c r="B7" s="2234"/>
      <c r="C7" s="2234"/>
      <c r="D7" s="2234"/>
      <c r="E7" s="2235"/>
    </row>
    <row r="8" spans="1:5" hidden="1">
      <c r="A8" s="2236"/>
      <c r="B8" s="2234"/>
      <c r="C8" s="2234"/>
      <c r="D8" s="2234"/>
      <c r="E8" s="2235"/>
    </row>
    <row r="9" spans="1:5" ht="15" customHeight="1">
      <c r="A9" s="2236" t="s">
        <v>720</v>
      </c>
      <c r="B9" s="2237">
        <f>'lbpf 3-GSO '!J31</f>
        <v>28880117.794999998</v>
      </c>
      <c r="C9" s="2237"/>
      <c r="D9" s="2237"/>
      <c r="E9" s="2238">
        <f>SUM(B9:D9)</f>
        <v>28880117.794999998</v>
      </c>
    </row>
    <row r="10" spans="1:5" ht="15" customHeight="1">
      <c r="A10" s="2236" t="s">
        <v>3560</v>
      </c>
      <c r="B10" s="2234"/>
      <c r="C10" s="2237">
        <v>13384600</v>
      </c>
      <c r="D10" s="2234"/>
      <c r="E10" s="2238">
        <f t="shared" ref="E10:E24" si="0">SUM(B10:D10)</f>
        <v>13384600</v>
      </c>
    </row>
    <row r="11" spans="1:5" ht="15" customHeight="1">
      <c r="A11" s="2236" t="s">
        <v>6364</v>
      </c>
      <c r="B11" s="2234"/>
      <c r="C11" s="2234"/>
      <c r="D11" s="2237">
        <v>175000</v>
      </c>
      <c r="E11" s="2238">
        <f t="shared" si="0"/>
        <v>175000</v>
      </c>
    </row>
    <row r="12" spans="1:5" ht="15" customHeight="1">
      <c r="A12" s="2236" t="s">
        <v>6338</v>
      </c>
      <c r="B12" s="2234"/>
      <c r="C12" s="2234"/>
      <c r="D12" s="2237">
        <v>100000</v>
      </c>
      <c r="E12" s="2238">
        <f t="shared" si="0"/>
        <v>100000</v>
      </c>
    </row>
    <row r="13" spans="1:5" ht="15" customHeight="1">
      <c r="A13" s="2236" t="s">
        <v>6365</v>
      </c>
      <c r="B13" s="2234"/>
      <c r="C13" s="2234"/>
      <c r="D13" s="2237">
        <v>175000</v>
      </c>
      <c r="E13" s="2238">
        <f t="shared" si="0"/>
        <v>175000</v>
      </c>
    </row>
    <row r="14" spans="1:5" ht="15" hidden="1" customHeight="1">
      <c r="A14" s="2236"/>
      <c r="B14" s="2234"/>
      <c r="C14" s="2234"/>
      <c r="D14" s="2234"/>
      <c r="E14" s="2238">
        <f t="shared" si="0"/>
        <v>0</v>
      </c>
    </row>
    <row r="15" spans="1:5" ht="15" hidden="1" customHeight="1">
      <c r="A15" s="2236"/>
      <c r="B15" s="2234"/>
      <c r="C15" s="2234"/>
      <c r="D15" s="2234"/>
      <c r="E15" s="2238">
        <f t="shared" si="0"/>
        <v>0</v>
      </c>
    </row>
    <row r="16" spans="1:5" ht="15" hidden="1" customHeight="1">
      <c r="A16" s="2236"/>
      <c r="B16" s="2234"/>
      <c r="C16" s="2234"/>
      <c r="D16" s="2234"/>
      <c r="E16" s="2238">
        <f t="shared" si="0"/>
        <v>0</v>
      </c>
    </row>
    <row r="17" spans="1:5" ht="15" hidden="1" customHeight="1">
      <c r="A17" s="2236"/>
      <c r="B17" s="2234"/>
      <c r="C17" s="2234"/>
      <c r="D17" s="2234"/>
      <c r="E17" s="2238">
        <f t="shared" si="0"/>
        <v>0</v>
      </c>
    </row>
    <row r="18" spans="1:5" ht="15" hidden="1" customHeight="1">
      <c r="A18" s="2236"/>
      <c r="B18" s="2234"/>
      <c r="C18" s="2234"/>
      <c r="D18" s="2234"/>
      <c r="E18" s="2238">
        <f t="shared" si="0"/>
        <v>0</v>
      </c>
    </row>
    <row r="19" spans="1:5" ht="15" hidden="1" customHeight="1">
      <c r="A19" s="2236"/>
      <c r="B19" s="2234"/>
      <c r="C19" s="2234"/>
      <c r="D19" s="2234"/>
      <c r="E19" s="2238">
        <f t="shared" si="0"/>
        <v>0</v>
      </c>
    </row>
    <row r="20" spans="1:5" ht="15" hidden="1" customHeight="1">
      <c r="A20" s="2236"/>
      <c r="B20" s="2234"/>
      <c r="C20" s="2234"/>
      <c r="D20" s="2234"/>
      <c r="E20" s="2238">
        <f t="shared" si="0"/>
        <v>0</v>
      </c>
    </row>
    <row r="21" spans="1:5" ht="15" hidden="1" customHeight="1">
      <c r="A21" s="2236"/>
      <c r="B21" s="2234"/>
      <c r="C21" s="2234"/>
      <c r="D21" s="2234"/>
      <c r="E21" s="2238">
        <f t="shared" si="0"/>
        <v>0</v>
      </c>
    </row>
    <row r="22" spans="1:5" ht="15" customHeight="1">
      <c r="A22" s="2236" t="s">
        <v>6366</v>
      </c>
      <c r="B22" s="2234"/>
      <c r="C22" s="2234"/>
      <c r="D22" s="2237">
        <v>75000</v>
      </c>
      <c r="E22" s="2238">
        <f t="shared" si="0"/>
        <v>75000</v>
      </c>
    </row>
    <row r="23" spans="1:5" ht="15" customHeight="1">
      <c r="A23" s="2236" t="s">
        <v>6367</v>
      </c>
      <c r="B23" s="2234"/>
      <c r="C23" s="2234"/>
      <c r="D23" s="2237">
        <v>50000</v>
      </c>
      <c r="E23" s="2238">
        <f t="shared" si="0"/>
        <v>50000</v>
      </c>
    </row>
    <row r="24" spans="1:5" ht="15" customHeight="1">
      <c r="A24" s="2236" t="s">
        <v>6368</v>
      </c>
      <c r="B24" s="2234"/>
      <c r="C24" s="2234"/>
      <c r="D24" s="2237">
        <v>80000</v>
      </c>
      <c r="E24" s="2238">
        <f t="shared" si="0"/>
        <v>80000</v>
      </c>
    </row>
    <row r="25" spans="1:5">
      <c r="A25" s="2236"/>
      <c r="B25" s="2234"/>
      <c r="C25" s="2234"/>
      <c r="D25" s="2237"/>
      <c r="E25" s="2235"/>
    </row>
    <row r="26" spans="1:5">
      <c r="A26" s="2233" t="s">
        <v>3429</v>
      </c>
      <c r="B26" s="2234"/>
      <c r="C26" s="2234"/>
      <c r="D26" s="2234"/>
      <c r="E26" s="2235"/>
    </row>
    <row r="27" spans="1:5" hidden="1">
      <c r="A27" s="2236"/>
      <c r="B27" s="2234"/>
      <c r="C27" s="2234"/>
      <c r="D27" s="2234"/>
      <c r="E27" s="2235"/>
    </row>
    <row r="28" spans="1:5">
      <c r="A28" s="2236"/>
      <c r="B28" s="2234"/>
      <c r="C28" s="2234"/>
      <c r="D28" s="2234"/>
      <c r="E28" s="2235"/>
    </row>
    <row r="29" spans="1:5">
      <c r="A29" s="2239">
        <v>0.2</v>
      </c>
      <c r="B29" s="2240"/>
      <c r="C29" s="2234"/>
      <c r="D29" s="2234"/>
      <c r="E29" s="2235"/>
    </row>
    <row r="30" spans="1:5">
      <c r="A30" s="2241" t="s">
        <v>6369</v>
      </c>
      <c r="B30" s="2234"/>
      <c r="C30" s="2234"/>
      <c r="D30" s="2234"/>
      <c r="E30" s="2238">
        <v>600000</v>
      </c>
    </row>
    <row r="31" spans="1:5">
      <c r="A31" s="2242"/>
      <c r="B31" s="2234"/>
      <c r="C31" s="2234"/>
      <c r="D31" s="2234"/>
      <c r="E31" s="2238"/>
    </row>
    <row r="32" spans="1:5">
      <c r="A32" s="2243"/>
      <c r="B32" s="2234"/>
      <c r="C32" s="2234"/>
      <c r="D32" s="2234"/>
      <c r="E32" s="2238"/>
    </row>
    <row r="33" spans="1:5">
      <c r="A33" s="2243"/>
      <c r="B33" s="2234"/>
      <c r="C33" s="2234"/>
      <c r="D33" s="2234"/>
      <c r="E33" s="2238"/>
    </row>
    <row r="34" spans="1:5">
      <c r="A34" s="2244" t="s">
        <v>3445</v>
      </c>
      <c r="B34" s="2234"/>
      <c r="C34" s="2234"/>
      <c r="D34" s="2234"/>
      <c r="E34" s="2235"/>
    </row>
    <row r="35" spans="1:5" ht="27.6">
      <c r="A35" s="2241" t="s">
        <v>6370</v>
      </c>
      <c r="B35" s="2234"/>
      <c r="C35" s="2234"/>
      <c r="D35" s="2234"/>
      <c r="E35" s="2238">
        <v>0</v>
      </c>
    </row>
    <row r="36" spans="1:5" ht="14.4" thickBot="1">
      <c r="A36" s="2243"/>
      <c r="B36" s="2234"/>
      <c r="C36" s="2234"/>
      <c r="D36" s="2234"/>
      <c r="E36" s="2238"/>
    </row>
    <row r="37" spans="1:5">
      <c r="A37" s="5327"/>
      <c r="B37" s="5328"/>
      <c r="C37" s="5328"/>
      <c r="D37" s="5328"/>
      <c r="E37" s="5329"/>
    </row>
    <row r="38" spans="1:5" s="2230" customFormat="1">
      <c r="A38" s="5330" t="s">
        <v>220</v>
      </c>
      <c r="B38" s="5326">
        <f>SUM(B7:B36)</f>
        <v>28880117.794999998</v>
      </c>
      <c r="C38" s="5326">
        <f>SUM(C7:C36)</f>
        <v>13384600</v>
      </c>
      <c r="D38" s="5326">
        <f>SUM(D7:D36)</f>
        <v>655000</v>
      </c>
      <c r="E38" s="2247">
        <f>SUM(E7:E36)</f>
        <v>43519717.795000002</v>
      </c>
    </row>
    <row r="39" spans="1:5" ht="14.4" thickBot="1">
      <c r="A39" s="5331"/>
      <c r="B39" s="5332"/>
      <c r="C39" s="5332"/>
      <c r="D39" s="5332"/>
      <c r="E39" s="5333"/>
    </row>
    <row r="40" spans="1:5">
      <c r="A40" s="2245"/>
      <c r="E40" s="2246"/>
    </row>
  </sheetData>
  <mergeCells count="4">
    <mergeCell ref="A5:A6"/>
    <mergeCell ref="B5:C5"/>
    <mergeCell ref="D5:D6"/>
    <mergeCell ref="E5:E6"/>
  </mergeCells>
  <pageMargins left="0.5" right="0.25" top="0.75" bottom="0.5" header="0.3" footer="0.25"/>
  <pageSetup paperSize="119" scale="80" orientation="portrait" horizontalDpi="4294967294" r:id="rId1"/>
</worksheet>
</file>

<file path=xl/worksheets/sheet92.xml><?xml version="1.0" encoding="utf-8"?>
<worksheet xmlns="http://schemas.openxmlformats.org/spreadsheetml/2006/main" xmlns:r="http://schemas.openxmlformats.org/officeDocument/2006/relationships">
  <sheetPr codeName="Sheet62">
    <tabColor rgb="FFFFFF00"/>
  </sheetPr>
  <dimension ref="A1:I108"/>
  <sheetViews>
    <sheetView showGridLines="0" workbookViewId="0">
      <selection activeCell="F2" sqref="F1:J1048576"/>
    </sheetView>
  </sheetViews>
  <sheetFormatPr defaultRowHeight="12.9" customHeight="1"/>
  <cols>
    <col min="1" max="1" width="40.5546875" style="7001" customWidth="1"/>
    <col min="2" max="3" width="8.5546875" style="7001" customWidth="1"/>
    <col min="4" max="6" width="14.5546875" style="7001" customWidth="1"/>
    <col min="7" max="7" width="14.6640625" style="7001" customWidth="1"/>
    <col min="8" max="8" width="21.33203125" style="7001" customWidth="1"/>
    <col min="9" max="9" width="14.109375" style="7001" customWidth="1"/>
    <col min="10" max="222" width="9.109375" style="7001"/>
    <col min="223" max="223" width="32.88671875" style="7001" customWidth="1"/>
    <col min="224" max="224" width="9.109375" style="7001"/>
    <col min="225" max="225" width="9.44140625" style="7001" customWidth="1"/>
    <col min="226" max="226" width="14.88671875" style="7001" customWidth="1"/>
    <col min="227" max="228" width="15.88671875" style="7001" customWidth="1"/>
    <col min="229" max="229" width="11.109375" style="7001" bestFit="1" customWidth="1"/>
    <col min="230" max="478" width="9.109375" style="7001"/>
    <col min="479" max="479" width="32.88671875" style="7001" customWidth="1"/>
    <col min="480" max="480" width="9.109375" style="7001"/>
    <col min="481" max="481" width="9.44140625" style="7001" customWidth="1"/>
    <col min="482" max="482" width="14.88671875" style="7001" customWidth="1"/>
    <col min="483" max="484" width="15.88671875" style="7001" customWidth="1"/>
    <col min="485" max="485" width="11.109375" style="7001" bestFit="1" customWidth="1"/>
    <col min="486" max="734" width="9.109375" style="7001"/>
    <col min="735" max="735" width="32.88671875" style="7001" customWidth="1"/>
    <col min="736" max="736" width="9.109375" style="7001"/>
    <col min="737" max="737" width="9.44140625" style="7001" customWidth="1"/>
    <col min="738" max="738" width="14.88671875" style="7001" customWidth="1"/>
    <col min="739" max="740" width="15.88671875" style="7001" customWidth="1"/>
    <col min="741" max="741" width="11.109375" style="7001" bestFit="1" customWidth="1"/>
    <col min="742" max="990" width="9.109375" style="7001"/>
    <col min="991" max="991" width="32.88671875" style="7001" customWidth="1"/>
    <col min="992" max="992" width="9.109375" style="7001"/>
    <col min="993" max="993" width="9.44140625" style="7001" customWidth="1"/>
    <col min="994" max="994" width="14.88671875" style="7001" customWidth="1"/>
    <col min="995" max="996" width="15.88671875" style="7001" customWidth="1"/>
    <col min="997" max="997" width="11.109375" style="7001" bestFit="1" customWidth="1"/>
    <col min="998" max="1246" width="9.109375" style="7001"/>
    <col min="1247" max="1247" width="32.88671875" style="7001" customWidth="1"/>
    <col min="1248" max="1248" width="9.109375" style="7001"/>
    <col min="1249" max="1249" width="9.44140625" style="7001" customWidth="1"/>
    <col min="1250" max="1250" width="14.88671875" style="7001" customWidth="1"/>
    <col min="1251" max="1252" width="15.88671875" style="7001" customWidth="1"/>
    <col min="1253" max="1253" width="11.109375" style="7001" bestFit="1" customWidth="1"/>
    <col min="1254" max="1502" width="9.109375" style="7001"/>
    <col min="1503" max="1503" width="32.88671875" style="7001" customWidth="1"/>
    <col min="1504" max="1504" width="9.109375" style="7001"/>
    <col min="1505" max="1505" width="9.44140625" style="7001" customWidth="1"/>
    <col min="1506" max="1506" width="14.88671875" style="7001" customWidth="1"/>
    <col min="1507" max="1508" width="15.88671875" style="7001" customWidth="1"/>
    <col min="1509" max="1509" width="11.109375" style="7001" bestFit="1" customWidth="1"/>
    <col min="1510" max="1758" width="9.109375" style="7001"/>
    <col min="1759" max="1759" width="32.88671875" style="7001" customWidth="1"/>
    <col min="1760" max="1760" width="9.109375" style="7001"/>
    <col min="1761" max="1761" width="9.44140625" style="7001" customWidth="1"/>
    <col min="1762" max="1762" width="14.88671875" style="7001" customWidth="1"/>
    <col min="1763" max="1764" width="15.88671875" style="7001" customWidth="1"/>
    <col min="1765" max="1765" width="11.109375" style="7001" bestFit="1" customWidth="1"/>
    <col min="1766" max="2014" width="9.109375" style="7001"/>
    <col min="2015" max="2015" width="32.88671875" style="7001" customWidth="1"/>
    <col min="2016" max="2016" width="9.109375" style="7001"/>
    <col min="2017" max="2017" width="9.44140625" style="7001" customWidth="1"/>
    <col min="2018" max="2018" width="14.88671875" style="7001" customWidth="1"/>
    <col min="2019" max="2020" width="15.88671875" style="7001" customWidth="1"/>
    <col min="2021" max="2021" width="11.109375" style="7001" bestFit="1" customWidth="1"/>
    <col min="2022" max="2270" width="9.109375" style="7001"/>
    <col min="2271" max="2271" width="32.88671875" style="7001" customWidth="1"/>
    <col min="2272" max="2272" width="9.109375" style="7001"/>
    <col min="2273" max="2273" width="9.44140625" style="7001" customWidth="1"/>
    <col min="2274" max="2274" width="14.88671875" style="7001" customWidth="1"/>
    <col min="2275" max="2276" width="15.88671875" style="7001" customWidth="1"/>
    <col min="2277" max="2277" width="11.109375" style="7001" bestFit="1" customWidth="1"/>
    <col min="2278" max="2526" width="9.109375" style="7001"/>
    <col min="2527" max="2527" width="32.88671875" style="7001" customWidth="1"/>
    <col min="2528" max="2528" width="9.109375" style="7001"/>
    <col min="2529" max="2529" width="9.44140625" style="7001" customWidth="1"/>
    <col min="2530" max="2530" width="14.88671875" style="7001" customWidth="1"/>
    <col min="2531" max="2532" width="15.88671875" style="7001" customWidth="1"/>
    <col min="2533" max="2533" width="11.109375" style="7001" bestFit="1" customWidth="1"/>
    <col min="2534" max="2782" width="9.109375" style="7001"/>
    <col min="2783" max="2783" width="32.88671875" style="7001" customWidth="1"/>
    <col min="2784" max="2784" width="9.109375" style="7001"/>
    <col min="2785" max="2785" width="9.44140625" style="7001" customWidth="1"/>
    <col min="2786" max="2786" width="14.88671875" style="7001" customWidth="1"/>
    <col min="2787" max="2788" width="15.88671875" style="7001" customWidth="1"/>
    <col min="2789" max="2789" width="11.109375" style="7001" bestFit="1" customWidth="1"/>
    <col min="2790" max="3038" width="9.109375" style="7001"/>
    <col min="3039" max="3039" width="32.88671875" style="7001" customWidth="1"/>
    <col min="3040" max="3040" width="9.109375" style="7001"/>
    <col min="3041" max="3041" width="9.44140625" style="7001" customWidth="1"/>
    <col min="3042" max="3042" width="14.88671875" style="7001" customWidth="1"/>
    <col min="3043" max="3044" width="15.88671875" style="7001" customWidth="1"/>
    <col min="3045" max="3045" width="11.109375" style="7001" bestFit="1" customWidth="1"/>
    <col min="3046" max="3294" width="9.109375" style="7001"/>
    <col min="3295" max="3295" width="32.88671875" style="7001" customWidth="1"/>
    <col min="3296" max="3296" width="9.109375" style="7001"/>
    <col min="3297" max="3297" width="9.44140625" style="7001" customWidth="1"/>
    <col min="3298" max="3298" width="14.88671875" style="7001" customWidth="1"/>
    <col min="3299" max="3300" width="15.88671875" style="7001" customWidth="1"/>
    <col min="3301" max="3301" width="11.109375" style="7001" bestFit="1" customWidth="1"/>
    <col min="3302" max="3550" width="9.109375" style="7001"/>
    <col min="3551" max="3551" width="32.88671875" style="7001" customWidth="1"/>
    <col min="3552" max="3552" width="9.109375" style="7001"/>
    <col min="3553" max="3553" width="9.44140625" style="7001" customWidth="1"/>
    <col min="3554" max="3554" width="14.88671875" style="7001" customWidth="1"/>
    <col min="3555" max="3556" width="15.88671875" style="7001" customWidth="1"/>
    <col min="3557" max="3557" width="11.109375" style="7001" bestFit="1" customWidth="1"/>
    <col min="3558" max="3806" width="9.109375" style="7001"/>
    <col min="3807" max="3807" width="32.88671875" style="7001" customWidth="1"/>
    <col min="3808" max="3808" width="9.109375" style="7001"/>
    <col min="3809" max="3809" width="9.44140625" style="7001" customWidth="1"/>
    <col min="3810" max="3810" width="14.88671875" style="7001" customWidth="1"/>
    <col min="3811" max="3812" width="15.88671875" style="7001" customWidth="1"/>
    <col min="3813" max="3813" width="11.109375" style="7001" bestFit="1" customWidth="1"/>
    <col min="3814" max="4062" width="9.109375" style="7001"/>
    <col min="4063" max="4063" width="32.88671875" style="7001" customWidth="1"/>
    <col min="4064" max="4064" width="9.109375" style="7001"/>
    <col min="4065" max="4065" width="9.44140625" style="7001" customWidth="1"/>
    <col min="4066" max="4066" width="14.88671875" style="7001" customWidth="1"/>
    <col min="4067" max="4068" width="15.88671875" style="7001" customWidth="1"/>
    <col min="4069" max="4069" width="11.109375" style="7001" bestFit="1" customWidth="1"/>
    <col min="4070" max="4318" width="9.109375" style="7001"/>
    <col min="4319" max="4319" width="32.88671875" style="7001" customWidth="1"/>
    <col min="4320" max="4320" width="9.109375" style="7001"/>
    <col min="4321" max="4321" width="9.44140625" style="7001" customWidth="1"/>
    <col min="4322" max="4322" width="14.88671875" style="7001" customWidth="1"/>
    <col min="4323" max="4324" width="15.88671875" style="7001" customWidth="1"/>
    <col min="4325" max="4325" width="11.109375" style="7001" bestFit="1" customWidth="1"/>
    <col min="4326" max="4574" width="9.109375" style="7001"/>
    <col min="4575" max="4575" width="32.88671875" style="7001" customWidth="1"/>
    <col min="4576" max="4576" width="9.109375" style="7001"/>
    <col min="4577" max="4577" width="9.44140625" style="7001" customWidth="1"/>
    <col min="4578" max="4578" width="14.88671875" style="7001" customWidth="1"/>
    <col min="4579" max="4580" width="15.88671875" style="7001" customWidth="1"/>
    <col min="4581" max="4581" width="11.109375" style="7001" bestFit="1" customWidth="1"/>
    <col min="4582" max="4830" width="9.109375" style="7001"/>
    <col min="4831" max="4831" width="32.88671875" style="7001" customWidth="1"/>
    <col min="4832" max="4832" width="9.109375" style="7001"/>
    <col min="4833" max="4833" width="9.44140625" style="7001" customWidth="1"/>
    <col min="4834" max="4834" width="14.88671875" style="7001" customWidth="1"/>
    <col min="4835" max="4836" width="15.88671875" style="7001" customWidth="1"/>
    <col min="4837" max="4837" width="11.109375" style="7001" bestFit="1" customWidth="1"/>
    <col min="4838" max="5086" width="9.109375" style="7001"/>
    <col min="5087" max="5087" width="32.88671875" style="7001" customWidth="1"/>
    <col min="5088" max="5088" width="9.109375" style="7001"/>
    <col min="5089" max="5089" width="9.44140625" style="7001" customWidth="1"/>
    <col min="5090" max="5090" width="14.88671875" style="7001" customWidth="1"/>
    <col min="5091" max="5092" width="15.88671875" style="7001" customWidth="1"/>
    <col min="5093" max="5093" width="11.109375" style="7001" bestFit="1" customWidth="1"/>
    <col min="5094" max="5342" width="9.109375" style="7001"/>
    <col min="5343" max="5343" width="32.88671875" style="7001" customWidth="1"/>
    <col min="5344" max="5344" width="9.109375" style="7001"/>
    <col min="5345" max="5345" width="9.44140625" style="7001" customWidth="1"/>
    <col min="5346" max="5346" width="14.88671875" style="7001" customWidth="1"/>
    <col min="5347" max="5348" width="15.88671875" style="7001" customWidth="1"/>
    <col min="5349" max="5349" width="11.109375" style="7001" bestFit="1" customWidth="1"/>
    <col min="5350" max="5598" width="9.109375" style="7001"/>
    <col min="5599" max="5599" width="32.88671875" style="7001" customWidth="1"/>
    <col min="5600" max="5600" width="9.109375" style="7001"/>
    <col min="5601" max="5601" width="9.44140625" style="7001" customWidth="1"/>
    <col min="5602" max="5602" width="14.88671875" style="7001" customWidth="1"/>
    <col min="5603" max="5604" width="15.88671875" style="7001" customWidth="1"/>
    <col min="5605" max="5605" width="11.109375" style="7001" bestFit="1" customWidth="1"/>
    <col min="5606" max="5854" width="9.109375" style="7001"/>
    <col min="5855" max="5855" width="32.88671875" style="7001" customWidth="1"/>
    <col min="5856" max="5856" width="9.109375" style="7001"/>
    <col min="5857" max="5857" width="9.44140625" style="7001" customWidth="1"/>
    <col min="5858" max="5858" width="14.88671875" style="7001" customWidth="1"/>
    <col min="5859" max="5860" width="15.88671875" style="7001" customWidth="1"/>
    <col min="5861" max="5861" width="11.109375" style="7001" bestFit="1" customWidth="1"/>
    <col min="5862" max="6110" width="9.109375" style="7001"/>
    <col min="6111" max="6111" width="32.88671875" style="7001" customWidth="1"/>
    <col min="6112" max="6112" width="9.109375" style="7001"/>
    <col min="6113" max="6113" width="9.44140625" style="7001" customWidth="1"/>
    <col min="6114" max="6114" width="14.88671875" style="7001" customWidth="1"/>
    <col min="6115" max="6116" width="15.88671875" style="7001" customWidth="1"/>
    <col min="6117" max="6117" width="11.109375" style="7001" bestFit="1" customWidth="1"/>
    <col min="6118" max="6366" width="9.109375" style="7001"/>
    <col min="6367" max="6367" width="32.88671875" style="7001" customWidth="1"/>
    <col min="6368" max="6368" width="9.109375" style="7001"/>
    <col min="6369" max="6369" width="9.44140625" style="7001" customWidth="1"/>
    <col min="6370" max="6370" width="14.88671875" style="7001" customWidth="1"/>
    <col min="6371" max="6372" width="15.88671875" style="7001" customWidth="1"/>
    <col min="6373" max="6373" width="11.109375" style="7001" bestFit="1" customWidth="1"/>
    <col min="6374" max="6622" width="9.109375" style="7001"/>
    <col min="6623" max="6623" width="32.88671875" style="7001" customWidth="1"/>
    <col min="6624" max="6624" width="9.109375" style="7001"/>
    <col min="6625" max="6625" width="9.44140625" style="7001" customWidth="1"/>
    <col min="6626" max="6626" width="14.88671875" style="7001" customWidth="1"/>
    <col min="6627" max="6628" width="15.88671875" style="7001" customWidth="1"/>
    <col min="6629" max="6629" width="11.109375" style="7001" bestFit="1" customWidth="1"/>
    <col min="6630" max="6878" width="9.109375" style="7001"/>
    <col min="6879" max="6879" width="32.88671875" style="7001" customWidth="1"/>
    <col min="6880" max="6880" width="9.109375" style="7001"/>
    <col min="6881" max="6881" width="9.44140625" style="7001" customWidth="1"/>
    <col min="6882" max="6882" width="14.88671875" style="7001" customWidth="1"/>
    <col min="6883" max="6884" width="15.88671875" style="7001" customWidth="1"/>
    <col min="6885" max="6885" width="11.109375" style="7001" bestFit="1" customWidth="1"/>
    <col min="6886" max="7134" width="9.109375" style="7001"/>
    <col min="7135" max="7135" width="32.88671875" style="7001" customWidth="1"/>
    <col min="7136" max="7136" width="9.109375" style="7001"/>
    <col min="7137" max="7137" width="9.44140625" style="7001" customWidth="1"/>
    <col min="7138" max="7138" width="14.88671875" style="7001" customWidth="1"/>
    <col min="7139" max="7140" width="15.88671875" style="7001" customWidth="1"/>
    <col min="7141" max="7141" width="11.109375" style="7001" bestFit="1" customWidth="1"/>
    <col min="7142" max="7390" width="9.109375" style="7001"/>
    <col min="7391" max="7391" width="32.88671875" style="7001" customWidth="1"/>
    <col min="7392" max="7392" width="9.109375" style="7001"/>
    <col min="7393" max="7393" width="9.44140625" style="7001" customWidth="1"/>
    <col min="7394" max="7394" width="14.88671875" style="7001" customWidth="1"/>
    <col min="7395" max="7396" width="15.88671875" style="7001" customWidth="1"/>
    <col min="7397" max="7397" width="11.109375" style="7001" bestFit="1" customWidth="1"/>
    <col min="7398" max="7646" width="9.109375" style="7001"/>
    <col min="7647" max="7647" width="32.88671875" style="7001" customWidth="1"/>
    <col min="7648" max="7648" width="9.109375" style="7001"/>
    <col min="7649" max="7649" width="9.44140625" style="7001" customWidth="1"/>
    <col min="7650" max="7650" width="14.88671875" style="7001" customWidth="1"/>
    <col min="7651" max="7652" width="15.88671875" style="7001" customWidth="1"/>
    <col min="7653" max="7653" width="11.109375" style="7001" bestFit="1" customWidth="1"/>
    <col min="7654" max="7902" width="9.109375" style="7001"/>
    <col min="7903" max="7903" width="32.88671875" style="7001" customWidth="1"/>
    <col min="7904" max="7904" width="9.109375" style="7001"/>
    <col min="7905" max="7905" width="9.44140625" style="7001" customWidth="1"/>
    <col min="7906" max="7906" width="14.88671875" style="7001" customWidth="1"/>
    <col min="7907" max="7908" width="15.88671875" style="7001" customWidth="1"/>
    <col min="7909" max="7909" width="11.109375" style="7001" bestFit="1" customWidth="1"/>
    <col min="7910" max="8158" width="9.109375" style="7001"/>
    <col min="8159" max="8159" width="32.88671875" style="7001" customWidth="1"/>
    <col min="8160" max="8160" width="9.109375" style="7001"/>
    <col min="8161" max="8161" width="9.44140625" style="7001" customWidth="1"/>
    <col min="8162" max="8162" width="14.88671875" style="7001" customWidth="1"/>
    <col min="8163" max="8164" width="15.88671875" style="7001" customWidth="1"/>
    <col min="8165" max="8165" width="11.109375" style="7001" bestFit="1" customWidth="1"/>
    <col min="8166" max="8414" width="9.109375" style="7001"/>
    <col min="8415" max="8415" width="32.88671875" style="7001" customWidth="1"/>
    <col min="8416" max="8416" width="9.109375" style="7001"/>
    <col min="8417" max="8417" width="9.44140625" style="7001" customWidth="1"/>
    <col min="8418" max="8418" width="14.88671875" style="7001" customWidth="1"/>
    <col min="8419" max="8420" width="15.88671875" style="7001" customWidth="1"/>
    <col min="8421" max="8421" width="11.109375" style="7001" bestFit="1" customWidth="1"/>
    <col min="8422" max="8670" width="9.109375" style="7001"/>
    <col min="8671" max="8671" width="32.88671875" style="7001" customWidth="1"/>
    <col min="8672" max="8672" width="9.109375" style="7001"/>
    <col min="8673" max="8673" width="9.44140625" style="7001" customWidth="1"/>
    <col min="8674" max="8674" width="14.88671875" style="7001" customWidth="1"/>
    <col min="8675" max="8676" width="15.88671875" style="7001" customWidth="1"/>
    <col min="8677" max="8677" width="11.109375" style="7001" bestFit="1" customWidth="1"/>
    <col min="8678" max="8926" width="9.109375" style="7001"/>
    <col min="8927" max="8927" width="32.88671875" style="7001" customWidth="1"/>
    <col min="8928" max="8928" width="9.109375" style="7001"/>
    <col min="8929" max="8929" width="9.44140625" style="7001" customWidth="1"/>
    <col min="8930" max="8930" width="14.88671875" style="7001" customWidth="1"/>
    <col min="8931" max="8932" width="15.88671875" style="7001" customWidth="1"/>
    <col min="8933" max="8933" width="11.109375" style="7001" bestFit="1" customWidth="1"/>
    <col min="8934" max="9182" width="9.109375" style="7001"/>
    <col min="9183" max="9183" width="32.88671875" style="7001" customWidth="1"/>
    <col min="9184" max="9184" width="9.109375" style="7001"/>
    <col min="9185" max="9185" width="9.44140625" style="7001" customWidth="1"/>
    <col min="9186" max="9186" width="14.88671875" style="7001" customWidth="1"/>
    <col min="9187" max="9188" width="15.88671875" style="7001" customWidth="1"/>
    <col min="9189" max="9189" width="11.109375" style="7001" bestFit="1" customWidth="1"/>
    <col min="9190" max="9438" width="9.109375" style="7001"/>
    <col min="9439" max="9439" width="32.88671875" style="7001" customWidth="1"/>
    <col min="9440" max="9440" width="9.109375" style="7001"/>
    <col min="9441" max="9441" width="9.44140625" style="7001" customWidth="1"/>
    <col min="9442" max="9442" width="14.88671875" style="7001" customWidth="1"/>
    <col min="9443" max="9444" width="15.88671875" style="7001" customWidth="1"/>
    <col min="9445" max="9445" width="11.109375" style="7001" bestFit="1" customWidth="1"/>
    <col min="9446" max="9694" width="9.109375" style="7001"/>
    <col min="9695" max="9695" width="32.88671875" style="7001" customWidth="1"/>
    <col min="9696" max="9696" width="9.109375" style="7001"/>
    <col min="9697" max="9697" width="9.44140625" style="7001" customWidth="1"/>
    <col min="9698" max="9698" width="14.88671875" style="7001" customWidth="1"/>
    <col min="9699" max="9700" width="15.88671875" style="7001" customWidth="1"/>
    <col min="9701" max="9701" width="11.109375" style="7001" bestFit="1" customWidth="1"/>
    <col min="9702" max="9950" width="9.109375" style="7001"/>
    <col min="9951" max="9951" width="32.88671875" style="7001" customWidth="1"/>
    <col min="9952" max="9952" width="9.109375" style="7001"/>
    <col min="9953" max="9953" width="9.44140625" style="7001" customWidth="1"/>
    <col min="9954" max="9954" width="14.88671875" style="7001" customWidth="1"/>
    <col min="9955" max="9956" width="15.88671875" style="7001" customWidth="1"/>
    <col min="9957" max="9957" width="11.109375" style="7001" bestFit="1" customWidth="1"/>
    <col min="9958" max="10206" width="9.109375" style="7001"/>
    <col min="10207" max="10207" width="32.88671875" style="7001" customWidth="1"/>
    <col min="10208" max="10208" width="9.109375" style="7001"/>
    <col min="10209" max="10209" width="9.44140625" style="7001" customWidth="1"/>
    <col min="10210" max="10210" width="14.88671875" style="7001" customWidth="1"/>
    <col min="10211" max="10212" width="15.88671875" style="7001" customWidth="1"/>
    <col min="10213" max="10213" width="11.109375" style="7001" bestFit="1" customWidth="1"/>
    <col min="10214" max="10462" width="9.109375" style="7001"/>
    <col min="10463" max="10463" width="32.88671875" style="7001" customWidth="1"/>
    <col min="10464" max="10464" width="9.109375" style="7001"/>
    <col min="10465" max="10465" width="9.44140625" style="7001" customWidth="1"/>
    <col min="10466" max="10466" width="14.88671875" style="7001" customWidth="1"/>
    <col min="10467" max="10468" width="15.88671875" style="7001" customWidth="1"/>
    <col min="10469" max="10469" width="11.109375" style="7001" bestFit="1" customWidth="1"/>
    <col min="10470" max="10718" width="9.109375" style="7001"/>
    <col min="10719" max="10719" width="32.88671875" style="7001" customWidth="1"/>
    <col min="10720" max="10720" width="9.109375" style="7001"/>
    <col min="10721" max="10721" width="9.44140625" style="7001" customWidth="1"/>
    <col min="10722" max="10722" width="14.88671875" style="7001" customWidth="1"/>
    <col min="10723" max="10724" width="15.88671875" style="7001" customWidth="1"/>
    <col min="10725" max="10725" width="11.109375" style="7001" bestFit="1" customWidth="1"/>
    <col min="10726" max="10974" width="9.109375" style="7001"/>
    <col min="10975" max="10975" width="32.88671875" style="7001" customWidth="1"/>
    <col min="10976" max="10976" width="9.109375" style="7001"/>
    <col min="10977" max="10977" width="9.44140625" style="7001" customWidth="1"/>
    <col min="10978" max="10978" width="14.88671875" style="7001" customWidth="1"/>
    <col min="10979" max="10980" width="15.88671875" style="7001" customWidth="1"/>
    <col min="10981" max="10981" width="11.109375" style="7001" bestFit="1" customWidth="1"/>
    <col min="10982" max="11230" width="9.109375" style="7001"/>
    <col min="11231" max="11231" width="32.88671875" style="7001" customWidth="1"/>
    <col min="11232" max="11232" width="9.109375" style="7001"/>
    <col min="11233" max="11233" width="9.44140625" style="7001" customWidth="1"/>
    <col min="11234" max="11234" width="14.88671875" style="7001" customWidth="1"/>
    <col min="11235" max="11236" width="15.88671875" style="7001" customWidth="1"/>
    <col min="11237" max="11237" width="11.109375" style="7001" bestFit="1" customWidth="1"/>
    <col min="11238" max="11486" width="9.109375" style="7001"/>
    <col min="11487" max="11487" width="32.88671875" style="7001" customWidth="1"/>
    <col min="11488" max="11488" width="9.109375" style="7001"/>
    <col min="11489" max="11489" width="9.44140625" style="7001" customWidth="1"/>
    <col min="11490" max="11490" width="14.88671875" style="7001" customWidth="1"/>
    <col min="11491" max="11492" width="15.88671875" style="7001" customWidth="1"/>
    <col min="11493" max="11493" width="11.109375" style="7001" bestFit="1" customWidth="1"/>
    <col min="11494" max="11742" width="9.109375" style="7001"/>
    <col min="11743" max="11743" width="32.88671875" style="7001" customWidth="1"/>
    <col min="11744" max="11744" width="9.109375" style="7001"/>
    <col min="11745" max="11745" width="9.44140625" style="7001" customWidth="1"/>
    <col min="11746" max="11746" width="14.88671875" style="7001" customWidth="1"/>
    <col min="11747" max="11748" width="15.88671875" style="7001" customWidth="1"/>
    <col min="11749" max="11749" width="11.109375" style="7001" bestFit="1" customWidth="1"/>
    <col min="11750" max="11998" width="9.109375" style="7001"/>
    <col min="11999" max="11999" width="32.88671875" style="7001" customWidth="1"/>
    <col min="12000" max="12000" width="9.109375" style="7001"/>
    <col min="12001" max="12001" width="9.44140625" style="7001" customWidth="1"/>
    <col min="12002" max="12002" width="14.88671875" style="7001" customWidth="1"/>
    <col min="12003" max="12004" width="15.88671875" style="7001" customWidth="1"/>
    <col min="12005" max="12005" width="11.109375" style="7001" bestFit="1" customWidth="1"/>
    <col min="12006" max="12254" width="9.109375" style="7001"/>
    <col min="12255" max="12255" width="32.88671875" style="7001" customWidth="1"/>
    <col min="12256" max="12256" width="9.109375" style="7001"/>
    <col min="12257" max="12257" width="9.44140625" style="7001" customWidth="1"/>
    <col min="12258" max="12258" width="14.88671875" style="7001" customWidth="1"/>
    <col min="12259" max="12260" width="15.88671875" style="7001" customWidth="1"/>
    <col min="12261" max="12261" width="11.109375" style="7001" bestFit="1" customWidth="1"/>
    <col min="12262" max="12510" width="9.109375" style="7001"/>
    <col min="12511" max="12511" width="32.88671875" style="7001" customWidth="1"/>
    <col min="12512" max="12512" width="9.109375" style="7001"/>
    <col min="12513" max="12513" width="9.44140625" style="7001" customWidth="1"/>
    <col min="12514" max="12514" width="14.88671875" style="7001" customWidth="1"/>
    <col min="12515" max="12516" width="15.88671875" style="7001" customWidth="1"/>
    <col min="12517" max="12517" width="11.109375" style="7001" bestFit="1" customWidth="1"/>
    <col min="12518" max="12766" width="9.109375" style="7001"/>
    <col min="12767" max="12767" width="32.88671875" style="7001" customWidth="1"/>
    <col min="12768" max="12768" width="9.109375" style="7001"/>
    <col min="12769" max="12769" width="9.44140625" style="7001" customWidth="1"/>
    <col min="12770" max="12770" width="14.88671875" style="7001" customWidth="1"/>
    <col min="12771" max="12772" width="15.88671875" style="7001" customWidth="1"/>
    <col min="12773" max="12773" width="11.109375" style="7001" bestFit="1" customWidth="1"/>
    <col min="12774" max="13022" width="9.109375" style="7001"/>
    <col min="13023" max="13023" width="32.88671875" style="7001" customWidth="1"/>
    <col min="13024" max="13024" width="9.109375" style="7001"/>
    <col min="13025" max="13025" width="9.44140625" style="7001" customWidth="1"/>
    <col min="13026" max="13026" width="14.88671875" style="7001" customWidth="1"/>
    <col min="13027" max="13028" width="15.88671875" style="7001" customWidth="1"/>
    <col min="13029" max="13029" width="11.109375" style="7001" bestFit="1" customWidth="1"/>
    <col min="13030" max="13278" width="9.109375" style="7001"/>
    <col min="13279" max="13279" width="32.88671875" style="7001" customWidth="1"/>
    <col min="13280" max="13280" width="9.109375" style="7001"/>
    <col min="13281" max="13281" width="9.44140625" style="7001" customWidth="1"/>
    <col min="13282" max="13282" width="14.88671875" style="7001" customWidth="1"/>
    <col min="13283" max="13284" width="15.88671875" style="7001" customWidth="1"/>
    <col min="13285" max="13285" width="11.109375" style="7001" bestFit="1" customWidth="1"/>
    <col min="13286" max="13534" width="9.109375" style="7001"/>
    <col min="13535" max="13535" width="32.88671875" style="7001" customWidth="1"/>
    <col min="13536" max="13536" width="9.109375" style="7001"/>
    <col min="13537" max="13537" width="9.44140625" style="7001" customWidth="1"/>
    <col min="13538" max="13538" width="14.88671875" style="7001" customWidth="1"/>
    <col min="13539" max="13540" width="15.88671875" style="7001" customWidth="1"/>
    <col min="13541" max="13541" width="11.109375" style="7001" bestFit="1" customWidth="1"/>
    <col min="13542" max="13790" width="9.109375" style="7001"/>
    <col min="13791" max="13791" width="32.88671875" style="7001" customWidth="1"/>
    <col min="13792" max="13792" width="9.109375" style="7001"/>
    <col min="13793" max="13793" width="9.44140625" style="7001" customWidth="1"/>
    <col min="13794" max="13794" width="14.88671875" style="7001" customWidth="1"/>
    <col min="13795" max="13796" width="15.88671875" style="7001" customWidth="1"/>
    <col min="13797" max="13797" width="11.109375" style="7001" bestFit="1" customWidth="1"/>
    <col min="13798" max="14046" width="9.109375" style="7001"/>
    <col min="14047" max="14047" width="32.88671875" style="7001" customWidth="1"/>
    <col min="14048" max="14048" width="9.109375" style="7001"/>
    <col min="14049" max="14049" width="9.44140625" style="7001" customWidth="1"/>
    <col min="14050" max="14050" width="14.88671875" style="7001" customWidth="1"/>
    <col min="14051" max="14052" width="15.88671875" style="7001" customWidth="1"/>
    <col min="14053" max="14053" width="11.109375" style="7001" bestFit="1" customWidth="1"/>
    <col min="14054" max="14302" width="9.109375" style="7001"/>
    <col min="14303" max="14303" width="32.88671875" style="7001" customWidth="1"/>
    <col min="14304" max="14304" width="9.109375" style="7001"/>
    <col min="14305" max="14305" width="9.44140625" style="7001" customWidth="1"/>
    <col min="14306" max="14306" width="14.88671875" style="7001" customWidth="1"/>
    <col min="14307" max="14308" width="15.88671875" style="7001" customWidth="1"/>
    <col min="14309" max="14309" width="11.109375" style="7001" bestFit="1" customWidth="1"/>
    <col min="14310" max="14558" width="9.109375" style="7001"/>
    <col min="14559" max="14559" width="32.88671875" style="7001" customWidth="1"/>
    <col min="14560" max="14560" width="9.109375" style="7001"/>
    <col min="14561" max="14561" width="9.44140625" style="7001" customWidth="1"/>
    <col min="14562" max="14562" width="14.88671875" style="7001" customWidth="1"/>
    <col min="14563" max="14564" width="15.88671875" style="7001" customWidth="1"/>
    <col min="14565" max="14565" width="11.109375" style="7001" bestFit="1" customWidth="1"/>
    <col min="14566" max="14814" width="9.109375" style="7001"/>
    <col min="14815" max="14815" width="32.88671875" style="7001" customWidth="1"/>
    <col min="14816" max="14816" width="9.109375" style="7001"/>
    <col min="14817" max="14817" width="9.44140625" style="7001" customWidth="1"/>
    <col min="14818" max="14818" width="14.88671875" style="7001" customWidth="1"/>
    <col min="14819" max="14820" width="15.88671875" style="7001" customWidth="1"/>
    <col min="14821" max="14821" width="11.109375" style="7001" bestFit="1" customWidth="1"/>
    <col min="14822" max="15070" width="9.109375" style="7001"/>
    <col min="15071" max="15071" width="32.88671875" style="7001" customWidth="1"/>
    <col min="15072" max="15072" width="9.109375" style="7001"/>
    <col min="15073" max="15073" width="9.44140625" style="7001" customWidth="1"/>
    <col min="15074" max="15074" width="14.88671875" style="7001" customWidth="1"/>
    <col min="15075" max="15076" width="15.88671875" style="7001" customWidth="1"/>
    <col min="15077" max="15077" width="11.109375" style="7001" bestFit="1" customWidth="1"/>
    <col min="15078" max="15326" width="9.109375" style="7001"/>
    <col min="15327" max="15327" width="32.88671875" style="7001" customWidth="1"/>
    <col min="15328" max="15328" width="9.109375" style="7001"/>
    <col min="15329" max="15329" width="9.44140625" style="7001" customWidth="1"/>
    <col min="15330" max="15330" width="14.88671875" style="7001" customWidth="1"/>
    <col min="15331" max="15332" width="15.88671875" style="7001" customWidth="1"/>
    <col min="15333" max="15333" width="11.109375" style="7001" bestFit="1" customWidth="1"/>
    <col min="15334" max="15582" width="9.109375" style="7001"/>
    <col min="15583" max="15583" width="32.88671875" style="7001" customWidth="1"/>
    <col min="15584" max="15584" width="9.109375" style="7001"/>
    <col min="15585" max="15585" width="9.44140625" style="7001" customWidth="1"/>
    <col min="15586" max="15586" width="14.88671875" style="7001" customWidth="1"/>
    <col min="15587" max="15588" width="15.88671875" style="7001" customWidth="1"/>
    <col min="15589" max="15589" width="11.109375" style="7001" bestFit="1" customWidth="1"/>
    <col min="15590" max="15838" width="9.109375" style="7001"/>
    <col min="15839" max="15839" width="32.88671875" style="7001" customWidth="1"/>
    <col min="15840" max="15840" width="9.109375" style="7001"/>
    <col min="15841" max="15841" width="9.44140625" style="7001" customWidth="1"/>
    <col min="15842" max="15842" width="14.88671875" style="7001" customWidth="1"/>
    <col min="15843" max="15844" width="15.88671875" style="7001" customWidth="1"/>
    <col min="15845" max="15845" width="11.109375" style="7001" bestFit="1" customWidth="1"/>
    <col min="15846" max="16094" width="9.109375" style="7001"/>
    <col min="16095" max="16095" width="32.88671875" style="7001" customWidth="1"/>
    <col min="16096" max="16096" width="9.109375" style="7001"/>
    <col min="16097" max="16097" width="9.44140625" style="7001" customWidth="1"/>
    <col min="16098" max="16098" width="14.88671875" style="7001" customWidth="1"/>
    <col min="16099" max="16100" width="15.88671875" style="7001" customWidth="1"/>
    <col min="16101" max="16101" width="11.109375" style="7001" bestFit="1" customWidth="1"/>
    <col min="16102" max="16384" width="9.109375" style="7001"/>
  </cols>
  <sheetData>
    <row r="1" spans="1:9" ht="12.9" customHeight="1">
      <c r="A1" s="14395" t="s">
        <v>1087</v>
      </c>
      <c r="B1" s="14395"/>
      <c r="C1" s="14395"/>
      <c r="D1" s="14395"/>
      <c r="E1" s="14395"/>
      <c r="F1" s="14395"/>
    </row>
    <row r="2" spans="1:9" ht="12.9" customHeight="1">
      <c r="A2" s="7162"/>
    </row>
    <row r="3" spans="1:9" s="7165" customFormat="1" ht="12.9" customHeight="1">
      <c r="A3" s="7163" t="s">
        <v>1219</v>
      </c>
    </row>
    <row r="4" spans="1:9" s="7165" customFormat="1" ht="12.9" customHeight="1" thickBot="1">
      <c r="A4" s="7163"/>
    </row>
    <row r="5" spans="1:9" ht="12.9" customHeight="1">
      <c r="A5" s="9675" t="s">
        <v>842</v>
      </c>
      <c r="B5" s="10713" t="s">
        <v>1035</v>
      </c>
      <c r="C5" s="10713" t="s">
        <v>1036</v>
      </c>
      <c r="D5" s="14393" t="s">
        <v>1037</v>
      </c>
      <c r="E5" s="14393"/>
      <c r="F5" s="14394"/>
    </row>
    <row r="6" spans="1:9" ht="12.9" customHeight="1" thickBot="1">
      <c r="A6" s="9679" t="s">
        <v>1088</v>
      </c>
      <c r="B6" s="7182" t="s">
        <v>9</v>
      </c>
      <c r="C6" s="7182" t="s">
        <v>1039</v>
      </c>
      <c r="D6" s="9680" t="s">
        <v>10</v>
      </c>
      <c r="E6" s="7182" t="s">
        <v>11</v>
      </c>
      <c r="F6" s="9681" t="s">
        <v>11621</v>
      </c>
    </row>
    <row r="7" spans="1:9" ht="12.9" customHeight="1">
      <c r="A7" s="9682" t="s">
        <v>806</v>
      </c>
      <c r="B7" s="9666"/>
      <c r="C7" s="7172"/>
      <c r="D7" s="9666"/>
      <c r="E7" s="7172"/>
      <c r="F7" s="7241"/>
    </row>
    <row r="8" spans="1:9" ht="12.9" customHeight="1">
      <c r="A8" s="9682"/>
      <c r="B8" s="7172"/>
      <c r="C8" s="7172"/>
      <c r="D8" s="7172"/>
      <c r="E8" s="7172"/>
      <c r="F8" s="7241"/>
    </row>
    <row r="9" spans="1:9" ht="12.9" customHeight="1">
      <c r="A9" s="6230" t="s">
        <v>1089</v>
      </c>
      <c r="B9" s="7174"/>
      <c r="C9" s="7174"/>
      <c r="D9" s="7174"/>
      <c r="E9" s="7174"/>
      <c r="F9" s="7242"/>
    </row>
    <row r="10" spans="1:9" ht="12.9" customHeight="1">
      <c r="A10" s="7231" t="s">
        <v>1195</v>
      </c>
      <c r="B10" s="7172">
        <v>0</v>
      </c>
      <c r="C10" s="7172">
        <v>26</v>
      </c>
      <c r="D10" s="7178">
        <v>947520</v>
      </c>
      <c r="E10" s="7178">
        <v>0</v>
      </c>
      <c r="F10" s="7246">
        <v>0</v>
      </c>
    </row>
    <row r="11" spans="1:9" ht="12.9" customHeight="1">
      <c r="A11" s="7231" t="s">
        <v>1220</v>
      </c>
      <c r="B11" s="7172">
        <v>1</v>
      </c>
      <c r="C11" s="7172">
        <v>24</v>
      </c>
      <c r="D11" s="7177">
        <v>772992</v>
      </c>
      <c r="E11" s="7177">
        <v>892764</v>
      </c>
      <c r="F11" s="7245">
        <v>1017204</v>
      </c>
      <c r="G11" s="7164">
        <f>F11/12</f>
        <v>84767</v>
      </c>
      <c r="H11" s="7001">
        <f>SUM(B10:B11)</f>
        <v>1</v>
      </c>
      <c r="I11" s="7164">
        <f>SUM(F10:F11)</f>
        <v>1017204</v>
      </c>
    </row>
    <row r="12" spans="1:9" ht="12.9" customHeight="1">
      <c r="A12" s="7231"/>
      <c r="B12" s="7172"/>
      <c r="C12" s="7172"/>
      <c r="D12" s="7177"/>
      <c r="E12" s="7177"/>
      <c r="F12" s="7245"/>
      <c r="G12" s="7164">
        <f t="shared" ref="G12:G52" si="0">F12/12</f>
        <v>0</v>
      </c>
    </row>
    <row r="13" spans="1:9" ht="12.9" customHeight="1">
      <c r="A13" s="6230" t="s">
        <v>1091</v>
      </c>
      <c r="B13" s="7174"/>
      <c r="C13" s="7174"/>
      <c r="D13" s="7177"/>
      <c r="E13" s="7177"/>
      <c r="F13" s="7245"/>
      <c r="G13" s="7164">
        <f t="shared" si="0"/>
        <v>0</v>
      </c>
    </row>
    <row r="14" spans="1:9" ht="12.9" customHeight="1">
      <c r="A14" s="6230" t="s">
        <v>1092</v>
      </c>
      <c r="B14" s="7174"/>
      <c r="C14" s="7174"/>
      <c r="D14" s="7177"/>
      <c r="E14" s="7177"/>
      <c r="F14" s="7245"/>
      <c r="G14" s="7164">
        <f t="shared" si="0"/>
        <v>0</v>
      </c>
    </row>
    <row r="15" spans="1:9" ht="12.9" customHeight="1">
      <c r="A15" s="7231" t="s">
        <v>1221</v>
      </c>
      <c r="B15" s="7172">
        <v>1</v>
      </c>
      <c r="C15" s="7172">
        <v>22</v>
      </c>
      <c r="D15" s="7177">
        <v>687096</v>
      </c>
      <c r="E15" s="7177">
        <v>781944</v>
      </c>
      <c r="F15" s="7245">
        <v>877884</v>
      </c>
      <c r="G15" s="7164">
        <f t="shared" si="0"/>
        <v>73157</v>
      </c>
    </row>
    <row r="16" spans="1:9" ht="12.9" customHeight="1">
      <c r="A16" s="7231" t="s">
        <v>1222</v>
      </c>
      <c r="B16" s="7172">
        <v>1</v>
      </c>
      <c r="C16" s="7172">
        <v>19</v>
      </c>
      <c r="D16" s="7177">
        <v>469812</v>
      </c>
      <c r="E16" s="7177">
        <v>512760</v>
      </c>
      <c r="F16" s="7245">
        <v>552096</v>
      </c>
      <c r="G16" s="7164">
        <f t="shared" si="0"/>
        <v>46008</v>
      </c>
    </row>
    <row r="17" spans="1:9" ht="12.9" customHeight="1">
      <c r="A17" s="7231" t="s">
        <v>1223</v>
      </c>
      <c r="B17" s="7172">
        <v>3</v>
      </c>
      <c r="C17" s="7172">
        <v>16</v>
      </c>
      <c r="D17" s="7177">
        <v>1467528</v>
      </c>
      <c r="E17" s="7177">
        <v>1552368</v>
      </c>
      <c r="F17" s="7245">
        <v>1244328</v>
      </c>
      <c r="G17" s="7164">
        <f t="shared" si="0"/>
        <v>103694</v>
      </c>
    </row>
    <row r="18" spans="1:9" ht="12.9" hidden="1" customHeight="1">
      <c r="A18" s="7231" t="s">
        <v>1203</v>
      </c>
      <c r="B18" s="7172">
        <v>0</v>
      </c>
      <c r="C18" s="7172">
        <v>12</v>
      </c>
      <c r="D18" s="7177">
        <v>0</v>
      </c>
      <c r="E18" s="7177">
        <v>0</v>
      </c>
      <c r="F18" s="7245">
        <v>0</v>
      </c>
      <c r="G18" s="7164">
        <f t="shared" si="0"/>
        <v>0</v>
      </c>
    </row>
    <row r="19" spans="1:9" ht="12.9" customHeight="1">
      <c r="A19" s="7231"/>
      <c r="B19" s="7172"/>
      <c r="C19" s="7172"/>
      <c r="D19" s="7177"/>
      <c r="E19" s="7177"/>
      <c r="F19" s="7245"/>
      <c r="G19" s="7164">
        <f t="shared" si="0"/>
        <v>0</v>
      </c>
      <c r="H19" s="7001">
        <f>SUM(B15:B18)</f>
        <v>5</v>
      </c>
      <c r="I19" s="7164">
        <f>SUM(F15:F18)</f>
        <v>2674308</v>
      </c>
    </row>
    <row r="20" spans="1:9" ht="12.9" customHeight="1">
      <c r="A20" s="6230" t="s">
        <v>1224</v>
      </c>
      <c r="B20" s="7172"/>
      <c r="C20" s="7172"/>
      <c r="D20" s="7177"/>
      <c r="E20" s="7177"/>
      <c r="F20" s="7245"/>
      <c r="G20" s="7164">
        <f t="shared" si="0"/>
        <v>0</v>
      </c>
    </row>
    <row r="21" spans="1:9" ht="12.9" hidden="1" customHeight="1">
      <c r="A21" s="7231" t="s">
        <v>1225</v>
      </c>
      <c r="B21" s="7172">
        <v>0</v>
      </c>
      <c r="C21" s="7172">
        <v>11</v>
      </c>
      <c r="D21" s="7177"/>
      <c r="E21" s="7177"/>
      <c r="F21" s="7245"/>
      <c r="G21" s="7164">
        <f t="shared" si="0"/>
        <v>0</v>
      </c>
    </row>
    <row r="22" spans="1:9" ht="12.9" hidden="1" customHeight="1">
      <c r="A22" s="7231" t="s">
        <v>1226</v>
      </c>
      <c r="B22" s="7172">
        <v>0</v>
      </c>
      <c r="C22" s="7172">
        <v>8</v>
      </c>
      <c r="D22" s="7177"/>
      <c r="E22" s="7177"/>
      <c r="F22" s="7245"/>
      <c r="G22" s="7164">
        <f t="shared" si="0"/>
        <v>0</v>
      </c>
    </row>
    <row r="23" spans="1:9" ht="12.9" hidden="1" customHeight="1">
      <c r="A23" s="7231" t="s">
        <v>1227</v>
      </c>
      <c r="B23" s="7172">
        <v>0</v>
      </c>
      <c r="C23" s="7172">
        <v>5</v>
      </c>
      <c r="D23" s="7177"/>
      <c r="E23" s="7177"/>
      <c r="F23" s="7245"/>
      <c r="G23" s="7164">
        <f t="shared" si="0"/>
        <v>0</v>
      </c>
    </row>
    <row r="24" spans="1:9" ht="12.9" hidden="1" customHeight="1">
      <c r="A24" s="7231" t="s">
        <v>1228</v>
      </c>
      <c r="B24" s="7172">
        <v>0</v>
      </c>
      <c r="C24" s="7172">
        <v>3</v>
      </c>
      <c r="D24" s="7177"/>
      <c r="E24" s="7177"/>
      <c r="F24" s="7245"/>
      <c r="G24" s="7164">
        <f t="shared" si="0"/>
        <v>0</v>
      </c>
    </row>
    <row r="25" spans="1:9" ht="12.9" customHeight="1">
      <c r="A25" s="7231" t="s">
        <v>1229</v>
      </c>
      <c r="B25" s="7172">
        <v>1</v>
      </c>
      <c r="C25" s="7172">
        <v>8</v>
      </c>
      <c r="D25" s="7177">
        <v>202836</v>
      </c>
      <c r="E25" s="7177">
        <v>208428</v>
      </c>
      <c r="F25" s="7245">
        <v>214176</v>
      </c>
      <c r="G25" s="7164">
        <f t="shared" si="0"/>
        <v>17848</v>
      </c>
    </row>
    <row r="26" spans="1:9" ht="12.9" customHeight="1">
      <c r="A26" s="7231" t="s">
        <v>1230</v>
      </c>
      <c r="B26" s="7172">
        <v>2</v>
      </c>
      <c r="C26" s="7172">
        <v>5</v>
      </c>
      <c r="D26" s="7177">
        <v>331176</v>
      </c>
      <c r="E26" s="7177">
        <v>342720</v>
      </c>
      <c r="F26" s="7245">
        <v>354648</v>
      </c>
      <c r="G26" s="7164">
        <f t="shared" si="0"/>
        <v>29554</v>
      </c>
    </row>
    <row r="27" spans="1:9" ht="12.9" customHeight="1">
      <c r="A27" s="7231" t="s">
        <v>1231</v>
      </c>
      <c r="B27" s="7172">
        <v>1</v>
      </c>
      <c r="C27" s="7172">
        <v>8</v>
      </c>
      <c r="D27" s="7177">
        <v>202836</v>
      </c>
      <c r="E27" s="7177">
        <v>208428</v>
      </c>
      <c r="F27" s="7245">
        <v>214176</v>
      </c>
      <c r="G27" s="7164">
        <f t="shared" si="0"/>
        <v>17848</v>
      </c>
    </row>
    <row r="28" spans="1:9" ht="12.9" hidden="1" customHeight="1">
      <c r="A28" s="7231" t="s">
        <v>1232</v>
      </c>
      <c r="B28" s="7172">
        <v>0</v>
      </c>
      <c r="C28" s="7172">
        <v>8</v>
      </c>
      <c r="D28" s="7178">
        <v>0</v>
      </c>
      <c r="E28" s="7178">
        <v>0</v>
      </c>
      <c r="F28" s="7246">
        <v>0</v>
      </c>
      <c r="G28" s="7164">
        <f t="shared" si="0"/>
        <v>0</v>
      </c>
    </row>
    <row r="29" spans="1:9" ht="12.9" customHeight="1">
      <c r="A29" s="7231" t="s">
        <v>1233</v>
      </c>
      <c r="B29" s="7172">
        <v>2</v>
      </c>
      <c r="C29" s="7172">
        <v>5</v>
      </c>
      <c r="D29" s="7177">
        <v>311400</v>
      </c>
      <c r="E29" s="7177">
        <v>327732</v>
      </c>
      <c r="F29" s="7245">
        <v>341352</v>
      </c>
      <c r="G29" s="7164">
        <f t="shared" si="0"/>
        <v>28446</v>
      </c>
    </row>
    <row r="30" spans="1:9" ht="12.9" customHeight="1">
      <c r="A30" s="7231" t="s">
        <v>1234</v>
      </c>
      <c r="B30" s="7172">
        <v>3</v>
      </c>
      <c r="C30" s="7172">
        <v>3</v>
      </c>
      <c r="D30" s="7177">
        <v>553872</v>
      </c>
      <c r="E30" s="7177">
        <v>581400</v>
      </c>
      <c r="F30" s="7245">
        <v>456888</v>
      </c>
      <c r="G30" s="7164">
        <f t="shared" si="0"/>
        <v>38074</v>
      </c>
    </row>
    <row r="31" spans="1:9" ht="12.9" customHeight="1">
      <c r="A31" s="7231" t="s">
        <v>1235</v>
      </c>
      <c r="B31" s="7172">
        <v>2</v>
      </c>
      <c r="C31" s="7172">
        <v>6</v>
      </c>
      <c r="D31" s="7177">
        <v>353544</v>
      </c>
      <c r="E31" s="7177">
        <v>182280</v>
      </c>
      <c r="F31" s="7245">
        <v>366132</v>
      </c>
      <c r="G31" s="7164">
        <f t="shared" si="0"/>
        <v>30511</v>
      </c>
    </row>
    <row r="32" spans="1:9" ht="12.9" customHeight="1">
      <c r="A32" s="7231" t="s">
        <v>1236</v>
      </c>
      <c r="B32" s="7172">
        <v>1</v>
      </c>
      <c r="C32" s="7172">
        <v>4</v>
      </c>
      <c r="D32" s="7177">
        <v>149760</v>
      </c>
      <c r="E32" s="7177">
        <v>155880</v>
      </c>
      <c r="F32" s="7245">
        <v>162252</v>
      </c>
      <c r="G32" s="7164">
        <f t="shared" si="0"/>
        <v>13521</v>
      </c>
    </row>
    <row r="33" spans="1:9" ht="12.9" customHeight="1">
      <c r="A33" s="7231" t="s">
        <v>1237</v>
      </c>
      <c r="B33" s="7172">
        <v>1</v>
      </c>
      <c r="C33" s="7172">
        <v>6</v>
      </c>
      <c r="D33" s="7177">
        <v>176772</v>
      </c>
      <c r="E33" s="7177">
        <v>182280</v>
      </c>
      <c r="F33" s="7245">
        <v>187968</v>
      </c>
      <c r="G33" s="7164">
        <f t="shared" si="0"/>
        <v>15664</v>
      </c>
    </row>
    <row r="34" spans="1:9" ht="12.9" hidden="1" customHeight="1">
      <c r="A34" s="7231" t="s">
        <v>1238</v>
      </c>
      <c r="B34" s="7172">
        <v>0</v>
      </c>
      <c r="C34" s="7172">
        <v>5</v>
      </c>
      <c r="D34" s="7177">
        <v>0</v>
      </c>
      <c r="E34" s="7177">
        <v>0</v>
      </c>
      <c r="F34" s="7245">
        <v>0</v>
      </c>
      <c r="G34" s="7164">
        <f t="shared" si="0"/>
        <v>0</v>
      </c>
    </row>
    <row r="35" spans="1:9" ht="12.9" customHeight="1">
      <c r="A35" s="7231" t="s">
        <v>1239</v>
      </c>
      <c r="B35" s="7172">
        <v>4</v>
      </c>
      <c r="C35" s="7172">
        <v>5</v>
      </c>
      <c r="D35" s="7177">
        <v>813708</v>
      </c>
      <c r="E35" s="7177">
        <v>671640</v>
      </c>
      <c r="F35" s="7245">
        <v>698616</v>
      </c>
      <c r="G35" s="7164">
        <f t="shared" si="0"/>
        <v>58218</v>
      </c>
    </row>
    <row r="36" spans="1:9" ht="12.9" customHeight="1">
      <c r="A36" s="7231" t="s">
        <v>1380</v>
      </c>
      <c r="B36" s="9403">
        <v>1</v>
      </c>
      <c r="C36" s="9403">
        <v>4</v>
      </c>
      <c r="D36" s="7177">
        <v>0</v>
      </c>
      <c r="E36" s="7177">
        <v>0</v>
      </c>
      <c r="F36" s="9948">
        <v>158568</v>
      </c>
      <c r="G36" s="7164">
        <f t="shared" si="0"/>
        <v>13214</v>
      </c>
    </row>
    <row r="37" spans="1:9" ht="12.9" customHeight="1">
      <c r="A37" s="7231" t="s">
        <v>1240</v>
      </c>
      <c r="B37" s="7172">
        <v>2</v>
      </c>
      <c r="C37" s="7172">
        <v>4</v>
      </c>
      <c r="D37" s="7177">
        <v>308892</v>
      </c>
      <c r="E37" s="7177">
        <v>320868</v>
      </c>
      <c r="F37" s="7245">
        <v>334584</v>
      </c>
      <c r="G37" s="7164">
        <f t="shared" si="0"/>
        <v>27882</v>
      </c>
    </row>
    <row r="38" spans="1:9" ht="12.9" customHeight="1">
      <c r="A38" s="7231" t="s">
        <v>1209</v>
      </c>
      <c r="B38" s="7172">
        <v>1</v>
      </c>
      <c r="C38" s="7172">
        <v>3</v>
      </c>
      <c r="D38" s="7177">
        <v>283116</v>
      </c>
      <c r="E38" s="7177">
        <v>295548</v>
      </c>
      <c r="F38" s="7245">
        <v>156624</v>
      </c>
      <c r="G38" s="7164">
        <f t="shared" si="0"/>
        <v>13052</v>
      </c>
    </row>
    <row r="39" spans="1:9" ht="12.9" customHeight="1">
      <c r="A39" s="7231" t="s">
        <v>1241</v>
      </c>
      <c r="B39" s="7172">
        <v>6</v>
      </c>
      <c r="C39" s="7172">
        <v>2</v>
      </c>
      <c r="D39" s="7177">
        <v>531624</v>
      </c>
      <c r="E39" s="7177">
        <v>542856</v>
      </c>
      <c r="F39" s="7245">
        <v>862176</v>
      </c>
      <c r="G39" s="7164">
        <f t="shared" si="0"/>
        <v>71848</v>
      </c>
    </row>
    <row r="40" spans="1:9" ht="12.9" customHeight="1">
      <c r="A40" s="7231"/>
      <c r="B40" s="7172"/>
      <c r="C40" s="7172"/>
      <c r="D40" s="7177"/>
      <c r="E40" s="7177"/>
      <c r="F40" s="7245"/>
      <c r="G40" s="7164">
        <f t="shared" si="0"/>
        <v>0</v>
      </c>
      <c r="H40" s="7001">
        <f>SUM(B25:B39)</f>
        <v>27</v>
      </c>
      <c r="I40" s="7164">
        <f>SUM(F25:F39)</f>
        <v>4508160</v>
      </c>
    </row>
    <row r="41" spans="1:9" ht="12.9" customHeight="1">
      <c r="A41" s="6230" t="s">
        <v>1094</v>
      </c>
      <c r="B41" s="7174"/>
      <c r="C41" s="7174"/>
      <c r="D41" s="7174"/>
      <c r="E41" s="7174"/>
      <c r="F41" s="7242"/>
      <c r="G41" s="7164">
        <f t="shared" si="0"/>
        <v>0</v>
      </c>
    </row>
    <row r="42" spans="1:9" ht="12.9" customHeight="1">
      <c r="A42" s="13975"/>
      <c r="B42" s="13974"/>
      <c r="C42" s="13974"/>
      <c r="D42" s="13976"/>
      <c r="E42" s="13976"/>
      <c r="F42" s="13977"/>
      <c r="G42" s="7164">
        <f>F42/12</f>
        <v>0</v>
      </c>
    </row>
    <row r="43" spans="1:9" ht="12.9" customHeight="1">
      <c r="A43" s="7231" t="s">
        <v>1182</v>
      </c>
      <c r="B43" s="7172">
        <v>1</v>
      </c>
      <c r="C43" s="7172">
        <v>18</v>
      </c>
      <c r="D43" s="7177">
        <v>453948</v>
      </c>
      <c r="E43" s="7177">
        <v>491040</v>
      </c>
      <c r="F43" s="7245">
        <v>525024</v>
      </c>
      <c r="G43" s="7164">
        <f t="shared" si="0"/>
        <v>43752</v>
      </c>
    </row>
    <row r="44" spans="1:9" ht="12.9" customHeight="1">
      <c r="A44" s="7231" t="s">
        <v>1242</v>
      </c>
      <c r="B44" s="7172">
        <v>1</v>
      </c>
      <c r="C44" s="7172">
        <v>14</v>
      </c>
      <c r="D44" s="7177">
        <v>0</v>
      </c>
      <c r="E44" s="7177">
        <v>0</v>
      </c>
      <c r="F44" s="7245">
        <v>341364</v>
      </c>
      <c r="G44" s="7164">
        <f t="shared" si="0"/>
        <v>28447</v>
      </c>
    </row>
    <row r="45" spans="1:9" ht="12.9" customHeight="1">
      <c r="A45" s="7231" t="s">
        <v>1243</v>
      </c>
      <c r="B45" s="7172">
        <v>1</v>
      </c>
      <c r="C45" s="7172">
        <v>10</v>
      </c>
      <c r="D45" s="7177">
        <v>220620</v>
      </c>
      <c r="E45" s="7177">
        <v>228576</v>
      </c>
      <c r="F45" s="7245">
        <v>234672</v>
      </c>
      <c r="G45" s="7164">
        <f t="shared" si="0"/>
        <v>19556</v>
      </c>
    </row>
    <row r="46" spans="1:9" ht="12.9" customHeight="1">
      <c r="A46" s="7231" t="s">
        <v>12047</v>
      </c>
      <c r="B46" s="7172">
        <v>1</v>
      </c>
      <c r="C46" s="7172">
        <v>9</v>
      </c>
      <c r="D46" s="7177">
        <v>205704</v>
      </c>
      <c r="E46" s="7177">
        <v>213372</v>
      </c>
      <c r="F46" s="7245">
        <v>219324</v>
      </c>
      <c r="G46" s="7164">
        <f t="shared" si="0"/>
        <v>18277</v>
      </c>
    </row>
    <row r="47" spans="1:9" ht="12.9" hidden="1" customHeight="1">
      <c r="A47" s="7231" t="s">
        <v>10402</v>
      </c>
      <c r="B47" s="7172">
        <v>0</v>
      </c>
      <c r="C47" s="7172">
        <v>8</v>
      </c>
      <c r="D47" s="7177">
        <v>0</v>
      </c>
      <c r="E47" s="7177">
        <v>0</v>
      </c>
      <c r="F47" s="7245">
        <v>0</v>
      </c>
      <c r="G47" s="7164">
        <f t="shared" si="0"/>
        <v>0</v>
      </c>
    </row>
    <row r="48" spans="1:9" ht="12.9" customHeight="1">
      <c r="A48" s="7231" t="s">
        <v>1187</v>
      </c>
      <c r="B48" s="7172">
        <v>7</v>
      </c>
      <c r="C48" s="7172">
        <v>6</v>
      </c>
      <c r="D48" s="9730">
        <v>1557432</v>
      </c>
      <c r="E48" s="9730">
        <v>1428888</v>
      </c>
      <c r="F48" s="9731">
        <v>1290384</v>
      </c>
      <c r="G48" s="7164">
        <f t="shared" si="0"/>
        <v>107532</v>
      </c>
    </row>
    <row r="49" spans="1:9" ht="12.9" customHeight="1">
      <c r="A49" s="7231" t="s">
        <v>1188</v>
      </c>
      <c r="B49" s="7172">
        <v>3</v>
      </c>
      <c r="C49" s="7172">
        <v>4</v>
      </c>
      <c r="D49" s="9730">
        <v>452076</v>
      </c>
      <c r="E49" s="9730">
        <v>471588</v>
      </c>
      <c r="F49" s="9731">
        <v>491832</v>
      </c>
      <c r="G49" s="7164">
        <f t="shared" si="0"/>
        <v>40986</v>
      </c>
    </row>
    <row r="50" spans="1:9" ht="12.9" customHeight="1">
      <c r="A50" s="7231" t="s">
        <v>1244</v>
      </c>
      <c r="B50" s="7172">
        <v>5</v>
      </c>
      <c r="C50" s="7172">
        <v>3</v>
      </c>
      <c r="D50" s="9730">
        <v>566352</v>
      </c>
      <c r="E50" s="9730">
        <v>734160</v>
      </c>
      <c r="F50" s="9731">
        <v>769032</v>
      </c>
      <c r="G50" s="7164">
        <f t="shared" si="0"/>
        <v>64086</v>
      </c>
    </row>
    <row r="51" spans="1:9" ht="12.9" customHeight="1">
      <c r="A51" s="7231" t="s">
        <v>1190</v>
      </c>
      <c r="B51" s="7172">
        <v>2</v>
      </c>
      <c r="C51" s="7172">
        <v>2</v>
      </c>
      <c r="D51" s="9730">
        <v>266412</v>
      </c>
      <c r="E51" s="9730">
        <v>279000</v>
      </c>
      <c r="F51" s="9731">
        <v>293292</v>
      </c>
      <c r="G51" s="7164">
        <f t="shared" si="0"/>
        <v>24441</v>
      </c>
    </row>
    <row r="52" spans="1:9" ht="12.9" customHeight="1">
      <c r="A52" s="7231" t="s">
        <v>1245</v>
      </c>
      <c r="B52" s="7172">
        <v>15</v>
      </c>
      <c r="C52" s="7172">
        <v>1</v>
      </c>
      <c r="D52" s="9730">
        <v>1881132</v>
      </c>
      <c r="E52" s="9730">
        <v>1830192</v>
      </c>
      <c r="F52" s="9731">
        <v>2060268</v>
      </c>
      <c r="G52" s="7164">
        <f t="shared" si="0"/>
        <v>171689</v>
      </c>
    </row>
    <row r="53" spans="1:9" ht="12.9" customHeight="1">
      <c r="A53" s="7231"/>
      <c r="B53" s="9683"/>
      <c r="C53" s="9683"/>
      <c r="D53" s="9732"/>
      <c r="E53" s="9732"/>
      <c r="F53" s="9733"/>
    </row>
    <row r="54" spans="1:9" s="7165" customFormat="1" ht="12.9" customHeight="1">
      <c r="A54" s="7209" t="s">
        <v>1098</v>
      </c>
      <c r="B54" s="9613">
        <f>SUM(B10:B52)</f>
        <v>69</v>
      </c>
      <c r="C54" s="9674"/>
      <c r="D54" s="9668">
        <f>SUM(D7:D52)</f>
        <v>14168160</v>
      </c>
      <c r="E54" s="9668">
        <f>SUM(E7:E52)</f>
        <v>13436712</v>
      </c>
      <c r="F54" s="9669">
        <f>SUM(F7:F52)</f>
        <v>14424864</v>
      </c>
      <c r="G54" s="7198">
        <f>F54/12</f>
        <v>1202072</v>
      </c>
      <c r="H54" s="7165">
        <f>SUM(B42:B52)</f>
        <v>36</v>
      </c>
      <c r="I54" s="7198">
        <f>SUM(F42:F52)</f>
        <v>6225192</v>
      </c>
    </row>
    <row r="55" spans="1:9" ht="12.9" customHeight="1">
      <c r="A55" s="6230"/>
      <c r="B55" s="10750"/>
      <c r="C55" s="10751"/>
      <c r="D55" s="10755"/>
      <c r="E55" s="10755"/>
      <c r="F55" s="7243"/>
    </row>
    <row r="56" spans="1:9" ht="12.9" customHeight="1">
      <c r="A56" s="7231" t="s">
        <v>1099</v>
      </c>
      <c r="B56" s="10750" t="s">
        <v>9</v>
      </c>
      <c r="C56" s="10751"/>
      <c r="D56" s="10751"/>
      <c r="E56" s="10751"/>
      <c r="F56" s="7242"/>
    </row>
    <row r="57" spans="1:9" ht="12.9" customHeight="1">
      <c r="A57" s="7231"/>
      <c r="B57" s="10750"/>
      <c r="C57" s="10751"/>
      <c r="D57" s="10751"/>
      <c r="E57" s="10751"/>
      <c r="F57" s="7242"/>
    </row>
    <row r="58" spans="1:9" ht="12.9" customHeight="1">
      <c r="A58" s="7231" t="s">
        <v>10147</v>
      </c>
      <c r="B58" s="7172">
        <v>1</v>
      </c>
      <c r="C58" s="7172">
        <v>26</v>
      </c>
      <c r="D58" s="7177">
        <v>0</v>
      </c>
      <c r="E58" s="7177">
        <v>1105296</v>
      </c>
      <c r="F58" s="7245">
        <v>1289328</v>
      </c>
      <c r="H58" s="7164">
        <f>F58/12</f>
        <v>107444</v>
      </c>
    </row>
    <row r="59" spans="1:9" ht="12.9" hidden="1" customHeight="1">
      <c r="A59" s="7231" t="s">
        <v>1200</v>
      </c>
      <c r="B59" s="7172">
        <v>0</v>
      </c>
      <c r="C59" s="7172">
        <v>16</v>
      </c>
      <c r="D59" s="7178">
        <v>0</v>
      </c>
      <c r="E59" s="7178">
        <v>0</v>
      </c>
      <c r="F59" s="7246">
        <v>0</v>
      </c>
      <c r="H59" s="7164">
        <f t="shared" ref="H59:H79" si="1">F59/12</f>
        <v>0</v>
      </c>
    </row>
    <row r="60" spans="1:9" ht="12.9" hidden="1" customHeight="1">
      <c r="A60" s="7231" t="s">
        <v>1443</v>
      </c>
      <c r="B60" s="7172">
        <v>0</v>
      </c>
      <c r="C60" s="7172">
        <v>10</v>
      </c>
      <c r="D60" s="7177"/>
      <c r="E60" s="7177"/>
      <c r="F60" s="7245"/>
      <c r="H60" s="7164">
        <f t="shared" si="1"/>
        <v>0</v>
      </c>
    </row>
    <row r="61" spans="1:9" ht="12.9" hidden="1" customHeight="1">
      <c r="A61" s="7231" t="s">
        <v>1220</v>
      </c>
      <c r="B61" s="7172">
        <v>0</v>
      </c>
      <c r="C61" s="7172">
        <v>24</v>
      </c>
      <c r="D61" s="9608"/>
      <c r="E61" s="9608"/>
      <c r="F61" s="9948">
        <v>0</v>
      </c>
      <c r="H61" s="7164"/>
    </row>
    <row r="62" spans="1:9" ht="12.9" customHeight="1">
      <c r="A62" s="7231" t="s">
        <v>9</v>
      </c>
      <c r="B62" s="7172">
        <v>1</v>
      </c>
      <c r="C62" s="7172">
        <v>22</v>
      </c>
      <c r="D62" s="7177">
        <v>668712</v>
      </c>
      <c r="E62" s="7177">
        <v>759024</v>
      </c>
      <c r="F62" s="7245">
        <v>849924</v>
      </c>
      <c r="G62" s="13961" t="s">
        <v>12268</v>
      </c>
      <c r="H62" s="7164"/>
    </row>
    <row r="63" spans="1:9" ht="12.9" customHeight="1">
      <c r="A63" s="7231" t="s">
        <v>1096</v>
      </c>
      <c r="B63" s="7172">
        <v>1</v>
      </c>
      <c r="C63" s="7172">
        <v>8</v>
      </c>
      <c r="D63" s="7177">
        <v>189816</v>
      </c>
      <c r="E63" s="7177">
        <v>195384</v>
      </c>
      <c r="F63" s="7245">
        <v>201096</v>
      </c>
      <c r="H63" s="7164">
        <f t="shared" si="1"/>
        <v>16758</v>
      </c>
    </row>
    <row r="64" spans="1:9" ht="12.9" customHeight="1">
      <c r="A64" s="7231" t="s">
        <v>1232</v>
      </c>
      <c r="B64" s="7172">
        <v>0</v>
      </c>
      <c r="C64" s="7172">
        <v>8</v>
      </c>
      <c r="D64" s="7177">
        <v>189816</v>
      </c>
      <c r="E64" s="7177">
        <v>0</v>
      </c>
      <c r="F64" s="7245">
        <v>0</v>
      </c>
      <c r="H64" s="7164">
        <f t="shared" si="1"/>
        <v>0</v>
      </c>
    </row>
    <row r="65" spans="1:8" ht="12.9" customHeight="1">
      <c r="A65" s="7231" t="s">
        <v>1235</v>
      </c>
      <c r="B65" s="7172">
        <v>0</v>
      </c>
      <c r="C65" s="7172">
        <v>6</v>
      </c>
      <c r="D65" s="7178">
        <v>0</v>
      </c>
      <c r="E65" s="7178">
        <v>172080</v>
      </c>
      <c r="F65" s="7245">
        <v>0</v>
      </c>
      <c r="H65" s="7164">
        <f t="shared" si="1"/>
        <v>0</v>
      </c>
    </row>
    <row r="66" spans="1:8" ht="12.9" hidden="1" customHeight="1">
      <c r="A66" s="7231" t="s">
        <v>7228</v>
      </c>
      <c r="B66" s="7172">
        <v>0</v>
      </c>
      <c r="C66" s="7172">
        <v>5</v>
      </c>
      <c r="D66" s="7177">
        <v>0</v>
      </c>
      <c r="E66" s="7177">
        <v>0</v>
      </c>
      <c r="F66" s="7245">
        <v>0</v>
      </c>
      <c r="H66" s="7164">
        <f t="shared" si="1"/>
        <v>0</v>
      </c>
    </row>
    <row r="67" spans="1:8" ht="12.9" hidden="1" customHeight="1">
      <c r="A67" s="7231" t="s">
        <v>1246</v>
      </c>
      <c r="B67" s="7172">
        <v>0</v>
      </c>
      <c r="C67" s="7172">
        <v>5</v>
      </c>
      <c r="D67" s="7177"/>
      <c r="E67" s="7177"/>
      <c r="F67" s="7245"/>
      <c r="H67" s="7164">
        <f t="shared" si="1"/>
        <v>0</v>
      </c>
    </row>
    <row r="68" spans="1:8" ht="12.9" hidden="1" customHeight="1">
      <c r="A68" s="7231" t="s">
        <v>1248</v>
      </c>
      <c r="B68" s="7172">
        <v>0</v>
      </c>
      <c r="C68" s="7172">
        <v>5</v>
      </c>
      <c r="D68" s="7177">
        <v>0</v>
      </c>
      <c r="E68" s="7177">
        <v>0</v>
      </c>
      <c r="F68" s="7245">
        <v>0</v>
      </c>
      <c r="H68" s="7164">
        <f t="shared" si="1"/>
        <v>0</v>
      </c>
    </row>
    <row r="69" spans="1:8" ht="12.9" hidden="1" customHeight="1">
      <c r="A69" s="7231" t="s">
        <v>1302</v>
      </c>
      <c r="B69" s="7172">
        <v>0</v>
      </c>
      <c r="C69" s="7172">
        <v>4</v>
      </c>
      <c r="D69" s="7177">
        <v>0</v>
      </c>
      <c r="E69" s="7177">
        <v>0</v>
      </c>
      <c r="F69" s="7245">
        <v>0</v>
      </c>
      <c r="H69" s="7164">
        <f t="shared" si="1"/>
        <v>0</v>
      </c>
    </row>
    <row r="70" spans="1:8" ht="12.9" customHeight="1">
      <c r="A70" s="7231" t="s">
        <v>1097</v>
      </c>
      <c r="B70" s="7172">
        <v>1</v>
      </c>
      <c r="C70" s="7172">
        <v>6</v>
      </c>
      <c r="D70" s="7177">
        <v>0</v>
      </c>
      <c r="E70" s="7177">
        <v>0</v>
      </c>
      <c r="F70" s="7245">
        <v>178164</v>
      </c>
      <c r="H70" s="7164">
        <f>F70/12</f>
        <v>14847</v>
      </c>
    </row>
    <row r="71" spans="1:8" ht="12.9" customHeight="1">
      <c r="A71" s="7231" t="s">
        <v>1380</v>
      </c>
      <c r="B71" s="7172">
        <v>0</v>
      </c>
      <c r="C71" s="7172">
        <v>4</v>
      </c>
      <c r="D71" s="7177">
        <v>145860</v>
      </c>
      <c r="E71" s="7177">
        <v>152088</v>
      </c>
      <c r="F71" s="7245">
        <v>0</v>
      </c>
      <c r="H71" s="7164">
        <f t="shared" si="1"/>
        <v>0</v>
      </c>
    </row>
    <row r="72" spans="1:8" ht="12.9" hidden="1" customHeight="1">
      <c r="A72" s="7231" t="s">
        <v>1234</v>
      </c>
      <c r="B72" s="7172">
        <v>0</v>
      </c>
      <c r="C72" s="7172">
        <v>3</v>
      </c>
      <c r="D72" s="7177">
        <v>0</v>
      </c>
      <c r="E72" s="7177">
        <v>0</v>
      </c>
      <c r="F72" s="7245">
        <v>0</v>
      </c>
      <c r="H72" s="7164">
        <f t="shared" si="1"/>
        <v>0</v>
      </c>
    </row>
    <row r="73" spans="1:8" ht="12.9" hidden="1" customHeight="1">
      <c r="A73" s="7231" t="s">
        <v>1228</v>
      </c>
      <c r="B73" s="7172">
        <v>0</v>
      </c>
      <c r="C73" s="7172">
        <v>3</v>
      </c>
      <c r="D73" s="7177">
        <v>0</v>
      </c>
      <c r="E73" s="7177">
        <v>0</v>
      </c>
      <c r="F73" s="7245">
        <v>0</v>
      </c>
      <c r="H73" s="7164">
        <f t="shared" si="1"/>
        <v>0</v>
      </c>
    </row>
    <row r="74" spans="1:8" ht="12.9" hidden="1" customHeight="1">
      <c r="A74" s="7231" t="s">
        <v>10148</v>
      </c>
      <c r="B74" s="7172">
        <v>0</v>
      </c>
      <c r="C74" s="7172">
        <v>3</v>
      </c>
      <c r="D74" s="7177">
        <v>0</v>
      </c>
      <c r="E74" s="7177">
        <v>0</v>
      </c>
      <c r="F74" s="7245">
        <v>0</v>
      </c>
      <c r="H74" s="7164">
        <f t="shared" si="1"/>
        <v>0</v>
      </c>
    </row>
    <row r="75" spans="1:8" ht="12.9" hidden="1" customHeight="1">
      <c r="A75" s="7231" t="s">
        <v>10149</v>
      </c>
      <c r="B75" s="7172">
        <v>0</v>
      </c>
      <c r="C75" s="7172">
        <v>3</v>
      </c>
      <c r="D75" s="7177">
        <v>0</v>
      </c>
      <c r="E75" s="7177">
        <v>0</v>
      </c>
      <c r="F75" s="7245">
        <v>0</v>
      </c>
      <c r="H75" s="7164">
        <f t="shared" si="1"/>
        <v>0</v>
      </c>
    </row>
    <row r="76" spans="1:8" ht="12.9" customHeight="1">
      <c r="A76" s="7231" t="s">
        <v>1174</v>
      </c>
      <c r="B76" s="7172">
        <v>0</v>
      </c>
      <c r="C76" s="7172">
        <v>3</v>
      </c>
      <c r="D76" s="7177">
        <v>136644</v>
      </c>
      <c r="E76" s="7177">
        <v>0</v>
      </c>
      <c r="F76" s="7245">
        <v>0</v>
      </c>
      <c r="H76" s="7164">
        <f t="shared" si="1"/>
        <v>0</v>
      </c>
    </row>
    <row r="77" spans="1:8" ht="12.9" customHeight="1">
      <c r="A77" s="7231" t="s">
        <v>11646</v>
      </c>
      <c r="B77" s="9403">
        <v>1</v>
      </c>
      <c r="C77" s="9403">
        <v>3</v>
      </c>
      <c r="D77" s="7177">
        <v>0</v>
      </c>
      <c r="E77" s="7177">
        <v>0</v>
      </c>
      <c r="F77" s="9948">
        <v>149592</v>
      </c>
      <c r="H77" s="7164">
        <f t="shared" si="1"/>
        <v>12466</v>
      </c>
    </row>
    <row r="78" spans="1:8" ht="12.9" customHeight="1">
      <c r="A78" s="7231" t="s">
        <v>1241</v>
      </c>
      <c r="B78" s="7172">
        <v>0</v>
      </c>
      <c r="C78" s="7172">
        <v>2</v>
      </c>
      <c r="D78" s="7177">
        <v>256008</v>
      </c>
      <c r="E78" s="7177">
        <v>268800</v>
      </c>
      <c r="F78" s="7245">
        <v>0</v>
      </c>
      <c r="H78" s="7164">
        <f t="shared" si="1"/>
        <v>0</v>
      </c>
    </row>
    <row r="79" spans="1:8" ht="12.9" customHeight="1">
      <c r="A79" s="7231" t="s">
        <v>1158</v>
      </c>
      <c r="B79" s="7172">
        <v>12</v>
      </c>
      <c r="C79" s="7172">
        <v>1</v>
      </c>
      <c r="D79" s="7177">
        <v>0</v>
      </c>
      <c r="E79" s="7177">
        <v>504480</v>
      </c>
      <c r="F79" s="7245">
        <f>132816*B79</f>
        <v>1593792</v>
      </c>
      <c r="G79" s="13959" t="s">
        <v>12225</v>
      </c>
      <c r="H79" s="7164">
        <f t="shared" si="1"/>
        <v>132816</v>
      </c>
    </row>
    <row r="80" spans="1:8" s="7165" customFormat="1" ht="12.9" customHeight="1">
      <c r="A80" s="7209" t="s">
        <v>4774</v>
      </c>
      <c r="B80" s="9613">
        <f>SUM(B57:B79)</f>
        <v>17</v>
      </c>
      <c r="C80" s="9630"/>
      <c r="D80" s="9668">
        <f>SUM(D57:D79)</f>
        <v>1586856</v>
      </c>
      <c r="E80" s="9668">
        <f>SUM(E57:E79)</f>
        <v>3157152</v>
      </c>
      <c r="F80" s="9669">
        <f>SUM(F57:F79)</f>
        <v>4261896</v>
      </c>
      <c r="H80" s="7198">
        <f>F80/12</f>
        <v>355158</v>
      </c>
    </row>
    <row r="81" spans="1:8" ht="12.9" customHeight="1" thickBot="1">
      <c r="A81" s="9690"/>
      <c r="B81" s="7182"/>
      <c r="C81" s="7180"/>
      <c r="D81" s="9734"/>
      <c r="E81" s="9734"/>
      <c r="F81" s="9735"/>
    </row>
    <row r="82" spans="1:8" s="7165" customFormat="1" ht="12.9" customHeight="1" thickBot="1">
      <c r="A82" s="9717" t="s">
        <v>1101</v>
      </c>
      <c r="B82" s="10712">
        <f>SUM(B54+B80)</f>
        <v>86</v>
      </c>
      <c r="C82" s="10712"/>
      <c r="D82" s="9710">
        <f>SUM(D54+D80)</f>
        <v>15755016</v>
      </c>
      <c r="E82" s="9710">
        <f>SUM(E54+E80)</f>
        <v>16593864</v>
      </c>
      <c r="F82" s="9711">
        <f>SUM(F54+F80)</f>
        <v>18686760</v>
      </c>
      <c r="H82" s="7198">
        <f>F82-15191244</f>
        <v>3495516</v>
      </c>
    </row>
    <row r="83" spans="1:8" ht="12.9" customHeight="1">
      <c r="A83" s="10829"/>
      <c r="B83" s="10830"/>
      <c r="C83" s="10830"/>
      <c r="D83" s="10831"/>
      <c r="E83" s="10831"/>
      <c r="F83" s="10831"/>
    </row>
    <row r="84" spans="1:8" ht="12.9" customHeight="1">
      <c r="A84" s="7254"/>
      <c r="B84" s="7255"/>
      <c r="C84" s="7255"/>
      <c r="D84" s="10832"/>
      <c r="E84" s="10832"/>
      <c r="F84" s="10832"/>
    </row>
    <row r="85" spans="1:8" ht="12.9" customHeight="1">
      <c r="A85" s="7254"/>
      <c r="B85" s="7255"/>
      <c r="C85" s="7255"/>
      <c r="D85" s="10832"/>
      <c r="E85" s="10832"/>
      <c r="F85" s="10832"/>
    </row>
    <row r="86" spans="1:8" ht="12.9" customHeight="1">
      <c r="A86" s="7254"/>
      <c r="B86" s="7255"/>
      <c r="C86" s="7255"/>
      <c r="D86" s="10832"/>
      <c r="E86" s="10832"/>
      <c r="F86" s="10832"/>
    </row>
    <row r="87" spans="1:8" ht="12.9" customHeight="1" thickBot="1">
      <c r="A87" s="10819" t="s">
        <v>12048</v>
      </c>
      <c r="B87" s="10833"/>
      <c r="C87" s="10833"/>
      <c r="D87" s="10834"/>
      <c r="E87" s="10834"/>
      <c r="F87" s="10834"/>
    </row>
    <row r="88" spans="1:8" ht="12.9" customHeight="1">
      <c r="A88" s="9736" t="s">
        <v>1075</v>
      </c>
      <c r="B88" s="9666"/>
      <c r="C88" s="9666"/>
      <c r="D88" s="9720"/>
      <c r="E88" s="9720"/>
      <c r="F88" s="9721"/>
    </row>
    <row r="89" spans="1:8" ht="12.9" customHeight="1">
      <c r="A89" s="6230" t="s">
        <v>1102</v>
      </c>
      <c r="B89" s="8414"/>
      <c r="C89" s="8414"/>
      <c r="D89" s="8415"/>
      <c r="E89" s="8415"/>
      <c r="F89" s="7245"/>
    </row>
    <row r="90" spans="1:8" ht="12.9" customHeight="1">
      <c r="A90" s="6230"/>
      <c r="B90" s="8414"/>
      <c r="C90" s="8414"/>
      <c r="D90" s="8415"/>
      <c r="E90" s="8415"/>
      <c r="F90" s="7245"/>
    </row>
    <row r="91" spans="1:8" ht="12.9" customHeight="1">
      <c r="A91" s="7231" t="s">
        <v>1103</v>
      </c>
      <c r="B91" s="8414">
        <v>10</v>
      </c>
      <c r="C91" s="8414"/>
      <c r="D91" s="8415"/>
      <c r="E91" s="8415"/>
      <c r="F91" s="7245"/>
    </row>
    <row r="92" spans="1:8" ht="12.9" customHeight="1">
      <c r="A92" s="7231" t="s">
        <v>1078</v>
      </c>
      <c r="B92" s="8414"/>
      <c r="C92" s="8414"/>
      <c r="D92" s="8415"/>
      <c r="E92" s="8415"/>
      <c r="F92" s="7245"/>
    </row>
    <row r="93" spans="1:8" ht="12.9" customHeight="1">
      <c r="A93" s="7231" t="s">
        <v>1079</v>
      </c>
      <c r="B93" s="9403">
        <v>1</v>
      </c>
      <c r="C93" s="9403"/>
      <c r="D93" s="9608"/>
      <c r="E93" s="9608"/>
      <c r="F93" s="9948"/>
      <c r="G93" s="13961" t="s">
        <v>12251</v>
      </c>
    </row>
    <row r="94" spans="1:8" ht="12.9" customHeight="1">
      <c r="A94" s="7231" t="s">
        <v>10707</v>
      </c>
      <c r="B94" s="8414">
        <v>1</v>
      </c>
      <c r="C94" s="10751"/>
      <c r="D94" s="8415"/>
      <c r="E94" s="8415"/>
      <c r="F94" s="7245"/>
    </row>
    <row r="95" spans="1:8" ht="12.9" customHeight="1">
      <c r="A95" s="7231" t="s">
        <v>10697</v>
      </c>
      <c r="B95" s="8414">
        <v>3</v>
      </c>
      <c r="C95" s="10751"/>
      <c r="D95" s="8415"/>
      <c r="E95" s="8415"/>
      <c r="F95" s="7245"/>
      <c r="G95" s="13961" t="s">
        <v>12252</v>
      </c>
    </row>
    <row r="96" spans="1:8" ht="12.9" customHeight="1">
      <c r="A96" s="7231"/>
      <c r="B96" s="8414"/>
      <c r="C96" s="10751"/>
      <c r="D96" s="8415"/>
      <c r="E96" s="8415"/>
      <c r="F96" s="7245"/>
    </row>
    <row r="97" spans="1:6" ht="12.9" customHeight="1">
      <c r="A97" s="7231" t="s">
        <v>1080</v>
      </c>
      <c r="B97" s="10751"/>
      <c r="C97" s="10751"/>
      <c r="D97" s="8415"/>
      <c r="E97" s="8415"/>
      <c r="F97" s="7245"/>
    </row>
    <row r="98" spans="1:6" ht="12.9" customHeight="1">
      <c r="A98" s="7231" t="s">
        <v>1104</v>
      </c>
      <c r="B98" s="10751"/>
      <c r="C98" s="10751"/>
      <c r="D98" s="10751"/>
      <c r="E98" s="10751"/>
      <c r="F98" s="7242"/>
    </row>
    <row r="99" spans="1:6" ht="12.9" customHeight="1">
      <c r="A99" s="7231" t="s">
        <v>1105</v>
      </c>
      <c r="B99" s="10751"/>
      <c r="C99" s="10751"/>
      <c r="D99" s="10751"/>
      <c r="E99" s="10751"/>
      <c r="F99" s="7242"/>
    </row>
    <row r="100" spans="1:6" ht="12.9" customHeight="1">
      <c r="A100" s="7231"/>
      <c r="B100" s="10751"/>
      <c r="C100" s="10751"/>
      <c r="D100" s="10751"/>
      <c r="E100" s="10751"/>
      <c r="F100" s="7242"/>
    </row>
    <row r="101" spans="1:6" s="7165" customFormat="1" ht="12.9" customHeight="1">
      <c r="A101" s="7209" t="s">
        <v>1083</v>
      </c>
      <c r="B101" s="9662"/>
      <c r="C101" s="9662"/>
      <c r="D101" s="9662"/>
      <c r="E101" s="9662"/>
      <c r="F101" s="9663"/>
    </row>
    <row r="102" spans="1:6" ht="12.9" customHeight="1">
      <c r="A102" s="6230"/>
      <c r="B102" s="10835"/>
      <c r="C102" s="10835"/>
      <c r="D102" s="10835"/>
      <c r="E102" s="10835"/>
      <c r="F102" s="9737"/>
    </row>
    <row r="103" spans="1:6" ht="12.9" customHeight="1">
      <c r="A103" s="7231" t="s">
        <v>1106</v>
      </c>
      <c r="B103" s="10751"/>
      <c r="C103" s="10751"/>
      <c r="D103" s="10751"/>
      <c r="E103" s="10751"/>
      <c r="F103" s="7242"/>
    </row>
    <row r="104" spans="1:6" ht="12.9" customHeight="1" thickBot="1">
      <c r="A104" s="7231"/>
      <c r="B104" s="10751"/>
      <c r="C104" s="10751"/>
      <c r="D104" s="10751"/>
      <c r="E104" s="10751"/>
      <c r="F104" s="7242"/>
    </row>
    <row r="105" spans="1:6" ht="12.9" customHeight="1">
      <c r="A105" s="7248"/>
      <c r="B105" s="9665"/>
      <c r="C105" s="9665"/>
      <c r="D105" s="9665"/>
      <c r="E105" s="9665"/>
      <c r="F105" s="9729"/>
    </row>
    <row r="106" spans="1:6" s="7165" customFormat="1" ht="12.9" customHeight="1">
      <c r="A106" s="7209" t="s">
        <v>1086</v>
      </c>
      <c r="B106" s="10770"/>
      <c r="C106" s="10770"/>
      <c r="D106" s="10770"/>
      <c r="E106" s="10770"/>
      <c r="F106" s="9664"/>
    </row>
    <row r="107" spans="1:6" ht="12.9" customHeight="1" thickBot="1">
      <c r="A107" s="10836"/>
      <c r="B107" s="10828"/>
      <c r="C107" s="10828"/>
      <c r="D107" s="10828"/>
      <c r="E107" s="10828"/>
      <c r="F107" s="10837"/>
    </row>
    <row r="108" spans="1:6" ht="12.9" customHeight="1" thickTop="1"/>
  </sheetData>
  <mergeCells count="2">
    <mergeCell ref="D5:F5"/>
    <mergeCell ref="A1:F1"/>
  </mergeCells>
  <pageMargins left="0.25" right="0.25" top="0.5" bottom="0.5" header="0.3" footer="0.3"/>
  <pageSetup paperSize="119" firstPageNumber="172" orientation="portrait" useFirstPageNumber="1" r:id="rId1"/>
  <headerFooter alignWithMargins="0"/>
</worksheet>
</file>

<file path=xl/worksheets/sheet93.xml><?xml version="1.0" encoding="utf-8"?>
<worksheet xmlns="http://schemas.openxmlformats.org/spreadsheetml/2006/main" xmlns:r="http://schemas.openxmlformats.org/officeDocument/2006/relationships">
  <sheetPr codeName="Sheet64">
    <tabColor rgb="FFFFFF00"/>
  </sheetPr>
  <dimension ref="A1:G115"/>
  <sheetViews>
    <sheetView showGridLines="0" workbookViewId="0">
      <selection activeCell="I87" sqref="I87"/>
    </sheetView>
  </sheetViews>
  <sheetFormatPr defaultRowHeight="13.2"/>
  <cols>
    <col min="1" max="1" width="4.88671875" style="432" customWidth="1"/>
    <col min="2" max="2" width="29.109375" style="374" customWidth="1"/>
    <col min="3" max="3" width="15.44140625" style="374" customWidth="1"/>
    <col min="4" max="4" width="16.109375" style="374" customWidth="1"/>
    <col min="5" max="5" width="14.88671875" style="374" customWidth="1"/>
    <col min="6" max="6" width="9.88671875" style="374" customWidth="1"/>
    <col min="7" max="7" width="10.109375" style="374" customWidth="1"/>
    <col min="8" max="91" width="9.109375" style="374"/>
    <col min="92" max="92" width="6" style="374" customWidth="1"/>
    <col min="93" max="93" width="29.44140625" style="374" customWidth="1"/>
    <col min="94" max="94" width="15.44140625" style="374" customWidth="1"/>
    <col min="95" max="95" width="13.44140625" style="374" customWidth="1"/>
    <col min="96" max="96" width="17.109375" style="374" customWidth="1"/>
    <col min="97" max="97" width="9.88671875" style="374" customWidth="1"/>
    <col min="98" max="98" width="11.109375" style="374" customWidth="1"/>
    <col min="99" max="347" width="9.109375" style="374"/>
    <col min="348" max="348" width="6" style="374" customWidth="1"/>
    <col min="349" max="349" width="29.44140625" style="374" customWidth="1"/>
    <col min="350" max="350" width="15.44140625" style="374" customWidth="1"/>
    <col min="351" max="351" width="13.44140625" style="374" customWidth="1"/>
    <col min="352" max="352" width="17.109375" style="374" customWidth="1"/>
    <col min="353" max="353" width="9.88671875" style="374" customWidth="1"/>
    <col min="354" max="354" width="11.109375" style="374" customWidth="1"/>
    <col min="355" max="603" width="9.109375" style="374"/>
    <col min="604" max="604" width="6" style="374" customWidth="1"/>
    <col min="605" max="605" width="29.44140625" style="374" customWidth="1"/>
    <col min="606" max="606" width="15.44140625" style="374" customWidth="1"/>
    <col min="607" max="607" width="13.44140625" style="374" customWidth="1"/>
    <col min="608" max="608" width="17.109375" style="374" customWidth="1"/>
    <col min="609" max="609" width="9.88671875" style="374" customWidth="1"/>
    <col min="610" max="610" width="11.109375" style="374" customWidth="1"/>
    <col min="611" max="859" width="9.109375" style="374"/>
    <col min="860" max="860" width="6" style="374" customWidth="1"/>
    <col min="861" max="861" width="29.44140625" style="374" customWidth="1"/>
    <col min="862" max="862" width="15.44140625" style="374" customWidth="1"/>
    <col min="863" max="863" width="13.44140625" style="374" customWidth="1"/>
    <col min="864" max="864" width="17.109375" style="374" customWidth="1"/>
    <col min="865" max="865" width="9.88671875" style="374" customWidth="1"/>
    <col min="866" max="866" width="11.109375" style="374" customWidth="1"/>
    <col min="867" max="1115" width="9.109375" style="374"/>
    <col min="1116" max="1116" width="6" style="374" customWidth="1"/>
    <col min="1117" max="1117" width="29.44140625" style="374" customWidth="1"/>
    <col min="1118" max="1118" width="15.44140625" style="374" customWidth="1"/>
    <col min="1119" max="1119" width="13.44140625" style="374" customWidth="1"/>
    <col min="1120" max="1120" width="17.109375" style="374" customWidth="1"/>
    <col min="1121" max="1121" width="9.88671875" style="374" customWidth="1"/>
    <col min="1122" max="1122" width="11.109375" style="374" customWidth="1"/>
    <col min="1123" max="1371" width="9.109375" style="374"/>
    <col min="1372" max="1372" width="6" style="374" customWidth="1"/>
    <col min="1373" max="1373" width="29.44140625" style="374" customWidth="1"/>
    <col min="1374" max="1374" width="15.44140625" style="374" customWidth="1"/>
    <col min="1375" max="1375" width="13.44140625" style="374" customWidth="1"/>
    <col min="1376" max="1376" width="17.109375" style="374" customWidth="1"/>
    <col min="1377" max="1377" width="9.88671875" style="374" customWidth="1"/>
    <col min="1378" max="1378" width="11.109375" style="374" customWidth="1"/>
    <col min="1379" max="1627" width="9.109375" style="374"/>
    <col min="1628" max="1628" width="6" style="374" customWidth="1"/>
    <col min="1629" max="1629" width="29.44140625" style="374" customWidth="1"/>
    <col min="1630" max="1630" width="15.44140625" style="374" customWidth="1"/>
    <col min="1631" max="1631" width="13.44140625" style="374" customWidth="1"/>
    <col min="1632" max="1632" width="17.109375" style="374" customWidth="1"/>
    <col min="1633" max="1633" width="9.88671875" style="374" customWidth="1"/>
    <col min="1634" max="1634" width="11.109375" style="374" customWidth="1"/>
    <col min="1635" max="1883" width="9.109375" style="374"/>
    <col min="1884" max="1884" width="6" style="374" customWidth="1"/>
    <col min="1885" max="1885" width="29.44140625" style="374" customWidth="1"/>
    <col min="1886" max="1886" width="15.44140625" style="374" customWidth="1"/>
    <col min="1887" max="1887" width="13.44140625" style="374" customWidth="1"/>
    <col min="1888" max="1888" width="17.109375" style="374" customWidth="1"/>
    <col min="1889" max="1889" width="9.88671875" style="374" customWidth="1"/>
    <col min="1890" max="1890" width="11.109375" style="374" customWidth="1"/>
    <col min="1891" max="2139" width="9.109375" style="374"/>
    <col min="2140" max="2140" width="6" style="374" customWidth="1"/>
    <col min="2141" max="2141" width="29.44140625" style="374" customWidth="1"/>
    <col min="2142" max="2142" width="15.44140625" style="374" customWidth="1"/>
    <col min="2143" max="2143" width="13.44140625" style="374" customWidth="1"/>
    <col min="2144" max="2144" width="17.109375" style="374" customWidth="1"/>
    <col min="2145" max="2145" width="9.88671875" style="374" customWidth="1"/>
    <col min="2146" max="2146" width="11.109375" style="374" customWidth="1"/>
    <col min="2147" max="2395" width="9.109375" style="374"/>
    <col min="2396" max="2396" width="6" style="374" customWidth="1"/>
    <col min="2397" max="2397" width="29.44140625" style="374" customWidth="1"/>
    <col min="2398" max="2398" width="15.44140625" style="374" customWidth="1"/>
    <col min="2399" max="2399" width="13.44140625" style="374" customWidth="1"/>
    <col min="2400" max="2400" width="17.109375" style="374" customWidth="1"/>
    <col min="2401" max="2401" width="9.88671875" style="374" customWidth="1"/>
    <col min="2402" max="2402" width="11.109375" style="374" customWidth="1"/>
    <col min="2403" max="2651" width="9.109375" style="374"/>
    <col min="2652" max="2652" width="6" style="374" customWidth="1"/>
    <col min="2653" max="2653" width="29.44140625" style="374" customWidth="1"/>
    <col min="2654" max="2654" width="15.44140625" style="374" customWidth="1"/>
    <col min="2655" max="2655" width="13.44140625" style="374" customWidth="1"/>
    <col min="2656" max="2656" width="17.109375" style="374" customWidth="1"/>
    <col min="2657" max="2657" width="9.88671875" style="374" customWidth="1"/>
    <col min="2658" max="2658" width="11.109375" style="374" customWidth="1"/>
    <col min="2659" max="2907" width="9.109375" style="374"/>
    <col min="2908" max="2908" width="6" style="374" customWidth="1"/>
    <col min="2909" max="2909" width="29.44140625" style="374" customWidth="1"/>
    <col min="2910" max="2910" width="15.44140625" style="374" customWidth="1"/>
    <col min="2911" max="2911" width="13.44140625" style="374" customWidth="1"/>
    <col min="2912" max="2912" width="17.109375" style="374" customWidth="1"/>
    <col min="2913" max="2913" width="9.88671875" style="374" customWidth="1"/>
    <col min="2914" max="2914" width="11.109375" style="374" customWidth="1"/>
    <col min="2915" max="3163" width="9.109375" style="374"/>
    <col min="3164" max="3164" width="6" style="374" customWidth="1"/>
    <col min="3165" max="3165" width="29.44140625" style="374" customWidth="1"/>
    <col min="3166" max="3166" width="15.44140625" style="374" customWidth="1"/>
    <col min="3167" max="3167" width="13.44140625" style="374" customWidth="1"/>
    <col min="3168" max="3168" width="17.109375" style="374" customWidth="1"/>
    <col min="3169" max="3169" width="9.88671875" style="374" customWidth="1"/>
    <col min="3170" max="3170" width="11.109375" style="374" customWidth="1"/>
    <col min="3171" max="3419" width="9.109375" style="374"/>
    <col min="3420" max="3420" width="6" style="374" customWidth="1"/>
    <col min="3421" max="3421" width="29.44140625" style="374" customWidth="1"/>
    <col min="3422" max="3422" width="15.44140625" style="374" customWidth="1"/>
    <col min="3423" max="3423" width="13.44140625" style="374" customWidth="1"/>
    <col min="3424" max="3424" width="17.109375" style="374" customWidth="1"/>
    <col min="3425" max="3425" width="9.88671875" style="374" customWidth="1"/>
    <col min="3426" max="3426" width="11.109375" style="374" customWidth="1"/>
    <col min="3427" max="3675" width="9.109375" style="374"/>
    <col min="3676" max="3676" width="6" style="374" customWidth="1"/>
    <col min="3677" max="3677" width="29.44140625" style="374" customWidth="1"/>
    <col min="3678" max="3678" width="15.44140625" style="374" customWidth="1"/>
    <col min="3679" max="3679" width="13.44140625" style="374" customWidth="1"/>
    <col min="3680" max="3680" width="17.109375" style="374" customWidth="1"/>
    <col min="3681" max="3681" width="9.88671875" style="374" customWidth="1"/>
    <col min="3682" max="3682" width="11.109375" style="374" customWidth="1"/>
    <col min="3683" max="3931" width="9.109375" style="374"/>
    <col min="3932" max="3932" width="6" style="374" customWidth="1"/>
    <col min="3933" max="3933" width="29.44140625" style="374" customWidth="1"/>
    <col min="3934" max="3934" width="15.44140625" style="374" customWidth="1"/>
    <col min="3935" max="3935" width="13.44140625" style="374" customWidth="1"/>
    <col min="3936" max="3936" width="17.109375" style="374" customWidth="1"/>
    <col min="3937" max="3937" width="9.88671875" style="374" customWidth="1"/>
    <col min="3938" max="3938" width="11.109375" style="374" customWidth="1"/>
    <col min="3939" max="4187" width="9.109375" style="374"/>
    <col min="4188" max="4188" width="6" style="374" customWidth="1"/>
    <col min="4189" max="4189" width="29.44140625" style="374" customWidth="1"/>
    <col min="4190" max="4190" width="15.44140625" style="374" customWidth="1"/>
    <col min="4191" max="4191" width="13.44140625" style="374" customWidth="1"/>
    <col min="4192" max="4192" width="17.109375" style="374" customWidth="1"/>
    <col min="4193" max="4193" width="9.88671875" style="374" customWidth="1"/>
    <col min="4194" max="4194" width="11.109375" style="374" customWidth="1"/>
    <col min="4195" max="4443" width="9.109375" style="374"/>
    <col min="4444" max="4444" width="6" style="374" customWidth="1"/>
    <col min="4445" max="4445" width="29.44140625" style="374" customWidth="1"/>
    <col min="4446" max="4446" width="15.44140625" style="374" customWidth="1"/>
    <col min="4447" max="4447" width="13.44140625" style="374" customWidth="1"/>
    <col min="4448" max="4448" width="17.109375" style="374" customWidth="1"/>
    <col min="4449" max="4449" width="9.88671875" style="374" customWidth="1"/>
    <col min="4450" max="4450" width="11.109375" style="374" customWidth="1"/>
    <col min="4451" max="4699" width="9.109375" style="374"/>
    <col min="4700" max="4700" width="6" style="374" customWidth="1"/>
    <col min="4701" max="4701" width="29.44140625" style="374" customWidth="1"/>
    <col min="4702" max="4702" width="15.44140625" style="374" customWidth="1"/>
    <col min="4703" max="4703" width="13.44140625" style="374" customWidth="1"/>
    <col min="4704" max="4704" width="17.109375" style="374" customWidth="1"/>
    <col min="4705" max="4705" width="9.88671875" style="374" customWidth="1"/>
    <col min="4706" max="4706" width="11.109375" style="374" customWidth="1"/>
    <col min="4707" max="4955" width="9.109375" style="374"/>
    <col min="4956" max="4956" width="6" style="374" customWidth="1"/>
    <col min="4957" max="4957" width="29.44140625" style="374" customWidth="1"/>
    <col min="4958" max="4958" width="15.44140625" style="374" customWidth="1"/>
    <col min="4959" max="4959" width="13.44140625" style="374" customWidth="1"/>
    <col min="4960" max="4960" width="17.109375" style="374" customWidth="1"/>
    <col min="4961" max="4961" width="9.88671875" style="374" customWidth="1"/>
    <col min="4962" max="4962" width="11.109375" style="374" customWidth="1"/>
    <col min="4963" max="5211" width="9.109375" style="374"/>
    <col min="5212" max="5212" width="6" style="374" customWidth="1"/>
    <col min="5213" max="5213" width="29.44140625" style="374" customWidth="1"/>
    <col min="5214" max="5214" width="15.44140625" style="374" customWidth="1"/>
    <col min="5215" max="5215" width="13.44140625" style="374" customWidth="1"/>
    <col min="5216" max="5216" width="17.109375" style="374" customWidth="1"/>
    <col min="5217" max="5217" width="9.88671875" style="374" customWidth="1"/>
    <col min="5218" max="5218" width="11.109375" style="374" customWidth="1"/>
    <col min="5219" max="5467" width="9.109375" style="374"/>
    <col min="5468" max="5468" width="6" style="374" customWidth="1"/>
    <col min="5469" max="5469" width="29.44140625" style="374" customWidth="1"/>
    <col min="5470" max="5470" width="15.44140625" style="374" customWidth="1"/>
    <col min="5471" max="5471" width="13.44140625" style="374" customWidth="1"/>
    <col min="5472" max="5472" width="17.109375" style="374" customWidth="1"/>
    <col min="5473" max="5473" width="9.88671875" style="374" customWidth="1"/>
    <col min="5474" max="5474" width="11.109375" style="374" customWidth="1"/>
    <col min="5475" max="5723" width="9.109375" style="374"/>
    <col min="5724" max="5724" width="6" style="374" customWidth="1"/>
    <col min="5725" max="5725" width="29.44140625" style="374" customWidth="1"/>
    <col min="5726" max="5726" width="15.44140625" style="374" customWidth="1"/>
    <col min="5727" max="5727" width="13.44140625" style="374" customWidth="1"/>
    <col min="5728" max="5728" width="17.109375" style="374" customWidth="1"/>
    <col min="5729" max="5729" width="9.88671875" style="374" customWidth="1"/>
    <col min="5730" max="5730" width="11.109375" style="374" customWidth="1"/>
    <col min="5731" max="5979" width="9.109375" style="374"/>
    <col min="5980" max="5980" width="6" style="374" customWidth="1"/>
    <col min="5981" max="5981" width="29.44140625" style="374" customWidth="1"/>
    <col min="5982" max="5982" width="15.44140625" style="374" customWidth="1"/>
    <col min="5983" max="5983" width="13.44140625" style="374" customWidth="1"/>
    <col min="5984" max="5984" width="17.109375" style="374" customWidth="1"/>
    <col min="5985" max="5985" width="9.88671875" style="374" customWidth="1"/>
    <col min="5986" max="5986" width="11.109375" style="374" customWidth="1"/>
    <col min="5987" max="6235" width="9.109375" style="374"/>
    <col min="6236" max="6236" width="6" style="374" customWidth="1"/>
    <col min="6237" max="6237" width="29.44140625" style="374" customWidth="1"/>
    <col min="6238" max="6238" width="15.44140625" style="374" customWidth="1"/>
    <col min="6239" max="6239" width="13.44140625" style="374" customWidth="1"/>
    <col min="6240" max="6240" width="17.109375" style="374" customWidth="1"/>
    <col min="6241" max="6241" width="9.88671875" style="374" customWidth="1"/>
    <col min="6242" max="6242" width="11.109375" style="374" customWidth="1"/>
    <col min="6243" max="6491" width="9.109375" style="374"/>
    <col min="6492" max="6492" width="6" style="374" customWidth="1"/>
    <col min="6493" max="6493" width="29.44140625" style="374" customWidth="1"/>
    <col min="6494" max="6494" width="15.44140625" style="374" customWidth="1"/>
    <col min="6495" max="6495" width="13.44140625" style="374" customWidth="1"/>
    <col min="6496" max="6496" width="17.109375" style="374" customWidth="1"/>
    <col min="6497" max="6497" width="9.88671875" style="374" customWidth="1"/>
    <col min="6498" max="6498" width="11.109375" style="374" customWidth="1"/>
    <col min="6499" max="6747" width="9.109375" style="374"/>
    <col min="6748" max="6748" width="6" style="374" customWidth="1"/>
    <col min="6749" max="6749" width="29.44140625" style="374" customWidth="1"/>
    <col min="6750" max="6750" width="15.44140625" style="374" customWidth="1"/>
    <col min="6751" max="6751" width="13.44140625" style="374" customWidth="1"/>
    <col min="6752" max="6752" width="17.109375" style="374" customWidth="1"/>
    <col min="6753" max="6753" width="9.88671875" style="374" customWidth="1"/>
    <col min="6754" max="6754" width="11.109375" style="374" customWidth="1"/>
    <col min="6755" max="7003" width="9.109375" style="374"/>
    <col min="7004" max="7004" width="6" style="374" customWidth="1"/>
    <col min="7005" max="7005" width="29.44140625" style="374" customWidth="1"/>
    <col min="7006" max="7006" width="15.44140625" style="374" customWidth="1"/>
    <col min="7007" max="7007" width="13.44140625" style="374" customWidth="1"/>
    <col min="7008" max="7008" width="17.109375" style="374" customWidth="1"/>
    <col min="7009" max="7009" width="9.88671875" style="374" customWidth="1"/>
    <col min="7010" max="7010" width="11.109375" style="374" customWidth="1"/>
    <col min="7011" max="7259" width="9.109375" style="374"/>
    <col min="7260" max="7260" width="6" style="374" customWidth="1"/>
    <col min="7261" max="7261" width="29.44140625" style="374" customWidth="1"/>
    <col min="7262" max="7262" width="15.44140625" style="374" customWidth="1"/>
    <col min="7263" max="7263" width="13.44140625" style="374" customWidth="1"/>
    <col min="7264" max="7264" width="17.109375" style="374" customWidth="1"/>
    <col min="7265" max="7265" width="9.88671875" style="374" customWidth="1"/>
    <col min="7266" max="7266" width="11.109375" style="374" customWidth="1"/>
    <col min="7267" max="7515" width="9.109375" style="374"/>
    <col min="7516" max="7516" width="6" style="374" customWidth="1"/>
    <col min="7517" max="7517" width="29.44140625" style="374" customWidth="1"/>
    <col min="7518" max="7518" width="15.44140625" style="374" customWidth="1"/>
    <col min="7519" max="7519" width="13.44140625" style="374" customWidth="1"/>
    <col min="7520" max="7520" width="17.109375" style="374" customWidth="1"/>
    <col min="7521" max="7521" width="9.88671875" style="374" customWidth="1"/>
    <col min="7522" max="7522" width="11.109375" style="374" customWidth="1"/>
    <col min="7523" max="7771" width="9.109375" style="374"/>
    <col min="7772" max="7772" width="6" style="374" customWidth="1"/>
    <col min="7773" max="7773" width="29.44140625" style="374" customWidth="1"/>
    <col min="7774" max="7774" width="15.44140625" style="374" customWidth="1"/>
    <col min="7775" max="7775" width="13.44140625" style="374" customWidth="1"/>
    <col min="7776" max="7776" width="17.109375" style="374" customWidth="1"/>
    <col min="7777" max="7777" width="9.88671875" style="374" customWidth="1"/>
    <col min="7778" max="7778" width="11.109375" style="374" customWidth="1"/>
    <col min="7779" max="8027" width="9.109375" style="374"/>
    <col min="8028" max="8028" width="6" style="374" customWidth="1"/>
    <col min="8029" max="8029" width="29.44140625" style="374" customWidth="1"/>
    <col min="8030" max="8030" width="15.44140625" style="374" customWidth="1"/>
    <col min="8031" max="8031" width="13.44140625" style="374" customWidth="1"/>
    <col min="8032" max="8032" width="17.109375" style="374" customWidth="1"/>
    <col min="8033" max="8033" width="9.88671875" style="374" customWidth="1"/>
    <col min="8034" max="8034" width="11.109375" style="374" customWidth="1"/>
    <col min="8035" max="8283" width="9.109375" style="374"/>
    <col min="8284" max="8284" width="6" style="374" customWidth="1"/>
    <col min="8285" max="8285" width="29.44140625" style="374" customWidth="1"/>
    <col min="8286" max="8286" width="15.44140625" style="374" customWidth="1"/>
    <col min="8287" max="8287" width="13.44140625" style="374" customWidth="1"/>
    <col min="8288" max="8288" width="17.109375" style="374" customWidth="1"/>
    <col min="8289" max="8289" width="9.88671875" style="374" customWidth="1"/>
    <col min="8290" max="8290" width="11.109375" style="374" customWidth="1"/>
    <col min="8291" max="8539" width="9.109375" style="374"/>
    <col min="8540" max="8540" width="6" style="374" customWidth="1"/>
    <col min="8541" max="8541" width="29.44140625" style="374" customWidth="1"/>
    <col min="8542" max="8542" width="15.44140625" style="374" customWidth="1"/>
    <col min="8543" max="8543" width="13.44140625" style="374" customWidth="1"/>
    <col min="8544" max="8544" width="17.109375" style="374" customWidth="1"/>
    <col min="8545" max="8545" width="9.88671875" style="374" customWidth="1"/>
    <col min="8546" max="8546" width="11.109375" style="374" customWidth="1"/>
    <col min="8547" max="8795" width="9.109375" style="374"/>
    <col min="8796" max="8796" width="6" style="374" customWidth="1"/>
    <col min="8797" max="8797" width="29.44140625" style="374" customWidth="1"/>
    <col min="8798" max="8798" width="15.44140625" style="374" customWidth="1"/>
    <col min="8799" max="8799" width="13.44140625" style="374" customWidth="1"/>
    <col min="8800" max="8800" width="17.109375" style="374" customWidth="1"/>
    <col min="8801" max="8801" width="9.88671875" style="374" customWidth="1"/>
    <col min="8802" max="8802" width="11.109375" style="374" customWidth="1"/>
    <col min="8803" max="9051" width="9.109375" style="374"/>
    <col min="9052" max="9052" width="6" style="374" customWidth="1"/>
    <col min="9053" max="9053" width="29.44140625" style="374" customWidth="1"/>
    <col min="9054" max="9054" width="15.44140625" style="374" customWidth="1"/>
    <col min="9055" max="9055" width="13.44140625" style="374" customWidth="1"/>
    <col min="9056" max="9056" width="17.109375" style="374" customWidth="1"/>
    <col min="9057" max="9057" width="9.88671875" style="374" customWidth="1"/>
    <col min="9058" max="9058" width="11.109375" style="374" customWidth="1"/>
    <col min="9059" max="9307" width="9.109375" style="374"/>
    <col min="9308" max="9308" width="6" style="374" customWidth="1"/>
    <col min="9309" max="9309" width="29.44140625" style="374" customWidth="1"/>
    <col min="9310" max="9310" width="15.44140625" style="374" customWidth="1"/>
    <col min="9311" max="9311" width="13.44140625" style="374" customWidth="1"/>
    <col min="9312" max="9312" width="17.109375" style="374" customWidth="1"/>
    <col min="9313" max="9313" width="9.88671875" style="374" customWidth="1"/>
    <col min="9314" max="9314" width="11.109375" style="374" customWidth="1"/>
    <col min="9315" max="9563" width="9.109375" style="374"/>
    <col min="9564" max="9564" width="6" style="374" customWidth="1"/>
    <col min="9565" max="9565" width="29.44140625" style="374" customWidth="1"/>
    <col min="9566" max="9566" width="15.44140625" style="374" customWidth="1"/>
    <col min="9567" max="9567" width="13.44140625" style="374" customWidth="1"/>
    <col min="9568" max="9568" width="17.109375" style="374" customWidth="1"/>
    <col min="9569" max="9569" width="9.88671875" style="374" customWidth="1"/>
    <col min="9570" max="9570" width="11.109375" style="374" customWidth="1"/>
    <col min="9571" max="9819" width="9.109375" style="374"/>
    <col min="9820" max="9820" width="6" style="374" customWidth="1"/>
    <col min="9821" max="9821" width="29.44140625" style="374" customWidth="1"/>
    <col min="9822" max="9822" width="15.44140625" style="374" customWidth="1"/>
    <col min="9823" max="9823" width="13.44140625" style="374" customWidth="1"/>
    <col min="9824" max="9824" width="17.109375" style="374" customWidth="1"/>
    <col min="9825" max="9825" width="9.88671875" style="374" customWidth="1"/>
    <col min="9826" max="9826" width="11.109375" style="374" customWidth="1"/>
    <col min="9827" max="10075" width="9.109375" style="374"/>
    <col min="10076" max="10076" width="6" style="374" customWidth="1"/>
    <col min="10077" max="10077" width="29.44140625" style="374" customWidth="1"/>
    <col min="10078" max="10078" width="15.44140625" style="374" customWidth="1"/>
    <col min="10079" max="10079" width="13.44140625" style="374" customWidth="1"/>
    <col min="10080" max="10080" width="17.109375" style="374" customWidth="1"/>
    <col min="10081" max="10081" width="9.88671875" style="374" customWidth="1"/>
    <col min="10082" max="10082" width="11.109375" style="374" customWidth="1"/>
    <col min="10083" max="10331" width="9.109375" style="374"/>
    <col min="10332" max="10332" width="6" style="374" customWidth="1"/>
    <col min="10333" max="10333" width="29.44140625" style="374" customWidth="1"/>
    <col min="10334" max="10334" width="15.44140625" style="374" customWidth="1"/>
    <col min="10335" max="10335" width="13.44140625" style="374" customWidth="1"/>
    <col min="10336" max="10336" width="17.109375" style="374" customWidth="1"/>
    <col min="10337" max="10337" width="9.88671875" style="374" customWidth="1"/>
    <col min="10338" max="10338" width="11.109375" style="374" customWidth="1"/>
    <col min="10339" max="10587" width="9.109375" style="374"/>
    <col min="10588" max="10588" width="6" style="374" customWidth="1"/>
    <col min="10589" max="10589" width="29.44140625" style="374" customWidth="1"/>
    <col min="10590" max="10590" width="15.44140625" style="374" customWidth="1"/>
    <col min="10591" max="10591" width="13.44140625" style="374" customWidth="1"/>
    <col min="10592" max="10592" width="17.109375" style="374" customWidth="1"/>
    <col min="10593" max="10593" width="9.88671875" style="374" customWidth="1"/>
    <col min="10594" max="10594" width="11.109375" style="374" customWidth="1"/>
    <col min="10595" max="10843" width="9.109375" style="374"/>
    <col min="10844" max="10844" width="6" style="374" customWidth="1"/>
    <col min="10845" max="10845" width="29.44140625" style="374" customWidth="1"/>
    <col min="10846" max="10846" width="15.44140625" style="374" customWidth="1"/>
    <col min="10847" max="10847" width="13.44140625" style="374" customWidth="1"/>
    <col min="10848" max="10848" width="17.109375" style="374" customWidth="1"/>
    <col min="10849" max="10849" width="9.88671875" style="374" customWidth="1"/>
    <col min="10850" max="10850" width="11.109375" style="374" customWidth="1"/>
    <col min="10851" max="11099" width="9.109375" style="374"/>
    <col min="11100" max="11100" width="6" style="374" customWidth="1"/>
    <col min="11101" max="11101" width="29.44140625" style="374" customWidth="1"/>
    <col min="11102" max="11102" width="15.44140625" style="374" customWidth="1"/>
    <col min="11103" max="11103" width="13.44140625" style="374" customWidth="1"/>
    <col min="11104" max="11104" width="17.109375" style="374" customWidth="1"/>
    <col min="11105" max="11105" width="9.88671875" style="374" customWidth="1"/>
    <col min="11106" max="11106" width="11.109375" style="374" customWidth="1"/>
    <col min="11107" max="11355" width="9.109375" style="374"/>
    <col min="11356" max="11356" width="6" style="374" customWidth="1"/>
    <col min="11357" max="11357" width="29.44140625" style="374" customWidth="1"/>
    <col min="11358" max="11358" width="15.44140625" style="374" customWidth="1"/>
    <col min="11359" max="11359" width="13.44140625" style="374" customWidth="1"/>
    <col min="11360" max="11360" width="17.109375" style="374" customWidth="1"/>
    <col min="11361" max="11361" width="9.88671875" style="374" customWidth="1"/>
    <col min="11362" max="11362" width="11.109375" style="374" customWidth="1"/>
    <col min="11363" max="11611" width="9.109375" style="374"/>
    <col min="11612" max="11612" width="6" style="374" customWidth="1"/>
    <col min="11613" max="11613" width="29.44140625" style="374" customWidth="1"/>
    <col min="11614" max="11614" width="15.44140625" style="374" customWidth="1"/>
    <col min="11615" max="11615" width="13.44140625" style="374" customWidth="1"/>
    <col min="11616" max="11616" width="17.109375" style="374" customWidth="1"/>
    <col min="11617" max="11617" width="9.88671875" style="374" customWidth="1"/>
    <col min="11618" max="11618" width="11.109375" style="374" customWidth="1"/>
    <col min="11619" max="11867" width="9.109375" style="374"/>
    <col min="11868" max="11868" width="6" style="374" customWidth="1"/>
    <col min="11869" max="11869" width="29.44140625" style="374" customWidth="1"/>
    <col min="11870" max="11870" width="15.44140625" style="374" customWidth="1"/>
    <col min="11871" max="11871" width="13.44140625" style="374" customWidth="1"/>
    <col min="11872" max="11872" width="17.109375" style="374" customWidth="1"/>
    <col min="11873" max="11873" width="9.88671875" style="374" customWidth="1"/>
    <col min="11874" max="11874" width="11.109375" style="374" customWidth="1"/>
    <col min="11875" max="12123" width="9.109375" style="374"/>
    <col min="12124" max="12124" width="6" style="374" customWidth="1"/>
    <col min="12125" max="12125" width="29.44140625" style="374" customWidth="1"/>
    <col min="12126" max="12126" width="15.44140625" style="374" customWidth="1"/>
    <col min="12127" max="12127" width="13.44140625" style="374" customWidth="1"/>
    <col min="12128" max="12128" width="17.109375" style="374" customWidth="1"/>
    <col min="12129" max="12129" width="9.88671875" style="374" customWidth="1"/>
    <col min="12130" max="12130" width="11.109375" style="374" customWidth="1"/>
    <col min="12131" max="12379" width="9.109375" style="374"/>
    <col min="12380" max="12380" width="6" style="374" customWidth="1"/>
    <col min="12381" max="12381" width="29.44140625" style="374" customWidth="1"/>
    <col min="12382" max="12382" width="15.44140625" style="374" customWidth="1"/>
    <col min="12383" max="12383" width="13.44140625" style="374" customWidth="1"/>
    <col min="12384" max="12384" width="17.109375" style="374" customWidth="1"/>
    <col min="12385" max="12385" width="9.88671875" style="374" customWidth="1"/>
    <col min="12386" max="12386" width="11.109375" style="374" customWidth="1"/>
    <col min="12387" max="12635" width="9.109375" style="374"/>
    <col min="12636" max="12636" width="6" style="374" customWidth="1"/>
    <col min="12637" max="12637" width="29.44140625" style="374" customWidth="1"/>
    <col min="12638" max="12638" width="15.44140625" style="374" customWidth="1"/>
    <col min="12639" max="12639" width="13.44140625" style="374" customWidth="1"/>
    <col min="12640" max="12640" width="17.109375" style="374" customWidth="1"/>
    <col min="12641" max="12641" width="9.88671875" style="374" customWidth="1"/>
    <col min="12642" max="12642" width="11.109375" style="374" customWidth="1"/>
    <col min="12643" max="12891" width="9.109375" style="374"/>
    <col min="12892" max="12892" width="6" style="374" customWidth="1"/>
    <col min="12893" max="12893" width="29.44140625" style="374" customWidth="1"/>
    <col min="12894" max="12894" width="15.44140625" style="374" customWidth="1"/>
    <col min="12895" max="12895" width="13.44140625" style="374" customWidth="1"/>
    <col min="12896" max="12896" width="17.109375" style="374" customWidth="1"/>
    <col min="12897" max="12897" width="9.88671875" style="374" customWidth="1"/>
    <col min="12898" max="12898" width="11.109375" style="374" customWidth="1"/>
    <col min="12899" max="13147" width="9.109375" style="374"/>
    <col min="13148" max="13148" width="6" style="374" customWidth="1"/>
    <col min="13149" max="13149" width="29.44140625" style="374" customWidth="1"/>
    <col min="13150" max="13150" width="15.44140625" style="374" customWidth="1"/>
    <col min="13151" max="13151" width="13.44140625" style="374" customWidth="1"/>
    <col min="13152" max="13152" width="17.109375" style="374" customWidth="1"/>
    <col min="13153" max="13153" width="9.88671875" style="374" customWidth="1"/>
    <col min="13154" max="13154" width="11.109375" style="374" customWidth="1"/>
    <col min="13155" max="13403" width="9.109375" style="374"/>
    <col min="13404" max="13404" width="6" style="374" customWidth="1"/>
    <col min="13405" max="13405" width="29.44140625" style="374" customWidth="1"/>
    <col min="13406" max="13406" width="15.44140625" style="374" customWidth="1"/>
    <col min="13407" max="13407" width="13.44140625" style="374" customWidth="1"/>
    <col min="13408" max="13408" width="17.109375" style="374" customWidth="1"/>
    <col min="13409" max="13409" width="9.88671875" style="374" customWidth="1"/>
    <col min="13410" max="13410" width="11.109375" style="374" customWidth="1"/>
    <col min="13411" max="13659" width="9.109375" style="374"/>
    <col min="13660" max="13660" width="6" style="374" customWidth="1"/>
    <col min="13661" max="13661" width="29.44140625" style="374" customWidth="1"/>
    <col min="13662" max="13662" width="15.44140625" style="374" customWidth="1"/>
    <col min="13663" max="13663" width="13.44140625" style="374" customWidth="1"/>
    <col min="13664" max="13664" width="17.109375" style="374" customWidth="1"/>
    <col min="13665" max="13665" width="9.88671875" style="374" customWidth="1"/>
    <col min="13666" max="13666" width="11.109375" style="374" customWidth="1"/>
    <col min="13667" max="13915" width="9.109375" style="374"/>
    <col min="13916" max="13916" width="6" style="374" customWidth="1"/>
    <col min="13917" max="13917" width="29.44140625" style="374" customWidth="1"/>
    <col min="13918" max="13918" width="15.44140625" style="374" customWidth="1"/>
    <col min="13919" max="13919" width="13.44140625" style="374" customWidth="1"/>
    <col min="13920" max="13920" width="17.109375" style="374" customWidth="1"/>
    <col min="13921" max="13921" width="9.88671875" style="374" customWidth="1"/>
    <col min="13922" max="13922" width="11.109375" style="374" customWidth="1"/>
    <col min="13923" max="14171" width="9.109375" style="374"/>
    <col min="14172" max="14172" width="6" style="374" customWidth="1"/>
    <col min="14173" max="14173" width="29.44140625" style="374" customWidth="1"/>
    <col min="14174" max="14174" width="15.44140625" style="374" customWidth="1"/>
    <col min="14175" max="14175" width="13.44140625" style="374" customWidth="1"/>
    <col min="14176" max="14176" width="17.109375" style="374" customWidth="1"/>
    <col min="14177" max="14177" width="9.88671875" style="374" customWidth="1"/>
    <col min="14178" max="14178" width="11.109375" style="374" customWidth="1"/>
    <col min="14179" max="14427" width="9.109375" style="374"/>
    <col min="14428" max="14428" width="6" style="374" customWidth="1"/>
    <col min="14429" max="14429" width="29.44140625" style="374" customWidth="1"/>
    <col min="14430" max="14430" width="15.44140625" style="374" customWidth="1"/>
    <col min="14431" max="14431" width="13.44140625" style="374" customWidth="1"/>
    <col min="14432" max="14432" width="17.109375" style="374" customWidth="1"/>
    <col min="14433" max="14433" width="9.88671875" style="374" customWidth="1"/>
    <col min="14434" max="14434" width="11.109375" style="374" customWidth="1"/>
    <col min="14435" max="14683" width="9.109375" style="374"/>
    <col min="14684" max="14684" width="6" style="374" customWidth="1"/>
    <col min="14685" max="14685" width="29.44140625" style="374" customWidth="1"/>
    <col min="14686" max="14686" width="15.44140625" style="374" customWidth="1"/>
    <col min="14687" max="14687" width="13.44140625" style="374" customWidth="1"/>
    <col min="14688" max="14688" width="17.109375" style="374" customWidth="1"/>
    <col min="14689" max="14689" width="9.88671875" style="374" customWidth="1"/>
    <col min="14690" max="14690" width="11.109375" style="374" customWidth="1"/>
    <col min="14691" max="14939" width="9.109375" style="374"/>
    <col min="14940" max="14940" width="6" style="374" customWidth="1"/>
    <col min="14941" max="14941" width="29.44140625" style="374" customWidth="1"/>
    <col min="14942" max="14942" width="15.44140625" style="374" customWidth="1"/>
    <col min="14943" max="14943" width="13.44140625" style="374" customWidth="1"/>
    <col min="14944" max="14944" width="17.109375" style="374" customWidth="1"/>
    <col min="14945" max="14945" width="9.88671875" style="374" customWidth="1"/>
    <col min="14946" max="14946" width="11.109375" style="374" customWidth="1"/>
    <col min="14947" max="15195" width="9.109375" style="374"/>
    <col min="15196" max="15196" width="6" style="374" customWidth="1"/>
    <col min="15197" max="15197" width="29.44140625" style="374" customWidth="1"/>
    <col min="15198" max="15198" width="15.44140625" style="374" customWidth="1"/>
    <col min="15199" max="15199" width="13.44140625" style="374" customWidth="1"/>
    <col min="15200" max="15200" width="17.109375" style="374" customWidth="1"/>
    <col min="15201" max="15201" width="9.88671875" style="374" customWidth="1"/>
    <col min="15202" max="15202" width="11.109375" style="374" customWidth="1"/>
    <col min="15203" max="15451" width="9.109375" style="374"/>
    <col min="15452" max="15452" width="6" style="374" customWidth="1"/>
    <col min="15453" max="15453" width="29.44140625" style="374" customWidth="1"/>
    <col min="15454" max="15454" width="15.44140625" style="374" customWidth="1"/>
    <col min="15455" max="15455" width="13.44140625" style="374" customWidth="1"/>
    <col min="15456" max="15456" width="17.109375" style="374" customWidth="1"/>
    <col min="15457" max="15457" width="9.88671875" style="374" customWidth="1"/>
    <col min="15458" max="15458" width="11.109375" style="374" customWidth="1"/>
    <col min="15459" max="15707" width="9.109375" style="374"/>
    <col min="15708" max="15708" width="6" style="374" customWidth="1"/>
    <col min="15709" max="15709" width="29.44140625" style="374" customWidth="1"/>
    <col min="15710" max="15710" width="15.44140625" style="374" customWidth="1"/>
    <col min="15711" max="15711" width="13.44140625" style="374" customWidth="1"/>
    <col min="15712" max="15712" width="17.109375" style="374" customWidth="1"/>
    <col min="15713" max="15713" width="9.88671875" style="374" customWidth="1"/>
    <col min="15714" max="15714" width="11.109375" style="374" customWidth="1"/>
    <col min="15715" max="15963" width="9.109375" style="374"/>
    <col min="15964" max="15964" width="6" style="374" customWidth="1"/>
    <col min="15965" max="15965" width="29.44140625" style="374" customWidth="1"/>
    <col min="15966" max="15966" width="15.44140625" style="374" customWidth="1"/>
    <col min="15967" max="15967" width="13.44140625" style="374" customWidth="1"/>
    <col min="15968" max="15968" width="17.109375" style="374" customWidth="1"/>
    <col min="15969" max="15969" width="9.88671875" style="374" customWidth="1"/>
    <col min="15970" max="15970" width="11.109375" style="374" customWidth="1"/>
    <col min="15971" max="16384" width="9.109375" style="374"/>
  </cols>
  <sheetData>
    <row r="1" spans="1:7" s="371" customFormat="1" ht="15">
      <c r="A1" s="684"/>
    </row>
    <row r="2" spans="1:7" s="371" customFormat="1" ht="15.6">
      <c r="A2" s="14837" t="s">
        <v>2536</v>
      </c>
      <c r="B2" s="14837"/>
      <c r="C2" s="14837"/>
      <c r="D2" s="14837"/>
      <c r="E2" s="14837"/>
      <c r="F2" s="14837"/>
      <c r="G2" s="14837"/>
    </row>
    <row r="3" spans="1:7" s="371" customFormat="1" ht="15.6">
      <c r="A3" s="683"/>
    </row>
    <row r="4" spans="1:7" s="371" customFormat="1" ht="15.6">
      <c r="A4" s="1306" t="s">
        <v>4782</v>
      </c>
    </row>
    <row r="5" spans="1:7" s="371" customFormat="1" ht="15.6">
      <c r="A5" s="14838" t="s">
        <v>7096</v>
      </c>
      <c r="B5" s="14838"/>
    </row>
    <row r="6" spans="1:7" s="371" customFormat="1" ht="15.6">
      <c r="A6" s="878" t="s">
        <v>7097</v>
      </c>
      <c r="B6" s="878"/>
    </row>
    <row r="7" spans="1:7" s="371" customFormat="1" ht="15.6">
      <c r="A7" s="435"/>
    </row>
    <row r="8" spans="1:7" s="371" customFormat="1" ht="23.25" customHeight="1">
      <c r="A8" s="435" t="s">
        <v>2735</v>
      </c>
    </row>
    <row r="9" spans="1:7" s="1656" customFormat="1" ht="30" customHeight="1">
      <c r="A9" s="14839" t="s">
        <v>2774</v>
      </c>
      <c r="B9" s="14839"/>
      <c r="C9" s="14839"/>
      <c r="D9" s="14839"/>
      <c r="E9" s="14839"/>
      <c r="F9" s="14839"/>
      <c r="G9" s="14839"/>
    </row>
    <row r="10" spans="1:7" s="692" customFormat="1" ht="16.5" customHeight="1">
      <c r="A10" s="14833" t="s">
        <v>3406</v>
      </c>
      <c r="B10" s="14833"/>
      <c r="C10" s="14833"/>
      <c r="D10" s="14833"/>
      <c r="E10" s="14833"/>
      <c r="F10" s="14833"/>
      <c r="G10" s="14833"/>
    </row>
    <row r="11" spans="1:7" s="692" customFormat="1" ht="15" customHeight="1">
      <c r="A11" s="14833" t="s">
        <v>2800</v>
      </c>
      <c r="B11" s="14833"/>
    </row>
    <row r="12" spans="1:7" s="692" customFormat="1" ht="15" customHeight="1">
      <c r="A12" s="1615"/>
      <c r="B12" s="1615"/>
    </row>
    <row r="13" spans="1:7" s="692" customFormat="1" ht="15" customHeight="1">
      <c r="A13" s="14833" t="s">
        <v>7098</v>
      </c>
      <c r="B13" s="14833"/>
      <c r="C13" s="14833"/>
      <c r="D13" s="14833"/>
      <c r="E13" s="14833"/>
      <c r="F13" s="14833"/>
      <c r="G13" s="14833"/>
    </row>
    <row r="14" spans="1:7" s="692" customFormat="1">
      <c r="A14" s="431" t="s">
        <v>3407</v>
      </c>
      <c r="B14" s="692" t="s">
        <v>7100</v>
      </c>
    </row>
    <row r="15" spans="1:7" s="692" customFormat="1" ht="13.5" customHeight="1">
      <c r="A15" s="431"/>
    </row>
    <row r="16" spans="1:7" s="692" customFormat="1" ht="11.25" customHeight="1">
      <c r="A16" s="14833" t="s">
        <v>7101</v>
      </c>
      <c r="B16" s="14833"/>
      <c r="C16" s="14833"/>
      <c r="D16" s="14833"/>
      <c r="E16" s="14833"/>
      <c r="F16" s="14833"/>
      <c r="G16" s="14833"/>
    </row>
    <row r="17" spans="1:7" s="692" customFormat="1" ht="12" customHeight="1">
      <c r="A17" s="1615"/>
      <c r="B17" s="2396" t="s">
        <v>7099</v>
      </c>
      <c r="C17" s="1615"/>
      <c r="D17" s="1615"/>
      <c r="E17" s="1615"/>
      <c r="F17" s="1615"/>
      <c r="G17" s="1615"/>
    </row>
    <row r="18" spans="1:7" s="692" customFormat="1" ht="12" customHeight="1">
      <c r="A18" s="2396"/>
      <c r="B18" s="2396"/>
      <c r="C18" s="2396"/>
      <c r="D18" s="2396"/>
      <c r="E18" s="2396"/>
      <c r="F18" s="2396"/>
      <c r="G18" s="2396"/>
    </row>
    <row r="19" spans="1:7" s="692" customFormat="1" ht="14.25" customHeight="1">
      <c r="A19" s="14833" t="s">
        <v>2802</v>
      </c>
      <c r="B19" s="14833"/>
      <c r="C19" s="14833"/>
      <c r="D19" s="14833"/>
      <c r="E19" s="14833"/>
      <c r="F19" s="14833"/>
      <c r="G19" s="14833"/>
    </row>
    <row r="20" spans="1:7" s="692" customFormat="1">
      <c r="A20" s="431" t="s">
        <v>2801</v>
      </c>
    </row>
    <row r="21" spans="1:7" s="692" customFormat="1">
      <c r="A21" s="431"/>
    </row>
    <row r="22" spans="1:7" s="692" customFormat="1" ht="15" customHeight="1">
      <c r="A22" s="14833" t="s">
        <v>7102</v>
      </c>
      <c r="B22" s="14833"/>
      <c r="C22" s="14833"/>
      <c r="D22" s="14833"/>
      <c r="E22" s="14833"/>
      <c r="F22" s="14833"/>
      <c r="G22" s="14833"/>
    </row>
    <row r="23" spans="1:7" s="692" customFormat="1" ht="15" customHeight="1">
      <c r="A23" s="431" t="s">
        <v>3408</v>
      </c>
    </row>
    <row r="24" spans="1:7" s="692" customFormat="1" ht="12.75" customHeight="1">
      <c r="A24" s="431"/>
    </row>
    <row r="25" spans="1:7" s="692" customFormat="1" ht="15" customHeight="1">
      <c r="A25" s="14833" t="s">
        <v>7106</v>
      </c>
      <c r="B25" s="14833"/>
      <c r="C25" s="14833"/>
      <c r="D25" s="14833"/>
      <c r="E25" s="14833"/>
      <c r="F25" s="14833"/>
      <c r="G25" s="14833"/>
    </row>
    <row r="26" spans="1:7" s="692" customFormat="1" ht="15.75" customHeight="1">
      <c r="A26" s="2396" t="s">
        <v>4974</v>
      </c>
      <c r="B26" s="1655"/>
    </row>
    <row r="27" spans="1:7" s="692" customFormat="1" ht="15" customHeight="1">
      <c r="A27" s="2396"/>
      <c r="B27" s="1655"/>
    </row>
    <row r="28" spans="1:7" s="692" customFormat="1" ht="12" customHeight="1">
      <c r="A28" s="14833" t="s">
        <v>7103</v>
      </c>
      <c r="B28" s="14833"/>
      <c r="C28" s="14833"/>
      <c r="D28" s="14833"/>
      <c r="E28" s="14833"/>
      <c r="F28" s="14833"/>
      <c r="G28" s="14833"/>
    </row>
    <row r="29" spans="1:7" s="692" customFormat="1">
      <c r="A29" s="2396" t="s">
        <v>4975</v>
      </c>
      <c r="B29" s="692" t="s">
        <v>7104</v>
      </c>
    </row>
    <row r="30" spans="1:7" s="692" customFormat="1">
      <c r="A30" s="2396"/>
    </row>
    <row r="31" spans="1:7" s="692" customFormat="1" ht="15.75" customHeight="1">
      <c r="A31" s="14833" t="s">
        <v>7105</v>
      </c>
      <c r="B31" s="14833"/>
      <c r="C31" s="14833"/>
      <c r="D31" s="14833"/>
      <c r="E31" s="14833"/>
      <c r="F31" s="14833"/>
      <c r="G31" s="14833"/>
    </row>
    <row r="32" spans="1:7" s="692" customFormat="1" ht="15.75" customHeight="1">
      <c r="A32" s="1615"/>
      <c r="B32" s="1615"/>
      <c r="C32" s="1615"/>
      <c r="D32" s="1615"/>
      <c r="E32" s="1615"/>
      <c r="F32" s="1615"/>
      <c r="G32" s="1615"/>
    </row>
    <row r="33" spans="1:7" s="692" customFormat="1" ht="12.75" customHeight="1">
      <c r="A33" s="14833" t="s">
        <v>3409</v>
      </c>
      <c r="B33" s="14833"/>
      <c r="C33" s="14833"/>
      <c r="D33" s="14833"/>
      <c r="E33" s="14833"/>
      <c r="F33" s="14833"/>
      <c r="G33" s="14833"/>
    </row>
    <row r="34" spans="1:7">
      <c r="A34" s="682"/>
    </row>
    <row r="35" spans="1:7" s="371" customFormat="1" ht="15.6">
      <c r="A35" s="14834" t="s">
        <v>2736</v>
      </c>
      <c r="B35" s="14834"/>
      <c r="C35" s="14834"/>
      <c r="D35" s="14834"/>
      <c r="E35" s="14834"/>
      <c r="F35" s="14834"/>
      <c r="G35" s="14834"/>
    </row>
    <row r="36" spans="1:7" ht="9.75" customHeight="1">
      <c r="A36" s="682" t="s">
        <v>275</v>
      </c>
    </row>
    <row r="37" spans="1:7" s="433" customFormat="1" ht="35.25" customHeight="1">
      <c r="A37" s="1810" t="s">
        <v>2803</v>
      </c>
      <c r="B37" s="14835" t="s">
        <v>7107</v>
      </c>
      <c r="C37" s="14835"/>
      <c r="D37" s="14835"/>
      <c r="E37" s="14835"/>
      <c r="F37" s="14835"/>
      <c r="G37" s="14835"/>
    </row>
    <row r="38" spans="1:7" s="433" customFormat="1" ht="35.25" customHeight="1">
      <c r="A38" s="1810">
        <v>2</v>
      </c>
      <c r="B38" s="14835" t="s">
        <v>7108</v>
      </c>
      <c r="C38" s="14835"/>
      <c r="D38" s="14835"/>
      <c r="E38" s="14835"/>
      <c r="F38" s="14835"/>
      <c r="G38" s="14835"/>
    </row>
    <row r="39" spans="1:7" s="433" customFormat="1" ht="33.75" customHeight="1">
      <c r="A39" s="1810">
        <v>3</v>
      </c>
      <c r="B39" s="14836" t="s">
        <v>7109</v>
      </c>
      <c r="C39" s="14836"/>
      <c r="D39" s="14836"/>
      <c r="E39" s="14836"/>
      <c r="F39" s="14836"/>
      <c r="G39" s="14836"/>
    </row>
    <row r="40" spans="1:7" s="433" customFormat="1" ht="33.75" customHeight="1">
      <c r="A40" s="1810">
        <v>4</v>
      </c>
      <c r="B40" s="14836" t="s">
        <v>7110</v>
      </c>
      <c r="C40" s="14836"/>
      <c r="D40" s="14836"/>
      <c r="E40" s="14836"/>
      <c r="F40" s="14836"/>
      <c r="G40" s="14836"/>
    </row>
    <row r="41" spans="1:7" s="433" customFormat="1" ht="20.25" customHeight="1">
      <c r="A41" s="1810">
        <v>5</v>
      </c>
      <c r="B41" s="14825" t="s">
        <v>7111</v>
      </c>
      <c r="C41" s="14825"/>
      <c r="D41" s="14825"/>
      <c r="E41" s="14825"/>
      <c r="F41" s="14825"/>
      <c r="G41" s="14825"/>
    </row>
    <row r="42" spans="1:7" s="433" customFormat="1" ht="18.75" customHeight="1">
      <c r="A42" s="1810">
        <v>6</v>
      </c>
      <c r="B42" s="14832" t="s">
        <v>7112</v>
      </c>
      <c r="C42" s="14832"/>
      <c r="D42" s="14832"/>
      <c r="E42" s="14832"/>
      <c r="F42" s="14832"/>
      <c r="G42" s="14832"/>
    </row>
    <row r="43" spans="1:7" ht="16.5" customHeight="1">
      <c r="A43" s="14829" t="s">
        <v>407</v>
      </c>
      <c r="B43" s="14829"/>
      <c r="C43" s="14829"/>
      <c r="D43" s="14829"/>
      <c r="E43" s="14829"/>
      <c r="F43" s="14829"/>
      <c r="G43" s="14829"/>
    </row>
    <row r="44" spans="1:7" ht="16.5" customHeight="1">
      <c r="A44" s="1614"/>
      <c r="B44" s="1614"/>
      <c r="C44" s="1614"/>
      <c r="D44" s="1614"/>
      <c r="E44" s="1614"/>
      <c r="F44" s="1614"/>
      <c r="G44" s="1614"/>
    </row>
    <row r="45" spans="1:7" ht="16.5" customHeight="1">
      <c r="A45" s="1614"/>
      <c r="B45" s="1614"/>
      <c r="C45" s="1614"/>
      <c r="D45" s="1614"/>
      <c r="E45" s="1614"/>
      <c r="F45" s="1614"/>
      <c r="G45" s="1614"/>
    </row>
    <row r="46" spans="1:7" ht="16.5" customHeight="1">
      <c r="A46" s="1614"/>
      <c r="B46" s="1614"/>
      <c r="C46" s="1614"/>
      <c r="D46" s="1614"/>
      <c r="E46" s="1614"/>
      <c r="F46" s="1614"/>
      <c r="G46" s="1614"/>
    </row>
    <row r="47" spans="1:7" ht="16.5" customHeight="1">
      <c r="A47" s="1614"/>
      <c r="B47" s="1614"/>
      <c r="C47" s="1614"/>
      <c r="D47" s="1614"/>
      <c r="E47" s="1614"/>
      <c r="F47" s="1614"/>
      <c r="G47" s="1614"/>
    </row>
    <row r="48" spans="1:7" ht="16.5" customHeight="1">
      <c r="A48" s="1614"/>
      <c r="B48" s="1614"/>
      <c r="C48" s="1614"/>
      <c r="D48" s="1614"/>
      <c r="E48" s="1614"/>
      <c r="F48" s="1614"/>
      <c r="G48" s="1614"/>
    </row>
    <row r="49" spans="1:7" ht="16.5" customHeight="1">
      <c r="A49" s="1614"/>
      <c r="B49" s="1614"/>
      <c r="C49" s="1614"/>
      <c r="D49" s="1614"/>
      <c r="E49" s="1614"/>
      <c r="F49" s="1614"/>
      <c r="G49" s="1614"/>
    </row>
    <row r="50" spans="1:7" ht="16.5" customHeight="1">
      <c r="A50" s="1614"/>
      <c r="B50" s="1614"/>
      <c r="C50" s="1614"/>
      <c r="D50" s="1614"/>
      <c r="E50" s="1614"/>
      <c r="F50" s="1614"/>
      <c r="G50" s="1614"/>
    </row>
    <row r="51" spans="1:7" ht="16.5" customHeight="1">
      <c r="A51" s="1614"/>
      <c r="B51" s="1614"/>
      <c r="C51" s="1614"/>
      <c r="D51" s="1614"/>
      <c r="E51" s="1614"/>
      <c r="F51" s="1614"/>
      <c r="G51" s="1614"/>
    </row>
    <row r="52" spans="1:7" ht="16.5" customHeight="1">
      <c r="A52" s="1614"/>
      <c r="B52" s="1614"/>
      <c r="C52" s="1614"/>
      <c r="D52" s="1614"/>
      <c r="E52" s="1614"/>
      <c r="F52" s="1614"/>
      <c r="G52" s="1614"/>
    </row>
    <row r="53" spans="1:7" ht="16.5" customHeight="1">
      <c r="A53" s="1614"/>
      <c r="B53" s="1614"/>
      <c r="C53" s="1614"/>
      <c r="D53" s="1614"/>
      <c r="E53" s="1614"/>
      <c r="F53" s="1614"/>
      <c r="G53" s="1614"/>
    </row>
    <row r="54" spans="1:7" ht="16.5" customHeight="1">
      <c r="A54" s="1614"/>
      <c r="B54" s="1614"/>
      <c r="C54" s="1614"/>
      <c r="D54" s="1614"/>
      <c r="E54" s="1614"/>
      <c r="F54" s="1614"/>
      <c r="G54" s="1614"/>
    </row>
    <row r="55" spans="1:7" s="371" customFormat="1" ht="15.6">
      <c r="A55" s="435" t="s">
        <v>2551</v>
      </c>
    </row>
    <row r="56" spans="1:7" s="693" customFormat="1" ht="14.25" customHeight="1">
      <c r="A56" s="14818" t="s">
        <v>2854</v>
      </c>
      <c r="B56" s="2411" t="s">
        <v>7113</v>
      </c>
      <c r="C56" s="2412"/>
      <c r="D56" s="2411" t="s">
        <v>2029</v>
      </c>
      <c r="E56" s="14826" t="s">
        <v>7114</v>
      </c>
      <c r="F56" s="14827" t="s">
        <v>2031</v>
      </c>
      <c r="G56" s="14828"/>
    </row>
    <row r="57" spans="1:7" s="693" customFormat="1" ht="15.75" customHeight="1">
      <c r="A57" s="14818"/>
      <c r="B57" s="2413" t="s">
        <v>2738</v>
      </c>
      <c r="C57" s="2413" t="s">
        <v>1763</v>
      </c>
      <c r="D57" s="2413"/>
      <c r="E57" s="14820"/>
      <c r="F57" s="14823"/>
      <c r="G57" s="14824"/>
    </row>
    <row r="58" spans="1:7" ht="27" customHeight="1">
      <c r="A58" s="2410" t="s">
        <v>2804</v>
      </c>
      <c r="B58" s="2449" t="s">
        <v>2776</v>
      </c>
      <c r="C58" s="2415"/>
      <c r="D58" s="2416"/>
      <c r="E58" s="2414" t="s">
        <v>2169</v>
      </c>
      <c r="F58" s="2417"/>
      <c r="G58" s="2418"/>
    </row>
    <row r="59" spans="1:7" ht="15" customHeight="1">
      <c r="A59" s="1843"/>
      <c r="B59" s="2450" t="s">
        <v>3410</v>
      </c>
      <c r="C59" s="2415">
        <v>4328960.4800000004</v>
      </c>
      <c r="D59" s="2416"/>
      <c r="E59" s="2414"/>
      <c r="F59" s="2417"/>
      <c r="G59" s="2419"/>
    </row>
    <row r="60" spans="1:7" ht="15" customHeight="1">
      <c r="A60" s="1843"/>
      <c r="B60" s="2450" t="s">
        <v>3411</v>
      </c>
      <c r="C60" s="2415">
        <v>373171</v>
      </c>
      <c r="D60" s="2416"/>
      <c r="E60" s="2414"/>
      <c r="F60" s="2417"/>
      <c r="G60" s="2419"/>
    </row>
    <row r="61" spans="1:7" ht="17.25" customHeight="1">
      <c r="A61" s="1843"/>
      <c r="B61" s="2451" t="s">
        <v>2777</v>
      </c>
      <c r="C61" s="2414"/>
      <c r="D61" s="2420"/>
      <c r="E61" s="2420"/>
      <c r="F61" s="2421"/>
      <c r="G61" s="2422"/>
    </row>
    <row r="62" spans="1:7" ht="42" customHeight="1">
      <c r="A62" s="1843"/>
      <c r="B62" s="2452" t="s">
        <v>7115</v>
      </c>
      <c r="C62" s="2414"/>
      <c r="D62" s="2420" t="s">
        <v>7116</v>
      </c>
      <c r="E62" s="2420" t="s">
        <v>2739</v>
      </c>
      <c r="F62" s="2423">
        <v>40709</v>
      </c>
      <c r="G62" s="2424" t="s">
        <v>2740</v>
      </c>
    </row>
    <row r="63" spans="1:7" ht="33.75" customHeight="1">
      <c r="A63" s="1843"/>
      <c r="B63" s="2452" t="s">
        <v>7117</v>
      </c>
      <c r="C63" s="2414"/>
      <c r="D63" s="2420" t="s">
        <v>7118</v>
      </c>
      <c r="E63" s="2420" t="s">
        <v>2741</v>
      </c>
      <c r="F63" s="2421" t="s">
        <v>1816</v>
      </c>
      <c r="G63" s="2422" t="s">
        <v>1826</v>
      </c>
    </row>
    <row r="64" spans="1:7" ht="42.75" customHeight="1">
      <c r="A64" s="1843"/>
      <c r="B64" s="2452" t="s">
        <v>7119</v>
      </c>
      <c r="C64" s="2414"/>
      <c r="D64" s="2420" t="s">
        <v>7120</v>
      </c>
      <c r="E64" s="2420" t="s">
        <v>7121</v>
      </c>
      <c r="F64" s="2421" t="s">
        <v>1746</v>
      </c>
      <c r="G64" s="2422" t="s">
        <v>2546</v>
      </c>
    </row>
    <row r="65" spans="1:7" ht="53.25" customHeight="1">
      <c r="A65" s="1843"/>
      <c r="B65" s="2452" t="s">
        <v>2778</v>
      </c>
      <c r="C65" s="2414"/>
      <c r="D65" s="2420" t="s">
        <v>2742</v>
      </c>
      <c r="E65" s="2420" t="s">
        <v>3412</v>
      </c>
      <c r="F65" s="2421" t="s">
        <v>7122</v>
      </c>
      <c r="G65" s="2422" t="s">
        <v>7123</v>
      </c>
    </row>
    <row r="66" spans="1:7" ht="18" customHeight="1">
      <c r="A66" s="1843"/>
      <c r="B66" s="2451" t="s">
        <v>2779</v>
      </c>
      <c r="C66" s="2414"/>
      <c r="D66" s="2420"/>
      <c r="E66" s="2420"/>
      <c r="F66" s="2421"/>
      <c r="G66" s="2422"/>
    </row>
    <row r="67" spans="1:7" ht="44.25" customHeight="1">
      <c r="A67" s="1843"/>
      <c r="B67" s="2452" t="s">
        <v>2780</v>
      </c>
      <c r="C67" s="2414"/>
      <c r="D67" s="2420" t="s">
        <v>2743</v>
      </c>
      <c r="E67" s="2420" t="s">
        <v>2744</v>
      </c>
      <c r="F67" s="2421" t="s">
        <v>1816</v>
      </c>
      <c r="G67" s="2422" t="s">
        <v>2745</v>
      </c>
    </row>
    <row r="68" spans="1:7" ht="52.5" customHeight="1">
      <c r="A68" s="1843"/>
      <c r="B68" s="2452" t="s">
        <v>2781</v>
      </c>
      <c r="C68" s="2414" t="s">
        <v>9</v>
      </c>
      <c r="D68" s="2420" t="s">
        <v>2746</v>
      </c>
      <c r="E68" s="2420" t="s">
        <v>2744</v>
      </c>
      <c r="F68" s="2421" t="s">
        <v>1816</v>
      </c>
      <c r="G68" s="2422" t="s">
        <v>1811</v>
      </c>
    </row>
    <row r="69" spans="1:7" ht="54.75" customHeight="1">
      <c r="A69" s="1843"/>
      <c r="B69" s="2452" t="s">
        <v>2782</v>
      </c>
      <c r="C69" s="2425"/>
      <c r="D69" s="2420" t="s">
        <v>2747</v>
      </c>
      <c r="E69" s="2420" t="s">
        <v>7124</v>
      </c>
      <c r="F69" s="2421" t="s">
        <v>1816</v>
      </c>
      <c r="G69" s="2422" t="s">
        <v>2546</v>
      </c>
    </row>
    <row r="70" spans="1:7" ht="66.75" customHeight="1">
      <c r="A70" s="1843"/>
      <c r="B70" s="2452" t="s">
        <v>2783</v>
      </c>
      <c r="C70" s="2425"/>
      <c r="D70" s="2420" t="s">
        <v>7125</v>
      </c>
      <c r="E70" s="2420" t="s">
        <v>7126</v>
      </c>
      <c r="F70" s="2421" t="s">
        <v>1744</v>
      </c>
      <c r="G70" s="2422" t="s">
        <v>2546</v>
      </c>
    </row>
    <row r="71" spans="1:7" ht="45.75" customHeight="1">
      <c r="A71" s="1843"/>
      <c r="B71" s="2452" t="s">
        <v>2784</v>
      </c>
      <c r="C71" s="2425"/>
      <c r="D71" s="2420" t="s">
        <v>2748</v>
      </c>
      <c r="E71" s="2420" t="s">
        <v>3413</v>
      </c>
      <c r="F71" s="2421" t="s">
        <v>1816</v>
      </c>
      <c r="G71" s="2422" t="s">
        <v>2546</v>
      </c>
    </row>
    <row r="72" spans="1:7" ht="44.25" customHeight="1">
      <c r="A72" s="1843"/>
      <c r="B72" s="2452" t="s">
        <v>2785</v>
      </c>
      <c r="C72" s="2425"/>
      <c r="D72" s="2420" t="s">
        <v>2749</v>
      </c>
      <c r="E72" s="2420" t="s">
        <v>1823</v>
      </c>
      <c r="F72" s="2421" t="s">
        <v>1816</v>
      </c>
      <c r="G72" s="2422" t="s">
        <v>2546</v>
      </c>
    </row>
    <row r="73" spans="1:7" ht="30" customHeight="1">
      <c r="A73" s="1843"/>
      <c r="B73" s="2452" t="s">
        <v>2786</v>
      </c>
      <c r="C73" s="2425"/>
      <c r="D73" s="2420" t="s">
        <v>2750</v>
      </c>
      <c r="E73" s="2420" t="s">
        <v>3414</v>
      </c>
      <c r="F73" s="2421" t="s">
        <v>1816</v>
      </c>
      <c r="G73" s="2426" t="s">
        <v>2546</v>
      </c>
    </row>
    <row r="74" spans="1:7" s="434" customFormat="1" ht="30" customHeight="1">
      <c r="A74" s="1843"/>
      <c r="B74" s="2453" t="s">
        <v>2787</v>
      </c>
      <c r="C74" s="2427"/>
      <c r="D74" s="2428"/>
      <c r="E74" s="2429"/>
      <c r="F74" s="2430"/>
      <c r="G74" s="2430"/>
    </row>
    <row r="75" spans="1:7" s="434" customFormat="1" ht="14.25" customHeight="1">
      <c r="A75" s="1843"/>
      <c r="B75" s="2449" t="s">
        <v>3415</v>
      </c>
      <c r="C75" s="2431">
        <v>1402108.04</v>
      </c>
      <c r="D75" s="2425"/>
      <c r="E75" s="2420"/>
      <c r="F75" s="2422"/>
      <c r="G75" s="2422"/>
    </row>
    <row r="76" spans="1:7" s="434" customFormat="1" ht="14.25" customHeight="1">
      <c r="A76" s="1843"/>
      <c r="B76" s="2449" t="s">
        <v>3411</v>
      </c>
      <c r="C76" s="2431">
        <v>104011.05</v>
      </c>
      <c r="D76" s="2425"/>
      <c r="E76" s="2420"/>
      <c r="F76" s="2422"/>
      <c r="G76" s="2422"/>
    </row>
    <row r="77" spans="1:7" s="434" customFormat="1" ht="60" customHeight="1">
      <c r="A77" s="1843"/>
      <c r="B77" s="2452" t="s">
        <v>2788</v>
      </c>
      <c r="C77" s="2432"/>
      <c r="D77" s="2420" t="s">
        <v>2751</v>
      </c>
      <c r="E77" s="2420" t="s">
        <v>7127</v>
      </c>
      <c r="F77" s="2422" t="s">
        <v>1816</v>
      </c>
      <c r="G77" s="2422" t="s">
        <v>2546</v>
      </c>
    </row>
    <row r="78" spans="1:7" s="434" customFormat="1" ht="43.5" customHeight="1">
      <c r="A78" s="1843"/>
      <c r="B78" s="2452" t="s">
        <v>2789</v>
      </c>
      <c r="C78" s="2432"/>
      <c r="D78" s="2420" t="s">
        <v>2752</v>
      </c>
      <c r="E78" s="2420" t="s">
        <v>2753</v>
      </c>
      <c r="F78" s="2422" t="s">
        <v>1816</v>
      </c>
      <c r="G78" s="2422" t="s">
        <v>2546</v>
      </c>
    </row>
    <row r="79" spans="1:7" s="434" customFormat="1" ht="30" customHeight="1">
      <c r="A79" s="1843"/>
      <c r="B79" s="2452" t="s">
        <v>2790</v>
      </c>
      <c r="C79" s="2432"/>
      <c r="D79" s="2420" t="s">
        <v>2669</v>
      </c>
      <c r="E79" s="2420" t="s">
        <v>2754</v>
      </c>
      <c r="F79" s="2422" t="s">
        <v>1816</v>
      </c>
      <c r="G79" s="2422" t="s">
        <v>2546</v>
      </c>
    </row>
    <row r="80" spans="1:7" s="434" customFormat="1" ht="39.6">
      <c r="A80" s="1843"/>
      <c r="B80" s="2452" t="s">
        <v>2755</v>
      </c>
      <c r="C80" s="2432"/>
      <c r="D80" s="2420" t="s">
        <v>2756</v>
      </c>
      <c r="E80" s="2420" t="s">
        <v>2757</v>
      </c>
      <c r="F80" s="2422" t="s">
        <v>1816</v>
      </c>
      <c r="G80" s="2422" t="s">
        <v>2546</v>
      </c>
    </row>
    <row r="81" spans="1:7" s="434" customFormat="1">
      <c r="A81" s="3812"/>
      <c r="B81" s="3812"/>
      <c r="C81" s="3813"/>
      <c r="D81" s="3812"/>
      <c r="E81" s="3812"/>
      <c r="F81" s="3814"/>
      <c r="G81" s="3814"/>
    </row>
    <row r="82" spans="1:7" s="434" customFormat="1">
      <c r="A82" s="3815"/>
      <c r="B82" s="3815"/>
      <c r="C82" s="3816"/>
      <c r="D82" s="3815"/>
      <c r="E82" s="3815"/>
      <c r="F82" s="3817"/>
      <c r="G82" s="3817"/>
    </row>
    <row r="83" spans="1:7" s="434" customFormat="1">
      <c r="A83" s="3815"/>
      <c r="B83" s="3815"/>
      <c r="C83" s="3816"/>
      <c r="D83" s="3815"/>
      <c r="E83" s="3815"/>
      <c r="F83" s="3817"/>
      <c r="G83" s="3817"/>
    </row>
    <row r="84" spans="1:7" s="434" customFormat="1">
      <c r="A84" s="3818"/>
      <c r="B84" s="3818"/>
      <c r="C84" s="3819"/>
      <c r="D84" s="3818"/>
      <c r="E84" s="3818"/>
      <c r="F84" s="3820"/>
      <c r="G84" s="3820"/>
    </row>
    <row r="85" spans="1:7" s="693" customFormat="1" ht="14.25" customHeight="1">
      <c r="A85" s="14817" t="s">
        <v>2854</v>
      </c>
      <c r="B85" s="3810" t="s">
        <v>7113</v>
      </c>
      <c r="C85" s="3811"/>
      <c r="D85" s="3810" t="s">
        <v>2029</v>
      </c>
      <c r="E85" s="14819" t="s">
        <v>7114</v>
      </c>
      <c r="F85" s="14821" t="s">
        <v>2031</v>
      </c>
      <c r="G85" s="14822"/>
    </row>
    <row r="86" spans="1:7" s="693" customFormat="1" ht="15.75" customHeight="1">
      <c r="A86" s="14818"/>
      <c r="B86" s="2413" t="s">
        <v>2738</v>
      </c>
      <c r="C86" s="2413" t="s">
        <v>1763</v>
      </c>
      <c r="D86" s="2413"/>
      <c r="E86" s="14820"/>
      <c r="F86" s="14823"/>
      <c r="G86" s="14824"/>
    </row>
    <row r="87" spans="1:7" ht="26.4">
      <c r="A87" s="1843"/>
      <c r="B87" s="2453" t="s">
        <v>2791</v>
      </c>
      <c r="C87" s="2427"/>
      <c r="D87" s="2429"/>
      <c r="E87" s="2433"/>
      <c r="F87" s="2430"/>
      <c r="G87" s="2430"/>
    </row>
    <row r="88" spans="1:7">
      <c r="A88" s="1843"/>
      <c r="B88" s="2449" t="s">
        <v>3415</v>
      </c>
      <c r="C88" s="2431">
        <v>1944053.48</v>
      </c>
      <c r="D88" s="2420"/>
      <c r="E88" s="2434"/>
      <c r="F88" s="2422"/>
      <c r="G88" s="2422"/>
    </row>
    <row r="89" spans="1:7" ht="27" customHeight="1">
      <c r="A89" s="1843"/>
      <c r="B89" s="2449" t="s">
        <v>3411</v>
      </c>
      <c r="C89" s="2431">
        <v>349692.95</v>
      </c>
      <c r="D89" s="2420"/>
      <c r="E89" s="2434"/>
      <c r="F89" s="2422"/>
      <c r="G89" s="2422"/>
    </row>
    <row r="90" spans="1:7" ht="43.5" customHeight="1">
      <c r="A90" s="1843"/>
      <c r="B90" s="2452" t="s">
        <v>2792</v>
      </c>
      <c r="C90" s="2435"/>
      <c r="D90" s="2420" t="s">
        <v>2758</v>
      </c>
      <c r="E90" s="2421" t="s">
        <v>3416</v>
      </c>
      <c r="F90" s="2422" t="s">
        <v>1816</v>
      </c>
      <c r="G90" s="2422" t="s">
        <v>2546</v>
      </c>
    </row>
    <row r="91" spans="1:7" ht="44.25" customHeight="1">
      <c r="A91" s="1843"/>
      <c r="B91" s="2452" t="s">
        <v>2793</v>
      </c>
      <c r="C91" s="2425"/>
      <c r="D91" s="2420" t="s">
        <v>2759</v>
      </c>
      <c r="E91" s="2421" t="s">
        <v>7128</v>
      </c>
      <c r="F91" s="2422" t="s">
        <v>1816</v>
      </c>
      <c r="G91" s="2422" t="s">
        <v>2546</v>
      </c>
    </row>
    <row r="92" spans="1:7" ht="48" customHeight="1">
      <c r="A92" s="1843"/>
      <c r="B92" s="2452" t="s">
        <v>2794</v>
      </c>
      <c r="C92" s="2425"/>
      <c r="D92" s="2420" t="s">
        <v>2760</v>
      </c>
      <c r="E92" s="2421" t="s">
        <v>7129</v>
      </c>
      <c r="F92" s="2422" t="s">
        <v>1816</v>
      </c>
      <c r="G92" s="2422" t="s">
        <v>2546</v>
      </c>
    </row>
    <row r="93" spans="1:7" ht="30.75" customHeight="1">
      <c r="A93" s="1843"/>
      <c r="B93" s="2452" t="s">
        <v>3417</v>
      </c>
      <c r="C93" s="2425"/>
      <c r="D93" s="2420" t="s">
        <v>3418</v>
      </c>
      <c r="E93" s="2421" t="s">
        <v>7130</v>
      </c>
      <c r="F93" s="2422" t="s">
        <v>1808</v>
      </c>
      <c r="G93" s="2422" t="s">
        <v>1819</v>
      </c>
    </row>
    <row r="94" spans="1:7" ht="33" customHeight="1">
      <c r="A94" s="1843"/>
      <c r="B94" s="2452" t="s">
        <v>3419</v>
      </c>
      <c r="C94" s="2425"/>
      <c r="D94" s="2420" t="s">
        <v>2761</v>
      </c>
      <c r="E94" s="2421" t="s">
        <v>7131</v>
      </c>
      <c r="F94" s="2422" t="s">
        <v>1816</v>
      </c>
      <c r="G94" s="2422" t="s">
        <v>2546</v>
      </c>
    </row>
    <row r="95" spans="1:7" ht="46.5" customHeight="1">
      <c r="A95" s="1843"/>
      <c r="B95" s="2454" t="s">
        <v>7132</v>
      </c>
      <c r="C95" s="2436"/>
      <c r="D95" s="2436" t="s">
        <v>2762</v>
      </c>
      <c r="E95" s="2437" t="s">
        <v>3420</v>
      </c>
      <c r="F95" s="2438" t="s">
        <v>1816</v>
      </c>
      <c r="G95" s="2438" t="s">
        <v>2546</v>
      </c>
    </row>
    <row r="96" spans="1:7" ht="48" customHeight="1">
      <c r="A96" s="1843"/>
      <c r="B96" s="2452" t="s">
        <v>3421</v>
      </c>
      <c r="C96" s="2414"/>
      <c r="D96" s="14830" t="s">
        <v>2763</v>
      </c>
      <c r="E96" s="2439"/>
      <c r="F96" s="2422" t="s">
        <v>1816</v>
      </c>
      <c r="G96" s="2422" t="s">
        <v>2546</v>
      </c>
    </row>
    <row r="97" spans="1:7" ht="19.5" customHeight="1">
      <c r="A97" s="1843"/>
      <c r="B97" s="2452" t="s">
        <v>2764</v>
      </c>
      <c r="C97" s="2414"/>
      <c r="D97" s="14830"/>
      <c r="E97" s="2434" t="s">
        <v>7133</v>
      </c>
      <c r="F97" s="2422"/>
      <c r="G97" s="2422"/>
    </row>
    <row r="98" spans="1:7" ht="17.25" customHeight="1">
      <c r="A98" s="1843"/>
      <c r="B98" s="2452" t="s">
        <v>2765</v>
      </c>
      <c r="C98" s="2414"/>
      <c r="D98" s="14830"/>
      <c r="E98" s="2434" t="s">
        <v>7134</v>
      </c>
      <c r="F98" s="2422"/>
      <c r="G98" s="2422"/>
    </row>
    <row r="99" spans="1:7" ht="18" customHeight="1">
      <c r="A99" s="2458"/>
      <c r="B99" s="2452" t="s">
        <v>2766</v>
      </c>
      <c r="C99" s="2414"/>
      <c r="D99" s="2420"/>
      <c r="E99" s="2434"/>
      <c r="F99" s="2422"/>
      <c r="G99" s="2422"/>
    </row>
    <row r="100" spans="1:7" ht="34.5" customHeight="1">
      <c r="A100" s="2459" t="s">
        <v>2804</v>
      </c>
      <c r="B100" s="2452" t="s">
        <v>2795</v>
      </c>
      <c r="C100" s="2414"/>
      <c r="D100" s="2420" t="s">
        <v>2629</v>
      </c>
      <c r="E100" s="2434" t="s">
        <v>7135</v>
      </c>
      <c r="F100" s="2422" t="s">
        <v>1816</v>
      </c>
      <c r="G100" s="2422" t="s">
        <v>2546</v>
      </c>
    </row>
    <row r="101" spans="1:7" s="112" customFormat="1" ht="35.25" customHeight="1">
      <c r="A101" s="2460"/>
      <c r="B101" s="2452" t="s">
        <v>2796</v>
      </c>
      <c r="C101" s="2414"/>
      <c r="D101" s="2420" t="s">
        <v>2767</v>
      </c>
      <c r="E101" s="2434" t="s">
        <v>7136</v>
      </c>
      <c r="F101" s="2422" t="s">
        <v>1816</v>
      </c>
      <c r="G101" s="2422" t="s">
        <v>2546</v>
      </c>
    </row>
    <row r="102" spans="1:7" ht="40.5" customHeight="1">
      <c r="A102" s="2461"/>
      <c r="B102" s="2452" t="s">
        <v>2797</v>
      </c>
      <c r="C102" s="2414"/>
      <c r="D102" s="2420" t="s">
        <v>2768</v>
      </c>
      <c r="E102" s="2434" t="s">
        <v>7137</v>
      </c>
      <c r="F102" s="2422" t="s">
        <v>1816</v>
      </c>
      <c r="G102" s="2422" t="s">
        <v>2546</v>
      </c>
    </row>
    <row r="103" spans="1:7" ht="26.4">
      <c r="A103" s="2461"/>
      <c r="B103" s="2455" t="s">
        <v>3422</v>
      </c>
      <c r="C103" s="2414"/>
      <c r="D103" s="14831" t="s">
        <v>2769</v>
      </c>
      <c r="E103" s="2440" t="s">
        <v>7138</v>
      </c>
      <c r="F103" s="2422" t="s">
        <v>1816</v>
      </c>
      <c r="G103" s="2422" t="s">
        <v>2546</v>
      </c>
    </row>
    <row r="104" spans="1:7">
      <c r="A104" s="2461"/>
      <c r="B104" s="2452" t="s">
        <v>3423</v>
      </c>
      <c r="C104" s="2414"/>
      <c r="D104" s="14831"/>
      <c r="E104" s="2434" t="s">
        <v>3425</v>
      </c>
      <c r="F104" s="2422"/>
      <c r="G104" s="2422"/>
    </row>
    <row r="105" spans="1:7" ht="17.25" customHeight="1">
      <c r="A105" s="2461"/>
      <c r="B105" s="2452" t="s">
        <v>2798</v>
      </c>
      <c r="C105" s="2414"/>
      <c r="D105" s="2420" t="s">
        <v>2770</v>
      </c>
      <c r="E105" s="2421" t="s">
        <v>7139</v>
      </c>
      <c r="F105" s="2422" t="s">
        <v>1816</v>
      </c>
      <c r="G105" s="2422" t="s">
        <v>2546</v>
      </c>
    </row>
    <row r="106" spans="1:7" ht="60.75" customHeight="1">
      <c r="A106" s="2461"/>
      <c r="B106" s="2452" t="s">
        <v>2799</v>
      </c>
      <c r="C106" s="2414"/>
      <c r="D106" s="2420" t="s">
        <v>2771</v>
      </c>
      <c r="E106" s="2421" t="s">
        <v>2772</v>
      </c>
      <c r="F106" s="2422" t="s">
        <v>1816</v>
      </c>
      <c r="G106" s="2422" t="s">
        <v>2546</v>
      </c>
    </row>
    <row r="107" spans="1:7" ht="30" customHeight="1">
      <c r="A107" s="2461"/>
      <c r="B107" s="2456" t="s">
        <v>2775</v>
      </c>
      <c r="C107" s="2442"/>
      <c r="D107" s="2441" t="s">
        <v>2773</v>
      </c>
      <c r="E107" s="2443" t="s">
        <v>7140</v>
      </c>
      <c r="F107" s="2444"/>
      <c r="G107" s="2444"/>
    </row>
    <row r="108" spans="1:7" s="434" customFormat="1" ht="47.25" customHeight="1">
      <c r="A108" s="2461"/>
      <c r="B108" s="2463" t="s">
        <v>7141</v>
      </c>
      <c r="C108" s="2464" t="s">
        <v>7142</v>
      </c>
      <c r="D108" s="2465"/>
      <c r="E108" s="2466"/>
      <c r="F108" s="2467"/>
      <c r="G108" s="2468"/>
    </row>
    <row r="109" spans="1:7" s="434" customFormat="1" ht="22.5" customHeight="1">
      <c r="A109" s="2461"/>
      <c r="B109" s="2469" t="s">
        <v>7143</v>
      </c>
      <c r="C109" s="2470">
        <v>400000</v>
      </c>
      <c r="D109" s="2471"/>
      <c r="E109" s="2472"/>
      <c r="F109" s="2473"/>
      <c r="G109" s="2473"/>
    </row>
    <row r="110" spans="1:7" s="434" customFormat="1" ht="30" customHeight="1" thickBot="1">
      <c r="A110" s="2461"/>
      <c r="B110" s="2474" t="s">
        <v>7144</v>
      </c>
      <c r="C110" s="2475"/>
      <c r="D110" s="2476"/>
      <c r="E110" s="2476"/>
      <c r="F110" s="2477"/>
      <c r="G110" s="2477"/>
    </row>
    <row r="111" spans="1:7" s="434" customFormat="1" ht="24.75" customHeight="1" thickBot="1">
      <c r="A111" s="2462"/>
      <c r="B111" s="2457" t="s">
        <v>264</v>
      </c>
      <c r="C111" s="2445">
        <v>8901997</v>
      </c>
      <c r="D111" s="2446"/>
      <c r="E111" s="2446"/>
      <c r="F111" s="2447"/>
      <c r="G111" s="2448"/>
    </row>
    <row r="115" ht="15.75" customHeight="1"/>
  </sheetData>
  <mergeCells count="29">
    <mergeCell ref="A11:B11"/>
    <mergeCell ref="A2:G2"/>
    <mergeCell ref="A5:B5"/>
    <mergeCell ref="A9:G9"/>
    <mergeCell ref="A10:G10"/>
    <mergeCell ref="D96:D98"/>
    <mergeCell ref="D103:D104"/>
    <mergeCell ref="B42:G42"/>
    <mergeCell ref="A13:G13"/>
    <mergeCell ref="A16:G16"/>
    <mergeCell ref="A19:G19"/>
    <mergeCell ref="A31:G31"/>
    <mergeCell ref="A33:G33"/>
    <mergeCell ref="A35:G35"/>
    <mergeCell ref="B37:G37"/>
    <mergeCell ref="B38:G38"/>
    <mergeCell ref="A22:G22"/>
    <mergeCell ref="A25:G25"/>
    <mergeCell ref="A28:G28"/>
    <mergeCell ref="B39:G39"/>
    <mergeCell ref="B40:G40"/>
    <mergeCell ref="A85:A86"/>
    <mergeCell ref="E85:E86"/>
    <mergeCell ref="F85:G86"/>
    <mergeCell ref="B41:G41"/>
    <mergeCell ref="E56:E57"/>
    <mergeCell ref="F56:G57"/>
    <mergeCell ref="A43:G43"/>
    <mergeCell ref="A56:A57"/>
  </mergeCells>
  <pageMargins left="0.5" right="0.25" top="0.75" bottom="0.5" header="0.5" footer="0.25"/>
  <pageSetup paperSize="119" scale="95" firstPageNumber="165" orientation="portrait" useFirstPageNumber="1" verticalDpi="300" r:id="rId1"/>
  <headerFooter alignWithMargins="0"/>
</worksheet>
</file>

<file path=xl/worksheets/sheet94.xml><?xml version="1.0" encoding="utf-8"?>
<worksheet xmlns="http://schemas.openxmlformats.org/spreadsheetml/2006/main" xmlns:r="http://schemas.openxmlformats.org/officeDocument/2006/relationships">
  <sheetPr codeName="Sheet65">
    <tabColor theme="8" tint="-0.249977111117893"/>
  </sheetPr>
  <dimension ref="A1:L104"/>
  <sheetViews>
    <sheetView showGridLines="0" workbookViewId="0">
      <selection activeCell="K14" sqref="K14"/>
    </sheetView>
  </sheetViews>
  <sheetFormatPr defaultRowHeight="15" customHeight="1"/>
  <cols>
    <col min="1" max="1" width="3.88671875" style="7871" customWidth="1"/>
    <col min="2" max="2" width="55.5546875" style="7871" customWidth="1"/>
    <col min="3" max="3" width="12.5546875" style="9322" customWidth="1"/>
    <col min="4" max="7" width="15.5546875" style="7890" customWidth="1"/>
    <col min="8" max="8" width="14.109375" style="7890" customWidth="1"/>
    <col min="9" max="9" width="8.5546875" style="8897" customWidth="1"/>
    <col min="10" max="10" width="15.5546875" style="7890" customWidth="1"/>
    <col min="11" max="11" width="16.88671875" style="7310" customWidth="1"/>
    <col min="12" max="12" width="5.6640625" style="10252" customWidth="1"/>
    <col min="13" max="15" width="8.88671875" style="7871" customWidth="1"/>
    <col min="16" max="260" width="9.109375" style="7871"/>
    <col min="261" max="261" width="3.88671875" style="7871" customWidth="1"/>
    <col min="262" max="262" width="37.44140625" style="7871" customWidth="1"/>
    <col min="263" max="263" width="10.88671875" style="7871" customWidth="1"/>
    <col min="264" max="264" width="16" style="7871" customWidth="1"/>
    <col min="265" max="265" width="16.44140625" style="7871" customWidth="1"/>
    <col min="266" max="266" width="14.88671875" style="7871" customWidth="1"/>
    <col min="267" max="267" width="13" style="7871" bestFit="1" customWidth="1"/>
    <col min="268" max="516" width="9.109375" style="7871"/>
    <col min="517" max="517" width="3.88671875" style="7871" customWidth="1"/>
    <col min="518" max="518" width="37.44140625" style="7871" customWidth="1"/>
    <col min="519" max="519" width="10.88671875" style="7871" customWidth="1"/>
    <col min="520" max="520" width="16" style="7871" customWidth="1"/>
    <col min="521" max="521" width="16.44140625" style="7871" customWidth="1"/>
    <col min="522" max="522" width="14.88671875" style="7871" customWidth="1"/>
    <col min="523" max="523" width="13" style="7871" bestFit="1" customWidth="1"/>
    <col min="524" max="772" width="9.109375" style="7871"/>
    <col min="773" max="773" width="3.88671875" style="7871" customWidth="1"/>
    <col min="774" max="774" width="37.44140625" style="7871" customWidth="1"/>
    <col min="775" max="775" width="10.88671875" style="7871" customWidth="1"/>
    <col min="776" max="776" width="16" style="7871" customWidth="1"/>
    <col min="777" max="777" width="16.44140625" style="7871" customWidth="1"/>
    <col min="778" max="778" width="14.88671875" style="7871" customWidth="1"/>
    <col min="779" max="779" width="13" style="7871" bestFit="1" customWidth="1"/>
    <col min="780" max="1028" width="9.109375" style="7871"/>
    <col min="1029" max="1029" width="3.88671875" style="7871" customWidth="1"/>
    <col min="1030" max="1030" width="37.44140625" style="7871" customWidth="1"/>
    <col min="1031" max="1031" width="10.88671875" style="7871" customWidth="1"/>
    <col min="1032" max="1032" width="16" style="7871" customWidth="1"/>
    <col min="1033" max="1033" width="16.44140625" style="7871" customWidth="1"/>
    <col min="1034" max="1034" width="14.88671875" style="7871" customWidth="1"/>
    <col min="1035" max="1035" width="13" style="7871" bestFit="1" customWidth="1"/>
    <col min="1036" max="1284" width="9.109375" style="7871"/>
    <col min="1285" max="1285" width="3.88671875" style="7871" customWidth="1"/>
    <col min="1286" max="1286" width="37.44140625" style="7871" customWidth="1"/>
    <col min="1287" max="1287" width="10.88671875" style="7871" customWidth="1"/>
    <col min="1288" max="1288" width="16" style="7871" customWidth="1"/>
    <col min="1289" max="1289" width="16.44140625" style="7871" customWidth="1"/>
    <col min="1290" max="1290" width="14.88671875" style="7871" customWidth="1"/>
    <col min="1291" max="1291" width="13" style="7871" bestFit="1" customWidth="1"/>
    <col min="1292" max="1540" width="9.109375" style="7871"/>
    <col min="1541" max="1541" width="3.88671875" style="7871" customWidth="1"/>
    <col min="1542" max="1542" width="37.44140625" style="7871" customWidth="1"/>
    <col min="1543" max="1543" width="10.88671875" style="7871" customWidth="1"/>
    <col min="1544" max="1544" width="16" style="7871" customWidth="1"/>
    <col min="1545" max="1545" width="16.44140625" style="7871" customWidth="1"/>
    <col min="1546" max="1546" width="14.88671875" style="7871" customWidth="1"/>
    <col min="1547" max="1547" width="13" style="7871" bestFit="1" customWidth="1"/>
    <col min="1548" max="1796" width="9.109375" style="7871"/>
    <col min="1797" max="1797" width="3.88671875" style="7871" customWidth="1"/>
    <col min="1798" max="1798" width="37.44140625" style="7871" customWidth="1"/>
    <col min="1799" max="1799" width="10.88671875" style="7871" customWidth="1"/>
    <col min="1800" max="1800" width="16" style="7871" customWidth="1"/>
    <col min="1801" max="1801" width="16.44140625" style="7871" customWidth="1"/>
    <col min="1802" max="1802" width="14.88671875" style="7871" customWidth="1"/>
    <col min="1803" max="1803" width="13" style="7871" bestFit="1" customWidth="1"/>
    <col min="1804" max="2052" width="9.109375" style="7871"/>
    <col min="2053" max="2053" width="3.88671875" style="7871" customWidth="1"/>
    <col min="2054" max="2054" width="37.44140625" style="7871" customWidth="1"/>
    <col min="2055" max="2055" width="10.88671875" style="7871" customWidth="1"/>
    <col min="2056" max="2056" width="16" style="7871" customWidth="1"/>
    <col min="2057" max="2057" width="16.44140625" style="7871" customWidth="1"/>
    <col min="2058" max="2058" width="14.88671875" style="7871" customWidth="1"/>
    <col min="2059" max="2059" width="13" style="7871" bestFit="1" customWidth="1"/>
    <col min="2060" max="2308" width="9.109375" style="7871"/>
    <col min="2309" max="2309" width="3.88671875" style="7871" customWidth="1"/>
    <col min="2310" max="2310" width="37.44140625" style="7871" customWidth="1"/>
    <col min="2311" max="2311" width="10.88671875" style="7871" customWidth="1"/>
    <col min="2312" max="2312" width="16" style="7871" customWidth="1"/>
    <col min="2313" max="2313" width="16.44140625" style="7871" customWidth="1"/>
    <col min="2314" max="2314" width="14.88671875" style="7871" customWidth="1"/>
    <col min="2315" max="2315" width="13" style="7871" bestFit="1" customWidth="1"/>
    <col min="2316" max="2564" width="9.109375" style="7871"/>
    <col min="2565" max="2565" width="3.88671875" style="7871" customWidth="1"/>
    <col min="2566" max="2566" width="37.44140625" style="7871" customWidth="1"/>
    <col min="2567" max="2567" width="10.88671875" style="7871" customWidth="1"/>
    <col min="2568" max="2568" width="16" style="7871" customWidth="1"/>
    <col min="2569" max="2569" width="16.44140625" style="7871" customWidth="1"/>
    <col min="2570" max="2570" width="14.88671875" style="7871" customWidth="1"/>
    <col min="2571" max="2571" width="13" style="7871" bestFit="1" customWidth="1"/>
    <col min="2572" max="2820" width="9.109375" style="7871"/>
    <col min="2821" max="2821" width="3.88671875" style="7871" customWidth="1"/>
    <col min="2822" max="2822" width="37.44140625" style="7871" customWidth="1"/>
    <col min="2823" max="2823" width="10.88671875" style="7871" customWidth="1"/>
    <col min="2824" max="2824" width="16" style="7871" customWidth="1"/>
    <col min="2825" max="2825" width="16.44140625" style="7871" customWidth="1"/>
    <col min="2826" max="2826" width="14.88671875" style="7871" customWidth="1"/>
    <col min="2827" max="2827" width="13" style="7871" bestFit="1" customWidth="1"/>
    <col min="2828" max="3076" width="9.109375" style="7871"/>
    <col min="3077" max="3077" width="3.88671875" style="7871" customWidth="1"/>
    <col min="3078" max="3078" width="37.44140625" style="7871" customWidth="1"/>
    <col min="3079" max="3079" width="10.88671875" style="7871" customWidth="1"/>
    <col min="3080" max="3080" width="16" style="7871" customWidth="1"/>
    <col min="3081" max="3081" width="16.44140625" style="7871" customWidth="1"/>
    <col min="3082" max="3082" width="14.88671875" style="7871" customWidth="1"/>
    <col min="3083" max="3083" width="13" style="7871" bestFit="1" customWidth="1"/>
    <col min="3084" max="3332" width="9.109375" style="7871"/>
    <col min="3333" max="3333" width="3.88671875" style="7871" customWidth="1"/>
    <col min="3334" max="3334" width="37.44140625" style="7871" customWidth="1"/>
    <col min="3335" max="3335" width="10.88671875" style="7871" customWidth="1"/>
    <col min="3336" max="3336" width="16" style="7871" customWidth="1"/>
    <col min="3337" max="3337" width="16.44140625" style="7871" customWidth="1"/>
    <col min="3338" max="3338" width="14.88671875" style="7871" customWidth="1"/>
    <col min="3339" max="3339" width="13" style="7871" bestFit="1" customWidth="1"/>
    <col min="3340" max="3588" width="9.109375" style="7871"/>
    <col min="3589" max="3589" width="3.88671875" style="7871" customWidth="1"/>
    <col min="3590" max="3590" width="37.44140625" style="7871" customWidth="1"/>
    <col min="3591" max="3591" width="10.88671875" style="7871" customWidth="1"/>
    <col min="3592" max="3592" width="16" style="7871" customWidth="1"/>
    <col min="3593" max="3593" width="16.44140625" style="7871" customWidth="1"/>
    <col min="3594" max="3594" width="14.88671875" style="7871" customWidth="1"/>
    <col min="3595" max="3595" width="13" style="7871" bestFit="1" customWidth="1"/>
    <col min="3596" max="3844" width="9.109375" style="7871"/>
    <col min="3845" max="3845" width="3.88671875" style="7871" customWidth="1"/>
    <col min="3846" max="3846" width="37.44140625" style="7871" customWidth="1"/>
    <col min="3847" max="3847" width="10.88671875" style="7871" customWidth="1"/>
    <col min="3848" max="3848" width="16" style="7871" customWidth="1"/>
    <col min="3849" max="3849" width="16.44140625" style="7871" customWidth="1"/>
    <col min="3850" max="3850" width="14.88671875" style="7871" customWidth="1"/>
    <col min="3851" max="3851" width="13" style="7871" bestFit="1" customWidth="1"/>
    <col min="3852" max="4100" width="9.109375" style="7871"/>
    <col min="4101" max="4101" width="3.88671875" style="7871" customWidth="1"/>
    <col min="4102" max="4102" width="37.44140625" style="7871" customWidth="1"/>
    <col min="4103" max="4103" width="10.88671875" style="7871" customWidth="1"/>
    <col min="4104" max="4104" width="16" style="7871" customWidth="1"/>
    <col min="4105" max="4105" width="16.44140625" style="7871" customWidth="1"/>
    <col min="4106" max="4106" width="14.88671875" style="7871" customWidth="1"/>
    <col min="4107" max="4107" width="13" style="7871" bestFit="1" customWidth="1"/>
    <col min="4108" max="4356" width="9.109375" style="7871"/>
    <col min="4357" max="4357" width="3.88671875" style="7871" customWidth="1"/>
    <col min="4358" max="4358" width="37.44140625" style="7871" customWidth="1"/>
    <col min="4359" max="4359" width="10.88671875" style="7871" customWidth="1"/>
    <col min="4360" max="4360" width="16" style="7871" customWidth="1"/>
    <col min="4361" max="4361" width="16.44140625" style="7871" customWidth="1"/>
    <col min="4362" max="4362" width="14.88671875" style="7871" customWidth="1"/>
    <col min="4363" max="4363" width="13" style="7871" bestFit="1" customWidth="1"/>
    <col min="4364" max="4612" width="9.109375" style="7871"/>
    <col min="4613" max="4613" width="3.88671875" style="7871" customWidth="1"/>
    <col min="4614" max="4614" width="37.44140625" style="7871" customWidth="1"/>
    <col min="4615" max="4615" width="10.88671875" style="7871" customWidth="1"/>
    <col min="4616" max="4616" width="16" style="7871" customWidth="1"/>
    <col min="4617" max="4617" width="16.44140625" style="7871" customWidth="1"/>
    <col min="4618" max="4618" width="14.88671875" style="7871" customWidth="1"/>
    <col min="4619" max="4619" width="13" style="7871" bestFit="1" customWidth="1"/>
    <col min="4620" max="4868" width="9.109375" style="7871"/>
    <col min="4869" max="4869" width="3.88671875" style="7871" customWidth="1"/>
    <col min="4870" max="4870" width="37.44140625" style="7871" customWidth="1"/>
    <col min="4871" max="4871" width="10.88671875" style="7871" customWidth="1"/>
    <col min="4872" max="4872" width="16" style="7871" customWidth="1"/>
    <col min="4873" max="4873" width="16.44140625" style="7871" customWidth="1"/>
    <col min="4874" max="4874" width="14.88671875" style="7871" customWidth="1"/>
    <col min="4875" max="4875" width="13" style="7871" bestFit="1" customWidth="1"/>
    <col min="4876" max="5124" width="9.109375" style="7871"/>
    <col min="5125" max="5125" width="3.88671875" style="7871" customWidth="1"/>
    <col min="5126" max="5126" width="37.44140625" style="7871" customWidth="1"/>
    <col min="5127" max="5127" width="10.88671875" style="7871" customWidth="1"/>
    <col min="5128" max="5128" width="16" style="7871" customWidth="1"/>
    <col min="5129" max="5129" width="16.44140625" style="7871" customWidth="1"/>
    <col min="5130" max="5130" width="14.88671875" style="7871" customWidth="1"/>
    <col min="5131" max="5131" width="13" style="7871" bestFit="1" customWidth="1"/>
    <col min="5132" max="5380" width="9.109375" style="7871"/>
    <col min="5381" max="5381" width="3.88671875" style="7871" customWidth="1"/>
    <col min="5382" max="5382" width="37.44140625" style="7871" customWidth="1"/>
    <col min="5383" max="5383" width="10.88671875" style="7871" customWidth="1"/>
    <col min="5384" max="5384" width="16" style="7871" customWidth="1"/>
    <col min="5385" max="5385" width="16.44140625" style="7871" customWidth="1"/>
    <col min="5386" max="5386" width="14.88671875" style="7871" customWidth="1"/>
    <col min="5387" max="5387" width="13" style="7871" bestFit="1" customWidth="1"/>
    <col min="5388" max="5636" width="9.109375" style="7871"/>
    <col min="5637" max="5637" width="3.88671875" style="7871" customWidth="1"/>
    <col min="5638" max="5638" width="37.44140625" style="7871" customWidth="1"/>
    <col min="5639" max="5639" width="10.88671875" style="7871" customWidth="1"/>
    <col min="5640" max="5640" width="16" style="7871" customWidth="1"/>
    <col min="5641" max="5641" width="16.44140625" style="7871" customWidth="1"/>
    <col min="5642" max="5642" width="14.88671875" style="7871" customWidth="1"/>
    <col min="5643" max="5643" width="13" style="7871" bestFit="1" customWidth="1"/>
    <col min="5644" max="5892" width="9.109375" style="7871"/>
    <col min="5893" max="5893" width="3.88671875" style="7871" customWidth="1"/>
    <col min="5894" max="5894" width="37.44140625" style="7871" customWidth="1"/>
    <col min="5895" max="5895" width="10.88671875" style="7871" customWidth="1"/>
    <col min="5896" max="5896" width="16" style="7871" customWidth="1"/>
    <col min="5897" max="5897" width="16.44140625" style="7871" customWidth="1"/>
    <col min="5898" max="5898" width="14.88671875" style="7871" customWidth="1"/>
    <col min="5899" max="5899" width="13" style="7871" bestFit="1" customWidth="1"/>
    <col min="5900" max="6148" width="9.109375" style="7871"/>
    <col min="6149" max="6149" width="3.88671875" style="7871" customWidth="1"/>
    <col min="6150" max="6150" width="37.44140625" style="7871" customWidth="1"/>
    <col min="6151" max="6151" width="10.88671875" style="7871" customWidth="1"/>
    <col min="6152" max="6152" width="16" style="7871" customWidth="1"/>
    <col min="6153" max="6153" width="16.44140625" style="7871" customWidth="1"/>
    <col min="6154" max="6154" width="14.88671875" style="7871" customWidth="1"/>
    <col min="6155" max="6155" width="13" style="7871" bestFit="1" customWidth="1"/>
    <col min="6156" max="6404" width="9.109375" style="7871"/>
    <col min="6405" max="6405" width="3.88671875" style="7871" customWidth="1"/>
    <col min="6406" max="6406" width="37.44140625" style="7871" customWidth="1"/>
    <col min="6407" max="6407" width="10.88671875" style="7871" customWidth="1"/>
    <col min="6408" max="6408" width="16" style="7871" customWidth="1"/>
    <col min="6409" max="6409" width="16.44140625" style="7871" customWidth="1"/>
    <col min="6410" max="6410" width="14.88671875" style="7871" customWidth="1"/>
    <col min="6411" max="6411" width="13" style="7871" bestFit="1" customWidth="1"/>
    <col min="6412" max="6660" width="9.109375" style="7871"/>
    <col min="6661" max="6661" width="3.88671875" style="7871" customWidth="1"/>
    <col min="6662" max="6662" width="37.44140625" style="7871" customWidth="1"/>
    <col min="6663" max="6663" width="10.88671875" style="7871" customWidth="1"/>
    <col min="6664" max="6664" width="16" style="7871" customWidth="1"/>
    <col min="6665" max="6665" width="16.44140625" style="7871" customWidth="1"/>
    <col min="6666" max="6666" width="14.88671875" style="7871" customWidth="1"/>
    <col min="6667" max="6667" width="13" style="7871" bestFit="1" customWidth="1"/>
    <col min="6668" max="6916" width="9.109375" style="7871"/>
    <col min="6917" max="6917" width="3.88671875" style="7871" customWidth="1"/>
    <col min="6918" max="6918" width="37.44140625" style="7871" customWidth="1"/>
    <col min="6919" max="6919" width="10.88671875" style="7871" customWidth="1"/>
    <col min="6920" max="6920" width="16" style="7871" customWidth="1"/>
    <col min="6921" max="6921" width="16.44140625" style="7871" customWidth="1"/>
    <col min="6922" max="6922" width="14.88671875" style="7871" customWidth="1"/>
    <col min="6923" max="6923" width="13" style="7871" bestFit="1" customWidth="1"/>
    <col min="6924" max="7172" width="9.109375" style="7871"/>
    <col min="7173" max="7173" width="3.88671875" style="7871" customWidth="1"/>
    <col min="7174" max="7174" width="37.44140625" style="7871" customWidth="1"/>
    <col min="7175" max="7175" width="10.88671875" style="7871" customWidth="1"/>
    <col min="7176" max="7176" width="16" style="7871" customWidth="1"/>
    <col min="7177" max="7177" width="16.44140625" style="7871" customWidth="1"/>
    <col min="7178" max="7178" width="14.88671875" style="7871" customWidth="1"/>
    <col min="7179" max="7179" width="13" style="7871" bestFit="1" customWidth="1"/>
    <col min="7180" max="7428" width="9.109375" style="7871"/>
    <col min="7429" max="7429" width="3.88671875" style="7871" customWidth="1"/>
    <col min="7430" max="7430" width="37.44140625" style="7871" customWidth="1"/>
    <col min="7431" max="7431" width="10.88671875" style="7871" customWidth="1"/>
    <col min="7432" max="7432" width="16" style="7871" customWidth="1"/>
    <col min="7433" max="7433" width="16.44140625" style="7871" customWidth="1"/>
    <col min="7434" max="7434" width="14.88671875" style="7871" customWidth="1"/>
    <col min="7435" max="7435" width="13" style="7871" bestFit="1" customWidth="1"/>
    <col min="7436" max="7684" width="9.109375" style="7871"/>
    <col min="7685" max="7685" width="3.88671875" style="7871" customWidth="1"/>
    <col min="7686" max="7686" width="37.44140625" style="7871" customWidth="1"/>
    <col min="7687" max="7687" width="10.88671875" style="7871" customWidth="1"/>
    <col min="7688" max="7688" width="16" style="7871" customWidth="1"/>
    <col min="7689" max="7689" width="16.44140625" style="7871" customWidth="1"/>
    <col min="7690" max="7690" width="14.88671875" style="7871" customWidth="1"/>
    <col min="7691" max="7691" width="13" style="7871" bestFit="1" customWidth="1"/>
    <col min="7692" max="7940" width="9.109375" style="7871"/>
    <col min="7941" max="7941" width="3.88671875" style="7871" customWidth="1"/>
    <col min="7942" max="7942" width="37.44140625" style="7871" customWidth="1"/>
    <col min="7943" max="7943" width="10.88671875" style="7871" customWidth="1"/>
    <col min="7944" max="7944" width="16" style="7871" customWidth="1"/>
    <col min="7945" max="7945" width="16.44140625" style="7871" customWidth="1"/>
    <col min="7946" max="7946" width="14.88671875" style="7871" customWidth="1"/>
    <col min="7947" max="7947" width="13" style="7871" bestFit="1" customWidth="1"/>
    <col min="7948" max="8196" width="9.109375" style="7871"/>
    <col min="8197" max="8197" width="3.88671875" style="7871" customWidth="1"/>
    <col min="8198" max="8198" width="37.44140625" style="7871" customWidth="1"/>
    <col min="8199" max="8199" width="10.88671875" style="7871" customWidth="1"/>
    <col min="8200" max="8200" width="16" style="7871" customWidth="1"/>
    <col min="8201" max="8201" width="16.44140625" style="7871" customWidth="1"/>
    <col min="8202" max="8202" width="14.88671875" style="7871" customWidth="1"/>
    <col min="8203" max="8203" width="13" style="7871" bestFit="1" customWidth="1"/>
    <col min="8204" max="8452" width="9.109375" style="7871"/>
    <col min="8453" max="8453" width="3.88671875" style="7871" customWidth="1"/>
    <col min="8454" max="8454" width="37.44140625" style="7871" customWidth="1"/>
    <col min="8455" max="8455" width="10.88671875" style="7871" customWidth="1"/>
    <col min="8456" max="8456" width="16" style="7871" customWidth="1"/>
    <col min="8457" max="8457" width="16.44140625" style="7871" customWidth="1"/>
    <col min="8458" max="8458" width="14.88671875" style="7871" customWidth="1"/>
    <col min="8459" max="8459" width="13" style="7871" bestFit="1" customWidth="1"/>
    <col min="8460" max="8708" width="9.109375" style="7871"/>
    <col min="8709" max="8709" width="3.88671875" style="7871" customWidth="1"/>
    <col min="8710" max="8710" width="37.44140625" style="7871" customWidth="1"/>
    <col min="8711" max="8711" width="10.88671875" style="7871" customWidth="1"/>
    <col min="8712" max="8712" width="16" style="7871" customWidth="1"/>
    <col min="8713" max="8713" width="16.44140625" style="7871" customWidth="1"/>
    <col min="8714" max="8714" width="14.88671875" style="7871" customWidth="1"/>
    <col min="8715" max="8715" width="13" style="7871" bestFit="1" customWidth="1"/>
    <col min="8716" max="8964" width="9.109375" style="7871"/>
    <col min="8965" max="8965" width="3.88671875" style="7871" customWidth="1"/>
    <col min="8966" max="8966" width="37.44140625" style="7871" customWidth="1"/>
    <col min="8967" max="8967" width="10.88671875" style="7871" customWidth="1"/>
    <col min="8968" max="8968" width="16" style="7871" customWidth="1"/>
    <col min="8969" max="8969" width="16.44140625" style="7871" customWidth="1"/>
    <col min="8970" max="8970" width="14.88671875" style="7871" customWidth="1"/>
    <col min="8971" max="8971" width="13" style="7871" bestFit="1" customWidth="1"/>
    <col min="8972" max="9220" width="9.109375" style="7871"/>
    <col min="9221" max="9221" width="3.88671875" style="7871" customWidth="1"/>
    <col min="9222" max="9222" width="37.44140625" style="7871" customWidth="1"/>
    <col min="9223" max="9223" width="10.88671875" style="7871" customWidth="1"/>
    <col min="9224" max="9224" width="16" style="7871" customWidth="1"/>
    <col min="9225" max="9225" width="16.44140625" style="7871" customWidth="1"/>
    <col min="9226" max="9226" width="14.88671875" style="7871" customWidth="1"/>
    <col min="9227" max="9227" width="13" style="7871" bestFit="1" customWidth="1"/>
    <col min="9228" max="9476" width="9.109375" style="7871"/>
    <col min="9477" max="9477" width="3.88671875" style="7871" customWidth="1"/>
    <col min="9478" max="9478" width="37.44140625" style="7871" customWidth="1"/>
    <col min="9479" max="9479" width="10.88671875" style="7871" customWidth="1"/>
    <col min="9480" max="9480" width="16" style="7871" customWidth="1"/>
    <col min="9481" max="9481" width="16.44140625" style="7871" customWidth="1"/>
    <col min="9482" max="9482" width="14.88671875" style="7871" customWidth="1"/>
    <col min="9483" max="9483" width="13" style="7871" bestFit="1" customWidth="1"/>
    <col min="9484" max="9732" width="9.109375" style="7871"/>
    <col min="9733" max="9733" width="3.88671875" style="7871" customWidth="1"/>
    <col min="9734" max="9734" width="37.44140625" style="7871" customWidth="1"/>
    <col min="9735" max="9735" width="10.88671875" style="7871" customWidth="1"/>
    <col min="9736" max="9736" width="16" style="7871" customWidth="1"/>
    <col min="9737" max="9737" width="16.44140625" style="7871" customWidth="1"/>
    <col min="9738" max="9738" width="14.88671875" style="7871" customWidth="1"/>
    <col min="9739" max="9739" width="13" style="7871" bestFit="1" customWidth="1"/>
    <col min="9740" max="9988" width="9.109375" style="7871"/>
    <col min="9989" max="9989" width="3.88671875" style="7871" customWidth="1"/>
    <col min="9990" max="9990" width="37.44140625" style="7871" customWidth="1"/>
    <col min="9991" max="9991" width="10.88671875" style="7871" customWidth="1"/>
    <col min="9992" max="9992" width="16" style="7871" customWidth="1"/>
    <col min="9993" max="9993" width="16.44140625" style="7871" customWidth="1"/>
    <col min="9994" max="9994" width="14.88671875" style="7871" customWidth="1"/>
    <col min="9995" max="9995" width="13" style="7871" bestFit="1" customWidth="1"/>
    <col min="9996" max="10244" width="9.109375" style="7871"/>
    <col min="10245" max="10245" width="3.88671875" style="7871" customWidth="1"/>
    <col min="10246" max="10246" width="37.44140625" style="7871" customWidth="1"/>
    <col min="10247" max="10247" width="10.88671875" style="7871" customWidth="1"/>
    <col min="10248" max="10248" width="16" style="7871" customWidth="1"/>
    <col min="10249" max="10249" width="16.44140625" style="7871" customWidth="1"/>
    <col min="10250" max="10250" width="14.88671875" style="7871" customWidth="1"/>
    <col min="10251" max="10251" width="13" style="7871" bestFit="1" customWidth="1"/>
    <col min="10252" max="10500" width="9.109375" style="7871"/>
    <col min="10501" max="10501" width="3.88671875" style="7871" customWidth="1"/>
    <col min="10502" max="10502" width="37.44140625" style="7871" customWidth="1"/>
    <col min="10503" max="10503" width="10.88671875" style="7871" customWidth="1"/>
    <col min="10504" max="10504" width="16" style="7871" customWidth="1"/>
    <col min="10505" max="10505" width="16.44140625" style="7871" customWidth="1"/>
    <col min="10506" max="10506" width="14.88671875" style="7871" customWidth="1"/>
    <col min="10507" max="10507" width="13" style="7871" bestFit="1" customWidth="1"/>
    <col min="10508" max="10756" width="9.109375" style="7871"/>
    <col min="10757" max="10757" width="3.88671875" style="7871" customWidth="1"/>
    <col min="10758" max="10758" width="37.44140625" style="7871" customWidth="1"/>
    <col min="10759" max="10759" width="10.88671875" style="7871" customWidth="1"/>
    <col min="10760" max="10760" width="16" style="7871" customWidth="1"/>
    <col min="10761" max="10761" width="16.44140625" style="7871" customWidth="1"/>
    <col min="10762" max="10762" width="14.88671875" style="7871" customWidth="1"/>
    <col min="10763" max="10763" width="13" style="7871" bestFit="1" customWidth="1"/>
    <col min="10764" max="11012" width="9.109375" style="7871"/>
    <col min="11013" max="11013" width="3.88671875" style="7871" customWidth="1"/>
    <col min="11014" max="11014" width="37.44140625" style="7871" customWidth="1"/>
    <col min="11015" max="11015" width="10.88671875" style="7871" customWidth="1"/>
    <col min="11016" max="11016" width="16" style="7871" customWidth="1"/>
    <col min="11017" max="11017" width="16.44140625" style="7871" customWidth="1"/>
    <col min="11018" max="11018" width="14.88671875" style="7871" customWidth="1"/>
    <col min="11019" max="11019" width="13" style="7871" bestFit="1" customWidth="1"/>
    <col min="11020" max="11268" width="9.109375" style="7871"/>
    <col min="11269" max="11269" width="3.88671875" style="7871" customWidth="1"/>
    <col min="11270" max="11270" width="37.44140625" style="7871" customWidth="1"/>
    <col min="11271" max="11271" width="10.88671875" style="7871" customWidth="1"/>
    <col min="11272" max="11272" width="16" style="7871" customWidth="1"/>
    <col min="11273" max="11273" width="16.44140625" style="7871" customWidth="1"/>
    <col min="11274" max="11274" width="14.88671875" style="7871" customWidth="1"/>
    <col min="11275" max="11275" width="13" style="7871" bestFit="1" customWidth="1"/>
    <col min="11276" max="11524" width="9.109375" style="7871"/>
    <col min="11525" max="11525" width="3.88671875" style="7871" customWidth="1"/>
    <col min="11526" max="11526" width="37.44140625" style="7871" customWidth="1"/>
    <col min="11527" max="11527" width="10.88671875" style="7871" customWidth="1"/>
    <col min="11528" max="11528" width="16" style="7871" customWidth="1"/>
    <col min="11529" max="11529" width="16.44140625" style="7871" customWidth="1"/>
    <col min="11530" max="11530" width="14.88671875" style="7871" customWidth="1"/>
    <col min="11531" max="11531" width="13" style="7871" bestFit="1" customWidth="1"/>
    <col min="11532" max="11780" width="9.109375" style="7871"/>
    <col min="11781" max="11781" width="3.88671875" style="7871" customWidth="1"/>
    <col min="11782" max="11782" width="37.44140625" style="7871" customWidth="1"/>
    <col min="11783" max="11783" width="10.88671875" style="7871" customWidth="1"/>
    <col min="11784" max="11784" width="16" style="7871" customWidth="1"/>
    <col min="11785" max="11785" width="16.44140625" style="7871" customWidth="1"/>
    <col min="11786" max="11786" width="14.88671875" style="7871" customWidth="1"/>
    <col min="11787" max="11787" width="13" style="7871" bestFit="1" customWidth="1"/>
    <col min="11788" max="12036" width="9.109375" style="7871"/>
    <col min="12037" max="12037" width="3.88671875" style="7871" customWidth="1"/>
    <col min="12038" max="12038" width="37.44140625" style="7871" customWidth="1"/>
    <col min="12039" max="12039" width="10.88671875" style="7871" customWidth="1"/>
    <col min="12040" max="12040" width="16" style="7871" customWidth="1"/>
    <col min="12041" max="12041" width="16.44140625" style="7871" customWidth="1"/>
    <col min="12042" max="12042" width="14.88671875" style="7871" customWidth="1"/>
    <col min="12043" max="12043" width="13" style="7871" bestFit="1" customWidth="1"/>
    <col min="12044" max="12292" width="9.109375" style="7871"/>
    <col min="12293" max="12293" width="3.88671875" style="7871" customWidth="1"/>
    <col min="12294" max="12294" width="37.44140625" style="7871" customWidth="1"/>
    <col min="12295" max="12295" width="10.88671875" style="7871" customWidth="1"/>
    <col min="12296" max="12296" width="16" style="7871" customWidth="1"/>
    <col min="12297" max="12297" width="16.44140625" style="7871" customWidth="1"/>
    <col min="12298" max="12298" width="14.88671875" style="7871" customWidth="1"/>
    <col min="12299" max="12299" width="13" style="7871" bestFit="1" customWidth="1"/>
    <col min="12300" max="12548" width="9.109375" style="7871"/>
    <col min="12549" max="12549" width="3.88671875" style="7871" customWidth="1"/>
    <col min="12550" max="12550" width="37.44140625" style="7871" customWidth="1"/>
    <col min="12551" max="12551" width="10.88671875" style="7871" customWidth="1"/>
    <col min="12552" max="12552" width="16" style="7871" customWidth="1"/>
    <col min="12553" max="12553" width="16.44140625" style="7871" customWidth="1"/>
    <col min="12554" max="12554" width="14.88671875" style="7871" customWidth="1"/>
    <col min="12555" max="12555" width="13" style="7871" bestFit="1" customWidth="1"/>
    <col min="12556" max="12804" width="9.109375" style="7871"/>
    <col min="12805" max="12805" width="3.88671875" style="7871" customWidth="1"/>
    <col min="12806" max="12806" width="37.44140625" style="7871" customWidth="1"/>
    <col min="12807" max="12807" width="10.88671875" style="7871" customWidth="1"/>
    <col min="12808" max="12808" width="16" style="7871" customWidth="1"/>
    <col min="12809" max="12809" width="16.44140625" style="7871" customWidth="1"/>
    <col min="12810" max="12810" width="14.88671875" style="7871" customWidth="1"/>
    <col min="12811" max="12811" width="13" style="7871" bestFit="1" customWidth="1"/>
    <col min="12812" max="13060" width="9.109375" style="7871"/>
    <col min="13061" max="13061" width="3.88671875" style="7871" customWidth="1"/>
    <col min="13062" max="13062" width="37.44140625" style="7871" customWidth="1"/>
    <col min="13063" max="13063" width="10.88671875" style="7871" customWidth="1"/>
    <col min="13064" max="13064" width="16" style="7871" customWidth="1"/>
    <col min="13065" max="13065" width="16.44140625" style="7871" customWidth="1"/>
    <col min="13066" max="13066" width="14.88671875" style="7871" customWidth="1"/>
    <col min="13067" max="13067" width="13" style="7871" bestFit="1" customWidth="1"/>
    <col min="13068" max="13316" width="9.109375" style="7871"/>
    <col min="13317" max="13317" width="3.88671875" style="7871" customWidth="1"/>
    <col min="13318" max="13318" width="37.44140625" style="7871" customWidth="1"/>
    <col min="13319" max="13319" width="10.88671875" style="7871" customWidth="1"/>
    <col min="13320" max="13320" width="16" style="7871" customWidth="1"/>
    <col min="13321" max="13321" width="16.44140625" style="7871" customWidth="1"/>
    <col min="13322" max="13322" width="14.88671875" style="7871" customWidth="1"/>
    <col min="13323" max="13323" width="13" style="7871" bestFit="1" customWidth="1"/>
    <col min="13324" max="13572" width="9.109375" style="7871"/>
    <col min="13573" max="13573" width="3.88671875" style="7871" customWidth="1"/>
    <col min="13574" max="13574" width="37.44140625" style="7871" customWidth="1"/>
    <col min="13575" max="13575" width="10.88671875" style="7871" customWidth="1"/>
    <col min="13576" max="13576" width="16" style="7871" customWidth="1"/>
    <col min="13577" max="13577" width="16.44140625" style="7871" customWidth="1"/>
    <col min="13578" max="13578" width="14.88671875" style="7871" customWidth="1"/>
    <col min="13579" max="13579" width="13" style="7871" bestFit="1" customWidth="1"/>
    <col min="13580" max="13828" width="9.109375" style="7871"/>
    <col min="13829" max="13829" width="3.88671875" style="7871" customWidth="1"/>
    <col min="13830" max="13830" width="37.44140625" style="7871" customWidth="1"/>
    <col min="13831" max="13831" width="10.88671875" style="7871" customWidth="1"/>
    <col min="13832" max="13832" width="16" style="7871" customWidth="1"/>
    <col min="13833" max="13833" width="16.44140625" style="7871" customWidth="1"/>
    <col min="13834" max="13834" width="14.88671875" style="7871" customWidth="1"/>
    <col min="13835" max="13835" width="13" style="7871" bestFit="1" customWidth="1"/>
    <col min="13836" max="14084" width="9.109375" style="7871"/>
    <col min="14085" max="14085" width="3.88671875" style="7871" customWidth="1"/>
    <col min="14086" max="14086" width="37.44140625" style="7871" customWidth="1"/>
    <col min="14087" max="14087" width="10.88671875" style="7871" customWidth="1"/>
    <col min="14088" max="14088" width="16" style="7871" customWidth="1"/>
    <col min="14089" max="14089" width="16.44140625" style="7871" customWidth="1"/>
    <col min="14090" max="14090" width="14.88671875" style="7871" customWidth="1"/>
    <col min="14091" max="14091" width="13" style="7871" bestFit="1" customWidth="1"/>
    <col min="14092" max="14340" width="9.109375" style="7871"/>
    <col min="14341" max="14341" width="3.88671875" style="7871" customWidth="1"/>
    <col min="14342" max="14342" width="37.44140625" style="7871" customWidth="1"/>
    <col min="14343" max="14343" width="10.88671875" style="7871" customWidth="1"/>
    <col min="14344" max="14344" width="16" style="7871" customWidth="1"/>
    <col min="14345" max="14345" width="16.44140625" style="7871" customWidth="1"/>
    <col min="14346" max="14346" width="14.88671875" style="7871" customWidth="1"/>
    <col min="14347" max="14347" width="13" style="7871" bestFit="1" customWidth="1"/>
    <col min="14348" max="14596" width="9.109375" style="7871"/>
    <col min="14597" max="14597" width="3.88671875" style="7871" customWidth="1"/>
    <col min="14598" max="14598" width="37.44140625" style="7871" customWidth="1"/>
    <col min="14599" max="14599" width="10.88671875" style="7871" customWidth="1"/>
    <col min="14600" max="14600" width="16" style="7871" customWidth="1"/>
    <col min="14601" max="14601" width="16.44140625" style="7871" customWidth="1"/>
    <col min="14602" max="14602" width="14.88671875" style="7871" customWidth="1"/>
    <col min="14603" max="14603" width="13" style="7871" bestFit="1" customWidth="1"/>
    <col min="14604" max="14852" width="9.109375" style="7871"/>
    <col min="14853" max="14853" width="3.88671875" style="7871" customWidth="1"/>
    <col min="14854" max="14854" width="37.44140625" style="7871" customWidth="1"/>
    <col min="14855" max="14855" width="10.88671875" style="7871" customWidth="1"/>
    <col min="14856" max="14856" width="16" style="7871" customWidth="1"/>
    <col min="14857" max="14857" width="16.44140625" style="7871" customWidth="1"/>
    <col min="14858" max="14858" width="14.88671875" style="7871" customWidth="1"/>
    <col min="14859" max="14859" width="13" style="7871" bestFit="1" customWidth="1"/>
    <col min="14860" max="15108" width="9.109375" style="7871"/>
    <col min="15109" max="15109" width="3.88671875" style="7871" customWidth="1"/>
    <col min="15110" max="15110" width="37.44140625" style="7871" customWidth="1"/>
    <col min="15111" max="15111" width="10.88671875" style="7871" customWidth="1"/>
    <col min="15112" max="15112" width="16" style="7871" customWidth="1"/>
    <col min="15113" max="15113" width="16.44140625" style="7871" customWidth="1"/>
    <col min="15114" max="15114" width="14.88671875" style="7871" customWidth="1"/>
    <col min="15115" max="15115" width="13" style="7871" bestFit="1" customWidth="1"/>
    <col min="15116" max="15364" width="9.109375" style="7871"/>
    <col min="15365" max="15365" width="3.88671875" style="7871" customWidth="1"/>
    <col min="15366" max="15366" width="37.44140625" style="7871" customWidth="1"/>
    <col min="15367" max="15367" width="10.88671875" style="7871" customWidth="1"/>
    <col min="15368" max="15368" width="16" style="7871" customWidth="1"/>
    <col min="15369" max="15369" width="16.44140625" style="7871" customWidth="1"/>
    <col min="15370" max="15370" width="14.88671875" style="7871" customWidth="1"/>
    <col min="15371" max="15371" width="13" style="7871" bestFit="1" customWidth="1"/>
    <col min="15372" max="15620" width="9.109375" style="7871"/>
    <col min="15621" max="15621" width="3.88671875" style="7871" customWidth="1"/>
    <col min="15622" max="15622" width="37.44140625" style="7871" customWidth="1"/>
    <col min="15623" max="15623" width="10.88671875" style="7871" customWidth="1"/>
    <col min="15624" max="15624" width="16" style="7871" customWidth="1"/>
    <col min="15625" max="15625" width="16.44140625" style="7871" customWidth="1"/>
    <col min="15626" max="15626" width="14.88671875" style="7871" customWidth="1"/>
    <col min="15627" max="15627" width="13" style="7871" bestFit="1" customWidth="1"/>
    <col min="15628" max="15876" width="9.109375" style="7871"/>
    <col min="15877" max="15877" width="3.88671875" style="7871" customWidth="1"/>
    <col min="15878" max="15878" width="37.44140625" style="7871" customWidth="1"/>
    <col min="15879" max="15879" width="10.88671875" style="7871" customWidth="1"/>
    <col min="15880" max="15880" width="16" style="7871" customWidth="1"/>
    <col min="15881" max="15881" width="16.44140625" style="7871" customWidth="1"/>
    <col min="15882" max="15882" width="14.88671875" style="7871" customWidth="1"/>
    <col min="15883" max="15883" width="13" style="7871" bestFit="1" customWidth="1"/>
    <col min="15884" max="16132" width="9.109375" style="7871"/>
    <col min="16133" max="16133" width="3.88671875" style="7871" customWidth="1"/>
    <col min="16134" max="16134" width="37.44140625" style="7871" customWidth="1"/>
    <col min="16135" max="16135" width="10.88671875" style="7871" customWidth="1"/>
    <col min="16136" max="16136" width="16" style="7871" customWidth="1"/>
    <col min="16137" max="16137" width="16.44140625" style="7871" customWidth="1"/>
    <col min="16138" max="16138" width="14.88671875" style="7871" customWidth="1"/>
    <col min="16139" max="16139" width="13" style="7871" bestFit="1" customWidth="1"/>
    <col min="16140" max="16384" width="9.109375" style="7871"/>
  </cols>
  <sheetData>
    <row r="1" spans="1:12" ht="15" customHeight="1">
      <c r="A1" s="14840" t="s">
        <v>1</v>
      </c>
      <c r="B1" s="14840"/>
      <c r="C1" s="14840"/>
      <c r="D1" s="14840"/>
      <c r="E1" s="14840"/>
      <c r="F1" s="14840"/>
      <c r="G1" s="14840"/>
      <c r="H1" s="14840"/>
      <c r="I1" s="14840"/>
      <c r="J1" s="14840"/>
    </row>
    <row r="2" spans="1:12" ht="15" customHeight="1">
      <c r="A2" s="7872"/>
      <c r="B2" s="7872"/>
      <c r="C2" s="9313"/>
      <c r="D2" s="7873"/>
      <c r="E2" s="7873"/>
      <c r="F2" s="7873"/>
      <c r="G2" s="7873"/>
      <c r="H2" s="7873"/>
      <c r="I2" s="8106"/>
      <c r="J2" s="9499"/>
    </row>
    <row r="3" spans="1:12" ht="15" customHeight="1">
      <c r="A3" s="7872" t="s">
        <v>2</v>
      </c>
      <c r="B3" s="7874"/>
      <c r="C3" s="9314" t="s">
        <v>10071</v>
      </c>
      <c r="D3" s="7875"/>
      <c r="E3" s="7875"/>
      <c r="F3" s="7875"/>
      <c r="G3" s="14844"/>
      <c r="H3" s="7875"/>
      <c r="I3" s="10488"/>
      <c r="J3" s="14843"/>
    </row>
    <row r="4" spans="1:12" ht="15" customHeight="1">
      <c r="A4" s="7872" t="s">
        <v>4</v>
      </c>
      <c r="B4" s="7872"/>
      <c r="C4" s="9313" t="s">
        <v>305</v>
      </c>
      <c r="D4" s="7873"/>
      <c r="E4" s="7873"/>
      <c r="F4" s="7873"/>
      <c r="G4" s="14844"/>
      <c r="H4" s="7283"/>
      <c r="I4" s="8106"/>
      <c r="J4" s="14843"/>
    </row>
    <row r="5" spans="1:12" ht="15" customHeight="1" thickBot="1">
      <c r="A5" s="7876" t="s">
        <v>7</v>
      </c>
      <c r="B5" s="7876"/>
      <c r="C5" s="9315" t="s">
        <v>8</v>
      </c>
      <c r="D5" s="9500"/>
      <c r="E5" s="7877"/>
      <c r="F5" s="7877"/>
      <c r="G5" s="7878"/>
      <c r="H5" s="7879"/>
      <c r="I5" s="10490"/>
      <c r="J5" s="7878"/>
    </row>
    <row r="6" spans="1:12" ht="15" customHeight="1">
      <c r="A6" s="12336"/>
      <c r="B6" s="12337"/>
      <c r="C6" s="12338" t="s">
        <v>9</v>
      </c>
      <c r="D6" s="12339" t="s">
        <v>10</v>
      </c>
      <c r="E6" s="14188" t="s">
        <v>10711</v>
      </c>
      <c r="F6" s="14189"/>
      <c r="G6" s="14190"/>
      <c r="H6" s="11769" t="s">
        <v>9985</v>
      </c>
      <c r="I6" s="9462"/>
      <c r="J6" s="12340" t="s">
        <v>12</v>
      </c>
    </row>
    <row r="7" spans="1:12" ht="15" customHeight="1">
      <c r="A7" s="12341"/>
      <c r="B7" s="7880" t="s">
        <v>13</v>
      </c>
      <c r="C7" s="14841" t="s">
        <v>14</v>
      </c>
      <c r="D7" s="12342" t="s">
        <v>15</v>
      </c>
      <c r="E7" s="9502" t="s">
        <v>10709</v>
      </c>
      <c r="F7" s="9503" t="s">
        <v>10710</v>
      </c>
      <c r="G7" s="14191" t="s">
        <v>458</v>
      </c>
      <c r="H7" s="8118" t="s">
        <v>11747</v>
      </c>
      <c r="I7" s="11108"/>
      <c r="J7" s="12343" t="s">
        <v>16</v>
      </c>
    </row>
    <row r="8" spans="1:12" ht="15" customHeight="1" thickBot="1">
      <c r="A8" s="12344"/>
      <c r="B8" s="12345"/>
      <c r="C8" s="14842"/>
      <c r="D8" s="12346">
        <v>2017</v>
      </c>
      <c r="E8" s="9467" t="s">
        <v>457</v>
      </c>
      <c r="F8" s="11661" t="s">
        <v>456</v>
      </c>
      <c r="G8" s="14192"/>
      <c r="H8" s="7496">
        <v>2018</v>
      </c>
      <c r="I8" s="7303"/>
      <c r="J8" s="12347">
        <v>2019</v>
      </c>
    </row>
    <row r="9" spans="1:12" ht="15" customHeight="1">
      <c r="A9" s="12348" t="s">
        <v>17</v>
      </c>
      <c r="B9" s="7881" t="s">
        <v>18</v>
      </c>
      <c r="C9" s="10151"/>
      <c r="D9" s="12349"/>
      <c r="E9" s="12349"/>
      <c r="F9" s="12349"/>
      <c r="G9" s="12349"/>
      <c r="H9" s="12349"/>
      <c r="I9" s="12233"/>
      <c r="J9" s="12350"/>
    </row>
    <row r="10" spans="1:12" ht="15" customHeight="1">
      <c r="A10" s="12341"/>
      <c r="B10" s="7881" t="s">
        <v>19</v>
      </c>
      <c r="C10" s="10151"/>
      <c r="D10" s="12349"/>
      <c r="E10" s="12349"/>
      <c r="F10" s="12349"/>
      <c r="G10" s="12349"/>
      <c r="H10" s="12349"/>
      <c r="I10" s="12233"/>
      <c r="J10" s="12350"/>
    </row>
    <row r="11" spans="1:12" ht="15" customHeight="1">
      <c r="A11" s="12341"/>
      <c r="B11" s="7881" t="s">
        <v>20</v>
      </c>
      <c r="C11" s="10151">
        <v>50101010</v>
      </c>
      <c r="D11" s="12351">
        <f>'WS-PS 2017'!B16</f>
        <v>5013309.3</v>
      </c>
      <c r="E11" s="12351">
        <f>'WS-PS ACTUAL JUNE 2018'!B16</f>
        <v>2355845.92</v>
      </c>
      <c r="F11" s="12351">
        <f>G11-E11</f>
        <v>4223934.08</v>
      </c>
      <c r="G11" s="12351">
        <v>6579780</v>
      </c>
      <c r="H11" s="12351"/>
      <c r="I11" s="12352"/>
      <c r="J11" s="12353">
        <f>K11</f>
        <v>7784604</v>
      </c>
      <c r="K11" s="7310">
        <f>'staffing-pbmo'!F47</f>
        <v>7784604</v>
      </c>
      <c r="L11" s="10252">
        <f>'staffing-pbmo'!B47</f>
        <v>23</v>
      </c>
    </row>
    <row r="12" spans="1:12" ht="15" customHeight="1">
      <c r="A12" s="12341"/>
      <c r="B12" s="7881" t="s">
        <v>21</v>
      </c>
      <c r="C12" s="10151">
        <v>50102010</v>
      </c>
      <c r="D12" s="12349">
        <f>'WS-PS 2017'!F16</f>
        <v>398000</v>
      </c>
      <c r="E12" s="12349">
        <f>'WS-PS ACTUAL JUNE 2018'!D16</f>
        <v>186481.26</v>
      </c>
      <c r="F12" s="12351">
        <f t="shared" ref="F12:F27" si="0">G12-E12</f>
        <v>341518.74</v>
      </c>
      <c r="G12" s="12349">
        <v>528000</v>
      </c>
      <c r="H12" s="12349"/>
      <c r="I12" s="12233"/>
      <c r="J12" s="12353">
        <f t="shared" ref="J12:J27" si="1">K12</f>
        <v>552000</v>
      </c>
      <c r="K12" s="7310">
        <f>24000*L11</f>
        <v>552000</v>
      </c>
    </row>
    <row r="13" spans="1:12" ht="15" customHeight="1">
      <c r="A13" s="12341"/>
      <c r="B13" s="7881" t="s">
        <v>104</v>
      </c>
      <c r="C13" s="10151">
        <v>50102020</v>
      </c>
      <c r="D13" s="12349">
        <f>'WS-PS 2017'!G16</f>
        <v>102000</v>
      </c>
      <c r="E13" s="12349">
        <f>'WS-PS ACTUAL JUNE 2018'!E16</f>
        <v>39680.199999999997</v>
      </c>
      <c r="F13" s="12351">
        <f t="shared" si="0"/>
        <v>62319.8</v>
      </c>
      <c r="G13" s="12349">
        <v>102000</v>
      </c>
      <c r="H13" s="12349"/>
      <c r="I13" s="12233"/>
      <c r="J13" s="12353">
        <f t="shared" si="1"/>
        <v>102000</v>
      </c>
      <c r="K13" s="7310">
        <v>102000</v>
      </c>
    </row>
    <row r="14" spans="1:12" ht="15" customHeight="1">
      <c r="A14" s="12341"/>
      <c r="B14" s="7881" t="s">
        <v>105</v>
      </c>
      <c r="C14" s="10151">
        <v>50102030</v>
      </c>
      <c r="D14" s="12349">
        <f>'WS-PS 2017'!H16</f>
        <v>102000</v>
      </c>
      <c r="E14" s="12349">
        <f>'WS-PS ACTUAL JUNE 2018'!F16</f>
        <v>42500</v>
      </c>
      <c r="F14" s="12351">
        <f t="shared" si="0"/>
        <v>59500</v>
      </c>
      <c r="G14" s="12349">
        <v>102000</v>
      </c>
      <c r="H14" s="12349"/>
      <c r="I14" s="12233"/>
      <c r="J14" s="12353">
        <f t="shared" si="1"/>
        <v>102000</v>
      </c>
      <c r="K14" s="7310">
        <v>102000</v>
      </c>
    </row>
    <row r="15" spans="1:12" ht="15" customHeight="1">
      <c r="A15" s="12341"/>
      <c r="B15" s="7881" t="s">
        <v>22</v>
      </c>
      <c r="C15" s="10151">
        <v>50102040</v>
      </c>
      <c r="D15" s="12354">
        <f>'WS-PS 2017'!I16</f>
        <v>85000</v>
      </c>
      <c r="E15" s="12349">
        <f>'WS-PS ACTUAL JUNE 2018'!G16</f>
        <v>95000</v>
      </c>
      <c r="F15" s="12351">
        <f t="shared" si="0"/>
        <v>15000</v>
      </c>
      <c r="G15" s="12349">
        <v>110000</v>
      </c>
      <c r="H15" s="12349"/>
      <c r="I15" s="12233"/>
      <c r="J15" s="12353">
        <f t="shared" si="1"/>
        <v>138000</v>
      </c>
      <c r="K15" s="7310">
        <f>6000*L11</f>
        <v>138000</v>
      </c>
    </row>
    <row r="16" spans="1:12" ht="15" customHeight="1">
      <c r="A16" s="12341"/>
      <c r="B16" s="7488" t="s">
        <v>10932</v>
      </c>
      <c r="C16" s="10368">
        <v>50102080</v>
      </c>
      <c r="D16" s="12354">
        <f>'WS-PS 2017'!L16</f>
        <v>85000</v>
      </c>
      <c r="E16" s="12349">
        <f>'WS-PS ACTUAL JUNE 2018'!J16</f>
        <v>0</v>
      </c>
      <c r="F16" s="12351">
        <f t="shared" si="0"/>
        <v>110000</v>
      </c>
      <c r="G16" s="12349">
        <v>110000</v>
      </c>
      <c r="H16" s="12349"/>
      <c r="I16" s="12233"/>
      <c r="J16" s="12353">
        <f t="shared" si="1"/>
        <v>115000</v>
      </c>
      <c r="K16" s="7310">
        <f>5000*L11</f>
        <v>115000</v>
      </c>
    </row>
    <row r="17" spans="1:11" ht="15" customHeight="1">
      <c r="A17" s="12341"/>
      <c r="B17" s="7488" t="s">
        <v>10934</v>
      </c>
      <c r="C17" s="8872">
        <v>50102120</v>
      </c>
      <c r="D17" s="12354">
        <f>'WS-PS 2017'!O16</f>
        <v>0</v>
      </c>
      <c r="E17" s="12349">
        <f>'WS-PS ACTUAL JUNE 2018'!M16</f>
        <v>10000</v>
      </c>
      <c r="F17" s="12351">
        <f>G17-E17</f>
        <v>15000</v>
      </c>
      <c r="G17" s="12349">
        <v>25000</v>
      </c>
      <c r="H17" s="12349"/>
      <c r="I17" s="12233"/>
      <c r="J17" s="12353">
        <f t="shared" si="1"/>
        <v>10000</v>
      </c>
      <c r="K17" s="7310">
        <v>10000</v>
      </c>
    </row>
    <row r="18" spans="1:11" ht="15" customHeight="1">
      <c r="A18" s="12341"/>
      <c r="B18" s="7881" t="s">
        <v>141</v>
      </c>
      <c r="C18" s="10151">
        <v>50102130</v>
      </c>
      <c r="D18" s="12355">
        <f>'WS-PS 2017'!R16</f>
        <v>59893.26</v>
      </c>
      <c r="E18" s="12356">
        <f>'WS-PS ACTUAL JUNE 2018'!N16</f>
        <v>46756.11</v>
      </c>
      <c r="F18" s="12351">
        <f t="shared" si="0"/>
        <v>53243.89</v>
      </c>
      <c r="G18" s="12349">
        <v>100000</v>
      </c>
      <c r="H18" s="12349"/>
      <c r="I18" s="12233"/>
      <c r="J18" s="12353">
        <v>100000</v>
      </c>
      <c r="K18" s="7347">
        <v>100000</v>
      </c>
    </row>
    <row r="19" spans="1:11" ht="15" customHeight="1">
      <c r="A19" s="12341"/>
      <c r="B19" s="7488" t="s">
        <v>10933</v>
      </c>
      <c r="C19" s="8872">
        <v>50102140</v>
      </c>
      <c r="D19" s="12354">
        <f>'WS-PS 2017'!U16+'WS-PS 2017'!S16</f>
        <v>836968</v>
      </c>
      <c r="E19" s="12349">
        <f>'WS-PS ACTUAL JUNE 2018'!O16</f>
        <v>335833</v>
      </c>
      <c r="F19" s="12351">
        <f>G19-E19</f>
        <v>760797</v>
      </c>
      <c r="G19" s="12357">
        <v>1096630</v>
      </c>
      <c r="H19" s="12357"/>
      <c r="I19" s="12322"/>
      <c r="J19" s="12353">
        <f t="shared" si="1"/>
        <v>1297434</v>
      </c>
      <c r="K19" s="7310">
        <f>SUM(K10:K11)/12*2</f>
        <v>1297434</v>
      </c>
    </row>
    <row r="20" spans="1:11" ht="15" customHeight="1">
      <c r="A20" s="12341"/>
      <c r="B20" s="7287" t="s">
        <v>26</v>
      </c>
      <c r="C20" s="8802">
        <v>50102150</v>
      </c>
      <c r="D20" s="12354">
        <f>'WS-PS 2017'!T16</f>
        <v>85000</v>
      </c>
      <c r="E20" s="12349">
        <f>'WS-PS ACTUAL JUNE 2018'!Q16</f>
        <v>0</v>
      </c>
      <c r="F20" s="12351">
        <f t="shared" si="0"/>
        <v>110000</v>
      </c>
      <c r="G20" s="12349">
        <v>110000</v>
      </c>
      <c r="H20" s="12349"/>
      <c r="I20" s="12233"/>
      <c r="J20" s="12353">
        <f t="shared" si="1"/>
        <v>115000</v>
      </c>
      <c r="K20" s="7371">
        <f>K16</f>
        <v>115000</v>
      </c>
    </row>
    <row r="21" spans="1:11" ht="15" customHeight="1">
      <c r="A21" s="12341"/>
      <c r="B21" s="7488" t="s">
        <v>11497</v>
      </c>
      <c r="C21" s="11257">
        <v>50102990</v>
      </c>
      <c r="D21" s="12354">
        <v>0</v>
      </c>
      <c r="E21" s="12349">
        <f>'WS-PS ACTUAL JUNE 2018'!R16</f>
        <v>0</v>
      </c>
      <c r="F21" s="12351">
        <f>G21-E21</f>
        <v>315281</v>
      </c>
      <c r="G21" s="12349">
        <v>315281</v>
      </c>
      <c r="H21" s="12349"/>
      <c r="I21" s="12233"/>
      <c r="J21" s="12353">
        <v>0</v>
      </c>
      <c r="K21" s="7310">
        <f>K11/12*0.575</f>
        <v>373012.27499999997</v>
      </c>
    </row>
    <row r="22" spans="1:11" ht="15" customHeight="1">
      <c r="A22" s="12341"/>
      <c r="B22" s="7803" t="s">
        <v>11499</v>
      </c>
      <c r="C22" s="11059" t="s">
        <v>11495</v>
      </c>
      <c r="D22" s="12354">
        <f>'WS-PS 2017'!Q16</f>
        <v>0</v>
      </c>
      <c r="E22" s="12349">
        <f>'WS-PS ACTUAL JUNE 2018'!S16</f>
        <v>0</v>
      </c>
      <c r="F22" s="12351">
        <f>G22-E22</f>
        <v>0</v>
      </c>
      <c r="G22" s="12349">
        <v>0</v>
      </c>
      <c r="H22" s="12349"/>
      <c r="I22" s="12233"/>
      <c r="J22" s="12353">
        <f t="shared" si="1"/>
        <v>69000</v>
      </c>
      <c r="K22" s="7310">
        <f>3000*L11</f>
        <v>69000</v>
      </c>
    </row>
    <row r="23" spans="1:11" ht="15" customHeight="1">
      <c r="A23" s="12341"/>
      <c r="B23" s="11518" t="s">
        <v>59</v>
      </c>
      <c r="C23" s="8872">
        <v>50103010</v>
      </c>
      <c r="D23" s="12358">
        <f>'WS-PS 2017'!V16</f>
        <v>601597.12</v>
      </c>
      <c r="E23" s="12357">
        <f>'WS-PS ACTUAL JUNE 2018'!T16</f>
        <v>282689.31</v>
      </c>
      <c r="F23" s="12351">
        <f t="shared" si="0"/>
        <v>506884.69</v>
      </c>
      <c r="G23" s="12349">
        <v>789574</v>
      </c>
      <c r="H23" s="12349"/>
      <c r="I23" s="12233"/>
      <c r="J23" s="12353">
        <f t="shared" si="1"/>
        <v>934152.48</v>
      </c>
      <c r="K23" s="11720">
        <f>SUM(K10:K11)*12%</f>
        <v>934152.48</v>
      </c>
    </row>
    <row r="24" spans="1:11" ht="15" customHeight="1">
      <c r="A24" s="12341"/>
      <c r="B24" s="7803" t="s">
        <v>28</v>
      </c>
      <c r="C24" s="8872">
        <v>50103020</v>
      </c>
      <c r="D24" s="12354">
        <f>'WS-PS 2017'!W16</f>
        <v>19900</v>
      </c>
      <c r="E24" s="12349">
        <f>'WS-PS ACTUAL JUNE 2018'!U16</f>
        <v>9400</v>
      </c>
      <c r="F24" s="12351">
        <f t="shared" si="0"/>
        <v>17000</v>
      </c>
      <c r="G24" s="12349">
        <v>26400</v>
      </c>
      <c r="H24" s="12349"/>
      <c r="I24" s="12233"/>
      <c r="J24" s="12353">
        <f t="shared" si="1"/>
        <v>27600</v>
      </c>
      <c r="K24" s="7310">
        <f>1200*L11</f>
        <v>27600</v>
      </c>
    </row>
    <row r="25" spans="1:11" ht="15" customHeight="1">
      <c r="A25" s="12341"/>
      <c r="B25" s="7803" t="s">
        <v>29</v>
      </c>
      <c r="C25" s="8872">
        <v>50103030</v>
      </c>
      <c r="D25" s="12354">
        <f>'WS-PS 2017'!X16</f>
        <v>49650</v>
      </c>
      <c r="E25" s="12349">
        <f>'WS-PS ACTUAL JUNE 2018'!V16</f>
        <v>28204.46</v>
      </c>
      <c r="F25" s="12351">
        <f t="shared" si="0"/>
        <v>37795.54</v>
      </c>
      <c r="G25" s="12349">
        <v>66000</v>
      </c>
      <c r="H25" s="12349"/>
      <c r="I25" s="12233"/>
      <c r="J25" s="12353">
        <v>86565.27</v>
      </c>
      <c r="K25" s="7310">
        <f>3600*L11</f>
        <v>82800</v>
      </c>
    </row>
    <row r="26" spans="1:11" ht="15" customHeight="1">
      <c r="A26" s="12341"/>
      <c r="B26" s="7803" t="s">
        <v>30</v>
      </c>
      <c r="C26" s="8872">
        <v>50103040</v>
      </c>
      <c r="D26" s="12354">
        <f>'WS-PS 2017'!Y16</f>
        <v>19899.05</v>
      </c>
      <c r="E26" s="12349">
        <f>'WS-PS ACTUAL JUNE 2018'!W16</f>
        <v>9399.81</v>
      </c>
      <c r="F26" s="12351">
        <f t="shared" si="0"/>
        <v>17000.190000000002</v>
      </c>
      <c r="G26" s="12349">
        <v>26400</v>
      </c>
      <c r="H26" s="12349"/>
      <c r="I26" s="12233"/>
      <c r="J26" s="12353">
        <f t="shared" si="1"/>
        <v>27600</v>
      </c>
      <c r="K26" s="7310">
        <f>K24</f>
        <v>27600</v>
      </c>
    </row>
    <row r="27" spans="1:11" ht="15" customHeight="1">
      <c r="A27" s="12341"/>
      <c r="B27" s="7488" t="s">
        <v>5025</v>
      </c>
      <c r="C27" s="11258">
        <v>50104990</v>
      </c>
      <c r="D27" s="12354">
        <f>'WS-PS 2017'!Z16</f>
        <v>425000</v>
      </c>
      <c r="E27" s="12349"/>
      <c r="F27" s="12351">
        <f t="shared" si="0"/>
        <v>0</v>
      </c>
      <c r="G27" s="12349">
        <v>0</v>
      </c>
      <c r="H27" s="12349"/>
      <c r="I27" s="12233"/>
      <c r="J27" s="12353">
        <f t="shared" si="1"/>
        <v>0</v>
      </c>
    </row>
    <row r="28" spans="1:11" ht="15" customHeight="1">
      <c r="A28" s="12341"/>
      <c r="B28" s="8062"/>
      <c r="C28" s="10151" t="s">
        <v>9</v>
      </c>
      <c r="D28" s="12349" t="s">
        <v>9</v>
      </c>
      <c r="E28" s="12349"/>
      <c r="F28" s="12349"/>
      <c r="G28" s="12349"/>
      <c r="H28" s="12349"/>
      <c r="I28" s="12233"/>
      <c r="J28" s="12350"/>
    </row>
    <row r="29" spans="1:11" ht="15" customHeight="1" thickBot="1">
      <c r="A29" s="12344"/>
      <c r="B29" s="7895" t="s">
        <v>37</v>
      </c>
      <c r="C29" s="12359"/>
      <c r="D29" s="12360">
        <f>SUM(D10:D27)</f>
        <v>7883216.7299999995</v>
      </c>
      <c r="E29" s="12360">
        <f>SUM(E10:E27)</f>
        <v>3441790.07</v>
      </c>
      <c r="F29" s="12360">
        <f>SUM(F10:F27)</f>
        <v>6645274.9300000006</v>
      </c>
      <c r="G29" s="12361">
        <f>SUM(G10:G27)</f>
        <v>10087065</v>
      </c>
      <c r="H29" s="12361"/>
      <c r="I29" s="12221"/>
      <c r="J29" s="12362">
        <f>SUM(J10:J28)</f>
        <v>11460955.75</v>
      </c>
      <c r="K29" s="12138">
        <f>SUM(K11:K28)</f>
        <v>11830202.755000001</v>
      </c>
    </row>
    <row r="30" spans="1:11" ht="15" customHeight="1">
      <c r="A30" s="7891"/>
      <c r="B30" s="7892"/>
      <c r="C30" s="9316"/>
      <c r="D30" s="7893"/>
      <c r="E30" s="7893"/>
      <c r="F30" s="7893"/>
      <c r="G30" s="7893"/>
      <c r="H30" s="7893"/>
      <c r="I30" s="10491"/>
      <c r="J30" s="7893"/>
    </row>
    <row r="31" spans="1:11" ht="15" customHeight="1">
      <c r="A31" s="7881"/>
      <c r="B31" s="7883"/>
      <c r="C31" s="9317"/>
      <c r="D31" s="7884"/>
      <c r="E31" s="7884"/>
      <c r="F31" s="7884"/>
      <c r="G31" s="7884"/>
      <c r="H31" s="7884"/>
      <c r="I31" s="10492"/>
      <c r="J31" s="7884"/>
    </row>
    <row r="32" spans="1:11" ht="15" customHeight="1">
      <c r="A32" s="7881"/>
      <c r="B32" s="7883"/>
      <c r="C32" s="9317"/>
      <c r="D32" s="7884"/>
      <c r="E32" s="7884"/>
      <c r="F32" s="7884"/>
      <c r="G32" s="7884"/>
      <c r="H32" s="7884"/>
      <c r="I32" s="10492"/>
      <c r="J32" s="7884"/>
    </row>
    <row r="33" spans="1:11" ht="15" customHeight="1">
      <c r="A33" s="7881"/>
      <c r="B33" s="7883"/>
      <c r="C33" s="9317"/>
      <c r="D33" s="7884"/>
      <c r="E33" s="7884"/>
      <c r="F33" s="7884"/>
      <c r="G33" s="7884"/>
      <c r="H33" s="7884"/>
      <c r="I33" s="10492"/>
      <c r="J33" s="7884"/>
    </row>
    <row r="34" spans="1:11" ht="15" customHeight="1">
      <c r="A34" s="7881"/>
      <c r="B34" s="7883"/>
      <c r="C34" s="9317"/>
      <c r="D34" s="7884"/>
      <c r="E34" s="7884"/>
      <c r="F34" s="7884"/>
      <c r="G34" s="7884"/>
      <c r="H34" s="7884"/>
      <c r="I34" s="10492"/>
      <c r="J34" s="7884"/>
    </row>
    <row r="35" spans="1:11" ht="15" customHeight="1">
      <c r="A35" s="7881"/>
      <c r="B35" s="7883"/>
      <c r="C35" s="9317"/>
      <c r="D35" s="7884"/>
      <c r="E35" s="7884"/>
      <c r="F35" s="7884"/>
      <c r="G35" s="7884"/>
      <c r="H35" s="7884"/>
      <c r="I35" s="10492"/>
      <c r="J35" s="7884"/>
    </row>
    <row r="36" spans="1:11" ht="15" customHeight="1">
      <c r="A36" s="7881"/>
      <c r="B36" s="7883"/>
      <c r="C36" s="9317"/>
      <c r="D36" s="7884"/>
      <c r="E36" s="7884"/>
      <c r="F36" s="7884"/>
      <c r="G36" s="7884"/>
      <c r="H36" s="7884"/>
      <c r="I36" s="10492"/>
      <c r="J36" s="7884"/>
    </row>
    <row r="37" spans="1:11" ht="15" customHeight="1">
      <c r="A37" s="7881"/>
      <c r="B37" s="7883"/>
      <c r="C37" s="9317"/>
      <c r="D37" s="7884"/>
      <c r="E37" s="7884"/>
      <c r="F37" s="7884"/>
      <c r="G37" s="7884"/>
      <c r="H37" s="7884"/>
      <c r="I37" s="10492"/>
      <c r="J37" s="7884"/>
    </row>
    <row r="38" spans="1:11" ht="15" customHeight="1" thickBot="1">
      <c r="A38" s="7894" t="s">
        <v>10341</v>
      </c>
      <c r="B38" s="7895"/>
      <c r="C38" s="9318"/>
      <c r="D38" s="7877"/>
      <c r="E38" s="7877"/>
      <c r="F38" s="7877"/>
      <c r="G38" s="7877"/>
      <c r="H38" s="7877"/>
      <c r="I38" s="10493"/>
      <c r="J38" s="7877"/>
      <c r="K38" s="7483"/>
    </row>
    <row r="39" spans="1:11" ht="15" customHeight="1">
      <c r="A39" s="12336"/>
      <c r="B39" s="12337"/>
      <c r="C39" s="12338" t="s">
        <v>9</v>
      </c>
      <c r="D39" s="12339" t="s">
        <v>10</v>
      </c>
      <c r="E39" s="14188" t="s">
        <v>10711</v>
      </c>
      <c r="F39" s="14189"/>
      <c r="G39" s="14190"/>
      <c r="H39" s="11769"/>
      <c r="I39" s="9462" t="s">
        <v>9985</v>
      </c>
      <c r="J39" s="12340" t="s">
        <v>12</v>
      </c>
      <c r="K39" s="7483"/>
    </row>
    <row r="40" spans="1:11" ht="15" customHeight="1">
      <c r="A40" s="12341"/>
      <c r="B40" s="7880" t="s">
        <v>13</v>
      </c>
      <c r="C40" s="14841" t="s">
        <v>14</v>
      </c>
      <c r="D40" s="12342" t="s">
        <v>15</v>
      </c>
      <c r="E40" s="9502" t="s">
        <v>10709</v>
      </c>
      <c r="F40" s="9503" t="s">
        <v>10710</v>
      </c>
      <c r="G40" s="14191" t="s">
        <v>458</v>
      </c>
      <c r="H40" s="11770" t="s">
        <v>9985</v>
      </c>
      <c r="I40" s="11108" t="s">
        <v>9988</v>
      </c>
      <c r="J40" s="12343" t="s">
        <v>16</v>
      </c>
      <c r="K40" s="7483"/>
    </row>
    <row r="41" spans="1:11" ht="15" customHeight="1" thickBot="1">
      <c r="A41" s="12344"/>
      <c r="B41" s="12345"/>
      <c r="C41" s="14842"/>
      <c r="D41" s="12346">
        <v>2017</v>
      </c>
      <c r="E41" s="9467" t="s">
        <v>457</v>
      </c>
      <c r="F41" s="11661" t="s">
        <v>456</v>
      </c>
      <c r="G41" s="14192"/>
      <c r="H41" s="7496">
        <v>2016</v>
      </c>
      <c r="I41" s="7303">
        <v>2016</v>
      </c>
      <c r="J41" s="12347">
        <v>2019</v>
      </c>
      <c r="K41" s="7483"/>
    </row>
    <row r="42" spans="1:11" ht="15" customHeight="1">
      <c r="A42" s="12341"/>
      <c r="B42" s="7880"/>
      <c r="C42" s="12363"/>
      <c r="D42" s="12364"/>
      <c r="E42" s="11123"/>
      <c r="F42" s="11123"/>
      <c r="G42" s="11123"/>
      <c r="H42" s="11181"/>
      <c r="I42" s="12365"/>
      <c r="J42" s="12366"/>
      <c r="K42" s="7483"/>
    </row>
    <row r="43" spans="1:11" ht="15" customHeight="1">
      <c r="A43" s="12348"/>
      <c r="B43" s="7881" t="s">
        <v>38</v>
      </c>
      <c r="C43" s="10151"/>
      <c r="D43" s="12367"/>
      <c r="E43" s="12367"/>
      <c r="F43" s="12367"/>
      <c r="G43" s="12349"/>
      <c r="H43" s="12349"/>
      <c r="I43" s="12233"/>
      <c r="J43" s="12350"/>
    </row>
    <row r="44" spans="1:11" ht="17.100000000000001" customHeight="1">
      <c r="A44" s="12341"/>
      <c r="B44" s="7881" t="s">
        <v>10267</v>
      </c>
      <c r="C44" s="10151">
        <v>50201010</v>
      </c>
      <c r="D44" s="12349">
        <f>'WS-MOOE 2017'!B16</f>
        <v>61693.43</v>
      </c>
      <c r="E44" s="12349">
        <f>'WS-MOOE ACTUAL JUNE 2018'!B17</f>
        <v>36136</v>
      </c>
      <c r="F44" s="12351">
        <f t="shared" ref="F44:F59" si="2">G44-E44</f>
        <v>43864</v>
      </c>
      <c r="G44" s="12349">
        <v>80000</v>
      </c>
      <c r="H44" s="12349">
        <v>56286</v>
      </c>
      <c r="I44" s="12368">
        <f>H44/J44</f>
        <v>0.56286000000000003</v>
      </c>
      <c r="J44" s="12350">
        <v>100000</v>
      </c>
    </row>
    <row r="45" spans="1:11" ht="17.100000000000001" customHeight="1">
      <c r="A45" s="12341"/>
      <c r="B45" s="7881" t="s">
        <v>41</v>
      </c>
      <c r="C45" s="10151">
        <v>50202010</v>
      </c>
      <c r="D45" s="12349">
        <f>'WS-MOOE 2017'!H16</f>
        <v>127000</v>
      </c>
      <c r="E45" s="12349">
        <f>'WS-MOOE ACTUAL JUNE 2018'!G17</f>
        <v>16000</v>
      </c>
      <c r="F45" s="12351">
        <f t="shared" si="2"/>
        <v>134000</v>
      </c>
      <c r="G45" s="12349">
        <v>150000</v>
      </c>
      <c r="H45" s="12349">
        <v>100580</v>
      </c>
      <c r="I45" s="12368">
        <f t="shared" ref="I45:I59" si="3">H45/J45</f>
        <v>0.23121839080459769</v>
      </c>
      <c r="J45" s="12350">
        <f>185000+250000</f>
        <v>435000</v>
      </c>
    </row>
    <row r="46" spans="1:11" ht="17.100000000000001" customHeight="1">
      <c r="A46" s="12341"/>
      <c r="B46" s="7881" t="s">
        <v>42</v>
      </c>
      <c r="C46" s="10151">
        <v>50203010</v>
      </c>
      <c r="D46" s="12349">
        <f>'WS-MOOE 2017'!J16</f>
        <v>161834.15</v>
      </c>
      <c r="E46" s="12349">
        <f>'WS-MOOE ACTUAL JUNE 2018'!H17</f>
        <v>28315.65</v>
      </c>
      <c r="F46" s="12351">
        <f t="shared" si="2"/>
        <v>171684.35</v>
      </c>
      <c r="G46" s="12349">
        <v>200000</v>
      </c>
      <c r="H46" s="12349">
        <v>116879.45</v>
      </c>
      <c r="I46" s="12368">
        <f t="shared" si="3"/>
        <v>0.68752617647058822</v>
      </c>
      <c r="J46" s="12350">
        <v>170000</v>
      </c>
    </row>
    <row r="47" spans="1:11" ht="17.100000000000001" customHeight="1">
      <c r="A47" s="12341"/>
      <c r="B47" s="7287" t="s">
        <v>44</v>
      </c>
      <c r="C47" s="10136">
        <v>50203090</v>
      </c>
      <c r="D47" s="12349"/>
      <c r="E47" s="12349"/>
      <c r="F47" s="12351"/>
      <c r="G47" s="12349"/>
      <c r="H47" s="12349"/>
      <c r="I47" s="12368"/>
      <c r="J47" s="12350">
        <v>20000</v>
      </c>
    </row>
    <row r="48" spans="1:11" ht="17.100000000000001" customHeight="1">
      <c r="A48" s="12341"/>
      <c r="B48" s="7881" t="s">
        <v>46</v>
      </c>
      <c r="C48" s="10151">
        <v>50204020</v>
      </c>
      <c r="D48" s="12349">
        <f>'WS-MOOE 2017'!X16</f>
        <v>260679.64</v>
      </c>
      <c r="E48" s="12349">
        <f>'WS-MOOE ACTUAL JUNE 2018'!S17</f>
        <v>96915.35</v>
      </c>
      <c r="F48" s="12351">
        <f t="shared" si="2"/>
        <v>183084.65</v>
      </c>
      <c r="G48" s="12349">
        <v>280000</v>
      </c>
      <c r="H48" s="12349">
        <v>155529.91</v>
      </c>
      <c r="I48" s="12368">
        <f>H48/K48</f>
        <v>0.55546396428571432</v>
      </c>
      <c r="J48" s="12369">
        <v>0</v>
      </c>
      <c r="K48" s="7882">
        <v>280000</v>
      </c>
    </row>
    <row r="49" spans="1:11" ht="17.100000000000001" customHeight="1">
      <c r="A49" s="12341"/>
      <c r="B49" s="7881" t="s">
        <v>62</v>
      </c>
      <c r="C49" s="10151">
        <v>50205010</v>
      </c>
      <c r="D49" s="12349">
        <f>'WS-MOOE 2017'!Z16</f>
        <v>1799.9</v>
      </c>
      <c r="E49" s="12349">
        <f>'WS-MOOE ACTUAL JUNE 2018'!U17</f>
        <v>1131.5</v>
      </c>
      <c r="F49" s="12351">
        <f t="shared" si="2"/>
        <v>868.5</v>
      </c>
      <c r="G49" s="12349">
        <v>2000</v>
      </c>
      <c r="H49" s="12349">
        <v>1379.75</v>
      </c>
      <c r="I49" s="12368">
        <f t="shared" si="3"/>
        <v>0.34493750000000001</v>
      </c>
      <c r="J49" s="12350">
        <v>4000</v>
      </c>
    </row>
    <row r="50" spans="1:11" ht="17.100000000000001" customHeight="1">
      <c r="A50" s="12341"/>
      <c r="B50" s="7803" t="s">
        <v>10950</v>
      </c>
      <c r="C50" s="10152">
        <v>50205020</v>
      </c>
      <c r="D50" s="12349">
        <f>'WS-MOOE 2017'!AA16+'WS-MOOE 2017'!AC16</f>
        <v>46808.21</v>
      </c>
      <c r="E50" s="12349">
        <f>'WS-MOOE ACTUAL JUNE 2018'!V17</f>
        <v>24856.78</v>
      </c>
      <c r="F50" s="12351">
        <f t="shared" si="2"/>
        <v>65143.22</v>
      </c>
      <c r="G50" s="12349">
        <v>90000</v>
      </c>
      <c r="H50" s="12349">
        <v>34138.94</v>
      </c>
      <c r="I50" s="12368">
        <f t="shared" si="3"/>
        <v>0.45518586666666672</v>
      </c>
      <c r="J50" s="12350">
        <v>75000</v>
      </c>
    </row>
    <row r="51" spans="1:11" ht="17.100000000000001" hidden="1" customHeight="1">
      <c r="A51" s="12341"/>
      <c r="B51" s="7881" t="s">
        <v>306</v>
      </c>
      <c r="C51" s="10151"/>
      <c r="D51" s="12349"/>
      <c r="E51" s="12349"/>
      <c r="F51" s="12351">
        <f t="shared" si="2"/>
        <v>0</v>
      </c>
      <c r="G51" s="12349"/>
      <c r="H51" s="12349"/>
      <c r="I51" s="12368" t="e">
        <f t="shared" si="3"/>
        <v>#DIV/0!</v>
      </c>
      <c r="J51" s="12350"/>
    </row>
    <row r="52" spans="1:11" ht="17.100000000000001" hidden="1" customHeight="1">
      <c r="A52" s="12341"/>
      <c r="B52" s="7913" t="s">
        <v>197</v>
      </c>
      <c r="C52" s="10152">
        <v>50205030</v>
      </c>
      <c r="D52" s="12349">
        <f>'WS-MOOE 2017'!AE16</f>
        <v>0</v>
      </c>
      <c r="E52" s="12349"/>
      <c r="F52" s="12351">
        <f t="shared" si="2"/>
        <v>0</v>
      </c>
      <c r="G52" s="12349">
        <v>0</v>
      </c>
      <c r="H52" s="12349"/>
      <c r="I52" s="12368"/>
      <c r="J52" s="12350">
        <v>0</v>
      </c>
    </row>
    <row r="53" spans="1:11" ht="17.100000000000001" customHeight="1">
      <c r="A53" s="12341"/>
      <c r="B53" s="7352" t="s">
        <v>10956</v>
      </c>
      <c r="C53" s="8872">
        <v>50212990</v>
      </c>
      <c r="D53" s="12349">
        <f>'WS-MOOE 2017'!AO16</f>
        <v>114381.32</v>
      </c>
      <c r="E53" s="12349">
        <f>'WS-MOOE ACTUAL JUNE 2018'!AJ17</f>
        <v>76281.89</v>
      </c>
      <c r="F53" s="12351">
        <f t="shared" si="2"/>
        <v>81718.11</v>
      </c>
      <c r="G53" s="12349">
        <v>158000</v>
      </c>
      <c r="H53" s="12349">
        <v>76281.89</v>
      </c>
      <c r="I53" s="12368">
        <f t="shared" si="3"/>
        <v>0.20074181578947367</v>
      </c>
      <c r="J53" s="12350">
        <f>180000+200000</f>
        <v>380000</v>
      </c>
    </row>
    <row r="54" spans="1:11" ht="17.100000000000001" customHeight="1">
      <c r="A54" s="12341"/>
      <c r="B54" s="7488" t="s">
        <v>10959</v>
      </c>
      <c r="C54" s="10377">
        <v>50213040</v>
      </c>
      <c r="D54" s="12349">
        <f>'WS-MOOE 2017'!AS16</f>
        <v>0</v>
      </c>
      <c r="E54" s="12349">
        <f>'WS-MOOE ACTUAL JUNE 2018'!AN17</f>
        <v>0</v>
      </c>
      <c r="F54" s="12351">
        <f t="shared" si="2"/>
        <v>20000</v>
      </c>
      <c r="G54" s="12349">
        <v>20000</v>
      </c>
      <c r="H54" s="12349">
        <v>0</v>
      </c>
      <c r="I54" s="12368">
        <f t="shared" si="3"/>
        <v>0</v>
      </c>
      <c r="J54" s="12350">
        <v>10000</v>
      </c>
    </row>
    <row r="55" spans="1:11" ht="17.100000000000001" customHeight="1">
      <c r="A55" s="12341"/>
      <c r="B55" s="7488" t="s">
        <v>10938</v>
      </c>
      <c r="C55" s="8872">
        <v>50213050</v>
      </c>
      <c r="D55" s="12349">
        <f>'WS-MOOE 2017'!BA16</f>
        <v>0</v>
      </c>
      <c r="E55" s="12349">
        <f>'WS-MOOE ACTUAL JUNE 2018'!AS17</f>
        <v>22250</v>
      </c>
      <c r="F55" s="12351">
        <f t="shared" si="2"/>
        <v>2750</v>
      </c>
      <c r="G55" s="12349">
        <v>25000</v>
      </c>
      <c r="H55" s="12349">
        <v>22250</v>
      </c>
      <c r="I55" s="12368">
        <f t="shared" si="3"/>
        <v>1.1125</v>
      </c>
      <c r="J55" s="12350">
        <v>20000</v>
      </c>
    </row>
    <row r="56" spans="1:11" ht="17.100000000000001" customHeight="1">
      <c r="A56" s="12341"/>
      <c r="B56" s="7488" t="s">
        <v>10937</v>
      </c>
      <c r="C56" s="11258">
        <v>50213060</v>
      </c>
      <c r="D56" s="12349"/>
      <c r="E56" s="12349"/>
      <c r="F56" s="12351"/>
      <c r="G56" s="12349"/>
      <c r="H56" s="12349"/>
      <c r="I56" s="12368"/>
      <c r="J56" s="12350">
        <v>30000</v>
      </c>
    </row>
    <row r="57" spans="1:11" ht="17.100000000000001" customHeight="1">
      <c r="A57" s="12341"/>
      <c r="B57" s="7881" t="s">
        <v>72</v>
      </c>
      <c r="C57" s="10151">
        <v>50215020</v>
      </c>
      <c r="D57" s="12349">
        <f>'WS-MOOE 2017'!BH16</f>
        <v>225</v>
      </c>
      <c r="E57" s="12349">
        <f>'WS-MOOE ACTUAL JUNE 2018'!AZ17</f>
        <v>502.5</v>
      </c>
      <c r="F57" s="12351">
        <f t="shared" si="2"/>
        <v>497.5</v>
      </c>
      <c r="G57" s="12349">
        <v>1000</v>
      </c>
      <c r="H57" s="12349">
        <v>502.5</v>
      </c>
      <c r="I57" s="12368">
        <f t="shared" si="3"/>
        <v>0.50249999999999995</v>
      </c>
      <c r="J57" s="12350">
        <v>1000</v>
      </c>
      <c r="K57" s="7483"/>
    </row>
    <row r="58" spans="1:11" ht="17.100000000000001" hidden="1" customHeight="1">
      <c r="A58" s="12341"/>
      <c r="B58" s="7881" t="s">
        <v>307</v>
      </c>
      <c r="C58" s="10151">
        <v>50299070</v>
      </c>
      <c r="D58" s="12349">
        <f>'WS-MOOE 2017'!BL16</f>
        <v>0</v>
      </c>
      <c r="E58" s="12349"/>
      <c r="F58" s="12351">
        <f>G58-E58</f>
        <v>0</v>
      </c>
      <c r="G58" s="12349">
        <v>0</v>
      </c>
      <c r="H58" s="12349"/>
      <c r="I58" s="12368"/>
      <c r="J58" s="12350">
        <v>0</v>
      </c>
    </row>
    <row r="59" spans="1:11" ht="17.100000000000001" customHeight="1">
      <c r="A59" s="12341"/>
      <c r="B59" s="7881" t="s">
        <v>12071</v>
      </c>
      <c r="C59" s="10151">
        <v>50299990</v>
      </c>
      <c r="D59" s="12349">
        <f>'WS-MOOE 2017'!BO16</f>
        <v>65654.350000000006</v>
      </c>
      <c r="E59" s="12349">
        <f>'WS-MOOE ACTUAL JUNE 2018'!BI17</f>
        <v>51635.31</v>
      </c>
      <c r="F59" s="12351">
        <f t="shared" si="2"/>
        <v>53364.69</v>
      </c>
      <c r="G59" s="12349">
        <v>105000</v>
      </c>
      <c r="H59" s="12349">
        <v>63935.31</v>
      </c>
      <c r="I59" s="12368">
        <f t="shared" si="3"/>
        <v>0.79919137499999993</v>
      </c>
      <c r="J59" s="12350">
        <v>80000</v>
      </c>
      <c r="K59" s="7483"/>
    </row>
    <row r="60" spans="1:11" ht="15" customHeight="1">
      <c r="A60" s="12341"/>
      <c r="B60" s="7881"/>
      <c r="C60" s="10151"/>
      <c r="D60" s="12349"/>
      <c r="E60" s="12349"/>
      <c r="F60" s="12349"/>
      <c r="G60" s="12349"/>
      <c r="H60" s="12349"/>
      <c r="I60" s="12233"/>
      <c r="J60" s="12350"/>
      <c r="K60" s="7483"/>
    </row>
    <row r="61" spans="1:11" ht="15" customHeight="1">
      <c r="A61" s="12341"/>
      <c r="B61" s="7883" t="s">
        <v>37</v>
      </c>
      <c r="C61" s="12379"/>
      <c r="D61" s="12374">
        <f>SUM(D44:D59)</f>
        <v>840075.99999999988</v>
      </c>
      <c r="E61" s="12374">
        <f>SUM(E44:E59)</f>
        <v>354024.98</v>
      </c>
      <c r="F61" s="12374">
        <f>SUM(F44:F59)</f>
        <v>756975.02</v>
      </c>
      <c r="G61" s="12375">
        <f>SUM(G44:G59)</f>
        <v>1111000</v>
      </c>
      <c r="H61" s="12375">
        <f>SUM(H44:H59)</f>
        <v>627763.75</v>
      </c>
      <c r="I61" s="12236">
        <f>H61/G61</f>
        <v>0.56504387938793876</v>
      </c>
      <c r="J61" s="12376">
        <f>SUM(J44:J59)</f>
        <v>1325000</v>
      </c>
      <c r="K61" s="10381">
        <f>(J61-G61)/G61</f>
        <v>0.19261926192619261</v>
      </c>
    </row>
    <row r="62" spans="1:11" ht="15" customHeight="1" thickBot="1">
      <c r="A62" s="12344"/>
      <c r="B62" s="7895"/>
      <c r="C62" s="12377"/>
      <c r="D62" s="12360"/>
      <c r="E62" s="12360"/>
      <c r="F62" s="12360"/>
      <c r="G62" s="12360"/>
      <c r="H62" s="12360"/>
      <c r="I62" s="12327"/>
      <c r="J62" s="12378"/>
      <c r="K62" s="7483">
        <f>J61-G61</f>
        <v>214000</v>
      </c>
    </row>
    <row r="63" spans="1:11" ht="15" customHeight="1">
      <c r="A63" s="7881"/>
      <c r="B63" s="7883"/>
      <c r="C63" s="9317"/>
      <c r="D63" s="7884"/>
      <c r="E63" s="7884"/>
      <c r="F63" s="7884"/>
      <c r="G63" s="7884"/>
      <c r="H63" s="7884"/>
      <c r="I63" s="10492"/>
      <c r="J63" s="7884"/>
      <c r="K63" s="7885">
        <f>K62/G61</f>
        <v>0.19261926192619261</v>
      </c>
    </row>
    <row r="64" spans="1:11" ht="15" customHeight="1">
      <c r="A64" s="7881"/>
      <c r="B64" s="7883"/>
      <c r="C64" s="9317"/>
      <c r="D64" s="7884"/>
      <c r="E64" s="7884"/>
      <c r="F64" s="7884"/>
      <c r="G64" s="7884"/>
      <c r="H64" s="7884"/>
      <c r="I64" s="10492"/>
      <c r="J64" s="7884"/>
      <c r="K64" s="7483"/>
    </row>
    <row r="65" spans="1:11" ht="15" customHeight="1">
      <c r="A65" s="7881"/>
      <c r="B65" s="7883"/>
      <c r="C65" s="9317"/>
      <c r="D65" s="7884"/>
      <c r="E65" s="7884"/>
      <c r="F65" s="7884"/>
      <c r="G65" s="7884"/>
      <c r="H65" s="7884"/>
      <c r="I65" s="10492"/>
      <c r="J65" s="7884"/>
      <c r="K65" s="7483"/>
    </row>
    <row r="66" spans="1:11" ht="15" customHeight="1">
      <c r="A66" s="7881"/>
      <c r="B66" s="7883"/>
      <c r="C66" s="9317"/>
      <c r="D66" s="7884"/>
      <c r="E66" s="7884"/>
      <c r="F66" s="7884"/>
      <c r="G66" s="7884"/>
      <c r="H66" s="7884"/>
      <c r="I66" s="10492"/>
      <c r="J66" s="7884"/>
      <c r="K66" s="7483"/>
    </row>
    <row r="67" spans="1:11" ht="15" customHeight="1">
      <c r="A67" s="7881"/>
      <c r="B67" s="7883"/>
      <c r="C67" s="9317"/>
      <c r="D67" s="7884"/>
      <c r="E67" s="7884"/>
      <c r="F67" s="7884"/>
      <c r="G67" s="7884"/>
      <c r="H67" s="7884"/>
      <c r="I67" s="10492"/>
      <c r="J67" s="7884"/>
      <c r="K67" s="7483"/>
    </row>
    <row r="68" spans="1:11" ht="15" customHeight="1">
      <c r="A68" s="7881"/>
      <c r="B68" s="7883"/>
      <c r="C68" s="9317"/>
      <c r="D68" s="7884"/>
      <c r="E68" s="7884"/>
      <c r="F68" s="7884"/>
      <c r="G68" s="7884"/>
      <c r="H68" s="7884"/>
      <c r="I68" s="10492"/>
      <c r="J68" s="7884"/>
      <c r="K68" s="7483"/>
    </row>
    <row r="69" spans="1:11" ht="15" customHeight="1">
      <c r="A69" s="7881"/>
      <c r="B69" s="7883"/>
      <c r="C69" s="9317"/>
      <c r="D69" s="7884"/>
      <c r="E69" s="7884"/>
      <c r="F69" s="7884"/>
      <c r="G69" s="7884"/>
      <c r="H69" s="7884"/>
      <c r="I69" s="10492"/>
      <c r="J69" s="7884"/>
      <c r="K69" s="7483"/>
    </row>
    <row r="70" spans="1:11" ht="15" customHeight="1">
      <c r="A70" s="7881"/>
      <c r="B70" s="7883"/>
      <c r="C70" s="9317"/>
      <c r="D70" s="7884"/>
      <c r="E70" s="7884"/>
      <c r="F70" s="7884"/>
      <c r="G70" s="7884"/>
      <c r="H70" s="7884"/>
      <c r="I70" s="10492"/>
      <c r="J70" s="7884"/>
      <c r="K70" s="7483"/>
    </row>
    <row r="71" spans="1:11" ht="15" customHeight="1">
      <c r="A71" s="7881"/>
      <c r="B71" s="7883"/>
      <c r="C71" s="9317"/>
      <c r="D71" s="7884"/>
      <c r="E71" s="7884"/>
      <c r="F71" s="7884"/>
      <c r="G71" s="7884"/>
      <c r="H71" s="7884"/>
      <c r="I71" s="10492"/>
      <c r="J71" s="7884"/>
      <c r="K71" s="7483"/>
    </row>
    <row r="72" spans="1:11" ht="15" customHeight="1">
      <c r="A72" s="7881"/>
      <c r="B72" s="7883"/>
      <c r="C72" s="9317"/>
      <c r="D72" s="7884"/>
      <c r="E72" s="7884"/>
      <c r="F72" s="7884"/>
      <c r="G72" s="7884"/>
      <c r="H72" s="7884"/>
      <c r="I72" s="10492"/>
      <c r="J72" s="7884"/>
      <c r="K72" s="7483"/>
    </row>
    <row r="73" spans="1:11" ht="15" customHeight="1">
      <c r="A73" s="7881"/>
      <c r="B73" s="7883"/>
      <c r="C73" s="9317"/>
      <c r="D73" s="7884"/>
      <c r="E73" s="7884"/>
      <c r="F73" s="7884"/>
      <c r="G73" s="7884"/>
      <c r="H73" s="7884"/>
      <c r="I73" s="10492"/>
      <c r="J73" s="7884"/>
      <c r="K73" s="7483"/>
    </row>
    <row r="74" spans="1:11" ht="15" customHeight="1">
      <c r="A74" s="7881"/>
      <c r="B74" s="7883"/>
      <c r="C74" s="9317"/>
      <c r="D74" s="7884"/>
      <c r="E74" s="7884"/>
      <c r="F74" s="7884"/>
      <c r="G74" s="7884"/>
      <c r="H74" s="7884"/>
      <c r="I74" s="10492"/>
      <c r="J74" s="7884"/>
      <c r="K74" s="7483"/>
    </row>
    <row r="75" spans="1:11" ht="15" customHeight="1">
      <c r="A75" s="7881"/>
      <c r="B75" s="7883"/>
      <c r="C75" s="9317"/>
      <c r="D75" s="7884"/>
      <c r="E75" s="7884"/>
      <c r="F75" s="7884"/>
      <c r="G75" s="7884"/>
      <c r="H75" s="7884"/>
      <c r="I75" s="10492"/>
      <c r="J75" s="7884"/>
      <c r="K75" s="7483"/>
    </row>
    <row r="76" spans="1:11" ht="15" customHeight="1" thickBot="1">
      <c r="A76" s="7894" t="s">
        <v>10341</v>
      </c>
      <c r="B76" s="7895"/>
      <c r="C76" s="9318"/>
      <c r="D76" s="7877"/>
      <c r="E76" s="7877"/>
      <c r="F76" s="7877"/>
      <c r="G76" s="7877"/>
      <c r="H76" s="7877"/>
      <c r="I76" s="10493"/>
      <c r="J76" s="7877"/>
      <c r="K76" s="7483"/>
    </row>
    <row r="77" spans="1:11" ht="15" customHeight="1">
      <c r="A77" s="12336"/>
      <c r="B77" s="12337"/>
      <c r="C77" s="12338" t="s">
        <v>9</v>
      </c>
      <c r="D77" s="12371" t="s">
        <v>10</v>
      </c>
      <c r="E77" s="14188" t="s">
        <v>10711</v>
      </c>
      <c r="F77" s="14189"/>
      <c r="G77" s="14190"/>
      <c r="H77" s="11769"/>
      <c r="I77" s="9462" t="s">
        <v>9985</v>
      </c>
      <c r="J77" s="12340" t="s">
        <v>12</v>
      </c>
      <c r="K77" s="7483"/>
    </row>
    <row r="78" spans="1:11" ht="15" customHeight="1">
      <c r="A78" s="12341"/>
      <c r="B78" s="7880" t="s">
        <v>13</v>
      </c>
      <c r="C78" s="14841" t="s">
        <v>14</v>
      </c>
      <c r="D78" s="12372" t="s">
        <v>15</v>
      </c>
      <c r="E78" s="9502" t="s">
        <v>10709</v>
      </c>
      <c r="F78" s="9503" t="s">
        <v>10710</v>
      </c>
      <c r="G78" s="14191" t="s">
        <v>458</v>
      </c>
      <c r="H78" s="11770" t="s">
        <v>9985</v>
      </c>
      <c r="I78" s="11108" t="s">
        <v>9988</v>
      </c>
      <c r="J78" s="12343" t="s">
        <v>16</v>
      </c>
      <c r="K78" s="7483"/>
    </row>
    <row r="79" spans="1:11" ht="15" customHeight="1" thickBot="1">
      <c r="A79" s="12344"/>
      <c r="B79" s="12345"/>
      <c r="C79" s="14842"/>
      <c r="D79" s="12373">
        <v>2017</v>
      </c>
      <c r="E79" s="9467" t="s">
        <v>457</v>
      </c>
      <c r="F79" s="11661" t="s">
        <v>456</v>
      </c>
      <c r="G79" s="14192"/>
      <c r="H79" s="7496">
        <v>2016</v>
      </c>
      <c r="I79" s="7303">
        <v>2016</v>
      </c>
      <c r="J79" s="12347">
        <v>2019</v>
      </c>
      <c r="K79" s="7483"/>
    </row>
    <row r="80" spans="1:11" ht="15" customHeight="1">
      <c r="A80" s="12341"/>
      <c r="B80" s="7883"/>
      <c r="C80" s="10151"/>
      <c r="D80" s="12396"/>
      <c r="E80" s="12396"/>
      <c r="F80" s="12397"/>
      <c r="G80" s="12397"/>
      <c r="H80" s="12397"/>
      <c r="I80" s="11108"/>
      <c r="J80" s="12398"/>
      <c r="K80" s="7483"/>
    </row>
    <row r="81" spans="1:12" ht="15" customHeight="1">
      <c r="A81" s="12348" t="s">
        <v>51</v>
      </c>
      <c r="B81" s="7881" t="s">
        <v>52</v>
      </c>
      <c r="C81" s="10151"/>
      <c r="D81" s="12354"/>
      <c r="E81" s="12354"/>
      <c r="F81" s="12349"/>
      <c r="G81" s="12349"/>
      <c r="H81" s="12349"/>
      <c r="I81" s="12233"/>
      <c r="J81" s="12350"/>
      <c r="K81" s="7483"/>
    </row>
    <row r="82" spans="1:12" ht="15" customHeight="1">
      <c r="A82" s="12348"/>
      <c r="B82" s="7881"/>
      <c r="C82" s="10151"/>
      <c r="D82" s="12354"/>
      <c r="E82" s="12349"/>
      <c r="F82" s="12349"/>
      <c r="G82" s="12349"/>
      <c r="H82" s="12349"/>
      <c r="I82" s="12233"/>
      <c r="J82" s="12350"/>
      <c r="K82" s="7483"/>
    </row>
    <row r="83" spans="1:12" ht="15" customHeight="1">
      <c r="A83" s="12348"/>
      <c r="B83" s="7810" t="s">
        <v>12242</v>
      </c>
      <c r="C83" s="10377">
        <v>50707010</v>
      </c>
      <c r="D83" s="12354">
        <f>'WS-CO 2017'!K15</f>
        <v>0</v>
      </c>
      <c r="E83" s="12349"/>
      <c r="F83" s="12349"/>
      <c r="G83" s="12349"/>
      <c r="H83" s="12349"/>
      <c r="I83" s="12233"/>
      <c r="J83" s="12350"/>
      <c r="K83" s="7483"/>
    </row>
    <row r="84" spans="1:12" ht="15" customHeight="1">
      <c r="A84" s="12348"/>
      <c r="B84" s="7881" t="s">
        <v>10001</v>
      </c>
      <c r="C84" s="10151">
        <v>50705020</v>
      </c>
      <c r="D84" s="12354"/>
      <c r="E84" s="12349"/>
      <c r="F84" s="12349"/>
      <c r="G84" s="12349"/>
      <c r="H84" s="12349"/>
      <c r="I84" s="12233"/>
      <c r="J84" s="12350">
        <v>10000</v>
      </c>
      <c r="K84" s="7483"/>
    </row>
    <row r="85" spans="1:12" ht="15" customHeight="1">
      <c r="A85" s="12348"/>
      <c r="B85" s="7488" t="s">
        <v>10963</v>
      </c>
      <c r="C85" s="10144">
        <v>50705030</v>
      </c>
      <c r="D85" s="12354">
        <f>'WS-CO 2017'!H15</f>
        <v>47802</v>
      </c>
      <c r="E85" s="12349"/>
      <c r="F85" s="12351">
        <f>G85-E85</f>
        <v>0</v>
      </c>
      <c r="G85" s="12349">
        <v>0</v>
      </c>
      <c r="H85" s="12349"/>
      <c r="I85" s="12233"/>
      <c r="J85" s="12350">
        <v>86436</v>
      </c>
      <c r="K85" s="7483"/>
    </row>
    <row r="86" spans="1:12" s="7886" customFormat="1" ht="15" customHeight="1">
      <c r="A86" s="12341"/>
      <c r="B86" s="7881"/>
      <c r="C86" s="10151"/>
      <c r="D86" s="12380"/>
      <c r="E86" s="12380"/>
      <c r="F86" s="12380"/>
      <c r="G86" s="12380"/>
      <c r="H86" s="12380"/>
      <c r="I86" s="12325"/>
      <c r="J86" s="12381"/>
      <c r="K86" s="7483"/>
      <c r="L86" s="10253"/>
    </row>
    <row r="87" spans="1:12" s="7887" customFormat="1" ht="15" customHeight="1">
      <c r="A87" s="12348"/>
      <c r="B87" s="7881" t="s">
        <v>10761</v>
      </c>
      <c r="C87" s="10151"/>
      <c r="D87" s="12382">
        <f t="shared" ref="D87:I87" si="4">SUM(D80:D86)</f>
        <v>47802</v>
      </c>
      <c r="E87" s="12382">
        <f t="shared" si="4"/>
        <v>0</v>
      </c>
      <c r="F87" s="12382">
        <f t="shared" si="4"/>
        <v>0</v>
      </c>
      <c r="G87" s="12382">
        <f t="shared" si="4"/>
        <v>0</v>
      </c>
      <c r="H87" s="12382">
        <f t="shared" si="4"/>
        <v>0</v>
      </c>
      <c r="I87" s="12235">
        <f t="shared" si="4"/>
        <v>0</v>
      </c>
      <c r="J87" s="12383">
        <f>SUM(J80:J86)</f>
        <v>96436</v>
      </c>
      <c r="K87" s="10381"/>
      <c r="L87" s="10254"/>
    </row>
    <row r="88" spans="1:12" s="7887" customFormat="1" ht="15" customHeight="1">
      <c r="A88" s="12348" t="s">
        <v>53</v>
      </c>
      <c r="B88" s="7881" t="s">
        <v>54</v>
      </c>
      <c r="C88" s="10151"/>
      <c r="D88" s="12354"/>
      <c r="E88" s="12354"/>
      <c r="F88" s="12349"/>
      <c r="G88" s="12349"/>
      <c r="H88" s="12349"/>
      <c r="I88" s="12233"/>
      <c r="J88" s="12350"/>
      <c r="K88" s="7503"/>
      <c r="L88" s="10254"/>
    </row>
    <row r="89" spans="1:12" s="7887" customFormat="1" ht="15" customHeight="1">
      <c r="A89" s="12348"/>
      <c r="B89" s="7881"/>
      <c r="C89" s="10151"/>
      <c r="D89" s="12349"/>
      <c r="E89" s="12349"/>
      <c r="F89" s="12349"/>
      <c r="G89" s="12349"/>
      <c r="H89" s="12349"/>
      <c r="I89" s="12233"/>
      <c r="J89" s="12350"/>
      <c r="K89" s="7503"/>
      <c r="L89" s="10254"/>
    </row>
    <row r="90" spans="1:12" ht="15" customHeight="1">
      <c r="A90" s="12348"/>
      <c r="B90" s="7881" t="s">
        <v>4681</v>
      </c>
      <c r="C90" s="10151">
        <v>99910</v>
      </c>
      <c r="D90" s="12349">
        <v>125096.95</v>
      </c>
      <c r="E90" s="12349">
        <v>25745.62</v>
      </c>
      <c r="F90" s="12351">
        <f>G90-E90</f>
        <v>274254.38</v>
      </c>
      <c r="G90" s="12349">
        <v>300000</v>
      </c>
      <c r="H90" s="12349">
        <f>119335.01+47483</f>
        <v>166818.01</v>
      </c>
      <c r="I90" s="12233">
        <f>H90/G90</f>
        <v>0.55606003333333331</v>
      </c>
      <c r="J90" s="12350">
        <v>400000</v>
      </c>
      <c r="K90" s="7483"/>
    </row>
    <row r="91" spans="1:12" ht="15" customHeight="1">
      <c r="A91" s="12348"/>
      <c r="B91" s="7881"/>
      <c r="C91" s="10151"/>
      <c r="D91" s="12380"/>
      <c r="E91" s="7888"/>
      <c r="F91" s="12351"/>
      <c r="G91" s="12380"/>
      <c r="H91" s="7888"/>
      <c r="I91" s="10494"/>
      <c r="J91" s="12384"/>
      <c r="K91" s="7483"/>
    </row>
    <row r="92" spans="1:12" s="7333" customFormat="1" ht="15" customHeight="1">
      <c r="A92" s="12385"/>
      <c r="B92" s="7883" t="s">
        <v>37</v>
      </c>
      <c r="C92" s="12370"/>
      <c r="D92" s="12386">
        <f>SUM(D90)</f>
        <v>125096.95</v>
      </c>
      <c r="E92" s="12386">
        <f>SUM(E90)</f>
        <v>25745.62</v>
      </c>
      <c r="F92" s="12387">
        <f>SUM(F90)</f>
        <v>274254.38</v>
      </c>
      <c r="G92" s="12386">
        <f>G90</f>
        <v>300000</v>
      </c>
      <c r="H92" s="7889"/>
      <c r="I92" s="8857"/>
      <c r="J92" s="12388">
        <f>J90</f>
        <v>400000</v>
      </c>
      <c r="K92" s="10381">
        <f>(J92-G92)/G92</f>
        <v>0.33333333333333331</v>
      </c>
      <c r="L92" s="7842"/>
    </row>
    <row r="93" spans="1:12" ht="15" customHeight="1">
      <c r="A93" s="12385"/>
      <c r="B93" s="7883"/>
      <c r="C93" s="9319"/>
      <c r="D93" s="12389"/>
      <c r="E93" s="12389"/>
      <c r="F93" s="12389"/>
      <c r="G93" s="12389"/>
      <c r="H93" s="12389"/>
      <c r="I93" s="12317"/>
      <c r="J93" s="12390"/>
      <c r="K93" s="7483"/>
    </row>
    <row r="94" spans="1:12" ht="15" customHeight="1" thickBot="1">
      <c r="A94" s="12391"/>
      <c r="B94" s="12392" t="s">
        <v>55</v>
      </c>
      <c r="C94" s="12359"/>
      <c r="D94" s="12393">
        <f>(D29+D61+D87+D92)</f>
        <v>8896191.6799999978</v>
      </c>
      <c r="E94" s="12393">
        <f>(E29+E61+E87+E92)</f>
        <v>3821560.67</v>
      </c>
      <c r="F94" s="12393">
        <f>(F29+F61+F87+F92)</f>
        <v>7676504.330000001</v>
      </c>
      <c r="G94" s="12393">
        <f>(G29+G61+G87+G92)</f>
        <v>11498065</v>
      </c>
      <c r="H94" s="12394"/>
      <c r="I94" s="7322"/>
      <c r="J94" s="12395">
        <f>(J29+J61+J87+J92)</f>
        <v>13282391.75</v>
      </c>
      <c r="K94" s="10381">
        <f>(J94-G94)/G94</f>
        <v>0.15518495938229607</v>
      </c>
    </row>
    <row r="95" spans="1:12" ht="15" customHeight="1">
      <c r="A95" s="7738" t="s">
        <v>4763</v>
      </c>
      <c r="B95" s="7738"/>
      <c r="C95" s="9346"/>
      <c r="D95" s="7740"/>
      <c r="E95" s="7740"/>
      <c r="F95" s="7740"/>
      <c r="G95" s="7741"/>
      <c r="H95" s="7740"/>
      <c r="I95" s="10578"/>
      <c r="J95" s="7741"/>
      <c r="K95" s="7483"/>
    </row>
    <row r="96" spans="1:12" ht="15" customHeight="1">
      <c r="A96" s="7872"/>
      <c r="B96" s="7767"/>
      <c r="C96" s="9320"/>
      <c r="D96" s="7800"/>
      <c r="E96" s="7800"/>
      <c r="F96" s="7800"/>
      <c r="G96" s="7823"/>
      <c r="H96" s="7800"/>
      <c r="I96" s="8106"/>
      <c r="J96" s="7823"/>
    </row>
    <row r="97" spans="1:10" ht="15" hidden="1" customHeight="1">
      <c r="B97" s="7761" t="s">
        <v>3483</v>
      </c>
      <c r="C97" s="10870" t="s">
        <v>3484</v>
      </c>
      <c r="E97" s="7762"/>
      <c r="F97" s="9459" t="s">
        <v>10666</v>
      </c>
      <c r="H97" s="7763"/>
      <c r="I97" s="8106"/>
      <c r="J97" s="7762"/>
    </row>
    <row r="98" spans="1:10" ht="15" hidden="1" customHeight="1">
      <c r="A98" s="7761"/>
      <c r="B98" s="7761"/>
      <c r="C98" s="9321"/>
      <c r="D98" s="10870"/>
      <c r="E98" s="7762"/>
      <c r="F98" s="7762"/>
      <c r="G98" s="7339"/>
      <c r="H98" s="7763"/>
      <c r="I98" s="8106"/>
      <c r="J98" s="7762"/>
    </row>
    <row r="99" spans="1:10" ht="15" hidden="1" customHeight="1">
      <c r="A99" s="7761"/>
      <c r="B99" s="7761"/>
      <c r="C99" s="9321"/>
      <c r="D99" s="10870"/>
      <c r="E99" s="7762"/>
      <c r="F99" s="7762"/>
      <c r="G99" s="7339"/>
      <c r="H99" s="7763"/>
      <c r="I99" s="8106"/>
      <c r="J99" s="7762"/>
    </row>
    <row r="100" spans="1:10" ht="15" hidden="1" customHeight="1">
      <c r="A100" s="7761"/>
      <c r="B100" s="7761"/>
      <c r="C100" s="9321"/>
      <c r="D100" s="10870"/>
      <c r="E100" s="7762"/>
      <c r="F100" s="7762"/>
      <c r="G100" s="7339"/>
      <c r="H100" s="7763"/>
      <c r="I100" s="8106"/>
      <c r="J100" s="7762"/>
    </row>
    <row r="101" spans="1:10" ht="15" hidden="1" customHeight="1">
      <c r="B101" s="10874" t="s">
        <v>12059</v>
      </c>
      <c r="C101" s="9321"/>
      <c r="D101" s="10874" t="s">
        <v>12059</v>
      </c>
      <c r="E101" s="7762"/>
      <c r="F101" s="7762"/>
      <c r="G101" s="7342" t="s">
        <v>10667</v>
      </c>
      <c r="H101" s="7766"/>
      <c r="I101" s="10488"/>
      <c r="J101" s="7762"/>
    </row>
    <row r="102" spans="1:10" ht="15" hidden="1" customHeight="1">
      <c r="B102" s="10878" t="s">
        <v>3486</v>
      </c>
      <c r="C102" s="9321"/>
      <c r="D102" s="10878" t="s">
        <v>3486</v>
      </c>
      <c r="E102" s="7762"/>
      <c r="F102" s="7762"/>
      <c r="G102" s="7344" t="s">
        <v>10668</v>
      </c>
      <c r="H102" s="7763"/>
      <c r="I102" s="10871"/>
      <c r="J102" s="7763"/>
    </row>
    <row r="103" spans="1:10" ht="15" customHeight="1">
      <c r="A103" s="7872"/>
      <c r="B103" s="7872"/>
      <c r="C103" s="9313"/>
      <c r="D103" s="7873"/>
      <c r="E103" s="7873"/>
      <c r="F103" s="7873"/>
      <c r="G103" s="7873"/>
      <c r="H103" s="7873">
        <f>J94-G94</f>
        <v>1784326.75</v>
      </c>
      <c r="I103" s="8106">
        <f>H103/G94</f>
        <v>0.15518495938229607</v>
      </c>
      <c r="J103" s="7873"/>
    </row>
    <row r="104" spans="1:10" ht="15" customHeight="1">
      <c r="A104" s="7872"/>
      <c r="B104" s="7872"/>
      <c r="C104" s="9313"/>
      <c r="D104" s="7873"/>
      <c r="E104" s="7873"/>
      <c r="F104" s="7873"/>
      <c r="G104" s="7873"/>
      <c r="H104" s="7345"/>
      <c r="I104" s="8106"/>
      <c r="J104" s="7873"/>
    </row>
  </sheetData>
  <mergeCells count="12">
    <mergeCell ref="A1:J1"/>
    <mergeCell ref="C7:C8"/>
    <mergeCell ref="J3:J4"/>
    <mergeCell ref="C78:C79"/>
    <mergeCell ref="G3:G4"/>
    <mergeCell ref="E77:G77"/>
    <mergeCell ref="G78:G79"/>
    <mergeCell ref="E6:G6"/>
    <mergeCell ref="G7:G8"/>
    <mergeCell ref="E39:G39"/>
    <mergeCell ref="C40:C41"/>
    <mergeCell ref="G40:G41"/>
  </mergeCells>
  <printOptions horizontalCentered="1" gridLinesSet="0"/>
  <pageMargins left="0.25" right="0.25" top="0.5" bottom="0.25" header="0.25" footer="0.25"/>
  <pageSetup paperSize="119" firstPageNumber="169" orientation="landscape" useFirstPageNumber="1" r:id="rId1"/>
  <headerFooter alignWithMargins="0"/>
</worksheet>
</file>

<file path=xl/worksheets/sheet95.xml><?xml version="1.0" encoding="utf-8"?>
<worksheet xmlns="http://schemas.openxmlformats.org/spreadsheetml/2006/main" xmlns:r="http://schemas.openxmlformats.org/officeDocument/2006/relationships">
  <sheetPr codeName="Sheet131">
    <tabColor rgb="FFFFFF00"/>
  </sheetPr>
  <dimension ref="A1:E21"/>
  <sheetViews>
    <sheetView workbookViewId="0">
      <selection activeCell="F17" sqref="F17"/>
    </sheetView>
  </sheetViews>
  <sheetFormatPr defaultColWidth="9.109375" defaultRowHeight="14.4"/>
  <cols>
    <col min="1" max="1" width="29.44140625" style="818" customWidth="1"/>
    <col min="2" max="2" width="17.88671875" style="889" customWidth="1"/>
    <col min="3" max="3" width="15.88671875" style="889" customWidth="1"/>
    <col min="4" max="4" width="16.44140625" style="889" customWidth="1"/>
    <col min="5" max="5" width="14.109375" style="889" customWidth="1"/>
    <col min="6" max="16384" width="9.109375" style="818"/>
  </cols>
  <sheetData>
    <row r="1" spans="1:5" s="881" customFormat="1" ht="31.5" customHeight="1">
      <c r="A1" s="881" t="s">
        <v>3426</v>
      </c>
      <c r="B1" s="884"/>
      <c r="C1" s="884"/>
      <c r="D1" s="884"/>
      <c r="E1" s="884"/>
    </row>
    <row r="2" spans="1:5" s="881" customFormat="1" ht="20.25" customHeight="1">
      <c r="A2" s="110" t="s">
        <v>304</v>
      </c>
      <c r="B2" s="884"/>
      <c r="C2" s="884"/>
      <c r="D2" s="884"/>
      <c r="E2" s="884"/>
    </row>
    <row r="3" spans="1:5" s="881" customFormat="1" ht="20.25" customHeight="1">
      <c r="B3" s="884"/>
      <c r="C3" s="884"/>
      <c r="D3" s="884"/>
      <c r="E3" s="884"/>
    </row>
    <row r="4" spans="1:5" s="881" customFormat="1">
      <c r="A4" s="14205" t="s">
        <v>3427</v>
      </c>
      <c r="B4" s="14207" t="s">
        <v>18</v>
      </c>
      <c r="C4" s="14207"/>
      <c r="D4" s="14207"/>
      <c r="E4" s="14208" t="s">
        <v>220</v>
      </c>
    </row>
    <row r="5" spans="1:5" s="882" customFormat="1">
      <c r="A5" s="14206"/>
      <c r="B5" s="885" t="s">
        <v>2151</v>
      </c>
      <c r="C5" s="885" t="s">
        <v>1973</v>
      </c>
      <c r="D5" s="885" t="s">
        <v>52</v>
      </c>
      <c r="E5" s="14209"/>
    </row>
    <row r="6" spans="1:5" s="881" customFormat="1">
      <c r="A6" s="883" t="s">
        <v>2048</v>
      </c>
      <c r="B6" s="886"/>
      <c r="C6" s="886"/>
      <c r="D6" s="886"/>
      <c r="E6" s="886"/>
    </row>
    <row r="7" spans="1:5" s="881" customFormat="1">
      <c r="A7" s="3638"/>
      <c r="B7" s="4993"/>
      <c r="C7" s="4993"/>
      <c r="D7" s="4993"/>
      <c r="E7" s="4993"/>
    </row>
    <row r="8" spans="1:5">
      <c r="A8" s="879" t="s">
        <v>3428</v>
      </c>
      <c r="B8" s="887">
        <f>'lbpf 3-PBMO'!J29</f>
        <v>11460955.75</v>
      </c>
      <c r="C8" s="887">
        <f>'lbpf 3-PBMO'!J61</f>
        <v>1325000</v>
      </c>
      <c r="D8" s="887"/>
      <c r="E8" s="887">
        <f>SUM(B8:D8)</f>
        <v>12785955.75</v>
      </c>
    </row>
    <row r="9" spans="1:5">
      <c r="A9" s="879"/>
      <c r="B9" s="887"/>
      <c r="C9" s="887"/>
      <c r="D9" s="887"/>
      <c r="E9" s="887"/>
    </row>
    <row r="10" spans="1:5">
      <c r="A10" s="3646"/>
      <c r="B10" s="2387"/>
      <c r="C10" s="2387"/>
      <c r="D10" s="2387"/>
      <c r="E10" s="2387"/>
    </row>
    <row r="11" spans="1:5">
      <c r="A11" s="3646"/>
      <c r="B11" s="2387"/>
      <c r="C11" s="2387"/>
      <c r="D11" s="2387"/>
      <c r="E11" s="2387"/>
    </row>
    <row r="12" spans="1:5">
      <c r="A12" s="3646"/>
      <c r="B12" s="2387"/>
      <c r="C12" s="2387"/>
      <c r="D12" s="2387"/>
      <c r="E12" s="2387"/>
    </row>
    <row r="13" spans="1:5">
      <c r="A13" s="880"/>
      <c r="B13" s="888"/>
      <c r="C13" s="888"/>
      <c r="D13" s="888"/>
      <c r="E13" s="888"/>
    </row>
    <row r="14" spans="1:5">
      <c r="A14" s="883" t="s">
        <v>3429</v>
      </c>
      <c r="B14" s="887"/>
      <c r="C14" s="887"/>
      <c r="D14" s="887"/>
      <c r="E14" s="887"/>
    </row>
    <row r="15" spans="1:5">
      <c r="A15" s="3638"/>
      <c r="B15" s="2387"/>
      <c r="C15" s="2387"/>
      <c r="D15" s="2387"/>
      <c r="E15" s="2387"/>
    </row>
    <row r="16" spans="1:5">
      <c r="A16" s="1006" t="str">
        <f>'lbpf 3-PBMO'!B90</f>
        <v xml:space="preserve">        e-BUDGET</v>
      </c>
      <c r="B16" s="887"/>
      <c r="C16" s="887">
        <v>200000</v>
      </c>
      <c r="D16" s="887">
        <v>200000</v>
      </c>
      <c r="E16" s="887">
        <f>SUM(B16:D16)</f>
        <v>400000</v>
      </c>
    </row>
    <row r="17" spans="1:5">
      <c r="A17" s="879"/>
      <c r="B17" s="887"/>
      <c r="C17" s="887"/>
      <c r="D17" s="887"/>
      <c r="E17" s="887"/>
    </row>
    <row r="18" spans="1:5">
      <c r="A18" s="879"/>
      <c r="B18" s="887"/>
      <c r="C18" s="887"/>
      <c r="D18" s="887"/>
      <c r="E18" s="887"/>
    </row>
    <row r="19" spans="1:5">
      <c r="A19" s="879"/>
      <c r="B19" s="887"/>
      <c r="C19" s="887"/>
      <c r="D19" s="887"/>
      <c r="E19" s="887"/>
    </row>
    <row r="20" spans="1:5">
      <c r="A20" s="879"/>
      <c r="B20" s="887"/>
      <c r="C20" s="887"/>
      <c r="D20" s="887"/>
      <c r="E20" s="887"/>
    </row>
    <row r="21" spans="1:5" s="881" customFormat="1">
      <c r="A21" s="891" t="s">
        <v>2850</v>
      </c>
      <c r="B21" s="892">
        <f>SUM(B6:B20)</f>
        <v>11460955.75</v>
      </c>
      <c r="C21" s="892">
        <f>SUM(C6:C20)</f>
        <v>1525000</v>
      </c>
      <c r="D21" s="892">
        <f>SUM(D6:D20)</f>
        <v>200000</v>
      </c>
      <c r="E21" s="892">
        <f>SUM(E6:E20)</f>
        <v>13185955.75</v>
      </c>
    </row>
  </sheetData>
  <mergeCells count="3">
    <mergeCell ref="B4:D4"/>
    <mergeCell ref="A4:A5"/>
    <mergeCell ref="E4:E5"/>
  </mergeCells>
  <printOptions horizontalCentered="1"/>
  <pageMargins left="0.5" right="0.25" top="0.75" bottom="0.5" header="0.3" footer="0.25"/>
  <pageSetup paperSize="119" firstPageNumber="170" orientation="portrait" useFirstPageNumber="1" verticalDpi="300" r:id="rId1"/>
</worksheet>
</file>

<file path=xl/worksheets/sheet96.xml><?xml version="1.0" encoding="utf-8"?>
<worksheet xmlns="http://schemas.openxmlformats.org/spreadsheetml/2006/main" xmlns:r="http://schemas.openxmlformats.org/officeDocument/2006/relationships">
  <sheetPr codeName="Sheet66">
    <tabColor rgb="FFFFFF00"/>
  </sheetPr>
  <dimension ref="A1:I65"/>
  <sheetViews>
    <sheetView showGridLines="0" topLeftCell="A40" workbookViewId="0">
      <selection activeCell="F40" sqref="F1:N1048576"/>
    </sheetView>
  </sheetViews>
  <sheetFormatPr defaultRowHeight="12.9" customHeight="1"/>
  <cols>
    <col min="1" max="1" width="40.5546875" style="7165" customWidth="1"/>
    <col min="2" max="3" width="8.5546875" style="7165" customWidth="1"/>
    <col min="4" max="6" width="14.5546875" style="7165" customWidth="1"/>
    <col min="7" max="8" width="8.88671875" style="7165" customWidth="1"/>
    <col min="9" max="9" width="14" style="7165" customWidth="1"/>
    <col min="10" max="13" width="8.88671875" style="7165" customWidth="1"/>
    <col min="14" max="256" width="9.109375" style="7165"/>
    <col min="257" max="257" width="32" style="7165" customWidth="1"/>
    <col min="258" max="258" width="9" style="7165" customWidth="1"/>
    <col min="259" max="259" width="8.109375" style="7165" customWidth="1"/>
    <col min="260" max="260" width="10.44140625" style="7165" customWidth="1"/>
    <col min="261" max="261" width="13" style="7165" customWidth="1"/>
    <col min="262" max="262" width="15.44140625" style="7165" customWidth="1"/>
    <col min="263" max="512" width="9.109375" style="7165"/>
    <col min="513" max="513" width="32" style="7165" customWidth="1"/>
    <col min="514" max="514" width="9" style="7165" customWidth="1"/>
    <col min="515" max="515" width="8.109375" style="7165" customWidth="1"/>
    <col min="516" max="516" width="10.44140625" style="7165" customWidth="1"/>
    <col min="517" max="517" width="13" style="7165" customWidth="1"/>
    <col min="518" max="518" width="15.44140625" style="7165" customWidth="1"/>
    <col min="519" max="768" width="9.109375" style="7165"/>
    <col min="769" max="769" width="32" style="7165" customWidth="1"/>
    <col min="770" max="770" width="9" style="7165" customWidth="1"/>
    <col min="771" max="771" width="8.109375" style="7165" customWidth="1"/>
    <col min="772" max="772" width="10.44140625" style="7165" customWidth="1"/>
    <col min="773" max="773" width="13" style="7165" customWidth="1"/>
    <col min="774" max="774" width="15.44140625" style="7165" customWidth="1"/>
    <col min="775" max="1024" width="9.109375" style="7165"/>
    <col min="1025" max="1025" width="32" style="7165" customWidth="1"/>
    <col min="1026" max="1026" width="9" style="7165" customWidth="1"/>
    <col min="1027" max="1027" width="8.109375" style="7165" customWidth="1"/>
    <col min="1028" max="1028" width="10.44140625" style="7165" customWidth="1"/>
    <col min="1029" max="1029" width="13" style="7165" customWidth="1"/>
    <col min="1030" max="1030" width="15.44140625" style="7165" customWidth="1"/>
    <col min="1031" max="1280" width="9.109375" style="7165"/>
    <col min="1281" max="1281" width="32" style="7165" customWidth="1"/>
    <col min="1282" max="1282" width="9" style="7165" customWidth="1"/>
    <col min="1283" max="1283" width="8.109375" style="7165" customWidth="1"/>
    <col min="1284" max="1284" width="10.44140625" style="7165" customWidth="1"/>
    <col min="1285" max="1285" width="13" style="7165" customWidth="1"/>
    <col min="1286" max="1286" width="15.44140625" style="7165" customWidth="1"/>
    <col min="1287" max="1536" width="9.109375" style="7165"/>
    <col min="1537" max="1537" width="32" style="7165" customWidth="1"/>
    <col min="1538" max="1538" width="9" style="7165" customWidth="1"/>
    <col min="1539" max="1539" width="8.109375" style="7165" customWidth="1"/>
    <col min="1540" max="1540" width="10.44140625" style="7165" customWidth="1"/>
    <col min="1541" max="1541" width="13" style="7165" customWidth="1"/>
    <col min="1542" max="1542" width="15.44140625" style="7165" customWidth="1"/>
    <col min="1543" max="1792" width="9.109375" style="7165"/>
    <col min="1793" max="1793" width="32" style="7165" customWidth="1"/>
    <col min="1794" max="1794" width="9" style="7165" customWidth="1"/>
    <col min="1795" max="1795" width="8.109375" style="7165" customWidth="1"/>
    <col min="1796" max="1796" width="10.44140625" style="7165" customWidth="1"/>
    <col min="1797" max="1797" width="13" style="7165" customWidth="1"/>
    <col min="1798" max="1798" width="15.44140625" style="7165" customWidth="1"/>
    <col min="1799" max="2048" width="9.109375" style="7165"/>
    <col min="2049" max="2049" width="32" style="7165" customWidth="1"/>
    <col min="2050" max="2050" width="9" style="7165" customWidth="1"/>
    <col min="2051" max="2051" width="8.109375" style="7165" customWidth="1"/>
    <col min="2052" max="2052" width="10.44140625" style="7165" customWidth="1"/>
    <col min="2053" max="2053" width="13" style="7165" customWidth="1"/>
    <col min="2054" max="2054" width="15.44140625" style="7165" customWidth="1"/>
    <col min="2055" max="2304" width="9.109375" style="7165"/>
    <col min="2305" max="2305" width="32" style="7165" customWidth="1"/>
    <col min="2306" max="2306" width="9" style="7165" customWidth="1"/>
    <col min="2307" max="2307" width="8.109375" style="7165" customWidth="1"/>
    <col min="2308" max="2308" width="10.44140625" style="7165" customWidth="1"/>
    <col min="2309" max="2309" width="13" style="7165" customWidth="1"/>
    <col min="2310" max="2310" width="15.44140625" style="7165" customWidth="1"/>
    <col min="2311" max="2560" width="9.109375" style="7165"/>
    <col min="2561" max="2561" width="32" style="7165" customWidth="1"/>
    <col min="2562" max="2562" width="9" style="7165" customWidth="1"/>
    <col min="2563" max="2563" width="8.109375" style="7165" customWidth="1"/>
    <col min="2564" max="2564" width="10.44140625" style="7165" customWidth="1"/>
    <col min="2565" max="2565" width="13" style="7165" customWidth="1"/>
    <col min="2566" max="2566" width="15.44140625" style="7165" customWidth="1"/>
    <col min="2567" max="2816" width="9.109375" style="7165"/>
    <col min="2817" max="2817" width="32" style="7165" customWidth="1"/>
    <col min="2818" max="2818" width="9" style="7165" customWidth="1"/>
    <col min="2819" max="2819" width="8.109375" style="7165" customWidth="1"/>
    <col min="2820" max="2820" width="10.44140625" style="7165" customWidth="1"/>
    <col min="2821" max="2821" width="13" style="7165" customWidth="1"/>
    <col min="2822" max="2822" width="15.44140625" style="7165" customWidth="1"/>
    <col min="2823" max="3072" width="9.109375" style="7165"/>
    <col min="3073" max="3073" width="32" style="7165" customWidth="1"/>
    <col min="3074" max="3074" width="9" style="7165" customWidth="1"/>
    <col min="3075" max="3075" width="8.109375" style="7165" customWidth="1"/>
    <col min="3076" max="3076" width="10.44140625" style="7165" customWidth="1"/>
    <col min="3077" max="3077" width="13" style="7165" customWidth="1"/>
    <col min="3078" max="3078" width="15.44140625" style="7165" customWidth="1"/>
    <col min="3079" max="3328" width="9.109375" style="7165"/>
    <col min="3329" max="3329" width="32" style="7165" customWidth="1"/>
    <col min="3330" max="3330" width="9" style="7165" customWidth="1"/>
    <col min="3331" max="3331" width="8.109375" style="7165" customWidth="1"/>
    <col min="3332" max="3332" width="10.44140625" style="7165" customWidth="1"/>
    <col min="3333" max="3333" width="13" style="7165" customWidth="1"/>
    <col min="3334" max="3334" width="15.44140625" style="7165" customWidth="1"/>
    <col min="3335" max="3584" width="9.109375" style="7165"/>
    <col min="3585" max="3585" width="32" style="7165" customWidth="1"/>
    <col min="3586" max="3586" width="9" style="7165" customWidth="1"/>
    <col min="3587" max="3587" width="8.109375" style="7165" customWidth="1"/>
    <col min="3588" max="3588" width="10.44140625" style="7165" customWidth="1"/>
    <col min="3589" max="3589" width="13" style="7165" customWidth="1"/>
    <col min="3590" max="3590" width="15.44140625" style="7165" customWidth="1"/>
    <col min="3591" max="3840" width="9.109375" style="7165"/>
    <col min="3841" max="3841" width="32" style="7165" customWidth="1"/>
    <col min="3842" max="3842" width="9" style="7165" customWidth="1"/>
    <col min="3843" max="3843" width="8.109375" style="7165" customWidth="1"/>
    <col min="3844" max="3844" width="10.44140625" style="7165" customWidth="1"/>
    <col min="3845" max="3845" width="13" style="7165" customWidth="1"/>
    <col min="3846" max="3846" width="15.44140625" style="7165" customWidth="1"/>
    <col min="3847" max="4096" width="9.109375" style="7165"/>
    <col min="4097" max="4097" width="32" style="7165" customWidth="1"/>
    <col min="4098" max="4098" width="9" style="7165" customWidth="1"/>
    <col min="4099" max="4099" width="8.109375" style="7165" customWidth="1"/>
    <col min="4100" max="4100" width="10.44140625" style="7165" customWidth="1"/>
    <col min="4101" max="4101" width="13" style="7165" customWidth="1"/>
    <col min="4102" max="4102" width="15.44140625" style="7165" customWidth="1"/>
    <col min="4103" max="4352" width="9.109375" style="7165"/>
    <col min="4353" max="4353" width="32" style="7165" customWidth="1"/>
    <col min="4354" max="4354" width="9" style="7165" customWidth="1"/>
    <col min="4355" max="4355" width="8.109375" style="7165" customWidth="1"/>
    <col min="4356" max="4356" width="10.44140625" style="7165" customWidth="1"/>
    <col min="4357" max="4357" width="13" style="7165" customWidth="1"/>
    <col min="4358" max="4358" width="15.44140625" style="7165" customWidth="1"/>
    <col min="4359" max="4608" width="9.109375" style="7165"/>
    <col min="4609" max="4609" width="32" style="7165" customWidth="1"/>
    <col min="4610" max="4610" width="9" style="7165" customWidth="1"/>
    <col min="4611" max="4611" width="8.109375" style="7165" customWidth="1"/>
    <col min="4612" max="4612" width="10.44140625" style="7165" customWidth="1"/>
    <col min="4613" max="4613" width="13" style="7165" customWidth="1"/>
    <col min="4614" max="4614" width="15.44140625" style="7165" customWidth="1"/>
    <col min="4615" max="4864" width="9.109375" style="7165"/>
    <col min="4865" max="4865" width="32" style="7165" customWidth="1"/>
    <col min="4866" max="4866" width="9" style="7165" customWidth="1"/>
    <col min="4867" max="4867" width="8.109375" style="7165" customWidth="1"/>
    <col min="4868" max="4868" width="10.44140625" style="7165" customWidth="1"/>
    <col min="4869" max="4869" width="13" style="7165" customWidth="1"/>
    <col min="4870" max="4870" width="15.44140625" style="7165" customWidth="1"/>
    <col min="4871" max="5120" width="9.109375" style="7165"/>
    <col min="5121" max="5121" width="32" style="7165" customWidth="1"/>
    <col min="5122" max="5122" width="9" style="7165" customWidth="1"/>
    <col min="5123" max="5123" width="8.109375" style="7165" customWidth="1"/>
    <col min="5124" max="5124" width="10.44140625" style="7165" customWidth="1"/>
    <col min="5125" max="5125" width="13" style="7165" customWidth="1"/>
    <col min="5126" max="5126" width="15.44140625" style="7165" customWidth="1"/>
    <col min="5127" max="5376" width="9.109375" style="7165"/>
    <col min="5377" max="5377" width="32" style="7165" customWidth="1"/>
    <col min="5378" max="5378" width="9" style="7165" customWidth="1"/>
    <col min="5379" max="5379" width="8.109375" style="7165" customWidth="1"/>
    <col min="5380" max="5380" width="10.44140625" style="7165" customWidth="1"/>
    <col min="5381" max="5381" width="13" style="7165" customWidth="1"/>
    <col min="5382" max="5382" width="15.44140625" style="7165" customWidth="1"/>
    <col min="5383" max="5632" width="9.109375" style="7165"/>
    <col min="5633" max="5633" width="32" style="7165" customWidth="1"/>
    <col min="5634" max="5634" width="9" style="7165" customWidth="1"/>
    <col min="5635" max="5635" width="8.109375" style="7165" customWidth="1"/>
    <col min="5636" max="5636" width="10.44140625" style="7165" customWidth="1"/>
    <col min="5637" max="5637" width="13" style="7165" customWidth="1"/>
    <col min="5638" max="5638" width="15.44140625" style="7165" customWidth="1"/>
    <col min="5639" max="5888" width="9.109375" style="7165"/>
    <col min="5889" max="5889" width="32" style="7165" customWidth="1"/>
    <col min="5890" max="5890" width="9" style="7165" customWidth="1"/>
    <col min="5891" max="5891" width="8.109375" style="7165" customWidth="1"/>
    <col min="5892" max="5892" width="10.44140625" style="7165" customWidth="1"/>
    <col min="5893" max="5893" width="13" style="7165" customWidth="1"/>
    <col min="5894" max="5894" width="15.44140625" style="7165" customWidth="1"/>
    <col min="5895" max="6144" width="9.109375" style="7165"/>
    <col min="6145" max="6145" width="32" style="7165" customWidth="1"/>
    <col min="6146" max="6146" width="9" style="7165" customWidth="1"/>
    <col min="6147" max="6147" width="8.109375" style="7165" customWidth="1"/>
    <col min="6148" max="6148" width="10.44140625" style="7165" customWidth="1"/>
    <col min="6149" max="6149" width="13" style="7165" customWidth="1"/>
    <col min="6150" max="6150" width="15.44140625" style="7165" customWidth="1"/>
    <col min="6151" max="6400" width="9.109375" style="7165"/>
    <col min="6401" max="6401" width="32" style="7165" customWidth="1"/>
    <col min="6402" max="6402" width="9" style="7165" customWidth="1"/>
    <col min="6403" max="6403" width="8.109375" style="7165" customWidth="1"/>
    <col min="6404" max="6404" width="10.44140625" style="7165" customWidth="1"/>
    <col min="6405" max="6405" width="13" style="7165" customWidth="1"/>
    <col min="6406" max="6406" width="15.44140625" style="7165" customWidth="1"/>
    <col min="6407" max="6656" width="9.109375" style="7165"/>
    <col min="6657" max="6657" width="32" style="7165" customWidth="1"/>
    <col min="6658" max="6658" width="9" style="7165" customWidth="1"/>
    <col min="6659" max="6659" width="8.109375" style="7165" customWidth="1"/>
    <col min="6660" max="6660" width="10.44140625" style="7165" customWidth="1"/>
    <col min="6661" max="6661" width="13" style="7165" customWidth="1"/>
    <col min="6662" max="6662" width="15.44140625" style="7165" customWidth="1"/>
    <col min="6663" max="6912" width="9.109375" style="7165"/>
    <col min="6913" max="6913" width="32" style="7165" customWidth="1"/>
    <col min="6914" max="6914" width="9" style="7165" customWidth="1"/>
    <col min="6915" max="6915" width="8.109375" style="7165" customWidth="1"/>
    <col min="6916" max="6916" width="10.44140625" style="7165" customWidth="1"/>
    <col min="6917" max="6917" width="13" style="7165" customWidth="1"/>
    <col min="6918" max="6918" width="15.44140625" style="7165" customWidth="1"/>
    <col min="6919" max="7168" width="9.109375" style="7165"/>
    <col min="7169" max="7169" width="32" style="7165" customWidth="1"/>
    <col min="7170" max="7170" width="9" style="7165" customWidth="1"/>
    <col min="7171" max="7171" width="8.109375" style="7165" customWidth="1"/>
    <col min="7172" max="7172" width="10.44140625" style="7165" customWidth="1"/>
    <col min="7173" max="7173" width="13" style="7165" customWidth="1"/>
    <col min="7174" max="7174" width="15.44140625" style="7165" customWidth="1"/>
    <col min="7175" max="7424" width="9.109375" style="7165"/>
    <col min="7425" max="7425" width="32" style="7165" customWidth="1"/>
    <col min="7426" max="7426" width="9" style="7165" customWidth="1"/>
    <col min="7427" max="7427" width="8.109375" style="7165" customWidth="1"/>
    <col min="7428" max="7428" width="10.44140625" style="7165" customWidth="1"/>
    <col min="7429" max="7429" width="13" style="7165" customWidth="1"/>
    <col min="7430" max="7430" width="15.44140625" style="7165" customWidth="1"/>
    <col min="7431" max="7680" width="9.109375" style="7165"/>
    <col min="7681" max="7681" width="32" style="7165" customWidth="1"/>
    <col min="7682" max="7682" width="9" style="7165" customWidth="1"/>
    <col min="7683" max="7683" width="8.109375" style="7165" customWidth="1"/>
    <col min="7684" max="7684" width="10.44140625" style="7165" customWidth="1"/>
    <col min="7685" max="7685" width="13" style="7165" customWidth="1"/>
    <col min="7686" max="7686" width="15.44140625" style="7165" customWidth="1"/>
    <col min="7687" max="7936" width="9.109375" style="7165"/>
    <col min="7937" max="7937" width="32" style="7165" customWidth="1"/>
    <col min="7938" max="7938" width="9" style="7165" customWidth="1"/>
    <col min="7939" max="7939" width="8.109375" style="7165" customWidth="1"/>
    <col min="7940" max="7940" width="10.44140625" style="7165" customWidth="1"/>
    <col min="7941" max="7941" width="13" style="7165" customWidth="1"/>
    <col min="7942" max="7942" width="15.44140625" style="7165" customWidth="1"/>
    <col min="7943" max="8192" width="9.109375" style="7165"/>
    <col min="8193" max="8193" width="32" style="7165" customWidth="1"/>
    <col min="8194" max="8194" width="9" style="7165" customWidth="1"/>
    <col min="8195" max="8195" width="8.109375" style="7165" customWidth="1"/>
    <col min="8196" max="8196" width="10.44140625" style="7165" customWidth="1"/>
    <col min="8197" max="8197" width="13" style="7165" customWidth="1"/>
    <col min="8198" max="8198" width="15.44140625" style="7165" customWidth="1"/>
    <col min="8199" max="8448" width="9.109375" style="7165"/>
    <col min="8449" max="8449" width="32" style="7165" customWidth="1"/>
    <col min="8450" max="8450" width="9" style="7165" customWidth="1"/>
    <col min="8451" max="8451" width="8.109375" style="7165" customWidth="1"/>
    <col min="8452" max="8452" width="10.44140625" style="7165" customWidth="1"/>
    <col min="8453" max="8453" width="13" style="7165" customWidth="1"/>
    <col min="8454" max="8454" width="15.44140625" style="7165" customWidth="1"/>
    <col min="8455" max="8704" width="9.109375" style="7165"/>
    <col min="8705" max="8705" width="32" style="7165" customWidth="1"/>
    <col min="8706" max="8706" width="9" style="7165" customWidth="1"/>
    <col min="8707" max="8707" width="8.109375" style="7165" customWidth="1"/>
    <col min="8708" max="8708" width="10.44140625" style="7165" customWidth="1"/>
    <col min="8709" max="8709" width="13" style="7165" customWidth="1"/>
    <col min="8710" max="8710" width="15.44140625" style="7165" customWidth="1"/>
    <col min="8711" max="8960" width="9.109375" style="7165"/>
    <col min="8961" max="8961" width="32" style="7165" customWidth="1"/>
    <col min="8962" max="8962" width="9" style="7165" customWidth="1"/>
    <col min="8963" max="8963" width="8.109375" style="7165" customWidth="1"/>
    <col min="8964" max="8964" width="10.44140625" style="7165" customWidth="1"/>
    <col min="8965" max="8965" width="13" style="7165" customWidth="1"/>
    <col min="8966" max="8966" width="15.44140625" style="7165" customWidth="1"/>
    <col min="8967" max="9216" width="9.109375" style="7165"/>
    <col min="9217" max="9217" width="32" style="7165" customWidth="1"/>
    <col min="9218" max="9218" width="9" style="7165" customWidth="1"/>
    <col min="9219" max="9219" width="8.109375" style="7165" customWidth="1"/>
    <col min="9220" max="9220" width="10.44140625" style="7165" customWidth="1"/>
    <col min="9221" max="9221" width="13" style="7165" customWidth="1"/>
    <col min="9222" max="9222" width="15.44140625" style="7165" customWidth="1"/>
    <col min="9223" max="9472" width="9.109375" style="7165"/>
    <col min="9473" max="9473" width="32" style="7165" customWidth="1"/>
    <col min="9474" max="9474" width="9" style="7165" customWidth="1"/>
    <col min="9475" max="9475" width="8.109375" style="7165" customWidth="1"/>
    <col min="9476" max="9476" width="10.44140625" style="7165" customWidth="1"/>
    <col min="9477" max="9477" width="13" style="7165" customWidth="1"/>
    <col min="9478" max="9478" width="15.44140625" style="7165" customWidth="1"/>
    <col min="9479" max="9728" width="9.109375" style="7165"/>
    <col min="9729" max="9729" width="32" style="7165" customWidth="1"/>
    <col min="9730" max="9730" width="9" style="7165" customWidth="1"/>
    <col min="9731" max="9731" width="8.109375" style="7165" customWidth="1"/>
    <col min="9732" max="9732" width="10.44140625" style="7165" customWidth="1"/>
    <col min="9733" max="9733" width="13" style="7165" customWidth="1"/>
    <col min="9734" max="9734" width="15.44140625" style="7165" customWidth="1"/>
    <col min="9735" max="9984" width="9.109375" style="7165"/>
    <col min="9985" max="9985" width="32" style="7165" customWidth="1"/>
    <col min="9986" max="9986" width="9" style="7165" customWidth="1"/>
    <col min="9987" max="9987" width="8.109375" style="7165" customWidth="1"/>
    <col min="9988" max="9988" width="10.44140625" style="7165" customWidth="1"/>
    <col min="9989" max="9989" width="13" style="7165" customWidth="1"/>
    <col min="9990" max="9990" width="15.44140625" style="7165" customWidth="1"/>
    <col min="9991" max="10240" width="9.109375" style="7165"/>
    <col min="10241" max="10241" width="32" style="7165" customWidth="1"/>
    <col min="10242" max="10242" width="9" style="7165" customWidth="1"/>
    <col min="10243" max="10243" width="8.109375" style="7165" customWidth="1"/>
    <col min="10244" max="10244" width="10.44140625" style="7165" customWidth="1"/>
    <col min="10245" max="10245" width="13" style="7165" customWidth="1"/>
    <col min="10246" max="10246" width="15.44140625" style="7165" customWidth="1"/>
    <col min="10247" max="10496" width="9.109375" style="7165"/>
    <col min="10497" max="10497" width="32" style="7165" customWidth="1"/>
    <col min="10498" max="10498" width="9" style="7165" customWidth="1"/>
    <col min="10499" max="10499" width="8.109375" style="7165" customWidth="1"/>
    <col min="10500" max="10500" width="10.44140625" style="7165" customWidth="1"/>
    <col min="10501" max="10501" width="13" style="7165" customWidth="1"/>
    <col min="10502" max="10502" width="15.44140625" style="7165" customWidth="1"/>
    <col min="10503" max="10752" width="9.109375" style="7165"/>
    <col min="10753" max="10753" width="32" style="7165" customWidth="1"/>
    <col min="10754" max="10754" width="9" style="7165" customWidth="1"/>
    <col min="10755" max="10755" width="8.109375" style="7165" customWidth="1"/>
    <col min="10756" max="10756" width="10.44140625" style="7165" customWidth="1"/>
    <col min="10757" max="10757" width="13" style="7165" customWidth="1"/>
    <col min="10758" max="10758" width="15.44140625" style="7165" customWidth="1"/>
    <col min="10759" max="11008" width="9.109375" style="7165"/>
    <col min="11009" max="11009" width="32" style="7165" customWidth="1"/>
    <col min="11010" max="11010" width="9" style="7165" customWidth="1"/>
    <col min="11011" max="11011" width="8.109375" style="7165" customWidth="1"/>
    <col min="11012" max="11012" width="10.44140625" style="7165" customWidth="1"/>
    <col min="11013" max="11013" width="13" style="7165" customWidth="1"/>
    <col min="11014" max="11014" width="15.44140625" style="7165" customWidth="1"/>
    <col min="11015" max="11264" width="9.109375" style="7165"/>
    <col min="11265" max="11265" width="32" style="7165" customWidth="1"/>
    <col min="11266" max="11266" width="9" style="7165" customWidth="1"/>
    <col min="11267" max="11267" width="8.109375" style="7165" customWidth="1"/>
    <col min="11268" max="11268" width="10.44140625" style="7165" customWidth="1"/>
    <col min="11269" max="11269" width="13" style="7165" customWidth="1"/>
    <col min="11270" max="11270" width="15.44140625" style="7165" customWidth="1"/>
    <col min="11271" max="11520" width="9.109375" style="7165"/>
    <col min="11521" max="11521" width="32" style="7165" customWidth="1"/>
    <col min="11522" max="11522" width="9" style="7165" customWidth="1"/>
    <col min="11523" max="11523" width="8.109375" style="7165" customWidth="1"/>
    <col min="11524" max="11524" width="10.44140625" style="7165" customWidth="1"/>
    <col min="11525" max="11525" width="13" style="7165" customWidth="1"/>
    <col min="11526" max="11526" width="15.44140625" style="7165" customWidth="1"/>
    <col min="11527" max="11776" width="9.109375" style="7165"/>
    <col min="11777" max="11777" width="32" style="7165" customWidth="1"/>
    <col min="11778" max="11778" width="9" style="7165" customWidth="1"/>
    <col min="11779" max="11779" width="8.109375" style="7165" customWidth="1"/>
    <col min="11780" max="11780" width="10.44140625" style="7165" customWidth="1"/>
    <col min="11781" max="11781" width="13" style="7165" customWidth="1"/>
    <col min="11782" max="11782" width="15.44140625" style="7165" customWidth="1"/>
    <col min="11783" max="12032" width="9.109375" style="7165"/>
    <col min="12033" max="12033" width="32" style="7165" customWidth="1"/>
    <col min="12034" max="12034" width="9" style="7165" customWidth="1"/>
    <col min="12035" max="12035" width="8.109375" style="7165" customWidth="1"/>
    <col min="12036" max="12036" width="10.44140625" style="7165" customWidth="1"/>
    <col min="12037" max="12037" width="13" style="7165" customWidth="1"/>
    <col min="12038" max="12038" width="15.44140625" style="7165" customWidth="1"/>
    <col min="12039" max="12288" width="9.109375" style="7165"/>
    <col min="12289" max="12289" width="32" style="7165" customWidth="1"/>
    <col min="12290" max="12290" width="9" style="7165" customWidth="1"/>
    <col min="12291" max="12291" width="8.109375" style="7165" customWidth="1"/>
    <col min="12292" max="12292" width="10.44140625" style="7165" customWidth="1"/>
    <col min="12293" max="12293" width="13" style="7165" customWidth="1"/>
    <col min="12294" max="12294" width="15.44140625" style="7165" customWidth="1"/>
    <col min="12295" max="12544" width="9.109375" style="7165"/>
    <col min="12545" max="12545" width="32" style="7165" customWidth="1"/>
    <col min="12546" max="12546" width="9" style="7165" customWidth="1"/>
    <col min="12547" max="12547" width="8.109375" style="7165" customWidth="1"/>
    <col min="12548" max="12548" width="10.44140625" style="7165" customWidth="1"/>
    <col min="12549" max="12549" width="13" style="7165" customWidth="1"/>
    <col min="12550" max="12550" width="15.44140625" style="7165" customWidth="1"/>
    <col min="12551" max="12800" width="9.109375" style="7165"/>
    <col min="12801" max="12801" width="32" style="7165" customWidth="1"/>
    <col min="12802" max="12802" width="9" style="7165" customWidth="1"/>
    <col min="12803" max="12803" width="8.109375" style="7165" customWidth="1"/>
    <col min="12804" max="12804" width="10.44140625" style="7165" customWidth="1"/>
    <col min="12805" max="12805" width="13" style="7165" customWidth="1"/>
    <col min="12806" max="12806" width="15.44140625" style="7165" customWidth="1"/>
    <col min="12807" max="13056" width="9.109375" style="7165"/>
    <col min="13057" max="13057" width="32" style="7165" customWidth="1"/>
    <col min="13058" max="13058" width="9" style="7165" customWidth="1"/>
    <col min="13059" max="13059" width="8.109375" style="7165" customWidth="1"/>
    <col min="13060" max="13060" width="10.44140625" style="7165" customWidth="1"/>
    <col min="13061" max="13061" width="13" style="7165" customWidth="1"/>
    <col min="13062" max="13062" width="15.44140625" style="7165" customWidth="1"/>
    <col min="13063" max="13312" width="9.109375" style="7165"/>
    <col min="13313" max="13313" width="32" style="7165" customWidth="1"/>
    <col min="13314" max="13314" width="9" style="7165" customWidth="1"/>
    <col min="13315" max="13315" width="8.109375" style="7165" customWidth="1"/>
    <col min="13316" max="13316" width="10.44140625" style="7165" customWidth="1"/>
    <col min="13317" max="13317" width="13" style="7165" customWidth="1"/>
    <col min="13318" max="13318" width="15.44140625" style="7165" customWidth="1"/>
    <col min="13319" max="13568" width="9.109375" style="7165"/>
    <col min="13569" max="13569" width="32" style="7165" customWidth="1"/>
    <col min="13570" max="13570" width="9" style="7165" customWidth="1"/>
    <col min="13571" max="13571" width="8.109375" style="7165" customWidth="1"/>
    <col min="13572" max="13572" width="10.44140625" style="7165" customWidth="1"/>
    <col min="13573" max="13573" width="13" style="7165" customWidth="1"/>
    <col min="13574" max="13574" width="15.44140625" style="7165" customWidth="1"/>
    <col min="13575" max="13824" width="9.109375" style="7165"/>
    <col min="13825" max="13825" width="32" style="7165" customWidth="1"/>
    <col min="13826" max="13826" width="9" style="7165" customWidth="1"/>
    <col min="13827" max="13827" width="8.109375" style="7165" customWidth="1"/>
    <col min="13828" max="13828" width="10.44140625" style="7165" customWidth="1"/>
    <col min="13829" max="13829" width="13" style="7165" customWidth="1"/>
    <col min="13830" max="13830" width="15.44140625" style="7165" customWidth="1"/>
    <col min="13831" max="14080" width="9.109375" style="7165"/>
    <col min="14081" max="14081" width="32" style="7165" customWidth="1"/>
    <col min="14082" max="14082" width="9" style="7165" customWidth="1"/>
    <col min="14083" max="14083" width="8.109375" style="7165" customWidth="1"/>
    <col min="14084" max="14084" width="10.44140625" style="7165" customWidth="1"/>
    <col min="14085" max="14085" width="13" style="7165" customWidth="1"/>
    <col min="14086" max="14086" width="15.44140625" style="7165" customWidth="1"/>
    <col min="14087" max="14336" width="9.109375" style="7165"/>
    <col min="14337" max="14337" width="32" style="7165" customWidth="1"/>
    <col min="14338" max="14338" width="9" style="7165" customWidth="1"/>
    <col min="14339" max="14339" width="8.109375" style="7165" customWidth="1"/>
    <col min="14340" max="14340" width="10.44140625" style="7165" customWidth="1"/>
    <col min="14341" max="14341" width="13" style="7165" customWidth="1"/>
    <col min="14342" max="14342" width="15.44140625" style="7165" customWidth="1"/>
    <col min="14343" max="14592" width="9.109375" style="7165"/>
    <col min="14593" max="14593" width="32" style="7165" customWidth="1"/>
    <col min="14594" max="14594" width="9" style="7165" customWidth="1"/>
    <col min="14595" max="14595" width="8.109375" style="7165" customWidth="1"/>
    <col min="14596" max="14596" width="10.44140625" style="7165" customWidth="1"/>
    <col min="14597" max="14597" width="13" style="7165" customWidth="1"/>
    <col min="14598" max="14598" width="15.44140625" style="7165" customWidth="1"/>
    <col min="14599" max="14848" width="9.109375" style="7165"/>
    <col min="14849" max="14849" width="32" style="7165" customWidth="1"/>
    <col min="14850" max="14850" width="9" style="7165" customWidth="1"/>
    <col min="14851" max="14851" width="8.109375" style="7165" customWidth="1"/>
    <col min="14852" max="14852" width="10.44140625" style="7165" customWidth="1"/>
    <col min="14853" max="14853" width="13" style="7165" customWidth="1"/>
    <col min="14854" max="14854" width="15.44140625" style="7165" customWidth="1"/>
    <col min="14855" max="15104" width="9.109375" style="7165"/>
    <col min="15105" max="15105" width="32" style="7165" customWidth="1"/>
    <col min="15106" max="15106" width="9" style="7165" customWidth="1"/>
    <col min="15107" max="15107" width="8.109375" style="7165" customWidth="1"/>
    <col min="15108" max="15108" width="10.44140625" style="7165" customWidth="1"/>
    <col min="15109" max="15109" width="13" style="7165" customWidth="1"/>
    <col min="15110" max="15110" width="15.44140625" style="7165" customWidth="1"/>
    <col min="15111" max="15360" width="9.109375" style="7165"/>
    <col min="15361" max="15361" width="32" style="7165" customWidth="1"/>
    <col min="15362" max="15362" width="9" style="7165" customWidth="1"/>
    <col min="15363" max="15363" width="8.109375" style="7165" customWidth="1"/>
    <col min="15364" max="15364" width="10.44140625" style="7165" customWidth="1"/>
    <col min="15365" max="15365" width="13" style="7165" customWidth="1"/>
    <col min="15366" max="15366" width="15.44140625" style="7165" customWidth="1"/>
    <col min="15367" max="15616" width="9.109375" style="7165"/>
    <col min="15617" max="15617" width="32" style="7165" customWidth="1"/>
    <col min="15618" max="15618" width="9" style="7165" customWidth="1"/>
    <col min="15619" max="15619" width="8.109375" style="7165" customWidth="1"/>
    <col min="15620" max="15620" width="10.44140625" style="7165" customWidth="1"/>
    <col min="15621" max="15621" width="13" style="7165" customWidth="1"/>
    <col min="15622" max="15622" width="15.44140625" style="7165" customWidth="1"/>
    <col min="15623" max="15872" width="9.109375" style="7165"/>
    <col min="15873" max="15873" width="32" style="7165" customWidth="1"/>
    <col min="15874" max="15874" width="9" style="7165" customWidth="1"/>
    <col min="15875" max="15875" width="8.109375" style="7165" customWidth="1"/>
    <col min="15876" max="15876" width="10.44140625" style="7165" customWidth="1"/>
    <col min="15877" max="15877" width="13" style="7165" customWidth="1"/>
    <col min="15878" max="15878" width="15.44140625" style="7165" customWidth="1"/>
    <col min="15879" max="16128" width="9.109375" style="7165"/>
    <col min="16129" max="16129" width="32" style="7165" customWidth="1"/>
    <col min="16130" max="16130" width="9" style="7165" customWidth="1"/>
    <col min="16131" max="16131" width="8.109375" style="7165" customWidth="1"/>
    <col min="16132" max="16132" width="10.44140625" style="7165" customWidth="1"/>
    <col min="16133" max="16133" width="13" style="7165" customWidth="1"/>
    <col min="16134" max="16134" width="15.44140625" style="7165" customWidth="1"/>
    <col min="16135" max="16384" width="9.109375" style="7165"/>
  </cols>
  <sheetData>
    <row r="1" spans="1:9" ht="12.9" customHeight="1">
      <c r="A1" s="14215" t="s">
        <v>1087</v>
      </c>
      <c r="B1" s="14215"/>
      <c r="C1" s="14215"/>
      <c r="D1" s="14215"/>
      <c r="E1" s="14215"/>
      <c r="F1" s="14215"/>
    </row>
    <row r="3" spans="1:9" ht="12.9" customHeight="1">
      <c r="A3" s="7163" t="s">
        <v>1250</v>
      </c>
    </row>
    <row r="4" spans="1:9" ht="12.9" customHeight="1" thickBot="1"/>
    <row r="5" spans="1:9" ht="12.9" customHeight="1">
      <c r="A5" s="9697" t="s">
        <v>842</v>
      </c>
      <c r="B5" s="10711" t="s">
        <v>1035</v>
      </c>
      <c r="C5" s="10711" t="s">
        <v>1036</v>
      </c>
      <c r="D5" s="14211" t="s">
        <v>1037</v>
      </c>
      <c r="E5" s="14211"/>
      <c r="F5" s="14845"/>
    </row>
    <row r="6" spans="1:9" ht="12.9" customHeight="1" thickBot="1">
      <c r="A6" s="9698" t="s">
        <v>1088</v>
      </c>
      <c r="B6" s="9772" t="s">
        <v>9</v>
      </c>
      <c r="C6" s="9772" t="s">
        <v>1039</v>
      </c>
      <c r="D6" s="9719" t="s">
        <v>10</v>
      </c>
      <c r="E6" s="9719" t="s">
        <v>11</v>
      </c>
      <c r="F6" s="9739" t="s">
        <v>11621</v>
      </c>
    </row>
    <row r="7" spans="1:9" ht="12.9" customHeight="1">
      <c r="A7" s="9702" t="s">
        <v>806</v>
      </c>
      <c r="B7" s="9701"/>
      <c r="C7" s="10764"/>
      <c r="D7" s="9701"/>
      <c r="E7" s="10764"/>
      <c r="F7" s="9658"/>
    </row>
    <row r="8" spans="1:9" ht="12.9" customHeight="1">
      <c r="A8" s="7209" t="s">
        <v>1089</v>
      </c>
      <c r="B8" s="10765"/>
      <c r="C8" s="10765"/>
      <c r="D8" s="10765"/>
      <c r="E8" s="10765"/>
      <c r="F8" s="7215"/>
    </row>
    <row r="9" spans="1:9" ht="12.9" customHeight="1">
      <c r="A9" s="7209"/>
      <c r="B9" s="10765"/>
      <c r="C9" s="10765"/>
      <c r="D9" s="10765"/>
      <c r="E9" s="10765"/>
      <c r="F9" s="7215"/>
    </row>
    <row r="10" spans="1:9" ht="12.9" customHeight="1">
      <c r="A10" s="7207" t="s">
        <v>1251</v>
      </c>
      <c r="B10" s="10753">
        <v>1</v>
      </c>
      <c r="C10" s="10753">
        <v>26</v>
      </c>
      <c r="D10" s="10806">
        <v>947520</v>
      </c>
      <c r="E10" s="10806">
        <v>1121856</v>
      </c>
      <c r="F10" s="9704">
        <v>1289328</v>
      </c>
      <c r="H10" s="7165">
        <f>SUM(B10)</f>
        <v>1</v>
      </c>
      <c r="I10" s="7198">
        <f>F10</f>
        <v>1289328</v>
      </c>
    </row>
    <row r="11" spans="1:9" ht="12.9" customHeight="1">
      <c r="A11" s="7207"/>
      <c r="B11" s="10765"/>
      <c r="C11" s="10765"/>
      <c r="D11" s="10765"/>
      <c r="E11" s="10765"/>
      <c r="F11" s="7215"/>
    </row>
    <row r="12" spans="1:9" ht="12.9" customHeight="1">
      <c r="A12" s="7209" t="s">
        <v>1252</v>
      </c>
      <c r="B12" s="10765"/>
      <c r="C12" s="10765"/>
      <c r="D12" s="10765"/>
      <c r="E12" s="10765"/>
      <c r="F12" s="7215"/>
    </row>
    <row r="13" spans="1:9" ht="12.9" customHeight="1">
      <c r="A13" s="7209" t="s">
        <v>1109</v>
      </c>
      <c r="B13" s="10765"/>
      <c r="C13" s="10765"/>
      <c r="D13" s="10765"/>
      <c r="E13" s="10765"/>
      <c r="F13" s="7215"/>
    </row>
    <row r="14" spans="1:9" ht="12.9" customHeight="1">
      <c r="A14" s="7207" t="s">
        <v>1138</v>
      </c>
      <c r="B14" s="10753" t="s">
        <v>9</v>
      </c>
      <c r="C14" s="10753" t="s">
        <v>9</v>
      </c>
      <c r="D14" s="10754"/>
      <c r="E14" s="10754"/>
      <c r="F14" s="7216"/>
    </row>
    <row r="15" spans="1:9" ht="12.9" customHeight="1">
      <c r="A15" s="7207"/>
      <c r="B15" s="10753"/>
      <c r="C15" s="10753"/>
      <c r="D15" s="10754"/>
      <c r="E15" s="10754"/>
      <c r="F15" s="7216"/>
    </row>
    <row r="16" spans="1:9" ht="12.9" customHeight="1">
      <c r="A16" s="7209" t="s">
        <v>1093</v>
      </c>
      <c r="B16" s="10753"/>
      <c r="C16" s="10753"/>
      <c r="D16" s="10754"/>
      <c r="E16" s="10754"/>
      <c r="F16" s="7216"/>
    </row>
    <row r="17" spans="1:9" ht="12.9" customHeight="1">
      <c r="A17" s="7207" t="s">
        <v>1130</v>
      </c>
      <c r="B17" s="10753" t="s">
        <v>9</v>
      </c>
      <c r="C17" s="10753" t="s">
        <v>9</v>
      </c>
      <c r="D17" s="10754"/>
      <c r="E17" s="10754"/>
      <c r="F17" s="7216"/>
    </row>
    <row r="18" spans="1:9" ht="12.9" customHeight="1">
      <c r="A18" s="7207"/>
      <c r="B18" s="10765"/>
      <c r="C18" s="10765"/>
      <c r="D18" s="10765"/>
      <c r="E18" s="10765"/>
      <c r="F18" s="7215"/>
    </row>
    <row r="19" spans="1:9" ht="12.9" customHeight="1">
      <c r="A19" s="7209" t="s">
        <v>1253</v>
      </c>
      <c r="B19" s="10753"/>
      <c r="C19" s="10753"/>
      <c r="D19" s="10754"/>
      <c r="E19" s="10754"/>
      <c r="F19" s="7216"/>
    </row>
    <row r="20" spans="1:9" ht="12.9" customHeight="1">
      <c r="A20" s="7207" t="s">
        <v>1254</v>
      </c>
      <c r="B20" s="10753">
        <v>1</v>
      </c>
      <c r="C20" s="10753">
        <v>22</v>
      </c>
      <c r="D20" s="10754">
        <v>633396</v>
      </c>
      <c r="E20" s="10754">
        <v>704604</v>
      </c>
      <c r="F20" s="7216">
        <v>796620</v>
      </c>
    </row>
    <row r="21" spans="1:9" ht="12.9" customHeight="1">
      <c r="A21" s="7207" t="s">
        <v>1255</v>
      </c>
      <c r="B21" s="10753">
        <v>2</v>
      </c>
      <c r="C21" s="10753">
        <v>18</v>
      </c>
      <c r="D21" s="10754">
        <v>464628</v>
      </c>
      <c r="E21" s="10754">
        <v>496956</v>
      </c>
      <c r="F21" s="7216">
        <v>1019172</v>
      </c>
    </row>
    <row r="22" spans="1:9" ht="12.9" customHeight="1">
      <c r="A22" s="7207" t="s">
        <v>1256</v>
      </c>
      <c r="B22" s="10753">
        <v>3</v>
      </c>
      <c r="C22" s="10753">
        <v>15</v>
      </c>
      <c r="D22" s="10754">
        <v>1031916</v>
      </c>
      <c r="E22" s="10754">
        <v>1100388</v>
      </c>
      <c r="F22" s="7216">
        <v>1127196</v>
      </c>
    </row>
    <row r="23" spans="1:9" ht="12.9" customHeight="1">
      <c r="A23" s="7207" t="s">
        <v>1257</v>
      </c>
      <c r="B23" s="10753">
        <v>1</v>
      </c>
      <c r="C23" s="10753">
        <v>11</v>
      </c>
      <c r="D23" s="10754">
        <v>726564</v>
      </c>
      <c r="E23" s="10754">
        <v>748956</v>
      </c>
      <c r="F23" s="7216">
        <v>252456</v>
      </c>
    </row>
    <row r="24" spans="1:9" ht="12.9" customHeight="1">
      <c r="A24" s="7207" t="s">
        <v>1258</v>
      </c>
      <c r="B24" s="10753">
        <v>3</v>
      </c>
      <c r="C24" s="10753">
        <v>8</v>
      </c>
      <c r="D24" s="10754">
        <v>403764</v>
      </c>
      <c r="E24" s="10754">
        <v>416856</v>
      </c>
      <c r="F24" s="7216">
        <v>629448</v>
      </c>
    </row>
    <row r="25" spans="1:9" ht="12.9" customHeight="1">
      <c r="A25" s="7207" t="s">
        <v>1259</v>
      </c>
      <c r="B25" s="10753">
        <v>2</v>
      </c>
      <c r="C25" s="10753">
        <v>6</v>
      </c>
      <c r="D25" s="10754">
        <v>341364</v>
      </c>
      <c r="E25" s="10754">
        <v>354240</v>
      </c>
      <c r="F25" s="7216">
        <f>358976+100</f>
        <v>359076</v>
      </c>
    </row>
    <row r="26" spans="1:9" ht="12.9" customHeight="1">
      <c r="A26" s="7207" t="s">
        <v>1260</v>
      </c>
      <c r="B26" s="10753">
        <v>0</v>
      </c>
      <c r="C26" s="10753">
        <v>4</v>
      </c>
      <c r="D26" s="10754">
        <v>145860</v>
      </c>
      <c r="E26" s="10754">
        <v>153336</v>
      </c>
      <c r="F26" s="9704">
        <v>0</v>
      </c>
    </row>
    <row r="27" spans="1:9" ht="12.9" customHeight="1">
      <c r="A27" s="7207" t="s">
        <v>1261</v>
      </c>
      <c r="B27" s="10753">
        <v>1</v>
      </c>
      <c r="C27" s="10753">
        <v>3</v>
      </c>
      <c r="D27" s="10754">
        <v>139068</v>
      </c>
      <c r="E27" s="10754">
        <v>145344</v>
      </c>
      <c r="F27" s="7216">
        <v>153072</v>
      </c>
    </row>
    <row r="28" spans="1:9" ht="12.9" customHeight="1">
      <c r="A28" s="7207" t="s">
        <v>1262</v>
      </c>
      <c r="B28" s="10753">
        <v>1</v>
      </c>
      <c r="C28" s="10753">
        <v>2</v>
      </c>
      <c r="D28" s="10806">
        <v>0</v>
      </c>
      <c r="E28" s="10806">
        <v>134400</v>
      </c>
      <c r="F28" s="9704">
        <v>141132</v>
      </c>
    </row>
    <row r="29" spans="1:9" ht="12.9" customHeight="1">
      <c r="A29" s="7207" t="s">
        <v>1263</v>
      </c>
      <c r="B29" s="10753">
        <v>1</v>
      </c>
      <c r="C29" s="10753">
        <v>1</v>
      </c>
      <c r="D29" s="10754">
        <v>255360</v>
      </c>
      <c r="E29" s="10754">
        <v>126120</v>
      </c>
      <c r="F29" s="7216">
        <v>132816</v>
      </c>
    </row>
    <row r="30" spans="1:9" ht="12.9" customHeight="1">
      <c r="A30" s="7207"/>
      <c r="B30" s="10753"/>
      <c r="C30" s="10753"/>
      <c r="D30" s="10754"/>
      <c r="E30" s="10754"/>
      <c r="F30" s="7216"/>
    </row>
    <row r="31" spans="1:9" ht="12.9" customHeight="1">
      <c r="A31" s="7209" t="s">
        <v>1159</v>
      </c>
      <c r="B31" s="9613">
        <f>SUM(B10:B30)</f>
        <v>16</v>
      </c>
      <c r="C31" s="9630"/>
      <c r="D31" s="9619">
        <f>SUM(D10:D29)</f>
        <v>5089440</v>
      </c>
      <c r="E31" s="9619">
        <f>SUM(E10:E29)</f>
        <v>5503056</v>
      </c>
      <c r="F31" s="7221">
        <f>SUM(F10:F29)</f>
        <v>5900316</v>
      </c>
      <c r="H31" s="7165">
        <f>SUM(B20:B30)</f>
        <v>15</v>
      </c>
      <c r="I31" s="7198">
        <f>SUM(F20:F30)</f>
        <v>4610988</v>
      </c>
    </row>
    <row r="32" spans="1:9" ht="12.9" customHeight="1">
      <c r="A32" s="7209" t="s">
        <v>9</v>
      </c>
      <c r="B32" s="10760" t="s">
        <v>9</v>
      </c>
      <c r="C32" s="10753"/>
      <c r="D32" s="10772" t="s">
        <v>9</v>
      </c>
      <c r="E32" s="10772" t="s">
        <v>9</v>
      </c>
      <c r="F32" s="9740" t="s">
        <v>9</v>
      </c>
    </row>
    <row r="33" spans="1:6" ht="12.9" customHeight="1">
      <c r="A33" s="7207" t="s">
        <v>1065</v>
      </c>
      <c r="B33" s="10760" t="s">
        <v>9</v>
      </c>
      <c r="C33" s="10765" t="s">
        <v>9</v>
      </c>
      <c r="D33" s="10765"/>
      <c r="E33" s="10765"/>
      <c r="F33" s="7215"/>
    </row>
    <row r="34" spans="1:6" ht="12.9" customHeight="1">
      <c r="A34" s="7207"/>
      <c r="B34" s="10760"/>
      <c r="C34" s="10765"/>
      <c r="D34" s="10765"/>
      <c r="E34" s="10765"/>
      <c r="F34" s="7215"/>
    </row>
    <row r="35" spans="1:6" ht="12.9" hidden="1" customHeight="1">
      <c r="A35" s="7207" t="s">
        <v>10150</v>
      </c>
      <c r="B35" s="10753">
        <v>0</v>
      </c>
      <c r="C35" s="10753">
        <v>26</v>
      </c>
      <c r="D35" s="10754">
        <v>0</v>
      </c>
      <c r="E35" s="10754">
        <v>0</v>
      </c>
      <c r="F35" s="7216">
        <v>0</v>
      </c>
    </row>
    <row r="36" spans="1:6" ht="12.9" customHeight="1">
      <c r="A36" s="7207" t="s">
        <v>1254</v>
      </c>
      <c r="B36" s="10753">
        <v>1</v>
      </c>
      <c r="C36" s="10753">
        <v>22</v>
      </c>
      <c r="D36" s="10754">
        <v>0</v>
      </c>
      <c r="E36" s="10754">
        <v>0</v>
      </c>
      <c r="F36" s="7216">
        <v>783828</v>
      </c>
    </row>
    <row r="37" spans="1:6" ht="12.9" customHeight="1">
      <c r="A37" s="7207" t="s">
        <v>1255</v>
      </c>
      <c r="B37" s="10753">
        <v>0</v>
      </c>
      <c r="C37" s="10753">
        <v>18</v>
      </c>
      <c r="D37" s="10754">
        <v>428316</v>
      </c>
      <c r="E37" s="10754">
        <v>457020</v>
      </c>
      <c r="F37" s="7216">
        <v>0</v>
      </c>
    </row>
    <row r="38" spans="1:6" ht="12.9" hidden="1" customHeight="1">
      <c r="A38" s="7207" t="s">
        <v>1256</v>
      </c>
      <c r="B38" s="10753">
        <v>0</v>
      </c>
      <c r="C38" s="10753">
        <v>15</v>
      </c>
      <c r="D38" s="10754">
        <v>0</v>
      </c>
      <c r="E38" s="10754">
        <v>0</v>
      </c>
      <c r="F38" s="7216">
        <v>0</v>
      </c>
    </row>
    <row r="39" spans="1:6" ht="12.9" customHeight="1">
      <c r="A39" s="7207" t="s">
        <v>1257</v>
      </c>
      <c r="B39" s="10753">
        <v>2</v>
      </c>
      <c r="C39" s="10753">
        <v>11</v>
      </c>
      <c r="D39" s="10754">
        <v>0</v>
      </c>
      <c r="E39" s="10754">
        <v>0</v>
      </c>
      <c r="F39" s="7216">
        <v>498096</v>
      </c>
    </row>
    <row r="40" spans="1:6" ht="12.9" customHeight="1">
      <c r="A40" s="7207" t="s">
        <v>1258</v>
      </c>
      <c r="B40" s="10753">
        <v>0</v>
      </c>
      <c r="C40" s="10753">
        <v>8</v>
      </c>
      <c r="D40" s="10754">
        <v>189816</v>
      </c>
      <c r="E40" s="10754">
        <v>195384</v>
      </c>
      <c r="F40" s="7216">
        <v>0</v>
      </c>
    </row>
    <row r="41" spans="1:6" ht="12.9" customHeight="1">
      <c r="A41" s="7207" t="s">
        <v>1259</v>
      </c>
      <c r="B41" s="10753">
        <v>1</v>
      </c>
      <c r="C41" s="10753">
        <v>6</v>
      </c>
      <c r="D41" s="10754">
        <v>166212</v>
      </c>
      <c r="E41" s="10754">
        <v>172080</v>
      </c>
      <c r="F41" s="7216">
        <v>178164</v>
      </c>
    </row>
    <row r="42" spans="1:6" ht="12.9" customHeight="1">
      <c r="A42" s="7207" t="s">
        <v>1260</v>
      </c>
      <c r="B42" s="10753">
        <v>1</v>
      </c>
      <c r="C42" s="10753">
        <v>4</v>
      </c>
      <c r="D42" s="10754">
        <v>0</v>
      </c>
      <c r="E42" s="10754">
        <v>0</v>
      </c>
      <c r="F42" s="7216">
        <v>158568</v>
      </c>
    </row>
    <row r="43" spans="1:6" ht="12.9" customHeight="1">
      <c r="A43" s="7207" t="s">
        <v>1262</v>
      </c>
      <c r="B43" s="10753">
        <v>0</v>
      </c>
      <c r="C43" s="10753">
        <v>2</v>
      </c>
      <c r="D43" s="10754">
        <v>128004</v>
      </c>
      <c r="E43" s="10754">
        <v>0</v>
      </c>
      <c r="F43" s="7216">
        <v>0</v>
      </c>
    </row>
    <row r="44" spans="1:6" ht="12.9" customHeight="1">
      <c r="A44" s="7207" t="s">
        <v>1263</v>
      </c>
      <c r="B44" s="10753">
        <v>2</v>
      </c>
      <c r="C44" s="10753">
        <v>1</v>
      </c>
      <c r="D44" s="10754"/>
      <c r="E44" s="10754">
        <v>252240</v>
      </c>
      <c r="F44" s="7216">
        <v>265632</v>
      </c>
    </row>
    <row r="45" spans="1:6" s="7195" customFormat="1" ht="12.9" customHeight="1">
      <c r="A45" s="9738" t="s">
        <v>4774</v>
      </c>
      <c r="B45" s="9672">
        <f>SUM(B33:B44)</f>
        <v>7</v>
      </c>
      <c r="C45" s="9630"/>
      <c r="D45" s="9627">
        <f>SUM(D33:D44)</f>
        <v>912348</v>
      </c>
      <c r="E45" s="9627">
        <f>SUM(E33:E44)</f>
        <v>1076724</v>
      </c>
      <c r="F45" s="7203">
        <f>SUM(F33:F44)</f>
        <v>1884288</v>
      </c>
    </row>
    <row r="46" spans="1:6" ht="12.9" customHeight="1" thickBot="1">
      <c r="A46" s="7207"/>
      <c r="B46" s="10765"/>
      <c r="C46" s="10765"/>
      <c r="D46" s="10765"/>
      <c r="E46" s="10765"/>
      <c r="F46" s="7215"/>
    </row>
    <row r="47" spans="1:6" ht="12.9" customHeight="1" thickBot="1">
      <c r="A47" s="10422" t="s">
        <v>1101</v>
      </c>
      <c r="B47" s="10725">
        <f>SUM(B31,B45)</f>
        <v>23</v>
      </c>
      <c r="C47" s="10418"/>
      <c r="D47" s="10415">
        <f>SUM(D31,D45)</f>
        <v>6001788</v>
      </c>
      <c r="E47" s="10415">
        <f>SUM(E31,E45)</f>
        <v>6579780</v>
      </c>
      <c r="F47" s="10722">
        <f>SUM(F31,F45)</f>
        <v>7784604</v>
      </c>
    </row>
    <row r="48" spans="1:6" ht="12.9" customHeight="1">
      <c r="A48" s="7207"/>
      <c r="B48" s="10765"/>
      <c r="C48" s="10765"/>
      <c r="D48" s="10765"/>
      <c r="E48" s="10765"/>
      <c r="F48" s="7215"/>
    </row>
    <row r="49" spans="1:6" ht="12.9" customHeight="1">
      <c r="A49" s="7209" t="s">
        <v>1075</v>
      </c>
      <c r="B49" s="10765"/>
      <c r="C49" s="10765"/>
      <c r="D49" s="10765"/>
      <c r="E49" s="10765"/>
      <c r="F49" s="7215"/>
    </row>
    <row r="50" spans="1:6" ht="12.9" customHeight="1">
      <c r="A50" s="7209" t="s">
        <v>1102</v>
      </c>
      <c r="B50" s="10765"/>
      <c r="C50" s="10765"/>
      <c r="D50" s="10765"/>
      <c r="E50" s="10765"/>
      <c r="F50" s="7215"/>
    </row>
    <row r="51" spans="1:6" ht="12.9" customHeight="1">
      <c r="A51" s="7207" t="s">
        <v>1103</v>
      </c>
      <c r="B51" s="10753">
        <v>1</v>
      </c>
      <c r="C51" s="10765"/>
      <c r="D51" s="10765"/>
      <c r="E51" s="10765"/>
      <c r="F51" s="7215"/>
    </row>
    <row r="52" spans="1:6" ht="12.9" customHeight="1">
      <c r="A52" s="7207" t="s">
        <v>1078</v>
      </c>
      <c r="B52" s="10765"/>
      <c r="C52" s="10765"/>
      <c r="D52" s="10765"/>
      <c r="E52" s="10765"/>
      <c r="F52" s="7215"/>
    </row>
    <row r="53" spans="1:6" ht="12.9" customHeight="1">
      <c r="A53" s="7207" t="s">
        <v>1079</v>
      </c>
      <c r="B53" s="10765"/>
      <c r="C53" s="10765"/>
      <c r="D53" s="10765"/>
      <c r="E53" s="10765"/>
      <c r="F53" s="7215"/>
    </row>
    <row r="54" spans="1:6" ht="12.9" customHeight="1">
      <c r="A54" s="7207" t="s">
        <v>168</v>
      </c>
      <c r="B54" s="10765"/>
      <c r="C54" s="10765"/>
      <c r="D54" s="10765"/>
      <c r="E54" s="10765"/>
      <c r="F54" s="7215"/>
    </row>
    <row r="55" spans="1:6" ht="12.9" customHeight="1">
      <c r="A55" s="7207" t="s">
        <v>1080</v>
      </c>
      <c r="B55" s="10765"/>
      <c r="C55" s="10765"/>
      <c r="D55" s="10765"/>
      <c r="E55" s="10765"/>
      <c r="F55" s="7215"/>
    </row>
    <row r="56" spans="1:6" ht="12.9" customHeight="1">
      <c r="A56" s="7207" t="s">
        <v>1104</v>
      </c>
      <c r="B56" s="10765"/>
      <c r="C56" s="10765"/>
      <c r="D56" s="10765"/>
      <c r="E56" s="10765"/>
      <c r="F56" s="7215"/>
    </row>
    <row r="57" spans="1:6" ht="12.9" customHeight="1">
      <c r="A57" s="7207" t="s">
        <v>1105</v>
      </c>
      <c r="B57" s="10765"/>
      <c r="C57" s="10765"/>
      <c r="D57" s="10765"/>
      <c r="E57" s="10765"/>
      <c r="F57" s="7215"/>
    </row>
    <row r="58" spans="1:6" ht="12.9" customHeight="1">
      <c r="A58" s="7207"/>
      <c r="B58" s="10765"/>
      <c r="C58" s="10765"/>
      <c r="D58" s="10765"/>
      <c r="E58" s="10765"/>
      <c r="F58" s="7215"/>
    </row>
    <row r="59" spans="1:6" ht="12.9" customHeight="1">
      <c r="A59" s="7209" t="s">
        <v>1083</v>
      </c>
      <c r="B59" s="9631"/>
      <c r="C59" s="9631"/>
      <c r="D59" s="9631"/>
      <c r="E59" s="9631"/>
      <c r="F59" s="9741"/>
    </row>
    <row r="60" spans="1:6" ht="12.9" customHeight="1">
      <c r="A60" s="7207"/>
      <c r="B60" s="10765"/>
      <c r="C60" s="10765"/>
      <c r="D60" s="10765"/>
      <c r="E60" s="10765"/>
      <c r="F60" s="7215"/>
    </row>
    <row r="61" spans="1:6" ht="12.9" customHeight="1">
      <c r="A61" s="7207" t="s">
        <v>1106</v>
      </c>
      <c r="B61" s="10765"/>
      <c r="C61" s="10765"/>
      <c r="D61" s="10765"/>
      <c r="E61" s="10765"/>
      <c r="F61" s="7215"/>
    </row>
    <row r="62" spans="1:6" ht="12.9" customHeight="1" thickBot="1">
      <c r="A62" s="7207"/>
      <c r="B62" s="9634"/>
      <c r="C62" s="9634"/>
      <c r="D62" s="9634"/>
      <c r="E62" s="9634"/>
      <c r="F62" s="9753"/>
    </row>
    <row r="63" spans="1:6" ht="12.9" customHeight="1">
      <c r="A63" s="9715"/>
      <c r="B63" s="10765"/>
      <c r="C63" s="10765"/>
      <c r="D63" s="10765"/>
      <c r="E63" s="10765"/>
      <c r="F63" s="7215"/>
    </row>
    <row r="64" spans="1:6" ht="12.9" customHeight="1">
      <c r="A64" s="7209" t="s">
        <v>1086</v>
      </c>
      <c r="B64" s="10765"/>
      <c r="C64" s="10765"/>
      <c r="D64" s="10765"/>
      <c r="E64" s="10765"/>
      <c r="F64" s="7215"/>
    </row>
    <row r="65" spans="1:6" ht="12.9" customHeight="1" thickBot="1">
      <c r="A65" s="9709"/>
      <c r="B65" s="9634"/>
      <c r="C65" s="9634"/>
      <c r="D65" s="9634"/>
      <c r="E65" s="9634"/>
      <c r="F65" s="9753"/>
    </row>
  </sheetData>
  <mergeCells count="2">
    <mergeCell ref="D5:F5"/>
    <mergeCell ref="A1:F1"/>
  </mergeCells>
  <printOptions horizontalCentered="1"/>
  <pageMargins left="0.25" right="0.25" top="0.5" bottom="0.5" header="0.3" footer="0.3"/>
  <pageSetup paperSize="119" firstPageNumber="186" orientation="portrait" useFirstPageNumber="1" r:id="rId1"/>
  <headerFooter alignWithMargins="0"/>
</worksheet>
</file>

<file path=xl/worksheets/sheet97.xml><?xml version="1.0" encoding="utf-8"?>
<worksheet xmlns="http://schemas.openxmlformats.org/spreadsheetml/2006/main" xmlns:r="http://schemas.openxmlformats.org/officeDocument/2006/relationships">
  <sheetPr codeName="Sheet68">
    <tabColor rgb="FFFFFF00"/>
  </sheetPr>
  <dimension ref="A1:L167"/>
  <sheetViews>
    <sheetView showGridLines="0" workbookViewId="0">
      <selection activeCell="A2" sqref="A2:XFD5"/>
    </sheetView>
  </sheetViews>
  <sheetFormatPr defaultColWidth="9.109375" defaultRowHeight="26.25" customHeight="1"/>
  <cols>
    <col min="1" max="1" width="5.109375" style="3824" customWidth="1"/>
    <col min="2" max="2" width="2.109375" style="3824" customWidth="1"/>
    <col min="3" max="3" width="28.44140625" style="3825" customWidth="1"/>
    <col min="4" max="4" width="14.109375" style="3824" customWidth="1"/>
    <col min="5" max="5" width="1.88671875" style="3824" customWidth="1"/>
    <col min="6" max="6" width="19" style="3824" customWidth="1"/>
    <col min="7" max="7" width="16.44140625" style="3824" customWidth="1"/>
    <col min="8" max="8" width="10.88671875" style="3826" customWidth="1"/>
    <col min="9" max="9" width="9.44140625" style="3826" customWidth="1"/>
    <col min="10" max="16384" width="9.109375" style="3824"/>
  </cols>
  <sheetData>
    <row r="1" spans="1:12" ht="16.5" customHeight="1"/>
    <row r="2" spans="1:12" s="373" customFormat="1" ht="15" customHeight="1">
      <c r="A2" s="14620" t="s">
        <v>2138</v>
      </c>
      <c r="B2" s="14620"/>
      <c r="C2" s="14620"/>
      <c r="D2" s="14620"/>
      <c r="E2" s="14620"/>
      <c r="F2" s="14620"/>
      <c r="G2" s="14620"/>
      <c r="H2" s="14620"/>
      <c r="I2" s="14620"/>
      <c r="J2" s="5073"/>
      <c r="K2" s="5073"/>
      <c r="L2" s="5073"/>
    </row>
    <row r="3" spans="1:12" s="373" customFormat="1" ht="15" customHeight="1">
      <c r="A3" s="5029"/>
      <c r="B3" s="5029"/>
      <c r="C3" s="761"/>
      <c r="D3" s="5029"/>
      <c r="E3" s="5029"/>
      <c r="F3" s="5029"/>
      <c r="G3" s="5029"/>
      <c r="H3" s="5029"/>
      <c r="I3" s="5029"/>
      <c r="J3" s="5073"/>
      <c r="K3" s="5073"/>
      <c r="L3" s="5073"/>
    </row>
    <row r="4" spans="1:12" s="373" customFormat="1" ht="16.5" customHeight="1">
      <c r="A4" s="5074" t="s">
        <v>9918</v>
      </c>
      <c r="B4" s="5074"/>
      <c r="C4" s="5075"/>
      <c r="D4" s="5076"/>
      <c r="E4" s="5076"/>
      <c r="H4" s="475"/>
      <c r="I4" s="475"/>
    </row>
    <row r="5" spans="1:12" s="373" customFormat="1" ht="16.5" customHeight="1">
      <c r="A5" s="5074" t="s">
        <v>9919</v>
      </c>
      <c r="B5" s="5074"/>
      <c r="C5" s="5075"/>
      <c r="D5" s="5073"/>
      <c r="E5" s="5073"/>
      <c r="H5" s="475"/>
      <c r="I5" s="475"/>
    </row>
    <row r="6" spans="1:12" ht="15.75" customHeight="1">
      <c r="A6" s="3828"/>
      <c r="B6" s="3828"/>
      <c r="D6" s="3827"/>
      <c r="E6" s="3827"/>
    </row>
    <row r="7" spans="1:12" ht="20.25" customHeight="1">
      <c r="A7" s="3828" t="s">
        <v>9535</v>
      </c>
      <c r="B7" s="3828"/>
    </row>
    <row r="8" spans="1:12" ht="46.5" customHeight="1">
      <c r="A8" s="14870" t="s">
        <v>4548</v>
      </c>
      <c r="B8" s="14870"/>
      <c r="C8" s="14870"/>
      <c r="D8" s="14870"/>
      <c r="E8" s="14870"/>
      <c r="F8" s="14870"/>
      <c r="G8" s="14870"/>
      <c r="H8" s="14870"/>
      <c r="I8" s="14870"/>
      <c r="J8" s="3829"/>
      <c r="K8" s="3829"/>
      <c r="L8" s="3829"/>
    </row>
    <row r="9" spans="1:12" ht="21.75" customHeight="1">
      <c r="A9" s="3827" t="s">
        <v>1753</v>
      </c>
      <c r="B9" s="3827"/>
      <c r="F9" s="3829"/>
      <c r="G9" s="3829"/>
      <c r="H9" s="3830"/>
      <c r="I9" s="3830"/>
      <c r="J9" s="3829"/>
      <c r="K9" s="3829"/>
      <c r="L9" s="3829"/>
    </row>
    <row r="10" spans="1:12" ht="33" customHeight="1">
      <c r="A10" s="3831" t="s">
        <v>2090</v>
      </c>
      <c r="B10" s="14869" t="s">
        <v>4549</v>
      </c>
      <c r="C10" s="14869"/>
      <c r="D10" s="14869"/>
      <c r="E10" s="14869"/>
      <c r="F10" s="14869"/>
      <c r="G10" s="14869"/>
      <c r="H10" s="14869"/>
      <c r="I10" s="14869"/>
      <c r="J10" s="3829"/>
      <c r="K10" s="3829"/>
      <c r="L10" s="3829"/>
    </row>
    <row r="11" spans="1:12" ht="29.25" customHeight="1">
      <c r="A11" s="3832"/>
      <c r="B11" s="3824" t="s">
        <v>4566</v>
      </c>
      <c r="C11" s="14869" t="s">
        <v>4550</v>
      </c>
      <c r="D11" s="14869"/>
      <c r="E11" s="14869"/>
      <c r="F11" s="14869"/>
      <c r="G11" s="14869"/>
      <c r="H11" s="14869"/>
      <c r="I11" s="14869"/>
      <c r="J11" s="3829"/>
      <c r="K11" s="3829"/>
      <c r="L11" s="3829"/>
    </row>
    <row r="12" spans="1:12" ht="36" customHeight="1">
      <c r="B12" s="3824" t="s">
        <v>4567</v>
      </c>
      <c r="C12" s="14869" t="s">
        <v>9508</v>
      </c>
      <c r="D12" s="14869"/>
      <c r="E12" s="14869"/>
      <c r="F12" s="14869"/>
      <c r="G12" s="14869"/>
      <c r="H12" s="14869"/>
      <c r="I12" s="14869"/>
      <c r="J12" s="3829"/>
      <c r="K12" s="3829"/>
      <c r="L12" s="3829"/>
    </row>
    <row r="13" spans="1:12" s="3825" customFormat="1" ht="17.25" customHeight="1">
      <c r="A13" s="3833" t="s">
        <v>2091</v>
      </c>
      <c r="B13" s="14869" t="s">
        <v>4551</v>
      </c>
      <c r="C13" s="14870"/>
      <c r="D13" s="14870"/>
      <c r="E13" s="14870"/>
      <c r="F13" s="14870"/>
      <c r="G13" s="14870"/>
      <c r="H13" s="14870"/>
      <c r="I13" s="14870"/>
      <c r="J13" s="3834"/>
      <c r="K13" s="3834"/>
      <c r="L13" s="3834"/>
    </row>
    <row r="14" spans="1:12" s="3825" customFormat="1" ht="32.25" customHeight="1">
      <c r="A14" s="3835"/>
      <c r="B14" s="3825" t="s">
        <v>4566</v>
      </c>
      <c r="C14" s="14869" t="s">
        <v>4552</v>
      </c>
      <c r="D14" s="14869"/>
      <c r="E14" s="14869"/>
      <c r="F14" s="14869"/>
      <c r="G14" s="14869"/>
      <c r="H14" s="14869"/>
      <c r="I14" s="14869"/>
      <c r="J14" s="3834"/>
      <c r="K14" s="3834"/>
      <c r="L14" s="3834"/>
    </row>
    <row r="15" spans="1:12" s="3825" customFormat="1" ht="30.75" customHeight="1">
      <c r="A15" s="3835"/>
      <c r="B15" s="3825" t="s">
        <v>4567</v>
      </c>
      <c r="C15" s="14869" t="s">
        <v>4553</v>
      </c>
      <c r="D15" s="14869"/>
      <c r="E15" s="14869"/>
      <c r="F15" s="14869"/>
      <c r="G15" s="14869"/>
      <c r="H15" s="14869"/>
      <c r="I15" s="14869"/>
      <c r="J15" s="3834"/>
      <c r="K15" s="3834"/>
      <c r="L15" s="3834"/>
    </row>
    <row r="16" spans="1:12" ht="16.5" customHeight="1">
      <c r="A16" s="3832"/>
      <c r="B16" s="3824" t="s">
        <v>4568</v>
      </c>
      <c r="C16" s="14869" t="s">
        <v>4554</v>
      </c>
      <c r="D16" s="14869"/>
      <c r="E16" s="14869"/>
      <c r="F16" s="14869"/>
      <c r="G16" s="14869"/>
      <c r="H16" s="14869"/>
      <c r="I16" s="14869"/>
      <c r="J16" s="3829"/>
      <c r="K16" s="3829"/>
      <c r="L16" s="3829"/>
    </row>
    <row r="17" spans="1:12" ht="29.25" customHeight="1">
      <c r="A17" s="3832"/>
      <c r="B17" s="3824" t="s">
        <v>4569</v>
      </c>
      <c r="C17" s="14869" t="s">
        <v>4565</v>
      </c>
      <c r="D17" s="14869"/>
      <c r="E17" s="14869"/>
      <c r="F17" s="14869"/>
      <c r="G17" s="14869"/>
      <c r="H17" s="14869"/>
      <c r="I17" s="14869"/>
      <c r="J17" s="3829"/>
      <c r="K17" s="3829"/>
      <c r="L17" s="3829"/>
    </row>
    <row r="18" spans="1:12" ht="15" customHeight="1">
      <c r="A18" s="3831" t="s">
        <v>2092</v>
      </c>
      <c r="B18" s="14869" t="s">
        <v>4555</v>
      </c>
      <c r="C18" s="14870"/>
      <c r="D18" s="14870"/>
      <c r="E18" s="14870"/>
      <c r="F18" s="14870"/>
      <c r="G18" s="14870"/>
      <c r="H18" s="14870"/>
      <c r="I18" s="14870"/>
      <c r="J18" s="3828"/>
      <c r="K18" s="3828"/>
      <c r="L18" s="3828"/>
    </row>
    <row r="19" spans="1:12" ht="16.5" customHeight="1">
      <c r="A19" s="3832"/>
      <c r="B19" s="3824" t="s">
        <v>4566</v>
      </c>
      <c r="C19" s="14870" t="s">
        <v>4556</v>
      </c>
      <c r="D19" s="14870"/>
      <c r="E19" s="14870"/>
      <c r="F19" s="14870"/>
      <c r="G19" s="14870"/>
      <c r="H19" s="14870"/>
      <c r="I19" s="14870"/>
      <c r="J19" s="3829"/>
      <c r="K19" s="3829"/>
      <c r="L19" s="3829"/>
    </row>
    <row r="20" spans="1:12" ht="17.25" customHeight="1">
      <c r="A20" s="3832"/>
      <c r="B20" s="3824" t="s">
        <v>4567</v>
      </c>
      <c r="C20" s="14870" t="s">
        <v>9509</v>
      </c>
      <c r="D20" s="14870"/>
      <c r="E20" s="14870"/>
      <c r="F20" s="14870"/>
      <c r="G20" s="14870"/>
      <c r="H20" s="14870"/>
      <c r="I20" s="14870"/>
      <c r="J20" s="3829"/>
      <c r="K20" s="3829"/>
      <c r="L20" s="3829"/>
    </row>
    <row r="21" spans="1:12" ht="39" customHeight="1">
      <c r="A21" s="3831"/>
      <c r="B21" s="3824" t="s">
        <v>4568</v>
      </c>
      <c r="C21" s="14870" t="s">
        <v>4557</v>
      </c>
      <c r="D21" s="14870"/>
      <c r="E21" s="14870"/>
      <c r="F21" s="14870"/>
      <c r="G21" s="14870"/>
      <c r="H21" s="14870"/>
      <c r="I21" s="14870"/>
      <c r="J21" s="3829"/>
      <c r="K21" s="3829"/>
      <c r="L21" s="3829"/>
    </row>
    <row r="22" spans="1:12" ht="15.75" customHeight="1">
      <c r="A22" s="3831" t="s">
        <v>2094</v>
      </c>
      <c r="B22" s="14869" t="s">
        <v>4558</v>
      </c>
      <c r="C22" s="14870"/>
      <c r="D22" s="14870"/>
      <c r="E22" s="14870"/>
      <c r="F22" s="14870"/>
      <c r="G22" s="14870"/>
      <c r="H22" s="14870"/>
      <c r="I22" s="14870"/>
      <c r="J22" s="3829"/>
      <c r="K22" s="3829"/>
      <c r="L22" s="3829"/>
    </row>
    <row r="23" spans="1:12" ht="27.75" customHeight="1">
      <c r="A23" s="3831"/>
      <c r="B23" s="3824" t="s">
        <v>4566</v>
      </c>
      <c r="C23" s="14869" t="s">
        <v>4559</v>
      </c>
      <c r="D23" s="14869"/>
      <c r="E23" s="14869"/>
      <c r="F23" s="14869"/>
      <c r="G23" s="14869"/>
      <c r="H23" s="14869"/>
      <c r="I23" s="14869"/>
      <c r="J23" s="3829"/>
      <c r="K23" s="3829"/>
      <c r="L23" s="3829"/>
    </row>
    <row r="24" spans="1:12" ht="36" customHeight="1">
      <c r="A24" s="3835"/>
      <c r="B24" s="3824" t="s">
        <v>4567</v>
      </c>
      <c r="C24" s="14869" t="s">
        <v>4976</v>
      </c>
      <c r="D24" s="14869"/>
      <c r="E24" s="14869"/>
      <c r="F24" s="14869"/>
      <c r="G24" s="14869"/>
      <c r="H24" s="14869"/>
      <c r="I24" s="14869"/>
      <c r="J24" s="3829"/>
      <c r="K24" s="3829"/>
      <c r="L24" s="3829"/>
    </row>
    <row r="25" spans="1:12" ht="29.25" customHeight="1">
      <c r="A25" s="3831" t="s">
        <v>2416</v>
      </c>
      <c r="B25" s="14869" t="s">
        <v>4560</v>
      </c>
      <c r="C25" s="14870"/>
      <c r="D25" s="14870"/>
      <c r="E25" s="14870"/>
      <c r="F25" s="14870"/>
      <c r="G25" s="14870"/>
      <c r="H25" s="14870"/>
      <c r="I25" s="14870"/>
      <c r="J25" s="3829"/>
      <c r="K25" s="3829"/>
      <c r="L25" s="3829"/>
    </row>
    <row r="26" spans="1:12" ht="15.75" customHeight="1">
      <c r="A26" s="3835"/>
      <c r="B26" s="3824" t="s">
        <v>4566</v>
      </c>
      <c r="C26" s="14869" t="s">
        <v>9510</v>
      </c>
      <c r="D26" s="14869"/>
      <c r="E26" s="14869"/>
      <c r="F26" s="14869"/>
      <c r="G26" s="14869"/>
      <c r="H26" s="14869"/>
      <c r="I26" s="14869"/>
      <c r="J26" s="3829"/>
      <c r="K26" s="3829"/>
      <c r="L26" s="3829"/>
    </row>
    <row r="27" spans="1:12" ht="24.75" customHeight="1">
      <c r="A27" s="3835"/>
      <c r="B27" s="3824" t="s">
        <v>4567</v>
      </c>
      <c r="C27" s="14871" t="s">
        <v>4561</v>
      </c>
      <c r="D27" s="14871"/>
      <c r="E27" s="14871"/>
      <c r="F27" s="14871"/>
      <c r="G27" s="14871"/>
      <c r="H27" s="14871"/>
      <c r="I27" s="14871"/>
      <c r="J27" s="3829"/>
      <c r="K27" s="3829"/>
      <c r="L27" s="3829"/>
    </row>
    <row r="28" spans="1:12" ht="18.75" customHeight="1">
      <c r="A28" s="3836" t="s">
        <v>2569</v>
      </c>
      <c r="B28" s="14869" t="s">
        <v>4562</v>
      </c>
      <c r="C28" s="14869"/>
      <c r="D28" s="14869"/>
      <c r="E28" s="14869"/>
      <c r="F28" s="14869"/>
      <c r="G28" s="14869"/>
      <c r="H28" s="14869"/>
      <c r="I28" s="14869"/>
      <c r="J28" s="3829"/>
      <c r="K28" s="3829"/>
      <c r="L28" s="3829"/>
    </row>
    <row r="29" spans="1:12" ht="27.75" customHeight="1">
      <c r="A29" s="3829"/>
      <c r="B29" s="3824" t="s">
        <v>4566</v>
      </c>
      <c r="C29" s="14869" t="s">
        <v>4563</v>
      </c>
      <c r="D29" s="14869"/>
      <c r="E29" s="14869"/>
      <c r="F29" s="14869"/>
      <c r="G29" s="14869"/>
      <c r="H29" s="14869"/>
      <c r="I29" s="14869"/>
      <c r="J29" s="3829"/>
      <c r="K29" s="3829"/>
      <c r="L29" s="3829"/>
    </row>
    <row r="30" spans="1:12" ht="15.75" customHeight="1">
      <c r="A30" s="3829"/>
      <c r="B30" s="3824" t="s">
        <v>4567</v>
      </c>
      <c r="C30" s="14869" t="s">
        <v>4564</v>
      </c>
      <c r="D30" s="14869"/>
      <c r="E30" s="14869"/>
      <c r="F30" s="14869"/>
      <c r="G30" s="14869"/>
      <c r="H30" s="14869"/>
      <c r="I30" s="14869"/>
      <c r="J30" s="3829"/>
      <c r="K30" s="3829"/>
      <c r="L30" s="3829"/>
    </row>
    <row r="31" spans="1:12" ht="27.75" customHeight="1">
      <c r="A31" s="3829"/>
      <c r="B31" s="3824" t="s">
        <v>4568</v>
      </c>
      <c r="C31" s="14869" t="s">
        <v>5503</v>
      </c>
      <c r="D31" s="14869"/>
      <c r="E31" s="14869"/>
      <c r="F31" s="14869"/>
      <c r="G31" s="14869"/>
      <c r="H31" s="14869"/>
      <c r="I31" s="14869"/>
      <c r="J31" s="3829"/>
      <c r="K31" s="3829"/>
      <c r="L31" s="3829"/>
    </row>
    <row r="32" spans="1:12" ht="31.5" customHeight="1">
      <c r="A32" s="3829"/>
      <c r="B32" s="3824" t="s">
        <v>4569</v>
      </c>
      <c r="C32" s="14869" t="s">
        <v>5586</v>
      </c>
      <c r="D32" s="14869"/>
      <c r="E32" s="14869"/>
      <c r="F32" s="14869"/>
      <c r="G32" s="14869"/>
      <c r="H32" s="14869"/>
      <c r="I32" s="14869"/>
      <c r="J32" s="3829"/>
      <c r="K32" s="3829"/>
      <c r="L32" s="3829"/>
    </row>
    <row r="33" spans="1:12" ht="31.5" customHeight="1">
      <c r="A33" s="3829"/>
      <c r="C33" s="3837"/>
      <c r="D33" s="3837"/>
      <c r="E33" s="3837"/>
      <c r="F33" s="3837"/>
      <c r="G33" s="3837"/>
      <c r="H33" s="3837"/>
      <c r="I33" s="3837"/>
      <c r="J33" s="3829"/>
      <c r="K33" s="3829"/>
      <c r="L33" s="3829"/>
    </row>
    <row r="34" spans="1:12" ht="31.5" customHeight="1">
      <c r="A34" s="3829"/>
      <c r="C34" s="3837"/>
      <c r="D34" s="3837"/>
      <c r="E34" s="3837"/>
      <c r="F34" s="3837"/>
      <c r="G34" s="3837"/>
      <c r="H34" s="3837"/>
      <c r="I34" s="3837"/>
      <c r="J34" s="3829"/>
      <c r="K34" s="3829"/>
      <c r="L34" s="3829"/>
    </row>
    <row r="35" spans="1:12" ht="31.5" customHeight="1">
      <c r="A35" s="3829"/>
      <c r="C35" s="3837"/>
      <c r="D35" s="3837"/>
      <c r="E35" s="3837"/>
      <c r="F35" s="3837"/>
      <c r="G35" s="3837"/>
      <c r="H35" s="3837"/>
      <c r="I35" s="3837"/>
      <c r="J35" s="3829"/>
      <c r="K35" s="3829"/>
      <c r="L35" s="3829"/>
    </row>
    <row r="36" spans="1:12" ht="31.5" customHeight="1">
      <c r="A36" s="3829"/>
      <c r="C36" s="3837"/>
      <c r="D36" s="3837"/>
      <c r="E36" s="3837"/>
      <c r="F36" s="3837"/>
      <c r="G36" s="3837"/>
      <c r="H36" s="3837"/>
      <c r="I36" s="3837"/>
      <c r="J36" s="3829"/>
      <c r="K36" s="3829"/>
      <c r="L36" s="3829"/>
    </row>
    <row r="37" spans="1:12" ht="17.25" customHeight="1">
      <c r="A37" s="3829"/>
      <c r="C37" s="3837"/>
      <c r="D37" s="3837"/>
      <c r="E37" s="3837"/>
      <c r="F37" s="3837"/>
      <c r="G37" s="3837"/>
      <c r="H37" s="3837"/>
      <c r="I37" s="3837"/>
      <c r="J37" s="3829"/>
      <c r="K37" s="3829"/>
      <c r="L37" s="3829"/>
    </row>
    <row r="38" spans="1:12" ht="17.25" customHeight="1">
      <c r="A38" s="3829"/>
      <c r="C38" s="3837"/>
      <c r="D38" s="3837"/>
      <c r="E38" s="3837"/>
      <c r="F38" s="3837"/>
      <c r="G38" s="3837"/>
      <c r="H38" s="3837"/>
      <c r="I38" s="3837"/>
      <c r="J38" s="3829"/>
      <c r="K38" s="3829"/>
      <c r="L38" s="3829"/>
    </row>
    <row r="39" spans="1:12" ht="17.25" customHeight="1">
      <c r="A39" s="3829"/>
      <c r="C39" s="3837"/>
      <c r="D39" s="3837"/>
      <c r="E39" s="3837"/>
      <c r="F39" s="3837"/>
      <c r="G39" s="3837"/>
      <c r="H39" s="3837"/>
      <c r="I39" s="3837"/>
      <c r="J39" s="3829"/>
      <c r="K39" s="3829"/>
      <c r="L39" s="3829"/>
    </row>
    <row r="40" spans="1:12" ht="17.25" customHeight="1">
      <c r="A40" s="3829"/>
      <c r="C40" s="3837"/>
      <c r="D40" s="3837"/>
      <c r="E40" s="3837"/>
      <c r="F40" s="3837"/>
      <c r="G40" s="3837"/>
      <c r="H40" s="3837"/>
      <c r="I40" s="3837"/>
      <c r="J40" s="3829"/>
      <c r="K40" s="3829"/>
      <c r="L40" s="3829"/>
    </row>
    <row r="41" spans="1:12" ht="15" customHeight="1" thickBot="1">
      <c r="A41" s="14878" t="s">
        <v>2805</v>
      </c>
      <c r="B41" s="14878"/>
      <c r="C41" s="14878"/>
      <c r="D41" s="14878"/>
      <c r="E41" s="14878"/>
      <c r="F41" s="14878"/>
      <c r="G41" s="14878"/>
      <c r="H41" s="14878"/>
      <c r="I41" s="14878"/>
      <c r="J41" s="14878"/>
      <c r="K41" s="14878"/>
      <c r="L41" s="14878"/>
    </row>
    <row r="42" spans="1:12" ht="18" customHeight="1">
      <c r="A42" s="3838" t="s">
        <v>94</v>
      </c>
      <c r="B42" s="3839"/>
      <c r="C42" s="3840" t="s">
        <v>1980</v>
      </c>
      <c r="D42" s="3841" t="s">
        <v>1736</v>
      </c>
      <c r="E42" s="3839"/>
      <c r="F42" s="3841" t="s">
        <v>1787</v>
      </c>
      <c r="G42" s="3841" t="s">
        <v>1764</v>
      </c>
      <c r="H42" s="14848" t="s">
        <v>1978</v>
      </c>
      <c r="I42" s="14849"/>
    </row>
    <row r="43" spans="1:12" ht="26.25" customHeight="1" thickBot="1">
      <c r="A43" s="3842" t="s">
        <v>1788</v>
      </c>
      <c r="B43" s="3843"/>
      <c r="C43" s="3844" t="s">
        <v>1762</v>
      </c>
      <c r="D43" s="3845"/>
      <c r="E43" s="3843"/>
      <c r="F43" s="3845" t="s">
        <v>1804</v>
      </c>
      <c r="G43" s="3845"/>
      <c r="H43" s="14872" t="s">
        <v>1841</v>
      </c>
      <c r="I43" s="14873"/>
    </row>
    <row r="44" spans="1:12" ht="18" customHeight="1" thickBot="1">
      <c r="A44" s="3846">
        <v>-1</v>
      </c>
      <c r="B44" s="3847"/>
      <c r="C44" s="3848">
        <v>-2</v>
      </c>
      <c r="D44" s="3849">
        <v>-3</v>
      </c>
      <c r="E44" s="3847"/>
      <c r="F44" s="3849">
        <v>-4</v>
      </c>
      <c r="G44" s="3849">
        <v>-5</v>
      </c>
      <c r="H44" s="3838" t="s">
        <v>1789</v>
      </c>
      <c r="I44" s="3838" t="s">
        <v>1790</v>
      </c>
    </row>
    <row r="45" spans="1:12" ht="19.5" customHeight="1">
      <c r="A45" s="3850"/>
      <c r="B45" s="3839"/>
      <c r="C45" s="3851" t="s">
        <v>2806</v>
      </c>
      <c r="D45" s="3852"/>
      <c r="E45" s="3839"/>
      <c r="F45" s="3841"/>
      <c r="G45" s="3841"/>
      <c r="H45" s="3853"/>
      <c r="I45" s="3853"/>
    </row>
    <row r="46" spans="1:12" ht="17.25" customHeight="1">
      <c r="A46" s="3854"/>
      <c r="B46" s="14867" t="s">
        <v>2807</v>
      </c>
      <c r="C46" s="14868"/>
      <c r="D46" s="3855">
        <v>8580589.3100000005</v>
      </c>
      <c r="E46" s="3843"/>
      <c r="F46" s="3856" t="s">
        <v>9</v>
      </c>
      <c r="G46" s="3845"/>
      <c r="H46" s="3857"/>
      <c r="I46" s="3857"/>
    </row>
    <row r="47" spans="1:12" ht="48.75" customHeight="1">
      <c r="A47" s="3854"/>
      <c r="B47" s="14856" t="s">
        <v>2808</v>
      </c>
      <c r="C47" s="14846"/>
      <c r="D47" s="3845"/>
      <c r="E47" s="3843"/>
      <c r="F47" s="3856"/>
      <c r="G47" s="3845" t="s">
        <v>2809</v>
      </c>
      <c r="H47" s="3858" t="s">
        <v>5504</v>
      </c>
      <c r="I47" s="3859" t="s">
        <v>5113</v>
      </c>
    </row>
    <row r="48" spans="1:12" ht="61.5" customHeight="1">
      <c r="A48" s="3854"/>
      <c r="B48" s="3860" t="s">
        <v>4580</v>
      </c>
      <c r="C48" s="3861" t="s">
        <v>2810</v>
      </c>
      <c r="D48" s="3845"/>
      <c r="E48" s="3860" t="s">
        <v>4580</v>
      </c>
      <c r="F48" s="3862" t="s">
        <v>4582</v>
      </c>
      <c r="G48" s="3845"/>
      <c r="H48" s="3857"/>
      <c r="I48" s="3857"/>
    </row>
    <row r="49" spans="1:9" ht="50.25" customHeight="1">
      <c r="A49" s="3854"/>
      <c r="B49" s="3860" t="s">
        <v>4580</v>
      </c>
      <c r="C49" s="3861" t="s">
        <v>2811</v>
      </c>
      <c r="D49" s="3845"/>
      <c r="E49" s="3860" t="s">
        <v>4580</v>
      </c>
      <c r="F49" s="3862" t="s">
        <v>4583</v>
      </c>
      <c r="G49" s="3845"/>
      <c r="H49" s="3857"/>
      <c r="I49" s="3857"/>
    </row>
    <row r="50" spans="1:9" ht="71.25" customHeight="1">
      <c r="A50" s="3854"/>
      <c r="B50" s="3860" t="s">
        <v>4580</v>
      </c>
      <c r="C50" s="3861" t="s">
        <v>2812</v>
      </c>
      <c r="D50" s="3845"/>
      <c r="E50" s="3860" t="s">
        <v>4580</v>
      </c>
      <c r="F50" s="3862" t="s">
        <v>9505</v>
      </c>
      <c r="G50" s="3845"/>
      <c r="H50" s="3857"/>
      <c r="I50" s="3857"/>
    </row>
    <row r="51" spans="1:9" ht="48.75" customHeight="1">
      <c r="A51" s="3854"/>
      <c r="B51" s="3860" t="s">
        <v>4580</v>
      </c>
      <c r="C51" s="3861" t="s">
        <v>2813</v>
      </c>
      <c r="D51" s="3845"/>
      <c r="E51" s="3843"/>
      <c r="F51" s="3863"/>
      <c r="G51" s="3845"/>
      <c r="H51" s="3857"/>
      <c r="I51" s="3857"/>
    </row>
    <row r="52" spans="1:9" ht="46.5" customHeight="1">
      <c r="A52" s="3854"/>
      <c r="B52" s="3860" t="s">
        <v>4580</v>
      </c>
      <c r="C52" s="3861" t="s">
        <v>2814</v>
      </c>
      <c r="D52" s="3845"/>
      <c r="E52" s="3843"/>
      <c r="F52" s="3863"/>
      <c r="G52" s="3845"/>
      <c r="H52" s="3857"/>
      <c r="I52" s="3857"/>
    </row>
    <row r="53" spans="1:9" ht="27.75" customHeight="1">
      <c r="A53" s="3854"/>
      <c r="B53" s="14867" t="s">
        <v>4570</v>
      </c>
      <c r="C53" s="14868"/>
      <c r="D53" s="3845"/>
      <c r="E53" s="3843"/>
      <c r="F53" s="3863"/>
      <c r="G53" s="3845" t="s">
        <v>2809</v>
      </c>
      <c r="H53" s="3859" t="s">
        <v>5125</v>
      </c>
      <c r="I53" s="3859" t="s">
        <v>5113</v>
      </c>
    </row>
    <row r="54" spans="1:9" ht="69.75" customHeight="1">
      <c r="A54" s="3854"/>
      <c r="B54" s="3860" t="s">
        <v>4580</v>
      </c>
      <c r="C54" s="3861" t="s">
        <v>2816</v>
      </c>
      <c r="D54" s="3856"/>
      <c r="E54" s="3843"/>
      <c r="F54" s="3863" t="s">
        <v>2817</v>
      </c>
      <c r="G54" s="3845"/>
      <c r="H54" s="3864" t="s">
        <v>9536</v>
      </c>
      <c r="I54" s="3865"/>
    </row>
    <row r="55" spans="1:9" ht="68.25" customHeight="1">
      <c r="A55" s="3854"/>
      <c r="B55" s="3860" t="s">
        <v>4580</v>
      </c>
      <c r="C55" s="3861" t="s">
        <v>2820</v>
      </c>
      <c r="D55" s="3856"/>
      <c r="E55" s="3843"/>
      <c r="F55" s="3863" t="s">
        <v>2821</v>
      </c>
      <c r="G55" s="3845"/>
      <c r="I55" s="3865"/>
    </row>
    <row r="56" spans="1:9" ht="72.75" customHeight="1">
      <c r="A56" s="3854"/>
      <c r="B56" s="3860" t="s">
        <v>4580</v>
      </c>
      <c r="C56" s="3861" t="s">
        <v>2822</v>
      </c>
      <c r="D56" s="3856"/>
      <c r="E56" s="3843"/>
      <c r="F56" s="3863" t="s">
        <v>2823</v>
      </c>
      <c r="G56" s="3845"/>
      <c r="H56" s="3857"/>
      <c r="I56" s="3857"/>
    </row>
    <row r="57" spans="1:9" ht="44.25" customHeight="1">
      <c r="A57" s="3854"/>
      <c r="B57" s="3860" t="s">
        <v>4580</v>
      </c>
      <c r="C57" s="3861" t="s">
        <v>2824</v>
      </c>
      <c r="D57" s="3856"/>
      <c r="E57" s="3843"/>
      <c r="F57" s="3863" t="s">
        <v>2815</v>
      </c>
      <c r="G57" s="3845"/>
      <c r="H57" s="3857"/>
      <c r="I57" s="3857"/>
    </row>
    <row r="58" spans="1:9" s="3843" customFormat="1" ht="55.5" customHeight="1">
      <c r="A58" s="3854"/>
      <c r="B58" s="3860" t="s">
        <v>4580</v>
      </c>
      <c r="C58" s="3861" t="s">
        <v>4571</v>
      </c>
      <c r="D58" s="3856"/>
      <c r="F58" s="3866" t="s">
        <v>4576</v>
      </c>
      <c r="G58" s="3867" t="s">
        <v>4581</v>
      </c>
      <c r="H58" s="3865"/>
      <c r="I58" s="3865"/>
    </row>
    <row r="59" spans="1:9" s="3843" customFormat="1" ht="85.5" customHeight="1" thickBot="1">
      <c r="A59" s="3854"/>
      <c r="B59" s="3860" t="s">
        <v>4580</v>
      </c>
      <c r="C59" s="3861" t="s">
        <v>4572</v>
      </c>
      <c r="D59" s="3856"/>
      <c r="F59" s="3866" t="s">
        <v>4577</v>
      </c>
      <c r="G59" s="3867" t="s">
        <v>4578</v>
      </c>
      <c r="H59" s="3865"/>
      <c r="I59" s="3865"/>
    </row>
    <row r="60" spans="1:9" s="3843" customFormat="1" ht="51" customHeight="1">
      <c r="A60" s="3868"/>
      <c r="B60" s="3869"/>
      <c r="C60" s="3870"/>
      <c r="D60" s="3871"/>
      <c r="E60" s="3872"/>
      <c r="F60" s="3868"/>
      <c r="G60" s="3873"/>
      <c r="H60" s="3874"/>
      <c r="I60" s="3874"/>
    </row>
    <row r="61" spans="1:9" s="3843" customFormat="1" ht="18" customHeight="1">
      <c r="A61" s="3866"/>
      <c r="B61" s="3860"/>
      <c r="C61" s="3875"/>
      <c r="D61" s="3876"/>
      <c r="F61" s="3866"/>
      <c r="G61" s="3877"/>
      <c r="H61" s="3864"/>
      <c r="I61" s="3864"/>
    </row>
    <row r="62" spans="1:9" s="3843" customFormat="1" ht="18" customHeight="1">
      <c r="A62" s="3866"/>
      <c r="B62" s="3860"/>
      <c r="C62" s="3875"/>
      <c r="D62" s="3876"/>
      <c r="F62" s="3866"/>
      <c r="G62" s="3877"/>
      <c r="H62" s="3864"/>
      <c r="I62" s="3864"/>
    </row>
    <row r="63" spans="1:9" s="3843" customFormat="1" ht="18" customHeight="1">
      <c r="A63" s="3866"/>
      <c r="B63" s="3860"/>
      <c r="C63" s="3875"/>
      <c r="D63" s="3876"/>
      <c r="F63" s="3866"/>
      <c r="G63" s="3877"/>
      <c r="H63" s="3864"/>
      <c r="I63" s="3864"/>
    </row>
    <row r="64" spans="1:9" s="3843" customFormat="1" ht="18" customHeight="1" thickBot="1">
      <c r="A64" s="3866"/>
      <c r="B64" s="3860"/>
      <c r="C64" s="3875"/>
      <c r="D64" s="3876"/>
      <c r="F64" s="3866"/>
      <c r="G64" s="3877"/>
      <c r="H64" s="3864"/>
      <c r="I64" s="3864"/>
    </row>
    <row r="65" spans="1:9" ht="18" customHeight="1">
      <c r="A65" s="3838" t="s">
        <v>94</v>
      </c>
      <c r="B65" s="3839"/>
      <c r="C65" s="3840" t="s">
        <v>1980</v>
      </c>
      <c r="D65" s="3841" t="s">
        <v>1736</v>
      </c>
      <c r="E65" s="3839"/>
      <c r="F65" s="3841" t="s">
        <v>1787</v>
      </c>
      <c r="G65" s="3841" t="s">
        <v>1764</v>
      </c>
      <c r="H65" s="14848" t="s">
        <v>1978</v>
      </c>
      <c r="I65" s="14849"/>
    </row>
    <row r="66" spans="1:9" ht="26.25" customHeight="1" thickBot="1">
      <c r="A66" s="3878" t="s">
        <v>1788</v>
      </c>
      <c r="B66" s="3843"/>
      <c r="C66" s="3844" t="s">
        <v>1762</v>
      </c>
      <c r="D66" s="3845"/>
      <c r="E66" s="3843"/>
      <c r="F66" s="3845" t="s">
        <v>1804</v>
      </c>
      <c r="G66" s="3845"/>
      <c r="H66" s="14850" t="s">
        <v>1841</v>
      </c>
      <c r="I66" s="14851"/>
    </row>
    <row r="67" spans="1:9" ht="18" customHeight="1" thickBot="1">
      <c r="A67" s="3879">
        <v>-1</v>
      </c>
      <c r="B67" s="3880"/>
      <c r="C67" s="3881">
        <v>-2</v>
      </c>
      <c r="D67" s="3882">
        <v>-3</v>
      </c>
      <c r="E67" s="3880"/>
      <c r="F67" s="3882">
        <v>-4</v>
      </c>
      <c r="G67" s="3882">
        <v>-5</v>
      </c>
      <c r="H67" s="3883" t="s">
        <v>1789</v>
      </c>
      <c r="I67" s="3883" t="s">
        <v>1790</v>
      </c>
    </row>
    <row r="68" spans="1:9" ht="26.25" customHeight="1">
      <c r="A68" s="3854"/>
      <c r="B68" s="14859" t="s">
        <v>2825</v>
      </c>
      <c r="C68" s="14860"/>
      <c r="D68" s="3855">
        <v>4746708.9800000004</v>
      </c>
      <c r="E68" s="3843"/>
      <c r="F68" s="3866"/>
      <c r="G68" s="3884"/>
      <c r="H68" s="3865"/>
      <c r="I68" s="3865"/>
    </row>
    <row r="69" spans="1:9" ht="97.5" customHeight="1">
      <c r="A69" s="3854"/>
      <c r="B69" s="3843"/>
      <c r="C69" s="3861" t="s">
        <v>2826</v>
      </c>
      <c r="D69" s="3885" t="s">
        <v>9</v>
      </c>
      <c r="E69" s="3843"/>
      <c r="F69" s="3866" t="s">
        <v>2827</v>
      </c>
      <c r="G69" s="3867" t="s">
        <v>4579</v>
      </c>
      <c r="H69" s="3886" t="s">
        <v>5504</v>
      </c>
      <c r="I69" s="3887" t="s">
        <v>5113</v>
      </c>
    </row>
    <row r="70" spans="1:9" ht="57.75" customHeight="1">
      <c r="A70" s="3854"/>
      <c r="B70" s="3843"/>
      <c r="C70" s="3861" t="s">
        <v>4573</v>
      </c>
      <c r="D70" s="3856"/>
      <c r="E70" s="3843"/>
      <c r="F70" s="3866" t="s">
        <v>2828</v>
      </c>
      <c r="G70" s="3867" t="s">
        <v>4579</v>
      </c>
      <c r="H70" s="3842"/>
      <c r="I70" s="3865"/>
    </row>
    <row r="71" spans="1:9" ht="44.25" customHeight="1">
      <c r="A71" s="3854"/>
      <c r="B71" s="3843"/>
      <c r="C71" s="3861" t="s">
        <v>2829</v>
      </c>
      <c r="D71" s="3856"/>
      <c r="E71" s="3843"/>
      <c r="F71" s="3866" t="s">
        <v>2830</v>
      </c>
      <c r="G71" s="3867" t="s">
        <v>2831</v>
      </c>
      <c r="H71" s="3865"/>
      <c r="I71" s="3865"/>
    </row>
    <row r="72" spans="1:9" ht="57" customHeight="1">
      <c r="A72" s="3854"/>
      <c r="B72" s="3843"/>
      <c r="C72" s="3861" t="s">
        <v>4574</v>
      </c>
      <c r="D72" s="3856"/>
      <c r="E72" s="3843"/>
      <c r="F72" s="3866" t="s">
        <v>2832</v>
      </c>
      <c r="G72" s="3867" t="s">
        <v>4584</v>
      </c>
      <c r="H72" s="3865"/>
      <c r="I72" s="3865"/>
    </row>
    <row r="73" spans="1:9" ht="34.5" customHeight="1">
      <c r="A73" s="3854"/>
      <c r="B73" s="14861" t="s">
        <v>9537</v>
      </c>
      <c r="C73" s="14862"/>
      <c r="D73" s="3855">
        <v>4929274.71</v>
      </c>
      <c r="E73" s="3843"/>
      <c r="G73" s="3867"/>
      <c r="H73" s="3842"/>
      <c r="I73" s="3865"/>
    </row>
    <row r="74" spans="1:9" ht="69.75" customHeight="1">
      <c r="A74" s="3854"/>
      <c r="B74" s="3860" t="s">
        <v>4580</v>
      </c>
      <c r="C74" s="3861" t="s">
        <v>2834</v>
      </c>
      <c r="D74" s="3856"/>
      <c r="E74" s="3843"/>
      <c r="F74" s="3866" t="s">
        <v>2833</v>
      </c>
      <c r="G74" s="3867" t="s">
        <v>2809</v>
      </c>
      <c r="H74" s="3886" t="s">
        <v>5504</v>
      </c>
      <c r="I74" s="3887" t="s">
        <v>5113</v>
      </c>
    </row>
    <row r="75" spans="1:9" ht="31.5" customHeight="1">
      <c r="A75" s="3854"/>
      <c r="B75" s="14856" t="s">
        <v>2835</v>
      </c>
      <c r="C75" s="14846"/>
      <c r="D75" s="3856"/>
      <c r="E75" s="3843"/>
      <c r="F75" s="3866"/>
      <c r="G75" s="3842"/>
      <c r="H75" s="3865"/>
      <c r="I75" s="3865"/>
    </row>
    <row r="76" spans="1:9" ht="52.5" customHeight="1">
      <c r="A76" s="3854"/>
      <c r="B76" s="3860" t="s">
        <v>4580</v>
      </c>
      <c r="C76" s="3875" t="s">
        <v>5505</v>
      </c>
      <c r="D76" s="3888"/>
      <c r="E76" s="3843"/>
      <c r="F76" s="3866" t="s">
        <v>2836</v>
      </c>
      <c r="G76" s="14854" t="s">
        <v>4585</v>
      </c>
      <c r="H76" s="3865"/>
      <c r="I76" s="3865"/>
    </row>
    <row r="77" spans="1:9" ht="33" customHeight="1">
      <c r="A77" s="3854"/>
      <c r="B77" s="3860" t="s">
        <v>4580</v>
      </c>
      <c r="C77" s="3875" t="s">
        <v>2837</v>
      </c>
      <c r="D77" s="3888"/>
      <c r="E77" s="3843"/>
      <c r="F77" s="3866"/>
      <c r="G77" s="14854"/>
      <c r="H77" s="3865"/>
      <c r="I77" s="3865"/>
    </row>
    <row r="78" spans="1:9" ht="78" customHeight="1">
      <c r="A78" s="3854"/>
      <c r="B78" s="3860" t="s">
        <v>4580</v>
      </c>
      <c r="C78" s="3889" t="s">
        <v>5506</v>
      </c>
      <c r="D78" s="3888"/>
      <c r="E78" s="3843"/>
      <c r="F78" s="3866" t="s">
        <v>5507</v>
      </c>
      <c r="G78" s="3867"/>
      <c r="H78" s="3865"/>
      <c r="I78" s="3865"/>
    </row>
    <row r="79" spans="1:9" ht="44.25" customHeight="1">
      <c r="A79" s="3854"/>
      <c r="B79" s="14856" t="s">
        <v>9506</v>
      </c>
      <c r="C79" s="14865"/>
      <c r="D79" s="3888"/>
      <c r="E79" s="3843"/>
      <c r="F79" s="3863"/>
      <c r="G79" s="3890"/>
      <c r="H79" s="3865"/>
      <c r="I79" s="3865"/>
    </row>
    <row r="80" spans="1:9" ht="33.75" customHeight="1">
      <c r="A80" s="3854"/>
      <c r="B80" s="3860" t="s">
        <v>4580</v>
      </c>
      <c r="C80" s="3861" t="s">
        <v>2838</v>
      </c>
      <c r="D80" s="3856"/>
      <c r="E80" s="3843"/>
      <c r="F80" s="14846" t="s">
        <v>2839</v>
      </c>
      <c r="G80" s="3854"/>
      <c r="H80" s="3865"/>
      <c r="I80" s="3865"/>
    </row>
    <row r="81" spans="1:9" ht="65.25" customHeight="1" thickBot="1">
      <c r="A81" s="3891"/>
      <c r="B81" s="3860" t="s">
        <v>4580</v>
      </c>
      <c r="C81" s="3861" t="s">
        <v>2840</v>
      </c>
      <c r="D81" s="3856"/>
      <c r="E81" s="3843"/>
      <c r="F81" s="14855"/>
      <c r="G81" s="3854"/>
      <c r="H81" s="3892"/>
      <c r="I81" s="3892"/>
    </row>
    <row r="82" spans="1:9" s="3843" customFormat="1" ht="48" customHeight="1">
      <c r="A82" s="3893"/>
      <c r="B82" s="3894"/>
      <c r="C82" s="3895"/>
      <c r="D82" s="3896"/>
      <c r="E82" s="3897"/>
      <c r="F82" s="3893"/>
      <c r="G82" s="3898"/>
      <c r="H82" s="3899"/>
      <c r="I82" s="3899"/>
    </row>
    <row r="83" spans="1:9" s="3843" customFormat="1" ht="23.25" customHeight="1">
      <c r="A83" s="3866"/>
      <c r="B83" s="3860"/>
      <c r="C83" s="3875"/>
      <c r="D83" s="3876"/>
      <c r="F83" s="3866"/>
      <c r="G83" s="3900"/>
      <c r="H83" s="3864"/>
      <c r="I83" s="3864"/>
    </row>
    <row r="84" spans="1:9" s="3843" customFormat="1" ht="23.25" customHeight="1">
      <c r="A84" s="3866"/>
      <c r="B84" s="3860"/>
      <c r="C84" s="3875"/>
      <c r="D84" s="3876"/>
      <c r="F84" s="3866"/>
      <c r="G84" s="3900"/>
      <c r="H84" s="3864"/>
      <c r="I84" s="3864"/>
    </row>
    <row r="85" spans="1:9" s="3843" customFormat="1" ht="18" customHeight="1">
      <c r="A85" s="3866"/>
      <c r="B85" s="3860"/>
      <c r="C85" s="3875"/>
      <c r="D85" s="3876"/>
      <c r="F85" s="3866"/>
      <c r="G85" s="3900"/>
      <c r="H85" s="3864"/>
      <c r="I85" s="3864"/>
    </row>
    <row r="86" spans="1:9" s="3843" customFormat="1" ht="18" customHeight="1">
      <c r="A86" s="3866"/>
      <c r="B86" s="3860"/>
      <c r="C86" s="3875"/>
      <c r="D86" s="3876"/>
      <c r="F86" s="3866"/>
      <c r="G86" s="3900"/>
      <c r="H86" s="3864"/>
      <c r="I86" s="3864"/>
    </row>
    <row r="87" spans="1:9" s="3843" customFormat="1" ht="18" customHeight="1">
      <c r="A87" s="3866"/>
      <c r="B87" s="3860"/>
      <c r="C87" s="3875"/>
      <c r="D87" s="3876"/>
      <c r="F87" s="3866"/>
      <c r="G87" s="3900"/>
      <c r="H87" s="3864"/>
      <c r="I87" s="3864"/>
    </row>
    <row r="88" spans="1:9" s="3843" customFormat="1" ht="18.75" customHeight="1" thickBot="1">
      <c r="A88" s="3866"/>
      <c r="B88" s="3860"/>
      <c r="C88" s="3875"/>
      <c r="D88" s="3876"/>
      <c r="F88" s="3866"/>
      <c r="G88" s="3900"/>
      <c r="H88" s="3864"/>
      <c r="I88" s="3864"/>
    </row>
    <row r="89" spans="1:9" ht="18" customHeight="1">
      <c r="A89" s="3838" t="s">
        <v>94</v>
      </c>
      <c r="B89" s="3839"/>
      <c r="C89" s="3840" t="s">
        <v>1980</v>
      </c>
      <c r="D89" s="3841" t="s">
        <v>1736</v>
      </c>
      <c r="E89" s="3839"/>
      <c r="F89" s="3841" t="s">
        <v>1787</v>
      </c>
      <c r="G89" s="3841" t="s">
        <v>1764</v>
      </c>
      <c r="H89" s="14848" t="s">
        <v>1978</v>
      </c>
      <c r="I89" s="14849"/>
    </row>
    <row r="90" spans="1:9" ht="26.25" customHeight="1" thickBot="1">
      <c r="A90" s="3901" t="s">
        <v>1788</v>
      </c>
      <c r="B90" s="3902"/>
      <c r="C90" s="3903" t="s">
        <v>1762</v>
      </c>
      <c r="D90" s="3904"/>
      <c r="E90" s="3902"/>
      <c r="F90" s="3904" t="s">
        <v>1804</v>
      </c>
      <c r="G90" s="3904"/>
      <c r="H90" s="14852" t="s">
        <v>1841</v>
      </c>
      <c r="I90" s="14853"/>
    </row>
    <row r="91" spans="1:9" s="3843" customFormat="1" ht="51" customHeight="1">
      <c r="A91" s="3891"/>
      <c r="B91" s="3860" t="s">
        <v>4580</v>
      </c>
      <c r="C91" s="3905" t="s">
        <v>2841</v>
      </c>
      <c r="D91" s="3856"/>
      <c r="F91" s="3866"/>
      <c r="G91" s="3906"/>
      <c r="H91" s="3892"/>
      <c r="I91" s="3892"/>
    </row>
    <row r="92" spans="1:9" s="3843" customFormat="1" ht="60" customHeight="1">
      <c r="A92" s="3891"/>
      <c r="B92" s="3860" t="s">
        <v>4580</v>
      </c>
      <c r="C92" s="3907" t="s">
        <v>5508</v>
      </c>
      <c r="D92" s="3856"/>
      <c r="F92" s="3889" t="s">
        <v>5510</v>
      </c>
      <c r="G92" s="3908" t="s">
        <v>5511</v>
      </c>
      <c r="H92" s="3892"/>
      <c r="I92" s="3892"/>
    </row>
    <row r="93" spans="1:9" s="3843" customFormat="1" ht="42" customHeight="1">
      <c r="A93" s="3891"/>
      <c r="B93" s="3860" t="s">
        <v>4580</v>
      </c>
      <c r="C93" s="14846" t="s">
        <v>5509</v>
      </c>
      <c r="D93" s="3856"/>
      <c r="F93" s="3889" t="s">
        <v>9511</v>
      </c>
      <c r="G93" s="3908" t="s">
        <v>5512</v>
      </c>
      <c r="H93" s="3889" t="s">
        <v>5514</v>
      </c>
      <c r="I93" s="3892"/>
    </row>
    <row r="94" spans="1:9" s="3843" customFormat="1" ht="29.25" customHeight="1">
      <c r="A94" s="3891"/>
      <c r="B94" s="3860"/>
      <c r="C94" s="14846"/>
      <c r="D94" s="3856"/>
      <c r="F94" s="3889" t="s">
        <v>9512</v>
      </c>
      <c r="G94" s="3908" t="s">
        <v>5513</v>
      </c>
      <c r="H94" s="3889" t="s">
        <v>5515</v>
      </c>
      <c r="I94" s="3892"/>
    </row>
    <row r="95" spans="1:9" s="3843" customFormat="1" ht="32.25" customHeight="1">
      <c r="A95" s="3891"/>
      <c r="B95" s="14866" t="s">
        <v>5516</v>
      </c>
      <c r="C95" s="14846"/>
      <c r="D95" s="3856"/>
      <c r="G95" s="3908"/>
      <c r="H95" s="3889"/>
      <c r="I95" s="3892"/>
    </row>
    <row r="96" spans="1:9" s="3843" customFormat="1" ht="58.5" customHeight="1">
      <c r="A96" s="3891"/>
      <c r="B96" s="3860" t="s">
        <v>4580</v>
      </c>
      <c r="C96" s="3907" t="s">
        <v>5517</v>
      </c>
      <c r="D96" s="3888"/>
      <c r="E96" s="3909"/>
      <c r="F96" s="3863" t="s">
        <v>5520</v>
      </c>
      <c r="G96" s="3908" t="s">
        <v>5522</v>
      </c>
      <c r="H96" s="3886" t="s">
        <v>5504</v>
      </c>
      <c r="I96" s="3887" t="s">
        <v>5113</v>
      </c>
    </row>
    <row r="97" spans="1:9" s="3843" customFormat="1" ht="54" customHeight="1">
      <c r="A97" s="3891"/>
      <c r="B97" s="3860" t="s">
        <v>4580</v>
      </c>
      <c r="C97" s="3907" t="s">
        <v>5518</v>
      </c>
      <c r="D97" s="3888"/>
      <c r="E97" s="3909"/>
      <c r="F97" s="3863" t="s">
        <v>5520</v>
      </c>
      <c r="G97" s="3908" t="s">
        <v>9507</v>
      </c>
      <c r="H97" s="3892"/>
      <c r="I97" s="3892"/>
    </row>
    <row r="98" spans="1:9" s="3843" customFormat="1" ht="93.75" customHeight="1">
      <c r="A98" s="3891"/>
      <c r="B98" s="3860" t="s">
        <v>4580</v>
      </c>
      <c r="C98" s="3907" t="s">
        <v>5519</v>
      </c>
      <c r="D98" s="3888"/>
      <c r="E98" s="3909"/>
      <c r="F98" s="3863" t="s">
        <v>5521</v>
      </c>
      <c r="G98" s="3908" t="s">
        <v>5523</v>
      </c>
      <c r="H98" s="3892"/>
      <c r="I98" s="3892"/>
    </row>
    <row r="99" spans="1:9" s="3843" customFormat="1" ht="45" customHeight="1">
      <c r="A99" s="3891"/>
      <c r="B99" s="3860" t="s">
        <v>4580</v>
      </c>
      <c r="C99" s="3907" t="s">
        <v>5524</v>
      </c>
      <c r="D99" s="3888"/>
      <c r="E99" s="3909"/>
      <c r="F99" s="3863" t="s">
        <v>4588</v>
      </c>
      <c r="G99" s="3908" t="s">
        <v>5525</v>
      </c>
      <c r="H99" s="3892"/>
      <c r="I99" s="3892"/>
    </row>
    <row r="100" spans="1:9" s="3843" customFormat="1" ht="70.5" customHeight="1">
      <c r="A100" s="3891"/>
      <c r="B100" s="3860"/>
      <c r="C100" s="3863" t="s">
        <v>9513</v>
      </c>
      <c r="D100" s="3888"/>
      <c r="E100" s="3909"/>
      <c r="F100" s="3863"/>
      <c r="G100" s="3908"/>
      <c r="H100" s="3892"/>
      <c r="I100" s="3892"/>
    </row>
    <row r="101" spans="1:9" s="3843" customFormat="1" ht="60.75" customHeight="1">
      <c r="A101" s="3891"/>
      <c r="B101" s="3860"/>
      <c r="C101" s="3863" t="s">
        <v>9514</v>
      </c>
      <c r="D101" s="3888"/>
      <c r="E101" s="3909"/>
      <c r="F101" s="3863"/>
      <c r="G101" s="3908" t="s">
        <v>5526</v>
      </c>
      <c r="H101" s="3892"/>
      <c r="I101" s="3892"/>
    </row>
    <row r="102" spans="1:9" s="3843" customFormat="1" ht="30" customHeight="1">
      <c r="A102" s="3891"/>
      <c r="B102" s="14847" t="s">
        <v>5527</v>
      </c>
      <c r="C102" s="14847"/>
      <c r="D102" s="3888"/>
      <c r="E102" s="3909"/>
      <c r="F102" s="3863"/>
      <c r="G102" s="3908"/>
      <c r="H102" s="3886" t="s">
        <v>5129</v>
      </c>
      <c r="I102" s="3887" t="s">
        <v>5113</v>
      </c>
    </row>
    <row r="103" spans="1:9" s="3843" customFormat="1" ht="44.25" customHeight="1">
      <c r="A103" s="3891"/>
      <c r="B103" s="3860" t="s">
        <v>4580</v>
      </c>
      <c r="C103" s="3907" t="s">
        <v>5528</v>
      </c>
      <c r="D103" s="3888"/>
      <c r="E103" s="3909"/>
      <c r="F103" s="3863" t="s">
        <v>5530</v>
      </c>
      <c r="G103" s="3908" t="s">
        <v>5532</v>
      </c>
      <c r="H103" s="3892"/>
      <c r="I103" s="3892"/>
    </row>
    <row r="104" spans="1:9" s="3843" customFormat="1" ht="51" customHeight="1">
      <c r="A104" s="3891"/>
      <c r="B104" s="3860" t="s">
        <v>4580</v>
      </c>
      <c r="C104" s="3907" t="s">
        <v>5529</v>
      </c>
      <c r="D104" s="3888"/>
      <c r="E104" s="3909"/>
      <c r="F104" s="3863" t="s">
        <v>5531</v>
      </c>
      <c r="G104" s="3908" t="s">
        <v>5533</v>
      </c>
      <c r="H104" s="3892"/>
      <c r="I104" s="3892"/>
    </row>
    <row r="105" spans="1:9" s="3843" customFormat="1" ht="15.75" customHeight="1">
      <c r="A105" s="3891"/>
      <c r="B105" s="3860" t="s">
        <v>4580</v>
      </c>
      <c r="C105" s="3907" t="s">
        <v>5534</v>
      </c>
      <c r="D105" s="3888"/>
      <c r="E105" s="3909"/>
      <c r="F105" s="14846" t="s">
        <v>5539</v>
      </c>
      <c r="G105" s="14847" t="s">
        <v>5540</v>
      </c>
      <c r="H105" s="3892"/>
      <c r="I105" s="3892"/>
    </row>
    <row r="106" spans="1:9" s="3843" customFormat="1" ht="24.75" customHeight="1">
      <c r="A106" s="3891"/>
      <c r="B106" s="3860"/>
      <c r="C106" s="3861" t="s">
        <v>5535</v>
      </c>
      <c r="D106" s="3888"/>
      <c r="E106" s="3909"/>
      <c r="F106" s="14846"/>
      <c r="G106" s="14847"/>
      <c r="H106" s="3892"/>
      <c r="I106" s="3892"/>
    </row>
    <row r="107" spans="1:9" s="3843" customFormat="1" ht="15.75" customHeight="1">
      <c r="A107" s="3891"/>
      <c r="B107" s="3860"/>
      <c r="C107" s="3907" t="s">
        <v>5536</v>
      </c>
      <c r="D107" s="3888"/>
      <c r="E107" s="3909"/>
      <c r="F107" s="14846"/>
      <c r="G107" s="14847"/>
      <c r="H107" s="3892"/>
      <c r="I107" s="3892"/>
    </row>
    <row r="108" spans="1:9" s="3843" customFormat="1" ht="15.75" customHeight="1">
      <c r="A108" s="3891"/>
      <c r="B108" s="3860"/>
      <c r="C108" s="3907" t="s">
        <v>5537</v>
      </c>
      <c r="D108" s="3888"/>
      <c r="E108" s="3909"/>
      <c r="F108" s="14846"/>
      <c r="G108" s="14847"/>
      <c r="H108" s="3892"/>
      <c r="I108" s="3892"/>
    </row>
    <row r="109" spans="1:9" s="3843" customFormat="1" ht="15.75" customHeight="1" thickBot="1">
      <c r="A109" s="3891"/>
      <c r="B109" s="3860"/>
      <c r="C109" s="3907" t="s">
        <v>5538</v>
      </c>
      <c r="D109" s="3888"/>
      <c r="E109" s="3909"/>
      <c r="F109" s="14846"/>
      <c r="G109" s="14847"/>
      <c r="H109" s="3892"/>
      <c r="I109" s="3892"/>
    </row>
    <row r="110" spans="1:9" s="3843" customFormat="1" ht="15.75" customHeight="1">
      <c r="A110" s="3910"/>
      <c r="B110" s="3911"/>
      <c r="C110" s="3912"/>
      <c r="D110" s="3913"/>
      <c r="E110" s="3914"/>
      <c r="F110" s="3915"/>
      <c r="G110" s="3916"/>
      <c r="H110" s="3917"/>
      <c r="I110" s="3917"/>
    </row>
    <row r="111" spans="1:9" s="3843" customFormat="1" ht="15.75" customHeight="1">
      <c r="A111" s="3866"/>
      <c r="B111" s="3860"/>
      <c r="C111" s="3918"/>
      <c r="D111" s="3876"/>
      <c r="F111" s="3875"/>
      <c r="G111" s="3900"/>
      <c r="H111" s="3864"/>
      <c r="I111" s="3864"/>
    </row>
    <row r="112" spans="1:9" s="3843" customFormat="1" ht="15.75" customHeight="1">
      <c r="A112" s="3866"/>
      <c r="B112" s="3860"/>
      <c r="C112" s="3918"/>
      <c r="D112" s="3876"/>
      <c r="F112" s="3875"/>
      <c r="G112" s="3900"/>
      <c r="H112" s="3864"/>
      <c r="I112" s="3864"/>
    </row>
    <row r="113" spans="1:9" s="3843" customFormat="1" ht="15.75" customHeight="1">
      <c r="A113" s="3866"/>
      <c r="B113" s="3860"/>
      <c r="C113" s="3918"/>
      <c r="D113" s="3876"/>
      <c r="F113" s="3875"/>
      <c r="G113" s="3900"/>
      <c r="H113" s="3864"/>
      <c r="I113" s="3864"/>
    </row>
    <row r="114" spans="1:9" s="3843" customFormat="1" ht="15.75" customHeight="1">
      <c r="A114" s="3866"/>
      <c r="B114" s="3860"/>
      <c r="C114" s="3918"/>
      <c r="D114" s="3876"/>
      <c r="F114" s="3875"/>
      <c r="G114" s="3900"/>
      <c r="H114" s="3864"/>
      <c r="I114" s="3864"/>
    </row>
    <row r="115" spans="1:9" s="3843" customFormat="1" ht="15.75" customHeight="1">
      <c r="A115" s="3866"/>
      <c r="B115" s="3860"/>
      <c r="C115" s="3918"/>
      <c r="D115" s="3876"/>
      <c r="F115" s="3875"/>
      <c r="G115" s="3900"/>
      <c r="H115" s="3864"/>
      <c r="I115" s="3864"/>
    </row>
    <row r="116" spans="1:9" s="3843" customFormat="1" ht="15.75" customHeight="1" thickBot="1">
      <c r="A116" s="3919"/>
      <c r="B116" s="3920"/>
      <c r="C116" s="3921"/>
      <c r="D116" s="3922"/>
      <c r="E116" s="3923"/>
      <c r="F116" s="3924"/>
      <c r="G116" s="3925"/>
      <c r="H116" s="3926"/>
      <c r="I116" s="3926"/>
    </row>
    <row r="117" spans="1:9" ht="18" customHeight="1">
      <c r="A117" s="3838" t="s">
        <v>94</v>
      </c>
      <c r="B117" s="3839"/>
      <c r="C117" s="3840" t="s">
        <v>1980</v>
      </c>
      <c r="D117" s="3841" t="s">
        <v>1736</v>
      </c>
      <c r="E117" s="3839"/>
      <c r="F117" s="3841" t="s">
        <v>1787</v>
      </c>
      <c r="G117" s="3841" t="s">
        <v>1764</v>
      </c>
      <c r="H117" s="14848" t="s">
        <v>1978</v>
      </c>
      <c r="I117" s="14849"/>
    </row>
    <row r="118" spans="1:9" ht="26.25" customHeight="1" thickBot="1">
      <c r="A118" s="3901" t="s">
        <v>1788</v>
      </c>
      <c r="B118" s="3902"/>
      <c r="C118" s="3903" t="s">
        <v>1762</v>
      </c>
      <c r="D118" s="3904"/>
      <c r="E118" s="3902"/>
      <c r="F118" s="3904" t="s">
        <v>1804</v>
      </c>
      <c r="G118" s="3904"/>
      <c r="H118" s="14852" t="s">
        <v>1841</v>
      </c>
      <c r="I118" s="14853"/>
    </row>
    <row r="119" spans="1:9" s="3932" customFormat="1" ht="26.25" customHeight="1">
      <c r="A119" s="3927"/>
      <c r="B119" s="14857" t="s">
        <v>2842</v>
      </c>
      <c r="C119" s="14858"/>
      <c r="D119" s="3928"/>
      <c r="E119" s="3929"/>
      <c r="F119" s="3930"/>
      <c r="G119" s="3931"/>
      <c r="H119" s="3886" t="s">
        <v>5129</v>
      </c>
      <c r="I119" s="3887" t="s">
        <v>5113</v>
      </c>
    </row>
    <row r="120" spans="1:9" ht="116.25" customHeight="1">
      <c r="A120" s="3854"/>
      <c r="B120" s="3860" t="s">
        <v>4580</v>
      </c>
      <c r="C120" s="3861" t="s">
        <v>2843</v>
      </c>
      <c r="D120" s="3856"/>
      <c r="E120" s="3843"/>
      <c r="F120" s="3863" t="s">
        <v>5541</v>
      </c>
      <c r="G120" s="3867" t="s">
        <v>5543</v>
      </c>
      <c r="H120" s="3933"/>
      <c r="I120" s="3933"/>
    </row>
    <row r="121" spans="1:9" ht="55.5" customHeight="1">
      <c r="A121" s="3854"/>
      <c r="B121" s="3860" t="s">
        <v>4580</v>
      </c>
      <c r="C121" s="3861" t="s">
        <v>2844</v>
      </c>
      <c r="D121" s="3856"/>
      <c r="E121" s="3843"/>
      <c r="F121" s="14846" t="s">
        <v>5542</v>
      </c>
      <c r="G121" s="3867" t="s">
        <v>5544</v>
      </c>
      <c r="H121" s="3933"/>
      <c r="I121" s="3933"/>
    </row>
    <row r="122" spans="1:9" ht="43.5" customHeight="1">
      <c r="A122" s="3854"/>
      <c r="B122" s="3860" t="s">
        <v>4580</v>
      </c>
      <c r="C122" s="3861" t="s">
        <v>2845</v>
      </c>
      <c r="D122" s="3856"/>
      <c r="E122" s="3843"/>
      <c r="F122" s="14846"/>
      <c r="G122" s="3867"/>
      <c r="H122" s="3933"/>
      <c r="I122" s="3933"/>
    </row>
    <row r="123" spans="1:9" s="3932" customFormat="1" ht="19.5" customHeight="1">
      <c r="A123" s="3927"/>
      <c r="B123" s="14857" t="s">
        <v>2846</v>
      </c>
      <c r="C123" s="14858"/>
      <c r="D123" s="3934"/>
      <c r="E123" s="3929"/>
      <c r="F123" s="3930"/>
      <c r="H123" s="3935"/>
      <c r="I123" s="3935"/>
    </row>
    <row r="124" spans="1:9" ht="56.25" customHeight="1">
      <c r="A124" s="3854"/>
      <c r="B124" s="3860" t="s">
        <v>4580</v>
      </c>
      <c r="C124" s="3862" t="s">
        <v>2847</v>
      </c>
      <c r="D124" s="3884"/>
      <c r="E124" s="3843"/>
      <c r="F124" s="3863" t="s">
        <v>5548</v>
      </c>
      <c r="G124" s="3867" t="s">
        <v>5550</v>
      </c>
      <c r="H124" s="3886" t="s">
        <v>5129</v>
      </c>
      <c r="I124" s="3887" t="s">
        <v>5113</v>
      </c>
    </row>
    <row r="125" spans="1:9" ht="55.5" customHeight="1">
      <c r="A125" s="3854"/>
      <c r="B125" s="3860" t="s">
        <v>4580</v>
      </c>
      <c r="C125" s="3862" t="s">
        <v>2848</v>
      </c>
      <c r="D125" s="3884"/>
      <c r="E125" s="3843"/>
      <c r="F125" s="14846" t="s">
        <v>4586</v>
      </c>
      <c r="G125" s="3867" t="s">
        <v>4587</v>
      </c>
      <c r="H125" s="3933"/>
      <c r="I125" s="3933"/>
    </row>
    <row r="126" spans="1:9" ht="82.5" customHeight="1">
      <c r="A126" s="3854"/>
      <c r="B126" s="3860" t="s">
        <v>4580</v>
      </c>
      <c r="C126" s="3862" t="s">
        <v>4575</v>
      </c>
      <c r="D126" s="3884"/>
      <c r="E126" s="3843"/>
      <c r="F126" s="14846"/>
      <c r="G126" s="3854" t="s">
        <v>5551</v>
      </c>
      <c r="H126" s="3867"/>
      <c r="I126" s="3933"/>
    </row>
    <row r="127" spans="1:9" ht="30.75" customHeight="1">
      <c r="A127" s="3854"/>
      <c r="B127" s="3860" t="s">
        <v>4580</v>
      </c>
      <c r="C127" s="3861" t="s">
        <v>2849</v>
      </c>
      <c r="D127" s="3884"/>
      <c r="E127" s="3843"/>
      <c r="F127" s="14846" t="s">
        <v>5549</v>
      </c>
      <c r="G127" s="14847" t="s">
        <v>5552</v>
      </c>
      <c r="H127" s="3854"/>
      <c r="I127" s="3865"/>
    </row>
    <row r="128" spans="1:9" ht="32.25" customHeight="1">
      <c r="A128" s="3891"/>
      <c r="B128" s="3860"/>
      <c r="C128" s="3861" t="s">
        <v>5545</v>
      </c>
      <c r="D128" s="3936"/>
      <c r="E128" s="3843"/>
      <c r="F128" s="14846"/>
      <c r="G128" s="14847"/>
      <c r="H128" s="3891"/>
      <c r="I128" s="3892"/>
    </row>
    <row r="129" spans="1:9" ht="57" customHeight="1">
      <c r="A129" s="3891"/>
      <c r="B129" s="3860"/>
      <c r="C129" s="3861" t="s">
        <v>5546</v>
      </c>
      <c r="D129" s="3936"/>
      <c r="E129" s="3843"/>
      <c r="F129" s="3863"/>
      <c r="G129" s="3908" t="s">
        <v>5553</v>
      </c>
      <c r="H129" s="3891"/>
      <c r="I129" s="3892"/>
    </row>
    <row r="130" spans="1:9" ht="45.75" customHeight="1">
      <c r="A130" s="3891"/>
      <c r="B130" s="3860"/>
      <c r="C130" s="3861" t="s">
        <v>5547</v>
      </c>
      <c r="D130" s="3936"/>
      <c r="E130" s="3843"/>
      <c r="F130" s="3863"/>
      <c r="G130" s="3867"/>
      <c r="H130" s="3854"/>
      <c r="I130" s="3865"/>
    </row>
    <row r="131" spans="1:9" ht="26.25" customHeight="1">
      <c r="A131" s="3854"/>
      <c r="B131" s="14863" t="s">
        <v>5555</v>
      </c>
      <c r="C131" s="14864"/>
      <c r="D131" s="3884"/>
      <c r="E131" s="3843"/>
      <c r="F131" s="3863"/>
      <c r="G131" s="3867"/>
      <c r="H131" s="3854"/>
      <c r="I131" s="3865"/>
    </row>
    <row r="132" spans="1:9" ht="69.75" customHeight="1">
      <c r="A132" s="3891"/>
      <c r="B132" s="3860"/>
      <c r="C132" s="3937" t="s">
        <v>5554</v>
      </c>
      <c r="D132" s="3936"/>
      <c r="E132" s="3843"/>
      <c r="F132" s="3863" t="s">
        <v>5558</v>
      </c>
      <c r="G132" s="3867" t="s">
        <v>5561</v>
      </c>
      <c r="H132" s="3854" t="s">
        <v>5564</v>
      </c>
      <c r="I132" s="3854" t="s">
        <v>5565</v>
      </c>
    </row>
    <row r="133" spans="1:9" ht="26.25" customHeight="1">
      <c r="A133" s="3891"/>
      <c r="B133" s="3860"/>
      <c r="C133" s="3937" t="s">
        <v>5556</v>
      </c>
      <c r="D133" s="3936"/>
      <c r="E133" s="3843"/>
      <c r="F133" s="3863" t="s">
        <v>5559</v>
      </c>
      <c r="G133" s="3867" t="s">
        <v>5562</v>
      </c>
      <c r="H133" s="3854" t="s">
        <v>5565</v>
      </c>
      <c r="I133" s="3854" t="s">
        <v>5566</v>
      </c>
    </row>
    <row r="134" spans="1:9" ht="68.25" customHeight="1">
      <c r="A134" s="3891"/>
      <c r="B134" s="3860"/>
      <c r="C134" s="3937" t="s">
        <v>5557</v>
      </c>
      <c r="D134" s="3936"/>
      <c r="E134" s="3843"/>
      <c r="F134" s="3863" t="s">
        <v>5560</v>
      </c>
      <c r="G134" s="3867" t="s">
        <v>5563</v>
      </c>
      <c r="H134" s="3867" t="s">
        <v>5566</v>
      </c>
      <c r="I134" s="3865"/>
    </row>
    <row r="135" spans="1:9" ht="5.25" customHeight="1" thickBot="1">
      <c r="A135" s="3938"/>
      <c r="B135" s="3939"/>
      <c r="C135" s="3940"/>
      <c r="D135" s="3941"/>
      <c r="E135" s="3902"/>
      <c r="F135" s="3942"/>
      <c r="G135" s="3943"/>
      <c r="H135" s="3938"/>
      <c r="I135" s="3944"/>
    </row>
    <row r="137" spans="1:9" ht="18.75" customHeight="1"/>
    <row r="138" spans="1:9" ht="18.75" customHeight="1"/>
    <row r="139" spans="1:9" ht="18.75" customHeight="1"/>
    <row r="140" spans="1:9" ht="18" customHeight="1" thickBot="1"/>
    <row r="141" spans="1:9" ht="19.5" customHeight="1" thickBot="1">
      <c r="A141" s="14875" t="s">
        <v>5585</v>
      </c>
      <c r="B141" s="14876"/>
      <c r="C141" s="14876"/>
      <c r="D141" s="14876"/>
      <c r="E141" s="14876"/>
      <c r="F141" s="14876"/>
      <c r="G141" s="14876"/>
      <c r="H141" s="14876"/>
      <c r="I141" s="14877"/>
    </row>
    <row r="142" spans="1:9" ht="16.5" customHeight="1">
      <c r="A142" s="3945" t="s">
        <v>9515</v>
      </c>
      <c r="B142" s="3946"/>
      <c r="C142" s="3947"/>
      <c r="D142" s="3948"/>
      <c r="E142" s="3946"/>
      <c r="F142" s="3949"/>
      <c r="G142" s="3950"/>
      <c r="H142" s="3951"/>
      <c r="I142" s="3951"/>
    </row>
    <row r="143" spans="1:9" ht="14.25" customHeight="1" thickBot="1">
      <c r="A143" s="3952"/>
      <c r="B143" s="3953" t="s">
        <v>5567</v>
      </c>
      <c r="C143" s="3954"/>
      <c r="D143" s="3955"/>
      <c r="E143" s="3956"/>
      <c r="F143" s="3957"/>
      <c r="G143" s="3941"/>
      <c r="H143" s="3958"/>
      <c r="I143" s="3958"/>
    </row>
    <row r="144" spans="1:9" ht="26.25" customHeight="1">
      <c r="A144" s="3884"/>
      <c r="B144" s="3909"/>
      <c r="C144" s="14880" t="s">
        <v>9516</v>
      </c>
      <c r="D144" s="3959">
        <v>45000</v>
      </c>
      <c r="E144" s="3909"/>
      <c r="F144" s="3863" t="s">
        <v>5568</v>
      </c>
      <c r="G144" s="14881" t="s">
        <v>5569</v>
      </c>
      <c r="H144" s="3960">
        <v>42005</v>
      </c>
      <c r="I144" s="3960">
        <v>42156</v>
      </c>
    </row>
    <row r="145" spans="1:9" ht="15.75" customHeight="1">
      <c r="A145" s="3884"/>
      <c r="B145" s="3909"/>
      <c r="C145" s="14880"/>
      <c r="D145" s="3959"/>
      <c r="E145" s="3909"/>
      <c r="F145" s="3961"/>
      <c r="G145" s="14881"/>
      <c r="H145" s="3960"/>
      <c r="I145" s="3960"/>
    </row>
    <row r="146" spans="1:9" ht="26.25" customHeight="1">
      <c r="A146" s="3884"/>
      <c r="B146" s="3909"/>
      <c r="C146" s="14880" t="s">
        <v>9517</v>
      </c>
      <c r="D146" s="3959">
        <v>45000</v>
      </c>
      <c r="E146" s="3909"/>
      <c r="F146" s="3961"/>
      <c r="G146" s="14881" t="s">
        <v>5570</v>
      </c>
      <c r="H146" s="3960">
        <v>41730</v>
      </c>
      <c r="I146" s="3960">
        <v>41791</v>
      </c>
    </row>
    <row r="147" spans="1:9" ht="13.5" customHeight="1">
      <c r="A147" s="3884"/>
      <c r="B147" s="3909"/>
      <c r="C147" s="14880"/>
      <c r="D147" s="3959"/>
      <c r="E147" s="3909"/>
      <c r="F147" s="3961"/>
      <c r="G147" s="14881"/>
      <c r="H147" s="3960"/>
      <c r="I147" s="3960"/>
    </row>
    <row r="148" spans="1:9" ht="26.25" customHeight="1">
      <c r="A148" s="3884"/>
      <c r="B148" s="3909"/>
      <c r="C148" s="14880" t="s">
        <v>9518</v>
      </c>
      <c r="D148" s="3959">
        <v>120000</v>
      </c>
      <c r="E148" s="3909"/>
      <c r="F148" s="3961"/>
      <c r="G148" s="3854" t="s">
        <v>5571</v>
      </c>
      <c r="H148" s="3962">
        <v>41640</v>
      </c>
      <c r="I148" s="3960">
        <v>41699</v>
      </c>
    </row>
    <row r="149" spans="1:9" ht="6" customHeight="1" thickBot="1">
      <c r="A149" s="3884"/>
      <c r="B149" s="3909"/>
      <c r="C149" s="14880"/>
      <c r="D149" s="3959"/>
      <c r="E149" s="3909"/>
      <c r="F149" s="3961"/>
      <c r="G149" s="3884"/>
      <c r="H149" s="3884"/>
      <c r="I149" s="3884"/>
    </row>
    <row r="150" spans="1:9" ht="18" customHeight="1" thickBot="1">
      <c r="A150" s="3963" t="s">
        <v>5583</v>
      </c>
      <c r="B150" s="3964"/>
      <c r="C150" s="3965"/>
      <c r="D150" s="3966"/>
      <c r="E150" s="3967"/>
      <c r="F150" s="3968"/>
      <c r="G150" s="3964"/>
      <c r="H150" s="3964"/>
      <c r="I150" s="3964"/>
    </row>
    <row r="151" spans="1:9" ht="71.25" customHeight="1">
      <c r="A151" s="3884"/>
      <c r="B151" s="14874" t="s">
        <v>9538</v>
      </c>
      <c r="C151" s="14874"/>
      <c r="D151" s="3959">
        <v>150000</v>
      </c>
      <c r="E151" s="3909"/>
      <c r="F151" s="3861" t="s">
        <v>5582</v>
      </c>
      <c r="G151" s="3969" t="s">
        <v>5574</v>
      </c>
      <c r="H151" s="3970">
        <v>41640</v>
      </c>
      <c r="I151" s="3970">
        <v>41974</v>
      </c>
    </row>
    <row r="152" spans="1:9" ht="38.25" customHeight="1">
      <c r="A152" s="3884"/>
      <c r="B152" s="14874"/>
      <c r="C152" s="14874"/>
      <c r="D152" s="3959"/>
      <c r="E152" s="3909"/>
      <c r="F152" s="3861" t="s">
        <v>9519</v>
      </c>
      <c r="G152" s="3884"/>
      <c r="H152" s="3884"/>
      <c r="I152" s="3884"/>
    </row>
    <row r="153" spans="1:9" ht="27.75" customHeight="1">
      <c r="A153" s="3971"/>
      <c r="B153" s="14874"/>
      <c r="C153" s="14874"/>
      <c r="D153" s="3959"/>
      <c r="E153" s="3909"/>
      <c r="F153" s="3861" t="s">
        <v>9520</v>
      </c>
      <c r="G153" s="3884"/>
      <c r="H153" s="3884"/>
      <c r="I153" s="3884"/>
    </row>
    <row r="154" spans="1:9" ht="45.75" customHeight="1">
      <c r="A154" s="3884"/>
      <c r="B154" s="14874"/>
      <c r="C154" s="14874"/>
      <c r="D154" s="3959"/>
      <c r="E154" s="3909"/>
      <c r="F154" s="3861" t="s">
        <v>9521</v>
      </c>
      <c r="G154" s="3884"/>
      <c r="H154" s="3884"/>
      <c r="I154" s="3884"/>
    </row>
    <row r="155" spans="1:9" ht="45.75" customHeight="1">
      <c r="A155" s="3884"/>
      <c r="B155" s="14874"/>
      <c r="C155" s="14874"/>
      <c r="D155" s="3959"/>
      <c r="E155" s="3909"/>
      <c r="F155" s="3861" t="s">
        <v>9522</v>
      </c>
      <c r="G155" s="3884"/>
      <c r="H155" s="3884"/>
      <c r="I155" s="3884"/>
    </row>
    <row r="156" spans="1:9" ht="78" customHeight="1">
      <c r="A156" s="3884"/>
      <c r="B156" s="14874" t="s">
        <v>9539</v>
      </c>
      <c r="C156" s="14874"/>
      <c r="D156" s="3959">
        <v>150000</v>
      </c>
      <c r="E156" s="3909"/>
      <c r="F156" s="3861" t="s">
        <v>5573</v>
      </c>
      <c r="G156" s="3884"/>
      <c r="H156" s="3970">
        <v>41640</v>
      </c>
      <c r="I156" s="3970">
        <v>41974</v>
      </c>
    </row>
    <row r="157" spans="1:9" ht="30" customHeight="1">
      <c r="A157" s="3884"/>
      <c r="B157" s="14874"/>
      <c r="C157" s="14874"/>
      <c r="D157" s="3959"/>
      <c r="E157" s="3909"/>
      <c r="F157" s="3863" t="s">
        <v>9523</v>
      </c>
      <c r="G157" s="3884"/>
      <c r="H157" s="3884"/>
      <c r="I157" s="3884"/>
    </row>
    <row r="158" spans="1:9" ht="31.5" customHeight="1">
      <c r="A158" s="3884"/>
      <c r="B158" s="14874"/>
      <c r="C158" s="14874"/>
      <c r="D158" s="3959"/>
      <c r="E158" s="3909"/>
      <c r="F158" s="3863" t="s">
        <v>9524</v>
      </c>
      <c r="G158" s="3884"/>
      <c r="H158" s="3884"/>
      <c r="I158" s="3884"/>
    </row>
    <row r="159" spans="1:9" ht="46.5" customHeight="1">
      <c r="A159" s="3884"/>
      <c r="B159" s="14874"/>
      <c r="C159" s="14874"/>
      <c r="D159" s="3959"/>
      <c r="E159" s="3909"/>
      <c r="F159" s="3863" t="s">
        <v>9525</v>
      </c>
      <c r="G159" s="3884"/>
      <c r="H159" s="3884"/>
      <c r="I159" s="3884"/>
    </row>
    <row r="160" spans="1:9" ht="23.25" customHeight="1">
      <c r="A160" s="3884"/>
      <c r="B160" s="3971" t="s">
        <v>9540</v>
      </c>
      <c r="C160" s="3884"/>
      <c r="D160" s="3959">
        <v>100000</v>
      </c>
      <c r="E160" s="3909"/>
      <c r="F160" s="3961"/>
      <c r="G160" s="3884"/>
      <c r="H160" s="3884"/>
      <c r="I160" s="3884"/>
    </row>
    <row r="161" spans="1:9" ht="45" customHeight="1">
      <c r="A161" s="3884"/>
      <c r="B161" s="3909"/>
      <c r="C161" s="3863" t="s">
        <v>9526</v>
      </c>
      <c r="D161" s="3959"/>
      <c r="E161" s="3909"/>
      <c r="F161" s="14846" t="s">
        <v>5575</v>
      </c>
      <c r="G161" s="3854" t="s">
        <v>5558</v>
      </c>
      <c r="H161" s="3970">
        <v>41640</v>
      </c>
      <c r="I161" s="3970">
        <v>41974</v>
      </c>
    </row>
    <row r="162" spans="1:9" ht="32.25" customHeight="1">
      <c r="A162" s="3884"/>
      <c r="B162" s="3909"/>
      <c r="C162" s="3863" t="s">
        <v>5581</v>
      </c>
      <c r="D162" s="3959"/>
      <c r="E162" s="3909"/>
      <c r="F162" s="14846"/>
      <c r="G162" s="3854" t="s">
        <v>5576</v>
      </c>
      <c r="H162" s="3970">
        <v>41640</v>
      </c>
      <c r="I162" s="3970">
        <v>41974</v>
      </c>
    </row>
    <row r="163" spans="1:9" s="3825" customFormat="1" ht="41.25" customHeight="1">
      <c r="A163" s="3972"/>
      <c r="B163" s="14874" t="s">
        <v>9527</v>
      </c>
      <c r="C163" s="14874"/>
      <c r="D163" s="3973">
        <v>50000</v>
      </c>
      <c r="E163" s="3974"/>
      <c r="F163" s="3863" t="s">
        <v>9528</v>
      </c>
      <c r="G163" s="3854" t="s">
        <v>9529</v>
      </c>
      <c r="H163" s="3975">
        <v>41640</v>
      </c>
      <c r="I163" s="3975">
        <v>41974</v>
      </c>
    </row>
    <row r="164" spans="1:9" s="3825" customFormat="1" ht="26.25" customHeight="1" thickBot="1">
      <c r="A164" s="3972"/>
      <c r="B164" s="14874" t="s">
        <v>9530</v>
      </c>
      <c r="C164" s="14874"/>
      <c r="D164" s="3973"/>
      <c r="E164" s="3974"/>
      <c r="F164" s="3863" t="s">
        <v>9531</v>
      </c>
      <c r="G164" s="3854" t="s">
        <v>9532</v>
      </c>
      <c r="H164" s="3976"/>
      <c r="I164" s="3976"/>
    </row>
    <row r="165" spans="1:9" ht="18" customHeight="1" thickBot="1">
      <c r="A165" s="3963" t="s">
        <v>5584</v>
      </c>
      <c r="B165" s="3964"/>
      <c r="C165" s="3965"/>
      <c r="D165" s="3966"/>
      <c r="E165" s="3967"/>
      <c r="F165" s="3968"/>
      <c r="G165" s="3964"/>
      <c r="H165" s="3977"/>
      <c r="I165" s="3977"/>
    </row>
    <row r="166" spans="1:9" ht="71.25" customHeight="1">
      <c r="A166" s="3884"/>
      <c r="B166" s="14874" t="s">
        <v>9533</v>
      </c>
      <c r="C166" s="14874"/>
      <c r="D166" s="3959">
        <v>70000</v>
      </c>
      <c r="E166" s="3909"/>
      <c r="F166" s="3863" t="s">
        <v>5577</v>
      </c>
      <c r="G166" s="3854" t="s">
        <v>5578</v>
      </c>
      <c r="H166" s="3970">
        <v>41640</v>
      </c>
      <c r="I166" s="3970">
        <v>41974</v>
      </c>
    </row>
    <row r="167" spans="1:9" ht="41.25" customHeight="1" thickBot="1">
      <c r="A167" s="3941"/>
      <c r="B167" s="14879" t="s">
        <v>9534</v>
      </c>
      <c r="C167" s="14879"/>
      <c r="D167" s="3955">
        <v>100000</v>
      </c>
      <c r="E167" s="3956"/>
      <c r="F167" s="3942" t="s">
        <v>5579</v>
      </c>
      <c r="G167" s="3938" t="s">
        <v>5580</v>
      </c>
      <c r="H167" s="3978">
        <v>41640</v>
      </c>
      <c r="I167" s="3978">
        <v>41974</v>
      </c>
    </row>
  </sheetData>
  <mergeCells count="68">
    <mergeCell ref="C144:C145"/>
    <mergeCell ref="C146:C147"/>
    <mergeCell ref="C148:C149"/>
    <mergeCell ref="G144:G145"/>
    <mergeCell ref="G146:G147"/>
    <mergeCell ref="B167:C167"/>
    <mergeCell ref="B166:C166"/>
    <mergeCell ref="B163:C163"/>
    <mergeCell ref="B164:C164"/>
    <mergeCell ref="B156:C159"/>
    <mergeCell ref="F161:F162"/>
    <mergeCell ref="B151:C155"/>
    <mergeCell ref="A141:I141"/>
    <mergeCell ref="A2:I2"/>
    <mergeCell ref="A8:I8"/>
    <mergeCell ref="A41:L41"/>
    <mergeCell ref="C11:I11"/>
    <mergeCell ref="B10:I10"/>
    <mergeCell ref="C12:I12"/>
    <mergeCell ref="B13:I13"/>
    <mergeCell ref="C14:I14"/>
    <mergeCell ref="C15:I15"/>
    <mergeCell ref="C16:I16"/>
    <mergeCell ref="C17:I17"/>
    <mergeCell ref="B18:I18"/>
    <mergeCell ref="C19:I19"/>
    <mergeCell ref="C20:I20"/>
    <mergeCell ref="C21:I21"/>
    <mergeCell ref="B22:I22"/>
    <mergeCell ref="H42:I42"/>
    <mergeCell ref="H43:I43"/>
    <mergeCell ref="B53:C53"/>
    <mergeCell ref="B47:C47"/>
    <mergeCell ref="B46:C46"/>
    <mergeCell ref="C23:I23"/>
    <mergeCell ref="C24:I24"/>
    <mergeCell ref="B25:I25"/>
    <mergeCell ref="C26:I26"/>
    <mergeCell ref="C32:I32"/>
    <mergeCell ref="C27:I27"/>
    <mergeCell ref="B28:I28"/>
    <mergeCell ref="C29:I29"/>
    <mergeCell ref="C30:I30"/>
    <mergeCell ref="C31:I31"/>
    <mergeCell ref="B75:C75"/>
    <mergeCell ref="B123:C123"/>
    <mergeCell ref="B68:C68"/>
    <mergeCell ref="B73:C73"/>
    <mergeCell ref="B131:C131"/>
    <mergeCell ref="B119:C119"/>
    <mergeCell ref="B79:C79"/>
    <mergeCell ref="C93:C94"/>
    <mergeCell ref="B95:C95"/>
    <mergeCell ref="B102:C102"/>
    <mergeCell ref="F105:F109"/>
    <mergeCell ref="F121:F122"/>
    <mergeCell ref="F127:F128"/>
    <mergeCell ref="G127:G128"/>
    <mergeCell ref="H65:I65"/>
    <mergeCell ref="H66:I66"/>
    <mergeCell ref="H89:I89"/>
    <mergeCell ref="H90:I90"/>
    <mergeCell ref="G76:G77"/>
    <mergeCell ref="G105:G109"/>
    <mergeCell ref="F125:F126"/>
    <mergeCell ref="F80:F81"/>
    <mergeCell ref="H117:I117"/>
    <mergeCell ref="H118:I118"/>
  </mergeCells>
  <pageMargins left="0.5" right="0.25" top="0.75" bottom="0.5" header="0.5" footer="0.25"/>
  <pageSetup paperSize="119" scale="90" firstPageNumber="174" orientation="portrait" useFirstPageNumber="1" verticalDpi="300" r:id="rId1"/>
  <headerFooter alignWithMargins="0"/>
  <drawing r:id="rId2"/>
</worksheet>
</file>

<file path=xl/worksheets/sheet98.xml><?xml version="1.0" encoding="utf-8"?>
<worksheet xmlns="http://schemas.openxmlformats.org/spreadsheetml/2006/main" xmlns:r="http://schemas.openxmlformats.org/officeDocument/2006/relationships">
  <sheetPr codeName="Sheet69">
    <tabColor theme="8" tint="-0.249977111117893"/>
  </sheetPr>
  <dimension ref="A1:N105"/>
  <sheetViews>
    <sheetView showGridLines="0" topLeftCell="B1" workbookViewId="0">
      <selection activeCell="J2" sqref="J1:P1048576"/>
    </sheetView>
  </sheetViews>
  <sheetFormatPr defaultRowHeight="15" customHeight="1"/>
  <cols>
    <col min="1" max="1" width="3.88671875" style="7275" customWidth="1"/>
    <col min="2" max="2" width="55.5546875" style="7275" customWidth="1"/>
    <col min="3" max="3" width="12.5546875" style="9329" customWidth="1"/>
    <col min="4" max="7" width="15.5546875" style="7347" customWidth="1"/>
    <col min="8" max="8" width="13.109375" style="7347" hidden="1" customWidth="1"/>
    <col min="9" max="9" width="8.109375" style="7348" hidden="1" customWidth="1"/>
    <col min="10" max="10" width="15.5546875" style="7347" customWidth="1"/>
    <col min="11" max="11" width="17" style="7347" customWidth="1"/>
    <col min="12" max="12" width="5.88671875" style="7310" customWidth="1"/>
    <col min="13" max="13" width="16.109375" style="7275" customWidth="1"/>
    <col min="14" max="14" width="9.109375" style="7780" customWidth="1"/>
    <col min="15" max="15" width="8.88671875" style="7275" customWidth="1"/>
    <col min="16" max="16" width="9.109375" style="7275"/>
    <col min="17" max="17" width="11.88671875" style="7275" customWidth="1"/>
    <col min="18" max="261" width="9.109375" style="7275"/>
    <col min="262" max="262" width="3.88671875" style="7275" customWidth="1"/>
    <col min="263" max="263" width="38" style="7275" customWidth="1"/>
    <col min="264" max="264" width="11.109375" style="7275" customWidth="1"/>
    <col min="265" max="265" width="16.44140625" style="7275" customWidth="1"/>
    <col min="266" max="266" width="14.44140625" style="7275" customWidth="1"/>
    <col min="267" max="267" width="16.109375" style="7275" customWidth="1"/>
    <col min="268" max="517" width="9.109375" style="7275"/>
    <col min="518" max="518" width="3.88671875" style="7275" customWidth="1"/>
    <col min="519" max="519" width="38" style="7275" customWidth="1"/>
    <col min="520" max="520" width="11.109375" style="7275" customWidth="1"/>
    <col min="521" max="521" width="16.44140625" style="7275" customWidth="1"/>
    <col min="522" max="522" width="14.44140625" style="7275" customWidth="1"/>
    <col min="523" max="523" width="16.109375" style="7275" customWidth="1"/>
    <col min="524" max="773" width="9.109375" style="7275"/>
    <col min="774" max="774" width="3.88671875" style="7275" customWidth="1"/>
    <col min="775" max="775" width="38" style="7275" customWidth="1"/>
    <col min="776" max="776" width="11.109375" style="7275" customWidth="1"/>
    <col min="777" max="777" width="16.44140625" style="7275" customWidth="1"/>
    <col min="778" max="778" width="14.44140625" style="7275" customWidth="1"/>
    <col min="779" max="779" width="16.109375" style="7275" customWidth="1"/>
    <col min="780" max="1029" width="9.109375" style="7275"/>
    <col min="1030" max="1030" width="3.88671875" style="7275" customWidth="1"/>
    <col min="1031" max="1031" width="38" style="7275" customWidth="1"/>
    <col min="1032" max="1032" width="11.109375" style="7275" customWidth="1"/>
    <col min="1033" max="1033" width="16.44140625" style="7275" customWidth="1"/>
    <col min="1034" max="1034" width="14.44140625" style="7275" customWidth="1"/>
    <col min="1035" max="1035" width="16.109375" style="7275" customWidth="1"/>
    <col min="1036" max="1285" width="9.109375" style="7275"/>
    <col min="1286" max="1286" width="3.88671875" style="7275" customWidth="1"/>
    <col min="1287" max="1287" width="38" style="7275" customWidth="1"/>
    <col min="1288" max="1288" width="11.109375" style="7275" customWidth="1"/>
    <col min="1289" max="1289" width="16.44140625" style="7275" customWidth="1"/>
    <col min="1290" max="1290" width="14.44140625" style="7275" customWidth="1"/>
    <col min="1291" max="1291" width="16.109375" style="7275" customWidth="1"/>
    <col min="1292" max="1541" width="9.109375" style="7275"/>
    <col min="1542" max="1542" width="3.88671875" style="7275" customWidth="1"/>
    <col min="1543" max="1543" width="38" style="7275" customWidth="1"/>
    <col min="1544" max="1544" width="11.109375" style="7275" customWidth="1"/>
    <col min="1545" max="1545" width="16.44140625" style="7275" customWidth="1"/>
    <col min="1546" max="1546" width="14.44140625" style="7275" customWidth="1"/>
    <col min="1547" max="1547" width="16.109375" style="7275" customWidth="1"/>
    <col min="1548" max="1797" width="9.109375" style="7275"/>
    <col min="1798" max="1798" width="3.88671875" style="7275" customWidth="1"/>
    <col min="1799" max="1799" width="38" style="7275" customWidth="1"/>
    <col min="1800" max="1800" width="11.109375" style="7275" customWidth="1"/>
    <col min="1801" max="1801" width="16.44140625" style="7275" customWidth="1"/>
    <col min="1802" max="1802" width="14.44140625" style="7275" customWidth="1"/>
    <col min="1803" max="1803" width="16.109375" style="7275" customWidth="1"/>
    <col min="1804" max="2053" width="9.109375" style="7275"/>
    <col min="2054" max="2054" width="3.88671875" style="7275" customWidth="1"/>
    <col min="2055" max="2055" width="38" style="7275" customWidth="1"/>
    <col min="2056" max="2056" width="11.109375" style="7275" customWidth="1"/>
    <col min="2057" max="2057" width="16.44140625" style="7275" customWidth="1"/>
    <col min="2058" max="2058" width="14.44140625" style="7275" customWidth="1"/>
    <col min="2059" max="2059" width="16.109375" style="7275" customWidth="1"/>
    <col min="2060" max="2309" width="9.109375" style="7275"/>
    <col min="2310" max="2310" width="3.88671875" style="7275" customWidth="1"/>
    <col min="2311" max="2311" width="38" style="7275" customWidth="1"/>
    <col min="2312" max="2312" width="11.109375" style="7275" customWidth="1"/>
    <col min="2313" max="2313" width="16.44140625" style="7275" customWidth="1"/>
    <col min="2314" max="2314" width="14.44140625" style="7275" customWidth="1"/>
    <col min="2315" max="2315" width="16.109375" style="7275" customWidth="1"/>
    <col min="2316" max="2565" width="9.109375" style="7275"/>
    <col min="2566" max="2566" width="3.88671875" style="7275" customWidth="1"/>
    <col min="2567" max="2567" width="38" style="7275" customWidth="1"/>
    <col min="2568" max="2568" width="11.109375" style="7275" customWidth="1"/>
    <col min="2569" max="2569" width="16.44140625" style="7275" customWidth="1"/>
    <col min="2570" max="2570" width="14.44140625" style="7275" customWidth="1"/>
    <col min="2571" max="2571" width="16.109375" style="7275" customWidth="1"/>
    <col min="2572" max="2821" width="9.109375" style="7275"/>
    <col min="2822" max="2822" width="3.88671875" style="7275" customWidth="1"/>
    <col min="2823" max="2823" width="38" style="7275" customWidth="1"/>
    <col min="2824" max="2824" width="11.109375" style="7275" customWidth="1"/>
    <col min="2825" max="2825" width="16.44140625" style="7275" customWidth="1"/>
    <col min="2826" max="2826" width="14.44140625" style="7275" customWidth="1"/>
    <col min="2827" max="2827" width="16.109375" style="7275" customWidth="1"/>
    <col min="2828" max="3077" width="9.109375" style="7275"/>
    <col min="3078" max="3078" width="3.88671875" style="7275" customWidth="1"/>
    <col min="3079" max="3079" width="38" style="7275" customWidth="1"/>
    <col min="3080" max="3080" width="11.109375" style="7275" customWidth="1"/>
    <col min="3081" max="3081" width="16.44140625" style="7275" customWidth="1"/>
    <col min="3082" max="3082" width="14.44140625" style="7275" customWidth="1"/>
    <col min="3083" max="3083" width="16.109375" style="7275" customWidth="1"/>
    <col min="3084" max="3333" width="9.109375" style="7275"/>
    <col min="3334" max="3334" width="3.88671875" style="7275" customWidth="1"/>
    <col min="3335" max="3335" width="38" style="7275" customWidth="1"/>
    <col min="3336" max="3336" width="11.109375" style="7275" customWidth="1"/>
    <col min="3337" max="3337" width="16.44140625" style="7275" customWidth="1"/>
    <col min="3338" max="3338" width="14.44140625" style="7275" customWidth="1"/>
    <col min="3339" max="3339" width="16.109375" style="7275" customWidth="1"/>
    <col min="3340" max="3589" width="9.109375" style="7275"/>
    <col min="3590" max="3590" width="3.88671875" style="7275" customWidth="1"/>
    <col min="3591" max="3591" width="38" style="7275" customWidth="1"/>
    <col min="3592" max="3592" width="11.109375" style="7275" customWidth="1"/>
    <col min="3593" max="3593" width="16.44140625" style="7275" customWidth="1"/>
    <col min="3594" max="3594" width="14.44140625" style="7275" customWidth="1"/>
    <col min="3595" max="3595" width="16.109375" style="7275" customWidth="1"/>
    <col min="3596" max="3845" width="9.109375" style="7275"/>
    <col min="3846" max="3846" width="3.88671875" style="7275" customWidth="1"/>
    <col min="3847" max="3847" width="38" style="7275" customWidth="1"/>
    <col min="3848" max="3848" width="11.109375" style="7275" customWidth="1"/>
    <col min="3849" max="3849" width="16.44140625" style="7275" customWidth="1"/>
    <col min="3850" max="3850" width="14.44140625" style="7275" customWidth="1"/>
    <col min="3851" max="3851" width="16.109375" style="7275" customWidth="1"/>
    <col min="3852" max="4101" width="9.109375" style="7275"/>
    <col min="4102" max="4102" width="3.88671875" style="7275" customWidth="1"/>
    <col min="4103" max="4103" width="38" style="7275" customWidth="1"/>
    <col min="4104" max="4104" width="11.109375" style="7275" customWidth="1"/>
    <col min="4105" max="4105" width="16.44140625" style="7275" customWidth="1"/>
    <col min="4106" max="4106" width="14.44140625" style="7275" customWidth="1"/>
    <col min="4107" max="4107" width="16.109375" style="7275" customWidth="1"/>
    <col min="4108" max="4357" width="9.109375" style="7275"/>
    <col min="4358" max="4358" width="3.88671875" style="7275" customWidth="1"/>
    <col min="4359" max="4359" width="38" style="7275" customWidth="1"/>
    <col min="4360" max="4360" width="11.109375" style="7275" customWidth="1"/>
    <col min="4361" max="4361" width="16.44140625" style="7275" customWidth="1"/>
    <col min="4362" max="4362" width="14.44140625" style="7275" customWidth="1"/>
    <col min="4363" max="4363" width="16.109375" style="7275" customWidth="1"/>
    <col min="4364" max="4613" width="9.109375" style="7275"/>
    <col min="4614" max="4614" width="3.88671875" style="7275" customWidth="1"/>
    <col min="4615" max="4615" width="38" style="7275" customWidth="1"/>
    <col min="4616" max="4616" width="11.109375" style="7275" customWidth="1"/>
    <col min="4617" max="4617" width="16.44140625" style="7275" customWidth="1"/>
    <col min="4618" max="4618" width="14.44140625" style="7275" customWidth="1"/>
    <col min="4619" max="4619" width="16.109375" style="7275" customWidth="1"/>
    <col min="4620" max="4869" width="9.109375" style="7275"/>
    <col min="4870" max="4870" width="3.88671875" style="7275" customWidth="1"/>
    <col min="4871" max="4871" width="38" style="7275" customWidth="1"/>
    <col min="4872" max="4872" width="11.109375" style="7275" customWidth="1"/>
    <col min="4873" max="4873" width="16.44140625" style="7275" customWidth="1"/>
    <col min="4874" max="4874" width="14.44140625" style="7275" customWidth="1"/>
    <col min="4875" max="4875" width="16.109375" style="7275" customWidth="1"/>
    <col min="4876" max="5125" width="9.109375" style="7275"/>
    <col min="5126" max="5126" width="3.88671875" style="7275" customWidth="1"/>
    <col min="5127" max="5127" width="38" style="7275" customWidth="1"/>
    <col min="5128" max="5128" width="11.109375" style="7275" customWidth="1"/>
    <col min="5129" max="5129" width="16.44140625" style="7275" customWidth="1"/>
    <col min="5130" max="5130" width="14.44140625" style="7275" customWidth="1"/>
    <col min="5131" max="5131" width="16.109375" style="7275" customWidth="1"/>
    <col min="5132" max="5381" width="9.109375" style="7275"/>
    <col min="5382" max="5382" width="3.88671875" style="7275" customWidth="1"/>
    <col min="5383" max="5383" width="38" style="7275" customWidth="1"/>
    <col min="5384" max="5384" width="11.109375" style="7275" customWidth="1"/>
    <col min="5385" max="5385" width="16.44140625" style="7275" customWidth="1"/>
    <col min="5386" max="5386" width="14.44140625" style="7275" customWidth="1"/>
    <col min="5387" max="5387" width="16.109375" style="7275" customWidth="1"/>
    <col min="5388" max="5637" width="9.109375" style="7275"/>
    <col min="5638" max="5638" width="3.88671875" style="7275" customWidth="1"/>
    <col min="5639" max="5639" width="38" style="7275" customWidth="1"/>
    <col min="5640" max="5640" width="11.109375" style="7275" customWidth="1"/>
    <col min="5641" max="5641" width="16.44140625" style="7275" customWidth="1"/>
    <col min="5642" max="5642" width="14.44140625" style="7275" customWidth="1"/>
    <col min="5643" max="5643" width="16.109375" style="7275" customWidth="1"/>
    <col min="5644" max="5893" width="9.109375" style="7275"/>
    <col min="5894" max="5894" width="3.88671875" style="7275" customWidth="1"/>
    <col min="5895" max="5895" width="38" style="7275" customWidth="1"/>
    <col min="5896" max="5896" width="11.109375" style="7275" customWidth="1"/>
    <col min="5897" max="5897" width="16.44140625" style="7275" customWidth="1"/>
    <col min="5898" max="5898" width="14.44140625" style="7275" customWidth="1"/>
    <col min="5899" max="5899" width="16.109375" style="7275" customWidth="1"/>
    <col min="5900" max="6149" width="9.109375" style="7275"/>
    <col min="6150" max="6150" width="3.88671875" style="7275" customWidth="1"/>
    <col min="6151" max="6151" width="38" style="7275" customWidth="1"/>
    <col min="6152" max="6152" width="11.109375" style="7275" customWidth="1"/>
    <col min="6153" max="6153" width="16.44140625" style="7275" customWidth="1"/>
    <col min="6154" max="6154" width="14.44140625" style="7275" customWidth="1"/>
    <col min="6155" max="6155" width="16.109375" style="7275" customWidth="1"/>
    <col min="6156" max="6405" width="9.109375" style="7275"/>
    <col min="6406" max="6406" width="3.88671875" style="7275" customWidth="1"/>
    <col min="6407" max="6407" width="38" style="7275" customWidth="1"/>
    <col min="6408" max="6408" width="11.109375" style="7275" customWidth="1"/>
    <col min="6409" max="6409" width="16.44140625" style="7275" customWidth="1"/>
    <col min="6410" max="6410" width="14.44140625" style="7275" customWidth="1"/>
    <col min="6411" max="6411" width="16.109375" style="7275" customWidth="1"/>
    <col min="6412" max="6661" width="9.109375" style="7275"/>
    <col min="6662" max="6662" width="3.88671875" style="7275" customWidth="1"/>
    <col min="6663" max="6663" width="38" style="7275" customWidth="1"/>
    <col min="6664" max="6664" width="11.109375" style="7275" customWidth="1"/>
    <col min="6665" max="6665" width="16.44140625" style="7275" customWidth="1"/>
    <col min="6666" max="6666" width="14.44140625" style="7275" customWidth="1"/>
    <col min="6667" max="6667" width="16.109375" style="7275" customWidth="1"/>
    <col min="6668" max="6917" width="9.109375" style="7275"/>
    <col min="6918" max="6918" width="3.88671875" style="7275" customWidth="1"/>
    <col min="6919" max="6919" width="38" style="7275" customWidth="1"/>
    <col min="6920" max="6920" width="11.109375" style="7275" customWidth="1"/>
    <col min="6921" max="6921" width="16.44140625" style="7275" customWidth="1"/>
    <col min="6922" max="6922" width="14.44140625" style="7275" customWidth="1"/>
    <col min="6923" max="6923" width="16.109375" style="7275" customWidth="1"/>
    <col min="6924" max="7173" width="9.109375" style="7275"/>
    <col min="7174" max="7174" width="3.88671875" style="7275" customWidth="1"/>
    <col min="7175" max="7175" width="38" style="7275" customWidth="1"/>
    <col min="7176" max="7176" width="11.109375" style="7275" customWidth="1"/>
    <col min="7177" max="7177" width="16.44140625" style="7275" customWidth="1"/>
    <col min="7178" max="7178" width="14.44140625" style="7275" customWidth="1"/>
    <col min="7179" max="7179" width="16.109375" style="7275" customWidth="1"/>
    <col min="7180" max="7429" width="9.109375" style="7275"/>
    <col min="7430" max="7430" width="3.88671875" style="7275" customWidth="1"/>
    <col min="7431" max="7431" width="38" style="7275" customWidth="1"/>
    <col min="7432" max="7432" width="11.109375" style="7275" customWidth="1"/>
    <col min="7433" max="7433" width="16.44140625" style="7275" customWidth="1"/>
    <col min="7434" max="7434" width="14.44140625" style="7275" customWidth="1"/>
    <col min="7435" max="7435" width="16.109375" style="7275" customWidth="1"/>
    <col min="7436" max="7685" width="9.109375" style="7275"/>
    <col min="7686" max="7686" width="3.88671875" style="7275" customWidth="1"/>
    <col min="7687" max="7687" width="38" style="7275" customWidth="1"/>
    <col min="7688" max="7688" width="11.109375" style="7275" customWidth="1"/>
    <col min="7689" max="7689" width="16.44140625" style="7275" customWidth="1"/>
    <col min="7690" max="7690" width="14.44140625" style="7275" customWidth="1"/>
    <col min="7691" max="7691" width="16.109375" style="7275" customWidth="1"/>
    <col min="7692" max="7941" width="9.109375" style="7275"/>
    <col min="7942" max="7942" width="3.88671875" style="7275" customWidth="1"/>
    <col min="7943" max="7943" width="38" style="7275" customWidth="1"/>
    <col min="7944" max="7944" width="11.109375" style="7275" customWidth="1"/>
    <col min="7945" max="7945" width="16.44140625" style="7275" customWidth="1"/>
    <col min="7946" max="7946" width="14.44140625" style="7275" customWidth="1"/>
    <col min="7947" max="7947" width="16.109375" style="7275" customWidth="1"/>
    <col min="7948" max="8197" width="9.109375" style="7275"/>
    <col min="8198" max="8198" width="3.88671875" style="7275" customWidth="1"/>
    <col min="8199" max="8199" width="38" style="7275" customWidth="1"/>
    <col min="8200" max="8200" width="11.109375" style="7275" customWidth="1"/>
    <col min="8201" max="8201" width="16.44140625" style="7275" customWidth="1"/>
    <col min="8202" max="8202" width="14.44140625" style="7275" customWidth="1"/>
    <col min="8203" max="8203" width="16.109375" style="7275" customWidth="1"/>
    <col min="8204" max="8453" width="9.109375" style="7275"/>
    <col min="8454" max="8454" width="3.88671875" style="7275" customWidth="1"/>
    <col min="8455" max="8455" width="38" style="7275" customWidth="1"/>
    <col min="8456" max="8456" width="11.109375" style="7275" customWidth="1"/>
    <col min="8457" max="8457" width="16.44140625" style="7275" customWidth="1"/>
    <col min="8458" max="8458" width="14.44140625" style="7275" customWidth="1"/>
    <col min="8459" max="8459" width="16.109375" style="7275" customWidth="1"/>
    <col min="8460" max="8709" width="9.109375" style="7275"/>
    <col min="8710" max="8710" width="3.88671875" style="7275" customWidth="1"/>
    <col min="8711" max="8711" width="38" style="7275" customWidth="1"/>
    <col min="8712" max="8712" width="11.109375" style="7275" customWidth="1"/>
    <col min="8713" max="8713" width="16.44140625" style="7275" customWidth="1"/>
    <col min="8714" max="8714" width="14.44140625" style="7275" customWidth="1"/>
    <col min="8715" max="8715" width="16.109375" style="7275" customWidth="1"/>
    <col min="8716" max="8965" width="9.109375" style="7275"/>
    <col min="8966" max="8966" width="3.88671875" style="7275" customWidth="1"/>
    <col min="8967" max="8967" width="38" style="7275" customWidth="1"/>
    <col min="8968" max="8968" width="11.109375" style="7275" customWidth="1"/>
    <col min="8969" max="8969" width="16.44140625" style="7275" customWidth="1"/>
    <col min="8970" max="8970" width="14.44140625" style="7275" customWidth="1"/>
    <col min="8971" max="8971" width="16.109375" style="7275" customWidth="1"/>
    <col min="8972" max="9221" width="9.109375" style="7275"/>
    <col min="9222" max="9222" width="3.88671875" style="7275" customWidth="1"/>
    <col min="9223" max="9223" width="38" style="7275" customWidth="1"/>
    <col min="9224" max="9224" width="11.109375" style="7275" customWidth="1"/>
    <col min="9225" max="9225" width="16.44140625" style="7275" customWidth="1"/>
    <col min="9226" max="9226" width="14.44140625" style="7275" customWidth="1"/>
    <col min="9227" max="9227" width="16.109375" style="7275" customWidth="1"/>
    <col min="9228" max="9477" width="9.109375" style="7275"/>
    <col min="9478" max="9478" width="3.88671875" style="7275" customWidth="1"/>
    <col min="9479" max="9479" width="38" style="7275" customWidth="1"/>
    <col min="9480" max="9480" width="11.109375" style="7275" customWidth="1"/>
    <col min="9481" max="9481" width="16.44140625" style="7275" customWidth="1"/>
    <col min="9482" max="9482" width="14.44140625" style="7275" customWidth="1"/>
    <col min="9483" max="9483" width="16.109375" style="7275" customWidth="1"/>
    <col min="9484" max="9733" width="9.109375" style="7275"/>
    <col min="9734" max="9734" width="3.88671875" style="7275" customWidth="1"/>
    <col min="9735" max="9735" width="38" style="7275" customWidth="1"/>
    <col min="9736" max="9736" width="11.109375" style="7275" customWidth="1"/>
    <col min="9737" max="9737" width="16.44140625" style="7275" customWidth="1"/>
    <col min="9738" max="9738" width="14.44140625" style="7275" customWidth="1"/>
    <col min="9739" max="9739" width="16.109375" style="7275" customWidth="1"/>
    <col min="9740" max="9989" width="9.109375" style="7275"/>
    <col min="9990" max="9990" width="3.88671875" style="7275" customWidth="1"/>
    <col min="9991" max="9991" width="38" style="7275" customWidth="1"/>
    <col min="9992" max="9992" width="11.109375" style="7275" customWidth="1"/>
    <col min="9993" max="9993" width="16.44140625" style="7275" customWidth="1"/>
    <col min="9994" max="9994" width="14.44140625" style="7275" customWidth="1"/>
    <col min="9995" max="9995" width="16.109375" style="7275" customWidth="1"/>
    <col min="9996" max="10245" width="9.109375" style="7275"/>
    <col min="10246" max="10246" width="3.88671875" style="7275" customWidth="1"/>
    <col min="10247" max="10247" width="38" style="7275" customWidth="1"/>
    <col min="10248" max="10248" width="11.109375" style="7275" customWidth="1"/>
    <col min="10249" max="10249" width="16.44140625" style="7275" customWidth="1"/>
    <col min="10250" max="10250" width="14.44140625" style="7275" customWidth="1"/>
    <col min="10251" max="10251" width="16.109375" style="7275" customWidth="1"/>
    <col min="10252" max="10501" width="9.109375" style="7275"/>
    <col min="10502" max="10502" width="3.88671875" style="7275" customWidth="1"/>
    <col min="10503" max="10503" width="38" style="7275" customWidth="1"/>
    <col min="10504" max="10504" width="11.109375" style="7275" customWidth="1"/>
    <col min="10505" max="10505" width="16.44140625" style="7275" customWidth="1"/>
    <col min="10506" max="10506" width="14.44140625" style="7275" customWidth="1"/>
    <col min="10507" max="10507" width="16.109375" style="7275" customWidth="1"/>
    <col min="10508" max="10757" width="9.109375" style="7275"/>
    <col min="10758" max="10758" width="3.88671875" style="7275" customWidth="1"/>
    <col min="10759" max="10759" width="38" style="7275" customWidth="1"/>
    <col min="10760" max="10760" width="11.109375" style="7275" customWidth="1"/>
    <col min="10761" max="10761" width="16.44140625" style="7275" customWidth="1"/>
    <col min="10762" max="10762" width="14.44140625" style="7275" customWidth="1"/>
    <col min="10763" max="10763" width="16.109375" style="7275" customWidth="1"/>
    <col min="10764" max="11013" width="9.109375" style="7275"/>
    <col min="11014" max="11014" width="3.88671875" style="7275" customWidth="1"/>
    <col min="11015" max="11015" width="38" style="7275" customWidth="1"/>
    <col min="11016" max="11016" width="11.109375" style="7275" customWidth="1"/>
    <col min="11017" max="11017" width="16.44140625" style="7275" customWidth="1"/>
    <col min="11018" max="11018" width="14.44140625" style="7275" customWidth="1"/>
    <col min="11019" max="11019" width="16.109375" style="7275" customWidth="1"/>
    <col min="11020" max="11269" width="9.109375" style="7275"/>
    <col min="11270" max="11270" width="3.88671875" style="7275" customWidth="1"/>
    <col min="11271" max="11271" width="38" style="7275" customWidth="1"/>
    <col min="11272" max="11272" width="11.109375" style="7275" customWidth="1"/>
    <col min="11273" max="11273" width="16.44140625" style="7275" customWidth="1"/>
    <col min="11274" max="11274" width="14.44140625" style="7275" customWidth="1"/>
    <col min="11275" max="11275" width="16.109375" style="7275" customWidth="1"/>
    <col min="11276" max="11525" width="9.109375" style="7275"/>
    <col min="11526" max="11526" width="3.88671875" style="7275" customWidth="1"/>
    <col min="11527" max="11527" width="38" style="7275" customWidth="1"/>
    <col min="11528" max="11528" width="11.109375" style="7275" customWidth="1"/>
    <col min="11529" max="11529" width="16.44140625" style="7275" customWidth="1"/>
    <col min="11530" max="11530" width="14.44140625" style="7275" customWidth="1"/>
    <col min="11531" max="11531" width="16.109375" style="7275" customWidth="1"/>
    <col min="11532" max="11781" width="9.109375" style="7275"/>
    <col min="11782" max="11782" width="3.88671875" style="7275" customWidth="1"/>
    <col min="11783" max="11783" width="38" style="7275" customWidth="1"/>
    <col min="11784" max="11784" width="11.109375" style="7275" customWidth="1"/>
    <col min="11785" max="11785" width="16.44140625" style="7275" customWidth="1"/>
    <col min="11786" max="11786" width="14.44140625" style="7275" customWidth="1"/>
    <col min="11787" max="11787" width="16.109375" style="7275" customWidth="1"/>
    <col min="11788" max="12037" width="9.109375" style="7275"/>
    <col min="12038" max="12038" width="3.88671875" style="7275" customWidth="1"/>
    <col min="12039" max="12039" width="38" style="7275" customWidth="1"/>
    <col min="12040" max="12040" width="11.109375" style="7275" customWidth="1"/>
    <col min="12041" max="12041" width="16.44140625" style="7275" customWidth="1"/>
    <col min="12042" max="12042" width="14.44140625" style="7275" customWidth="1"/>
    <col min="12043" max="12043" width="16.109375" style="7275" customWidth="1"/>
    <col min="12044" max="12293" width="9.109375" style="7275"/>
    <col min="12294" max="12294" width="3.88671875" style="7275" customWidth="1"/>
    <col min="12295" max="12295" width="38" style="7275" customWidth="1"/>
    <col min="12296" max="12296" width="11.109375" style="7275" customWidth="1"/>
    <col min="12297" max="12297" width="16.44140625" style="7275" customWidth="1"/>
    <col min="12298" max="12298" width="14.44140625" style="7275" customWidth="1"/>
    <col min="12299" max="12299" width="16.109375" style="7275" customWidth="1"/>
    <col min="12300" max="12549" width="9.109375" style="7275"/>
    <col min="12550" max="12550" width="3.88671875" style="7275" customWidth="1"/>
    <col min="12551" max="12551" width="38" style="7275" customWidth="1"/>
    <col min="12552" max="12552" width="11.109375" style="7275" customWidth="1"/>
    <col min="12553" max="12553" width="16.44140625" style="7275" customWidth="1"/>
    <col min="12554" max="12554" width="14.44140625" style="7275" customWidth="1"/>
    <col min="12555" max="12555" width="16.109375" style="7275" customWidth="1"/>
    <col min="12556" max="12805" width="9.109375" style="7275"/>
    <col min="12806" max="12806" width="3.88671875" style="7275" customWidth="1"/>
    <col min="12807" max="12807" width="38" style="7275" customWidth="1"/>
    <col min="12808" max="12808" width="11.109375" style="7275" customWidth="1"/>
    <col min="12809" max="12809" width="16.44140625" style="7275" customWidth="1"/>
    <col min="12810" max="12810" width="14.44140625" style="7275" customWidth="1"/>
    <col min="12811" max="12811" width="16.109375" style="7275" customWidth="1"/>
    <col min="12812" max="13061" width="9.109375" style="7275"/>
    <col min="13062" max="13062" width="3.88671875" style="7275" customWidth="1"/>
    <col min="13063" max="13063" width="38" style="7275" customWidth="1"/>
    <col min="13064" max="13064" width="11.109375" style="7275" customWidth="1"/>
    <col min="13065" max="13065" width="16.44140625" style="7275" customWidth="1"/>
    <col min="13066" max="13066" width="14.44140625" style="7275" customWidth="1"/>
    <col min="13067" max="13067" width="16.109375" style="7275" customWidth="1"/>
    <col min="13068" max="13317" width="9.109375" style="7275"/>
    <col min="13318" max="13318" width="3.88671875" style="7275" customWidth="1"/>
    <col min="13319" max="13319" width="38" style="7275" customWidth="1"/>
    <col min="13320" max="13320" width="11.109375" style="7275" customWidth="1"/>
    <col min="13321" max="13321" width="16.44140625" style="7275" customWidth="1"/>
    <col min="13322" max="13322" width="14.44140625" style="7275" customWidth="1"/>
    <col min="13323" max="13323" width="16.109375" style="7275" customWidth="1"/>
    <col min="13324" max="13573" width="9.109375" style="7275"/>
    <col min="13574" max="13574" width="3.88671875" style="7275" customWidth="1"/>
    <col min="13575" max="13575" width="38" style="7275" customWidth="1"/>
    <col min="13576" max="13576" width="11.109375" style="7275" customWidth="1"/>
    <col min="13577" max="13577" width="16.44140625" style="7275" customWidth="1"/>
    <col min="13578" max="13578" width="14.44140625" style="7275" customWidth="1"/>
    <col min="13579" max="13579" width="16.109375" style="7275" customWidth="1"/>
    <col min="13580" max="13829" width="9.109375" style="7275"/>
    <col min="13830" max="13830" width="3.88671875" style="7275" customWidth="1"/>
    <col min="13831" max="13831" width="38" style="7275" customWidth="1"/>
    <col min="13832" max="13832" width="11.109375" style="7275" customWidth="1"/>
    <col min="13833" max="13833" width="16.44140625" style="7275" customWidth="1"/>
    <col min="13834" max="13834" width="14.44140625" style="7275" customWidth="1"/>
    <col min="13835" max="13835" width="16.109375" style="7275" customWidth="1"/>
    <col min="13836" max="14085" width="9.109375" style="7275"/>
    <col min="14086" max="14086" width="3.88671875" style="7275" customWidth="1"/>
    <col min="14087" max="14087" width="38" style="7275" customWidth="1"/>
    <col min="14088" max="14088" width="11.109375" style="7275" customWidth="1"/>
    <col min="14089" max="14089" width="16.44140625" style="7275" customWidth="1"/>
    <col min="14090" max="14090" width="14.44140625" style="7275" customWidth="1"/>
    <col min="14091" max="14091" width="16.109375" style="7275" customWidth="1"/>
    <col min="14092" max="14341" width="9.109375" style="7275"/>
    <col min="14342" max="14342" width="3.88671875" style="7275" customWidth="1"/>
    <col min="14343" max="14343" width="38" style="7275" customWidth="1"/>
    <col min="14344" max="14344" width="11.109375" style="7275" customWidth="1"/>
    <col min="14345" max="14345" width="16.44140625" style="7275" customWidth="1"/>
    <col min="14346" max="14346" width="14.44140625" style="7275" customWidth="1"/>
    <col min="14347" max="14347" width="16.109375" style="7275" customWidth="1"/>
    <col min="14348" max="14597" width="9.109375" style="7275"/>
    <col min="14598" max="14598" width="3.88671875" style="7275" customWidth="1"/>
    <col min="14599" max="14599" width="38" style="7275" customWidth="1"/>
    <col min="14600" max="14600" width="11.109375" style="7275" customWidth="1"/>
    <col min="14601" max="14601" width="16.44140625" style="7275" customWidth="1"/>
    <col min="14602" max="14602" width="14.44140625" style="7275" customWidth="1"/>
    <col min="14603" max="14603" width="16.109375" style="7275" customWidth="1"/>
    <col min="14604" max="14853" width="9.109375" style="7275"/>
    <col min="14854" max="14854" width="3.88671875" style="7275" customWidth="1"/>
    <col min="14855" max="14855" width="38" style="7275" customWidth="1"/>
    <col min="14856" max="14856" width="11.109375" style="7275" customWidth="1"/>
    <col min="14857" max="14857" width="16.44140625" style="7275" customWidth="1"/>
    <col min="14858" max="14858" width="14.44140625" style="7275" customWidth="1"/>
    <col min="14859" max="14859" width="16.109375" style="7275" customWidth="1"/>
    <col min="14860" max="15109" width="9.109375" style="7275"/>
    <col min="15110" max="15110" width="3.88671875" style="7275" customWidth="1"/>
    <col min="15111" max="15111" width="38" style="7275" customWidth="1"/>
    <col min="15112" max="15112" width="11.109375" style="7275" customWidth="1"/>
    <col min="15113" max="15113" width="16.44140625" style="7275" customWidth="1"/>
    <col min="15114" max="15114" width="14.44140625" style="7275" customWidth="1"/>
    <col min="15115" max="15115" width="16.109375" style="7275" customWidth="1"/>
    <col min="15116" max="15365" width="9.109375" style="7275"/>
    <col min="15366" max="15366" width="3.88671875" style="7275" customWidth="1"/>
    <col min="15367" max="15367" width="38" style="7275" customWidth="1"/>
    <col min="15368" max="15368" width="11.109375" style="7275" customWidth="1"/>
    <col min="15369" max="15369" width="16.44140625" style="7275" customWidth="1"/>
    <col min="15370" max="15370" width="14.44140625" style="7275" customWidth="1"/>
    <col min="15371" max="15371" width="16.109375" style="7275" customWidth="1"/>
    <col min="15372" max="15621" width="9.109375" style="7275"/>
    <col min="15622" max="15622" width="3.88671875" style="7275" customWidth="1"/>
    <col min="15623" max="15623" width="38" style="7275" customWidth="1"/>
    <col min="15624" max="15624" width="11.109375" style="7275" customWidth="1"/>
    <col min="15625" max="15625" width="16.44140625" style="7275" customWidth="1"/>
    <col min="15626" max="15626" width="14.44140625" style="7275" customWidth="1"/>
    <col min="15627" max="15627" width="16.109375" style="7275" customWidth="1"/>
    <col min="15628" max="15877" width="9.109375" style="7275"/>
    <col min="15878" max="15878" width="3.88671875" style="7275" customWidth="1"/>
    <col min="15879" max="15879" width="38" style="7275" customWidth="1"/>
    <col min="15880" max="15880" width="11.109375" style="7275" customWidth="1"/>
    <col min="15881" max="15881" width="16.44140625" style="7275" customWidth="1"/>
    <col min="15882" max="15882" width="14.44140625" style="7275" customWidth="1"/>
    <col min="15883" max="15883" width="16.109375" style="7275" customWidth="1"/>
    <col min="15884" max="16133" width="9.109375" style="7275"/>
    <col min="16134" max="16134" width="3.88671875" style="7275" customWidth="1"/>
    <col min="16135" max="16135" width="38" style="7275" customWidth="1"/>
    <col min="16136" max="16136" width="11.109375" style="7275" customWidth="1"/>
    <col min="16137" max="16137" width="16.44140625" style="7275" customWidth="1"/>
    <col min="16138" max="16138" width="14.44140625" style="7275" customWidth="1"/>
    <col min="16139" max="16139" width="16.109375" style="7275" customWidth="1"/>
    <col min="16140" max="16384" width="9.109375" style="7275"/>
  </cols>
  <sheetData>
    <row r="1" spans="1:12" ht="15" customHeight="1">
      <c r="A1" s="14807" t="s">
        <v>1</v>
      </c>
      <c r="B1" s="14807"/>
      <c r="C1" s="14807"/>
      <c r="D1" s="14807"/>
      <c r="E1" s="14807"/>
      <c r="F1" s="14807"/>
      <c r="G1" s="14807"/>
      <c r="H1" s="14807"/>
      <c r="I1" s="14807"/>
      <c r="J1" s="14807"/>
      <c r="K1" s="10880"/>
    </row>
    <row r="2" spans="1:12" ht="15" customHeight="1">
      <c r="A2" s="7276"/>
      <c r="B2" s="7276"/>
      <c r="C2" s="9323"/>
      <c r="D2" s="7285"/>
      <c r="E2" s="7285"/>
      <c r="F2" s="7285"/>
      <c r="G2" s="7285"/>
      <c r="H2" s="7285"/>
      <c r="I2" s="7286"/>
      <c r="J2" s="7285"/>
      <c r="K2" s="7285"/>
    </row>
    <row r="3" spans="1:12" ht="15" customHeight="1">
      <c r="A3" s="7276" t="s">
        <v>10758</v>
      </c>
      <c r="B3" s="7281"/>
      <c r="C3" s="9324" t="s">
        <v>10197</v>
      </c>
      <c r="D3" s="7283"/>
      <c r="E3" s="7283"/>
      <c r="F3" s="7283"/>
      <c r="G3" s="14809"/>
      <c r="H3" s="7283"/>
      <c r="I3" s="7284"/>
      <c r="J3" s="14882"/>
      <c r="K3" s="9415"/>
    </row>
    <row r="4" spans="1:12" ht="15" customHeight="1">
      <c r="A4" s="7276" t="s">
        <v>10759</v>
      </c>
      <c r="B4" s="7276"/>
      <c r="C4" s="9323" t="s">
        <v>12076</v>
      </c>
      <c r="D4" s="7285"/>
      <c r="E4" s="7285"/>
      <c r="F4" s="7285"/>
      <c r="G4" s="14809"/>
      <c r="H4" s="7283"/>
      <c r="I4" s="7286"/>
      <c r="J4" s="14882"/>
      <c r="K4" s="9415"/>
    </row>
    <row r="5" spans="1:12" ht="15" customHeight="1" thickBot="1">
      <c r="A5" s="7639" t="s">
        <v>7</v>
      </c>
      <c r="B5" s="7639"/>
      <c r="C5" s="9325" t="s">
        <v>8</v>
      </c>
      <c r="D5" s="7641"/>
      <c r="E5" s="7293"/>
      <c r="F5" s="7293"/>
      <c r="G5" s="7859"/>
      <c r="H5" s="7293"/>
      <c r="I5" s="7294"/>
      <c r="J5" s="7859"/>
      <c r="K5" s="7349"/>
    </row>
    <row r="6" spans="1:12" ht="15" customHeight="1">
      <c r="A6" s="7694"/>
      <c r="B6" s="11658"/>
      <c r="C6" s="12399" t="s">
        <v>103</v>
      </c>
      <c r="D6" s="10868" t="s">
        <v>10</v>
      </c>
      <c r="E6" s="14188" t="s">
        <v>10711</v>
      </c>
      <c r="F6" s="14189"/>
      <c r="G6" s="14190"/>
      <c r="H6" s="11769" t="s">
        <v>9985</v>
      </c>
      <c r="I6" s="9462"/>
      <c r="J6" s="11659" t="s">
        <v>12</v>
      </c>
      <c r="K6" s="10867"/>
    </row>
    <row r="7" spans="1:12" ht="15" customHeight="1">
      <c r="A7" s="7657"/>
      <c r="B7" s="7295" t="s">
        <v>13</v>
      </c>
      <c r="C7" s="12400" t="s">
        <v>94</v>
      </c>
      <c r="D7" s="11123" t="s">
        <v>15</v>
      </c>
      <c r="E7" s="9502" t="s">
        <v>10709</v>
      </c>
      <c r="F7" s="9503" t="s">
        <v>10710</v>
      </c>
      <c r="G7" s="14191" t="s">
        <v>458</v>
      </c>
      <c r="H7" s="8118" t="s">
        <v>11747</v>
      </c>
      <c r="I7" s="11108"/>
      <c r="J7" s="11660" t="s">
        <v>16</v>
      </c>
      <c r="K7" s="10867"/>
    </row>
    <row r="8" spans="1:12" ht="15" customHeight="1" thickBot="1">
      <c r="A8" s="7699"/>
      <c r="B8" s="7897"/>
      <c r="C8" s="12401"/>
      <c r="D8" s="9455">
        <v>2017</v>
      </c>
      <c r="E8" s="9467" t="s">
        <v>457</v>
      </c>
      <c r="F8" s="11661" t="s">
        <v>456</v>
      </c>
      <c r="G8" s="14192"/>
      <c r="H8" s="7496">
        <v>2018</v>
      </c>
      <c r="I8" s="7303"/>
      <c r="J8" s="11662">
        <v>2019</v>
      </c>
      <c r="K8" s="9351"/>
    </row>
    <row r="9" spans="1:12" ht="15" customHeight="1">
      <c r="A9" s="11663" t="s">
        <v>17</v>
      </c>
      <c r="B9" s="7287" t="s">
        <v>18</v>
      </c>
      <c r="C9" s="10149"/>
      <c r="D9" s="11664"/>
      <c r="E9" s="11664"/>
      <c r="F9" s="11664"/>
      <c r="G9" s="11664"/>
      <c r="H9" s="11664"/>
      <c r="I9" s="11163"/>
      <c r="J9" s="11665"/>
      <c r="K9" s="7289"/>
    </row>
    <row r="10" spans="1:12" ht="15" customHeight="1">
      <c r="A10" s="7657"/>
      <c r="B10" s="7287" t="s">
        <v>19</v>
      </c>
      <c r="C10" s="10149"/>
      <c r="D10" s="11664"/>
      <c r="E10" s="11664"/>
      <c r="F10" s="11664"/>
      <c r="G10" s="11664"/>
      <c r="H10" s="11664"/>
      <c r="I10" s="11163"/>
      <c r="J10" s="11665"/>
      <c r="K10" s="7289"/>
    </row>
    <row r="11" spans="1:12" ht="15" customHeight="1">
      <c r="A11" s="7657"/>
      <c r="B11" s="7287" t="s">
        <v>20</v>
      </c>
      <c r="C11" s="10149">
        <v>50101010</v>
      </c>
      <c r="D11" s="10137">
        <f>'WS-PS 2017'!B17</f>
        <v>11021579.52</v>
      </c>
      <c r="E11" s="10137">
        <f>'WS-PS ACTUAL JUNE 2018'!B17</f>
        <v>5582006.1299999999</v>
      </c>
      <c r="F11" s="10137">
        <f>G11-E11</f>
        <v>9261189.870000001</v>
      </c>
      <c r="G11" s="10137">
        <v>14843196</v>
      </c>
      <c r="H11" s="10137"/>
      <c r="I11" s="11445"/>
      <c r="J11" s="11843">
        <f>K11</f>
        <v>15898872</v>
      </c>
      <c r="K11" s="11719">
        <f>'staffing-pacco'!F65</f>
        <v>15898872</v>
      </c>
      <c r="L11" s="7780">
        <f>'staffing-pacco'!B65</f>
        <v>51</v>
      </c>
    </row>
    <row r="12" spans="1:12" ht="15" customHeight="1">
      <c r="A12" s="7657"/>
      <c r="B12" s="7287" t="s">
        <v>21</v>
      </c>
      <c r="C12" s="10149">
        <v>50102010</v>
      </c>
      <c r="D12" s="8798">
        <f>'WS-PS 2017'!F17</f>
        <v>1021861.7</v>
      </c>
      <c r="E12" s="8798">
        <f>'WS-PS ACTUAL JUNE 2018'!D17</f>
        <v>479101.37</v>
      </c>
      <c r="F12" s="10137">
        <f t="shared" ref="F12:F27" si="0">G12-E12</f>
        <v>768898.63</v>
      </c>
      <c r="G12" s="8798">
        <v>1248000</v>
      </c>
      <c r="H12" s="8798"/>
      <c r="I12" s="8799"/>
      <c r="J12" s="11843">
        <f t="shared" ref="J12:J27" si="1">K12</f>
        <v>1224000</v>
      </c>
      <c r="K12" s="7310">
        <f>24000*L11</f>
        <v>1224000</v>
      </c>
    </row>
    <row r="13" spans="1:12" ht="15" customHeight="1">
      <c r="A13" s="7657"/>
      <c r="B13" s="7287" t="s">
        <v>104</v>
      </c>
      <c r="C13" s="10149">
        <v>50102020</v>
      </c>
      <c r="D13" s="8798">
        <f>'WS-PS 2017'!G17</f>
        <v>192000</v>
      </c>
      <c r="E13" s="8798">
        <f>'WS-PS ACTUAL JUNE 2018'!E17</f>
        <v>80000</v>
      </c>
      <c r="F13" s="10137">
        <f t="shared" si="0"/>
        <v>112000</v>
      </c>
      <c r="G13" s="8798">
        <v>192000</v>
      </c>
      <c r="H13" s="8798"/>
      <c r="I13" s="8799"/>
      <c r="J13" s="11843">
        <f t="shared" si="1"/>
        <v>192000</v>
      </c>
      <c r="K13" s="7310">
        <v>192000</v>
      </c>
    </row>
    <row r="14" spans="1:12" ht="15" customHeight="1">
      <c r="A14" s="7657"/>
      <c r="B14" s="7287" t="s">
        <v>105</v>
      </c>
      <c r="C14" s="10149">
        <v>50102030</v>
      </c>
      <c r="D14" s="8798">
        <f>'WS-PS 2017'!H17</f>
        <v>192000</v>
      </c>
      <c r="E14" s="8798">
        <f>'WS-PS ACTUAL JUNE 2018'!F17</f>
        <v>80000</v>
      </c>
      <c r="F14" s="10137">
        <f t="shared" si="0"/>
        <v>112000</v>
      </c>
      <c r="G14" s="8798">
        <v>192000</v>
      </c>
      <c r="H14" s="8798"/>
      <c r="I14" s="8799"/>
      <c r="J14" s="11843">
        <f t="shared" si="1"/>
        <v>192000</v>
      </c>
      <c r="K14" s="7310">
        <v>192000</v>
      </c>
    </row>
    <row r="15" spans="1:12" ht="15" customHeight="1">
      <c r="A15" s="7657"/>
      <c r="B15" s="7287" t="s">
        <v>22</v>
      </c>
      <c r="C15" s="10149">
        <v>50102040</v>
      </c>
      <c r="D15" s="8798">
        <f>'WS-PS 2017'!I17</f>
        <v>215000</v>
      </c>
      <c r="E15" s="8798">
        <f>'WS-PS ACTUAL JUNE 2018'!G17</f>
        <v>270000</v>
      </c>
      <c r="F15" s="10137">
        <f t="shared" si="0"/>
        <v>-10000</v>
      </c>
      <c r="G15" s="8798">
        <v>260000</v>
      </c>
      <c r="H15" s="8798"/>
      <c r="I15" s="8799"/>
      <c r="J15" s="11843">
        <f t="shared" si="1"/>
        <v>306000</v>
      </c>
      <c r="K15" s="7310">
        <f>6000*L11</f>
        <v>306000</v>
      </c>
    </row>
    <row r="16" spans="1:12" ht="15" customHeight="1">
      <c r="A16" s="7657"/>
      <c r="B16" s="7488" t="s">
        <v>10932</v>
      </c>
      <c r="C16" s="12402">
        <v>50102080</v>
      </c>
      <c r="D16" s="8798">
        <f>'WS-PS 2017'!L17</f>
        <v>215000</v>
      </c>
      <c r="E16" s="8798">
        <f>'WS-PS ACTUAL JUNE 2018'!J17</f>
        <v>0</v>
      </c>
      <c r="F16" s="10137">
        <f t="shared" si="0"/>
        <v>260000</v>
      </c>
      <c r="G16" s="8798">
        <v>260000</v>
      </c>
      <c r="H16" s="8798"/>
      <c r="I16" s="8799"/>
      <c r="J16" s="11843">
        <f t="shared" si="1"/>
        <v>255000</v>
      </c>
      <c r="K16" s="7310">
        <f>5000*L11</f>
        <v>255000</v>
      </c>
    </row>
    <row r="17" spans="1:14" ht="15" customHeight="1">
      <c r="A17" s="7657"/>
      <c r="B17" s="7488" t="s">
        <v>10934</v>
      </c>
      <c r="C17" s="10149">
        <v>50102120</v>
      </c>
      <c r="D17" s="8798">
        <f>'WS-PS 2017'!O17</f>
        <v>55000</v>
      </c>
      <c r="E17" s="8798">
        <f>'WS-PS ACTUAL JUNE 2018'!M17</f>
        <v>10000</v>
      </c>
      <c r="F17" s="10137">
        <f>G17-E17</f>
        <v>30000</v>
      </c>
      <c r="G17" s="8798">
        <v>40000</v>
      </c>
      <c r="H17" s="8798"/>
      <c r="I17" s="8799"/>
      <c r="J17" s="11843">
        <f t="shared" si="1"/>
        <v>25000</v>
      </c>
      <c r="K17" s="7289">
        <v>25000</v>
      </c>
      <c r="L17" s="7860"/>
      <c r="M17" s="7314"/>
    </row>
    <row r="18" spans="1:14" ht="15" customHeight="1">
      <c r="A18" s="7657"/>
      <c r="B18" s="7287" t="s">
        <v>141</v>
      </c>
      <c r="C18" s="10149">
        <v>50102130</v>
      </c>
      <c r="D18" s="8870">
        <f>'WS-PS 2017'!R17</f>
        <v>928065.84</v>
      </c>
      <c r="E18" s="8870">
        <f>'WS-PS ACTUAL JUNE 2018'!N17</f>
        <v>561410.04</v>
      </c>
      <c r="F18" s="10137">
        <f t="shared" si="0"/>
        <v>-61410.040000000037</v>
      </c>
      <c r="G18" s="8798">
        <v>500000</v>
      </c>
      <c r="H18" s="8798"/>
      <c r="I18" s="8799"/>
      <c r="J18" s="11843">
        <v>500000</v>
      </c>
      <c r="K18" s="7347">
        <v>500000</v>
      </c>
    </row>
    <row r="19" spans="1:14" ht="15" customHeight="1">
      <c r="A19" s="7657"/>
      <c r="B19" s="7488" t="s">
        <v>10933</v>
      </c>
      <c r="C19" s="10149">
        <v>50102140</v>
      </c>
      <c r="D19" s="8798">
        <f>'WS-PS 2017'!U17+'WS-PS 2017'!S17</f>
        <v>1821519</v>
      </c>
      <c r="E19" s="8798">
        <f>'WS-PS ACTUAL JUNE 2018'!O17</f>
        <v>920351</v>
      </c>
      <c r="F19" s="10137">
        <f>G19-E19</f>
        <v>1553515</v>
      </c>
      <c r="G19" s="10137">
        <v>2473866</v>
      </c>
      <c r="H19" s="10137"/>
      <c r="I19" s="11445"/>
      <c r="J19" s="11843">
        <f t="shared" si="1"/>
        <v>2649812</v>
      </c>
      <c r="K19" s="7310">
        <f>SUM(K10:K11)/12*2</f>
        <v>2649812</v>
      </c>
    </row>
    <row r="20" spans="1:14" ht="15" customHeight="1">
      <c r="A20" s="7657"/>
      <c r="B20" s="7287" t="s">
        <v>26</v>
      </c>
      <c r="C20" s="10149">
        <v>50102150</v>
      </c>
      <c r="D20" s="8798">
        <f>'WS-PS 2017'!T17</f>
        <v>215000</v>
      </c>
      <c r="E20" s="8798">
        <f>'WS-PS ACTUAL JUNE 2018'!Q17</f>
        <v>0</v>
      </c>
      <c r="F20" s="10137">
        <f t="shared" si="0"/>
        <v>260000</v>
      </c>
      <c r="G20" s="8798">
        <v>260000</v>
      </c>
      <c r="H20" s="8798"/>
      <c r="I20" s="8799"/>
      <c r="J20" s="11843">
        <f t="shared" si="1"/>
        <v>255000</v>
      </c>
      <c r="K20" s="7371">
        <f>K16</f>
        <v>255000</v>
      </c>
    </row>
    <row r="21" spans="1:14" ht="15" customHeight="1">
      <c r="A21" s="7657"/>
      <c r="B21" s="7488" t="s">
        <v>11497</v>
      </c>
      <c r="C21" s="10149">
        <v>50102990</v>
      </c>
      <c r="D21" s="8798">
        <v>0</v>
      </c>
      <c r="E21" s="8798">
        <f>'WS-PS ACTUAL JUNE 2018'!R17</f>
        <v>0</v>
      </c>
      <c r="F21" s="10137">
        <f>G21-E21</f>
        <v>711237</v>
      </c>
      <c r="G21" s="8798">
        <v>711237</v>
      </c>
      <c r="H21" s="8798"/>
      <c r="I21" s="8799"/>
      <c r="J21" s="11843">
        <v>0</v>
      </c>
      <c r="K21" s="7310">
        <f>K11/12*0.575</f>
        <v>761820.95</v>
      </c>
    </row>
    <row r="22" spans="1:14" ht="15" customHeight="1">
      <c r="A22" s="7657"/>
      <c r="B22" s="7803" t="s">
        <v>11499</v>
      </c>
      <c r="C22" s="11059" t="s">
        <v>11495</v>
      </c>
      <c r="D22" s="8798">
        <f>'WS-PS 2017'!Q17</f>
        <v>0</v>
      </c>
      <c r="E22" s="8798">
        <f>'WS-PS ACTUAL JUNE 2018'!S17</f>
        <v>0</v>
      </c>
      <c r="F22" s="10137">
        <f>G22-E22</f>
        <v>0</v>
      </c>
      <c r="G22" s="8798">
        <v>0</v>
      </c>
      <c r="H22" s="8798"/>
      <c r="I22" s="8799"/>
      <c r="J22" s="11843">
        <f t="shared" si="1"/>
        <v>153000</v>
      </c>
      <c r="K22" s="7310">
        <f>3000*L11</f>
        <v>153000</v>
      </c>
    </row>
    <row r="23" spans="1:14" ht="15" customHeight="1">
      <c r="A23" s="7657"/>
      <c r="B23" s="11518" t="s">
        <v>59</v>
      </c>
      <c r="C23" s="10149">
        <v>50103010</v>
      </c>
      <c r="D23" s="10137">
        <f>'WS-PS 2017'!V17</f>
        <v>1322589.53</v>
      </c>
      <c r="E23" s="10137">
        <f>'WS-PS ACTUAL JUNE 2018'!T17</f>
        <v>662899.59</v>
      </c>
      <c r="F23" s="10137">
        <f t="shared" si="0"/>
        <v>1118284.4100000001</v>
      </c>
      <c r="G23" s="8798">
        <v>1781184</v>
      </c>
      <c r="H23" s="8798"/>
      <c r="I23" s="8799"/>
      <c r="J23" s="11843">
        <f t="shared" si="1"/>
        <v>1907864.64</v>
      </c>
      <c r="K23" s="11720">
        <f>SUM(K10:K11)*12%</f>
        <v>1907864.64</v>
      </c>
      <c r="L23" s="7483"/>
      <c r="M23" s="7289"/>
      <c r="N23" s="7861"/>
    </row>
    <row r="24" spans="1:14" ht="15" customHeight="1">
      <c r="A24" s="7657"/>
      <c r="B24" s="7803" t="s">
        <v>28</v>
      </c>
      <c r="C24" s="10149">
        <v>50103020</v>
      </c>
      <c r="D24" s="8798">
        <f>'WS-PS 2017'!W17</f>
        <v>51300</v>
      </c>
      <c r="E24" s="8798">
        <f>'WS-PS ACTUAL JUNE 2018'!U17</f>
        <v>23600</v>
      </c>
      <c r="F24" s="10137">
        <f t="shared" si="0"/>
        <v>38800</v>
      </c>
      <c r="G24" s="8798">
        <v>62400</v>
      </c>
      <c r="H24" s="8798"/>
      <c r="I24" s="8799"/>
      <c r="J24" s="11843">
        <f t="shared" si="1"/>
        <v>61200</v>
      </c>
      <c r="K24" s="7310">
        <f>1200*L11</f>
        <v>61200</v>
      </c>
    </row>
    <row r="25" spans="1:14" ht="15" customHeight="1">
      <c r="A25" s="7657"/>
      <c r="B25" s="7803" t="s">
        <v>29</v>
      </c>
      <c r="C25" s="10149">
        <v>50103030</v>
      </c>
      <c r="D25" s="8798">
        <f>'WS-PS 2017'!X17</f>
        <v>114550</v>
      </c>
      <c r="E25" s="8798">
        <f>'WS-PS ACTUAL JUNE 2018'!V17</f>
        <v>66632.960000000006</v>
      </c>
      <c r="F25" s="10137">
        <f t="shared" si="0"/>
        <v>119367.03999999999</v>
      </c>
      <c r="G25" s="8798">
        <v>186000</v>
      </c>
      <c r="H25" s="8798"/>
      <c r="I25" s="8799"/>
      <c r="J25" s="11843">
        <v>184365.55499999999</v>
      </c>
      <c r="K25" s="7310">
        <f>3600*L11</f>
        <v>183600</v>
      </c>
    </row>
    <row r="26" spans="1:14" ht="15" customHeight="1">
      <c r="A26" s="7657"/>
      <c r="B26" s="7803" t="s">
        <v>30</v>
      </c>
      <c r="C26" s="10149">
        <v>50103040</v>
      </c>
      <c r="D26" s="8798">
        <f>'WS-PS 2017'!Y17</f>
        <v>51234.19</v>
      </c>
      <c r="E26" s="8798">
        <f>'WS-PS ACTUAL JUNE 2018'!W17</f>
        <v>23630.92</v>
      </c>
      <c r="F26" s="10137">
        <f t="shared" si="0"/>
        <v>38769.08</v>
      </c>
      <c r="G26" s="8798">
        <v>62400</v>
      </c>
      <c r="H26" s="8798"/>
      <c r="I26" s="8799"/>
      <c r="J26" s="11843">
        <f t="shared" si="1"/>
        <v>61200</v>
      </c>
      <c r="K26" s="7310">
        <f>K24</f>
        <v>61200</v>
      </c>
    </row>
    <row r="27" spans="1:14" ht="15" customHeight="1">
      <c r="A27" s="7657"/>
      <c r="B27" s="7488" t="s">
        <v>5025</v>
      </c>
      <c r="C27" s="12403">
        <v>50104990</v>
      </c>
      <c r="D27" s="8798">
        <f>'WS-PS 2017'!Z17</f>
        <v>1025000</v>
      </c>
      <c r="E27" s="8798"/>
      <c r="F27" s="10137">
        <f t="shared" si="0"/>
        <v>0</v>
      </c>
      <c r="G27" s="8798">
        <v>0</v>
      </c>
      <c r="H27" s="8798"/>
      <c r="I27" s="8799"/>
      <c r="J27" s="11843">
        <f t="shared" si="1"/>
        <v>0</v>
      </c>
      <c r="K27" s="7289"/>
      <c r="L27" s="7860"/>
      <c r="M27" s="7314"/>
    </row>
    <row r="28" spans="1:14" ht="15" customHeight="1">
      <c r="A28" s="7657"/>
      <c r="B28" s="7311"/>
      <c r="C28" s="10149" t="s">
        <v>9</v>
      </c>
      <c r="D28" s="8798" t="s">
        <v>9</v>
      </c>
      <c r="E28" s="8798"/>
      <c r="F28" s="8798"/>
      <c r="G28" s="8798" t="s">
        <v>9</v>
      </c>
      <c r="H28" s="8798"/>
      <c r="I28" s="8799"/>
      <c r="J28" s="11691" t="s">
        <v>9</v>
      </c>
      <c r="K28" s="7289"/>
    </row>
    <row r="29" spans="1:14" ht="15" customHeight="1" thickBot="1">
      <c r="A29" s="7699"/>
      <c r="B29" s="7781" t="s">
        <v>37</v>
      </c>
      <c r="C29" s="12404"/>
      <c r="D29" s="11673">
        <f>SUM(D10:D28)</f>
        <v>18441699.780000001</v>
      </c>
      <c r="E29" s="11673">
        <f>SUM(E10:E28)</f>
        <v>8759632.0100000016</v>
      </c>
      <c r="F29" s="11673">
        <f>SUM(F10:F28)</f>
        <v>14312650.99</v>
      </c>
      <c r="G29" s="11673">
        <f>SUM(G10:G28)</f>
        <v>23072283</v>
      </c>
      <c r="H29" s="11673"/>
      <c r="I29" s="11449"/>
      <c r="J29" s="11877">
        <f>SUM(J10:J28)</f>
        <v>23865314.195</v>
      </c>
      <c r="K29" s="12319">
        <f>SUM(K11:K28)</f>
        <v>24626369.59</v>
      </c>
      <c r="M29" s="7347"/>
    </row>
    <row r="30" spans="1:14" ht="15" customHeight="1">
      <c r="A30" s="7688"/>
      <c r="B30" s="7689"/>
      <c r="C30" s="9326"/>
      <c r="D30" s="7691"/>
      <c r="E30" s="7691"/>
      <c r="F30" s="7691"/>
      <c r="G30" s="7691"/>
      <c r="H30" s="7691"/>
      <c r="I30" s="7389"/>
      <c r="J30" s="7691"/>
      <c r="K30" s="7349"/>
      <c r="M30" s="7347"/>
    </row>
    <row r="31" spans="1:14" ht="15" customHeight="1">
      <c r="A31" s="7287"/>
      <c r="B31" s="7315"/>
      <c r="C31" s="9327"/>
      <c r="D31" s="7349"/>
      <c r="E31" s="7349"/>
      <c r="F31" s="7349"/>
      <c r="G31" s="7349"/>
      <c r="H31" s="7349"/>
      <c r="I31" s="7350"/>
      <c r="J31" s="7349"/>
      <c r="K31" s="7349"/>
      <c r="M31" s="7347"/>
    </row>
    <row r="32" spans="1:14" ht="15" customHeight="1">
      <c r="A32" s="7287"/>
      <c r="B32" s="7315"/>
      <c r="C32" s="9327"/>
      <c r="D32" s="7349"/>
      <c r="E32" s="7349"/>
      <c r="F32" s="7349"/>
      <c r="G32" s="7349"/>
      <c r="H32" s="7349"/>
      <c r="I32" s="7350"/>
      <c r="J32" s="7349"/>
      <c r="K32" s="7349"/>
      <c r="M32" s="7347"/>
    </row>
    <row r="33" spans="1:14" ht="15" customHeight="1">
      <c r="A33" s="7287"/>
      <c r="B33" s="7315"/>
      <c r="C33" s="9327"/>
      <c r="D33" s="7349"/>
      <c r="E33" s="7349"/>
      <c r="F33" s="7349"/>
      <c r="G33" s="7349"/>
      <c r="H33" s="7349"/>
      <c r="I33" s="7350"/>
      <c r="J33" s="7349"/>
      <c r="K33" s="7349"/>
      <c r="M33" s="7347"/>
    </row>
    <row r="34" spans="1:14" ht="15" customHeight="1">
      <c r="A34" s="7287"/>
      <c r="B34" s="7315"/>
      <c r="C34" s="9327"/>
      <c r="D34" s="7349"/>
      <c r="E34" s="7349"/>
      <c r="F34" s="7349"/>
      <c r="G34" s="7349"/>
      <c r="H34" s="7349"/>
      <c r="I34" s="7350"/>
      <c r="J34" s="7349"/>
      <c r="K34" s="7349"/>
      <c r="M34" s="7347"/>
    </row>
    <row r="35" spans="1:14" ht="15" customHeight="1">
      <c r="A35" s="7287"/>
      <c r="B35" s="7315"/>
      <c r="C35" s="9327"/>
      <c r="D35" s="7349"/>
      <c r="E35" s="7349"/>
      <c r="F35" s="7349"/>
      <c r="G35" s="7349"/>
      <c r="H35" s="7349"/>
      <c r="I35" s="7350"/>
      <c r="J35" s="7349"/>
      <c r="K35" s="7349"/>
      <c r="M35" s="7347"/>
    </row>
    <row r="36" spans="1:14" ht="15" customHeight="1">
      <c r="A36" s="7287"/>
      <c r="B36" s="7315"/>
      <c r="C36" s="9327"/>
      <c r="D36" s="7349"/>
      <c r="E36" s="7349"/>
      <c r="F36" s="7349"/>
      <c r="G36" s="7349"/>
      <c r="H36" s="7349"/>
      <c r="I36" s="7350"/>
      <c r="J36" s="7349"/>
      <c r="K36" s="7349"/>
      <c r="M36" s="7347"/>
    </row>
    <row r="37" spans="1:14" ht="15" customHeight="1">
      <c r="A37" s="7287"/>
      <c r="B37" s="7315"/>
      <c r="C37" s="9327"/>
      <c r="D37" s="7349"/>
      <c r="E37" s="7349"/>
      <c r="F37" s="7349"/>
      <c r="G37" s="7349"/>
      <c r="H37" s="7349"/>
      <c r="I37" s="7350"/>
      <c r="J37" s="7349"/>
      <c r="K37" s="7349"/>
      <c r="M37" s="7347"/>
    </row>
    <row r="38" spans="1:14" ht="15" customHeight="1">
      <c r="A38" s="7287"/>
      <c r="B38" s="7315"/>
      <c r="C38" s="9327"/>
      <c r="D38" s="7349"/>
      <c r="E38" s="7349"/>
      <c r="F38" s="7349"/>
      <c r="G38" s="7349"/>
      <c r="H38" s="7349"/>
      <c r="I38" s="7350"/>
      <c r="J38" s="7349"/>
      <c r="K38" s="7349"/>
      <c r="M38" s="7347"/>
    </row>
    <row r="39" spans="1:14" ht="15" customHeight="1" thickBot="1">
      <c r="A39" s="7460" t="s">
        <v>10342</v>
      </c>
      <c r="B39" s="7460"/>
      <c r="C39" s="9328"/>
      <c r="D39" s="7293"/>
      <c r="E39" s="7293"/>
      <c r="F39" s="7293"/>
      <c r="G39" s="7293"/>
      <c r="H39" s="7293"/>
      <c r="I39" s="7294"/>
      <c r="J39" s="7293"/>
      <c r="K39" s="7289"/>
      <c r="N39" s="7346"/>
    </row>
    <row r="40" spans="1:14" ht="15" customHeight="1">
      <c r="A40" s="7694"/>
      <c r="B40" s="11658"/>
      <c r="C40" s="12399" t="s">
        <v>103</v>
      </c>
      <c r="D40" s="10868" t="s">
        <v>10</v>
      </c>
      <c r="E40" s="14188" t="s">
        <v>10711</v>
      </c>
      <c r="F40" s="14189"/>
      <c r="G40" s="14190"/>
      <c r="H40" s="11769"/>
      <c r="I40" s="9462"/>
      <c r="J40" s="11659" t="s">
        <v>12</v>
      </c>
      <c r="K40" s="10867"/>
      <c r="N40" s="7346"/>
    </row>
    <row r="41" spans="1:14" s="7382" customFormat="1" ht="15" customHeight="1">
      <c r="A41" s="7657"/>
      <c r="B41" s="7295" t="s">
        <v>13</v>
      </c>
      <c r="C41" s="12400" t="s">
        <v>94</v>
      </c>
      <c r="D41" s="11123" t="s">
        <v>15</v>
      </c>
      <c r="E41" s="9502" t="s">
        <v>10709</v>
      </c>
      <c r="F41" s="9503" t="s">
        <v>10710</v>
      </c>
      <c r="G41" s="14191" t="s">
        <v>458</v>
      </c>
      <c r="H41" s="11770"/>
      <c r="I41" s="11108"/>
      <c r="J41" s="11660" t="s">
        <v>16</v>
      </c>
      <c r="K41" s="10867"/>
      <c r="L41" s="7310"/>
      <c r="N41" s="7377"/>
    </row>
    <row r="42" spans="1:14" s="7382" customFormat="1" ht="15" customHeight="1" thickBot="1">
      <c r="A42" s="7699"/>
      <c r="B42" s="7897"/>
      <c r="C42" s="12401"/>
      <c r="D42" s="9455">
        <v>2017</v>
      </c>
      <c r="E42" s="9467" t="s">
        <v>457</v>
      </c>
      <c r="F42" s="11661" t="s">
        <v>456</v>
      </c>
      <c r="G42" s="14192"/>
      <c r="H42" s="7496"/>
      <c r="I42" s="7303"/>
      <c r="J42" s="11662">
        <v>2019</v>
      </c>
      <c r="K42" s="9351"/>
      <c r="L42" s="7310"/>
      <c r="N42" s="7377"/>
    </row>
    <row r="43" spans="1:14" s="7382" customFormat="1" ht="15" customHeight="1">
      <c r="A43" s="7657"/>
      <c r="B43" s="7295"/>
      <c r="C43" s="12400"/>
      <c r="D43" s="11676"/>
      <c r="E43" s="10030"/>
      <c r="F43" s="11123"/>
      <c r="G43" s="10030"/>
      <c r="H43" s="12023"/>
      <c r="I43" s="12365"/>
      <c r="J43" s="11677"/>
      <c r="K43" s="9351"/>
      <c r="L43" s="7310"/>
      <c r="N43" s="7377"/>
    </row>
    <row r="44" spans="1:14" ht="17.100000000000001" customHeight="1">
      <c r="A44" s="11663"/>
      <c r="B44" s="7287" t="s">
        <v>38</v>
      </c>
      <c r="C44" s="10149"/>
      <c r="D44" s="10150"/>
      <c r="E44" s="10150"/>
      <c r="F44" s="10150"/>
      <c r="G44" s="8798"/>
      <c r="H44" s="8798"/>
      <c r="I44" s="8799"/>
      <c r="J44" s="11691"/>
      <c r="K44" s="7289"/>
    </row>
    <row r="45" spans="1:14" ht="17.100000000000001" customHeight="1">
      <c r="A45" s="7657"/>
      <c r="B45" s="7287" t="s">
        <v>39</v>
      </c>
      <c r="C45" s="10149">
        <v>50201010</v>
      </c>
      <c r="D45" s="8798">
        <f>'WS-MOOE 2017'!B17</f>
        <v>182588.64</v>
      </c>
      <c r="E45" s="8798">
        <f>'WS-MOOE ACTUAL JUNE 2018'!B18</f>
        <v>92216.76</v>
      </c>
      <c r="F45" s="10137">
        <f t="shared" ref="F45:F60" si="2">G45-E45</f>
        <v>87783.24</v>
      </c>
      <c r="G45" s="8798">
        <v>180000</v>
      </c>
      <c r="H45" s="8798">
        <v>95728.76</v>
      </c>
      <c r="I45" s="12405">
        <f>H45/G45</f>
        <v>0.53182644444444438</v>
      </c>
      <c r="J45" s="11691">
        <v>300000</v>
      </c>
      <c r="K45" s="7289"/>
    </row>
    <row r="46" spans="1:14" ht="17.100000000000001" customHeight="1">
      <c r="A46" s="7657"/>
      <c r="B46" s="7287" t="s">
        <v>41</v>
      </c>
      <c r="C46" s="10149">
        <v>50202010</v>
      </c>
      <c r="D46" s="8798">
        <f>'WS-MOOE 2017'!H17</f>
        <v>227900</v>
      </c>
      <c r="E46" s="8798">
        <f>'WS-MOOE ACTUAL JUNE 2018'!G18</f>
        <v>66340</v>
      </c>
      <c r="F46" s="10137">
        <f t="shared" si="2"/>
        <v>233660</v>
      </c>
      <c r="G46" s="8798">
        <v>300000</v>
      </c>
      <c r="H46" s="8798">
        <v>67140</v>
      </c>
      <c r="I46" s="12405">
        <f t="shared" ref="I46:I60" si="3">H46/G46</f>
        <v>0.2238</v>
      </c>
      <c r="J46" s="11691">
        <v>300000</v>
      </c>
      <c r="K46" s="7289"/>
    </row>
    <row r="47" spans="1:14" ht="17.100000000000001" customHeight="1">
      <c r="A47" s="7657"/>
      <c r="B47" s="7287" t="s">
        <v>42</v>
      </c>
      <c r="C47" s="10149">
        <v>50203010</v>
      </c>
      <c r="D47" s="8798">
        <f>'WS-MOOE 2017'!J17</f>
        <v>183568.55</v>
      </c>
      <c r="E47" s="8798">
        <f>'WS-MOOE ACTUAL JUNE 2018'!H18</f>
        <v>126348.85</v>
      </c>
      <c r="F47" s="10137">
        <f t="shared" si="2"/>
        <v>223651.15</v>
      </c>
      <c r="G47" s="8798">
        <v>350000</v>
      </c>
      <c r="H47" s="8798">
        <v>215295.35</v>
      </c>
      <c r="I47" s="12405">
        <f t="shared" si="3"/>
        <v>0.6151295714285715</v>
      </c>
      <c r="J47" s="11691">
        <v>350000</v>
      </c>
      <c r="K47" s="7289"/>
    </row>
    <row r="48" spans="1:14" ht="17.100000000000001" customHeight="1">
      <c r="A48" s="7657"/>
      <c r="B48" s="7287" t="s">
        <v>46</v>
      </c>
      <c r="C48" s="10149">
        <v>50204020</v>
      </c>
      <c r="D48" s="8798">
        <f>'WS-MOOE 2017'!X17</f>
        <v>450000</v>
      </c>
      <c r="E48" s="8798">
        <f>'WS-MOOE ACTUAL JUNE 2018'!S18</f>
        <v>156002.44</v>
      </c>
      <c r="F48" s="10137">
        <f t="shared" si="2"/>
        <v>293997.56</v>
      </c>
      <c r="G48" s="8798">
        <v>450000</v>
      </c>
      <c r="H48" s="8798">
        <v>278616.37</v>
      </c>
      <c r="I48" s="12405">
        <f t="shared" si="3"/>
        <v>0.61914748888888893</v>
      </c>
      <c r="J48" s="11678">
        <v>0</v>
      </c>
      <c r="K48" s="11664">
        <v>450000</v>
      </c>
    </row>
    <row r="49" spans="1:14" ht="17.100000000000001" customHeight="1">
      <c r="A49" s="7657"/>
      <c r="B49" s="7287" t="s">
        <v>309</v>
      </c>
      <c r="C49" s="10149">
        <v>50205010</v>
      </c>
      <c r="D49" s="8798">
        <f>'WS-MOOE 2017'!Z17</f>
        <v>1200</v>
      </c>
      <c r="E49" s="8798">
        <f>'WS-MOOE ACTUAL JUNE 2018'!U18</f>
        <v>850</v>
      </c>
      <c r="F49" s="10137">
        <f t="shared" si="2"/>
        <v>150</v>
      </c>
      <c r="G49" s="8798">
        <v>1000</v>
      </c>
      <c r="H49" s="8798">
        <v>850</v>
      </c>
      <c r="I49" s="12405">
        <f t="shared" si="3"/>
        <v>0.85</v>
      </c>
      <c r="J49" s="11691">
        <v>1200</v>
      </c>
      <c r="K49" s="7289"/>
      <c r="L49" s="7310">
        <v>-200</v>
      </c>
    </row>
    <row r="50" spans="1:14" ht="17.100000000000001" customHeight="1">
      <c r="A50" s="7657"/>
      <c r="B50" s="7287" t="s">
        <v>155</v>
      </c>
      <c r="C50" s="10149">
        <v>50205020</v>
      </c>
      <c r="D50" s="8798">
        <f>'WS-MOOE 2017'!AA17+'WS-MOOE 2017'!AC17</f>
        <v>91758.32</v>
      </c>
      <c r="E50" s="8798">
        <f>'WS-MOOE ACTUAL JUNE 2018'!V18</f>
        <v>44679.57</v>
      </c>
      <c r="F50" s="10137">
        <f t="shared" si="2"/>
        <v>85320.43</v>
      </c>
      <c r="G50" s="8798">
        <v>130000</v>
      </c>
      <c r="H50" s="8798">
        <v>60454.5</v>
      </c>
      <c r="I50" s="12405">
        <f t="shared" si="3"/>
        <v>0.46503461538461538</v>
      </c>
      <c r="J50" s="11691">
        <f>80000+50000</f>
        <v>130000</v>
      </c>
      <c r="K50" s="7289"/>
    </row>
    <row r="51" spans="1:14" ht="15" hidden="1" customHeight="1">
      <c r="A51" s="7657"/>
      <c r="B51" s="7287" t="s">
        <v>89</v>
      </c>
      <c r="C51" s="10149"/>
      <c r="D51" s="8798"/>
      <c r="E51" s="8798"/>
      <c r="F51" s="10137">
        <f t="shared" si="2"/>
        <v>0</v>
      </c>
      <c r="G51" s="8798"/>
      <c r="H51" s="8798"/>
      <c r="I51" s="12405" t="e">
        <f t="shared" si="3"/>
        <v>#DIV/0!</v>
      </c>
      <c r="J51" s="11691"/>
      <c r="K51" s="7289"/>
    </row>
    <row r="52" spans="1:14" ht="15" hidden="1" customHeight="1">
      <c r="A52" s="7657"/>
      <c r="B52" s="7287" t="s">
        <v>324</v>
      </c>
      <c r="C52" s="10149">
        <v>775</v>
      </c>
      <c r="D52" s="8798">
        <f>'WS-MOOE 2017'!AF17</f>
        <v>0</v>
      </c>
      <c r="E52" s="8798"/>
      <c r="F52" s="10137">
        <f t="shared" si="2"/>
        <v>0</v>
      </c>
      <c r="G52" s="8798">
        <v>0</v>
      </c>
      <c r="H52" s="8798"/>
      <c r="I52" s="12405" t="e">
        <f t="shared" si="3"/>
        <v>#DIV/0!</v>
      </c>
      <c r="J52" s="11691">
        <v>0</v>
      </c>
      <c r="K52" s="7289"/>
    </row>
    <row r="53" spans="1:14" ht="17.100000000000001" customHeight="1">
      <c r="A53" s="7657"/>
      <c r="B53" s="7488" t="s">
        <v>10955</v>
      </c>
      <c r="C53" s="12403">
        <v>50211990</v>
      </c>
      <c r="D53" s="8798">
        <f>'WS-MOOE 2017'!AL17</f>
        <v>263149.5</v>
      </c>
      <c r="E53" s="8798">
        <f>'WS-MOOE ACTUAL JUNE 2018'!AF18</f>
        <v>65221.15</v>
      </c>
      <c r="F53" s="10137">
        <f t="shared" si="2"/>
        <v>414778.85</v>
      </c>
      <c r="G53" s="8798">
        <v>480000</v>
      </c>
      <c r="H53" s="8798">
        <v>162866.68</v>
      </c>
      <c r="I53" s="12405">
        <f t="shared" si="3"/>
        <v>0.33930558333333333</v>
      </c>
      <c r="J53" s="11691">
        <v>480000</v>
      </c>
      <c r="K53" s="7289"/>
    </row>
    <row r="54" spans="1:14" ht="17.100000000000001" customHeight="1">
      <c r="A54" s="7657"/>
      <c r="B54" s="7352" t="s">
        <v>10956</v>
      </c>
      <c r="C54" s="10149">
        <v>50212990</v>
      </c>
      <c r="D54" s="8798">
        <f>'WS-MOOE 2017'!AO17</f>
        <v>457114.19</v>
      </c>
      <c r="E54" s="8798">
        <f>'WS-MOOE ACTUAL JUNE 2018'!AJ18</f>
        <v>216040.64</v>
      </c>
      <c r="F54" s="10137">
        <f>G54-E54</f>
        <v>283959.36</v>
      </c>
      <c r="G54" s="8798">
        <v>500000</v>
      </c>
      <c r="H54" s="8798">
        <v>304448.38</v>
      </c>
      <c r="I54" s="12405">
        <f>H54/G54</f>
        <v>0.60889676000000004</v>
      </c>
      <c r="J54" s="11691">
        <v>500000</v>
      </c>
      <c r="K54" s="7289"/>
    </row>
    <row r="55" spans="1:14" ht="17.100000000000001" customHeight="1">
      <c r="A55" s="7657"/>
      <c r="B55" s="7488" t="s">
        <v>10959</v>
      </c>
      <c r="C55" s="10149">
        <v>50213040</v>
      </c>
      <c r="D55" s="8798">
        <f>'WS-MOOE 2017'!AS17</f>
        <v>0</v>
      </c>
      <c r="E55" s="8798">
        <f>'WS-MOOE ACTUAL JUNE 2018'!AN18</f>
        <v>0</v>
      </c>
      <c r="F55" s="10137">
        <f t="shared" si="2"/>
        <v>20000</v>
      </c>
      <c r="G55" s="9412">
        <v>20000</v>
      </c>
      <c r="H55" s="8798">
        <v>0</v>
      </c>
      <c r="I55" s="12405">
        <f t="shared" si="3"/>
        <v>0</v>
      </c>
      <c r="J55" s="12406">
        <v>20000</v>
      </c>
      <c r="K55" s="9352"/>
    </row>
    <row r="56" spans="1:14" ht="15" hidden="1" customHeight="1">
      <c r="A56" s="7657"/>
      <c r="B56" s="7287" t="s">
        <v>68</v>
      </c>
      <c r="C56" s="10149"/>
      <c r="D56" s="8798">
        <v>0</v>
      </c>
      <c r="E56" s="8798"/>
      <c r="F56" s="10137">
        <f t="shared" si="2"/>
        <v>0</v>
      </c>
      <c r="G56" s="9412"/>
      <c r="H56" s="8798"/>
      <c r="I56" s="12405" t="e">
        <f t="shared" si="3"/>
        <v>#DIV/0!</v>
      </c>
      <c r="J56" s="12406"/>
      <c r="K56" s="9352"/>
    </row>
    <row r="57" spans="1:14" ht="15" hidden="1" customHeight="1">
      <c r="A57" s="7657"/>
      <c r="B57" s="7287" t="s">
        <v>115</v>
      </c>
      <c r="C57" s="10149"/>
      <c r="D57" s="8798"/>
      <c r="E57" s="8798"/>
      <c r="F57" s="10137">
        <f t="shared" si="2"/>
        <v>0</v>
      </c>
      <c r="G57" s="8798"/>
      <c r="H57" s="8798"/>
      <c r="I57" s="12405" t="e">
        <f t="shared" si="3"/>
        <v>#DIV/0!</v>
      </c>
      <c r="J57" s="11691"/>
      <c r="K57" s="7289"/>
    </row>
    <row r="58" spans="1:14" ht="17.100000000000001" customHeight="1">
      <c r="A58" s="7657"/>
      <c r="B58" s="7488" t="s">
        <v>10938</v>
      </c>
      <c r="C58" s="10149">
        <v>50213050</v>
      </c>
      <c r="D58" s="8798">
        <f>'WS-MOOE 2017'!AW17</f>
        <v>55140.85</v>
      </c>
      <c r="E58" s="8798">
        <f>'WS-MOOE ACTUAL JUNE 2018'!AS18</f>
        <v>42789.5</v>
      </c>
      <c r="F58" s="10137">
        <f t="shared" si="2"/>
        <v>117210.5</v>
      </c>
      <c r="G58" s="8798">
        <v>160000</v>
      </c>
      <c r="H58" s="8798">
        <v>71519</v>
      </c>
      <c r="I58" s="12405">
        <f t="shared" si="3"/>
        <v>0.44699375000000002</v>
      </c>
      <c r="J58" s="11691">
        <v>160000</v>
      </c>
      <c r="K58" s="7289"/>
    </row>
    <row r="59" spans="1:14" ht="17.100000000000001" customHeight="1">
      <c r="A59" s="7657"/>
      <c r="B59" s="7287" t="s">
        <v>49</v>
      </c>
      <c r="C59" s="10149">
        <v>50215020</v>
      </c>
      <c r="D59" s="8798">
        <f>'WS-MOOE 2017'!BH17</f>
        <v>0</v>
      </c>
      <c r="E59" s="8798">
        <f>'WS-MOOE ACTUAL JUNE 2018'!AZ18</f>
        <v>0</v>
      </c>
      <c r="F59" s="10137">
        <f t="shared" si="2"/>
        <v>1000</v>
      </c>
      <c r="G59" s="8798">
        <v>1000</v>
      </c>
      <c r="H59" s="8798">
        <v>0</v>
      </c>
      <c r="I59" s="12405">
        <f t="shared" si="3"/>
        <v>0</v>
      </c>
      <c r="J59" s="11691">
        <v>1000</v>
      </c>
      <c r="K59" s="7289"/>
    </row>
    <row r="60" spans="1:14" ht="17.100000000000001" customHeight="1">
      <c r="A60" s="7657"/>
      <c r="B60" s="7287" t="s">
        <v>152</v>
      </c>
      <c r="C60" s="10149">
        <v>50299990</v>
      </c>
      <c r="D60" s="8798">
        <f>'WS-MOOE 2017'!BO17</f>
        <v>62703.01</v>
      </c>
      <c r="E60" s="8798">
        <f>'WS-MOOE ACTUAL JUNE 2018'!BI18</f>
        <v>43077</v>
      </c>
      <c r="F60" s="10137">
        <f t="shared" si="2"/>
        <v>146923</v>
      </c>
      <c r="G60" s="8798">
        <v>190000</v>
      </c>
      <c r="H60" s="8798">
        <v>48759.3</v>
      </c>
      <c r="I60" s="12405">
        <f t="shared" si="3"/>
        <v>0.25662789473684211</v>
      </c>
      <c r="J60" s="11691">
        <v>190000</v>
      </c>
      <c r="K60" s="7289"/>
      <c r="N60" s="7346"/>
    </row>
    <row r="61" spans="1:14" ht="17.100000000000001" customHeight="1">
      <c r="A61" s="7657"/>
      <c r="B61" s="7287" t="s">
        <v>11524</v>
      </c>
      <c r="C61" s="10149"/>
      <c r="D61" s="7660"/>
      <c r="E61" s="7660"/>
      <c r="F61" s="12407"/>
      <c r="G61" s="7660"/>
      <c r="H61" s="7660"/>
      <c r="I61" s="7373"/>
      <c r="J61" s="11736">
        <v>30000</v>
      </c>
      <c r="K61" s="7289"/>
      <c r="N61" s="7346"/>
    </row>
    <row r="62" spans="1:14" ht="17.100000000000001" customHeight="1">
      <c r="A62" s="7657"/>
      <c r="B62" s="7315" t="s">
        <v>37</v>
      </c>
      <c r="C62" s="10149"/>
      <c r="D62" s="12408">
        <f>SUM(D45:D61)</f>
        <v>1975123.06</v>
      </c>
      <c r="E62" s="12408">
        <f>SUM(E45:E61)</f>
        <v>853565.91</v>
      </c>
      <c r="F62" s="12408">
        <f>SUM(F45:F61)</f>
        <v>1908434.0899999999</v>
      </c>
      <c r="G62" s="12408">
        <f>SUM(G45:G61)</f>
        <v>2762000</v>
      </c>
      <c r="H62" s="12408">
        <f>SUM(H45:H60)</f>
        <v>1305678.3400000001</v>
      </c>
      <c r="I62" s="8799">
        <f>H62/G62</f>
        <v>0.4727293048515569</v>
      </c>
      <c r="J62" s="12409">
        <f>SUM(J45:J61)</f>
        <v>2462200</v>
      </c>
      <c r="K62" s="10379">
        <f>(J62-G62)/G62</f>
        <v>-0.10854453294713975</v>
      </c>
      <c r="N62" s="7346"/>
    </row>
    <row r="63" spans="1:14" ht="17.100000000000001" customHeight="1" thickBot="1">
      <c r="A63" s="12410"/>
      <c r="B63" s="7460"/>
      <c r="C63" s="12404"/>
      <c r="D63" s="11704"/>
      <c r="E63" s="11704"/>
      <c r="F63" s="11704"/>
      <c r="G63" s="11704"/>
      <c r="H63" s="11704"/>
      <c r="I63" s="7573"/>
      <c r="J63" s="11854"/>
      <c r="K63" s="7289"/>
      <c r="N63" s="7346"/>
    </row>
    <row r="64" spans="1:14" ht="15" customHeight="1">
      <c r="A64" s="7314"/>
      <c r="B64" s="7314"/>
      <c r="C64" s="9327"/>
      <c r="D64" s="7289"/>
      <c r="E64" s="7289"/>
      <c r="F64" s="7289"/>
      <c r="G64" s="7289"/>
      <c r="H64" s="7289"/>
      <c r="I64" s="7290"/>
      <c r="J64" s="7289"/>
      <c r="K64" s="7289"/>
      <c r="N64" s="7346"/>
    </row>
    <row r="65" spans="1:14" ht="15" customHeight="1">
      <c r="A65" s="7314"/>
      <c r="B65" s="7314"/>
      <c r="C65" s="9327"/>
      <c r="D65" s="7289"/>
      <c r="E65" s="7289"/>
      <c r="F65" s="7289"/>
      <c r="G65" s="7289"/>
      <c r="H65" s="7289"/>
      <c r="I65" s="7290"/>
      <c r="J65" s="7289"/>
      <c r="K65" s="7289"/>
      <c r="N65" s="7346"/>
    </row>
    <row r="66" spans="1:14" ht="15" customHeight="1">
      <c r="A66" s="7314"/>
      <c r="B66" s="7314"/>
      <c r="C66" s="9327"/>
      <c r="D66" s="7289"/>
      <c r="E66" s="7289"/>
      <c r="F66" s="7289"/>
      <c r="G66" s="7289"/>
      <c r="H66" s="7289"/>
      <c r="I66" s="7290"/>
      <c r="J66" s="7289"/>
      <c r="K66" s="7289"/>
      <c r="N66" s="7346"/>
    </row>
    <row r="67" spans="1:14" ht="15" customHeight="1">
      <c r="A67" s="7314"/>
      <c r="B67" s="7314"/>
      <c r="C67" s="9327"/>
      <c r="D67" s="7289"/>
      <c r="E67" s="7289"/>
      <c r="F67" s="7289"/>
      <c r="G67" s="7289"/>
      <c r="H67" s="7289"/>
      <c r="I67" s="7290"/>
      <c r="J67" s="7289"/>
      <c r="K67" s="7289"/>
      <c r="N67" s="7346"/>
    </row>
    <row r="68" spans="1:14" ht="15" customHeight="1">
      <c r="A68" s="7314"/>
      <c r="B68" s="7314"/>
      <c r="C68" s="9327"/>
      <c r="D68" s="7289"/>
      <c r="E68" s="7289"/>
      <c r="F68" s="7289"/>
      <c r="G68" s="7289"/>
      <c r="H68" s="7289"/>
      <c r="I68" s="7290"/>
      <c r="J68" s="7289"/>
      <c r="K68" s="7289"/>
      <c r="N68" s="7346"/>
    </row>
    <row r="69" spans="1:14" ht="15" customHeight="1">
      <c r="A69" s="7314"/>
      <c r="B69" s="7314"/>
      <c r="C69" s="9327"/>
      <c r="D69" s="7289"/>
      <c r="E69" s="7289"/>
      <c r="F69" s="7289"/>
      <c r="G69" s="7289"/>
      <c r="H69" s="7289"/>
      <c r="I69" s="7290"/>
      <c r="J69" s="7289"/>
      <c r="K69" s="7289"/>
      <c r="N69" s="7346"/>
    </row>
    <row r="70" spans="1:14" ht="15" customHeight="1">
      <c r="A70" s="7314"/>
      <c r="B70" s="7314"/>
      <c r="C70" s="9327"/>
      <c r="D70" s="7289"/>
      <c r="E70" s="7289"/>
      <c r="F70" s="7289"/>
      <c r="G70" s="7289"/>
      <c r="H70" s="7289"/>
      <c r="I70" s="7290"/>
      <c r="J70" s="7289"/>
      <c r="K70" s="7289"/>
      <c r="N70" s="7346"/>
    </row>
    <row r="71" spans="1:14" ht="15" customHeight="1">
      <c r="A71" s="7314"/>
      <c r="B71" s="7314"/>
      <c r="C71" s="9327"/>
      <c r="D71" s="7289"/>
      <c r="E71" s="7289"/>
      <c r="F71" s="7289"/>
      <c r="G71" s="7289"/>
      <c r="H71" s="7289"/>
      <c r="I71" s="7290"/>
      <c r="J71" s="7289"/>
      <c r="K71" s="7289"/>
      <c r="N71" s="7346"/>
    </row>
    <row r="72" spans="1:14" ht="15" customHeight="1">
      <c r="A72" s="7314"/>
      <c r="B72" s="7314"/>
      <c r="C72" s="9327"/>
      <c r="D72" s="7289"/>
      <c r="E72" s="7289"/>
      <c r="F72" s="7289"/>
      <c r="G72" s="7289"/>
      <c r="H72" s="7289"/>
      <c r="I72" s="7290"/>
      <c r="J72" s="7289"/>
      <c r="K72" s="7289"/>
      <c r="N72" s="7346"/>
    </row>
    <row r="73" spans="1:14" ht="15" customHeight="1">
      <c r="A73" s="7314"/>
      <c r="B73" s="7314"/>
      <c r="C73" s="9327"/>
      <c r="D73" s="7289"/>
      <c r="E73" s="7289"/>
      <c r="F73" s="7289"/>
      <c r="G73" s="7289"/>
      <c r="H73" s="7289"/>
      <c r="I73" s="7290"/>
      <c r="J73" s="7289"/>
      <c r="K73" s="7289"/>
      <c r="N73" s="7346"/>
    </row>
    <row r="74" spans="1:14" ht="15" customHeight="1">
      <c r="A74" s="7314"/>
      <c r="B74" s="7314"/>
      <c r="C74" s="9327"/>
      <c r="D74" s="7289"/>
      <c r="E74" s="7289"/>
      <c r="F74" s="7289"/>
      <c r="G74" s="7289"/>
      <c r="H74" s="7289"/>
      <c r="I74" s="7290"/>
      <c r="J74" s="7289"/>
      <c r="K74" s="7289"/>
      <c r="N74" s="7346"/>
    </row>
    <row r="75" spans="1:14" ht="15" customHeight="1">
      <c r="A75" s="7314"/>
      <c r="B75" s="7314"/>
      <c r="C75" s="9327"/>
      <c r="D75" s="7289"/>
      <c r="E75" s="7289"/>
      <c r="F75" s="7289"/>
      <c r="G75" s="7289"/>
      <c r="H75" s="7289"/>
      <c r="I75" s="7290"/>
      <c r="J75" s="7289"/>
      <c r="K75" s="7289"/>
      <c r="N75" s="7346"/>
    </row>
    <row r="76" spans="1:14" ht="15" customHeight="1">
      <c r="A76" s="7314"/>
      <c r="B76" s="7314"/>
      <c r="C76" s="9327"/>
      <c r="D76" s="7289"/>
      <c r="E76" s="7289"/>
      <c r="F76" s="7289"/>
      <c r="G76" s="7289"/>
      <c r="H76" s="7289"/>
      <c r="I76" s="7290"/>
      <c r="J76" s="7289"/>
      <c r="K76" s="7289"/>
      <c r="N76" s="7346"/>
    </row>
    <row r="77" spans="1:14" ht="15" customHeight="1">
      <c r="A77" s="7314"/>
      <c r="B77" s="7314"/>
      <c r="C77" s="9327"/>
      <c r="D77" s="7289"/>
      <c r="E77" s="7289"/>
      <c r="F77" s="7289"/>
      <c r="G77" s="7289"/>
      <c r="H77" s="7289"/>
      <c r="I77" s="7290"/>
      <c r="J77" s="7289"/>
      <c r="K77" s="7289"/>
      <c r="N77" s="7346"/>
    </row>
    <row r="78" spans="1:14" ht="15" customHeight="1">
      <c r="A78" s="7314"/>
      <c r="B78" s="7314"/>
      <c r="C78" s="9327"/>
      <c r="D78" s="7289"/>
      <c r="E78" s="7289"/>
      <c r="F78" s="7289"/>
      <c r="G78" s="7289"/>
      <c r="H78" s="7289"/>
      <c r="I78" s="7290"/>
      <c r="J78" s="7289"/>
      <c r="K78" s="7289"/>
      <c r="N78" s="7346"/>
    </row>
    <row r="79" spans="1:14" ht="15" customHeight="1" thickBot="1">
      <c r="A79" s="7314" t="s">
        <v>10760</v>
      </c>
      <c r="B79" s="7314"/>
      <c r="C79" s="9327"/>
      <c r="D79" s="7289"/>
      <c r="E79" s="7289"/>
      <c r="F79" s="7289"/>
      <c r="G79" s="7289"/>
      <c r="H79" s="7289"/>
      <c r="I79" s="7290"/>
      <c r="J79" s="7289"/>
      <c r="K79" s="7289"/>
      <c r="N79" s="7346"/>
    </row>
    <row r="80" spans="1:14" ht="15" customHeight="1">
      <c r="A80" s="7694"/>
      <c r="B80" s="11658"/>
      <c r="C80" s="12399" t="s">
        <v>103</v>
      </c>
      <c r="D80" s="10868" t="s">
        <v>10</v>
      </c>
      <c r="E80" s="14188" t="s">
        <v>10711</v>
      </c>
      <c r="F80" s="14189"/>
      <c r="G80" s="14190"/>
      <c r="H80" s="11769"/>
      <c r="I80" s="9462"/>
      <c r="J80" s="11659" t="s">
        <v>12</v>
      </c>
      <c r="K80" s="10867"/>
      <c r="N80" s="7346"/>
    </row>
    <row r="81" spans="1:14" s="7382" customFormat="1" ht="15" customHeight="1">
      <c r="A81" s="7657"/>
      <c r="B81" s="7295" t="s">
        <v>13</v>
      </c>
      <c r="C81" s="12400" t="s">
        <v>94</v>
      </c>
      <c r="D81" s="11123" t="s">
        <v>15</v>
      </c>
      <c r="E81" s="9502" t="s">
        <v>10709</v>
      </c>
      <c r="F81" s="9503" t="s">
        <v>10710</v>
      </c>
      <c r="G81" s="14191" t="s">
        <v>458</v>
      </c>
      <c r="H81" s="11770"/>
      <c r="I81" s="11108"/>
      <c r="J81" s="11660" t="s">
        <v>16</v>
      </c>
      <c r="K81" s="10867"/>
      <c r="L81" s="7310"/>
      <c r="N81" s="7377"/>
    </row>
    <row r="82" spans="1:14" s="7382" customFormat="1" ht="15" customHeight="1" thickBot="1">
      <c r="A82" s="7699"/>
      <c r="B82" s="7897"/>
      <c r="C82" s="12401"/>
      <c r="D82" s="9455">
        <v>2017</v>
      </c>
      <c r="E82" s="9467" t="s">
        <v>457</v>
      </c>
      <c r="F82" s="11661" t="s">
        <v>456</v>
      </c>
      <c r="G82" s="14192"/>
      <c r="H82" s="7496"/>
      <c r="I82" s="7303"/>
      <c r="J82" s="11662">
        <v>2019</v>
      </c>
      <c r="K82" s="9351"/>
      <c r="L82" s="7310"/>
      <c r="N82" s="7377"/>
    </row>
    <row r="83" spans="1:14" s="7382" customFormat="1" ht="15" customHeight="1">
      <c r="A83" s="11690"/>
      <c r="B83" s="7314"/>
      <c r="C83" s="10149"/>
      <c r="D83" s="8798"/>
      <c r="E83" s="8798"/>
      <c r="F83" s="8798"/>
      <c r="G83" s="8798"/>
      <c r="H83" s="8798"/>
      <c r="I83" s="8799"/>
      <c r="J83" s="11691"/>
      <c r="K83" s="7289"/>
      <c r="L83" s="7310"/>
      <c r="N83" s="7377"/>
    </row>
    <row r="84" spans="1:14" ht="15" customHeight="1">
      <c r="A84" s="11663" t="s">
        <v>51</v>
      </c>
      <c r="B84" s="7287" t="s">
        <v>52</v>
      </c>
      <c r="C84" s="12402"/>
      <c r="D84" s="12412"/>
      <c r="E84" s="12412"/>
      <c r="F84" s="12412"/>
      <c r="G84" s="12412"/>
      <c r="H84" s="12412"/>
      <c r="I84" s="9413"/>
      <c r="J84" s="12413"/>
      <c r="K84" s="8066"/>
      <c r="N84" s="7346"/>
    </row>
    <row r="85" spans="1:14" ht="15" customHeight="1">
      <c r="A85" s="12414"/>
      <c r="B85" s="7881" t="s">
        <v>10001</v>
      </c>
      <c r="C85" s="10151">
        <v>50705020</v>
      </c>
      <c r="D85" s="12412"/>
      <c r="E85" s="12412"/>
      <c r="F85" s="12412"/>
      <c r="G85" s="8882"/>
      <c r="H85" s="8882"/>
      <c r="I85" s="9413"/>
      <c r="J85" s="11251">
        <v>100000</v>
      </c>
      <c r="K85" s="8063"/>
      <c r="N85" s="7346"/>
    </row>
    <row r="86" spans="1:14" s="7314" customFormat="1" ht="15" customHeight="1">
      <c r="A86" s="12414"/>
      <c r="B86" s="7810" t="s">
        <v>11703</v>
      </c>
      <c r="C86" s="10149">
        <v>50707010</v>
      </c>
      <c r="D86" s="12412">
        <f>'WS-CO 2017'!K16</f>
        <v>0</v>
      </c>
      <c r="E86" s="12412"/>
      <c r="F86" s="10137">
        <f>G86-E86</f>
        <v>400000</v>
      </c>
      <c r="G86" s="8882">
        <v>400000</v>
      </c>
      <c r="H86" s="8882">
        <v>0</v>
      </c>
      <c r="I86" s="9413">
        <f>H86/G86</f>
        <v>0</v>
      </c>
      <c r="J86" s="11251">
        <v>100000</v>
      </c>
      <c r="K86" s="8063"/>
      <c r="L86" s="7483"/>
      <c r="M86" s="7717"/>
      <c r="N86" s="7861"/>
    </row>
    <row r="87" spans="1:14" s="7314" customFormat="1" ht="15" customHeight="1">
      <c r="A87" s="12414"/>
      <c r="B87" s="8062"/>
      <c r="C87" s="12402"/>
      <c r="D87" s="12412"/>
      <c r="E87" s="12412"/>
      <c r="F87" s="12412"/>
      <c r="G87" s="8882"/>
      <c r="H87" s="8882"/>
      <c r="I87" s="9413"/>
      <c r="J87" s="11251"/>
      <c r="K87" s="8063"/>
      <c r="L87" s="7483"/>
      <c r="M87" s="7717"/>
      <c r="N87" s="7861"/>
    </row>
    <row r="88" spans="1:14" s="7447" customFormat="1" ht="15" customHeight="1">
      <c r="A88" s="7657"/>
      <c r="B88" s="7315" t="s">
        <v>37</v>
      </c>
      <c r="C88" s="10149"/>
      <c r="D88" s="9465">
        <f>SUM(D84:D87)</f>
        <v>0</v>
      </c>
      <c r="E88" s="9465">
        <f>SUM(E84:E87)</f>
        <v>0</v>
      </c>
      <c r="F88" s="9465">
        <f>SUM(F84:F87)</f>
        <v>400000</v>
      </c>
      <c r="G88" s="9465">
        <f>SUM(G84:G87)</f>
        <v>400000</v>
      </c>
      <c r="H88" s="9465">
        <f>SUM(H84:H86)</f>
        <v>0</v>
      </c>
      <c r="I88" s="9466"/>
      <c r="J88" s="11744">
        <f>SUM(J84:J87)</f>
        <v>200000</v>
      </c>
      <c r="K88" s="10379">
        <f>(J88-G88)/G88</f>
        <v>-0.5</v>
      </c>
      <c r="L88" s="7503"/>
      <c r="M88" s="7862"/>
      <c r="N88" s="7863"/>
    </row>
    <row r="89" spans="1:14" s="7447" customFormat="1" ht="15" customHeight="1">
      <c r="A89" s="7657"/>
      <c r="B89" s="7315"/>
      <c r="C89" s="10149"/>
      <c r="D89" s="10382"/>
      <c r="E89" s="10382"/>
      <c r="F89" s="10382"/>
      <c r="G89" s="10382"/>
      <c r="H89" s="10382"/>
      <c r="I89" s="8874"/>
      <c r="J89" s="12330"/>
      <c r="K89" s="7349"/>
      <c r="L89" s="7503"/>
      <c r="M89" s="7862"/>
      <c r="N89" s="7863"/>
    </row>
    <row r="90" spans="1:14" s="7868" customFormat="1" ht="15" customHeight="1">
      <c r="A90" s="12415" t="s">
        <v>53</v>
      </c>
      <c r="B90" s="7864" t="s">
        <v>4674</v>
      </c>
      <c r="C90" s="10146"/>
      <c r="D90" s="10147"/>
      <c r="E90" s="10147"/>
      <c r="F90" s="10147"/>
      <c r="G90" s="10147"/>
      <c r="H90" s="10147"/>
      <c r="I90" s="10148"/>
      <c r="J90" s="12416"/>
      <c r="K90" s="9353"/>
      <c r="L90" s="7865"/>
      <c r="M90" s="7866"/>
      <c r="N90" s="7867"/>
    </row>
    <row r="91" spans="1:14" s="7868" customFormat="1" ht="15" customHeight="1">
      <c r="A91" s="12415"/>
      <c r="B91" s="7864"/>
      <c r="C91" s="10146"/>
      <c r="D91" s="10147"/>
      <c r="E91" s="10147"/>
      <c r="F91" s="10147"/>
      <c r="G91" s="10147"/>
      <c r="H91" s="10147"/>
      <c r="I91" s="10148"/>
      <c r="J91" s="12416"/>
      <c r="K91" s="9353"/>
      <c r="L91" s="7865"/>
      <c r="M91" s="7866"/>
      <c r="N91" s="7867"/>
    </row>
    <row r="92" spans="1:14" s="7333" customFormat="1" ht="15" customHeight="1">
      <c r="A92" s="11663"/>
      <c r="B92" s="7287" t="s">
        <v>11759</v>
      </c>
      <c r="C92" s="10149">
        <v>99910</v>
      </c>
      <c r="D92" s="8798">
        <v>620301.96</v>
      </c>
      <c r="E92" s="8798">
        <v>119322.79</v>
      </c>
      <c r="F92" s="10137">
        <f>G92-E92</f>
        <v>680677.21</v>
      </c>
      <c r="G92" s="8798">
        <v>800000</v>
      </c>
      <c r="H92" s="8798">
        <v>591547.79</v>
      </c>
      <c r="I92" s="8799">
        <f>H92/G92</f>
        <v>0.73943473749999999</v>
      </c>
      <c r="J92" s="11691">
        <v>800000</v>
      </c>
      <c r="K92" s="7289"/>
      <c r="L92" s="7505"/>
      <c r="N92" s="7869"/>
    </row>
    <row r="93" spans="1:14" s="7333" customFormat="1" ht="15" customHeight="1">
      <c r="A93" s="11663"/>
      <c r="B93" s="7287" t="s">
        <v>11760</v>
      </c>
      <c r="C93" s="10149">
        <v>99911</v>
      </c>
      <c r="D93" s="8798">
        <v>773054.16</v>
      </c>
      <c r="E93" s="8798">
        <v>26325</v>
      </c>
      <c r="F93" s="10137">
        <f>G93-E93</f>
        <v>773675</v>
      </c>
      <c r="G93" s="8798">
        <v>800000</v>
      </c>
      <c r="H93" s="8798">
        <v>265325</v>
      </c>
      <c r="I93" s="8799">
        <f>H93/G93</f>
        <v>0.33165624999999999</v>
      </c>
      <c r="J93" s="11691">
        <v>800000</v>
      </c>
      <c r="K93" s="7289"/>
      <c r="L93" s="7505"/>
      <c r="N93" s="7869"/>
    </row>
    <row r="94" spans="1:14" s="7333" customFormat="1" ht="15" customHeight="1">
      <c r="A94" s="11663"/>
      <c r="B94" s="7287"/>
      <c r="C94" s="10149"/>
      <c r="D94" s="8798"/>
      <c r="E94" s="8798"/>
      <c r="F94" s="8798"/>
      <c r="G94" s="8798"/>
      <c r="H94" s="8798"/>
      <c r="I94" s="8799"/>
      <c r="J94" s="11691"/>
      <c r="K94" s="7289"/>
      <c r="L94" s="7505"/>
      <c r="N94" s="7869"/>
    </row>
    <row r="95" spans="1:14" ht="15" customHeight="1">
      <c r="A95" s="11710"/>
      <c r="B95" s="7315" t="s">
        <v>37</v>
      </c>
      <c r="C95" s="12400"/>
      <c r="D95" s="9465">
        <f>SUM(D92:D93)</f>
        <v>1393356.12</v>
      </c>
      <c r="E95" s="9465">
        <f>SUM(E92:E93)</f>
        <v>145647.78999999998</v>
      </c>
      <c r="F95" s="9465">
        <f>SUM(F92:F93)</f>
        <v>1454352.21</v>
      </c>
      <c r="G95" s="9465">
        <f>SUM(G92:G93)</f>
        <v>1600000</v>
      </c>
      <c r="H95" s="9465">
        <f>SUM(H92:H93)</f>
        <v>856872.79</v>
      </c>
      <c r="I95" s="9466"/>
      <c r="J95" s="11744">
        <f>SUM(J92:J93)</f>
        <v>1600000</v>
      </c>
      <c r="K95" s="10379">
        <f>(J95-G95)/G95</f>
        <v>0</v>
      </c>
      <c r="L95" s="7310">
        <f>J95-G95</f>
        <v>0</v>
      </c>
    </row>
    <row r="96" spans="1:14" ht="15" customHeight="1">
      <c r="A96" s="12331"/>
      <c r="B96" s="7782"/>
      <c r="C96" s="12417"/>
      <c r="D96" s="11694"/>
      <c r="E96" s="11694"/>
      <c r="F96" s="11694"/>
      <c r="G96" s="11694"/>
      <c r="H96" s="11694"/>
      <c r="I96" s="11951"/>
      <c r="J96" s="11696"/>
      <c r="K96" s="7349"/>
    </row>
    <row r="97" spans="1:14" ht="15" customHeight="1" thickBot="1">
      <c r="A97" s="11715"/>
      <c r="B97" s="11716" t="s">
        <v>55</v>
      </c>
      <c r="C97" s="12418"/>
      <c r="D97" s="11673">
        <f>(D29+D62+D88+D92)</f>
        <v>21037124.800000001</v>
      </c>
      <c r="E97" s="11673">
        <f>(E29+E62+E88+E95)</f>
        <v>9758845.7100000009</v>
      </c>
      <c r="F97" s="11673">
        <f>(F29+F62+F88+F95)</f>
        <v>18075437.289999999</v>
      </c>
      <c r="G97" s="11673">
        <f>(G29+G62+G88+G95)</f>
        <v>27834283</v>
      </c>
      <c r="H97" s="11673"/>
      <c r="I97" s="11449"/>
      <c r="J97" s="11877">
        <f>(J29+J62+J88+J95)</f>
        <v>28127514.195</v>
      </c>
      <c r="K97" s="10379">
        <f>(J97-G97)/G97</f>
        <v>1.0534893066941954E-2</v>
      </c>
      <c r="L97" s="7310">
        <f>L95/G95</f>
        <v>0</v>
      </c>
    </row>
    <row r="98" spans="1:14" s="7340" customFormat="1" ht="15" customHeight="1">
      <c r="A98" s="7738" t="s">
        <v>4763</v>
      </c>
      <c r="B98" s="7738"/>
      <c r="C98" s="12411"/>
      <c r="D98" s="7740"/>
      <c r="E98" s="7740"/>
      <c r="F98" s="7740"/>
      <c r="G98" s="7741"/>
      <c r="H98" s="7740"/>
      <c r="I98" s="7742"/>
      <c r="J98" s="7741"/>
      <c r="K98" s="7741"/>
      <c r="L98" s="7502"/>
      <c r="N98" s="7870"/>
    </row>
    <row r="99" spans="1:14" ht="15" customHeight="1">
      <c r="A99" s="7276"/>
      <c r="B99" s="7276"/>
      <c r="C99" s="9323"/>
      <c r="D99" s="7285"/>
      <c r="E99" s="7285"/>
      <c r="F99" s="7285"/>
      <c r="H99" s="7285"/>
      <c r="I99" s="7286"/>
    </row>
    <row r="100" spans="1:14" ht="15" hidden="1" customHeight="1">
      <c r="A100" s="7761" t="s">
        <v>11239</v>
      </c>
      <c r="B100" s="7761"/>
      <c r="C100" s="10870" t="s">
        <v>3484</v>
      </c>
      <c r="D100" s="7762"/>
      <c r="E100" s="7762"/>
      <c r="F100" s="9459" t="s">
        <v>10666</v>
      </c>
      <c r="H100" s="7763"/>
      <c r="I100" s="7286"/>
      <c r="J100" s="7762"/>
      <c r="K100" s="7762"/>
    </row>
    <row r="101" spans="1:14" ht="15" hidden="1" customHeight="1">
      <c r="A101" s="7761"/>
      <c r="B101" s="7761"/>
      <c r="C101" s="9323"/>
      <c r="D101" s="7764"/>
      <c r="E101" s="7764"/>
      <c r="F101" s="7764"/>
      <c r="G101" s="7339"/>
      <c r="H101" s="7763"/>
      <c r="I101" s="7286"/>
      <c r="J101" s="7764"/>
      <c r="K101" s="7764"/>
    </row>
    <row r="102" spans="1:14" ht="15" hidden="1" customHeight="1">
      <c r="A102" s="7761"/>
      <c r="B102" s="7761"/>
      <c r="C102" s="9323"/>
      <c r="D102" s="7762"/>
      <c r="E102" s="7762"/>
      <c r="F102" s="7762"/>
      <c r="G102" s="7339"/>
      <c r="H102" s="7763"/>
      <c r="I102" s="7286"/>
      <c r="J102" s="7762"/>
      <c r="K102" s="7762"/>
      <c r="M102" s="7347"/>
    </row>
    <row r="103" spans="1:14" ht="15" hidden="1" customHeight="1">
      <c r="A103" s="14167" t="s">
        <v>9488</v>
      </c>
      <c r="B103" s="14167"/>
      <c r="D103" s="10874" t="s">
        <v>12059</v>
      </c>
      <c r="E103" s="7762"/>
      <c r="F103" s="7762"/>
      <c r="G103" s="7342" t="s">
        <v>10667</v>
      </c>
      <c r="H103" s="7766"/>
      <c r="I103" s="7284"/>
      <c r="J103" s="7762"/>
      <c r="K103" s="7762"/>
    </row>
    <row r="104" spans="1:14" ht="15" hidden="1" customHeight="1">
      <c r="A104" s="14168" t="s">
        <v>6898</v>
      </c>
      <c r="B104" s="14168"/>
      <c r="D104" s="9323" t="s">
        <v>3486</v>
      </c>
      <c r="E104" s="7762"/>
      <c r="F104" s="7762"/>
      <c r="G104" s="7344" t="s">
        <v>10668</v>
      </c>
      <c r="H104" s="7763"/>
      <c r="I104" s="7763"/>
      <c r="J104" s="7763"/>
      <c r="K104" s="7763"/>
    </row>
    <row r="105" spans="1:14" ht="15" customHeight="1">
      <c r="A105" s="7276"/>
      <c r="B105" s="7276"/>
      <c r="C105" s="9323"/>
      <c r="D105" s="7285"/>
      <c r="E105" s="7285"/>
      <c r="F105" s="7285"/>
      <c r="G105" s="7285"/>
      <c r="H105" s="7285">
        <f>J97-G97</f>
        <v>293231.1950000003</v>
      </c>
      <c r="I105" s="7286">
        <f>H105/G97</f>
        <v>1.0534893066941954E-2</v>
      </c>
      <c r="J105" s="7285"/>
      <c r="K105" s="7285"/>
    </row>
  </sheetData>
  <mergeCells count="11">
    <mergeCell ref="A103:B103"/>
    <mergeCell ref="A104:B104"/>
    <mergeCell ref="A1:J1"/>
    <mergeCell ref="E6:G6"/>
    <mergeCell ref="G7:G8"/>
    <mergeCell ref="E80:G80"/>
    <mergeCell ref="G81:G82"/>
    <mergeCell ref="E40:G40"/>
    <mergeCell ref="G41:G42"/>
    <mergeCell ref="J3:J4"/>
    <mergeCell ref="G3:G4"/>
  </mergeCells>
  <printOptions horizontalCentered="1" gridLinesSet="0"/>
  <pageMargins left="0.25" right="0.25" top="0.5" bottom="0.25" header="0.25" footer="0.25"/>
  <pageSetup paperSize="136" firstPageNumber="179" orientation="landscape" useFirstPageNumber="1" r:id="rId1"/>
  <headerFooter alignWithMargins="0"/>
</worksheet>
</file>

<file path=xl/worksheets/sheet99.xml><?xml version="1.0" encoding="utf-8"?>
<worksheet xmlns="http://schemas.openxmlformats.org/spreadsheetml/2006/main" xmlns:r="http://schemas.openxmlformats.org/officeDocument/2006/relationships">
  <sheetPr codeName="Sheet132">
    <tabColor rgb="FFFFFF00"/>
  </sheetPr>
  <dimension ref="A1:F39"/>
  <sheetViews>
    <sheetView topLeftCell="A25" workbookViewId="0">
      <selection activeCell="B52" sqref="B52"/>
    </sheetView>
  </sheetViews>
  <sheetFormatPr defaultColWidth="9.109375" defaultRowHeight="14.4"/>
  <cols>
    <col min="1" max="1" width="29.44140625" style="3982" customWidth="1"/>
    <col min="2" max="2" width="14.109375" style="3983" customWidth="1"/>
    <col min="3" max="4" width="13.44140625" style="3983" customWidth="1"/>
    <col min="5" max="5" width="12.44140625" style="3983" customWidth="1"/>
    <col min="6" max="6" width="12.88671875" style="3982" customWidth="1"/>
    <col min="7" max="16384" width="9.109375" style="3982"/>
  </cols>
  <sheetData>
    <row r="1" spans="1:6" s="3979" customFormat="1" ht="24" customHeight="1">
      <c r="A1" s="3979" t="s">
        <v>3426</v>
      </c>
      <c r="B1" s="3980"/>
      <c r="C1" s="3980"/>
      <c r="D1" s="3980"/>
      <c r="E1" s="3980"/>
    </row>
    <row r="2" spans="1:6" s="3979" customFormat="1" ht="16.5" customHeight="1">
      <c r="A2" s="3981" t="s">
        <v>308</v>
      </c>
      <c r="B2" s="3980"/>
      <c r="C2" s="3980"/>
      <c r="D2" s="3980"/>
      <c r="E2" s="3980"/>
    </row>
    <row r="3" spans="1:6" s="3979" customFormat="1" ht="16.5" customHeight="1">
      <c r="B3" s="3980"/>
      <c r="C3" s="3980"/>
      <c r="D3" s="3980"/>
      <c r="E3" s="3980"/>
    </row>
    <row r="4" spans="1:6" ht="15" thickBot="1"/>
    <row r="5" spans="1:6">
      <c r="A5" s="3984"/>
      <c r="B5" s="14889" t="s">
        <v>18</v>
      </c>
      <c r="C5" s="14890"/>
      <c r="D5" s="3985"/>
      <c r="E5" s="3985"/>
      <c r="F5" s="3986"/>
    </row>
    <row r="6" spans="1:6" ht="27" thickBot="1">
      <c r="A6" s="3987" t="s">
        <v>4589</v>
      </c>
      <c r="B6" s="14891"/>
      <c r="C6" s="14892"/>
      <c r="D6" s="3988" t="s">
        <v>219</v>
      </c>
      <c r="E6" s="3988" t="s">
        <v>259</v>
      </c>
      <c r="F6" s="3989" t="s">
        <v>220</v>
      </c>
    </row>
    <row r="7" spans="1:6" ht="20.25" customHeight="1">
      <c r="A7" s="3990"/>
      <c r="B7" s="3988" t="s">
        <v>3876</v>
      </c>
      <c r="C7" s="14893" t="s">
        <v>4590</v>
      </c>
      <c r="D7" s="3267"/>
      <c r="E7" s="3988" t="s">
        <v>5587</v>
      </c>
      <c r="F7" s="3267"/>
    </row>
    <row r="8" spans="1:6" ht="15" thickBot="1">
      <c r="A8" s="3991"/>
      <c r="B8" s="3992" t="s">
        <v>563</v>
      </c>
      <c r="C8" s="14894"/>
      <c r="D8" s="3993"/>
      <c r="E8" s="3993"/>
      <c r="F8" s="3993"/>
    </row>
    <row r="9" spans="1:6" ht="15" thickBot="1">
      <c r="A9" s="3994" t="s">
        <v>4591</v>
      </c>
      <c r="B9" s="3995"/>
      <c r="C9" s="3995"/>
      <c r="D9" s="3995"/>
      <c r="E9" s="3995"/>
      <c r="F9" s="3995"/>
    </row>
    <row r="10" spans="1:6">
      <c r="A10" s="14883" t="s">
        <v>5588</v>
      </c>
      <c r="B10" s="14885">
        <v>4228030.71</v>
      </c>
      <c r="C10" s="14885">
        <v>701244</v>
      </c>
      <c r="D10" s="14887"/>
      <c r="E10" s="14887"/>
      <c r="F10" s="14885">
        <f>SUM(B10:E11)</f>
        <v>4929274.71</v>
      </c>
    </row>
    <row r="11" spans="1:6" ht="15" thickBot="1">
      <c r="A11" s="14884"/>
      <c r="B11" s="14886"/>
      <c r="C11" s="14886"/>
      <c r="D11" s="14888"/>
      <c r="E11" s="14888"/>
      <c r="F11" s="14886"/>
    </row>
    <row r="12" spans="1:6">
      <c r="A12" s="14883" t="s">
        <v>5589</v>
      </c>
      <c r="B12" s="14885">
        <f>6359905.31+4474</f>
        <v>6364379.3099999996</v>
      </c>
      <c r="C12" s="14885">
        <v>1110684</v>
      </c>
      <c r="D12" s="14887"/>
      <c r="E12" s="14887"/>
      <c r="F12" s="14885">
        <f>SUM(B12:E13)</f>
        <v>7475063.3099999996</v>
      </c>
    </row>
    <row r="13" spans="1:6" ht="15" thickBot="1">
      <c r="A13" s="14884"/>
      <c r="B13" s="14886"/>
      <c r="C13" s="14886"/>
      <c r="D13" s="14888"/>
      <c r="E13" s="14888"/>
      <c r="F13" s="14886"/>
    </row>
    <row r="14" spans="1:6">
      <c r="A14" s="14883" t="s">
        <v>5590</v>
      </c>
      <c r="B14" s="14885">
        <v>4071436.98</v>
      </c>
      <c r="C14" s="14885">
        <v>675272</v>
      </c>
      <c r="D14" s="14887"/>
      <c r="E14" s="14887"/>
      <c r="F14" s="14885">
        <f>SUM(B14:E15)</f>
        <v>4746708.9800000004</v>
      </c>
    </row>
    <row r="15" spans="1:6" ht="15" thickBot="1">
      <c r="A15" s="14884"/>
      <c r="B15" s="14886"/>
      <c r="C15" s="14886"/>
      <c r="D15" s="14888"/>
      <c r="E15" s="14888"/>
      <c r="F15" s="14886"/>
    </row>
    <row r="16" spans="1:6">
      <c r="A16" s="14895" t="s">
        <v>2087</v>
      </c>
      <c r="B16" s="14897">
        <f>SUM(B10:B15)</f>
        <v>14663847</v>
      </c>
      <c r="C16" s="14897">
        <f>SUM(C10:C15)</f>
        <v>2487200</v>
      </c>
      <c r="D16" s="14899">
        <v>0</v>
      </c>
      <c r="E16" s="14899">
        <v>0</v>
      </c>
      <c r="F16" s="14897">
        <f>SUM(F10:F15)</f>
        <v>17151047</v>
      </c>
    </row>
    <row r="17" spans="1:6" ht="15" thickBot="1">
      <c r="A17" s="14896"/>
      <c r="B17" s="14898"/>
      <c r="C17" s="14898"/>
      <c r="D17" s="14898"/>
      <c r="E17" s="14898"/>
      <c r="F17" s="14904"/>
    </row>
    <row r="18" spans="1:6" ht="15" thickBot="1">
      <c r="A18" s="3994" t="s">
        <v>4592</v>
      </c>
      <c r="B18" s="3996"/>
      <c r="C18" s="3996"/>
      <c r="D18" s="3996"/>
      <c r="E18" s="3996"/>
      <c r="F18" s="3996"/>
    </row>
    <row r="19" spans="1:6" ht="26.4">
      <c r="A19" s="3997" t="s">
        <v>5592</v>
      </c>
      <c r="B19" s="3998"/>
      <c r="C19" s="3999"/>
      <c r="D19" s="14887"/>
      <c r="E19" s="4000"/>
      <c r="F19" s="14885">
        <f>SUM(E21:E25)</f>
        <v>550000</v>
      </c>
    </row>
    <row r="20" spans="1:6">
      <c r="A20" s="3997"/>
      <c r="B20" s="4001"/>
      <c r="C20" s="4002"/>
      <c r="D20" s="14903"/>
      <c r="E20" s="4000"/>
      <c r="F20" s="14905"/>
    </row>
    <row r="21" spans="1:6" ht="26.4">
      <c r="A21" s="4003" t="s">
        <v>5593</v>
      </c>
      <c r="B21" s="4001"/>
      <c r="C21" s="4002"/>
      <c r="D21" s="14903"/>
      <c r="E21" s="4000"/>
      <c r="F21" s="14905"/>
    </row>
    <row r="22" spans="1:6">
      <c r="A22" s="4003" t="s">
        <v>5594</v>
      </c>
      <c r="B22" s="4001"/>
      <c r="C22" s="4002"/>
      <c r="D22" s="14903"/>
      <c r="E22" s="4004">
        <v>300000</v>
      </c>
      <c r="F22" s="14905"/>
    </row>
    <row r="23" spans="1:6">
      <c r="A23" s="4003" t="s">
        <v>5595</v>
      </c>
      <c r="B23" s="4001"/>
      <c r="C23" s="4002"/>
      <c r="D23" s="14903"/>
      <c r="E23" s="4004">
        <v>100000</v>
      </c>
      <c r="F23" s="14905"/>
    </row>
    <row r="24" spans="1:6">
      <c r="A24" s="4005"/>
      <c r="B24" s="4001"/>
      <c r="C24" s="4002"/>
      <c r="D24" s="14903"/>
      <c r="E24" s="4004">
        <v>150000</v>
      </c>
      <c r="F24" s="14905"/>
    </row>
    <row r="25" spans="1:6" ht="15" thickBot="1">
      <c r="A25" s="3991"/>
      <c r="B25" s="4006"/>
      <c r="C25" s="4007"/>
      <c r="D25" s="14888"/>
      <c r="E25" s="4008"/>
      <c r="F25" s="14886"/>
    </row>
    <row r="26" spans="1:6" ht="22.5" customHeight="1">
      <c r="A26" s="14900" t="s">
        <v>5596</v>
      </c>
      <c r="B26" s="14899"/>
      <c r="C26" s="14899"/>
      <c r="D26" s="14887"/>
      <c r="E26" s="14885">
        <v>150000</v>
      </c>
      <c r="F26" s="14885">
        <v>150000</v>
      </c>
    </row>
    <row r="27" spans="1:6" ht="15" thickBot="1">
      <c r="A27" s="14901"/>
      <c r="B27" s="14898"/>
      <c r="C27" s="14898"/>
      <c r="D27" s="14888"/>
      <c r="E27" s="14886"/>
      <c r="F27" s="14886"/>
    </row>
    <row r="28" spans="1:6" ht="22.5" customHeight="1">
      <c r="A28" s="14900" t="s">
        <v>5597</v>
      </c>
      <c r="B28" s="14899"/>
      <c r="C28" s="14899"/>
      <c r="D28" s="14887"/>
      <c r="E28" s="14885">
        <v>150000</v>
      </c>
      <c r="F28" s="14885">
        <v>150000</v>
      </c>
    </row>
    <row r="29" spans="1:6" ht="15" thickBot="1">
      <c r="A29" s="14901"/>
      <c r="B29" s="14898"/>
      <c r="C29" s="14898"/>
      <c r="D29" s="14888"/>
      <c r="E29" s="14886"/>
      <c r="F29" s="14886"/>
    </row>
    <row r="30" spans="1:6" ht="35.25" customHeight="1">
      <c r="A30" s="14900" t="s">
        <v>5598</v>
      </c>
      <c r="B30" s="14899"/>
      <c r="C30" s="14899"/>
      <c r="D30" s="14887"/>
      <c r="E30" s="14885">
        <v>50000</v>
      </c>
      <c r="F30" s="14885">
        <v>50000</v>
      </c>
    </row>
    <row r="31" spans="1:6" ht="15" thickBot="1">
      <c r="A31" s="14901"/>
      <c r="B31" s="14898"/>
      <c r="C31" s="14898"/>
      <c r="D31" s="14888"/>
      <c r="E31" s="14886"/>
      <c r="F31" s="14886"/>
    </row>
    <row r="32" spans="1:6" ht="22.5" customHeight="1">
      <c r="A32" s="14900" t="s">
        <v>5599</v>
      </c>
      <c r="B32" s="14899"/>
      <c r="C32" s="14899"/>
      <c r="D32" s="14885"/>
      <c r="E32" s="14887"/>
      <c r="F32" s="14885"/>
    </row>
    <row r="33" spans="1:6" ht="15" thickBot="1">
      <c r="A33" s="14901"/>
      <c r="B33" s="14898"/>
      <c r="C33" s="14898"/>
      <c r="D33" s="14886"/>
      <c r="E33" s="14888"/>
      <c r="F33" s="14886"/>
    </row>
    <row r="34" spans="1:6">
      <c r="A34" s="14900" t="s">
        <v>5600</v>
      </c>
      <c r="B34" s="14899"/>
      <c r="C34" s="14899"/>
      <c r="D34" s="14885"/>
      <c r="E34" s="14887"/>
      <c r="F34" s="14885"/>
    </row>
    <row r="35" spans="1:6" ht="27" customHeight="1" thickBot="1">
      <c r="A35" s="14901"/>
      <c r="B35" s="14898"/>
      <c r="C35" s="14898"/>
      <c r="D35" s="14886"/>
      <c r="E35" s="14888"/>
      <c r="F35" s="14886"/>
    </row>
    <row r="36" spans="1:6" ht="39.6">
      <c r="A36" s="4009" t="s">
        <v>5601</v>
      </c>
      <c r="B36" s="14899"/>
      <c r="C36" s="14899"/>
      <c r="D36" s="14887"/>
      <c r="E36" s="14887"/>
      <c r="F36" s="14887"/>
    </row>
    <row r="37" spans="1:6" ht="26.4">
      <c r="A37" s="4009" t="s">
        <v>5602</v>
      </c>
      <c r="B37" s="14902"/>
      <c r="C37" s="14902"/>
      <c r="D37" s="14903"/>
      <c r="E37" s="14903"/>
      <c r="F37" s="14903"/>
    </row>
    <row r="38" spans="1:6" ht="15" thickBot="1">
      <c r="A38" s="4010"/>
      <c r="B38" s="14898"/>
      <c r="C38" s="14898"/>
      <c r="D38" s="14888"/>
      <c r="E38" s="14888"/>
      <c r="F38" s="14888"/>
    </row>
    <row r="39" spans="1:6" ht="15" thickBot="1">
      <c r="A39" s="4007" t="s">
        <v>5603</v>
      </c>
      <c r="B39" s="3996" t="s">
        <v>5591</v>
      </c>
      <c r="C39" s="3996" t="s">
        <v>5604</v>
      </c>
      <c r="D39" s="3996" t="s">
        <v>5572</v>
      </c>
      <c r="E39" s="3996" t="s">
        <v>5605</v>
      </c>
      <c r="F39" s="4011">
        <f>SUM(F16:F38)</f>
        <v>18051047</v>
      </c>
    </row>
  </sheetData>
  <mergeCells count="63">
    <mergeCell ref="F36:F38"/>
    <mergeCell ref="F26:F27"/>
    <mergeCell ref="F28:F29"/>
    <mergeCell ref="F30:F31"/>
    <mergeCell ref="F32:F33"/>
    <mergeCell ref="F34:F35"/>
    <mergeCell ref="F10:F11"/>
    <mergeCell ref="F12:F13"/>
    <mergeCell ref="F14:F15"/>
    <mergeCell ref="F16:F17"/>
    <mergeCell ref="D19:D25"/>
    <mergeCell ref="F19:F25"/>
    <mergeCell ref="E10:E11"/>
    <mergeCell ref="B36:B38"/>
    <mergeCell ref="C36:C38"/>
    <mergeCell ref="D36:D38"/>
    <mergeCell ref="E36:E38"/>
    <mergeCell ref="E32:E33"/>
    <mergeCell ref="A34:A35"/>
    <mergeCell ref="B34:B35"/>
    <mergeCell ref="C34:C35"/>
    <mergeCell ref="D34:D35"/>
    <mergeCell ref="E34:E35"/>
    <mergeCell ref="E28:E29"/>
    <mergeCell ref="A30:A31"/>
    <mergeCell ref="B30:B31"/>
    <mergeCell ref="C30:C31"/>
    <mergeCell ref="D30:D31"/>
    <mergeCell ref="E30:E31"/>
    <mergeCell ref="A28:A29"/>
    <mergeCell ref="B28:B29"/>
    <mergeCell ref="C28:C29"/>
    <mergeCell ref="D28:D29"/>
    <mergeCell ref="A32:A33"/>
    <mergeCell ref="B32:B33"/>
    <mergeCell ref="C32:C33"/>
    <mergeCell ref="D32:D33"/>
    <mergeCell ref="D26:D27"/>
    <mergeCell ref="E26:E27"/>
    <mergeCell ref="E14:E15"/>
    <mergeCell ref="A16:A17"/>
    <mergeCell ref="B16:B17"/>
    <mergeCell ref="C16:C17"/>
    <mergeCell ref="D16:D17"/>
    <mergeCell ref="E16:E17"/>
    <mergeCell ref="A14:A15"/>
    <mergeCell ref="B14:B15"/>
    <mergeCell ref="C14:C15"/>
    <mergeCell ref="D14:D15"/>
    <mergeCell ref="A26:A27"/>
    <mergeCell ref="B26:B27"/>
    <mergeCell ref="C26:C27"/>
    <mergeCell ref="A12:A13"/>
    <mergeCell ref="B12:B13"/>
    <mergeCell ref="C12:C13"/>
    <mergeCell ref="D12:D13"/>
    <mergeCell ref="E12:E13"/>
    <mergeCell ref="A10:A11"/>
    <mergeCell ref="B10:B11"/>
    <mergeCell ref="C10:C11"/>
    <mergeCell ref="D10:D11"/>
    <mergeCell ref="B5:C6"/>
    <mergeCell ref="C7:C8"/>
  </mergeCells>
  <printOptions horizontalCentered="1"/>
  <pageMargins left="0.5" right="0.25" top="0.75" bottom="0.5" header="0.3" footer="0.25"/>
  <pageSetup paperSize="119" firstPageNumber="180" orientation="portrait" useFirstPageNumber="1"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226</vt:i4>
      </vt:variant>
      <vt:variant>
        <vt:lpstr>Named Ranges</vt:lpstr>
      </vt:variant>
      <vt:variant>
        <vt:i4>21</vt:i4>
      </vt:variant>
    </vt:vector>
  </HeadingPairs>
  <TitlesOfParts>
    <vt:vector size="247" baseType="lpstr">
      <vt:lpstr>TABLE OF CONTENTS</vt:lpstr>
      <vt:lpstr>SUMMARY WORKSHEET NO. 2</vt:lpstr>
      <vt:lpstr>LGBRPS-2</vt:lpstr>
      <vt:lpstr>LGBRPS-4</vt:lpstr>
      <vt:lpstr>LGBRPS-5</vt:lpstr>
      <vt:lpstr>lbpf 3- RTC-1</vt:lpstr>
      <vt:lpstr>lbpf 3-NGA</vt:lpstr>
      <vt:lpstr>lbpf 3-ROD</vt:lpstr>
      <vt:lpstr>lbpf 3-EDC</vt:lpstr>
      <vt:lpstr>lbpf 3-SENIOR CITIZENS</vt:lpstr>
      <vt:lpstr>lbpf 3-COA</vt:lpstr>
      <vt:lpstr>lbr 1b</vt:lpstr>
      <vt:lpstr>lbr 3c</vt:lpstr>
      <vt:lpstr>lbr 3d</vt:lpstr>
      <vt:lpstr>lbr 4</vt:lpstr>
      <vt:lpstr>receipts program</vt:lpstr>
      <vt:lpstr>STATEMENT OF RECEIPTS</vt:lpstr>
      <vt:lpstr>LBPF </vt:lpstr>
      <vt:lpstr>lbpf 5-GO</vt:lpstr>
      <vt:lpstr>lbpf 5(2)-GO</vt:lpstr>
      <vt:lpstr>LBPF No. 2</vt:lpstr>
      <vt:lpstr>BESF Table 1</vt:lpstr>
      <vt:lpstr>lbpf 3-GO</vt:lpstr>
      <vt:lpstr>LBF3-GO AMENDED 11 02 2013</vt:lpstr>
      <vt:lpstr>GO- NEW APPROPRIATIONS</vt:lpstr>
      <vt:lpstr>staffing-GOV</vt:lpstr>
      <vt:lpstr>lbpf 5-BEPO</vt:lpstr>
      <vt:lpstr>Sheet5</vt:lpstr>
      <vt:lpstr>lbpf 3-BEPO</vt:lpstr>
      <vt:lpstr>BEPO- NEW APPROPRIATIONS</vt:lpstr>
      <vt:lpstr>staffing-bepo</vt:lpstr>
      <vt:lpstr>lbpf 5-BEMO</vt:lpstr>
      <vt:lpstr>lbpf 3-BEMO</vt:lpstr>
      <vt:lpstr>BEMO-NEW APPROPRIATION</vt:lpstr>
      <vt:lpstr>staffing-bemo</vt:lpstr>
      <vt:lpstr>lbpf 5-BIPC</vt:lpstr>
      <vt:lpstr>lbpf 3-BIPC</vt:lpstr>
      <vt:lpstr>BIPC - NEW APPROPIRATIONS</vt:lpstr>
      <vt:lpstr>staffing-bipc</vt:lpstr>
      <vt:lpstr>lbpf 4-BIPC</vt:lpstr>
      <vt:lpstr>lbpf 5-BTO</vt:lpstr>
      <vt:lpstr>lbpf 3-BTO</vt:lpstr>
      <vt:lpstr>Sheet4</vt:lpstr>
      <vt:lpstr>NEW APPROP.-BTO</vt:lpstr>
      <vt:lpstr>staffing-bto</vt:lpstr>
      <vt:lpstr>lbpf 5 -CCAD</vt:lpstr>
      <vt:lpstr>lbpf 3-CCAD</vt:lpstr>
      <vt:lpstr>CCAD- NEW APPROPIRATIONS</vt:lpstr>
      <vt:lpstr>staffing-CCAD</vt:lpstr>
      <vt:lpstr>lbpf 5-BCDS</vt:lpstr>
      <vt:lpstr>BCDS- NEW APPROPRIATIONS</vt:lpstr>
      <vt:lpstr>lbpf 5-BICTU</vt:lpstr>
      <vt:lpstr>lbpf 3-BICTU</vt:lpstr>
      <vt:lpstr>BICTU- NEW APPROPRIATIONS</vt:lpstr>
      <vt:lpstr>staffing-BICTU</vt:lpstr>
      <vt:lpstr>lbpf 3-EDCOM</vt:lpstr>
      <vt:lpstr>staffing-EDCOM</vt:lpstr>
      <vt:lpstr>lbpf 3-EDCENTER</vt:lpstr>
      <vt:lpstr>staffing-EDCENTER</vt:lpstr>
      <vt:lpstr>lbpf 5-BDJ</vt:lpstr>
      <vt:lpstr>lbpf 3-PEEMU</vt:lpstr>
      <vt:lpstr>staffing-PEEMU</vt:lpstr>
      <vt:lpstr>lbpf 3-PYDO</vt:lpstr>
      <vt:lpstr>staffing-PYDO</vt:lpstr>
      <vt:lpstr>lbpf 3-BDJ</vt:lpstr>
      <vt:lpstr>BDJ- NEW APPROPRIATIONS</vt:lpstr>
      <vt:lpstr>staffing-bdj</vt:lpstr>
      <vt:lpstr>lbpf 5(1)-SP</vt:lpstr>
      <vt:lpstr>lbpf 5(2)-SP</vt:lpstr>
      <vt:lpstr>lbpf 3-SP</vt:lpstr>
      <vt:lpstr>SP-NEW APPROPRIATION</vt:lpstr>
      <vt:lpstr>staffing-SP</vt:lpstr>
      <vt:lpstr>lbpf 5-LIB</vt:lpstr>
      <vt:lpstr>lbpf 3-LIB</vt:lpstr>
      <vt:lpstr>LIB- NEW APPROPRIATIONS</vt:lpstr>
      <vt:lpstr>staffing-lib</vt:lpstr>
      <vt:lpstr>lbpf 5-GO (2)</vt:lpstr>
      <vt:lpstr>lbpf 3-PADMO</vt:lpstr>
      <vt:lpstr>PA-NEW APPROPRIATION</vt:lpstr>
      <vt:lpstr>staffing-PA</vt:lpstr>
      <vt:lpstr>lbpf 5-HRMDO</vt:lpstr>
      <vt:lpstr>lbpf 3-PHRMD</vt:lpstr>
      <vt:lpstr>HRMDO- NEW APPROPRIATIONS</vt:lpstr>
      <vt:lpstr>staffing-hrmo</vt:lpstr>
      <vt:lpstr>lbpf 5-PPDO</vt:lpstr>
      <vt:lpstr>lbpf 3-PPDO</vt:lpstr>
      <vt:lpstr>PPDO-NEW APPROPRIATION</vt:lpstr>
      <vt:lpstr>staffing-ppdo</vt:lpstr>
      <vt:lpstr>lbpf 5-PGSO</vt:lpstr>
      <vt:lpstr>lbpf 3-GSO </vt:lpstr>
      <vt:lpstr>PGSO-NEW APPROPRIATION</vt:lpstr>
      <vt:lpstr>staffing-pgso</vt:lpstr>
      <vt:lpstr>lbpf 5-PBMO</vt:lpstr>
      <vt:lpstr>lbpf 3-PBMO</vt:lpstr>
      <vt:lpstr>PBMO- NEW APPROPRIATIONS</vt:lpstr>
      <vt:lpstr>staffing-pbmo</vt:lpstr>
      <vt:lpstr>lbpf 5-PACCO</vt:lpstr>
      <vt:lpstr>lbpf 3-PAccO</vt:lpstr>
      <vt:lpstr>PACCO- NEW APPROPRIATIONS</vt:lpstr>
      <vt:lpstr>lbpf 5-PTO</vt:lpstr>
      <vt:lpstr>staffing-pacco</vt:lpstr>
      <vt:lpstr>lbpf 3-PTO</vt:lpstr>
      <vt:lpstr>PTO- NEW APPROPRIATIONS</vt:lpstr>
      <vt:lpstr>staffing-pto</vt:lpstr>
      <vt:lpstr>lbpf 5-PAssO</vt:lpstr>
      <vt:lpstr>PASSO- NEW APPROPRIATIONS</vt:lpstr>
      <vt:lpstr>lbpf 5-PIAO</vt:lpstr>
      <vt:lpstr>lbpf 3-PAssO</vt:lpstr>
      <vt:lpstr>staffing-passo</vt:lpstr>
      <vt:lpstr>PIAO- NEW APPROPRIATIONS</vt:lpstr>
      <vt:lpstr>lbpf 3-PIAO</vt:lpstr>
      <vt:lpstr>staffing-PIAO</vt:lpstr>
      <vt:lpstr>lbpf 5-PLO</vt:lpstr>
      <vt:lpstr>lbpf 3-LEGAL</vt:lpstr>
      <vt:lpstr>PLO-NEW APPROPRIATION</vt:lpstr>
      <vt:lpstr>staffing-legal</vt:lpstr>
      <vt:lpstr>lbpf 5-PHO</vt:lpstr>
      <vt:lpstr>lbpf 3-PDRRMO</vt:lpstr>
      <vt:lpstr>Sheet3</vt:lpstr>
      <vt:lpstr>staffing-PDRRMO</vt:lpstr>
      <vt:lpstr>lbpf 3-PHO</vt:lpstr>
      <vt:lpstr>PHO- NEW APPROPRIATIONS</vt:lpstr>
      <vt:lpstr>staffing-pho</vt:lpstr>
      <vt:lpstr>lbpf 5-HTALIBON</vt:lpstr>
      <vt:lpstr>lbpf 3-HTALIBON</vt:lpstr>
      <vt:lpstr>TALIBON-NEW APPROPRIATION</vt:lpstr>
      <vt:lpstr>staffing-TAL</vt:lpstr>
      <vt:lpstr>lbpf 5-CARMEN</vt:lpstr>
      <vt:lpstr>lbpf 3-HCARMEN</vt:lpstr>
      <vt:lpstr>CARMEN -NEW APPROPRIATION</vt:lpstr>
      <vt:lpstr>staffing-carmen</vt:lpstr>
      <vt:lpstr>lbpf 5-JAGNA</vt:lpstr>
      <vt:lpstr>lbpf 3-HJAGNA</vt:lpstr>
      <vt:lpstr>JAGNA- NEW APPROPRIATIONS</vt:lpstr>
      <vt:lpstr>staffing-jagna</vt:lpstr>
      <vt:lpstr>lbpf 5-LOON</vt:lpstr>
      <vt:lpstr>lbpf 3-HLOON</vt:lpstr>
      <vt:lpstr>LOON- NEW APPROPRIATIONS</vt:lpstr>
      <vt:lpstr>staffing-loon</vt:lpstr>
      <vt:lpstr>lbp 5-CATIGBIAN</vt:lpstr>
      <vt:lpstr>lbpf 3-HCATIGBIAN</vt:lpstr>
      <vt:lpstr>CATIGBIAN-NEW APPRO.</vt:lpstr>
      <vt:lpstr>staffing-catig</vt:lpstr>
      <vt:lpstr>lbpf 5-CLARIN</vt:lpstr>
      <vt:lpstr>lbpf 3-HCLARIN</vt:lpstr>
      <vt:lpstr>NEW APPROP.-CLARIN</vt:lpstr>
      <vt:lpstr>staffing-clarin</vt:lpstr>
      <vt:lpstr>lbpf 5-CANDIJAY</vt:lpstr>
      <vt:lpstr>lbpf 3-HCANDIJAY</vt:lpstr>
      <vt:lpstr>CANDIJAY- NEW APPROPRIATION</vt:lpstr>
      <vt:lpstr>staffing-candijay</vt:lpstr>
      <vt:lpstr>lbpf 5-MARIBOJOC</vt:lpstr>
      <vt:lpstr>lbpf 3-HMARIBOJOC</vt:lpstr>
      <vt:lpstr>MARIBOJOC -NEW APPROP.</vt:lpstr>
      <vt:lpstr>staffing-mari</vt:lpstr>
      <vt:lpstr>lbpf 5-HINABANGA</vt:lpstr>
      <vt:lpstr>lbpf 3-HINABANGA </vt:lpstr>
      <vt:lpstr>INABANGA-NEW APPROPRIATION</vt:lpstr>
      <vt:lpstr>staffing-Inabanga</vt:lpstr>
      <vt:lpstr>lbpf 5-PGARCIA</vt:lpstr>
      <vt:lpstr>lbpf 3-HPGARCIA </vt:lpstr>
      <vt:lpstr>PGARCIA -NEW APPROPRIATION</vt:lpstr>
      <vt:lpstr>staffing-pitogo</vt:lpstr>
      <vt:lpstr>lbpf 5-OPSWD</vt:lpstr>
      <vt:lpstr>OPSWD- NEW APPROPRIATIONS</vt:lpstr>
      <vt:lpstr>lbpf 3-PSWD</vt:lpstr>
      <vt:lpstr>staffing-opswd</vt:lpstr>
      <vt:lpstr>lbpf 5 (1)-OPA</vt:lpstr>
      <vt:lpstr>lbpf 3-OPA</vt:lpstr>
      <vt:lpstr>OPA- NEW APPROPRIATIONS</vt:lpstr>
      <vt:lpstr>staffing-agri</vt:lpstr>
      <vt:lpstr>lbpf 5-VET</vt:lpstr>
      <vt:lpstr>lbpf 3-VET</vt:lpstr>
      <vt:lpstr>VET-New Approp. by Program</vt:lpstr>
      <vt:lpstr>staffing-vet</vt:lpstr>
      <vt:lpstr>lbpf 5-PEO</vt:lpstr>
      <vt:lpstr>lbpf 3-PEO</vt:lpstr>
      <vt:lpstr>Sheet6</vt:lpstr>
      <vt:lpstr>PEO- NEW APPROPRIATIONS</vt:lpstr>
      <vt:lpstr>staffing-PEO</vt:lpstr>
      <vt:lpstr>lbpf 5-MOTORPOOL</vt:lpstr>
      <vt:lpstr>lbpf 3-MOTORPOOL</vt:lpstr>
      <vt:lpstr>Sheet2</vt:lpstr>
      <vt:lpstr>M.POOL-NEW APPROPRIATION</vt:lpstr>
      <vt:lpstr>staffing-mpool</vt:lpstr>
      <vt:lpstr>WS-PS ACTUAL JUNE 2018</vt:lpstr>
      <vt:lpstr>WS-MOOE ACTUAL JUNE 2018</vt:lpstr>
      <vt:lpstr>ACTUAL KAGAWAD JUNE 2018</vt:lpstr>
      <vt:lpstr>WS-CO ACTUAL JUNE 2018</vt:lpstr>
      <vt:lpstr>lbpf 4-MOTORPOOL</vt:lpstr>
      <vt:lpstr>nonoff </vt:lpstr>
      <vt:lpstr>summary</vt:lpstr>
      <vt:lpstr>PART 3 &amp; 4</vt:lpstr>
      <vt:lpstr>WORKSHEET MATRIX</vt:lpstr>
      <vt:lpstr>WS-PS 2017</vt:lpstr>
      <vt:lpstr>WS-MOOE 2017</vt:lpstr>
      <vt:lpstr>ACTUAL KAGAWAD 2017</vt:lpstr>
      <vt:lpstr>WS-CO 2017</vt:lpstr>
      <vt:lpstr>national agencies</vt:lpstr>
      <vt:lpstr>BESF Form 2</vt:lpstr>
      <vt:lpstr>BESF Form 3</vt:lpstr>
      <vt:lpstr>STAFFING SUMMARY</vt:lpstr>
      <vt:lpstr>BESF Form 5</vt:lpstr>
      <vt:lpstr>LBPF No. 5</vt:lpstr>
      <vt:lpstr>WS 2014- STAFFING</vt:lpstr>
      <vt:lpstr>LBPF 6</vt:lpstr>
      <vt:lpstr>LBPF 7</vt:lpstr>
      <vt:lpstr>2010 actual-MOOE</vt:lpstr>
      <vt:lpstr>2010 actual-PS</vt:lpstr>
      <vt:lpstr>comparative budget</vt:lpstr>
      <vt:lpstr>consol budget</vt:lpstr>
      <vt:lpstr>BY SECTOR</vt:lpstr>
      <vt:lpstr>personal services</vt:lpstr>
      <vt:lpstr>MOOE</vt:lpstr>
      <vt:lpstr>CAP-OUTLAY</vt:lpstr>
      <vt:lpstr>lbr 1a</vt:lpstr>
      <vt:lpstr>SCRAP &amp; BUILD</vt:lpstr>
      <vt:lpstr>2019 ps worksheet</vt:lpstr>
      <vt:lpstr>2019 MOOE</vt:lpstr>
      <vt:lpstr>2019- CO</vt:lpstr>
      <vt:lpstr>2019- STAFFING</vt:lpstr>
      <vt:lpstr>Sheet1</vt:lpstr>
      <vt:lpstr>ACTUAL PS JUNE 2011</vt:lpstr>
      <vt:lpstr>2011MOOE actual june</vt:lpstr>
      <vt:lpstr>2010co</vt:lpstr>
      <vt:lpstr>PERSONNEL TRANSFER</vt:lpstr>
      <vt:lpstr>'lbpf 5-GO'!_GoBack</vt:lpstr>
      <vt:lpstr>'lbpf 5-GO (2)'!_GoBack</vt:lpstr>
      <vt:lpstr>'BY SECTOR'!Print_Area</vt:lpstr>
      <vt:lpstr>'personal services'!Print_Area</vt:lpstr>
      <vt:lpstr>'STATEMENT OF RECEIPTS'!Print_Area</vt:lpstr>
      <vt:lpstr>'2019 MOOE'!Print_Titles</vt:lpstr>
      <vt:lpstr>'2019 ps worksheet'!Print_Titles</vt:lpstr>
      <vt:lpstr>'2019- STAFFING'!Print_Titles</vt:lpstr>
      <vt:lpstr>'ACTUAL KAGAWAD JUNE 2018'!Print_Titles</vt:lpstr>
      <vt:lpstr>'lbpf 5(2)-SP'!Print_Titles</vt:lpstr>
      <vt:lpstr>'lbpf 5-BDJ'!Print_Titles</vt:lpstr>
      <vt:lpstr>'lbpf 5-OPSWD'!Print_Titles</vt:lpstr>
      <vt:lpstr>'lbpf 5-PBMO'!Print_Titles</vt:lpstr>
      <vt:lpstr>'SCRAP &amp; BUILD'!Print_Titles</vt:lpstr>
      <vt:lpstr>'staffing-ppdo'!Print_Titles</vt:lpstr>
      <vt:lpstr>'staffing-TAL'!Print_Titles</vt:lpstr>
      <vt:lpstr>'WS 2014- STAFFING'!Print_Titles</vt:lpstr>
      <vt:lpstr>'WS-MOOE 2017'!Print_Titles</vt:lpstr>
      <vt:lpstr>'WS-MOOE ACTUAL JUNE 2018'!Print_Titles</vt:lpstr>
      <vt:lpstr>'WS-PS 2017'!Print_Titles</vt:lpstr>
      <vt:lpstr>'WS-PS ACTUAL JUNE 2018'!Print_Titles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Gaga</cp:lastModifiedBy>
  <cp:lastPrinted>2018-12-27T00:06:05Z</cp:lastPrinted>
  <dcterms:created xsi:type="dcterms:W3CDTF">2011-08-02T05:28:48Z</dcterms:created>
  <dcterms:modified xsi:type="dcterms:W3CDTF">2019-03-13T03:43:41Z</dcterms:modified>
</cp:coreProperties>
</file>